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obazanlugo\Desktop\febrero 2023\otto\INFORMES RG\2023\"/>
    </mc:Choice>
  </mc:AlternateContent>
  <bookViews>
    <workbookView xWindow="0" yWindow="0" windowWidth="23040" windowHeight="8904" firstSheet="25" activeTab="25"/>
  </bookViews>
  <sheets>
    <sheet name="PDI" sheetId="275" r:id="rId1"/>
    <sheet name="Indicadores" sheetId="228" r:id="rId2"/>
    <sheet name="Formulas" sheetId="248" state="hidden" r:id="rId3"/>
    <sheet name="D.1." sheetId="244" r:id="rId4"/>
    <sheet name="Desglose ET D.2" sheetId="262" state="hidden" r:id="rId5"/>
    <sheet name="D.2." sheetId="245" r:id="rId6"/>
    <sheet name="D.3." sheetId="249" r:id="rId7"/>
    <sheet name="D.3 Trim exc._Lic" sheetId="274" state="hidden" r:id="rId8"/>
    <sheet name="Desglose ET_Esp" sheetId="250" state="hidden" r:id="rId9"/>
    <sheet name="D.4." sheetId="256" r:id="rId10"/>
    <sheet name="Desglose ET_Mtria" sheetId="251" state="hidden" r:id="rId11"/>
    <sheet name="D.5." sheetId="257" r:id="rId12"/>
    <sheet name="Desglose ET_Doc" sheetId="252" state="hidden" r:id="rId13"/>
    <sheet name="D.6." sheetId="258" r:id="rId14"/>
    <sheet name="D.7." sheetId="204" r:id="rId15"/>
    <sheet name="Desglose de trim_esp" sheetId="253" state="hidden" r:id="rId16"/>
    <sheet name="D.8." sheetId="259" r:id="rId17"/>
    <sheet name="Desglose de tri_Mtria" sheetId="254" state="hidden" r:id="rId18"/>
    <sheet name="D.9." sheetId="260" r:id="rId19"/>
    <sheet name="Desglose Trim Doc" sheetId="255" state="hidden" r:id="rId20"/>
    <sheet name="D.10." sheetId="212" r:id="rId21"/>
    <sheet name="D.11." sheetId="213" r:id="rId22"/>
    <sheet name="D.12." sheetId="184" r:id="rId23"/>
    <sheet name="D.13." sheetId="186" r:id="rId24"/>
    <sheet name="D.14." sheetId="267" r:id="rId25"/>
    <sheet name="D.15." sheetId="268" r:id="rId26"/>
    <sheet name="D.16. y 17" sheetId="269" r:id="rId27"/>
    <sheet name="D.18 y 19" sheetId="270" r:id="rId28"/>
    <sheet name="D.20." sheetId="271" r:id="rId29"/>
    <sheet name="D.20 Tri_Ubica" sheetId="276" state="hidden" r:id="rId30"/>
    <sheet name="I.21." sheetId="214" r:id="rId31"/>
    <sheet name="I.22." sheetId="215" r:id="rId32"/>
    <sheet name="I.23." sheetId="216" r:id="rId33"/>
    <sheet name="I.24." sheetId="217" r:id="rId34"/>
    <sheet name="I.25" sheetId="272" r:id="rId35"/>
    <sheet name="I.26." sheetId="261" r:id="rId36"/>
    <sheet name="I.27." sheetId="220" r:id="rId37"/>
    <sheet name="I.28." sheetId="221" r:id="rId38"/>
    <sheet name="I.29." sheetId="222" r:id="rId39"/>
    <sheet name="I.30." sheetId="223" r:id="rId40"/>
    <sheet name="C.31." sheetId="224" state="hidden" r:id="rId41"/>
    <sheet name="C.32." sheetId="273" r:id="rId42"/>
    <sheet name="C.33." sheetId="227" r:id="rId43"/>
    <sheet name="A.34." sheetId="229" r:id="rId44"/>
    <sheet name="A.35." sheetId="230" r:id="rId45"/>
    <sheet name="A.36." sheetId="231" r:id="rId46"/>
    <sheet name="A.37." sheetId="232" r:id="rId47"/>
    <sheet name="A.38." sheetId="233" r:id="rId48"/>
    <sheet name="A.39." sheetId="234" r:id="rId49"/>
    <sheet name="A.40.-42." sheetId="235" r:id="rId50"/>
    <sheet name="A.43." sheetId="236" r:id="rId51"/>
    <sheet name="A.44." sheetId="237" r:id="rId52"/>
    <sheet name="A.45." sheetId="238" r:id="rId53"/>
    <sheet name="A.46.1" sheetId="239" r:id="rId54"/>
    <sheet name="A.46.2" sheetId="240" r:id="rId55"/>
    <sheet name="A.46.3" sheetId="241" r:id="rId56"/>
    <sheet name="A.47.1" sheetId="242" state="hidden" r:id="rId57"/>
    <sheet name="A.47.2" sheetId="24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 localSheetId="7">#REF!</definedName>
    <definedName name="\B" localSheetId="7">#REF!</definedName>
    <definedName name="\C" localSheetId="7">#REF!</definedName>
    <definedName name="____bcs1" localSheetId="7">#REF!</definedName>
    <definedName name="____dgo1" localSheetId="7">#REF!</definedName>
    <definedName name="____dgo2" localSheetId="7">#REF!</definedName>
    <definedName name="__123Graph_A" localSheetId="26" hidden="1">'[1]TAB DCENTE CETI 2001'!#REF!</definedName>
    <definedName name="__123Graph_A" localSheetId="27" hidden="1">'[1]TAB DCENTE CETI 2001'!#REF!</definedName>
    <definedName name="__123Graph_A" localSheetId="28" hidden="1">'[1]TAB DCENTE CETI 2001'!#REF!</definedName>
    <definedName name="__123Graph_A" localSheetId="7" hidden="1">'[1]TAB DCENTE CETI 2001'!#REF!</definedName>
    <definedName name="__123Graph_A" localSheetId="34" hidden="1">'[1]TAB DCENTE CETI 2001'!#REF!</definedName>
    <definedName name="__123Graph_A" localSheetId="35" hidden="1">'[2]TAB DCENTE CETI 2001'!#REF!</definedName>
    <definedName name="__123Graph_A" localSheetId="0" hidden="1">'[2]TAB DCENTE CETI 2001'!#REF!</definedName>
    <definedName name="__123Graph_A" hidden="1">'[2]TAB DCENTE CETI 2001'!#REF!</definedName>
    <definedName name="__123Graph_C" localSheetId="35" hidden="1">[3]PLAZASXI!#REF!</definedName>
    <definedName name="__123Graph_C" localSheetId="0" hidden="1">[3]PLAZASXI!#REF!</definedName>
    <definedName name="__123Graph_C" hidden="1">[3]PLAZASXI!#REF!</definedName>
    <definedName name="__123Graph_D" localSheetId="35" hidden="1">[3]PLAZASXI!#REF!</definedName>
    <definedName name="__123Graph_D" localSheetId="0" hidden="1">[3]PLAZASXI!#REF!</definedName>
    <definedName name="__123Graph_D" hidden="1">[3]PLAZASXI!#REF!</definedName>
    <definedName name="__123Graph_E" localSheetId="35" hidden="1">[3]PLAZASXI!#REF!</definedName>
    <definedName name="__123Graph_E" localSheetId="0" hidden="1">[3]PLAZASXI!#REF!</definedName>
    <definedName name="__123Graph_E" hidden="1">[3]PLAZASXI!#REF!</definedName>
    <definedName name="__123Graph_F" localSheetId="35" hidden="1">[3]PLAZASXI!#REF!</definedName>
    <definedName name="__123Graph_F" localSheetId="0" hidden="1">[3]PLAZASXI!#REF!</definedName>
    <definedName name="__123Graph_F" hidden="1">[3]PLAZASXI!#REF!</definedName>
    <definedName name="__123Graph_X" localSheetId="26" hidden="1">'[1]TAB DCENTE CETI 2001'!#REF!</definedName>
    <definedName name="__123Graph_X" localSheetId="27" hidden="1">'[1]TAB DCENTE CETI 2001'!#REF!</definedName>
    <definedName name="__123Graph_X" localSheetId="28" hidden="1">'[1]TAB DCENTE CETI 2001'!#REF!</definedName>
    <definedName name="__123Graph_X" localSheetId="7" hidden="1">'[1]TAB DCENTE CETI 2001'!#REF!</definedName>
    <definedName name="__123Graph_X" localSheetId="34" hidden="1">'[1]TAB DCENTE CETI 2001'!#REF!</definedName>
    <definedName name="__123Graph_X" localSheetId="35" hidden="1">'[2]TAB DCENTE CETI 2001'!#REF!</definedName>
    <definedName name="__123Graph_X" localSheetId="0" hidden="1">'[2]TAB DCENTE CETI 2001'!#REF!</definedName>
    <definedName name="__123Graph_X" hidden="1">'[2]TAB DCENTE CETI 2001'!#REF!</definedName>
    <definedName name="__ags1" localSheetId="7">#REF!</definedName>
    <definedName name="__ags2" localSheetId="7">#REF!</definedName>
    <definedName name="__bcn1" localSheetId="7">#REF!</definedName>
    <definedName name="_Fill" localSheetId="35" hidden="1">#REF!</definedName>
    <definedName name="_Fill" localSheetId="0" hidden="1">#REF!</definedName>
    <definedName name="_Fill" hidden="1">#REF!</definedName>
    <definedName name="_xlnm._FilterDatabase" localSheetId="54" hidden="1">'A.46.2'!#REF!</definedName>
    <definedName name="_xlnm._FilterDatabase" localSheetId="55" hidden="1">'A.46.3'!#REF!</definedName>
    <definedName name="_xlnm._FilterDatabase" localSheetId="41" hidden="1">'C.32.'!#REF!</definedName>
    <definedName name="_xlnm._FilterDatabase" localSheetId="20" hidden="1">'D.10.'!$I$238:$U$238</definedName>
    <definedName name="_xlnm._FilterDatabase" localSheetId="21" hidden="1">'D.11.'!$H$839:$T$839</definedName>
    <definedName name="_xlnm._FilterDatabase" localSheetId="29" hidden="1">'D.20 Tri_Ubica'!$C$3:$I$3</definedName>
    <definedName name="_xlnm._FilterDatabase" localSheetId="14" hidden="1">'D.7.'!$A$3:$G$3</definedName>
    <definedName name="_xlnm._FilterDatabase" localSheetId="12" hidden="1">'Desglose ET_Doc'!$A$6:$F$221</definedName>
    <definedName name="_xlnm._FilterDatabase" localSheetId="8" hidden="1">'Desglose ET_Esp'!$Y$50:$AD$71</definedName>
    <definedName name="_xlnm._FilterDatabase" localSheetId="10" hidden="1">'Desglose ET_Mtria'!$A$6:$F$321</definedName>
    <definedName name="_gro1" localSheetId="7">#REF!</definedName>
    <definedName name="_gro2" localSheetId="7">#REF!</definedName>
    <definedName name="_gto1" localSheetId="7">#REF!</definedName>
    <definedName name="_Key1" localSheetId="26" hidden="1">[4]DIRECTIVO!#REF!</definedName>
    <definedName name="_Key1" localSheetId="27" hidden="1">[4]DIRECTIVO!#REF!</definedName>
    <definedName name="_Key1" localSheetId="28" hidden="1">[4]DIRECTIVO!#REF!</definedName>
    <definedName name="_Key1" localSheetId="34" hidden="1">[4]DIRECTIVO!#REF!</definedName>
    <definedName name="_Key1" localSheetId="35" hidden="1">[4]DIRECTIVO!#REF!</definedName>
    <definedName name="_Key1" localSheetId="0" hidden="1">[4]DIRECTIVO!#REF!</definedName>
    <definedName name="_Key1" hidden="1">[4]DIRECTIVO!#REF!</definedName>
    <definedName name="_mex1" localSheetId="7">#REF!</definedName>
    <definedName name="_mex2" localSheetId="7">#REF!</definedName>
    <definedName name="_mor1" localSheetId="7">#REF!</definedName>
    <definedName name="_Order1" hidden="1">0</definedName>
    <definedName name="_rmc1" localSheetId="7">#REF!</definedName>
    <definedName name="_sin1" localSheetId="7">#REF!</definedName>
    <definedName name="_sin2" localSheetId="7">#REF!</definedName>
    <definedName name="_Sort" localSheetId="35" hidden="1">#REF!</definedName>
    <definedName name="_Sort" localSheetId="0" hidden="1">#REF!</definedName>
    <definedName name="_Sort" hidden="1">#REF!</definedName>
    <definedName name="_ver1" localSheetId="7">#REF!</definedName>
    <definedName name="_ver2" localSheetId="7">#REF!</definedName>
    <definedName name="A_impresion_IM" localSheetId="7">#REF!</definedName>
    <definedName name="aa" localSheetId="7">#REF!</definedName>
    <definedName name="admvo.plantilla" localSheetId="7">#REF!</definedName>
    <definedName name="ADMVO_A" localSheetId="7">#REF!</definedName>
    <definedName name="_xlnm.Print_Area" localSheetId="43">'A.34.'!$A$1:$G$24</definedName>
    <definedName name="_xlnm.Print_Area" localSheetId="44">'A.35.'!$K$1:$O$10</definedName>
    <definedName name="_xlnm.Print_Area" localSheetId="45">'A.36.'!$A$1:$G$63</definedName>
    <definedName name="_xlnm.Print_Area" localSheetId="46">'A.37.'!$A$1:$L$88</definedName>
    <definedName name="_xlnm.Print_Area" localSheetId="47">'A.38.'!$B$1:$W$43</definedName>
    <definedName name="_xlnm.Print_Area" localSheetId="48">'A.39.'!$A$1:$Y$43</definedName>
    <definedName name="_xlnm.Print_Area" localSheetId="49">'A.40.-42.'!$AQ$1:$BE$31</definedName>
    <definedName name="_xlnm.Print_Area" localSheetId="50">'A.43.'!$K$1:$O$12</definedName>
    <definedName name="_xlnm.Print_Area" localSheetId="51">'A.44.'!$A$1:$E$52</definedName>
    <definedName name="_xlnm.Print_Area" localSheetId="52">'A.45.'!$A$1:$L$120</definedName>
    <definedName name="_xlnm.Print_Area" localSheetId="53">'A.46.1'!$A$1:$J$81</definedName>
    <definedName name="_xlnm.Print_Area" localSheetId="54">'A.46.2'!$A$1:$D$72</definedName>
    <definedName name="_xlnm.Print_Area" localSheetId="55">'A.46.3'!$A$1:$D$74</definedName>
    <definedName name="_xlnm.Print_Area" localSheetId="41">'C.32.'!$L$1:$P$32</definedName>
    <definedName name="_xlnm.Print_Area" localSheetId="42">'C.33.'!$A$1:$C$17</definedName>
    <definedName name="_xlnm.Print_Area" localSheetId="3">'D.1.'!$U$1:$AD$109</definedName>
    <definedName name="_xlnm.Print_Area" localSheetId="20">'D.10.'!$A$1:$G$50</definedName>
    <definedName name="_xlnm.Print_Area" localSheetId="21">'D.11.'!$A$1:$F$47</definedName>
    <definedName name="_xlnm.Print_Area" localSheetId="22">'D.12.'!$B$1:$I$32</definedName>
    <definedName name="_xlnm.Print_Area" localSheetId="23">'D.13.'!$A$1:$L$32</definedName>
    <definedName name="_xlnm.Print_Area" localSheetId="24">'D.14.'!$BX$1:$CD$106</definedName>
    <definedName name="_xlnm.Print_Area" localSheetId="25">'D.15.'!$BV$1:$CC$153</definedName>
    <definedName name="_xlnm.Print_Area" localSheetId="26">'D.16. y 17'!$AB$1:$BF$32</definedName>
    <definedName name="_xlnm.Print_Area" localSheetId="27">'D.18 y 19'!$AE$1:$AR$32</definedName>
    <definedName name="_xlnm.Print_Area" localSheetId="5">'D.2.'!$L$1:$P$110</definedName>
    <definedName name="_xlnm.Print_Area" localSheetId="28">'D.20.'!$A$1:$V$52</definedName>
    <definedName name="_xlnm.Print_Area" localSheetId="6">'D.3.'!$L$1:$P$109</definedName>
    <definedName name="_xlnm.Print_Area" localSheetId="9">'D.4.'!$L$1:$P$38</definedName>
    <definedName name="_xlnm.Print_Area" localSheetId="11">'D.5.'!$L$1:$P$99</definedName>
    <definedName name="_xlnm.Print_Area" localSheetId="13">'D.6.'!$L$1:$P$76</definedName>
    <definedName name="_xlnm.Print_Area" localSheetId="14">'D.7.'!$L$1:$P$36</definedName>
    <definedName name="_xlnm.Print_Area" localSheetId="16">'D.8.'!$L$1:$P$93</definedName>
    <definedName name="_xlnm.Print_Area" localSheetId="18">'D.9.'!$L$1:$P$68</definedName>
    <definedName name="_xlnm.Print_Area" localSheetId="30">'I.21.'!$AN$1:$BF$84</definedName>
    <definedName name="_xlnm.Print_Area" localSheetId="31">'I.22.'!$L$1:$AD$84</definedName>
    <definedName name="_xlnm.Print_Area" localSheetId="32">'I.23.'!$BW$1:$CW$84</definedName>
    <definedName name="_xlnm.Print_Area" localSheetId="33">'I.24.'!$A$1:$H$31</definedName>
    <definedName name="_xlnm.Print_Area" localSheetId="34">I.25!$A$1:$U$45</definedName>
    <definedName name="_xlnm.Print_Area" localSheetId="35">'I.26.'!$AM$1:$BE$84</definedName>
    <definedName name="_xlnm.Print_Area" localSheetId="36">'I.27.'!$AN$1:$BF$84</definedName>
    <definedName name="_xlnm.Print_Area" localSheetId="37">'I.28.'!$AN$1:$BF$87</definedName>
    <definedName name="_xlnm.Print_Area" localSheetId="38">'I.29.'!$AJ$1:$BB$87</definedName>
    <definedName name="_xlnm.Print_Area" localSheetId="39">'I.30.'!$BE$1:$CG$41</definedName>
    <definedName name="_xlnm.Print_Area" localSheetId="1">Indicadores!$B$1:$V$73</definedName>
    <definedName name="_xlnm.Print_Area" localSheetId="0">PDI!$A$1:$M$41</definedName>
    <definedName name="AS_MON1" localSheetId="7">#REF!</definedName>
    <definedName name="AS_MON2" localSheetId="7">#REF!</definedName>
    <definedName name="AS_PAR1" localSheetId="7">#REF!</definedName>
    <definedName name="BASE_ACTUAL" localSheetId="7">#REF!</definedName>
    <definedName name="BASE_INCREMENTO" localSheetId="7">#REF!</definedName>
    <definedName name="_xlnm.Database" localSheetId="7">#REF!</definedName>
    <definedName name="camp1" localSheetId="7">#REF!</definedName>
    <definedName name="camp2" localSheetId="7">#REF!</definedName>
    <definedName name="categoria" localSheetId="7">'[5]DOCENTES '!#REF!</definedName>
    <definedName name="cc" localSheetId="26" hidden="1">#REF!</definedName>
    <definedName name="cc" localSheetId="27" hidden="1">#REF!</definedName>
    <definedName name="cc" localSheetId="28" hidden="1">#REF!</definedName>
    <definedName name="cc" localSheetId="7" hidden="1">#REF!</definedName>
    <definedName name="cc" localSheetId="34" hidden="1">#REF!</definedName>
    <definedName name="cc" localSheetId="35" hidden="1">#REF!</definedName>
    <definedName name="cc" localSheetId="0" hidden="1">#REF!</definedName>
    <definedName name="cc" hidden="1">#REF!</definedName>
    <definedName name="CG" localSheetId="7">#REF!</definedName>
    <definedName name="chih1" localSheetId="7">#REF!</definedName>
    <definedName name="chih2" localSheetId="7">#REF!</definedName>
    <definedName name="coah1" localSheetId="7">#REF!</definedName>
    <definedName name="coah2" localSheetId="7">#REF!</definedName>
    <definedName name="cuadro" localSheetId="7">[6]Ac02acV2!$A$1:$AY$1139</definedName>
    <definedName name="d" localSheetId="7">#REF!</definedName>
    <definedName name="d_f1" localSheetId="7">#REF!</definedName>
    <definedName name="d_f2" localSheetId="7">#REF!</definedName>
    <definedName name="despadmvo" localSheetId="7">#REF!</definedName>
    <definedName name="despdoc" localSheetId="7">#REF!</definedName>
    <definedName name="didactico" localSheetId="7">#REF!</definedName>
    <definedName name="e" localSheetId="7">#REF!</definedName>
    <definedName name="ET" localSheetId="7">#REF!</definedName>
    <definedName name="ETZII" localSheetId="7">#REF!</definedName>
    <definedName name="ETZIII" localSheetId="7">#REF!</definedName>
    <definedName name="g" localSheetId="7">#REF!</definedName>
    <definedName name="GG" localSheetId="26" hidden="1">#REF!</definedName>
    <definedName name="GG" localSheetId="27" hidden="1">#REF!</definedName>
    <definedName name="GG" localSheetId="28" hidden="1">#REF!</definedName>
    <definedName name="GG" localSheetId="7" hidden="1">#REF!</definedName>
    <definedName name="GG" localSheetId="34" hidden="1">#REF!</definedName>
    <definedName name="GG" localSheetId="35" hidden="1">#REF!</definedName>
    <definedName name="GG" localSheetId="0" hidden="1">#REF!</definedName>
    <definedName name="GG" hidden="1">#REF!</definedName>
    <definedName name="GMM_MON1" localSheetId="7">#REF!</definedName>
    <definedName name="i" localSheetId="7">'[7]PLANTILLA 99'!$F$2:$J$481</definedName>
    <definedName name="INC" localSheetId="7">#REF!</definedName>
    <definedName name="INCREMENTO" localSheetId="7">#REF!</definedName>
    <definedName name="july" localSheetId="7">#REF!</definedName>
    <definedName name="JVS" localSheetId="26" hidden="1">#REF!</definedName>
    <definedName name="JVS" localSheetId="27" hidden="1">#REF!</definedName>
    <definedName name="JVS" localSheetId="28" hidden="1">#REF!</definedName>
    <definedName name="JVS" localSheetId="7" hidden="1">#REF!</definedName>
    <definedName name="JVS" localSheetId="34" hidden="1">#REF!</definedName>
    <definedName name="JVS" localSheetId="35" hidden="1">#REF!</definedName>
    <definedName name="JVS" localSheetId="0" hidden="1">#REF!</definedName>
    <definedName name="JVS" hidden="1">#REF!</definedName>
    <definedName name="PR_M10" localSheetId="7">#REF!</definedName>
    <definedName name="PR_M15" localSheetId="7">#REF!</definedName>
    <definedName name="PR_M20" localSheetId="7">#REF!</definedName>
    <definedName name="rez" localSheetId="26" hidden="1">#REF!</definedName>
    <definedName name="rez" localSheetId="27" hidden="1">#REF!</definedName>
    <definedName name="rez" localSheetId="28" hidden="1">#REF!</definedName>
    <definedName name="rez" localSheetId="7" hidden="1">#REF!</definedName>
    <definedName name="rez" localSheetId="34" hidden="1">#REF!</definedName>
    <definedName name="rez" localSheetId="35" hidden="1">#REF!</definedName>
    <definedName name="rez" localSheetId="0" hidden="1">#REF!</definedName>
    <definedName name="rez" hidden="1">#REF!</definedName>
    <definedName name="sc" localSheetId="35" hidden="1">#REF!</definedName>
    <definedName name="sc" localSheetId="0" hidden="1">#REF!</definedName>
    <definedName name="sc" hidden="1">#REF!</definedName>
    <definedName name="ser" localSheetId="7">#REF!</definedName>
    <definedName name="sic" localSheetId="26" hidden="1">#REF!</definedName>
    <definedName name="sic" localSheetId="27" hidden="1">#REF!</definedName>
    <definedName name="sic" localSheetId="28" hidden="1">#REF!</definedName>
    <definedName name="sic" localSheetId="7" hidden="1">#REF!</definedName>
    <definedName name="sic" localSheetId="34" hidden="1">#REF!</definedName>
    <definedName name="sic" localSheetId="35" hidden="1">#REF!</definedName>
    <definedName name="sic" localSheetId="0" hidden="1">#REF!</definedName>
    <definedName name="sic" hidden="1">#REF!</definedName>
    <definedName name="SIDESI" localSheetId="26" hidden="1">[8]TABCETDO298!#REF!</definedName>
    <definedName name="SIDESI" localSheetId="27" hidden="1">[8]TABCETDO298!#REF!</definedName>
    <definedName name="SIDESI" localSheetId="28" hidden="1">[8]TABCETDO298!#REF!</definedName>
    <definedName name="SIDESI" localSheetId="7" hidden="1">[8]TABCETDO298!#REF!</definedName>
    <definedName name="SIDESI" localSheetId="34" hidden="1">[8]TABCETDO298!#REF!</definedName>
    <definedName name="SIDESI" localSheetId="35" hidden="1">[8]TABCETDO298!#REF!</definedName>
    <definedName name="SIDESI" localSheetId="0" hidden="1">[8]TABCETDO298!#REF!</definedName>
    <definedName name="SIDESI" hidden="1">[8]TABCETDO298!#REF!</definedName>
    <definedName name="ss" localSheetId="7">#REF!</definedName>
    <definedName name="sssasa" localSheetId="7">#REF!</definedName>
    <definedName name="SUELDO_MENSUAL" localSheetId="7">#REF!</definedName>
    <definedName name="_xlnm.Print_Titles" localSheetId="44">'A.35.'!$A:$A</definedName>
    <definedName name="_xlnm.Print_Titles" localSheetId="45">'A.36.'!$1:$2</definedName>
    <definedName name="_xlnm.Print_Titles" localSheetId="46">'A.37.'!$1:$2</definedName>
    <definedName name="_xlnm.Print_Titles" localSheetId="47">'A.38.'!$B:$B,'A.38.'!$1:$4</definedName>
    <definedName name="_xlnm.Print_Titles" localSheetId="48">'A.39.'!$A:$A,'A.39.'!$1:$4</definedName>
    <definedName name="_xlnm.Print_Titles" localSheetId="49">'A.40.-42.'!$A:$B</definedName>
    <definedName name="_xlnm.Print_Titles" localSheetId="50">'A.43.'!$A:$A</definedName>
    <definedName name="_xlnm.Print_Titles" localSheetId="51">'A.44.'!$1:$12</definedName>
    <definedName name="_xlnm.Print_Titles" localSheetId="52">'A.45.'!$1:$1</definedName>
    <definedName name="_xlnm.Print_Titles" localSheetId="53">'A.46.1'!$1:$3</definedName>
    <definedName name="_xlnm.Print_Titles" localSheetId="54">'A.46.2'!$1:$1</definedName>
    <definedName name="_xlnm.Print_Titles" localSheetId="55">'A.46.3'!$1:$1</definedName>
    <definedName name="_xlnm.Print_Titles" localSheetId="41">'C.32.'!$B:$B</definedName>
    <definedName name="_xlnm.Print_Titles" localSheetId="3">'D.1.'!$B:$B,'D.1.'!$1:$4</definedName>
    <definedName name="_xlnm.Print_Titles" localSheetId="20">'D.10.'!$1:$1</definedName>
    <definedName name="_xlnm.Print_Titles" localSheetId="24">'D.14.'!$B:$B,'D.14.'!$1:$4</definedName>
    <definedName name="_xlnm.Print_Titles" localSheetId="25">'D.15.'!$B:$B,'D.15.'!$1:$3</definedName>
    <definedName name="_xlnm.Print_Titles" localSheetId="26">'D.16. y 17'!$B:$C,'D.16. y 17'!$1:$5</definedName>
    <definedName name="_xlnm.Print_Titles" localSheetId="27">'D.18 y 19'!$B:$C,'D.18 y 19'!$1:$1</definedName>
    <definedName name="_xlnm.Print_Titles" localSheetId="5">'D.2.'!$B:$B,'D.2.'!$1:$5</definedName>
    <definedName name="_xlnm.Print_Titles" localSheetId="6">'D.3.'!$B:$B,'D.3.'!$1:$3</definedName>
    <definedName name="_xlnm.Print_Titles" localSheetId="9">'D.4.'!$B:$B,'D.4.'!$1:$4</definedName>
    <definedName name="_xlnm.Print_Titles" localSheetId="11">'D.5.'!$B:$B,'D.5.'!$1:$4</definedName>
    <definedName name="_xlnm.Print_Titles" localSheetId="13">'D.6.'!$B:$B,'D.6.'!$1:$4</definedName>
    <definedName name="_xlnm.Print_Titles" localSheetId="14">'D.7.'!$B:$B,'D.7.'!$1:$3</definedName>
    <definedName name="_xlnm.Print_Titles" localSheetId="16">'D.8.'!$B:$B,'D.8.'!$1:$3</definedName>
    <definedName name="_xlnm.Print_Titles" localSheetId="18">'D.9.'!$B:$B,'D.9.'!$1:$3</definedName>
    <definedName name="_xlnm.Print_Titles" localSheetId="30">'I.21.'!$B:$C,'I.21.'!$1:$4</definedName>
    <definedName name="_xlnm.Print_Titles" localSheetId="31">'I.22.'!$B:$C,'I.22.'!$1:$4</definedName>
    <definedName name="_xlnm.Print_Titles" localSheetId="32">'I.23.'!$A:$D,'I.23.'!$1:$4</definedName>
    <definedName name="_xlnm.Print_Titles" localSheetId="35">'I.26.'!$A:$B,'I.26.'!$1:$4</definedName>
    <definedName name="_xlnm.Print_Titles" localSheetId="36">'I.27.'!$B:$C,'I.27.'!$1:$4</definedName>
    <definedName name="_xlnm.Print_Titles" localSheetId="37">'I.28.'!$B:$C,'I.28.'!$1:$4</definedName>
    <definedName name="_xlnm.Print_Titles" localSheetId="38">'I.29.'!$B:$C,'I.29.'!$1:$4</definedName>
    <definedName name="_xlnm.Print_Titles" localSheetId="39">'I.30.'!$A:$B</definedName>
    <definedName name="_xlnm.Print_Titles" localSheetId="1">Indicadores!$1:$4</definedName>
    <definedName name="Títulos_a_imprimir_IM" localSheetId="7">[9]IPNATM01!$A$2:$IV$18</definedName>
    <definedName name="tlax1" localSheetId="7">#REF!</definedName>
    <definedName name="tlax2" localSheetId="7">#REF!</definedName>
    <definedName name="Total" localSheetId="7">#REF!</definedName>
    <definedName name="USESE" localSheetId="7">[10]planew99!$A$10:$J$130</definedName>
    <definedName name="v" localSheetId="7">#REF!</definedName>
    <definedName name="x" localSheetId="7">#REF!</definedName>
    <definedName name="XXXXXX" localSheetId="26" hidden="1">'[11]TAB DCENTE CETI 2002'!#REF!</definedName>
    <definedName name="XXXXXX" localSheetId="27" hidden="1">'[11]TAB DCENTE CETI 2002'!#REF!</definedName>
    <definedName name="XXXXXX" localSheetId="28" hidden="1">'[11]TAB DCENTE CETI 2002'!#REF!</definedName>
    <definedName name="XXXXXX" localSheetId="7" hidden="1">'[11]TAB DCENTE CETI 2002'!#REF!</definedName>
    <definedName name="XXXXXX" localSheetId="34" hidden="1">'[11]TAB DCENTE CETI 2002'!#REF!</definedName>
    <definedName name="XXXXXX" localSheetId="35" hidden="1">'[11]TAB DCENTE CETI 2002'!#REF!</definedName>
    <definedName name="XXXXXX" localSheetId="0" hidden="1">'[11]TAB DCENTE CETI 2002'!#REF!</definedName>
    <definedName name="XXXXXX" hidden="1">'[11]TAB DCENTE CETI 2002'!#REF!</definedName>
    <definedName name="yt" localSheetId="7">#REF!</definedName>
    <definedName name="zac1" localSheetId="7">#REF!</definedName>
    <definedName name="zac2" localSheetId="7">#REF!</definedName>
  </definedNames>
  <calcPr calcId="162913"/>
</workbook>
</file>

<file path=xl/calcChain.xml><?xml version="1.0" encoding="utf-8"?>
<calcChain xmlns="http://schemas.openxmlformats.org/spreadsheetml/2006/main">
  <c r="A145" i="268" l="1"/>
  <c r="A107" i="268"/>
  <c r="I20" i="238"/>
  <c r="G35" i="234"/>
  <c r="G36" i="234"/>
  <c r="G37" i="234"/>
  <c r="G38" i="234"/>
  <c r="G34" i="234"/>
  <c r="BF62" i="221"/>
  <c r="BF63" i="221"/>
  <c r="BF60" i="221"/>
  <c r="BF54" i="221"/>
  <c r="BF62" i="220"/>
  <c r="BF63" i="220"/>
  <c r="BF60" i="220"/>
  <c r="BF54" i="220"/>
  <c r="BE63" i="261"/>
  <c r="BE64" i="261"/>
  <c r="BE62" i="261"/>
  <c r="E35" i="272"/>
  <c r="E8" i="272"/>
  <c r="CW80" i="216"/>
  <c r="CW50" i="216"/>
  <c r="CW48" i="216"/>
  <c r="CW36" i="216"/>
  <c r="AD61" i="215"/>
  <c r="AI8" i="270"/>
  <c r="AI9" i="270"/>
  <c r="AI10" i="270"/>
  <c r="AI12" i="270"/>
  <c r="AI13" i="270"/>
  <c r="AI14" i="270"/>
  <c r="AI15" i="270"/>
  <c r="AI17" i="270"/>
  <c r="AI18" i="270"/>
  <c r="AI19" i="270"/>
  <c r="AI20" i="270"/>
  <c r="AI22" i="270"/>
  <c r="AI23" i="270"/>
  <c r="AI24" i="270"/>
  <c r="AI25" i="270"/>
  <c r="AI27" i="270"/>
  <c r="AI28" i="270"/>
  <c r="AI29" i="270"/>
  <c r="AI30" i="270"/>
  <c r="AI32" i="270"/>
  <c r="AI7" i="270"/>
  <c r="AL32" i="270"/>
  <c r="AL8" i="270"/>
  <c r="AL9" i="270"/>
  <c r="AL10" i="270"/>
  <c r="AL12" i="270"/>
  <c r="AL13" i="270"/>
  <c r="AL14" i="270"/>
  <c r="AL15" i="270"/>
  <c r="AL17" i="270"/>
  <c r="AL18" i="270"/>
  <c r="AL19" i="270"/>
  <c r="AL20" i="270"/>
  <c r="AL22" i="270"/>
  <c r="AL23" i="270"/>
  <c r="AL24" i="270"/>
  <c r="AL25" i="270"/>
  <c r="AL27" i="270"/>
  <c r="AL28" i="270"/>
  <c r="AL29" i="270"/>
  <c r="AL30" i="270"/>
  <c r="AL7" i="270"/>
  <c r="AO8" i="270"/>
  <c r="AO9" i="270"/>
  <c r="AO10" i="270"/>
  <c r="AO12" i="270"/>
  <c r="AO13" i="270"/>
  <c r="AO14" i="270"/>
  <c r="AO15" i="270"/>
  <c r="AO17" i="270"/>
  <c r="AO18" i="270"/>
  <c r="AO19" i="270"/>
  <c r="AO20" i="270"/>
  <c r="AO22" i="270"/>
  <c r="AO23" i="270"/>
  <c r="AO24" i="270"/>
  <c r="AO25" i="270"/>
  <c r="AO27" i="270"/>
  <c r="AO28" i="270"/>
  <c r="AO29" i="270"/>
  <c r="AO30" i="270"/>
  <c r="AO32" i="270"/>
  <c r="AO7" i="270"/>
  <c r="AR8" i="270"/>
  <c r="AR9" i="270"/>
  <c r="AR10" i="270"/>
  <c r="AR12" i="270"/>
  <c r="AR13" i="270"/>
  <c r="AR14" i="270"/>
  <c r="AR15" i="270"/>
  <c r="AR17" i="270"/>
  <c r="AR18" i="270"/>
  <c r="AR19" i="270"/>
  <c r="AR20" i="270"/>
  <c r="AR22" i="270"/>
  <c r="AR23" i="270"/>
  <c r="AR24" i="270"/>
  <c r="AR25" i="270"/>
  <c r="AR27" i="270"/>
  <c r="AR28" i="270"/>
  <c r="AR29" i="270"/>
  <c r="AR30" i="270"/>
  <c r="AR32" i="270"/>
  <c r="AR7" i="270"/>
  <c r="S35" i="228" l="1"/>
  <c r="C39" i="272"/>
  <c r="C32" i="272"/>
  <c r="C25" i="272"/>
  <c r="C18" i="272"/>
  <c r="C11" i="272"/>
  <c r="C43" i="272" s="1"/>
  <c r="S65" i="228" l="1"/>
  <c r="S64" i="228"/>
  <c r="G32" i="238"/>
  <c r="F32" i="238"/>
  <c r="C26" i="238"/>
  <c r="B26" i="238"/>
  <c r="L15" i="238"/>
  <c r="K15" i="238"/>
  <c r="S53" i="228" l="1"/>
  <c r="D23" i="229"/>
  <c r="E22" i="229"/>
  <c r="E23" i="229" s="1"/>
  <c r="F23" i="229" s="1"/>
  <c r="D22" i="229"/>
  <c r="S58" i="228"/>
  <c r="E41" i="234"/>
  <c r="F39" i="234"/>
  <c r="D39" i="234"/>
  <c r="C39" i="234"/>
  <c r="E38" i="234"/>
  <c r="E37" i="234"/>
  <c r="E36" i="234"/>
  <c r="E35" i="234"/>
  <c r="E39" i="234" s="1"/>
  <c r="E34" i="234"/>
  <c r="F32" i="234"/>
  <c r="D32" i="234"/>
  <c r="C32" i="234"/>
  <c r="E31" i="234"/>
  <c r="E30" i="234"/>
  <c r="E29" i="234"/>
  <c r="E28" i="234"/>
  <c r="E27" i="234"/>
  <c r="E32" i="234" s="1"/>
  <c r="F25" i="234"/>
  <c r="D25" i="234"/>
  <c r="C25" i="234"/>
  <c r="E24" i="234"/>
  <c r="E23" i="234"/>
  <c r="E25" i="234" s="1"/>
  <c r="E22" i="234"/>
  <c r="E21" i="234"/>
  <c r="E20" i="234"/>
  <c r="F18" i="234"/>
  <c r="D18" i="234"/>
  <c r="C18" i="234"/>
  <c r="E17" i="234"/>
  <c r="E16" i="234"/>
  <c r="E15" i="234"/>
  <c r="E14" i="234"/>
  <c r="E13" i="234"/>
  <c r="F11" i="234"/>
  <c r="D11" i="234"/>
  <c r="D43" i="234" s="1"/>
  <c r="C11" i="234"/>
  <c r="C43" i="234" s="1"/>
  <c r="E10" i="234"/>
  <c r="E9" i="234"/>
  <c r="E8" i="234"/>
  <c r="E7" i="234"/>
  <c r="E6" i="234"/>
  <c r="S57" i="228"/>
  <c r="E39" i="233"/>
  <c r="D39" i="233"/>
  <c r="E32" i="233"/>
  <c r="D32" i="233"/>
  <c r="E25" i="233"/>
  <c r="D25" i="233"/>
  <c r="E18" i="233"/>
  <c r="D18" i="233"/>
  <c r="E11" i="233"/>
  <c r="D11" i="233"/>
  <c r="D43" i="233" s="1"/>
  <c r="F22" i="229" l="1"/>
  <c r="G22" i="229" s="1"/>
  <c r="F43" i="234"/>
  <c r="E18" i="234"/>
  <c r="E11" i="234"/>
  <c r="E43" i="234" s="1"/>
  <c r="E43" i="233"/>
  <c r="C16" i="227"/>
  <c r="S47" i="228" s="1"/>
  <c r="G23" i="229" l="1"/>
  <c r="S34" i="228" l="1"/>
  <c r="S19" i="228"/>
  <c r="S18" i="228" l="1"/>
  <c r="F29" i="184"/>
  <c r="G29" i="184" s="1"/>
  <c r="I29" i="184" s="1"/>
  <c r="D29" i="184"/>
  <c r="C29" i="184"/>
  <c r="H28" i="184"/>
  <c r="G28" i="184"/>
  <c r="I28" i="184" s="1"/>
  <c r="E28" i="184"/>
  <c r="H27" i="184"/>
  <c r="G27" i="184"/>
  <c r="I27" i="184" s="1"/>
  <c r="E27" i="184"/>
  <c r="H26" i="184"/>
  <c r="G26" i="184"/>
  <c r="I26" i="184" s="1"/>
  <c r="E26" i="184"/>
  <c r="F24" i="184"/>
  <c r="D24" i="184"/>
  <c r="H24" i="184" s="1"/>
  <c r="C24" i="184"/>
  <c r="H23" i="184"/>
  <c r="G23" i="184"/>
  <c r="I23" i="184" s="1"/>
  <c r="E23" i="184"/>
  <c r="H22" i="184"/>
  <c r="G22" i="184"/>
  <c r="I22" i="184" s="1"/>
  <c r="E22" i="184"/>
  <c r="H21" i="184"/>
  <c r="G21" i="184"/>
  <c r="I21" i="184" s="1"/>
  <c r="E21" i="184"/>
  <c r="F19" i="184"/>
  <c r="H19" i="184" s="1"/>
  <c r="D19" i="184"/>
  <c r="C19" i="184"/>
  <c r="H18" i="184"/>
  <c r="G18" i="184"/>
  <c r="I18" i="184" s="1"/>
  <c r="E18" i="184"/>
  <c r="I17" i="184"/>
  <c r="H17" i="184"/>
  <c r="E17" i="184"/>
  <c r="H16" i="184"/>
  <c r="G16" i="184"/>
  <c r="I16" i="184" s="1"/>
  <c r="E16" i="184"/>
  <c r="F14" i="184"/>
  <c r="D14" i="184"/>
  <c r="H14" i="184" s="1"/>
  <c r="C14" i="184"/>
  <c r="H13" i="184"/>
  <c r="G13" i="184"/>
  <c r="E13" i="184"/>
  <c r="H12" i="184"/>
  <c r="G12" i="184"/>
  <c r="I12" i="184" s="1"/>
  <c r="E12" i="184"/>
  <c r="I11" i="184"/>
  <c r="H11" i="184"/>
  <c r="E11" i="184"/>
  <c r="F9" i="184"/>
  <c r="G9" i="184" s="1"/>
  <c r="I9" i="184" s="1"/>
  <c r="D9" i="184"/>
  <c r="C9" i="184"/>
  <c r="H8" i="184"/>
  <c r="G8" i="184"/>
  <c r="E8" i="184"/>
  <c r="H7" i="184"/>
  <c r="G7" i="184"/>
  <c r="I7" i="184" s="1"/>
  <c r="E7" i="184"/>
  <c r="H6" i="184"/>
  <c r="G6" i="184"/>
  <c r="E6" i="184"/>
  <c r="G14" i="184" l="1"/>
  <c r="I14" i="184" s="1"/>
  <c r="E9" i="184"/>
  <c r="E29" i="184"/>
  <c r="C31" i="184"/>
  <c r="E19" i="184"/>
  <c r="E24" i="184"/>
  <c r="H9" i="184"/>
  <c r="E14" i="184"/>
  <c r="H29" i="184"/>
  <c r="D31" i="184"/>
  <c r="G24" i="184"/>
  <c r="I24" i="184" s="1"/>
  <c r="F31" i="184"/>
  <c r="G19" i="184"/>
  <c r="I19" i="184" s="1"/>
  <c r="E31" i="184" l="1"/>
  <c r="G31" i="184"/>
  <c r="I31" i="184" s="1"/>
  <c r="H31" i="184"/>
  <c r="BE21" i="235" l="1"/>
  <c r="BE13" i="235" l="1"/>
  <c r="BE9" i="235" l="1"/>
  <c r="S17" i="228" l="1"/>
  <c r="S16" i="228"/>
  <c r="G69" i="217"/>
  <c r="G68" i="217"/>
  <c r="H68" i="217" s="1"/>
  <c r="G63" i="217"/>
  <c r="H62" i="217" s="1"/>
  <c r="G62" i="217"/>
  <c r="G56" i="217"/>
  <c r="G55" i="217"/>
  <c r="H55" i="217" s="1"/>
  <c r="G42" i="217"/>
  <c r="G41" i="217"/>
  <c r="H41" i="217" l="1"/>
  <c r="S38" i="228"/>
  <c r="S36" i="228"/>
  <c r="S33" i="228" l="1"/>
  <c r="S32" i="228"/>
  <c r="S31" i="228"/>
  <c r="S37" i="228" l="1"/>
  <c r="S39" i="228" l="1"/>
  <c r="S15" i="228"/>
  <c r="S14" i="228"/>
  <c r="S13" i="228"/>
  <c r="S12" i="228"/>
  <c r="S11" i="228"/>
  <c r="S9" i="228"/>
  <c r="S10" i="228"/>
  <c r="S8" i="228"/>
  <c r="S7" i="228"/>
  <c r="S25" i="228" l="1"/>
  <c r="S24" i="228"/>
  <c r="AV60" i="270"/>
  <c r="AV55" i="270"/>
  <c r="AV50" i="270"/>
  <c r="AV45" i="270"/>
  <c r="AV40" i="270"/>
  <c r="AV38" i="270"/>
  <c r="AV39" i="270"/>
  <c r="AV42" i="270"/>
  <c r="AV43" i="270"/>
  <c r="AV44" i="270"/>
  <c r="AV47" i="270"/>
  <c r="AV48" i="270"/>
  <c r="AV49" i="270"/>
  <c r="AV52" i="270"/>
  <c r="AV53" i="270"/>
  <c r="AV54" i="270"/>
  <c r="AV57" i="270"/>
  <c r="AV58" i="270"/>
  <c r="AV59" i="270"/>
  <c r="AV37" i="270"/>
  <c r="AU62" i="270"/>
  <c r="AT62" i="270"/>
  <c r="AV62" i="270" l="1"/>
  <c r="S40" i="228"/>
  <c r="F12" i="231" l="1"/>
  <c r="F11" i="231"/>
  <c r="F10" i="231"/>
  <c r="F9" i="231"/>
  <c r="F8" i="231"/>
  <c r="F7" i="231"/>
  <c r="S56" i="228" l="1"/>
  <c r="S23" i="228" l="1"/>
  <c r="S22" i="228"/>
  <c r="D10" i="237" l="1"/>
  <c r="C10" i="237"/>
  <c r="B10" i="237"/>
  <c r="E9" i="237"/>
  <c r="E8" i="237"/>
  <c r="E7" i="237"/>
  <c r="E6" i="237"/>
  <c r="E5" i="237"/>
  <c r="E4" i="237"/>
  <c r="BD31" i="235"/>
  <c r="BC31" i="235"/>
  <c r="BD30" i="235"/>
  <c r="BC30" i="235"/>
  <c r="BD29" i="235"/>
  <c r="BC29" i="235"/>
  <c r="BE27" i="235"/>
  <c r="BE23" i="235"/>
  <c r="BE22" i="235"/>
  <c r="BE19" i="235"/>
  <c r="BE18" i="235"/>
  <c r="BE17" i="235"/>
  <c r="BE15" i="235"/>
  <c r="BE14" i="235"/>
  <c r="BE11" i="235"/>
  <c r="BE10" i="235"/>
  <c r="BE7" i="235"/>
  <c r="BE6" i="235"/>
  <c r="BE5" i="235"/>
  <c r="G41" i="234"/>
  <c r="G31" i="234"/>
  <c r="G30" i="234"/>
  <c r="G29" i="234"/>
  <c r="G28" i="234"/>
  <c r="G27" i="234"/>
  <c r="G24" i="234"/>
  <c r="G23" i="234"/>
  <c r="G22" i="234"/>
  <c r="G21" i="234"/>
  <c r="G20" i="234"/>
  <c r="G17" i="234"/>
  <c r="G16" i="234"/>
  <c r="G15" i="234"/>
  <c r="G14" i="234"/>
  <c r="G18" i="234"/>
  <c r="G13" i="234"/>
  <c r="G10" i="234"/>
  <c r="G9" i="234"/>
  <c r="G8" i="234"/>
  <c r="G7" i="234"/>
  <c r="G6" i="234"/>
  <c r="F41" i="233"/>
  <c r="F38" i="233"/>
  <c r="F37" i="233"/>
  <c r="F36" i="233"/>
  <c r="F35" i="233"/>
  <c r="F34" i="233"/>
  <c r="F31" i="233"/>
  <c r="F30" i="233"/>
  <c r="F29" i="233"/>
  <c r="F28" i="233"/>
  <c r="F27" i="233"/>
  <c r="F24" i="233"/>
  <c r="F23" i="233"/>
  <c r="F22" i="233"/>
  <c r="F21" i="233"/>
  <c r="F20" i="233"/>
  <c r="F18" i="233"/>
  <c r="F17" i="233"/>
  <c r="F16" i="233"/>
  <c r="F15" i="233"/>
  <c r="F14" i="233"/>
  <c r="F13" i="233"/>
  <c r="F10" i="233"/>
  <c r="F9" i="233"/>
  <c r="F8" i="233"/>
  <c r="F7" i="233"/>
  <c r="F6" i="233"/>
  <c r="I21" i="232"/>
  <c r="H21" i="232"/>
  <c r="E21" i="232"/>
  <c r="D21" i="232"/>
  <c r="C21" i="232"/>
  <c r="J19" i="232"/>
  <c r="F19" i="232"/>
  <c r="J17" i="232"/>
  <c r="F17" i="232"/>
  <c r="J15" i="232"/>
  <c r="F15" i="232"/>
  <c r="J13" i="232"/>
  <c r="F13" i="232"/>
  <c r="J11" i="232"/>
  <c r="F11" i="232"/>
  <c r="J9" i="232"/>
  <c r="F9" i="232"/>
  <c r="F13" i="231"/>
  <c r="D13" i="231"/>
  <c r="C13" i="231"/>
  <c r="B13" i="231"/>
  <c r="G12" i="231"/>
  <c r="E12" i="231"/>
  <c r="G11" i="231"/>
  <c r="E11" i="231"/>
  <c r="G10" i="231"/>
  <c r="E10" i="231"/>
  <c r="G9" i="231"/>
  <c r="E9" i="231"/>
  <c r="G8" i="231"/>
  <c r="E8" i="231"/>
  <c r="G7" i="231"/>
  <c r="O8" i="230"/>
  <c r="S54" i="228" s="1"/>
  <c r="P28" i="273"/>
  <c r="P23" i="273"/>
  <c r="P19" i="273"/>
  <c r="P14" i="273"/>
  <c r="P8" i="273"/>
  <c r="D10" i="220"/>
  <c r="D16" i="220"/>
  <c r="D21" i="220"/>
  <c r="D22" i="220"/>
  <c r="D26" i="220"/>
  <c r="D30" i="220"/>
  <c r="D35" i="220" s="1"/>
  <c r="D34" i="220"/>
  <c r="D41" i="220"/>
  <c r="D47" i="220"/>
  <c r="D53" i="220" s="1"/>
  <c r="D52" i="220"/>
  <c r="D71" i="220"/>
  <c r="D76" i="220"/>
  <c r="D81" i="220"/>
  <c r="D82" i="220" s="1"/>
  <c r="CE36" i="223"/>
  <c r="CD36" i="223"/>
  <c r="CC36" i="223"/>
  <c r="CE35" i="223"/>
  <c r="CD35" i="223"/>
  <c r="CC35" i="223"/>
  <c r="CE34" i="223"/>
  <c r="CD34" i="223"/>
  <c r="CC34" i="223"/>
  <c r="CE33" i="223"/>
  <c r="CD33" i="223"/>
  <c r="CC33" i="223"/>
  <c r="CE32" i="223"/>
  <c r="CD32" i="223"/>
  <c r="CC32" i="223"/>
  <c r="CE31" i="223"/>
  <c r="CD31" i="223"/>
  <c r="CC31" i="223"/>
  <c r="CE29" i="223"/>
  <c r="CD29" i="223"/>
  <c r="CC29" i="223"/>
  <c r="CF28" i="223"/>
  <c r="CG28" i="223" s="1"/>
  <c r="CF27" i="223"/>
  <c r="CG27" i="223" s="1"/>
  <c r="CF26" i="223"/>
  <c r="CG26" i="223" s="1"/>
  <c r="CE24" i="223"/>
  <c r="CD24" i="223"/>
  <c r="CC24" i="223"/>
  <c r="CF23" i="223"/>
  <c r="CG23" i="223" s="1"/>
  <c r="CF22" i="223"/>
  <c r="CG22" i="223" s="1"/>
  <c r="CF21" i="223"/>
  <c r="CE19" i="223"/>
  <c r="CD19" i="223"/>
  <c r="CC19" i="223"/>
  <c r="CF18" i="223"/>
  <c r="CG18" i="223" s="1"/>
  <c r="CF17" i="223"/>
  <c r="CG17" i="223" s="1"/>
  <c r="CF16" i="223"/>
  <c r="CG16" i="223" s="1"/>
  <c r="CE14" i="223"/>
  <c r="CD14" i="223"/>
  <c r="CC14" i="223"/>
  <c r="CF13" i="223"/>
  <c r="CG13" i="223" s="1"/>
  <c r="CF12" i="223"/>
  <c r="CG12" i="223" s="1"/>
  <c r="CF11" i="223"/>
  <c r="CG11" i="223" s="1"/>
  <c r="CE9" i="223"/>
  <c r="CD9" i="223"/>
  <c r="CC9" i="223"/>
  <c r="CF8" i="223"/>
  <c r="CG8" i="223" s="1"/>
  <c r="CF7" i="223"/>
  <c r="CG7" i="223" s="1"/>
  <c r="CF6" i="223"/>
  <c r="CG6" i="223" s="1"/>
  <c r="BE82" i="221"/>
  <c r="BD82" i="221"/>
  <c r="BE81" i="221"/>
  <c r="BD81" i="221"/>
  <c r="BE80" i="221"/>
  <c r="BD80" i="221"/>
  <c r="BE79" i="221"/>
  <c r="BD79" i="221"/>
  <c r="BE78" i="221"/>
  <c r="BD78" i="221"/>
  <c r="BE77" i="221"/>
  <c r="BD77" i="221"/>
  <c r="BE76" i="221"/>
  <c r="BD76" i="221"/>
  <c r="BE75" i="221"/>
  <c r="BD75" i="221"/>
  <c r="BE74" i="221"/>
  <c r="BD74" i="221"/>
  <c r="BE73" i="221"/>
  <c r="BD73" i="221"/>
  <c r="BE72" i="221"/>
  <c r="BD72" i="221"/>
  <c r="BE71" i="221"/>
  <c r="BD71" i="221"/>
  <c r="BE70" i="221"/>
  <c r="BD70" i="221"/>
  <c r="BE69" i="221"/>
  <c r="BD69" i="221"/>
  <c r="BE68" i="221"/>
  <c r="BD68" i="221"/>
  <c r="BE67" i="221"/>
  <c r="BD67" i="221"/>
  <c r="BE66" i="221"/>
  <c r="BD66" i="221"/>
  <c r="BE65" i="221"/>
  <c r="BD65" i="221"/>
  <c r="BE64" i="221"/>
  <c r="BD64" i="221"/>
  <c r="BE63" i="221"/>
  <c r="BD63" i="221"/>
  <c r="BE62" i="221"/>
  <c r="BD62" i="221"/>
  <c r="BE61" i="221"/>
  <c r="BD61" i="221"/>
  <c r="BE60" i="221"/>
  <c r="BD60" i="221"/>
  <c r="BE59" i="221"/>
  <c r="BD59" i="221"/>
  <c r="BE58" i="221"/>
  <c r="BD58" i="221"/>
  <c r="BE57" i="221"/>
  <c r="BD57" i="221"/>
  <c r="BE56" i="221"/>
  <c r="BD56" i="221"/>
  <c r="BE55" i="221"/>
  <c r="BD55" i="221"/>
  <c r="BE54" i="221"/>
  <c r="BD54" i="221"/>
  <c r="BE53" i="221"/>
  <c r="BD53" i="221"/>
  <c r="BE52" i="221"/>
  <c r="BD52" i="221"/>
  <c r="BE51" i="221"/>
  <c r="BD51" i="221"/>
  <c r="BE50" i="221"/>
  <c r="BD50" i="221"/>
  <c r="BE49" i="221"/>
  <c r="BD49" i="221"/>
  <c r="BE48" i="221"/>
  <c r="BD48" i="221"/>
  <c r="BE47" i="221"/>
  <c r="BD47" i="221"/>
  <c r="BE46" i="221"/>
  <c r="BD46" i="221"/>
  <c r="BE45" i="221"/>
  <c r="BD45" i="221"/>
  <c r="BE44" i="221"/>
  <c r="BD44" i="221"/>
  <c r="BE43" i="221"/>
  <c r="BD43" i="221"/>
  <c r="BE42" i="221"/>
  <c r="BD42" i="221"/>
  <c r="BE41" i="221"/>
  <c r="BD41" i="221"/>
  <c r="BE40" i="221"/>
  <c r="BD40" i="221"/>
  <c r="BE39" i="221"/>
  <c r="BD39" i="221"/>
  <c r="BE38" i="221"/>
  <c r="BD38" i="221"/>
  <c r="BE37" i="221"/>
  <c r="BD37" i="221"/>
  <c r="BE36" i="221"/>
  <c r="BD36" i="221"/>
  <c r="BE35" i="221"/>
  <c r="BD35" i="221"/>
  <c r="BE34" i="221"/>
  <c r="BD34" i="221"/>
  <c r="BE33" i="221"/>
  <c r="BD33" i="221"/>
  <c r="BE32" i="221"/>
  <c r="BD32" i="221"/>
  <c r="BE31" i="221"/>
  <c r="BD31" i="221"/>
  <c r="BE30" i="221"/>
  <c r="BD30" i="221"/>
  <c r="BE29" i="221"/>
  <c r="BD29" i="221"/>
  <c r="BE28" i="221"/>
  <c r="BD28" i="221"/>
  <c r="BE27" i="221"/>
  <c r="BD27" i="221"/>
  <c r="BE26" i="221"/>
  <c r="BD26" i="221"/>
  <c r="BE25" i="221"/>
  <c r="BD25" i="221"/>
  <c r="BE24" i="221"/>
  <c r="BD24" i="221"/>
  <c r="BE23" i="221"/>
  <c r="BD23" i="221"/>
  <c r="BE22" i="221"/>
  <c r="BD22" i="221"/>
  <c r="BE21" i="221"/>
  <c r="BD21" i="221"/>
  <c r="BE20" i="221"/>
  <c r="BD20" i="221"/>
  <c r="BE19" i="221"/>
  <c r="BD19" i="221"/>
  <c r="BE18" i="221"/>
  <c r="BD18" i="221"/>
  <c r="BE17" i="221"/>
  <c r="BD17" i="221"/>
  <c r="BE16" i="221"/>
  <c r="BD16" i="221"/>
  <c r="BE15" i="221"/>
  <c r="BD15" i="221"/>
  <c r="BE14" i="221"/>
  <c r="BD14" i="221"/>
  <c r="BE13" i="221"/>
  <c r="BD13" i="221"/>
  <c r="BE12" i="221"/>
  <c r="BD12" i="221"/>
  <c r="BE11" i="221"/>
  <c r="BD11" i="221"/>
  <c r="BE10" i="221"/>
  <c r="BD10" i="221"/>
  <c r="BE9" i="221"/>
  <c r="BD9" i="221"/>
  <c r="BE8" i="221"/>
  <c r="BD8" i="221"/>
  <c r="BE7" i="221"/>
  <c r="BD7" i="221"/>
  <c r="BE6" i="221"/>
  <c r="BD6" i="221"/>
  <c r="BE5" i="221"/>
  <c r="BD5" i="221"/>
  <c r="BE84" i="220"/>
  <c r="BD84" i="220"/>
  <c r="BF82" i="220"/>
  <c r="BF81" i="220"/>
  <c r="BF80" i="220"/>
  <c r="BF79" i="220"/>
  <c r="BF78" i="220"/>
  <c r="BF77" i="220"/>
  <c r="BF76" i="220"/>
  <c r="BF75" i="220"/>
  <c r="BF74" i="220"/>
  <c r="BF73" i="220"/>
  <c r="BF72" i="220"/>
  <c r="BF71" i="220"/>
  <c r="BF70" i="220"/>
  <c r="BF69" i="220"/>
  <c r="BF68" i="220"/>
  <c r="BF67" i="220"/>
  <c r="BF66" i="220"/>
  <c r="BF65" i="220"/>
  <c r="BF64" i="220"/>
  <c r="BF61" i="220"/>
  <c r="BF59" i="220"/>
  <c r="BF58" i="220"/>
  <c r="BF57" i="220"/>
  <c r="BF56" i="220"/>
  <c r="BF55" i="220"/>
  <c r="BF53" i="220"/>
  <c r="BF52" i="220"/>
  <c r="BF51" i="220"/>
  <c r="BF50" i="220"/>
  <c r="BF49" i="220"/>
  <c r="BF48" i="220"/>
  <c r="BF47" i="220"/>
  <c r="BF46" i="220"/>
  <c r="BF45" i="220"/>
  <c r="BF44" i="220"/>
  <c r="BF43" i="220"/>
  <c r="BF42" i="220"/>
  <c r="BF41" i="220"/>
  <c r="BF40" i="220"/>
  <c r="BF39" i="220"/>
  <c r="BF38" i="220"/>
  <c r="BF37" i="220"/>
  <c r="BF36" i="220"/>
  <c r="BF35" i="220"/>
  <c r="BF34" i="220"/>
  <c r="BF33" i="220"/>
  <c r="BF32" i="220"/>
  <c r="BF31" i="220"/>
  <c r="BF30" i="220"/>
  <c r="BF29" i="220"/>
  <c r="BF28" i="220"/>
  <c r="BF27" i="220"/>
  <c r="BF26" i="220"/>
  <c r="BF25" i="220"/>
  <c r="BF24" i="220"/>
  <c r="BF23" i="220"/>
  <c r="BF22" i="220"/>
  <c r="BF21" i="220"/>
  <c r="BF20" i="220"/>
  <c r="BF19" i="220"/>
  <c r="BF18" i="220"/>
  <c r="BF17" i="220"/>
  <c r="BF16" i="220"/>
  <c r="BF15" i="220"/>
  <c r="BF14" i="220"/>
  <c r="BF13" i="220"/>
  <c r="BF12" i="220"/>
  <c r="BF11" i="220"/>
  <c r="BF10" i="220"/>
  <c r="BF9" i="220"/>
  <c r="BF8" i="220"/>
  <c r="BF7" i="220"/>
  <c r="BF6" i="220"/>
  <c r="BF5" i="220"/>
  <c r="BD84" i="261"/>
  <c r="BC84" i="261"/>
  <c r="BE82" i="261"/>
  <c r="BE81" i="261"/>
  <c r="BE80" i="261"/>
  <c r="BE79" i="261"/>
  <c r="BE78" i="261"/>
  <c r="BE77" i="261"/>
  <c r="BE76" i="261"/>
  <c r="BE75" i="261"/>
  <c r="BE74" i="261"/>
  <c r="BE73" i="261"/>
  <c r="BE72" i="261"/>
  <c r="BE71" i="261"/>
  <c r="BE70" i="261"/>
  <c r="BE69" i="261"/>
  <c r="BE68" i="261"/>
  <c r="BE67" i="261"/>
  <c r="BE66" i="261"/>
  <c r="BE65" i="261"/>
  <c r="BE61" i="261"/>
  <c r="BE60" i="261"/>
  <c r="BE59" i="261"/>
  <c r="BE58" i="261"/>
  <c r="BE57" i="261"/>
  <c r="BE56" i="261"/>
  <c r="BE55" i="261"/>
  <c r="BE54" i="261"/>
  <c r="BE53" i="261"/>
  <c r="BE52" i="261"/>
  <c r="BE51" i="261"/>
  <c r="BE50" i="261"/>
  <c r="BE49" i="261"/>
  <c r="BE48" i="261"/>
  <c r="BE47" i="261"/>
  <c r="BE46" i="261"/>
  <c r="BE45" i="261"/>
  <c r="BE44" i="261"/>
  <c r="BE43" i="261"/>
  <c r="BE42" i="261"/>
  <c r="BE41" i="261"/>
  <c r="BE40" i="261"/>
  <c r="BE39" i="261"/>
  <c r="BE38" i="261"/>
  <c r="BE37" i="261"/>
  <c r="BE36" i="261"/>
  <c r="BE35" i="261"/>
  <c r="BE34" i="261"/>
  <c r="BE33" i="261"/>
  <c r="BE32" i="261"/>
  <c r="BE31" i="261"/>
  <c r="BE30" i="261"/>
  <c r="BE29" i="261"/>
  <c r="BE28" i="261"/>
  <c r="BE27" i="261"/>
  <c r="BE26" i="261"/>
  <c r="BE25" i="261"/>
  <c r="BE24" i="261"/>
  <c r="BE23" i="261"/>
  <c r="BE22" i="261"/>
  <c r="BE21" i="261"/>
  <c r="BE20" i="261"/>
  <c r="BE19" i="261"/>
  <c r="BE18" i="261"/>
  <c r="BE17" i="261"/>
  <c r="BE16" i="261"/>
  <c r="BE15" i="261"/>
  <c r="BE14" i="261"/>
  <c r="BE13" i="261"/>
  <c r="BE12" i="261"/>
  <c r="BE11" i="261"/>
  <c r="BE10" i="261"/>
  <c r="BE9" i="261"/>
  <c r="BE8" i="261"/>
  <c r="BE7" i="261"/>
  <c r="BE6" i="261"/>
  <c r="BE5" i="261"/>
  <c r="E43" i="272"/>
  <c r="E41" i="272"/>
  <c r="E39" i="272"/>
  <c r="E36" i="272"/>
  <c r="E32" i="272"/>
  <c r="E28" i="272"/>
  <c r="E27" i="272"/>
  <c r="E25" i="272"/>
  <c r="E20" i="272"/>
  <c r="E18" i="272"/>
  <c r="E14" i="272"/>
  <c r="E11" i="272"/>
  <c r="E7" i="272"/>
  <c r="E6" i="272"/>
  <c r="BF6" i="221" l="1"/>
  <c r="BF10" i="221"/>
  <c r="BF26" i="221"/>
  <c r="BF46" i="221"/>
  <c r="BF50" i="221"/>
  <c r="BF66" i="221"/>
  <c r="BF70" i="221"/>
  <c r="BF82" i="221"/>
  <c r="BF16" i="221"/>
  <c r="BF20" i="221"/>
  <c r="BF24" i="221"/>
  <c r="BF28" i="221"/>
  <c r="L19" i="232"/>
  <c r="L13" i="232"/>
  <c r="J21" i="232"/>
  <c r="BF84" i="220"/>
  <c r="E10" i="237"/>
  <c r="S63" i="228" s="1"/>
  <c r="BE29" i="235"/>
  <c r="S59" i="228" s="1"/>
  <c r="BE30" i="235"/>
  <c r="S60" i="228" s="1"/>
  <c r="BE31" i="235"/>
  <c r="S61" i="228" s="1"/>
  <c r="G39" i="234"/>
  <c r="G32" i="234"/>
  <c r="G25" i="234"/>
  <c r="F39" i="233"/>
  <c r="F32" i="233"/>
  <c r="F25" i="233"/>
  <c r="F11" i="233"/>
  <c r="L9" i="232"/>
  <c r="L17" i="232"/>
  <c r="L15" i="232"/>
  <c r="F21" i="232"/>
  <c r="L11" i="232"/>
  <c r="G13" i="231"/>
  <c r="E13" i="231"/>
  <c r="P32" i="273"/>
  <c r="S46" i="228" s="1"/>
  <c r="BF11" i="221"/>
  <c r="BF35" i="221"/>
  <c r="BF43" i="221"/>
  <c r="BF55" i="221"/>
  <c r="BF71" i="221"/>
  <c r="BF32" i="221"/>
  <c r="BF36" i="221"/>
  <c r="BF40" i="221"/>
  <c r="BF44" i="221"/>
  <c r="BF52" i="221"/>
  <c r="BF64" i="221"/>
  <c r="BF76" i="221"/>
  <c r="BF80" i="221"/>
  <c r="BF5" i="221"/>
  <c r="BF13" i="221"/>
  <c r="BF21" i="221"/>
  <c r="BF25" i="221"/>
  <c r="BF37" i="221"/>
  <c r="BF57" i="221"/>
  <c r="BF65" i="221"/>
  <c r="BF69" i="221"/>
  <c r="BF73" i="221"/>
  <c r="BF81" i="221"/>
  <c r="BF15" i="221"/>
  <c r="BF23" i="221"/>
  <c r="D84" i="220"/>
  <c r="BF75" i="221"/>
  <c r="BF72" i="221"/>
  <c r="BF12" i="221"/>
  <c r="BF17" i="221"/>
  <c r="BF47" i="221"/>
  <c r="BF51" i="221"/>
  <c r="BF58" i="221"/>
  <c r="BF77" i="221"/>
  <c r="BF61" i="221"/>
  <c r="BF39" i="221"/>
  <c r="BF14" i="221"/>
  <c r="BF18" i="221"/>
  <c r="BF29" i="221"/>
  <c r="BF33" i="221"/>
  <c r="BF48" i="221"/>
  <c r="BF59" i="221"/>
  <c r="BF74" i="221"/>
  <c r="BF78" i="221"/>
  <c r="BF9" i="221"/>
  <c r="BE84" i="221"/>
  <c r="BD84" i="221"/>
  <c r="BF7" i="221"/>
  <c r="BF19" i="221"/>
  <c r="BF30" i="221"/>
  <c r="BF34" i="221"/>
  <c r="BF41" i="221"/>
  <c r="BF45" i="221"/>
  <c r="BF49" i="221"/>
  <c r="BF56" i="221"/>
  <c r="BF67" i="221"/>
  <c r="BF79" i="221"/>
  <c r="BF31" i="221"/>
  <c r="BF8" i="221"/>
  <c r="BF27" i="221"/>
  <c r="BF38" i="221"/>
  <c r="BF42" i="221"/>
  <c r="BF53" i="221"/>
  <c r="BF68" i="221"/>
  <c r="CF19" i="223"/>
  <c r="CG19" i="223" s="1"/>
  <c r="CF35" i="223"/>
  <c r="CG35" i="223" s="1"/>
  <c r="CF32" i="223"/>
  <c r="CG32" i="223" s="1"/>
  <c r="CE37" i="223"/>
  <c r="CF9" i="223"/>
  <c r="CD37" i="223"/>
  <c r="CC37" i="223"/>
  <c r="CF34" i="223"/>
  <c r="CG34" i="223" s="1"/>
  <c r="CF24" i="223"/>
  <c r="CG24" i="223" s="1"/>
  <c r="CG9" i="223"/>
  <c r="CF36" i="223"/>
  <c r="CG36" i="223" s="1"/>
  <c r="CF33" i="223"/>
  <c r="CG33" i="223" s="1"/>
  <c r="CF31" i="223"/>
  <c r="CG31" i="223" s="1"/>
  <c r="CF14" i="223"/>
  <c r="CG14" i="223" s="1"/>
  <c r="CF29" i="223"/>
  <c r="CG29" i="223" s="1"/>
  <c r="BF22" i="221"/>
  <c r="BE84" i="261"/>
  <c r="H4" i="217"/>
  <c r="CW82" i="216"/>
  <c r="CW81" i="216"/>
  <c r="CW79" i="216"/>
  <c r="CW77" i="216"/>
  <c r="CW76" i="216"/>
  <c r="CW75" i="216"/>
  <c r="CW74" i="216"/>
  <c r="CW73" i="216"/>
  <c r="CW72" i="216"/>
  <c r="CW71" i="216"/>
  <c r="CW70" i="216"/>
  <c r="CW69" i="216"/>
  <c r="CW68" i="216"/>
  <c r="CW67" i="216"/>
  <c r="CW66" i="216"/>
  <c r="CW65" i="216"/>
  <c r="CW64" i="216"/>
  <c r="CW63" i="216"/>
  <c r="CW62" i="216"/>
  <c r="CW61" i="216"/>
  <c r="CW60" i="216"/>
  <c r="CW59" i="216"/>
  <c r="CW58" i="216"/>
  <c r="CW57" i="216"/>
  <c r="CW56" i="216"/>
  <c r="CW55" i="216"/>
  <c r="CW54" i="216"/>
  <c r="CW53" i="216"/>
  <c r="CW52" i="216"/>
  <c r="CW51" i="216"/>
  <c r="CW49" i="216"/>
  <c r="CW47" i="216"/>
  <c r="CW46" i="216"/>
  <c r="CW45" i="216"/>
  <c r="CW44" i="216"/>
  <c r="CW43" i="216"/>
  <c r="CW42" i="216"/>
  <c r="CW41" i="216"/>
  <c r="CW40" i="216"/>
  <c r="CW39" i="216"/>
  <c r="CW38" i="216"/>
  <c r="CW37" i="216"/>
  <c r="CW35" i="216"/>
  <c r="CW34" i="216"/>
  <c r="CW33" i="216"/>
  <c r="CW32" i="216"/>
  <c r="CW31" i="216"/>
  <c r="CW30" i="216"/>
  <c r="CW29" i="216"/>
  <c r="CW28" i="216"/>
  <c r="CW27" i="216"/>
  <c r="CW26" i="216"/>
  <c r="CW25" i="216"/>
  <c r="CW24" i="216"/>
  <c r="CW23" i="216"/>
  <c r="CV84" i="216"/>
  <c r="CU84" i="216"/>
  <c r="CT84" i="216"/>
  <c r="CS84" i="216"/>
  <c r="CW22" i="216"/>
  <c r="CW21" i="216"/>
  <c r="CW20" i="216"/>
  <c r="CW19" i="216"/>
  <c r="CW18" i="216"/>
  <c r="CW17" i="216"/>
  <c r="CW16" i="216"/>
  <c r="CW15" i="216"/>
  <c r="CW14" i="216"/>
  <c r="CW13" i="216"/>
  <c r="CW12" i="216"/>
  <c r="CW11" i="216"/>
  <c r="CW10" i="216"/>
  <c r="CW9" i="216"/>
  <c r="CW8" i="216"/>
  <c r="CW7" i="216"/>
  <c r="CW6" i="216"/>
  <c r="CW5" i="216"/>
  <c r="AC84" i="215"/>
  <c r="AB84" i="215"/>
  <c r="AD84" i="215" s="1"/>
  <c r="AD82" i="215"/>
  <c r="AD81" i="215"/>
  <c r="AD80" i="215"/>
  <c r="AD79" i="215"/>
  <c r="AD78" i="215"/>
  <c r="AD77" i="215"/>
  <c r="AD76" i="215"/>
  <c r="AD75" i="215"/>
  <c r="AD74" i="215"/>
  <c r="AD73" i="215"/>
  <c r="AD72" i="215"/>
  <c r="AD71" i="215"/>
  <c r="AD70" i="215"/>
  <c r="AD69" i="215"/>
  <c r="AD68" i="215"/>
  <c r="AD67" i="215"/>
  <c r="AD66" i="215"/>
  <c r="AD63" i="215"/>
  <c r="AD62" i="215"/>
  <c r="AD60" i="215"/>
  <c r="AD59" i="215"/>
  <c r="AD58" i="215"/>
  <c r="AD57" i="215"/>
  <c r="AD56" i="215"/>
  <c r="AD55" i="215"/>
  <c r="AD54" i="215"/>
  <c r="AD53" i="215"/>
  <c r="AD52" i="215"/>
  <c r="AD51" i="215"/>
  <c r="AD50" i="215"/>
  <c r="AD49" i="215"/>
  <c r="AD48" i="215"/>
  <c r="AD47" i="215"/>
  <c r="AD46" i="215"/>
  <c r="AD45" i="215"/>
  <c r="AD44" i="215"/>
  <c r="AD43" i="215"/>
  <c r="AD42" i="215"/>
  <c r="AD41" i="215"/>
  <c r="AD40" i="215"/>
  <c r="AD39" i="215"/>
  <c r="AD38" i="215"/>
  <c r="AD37" i="215"/>
  <c r="AD36" i="215"/>
  <c r="AD35" i="215"/>
  <c r="AD34" i="215"/>
  <c r="AD33" i="215"/>
  <c r="AD32" i="215"/>
  <c r="AD31" i="215"/>
  <c r="AD30" i="215"/>
  <c r="AD29" i="215"/>
  <c r="AD28" i="215"/>
  <c r="AD27" i="215"/>
  <c r="AD26" i="215"/>
  <c r="AD25" i="215"/>
  <c r="AD24" i="215"/>
  <c r="AD23" i="215"/>
  <c r="AD22" i="215"/>
  <c r="AD21" i="215"/>
  <c r="AD20" i="215"/>
  <c r="AD19" i="215"/>
  <c r="AD18" i="215"/>
  <c r="AD17" i="215"/>
  <c r="AD16" i="215"/>
  <c r="AD15" i="215"/>
  <c r="AD14" i="215"/>
  <c r="AD13" i="215"/>
  <c r="AD12" i="215"/>
  <c r="AD11" i="215"/>
  <c r="AD10" i="215"/>
  <c r="AD9" i="215"/>
  <c r="AD8" i="215"/>
  <c r="AD7" i="215"/>
  <c r="AD6" i="215"/>
  <c r="AD5" i="215"/>
  <c r="BE84" i="214"/>
  <c r="BD84" i="214"/>
  <c r="BF84" i="214" s="1"/>
  <c r="BF82" i="214"/>
  <c r="BF81" i="214"/>
  <c r="BF80" i="214"/>
  <c r="BF79" i="214"/>
  <c r="BF78" i="214"/>
  <c r="BF77" i="214"/>
  <c r="BF76" i="214"/>
  <c r="BF75" i="214"/>
  <c r="BF74" i="214"/>
  <c r="BF73" i="214"/>
  <c r="BF72" i="214"/>
  <c r="BF71" i="214"/>
  <c r="BF70" i="214"/>
  <c r="BF69" i="214"/>
  <c r="BF68" i="214"/>
  <c r="BF67" i="214"/>
  <c r="BF66" i="214"/>
  <c r="BF65" i="214"/>
  <c r="BF64" i="214"/>
  <c r="BF63" i="214"/>
  <c r="BF62" i="214"/>
  <c r="BF61" i="214"/>
  <c r="BF60" i="214"/>
  <c r="BF59" i="214"/>
  <c r="BF58" i="214"/>
  <c r="BF57" i="214"/>
  <c r="BF56" i="214"/>
  <c r="BF55" i="214"/>
  <c r="BF54" i="214"/>
  <c r="BF53" i="214"/>
  <c r="BF52" i="214"/>
  <c r="BF51" i="214"/>
  <c r="BF50" i="214"/>
  <c r="BF49" i="214"/>
  <c r="BF48" i="214"/>
  <c r="BF47" i="214"/>
  <c r="BF46" i="214"/>
  <c r="BF45" i="214"/>
  <c r="BF44" i="214"/>
  <c r="BF43" i="214"/>
  <c r="BF42" i="214"/>
  <c r="BF41" i="214"/>
  <c r="BF40" i="214"/>
  <c r="BF39" i="214"/>
  <c r="BF38" i="214"/>
  <c r="BF37" i="214"/>
  <c r="BF36" i="214"/>
  <c r="BF35" i="214"/>
  <c r="BF34" i="214"/>
  <c r="BF33" i="214"/>
  <c r="BF32" i="214"/>
  <c r="BF31" i="214"/>
  <c r="BF30" i="214"/>
  <c r="BF29" i="214"/>
  <c r="BF28" i="214"/>
  <c r="BF27" i="214"/>
  <c r="BF26" i="214"/>
  <c r="BF25" i="214"/>
  <c r="BF24" i="214"/>
  <c r="BF23" i="214"/>
  <c r="BF22" i="214"/>
  <c r="BF21" i="214"/>
  <c r="BF20" i="214"/>
  <c r="BF19" i="214"/>
  <c r="BF18" i="214"/>
  <c r="BF17" i="214"/>
  <c r="BF16" i="214"/>
  <c r="BF15" i="214"/>
  <c r="BF14" i="214"/>
  <c r="BF13" i="214"/>
  <c r="BF12" i="214"/>
  <c r="BF11" i="214"/>
  <c r="BF10" i="214"/>
  <c r="BF9" i="214"/>
  <c r="BF8" i="214"/>
  <c r="BF7" i="214"/>
  <c r="BF6" i="214"/>
  <c r="BF5" i="214"/>
  <c r="L21" i="232" l="1"/>
  <c r="G43" i="234"/>
  <c r="G11" i="234"/>
  <c r="F43" i="233"/>
  <c r="BF84" i="221"/>
  <c r="CF37" i="223"/>
  <c r="CG37" i="223" s="1"/>
  <c r="CR84" i="216"/>
  <c r="CW84" i="216" s="1"/>
  <c r="F46" i="271"/>
  <c r="E46" i="271"/>
  <c r="D46" i="271"/>
  <c r="F45" i="271"/>
  <c r="E45" i="271"/>
  <c r="D45" i="271"/>
  <c r="F44" i="271"/>
  <c r="E44" i="271"/>
  <c r="D44" i="271"/>
  <c r="F40" i="271"/>
  <c r="E40" i="271"/>
  <c r="D40" i="271"/>
  <c r="F30" i="271"/>
  <c r="E30" i="271"/>
  <c r="F23" i="271"/>
  <c r="E23" i="271"/>
  <c r="D23" i="271"/>
  <c r="F16" i="271"/>
  <c r="E16" i="271"/>
  <c r="D16" i="271"/>
  <c r="F8" i="271"/>
  <c r="E8" i="271"/>
  <c r="D8" i="271"/>
  <c r="AQ8" i="270"/>
  <c r="AQ9" i="270"/>
  <c r="AQ12" i="270"/>
  <c r="AQ15" i="270" s="1"/>
  <c r="AQ13" i="270"/>
  <c r="AQ14" i="270"/>
  <c r="AQ17" i="270"/>
  <c r="AQ18" i="270"/>
  <c r="AQ20" i="270" s="1"/>
  <c r="AQ19" i="270"/>
  <c r="AQ22" i="270"/>
  <c r="AQ23" i="270"/>
  <c r="AQ24" i="270"/>
  <c r="AQ27" i="270"/>
  <c r="AQ30" i="270" s="1"/>
  <c r="AQ28" i="270"/>
  <c r="AQ29" i="270"/>
  <c r="AQ7" i="270"/>
  <c r="AQ10" i="270" s="1"/>
  <c r="BC30" i="269"/>
  <c r="BB30" i="269"/>
  <c r="BA30" i="269"/>
  <c r="AZ30" i="269"/>
  <c r="BD29" i="269"/>
  <c r="BF29" i="269" s="1"/>
  <c r="BD28" i="269"/>
  <c r="BE28" i="269" s="1"/>
  <c r="BD27" i="269"/>
  <c r="BF27" i="269" s="1"/>
  <c r="BC25" i="269"/>
  <c r="BB25" i="269"/>
  <c r="BD24" i="269"/>
  <c r="BE24" i="269" s="1"/>
  <c r="BD23" i="269"/>
  <c r="BE23" i="269" s="1"/>
  <c r="BD22" i="269"/>
  <c r="BF22" i="269" s="1"/>
  <c r="BC20" i="269"/>
  <c r="BB20" i="269"/>
  <c r="BA20" i="269"/>
  <c r="AZ20" i="269"/>
  <c r="BD20" i="269" s="1"/>
  <c r="BF20" i="269" s="1"/>
  <c r="BD19" i="269"/>
  <c r="BE19" i="269" s="1"/>
  <c r="BD18" i="269"/>
  <c r="BE18" i="269" s="1"/>
  <c r="BD17" i="269"/>
  <c r="BF17" i="269" s="1"/>
  <c r="BC15" i="269"/>
  <c r="BB15" i="269"/>
  <c r="AZ15" i="269"/>
  <c r="BD14" i="269"/>
  <c r="BF14" i="269" s="1"/>
  <c r="BD13" i="269"/>
  <c r="BF13" i="269" s="1"/>
  <c r="BD12" i="269"/>
  <c r="BE12" i="269" s="1"/>
  <c r="BC10" i="269"/>
  <c r="BB10" i="269"/>
  <c r="BA10" i="269"/>
  <c r="BA32" i="269" s="1"/>
  <c r="AZ10" i="269"/>
  <c r="BD9" i="269"/>
  <c r="BE9" i="269" s="1"/>
  <c r="BD8" i="269"/>
  <c r="BF8" i="269" s="1"/>
  <c r="BD7" i="269"/>
  <c r="BE7" i="269" s="1"/>
  <c r="AQ25" i="270" l="1"/>
  <c r="AQ32" i="270"/>
  <c r="BE27" i="269"/>
  <c r="BF24" i="269"/>
  <c r="BF19" i="269"/>
  <c r="BB32" i="269"/>
  <c r="BF7" i="269"/>
  <c r="F47" i="271"/>
  <c r="E50" i="271"/>
  <c r="E52" i="271" s="1"/>
  <c r="S26" i="228" s="1"/>
  <c r="E47" i="271"/>
  <c r="D47" i="271"/>
  <c r="BD30" i="269"/>
  <c r="BF30" i="269" s="1"/>
  <c r="BF28" i="269"/>
  <c r="BE29" i="269"/>
  <c r="BD25" i="269"/>
  <c r="BF25" i="269" s="1"/>
  <c r="BE22" i="269"/>
  <c r="BE17" i="269"/>
  <c r="BF12" i="269"/>
  <c r="BE13" i="269"/>
  <c r="BC32" i="269"/>
  <c r="AZ32" i="269"/>
  <c r="BE8" i="269"/>
  <c r="BF9" i="269"/>
  <c r="BE20" i="269"/>
  <c r="BD15" i="269"/>
  <c r="BF15" i="269" s="1"/>
  <c r="BF18" i="269"/>
  <c r="BF23" i="269"/>
  <c r="BD10" i="269"/>
  <c r="BE10" i="269"/>
  <c r="BE14" i="269"/>
  <c r="CC150" i="268"/>
  <c r="CC152" i="268" s="1"/>
  <c r="S21" i="228" s="1"/>
  <c r="CD103" i="267"/>
  <c r="CD105" i="267" s="1"/>
  <c r="S20" i="228" s="1"/>
  <c r="BE30" i="269" l="1"/>
  <c r="BE25" i="269"/>
  <c r="BD32" i="269"/>
  <c r="BE15" i="269"/>
  <c r="BF10" i="269"/>
  <c r="L11" i="272"/>
  <c r="L18" i="272"/>
  <c r="L25" i="272"/>
  <c r="L32" i="272"/>
  <c r="L39" i="272"/>
  <c r="L43" i="272" l="1"/>
  <c r="BE32" i="269"/>
  <c r="BF32" i="269"/>
  <c r="G50" i="250"/>
  <c r="G330" i="251"/>
  <c r="G231" i="252"/>
  <c r="F113" i="274" l="1"/>
  <c r="E113" i="274"/>
  <c r="F108" i="274"/>
  <c r="F109" i="274"/>
  <c r="F110" i="274"/>
  <c r="F111" i="274"/>
  <c r="F107" i="274"/>
  <c r="F90" i="274"/>
  <c r="F91" i="274"/>
  <c r="F92" i="274"/>
  <c r="F93" i="274"/>
  <c r="F94" i="274"/>
  <c r="F95" i="274"/>
  <c r="F96" i="274"/>
  <c r="F97" i="274"/>
  <c r="F98" i="274"/>
  <c r="F99" i="274"/>
  <c r="F100" i="274"/>
  <c r="F101" i="274"/>
  <c r="F102" i="274"/>
  <c r="F103" i="274"/>
  <c r="F89" i="274"/>
  <c r="F7" i="274"/>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F48" i="274"/>
  <c r="F49" i="274"/>
  <c r="F50" i="274"/>
  <c r="F51" i="274"/>
  <c r="F52" i="274"/>
  <c r="F53" i="274"/>
  <c r="F54" i="274"/>
  <c r="F55" i="274"/>
  <c r="F56" i="274"/>
  <c r="F57" i="274"/>
  <c r="F58" i="274"/>
  <c r="F59" i="274"/>
  <c r="F60" i="274"/>
  <c r="F61" i="274"/>
  <c r="F62" i="274"/>
  <c r="F63" i="274"/>
  <c r="F64" i="274"/>
  <c r="F65" i="274"/>
  <c r="F66" i="274"/>
  <c r="F67" i="274"/>
  <c r="F68" i="274"/>
  <c r="F69" i="274"/>
  <c r="F70" i="274"/>
  <c r="F71" i="274"/>
  <c r="F72" i="274"/>
  <c r="F73" i="274"/>
  <c r="F74" i="274"/>
  <c r="F75" i="274"/>
  <c r="F76" i="274"/>
  <c r="F77" i="274"/>
  <c r="F78" i="274"/>
  <c r="F79" i="274"/>
  <c r="F80" i="274"/>
  <c r="F81" i="274"/>
  <c r="F82" i="274"/>
  <c r="F83" i="274"/>
  <c r="F84" i="274"/>
  <c r="F85" i="274"/>
  <c r="F6" i="274"/>
  <c r="Q115" i="262" l="1"/>
  <c r="E115" i="262"/>
  <c r="F115" i="262"/>
  <c r="G115" i="262"/>
  <c r="H115" i="262"/>
  <c r="I115" i="262"/>
  <c r="J115" i="262"/>
  <c r="K115" i="262"/>
  <c r="L115" i="262"/>
  <c r="M115" i="262"/>
  <c r="N115" i="262"/>
  <c r="O115" i="262"/>
  <c r="P115" i="262"/>
  <c r="D115" i="262"/>
  <c r="Q111" i="262"/>
  <c r="Q112" i="262"/>
  <c r="Q113" i="262"/>
  <c r="Q114" i="262"/>
  <c r="Q110" i="262"/>
  <c r="Q93" i="262"/>
  <c r="Q94" i="262"/>
  <c r="Q95" i="262"/>
  <c r="Q96" i="262"/>
  <c r="Q97" i="262"/>
  <c r="Q98" i="262"/>
  <c r="Q99" i="262"/>
  <c r="Q100" i="262"/>
  <c r="Q101" i="262"/>
  <c r="Q102" i="262"/>
  <c r="Q103" i="262"/>
  <c r="Q104" i="262"/>
  <c r="Q105" i="262"/>
  <c r="Q106" i="262"/>
  <c r="Q92" i="262"/>
  <c r="Q8" i="262"/>
  <c r="Q9" i="262"/>
  <c r="Q10" i="262"/>
  <c r="Q11" i="262"/>
  <c r="Q12" i="262"/>
  <c r="Q13" i="262"/>
  <c r="Q14" i="262"/>
  <c r="Q15" i="262"/>
  <c r="Q16" i="262"/>
  <c r="Q17" i="262"/>
  <c r="Q18" i="262"/>
  <c r="Q19" i="262"/>
  <c r="Q20" i="262"/>
  <c r="Q21" i="262"/>
  <c r="Q22" i="262"/>
  <c r="Q23" i="262"/>
  <c r="Q24" i="262"/>
  <c r="Q25" i="262"/>
  <c r="Q26" i="262"/>
  <c r="Q27" i="262"/>
  <c r="Q28" i="262"/>
  <c r="Q29" i="262"/>
  <c r="Q30" i="262"/>
  <c r="Q31" i="262"/>
  <c r="Q32" i="262"/>
  <c r="Q33" i="262"/>
  <c r="Q34" i="262"/>
  <c r="Q35" i="262"/>
  <c r="Q36" i="262"/>
  <c r="Q37" i="262"/>
  <c r="Q38" i="262"/>
  <c r="Q39" i="262"/>
  <c r="Q40" i="262"/>
  <c r="Q41" i="262"/>
  <c r="Q42" i="262"/>
  <c r="Q43" i="262"/>
  <c r="Q44" i="262"/>
  <c r="Q45" i="262"/>
  <c r="Q46" i="262"/>
  <c r="Q47" i="262"/>
  <c r="Q48" i="262"/>
  <c r="Q49" i="262"/>
  <c r="Q50" i="262"/>
  <c r="Q51" i="262"/>
  <c r="Q52" i="262"/>
  <c r="Q53" i="262"/>
  <c r="Q54" i="262"/>
  <c r="Q55" i="262"/>
  <c r="Q56" i="262"/>
  <c r="Q57" i="262"/>
  <c r="Q58" i="262"/>
  <c r="Q59" i="262"/>
  <c r="Q60" i="262"/>
  <c r="Q61" i="262"/>
  <c r="Q62" i="262"/>
  <c r="Q63" i="262"/>
  <c r="Q64" i="262"/>
  <c r="Q65" i="262"/>
  <c r="Q66" i="262"/>
  <c r="Q67" i="262"/>
  <c r="Q68" i="262"/>
  <c r="Q69" i="262"/>
  <c r="Q70" i="262"/>
  <c r="Q71" i="262"/>
  <c r="Q72" i="262"/>
  <c r="Q73" i="262"/>
  <c r="Q74" i="262"/>
  <c r="Q75" i="262"/>
  <c r="Q76" i="262"/>
  <c r="Q77" i="262"/>
  <c r="Q78" i="262"/>
  <c r="Q79" i="262"/>
  <c r="Q80" i="262"/>
  <c r="Q81" i="262"/>
  <c r="Q82" i="262"/>
  <c r="Q83" i="262"/>
  <c r="Q84" i="262"/>
  <c r="Q85" i="262"/>
  <c r="Q86" i="262"/>
  <c r="Q87" i="262"/>
  <c r="Q88" i="262"/>
  <c r="Q7" i="262"/>
  <c r="AI7" i="262"/>
  <c r="R65" i="228" l="1"/>
  <c r="R64" i="228"/>
  <c r="F48" i="238"/>
  <c r="C83" i="238"/>
  <c r="B83" i="238"/>
  <c r="C58" i="238"/>
  <c r="B58" i="238"/>
  <c r="G43" i="238"/>
  <c r="C92" i="238"/>
  <c r="K41" i="234" l="1"/>
  <c r="M41" i="234" s="1"/>
  <c r="L39" i="234"/>
  <c r="J39" i="234"/>
  <c r="I39" i="234"/>
  <c r="K38" i="234"/>
  <c r="M38" i="234" s="1"/>
  <c r="M37" i="234"/>
  <c r="K37" i="234"/>
  <c r="M36" i="234"/>
  <c r="K36" i="234"/>
  <c r="M35" i="234"/>
  <c r="K35" i="234"/>
  <c r="K34" i="234"/>
  <c r="L32" i="234"/>
  <c r="J32" i="234"/>
  <c r="I32" i="234"/>
  <c r="K31" i="234"/>
  <c r="M31" i="234" s="1"/>
  <c r="K30" i="234"/>
  <c r="M30" i="234" s="1"/>
  <c r="K29" i="234"/>
  <c r="M29" i="234" s="1"/>
  <c r="K28" i="234"/>
  <c r="M28" i="234" s="1"/>
  <c r="K27" i="234"/>
  <c r="L25" i="234"/>
  <c r="J25" i="234"/>
  <c r="I25" i="234"/>
  <c r="K24" i="234"/>
  <c r="M24" i="234" s="1"/>
  <c r="K23" i="234"/>
  <c r="M23" i="234" s="1"/>
  <c r="K22" i="234"/>
  <c r="M22" i="234" s="1"/>
  <c r="K21" i="234"/>
  <c r="M21" i="234" s="1"/>
  <c r="K20" i="234"/>
  <c r="M20" i="234" s="1"/>
  <c r="L18" i="234"/>
  <c r="J18" i="234"/>
  <c r="I18" i="234"/>
  <c r="K17" i="234"/>
  <c r="M17" i="234" s="1"/>
  <c r="K16" i="234"/>
  <c r="M16" i="234" s="1"/>
  <c r="K15" i="234"/>
  <c r="M15" i="234" s="1"/>
  <c r="K14" i="234"/>
  <c r="M14" i="234" s="1"/>
  <c r="K13" i="234"/>
  <c r="M13" i="234" s="1"/>
  <c r="L11" i="234"/>
  <c r="J11" i="234"/>
  <c r="I11" i="234"/>
  <c r="K10" i="234"/>
  <c r="M10" i="234" s="1"/>
  <c r="K9" i="234"/>
  <c r="M9" i="234" s="1"/>
  <c r="K8" i="234"/>
  <c r="M8" i="234" s="1"/>
  <c r="K7" i="234"/>
  <c r="M7" i="234" s="1"/>
  <c r="K6" i="234"/>
  <c r="M6" i="234" s="1"/>
  <c r="J41" i="233"/>
  <c r="I39" i="233"/>
  <c r="H39" i="233"/>
  <c r="J38" i="233"/>
  <c r="J37" i="233"/>
  <c r="J36" i="233"/>
  <c r="J35" i="233"/>
  <c r="J34" i="233"/>
  <c r="I32" i="233"/>
  <c r="H32" i="233"/>
  <c r="J31" i="233"/>
  <c r="J30" i="233"/>
  <c r="J29" i="233"/>
  <c r="J28" i="233"/>
  <c r="J27" i="233"/>
  <c r="I25" i="233"/>
  <c r="H25" i="233"/>
  <c r="J24" i="233"/>
  <c r="J23" i="233"/>
  <c r="J22" i="233"/>
  <c r="J21" i="233"/>
  <c r="J20" i="233"/>
  <c r="I18" i="233"/>
  <c r="J18" i="233" s="1"/>
  <c r="H18" i="233"/>
  <c r="J17" i="233"/>
  <c r="J16" i="233"/>
  <c r="J15" i="233"/>
  <c r="J14" i="233"/>
  <c r="J13" i="233"/>
  <c r="I11" i="233"/>
  <c r="H11" i="233"/>
  <c r="J10" i="233"/>
  <c r="J9" i="233"/>
  <c r="J8" i="233"/>
  <c r="J7" i="233"/>
  <c r="J6" i="233"/>
  <c r="J25" i="233" l="1"/>
  <c r="K32" i="234"/>
  <c r="M32" i="234" s="1"/>
  <c r="J39" i="233"/>
  <c r="H43" i="233"/>
  <c r="K39" i="234"/>
  <c r="M39" i="234" s="1"/>
  <c r="M34" i="234"/>
  <c r="I43" i="234"/>
  <c r="L43" i="234"/>
  <c r="J43" i="234"/>
  <c r="K25" i="234"/>
  <c r="M25" i="234" s="1"/>
  <c r="K18" i="234"/>
  <c r="M18" i="234" s="1"/>
  <c r="K11" i="234"/>
  <c r="M27" i="234"/>
  <c r="J32" i="233"/>
  <c r="J11" i="233"/>
  <c r="I43" i="233"/>
  <c r="R54" i="228"/>
  <c r="J43" i="233" l="1"/>
  <c r="R57" i="228" s="1"/>
  <c r="M11" i="234"/>
  <c r="K43" i="234"/>
  <c r="M43" i="234" s="1"/>
  <c r="R58" i="228" s="1"/>
  <c r="O8" i="273"/>
  <c r="I41" i="272" l="1"/>
  <c r="G43" i="272"/>
  <c r="I36" i="272"/>
  <c r="I32" i="272"/>
  <c r="I28" i="272"/>
  <c r="I27" i="272"/>
  <c r="I25" i="272"/>
  <c r="I22" i="272"/>
  <c r="I21" i="272"/>
  <c r="I20" i="272"/>
  <c r="I18" i="272"/>
  <c r="I15" i="272"/>
  <c r="I14" i="272"/>
  <c r="I13" i="272"/>
  <c r="I11" i="272"/>
  <c r="I7" i="272"/>
  <c r="I6" i="272"/>
  <c r="R53" i="228"/>
  <c r="I43" i="272" l="1"/>
  <c r="R35" i="228" s="1"/>
  <c r="I39" i="272"/>
  <c r="AW82" i="222" l="1"/>
  <c r="AW83" i="222" s="1"/>
  <c r="AV82" i="222"/>
  <c r="AV83" i="222" s="1"/>
  <c r="AW77" i="222"/>
  <c r="AV77" i="222"/>
  <c r="AW72" i="222"/>
  <c r="AV72" i="222"/>
  <c r="AW67" i="222"/>
  <c r="AV67" i="222"/>
  <c r="AW66" i="222"/>
  <c r="AV66" i="222"/>
  <c r="AW62" i="222"/>
  <c r="AV62" i="222"/>
  <c r="AW58" i="222"/>
  <c r="AV58" i="222"/>
  <c r="AW54" i="222"/>
  <c r="AV54" i="222"/>
  <c r="AW53" i="222"/>
  <c r="AV53" i="222"/>
  <c r="AW48" i="222"/>
  <c r="AV48" i="222"/>
  <c r="AW42" i="222"/>
  <c r="AV42" i="222"/>
  <c r="AW36" i="222"/>
  <c r="AV36" i="222"/>
  <c r="AW35" i="222"/>
  <c r="AV35" i="222"/>
  <c r="AW31" i="222"/>
  <c r="AV31" i="222"/>
  <c r="AW27" i="222"/>
  <c r="AV27" i="222"/>
  <c r="AW23" i="222"/>
  <c r="AV23" i="222"/>
  <c r="AW22" i="222"/>
  <c r="AV22" i="222"/>
  <c r="AW16" i="222"/>
  <c r="AV16" i="222"/>
  <c r="AW10" i="222"/>
  <c r="AV10" i="222"/>
  <c r="AZ6" i="221" l="1"/>
  <c r="BA6" i="221"/>
  <c r="AZ7" i="221"/>
  <c r="BA7" i="221"/>
  <c r="AZ8" i="221"/>
  <c r="BA8" i="221"/>
  <c r="AZ9" i="221"/>
  <c r="BA9" i="221"/>
  <c r="AZ10" i="221"/>
  <c r="BA10" i="221"/>
  <c r="AZ11" i="221"/>
  <c r="BA11" i="221"/>
  <c r="AZ12" i="221"/>
  <c r="BA12" i="221"/>
  <c r="AZ13" i="221"/>
  <c r="BA13" i="221"/>
  <c r="AZ14" i="221"/>
  <c r="BA14" i="221"/>
  <c r="AZ15" i="221"/>
  <c r="BA15" i="221"/>
  <c r="AZ16" i="221"/>
  <c r="BA16" i="221"/>
  <c r="AZ17" i="221"/>
  <c r="BA17" i="221"/>
  <c r="AZ18" i="221"/>
  <c r="BA18" i="221"/>
  <c r="AZ19" i="221"/>
  <c r="BA19" i="221"/>
  <c r="AZ20" i="221"/>
  <c r="BA20" i="221"/>
  <c r="AZ21" i="221"/>
  <c r="BA21" i="221"/>
  <c r="AZ22" i="221"/>
  <c r="BA22" i="221"/>
  <c r="AZ23" i="221"/>
  <c r="BA23" i="221"/>
  <c r="AZ24" i="221"/>
  <c r="BA24" i="221"/>
  <c r="AZ25" i="221"/>
  <c r="BA25" i="221"/>
  <c r="AZ26" i="221"/>
  <c r="BA26" i="221"/>
  <c r="AZ27" i="221"/>
  <c r="BA27" i="221"/>
  <c r="AZ28" i="221"/>
  <c r="BA28" i="221"/>
  <c r="AZ29" i="221"/>
  <c r="BA29" i="221"/>
  <c r="AZ30" i="221"/>
  <c r="BA30" i="221"/>
  <c r="AZ31" i="221"/>
  <c r="BA31" i="221"/>
  <c r="AZ32" i="221"/>
  <c r="BA32" i="221"/>
  <c r="AZ33" i="221"/>
  <c r="BA33" i="221"/>
  <c r="AZ34" i="221"/>
  <c r="BA34" i="221"/>
  <c r="AZ35" i="221"/>
  <c r="BA35" i="221"/>
  <c r="AZ36" i="221"/>
  <c r="BA36" i="221"/>
  <c r="AZ37" i="221"/>
  <c r="BA37" i="221"/>
  <c r="AZ38" i="221"/>
  <c r="BA38" i="221"/>
  <c r="AZ39" i="221"/>
  <c r="BA39" i="221"/>
  <c r="AZ40" i="221"/>
  <c r="BA40" i="221"/>
  <c r="AZ41" i="221"/>
  <c r="BA41" i="221"/>
  <c r="AZ42" i="221"/>
  <c r="BA42" i="221"/>
  <c r="AZ43" i="221"/>
  <c r="BA43" i="221"/>
  <c r="AZ44" i="221"/>
  <c r="BA44" i="221"/>
  <c r="AZ45" i="221"/>
  <c r="BA45" i="221"/>
  <c r="AZ46" i="221"/>
  <c r="BA46" i="221"/>
  <c r="AZ47" i="221"/>
  <c r="BA47" i="221"/>
  <c r="AZ48" i="221"/>
  <c r="BA48" i="221"/>
  <c r="AZ49" i="221"/>
  <c r="BA49" i="221"/>
  <c r="AZ50" i="221"/>
  <c r="BA50" i="221"/>
  <c r="AZ51" i="221"/>
  <c r="BA51" i="221"/>
  <c r="AZ52" i="221"/>
  <c r="BA52" i="221"/>
  <c r="AZ53" i="221"/>
  <c r="BA53" i="221"/>
  <c r="AZ54" i="221"/>
  <c r="BA54" i="221"/>
  <c r="AZ55" i="221"/>
  <c r="BA55" i="221"/>
  <c r="AZ56" i="221"/>
  <c r="BA56" i="221"/>
  <c r="AZ57" i="221"/>
  <c r="BA57" i="221"/>
  <c r="AZ58" i="221"/>
  <c r="BA58" i="221"/>
  <c r="AZ59" i="221"/>
  <c r="BA59" i="221"/>
  <c r="AZ60" i="221"/>
  <c r="BA60" i="221"/>
  <c r="AZ61" i="221"/>
  <c r="BA61" i="221"/>
  <c r="AZ62" i="221"/>
  <c r="BA62" i="221"/>
  <c r="AZ63" i="221"/>
  <c r="BA63" i="221"/>
  <c r="AZ64" i="221"/>
  <c r="BA64" i="221"/>
  <c r="AZ65" i="221"/>
  <c r="BA65" i="221"/>
  <c r="AZ66" i="221"/>
  <c r="BA66" i="221"/>
  <c r="AZ67" i="221"/>
  <c r="BA67" i="221"/>
  <c r="AZ68" i="221"/>
  <c r="BA68" i="221"/>
  <c r="AZ69" i="221"/>
  <c r="BA69" i="221"/>
  <c r="AZ70" i="221"/>
  <c r="BA70" i="221"/>
  <c r="AZ71" i="221"/>
  <c r="BA71" i="221"/>
  <c r="AZ72" i="221"/>
  <c r="BA72" i="221"/>
  <c r="AZ73" i="221"/>
  <c r="BA73" i="221"/>
  <c r="AZ74" i="221"/>
  <c r="BA74" i="221"/>
  <c r="AZ75" i="221"/>
  <c r="BA75" i="221"/>
  <c r="AZ76" i="221"/>
  <c r="BA76" i="221"/>
  <c r="AZ77" i="221"/>
  <c r="BA77" i="221"/>
  <c r="AZ78" i="221"/>
  <c r="BA78" i="221"/>
  <c r="AZ79" i="221"/>
  <c r="BA79" i="221"/>
  <c r="AZ80" i="221"/>
  <c r="BA80" i="221"/>
  <c r="AZ81" i="221"/>
  <c r="BA81" i="221"/>
  <c r="AZ82" i="221"/>
  <c r="BA82" i="221"/>
  <c r="BA5" i="221"/>
  <c r="AZ5" i="221"/>
  <c r="BA60" i="261"/>
  <c r="BA54" i="261"/>
  <c r="I44" i="271" l="1"/>
  <c r="J44" i="271"/>
  <c r="I45" i="271"/>
  <c r="J45" i="271"/>
  <c r="I46" i="271"/>
  <c r="J46" i="271"/>
  <c r="H45" i="271"/>
  <c r="H46" i="271"/>
  <c r="H44" i="271"/>
  <c r="I50" i="271" l="1"/>
  <c r="F25" i="231" l="1"/>
  <c r="D25" i="231"/>
  <c r="C25" i="231"/>
  <c r="B25" i="231"/>
  <c r="G24" i="231"/>
  <c r="E24" i="231"/>
  <c r="G23" i="231"/>
  <c r="E23" i="231"/>
  <c r="G22" i="231"/>
  <c r="E22" i="231"/>
  <c r="G21" i="231"/>
  <c r="E21" i="231"/>
  <c r="G20" i="231"/>
  <c r="E20" i="231"/>
  <c r="G19" i="231"/>
  <c r="E19" i="231"/>
  <c r="E25" i="231" l="1"/>
  <c r="G25" i="231"/>
  <c r="D20" i="213"/>
  <c r="D19" i="213"/>
  <c r="D17" i="213"/>
  <c r="D16" i="213"/>
  <c r="D15" i="213"/>
  <c r="R34" i="228" l="1"/>
  <c r="G11" i="217"/>
  <c r="G10" i="217"/>
  <c r="I52" i="271" l="1"/>
  <c r="J40" i="271"/>
  <c r="I40" i="271"/>
  <c r="H40" i="271"/>
  <c r="J30" i="271"/>
  <c r="I30" i="271"/>
  <c r="J23" i="271"/>
  <c r="I23" i="271"/>
  <c r="H23" i="271"/>
  <c r="J16" i="271"/>
  <c r="I16" i="271"/>
  <c r="H16" i="271"/>
  <c r="J8" i="271"/>
  <c r="I8" i="271"/>
  <c r="H8" i="271"/>
  <c r="D22" i="276"/>
  <c r="D20" i="276"/>
  <c r="J47" i="271" l="1"/>
  <c r="H47" i="271"/>
  <c r="I47" i="271"/>
  <c r="M48" i="250"/>
  <c r="E41" i="250"/>
  <c r="G39" i="250"/>
  <c r="E39" i="250"/>
  <c r="E33" i="250"/>
  <c r="E34" i="250"/>
  <c r="G30" i="250"/>
  <c r="E30" i="250"/>
  <c r="E23" i="250"/>
  <c r="E22" i="250"/>
  <c r="G22" i="250" s="1"/>
  <c r="E12" i="250"/>
  <c r="G12" i="250" s="1"/>
  <c r="E32" i="250"/>
  <c r="E15" i="250"/>
  <c r="N105" i="274"/>
  <c r="N103" i="274"/>
  <c r="N102" i="274"/>
  <c r="M102" i="274"/>
  <c r="N101" i="274"/>
  <c r="N100" i="274"/>
  <c r="N99" i="274"/>
  <c r="M99" i="274"/>
  <c r="N98" i="274"/>
  <c r="N97" i="274"/>
  <c r="N96" i="274"/>
  <c r="M96" i="274"/>
  <c r="N95" i="274"/>
  <c r="N94" i="274"/>
  <c r="N93" i="274"/>
  <c r="M93" i="274"/>
  <c r="N92" i="274"/>
  <c r="N91" i="274"/>
  <c r="N90" i="274"/>
  <c r="N89" i="274"/>
  <c r="N88" i="274"/>
  <c r="M88" i="274"/>
  <c r="N87" i="274"/>
  <c r="N86" i="274"/>
  <c r="N85" i="274"/>
  <c r="N84" i="274"/>
  <c r="M84" i="274"/>
  <c r="N83" i="274"/>
  <c r="N82" i="274"/>
  <c r="N81" i="274"/>
  <c r="N80" i="274"/>
  <c r="N79" i="274"/>
  <c r="N78" i="274"/>
  <c r="M78" i="274"/>
  <c r="N77" i="274"/>
  <c r="N76" i="274"/>
  <c r="N75" i="274"/>
  <c r="N74" i="274"/>
  <c r="N73" i="274"/>
  <c r="M73" i="274"/>
  <c r="N72" i="274"/>
  <c r="N71" i="274"/>
  <c r="N70" i="274"/>
  <c r="N69" i="274"/>
  <c r="N68" i="274"/>
  <c r="N67" i="274"/>
  <c r="N66" i="274"/>
  <c r="N65" i="274"/>
  <c r="N64" i="274"/>
  <c r="M64" i="274"/>
  <c r="N63" i="274"/>
  <c r="N62" i="274"/>
  <c r="N61" i="274"/>
  <c r="N60" i="274"/>
  <c r="N59" i="274"/>
  <c r="N58" i="274"/>
  <c r="N57" i="274"/>
  <c r="N56" i="274"/>
  <c r="M56" i="274"/>
  <c r="N55" i="274"/>
  <c r="N54" i="274"/>
  <c r="N53" i="274"/>
  <c r="N52" i="274"/>
  <c r="N51" i="274"/>
  <c r="N50" i="274"/>
  <c r="N49" i="274"/>
  <c r="M49" i="274"/>
  <c r="N48" i="274"/>
  <c r="N47" i="274"/>
  <c r="N46" i="274"/>
  <c r="N45" i="274"/>
  <c r="N44" i="274"/>
  <c r="N43" i="274"/>
  <c r="N42" i="274"/>
  <c r="N41" i="274"/>
  <c r="N40" i="274"/>
  <c r="N39" i="274"/>
  <c r="N38" i="274"/>
  <c r="N37" i="274"/>
  <c r="M37" i="274"/>
  <c r="N36" i="274"/>
  <c r="N35" i="274"/>
  <c r="N34" i="274"/>
  <c r="N33" i="274"/>
  <c r="N32" i="274"/>
  <c r="N31" i="274"/>
  <c r="N30" i="274"/>
  <c r="N29" i="274"/>
  <c r="N28" i="274"/>
  <c r="N27" i="274"/>
  <c r="N26" i="274"/>
  <c r="N25" i="274"/>
  <c r="M25" i="274"/>
  <c r="N24" i="274"/>
  <c r="N23" i="274"/>
  <c r="N22" i="274"/>
  <c r="N21" i="274"/>
  <c r="M21" i="274"/>
  <c r="N20" i="274"/>
  <c r="N19" i="274"/>
  <c r="N18" i="274"/>
  <c r="N17" i="274"/>
  <c r="N16" i="274"/>
  <c r="M16" i="274"/>
  <c r="N15" i="274"/>
  <c r="N14" i="274"/>
  <c r="N13" i="274"/>
  <c r="N12" i="274"/>
  <c r="N11" i="274"/>
  <c r="N10" i="274"/>
  <c r="N9" i="274"/>
  <c r="N8" i="274"/>
  <c r="N7" i="274"/>
  <c r="N6" i="274"/>
  <c r="M26" i="274" l="1"/>
  <c r="M94" i="274"/>
  <c r="M79" i="274"/>
  <c r="M57" i="274"/>
  <c r="M103" i="274"/>
  <c r="G34" i="250"/>
  <c r="E16" i="250"/>
  <c r="M105" i="274" l="1"/>
  <c r="G16" i="250"/>
  <c r="E24" i="250"/>
  <c r="E42" i="250" s="1"/>
  <c r="G42" i="250" s="1"/>
  <c r="CM22" i="216"/>
  <c r="CN22" i="216"/>
  <c r="CK22" i="216"/>
  <c r="CL22" i="216"/>
  <c r="CO22" i="216"/>
  <c r="G24" i="250" l="1"/>
  <c r="BP152" i="268" l="1"/>
  <c r="CB150" i="268"/>
  <c r="CB152" i="268" s="1"/>
  <c r="CA150" i="268"/>
  <c r="CA152" i="268" s="1"/>
  <c r="BZ150" i="268"/>
  <c r="BZ152" i="268" s="1"/>
  <c r="BY150" i="268"/>
  <c r="BY152" i="268" s="1"/>
  <c r="BX150" i="268"/>
  <c r="BX152" i="268" s="1"/>
  <c r="BW150" i="268"/>
  <c r="BW152" i="268" s="1"/>
  <c r="BV150" i="268"/>
  <c r="BV152" i="268" s="1"/>
  <c r="BU150" i="268"/>
  <c r="BU152" i="268" s="1"/>
  <c r="BT150" i="268"/>
  <c r="BT152" i="268" s="1"/>
  <c r="BS150" i="268"/>
  <c r="BS152" i="268" s="1"/>
  <c r="BR150" i="268"/>
  <c r="BR152" i="268" s="1"/>
  <c r="BQ150" i="268"/>
  <c r="BQ152" i="268" s="1"/>
  <c r="A6" i="268"/>
  <c r="A7" i="268" s="1"/>
  <c r="A8" i="268" s="1"/>
  <c r="A9" i="268" s="1"/>
  <c r="A10" i="268" s="1"/>
  <c r="A11" i="268" s="1"/>
  <c r="A12" i="268" s="1"/>
  <c r="A13" i="268" s="1"/>
  <c r="A14" i="268" s="1"/>
  <c r="A16" i="268" s="1"/>
  <c r="A17" i="268" s="1"/>
  <c r="A18" i="268" s="1"/>
  <c r="A19" i="268" s="1"/>
  <c r="A20" i="268" s="1"/>
  <c r="A21" i="268" s="1"/>
  <c r="A23" i="268" s="1"/>
  <c r="A24" i="268" s="1"/>
  <c r="A25" i="268" s="1"/>
  <c r="A26" i="268" s="1"/>
  <c r="A27" i="268" s="1"/>
  <c r="A28" i="268" s="1"/>
  <c r="A29" i="268" s="1"/>
  <c r="A34" i="268" s="1"/>
  <c r="A35" i="268" s="1"/>
  <c r="A36" i="268" s="1"/>
  <c r="A37" i="268" s="1"/>
  <c r="A38" i="268" s="1"/>
  <c r="A39" i="268" s="1"/>
  <c r="A40" i="268" s="1"/>
  <c r="A41" i="268" s="1"/>
  <c r="A42" i="268" s="1"/>
  <c r="A43" i="268" s="1"/>
  <c r="A44" i="268" s="1"/>
  <c r="A45" i="268" s="1"/>
  <c r="A46" i="268" s="1"/>
  <c r="A47" i="268" s="1"/>
  <c r="CC103" i="267"/>
  <c r="CC105" i="267" s="1"/>
  <c r="A48" i="268" l="1"/>
  <c r="A49" i="268" s="1"/>
  <c r="A77" i="268" s="1"/>
  <c r="A78" i="268" s="1"/>
  <c r="A79" i="268" s="1"/>
  <c r="A80" i="268" s="1"/>
  <c r="A81" i="268" s="1"/>
  <c r="A82" i="268" s="1"/>
  <c r="A83" i="268" s="1"/>
  <c r="A84" i="268" s="1"/>
  <c r="A85" i="268" s="1"/>
  <c r="A86" i="268" s="1"/>
  <c r="A87" i="268" s="1"/>
  <c r="A92" i="268" s="1"/>
  <c r="A93" i="268" s="1"/>
  <c r="A94" i="268" s="1"/>
  <c r="A95" i="268" s="1"/>
  <c r="A96" i="268" s="1"/>
  <c r="A97" i="268" s="1"/>
  <c r="A98" i="268" s="1"/>
  <c r="A99" i="268" s="1"/>
  <c r="A108" i="268" s="1"/>
  <c r="A109" i="268" s="1"/>
  <c r="A110" i="268" s="1"/>
  <c r="A111" i="268" s="1"/>
  <c r="A112" i="268" s="1"/>
  <c r="A114" i="268" s="1"/>
  <c r="A115" i="268" s="1"/>
  <c r="A116" i="268" s="1"/>
  <c r="A117" i="268" s="1"/>
  <c r="A118" i="268" s="1"/>
  <c r="A119" i="268" s="1"/>
  <c r="A120" i="268" s="1"/>
  <c r="A121" i="268" s="1"/>
  <c r="A123" i="268" s="1"/>
  <c r="A124" i="268" s="1"/>
  <c r="A125" i="268" s="1"/>
  <c r="A126" i="268" s="1"/>
  <c r="A127" i="268" s="1"/>
  <c r="A128" i="268" s="1"/>
  <c r="A129" i="268" s="1"/>
  <c r="A131" i="268" s="1"/>
  <c r="A133" i="268" s="1"/>
  <c r="A134" i="268" s="1"/>
  <c r="A135" i="268" s="1"/>
  <c r="A136" i="268" s="1"/>
  <c r="A137" i="268" s="1"/>
  <c r="A138" i="268" s="1"/>
  <c r="A140" i="268" s="1"/>
  <c r="A141" i="268" s="1"/>
  <c r="A142" i="268" s="1"/>
  <c r="A143" i="268" s="1"/>
  <c r="A146" i="268" s="1"/>
  <c r="A147" i="268" s="1"/>
  <c r="A148" i="268" s="1"/>
  <c r="A149" i="268" s="1"/>
  <c r="CP54" i="216"/>
  <c r="CP56" i="216"/>
  <c r="Y84" i="215" l="1"/>
  <c r="AY38" i="270" l="1"/>
  <c r="AY39" i="270"/>
  <c r="AY40" i="270"/>
  <c r="AY42" i="270"/>
  <c r="AY43" i="270"/>
  <c r="AY44" i="270"/>
  <c r="AY45" i="270"/>
  <c r="AY47" i="270"/>
  <c r="AY48" i="270"/>
  <c r="AY49" i="270"/>
  <c r="AY50" i="270"/>
  <c r="AY52" i="270"/>
  <c r="AY53" i="270"/>
  <c r="AY54" i="270"/>
  <c r="AY55" i="270"/>
  <c r="AY57" i="270"/>
  <c r="AY58" i="270"/>
  <c r="AY59" i="270"/>
  <c r="AY60" i="270"/>
  <c r="AY62" i="270"/>
  <c r="AY37" i="270"/>
  <c r="AU30" i="269" l="1"/>
  <c r="AT30" i="269"/>
  <c r="AS30" i="269"/>
  <c r="AR30" i="269"/>
  <c r="AV29" i="269"/>
  <c r="AX29" i="269" s="1"/>
  <c r="AV28" i="269"/>
  <c r="AX28" i="269" s="1"/>
  <c r="AV27" i="269"/>
  <c r="AX27" i="269" s="1"/>
  <c r="AU25" i="269"/>
  <c r="AT25" i="269"/>
  <c r="AV24" i="269"/>
  <c r="AX24" i="269" s="1"/>
  <c r="AV23" i="269"/>
  <c r="AW23" i="269" s="1"/>
  <c r="AV22" i="269"/>
  <c r="AX22" i="269" s="1"/>
  <c r="AU20" i="269"/>
  <c r="AT20" i="269"/>
  <c r="AS20" i="269"/>
  <c r="AR20" i="269"/>
  <c r="AV19" i="269"/>
  <c r="AW19" i="269" s="1"/>
  <c r="AV18" i="269"/>
  <c r="AW18" i="269" s="1"/>
  <c r="AV17" i="269"/>
  <c r="AX17" i="269" s="1"/>
  <c r="AU15" i="269"/>
  <c r="AT15" i="269"/>
  <c r="AR15" i="269"/>
  <c r="AV14" i="269"/>
  <c r="AW14" i="269" s="1"/>
  <c r="AV13" i="269"/>
  <c r="AW13" i="269" s="1"/>
  <c r="AV12" i="269"/>
  <c r="AX12" i="269" s="1"/>
  <c r="AU10" i="269"/>
  <c r="AT10" i="269"/>
  <c r="AT32" i="269" s="1"/>
  <c r="AS10" i="269"/>
  <c r="AR10" i="269"/>
  <c r="AV9" i="269"/>
  <c r="AX9" i="269" s="1"/>
  <c r="AV8" i="269"/>
  <c r="AW8" i="269" s="1"/>
  <c r="AV7" i="269"/>
  <c r="AX7" i="269" s="1"/>
  <c r="C20" i="237"/>
  <c r="B20" i="237"/>
  <c r="BB27" i="235"/>
  <c r="AS32" i="269" l="1"/>
  <c r="AR32" i="269"/>
  <c r="AV20" i="269"/>
  <c r="AX20" i="269" s="1"/>
  <c r="AX13" i="269"/>
  <c r="AX8" i="269"/>
  <c r="AW29" i="269"/>
  <c r="AX23" i="269"/>
  <c r="AX18" i="269"/>
  <c r="AV15" i="269"/>
  <c r="AX15" i="269" s="1"/>
  <c r="AV10" i="269"/>
  <c r="AX10" i="269" s="1"/>
  <c r="AW24" i="269"/>
  <c r="AX19" i="269"/>
  <c r="AW27" i="269"/>
  <c r="AX14" i="269"/>
  <c r="AW17" i="269"/>
  <c r="AW22" i="269"/>
  <c r="AU32" i="269"/>
  <c r="AW12" i="269"/>
  <c r="AW28" i="269"/>
  <c r="AW9" i="269"/>
  <c r="AW7" i="269"/>
  <c r="AV25" i="269"/>
  <c r="AX25" i="269" s="1"/>
  <c r="AV30" i="269"/>
  <c r="AX30" i="269" s="1"/>
  <c r="AW25" i="269" l="1"/>
  <c r="AW20" i="269"/>
  <c r="AW10" i="269"/>
  <c r="AW30" i="269"/>
  <c r="AW15" i="269"/>
  <c r="AV32" i="269"/>
  <c r="AW32" i="269" s="1"/>
  <c r="AX32" i="269" l="1"/>
  <c r="AZ31" i="235" l="1"/>
  <c r="AZ30" i="235"/>
  <c r="BA29" i="235"/>
  <c r="AZ29" i="235"/>
  <c r="BB23" i="235"/>
  <c r="BB22" i="235"/>
  <c r="BB21" i="235"/>
  <c r="BB19" i="235"/>
  <c r="BB18" i="235"/>
  <c r="BB17" i="235"/>
  <c r="BB15" i="235"/>
  <c r="BB14" i="235"/>
  <c r="BB13" i="235"/>
  <c r="BB11" i="235"/>
  <c r="BB10" i="235"/>
  <c r="BB9" i="235"/>
  <c r="BB7" i="235"/>
  <c r="BB6" i="235"/>
  <c r="BB5" i="235"/>
  <c r="BB29" i="235" l="1"/>
  <c r="R59" i="228" s="1"/>
  <c r="BA30" i="235"/>
  <c r="BB30" i="235" s="1"/>
  <c r="R60" i="228" s="1"/>
  <c r="BA31" i="235"/>
  <c r="BB31" i="235" s="1"/>
  <c r="R61" i="228" s="1"/>
  <c r="I43" i="232"/>
  <c r="H43" i="232"/>
  <c r="E43" i="232"/>
  <c r="D43" i="232"/>
  <c r="C43" i="232"/>
  <c r="J41" i="232"/>
  <c r="D19" i="237" s="1"/>
  <c r="E19" i="237" s="1"/>
  <c r="F41" i="232"/>
  <c r="J39" i="232"/>
  <c r="F39" i="232"/>
  <c r="D18" i="237" s="1"/>
  <c r="E18" i="237" s="1"/>
  <c r="J37" i="232"/>
  <c r="F37" i="232"/>
  <c r="J35" i="232"/>
  <c r="F35" i="232"/>
  <c r="J33" i="232"/>
  <c r="F33" i="232"/>
  <c r="J31" i="232"/>
  <c r="F31" i="232"/>
  <c r="D14" i="237" s="1"/>
  <c r="N8" i="230"/>
  <c r="C15" i="227"/>
  <c r="R47" i="228" s="1"/>
  <c r="O28" i="273"/>
  <c r="O23" i="273"/>
  <c r="O32" i="273" s="1"/>
  <c r="O19" i="273"/>
  <c r="O14" i="273"/>
  <c r="BA84" i="221"/>
  <c r="AZ84" i="221"/>
  <c r="BB82" i="221"/>
  <c r="BB81" i="221"/>
  <c r="BB80" i="221"/>
  <c r="BB79" i="221"/>
  <c r="BB78" i="221"/>
  <c r="BB77" i="221"/>
  <c r="BB76" i="221"/>
  <c r="BB75" i="221"/>
  <c r="BB74" i="221"/>
  <c r="BB73" i="221"/>
  <c r="BB72" i="221"/>
  <c r="BB71" i="221"/>
  <c r="BB70" i="221"/>
  <c r="BB69" i="221"/>
  <c r="BB68" i="221"/>
  <c r="BB67" i="221"/>
  <c r="BB66" i="221"/>
  <c r="BB65" i="221"/>
  <c r="BB64" i="221"/>
  <c r="BB61" i="221"/>
  <c r="BB59" i="221"/>
  <c r="BB58" i="221"/>
  <c r="BB57" i="221"/>
  <c r="BB56" i="221"/>
  <c r="BB55" i="221"/>
  <c r="BB53" i="221"/>
  <c r="BB52" i="221"/>
  <c r="BB51" i="221"/>
  <c r="BB50" i="221"/>
  <c r="BB49" i="221"/>
  <c r="BB48" i="221"/>
  <c r="BB47" i="221"/>
  <c r="BB46" i="221"/>
  <c r="BB45" i="221"/>
  <c r="BB44" i="221"/>
  <c r="BB43" i="221"/>
  <c r="BB42" i="221"/>
  <c r="BB41" i="221"/>
  <c r="BB40" i="221"/>
  <c r="BB39" i="221"/>
  <c r="BB38" i="221"/>
  <c r="BB37" i="221"/>
  <c r="BB36" i="221"/>
  <c r="BB35" i="221"/>
  <c r="BB34" i="221"/>
  <c r="BB33" i="221"/>
  <c r="BB32" i="221"/>
  <c r="BB31" i="221"/>
  <c r="BB30" i="221"/>
  <c r="BB29" i="221"/>
  <c r="BB28" i="221"/>
  <c r="BB27" i="221"/>
  <c r="BB26" i="221"/>
  <c r="BB25" i="221"/>
  <c r="BB24" i="221"/>
  <c r="BB23" i="221"/>
  <c r="BB22" i="221"/>
  <c r="BB21" i="221"/>
  <c r="BB20" i="221"/>
  <c r="BB19" i="221"/>
  <c r="BB18" i="221"/>
  <c r="BB17" i="221"/>
  <c r="BB16" i="221"/>
  <c r="BB15" i="221"/>
  <c r="BB14" i="221"/>
  <c r="BB13" i="221"/>
  <c r="BB12" i="221"/>
  <c r="BB11" i="221"/>
  <c r="BB10" i="221"/>
  <c r="BB9" i="221"/>
  <c r="BB8" i="221"/>
  <c r="BB7" i="221"/>
  <c r="BB6" i="221"/>
  <c r="BB5" i="221"/>
  <c r="D17" i="237" l="1"/>
  <c r="E17" i="237" s="1"/>
  <c r="J43" i="232"/>
  <c r="D15" i="237"/>
  <c r="E15" i="237" s="1"/>
  <c r="D16" i="237"/>
  <c r="E16" i="237" s="1"/>
  <c r="E14" i="237"/>
  <c r="D20" i="237"/>
  <c r="E20" i="237" s="1"/>
  <c r="R63" i="228" s="1"/>
  <c r="L41" i="232"/>
  <c r="L35" i="232"/>
  <c r="L33" i="232"/>
  <c r="L37" i="232"/>
  <c r="L39" i="232"/>
  <c r="F43" i="232"/>
  <c r="L31" i="232"/>
  <c r="R46" i="228"/>
  <c r="BB84" i="221"/>
  <c r="R38" i="228" s="1"/>
  <c r="AX82" i="222"/>
  <c r="AX77" i="222"/>
  <c r="AX72" i="222"/>
  <c r="AX66" i="222"/>
  <c r="AX62" i="222"/>
  <c r="AX48" i="222"/>
  <c r="AX35" i="222"/>
  <c r="AX31" i="222"/>
  <c r="AX22" i="222"/>
  <c r="BA84" i="220"/>
  <c r="AZ84" i="220"/>
  <c r="BB82" i="220"/>
  <c r="BB81" i="220"/>
  <c r="BB80" i="220"/>
  <c r="BB79" i="220"/>
  <c r="BB78" i="220"/>
  <c r="BB77" i="220"/>
  <c r="BB76" i="220"/>
  <c r="BB75" i="220"/>
  <c r="BB74" i="220"/>
  <c r="BB73" i="220"/>
  <c r="BB72" i="220"/>
  <c r="BB71" i="220"/>
  <c r="BB70" i="220"/>
  <c r="BB69" i="220"/>
  <c r="BB68" i="220"/>
  <c r="BB67" i="220"/>
  <c r="BB66" i="220"/>
  <c r="BB65" i="220"/>
  <c r="BB64" i="220"/>
  <c r="BB61" i="220"/>
  <c r="BB59" i="220"/>
  <c r="BB58" i="220"/>
  <c r="BB57" i="220"/>
  <c r="BB56" i="220"/>
  <c r="BB55" i="220"/>
  <c r="BB53" i="220"/>
  <c r="BB52" i="220"/>
  <c r="BB51" i="220"/>
  <c r="BB50" i="220"/>
  <c r="BB49" i="220"/>
  <c r="BB48" i="220"/>
  <c r="BB47" i="220"/>
  <c r="BB46" i="220"/>
  <c r="BB45" i="220"/>
  <c r="BB44" i="220"/>
  <c r="BB43" i="220"/>
  <c r="BB42" i="220"/>
  <c r="BB41" i="220"/>
  <c r="BB40" i="220"/>
  <c r="BB39" i="220"/>
  <c r="BB38" i="220"/>
  <c r="BB37" i="220"/>
  <c r="BB36" i="220"/>
  <c r="BB35" i="220"/>
  <c r="BB34" i="220"/>
  <c r="BB33" i="220"/>
  <c r="BB32" i="220"/>
  <c r="BB31" i="220"/>
  <c r="BB30" i="220"/>
  <c r="BB29" i="220"/>
  <c r="BB28" i="220"/>
  <c r="BB27" i="220"/>
  <c r="BB26" i="220"/>
  <c r="BB25" i="220"/>
  <c r="BB24" i="220"/>
  <c r="BB23" i="220"/>
  <c r="BB22" i="220"/>
  <c r="BB21" i="220"/>
  <c r="BB20" i="220"/>
  <c r="BB19" i="220"/>
  <c r="BB18" i="220"/>
  <c r="BB17" i="220"/>
  <c r="BB16" i="220"/>
  <c r="BB15" i="220"/>
  <c r="BB14" i="220"/>
  <c r="BB13" i="220"/>
  <c r="BB12" i="220"/>
  <c r="BB11" i="220"/>
  <c r="BB10" i="220"/>
  <c r="BB9" i="220"/>
  <c r="BB8" i="220"/>
  <c r="BB7" i="220"/>
  <c r="BB6" i="220"/>
  <c r="BB5" i="220"/>
  <c r="AZ84" i="261"/>
  <c r="AY84" i="261"/>
  <c r="BA82" i="261"/>
  <c r="BA81" i="261"/>
  <c r="BA80" i="261"/>
  <c r="BA79" i="261"/>
  <c r="BA78" i="261"/>
  <c r="BA77" i="261"/>
  <c r="BA76" i="261"/>
  <c r="BA75" i="261"/>
  <c r="BA74" i="261"/>
  <c r="BA73" i="261"/>
  <c r="BA72" i="261"/>
  <c r="BA71" i="261"/>
  <c r="BA70" i="261"/>
  <c r="BA69" i="261"/>
  <c r="BA68" i="261"/>
  <c r="BA67" i="261"/>
  <c r="BA66" i="261"/>
  <c r="BA65" i="261"/>
  <c r="BA61" i="261"/>
  <c r="BA59" i="261"/>
  <c r="BA58" i="261"/>
  <c r="BA57" i="261"/>
  <c r="BA56" i="261"/>
  <c r="BA55" i="261"/>
  <c r="BA53" i="261"/>
  <c r="BA52" i="261"/>
  <c r="BA51" i="261"/>
  <c r="BA50" i="261"/>
  <c r="BA49" i="261"/>
  <c r="BA48" i="261"/>
  <c r="BA47" i="261"/>
  <c r="BA46" i="261"/>
  <c r="BA45" i="261"/>
  <c r="BA44" i="261"/>
  <c r="BA43" i="261"/>
  <c r="BA42" i="261"/>
  <c r="BA41" i="261"/>
  <c r="BA40" i="261"/>
  <c r="BA39" i="261"/>
  <c r="BA38" i="261"/>
  <c r="BA37" i="261"/>
  <c r="BA36" i="261"/>
  <c r="BA35" i="261"/>
  <c r="BA34" i="261"/>
  <c r="BA33" i="261"/>
  <c r="BA32" i="261"/>
  <c r="BA31" i="261"/>
  <c r="BA30" i="261"/>
  <c r="BA29" i="261"/>
  <c r="BA28" i="261"/>
  <c r="BA27" i="261"/>
  <c r="BA26" i="261"/>
  <c r="BA25" i="261"/>
  <c r="BA24" i="261"/>
  <c r="BA23" i="261"/>
  <c r="BA22" i="261"/>
  <c r="BA21" i="261"/>
  <c r="BA20" i="261"/>
  <c r="BA19" i="261"/>
  <c r="BA18" i="261"/>
  <c r="BA17" i="261"/>
  <c r="BA16" i="261"/>
  <c r="BA15" i="261"/>
  <c r="BA14" i="261"/>
  <c r="BA13" i="261"/>
  <c r="BA12" i="261"/>
  <c r="BA11" i="261"/>
  <c r="BA10" i="261"/>
  <c r="BA9" i="261"/>
  <c r="BA8" i="261"/>
  <c r="BA7" i="261"/>
  <c r="BA6" i="261"/>
  <c r="BA5" i="261"/>
  <c r="H10" i="217"/>
  <c r="BY36" i="223"/>
  <c r="BX36" i="223"/>
  <c r="BZ36" i="223" s="1"/>
  <c r="BW36" i="223"/>
  <c r="BY35" i="223"/>
  <c r="BX35" i="223"/>
  <c r="BW35" i="223"/>
  <c r="BY34" i="223"/>
  <c r="BX34" i="223"/>
  <c r="BW34" i="223"/>
  <c r="BY33" i="223"/>
  <c r="BX33" i="223"/>
  <c r="BW33" i="223"/>
  <c r="BY32" i="223"/>
  <c r="BX32" i="223"/>
  <c r="BW32" i="223"/>
  <c r="BY31" i="223"/>
  <c r="BX31" i="223"/>
  <c r="BW31" i="223"/>
  <c r="BY29" i="223"/>
  <c r="BX29" i="223"/>
  <c r="BW29" i="223"/>
  <c r="BZ28" i="223"/>
  <c r="CA28" i="223" s="1"/>
  <c r="BZ27" i="223"/>
  <c r="CA27" i="223" s="1"/>
  <c r="BZ26" i="223"/>
  <c r="CA26" i="223" s="1"/>
  <c r="BY24" i="223"/>
  <c r="BX24" i="223"/>
  <c r="BW24" i="223"/>
  <c r="BZ23" i="223"/>
  <c r="CA23" i="223" s="1"/>
  <c r="BZ22" i="223"/>
  <c r="CA22" i="223" s="1"/>
  <c r="BZ21" i="223"/>
  <c r="BY19" i="223"/>
  <c r="BX19" i="223"/>
  <c r="BW19" i="223"/>
  <c r="BZ18" i="223"/>
  <c r="CA18" i="223" s="1"/>
  <c r="BZ17" i="223"/>
  <c r="CA17" i="223" s="1"/>
  <c r="BZ16" i="223"/>
  <c r="CA16" i="223" s="1"/>
  <c r="BY14" i="223"/>
  <c r="BX14" i="223"/>
  <c r="BW14" i="223"/>
  <c r="BZ13" i="223"/>
  <c r="CA13" i="223" s="1"/>
  <c r="BZ12" i="223"/>
  <c r="CA12" i="223" s="1"/>
  <c r="BZ11" i="223"/>
  <c r="CA11" i="223" s="1"/>
  <c r="BY9" i="223"/>
  <c r="BX9" i="223"/>
  <c r="BW9" i="223"/>
  <c r="BZ8" i="223"/>
  <c r="CA8" i="223" s="1"/>
  <c r="BZ7" i="223"/>
  <c r="CA7" i="223" s="1"/>
  <c r="BZ6" i="223"/>
  <c r="CA6" i="223" s="1"/>
  <c r="BZ9" i="223" l="1"/>
  <c r="CA9" i="223" s="1"/>
  <c r="BZ34" i="223"/>
  <c r="CA34" i="223" s="1"/>
  <c r="BB84" i="220"/>
  <c r="R37" i="228" s="1"/>
  <c r="L43" i="232"/>
  <c r="R56" i="228" s="1"/>
  <c r="AX58" i="222"/>
  <c r="AX53" i="222"/>
  <c r="AX42" i="222"/>
  <c r="AX16" i="222"/>
  <c r="AX10" i="222"/>
  <c r="AX36" i="222"/>
  <c r="AV85" i="222"/>
  <c r="AX23" i="222"/>
  <c r="AX54" i="222"/>
  <c r="AX27" i="222"/>
  <c r="BA84" i="261"/>
  <c r="R36" i="228" s="1"/>
  <c r="BZ29" i="223"/>
  <c r="BZ24" i="223"/>
  <c r="CA24" i="223" s="1"/>
  <c r="BZ19" i="223"/>
  <c r="CA19" i="223" s="1"/>
  <c r="BY37" i="223"/>
  <c r="BX37" i="223"/>
  <c r="CA36" i="223"/>
  <c r="BZ31" i="223"/>
  <c r="CA31" i="223" s="1"/>
  <c r="BZ14" i="223"/>
  <c r="CA14" i="223" s="1"/>
  <c r="BZ33" i="223"/>
  <c r="CA33" i="223" s="1"/>
  <c r="BZ35" i="223"/>
  <c r="CA35" i="223" s="1"/>
  <c r="BW37" i="223"/>
  <c r="CA29" i="223"/>
  <c r="BZ32" i="223"/>
  <c r="CA32" i="223" s="1"/>
  <c r="CL82" i="216"/>
  <c r="CN66" i="216"/>
  <c r="CO66" i="216"/>
  <c r="CK53" i="216"/>
  <c r="CP52" i="216"/>
  <c r="CO53" i="216"/>
  <c r="CL53" i="216"/>
  <c r="CM53" i="216"/>
  <c r="CL35" i="216"/>
  <c r="CO35" i="216"/>
  <c r="CP5" i="216"/>
  <c r="CP6" i="216"/>
  <c r="CP7" i="216"/>
  <c r="CP8" i="216"/>
  <c r="CP9" i="216"/>
  <c r="CP79" i="216"/>
  <c r="CP77" i="216"/>
  <c r="CP75" i="216"/>
  <c r="CP74" i="216"/>
  <c r="CP73" i="216"/>
  <c r="CP72" i="216"/>
  <c r="CP70" i="216"/>
  <c r="CP69" i="216"/>
  <c r="CP68" i="216"/>
  <c r="CP67" i="216"/>
  <c r="CP64" i="216"/>
  <c r="CP63" i="216"/>
  <c r="CP62" i="216"/>
  <c r="CP60" i="216"/>
  <c r="CP59" i="216"/>
  <c r="CP58" i="216"/>
  <c r="CP55" i="216"/>
  <c r="CP51" i="216"/>
  <c r="CP49" i="216"/>
  <c r="CP46" i="216"/>
  <c r="CP45" i="216"/>
  <c r="CP44" i="216"/>
  <c r="CP43" i="216"/>
  <c r="CP42" i="216"/>
  <c r="CP40" i="216"/>
  <c r="CP39" i="216"/>
  <c r="CP38" i="216"/>
  <c r="CP37" i="216"/>
  <c r="CP33" i="216"/>
  <c r="CP32" i="216"/>
  <c r="CP31" i="216"/>
  <c r="CP29" i="216"/>
  <c r="CP28" i="216"/>
  <c r="CP27" i="216"/>
  <c r="CP25" i="216"/>
  <c r="CP24" i="216"/>
  <c r="CP23" i="216"/>
  <c r="CP20" i="216"/>
  <c r="CP19" i="216"/>
  <c r="CP18" i="216"/>
  <c r="CP17" i="216"/>
  <c r="CP15" i="216"/>
  <c r="CP14" i="216"/>
  <c r="CP13" i="216"/>
  <c r="CP12" i="216"/>
  <c r="CP11" i="216"/>
  <c r="Z71" i="215"/>
  <c r="Z66" i="215"/>
  <c r="Z41" i="215"/>
  <c r="X84" i="215"/>
  <c r="Z16" i="215"/>
  <c r="Z81" i="215"/>
  <c r="Z80" i="215"/>
  <c r="Z79" i="215"/>
  <c r="Z78" i="215"/>
  <c r="Z77" i="215"/>
  <c r="Z75" i="215"/>
  <c r="Z74" i="215"/>
  <c r="Z73" i="215"/>
  <c r="Z72" i="215"/>
  <c r="Z70" i="215"/>
  <c r="Z69" i="215"/>
  <c r="Z68" i="215"/>
  <c r="Z67" i="215"/>
  <c r="Z63" i="215"/>
  <c r="Z62" i="215"/>
  <c r="Z60" i="215"/>
  <c r="Z59" i="215"/>
  <c r="Z58" i="215"/>
  <c r="Z56" i="215"/>
  <c r="Z55" i="215"/>
  <c r="Z54" i="215"/>
  <c r="Z52" i="215"/>
  <c r="Z51" i="215"/>
  <c r="Z50" i="215"/>
  <c r="Z49" i="215"/>
  <c r="Z48" i="215"/>
  <c r="Z47" i="215"/>
  <c r="Z46" i="215"/>
  <c r="Z45" i="215"/>
  <c r="Z44" i="215"/>
  <c r="Z43" i="215"/>
  <c r="Z42" i="215"/>
  <c r="Z40" i="215"/>
  <c r="Z39" i="215"/>
  <c r="Z38" i="215"/>
  <c r="Z37" i="215"/>
  <c r="Z36" i="215"/>
  <c r="Z34" i="215"/>
  <c r="Z33" i="215"/>
  <c r="Z32" i="215"/>
  <c r="Z31" i="215"/>
  <c r="Z30" i="215"/>
  <c r="Z29" i="215"/>
  <c r="Z28" i="215"/>
  <c r="Z27" i="215"/>
  <c r="Z25" i="215"/>
  <c r="Z24" i="215"/>
  <c r="Z23" i="215"/>
  <c r="Z21" i="215"/>
  <c r="Z20" i="215"/>
  <c r="Z19" i="215"/>
  <c r="Z18" i="215"/>
  <c r="Z17" i="215"/>
  <c r="Z15" i="215"/>
  <c r="Z14" i="215"/>
  <c r="Z13" i="215"/>
  <c r="Z12" i="215"/>
  <c r="Z11" i="215"/>
  <c r="Z10" i="215"/>
  <c r="Z9" i="215"/>
  <c r="Z8" i="215"/>
  <c r="Z7" i="215"/>
  <c r="Z6" i="215"/>
  <c r="Z5" i="215"/>
  <c r="BB76" i="214"/>
  <c r="BB71" i="214"/>
  <c r="BB47" i="214"/>
  <c r="BB41" i="214"/>
  <c r="BB16" i="214"/>
  <c r="BB30" i="214"/>
  <c r="BB52" i="214"/>
  <c r="BB81" i="214"/>
  <c r="BB80" i="214"/>
  <c r="BB79" i="214"/>
  <c r="BB78" i="214"/>
  <c r="BB77" i="214"/>
  <c r="BB75" i="214"/>
  <c r="BB74" i="214"/>
  <c r="BB73" i="214"/>
  <c r="BB72" i="214"/>
  <c r="BB70" i="214"/>
  <c r="BB69" i="214"/>
  <c r="BB68" i="214"/>
  <c r="BB67" i="214"/>
  <c r="BB64" i="214"/>
  <c r="BB63" i="214"/>
  <c r="BB62" i="214"/>
  <c r="BB61" i="214"/>
  <c r="BB60" i="214"/>
  <c r="BB59" i="214"/>
  <c r="BB58" i="214"/>
  <c r="BB56" i="214"/>
  <c r="BB55" i="214"/>
  <c r="BB54" i="214"/>
  <c r="BB51" i="214"/>
  <c r="BB50" i="214"/>
  <c r="BB49" i="214"/>
  <c r="BB48" i="214"/>
  <c r="BB46" i="214"/>
  <c r="BB45" i="214"/>
  <c r="BB44" i="214"/>
  <c r="BB43" i="214"/>
  <c r="BB42" i="214"/>
  <c r="BB40" i="214"/>
  <c r="BB39" i="214"/>
  <c r="BB38" i="214"/>
  <c r="BB37" i="214"/>
  <c r="BB36" i="214"/>
  <c r="BB34" i="214"/>
  <c r="BB33" i="214"/>
  <c r="BB32" i="214"/>
  <c r="BB31" i="214"/>
  <c r="BB29" i="214"/>
  <c r="BB28" i="214"/>
  <c r="BB27" i="214"/>
  <c r="BB25" i="214"/>
  <c r="BB24" i="214"/>
  <c r="BB23" i="214"/>
  <c r="BB20" i="214"/>
  <c r="BB19" i="214"/>
  <c r="BB18" i="214"/>
  <c r="BB17" i="214"/>
  <c r="BB15" i="214"/>
  <c r="BB14" i="214"/>
  <c r="BB13" i="214"/>
  <c r="BB12" i="214"/>
  <c r="BB11" i="214"/>
  <c r="BB9" i="214"/>
  <c r="BB8" i="214"/>
  <c r="BB7" i="214"/>
  <c r="BB6" i="214"/>
  <c r="BB5" i="214"/>
  <c r="CK82" i="216" l="1"/>
  <c r="CP76" i="216"/>
  <c r="CO82" i="216"/>
  <c r="CM82" i="216"/>
  <c r="CK66" i="216"/>
  <c r="CM66" i="216"/>
  <c r="CP66" i="216" s="1"/>
  <c r="CL66" i="216"/>
  <c r="CL84" i="216" s="1"/>
  <c r="CP57" i="216"/>
  <c r="CN53" i="216"/>
  <c r="CP47" i="216"/>
  <c r="CK35" i="216"/>
  <c r="CM35" i="216"/>
  <c r="CO84" i="216"/>
  <c r="AX67" i="222"/>
  <c r="AW85" i="222"/>
  <c r="AX85" i="222" s="1"/>
  <c r="AX83" i="222"/>
  <c r="BZ37" i="223"/>
  <c r="CA37" i="223" s="1"/>
  <c r="R40" i="228" s="1"/>
  <c r="CN82" i="216"/>
  <c r="CP71" i="216"/>
  <c r="CN35" i="216"/>
  <c r="CP21" i="216"/>
  <c r="CP61" i="216"/>
  <c r="CP41" i="216"/>
  <c r="CP30" i="216"/>
  <c r="CP26" i="216"/>
  <c r="CP16" i="216"/>
  <c r="CP10" i="216"/>
  <c r="CP53" i="216"/>
  <c r="CP35" i="216"/>
  <c r="CP65" i="216"/>
  <c r="CP81" i="216"/>
  <c r="CP34" i="216"/>
  <c r="Z26" i="215"/>
  <c r="Z82" i="215"/>
  <c r="Z84" i="215"/>
  <c r="R32" i="228" s="1"/>
  <c r="Z35" i="215"/>
  <c r="Z53" i="215"/>
  <c r="Z76" i="215"/>
  <c r="Z22" i="215"/>
  <c r="Z57" i="215"/>
  <c r="BB35" i="214"/>
  <c r="BB65" i="214"/>
  <c r="BB66" i="214"/>
  <c r="BB26" i="214"/>
  <c r="BB21" i="214"/>
  <c r="BA84" i="214"/>
  <c r="BB57" i="214"/>
  <c r="BB53" i="214"/>
  <c r="BB10" i="214"/>
  <c r="BB82" i="214"/>
  <c r="U102" i="274"/>
  <c r="U99" i="274"/>
  <c r="U96" i="274"/>
  <c r="U93" i="274"/>
  <c r="U88" i="274"/>
  <c r="U84" i="274"/>
  <c r="AT107" i="274"/>
  <c r="BB107" i="274"/>
  <c r="BJ107" i="274"/>
  <c r="BR107" i="274"/>
  <c r="BZ107" i="274"/>
  <c r="AT108" i="274"/>
  <c r="BB108" i="274"/>
  <c r="BJ108" i="274"/>
  <c r="BR108" i="274"/>
  <c r="BZ108" i="274"/>
  <c r="V81" i="274"/>
  <c r="V82" i="274"/>
  <c r="V83" i="274"/>
  <c r="V84" i="274"/>
  <c r="V85" i="274"/>
  <c r="V86" i="274"/>
  <c r="V87" i="274"/>
  <c r="V88" i="274"/>
  <c r="V89" i="274"/>
  <c r="V90" i="274"/>
  <c r="V91" i="274"/>
  <c r="V92" i="274"/>
  <c r="V93" i="274"/>
  <c r="V94" i="274"/>
  <c r="V95" i="274"/>
  <c r="V96" i="274"/>
  <c r="V97" i="274"/>
  <c r="V98" i="274"/>
  <c r="V99" i="274"/>
  <c r="V100" i="274"/>
  <c r="V101" i="274"/>
  <c r="V102" i="274"/>
  <c r="V103" i="274"/>
  <c r="V105" i="274"/>
  <c r="V80" i="274"/>
  <c r="V77" i="274"/>
  <c r="V78" i="274"/>
  <c r="V79" i="274"/>
  <c r="U78" i="274"/>
  <c r="U73" i="274"/>
  <c r="U64" i="274"/>
  <c r="V64" i="274"/>
  <c r="V65" i="274"/>
  <c r="V66" i="274"/>
  <c r="V67" i="274"/>
  <c r="V68" i="274"/>
  <c r="V69" i="274"/>
  <c r="V70" i="274"/>
  <c r="V71" i="274"/>
  <c r="V72" i="274"/>
  <c r="V73" i="274"/>
  <c r="V74" i="274"/>
  <c r="V75" i="274"/>
  <c r="V76" i="274"/>
  <c r="U56" i="274"/>
  <c r="U49" i="274"/>
  <c r="U37" i="274"/>
  <c r="V7" i="274"/>
  <c r="V8" i="274"/>
  <c r="V9" i="274"/>
  <c r="V10" i="274"/>
  <c r="V11" i="274"/>
  <c r="V12" i="274"/>
  <c r="V13" i="274"/>
  <c r="V14" i="274"/>
  <c r="V15" i="274"/>
  <c r="V16" i="274"/>
  <c r="V17" i="274"/>
  <c r="V18" i="274"/>
  <c r="V19" i="274"/>
  <c r="V20" i="274"/>
  <c r="V21" i="274"/>
  <c r="V22" i="274"/>
  <c r="V23" i="274"/>
  <c r="V24" i="274"/>
  <c r="V25" i="274"/>
  <c r="V26" i="274"/>
  <c r="V27" i="274"/>
  <c r="V28" i="274"/>
  <c r="V29" i="274"/>
  <c r="V30" i="274"/>
  <c r="V31" i="274"/>
  <c r="V32" i="274"/>
  <c r="V33" i="274"/>
  <c r="V34" i="274"/>
  <c r="V35" i="274"/>
  <c r="V36" i="274"/>
  <c r="V37" i="274"/>
  <c r="V38" i="274"/>
  <c r="V39" i="274"/>
  <c r="V40" i="274"/>
  <c r="V41" i="274"/>
  <c r="V42" i="274"/>
  <c r="V43" i="274"/>
  <c r="V44" i="274"/>
  <c r="V45" i="274"/>
  <c r="V46" i="274"/>
  <c r="V47" i="274"/>
  <c r="V48" i="274"/>
  <c r="V49" i="274"/>
  <c r="V50" i="274"/>
  <c r="V51" i="274"/>
  <c r="V52" i="274"/>
  <c r="V53" i="274"/>
  <c r="V54" i="274"/>
  <c r="V55" i="274"/>
  <c r="V56" i="274"/>
  <c r="V57" i="274"/>
  <c r="V58" i="274"/>
  <c r="V59" i="274"/>
  <c r="V60" i="274"/>
  <c r="V61" i="274"/>
  <c r="V62" i="274"/>
  <c r="V63" i="274"/>
  <c r="U25" i="274"/>
  <c r="U21" i="274"/>
  <c r="U16" i="274"/>
  <c r="V6" i="274"/>
  <c r="U94" i="274" l="1"/>
  <c r="U103" i="274"/>
  <c r="CP82" i="216"/>
  <c r="CK84" i="216"/>
  <c r="CN84" i="216"/>
  <c r="CM84" i="216"/>
  <c r="CP22" i="216"/>
  <c r="AZ84" i="214"/>
  <c r="BB84" i="214" s="1"/>
  <c r="R31" i="228" s="1"/>
  <c r="BB22" i="214"/>
  <c r="U79" i="274"/>
  <c r="U57" i="274"/>
  <c r="U26" i="274"/>
  <c r="AI97" i="262"/>
  <c r="AI99" i="262"/>
  <c r="AI100" i="262"/>
  <c r="AI101" i="262"/>
  <c r="AI103" i="262"/>
  <c r="AI104" i="262"/>
  <c r="AI105" i="262"/>
  <c r="W102" i="262"/>
  <c r="X102" i="262"/>
  <c r="Y102" i="262"/>
  <c r="Z102" i="262"/>
  <c r="AA102" i="262"/>
  <c r="AB102" i="262"/>
  <c r="AC102" i="262"/>
  <c r="AD102" i="262"/>
  <c r="AE102" i="262"/>
  <c r="AF102" i="262"/>
  <c r="AG102" i="262"/>
  <c r="AH102" i="262"/>
  <c r="W98" i="262"/>
  <c r="X98" i="262"/>
  <c r="Y98" i="262"/>
  <c r="Z98" i="262"/>
  <c r="AA98" i="262"/>
  <c r="AB98" i="262"/>
  <c r="AC98" i="262"/>
  <c r="AD98" i="262"/>
  <c r="AE98" i="262"/>
  <c r="AF98" i="262"/>
  <c r="AF107" i="262" s="1"/>
  <c r="AG98" i="262"/>
  <c r="AG107" i="262" s="1"/>
  <c r="AH98" i="262"/>
  <c r="AH107" i="262" s="1"/>
  <c r="W106" i="262"/>
  <c r="X106" i="262"/>
  <c r="X107" i="262" s="1"/>
  <c r="Y106" i="262"/>
  <c r="Z106" i="262"/>
  <c r="AA106" i="262"/>
  <c r="AB106" i="262"/>
  <c r="AB107" i="262" s="1"/>
  <c r="AC106" i="262"/>
  <c r="AC107" i="262" s="1"/>
  <c r="AD106" i="262"/>
  <c r="AE106" i="262"/>
  <c r="AF106" i="262"/>
  <c r="AG106" i="262"/>
  <c r="AH106" i="262"/>
  <c r="Y107" i="262"/>
  <c r="V106" i="262"/>
  <c r="V102" i="262"/>
  <c r="V98" i="262"/>
  <c r="AI84" i="262"/>
  <c r="AI86" i="262"/>
  <c r="AI87" i="262"/>
  <c r="AI88" i="262"/>
  <c r="AI90" i="262"/>
  <c r="AI91" i="262"/>
  <c r="AI92" i="262"/>
  <c r="AI93" i="262"/>
  <c r="W94" i="262"/>
  <c r="X94" i="262"/>
  <c r="Y94" i="262"/>
  <c r="Z94" i="262"/>
  <c r="AA94" i="262"/>
  <c r="AA95" i="262" s="1"/>
  <c r="AB94" i="262"/>
  <c r="AC94" i="262"/>
  <c r="AD94" i="262"/>
  <c r="AE94" i="262"/>
  <c r="AF94" i="262"/>
  <c r="AG94" i="262"/>
  <c r="AH94" i="262"/>
  <c r="W89" i="262"/>
  <c r="W95" i="262" s="1"/>
  <c r="X89" i="262"/>
  <c r="Y89" i="262"/>
  <c r="Z89" i="262"/>
  <c r="AA89" i="262"/>
  <c r="AB89" i="262"/>
  <c r="AC89" i="262"/>
  <c r="AD89" i="262"/>
  <c r="AE89" i="262"/>
  <c r="AE95" i="262" s="1"/>
  <c r="AF89" i="262"/>
  <c r="AG89" i="262"/>
  <c r="AH89" i="262"/>
  <c r="W85" i="262"/>
  <c r="X85" i="262"/>
  <c r="Y85" i="262"/>
  <c r="Z85" i="262"/>
  <c r="Z95" i="262" s="1"/>
  <c r="AA85" i="262"/>
  <c r="AB85" i="262"/>
  <c r="AC85" i="262"/>
  <c r="AD85" i="262"/>
  <c r="AE85" i="262"/>
  <c r="AF85" i="262"/>
  <c r="AG85" i="262"/>
  <c r="AH85" i="262"/>
  <c r="V94" i="262"/>
  <c r="V95" i="262" s="1"/>
  <c r="V89" i="262"/>
  <c r="V85" i="262"/>
  <c r="AI66" i="262"/>
  <c r="AI67" i="262"/>
  <c r="AI68" i="262"/>
  <c r="AI69" i="262"/>
  <c r="AI70" i="262"/>
  <c r="AI71" i="262"/>
  <c r="AI72" i="262"/>
  <c r="AI73" i="262"/>
  <c r="AI75" i="262"/>
  <c r="AI76" i="262"/>
  <c r="AI77" i="262"/>
  <c r="AI78" i="262"/>
  <c r="W79" i="262"/>
  <c r="X79" i="262"/>
  <c r="Y79" i="262"/>
  <c r="Z79" i="262"/>
  <c r="AA79" i="262"/>
  <c r="AB79" i="262"/>
  <c r="AC79" i="262"/>
  <c r="AD79" i="262"/>
  <c r="AE79" i="262"/>
  <c r="AF79" i="262"/>
  <c r="AG79" i="262"/>
  <c r="AH79" i="262"/>
  <c r="V79" i="262"/>
  <c r="W74" i="262"/>
  <c r="X74" i="262"/>
  <c r="Y74" i="262"/>
  <c r="Z74" i="262"/>
  <c r="AA74" i="262"/>
  <c r="AB74" i="262"/>
  <c r="AC74" i="262"/>
  <c r="AD74" i="262"/>
  <c r="AE74" i="262"/>
  <c r="AF74" i="262"/>
  <c r="AG74" i="262"/>
  <c r="AH74" i="262"/>
  <c r="W65" i="262"/>
  <c r="X65" i="262"/>
  <c r="Y65" i="262"/>
  <c r="Z65" i="262"/>
  <c r="AA65" i="262"/>
  <c r="AB65" i="262"/>
  <c r="AC65" i="262"/>
  <c r="AD65" i="262"/>
  <c r="AE65" i="262"/>
  <c r="AF65" i="262"/>
  <c r="AG65" i="262"/>
  <c r="AH65" i="262"/>
  <c r="V74" i="262"/>
  <c r="V65" i="262"/>
  <c r="AI37" i="262"/>
  <c r="AI39" i="262"/>
  <c r="AI40" i="262"/>
  <c r="AI41" i="262"/>
  <c r="AI42" i="262"/>
  <c r="AI43" i="262"/>
  <c r="AI44" i="262"/>
  <c r="AI45" i="262"/>
  <c r="AI46" i="262"/>
  <c r="AI47" i="262"/>
  <c r="AI48" i="262"/>
  <c r="AI49" i="262"/>
  <c r="AI51" i="262"/>
  <c r="AI52" i="262"/>
  <c r="AI53" i="262"/>
  <c r="AI54" i="262"/>
  <c r="AI55" i="262"/>
  <c r="AI56" i="262"/>
  <c r="W57" i="262"/>
  <c r="X57" i="262"/>
  <c r="Y57" i="262"/>
  <c r="Z57" i="262"/>
  <c r="AA57" i="262"/>
  <c r="AB57" i="262"/>
  <c r="AC57" i="262"/>
  <c r="AD57" i="262"/>
  <c r="AE57" i="262"/>
  <c r="AF57" i="262"/>
  <c r="AG57" i="262"/>
  <c r="AH57" i="262"/>
  <c r="W50" i="262"/>
  <c r="X50" i="262"/>
  <c r="Y50" i="262"/>
  <c r="Z50" i="262"/>
  <c r="AA50" i="262"/>
  <c r="AB50" i="262"/>
  <c r="AC50" i="262"/>
  <c r="AD50" i="262"/>
  <c r="AE50" i="262"/>
  <c r="AF50" i="262"/>
  <c r="AG50" i="262"/>
  <c r="AH50" i="262"/>
  <c r="W38" i="262"/>
  <c r="X38" i="262"/>
  <c r="Y38" i="262"/>
  <c r="Z38" i="262"/>
  <c r="AA38" i="262"/>
  <c r="AB38" i="262"/>
  <c r="AC38" i="262"/>
  <c r="AD38" i="262"/>
  <c r="AE38" i="262"/>
  <c r="AF38" i="262"/>
  <c r="AG38" i="262"/>
  <c r="AH38" i="262"/>
  <c r="V57" i="262"/>
  <c r="V50" i="262"/>
  <c r="V38" i="262"/>
  <c r="AI18" i="262"/>
  <c r="AI19" i="262"/>
  <c r="AI20" i="262"/>
  <c r="AI21" i="262"/>
  <c r="AI23" i="262"/>
  <c r="AI24" i="262"/>
  <c r="AI25" i="262"/>
  <c r="W26" i="262"/>
  <c r="X26" i="262"/>
  <c r="Y26" i="262"/>
  <c r="Z26" i="262"/>
  <c r="AA26" i="262"/>
  <c r="AB26" i="262"/>
  <c r="AC26" i="262"/>
  <c r="AD26" i="262"/>
  <c r="AE26" i="262"/>
  <c r="AF26" i="262"/>
  <c r="AG26" i="262"/>
  <c r="AH26" i="262"/>
  <c r="W22" i="262"/>
  <c r="X22" i="262"/>
  <c r="Y22" i="262"/>
  <c r="Z22" i="262"/>
  <c r="AA22" i="262"/>
  <c r="AB22" i="262"/>
  <c r="AC22" i="262"/>
  <c r="AD22" i="262"/>
  <c r="AE22" i="262"/>
  <c r="AF22" i="262"/>
  <c r="AG22" i="262"/>
  <c r="AH22" i="262"/>
  <c r="W17" i="262"/>
  <c r="X17" i="262"/>
  <c r="Y17" i="262"/>
  <c r="Z17" i="262"/>
  <c r="AA17" i="262"/>
  <c r="AB17" i="262"/>
  <c r="AC17" i="262"/>
  <c r="AD17" i="262"/>
  <c r="AE17" i="262"/>
  <c r="AF17" i="262"/>
  <c r="AG17" i="262"/>
  <c r="AH17" i="262"/>
  <c r="V26" i="262"/>
  <c r="V22" i="262"/>
  <c r="V17" i="262"/>
  <c r="AI8" i="262"/>
  <c r="AI9" i="262"/>
  <c r="AI10" i="262"/>
  <c r="AI11" i="262"/>
  <c r="AI12" i="262"/>
  <c r="AI13" i="262"/>
  <c r="AI14" i="262"/>
  <c r="AI15" i="262"/>
  <c r="AI16" i="262"/>
  <c r="AI28" i="262"/>
  <c r="AI29" i="262"/>
  <c r="AI30" i="262"/>
  <c r="AI31" i="262"/>
  <c r="AI32" i="262"/>
  <c r="AI33" i="262"/>
  <c r="AI34" i="262"/>
  <c r="AI35" i="262"/>
  <c r="AI36" i="262"/>
  <c r="AI59" i="262"/>
  <c r="AI60" i="262"/>
  <c r="AI61" i="262"/>
  <c r="AI62" i="262"/>
  <c r="AI63" i="262"/>
  <c r="AI64" i="262"/>
  <c r="AI81" i="262"/>
  <c r="AI82" i="262"/>
  <c r="AI83" i="262"/>
  <c r="AI96" i="262"/>
  <c r="U105" i="274" l="1"/>
  <c r="AB95" i="262"/>
  <c r="V107" i="262"/>
  <c r="AI102" i="262"/>
  <c r="AI89" i="262"/>
  <c r="AH95" i="262"/>
  <c r="AI98" i="262"/>
  <c r="AI85" i="262"/>
  <c r="AG95" i="262"/>
  <c r="AG109" i="262" s="1"/>
  <c r="Y95" i="262"/>
  <c r="W107" i="262"/>
  <c r="AI94" i="262"/>
  <c r="Z107" i="262"/>
  <c r="CP84" i="216"/>
  <c r="R33" i="228" s="1"/>
  <c r="X109" i="262"/>
  <c r="AI106" i="262"/>
  <c r="AA107" i="262"/>
  <c r="AF95" i="262"/>
  <c r="X95" i="262"/>
  <c r="AC95" i="262"/>
  <c r="AI95" i="262" s="1"/>
  <c r="AE107" i="262"/>
  <c r="AD95" i="262"/>
  <c r="AD107" i="262"/>
  <c r="AI79" i="262"/>
  <c r="AD80" i="262"/>
  <c r="AG80" i="262"/>
  <c r="AA80" i="262"/>
  <c r="AI65" i="262"/>
  <c r="AF80" i="262"/>
  <c r="Y80" i="262"/>
  <c r="AE80" i="262"/>
  <c r="W80" i="262"/>
  <c r="V80" i="262"/>
  <c r="AH80" i="262"/>
  <c r="X80" i="262"/>
  <c r="AI74" i="262"/>
  <c r="AB80" i="262"/>
  <c r="Z80" i="262"/>
  <c r="AC80" i="262"/>
  <c r="AG58" i="262"/>
  <c r="V58" i="262"/>
  <c r="AI50" i="262"/>
  <c r="AF58" i="262"/>
  <c r="X58" i="262"/>
  <c r="AA58" i="262"/>
  <c r="AH58" i="262"/>
  <c r="Z58" i="262"/>
  <c r="Z109" i="262" s="1"/>
  <c r="AI38" i="262"/>
  <c r="Y58" i="262"/>
  <c r="AE58" i="262"/>
  <c r="W58" i="262"/>
  <c r="AD58" i="262"/>
  <c r="AI26" i="262"/>
  <c r="AC58" i="262"/>
  <c r="AI57" i="262"/>
  <c r="Z27" i="262"/>
  <c r="AB58" i="262"/>
  <c r="AG27" i="262"/>
  <c r="AI22" i="262"/>
  <c r="V27" i="262"/>
  <c r="AI17" i="262"/>
  <c r="Y27" i="262"/>
  <c r="AC27" i="262"/>
  <c r="AB27" i="262"/>
  <c r="AA27" i="262"/>
  <c r="AF27" i="262"/>
  <c r="X27" i="262"/>
  <c r="AE27" i="262"/>
  <c r="W27" i="262"/>
  <c r="AH27" i="262"/>
  <c r="AD27" i="262"/>
  <c r="F56" i="255"/>
  <c r="F55" i="255"/>
  <c r="F54" i="255"/>
  <c r="F49" i="255"/>
  <c r="F48" i="255"/>
  <c r="F46" i="255"/>
  <c r="F42" i="255"/>
  <c r="F38" i="255"/>
  <c r="F37" i="255"/>
  <c r="F33" i="255"/>
  <c r="F26" i="255"/>
  <c r="F19" i="255"/>
  <c r="F18" i="255"/>
  <c r="F13" i="255"/>
  <c r="F11" i="255"/>
  <c r="E56" i="255"/>
  <c r="E55" i="255"/>
  <c r="E54" i="255"/>
  <c r="E51" i="255"/>
  <c r="E49" i="255"/>
  <c r="E48" i="255"/>
  <c r="E46" i="255"/>
  <c r="E42" i="255"/>
  <c r="E38" i="255"/>
  <c r="E37" i="255"/>
  <c r="E33" i="255"/>
  <c r="E26" i="255"/>
  <c r="E19" i="255"/>
  <c r="E18" i="255"/>
  <c r="E13" i="255"/>
  <c r="E11" i="255"/>
  <c r="F8" i="255"/>
  <c r="F9" i="255"/>
  <c r="F10" i="255"/>
  <c r="F12" i="255"/>
  <c r="F14" i="255"/>
  <c r="F15" i="255"/>
  <c r="F16" i="255"/>
  <c r="F17" i="255"/>
  <c r="F20" i="255"/>
  <c r="F21" i="255"/>
  <c r="F22" i="255"/>
  <c r="F23" i="255"/>
  <c r="F24" i="255"/>
  <c r="F25" i="255"/>
  <c r="F27" i="255"/>
  <c r="F28" i="255"/>
  <c r="F29" i="255"/>
  <c r="F30" i="255"/>
  <c r="F31" i="255"/>
  <c r="F32" i="255"/>
  <c r="F34" i="255"/>
  <c r="F35" i="255"/>
  <c r="F36" i="255"/>
  <c r="F39" i="255"/>
  <c r="F40" i="255"/>
  <c r="F41" i="255"/>
  <c r="F43" i="255"/>
  <c r="F44" i="255"/>
  <c r="F45" i="255"/>
  <c r="F47" i="255"/>
  <c r="F50" i="255"/>
  <c r="F52" i="255"/>
  <c r="F53" i="255"/>
  <c r="F7" i="255"/>
  <c r="F64" i="254"/>
  <c r="F38" i="254"/>
  <c r="F23" i="254"/>
  <c r="F44" i="254"/>
  <c r="F69" i="254"/>
  <c r="F74" i="254"/>
  <c r="F73" i="254"/>
  <c r="E73" i="254"/>
  <c r="E74" i="254"/>
  <c r="E68" i="254"/>
  <c r="E64" i="254"/>
  <c r="E56" i="254"/>
  <c r="E43" i="254"/>
  <c r="E38" i="254"/>
  <c r="E31" i="254"/>
  <c r="F25" i="254"/>
  <c r="F26" i="254"/>
  <c r="F27" i="254"/>
  <c r="F28" i="254"/>
  <c r="F29" i="254"/>
  <c r="F30" i="254"/>
  <c r="F32" i="254"/>
  <c r="F33" i="254"/>
  <c r="F34" i="254"/>
  <c r="F35" i="254"/>
  <c r="F36" i="254"/>
  <c r="F37" i="254"/>
  <c r="F39" i="254"/>
  <c r="F40" i="254"/>
  <c r="F41" i="254"/>
  <c r="F42" i="254"/>
  <c r="F45" i="254"/>
  <c r="F46" i="254"/>
  <c r="F47" i="254"/>
  <c r="F48" i="254"/>
  <c r="F49" i="254"/>
  <c r="F50" i="254"/>
  <c r="F51" i="254"/>
  <c r="F52" i="254"/>
  <c r="F53" i="254"/>
  <c r="F54" i="254"/>
  <c r="F55" i="254"/>
  <c r="F57" i="254"/>
  <c r="F58" i="254"/>
  <c r="F59" i="254"/>
  <c r="F60" i="254"/>
  <c r="F61" i="254"/>
  <c r="F62" i="254"/>
  <c r="F63" i="254"/>
  <c r="F65" i="254"/>
  <c r="F66" i="254"/>
  <c r="F67" i="254"/>
  <c r="F70" i="254"/>
  <c r="F71" i="254"/>
  <c r="F72" i="254"/>
  <c r="F24" i="254"/>
  <c r="F20" i="254"/>
  <c r="F21" i="254"/>
  <c r="F19" i="254"/>
  <c r="F14" i="254"/>
  <c r="F15" i="254"/>
  <c r="F16" i="254"/>
  <c r="F17" i="254"/>
  <c r="F13" i="254"/>
  <c r="E22" i="254"/>
  <c r="E18" i="254"/>
  <c r="F7" i="254"/>
  <c r="F8" i="254"/>
  <c r="F9" i="254"/>
  <c r="F10" i="254"/>
  <c r="F11" i="254"/>
  <c r="F6" i="254"/>
  <c r="E12" i="254"/>
  <c r="F20" i="253"/>
  <c r="F19" i="253"/>
  <c r="F18" i="253"/>
  <c r="F16" i="253"/>
  <c r="F15" i="253"/>
  <c r="E19" i="253"/>
  <c r="E20" i="253" s="1"/>
  <c r="E18" i="253"/>
  <c r="E16" i="253"/>
  <c r="E15" i="253"/>
  <c r="E11" i="253"/>
  <c r="E13" i="253"/>
  <c r="E10" i="253"/>
  <c r="E8" i="253"/>
  <c r="F7" i="253"/>
  <c r="F8" i="253"/>
  <c r="F9" i="253"/>
  <c r="F10" i="253"/>
  <c r="F11" i="253"/>
  <c r="F12" i="253"/>
  <c r="F13" i="253"/>
  <c r="F14" i="253"/>
  <c r="F17" i="253"/>
  <c r="F6" i="253"/>
  <c r="W109" i="262" l="1"/>
  <c r="AC109" i="262"/>
  <c r="AH109" i="262"/>
  <c r="Y109" i="262"/>
  <c r="AB109" i="262"/>
  <c r="AF109" i="262"/>
  <c r="V109" i="262"/>
  <c r="AD109" i="262"/>
  <c r="AE109" i="262"/>
  <c r="AI107" i="262"/>
  <c r="AA109" i="262"/>
  <c r="AI80" i="262"/>
  <c r="AI58" i="262"/>
  <c r="AI27" i="262"/>
  <c r="F56" i="254"/>
  <c r="F68" i="254"/>
  <c r="E69" i="254"/>
  <c r="F43" i="254"/>
  <c r="F31" i="254"/>
  <c r="E44" i="254"/>
  <c r="F18" i="254"/>
  <c r="F22" i="254"/>
  <c r="E23" i="254"/>
  <c r="F12" i="254"/>
  <c r="E91" i="252"/>
  <c r="G88" i="252"/>
  <c r="G90" i="252"/>
  <c r="E90" i="252"/>
  <c r="E88" i="252"/>
  <c r="AI109" i="262" l="1"/>
  <c r="G83" i="252"/>
  <c r="G71" i="252"/>
  <c r="E59" i="252"/>
  <c r="G56" i="252"/>
  <c r="G16" i="252"/>
  <c r="E190" i="252"/>
  <c r="E204" i="252"/>
  <c r="E211" i="252"/>
  <c r="E210" i="252"/>
  <c r="G210" i="252" s="1"/>
  <c r="E222" i="252"/>
  <c r="E221" i="252"/>
  <c r="E216" i="252"/>
  <c r="G216" i="252" s="1"/>
  <c r="E208" i="252"/>
  <c r="E203" i="252"/>
  <c r="G203" i="252" s="1"/>
  <c r="E198" i="252"/>
  <c r="G198" i="252" s="1"/>
  <c r="E189" i="252"/>
  <c r="G189" i="252" s="1"/>
  <c r="E181" i="252"/>
  <c r="E179" i="252"/>
  <c r="G179" i="252" s="1"/>
  <c r="E174" i="252"/>
  <c r="G174" i="252" s="1"/>
  <c r="E171" i="252"/>
  <c r="G171" i="252" s="1"/>
  <c r="E150" i="252"/>
  <c r="E149" i="252"/>
  <c r="G149" i="252" s="1"/>
  <c r="E137" i="252"/>
  <c r="G137" i="252" s="1"/>
  <c r="E129" i="252"/>
  <c r="G129" i="252" s="1"/>
  <c r="E118" i="252"/>
  <c r="E117" i="252"/>
  <c r="G117" i="252" s="1"/>
  <c r="E114" i="252"/>
  <c r="G114" i="252" s="1"/>
  <c r="E109" i="252"/>
  <c r="G109" i="252" s="1"/>
  <c r="E103" i="252"/>
  <c r="G103" i="252" s="1"/>
  <c r="E95" i="252"/>
  <c r="G95" i="252" s="1"/>
  <c r="E22" i="252"/>
  <c r="E86" i="252"/>
  <c r="G86" i="252" s="1"/>
  <c r="E83" i="252"/>
  <c r="E77" i="252"/>
  <c r="G77" i="252" s="1"/>
  <c r="E71" i="252"/>
  <c r="E66" i="252"/>
  <c r="E58" i="252"/>
  <c r="E56" i="252"/>
  <c r="E51" i="252"/>
  <c r="E48" i="252"/>
  <c r="E42" i="252"/>
  <c r="E38" i="252"/>
  <c r="E32" i="252"/>
  <c r="E28" i="252"/>
  <c r="E21" i="252"/>
  <c r="G21" i="252" s="1"/>
  <c r="E16" i="252"/>
  <c r="E13" i="252"/>
  <c r="G13" i="252" s="1"/>
  <c r="E305" i="251"/>
  <c r="G294" i="251"/>
  <c r="G289" i="251"/>
  <c r="E282" i="251"/>
  <c r="E263" i="251"/>
  <c r="G217" i="251"/>
  <c r="E248" i="251"/>
  <c r="G248" i="251" s="1"/>
  <c r="E322" i="251"/>
  <c r="E303" i="251"/>
  <c r="E302" i="251"/>
  <c r="E294" i="251"/>
  <c r="E289" i="251"/>
  <c r="E283" i="251"/>
  <c r="G282" i="251"/>
  <c r="E272" i="251"/>
  <c r="E270" i="251"/>
  <c r="E268" i="251"/>
  <c r="E266" i="251"/>
  <c r="E252" i="251"/>
  <c r="G252" i="251" s="1"/>
  <c r="E321" i="251"/>
  <c r="G321" i="251" s="1"/>
  <c r="E315" i="251"/>
  <c r="E310" i="251"/>
  <c r="G310" i="251" s="1"/>
  <c r="E243" i="251"/>
  <c r="E242" i="251"/>
  <c r="G242" i="251" s="1"/>
  <c r="E237" i="251"/>
  <c r="G237" i="251" s="1"/>
  <c r="E229" i="251"/>
  <c r="G229" i="251" s="1"/>
  <c r="E222" i="251"/>
  <c r="E221" i="251"/>
  <c r="G221" i="251" s="1"/>
  <c r="E217" i="251"/>
  <c r="E211" i="251"/>
  <c r="G211" i="251" s="1"/>
  <c r="E207" i="251"/>
  <c r="G207" i="251" s="1"/>
  <c r="E200" i="251"/>
  <c r="E199" i="251"/>
  <c r="G199" i="251" s="1"/>
  <c r="E193" i="251"/>
  <c r="E182" i="251"/>
  <c r="G182" i="251" s="1"/>
  <c r="E179" i="251"/>
  <c r="G179" i="251" s="1"/>
  <c r="E169" i="251"/>
  <c r="G169" i="251" s="1"/>
  <c r="E164" i="251"/>
  <c r="E163" i="251"/>
  <c r="G163" i="251" s="1"/>
  <c r="E152" i="251"/>
  <c r="G152" i="251" s="1"/>
  <c r="E146" i="251"/>
  <c r="E141" i="251"/>
  <c r="G141" i="251" s="1"/>
  <c r="E133" i="251"/>
  <c r="G133" i="251" s="1"/>
  <c r="E127" i="251"/>
  <c r="G127" i="251" s="1"/>
  <c r="E118" i="251"/>
  <c r="G118" i="251" s="1"/>
  <c r="E103" i="251"/>
  <c r="E102" i="251"/>
  <c r="E98" i="251"/>
  <c r="G98" i="251" s="1"/>
  <c r="E94" i="251"/>
  <c r="E91" i="251"/>
  <c r="G91" i="251" s="1"/>
  <c r="E83" i="251"/>
  <c r="E74" i="251"/>
  <c r="E82" i="251"/>
  <c r="G82" i="251" s="1"/>
  <c r="E65" i="251"/>
  <c r="G65" i="251" s="1"/>
  <c r="E61" i="251"/>
  <c r="G61" i="251" s="1"/>
  <c r="E56" i="251"/>
  <c r="G56" i="251" s="1"/>
  <c r="E51" i="251"/>
  <c r="G51" i="251" s="1"/>
  <c r="E47" i="251"/>
  <c r="E46" i="251"/>
  <c r="G46" i="251" s="1"/>
  <c r="E41" i="251"/>
  <c r="G41" i="251" s="1"/>
  <c r="E30" i="251"/>
  <c r="E28" i="251"/>
  <c r="G28" i="251" s="1"/>
  <c r="E19" i="251"/>
  <c r="E13" i="251"/>
  <c r="M47" i="250"/>
  <c r="M40" i="250"/>
  <c r="M37" i="250"/>
  <c r="O37" i="250" s="1"/>
  <c r="M26" i="250"/>
  <c r="AR41" i="250"/>
  <c r="GG10" i="250"/>
  <c r="M42" i="250"/>
  <c r="M32" i="250"/>
  <c r="O32" i="250" s="1"/>
  <c r="M23" i="250"/>
  <c r="M21" i="250"/>
  <c r="O21" i="250" s="1"/>
  <c r="M18" i="250"/>
  <c r="O18" i="250" s="1"/>
  <c r="M13" i="250"/>
  <c r="M9" i="250"/>
  <c r="O9" i="250" s="1"/>
  <c r="G23" i="252" l="1"/>
  <c r="E152" i="252"/>
  <c r="E224" i="252" s="1"/>
  <c r="E205" i="252"/>
  <c r="G151" i="252"/>
  <c r="G205" i="252"/>
  <c r="E223" i="252"/>
  <c r="G223" i="252" s="1"/>
  <c r="E61" i="252"/>
  <c r="G221" i="252"/>
  <c r="E191" i="252"/>
  <c r="E212" i="252" s="1"/>
  <c r="E151" i="252"/>
  <c r="E119" i="252"/>
  <c r="G119" i="252" s="1"/>
  <c r="E34" i="252"/>
  <c r="E92" i="252"/>
  <c r="G92" i="252" s="1"/>
  <c r="E23" i="252"/>
  <c r="E60" i="252"/>
  <c r="G60" i="252" s="1"/>
  <c r="G263" i="251"/>
  <c r="E284" i="251"/>
  <c r="G284" i="251" s="1"/>
  <c r="E304" i="251"/>
  <c r="G304" i="251"/>
  <c r="E324" i="251"/>
  <c r="E323" i="251"/>
  <c r="G323" i="251" s="1"/>
  <c r="E224" i="251"/>
  <c r="E244" i="251"/>
  <c r="E223" i="251"/>
  <c r="G223" i="251" s="1"/>
  <c r="E201" i="251"/>
  <c r="G201" i="251" s="1"/>
  <c r="G193" i="251"/>
  <c r="E165" i="251"/>
  <c r="G165" i="251" s="1"/>
  <c r="G146" i="251"/>
  <c r="E104" i="251"/>
  <c r="G104" i="251" s="1"/>
  <c r="E105" i="251"/>
  <c r="E84" i="251"/>
  <c r="G84" i="251" s="1"/>
  <c r="G74" i="251"/>
  <c r="E48" i="251"/>
  <c r="M41" i="250"/>
  <c r="M14" i="250"/>
  <c r="O14" i="250" s="1"/>
  <c r="M22" i="250"/>
  <c r="O22" i="250" s="1"/>
  <c r="M41" i="272"/>
  <c r="K39" i="272"/>
  <c r="M39" i="272" s="1"/>
  <c r="M38" i="272"/>
  <c r="M37" i="272"/>
  <c r="M36" i="272"/>
  <c r="M35" i="272"/>
  <c r="M34" i="272"/>
  <c r="K32" i="272"/>
  <c r="M32" i="272" s="1"/>
  <c r="M31" i="272"/>
  <c r="M30" i="272"/>
  <c r="M29" i="272"/>
  <c r="M28" i="272"/>
  <c r="M27" i="272"/>
  <c r="K25" i="272"/>
  <c r="M25" i="272" s="1"/>
  <c r="M24" i="272"/>
  <c r="M23" i="272"/>
  <c r="M22" i="272"/>
  <c r="M21" i="272"/>
  <c r="M20" i="272"/>
  <c r="K18" i="272"/>
  <c r="M18" i="272" s="1"/>
  <c r="M17" i="272"/>
  <c r="M16" i="272"/>
  <c r="M15" i="272"/>
  <c r="M14" i="272"/>
  <c r="M13" i="272"/>
  <c r="K11" i="272"/>
  <c r="M10" i="272"/>
  <c r="M9" i="272"/>
  <c r="M8" i="272"/>
  <c r="M7" i="272"/>
  <c r="M6" i="272"/>
  <c r="K43" i="272" l="1"/>
  <c r="M43" i="272" s="1"/>
  <c r="M11" i="272"/>
  <c r="G191" i="252"/>
  <c r="G212" i="252"/>
  <c r="E153" i="252"/>
  <c r="G153" i="252" s="1"/>
  <c r="E62" i="252"/>
  <c r="G62" i="252" s="1"/>
  <c r="E106" i="251"/>
  <c r="G106" i="251" s="1"/>
  <c r="G244" i="251"/>
  <c r="E306" i="251"/>
  <c r="E225" i="251"/>
  <c r="G225" i="251" s="1"/>
  <c r="G48" i="251"/>
  <c r="M43" i="250"/>
  <c r="O43" i="250" s="1"/>
  <c r="O41" i="250"/>
  <c r="M24" i="250"/>
  <c r="Q41" i="234"/>
  <c r="S41" i="234" s="1"/>
  <c r="R39" i="234"/>
  <c r="P39" i="234"/>
  <c r="O39" i="234"/>
  <c r="Q38" i="234"/>
  <c r="S38" i="234" s="1"/>
  <c r="S37" i="234"/>
  <c r="Q37" i="234"/>
  <c r="S36" i="234"/>
  <c r="Q36" i="234"/>
  <c r="S35" i="234"/>
  <c r="Q35" i="234"/>
  <c r="Q34" i="234"/>
  <c r="S34" i="234" s="1"/>
  <c r="R32" i="234"/>
  <c r="P32" i="234"/>
  <c r="O32" i="234"/>
  <c r="Q31" i="234"/>
  <c r="S31" i="234" s="1"/>
  <c r="Q30" i="234"/>
  <c r="S30" i="234" s="1"/>
  <c r="Q29" i="234"/>
  <c r="S29" i="234" s="1"/>
  <c r="Q28" i="234"/>
  <c r="S28" i="234" s="1"/>
  <c r="Q27" i="234"/>
  <c r="S27" i="234" s="1"/>
  <c r="R25" i="234"/>
  <c r="P25" i="234"/>
  <c r="O25" i="234"/>
  <c r="Q24" i="234"/>
  <c r="S24" i="234" s="1"/>
  <c r="Q23" i="234"/>
  <c r="S23" i="234" s="1"/>
  <c r="Q22" i="234"/>
  <c r="S22" i="234" s="1"/>
  <c r="Q21" i="234"/>
  <c r="S21" i="234" s="1"/>
  <c r="Q20" i="234"/>
  <c r="S20" i="234" s="1"/>
  <c r="R18" i="234"/>
  <c r="P18" i="234"/>
  <c r="O18" i="234"/>
  <c r="Q17" i="234"/>
  <c r="S17" i="234" s="1"/>
  <c r="Q16" i="234"/>
  <c r="S16" i="234" s="1"/>
  <c r="Q15" i="234"/>
  <c r="S15" i="234" s="1"/>
  <c r="Q14" i="234"/>
  <c r="S14" i="234" s="1"/>
  <c r="Q13" i="234"/>
  <c r="S13" i="234" s="1"/>
  <c r="R11" i="234"/>
  <c r="P11" i="234"/>
  <c r="O11" i="234"/>
  <c r="Q10" i="234"/>
  <c r="S10" i="234" s="1"/>
  <c r="Q9" i="234"/>
  <c r="S9" i="234" s="1"/>
  <c r="Q8" i="234"/>
  <c r="S8" i="234" s="1"/>
  <c r="Q7" i="234"/>
  <c r="S7" i="234" s="1"/>
  <c r="Q6" i="234"/>
  <c r="N41" i="233"/>
  <c r="M39" i="233"/>
  <c r="L39" i="233"/>
  <c r="N39" i="233" s="1"/>
  <c r="N38" i="233"/>
  <c r="N37" i="233"/>
  <c r="N36" i="233"/>
  <c r="N35" i="233"/>
  <c r="N34" i="233"/>
  <c r="M32" i="233"/>
  <c r="L32" i="233"/>
  <c r="N32" i="233" s="1"/>
  <c r="N31" i="233"/>
  <c r="N30" i="233"/>
  <c r="N29" i="233"/>
  <c r="N28" i="233"/>
  <c r="N27" i="233"/>
  <c r="M25" i="233"/>
  <c r="L25" i="233"/>
  <c r="N25" i="233" s="1"/>
  <c r="N24" i="233"/>
  <c r="N23" i="233"/>
  <c r="N22" i="233"/>
  <c r="N21" i="233"/>
  <c r="N20" i="233"/>
  <c r="M18" i="233"/>
  <c r="L18" i="233"/>
  <c r="N18" i="233" s="1"/>
  <c r="N17" i="233"/>
  <c r="N16" i="233"/>
  <c r="N15" i="233"/>
  <c r="N14" i="233"/>
  <c r="N13" i="233"/>
  <c r="M11" i="233"/>
  <c r="M43" i="233" s="1"/>
  <c r="L11" i="233"/>
  <c r="L43" i="233" s="1"/>
  <c r="N43" i="233" s="1"/>
  <c r="N10" i="233"/>
  <c r="N9" i="233"/>
  <c r="N8" i="233"/>
  <c r="N7" i="233"/>
  <c r="N6" i="233"/>
  <c r="N11" i="233" l="1"/>
  <c r="R43" i="234"/>
  <c r="E225" i="252"/>
  <c r="G225" i="252" s="1"/>
  <c r="G306" i="251"/>
  <c r="E325" i="251"/>
  <c r="G325" i="251" s="1"/>
  <c r="O24" i="250"/>
  <c r="M49" i="250"/>
  <c r="O49" i="250" s="1"/>
  <c r="O43" i="234"/>
  <c r="Q11" i="234"/>
  <c r="S11" i="234" s="1"/>
  <c r="Q18" i="234"/>
  <c r="S18" i="234" s="1"/>
  <c r="P43" i="234"/>
  <c r="Q39" i="234"/>
  <c r="S39" i="234" s="1"/>
  <c r="S6" i="234"/>
  <c r="Q32" i="234"/>
  <c r="S32" i="234" s="1"/>
  <c r="Q25" i="234"/>
  <c r="S25" i="234" s="1"/>
  <c r="Q43" i="234" l="1"/>
  <c r="S43" i="234" s="1"/>
  <c r="M117" i="212" l="1"/>
  <c r="L117" i="212"/>
  <c r="M112" i="212"/>
  <c r="L112" i="212"/>
  <c r="M108" i="212"/>
  <c r="L108" i="212"/>
  <c r="M103" i="212"/>
  <c r="L103" i="212"/>
  <c r="M98" i="212"/>
  <c r="L98" i="212"/>
  <c r="M89" i="212"/>
  <c r="L89" i="212"/>
  <c r="M82" i="212"/>
  <c r="L82" i="212"/>
  <c r="M75" i="212"/>
  <c r="L75" i="212"/>
  <c r="M63" i="212"/>
  <c r="L63" i="212"/>
  <c r="M53" i="212"/>
  <c r="L53" i="212"/>
  <c r="M49" i="212"/>
  <c r="L49" i="212"/>
  <c r="M44" i="212"/>
  <c r="L44" i="212"/>
  <c r="C14" i="227" l="1"/>
  <c r="F20" i="229" l="1"/>
  <c r="G20" i="229" s="1"/>
  <c r="E20" i="229"/>
  <c r="D20" i="229"/>
  <c r="N8" i="273" l="1"/>
  <c r="N14" i="273"/>
  <c r="N19" i="273"/>
  <c r="N23" i="273"/>
  <c r="N28" i="273"/>
  <c r="N32" i="273" l="1"/>
  <c r="G92" i="238" l="1"/>
  <c r="E119" i="238" l="1"/>
  <c r="C119" i="238"/>
  <c r="B119" i="238"/>
  <c r="G17" i="217" l="1"/>
  <c r="G16" i="217"/>
  <c r="H16" i="217" l="1"/>
  <c r="AS82" i="222" l="1"/>
  <c r="AR82" i="222"/>
  <c r="AS77" i="222"/>
  <c r="AR77" i="222"/>
  <c r="AS72" i="222"/>
  <c r="AR72" i="222"/>
  <c r="AS66" i="222"/>
  <c r="AR66" i="222"/>
  <c r="AS62" i="222"/>
  <c r="AT62" i="222" s="1"/>
  <c r="AR62" i="222"/>
  <c r="AS58" i="222"/>
  <c r="AT58" i="222" s="1"/>
  <c r="AR58" i="222"/>
  <c r="AS53" i="222"/>
  <c r="AR53" i="222"/>
  <c r="AS48" i="222"/>
  <c r="AT48" i="222" s="1"/>
  <c r="AR48" i="222"/>
  <c r="AS42" i="222"/>
  <c r="AR42" i="222"/>
  <c r="AS35" i="222"/>
  <c r="AT35" i="222" s="1"/>
  <c r="AR35" i="222"/>
  <c r="AR36" i="222" s="1"/>
  <c r="AS31" i="222"/>
  <c r="AR31" i="222"/>
  <c r="AT27" i="222"/>
  <c r="AS27" i="222"/>
  <c r="AR27" i="222"/>
  <c r="AS22" i="222"/>
  <c r="AR22" i="222"/>
  <c r="AR23" i="222" s="1"/>
  <c r="AS16" i="222"/>
  <c r="AT16" i="222" s="1"/>
  <c r="AR16" i="222"/>
  <c r="AS10" i="222"/>
  <c r="AR10" i="222"/>
  <c r="AS36" i="222" l="1"/>
  <c r="AT36" i="222" s="1"/>
  <c r="AT72" i="222"/>
  <c r="AT42" i="222"/>
  <c r="AT77" i="222"/>
  <c r="AR83" i="222"/>
  <c r="AR67" i="222"/>
  <c r="AS83" i="222"/>
  <c r="AT83" i="222" s="1"/>
  <c r="AT22" i="222"/>
  <c r="AT10" i="222"/>
  <c r="AT31" i="222"/>
  <c r="AR54" i="222"/>
  <c r="AT66" i="222"/>
  <c r="AS54" i="222"/>
  <c r="AT54" i="222" s="1"/>
  <c r="AS67" i="222"/>
  <c r="AT67" i="222" s="1"/>
  <c r="AT53" i="222"/>
  <c r="AT82" i="222"/>
  <c r="AS23" i="222"/>
  <c r="AT23" i="222" s="1"/>
  <c r="AR85" i="222" l="1"/>
  <c r="AS85" i="222"/>
  <c r="AT85" i="222" l="1"/>
  <c r="AX87" i="222" s="1"/>
  <c r="R39" i="228" s="1"/>
  <c r="AW84" i="221"/>
  <c r="AV84" i="221"/>
  <c r="AX82" i="221"/>
  <c r="AX81" i="221"/>
  <c r="AX80" i="221"/>
  <c r="AX79" i="221"/>
  <c r="AX78" i="221"/>
  <c r="AX77" i="221"/>
  <c r="AX76" i="221"/>
  <c r="AX75" i="221"/>
  <c r="AX74" i="221"/>
  <c r="AX73" i="221"/>
  <c r="AX72" i="221"/>
  <c r="AX71" i="221"/>
  <c r="AX70" i="221"/>
  <c r="AX69" i="221"/>
  <c r="AX68" i="221"/>
  <c r="AX67" i="221"/>
  <c r="AX66" i="221"/>
  <c r="AX65" i="221"/>
  <c r="AX64" i="221"/>
  <c r="AX61" i="221"/>
  <c r="AX59" i="221"/>
  <c r="AX58" i="221"/>
  <c r="AX57" i="221"/>
  <c r="AX56" i="221"/>
  <c r="AX55" i="221"/>
  <c r="AX53" i="221"/>
  <c r="AX52" i="221"/>
  <c r="AX51" i="221"/>
  <c r="AX50" i="221"/>
  <c r="AX49" i="221"/>
  <c r="AX48" i="221"/>
  <c r="AX47" i="221"/>
  <c r="AX46" i="221"/>
  <c r="AX45" i="221"/>
  <c r="AX44" i="221"/>
  <c r="AX43" i="221"/>
  <c r="AX42" i="221"/>
  <c r="AX41" i="221"/>
  <c r="AX40" i="221"/>
  <c r="AX39" i="221"/>
  <c r="AX38" i="221"/>
  <c r="AX37" i="221"/>
  <c r="AX36" i="221"/>
  <c r="AX35" i="221"/>
  <c r="AX34" i="221"/>
  <c r="AX33" i="221"/>
  <c r="AX32" i="221"/>
  <c r="AX31" i="221"/>
  <c r="AX30" i="221"/>
  <c r="AX29" i="221"/>
  <c r="AX28" i="221"/>
  <c r="AX27" i="221"/>
  <c r="AX26" i="221"/>
  <c r="AX25" i="221"/>
  <c r="AX24" i="221"/>
  <c r="AX23" i="221"/>
  <c r="AX22" i="221"/>
  <c r="AX21" i="221"/>
  <c r="AX20" i="221"/>
  <c r="AX19" i="221"/>
  <c r="AX18" i="221"/>
  <c r="AX17" i="221"/>
  <c r="AX16" i="221"/>
  <c r="AX15" i="221"/>
  <c r="AX14" i="221"/>
  <c r="AX13" i="221"/>
  <c r="AX12" i="221"/>
  <c r="AX11" i="221"/>
  <c r="AX10" i="221"/>
  <c r="AX9" i="221"/>
  <c r="AX8" i="221"/>
  <c r="AX7" i="221"/>
  <c r="AX6" i="221"/>
  <c r="AX5" i="221"/>
  <c r="AX84" i="221" l="1"/>
  <c r="E33" i="231" l="1"/>
  <c r="C13" i="227" l="1"/>
  <c r="AW31" i="235" l="1"/>
  <c r="AW30" i="235"/>
  <c r="AX29" i="235"/>
  <c r="AW29" i="235"/>
  <c r="AY21" i="235"/>
  <c r="AY17" i="235"/>
  <c r="AY13" i="235"/>
  <c r="AY9" i="235"/>
  <c r="AY5" i="235"/>
  <c r="AY29" i="235" l="1"/>
  <c r="L22" i="276" l="1"/>
  <c r="AB21" i="276"/>
  <c r="T21" i="276"/>
  <c r="L20" i="276"/>
  <c r="N46" i="271" l="1"/>
  <c r="M46" i="271"/>
  <c r="L46" i="271"/>
  <c r="N45" i="271"/>
  <c r="M45" i="271"/>
  <c r="L45" i="271"/>
  <c r="N44" i="271"/>
  <c r="M44" i="271"/>
  <c r="L44" i="271"/>
  <c r="N40" i="271"/>
  <c r="M40" i="271"/>
  <c r="L40" i="271"/>
  <c r="N30" i="271"/>
  <c r="M30" i="271"/>
  <c r="N23" i="271"/>
  <c r="M23" i="271"/>
  <c r="L23" i="271"/>
  <c r="N16" i="271"/>
  <c r="M16" i="271"/>
  <c r="L16" i="271"/>
  <c r="N8" i="271"/>
  <c r="M8" i="271"/>
  <c r="L8" i="271"/>
  <c r="N50" i="271" l="1"/>
  <c r="N52" i="271" s="1"/>
  <c r="M47" i="271"/>
  <c r="L47" i="271"/>
  <c r="N47" i="271"/>
  <c r="M49" i="255"/>
  <c r="M52" i="255"/>
  <c r="M53" i="255" s="1"/>
  <c r="M46" i="255"/>
  <c r="M44" i="255"/>
  <c r="M40" i="255"/>
  <c r="M35" i="255"/>
  <c r="M31" i="255"/>
  <c r="M25" i="255"/>
  <c r="N8" i="255"/>
  <c r="N9" i="255"/>
  <c r="N10" i="255"/>
  <c r="N12" i="255"/>
  <c r="N14" i="255"/>
  <c r="N15" i="255"/>
  <c r="N16" i="255"/>
  <c r="N17" i="255"/>
  <c r="N20" i="255"/>
  <c r="N21" i="255"/>
  <c r="N22" i="255"/>
  <c r="N23" i="255"/>
  <c r="N24" i="255"/>
  <c r="N26" i="255"/>
  <c r="N27" i="255"/>
  <c r="N28" i="255"/>
  <c r="N29" i="255"/>
  <c r="N30" i="255"/>
  <c r="N32" i="255"/>
  <c r="N33" i="255"/>
  <c r="N34" i="255"/>
  <c r="N37" i="255"/>
  <c r="N38" i="255"/>
  <c r="N39" i="255"/>
  <c r="N41" i="255"/>
  <c r="N42" i="255"/>
  <c r="N43" i="255"/>
  <c r="N45" i="255"/>
  <c r="N48" i="255"/>
  <c r="N50" i="255"/>
  <c r="N51" i="255"/>
  <c r="N7" i="255"/>
  <c r="M18" i="255"/>
  <c r="M13" i="255"/>
  <c r="M11" i="255"/>
  <c r="M73" i="254"/>
  <c r="M68" i="254"/>
  <c r="M65" i="254"/>
  <c r="M57" i="254"/>
  <c r="M44" i="254"/>
  <c r="M39" i="254"/>
  <c r="M32" i="254"/>
  <c r="M23" i="254"/>
  <c r="M19" i="254"/>
  <c r="M12" i="254"/>
  <c r="N7" i="254"/>
  <c r="N8" i="254"/>
  <c r="N9" i="254"/>
  <c r="N10" i="254"/>
  <c r="N11" i="254"/>
  <c r="N13" i="254"/>
  <c r="N14" i="254"/>
  <c r="N15" i="254"/>
  <c r="N16" i="254"/>
  <c r="N17" i="254"/>
  <c r="N18" i="254"/>
  <c r="N20" i="254"/>
  <c r="N21" i="254"/>
  <c r="N22" i="254"/>
  <c r="N25" i="254"/>
  <c r="N26" i="254"/>
  <c r="N27" i="254"/>
  <c r="N28" i="254"/>
  <c r="N29" i="254"/>
  <c r="N30" i="254"/>
  <c r="N31" i="254"/>
  <c r="N33" i="254"/>
  <c r="N34" i="254"/>
  <c r="N35" i="254"/>
  <c r="N36" i="254"/>
  <c r="N37" i="254"/>
  <c r="N38" i="254"/>
  <c r="N40" i="254"/>
  <c r="N41" i="254"/>
  <c r="N42" i="254"/>
  <c r="N43" i="254"/>
  <c r="N46" i="254"/>
  <c r="N47" i="254"/>
  <c r="N48" i="254"/>
  <c r="N49" i="254"/>
  <c r="N50" i="254"/>
  <c r="N51" i="254"/>
  <c r="N52" i="254"/>
  <c r="N53" i="254"/>
  <c r="N54" i="254"/>
  <c r="N55" i="254"/>
  <c r="N56" i="254"/>
  <c r="N58" i="254"/>
  <c r="N59" i="254"/>
  <c r="N60" i="254"/>
  <c r="N61" i="254"/>
  <c r="N62" i="254"/>
  <c r="N63" i="254"/>
  <c r="N64" i="254"/>
  <c r="N66" i="254"/>
  <c r="N67" i="254"/>
  <c r="N70" i="254"/>
  <c r="N71" i="254"/>
  <c r="N72" i="254"/>
  <c r="N6" i="254"/>
  <c r="M18" i="253"/>
  <c r="M19" i="253" s="1"/>
  <c r="M15" i="253"/>
  <c r="M13" i="253"/>
  <c r="M10" i="253"/>
  <c r="M8" i="253"/>
  <c r="M11" i="253" s="1"/>
  <c r="N7" i="253"/>
  <c r="N9" i="253"/>
  <c r="N12" i="253"/>
  <c r="N14" i="253"/>
  <c r="N15" i="253" s="1"/>
  <c r="N17" i="253"/>
  <c r="N6" i="253"/>
  <c r="N52" i="255" l="1"/>
  <c r="N53" i="255" s="1"/>
  <c r="N73" i="254"/>
  <c r="N68" i="254"/>
  <c r="M69" i="254"/>
  <c r="N18" i="253"/>
  <c r="N19" i="253" s="1"/>
  <c r="M16" i="253"/>
  <c r="N16" i="253" s="1"/>
  <c r="N8" i="253"/>
  <c r="N11" i="253" s="1"/>
  <c r="M47" i="255"/>
  <c r="N44" i="255"/>
  <c r="N40" i="255"/>
  <c r="N46" i="255"/>
  <c r="N25" i="255"/>
  <c r="M36" i="255"/>
  <c r="N35" i="255"/>
  <c r="N31" i="255"/>
  <c r="M19" i="255"/>
  <c r="N11" i="255"/>
  <c r="N18" i="255"/>
  <c r="N13" i="255"/>
  <c r="N65" i="254"/>
  <c r="N57" i="254"/>
  <c r="N44" i="254"/>
  <c r="M45" i="254"/>
  <c r="N39" i="254"/>
  <c r="N32" i="254"/>
  <c r="N23" i="254"/>
  <c r="M24" i="254"/>
  <c r="N19" i="254"/>
  <c r="N12" i="254"/>
  <c r="N69" i="254" l="1"/>
  <c r="M20" i="253"/>
  <c r="N20" i="253" s="1"/>
  <c r="M74" i="254"/>
  <c r="N47" i="255"/>
  <c r="M55" i="255"/>
  <c r="N36" i="255"/>
  <c r="N19" i="255"/>
  <c r="N45" i="254"/>
  <c r="N24" i="254"/>
  <c r="N55" i="255" l="1"/>
  <c r="N74" i="254"/>
  <c r="M210" i="252" l="1"/>
  <c r="M195" i="252"/>
  <c r="M183" i="252"/>
  <c r="M167" i="252"/>
  <c r="O167" i="252" s="1"/>
  <c r="M170" i="252"/>
  <c r="O170" i="252" s="1"/>
  <c r="M174" i="252"/>
  <c r="M176" i="252"/>
  <c r="M182" i="252"/>
  <c r="M190" i="252"/>
  <c r="O190" i="252" s="1"/>
  <c r="M194" i="252"/>
  <c r="O194" i="252" s="1"/>
  <c r="M199" i="252"/>
  <c r="M204" i="252"/>
  <c r="M209" i="252"/>
  <c r="M148" i="252"/>
  <c r="M126" i="252"/>
  <c r="O126" i="252" s="1"/>
  <c r="M136" i="252"/>
  <c r="O136" i="252" s="1"/>
  <c r="M147" i="252"/>
  <c r="M115" i="252"/>
  <c r="M96" i="252"/>
  <c r="O96" i="252" s="1"/>
  <c r="M100" i="252"/>
  <c r="O100" i="252" s="1"/>
  <c r="M106" i="252"/>
  <c r="O106" i="252" s="1"/>
  <c r="M111" i="252"/>
  <c r="M114" i="252"/>
  <c r="M92" i="252"/>
  <c r="M79" i="252"/>
  <c r="O79" i="252" s="1"/>
  <c r="M84" i="252"/>
  <c r="M87" i="252"/>
  <c r="O87" i="252" s="1"/>
  <c r="M89" i="252"/>
  <c r="O89" i="252" s="1"/>
  <c r="M91" i="252"/>
  <c r="O91" i="252" s="1"/>
  <c r="M67" i="252"/>
  <c r="M73" i="252"/>
  <c r="O73" i="252" s="1"/>
  <c r="M59" i="252"/>
  <c r="M60" i="252"/>
  <c r="M23" i="252"/>
  <c r="M57" i="252"/>
  <c r="O57" i="252" s="1"/>
  <c r="M52" i="252"/>
  <c r="M49" i="252"/>
  <c r="M43" i="252"/>
  <c r="M39" i="252"/>
  <c r="M33" i="252"/>
  <c r="M29" i="252"/>
  <c r="M22" i="252"/>
  <c r="M17" i="252"/>
  <c r="M15" i="252"/>
  <c r="M13" i="252"/>
  <c r="O13" i="252" s="1"/>
  <c r="M229" i="251"/>
  <c r="M287" i="251"/>
  <c r="M282" i="251"/>
  <c r="M277" i="251"/>
  <c r="M270" i="251"/>
  <c r="M263" i="251"/>
  <c r="M260" i="251"/>
  <c r="M256" i="251"/>
  <c r="M255" i="251"/>
  <c r="O255" i="251" s="1"/>
  <c r="M246" i="251"/>
  <c r="M244" i="251"/>
  <c r="M242" i="251"/>
  <c r="M240" i="251"/>
  <c r="M237" i="251"/>
  <c r="O237" i="251" s="1"/>
  <c r="M227" i="251"/>
  <c r="M223" i="251"/>
  <c r="M219" i="251"/>
  <c r="M218" i="251"/>
  <c r="O218" i="251" s="1"/>
  <c r="M214" i="251"/>
  <c r="O214" i="251" s="1"/>
  <c r="M207" i="251"/>
  <c r="O207" i="251" s="1"/>
  <c r="M200" i="251"/>
  <c r="M199" i="251"/>
  <c r="M196" i="251"/>
  <c r="O196" i="251" s="1"/>
  <c r="M189" i="251"/>
  <c r="O189" i="251" s="1"/>
  <c r="M185" i="251"/>
  <c r="O185" i="251" s="1"/>
  <c r="M179" i="251"/>
  <c r="M178" i="251"/>
  <c r="O178" i="251" s="1"/>
  <c r="M172" i="251"/>
  <c r="O172" i="251" s="1"/>
  <c r="M161" i="251"/>
  <c r="O161" i="251" s="1"/>
  <c r="M158" i="251"/>
  <c r="M151" i="251"/>
  <c r="O151" i="251" s="1"/>
  <c r="M146" i="251"/>
  <c r="M145" i="251"/>
  <c r="M138" i="251"/>
  <c r="O138" i="251" s="1"/>
  <c r="M132" i="251"/>
  <c r="O132" i="251" s="1"/>
  <c r="M127" i="251"/>
  <c r="M120" i="251"/>
  <c r="O120" i="251" s="1"/>
  <c r="M114" i="251"/>
  <c r="O114" i="251" s="1"/>
  <c r="M105" i="251"/>
  <c r="O105" i="251" s="1"/>
  <c r="M90" i="251"/>
  <c r="M89" i="251"/>
  <c r="M85" i="251"/>
  <c r="O85" i="251" s="1"/>
  <c r="M81" i="251"/>
  <c r="M78" i="251"/>
  <c r="O78" i="251" s="1"/>
  <c r="M71" i="251"/>
  <c r="M49" i="251"/>
  <c r="M70" i="251"/>
  <c r="O70" i="251" s="1"/>
  <c r="M62" i="251"/>
  <c r="O62" i="251" s="1"/>
  <c r="M53" i="251"/>
  <c r="O53" i="251" s="1"/>
  <c r="M46" i="251"/>
  <c r="M43" i="251"/>
  <c r="M40" i="251"/>
  <c r="M39" i="251"/>
  <c r="O39" i="251" s="1"/>
  <c r="M34" i="251"/>
  <c r="O34" i="251" s="1"/>
  <c r="M26" i="251"/>
  <c r="M24" i="251"/>
  <c r="O24" i="251" s="1"/>
  <c r="M18" i="251"/>
  <c r="M13" i="251"/>
  <c r="AR56" i="250"/>
  <c r="AR76" i="250"/>
  <c r="U48" i="250"/>
  <c r="U43" i="250"/>
  <c r="U42" i="250"/>
  <c r="U35" i="250"/>
  <c r="W35" i="250" s="1"/>
  <c r="U28" i="250"/>
  <c r="U25" i="250"/>
  <c r="U23" i="250"/>
  <c r="U21" i="250"/>
  <c r="U19" i="250"/>
  <c r="W19" i="250" s="1"/>
  <c r="U14" i="250"/>
  <c r="U10" i="250"/>
  <c r="W10" i="250" s="1"/>
  <c r="M200" i="252" l="1"/>
  <c r="M211" i="252"/>
  <c r="O211" i="252" s="1"/>
  <c r="M273" i="251"/>
  <c r="M257" i="251"/>
  <c r="O257" i="251" s="1"/>
  <c r="M289" i="251"/>
  <c r="U50" i="250"/>
  <c r="U44" i="250"/>
  <c r="W44" i="250" s="1"/>
  <c r="O209" i="252"/>
  <c r="M184" i="252"/>
  <c r="O184" i="252" s="1"/>
  <c r="M196" i="252"/>
  <c r="O196" i="252" s="1"/>
  <c r="M149" i="252"/>
  <c r="O149" i="252" s="1"/>
  <c r="O147" i="252"/>
  <c r="M93" i="252"/>
  <c r="O93" i="252" s="1"/>
  <c r="M116" i="252"/>
  <c r="O114" i="252"/>
  <c r="M150" i="252"/>
  <c r="M61" i="252"/>
  <c r="O61" i="252" s="1"/>
  <c r="M62" i="252"/>
  <c r="M35" i="252"/>
  <c r="M24" i="252"/>
  <c r="O22" i="252"/>
  <c r="M272" i="251"/>
  <c r="M220" i="251"/>
  <c r="M201" i="251"/>
  <c r="O201" i="251" s="1"/>
  <c r="M202" i="251"/>
  <c r="M180" i="251"/>
  <c r="O180" i="251" s="1"/>
  <c r="M147" i="251"/>
  <c r="O147" i="251" s="1"/>
  <c r="O145" i="251"/>
  <c r="M92" i="251"/>
  <c r="M91" i="251"/>
  <c r="O91" i="251" s="1"/>
  <c r="M72" i="251"/>
  <c r="O72" i="251" s="1"/>
  <c r="M41" i="251"/>
  <c r="U24" i="250"/>
  <c r="U15" i="250"/>
  <c r="W15" i="250" s="1"/>
  <c r="M212" i="252" l="1"/>
  <c r="M291" i="251"/>
  <c r="M274" i="251"/>
  <c r="O274" i="251" s="1"/>
  <c r="M201" i="252"/>
  <c r="M151" i="252"/>
  <c r="O151" i="252" s="1"/>
  <c r="O116" i="252"/>
  <c r="M63" i="252"/>
  <c r="O63" i="252" s="1"/>
  <c r="O24" i="252"/>
  <c r="O220" i="251"/>
  <c r="M203" i="251"/>
  <c r="O203" i="251" s="1"/>
  <c r="O41" i="251"/>
  <c r="M93" i="251"/>
  <c r="O93" i="251" s="1"/>
  <c r="W24" i="250"/>
  <c r="U26" i="250"/>
  <c r="CB103" i="267"/>
  <c r="CB105" i="267" s="1"/>
  <c r="O201" i="252" l="1"/>
  <c r="M213" i="252"/>
  <c r="O213" i="252" s="1"/>
  <c r="M292" i="251"/>
  <c r="O292" i="251" s="1"/>
  <c r="W26" i="250"/>
  <c r="U51" i="250"/>
  <c r="W51" i="250" s="1"/>
  <c r="AC37" i="274"/>
  <c r="AC102" i="274"/>
  <c r="AD101" i="274"/>
  <c r="AD36" i="274"/>
  <c r="BC8" i="262" l="1"/>
  <c r="BC9" i="262"/>
  <c r="BC10" i="262"/>
  <c r="BC11" i="262"/>
  <c r="BC12" i="262"/>
  <c r="BC13" i="262"/>
  <c r="BC14" i="262"/>
  <c r="BC15" i="262"/>
  <c r="BC16" i="262"/>
  <c r="BC18" i="262"/>
  <c r="BC19" i="262"/>
  <c r="BC20" i="262"/>
  <c r="BC21" i="262"/>
  <c r="BC23" i="262"/>
  <c r="BC24" i="262"/>
  <c r="BC25" i="262"/>
  <c r="BC28" i="262"/>
  <c r="BC29" i="262"/>
  <c r="BC30" i="262"/>
  <c r="BC31" i="262"/>
  <c r="BC32" i="262"/>
  <c r="BC33" i="262"/>
  <c r="BC34" i="262"/>
  <c r="BC35" i="262"/>
  <c r="BC36" i="262"/>
  <c r="BC37" i="262"/>
  <c r="BC39" i="262"/>
  <c r="BC40" i="262"/>
  <c r="BC41" i="262"/>
  <c r="BC42" i="262"/>
  <c r="BC43" i="262"/>
  <c r="BC44" i="262"/>
  <c r="BC45" i="262"/>
  <c r="BC46" i="262"/>
  <c r="BC47" i="262"/>
  <c r="BC48" i="262"/>
  <c r="BC49" i="262"/>
  <c r="BC51" i="262"/>
  <c r="BC52" i="262"/>
  <c r="BC53" i="262"/>
  <c r="BC54" i="262"/>
  <c r="BC55" i="262"/>
  <c r="BC56" i="262"/>
  <c r="BC59" i="262"/>
  <c r="BC60" i="262"/>
  <c r="BC61" i="262"/>
  <c r="BC62" i="262"/>
  <c r="BC63" i="262"/>
  <c r="BC64" i="262"/>
  <c r="BC66" i="262"/>
  <c r="BC67" i="262"/>
  <c r="BC68" i="262"/>
  <c r="BC69" i="262"/>
  <c r="BC70" i="262"/>
  <c r="BC71" i="262"/>
  <c r="BC72" i="262"/>
  <c r="BC73" i="262"/>
  <c r="BC75" i="262"/>
  <c r="BC76" i="262"/>
  <c r="BC77" i="262"/>
  <c r="BC78" i="262"/>
  <c r="BC81" i="262"/>
  <c r="BC82" i="262"/>
  <c r="BC83" i="262"/>
  <c r="BC84" i="262"/>
  <c r="BC86" i="262"/>
  <c r="BC87" i="262"/>
  <c r="BC88" i="262"/>
  <c r="BC90" i="262"/>
  <c r="BC91" i="262"/>
  <c r="BC92" i="262"/>
  <c r="BC93" i="262"/>
  <c r="BC96" i="262"/>
  <c r="BC97" i="262"/>
  <c r="BC99" i="262"/>
  <c r="BC100" i="262"/>
  <c r="BC101" i="262"/>
  <c r="BC103" i="262"/>
  <c r="BC104" i="262"/>
  <c r="BC105" i="262"/>
  <c r="AO106" i="262"/>
  <c r="AP106" i="262"/>
  <c r="AQ106" i="262"/>
  <c r="AR106" i="262"/>
  <c r="AS106" i="262"/>
  <c r="AT106" i="262"/>
  <c r="AU106" i="262"/>
  <c r="AV106" i="262"/>
  <c r="AW106" i="262"/>
  <c r="AX106" i="262"/>
  <c r="AY106" i="262"/>
  <c r="AZ106" i="262"/>
  <c r="BA106" i="262"/>
  <c r="BB106" i="262"/>
  <c r="AN106" i="262"/>
  <c r="AO102" i="262"/>
  <c r="AP102" i="262"/>
  <c r="AQ102" i="262"/>
  <c r="AR102" i="262"/>
  <c r="AS102" i="262"/>
  <c r="AT102" i="262"/>
  <c r="AU102" i="262"/>
  <c r="AV102" i="262"/>
  <c r="AW102" i="262"/>
  <c r="AX102" i="262"/>
  <c r="AY102" i="262"/>
  <c r="AZ102" i="262"/>
  <c r="BA102" i="262"/>
  <c r="BB102" i="262"/>
  <c r="AN102" i="262"/>
  <c r="AO98" i="262"/>
  <c r="AP98" i="262"/>
  <c r="AQ98" i="262"/>
  <c r="AR98" i="262"/>
  <c r="AS98" i="262"/>
  <c r="AT98" i="262"/>
  <c r="AU98" i="262"/>
  <c r="AV98" i="262"/>
  <c r="AW98" i="262"/>
  <c r="AX98" i="262"/>
  <c r="AY98" i="262"/>
  <c r="AZ98" i="262"/>
  <c r="BA98" i="262"/>
  <c r="BB98" i="262"/>
  <c r="AN98" i="262"/>
  <c r="AO94" i="262"/>
  <c r="AP94" i="262"/>
  <c r="AQ94" i="262"/>
  <c r="AR94" i="262"/>
  <c r="AS94" i="262"/>
  <c r="AT94" i="262"/>
  <c r="AU94" i="262"/>
  <c r="AV94" i="262"/>
  <c r="AW94" i="262"/>
  <c r="AX94" i="262"/>
  <c r="AY94" i="262"/>
  <c r="AZ94" i="262"/>
  <c r="BA94" i="262"/>
  <c r="BB94" i="262"/>
  <c r="AN94" i="262"/>
  <c r="AO89" i="262"/>
  <c r="AP89" i="262"/>
  <c r="AQ89" i="262"/>
  <c r="AR89" i="262"/>
  <c r="AS89" i="262"/>
  <c r="AT89" i="262"/>
  <c r="AU89" i="262"/>
  <c r="AV89" i="262"/>
  <c r="AW89" i="262"/>
  <c r="AX89" i="262"/>
  <c r="AY89" i="262"/>
  <c r="AZ89" i="262"/>
  <c r="BA89" i="262"/>
  <c r="BB89" i="262"/>
  <c r="AN89" i="262"/>
  <c r="AO85" i="262"/>
  <c r="AP85" i="262"/>
  <c r="AQ85" i="262"/>
  <c r="AR85" i="262"/>
  <c r="AS85" i="262"/>
  <c r="AT85" i="262"/>
  <c r="AU85" i="262"/>
  <c r="AV85" i="262"/>
  <c r="AW85" i="262"/>
  <c r="AX85" i="262"/>
  <c r="AY85" i="262"/>
  <c r="AZ85" i="262"/>
  <c r="BA85" i="262"/>
  <c r="BB85" i="262"/>
  <c r="AN85" i="262"/>
  <c r="AO79" i="262"/>
  <c r="AP79" i="262"/>
  <c r="AQ79" i="262"/>
  <c r="AR79" i="262"/>
  <c r="AS79" i="262"/>
  <c r="AT79" i="262"/>
  <c r="AU79" i="262"/>
  <c r="AV79" i="262"/>
  <c r="AW79" i="262"/>
  <c r="AX79" i="262"/>
  <c r="AY79" i="262"/>
  <c r="AZ79" i="262"/>
  <c r="BA79" i="262"/>
  <c r="BB79" i="262"/>
  <c r="AN79" i="262"/>
  <c r="AO74" i="262"/>
  <c r="AP74" i="262"/>
  <c r="AQ74" i="262"/>
  <c r="AR74" i="262"/>
  <c r="AS74" i="262"/>
  <c r="AT74" i="262"/>
  <c r="AU74" i="262"/>
  <c r="AV74" i="262"/>
  <c r="AW74" i="262"/>
  <c r="AX74" i="262"/>
  <c r="AY74" i="262"/>
  <c r="AZ74" i="262"/>
  <c r="BA74" i="262"/>
  <c r="BB74" i="262"/>
  <c r="AN74" i="262"/>
  <c r="AO65" i="262"/>
  <c r="AP65" i="262"/>
  <c r="AQ65" i="262"/>
  <c r="AR65" i="262"/>
  <c r="AS65" i="262"/>
  <c r="AT65" i="262"/>
  <c r="AU65" i="262"/>
  <c r="AV65" i="262"/>
  <c r="AW65" i="262"/>
  <c r="AX65" i="262"/>
  <c r="AY65" i="262"/>
  <c r="AZ65" i="262"/>
  <c r="BA65" i="262"/>
  <c r="BB65" i="262"/>
  <c r="AN65" i="262"/>
  <c r="AO57" i="262"/>
  <c r="AP57" i="262"/>
  <c r="AQ57" i="262"/>
  <c r="AR57" i="262"/>
  <c r="AS57" i="262"/>
  <c r="AT57" i="262"/>
  <c r="AU57" i="262"/>
  <c r="AV57" i="262"/>
  <c r="AW57" i="262"/>
  <c r="AX57" i="262"/>
  <c r="AY57" i="262"/>
  <c r="AZ57" i="262"/>
  <c r="BA57" i="262"/>
  <c r="BB57" i="262"/>
  <c r="AN57" i="262"/>
  <c r="AO50" i="262"/>
  <c r="AP50" i="262"/>
  <c r="AQ50" i="262"/>
  <c r="AR50" i="262"/>
  <c r="AS50" i="262"/>
  <c r="AT50" i="262"/>
  <c r="AU50" i="262"/>
  <c r="AV50" i="262"/>
  <c r="AW50" i="262"/>
  <c r="AX50" i="262"/>
  <c r="AY50" i="262"/>
  <c r="AZ50" i="262"/>
  <c r="BA50" i="262"/>
  <c r="BB50" i="262"/>
  <c r="AN50" i="262"/>
  <c r="AO38" i="262"/>
  <c r="AP38" i="262"/>
  <c r="AQ38" i="262"/>
  <c r="AR38" i="262"/>
  <c r="AS38" i="262"/>
  <c r="AT38" i="262"/>
  <c r="AU38" i="262"/>
  <c r="AV38" i="262"/>
  <c r="AW38" i="262"/>
  <c r="AX38" i="262"/>
  <c r="AY38" i="262"/>
  <c r="AZ38" i="262"/>
  <c r="BA38" i="262"/>
  <c r="BB38" i="262"/>
  <c r="AN38" i="262"/>
  <c r="AO26" i="262"/>
  <c r="AP26" i="262"/>
  <c r="AQ26" i="262"/>
  <c r="AR26" i="262"/>
  <c r="AS26" i="262"/>
  <c r="AT26" i="262"/>
  <c r="AU26" i="262"/>
  <c r="AV26" i="262"/>
  <c r="AW26" i="262"/>
  <c r="AX26" i="262"/>
  <c r="AY26" i="262"/>
  <c r="AZ26" i="262"/>
  <c r="BA26" i="262"/>
  <c r="BB26" i="262"/>
  <c r="AN26" i="262"/>
  <c r="AO22" i="262"/>
  <c r="AP22" i="262"/>
  <c r="AQ22" i="262"/>
  <c r="AR22" i="262"/>
  <c r="AS22" i="262"/>
  <c r="AT22" i="262"/>
  <c r="AU22" i="262"/>
  <c r="AV22" i="262"/>
  <c r="AW22" i="262"/>
  <c r="AX22" i="262"/>
  <c r="AY22" i="262"/>
  <c r="AZ22" i="262"/>
  <c r="BA22" i="262"/>
  <c r="BB22" i="262"/>
  <c r="AN22" i="262"/>
  <c r="AO17" i="262"/>
  <c r="AP17" i="262"/>
  <c r="AQ17" i="262"/>
  <c r="AR17" i="262"/>
  <c r="AS17" i="262"/>
  <c r="AT17" i="262"/>
  <c r="AU17" i="262"/>
  <c r="AV17" i="262"/>
  <c r="AW17" i="262"/>
  <c r="AX17" i="262"/>
  <c r="AY17" i="262"/>
  <c r="AZ17" i="262"/>
  <c r="BA17" i="262"/>
  <c r="BB17" i="262"/>
  <c r="AN17" i="262"/>
  <c r="BC7" i="262"/>
  <c r="DN7" i="262"/>
  <c r="AS107" i="262" l="1"/>
  <c r="BC57" i="262"/>
  <c r="AW107" i="262"/>
  <c r="AO107" i="262"/>
  <c r="BC102" i="262"/>
  <c r="BC98" i="262"/>
  <c r="BA107" i="262"/>
  <c r="BC79" i="262"/>
  <c r="AX107" i="262"/>
  <c r="AP107" i="262"/>
  <c r="BC17" i="262"/>
  <c r="BC26" i="262"/>
  <c r="BC89" i="262"/>
  <c r="BC85" i="262"/>
  <c r="AZ107" i="262"/>
  <c r="AR107" i="262"/>
  <c r="BC22" i="262"/>
  <c r="BC38" i="262"/>
  <c r="BC74" i="262"/>
  <c r="BC94" i="262"/>
  <c r="BC65" i="262"/>
  <c r="BC50" i="262"/>
  <c r="AN107" i="262"/>
  <c r="AV107" i="262"/>
  <c r="AU107" i="262"/>
  <c r="AQ107" i="262"/>
  <c r="BB107" i="262"/>
  <c r="AT107" i="262"/>
  <c r="BC106" i="262"/>
  <c r="AY107" i="262"/>
  <c r="AO95" i="262"/>
  <c r="AX95" i="262"/>
  <c r="AU95" i="262"/>
  <c r="AZ95" i="262"/>
  <c r="AR95" i="262"/>
  <c r="AY95" i="262"/>
  <c r="AQ95" i="262"/>
  <c r="AW95" i="262"/>
  <c r="BA95" i="262"/>
  <c r="AS95" i="262"/>
  <c r="AP95" i="262"/>
  <c r="AN95" i="262"/>
  <c r="AV95" i="262"/>
  <c r="AT95" i="262"/>
  <c r="BB95" i="262"/>
  <c r="AQ80" i="262"/>
  <c r="BA80" i="262"/>
  <c r="BB80" i="262"/>
  <c r="AR80" i="262"/>
  <c r="AU58" i="262"/>
  <c r="BB58" i="262"/>
  <c r="AT58" i="262"/>
  <c r="AY80" i="262"/>
  <c r="AW80" i="262"/>
  <c r="AO80" i="262"/>
  <c r="AN80" i="262"/>
  <c r="AT80" i="262"/>
  <c r="AZ80" i="262"/>
  <c r="AX80" i="262"/>
  <c r="AP80" i="262"/>
  <c r="AV80" i="262"/>
  <c r="AU80" i="262"/>
  <c r="AS80" i="262"/>
  <c r="AZ58" i="262"/>
  <c r="AY58" i="262"/>
  <c r="AQ58" i="262"/>
  <c r="AX58" i="262"/>
  <c r="AP58" i="262"/>
  <c r="AN58" i="262"/>
  <c r="AS58" i="262"/>
  <c r="BA58" i="262"/>
  <c r="AR58" i="262"/>
  <c r="AW58" i="262"/>
  <c r="AO58" i="262"/>
  <c r="AV58" i="262"/>
  <c r="AY27" i="262"/>
  <c r="AN27" i="262"/>
  <c r="AU27" i="262"/>
  <c r="AQ27" i="262"/>
  <c r="AV27" i="262"/>
  <c r="AR27" i="262"/>
  <c r="AZ27" i="262"/>
  <c r="AX27" i="262"/>
  <c r="AT27" i="262"/>
  <c r="AS27" i="262"/>
  <c r="BB27" i="262"/>
  <c r="BA27" i="262"/>
  <c r="AW27" i="262"/>
  <c r="AP27" i="262"/>
  <c r="AO27" i="262"/>
  <c r="AS109" i="262" l="1"/>
  <c r="AW109" i="262"/>
  <c r="AO109" i="262"/>
  <c r="BA109" i="262"/>
  <c r="AU109" i="262"/>
  <c r="AV109" i="262"/>
  <c r="BC80" i="262"/>
  <c r="AY109" i="262"/>
  <c r="AP109" i="262"/>
  <c r="BC58" i="262"/>
  <c r="AX109" i="262"/>
  <c r="BC95" i="262"/>
  <c r="AQ109" i="262"/>
  <c r="AZ109" i="262"/>
  <c r="AT109" i="262"/>
  <c r="AR109" i="262"/>
  <c r="BC27" i="262"/>
  <c r="AN109" i="262"/>
  <c r="BB109" i="262"/>
  <c r="BC107" i="262"/>
  <c r="M8" i="230"/>
  <c r="BC109" i="262" l="1"/>
  <c r="AC16" i="274"/>
  <c r="AC21" i="274"/>
  <c r="AC25" i="274"/>
  <c r="AC49" i="274"/>
  <c r="AC56" i="274"/>
  <c r="AC64" i="274"/>
  <c r="AC73" i="274"/>
  <c r="AC78" i="274"/>
  <c r="AC84" i="274"/>
  <c r="AC88" i="274"/>
  <c r="AD105" i="274"/>
  <c r="AD103" i="274"/>
  <c r="AD102" i="274"/>
  <c r="AD100" i="274"/>
  <c r="AD99" i="274"/>
  <c r="AC99" i="274"/>
  <c r="AD98" i="274"/>
  <c r="AD97" i="274"/>
  <c r="AD96" i="274"/>
  <c r="AC96" i="274"/>
  <c r="AD95" i="274"/>
  <c r="AD94" i="274"/>
  <c r="AD93" i="274"/>
  <c r="AC93" i="274"/>
  <c r="AD92" i="274"/>
  <c r="AD91" i="274"/>
  <c r="AD90" i="274"/>
  <c r="AD89" i="274"/>
  <c r="AD88" i="274"/>
  <c r="AD87" i="274"/>
  <c r="AD86" i="274"/>
  <c r="AD85" i="274"/>
  <c r="AD84" i="274"/>
  <c r="AD83" i="274"/>
  <c r="AD82" i="274"/>
  <c r="AD81" i="274"/>
  <c r="AD80" i="274"/>
  <c r="AD79" i="274"/>
  <c r="AD78" i="274"/>
  <c r="AD77" i="274"/>
  <c r="AD76" i="274"/>
  <c r="AD75" i="274"/>
  <c r="AD74" i="274"/>
  <c r="AD73" i="274"/>
  <c r="AD72" i="274"/>
  <c r="AD71" i="274"/>
  <c r="AD70" i="274"/>
  <c r="AD69" i="274"/>
  <c r="AD68" i="274"/>
  <c r="AD67" i="274"/>
  <c r="AD66" i="274"/>
  <c r="AD65" i="274"/>
  <c r="AD64" i="274"/>
  <c r="AD63" i="274"/>
  <c r="AD62" i="274"/>
  <c r="AD61" i="274"/>
  <c r="AD60" i="274"/>
  <c r="AD59" i="274"/>
  <c r="AD58" i="274"/>
  <c r="AD57" i="274"/>
  <c r="AD56" i="274"/>
  <c r="AD55" i="274"/>
  <c r="AD54" i="274"/>
  <c r="AD53" i="274"/>
  <c r="AD52" i="274"/>
  <c r="AD51" i="274"/>
  <c r="AD50" i="274"/>
  <c r="AD49" i="274"/>
  <c r="AD48" i="274"/>
  <c r="AD47" i="274"/>
  <c r="AD46" i="274"/>
  <c r="AD45" i="274"/>
  <c r="AD44" i="274"/>
  <c r="AD43" i="274"/>
  <c r="AD42" i="274"/>
  <c r="AD41" i="274"/>
  <c r="AD40" i="274"/>
  <c r="AD39" i="274"/>
  <c r="AD38" i="274"/>
  <c r="AD37" i="274"/>
  <c r="AD35" i="274"/>
  <c r="AD34" i="274"/>
  <c r="AD33" i="274"/>
  <c r="AD32" i="274"/>
  <c r="AD31" i="274"/>
  <c r="AD30" i="274"/>
  <c r="AD29" i="274"/>
  <c r="AD28" i="274"/>
  <c r="AD27" i="274"/>
  <c r="AD26" i="274"/>
  <c r="AD25" i="274"/>
  <c r="AD24" i="274"/>
  <c r="AD23" i="274"/>
  <c r="AD22" i="274"/>
  <c r="AD21" i="274"/>
  <c r="AD20" i="274"/>
  <c r="AD19" i="274"/>
  <c r="AD18" i="274"/>
  <c r="AD17" i="274"/>
  <c r="AD16" i="274"/>
  <c r="AD15" i="274"/>
  <c r="AD14" i="274"/>
  <c r="AD13" i="274"/>
  <c r="AD12" i="274"/>
  <c r="AD11" i="274"/>
  <c r="AD10" i="274"/>
  <c r="AD9" i="274"/>
  <c r="AD8" i="274"/>
  <c r="AD7" i="274"/>
  <c r="AD6" i="274"/>
  <c r="AC94" i="274" l="1"/>
  <c r="AC103" i="274"/>
  <c r="AC79" i="274"/>
  <c r="AC57" i="274"/>
  <c r="AC26" i="274"/>
  <c r="AW84" i="220"/>
  <c r="AV84" i="220"/>
  <c r="AX84" i="220" s="1"/>
  <c r="AX82" i="220"/>
  <c r="AX81" i="220"/>
  <c r="AX80" i="220"/>
  <c r="AX79" i="220"/>
  <c r="AX78" i="220"/>
  <c r="AX77" i="220"/>
  <c r="AX76" i="220"/>
  <c r="AX75" i="220"/>
  <c r="AX74" i="220"/>
  <c r="AX73" i="220"/>
  <c r="AX72" i="220"/>
  <c r="AX71" i="220"/>
  <c r="AX70" i="220"/>
  <c r="AX69" i="220"/>
  <c r="AX68" i="220"/>
  <c r="AX67" i="220"/>
  <c r="AX66" i="220"/>
  <c r="AX65" i="220"/>
  <c r="AX64" i="220"/>
  <c r="AX61" i="220"/>
  <c r="AX59" i="220"/>
  <c r="AX58" i="220"/>
  <c r="AX57" i="220"/>
  <c r="AX56" i="220"/>
  <c r="AX55" i="220"/>
  <c r="AX53" i="220"/>
  <c r="AX52" i="220"/>
  <c r="AX51" i="220"/>
  <c r="AX50" i="220"/>
  <c r="AX49" i="220"/>
  <c r="AX48" i="220"/>
  <c r="AX47" i="220"/>
  <c r="AX46" i="220"/>
  <c r="AX45" i="220"/>
  <c r="AX44" i="220"/>
  <c r="AX43" i="220"/>
  <c r="AX42" i="220"/>
  <c r="AX41" i="220"/>
  <c r="AX40" i="220"/>
  <c r="AX39" i="220"/>
  <c r="AX38" i="220"/>
  <c r="AX37" i="220"/>
  <c r="AX36" i="220"/>
  <c r="AX35" i="220"/>
  <c r="AX34" i="220"/>
  <c r="AX33" i="220"/>
  <c r="AX32" i="220"/>
  <c r="AX31" i="220"/>
  <c r="AX30" i="220"/>
  <c r="AX29" i="220"/>
  <c r="AX28" i="220"/>
  <c r="AX27" i="220"/>
  <c r="AX26" i="220"/>
  <c r="AX25" i="220"/>
  <c r="AX24" i="220"/>
  <c r="AX23" i="220"/>
  <c r="AX22" i="220"/>
  <c r="AX21" i="220"/>
  <c r="AX20" i="220"/>
  <c r="AX19" i="220"/>
  <c r="AX18" i="220"/>
  <c r="AX17" i="220"/>
  <c r="AX16" i="220"/>
  <c r="AX15" i="220"/>
  <c r="AX14" i="220"/>
  <c r="AX13" i="220"/>
  <c r="AX12" i="220"/>
  <c r="AX11" i="220"/>
  <c r="AX10" i="220"/>
  <c r="AX9" i="220"/>
  <c r="AX8" i="220"/>
  <c r="AX7" i="220"/>
  <c r="AX6" i="220"/>
  <c r="AX5" i="220"/>
  <c r="AV84" i="261"/>
  <c r="AU84" i="261"/>
  <c r="AW82" i="261"/>
  <c r="AW81" i="261"/>
  <c r="AW80" i="261"/>
  <c r="AW79" i="261"/>
  <c r="AW78" i="261"/>
  <c r="AW77" i="261"/>
  <c r="AW76" i="261"/>
  <c r="AW75" i="261"/>
  <c r="AW74" i="261"/>
  <c r="AW73" i="261"/>
  <c r="AW72" i="261"/>
  <c r="AW71" i="261"/>
  <c r="AW70" i="261"/>
  <c r="AW69" i="261"/>
  <c r="AW68" i="261"/>
  <c r="AW67" i="261"/>
  <c r="AW66" i="261"/>
  <c r="AW65" i="261"/>
  <c r="AW64" i="261"/>
  <c r="AW61" i="261"/>
  <c r="AW59" i="261"/>
  <c r="AW58" i="261"/>
  <c r="AW57" i="261"/>
  <c r="AW56" i="261"/>
  <c r="AW55" i="261"/>
  <c r="AW53" i="261"/>
  <c r="AW52" i="261"/>
  <c r="AW51" i="261"/>
  <c r="AW50" i="261"/>
  <c r="AW49" i="261"/>
  <c r="AW48" i="261"/>
  <c r="AW47" i="261"/>
  <c r="AW46" i="261"/>
  <c r="AW45" i="261"/>
  <c r="AW44" i="261"/>
  <c r="AW43" i="261"/>
  <c r="AW42" i="261"/>
  <c r="AW41" i="261"/>
  <c r="AW40" i="261"/>
  <c r="AW39" i="261"/>
  <c r="AW38" i="261"/>
  <c r="AW37" i="261"/>
  <c r="AW36" i="261"/>
  <c r="AW35" i="261"/>
  <c r="AW34" i="261"/>
  <c r="AW33" i="261"/>
  <c r="AW32" i="261"/>
  <c r="AW31" i="261"/>
  <c r="AW30" i="261"/>
  <c r="AW29" i="261"/>
  <c r="AW28" i="261"/>
  <c r="AW27" i="261"/>
  <c r="AW26" i="261"/>
  <c r="AW25" i="261"/>
  <c r="AW24" i="261"/>
  <c r="AW23" i="261"/>
  <c r="AW22" i="261"/>
  <c r="AW21" i="261"/>
  <c r="AW20" i="261"/>
  <c r="AW19" i="261"/>
  <c r="AW18" i="261"/>
  <c r="AW17" i="261"/>
  <c r="AW16" i="261"/>
  <c r="AW15" i="261"/>
  <c r="AW14" i="261"/>
  <c r="AW13" i="261"/>
  <c r="AW12" i="261"/>
  <c r="AW11" i="261"/>
  <c r="AW10" i="261"/>
  <c r="AW9" i="261"/>
  <c r="AW8" i="261"/>
  <c r="AW7" i="261"/>
  <c r="AW6" i="261"/>
  <c r="AW5" i="261"/>
  <c r="U65" i="215"/>
  <c r="U66" i="215" s="1"/>
  <c r="U34" i="215"/>
  <c r="U52" i="215"/>
  <c r="AM30" i="269"/>
  <c r="AL30" i="269"/>
  <c r="AK30" i="269"/>
  <c r="AJ30" i="269"/>
  <c r="AN29" i="269"/>
  <c r="AP29" i="269" s="1"/>
  <c r="AN28" i="269"/>
  <c r="AO28" i="269" s="1"/>
  <c r="AN27" i="269"/>
  <c r="AO27" i="269" s="1"/>
  <c r="AM25" i="269"/>
  <c r="AL25" i="269"/>
  <c r="AN24" i="269"/>
  <c r="AO24" i="269" s="1"/>
  <c r="AN23" i="269"/>
  <c r="AP23" i="269" s="1"/>
  <c r="AN22" i="269"/>
  <c r="AO22" i="269" s="1"/>
  <c r="AM20" i="269"/>
  <c r="AL20" i="269"/>
  <c r="AK20" i="269"/>
  <c r="AJ20" i="269"/>
  <c r="AN19" i="269"/>
  <c r="AO19" i="269" s="1"/>
  <c r="AN18" i="269"/>
  <c r="AO18" i="269" s="1"/>
  <c r="AN17" i="269"/>
  <c r="AP17" i="269" s="1"/>
  <c r="AM15" i="269"/>
  <c r="AL15" i="269"/>
  <c r="AJ15" i="269"/>
  <c r="AN14" i="269"/>
  <c r="AP14" i="269" s="1"/>
  <c r="AN13" i="269"/>
  <c r="AP13" i="269" s="1"/>
  <c r="AN12" i="269"/>
  <c r="AP12" i="269" s="1"/>
  <c r="AM10" i="269"/>
  <c r="AL10" i="269"/>
  <c r="AK10" i="269"/>
  <c r="AJ10" i="269"/>
  <c r="AO9" i="269"/>
  <c r="AN9" i="269"/>
  <c r="AP9" i="269" s="1"/>
  <c r="AN8" i="269"/>
  <c r="AP8" i="269" s="1"/>
  <c r="AN7" i="269"/>
  <c r="AN10" i="269" s="1"/>
  <c r="AN20" i="269" l="1"/>
  <c r="AJ32" i="269"/>
  <c r="AC105" i="274"/>
  <c r="AW84" i="261"/>
  <c r="AM32" i="269"/>
  <c r="AP27" i="269"/>
  <c r="AN30" i="269"/>
  <c r="AP30" i="269" s="1"/>
  <c r="AP28" i="269"/>
  <c r="AN25" i="269"/>
  <c r="AP24" i="269"/>
  <c r="AL32" i="269"/>
  <c r="AO20" i="269"/>
  <c r="AP19" i="269"/>
  <c r="AK32" i="269"/>
  <c r="AO14" i="269"/>
  <c r="AN15" i="269"/>
  <c r="AP15" i="269" s="1"/>
  <c r="AO12" i="269"/>
  <c r="AO7" i="269"/>
  <c r="AP7" i="269"/>
  <c r="AP10" i="269"/>
  <c r="AP20" i="269"/>
  <c r="AP22" i="269"/>
  <c r="AO23" i="269"/>
  <c r="AO8" i="269"/>
  <c r="AO13" i="269"/>
  <c r="AP18" i="269"/>
  <c r="AO29" i="269"/>
  <c r="AO10" i="269"/>
  <c r="AO17" i="269"/>
  <c r="D30" i="237"/>
  <c r="E30" i="237" s="1"/>
  <c r="C31" i="237"/>
  <c r="B31" i="237"/>
  <c r="F38" i="231"/>
  <c r="D38" i="231"/>
  <c r="C38" i="231"/>
  <c r="B38" i="231"/>
  <c r="G37" i="231"/>
  <c r="E37" i="231"/>
  <c r="G36" i="231"/>
  <c r="E36" i="231"/>
  <c r="G35" i="231"/>
  <c r="E35" i="231"/>
  <c r="G34" i="231"/>
  <c r="E34" i="231"/>
  <c r="G33" i="231"/>
  <c r="G32" i="231"/>
  <c r="E32" i="231"/>
  <c r="I65" i="232"/>
  <c r="H65" i="232"/>
  <c r="E65" i="232"/>
  <c r="D65" i="232"/>
  <c r="C65" i="232"/>
  <c r="J63" i="232"/>
  <c r="AX27" i="235" s="1"/>
  <c r="AY27" i="235" s="1"/>
  <c r="F63" i="232"/>
  <c r="AX26" i="235" s="1"/>
  <c r="J61" i="232"/>
  <c r="AX23" i="235" s="1"/>
  <c r="AY23" i="235" s="1"/>
  <c r="F61" i="232"/>
  <c r="AX22" i="235" s="1"/>
  <c r="AY22" i="235" s="1"/>
  <c r="J59" i="232"/>
  <c r="AX19" i="235" s="1"/>
  <c r="AY19" i="235" s="1"/>
  <c r="F59" i="232"/>
  <c r="AX18" i="235" s="1"/>
  <c r="AY18" i="235" s="1"/>
  <c r="J57" i="232"/>
  <c r="AX15" i="235" s="1"/>
  <c r="AY15" i="235" s="1"/>
  <c r="F57" i="232"/>
  <c r="AX14" i="235" s="1"/>
  <c r="AY14" i="235" s="1"/>
  <c r="J55" i="232"/>
  <c r="AX11" i="235" s="1"/>
  <c r="AY11" i="235" s="1"/>
  <c r="F55" i="232"/>
  <c r="AX10" i="235" s="1"/>
  <c r="AY10" i="235" s="1"/>
  <c r="J53" i="232"/>
  <c r="AX7" i="235" s="1"/>
  <c r="F53" i="232"/>
  <c r="AX6" i="235" s="1"/>
  <c r="AO15" i="269" l="1"/>
  <c r="AX31" i="235"/>
  <c r="AY31" i="235" s="1"/>
  <c r="AY7" i="235"/>
  <c r="AX30" i="235"/>
  <c r="AY30" i="235" s="1"/>
  <c r="AY6" i="235"/>
  <c r="AN32" i="269"/>
  <c r="AP32" i="269" s="1"/>
  <c r="AO30" i="269"/>
  <c r="AP25" i="269"/>
  <c r="AO25" i="269"/>
  <c r="G38" i="231"/>
  <c r="E38" i="231"/>
  <c r="L57" i="232"/>
  <c r="L55" i="232"/>
  <c r="J65" i="232"/>
  <c r="L61" i="232"/>
  <c r="L63" i="232"/>
  <c r="F65" i="232"/>
  <c r="L59" i="232"/>
  <c r="L53" i="232"/>
  <c r="BE38" i="270"/>
  <c r="BE39" i="270"/>
  <c r="BE40" i="270"/>
  <c r="BE42" i="270"/>
  <c r="BE43" i="270"/>
  <c r="BE44" i="270"/>
  <c r="BE45" i="270"/>
  <c r="BE47" i="270"/>
  <c r="BE48" i="270"/>
  <c r="BE49" i="270"/>
  <c r="BE50" i="270"/>
  <c r="BE52" i="270"/>
  <c r="BE53" i="270"/>
  <c r="BE54" i="270"/>
  <c r="BE55" i="270"/>
  <c r="BE57" i="270"/>
  <c r="BE58" i="270"/>
  <c r="BE59" i="270"/>
  <c r="BE60" i="270"/>
  <c r="BE62" i="270"/>
  <c r="BE37" i="270"/>
  <c r="AO32" i="269" l="1"/>
  <c r="L65" i="232"/>
  <c r="BB37" i="270"/>
  <c r="BB38" i="270"/>
  <c r="BB39" i="270"/>
  <c r="BB40" i="270"/>
  <c r="BB42" i="270"/>
  <c r="BB43" i="270"/>
  <c r="BB44" i="270"/>
  <c r="BB45" i="270"/>
  <c r="BB47" i="270"/>
  <c r="BB48" i="270"/>
  <c r="BB49" i="270"/>
  <c r="BB50" i="270"/>
  <c r="BB52" i="270"/>
  <c r="BB53" i="270"/>
  <c r="BB54" i="270"/>
  <c r="BB55" i="270"/>
  <c r="BB57" i="270"/>
  <c r="BB58" i="270"/>
  <c r="BB59" i="270"/>
  <c r="BB60" i="270"/>
  <c r="BA62" i="270"/>
  <c r="BB62" i="270" l="1"/>
  <c r="D29" i="237" l="1"/>
  <c r="E29" i="237" s="1"/>
  <c r="D28" i="237"/>
  <c r="E28" i="237" s="1"/>
  <c r="D27" i="237"/>
  <c r="E27" i="237" s="1"/>
  <c r="D26" i="237"/>
  <c r="E26" i="237" s="1"/>
  <c r="D25" i="237"/>
  <c r="D31" i="237" l="1"/>
  <c r="E31" i="237" s="1"/>
  <c r="E25" i="237"/>
  <c r="BS36" i="223"/>
  <c r="BR36" i="223"/>
  <c r="BQ36" i="223"/>
  <c r="BS35" i="223"/>
  <c r="BR35" i="223"/>
  <c r="BQ35" i="223"/>
  <c r="BS34" i="223"/>
  <c r="BR34" i="223"/>
  <c r="BQ34" i="223"/>
  <c r="BS33" i="223"/>
  <c r="BR33" i="223"/>
  <c r="BQ33" i="223"/>
  <c r="BS32" i="223"/>
  <c r="BR32" i="223"/>
  <c r="BQ32" i="223"/>
  <c r="BS31" i="223"/>
  <c r="BR31" i="223"/>
  <c r="BQ31" i="223"/>
  <c r="BS29" i="223"/>
  <c r="BR29" i="223"/>
  <c r="BQ29" i="223"/>
  <c r="BT28" i="223"/>
  <c r="BU28" i="223" s="1"/>
  <c r="BT27" i="223"/>
  <c r="BU27" i="223" s="1"/>
  <c r="BT26" i="223"/>
  <c r="BU26" i="223" s="1"/>
  <c r="BS24" i="223"/>
  <c r="BR24" i="223"/>
  <c r="BQ24" i="223"/>
  <c r="BT23" i="223"/>
  <c r="BU23" i="223" s="1"/>
  <c r="BT22" i="223"/>
  <c r="BU22" i="223" s="1"/>
  <c r="BT21" i="223"/>
  <c r="BU21" i="223" s="1"/>
  <c r="BS19" i="223"/>
  <c r="BR19" i="223"/>
  <c r="BQ19" i="223"/>
  <c r="BT18" i="223"/>
  <c r="BU18" i="223" s="1"/>
  <c r="BT17" i="223"/>
  <c r="BU17" i="223" s="1"/>
  <c r="BT16" i="223"/>
  <c r="BU16" i="223" s="1"/>
  <c r="BS14" i="223"/>
  <c r="BR14" i="223"/>
  <c r="BQ14" i="223"/>
  <c r="BT13" i="223"/>
  <c r="BU13" i="223" s="1"/>
  <c r="BT12" i="223"/>
  <c r="BU12" i="223" s="1"/>
  <c r="BT11" i="223"/>
  <c r="BU11" i="223" s="1"/>
  <c r="BS9" i="223"/>
  <c r="BR9" i="223"/>
  <c r="BQ9" i="223"/>
  <c r="BT8" i="223"/>
  <c r="BU8" i="223" s="1"/>
  <c r="BT7" i="223"/>
  <c r="BU7" i="223" s="1"/>
  <c r="BT6" i="223"/>
  <c r="BU6" i="223" s="1"/>
  <c r="CD65" i="216"/>
  <c r="CE65" i="216"/>
  <c r="CF65" i="216"/>
  <c r="CG65" i="216"/>
  <c r="CG66" i="216" s="1"/>
  <c r="CH65" i="216"/>
  <c r="CH66" i="216" s="1"/>
  <c r="CE16" i="216"/>
  <c r="CF16" i="216"/>
  <c r="CG16" i="216"/>
  <c r="CH16" i="216"/>
  <c r="CD16" i="216"/>
  <c r="CE10" i="216"/>
  <c r="CF10" i="216"/>
  <c r="CG10" i="216"/>
  <c r="CH10" i="216"/>
  <c r="CD10" i="216"/>
  <c r="CH81" i="216"/>
  <c r="CH82" i="216" s="1"/>
  <c r="CG81" i="216"/>
  <c r="CF81" i="216"/>
  <c r="CE81" i="216"/>
  <c r="CD81" i="216"/>
  <c r="CI77" i="216"/>
  <c r="CI76" i="216"/>
  <c r="CI75" i="216"/>
  <c r="CI74" i="216"/>
  <c r="CI73" i="216"/>
  <c r="CI72" i="216"/>
  <c r="CD82" i="216"/>
  <c r="CI70" i="216"/>
  <c r="CI69" i="216"/>
  <c r="CI68" i="216"/>
  <c r="CI67" i="216"/>
  <c r="CI64" i="216"/>
  <c r="CI63" i="216"/>
  <c r="CI62" i="216"/>
  <c r="CI61" i="216"/>
  <c r="CI60" i="216"/>
  <c r="CI59" i="216"/>
  <c r="CI58" i="216"/>
  <c r="CD66" i="216"/>
  <c r="CI55" i="216"/>
  <c r="CH52" i="216"/>
  <c r="CG52" i="216"/>
  <c r="CF52" i="216"/>
  <c r="CF53" i="216" s="1"/>
  <c r="CE52" i="216"/>
  <c r="CD52" i="216"/>
  <c r="CI51" i="216"/>
  <c r="CI49" i="216"/>
  <c r="CI46" i="216"/>
  <c r="CI45" i="216"/>
  <c r="CI44" i="216"/>
  <c r="CI43" i="216"/>
  <c r="CI42" i="216"/>
  <c r="CI40" i="216"/>
  <c r="CI39" i="216"/>
  <c r="CI38" i="216"/>
  <c r="CI37" i="216"/>
  <c r="CH34" i="216"/>
  <c r="CH35" i="216" s="1"/>
  <c r="CG34" i="216"/>
  <c r="CG35" i="216" s="1"/>
  <c r="CF34" i="216"/>
  <c r="CE34" i="216"/>
  <c r="CD34" i="216"/>
  <c r="CD35" i="216" s="1"/>
  <c r="CI33" i="216"/>
  <c r="CI32" i="216"/>
  <c r="CI31" i="216"/>
  <c r="CI29" i="216"/>
  <c r="CI28" i="216"/>
  <c r="CI27" i="216"/>
  <c r="CF35" i="216"/>
  <c r="CI25" i="216"/>
  <c r="CI24" i="216"/>
  <c r="CI23" i="216"/>
  <c r="CH21" i="216"/>
  <c r="CG21" i="216"/>
  <c r="CF21" i="216"/>
  <c r="CE21" i="216"/>
  <c r="CD21" i="216"/>
  <c r="CI20" i="216"/>
  <c r="CI19" i="216"/>
  <c r="CI18" i="216"/>
  <c r="CI17" i="216"/>
  <c r="CH22" i="216"/>
  <c r="CI15" i="216"/>
  <c r="CI14" i="216"/>
  <c r="CI13" i="216"/>
  <c r="CI12" i="216"/>
  <c r="CI11" i="216"/>
  <c r="CI9" i="216"/>
  <c r="CI8" i="216"/>
  <c r="CI7" i="216"/>
  <c r="CI6" i="216"/>
  <c r="CI5" i="216"/>
  <c r="T82" i="215"/>
  <c r="T81" i="215"/>
  <c r="T76" i="215"/>
  <c r="V76" i="215" s="1"/>
  <c r="T71" i="215"/>
  <c r="T65" i="215"/>
  <c r="T61" i="215"/>
  <c r="T57" i="215"/>
  <c r="T66" i="215" s="1"/>
  <c r="V66" i="215" s="1"/>
  <c r="T53" i="215"/>
  <c r="T52" i="215"/>
  <c r="T47" i="215"/>
  <c r="V47" i="215" s="1"/>
  <c r="T41" i="215"/>
  <c r="T34" i="215"/>
  <c r="V34" i="215" s="1"/>
  <c r="T30" i="215"/>
  <c r="T26" i="215"/>
  <c r="T22" i="215"/>
  <c r="T21" i="215"/>
  <c r="T16" i="215"/>
  <c r="T10" i="215"/>
  <c r="U81" i="215"/>
  <c r="V81" i="215" s="1"/>
  <c r="V80" i="215"/>
  <c r="V79" i="215"/>
  <c r="V78" i="215"/>
  <c r="V77" i="215"/>
  <c r="V75" i="215"/>
  <c r="V74" i="215"/>
  <c r="V73" i="215"/>
  <c r="V72" i="215"/>
  <c r="V70" i="215"/>
  <c r="V69" i="215"/>
  <c r="V68" i="215"/>
  <c r="V67" i="215"/>
  <c r="V63" i="215"/>
  <c r="V62" i="215"/>
  <c r="V60" i="215"/>
  <c r="V59" i="215"/>
  <c r="V58" i="215"/>
  <c r="V56" i="215"/>
  <c r="V55" i="215"/>
  <c r="V54" i="215"/>
  <c r="V51" i="215"/>
  <c r="V50" i="215"/>
  <c r="V49" i="215"/>
  <c r="V48" i="215"/>
  <c r="V46" i="215"/>
  <c r="V45" i="215"/>
  <c r="V44" i="215"/>
  <c r="V43" i="215"/>
  <c r="V42" i="215"/>
  <c r="V41" i="215"/>
  <c r="V40" i="215"/>
  <c r="V39" i="215"/>
  <c r="V38" i="215"/>
  <c r="V37" i="215"/>
  <c r="V36" i="215"/>
  <c r="V33" i="215"/>
  <c r="V32" i="215"/>
  <c r="V31" i="215"/>
  <c r="V30" i="215"/>
  <c r="V29" i="215"/>
  <c r="V28" i="215"/>
  <c r="V27" i="215"/>
  <c r="V26" i="215"/>
  <c r="V25" i="215"/>
  <c r="V24" i="215"/>
  <c r="V23" i="215"/>
  <c r="U21" i="215"/>
  <c r="V21" i="215" s="1"/>
  <c r="V20" i="215"/>
  <c r="V19" i="215"/>
  <c r="V18" i="215"/>
  <c r="V17" i="215"/>
  <c r="U16" i="215"/>
  <c r="V15" i="215"/>
  <c r="V14" i="215"/>
  <c r="V13" i="215"/>
  <c r="V12" i="215"/>
  <c r="V11" i="215"/>
  <c r="V9" i="215"/>
  <c r="V8" i="215"/>
  <c r="V7" i="215"/>
  <c r="V6" i="215"/>
  <c r="V5" i="215"/>
  <c r="AV76" i="214"/>
  <c r="AV71" i="214"/>
  <c r="AV61" i="214"/>
  <c r="AV57" i="214"/>
  <c r="AV47" i="214"/>
  <c r="AV41" i="214"/>
  <c r="AV30" i="214"/>
  <c r="AV26" i="214"/>
  <c r="AV16" i="214"/>
  <c r="AV10" i="214"/>
  <c r="V16" i="215" l="1"/>
  <c r="T35" i="215"/>
  <c r="T84" i="215" s="1"/>
  <c r="CF22" i="216"/>
  <c r="BT9" i="223"/>
  <c r="BU9" i="223" s="1"/>
  <c r="BT34" i="223"/>
  <c r="BU34" i="223" s="1"/>
  <c r="BS37" i="223"/>
  <c r="BT24" i="223"/>
  <c r="BU24" i="223" s="1"/>
  <c r="BT19" i="223"/>
  <c r="BU19" i="223" s="1"/>
  <c r="BR37" i="223"/>
  <c r="BT32" i="223"/>
  <c r="BU32" i="223" s="1"/>
  <c r="BQ37" i="223"/>
  <c r="BU29" i="223"/>
  <c r="BT36" i="223"/>
  <c r="BU36" i="223" s="1"/>
  <c r="BT14" i="223"/>
  <c r="BU14" i="223" s="1"/>
  <c r="BT33" i="223"/>
  <c r="BU33" i="223" s="1"/>
  <c r="BT31" i="223"/>
  <c r="BU31" i="223" s="1"/>
  <c r="BT29" i="223"/>
  <c r="BT35" i="223"/>
  <c r="BU35" i="223" s="1"/>
  <c r="CI81" i="216"/>
  <c r="CI65" i="216"/>
  <c r="CF66" i="216"/>
  <c r="CF82" i="216"/>
  <c r="CE82" i="216"/>
  <c r="CI71" i="216"/>
  <c r="CI57" i="216"/>
  <c r="CD53" i="216"/>
  <c r="CI52" i="216"/>
  <c r="CH53" i="216"/>
  <c r="CH84" i="216" s="1"/>
  <c r="CG53" i="216"/>
  <c r="CI47" i="216"/>
  <c r="CI41" i="216"/>
  <c r="CI34" i="216"/>
  <c r="CE35" i="216"/>
  <c r="CI35" i="216" s="1"/>
  <c r="CI30" i="216"/>
  <c r="CE22" i="216"/>
  <c r="CI21" i="216"/>
  <c r="CG22" i="216"/>
  <c r="CD22" i="216"/>
  <c r="CD84" i="216" s="1"/>
  <c r="CI16" i="216"/>
  <c r="CE53" i="216"/>
  <c r="CE66" i="216"/>
  <c r="CI26" i="216"/>
  <c r="CG82" i="216"/>
  <c r="CI10" i="216"/>
  <c r="V10" i="215"/>
  <c r="V52" i="215"/>
  <c r="U82" i="215"/>
  <c r="V82" i="215" s="1"/>
  <c r="U35" i="215"/>
  <c r="V35" i="215" s="1"/>
  <c r="V57" i="215"/>
  <c r="U22" i="215"/>
  <c r="V71" i="215"/>
  <c r="U53" i="215"/>
  <c r="V53" i="215" s="1"/>
  <c r="AW81" i="214"/>
  <c r="AV81" i="214"/>
  <c r="AX80" i="214"/>
  <c r="AX79" i="214"/>
  <c r="AX78" i="214"/>
  <c r="AX77" i="214"/>
  <c r="AX76" i="214"/>
  <c r="AX75" i="214"/>
  <c r="AX74" i="214"/>
  <c r="AX73" i="214"/>
  <c r="AX72" i="214"/>
  <c r="AX70" i="214"/>
  <c r="AX69" i="214"/>
  <c r="AX68" i="214"/>
  <c r="AX67" i="214"/>
  <c r="AW65" i="214"/>
  <c r="AV65" i="214"/>
  <c r="AX65" i="214" s="1"/>
  <c r="AX64" i="214"/>
  <c r="AX63" i="214"/>
  <c r="AX62" i="214"/>
  <c r="AX60" i="214"/>
  <c r="AX59" i="214"/>
  <c r="AX58" i="214"/>
  <c r="AX56" i="214"/>
  <c r="AX55" i="214"/>
  <c r="AX54" i="214"/>
  <c r="AW52" i="214"/>
  <c r="AV52" i="214"/>
  <c r="AX51" i="214"/>
  <c r="AX50" i="214"/>
  <c r="AX49" i="214"/>
  <c r="AX48" i="214"/>
  <c r="AX47" i="214"/>
  <c r="AX46" i="214"/>
  <c r="AX45" i="214"/>
  <c r="AX44" i="214"/>
  <c r="AX43" i="214"/>
  <c r="AX42" i="214"/>
  <c r="AX40" i="214"/>
  <c r="AX39" i="214"/>
  <c r="AX38" i="214"/>
  <c r="AX37" i="214"/>
  <c r="AX36" i="214"/>
  <c r="AW34" i="214"/>
  <c r="AV34" i="214"/>
  <c r="AX33" i="214"/>
  <c r="AX32" i="214"/>
  <c r="AX31" i="214"/>
  <c r="AW35" i="214"/>
  <c r="AX29" i="214"/>
  <c r="AX28" i="214"/>
  <c r="AX27" i="214"/>
  <c r="AX26" i="214"/>
  <c r="AX25" i="214"/>
  <c r="AX24" i="214"/>
  <c r="AX23" i="214"/>
  <c r="AW21" i="214"/>
  <c r="AV21" i="214"/>
  <c r="AX20" i="214"/>
  <c r="AX18" i="214"/>
  <c r="AX17" i="214"/>
  <c r="AX19" i="214"/>
  <c r="AW16" i="214"/>
  <c r="AX16" i="214" s="1"/>
  <c r="AX15" i="214"/>
  <c r="AX14" i="214"/>
  <c r="AX13" i="214"/>
  <c r="AX12" i="214"/>
  <c r="AX11" i="214"/>
  <c r="AX9" i="214"/>
  <c r="AX8" i="214"/>
  <c r="AX7" i="214"/>
  <c r="AX6" i="214"/>
  <c r="AX5" i="214"/>
  <c r="CE84" i="216" l="1"/>
  <c r="AX34" i="214"/>
  <c r="AX81" i="214"/>
  <c r="BT37" i="223"/>
  <c r="BU37" i="223" s="1"/>
  <c r="CG84" i="216"/>
  <c r="CF84" i="216"/>
  <c r="CI66" i="216"/>
  <c r="CI82" i="216"/>
  <c r="CI53" i="216"/>
  <c r="CI22" i="216"/>
  <c r="V22" i="215"/>
  <c r="U84" i="215"/>
  <c r="V84" i="215" s="1"/>
  <c r="AX30" i="214"/>
  <c r="AW22" i="214"/>
  <c r="AX52" i="214"/>
  <c r="AV82" i="214"/>
  <c r="AW82" i="214"/>
  <c r="AV66" i="214"/>
  <c r="AW66" i="214"/>
  <c r="AX57" i="214"/>
  <c r="AV53" i="214"/>
  <c r="AW53" i="214"/>
  <c r="AX21" i="214"/>
  <c r="AV22" i="214"/>
  <c r="AV35" i="214"/>
  <c r="AX35" i="214" s="1"/>
  <c r="AX61" i="214"/>
  <c r="AX71" i="214"/>
  <c r="AX41" i="214"/>
  <c r="AX10" i="214"/>
  <c r="AS244" i="252"/>
  <c r="AS235" i="252"/>
  <c r="AS239" i="252"/>
  <c r="AS227" i="252"/>
  <c r="AN317" i="251"/>
  <c r="AN307" i="251"/>
  <c r="AW84" i="214" l="1"/>
  <c r="CI84" i="216"/>
  <c r="AX82" i="214"/>
  <c r="AX66" i="214"/>
  <c r="AX22" i="214"/>
  <c r="AV84" i="214"/>
  <c r="AX53" i="214"/>
  <c r="AR89" i="250"/>
  <c r="AX84" i="214" l="1"/>
  <c r="W98" i="252"/>
  <c r="U298" i="251"/>
  <c r="U297" i="251"/>
  <c r="U290" i="251"/>
  <c r="W290" i="251" s="1"/>
  <c r="U281" i="251"/>
  <c r="W281" i="251" s="1"/>
  <c r="U272" i="251"/>
  <c r="U273" i="251"/>
  <c r="U263" i="251"/>
  <c r="U262" i="251"/>
  <c r="W262" i="251" s="1"/>
  <c r="U257" i="251"/>
  <c r="W257" i="251" s="1"/>
  <c r="U253" i="251"/>
  <c r="W253" i="251" s="1"/>
  <c r="U249" i="251"/>
  <c r="W249" i="251" s="1"/>
  <c r="U243" i="251"/>
  <c r="W243" i="251" s="1"/>
  <c r="U231" i="251"/>
  <c r="W231" i="251" s="1"/>
  <c r="U220" i="251"/>
  <c r="W220" i="251" s="1"/>
  <c r="U202" i="251"/>
  <c r="W202" i="251" s="1"/>
  <c r="U197" i="251"/>
  <c r="W197" i="251" s="1"/>
  <c r="U190" i="251"/>
  <c r="W190" i="251" s="1"/>
  <c r="U181" i="251"/>
  <c r="W181" i="251" s="1"/>
  <c r="U177" i="251"/>
  <c r="W177" i="251" s="1"/>
  <c r="U172" i="251"/>
  <c r="W171" i="251" s="1"/>
  <c r="U160" i="251"/>
  <c r="U159" i="251"/>
  <c r="U152" i="251"/>
  <c r="W152" i="251" s="1"/>
  <c r="U147" i="251"/>
  <c r="W147" i="251" s="1"/>
  <c r="U141" i="251"/>
  <c r="W141" i="251" s="1"/>
  <c r="U136" i="251"/>
  <c r="U135" i="251"/>
  <c r="U127" i="251"/>
  <c r="W127" i="251" s="1"/>
  <c r="U120" i="251"/>
  <c r="U117" i="251"/>
  <c r="U116" i="251"/>
  <c r="W116" i="251" s="1"/>
  <c r="U114" i="251"/>
  <c r="W114" i="251" s="1"/>
  <c r="U104" i="251"/>
  <c r="U98" i="251"/>
  <c r="W98" i="251" s="1"/>
  <c r="U92" i="251"/>
  <c r="W92" i="251" s="1"/>
  <c r="U84" i="251"/>
  <c r="W84" i="251" s="1"/>
  <c r="U77" i="251"/>
  <c r="W77" i="251" s="1"/>
  <c r="U65" i="251"/>
  <c r="U61" i="251"/>
  <c r="U58" i="251"/>
  <c r="U57" i="251"/>
  <c r="W57" i="251" s="1"/>
  <c r="U53" i="251"/>
  <c r="W53" i="251" s="1"/>
  <c r="U48" i="251"/>
  <c r="U47" i="251"/>
  <c r="U43" i="251"/>
  <c r="W43" i="251" s="1"/>
  <c r="U33" i="251"/>
  <c r="W33" i="251" s="1"/>
  <c r="U22" i="251"/>
  <c r="W22" i="251" s="1"/>
  <c r="U16" i="251"/>
  <c r="W16" i="251" s="1"/>
  <c r="U12" i="251"/>
  <c r="W12" i="251" s="1"/>
  <c r="U137" i="251" l="1"/>
  <c r="W137" i="251" s="1"/>
  <c r="U118" i="251"/>
  <c r="W118" i="251" s="1"/>
  <c r="U161" i="251"/>
  <c r="W161" i="251" s="1"/>
  <c r="U299" i="251"/>
  <c r="W299" i="251" s="1"/>
  <c r="W273" i="251"/>
  <c r="W297" i="251"/>
  <c r="U264" i="251"/>
  <c r="U162" i="251"/>
  <c r="W159" i="251"/>
  <c r="W135" i="251"/>
  <c r="U68" i="251"/>
  <c r="U59" i="251"/>
  <c r="W59" i="251" s="1"/>
  <c r="U67" i="251"/>
  <c r="U49" i="251"/>
  <c r="HE46" i="251"/>
  <c r="FE47" i="251"/>
  <c r="BF48" i="251"/>
  <c r="EN48" i="251"/>
  <c r="FW48" i="251"/>
  <c r="DE50" i="251"/>
  <c r="CM51" i="251"/>
  <c r="DW51" i="251"/>
  <c r="HW51" i="251"/>
  <c r="HX51" i="251"/>
  <c r="FE52" i="251"/>
  <c r="EN53" i="251"/>
  <c r="DE54" i="251"/>
  <c r="BV55" i="251"/>
  <c r="FW55" i="251"/>
  <c r="GN55" i="251"/>
  <c r="HE55" i="251"/>
  <c r="CM57" i="251"/>
  <c r="HW57" i="251"/>
  <c r="HX57" i="251"/>
  <c r="DW58" i="251"/>
  <c r="FE59" i="251"/>
  <c r="GN59" i="251"/>
  <c r="BP231" i="252"/>
  <c r="BP227" i="252"/>
  <c r="AW405" i="252"/>
  <c r="AY400" i="252"/>
  <c r="T598" i="251"/>
  <c r="CA632" i="251"/>
  <c r="AN311" i="251"/>
  <c r="AB475" i="251"/>
  <c r="AC35" i="250"/>
  <c r="AC33" i="250"/>
  <c r="AC39" i="250"/>
  <c r="AC32" i="250"/>
  <c r="AC29" i="250"/>
  <c r="AE29" i="250" s="1"/>
  <c r="AC23" i="250"/>
  <c r="AE23" i="250" s="1"/>
  <c r="AC18" i="250"/>
  <c r="AC17" i="250"/>
  <c r="AE17" i="250" s="1"/>
  <c r="AC14" i="250"/>
  <c r="AE14" i="250" s="1"/>
  <c r="AC11" i="250"/>
  <c r="AE11" i="250" s="1"/>
  <c r="AD14" i="250"/>
  <c r="AW125" i="250"/>
  <c r="AK113" i="250"/>
  <c r="AJ119" i="250"/>
  <c r="U69" i="251" l="1"/>
  <c r="W69" i="251" s="1"/>
  <c r="U163" i="251"/>
  <c r="W163" i="251" s="1"/>
  <c r="AC41" i="250"/>
  <c r="AC34" i="250"/>
  <c r="AE34" i="250" s="1"/>
  <c r="W264" i="251"/>
  <c r="W49" i="251"/>
  <c r="AC36" i="250"/>
  <c r="AE36" i="250" s="1"/>
  <c r="AC19" i="250"/>
  <c r="AK100" i="274"/>
  <c r="AK98" i="274"/>
  <c r="AK95" i="274"/>
  <c r="AK92" i="274"/>
  <c r="AK87" i="274"/>
  <c r="AK83" i="274"/>
  <c r="AK77" i="274"/>
  <c r="AK72" i="274"/>
  <c r="AK63" i="274"/>
  <c r="AK55" i="274"/>
  <c r="AK48" i="274"/>
  <c r="AK36" i="274"/>
  <c r="AK25" i="274"/>
  <c r="AK21" i="274"/>
  <c r="AK16" i="274"/>
  <c r="AK93" i="274" l="1"/>
  <c r="AK101" i="274"/>
  <c r="AE19" i="250"/>
  <c r="AC42" i="250"/>
  <c r="AE42" i="250" s="1"/>
  <c r="AK56" i="274"/>
  <c r="AK78" i="274"/>
  <c r="AK26" i="274"/>
  <c r="U51" i="255"/>
  <c r="U47" i="255"/>
  <c r="U45" i="255"/>
  <c r="U41" i="255"/>
  <c r="U36" i="255"/>
  <c r="U32" i="255"/>
  <c r="U26" i="255"/>
  <c r="U18" i="255"/>
  <c r="U13" i="255"/>
  <c r="U10" i="255"/>
  <c r="V8" i="255"/>
  <c r="V9" i="255"/>
  <c r="V11" i="255"/>
  <c r="V12" i="255"/>
  <c r="V14" i="255"/>
  <c r="V15" i="255"/>
  <c r="V16" i="255"/>
  <c r="V17" i="255"/>
  <c r="V20" i="255"/>
  <c r="V21" i="255"/>
  <c r="V22" i="255"/>
  <c r="V23" i="255"/>
  <c r="V24" i="255"/>
  <c r="V25" i="255"/>
  <c r="V27" i="255"/>
  <c r="V28" i="255"/>
  <c r="V29" i="255"/>
  <c r="V30" i="255"/>
  <c r="V31" i="255"/>
  <c r="V33" i="255"/>
  <c r="V34" i="255"/>
  <c r="V35" i="255"/>
  <c r="V38" i="255"/>
  <c r="V39" i="255"/>
  <c r="V40" i="255"/>
  <c r="V42" i="255"/>
  <c r="V43" i="255"/>
  <c r="V44" i="255"/>
  <c r="V46" i="255"/>
  <c r="V49" i="255"/>
  <c r="V50" i="255"/>
  <c r="V7" i="255"/>
  <c r="U72" i="254"/>
  <c r="U67" i="254"/>
  <c r="U64" i="254"/>
  <c r="U54" i="254"/>
  <c r="U44" i="254"/>
  <c r="U39" i="254"/>
  <c r="U31" i="254"/>
  <c r="U22" i="254"/>
  <c r="U18" i="254"/>
  <c r="U11" i="254"/>
  <c r="V7" i="254"/>
  <c r="V8" i="254"/>
  <c r="V9" i="254"/>
  <c r="V10" i="254"/>
  <c r="V12" i="254"/>
  <c r="V13" i="254"/>
  <c r="V14" i="254"/>
  <c r="V15" i="254"/>
  <c r="V16" i="254"/>
  <c r="V17" i="254"/>
  <c r="V19" i="254"/>
  <c r="V20" i="254"/>
  <c r="V21" i="254"/>
  <c r="V24" i="254"/>
  <c r="V25" i="254"/>
  <c r="V26" i="254"/>
  <c r="V27" i="254"/>
  <c r="V28" i="254"/>
  <c r="V29" i="254"/>
  <c r="V30" i="254"/>
  <c r="V32" i="254"/>
  <c r="V33" i="254"/>
  <c r="V34" i="254"/>
  <c r="V35" i="254"/>
  <c r="V36" i="254"/>
  <c r="V37" i="254"/>
  <c r="V38" i="254"/>
  <c r="V40" i="254"/>
  <c r="V41" i="254"/>
  <c r="V42" i="254"/>
  <c r="V43" i="254"/>
  <c r="V46" i="254"/>
  <c r="V47" i="254"/>
  <c r="V48" i="254"/>
  <c r="V49" i="254"/>
  <c r="V50" i="254"/>
  <c r="V51" i="254"/>
  <c r="V52" i="254"/>
  <c r="V53" i="254"/>
  <c r="V55" i="254"/>
  <c r="V56" i="254"/>
  <c r="V57" i="254"/>
  <c r="V58" i="254"/>
  <c r="V59" i="254"/>
  <c r="V60" i="254"/>
  <c r="V61" i="254"/>
  <c r="V62" i="254"/>
  <c r="V63" i="254"/>
  <c r="V65" i="254"/>
  <c r="V66" i="254"/>
  <c r="V69" i="254"/>
  <c r="V70" i="254"/>
  <c r="V71" i="254"/>
  <c r="V6" i="254"/>
  <c r="AD6" i="254"/>
  <c r="AD7" i="254"/>
  <c r="AD8" i="254"/>
  <c r="AD9" i="254"/>
  <c r="AD10" i="254"/>
  <c r="AD11" i="254"/>
  <c r="AD13" i="254"/>
  <c r="AD14" i="254"/>
  <c r="AD15" i="254"/>
  <c r="AD16" i="254"/>
  <c r="AD17" i="254"/>
  <c r="AD18" i="254"/>
  <c r="AD20" i="254"/>
  <c r="AD21" i="254"/>
  <c r="AD22" i="254"/>
  <c r="AD23" i="254"/>
  <c r="AD25" i="254"/>
  <c r="AD26" i="254"/>
  <c r="AD27" i="254"/>
  <c r="AD28" i="254"/>
  <c r="AD29" i="254"/>
  <c r="AD30" i="254"/>
  <c r="AD31" i="254"/>
  <c r="AD33" i="254"/>
  <c r="AD34" i="254"/>
  <c r="AD35" i="254"/>
  <c r="AD36" i="254"/>
  <c r="AD37" i="254"/>
  <c r="AD38" i="254"/>
  <c r="AD40" i="254"/>
  <c r="AD41" i="254"/>
  <c r="AD42" i="254"/>
  <c r="AD43" i="254"/>
  <c r="AD46" i="254"/>
  <c r="AD47" i="254"/>
  <c r="AD48" i="254"/>
  <c r="AD49" i="254"/>
  <c r="AD50" i="254"/>
  <c r="AD51" i="254"/>
  <c r="AD53" i="254"/>
  <c r="AD54" i="254"/>
  <c r="AD55" i="254"/>
  <c r="AD56" i="254"/>
  <c r="AD57" i="254"/>
  <c r="AD58" i="254"/>
  <c r="AD59" i="254"/>
  <c r="AD60" i="254"/>
  <c r="AD61" i="254"/>
  <c r="AD63" i="254"/>
  <c r="AD64" i="254"/>
  <c r="AD67" i="254"/>
  <c r="AD68" i="254"/>
  <c r="AD69" i="254"/>
  <c r="AD70" i="254"/>
  <c r="AD71" i="254"/>
  <c r="AD72" i="254"/>
  <c r="V17" i="253"/>
  <c r="U21" i="253"/>
  <c r="U22" i="253" s="1"/>
  <c r="T9" i="253"/>
  <c r="T12" i="253" s="1"/>
  <c r="U9" i="253"/>
  <c r="V8" i="253"/>
  <c r="AS190" i="252"/>
  <c r="AS176" i="252"/>
  <c r="AS169" i="252"/>
  <c r="AS165" i="252"/>
  <c r="AS158" i="252"/>
  <c r="AS152" i="252"/>
  <c r="AS142" i="252"/>
  <c r="AS135" i="252"/>
  <c r="AS129" i="252"/>
  <c r="AS122" i="252"/>
  <c r="AS118" i="252"/>
  <c r="AS110" i="252"/>
  <c r="AS105" i="252"/>
  <c r="AS99" i="252"/>
  <c r="AS94" i="252"/>
  <c r="AS85" i="252"/>
  <c r="AS76" i="252"/>
  <c r="AS70" i="252"/>
  <c r="AS66" i="252"/>
  <c r="AS55" i="252"/>
  <c r="AS47" i="252"/>
  <c r="AS40" i="252"/>
  <c r="AS37" i="252"/>
  <c r="AS31" i="252"/>
  <c r="AS25" i="252"/>
  <c r="AS18" i="252"/>
  <c r="AS12" i="252"/>
  <c r="AS9" i="252"/>
  <c r="AN296" i="251"/>
  <c r="AN277" i="251"/>
  <c r="AN272" i="251"/>
  <c r="AN267" i="251"/>
  <c r="AN245" i="251"/>
  <c r="AN237" i="251"/>
  <c r="AN232" i="251"/>
  <c r="AN228" i="251"/>
  <c r="AN223" i="251"/>
  <c r="AN215" i="251"/>
  <c r="AN207" i="251"/>
  <c r="AN192" i="251"/>
  <c r="AN186" i="251"/>
  <c r="AN180" i="251"/>
  <c r="AN164" i="251"/>
  <c r="AN154" i="251"/>
  <c r="AN135" i="251"/>
  <c r="AN125" i="251"/>
  <c r="AN119" i="251"/>
  <c r="AN110" i="251"/>
  <c r="AN101" i="251"/>
  <c r="AN91" i="251"/>
  <c r="AN81" i="251"/>
  <c r="AN79" i="251"/>
  <c r="AN74" i="251"/>
  <c r="AN67" i="251"/>
  <c r="AN42" i="251"/>
  <c r="AN33" i="251"/>
  <c r="AN28" i="251"/>
  <c r="AN20" i="251"/>
  <c r="AN10" i="251"/>
  <c r="AR49" i="250"/>
  <c r="AR37" i="250"/>
  <c r="AR33" i="250"/>
  <c r="AR29" i="250"/>
  <c r="AR23" i="250"/>
  <c r="AR17" i="250"/>
  <c r="AR12" i="250"/>
  <c r="V51" i="255" l="1"/>
  <c r="V47" i="255"/>
  <c r="V45" i="255"/>
  <c r="U48" i="255"/>
  <c r="U37" i="255"/>
  <c r="U68" i="254"/>
  <c r="V67" i="254"/>
  <c r="V39" i="254"/>
  <c r="V18" i="254"/>
  <c r="U23" i="254"/>
  <c r="V72" i="254"/>
  <c r="V31" i="254"/>
  <c r="V44" i="254"/>
  <c r="V11" i="254"/>
  <c r="V22" i="254"/>
  <c r="U45" i="254"/>
  <c r="V64" i="254"/>
  <c r="V54" i="254"/>
  <c r="AK103" i="274"/>
  <c r="U19" i="255"/>
  <c r="V41" i="255"/>
  <c r="V32" i="255"/>
  <c r="V18" i="255"/>
  <c r="V36" i="255"/>
  <c r="V13" i="255"/>
  <c r="V26" i="255"/>
  <c r="V10" i="255"/>
  <c r="AD62" i="254"/>
  <c r="AD65" i="254"/>
  <c r="AD19" i="254"/>
  <c r="AD32" i="254"/>
  <c r="AD12" i="254"/>
  <c r="AD44" i="254"/>
  <c r="AD39" i="254"/>
  <c r="AD73" i="254"/>
  <c r="AD52" i="254"/>
  <c r="V48" i="255" l="1"/>
  <c r="V37" i="255"/>
  <c r="V68" i="254"/>
  <c r="U73" i="254"/>
  <c r="V23" i="254"/>
  <c r="V45" i="254"/>
  <c r="U53" i="255"/>
  <c r="V19" i="255"/>
  <c r="AD66" i="254"/>
  <c r="AD24" i="254"/>
  <c r="AD45" i="254"/>
  <c r="DJ15" i="252"/>
  <c r="V173" i="252"/>
  <c r="V169" i="252"/>
  <c r="V164" i="252"/>
  <c r="W164" i="252" s="1"/>
  <c r="V161" i="252"/>
  <c r="V152" i="252"/>
  <c r="V144" i="252"/>
  <c r="W138" i="252"/>
  <c r="V143" i="252"/>
  <c r="W143" i="252" s="1"/>
  <c r="V131" i="252"/>
  <c r="W131" i="252" s="1"/>
  <c r="V121" i="252"/>
  <c r="W112" i="252"/>
  <c r="V106" i="252"/>
  <c r="W106" i="252" s="1"/>
  <c r="V99" i="252"/>
  <c r="V90" i="252"/>
  <c r="W90" i="252" s="1"/>
  <c r="V80" i="252"/>
  <c r="W80" i="252" s="1"/>
  <c r="V72" i="252"/>
  <c r="W72" i="252" s="1"/>
  <c r="V66" i="252"/>
  <c r="W66" i="252" s="1"/>
  <c r="V60" i="252"/>
  <c r="W58" i="252"/>
  <c r="W53" i="252"/>
  <c r="V50" i="252"/>
  <c r="V44" i="252"/>
  <c r="W50" i="252"/>
  <c r="W24" i="252"/>
  <c r="V39" i="252"/>
  <c r="V41" i="252" s="1"/>
  <c r="V38" i="252"/>
  <c r="W38" i="252" s="1"/>
  <c r="V33" i="252"/>
  <c r="W33" i="252" s="1"/>
  <c r="V30" i="252"/>
  <c r="W30" i="252" s="1"/>
  <c r="W22" i="252"/>
  <c r="V13" i="252"/>
  <c r="V9" i="252"/>
  <c r="W9" i="252" s="1"/>
  <c r="V53" i="255" l="1"/>
  <c r="V73" i="254"/>
  <c r="V170" i="252"/>
  <c r="W170" i="252" s="1"/>
  <c r="V61" i="252"/>
  <c r="W61" i="252" s="1"/>
  <c r="AD74" i="254"/>
  <c r="V100" i="252"/>
  <c r="W100" i="252" s="1"/>
  <c r="V122" i="252"/>
  <c r="W122" i="252" s="1"/>
  <c r="V145" i="252"/>
  <c r="V154" i="252" s="1"/>
  <c r="V40" i="252"/>
  <c r="V42" i="252" s="1"/>
  <c r="V153" i="252"/>
  <c r="V123" i="252"/>
  <c r="BF13" i="251"/>
  <c r="W145" i="252" l="1"/>
  <c r="W40" i="252"/>
  <c r="W154" i="252"/>
  <c r="V124" i="252"/>
  <c r="V176" i="252" s="1"/>
  <c r="V175" i="252"/>
  <c r="W42" i="252"/>
  <c r="W176" i="252" l="1"/>
  <c r="W124" i="252"/>
  <c r="U18" i="253"/>
  <c r="U16" i="253"/>
  <c r="U14" i="253"/>
  <c r="U11" i="253"/>
  <c r="V10" i="253"/>
  <c r="U19" i="253" l="1"/>
  <c r="U12" i="253"/>
  <c r="W120" i="252"/>
  <c r="V20" i="253"/>
  <c r="V21" i="253" s="1"/>
  <c r="V22" i="253" s="1"/>
  <c r="V15" i="253"/>
  <c r="V16" i="253" s="1"/>
  <c r="V13" i="253"/>
  <c r="V14" i="253" s="1"/>
  <c r="V7" i="253"/>
  <c r="V6" i="253"/>
  <c r="V19" i="253" l="1"/>
  <c r="V9" i="253"/>
  <c r="V12" i="253" s="1"/>
  <c r="U23" i="253"/>
  <c r="AL26" i="274"/>
  <c r="AL27" i="274"/>
  <c r="AL28" i="274"/>
  <c r="AL29" i="274"/>
  <c r="AL30" i="274"/>
  <c r="AL31" i="274"/>
  <c r="AL32" i="274"/>
  <c r="AL33" i="274"/>
  <c r="AL34" i="274"/>
  <c r="AL35" i="274"/>
  <c r="AL36" i="274"/>
  <c r="AL37" i="274"/>
  <c r="AL38" i="274"/>
  <c r="AL39" i="274"/>
  <c r="AL40" i="274"/>
  <c r="AL41" i="274"/>
  <c r="AL42" i="274"/>
  <c r="AL43" i="274"/>
  <c r="AL44" i="274"/>
  <c r="AL45" i="274"/>
  <c r="AL46" i="274"/>
  <c r="AL47" i="274"/>
  <c r="AL48" i="274"/>
  <c r="AL49" i="274"/>
  <c r="AL50" i="274"/>
  <c r="AL51" i="274"/>
  <c r="AL52" i="274"/>
  <c r="AL53" i="274"/>
  <c r="AL54" i="274"/>
  <c r="AL55" i="274"/>
  <c r="AL56" i="274"/>
  <c r="AL57" i="274"/>
  <c r="AL58" i="274"/>
  <c r="AL59" i="274"/>
  <c r="AL60" i="274"/>
  <c r="AL61" i="274"/>
  <c r="AL62" i="274"/>
  <c r="AL63" i="274"/>
  <c r="AL64" i="274"/>
  <c r="AL65" i="274"/>
  <c r="AL66" i="274"/>
  <c r="AL67" i="274"/>
  <c r="AL68" i="274"/>
  <c r="AL69" i="274"/>
  <c r="AL70" i="274"/>
  <c r="AL71" i="274"/>
  <c r="AL72" i="274"/>
  <c r="AL73" i="274"/>
  <c r="AL74" i="274"/>
  <c r="AL75" i="274"/>
  <c r="AL76" i="274"/>
  <c r="AL77" i="274"/>
  <c r="AL78" i="274"/>
  <c r="AL79" i="274"/>
  <c r="AL80" i="274"/>
  <c r="AL81" i="274"/>
  <c r="AL82" i="274"/>
  <c r="AL83" i="274"/>
  <c r="AL84" i="274"/>
  <c r="AL85" i="274"/>
  <c r="AL86" i="274"/>
  <c r="AL87" i="274"/>
  <c r="AL88" i="274"/>
  <c r="AL89" i="274"/>
  <c r="AL90" i="274"/>
  <c r="AL91" i="274"/>
  <c r="AL92" i="274"/>
  <c r="AL93" i="274"/>
  <c r="AL94" i="274"/>
  <c r="AL95" i="274"/>
  <c r="AL96" i="274"/>
  <c r="AL97" i="274"/>
  <c r="AL98" i="274"/>
  <c r="AL99" i="274"/>
  <c r="AL100" i="274"/>
  <c r="AL101" i="274"/>
  <c r="AL103" i="274"/>
  <c r="V23" i="253" l="1"/>
  <c r="AL7" i="274"/>
  <c r="AL8" i="274"/>
  <c r="AL9" i="274"/>
  <c r="AL10" i="274"/>
  <c r="AL11" i="274"/>
  <c r="AL12" i="274"/>
  <c r="AL13" i="274"/>
  <c r="AL14" i="274"/>
  <c r="AL15" i="274"/>
  <c r="AL16" i="274"/>
  <c r="AL17" i="274"/>
  <c r="AL18" i="274"/>
  <c r="AL19" i="274"/>
  <c r="AL20" i="274"/>
  <c r="AL21" i="274"/>
  <c r="AL22" i="274"/>
  <c r="AL23" i="274"/>
  <c r="AL24" i="274"/>
  <c r="AL25" i="274"/>
  <c r="AL6" i="274"/>
  <c r="BJ105" i="262"/>
  <c r="BK105" i="262"/>
  <c r="BL105" i="262"/>
  <c r="BM105" i="262"/>
  <c r="BN105" i="262"/>
  <c r="BO105" i="262"/>
  <c r="BP105" i="262"/>
  <c r="BQ105" i="262"/>
  <c r="BR105" i="262"/>
  <c r="BS105" i="262"/>
  <c r="BT105" i="262"/>
  <c r="BU105" i="262"/>
  <c r="BV105" i="262"/>
  <c r="BW105" i="262"/>
  <c r="BI105" i="262"/>
  <c r="BJ101" i="262"/>
  <c r="BK101" i="262"/>
  <c r="BL101" i="262"/>
  <c r="BM101" i="262"/>
  <c r="BN101" i="262"/>
  <c r="BO101" i="262"/>
  <c r="BP101" i="262"/>
  <c r="BQ101" i="262"/>
  <c r="BR101" i="262"/>
  <c r="BS101" i="262"/>
  <c r="BT101" i="262"/>
  <c r="BU101" i="262"/>
  <c r="BV101" i="262"/>
  <c r="BW101" i="262"/>
  <c r="BI101" i="262"/>
  <c r="BJ97" i="262"/>
  <c r="BK97" i="262"/>
  <c r="BL97" i="262"/>
  <c r="BM97" i="262"/>
  <c r="BN97" i="262"/>
  <c r="BO97" i="262"/>
  <c r="BP97" i="262"/>
  <c r="BQ97" i="262"/>
  <c r="BR97" i="262"/>
  <c r="BS97" i="262"/>
  <c r="BT97" i="262"/>
  <c r="BU97" i="262"/>
  <c r="BV97" i="262"/>
  <c r="BW97" i="262"/>
  <c r="BI97" i="262"/>
  <c r="BJ94" i="262"/>
  <c r="BK94" i="262"/>
  <c r="BL94" i="262"/>
  <c r="BM94" i="262"/>
  <c r="BN94" i="262"/>
  <c r="BO94" i="262"/>
  <c r="BP94" i="262"/>
  <c r="BQ94" i="262"/>
  <c r="BR94" i="262"/>
  <c r="BS94" i="262"/>
  <c r="BT94" i="262"/>
  <c r="BU94" i="262"/>
  <c r="BV94" i="262"/>
  <c r="BW94" i="262"/>
  <c r="BI94" i="262"/>
  <c r="BJ89" i="262"/>
  <c r="BK89" i="262"/>
  <c r="BL89" i="262"/>
  <c r="BM89" i="262"/>
  <c r="BN89" i="262"/>
  <c r="BO89" i="262"/>
  <c r="BP89" i="262"/>
  <c r="BQ89" i="262"/>
  <c r="BR89" i="262"/>
  <c r="BS89" i="262"/>
  <c r="BT89" i="262"/>
  <c r="BU89" i="262"/>
  <c r="BV89" i="262"/>
  <c r="BW89" i="262"/>
  <c r="BI89" i="262"/>
  <c r="BJ85" i="262"/>
  <c r="BK85" i="262"/>
  <c r="BL85" i="262"/>
  <c r="BM85" i="262"/>
  <c r="BN85" i="262"/>
  <c r="BO85" i="262"/>
  <c r="BP85" i="262"/>
  <c r="BQ85" i="262"/>
  <c r="BR85" i="262"/>
  <c r="BS85" i="262"/>
  <c r="BT85" i="262"/>
  <c r="BU85" i="262"/>
  <c r="BV85" i="262"/>
  <c r="BW85" i="262"/>
  <c r="BI85" i="262"/>
  <c r="BJ79" i="262"/>
  <c r="BK79" i="262"/>
  <c r="BL79" i="262"/>
  <c r="BM79" i="262"/>
  <c r="BN79" i="262"/>
  <c r="BO79" i="262"/>
  <c r="BP79" i="262"/>
  <c r="BQ79" i="262"/>
  <c r="BR79" i="262"/>
  <c r="BS79" i="262"/>
  <c r="BT79" i="262"/>
  <c r="BU79" i="262"/>
  <c r="BV79" i="262"/>
  <c r="BW79" i="262"/>
  <c r="BI79" i="262"/>
  <c r="BJ74" i="262"/>
  <c r="BK74" i="262"/>
  <c r="BL74" i="262"/>
  <c r="BM74" i="262"/>
  <c r="BN74" i="262"/>
  <c r="BO74" i="262"/>
  <c r="BP74" i="262"/>
  <c r="BQ74" i="262"/>
  <c r="BR74" i="262"/>
  <c r="BS74" i="262"/>
  <c r="BT74" i="262"/>
  <c r="BU74" i="262"/>
  <c r="BV74" i="262"/>
  <c r="BW74" i="262"/>
  <c r="BI74" i="262"/>
  <c r="BJ65" i="262"/>
  <c r="BK65" i="262"/>
  <c r="BL65" i="262"/>
  <c r="BM65" i="262"/>
  <c r="BN65" i="262"/>
  <c r="BO65" i="262"/>
  <c r="BP65" i="262"/>
  <c r="BQ65" i="262"/>
  <c r="BR65" i="262"/>
  <c r="BS65" i="262"/>
  <c r="BT65" i="262"/>
  <c r="BU65" i="262"/>
  <c r="BV65" i="262"/>
  <c r="BW65" i="262"/>
  <c r="BI65" i="262"/>
  <c r="BJ57" i="262"/>
  <c r="BK57" i="262"/>
  <c r="BL57" i="262"/>
  <c r="BM57" i="262"/>
  <c r="BN57" i="262"/>
  <c r="BO57" i="262"/>
  <c r="BP57" i="262"/>
  <c r="BQ57" i="262"/>
  <c r="BR57" i="262"/>
  <c r="BS57" i="262"/>
  <c r="BT57" i="262"/>
  <c r="BU57" i="262"/>
  <c r="BV57" i="262"/>
  <c r="BW57" i="262"/>
  <c r="BI57" i="262"/>
  <c r="BJ50" i="262"/>
  <c r="BK50" i="262"/>
  <c r="BL50" i="262"/>
  <c r="BM50" i="262"/>
  <c r="BN50" i="262"/>
  <c r="BO50" i="262"/>
  <c r="BP50" i="262"/>
  <c r="BQ50" i="262"/>
  <c r="BR50" i="262"/>
  <c r="BS50" i="262"/>
  <c r="BT50" i="262"/>
  <c r="BU50" i="262"/>
  <c r="BV50" i="262"/>
  <c r="BW50" i="262"/>
  <c r="BI50" i="262"/>
  <c r="BJ38" i="262"/>
  <c r="BK38" i="262"/>
  <c r="BL38" i="262"/>
  <c r="BM38" i="262"/>
  <c r="BN38" i="262"/>
  <c r="BO38" i="262"/>
  <c r="BP38" i="262"/>
  <c r="BQ38" i="262"/>
  <c r="BR38" i="262"/>
  <c r="BS38" i="262"/>
  <c r="BT38" i="262"/>
  <c r="BU38" i="262"/>
  <c r="BV38" i="262"/>
  <c r="BW38" i="262"/>
  <c r="BI38" i="262"/>
  <c r="BJ26" i="262"/>
  <c r="BK26" i="262"/>
  <c r="BL26" i="262"/>
  <c r="BM26" i="262"/>
  <c r="BN26" i="262"/>
  <c r="BO26" i="262"/>
  <c r="BP26" i="262"/>
  <c r="BQ26" i="262"/>
  <c r="BR26" i="262"/>
  <c r="BS26" i="262"/>
  <c r="BT26" i="262"/>
  <c r="BU26" i="262"/>
  <c r="BV26" i="262"/>
  <c r="BW26" i="262"/>
  <c r="BI26" i="262"/>
  <c r="BJ22" i="262"/>
  <c r="BK22" i="262"/>
  <c r="BL22" i="262"/>
  <c r="BM22" i="262"/>
  <c r="BN22" i="262"/>
  <c r="BO22" i="262"/>
  <c r="BP22" i="262"/>
  <c r="BQ22" i="262"/>
  <c r="BR22" i="262"/>
  <c r="BS22" i="262"/>
  <c r="BT22" i="262"/>
  <c r="BU22" i="262"/>
  <c r="BV22" i="262"/>
  <c r="BW22" i="262"/>
  <c r="BI22" i="262"/>
  <c r="BJ17" i="262"/>
  <c r="BK17" i="262"/>
  <c r="BL17" i="262"/>
  <c r="BM17" i="262"/>
  <c r="BN17" i="262"/>
  <c r="BO17" i="262"/>
  <c r="BP17" i="262"/>
  <c r="BQ17" i="262"/>
  <c r="BR17" i="262"/>
  <c r="BS17" i="262"/>
  <c r="BT17" i="262"/>
  <c r="BU17" i="262"/>
  <c r="BV17" i="262"/>
  <c r="BW17" i="262"/>
  <c r="BI17" i="262"/>
  <c r="BX9" i="262"/>
  <c r="BX10" i="262"/>
  <c r="BX11" i="262"/>
  <c r="BX12" i="262"/>
  <c r="BX13" i="262"/>
  <c r="BX14" i="262"/>
  <c r="BX15" i="262"/>
  <c r="BX16" i="262"/>
  <c r="BX18" i="262"/>
  <c r="BX19" i="262"/>
  <c r="BX20" i="262"/>
  <c r="BX21" i="262"/>
  <c r="BX23" i="262"/>
  <c r="BX24" i="262"/>
  <c r="BX25" i="262"/>
  <c r="BX28" i="262"/>
  <c r="BX29" i="262"/>
  <c r="BX30" i="262"/>
  <c r="BX31" i="262"/>
  <c r="BX32" i="262"/>
  <c r="BX33" i="262"/>
  <c r="BX34" i="262"/>
  <c r="BX35" i="262"/>
  <c r="BX36" i="262"/>
  <c r="BX37" i="262"/>
  <c r="BX39" i="262"/>
  <c r="BX40" i="262"/>
  <c r="BX41" i="262"/>
  <c r="BX42" i="262"/>
  <c r="BX43" i="262"/>
  <c r="BX44" i="262"/>
  <c r="BX45" i="262"/>
  <c r="BX46" i="262"/>
  <c r="BX47" i="262"/>
  <c r="BX48" i="262"/>
  <c r="BX49" i="262"/>
  <c r="BX51" i="262"/>
  <c r="BX52" i="262"/>
  <c r="BX53" i="262"/>
  <c r="BX54" i="262"/>
  <c r="BX55" i="262"/>
  <c r="BX56" i="262"/>
  <c r="BX59" i="262"/>
  <c r="BX60" i="262"/>
  <c r="BX61" i="262"/>
  <c r="BX62" i="262"/>
  <c r="BX63" i="262"/>
  <c r="BX64" i="262"/>
  <c r="BX66" i="262"/>
  <c r="BX67" i="262"/>
  <c r="BX68" i="262"/>
  <c r="BX69" i="262"/>
  <c r="BX70" i="262"/>
  <c r="BX71" i="262"/>
  <c r="BX72" i="262"/>
  <c r="BX73" i="262"/>
  <c r="BX75" i="262"/>
  <c r="BX76" i="262"/>
  <c r="BX77" i="262"/>
  <c r="BX78" i="262"/>
  <c r="BX81" i="262"/>
  <c r="BX82" i="262"/>
  <c r="BX83" i="262"/>
  <c r="BX84" i="262"/>
  <c r="BX86" i="262"/>
  <c r="BX87" i="262"/>
  <c r="BX88" i="262"/>
  <c r="BX90" i="262"/>
  <c r="BX91" i="262"/>
  <c r="BX92" i="262"/>
  <c r="BX93" i="262"/>
  <c r="BX96" i="262"/>
  <c r="BX98" i="262"/>
  <c r="BX99" i="262"/>
  <c r="BX100" i="262"/>
  <c r="BX102" i="262"/>
  <c r="BX103" i="262"/>
  <c r="BX104" i="262"/>
  <c r="BX7" i="262"/>
  <c r="BX8" i="262"/>
  <c r="DN8" i="262"/>
  <c r="BP58" i="262" l="1"/>
  <c r="BQ95" i="262"/>
  <c r="BM27" i="262"/>
  <c r="BU27" i="262"/>
  <c r="BR95" i="262"/>
  <c r="BU58" i="262"/>
  <c r="BM58" i="262"/>
  <c r="BV27" i="262"/>
  <c r="BL106" i="262"/>
  <c r="BX101" i="262"/>
  <c r="BR58" i="262"/>
  <c r="BP80" i="262"/>
  <c r="BX79" i="262"/>
  <c r="BV95" i="262"/>
  <c r="BU95" i="262"/>
  <c r="BM95" i="262"/>
  <c r="BI27" i="262"/>
  <c r="BJ58" i="262"/>
  <c r="BN95" i="262"/>
  <c r="BT106" i="262"/>
  <c r="BQ58" i="262"/>
  <c r="BT95" i="262"/>
  <c r="BL95" i="262"/>
  <c r="BR27" i="262"/>
  <c r="BJ27" i="262"/>
  <c r="BI58" i="262"/>
  <c r="BS95" i="262"/>
  <c r="BK95" i="262"/>
  <c r="BQ106" i="262"/>
  <c r="BI106" i="262"/>
  <c r="BQ27" i="262"/>
  <c r="BP106" i="262"/>
  <c r="BJ95" i="262"/>
  <c r="BN27" i="262"/>
  <c r="BT58" i="262"/>
  <c r="BL58" i="262"/>
  <c r="BW95" i="262"/>
  <c r="BU106" i="262"/>
  <c r="BM106" i="262"/>
  <c r="BX38" i="262"/>
  <c r="BW27" i="262"/>
  <c r="BO27" i="262"/>
  <c r="BS58" i="262"/>
  <c r="BK58" i="262"/>
  <c r="BW80" i="262"/>
  <c r="BO80" i="262"/>
  <c r="BW106" i="262"/>
  <c r="BO106" i="262"/>
  <c r="BT27" i="262"/>
  <c r="BL27" i="262"/>
  <c r="BV80" i="262"/>
  <c r="BN80" i="262"/>
  <c r="BV106" i="262"/>
  <c r="BN106" i="262"/>
  <c r="BS27" i="262"/>
  <c r="BK27" i="262"/>
  <c r="BW58" i="262"/>
  <c r="BO58" i="262"/>
  <c r="BU80" i="262"/>
  <c r="BM80" i="262"/>
  <c r="BX85" i="262"/>
  <c r="BX97" i="262"/>
  <c r="BX22" i="262"/>
  <c r="BV58" i="262"/>
  <c r="BN58" i="262"/>
  <c r="BP95" i="262"/>
  <c r="BX89" i="262"/>
  <c r="BI95" i="262"/>
  <c r="BO95" i="262"/>
  <c r="BS106" i="262"/>
  <c r="BK106" i="262"/>
  <c r="BP27" i="262"/>
  <c r="BR106" i="262"/>
  <c r="BJ106" i="262"/>
  <c r="BT80" i="262"/>
  <c r="BS80" i="262"/>
  <c r="BR80" i="262"/>
  <c r="BJ80" i="262"/>
  <c r="BQ80" i="262"/>
  <c r="BX74" i="262"/>
  <c r="BI80" i="262"/>
  <c r="BL80" i="262"/>
  <c r="BK80" i="262"/>
  <c r="BX105" i="262"/>
  <c r="BX94" i="262"/>
  <c r="BX65" i="262"/>
  <c r="BX57" i="262"/>
  <c r="BX50" i="262"/>
  <c r="BX26" i="262"/>
  <c r="BX17" i="262"/>
  <c r="BP108" i="262" l="1"/>
  <c r="BQ108" i="262"/>
  <c r="BJ108" i="262"/>
  <c r="BX27" i="262"/>
  <c r="BR108" i="262"/>
  <c r="BX95" i="262"/>
  <c r="BM108" i="262"/>
  <c r="BN108" i="262"/>
  <c r="BU108" i="262"/>
  <c r="BX58" i="262"/>
  <c r="BT108" i="262"/>
  <c r="BL108" i="262"/>
  <c r="BX106" i="262"/>
  <c r="BO108" i="262"/>
  <c r="BW108" i="262"/>
  <c r="BK108" i="262"/>
  <c r="BV108" i="262"/>
  <c r="BS108" i="262"/>
  <c r="BI108" i="262"/>
  <c r="BX80" i="262"/>
  <c r="F72" i="213"/>
  <c r="C47" i="213"/>
  <c r="B47" i="213"/>
  <c r="D46" i="213"/>
  <c r="D45" i="213"/>
  <c r="D44" i="213"/>
  <c r="D43" i="213"/>
  <c r="E75" i="212"/>
  <c r="D70" i="212"/>
  <c r="C70" i="212"/>
  <c r="B70" i="212"/>
  <c r="E69" i="212"/>
  <c r="D60" i="212"/>
  <c r="C60" i="212"/>
  <c r="B60" i="212"/>
  <c r="E59" i="212"/>
  <c r="E58" i="212"/>
  <c r="E57" i="212"/>
  <c r="E56" i="212"/>
  <c r="E55" i="212"/>
  <c r="E50" i="212"/>
  <c r="E49" i="212"/>
  <c r="E48" i="212"/>
  <c r="E47" i="212"/>
  <c r="E46" i="212"/>
  <c r="E45" i="212"/>
  <c r="D40" i="212"/>
  <c r="C40" i="212"/>
  <c r="B40" i="212"/>
  <c r="E39" i="212"/>
  <c r="E38" i="212"/>
  <c r="E37" i="212"/>
  <c r="E36" i="212"/>
  <c r="E35" i="212"/>
  <c r="E40" i="212" l="1"/>
  <c r="E60" i="212"/>
  <c r="BX108" i="262"/>
  <c r="D47" i="213"/>
  <c r="AO85" i="222"/>
  <c r="AN85" i="222"/>
  <c r="AP85" i="222" l="1"/>
  <c r="AT87" i="222" s="1"/>
  <c r="CS8" i="262" l="1"/>
  <c r="CS9" i="262"/>
  <c r="CS10" i="262"/>
  <c r="CS11" i="262"/>
  <c r="CS12" i="262"/>
  <c r="CS13" i="262"/>
  <c r="CS14" i="262"/>
  <c r="CS15" i="262"/>
  <c r="CS16" i="262"/>
  <c r="CS18" i="262"/>
  <c r="CS19" i="262"/>
  <c r="CS20" i="262"/>
  <c r="CS21" i="262"/>
  <c r="CS23" i="262"/>
  <c r="CS24" i="262"/>
  <c r="CS25" i="262"/>
  <c r="CS28" i="262"/>
  <c r="CS29" i="262"/>
  <c r="CS30" i="262"/>
  <c r="CS31" i="262"/>
  <c r="CS32" i="262"/>
  <c r="CS33" i="262"/>
  <c r="CS34" i="262"/>
  <c r="CS35" i="262"/>
  <c r="CS36" i="262"/>
  <c r="CS37" i="262"/>
  <c r="CS39" i="262"/>
  <c r="CS40" i="262"/>
  <c r="CS41" i="262"/>
  <c r="CS42" i="262"/>
  <c r="CS43" i="262"/>
  <c r="CS44" i="262"/>
  <c r="CS45" i="262"/>
  <c r="CS46" i="262"/>
  <c r="CS47" i="262"/>
  <c r="CS48" i="262"/>
  <c r="CS49" i="262"/>
  <c r="CS51" i="262"/>
  <c r="CS52" i="262"/>
  <c r="CS53" i="262"/>
  <c r="CS54" i="262"/>
  <c r="CS55" i="262"/>
  <c r="CS56" i="262"/>
  <c r="CS59" i="262"/>
  <c r="CS60" i="262"/>
  <c r="CS61" i="262"/>
  <c r="CS62" i="262"/>
  <c r="CS63" i="262"/>
  <c r="CS64" i="262"/>
  <c r="CS66" i="262"/>
  <c r="CS67" i="262"/>
  <c r="CS68" i="262"/>
  <c r="CS69" i="262"/>
  <c r="CS70" i="262"/>
  <c r="CS71" i="262"/>
  <c r="CS72" i="262"/>
  <c r="CS73" i="262"/>
  <c r="CS75" i="262"/>
  <c r="CS76" i="262"/>
  <c r="CS77" i="262"/>
  <c r="CS78" i="262"/>
  <c r="CS81" i="262"/>
  <c r="CS82" i="262"/>
  <c r="CS83" i="262"/>
  <c r="CS84" i="262"/>
  <c r="CS86" i="262"/>
  <c r="CS87" i="262"/>
  <c r="CS88" i="262"/>
  <c r="CS90" i="262"/>
  <c r="CS91" i="262"/>
  <c r="CS92" i="262"/>
  <c r="CS93" i="262"/>
  <c r="CS96" i="262"/>
  <c r="CS97" i="262"/>
  <c r="CS98" i="262"/>
  <c r="CS99" i="262"/>
  <c r="CS100" i="262"/>
  <c r="CS101" i="262"/>
  <c r="CS102" i="262"/>
  <c r="CS103" i="262"/>
  <c r="CS106" i="262"/>
  <c r="CS7" i="262"/>
  <c r="CQ123" i="262"/>
  <c r="CR119" i="262"/>
  <c r="CR118" i="262"/>
  <c r="CR117" i="262"/>
  <c r="CR116" i="262"/>
  <c r="CR115" i="262"/>
  <c r="CR114" i="262"/>
  <c r="CR113" i="262"/>
  <c r="CR106" i="262"/>
  <c r="CR105" i="262"/>
  <c r="CR104" i="262"/>
  <c r="CR103" i="262"/>
  <c r="CR102" i="262"/>
  <c r="CR101" i="262"/>
  <c r="CR100" i="262"/>
  <c r="CR99" i="262"/>
  <c r="CR98" i="262"/>
  <c r="CR97" i="262"/>
  <c r="CR96" i="262"/>
  <c r="CR95" i="262"/>
  <c r="CR94" i="262"/>
  <c r="CR93" i="262"/>
  <c r="CR92" i="262"/>
  <c r="CR91" i="262"/>
  <c r="CR90" i="262"/>
  <c r="CR89" i="262"/>
  <c r="CR88" i="262"/>
  <c r="CR87" i="262"/>
  <c r="CR86" i="262"/>
  <c r="CR85" i="262"/>
  <c r="CR84" i="262"/>
  <c r="CR83" i="262"/>
  <c r="CR82" i="262"/>
  <c r="CR81" i="262"/>
  <c r="CR80" i="262"/>
  <c r="CR79" i="262"/>
  <c r="CR78" i="262"/>
  <c r="CR77" i="262"/>
  <c r="CR76" i="262"/>
  <c r="CR75" i="262"/>
  <c r="CR74" i="262"/>
  <c r="CR73" i="262"/>
  <c r="CR72" i="262"/>
  <c r="CR71" i="262"/>
  <c r="CR70" i="262"/>
  <c r="CR69" i="262"/>
  <c r="CR68" i="262"/>
  <c r="CR67" i="262"/>
  <c r="CR66" i="262"/>
  <c r="CR65" i="262"/>
  <c r="CR64" i="262"/>
  <c r="CR63" i="262"/>
  <c r="CR62" i="262"/>
  <c r="CR61" i="262"/>
  <c r="CR60" i="262"/>
  <c r="CR59" i="262"/>
  <c r="CR58" i="262"/>
  <c r="CR57" i="262"/>
  <c r="CR56" i="262"/>
  <c r="CR55" i="262"/>
  <c r="CR54" i="262"/>
  <c r="CR53" i="262"/>
  <c r="CR52" i="262"/>
  <c r="CR51" i="262"/>
  <c r="CR50" i="262"/>
  <c r="CR49" i="262"/>
  <c r="CR48" i="262"/>
  <c r="CR47" i="262"/>
  <c r="CR46" i="262"/>
  <c r="CR45" i="262"/>
  <c r="CR44" i="262"/>
  <c r="CR43" i="262"/>
  <c r="CR42" i="262"/>
  <c r="CR41" i="262"/>
  <c r="CR40" i="262"/>
  <c r="CR39" i="262"/>
  <c r="CR38" i="262"/>
  <c r="CR37" i="262"/>
  <c r="CR36" i="262"/>
  <c r="CR35" i="262"/>
  <c r="CR34" i="262"/>
  <c r="CR33" i="262"/>
  <c r="CR32" i="262"/>
  <c r="CR31" i="262"/>
  <c r="CR30" i="262"/>
  <c r="CR29" i="262"/>
  <c r="CR28" i="262"/>
  <c r="CR27" i="262"/>
  <c r="CR26" i="262"/>
  <c r="CR25" i="262"/>
  <c r="CR24" i="262"/>
  <c r="CR23" i="262"/>
  <c r="CR22" i="262"/>
  <c r="CR21" i="262"/>
  <c r="CR20" i="262"/>
  <c r="CR19" i="262"/>
  <c r="CR18" i="262"/>
  <c r="CR17" i="262"/>
  <c r="CR16" i="262"/>
  <c r="CR15" i="262"/>
  <c r="CR14" i="262"/>
  <c r="CR13" i="262"/>
  <c r="CR12" i="262"/>
  <c r="CR11" i="262"/>
  <c r="CR10" i="262"/>
  <c r="CR9" i="262"/>
  <c r="CR8" i="262"/>
  <c r="CR7" i="262"/>
  <c r="AD50" i="255" l="1"/>
  <c r="AD49" i="255"/>
  <c r="AD48" i="255"/>
  <c r="AD47" i="255"/>
  <c r="AD45" i="255"/>
  <c r="AD44" i="255"/>
  <c r="AD42" i="255"/>
  <c r="AD41" i="255"/>
  <c r="AD40" i="255"/>
  <c r="AD38" i="255"/>
  <c r="AD37" i="255"/>
  <c r="AD36" i="255"/>
  <c r="AD33" i="255"/>
  <c r="AD32" i="255"/>
  <c r="AD31" i="255"/>
  <c r="AD29" i="255"/>
  <c r="AD28" i="255"/>
  <c r="AD27" i="255"/>
  <c r="AD26" i="255"/>
  <c r="AD24" i="255"/>
  <c r="AD23" i="255"/>
  <c r="AD22" i="255"/>
  <c r="AD21" i="255"/>
  <c r="AD20" i="255"/>
  <c r="AD19" i="255"/>
  <c r="AD18" i="255"/>
  <c r="AD15" i="255"/>
  <c r="AD14" i="255"/>
  <c r="AD13" i="255"/>
  <c r="AD12" i="255"/>
  <c r="AD11" i="255"/>
  <c r="AD9" i="255"/>
  <c r="AD8" i="255"/>
  <c r="AD7" i="255"/>
  <c r="AD19" i="253"/>
  <c r="AD20" i="253" s="1"/>
  <c r="AD21" i="253" s="1"/>
  <c r="AD16" i="253"/>
  <c r="AD17" i="253" s="1"/>
  <c r="AD14" i="253"/>
  <c r="AD15" i="253" s="1"/>
  <c r="AD12" i="253"/>
  <c r="AD13" i="253" s="1"/>
  <c r="AD10" i="253"/>
  <c r="AD9" i="253"/>
  <c r="AD8" i="253"/>
  <c r="AD7" i="253"/>
  <c r="AD6" i="253"/>
  <c r="Y39" i="234"/>
  <c r="Y38" i="234"/>
  <c r="Y32" i="234"/>
  <c r="Y30" i="234"/>
  <c r="Y28" i="234"/>
  <c r="Y25" i="234"/>
  <c r="Y18" i="234"/>
  <c r="Y14" i="234"/>
  <c r="Y13" i="234"/>
  <c r="Y41" i="234"/>
  <c r="Y37" i="234"/>
  <c r="Y36" i="234"/>
  <c r="Y35" i="234"/>
  <c r="Y34" i="234"/>
  <c r="Y31" i="234"/>
  <c r="Y29" i="234"/>
  <c r="Y27" i="234"/>
  <c r="Y24" i="234"/>
  <c r="Y23" i="234"/>
  <c r="Y22" i="234"/>
  <c r="Y21" i="234"/>
  <c r="Y20" i="234"/>
  <c r="Y17" i="234"/>
  <c r="Y16" i="234"/>
  <c r="Y15" i="234"/>
  <c r="Y10" i="234"/>
  <c r="Y9" i="234"/>
  <c r="Y8" i="234"/>
  <c r="Y7" i="234"/>
  <c r="Y6" i="234"/>
  <c r="R43" i="233"/>
  <c r="R41" i="233"/>
  <c r="R39" i="233"/>
  <c r="R38" i="233"/>
  <c r="R37" i="233"/>
  <c r="R36" i="233"/>
  <c r="R35" i="233"/>
  <c r="R34" i="233"/>
  <c r="R32" i="233"/>
  <c r="R31" i="233"/>
  <c r="R30" i="233"/>
  <c r="R29" i="233"/>
  <c r="R28" i="233"/>
  <c r="R27" i="233"/>
  <c r="R25" i="233"/>
  <c r="R24" i="233"/>
  <c r="R23" i="233"/>
  <c r="R22" i="233"/>
  <c r="R21" i="233"/>
  <c r="R20" i="233"/>
  <c r="R18" i="233"/>
  <c r="R17" i="233"/>
  <c r="R16" i="233"/>
  <c r="R15" i="233"/>
  <c r="R14" i="233"/>
  <c r="R13" i="233"/>
  <c r="R11" i="233"/>
  <c r="R10" i="233"/>
  <c r="R9" i="233"/>
  <c r="R8" i="233"/>
  <c r="R7" i="233"/>
  <c r="R6" i="233"/>
  <c r="Y11" i="234"/>
  <c r="Y43" i="234"/>
  <c r="AT102" i="274"/>
  <c r="AT101" i="274"/>
  <c r="AT100" i="274"/>
  <c r="AT99" i="274"/>
  <c r="AT98" i="274"/>
  <c r="AT97" i="274"/>
  <c r="AT96" i="274"/>
  <c r="AT95" i="274"/>
  <c r="AT94" i="274"/>
  <c r="AT93" i="274"/>
  <c r="AT92" i="274"/>
  <c r="AT91" i="274"/>
  <c r="AT90" i="274"/>
  <c r="AT89" i="274"/>
  <c r="AT88" i="274"/>
  <c r="AT87" i="274"/>
  <c r="AT86" i="274"/>
  <c r="AT85" i="274"/>
  <c r="AT84" i="274"/>
  <c r="AT83" i="274"/>
  <c r="AT82" i="274"/>
  <c r="AT81" i="274"/>
  <c r="AT79" i="274"/>
  <c r="AT78" i="274"/>
  <c r="AT77" i="274"/>
  <c r="AT76" i="274"/>
  <c r="AT75" i="274"/>
  <c r="AT74" i="274"/>
  <c r="AT73" i="274"/>
  <c r="AT72" i="274"/>
  <c r="AT71" i="274"/>
  <c r="AT70" i="274"/>
  <c r="AT69" i="274"/>
  <c r="AT68" i="274"/>
  <c r="AT67" i="274"/>
  <c r="AT66" i="274"/>
  <c r="AT65" i="274"/>
  <c r="AT64" i="274"/>
  <c r="AT63" i="274"/>
  <c r="AT62" i="274"/>
  <c r="AT61" i="274"/>
  <c r="AT60" i="274"/>
  <c r="AT59" i="274"/>
  <c r="AT58" i="274"/>
  <c r="AT57" i="274"/>
  <c r="AT56" i="274"/>
  <c r="AT55" i="274"/>
  <c r="AT54" i="274"/>
  <c r="AT53" i="274"/>
  <c r="AT52" i="274"/>
  <c r="AT51" i="274"/>
  <c r="AT50" i="274"/>
  <c r="AT49" i="274"/>
  <c r="AT48" i="274"/>
  <c r="AT47" i="274"/>
  <c r="AT46" i="274"/>
  <c r="AT45" i="274"/>
  <c r="AT44" i="274"/>
  <c r="AT43" i="274"/>
  <c r="AT42" i="274"/>
  <c r="AT41" i="274"/>
  <c r="AT40" i="274"/>
  <c r="AT39" i="274"/>
  <c r="AT38" i="274"/>
  <c r="AT37" i="274"/>
  <c r="AT36" i="274"/>
  <c r="AT35" i="274"/>
  <c r="AT34" i="274"/>
  <c r="AT33" i="274"/>
  <c r="AT32" i="274"/>
  <c r="AT31" i="274"/>
  <c r="AT30" i="274"/>
  <c r="AT29" i="274"/>
  <c r="AT28" i="274"/>
  <c r="AT27" i="274"/>
  <c r="AT26" i="274"/>
  <c r="AT25" i="274"/>
  <c r="AT24" i="274"/>
  <c r="AT23" i="274"/>
  <c r="AT22" i="274"/>
  <c r="AT21" i="274"/>
  <c r="AT20" i="274"/>
  <c r="AT19" i="274"/>
  <c r="AT18" i="274"/>
  <c r="AT17" i="274"/>
  <c r="AT16" i="274"/>
  <c r="AT15" i="274"/>
  <c r="AT14" i="274"/>
  <c r="AT13" i="274"/>
  <c r="AT12" i="274"/>
  <c r="AT11" i="274"/>
  <c r="AT10" i="274"/>
  <c r="AT9" i="274"/>
  <c r="AT8" i="274"/>
  <c r="AT7" i="274"/>
  <c r="AT6" i="274"/>
  <c r="AQ84" i="261"/>
  <c r="BX81" i="216"/>
  <c r="BY81" i="216"/>
  <c r="BZ81" i="216"/>
  <c r="CA81" i="216"/>
  <c r="BW81" i="216"/>
  <c r="BX76" i="216"/>
  <c r="BY76" i="216"/>
  <c r="BZ76" i="216"/>
  <c r="CA76" i="216"/>
  <c r="BW76" i="216"/>
  <c r="BX71" i="216"/>
  <c r="BX82" i="216" s="1"/>
  <c r="BY71" i="216"/>
  <c r="BZ71" i="216"/>
  <c r="CA71" i="216"/>
  <c r="BW71" i="216"/>
  <c r="BW82" i="216" s="1"/>
  <c r="BX65" i="216"/>
  <c r="BY65" i="216"/>
  <c r="BZ65" i="216"/>
  <c r="CA65" i="216"/>
  <c r="BW65" i="216"/>
  <c r="CB65" i="216" s="1"/>
  <c r="BX61" i="216"/>
  <c r="BX66" i="216" s="1"/>
  <c r="BY61" i="216"/>
  <c r="BZ61" i="216"/>
  <c r="CA61" i="216"/>
  <c r="BW61" i="216"/>
  <c r="BX57" i="216"/>
  <c r="BY57" i="216"/>
  <c r="BY66" i="216" s="1"/>
  <c r="BZ57" i="216"/>
  <c r="CA57" i="216"/>
  <c r="BW57" i="216"/>
  <c r="BX52" i="216"/>
  <c r="BY52" i="216"/>
  <c r="BZ52" i="216"/>
  <c r="CA52" i="216"/>
  <c r="BW52" i="216"/>
  <c r="BX47" i="216"/>
  <c r="CB47" i="216" s="1"/>
  <c r="BY47" i="216"/>
  <c r="BZ47" i="216"/>
  <c r="CA47" i="216"/>
  <c r="BW47" i="216"/>
  <c r="BX41" i="216"/>
  <c r="BY41" i="216"/>
  <c r="BZ41" i="216"/>
  <c r="BZ53" i="216" s="1"/>
  <c r="CA41" i="216"/>
  <c r="CA53" i="216" s="1"/>
  <c r="BW41" i="216"/>
  <c r="BX34" i="216"/>
  <c r="BY34" i="216"/>
  <c r="BZ34" i="216"/>
  <c r="CA34" i="216"/>
  <c r="BW34" i="216"/>
  <c r="BX30" i="216"/>
  <c r="BY30" i="216"/>
  <c r="BZ30" i="216"/>
  <c r="CA30" i="216"/>
  <c r="BW30" i="216"/>
  <c r="BX26" i="216"/>
  <c r="BY26" i="216"/>
  <c r="BZ26" i="216"/>
  <c r="BZ35" i="216"/>
  <c r="CA26" i="216"/>
  <c r="CA35" i="216" s="1"/>
  <c r="BW26" i="216"/>
  <c r="BX21" i="216"/>
  <c r="BY21" i="216"/>
  <c r="BZ21" i="216"/>
  <c r="CA21" i="216"/>
  <c r="BW21" i="216"/>
  <c r="CB21" i="216" s="1"/>
  <c r="BX16" i="216"/>
  <c r="CB16" i="216" s="1"/>
  <c r="BY16" i="216"/>
  <c r="BZ16" i="216"/>
  <c r="CA16" i="216"/>
  <c r="BW16" i="216"/>
  <c r="BX10" i="216"/>
  <c r="BY10" i="216"/>
  <c r="BY22" i="216" s="1"/>
  <c r="BZ10" i="216"/>
  <c r="BZ22" i="216" s="1"/>
  <c r="CA10" i="216"/>
  <c r="BW10" i="216"/>
  <c r="AV21" i="216"/>
  <c r="AW21" i="216"/>
  <c r="AX21" i="216"/>
  <c r="AU21" i="216"/>
  <c r="AO21" i="216"/>
  <c r="AP21" i="216"/>
  <c r="AQ21" i="216"/>
  <c r="AN21" i="216"/>
  <c r="AH21" i="216"/>
  <c r="AI21" i="216"/>
  <c r="AJ21" i="216"/>
  <c r="AG21" i="216"/>
  <c r="AB21" i="216"/>
  <c r="AA21" i="216"/>
  <c r="Z21" i="216"/>
  <c r="U21" i="216"/>
  <c r="N21" i="216"/>
  <c r="G21" i="216"/>
  <c r="AR81" i="214"/>
  <c r="AR76" i="214"/>
  <c r="AR71" i="214"/>
  <c r="AR65" i="214"/>
  <c r="AR61" i="214"/>
  <c r="AR57" i="214"/>
  <c r="AR52" i="214"/>
  <c r="AR47" i="214"/>
  <c r="AR41" i="214"/>
  <c r="AR34" i="214"/>
  <c r="AR30" i="214"/>
  <c r="AR26" i="214"/>
  <c r="AR21" i="214"/>
  <c r="AR16" i="214"/>
  <c r="AR10" i="214"/>
  <c r="AS10" i="214"/>
  <c r="AS16" i="214"/>
  <c r="P39" i="272"/>
  <c r="O39" i="272"/>
  <c r="P32" i="272"/>
  <c r="O32" i="272"/>
  <c r="P25" i="272"/>
  <c r="O25" i="272"/>
  <c r="P18" i="272"/>
  <c r="O18" i="272"/>
  <c r="P11" i="272"/>
  <c r="O11" i="272"/>
  <c r="AB10" i="269"/>
  <c r="AC10" i="269"/>
  <c r="AD10" i="269"/>
  <c r="AE10" i="269"/>
  <c r="G23" i="217"/>
  <c r="G22" i="217"/>
  <c r="Q41" i="272"/>
  <c r="Q38" i="272"/>
  <c r="Q37" i="272"/>
  <c r="Q36" i="272"/>
  <c r="Q35" i="272"/>
  <c r="Q34" i="272"/>
  <c r="Q31" i="272"/>
  <c r="Q30" i="272"/>
  <c r="Q29" i="272"/>
  <c r="Q28" i="272"/>
  <c r="Q27" i="272"/>
  <c r="Q24" i="272"/>
  <c r="Q23" i="272"/>
  <c r="Q22" i="272"/>
  <c r="Q21" i="272"/>
  <c r="Q20" i="272"/>
  <c r="Q17" i="272"/>
  <c r="Q16" i="272"/>
  <c r="Q15" i="272"/>
  <c r="Q14" i="272"/>
  <c r="Q13" i="272"/>
  <c r="Q10" i="272"/>
  <c r="Q9" i="272"/>
  <c r="Q8" i="272"/>
  <c r="Q7" i="272"/>
  <c r="Q6" i="272"/>
  <c r="AS84" i="221"/>
  <c r="AR84" i="221"/>
  <c r="AT84" i="221" s="1"/>
  <c r="AT82" i="221"/>
  <c r="AT81" i="221"/>
  <c r="AT80" i="221"/>
  <c r="AT79" i="221"/>
  <c r="AT78" i="221"/>
  <c r="AT77" i="221"/>
  <c r="AT76" i="221"/>
  <c r="AT75" i="221"/>
  <c r="AT74" i="221"/>
  <c r="AT73" i="221"/>
  <c r="AT72" i="221"/>
  <c r="AT71" i="221"/>
  <c r="AT70" i="221"/>
  <c r="AT69" i="221"/>
  <c r="AT68" i="221"/>
  <c r="AT67" i="221"/>
  <c r="AT66" i="221"/>
  <c r="AT65" i="221"/>
  <c r="AT64" i="221"/>
  <c r="AT61" i="221"/>
  <c r="AT59" i="221"/>
  <c r="AT58" i="221"/>
  <c r="AT57" i="221"/>
  <c r="AT56" i="221"/>
  <c r="AT55" i="221"/>
  <c r="AT53" i="221"/>
  <c r="AT52" i="221"/>
  <c r="AT51" i="221"/>
  <c r="AT50" i="221"/>
  <c r="AT49" i="221"/>
  <c r="AT48" i="221"/>
  <c r="AT47" i="221"/>
  <c r="AT46" i="221"/>
  <c r="AT45" i="221"/>
  <c r="AT44" i="221"/>
  <c r="AT43" i="221"/>
  <c r="AT42" i="221"/>
  <c r="AT41" i="221"/>
  <c r="AT40" i="221"/>
  <c r="AT39" i="221"/>
  <c r="AT38" i="221"/>
  <c r="AT37" i="221"/>
  <c r="AT36" i="221"/>
  <c r="AT35" i="221"/>
  <c r="AT34" i="221"/>
  <c r="AT33" i="221"/>
  <c r="AT32" i="221"/>
  <c r="AT31" i="221"/>
  <c r="AT30" i="221"/>
  <c r="AT29" i="221"/>
  <c r="AT28" i="221"/>
  <c r="AT27" i="221"/>
  <c r="AT26" i="221"/>
  <c r="AT25" i="221"/>
  <c r="AT24" i="221"/>
  <c r="AT23" i="221"/>
  <c r="AT22" i="221"/>
  <c r="AT21" i="221"/>
  <c r="AT20" i="221"/>
  <c r="AT19" i="221"/>
  <c r="AT18" i="221"/>
  <c r="AT17" i="221"/>
  <c r="AT16" i="221"/>
  <c r="AT15" i="221"/>
  <c r="AT14" i="221"/>
  <c r="AT13" i="221"/>
  <c r="AT12" i="221"/>
  <c r="AT11" i="221"/>
  <c r="AT10" i="221"/>
  <c r="AT9" i="221"/>
  <c r="AT8" i="221"/>
  <c r="AT7" i="221"/>
  <c r="AT6" i="221"/>
  <c r="AT5" i="221"/>
  <c r="AR84" i="220"/>
  <c r="AT84" i="220" s="1"/>
  <c r="AT82" i="220"/>
  <c r="AT81" i="220"/>
  <c r="AT80" i="220"/>
  <c r="AT79" i="220"/>
  <c r="AT78" i="220"/>
  <c r="AT77" i="220"/>
  <c r="AT76" i="220"/>
  <c r="AT75" i="220"/>
  <c r="AT74" i="220"/>
  <c r="AT73" i="220"/>
  <c r="AT72" i="220"/>
  <c r="AT71" i="220"/>
  <c r="AT70" i="220"/>
  <c r="AT69" i="220"/>
  <c r="AT68" i="220"/>
  <c r="AT67" i="220"/>
  <c r="AT66" i="220"/>
  <c r="AT65" i="220"/>
  <c r="AT64" i="220"/>
  <c r="AT61" i="220"/>
  <c r="AT59" i="220"/>
  <c r="AT58" i="220"/>
  <c r="AT57" i="220"/>
  <c r="AT56" i="220"/>
  <c r="AT55" i="220"/>
  <c r="AT53" i="220"/>
  <c r="AT52" i="220"/>
  <c r="AT51" i="220"/>
  <c r="AT50" i="220"/>
  <c r="AT49" i="220"/>
  <c r="AT48" i="220"/>
  <c r="AT47" i="220"/>
  <c r="AT46" i="220"/>
  <c r="AT45" i="220"/>
  <c r="AT44" i="220"/>
  <c r="AT43" i="220"/>
  <c r="AT42" i="220"/>
  <c r="AT41" i="220"/>
  <c r="AT40" i="220"/>
  <c r="AT39" i="220"/>
  <c r="AT38" i="220"/>
  <c r="AT37" i="220"/>
  <c r="AT36" i="220"/>
  <c r="AT35" i="220"/>
  <c r="AT34" i="220"/>
  <c r="AT33" i="220"/>
  <c r="AT32" i="220"/>
  <c r="AT31" i="220"/>
  <c r="AT30" i="220"/>
  <c r="AT29" i="220"/>
  <c r="AT28" i="220"/>
  <c r="AT27" i="220"/>
  <c r="AT26" i="220"/>
  <c r="AT25" i="220"/>
  <c r="AT24" i="220"/>
  <c r="AT23" i="220"/>
  <c r="AT22" i="220"/>
  <c r="AT21" i="220"/>
  <c r="AT20" i="220"/>
  <c r="AT19" i="220"/>
  <c r="AT18" i="220"/>
  <c r="AT17" i="220"/>
  <c r="AT16" i="220"/>
  <c r="AT15" i="220"/>
  <c r="AT14" i="220"/>
  <c r="AT13" i="220"/>
  <c r="AT12" i="220"/>
  <c r="AT11" i="220"/>
  <c r="AT10" i="220"/>
  <c r="AT9" i="220"/>
  <c r="AT8" i="220"/>
  <c r="AT7" i="220"/>
  <c r="AT6" i="220"/>
  <c r="AT5" i="220"/>
  <c r="AS84" i="261"/>
  <c r="AS82" i="261"/>
  <c r="AS81" i="261"/>
  <c r="AS80" i="261"/>
  <c r="AS79" i="261"/>
  <c r="AS78" i="261"/>
  <c r="AS77" i="261"/>
  <c r="AS76" i="261"/>
  <c r="AS75" i="261"/>
  <c r="AS74" i="261"/>
  <c r="AS73" i="261"/>
  <c r="AS72" i="261"/>
  <c r="AS71" i="261"/>
  <c r="AS70" i="261"/>
  <c r="AS69" i="261"/>
  <c r="AS68" i="261"/>
  <c r="AS67" i="261"/>
  <c r="AS66" i="261"/>
  <c r="AS65" i="261"/>
  <c r="AS64" i="261"/>
  <c r="AS61" i="261"/>
  <c r="AS59" i="261"/>
  <c r="AS58" i="261"/>
  <c r="AS57" i="261"/>
  <c r="AS56" i="261"/>
  <c r="AS55" i="261"/>
  <c r="AS53" i="261"/>
  <c r="AS52" i="261"/>
  <c r="AS51" i="261"/>
  <c r="AS50" i="261"/>
  <c r="AS49" i="261"/>
  <c r="AS48" i="261"/>
  <c r="AS47" i="261"/>
  <c r="AS46" i="261"/>
  <c r="AS45" i="261"/>
  <c r="AS44" i="261"/>
  <c r="AS43" i="261"/>
  <c r="AS42" i="261"/>
  <c r="AS41" i="261"/>
  <c r="AS40" i="261"/>
  <c r="AS39" i="261"/>
  <c r="AS38" i="261"/>
  <c r="AS37" i="261"/>
  <c r="AS36" i="261"/>
  <c r="AS35" i="261"/>
  <c r="AS34" i="261"/>
  <c r="AS33" i="261"/>
  <c r="AS32" i="261"/>
  <c r="AS31" i="261"/>
  <c r="AS30" i="261"/>
  <c r="AS29" i="261"/>
  <c r="AS28" i="261"/>
  <c r="AS27" i="261"/>
  <c r="AS26" i="261"/>
  <c r="AS25" i="261"/>
  <c r="AS24" i="261"/>
  <c r="AS23" i="261"/>
  <c r="AS22" i="261"/>
  <c r="AS21" i="261"/>
  <c r="AS20" i="261"/>
  <c r="AS18" i="261"/>
  <c r="AS17" i="261"/>
  <c r="AS19" i="261"/>
  <c r="AS16" i="261"/>
  <c r="AS15" i="261"/>
  <c r="AS14" i="261"/>
  <c r="AS13" i="261"/>
  <c r="AS12" i="261"/>
  <c r="AS11" i="261"/>
  <c r="AS10" i="261"/>
  <c r="AS9" i="261"/>
  <c r="AS8" i="261"/>
  <c r="AS7" i="261"/>
  <c r="AS6" i="261"/>
  <c r="AS5" i="261"/>
  <c r="D21" i="261"/>
  <c r="H21" i="261"/>
  <c r="L21" i="261"/>
  <c r="P21" i="261"/>
  <c r="T21" i="261"/>
  <c r="X21" i="261"/>
  <c r="AB21" i="261"/>
  <c r="AC21" i="261" s="1"/>
  <c r="AF21" i="261"/>
  <c r="AJ21" i="261"/>
  <c r="AN21" i="261"/>
  <c r="AS21" i="214"/>
  <c r="AO21" i="214"/>
  <c r="AK21" i="214"/>
  <c r="AG21" i="214"/>
  <c r="AC21" i="214"/>
  <c r="Y10" i="214"/>
  <c r="Y16" i="214"/>
  <c r="Y21" i="214"/>
  <c r="U21" i="214"/>
  <c r="Q21" i="214"/>
  <c r="M21" i="214"/>
  <c r="I21" i="214"/>
  <c r="E21" i="214"/>
  <c r="Q81" i="215"/>
  <c r="R81" i="215" s="1"/>
  <c r="Q76" i="215"/>
  <c r="Q71" i="215"/>
  <c r="Q65" i="215"/>
  <c r="N61" i="215"/>
  <c r="N62" i="215"/>
  <c r="N63" i="215"/>
  <c r="N64" i="215"/>
  <c r="N65" i="215"/>
  <c r="Q61" i="215"/>
  <c r="Q57" i="215"/>
  <c r="Q52" i="215"/>
  <c r="R52" i="215" s="1"/>
  <c r="Q47" i="215"/>
  <c r="R47" i="215" s="1"/>
  <c r="Q41" i="215"/>
  <c r="R41" i="215" s="1"/>
  <c r="Q34" i="215"/>
  <c r="R34" i="215" s="1"/>
  <c r="Q30" i="215"/>
  <c r="R30" i="215" s="1"/>
  <c r="Q26" i="215"/>
  <c r="R26" i="215" s="1"/>
  <c r="Q21" i="215"/>
  <c r="Q16" i="215"/>
  <c r="R16" i="215" s="1"/>
  <c r="Q10" i="215"/>
  <c r="Q22" i="215" s="1"/>
  <c r="E81" i="215"/>
  <c r="E76" i="215"/>
  <c r="E71" i="215"/>
  <c r="F71" i="215" s="1"/>
  <c r="E65" i="215"/>
  <c r="E61" i="215"/>
  <c r="E57" i="215"/>
  <c r="E52" i="215"/>
  <c r="E47" i="215"/>
  <c r="F47" i="215" s="1"/>
  <c r="E41" i="215"/>
  <c r="E34" i="215"/>
  <c r="F34" i="215" s="1"/>
  <c r="E30" i="215"/>
  <c r="F30" i="215" s="1"/>
  <c r="E26" i="215"/>
  <c r="E21" i="215"/>
  <c r="E16" i="215"/>
  <c r="E10" i="215"/>
  <c r="E22" i="215" s="1"/>
  <c r="L8" i="230"/>
  <c r="AT31" i="235"/>
  <c r="AT30" i="235"/>
  <c r="AT29" i="235"/>
  <c r="M8" i="273"/>
  <c r="M14" i="273"/>
  <c r="M19" i="273"/>
  <c r="M23" i="273"/>
  <c r="M28" i="273"/>
  <c r="CB84" i="216"/>
  <c r="CB81" i="216"/>
  <c r="CB79" i="216"/>
  <c r="CB77" i="216"/>
  <c r="CB75" i="216"/>
  <c r="CB74" i="216"/>
  <c r="CB73" i="216"/>
  <c r="CB72" i="216"/>
  <c r="CB70" i="216"/>
  <c r="CB69" i="216"/>
  <c r="CB68" i="216"/>
  <c r="CB67" i="216"/>
  <c r="CB64" i="216"/>
  <c r="CB63" i="216"/>
  <c r="CB62" i="216"/>
  <c r="CB61" i="216"/>
  <c r="CB60" i="216"/>
  <c r="CB59" i="216"/>
  <c r="CB58" i="216"/>
  <c r="CB55" i="216"/>
  <c r="CB51" i="216"/>
  <c r="CB49" i="216"/>
  <c r="CB46" i="216"/>
  <c r="CB45" i="216"/>
  <c r="CB44" i="216"/>
  <c r="CB43" i="216"/>
  <c r="CB42" i="216"/>
  <c r="CB40" i="216"/>
  <c r="CB39" i="216"/>
  <c r="CB38" i="216"/>
  <c r="CB37" i="216"/>
  <c r="CB33" i="216"/>
  <c r="CB32" i="216"/>
  <c r="CB31" i="216"/>
  <c r="CB29" i="216"/>
  <c r="CB28" i="216"/>
  <c r="CB27" i="216"/>
  <c r="CB25" i="216"/>
  <c r="CB24" i="216"/>
  <c r="CB23" i="216"/>
  <c r="CB20" i="216"/>
  <c r="CB19" i="216"/>
  <c r="CB18" i="216"/>
  <c r="CB17" i="216"/>
  <c r="CB15" i="216"/>
  <c r="CB14" i="216"/>
  <c r="CB13" i="216"/>
  <c r="CB12" i="216"/>
  <c r="CB11" i="216"/>
  <c r="CB9" i="216"/>
  <c r="CB8" i="216"/>
  <c r="CB7" i="216"/>
  <c r="CB6" i="216"/>
  <c r="CB5" i="216"/>
  <c r="R80" i="215"/>
  <c r="R79" i="215"/>
  <c r="R78" i="215"/>
  <c r="R77" i="215"/>
  <c r="R76" i="215"/>
  <c r="R75" i="215"/>
  <c r="R74" i="215"/>
  <c r="R73" i="215"/>
  <c r="R72" i="215"/>
  <c r="R71" i="215"/>
  <c r="R70" i="215"/>
  <c r="R69" i="215"/>
  <c r="R68" i="215"/>
  <c r="R67" i="215"/>
  <c r="R63" i="215"/>
  <c r="R62" i="215"/>
  <c r="R60" i="215"/>
  <c r="R59" i="215"/>
  <c r="R58" i="215"/>
  <c r="R57" i="215"/>
  <c r="R56" i="215"/>
  <c r="R55" i="215"/>
  <c r="R54" i="215"/>
  <c r="R51" i="215"/>
  <c r="R50" i="215"/>
  <c r="R49" i="215"/>
  <c r="R48" i="215"/>
  <c r="R46" i="215"/>
  <c r="R45" i="215"/>
  <c r="R44" i="215"/>
  <c r="R43" i="215"/>
  <c r="R42" i="215"/>
  <c r="R40" i="215"/>
  <c r="R39" i="215"/>
  <c r="R38" i="215"/>
  <c r="R37" i="215"/>
  <c r="R36" i="215"/>
  <c r="R33" i="215"/>
  <c r="R32" i="215"/>
  <c r="R31" i="215"/>
  <c r="R29" i="215"/>
  <c r="R28" i="215"/>
  <c r="R27" i="215"/>
  <c r="R25" i="215"/>
  <c r="R24" i="215"/>
  <c r="R23" i="215"/>
  <c r="R21" i="215"/>
  <c r="R20" i="215"/>
  <c r="R18" i="215"/>
  <c r="R17" i="215"/>
  <c r="R19" i="215"/>
  <c r="R15" i="215"/>
  <c r="R14" i="215"/>
  <c r="R13" i="215"/>
  <c r="R12" i="215"/>
  <c r="R11" i="215"/>
  <c r="R9" i="215"/>
  <c r="R8" i="215"/>
  <c r="R7" i="215"/>
  <c r="R6" i="215"/>
  <c r="R5" i="215"/>
  <c r="AS81" i="214"/>
  <c r="AT81" i="214" s="1"/>
  <c r="AT80" i="214"/>
  <c r="AT79" i="214"/>
  <c r="AT78" i="214"/>
  <c r="AT77" i="214"/>
  <c r="AS76" i="214"/>
  <c r="AT76" i="214" s="1"/>
  <c r="AT75" i="214"/>
  <c r="AT74" i="214"/>
  <c r="AT73" i="214"/>
  <c r="AT72" i="214"/>
  <c r="AS71" i="214"/>
  <c r="AT71" i="214" s="1"/>
  <c r="AT70" i="214"/>
  <c r="AT69" i="214"/>
  <c r="AT68" i="214"/>
  <c r="AT67" i="214"/>
  <c r="AS65" i="214"/>
  <c r="AT64" i="214"/>
  <c r="AT63" i="214"/>
  <c r="AT62" i="214"/>
  <c r="AS61" i="214"/>
  <c r="AT60" i="214"/>
  <c r="AT59" i="214"/>
  <c r="AT58" i="214"/>
  <c r="AS57" i="214"/>
  <c r="AT56" i="214"/>
  <c r="AT55" i="214"/>
  <c r="AT54" i="214"/>
  <c r="AS52" i="214"/>
  <c r="AT51" i="214"/>
  <c r="AT50" i="214"/>
  <c r="AT49" i="214"/>
  <c r="AT48" i="214"/>
  <c r="AS47" i="214"/>
  <c r="AT47" i="214" s="1"/>
  <c r="AT46" i="214"/>
  <c r="AT45" i="214"/>
  <c r="AT44" i="214"/>
  <c r="AT43" i="214"/>
  <c r="AT42" i="214"/>
  <c r="AS41" i="214"/>
  <c r="AT41" i="214" s="1"/>
  <c r="AT40" i="214"/>
  <c r="AT39" i="214"/>
  <c r="AT38" i="214"/>
  <c r="AT37" i="214"/>
  <c r="AT36" i="214"/>
  <c r="AS34" i="214"/>
  <c r="AT33" i="214"/>
  <c r="AT32" i="214"/>
  <c r="AT31" i="214"/>
  <c r="AS30" i="214"/>
  <c r="AT30" i="214"/>
  <c r="AT29" i="214"/>
  <c r="AT28" i="214"/>
  <c r="AT27" i="214"/>
  <c r="AS26" i="214"/>
  <c r="AT25" i="214"/>
  <c r="AT24" i="214"/>
  <c r="AT23" i="214"/>
  <c r="AT20" i="214"/>
  <c r="AT19" i="214"/>
  <c r="AT18" i="214"/>
  <c r="AT17" i="214"/>
  <c r="AT16" i="214"/>
  <c r="AT15" i="214"/>
  <c r="AT14" i="214"/>
  <c r="AT13" i="214"/>
  <c r="AT12" i="214"/>
  <c r="AT11" i="214"/>
  <c r="AT9" i="214"/>
  <c r="AT8" i="214"/>
  <c r="AT7" i="214"/>
  <c r="AT6" i="214"/>
  <c r="AT5" i="214"/>
  <c r="AS53" i="214"/>
  <c r="C182" i="238"/>
  <c r="B182" i="238"/>
  <c r="C150" i="238"/>
  <c r="B150" i="238"/>
  <c r="G130" i="238"/>
  <c r="F130" i="238" s="1"/>
  <c r="F147" i="238" s="1"/>
  <c r="H130" i="238"/>
  <c r="G193" i="238"/>
  <c r="H193" i="238"/>
  <c r="C12" i="227"/>
  <c r="E44" i="231"/>
  <c r="E50" i="231" s="1"/>
  <c r="E45" i="231"/>
  <c r="E46" i="231"/>
  <c r="E47" i="231"/>
  <c r="E48" i="231"/>
  <c r="E49" i="231"/>
  <c r="B50" i="231"/>
  <c r="F50" i="231"/>
  <c r="D50" i="231"/>
  <c r="C50" i="231"/>
  <c r="G49" i="231"/>
  <c r="G48" i="231"/>
  <c r="G47" i="231"/>
  <c r="G46" i="231"/>
  <c r="G45" i="231"/>
  <c r="G44" i="231"/>
  <c r="C41" i="237"/>
  <c r="E41" i="237" s="1"/>
  <c r="D41" i="237"/>
  <c r="B41" i="237"/>
  <c r="E40" i="237"/>
  <c r="E39" i="237"/>
  <c r="E38" i="237"/>
  <c r="E37" i="237"/>
  <c r="E36" i="237"/>
  <c r="E35" i="237"/>
  <c r="AU31" i="235"/>
  <c r="AU30" i="235"/>
  <c r="AU29" i="235"/>
  <c r="AV27" i="235"/>
  <c r="AV23" i="235"/>
  <c r="AV22" i="235"/>
  <c r="AV21" i="235"/>
  <c r="AV19" i="235"/>
  <c r="AV18" i="235"/>
  <c r="AV17" i="235"/>
  <c r="AV15" i="235"/>
  <c r="AV14" i="235"/>
  <c r="AV13" i="235"/>
  <c r="AV11" i="235"/>
  <c r="AV10" i="235"/>
  <c r="AV9" i="235"/>
  <c r="AV7" i="235"/>
  <c r="AV6" i="235"/>
  <c r="AV5" i="235"/>
  <c r="BM36" i="223"/>
  <c r="BL36" i="223"/>
  <c r="BK36" i="223"/>
  <c r="BM35" i="223"/>
  <c r="BL35" i="223"/>
  <c r="BK35" i="223"/>
  <c r="BM34" i="223"/>
  <c r="BL34" i="223"/>
  <c r="BK34" i="223"/>
  <c r="BM33" i="223"/>
  <c r="BL33" i="223"/>
  <c r="BN33" i="223" s="1"/>
  <c r="BO33" i="223" s="1"/>
  <c r="BK33" i="223"/>
  <c r="BM32" i="223"/>
  <c r="BM37" i="223" s="1"/>
  <c r="BL32" i="223"/>
  <c r="BK32" i="223"/>
  <c r="BM31" i="223"/>
  <c r="BL31" i="223"/>
  <c r="BK31" i="223"/>
  <c r="BM29" i="223"/>
  <c r="BL29" i="223"/>
  <c r="BK29" i="223"/>
  <c r="BN29" i="223" s="1"/>
  <c r="BO29" i="223" s="1"/>
  <c r="BN28" i="223"/>
  <c r="BO28" i="223" s="1"/>
  <c r="BN27" i="223"/>
  <c r="BO27" i="223"/>
  <c r="BN26" i="223"/>
  <c r="BO26" i="223"/>
  <c r="BM24" i="223"/>
  <c r="BL24" i="223"/>
  <c r="BK24" i="223"/>
  <c r="BN23" i="223"/>
  <c r="BO23" i="223" s="1"/>
  <c r="BN22" i="223"/>
  <c r="BO22" i="223" s="1"/>
  <c r="BN21" i="223"/>
  <c r="BO21" i="223"/>
  <c r="BM19" i="223"/>
  <c r="BL19" i="223"/>
  <c r="BK19" i="223"/>
  <c r="BN18" i="223"/>
  <c r="BO18" i="223"/>
  <c r="BN17" i="223"/>
  <c r="BO17" i="223"/>
  <c r="BN16" i="223"/>
  <c r="BO16" i="223" s="1"/>
  <c r="BM14" i="223"/>
  <c r="BL14" i="223"/>
  <c r="BK14" i="223"/>
  <c r="BN13" i="223"/>
  <c r="BO13" i="223" s="1"/>
  <c r="BN12" i="223"/>
  <c r="BO12" i="223"/>
  <c r="BN11" i="223"/>
  <c r="BO11" i="223" s="1"/>
  <c r="BM9" i="223"/>
  <c r="BL9" i="223"/>
  <c r="BK9" i="223"/>
  <c r="BN8" i="223"/>
  <c r="BO8" i="223" s="1"/>
  <c r="BN7" i="223"/>
  <c r="BO7" i="223" s="1"/>
  <c r="BN6" i="223"/>
  <c r="BO6" i="223"/>
  <c r="BN34" i="223"/>
  <c r="BO34" i="223"/>
  <c r="BN19" i="223"/>
  <c r="BO19" i="223"/>
  <c r="BN14" i="223"/>
  <c r="BO14" i="223" s="1"/>
  <c r="BN31" i="223"/>
  <c r="BO31" i="223" s="1"/>
  <c r="R46" i="271"/>
  <c r="Q46" i="271"/>
  <c r="P46" i="271"/>
  <c r="R45" i="271"/>
  <c r="Q45" i="271"/>
  <c r="P45" i="271"/>
  <c r="R44" i="271"/>
  <c r="Q44" i="271"/>
  <c r="Q47" i="271" s="1"/>
  <c r="P44" i="271"/>
  <c r="R40" i="271"/>
  <c r="Q40" i="271"/>
  <c r="P40" i="271"/>
  <c r="R30" i="271"/>
  <c r="Q30" i="271"/>
  <c r="R23" i="271"/>
  <c r="Q23" i="271"/>
  <c r="P23" i="271"/>
  <c r="R16" i="271"/>
  <c r="Q16" i="271"/>
  <c r="P16" i="271"/>
  <c r="R8" i="271"/>
  <c r="Q8" i="271"/>
  <c r="P8" i="271"/>
  <c r="AE30" i="269"/>
  <c r="AD30" i="269"/>
  <c r="AC30" i="269"/>
  <c r="AB30" i="269"/>
  <c r="AF29" i="269"/>
  <c r="AF28" i="269"/>
  <c r="AH28" i="269" s="1"/>
  <c r="AG28" i="269"/>
  <c r="AF27" i="269"/>
  <c r="AE25" i="269"/>
  <c r="AD25" i="269"/>
  <c r="AF25" i="269"/>
  <c r="AG25" i="269" s="1"/>
  <c r="AF24" i="269"/>
  <c r="AG24" i="269"/>
  <c r="AF23" i="269"/>
  <c r="AF22" i="269"/>
  <c r="AH22" i="269" s="1"/>
  <c r="AG22" i="269"/>
  <c r="AE20" i="269"/>
  <c r="AD20" i="269"/>
  <c r="AC20" i="269"/>
  <c r="AB20" i="269"/>
  <c r="AF19" i="269"/>
  <c r="AH19" i="269"/>
  <c r="AF18" i="269"/>
  <c r="AH18" i="269"/>
  <c r="AG18" i="269"/>
  <c r="AF17" i="269"/>
  <c r="AH17" i="269" s="1"/>
  <c r="AG17" i="269"/>
  <c r="AE15" i="269"/>
  <c r="AD15" i="269"/>
  <c r="AB15" i="269"/>
  <c r="AF14" i="269"/>
  <c r="AF15" i="269" s="1"/>
  <c r="AH14" i="269"/>
  <c r="AF13" i="269"/>
  <c r="AG13" i="269" s="1"/>
  <c r="AF12" i="269"/>
  <c r="AH12" i="269" s="1"/>
  <c r="AE32" i="269"/>
  <c r="AF9" i="269"/>
  <c r="AG9" i="269" s="1"/>
  <c r="AH9" i="269"/>
  <c r="AF8" i="269"/>
  <c r="AG8" i="269"/>
  <c r="AF7" i="269"/>
  <c r="AH7" i="269" s="1"/>
  <c r="O208" i="213"/>
  <c r="N207" i="213"/>
  <c r="N206" i="213"/>
  <c r="N205" i="213"/>
  <c r="N204" i="213"/>
  <c r="N203" i="213"/>
  <c r="N202" i="213"/>
  <c r="N201" i="213"/>
  <c r="N200" i="213"/>
  <c r="N199" i="213"/>
  <c r="N198" i="213"/>
  <c r="N197" i="213"/>
  <c r="N196" i="213"/>
  <c r="N195" i="213"/>
  <c r="N194" i="213"/>
  <c r="N193" i="213"/>
  <c r="N192" i="213"/>
  <c r="N191" i="213"/>
  <c r="N190" i="213"/>
  <c r="N189" i="213"/>
  <c r="N188" i="213"/>
  <c r="N187" i="213"/>
  <c r="N186" i="213"/>
  <c r="N185" i="213"/>
  <c r="N184" i="213"/>
  <c r="N183" i="213"/>
  <c r="N182" i="213"/>
  <c r="N181" i="213"/>
  <c r="N180" i="213"/>
  <c r="N179" i="213"/>
  <c r="N178" i="213"/>
  <c r="N177" i="213"/>
  <c r="N176" i="213"/>
  <c r="N175" i="213"/>
  <c r="N174" i="213"/>
  <c r="N173" i="213"/>
  <c r="N172" i="213"/>
  <c r="N171" i="213"/>
  <c r="N170" i="213"/>
  <c r="N169" i="213"/>
  <c r="N168" i="213"/>
  <c r="N167" i="213"/>
  <c r="N166" i="213"/>
  <c r="N165" i="213"/>
  <c r="N164" i="213"/>
  <c r="N163" i="213"/>
  <c r="N162" i="213"/>
  <c r="N161" i="213"/>
  <c r="N160" i="213"/>
  <c r="N159" i="213"/>
  <c r="N158" i="213"/>
  <c r="N157" i="213"/>
  <c r="N156" i="213"/>
  <c r="N155" i="213"/>
  <c r="N154" i="213"/>
  <c r="N153" i="213"/>
  <c r="N152" i="213"/>
  <c r="N151" i="213"/>
  <c r="N150" i="213"/>
  <c r="N149" i="213"/>
  <c r="N148" i="213"/>
  <c r="N147" i="213"/>
  <c r="N146" i="213"/>
  <c r="N145" i="213"/>
  <c r="N144" i="213"/>
  <c r="N143" i="213"/>
  <c r="N142" i="213"/>
  <c r="N141" i="213"/>
  <c r="N140" i="213"/>
  <c r="N139" i="213"/>
  <c r="N138" i="213"/>
  <c r="N137" i="213"/>
  <c r="N136" i="213"/>
  <c r="N135" i="213"/>
  <c r="N134" i="213"/>
  <c r="N133" i="213"/>
  <c r="N132" i="213"/>
  <c r="N131" i="213"/>
  <c r="N130" i="213"/>
  <c r="N129" i="213"/>
  <c r="N128" i="213"/>
  <c r="N127" i="213"/>
  <c r="N126" i="213"/>
  <c r="N125" i="213"/>
  <c r="N124" i="213"/>
  <c r="N123" i="213"/>
  <c r="N122" i="213"/>
  <c r="N121" i="213"/>
  <c r="N120" i="213"/>
  <c r="N119" i="213"/>
  <c r="N118" i="213"/>
  <c r="N117" i="213"/>
  <c r="N116" i="213"/>
  <c r="N115" i="213"/>
  <c r="N114" i="213"/>
  <c r="N113" i="213"/>
  <c r="N112" i="213"/>
  <c r="N111" i="213"/>
  <c r="N110" i="213"/>
  <c r="N109" i="213"/>
  <c r="N108" i="213"/>
  <c r="N107" i="213"/>
  <c r="N106" i="213"/>
  <c r="N105" i="213"/>
  <c r="N104" i="213"/>
  <c r="N103" i="213"/>
  <c r="N102" i="213"/>
  <c r="N101" i="213"/>
  <c r="N100" i="213"/>
  <c r="N99" i="213"/>
  <c r="N98" i="213"/>
  <c r="N97" i="213"/>
  <c r="N96" i="213"/>
  <c r="N95" i="213"/>
  <c r="N94" i="213"/>
  <c r="N93" i="213"/>
  <c r="N92" i="213"/>
  <c r="N91" i="213"/>
  <c r="N90" i="213"/>
  <c r="N89" i="213"/>
  <c r="N88" i="213"/>
  <c r="N87" i="213"/>
  <c r="N86" i="213"/>
  <c r="N85" i="213"/>
  <c r="N84" i="213"/>
  <c r="N83" i="213"/>
  <c r="N222" i="212"/>
  <c r="M222" i="212"/>
  <c r="L222" i="212"/>
  <c r="O221" i="212"/>
  <c r="O220" i="212"/>
  <c r="O219" i="212"/>
  <c r="O218" i="212"/>
  <c r="O217" i="212"/>
  <c r="O216" i="212"/>
  <c r="O215" i="212"/>
  <c r="O214" i="212"/>
  <c r="O213" i="212"/>
  <c r="O212" i="212"/>
  <c r="O211" i="212"/>
  <c r="O210" i="212"/>
  <c r="O209" i="212"/>
  <c r="O208" i="212"/>
  <c r="O207" i="212"/>
  <c r="O206" i="212"/>
  <c r="O205" i="212"/>
  <c r="O204" i="212"/>
  <c r="O203" i="212"/>
  <c r="O202" i="212"/>
  <c r="O201" i="212"/>
  <c r="O200" i="212"/>
  <c r="O199" i="212"/>
  <c r="O198" i="212"/>
  <c r="O197" i="212"/>
  <c r="O196" i="212"/>
  <c r="O195" i="212"/>
  <c r="O194" i="212"/>
  <c r="O193" i="212"/>
  <c r="O192" i="212"/>
  <c r="O191" i="212"/>
  <c r="O190" i="212"/>
  <c r="O189" i="212"/>
  <c r="O188" i="212"/>
  <c r="O187" i="212"/>
  <c r="O186" i="212"/>
  <c r="O185" i="212"/>
  <c r="O184" i="212"/>
  <c r="O183" i="212"/>
  <c r="O182" i="212"/>
  <c r="O181" i="212"/>
  <c r="O180" i="212"/>
  <c r="O179" i="212"/>
  <c r="O178" i="212"/>
  <c r="O177" i="212"/>
  <c r="O176" i="212"/>
  <c r="O175" i="212"/>
  <c r="O174" i="212"/>
  <c r="O173" i="212"/>
  <c r="O172" i="212"/>
  <c r="O171" i="212"/>
  <c r="O170" i="212"/>
  <c r="O169" i="212"/>
  <c r="O168" i="212"/>
  <c r="O167" i="212"/>
  <c r="O165" i="212"/>
  <c r="O164" i="212"/>
  <c r="O163" i="212"/>
  <c r="O162" i="212"/>
  <c r="O161" i="212"/>
  <c r="O160" i="212"/>
  <c r="O159" i="212"/>
  <c r="O158" i="212"/>
  <c r="O157" i="212"/>
  <c r="O156" i="212"/>
  <c r="O155" i="212"/>
  <c r="O154" i="212"/>
  <c r="O153" i="212"/>
  <c r="O152" i="212"/>
  <c r="O151" i="212"/>
  <c r="O150" i="212"/>
  <c r="O149" i="212"/>
  <c r="O148" i="212"/>
  <c r="O147" i="212"/>
  <c r="O146" i="212"/>
  <c r="L138" i="212"/>
  <c r="AB32" i="269"/>
  <c r="AH13" i="269"/>
  <c r="AG12" i="269"/>
  <c r="AG7" i="269"/>
  <c r="AF10" i="269"/>
  <c r="AH8" i="269"/>
  <c r="AH25" i="269"/>
  <c r="AG19" i="269"/>
  <c r="AG27" i="269"/>
  <c r="AH24" i="269"/>
  <c r="AH27" i="269"/>
  <c r="F74" i="232"/>
  <c r="F76" i="232"/>
  <c r="F78" i="232"/>
  <c r="F80" i="232"/>
  <c r="F82" i="232"/>
  <c r="H86" i="232"/>
  <c r="I86" i="232"/>
  <c r="AH15" i="269"/>
  <c r="E86" i="232"/>
  <c r="D86" i="232"/>
  <c r="C86" i="232"/>
  <c r="J84" i="232"/>
  <c r="F84" i="232"/>
  <c r="J82" i="232"/>
  <c r="J80" i="232"/>
  <c r="J78" i="232"/>
  <c r="L78" i="232" s="1"/>
  <c r="J76" i="232"/>
  <c r="J74" i="232"/>
  <c r="CA103" i="267"/>
  <c r="CA105" i="267" s="1"/>
  <c r="BP220" i="252"/>
  <c r="BP212" i="252"/>
  <c r="BP206" i="252"/>
  <c r="BP200" i="252"/>
  <c r="BP194" i="252"/>
  <c r="BP188" i="252"/>
  <c r="BP178" i="252"/>
  <c r="BP172" i="252"/>
  <c r="BP167" i="252"/>
  <c r="BP161" i="252"/>
  <c r="BP155" i="252"/>
  <c r="BP151" i="252"/>
  <c r="BP149" i="252"/>
  <c r="BP143" i="252"/>
  <c r="BP134" i="252"/>
  <c r="BP127" i="252"/>
  <c r="BP121" i="252"/>
  <c r="BP117" i="252"/>
  <c r="BP111" i="252"/>
  <c r="BP105" i="252"/>
  <c r="BP100" i="252"/>
  <c r="BP95" i="252"/>
  <c r="BP93" i="252"/>
  <c r="BP86" i="252"/>
  <c r="BP80" i="252"/>
  <c r="BP76" i="252"/>
  <c r="BP72" i="252"/>
  <c r="BP69" i="252"/>
  <c r="BP64" i="252"/>
  <c r="BP58" i="252"/>
  <c r="BP50" i="252"/>
  <c r="BP43" i="252"/>
  <c r="BP39" i="252"/>
  <c r="BP36" i="252"/>
  <c r="BP32" i="252"/>
  <c r="BP26" i="252"/>
  <c r="BP20" i="252"/>
  <c r="BP16" i="252"/>
  <c r="BP14" i="252"/>
  <c r="BF371" i="251"/>
  <c r="BF361" i="251"/>
  <c r="BF352" i="251"/>
  <c r="BF347" i="251"/>
  <c r="BF332" i="251"/>
  <c r="BF325" i="251"/>
  <c r="BF322" i="251"/>
  <c r="BF313" i="251"/>
  <c r="BF301" i="251"/>
  <c r="BF294" i="251"/>
  <c r="BF288" i="251"/>
  <c r="BF279" i="251"/>
  <c r="BF274" i="251"/>
  <c r="BF271" i="251"/>
  <c r="BF266" i="251"/>
  <c r="BF259" i="251"/>
  <c r="BF248" i="251"/>
  <c r="BF243" i="251"/>
  <c r="BF236" i="251"/>
  <c r="BF231" i="251"/>
  <c r="BF224" i="251"/>
  <c r="BF220" i="251"/>
  <c r="BF212" i="251"/>
  <c r="BF206" i="251"/>
  <c r="BF201" i="251"/>
  <c r="BF196" i="251"/>
  <c r="BF191" i="251"/>
  <c r="BF187" i="251"/>
  <c r="BF179" i="251"/>
  <c r="BF176" i="251"/>
  <c r="BF170" i="251"/>
  <c r="BF167" i="251"/>
  <c r="BF161" i="251"/>
  <c r="BF158" i="251"/>
  <c r="BF151" i="251"/>
  <c r="BF146" i="251"/>
  <c r="BF140" i="251"/>
  <c r="BF135" i="251"/>
  <c r="BF131" i="251"/>
  <c r="BF126" i="251"/>
  <c r="BF120" i="251"/>
  <c r="BF115" i="251"/>
  <c r="BF87" i="251"/>
  <c r="BF76" i="251"/>
  <c r="BF63" i="251"/>
  <c r="BF43" i="251"/>
  <c r="BF33" i="251"/>
  <c r="BF24" i="251"/>
  <c r="BF17" i="251"/>
  <c r="BG89" i="250"/>
  <c r="BF89" i="250"/>
  <c r="BE89" i="250"/>
  <c r="BD89" i="250"/>
  <c r="BC89" i="250"/>
  <c r="BB89" i="250"/>
  <c r="BA89" i="250"/>
  <c r="AZ89" i="250"/>
  <c r="AY89" i="250"/>
  <c r="AX89" i="250"/>
  <c r="BG87" i="250"/>
  <c r="BF87" i="250"/>
  <c r="BE87" i="250"/>
  <c r="BD87" i="250"/>
  <c r="BC87" i="250"/>
  <c r="BB87" i="250"/>
  <c r="BA87" i="250"/>
  <c r="AZ87" i="250"/>
  <c r="AY87" i="250"/>
  <c r="AX87" i="250"/>
  <c r="BG83" i="250"/>
  <c r="BF83" i="250"/>
  <c r="BE83" i="250"/>
  <c r="BD83" i="250"/>
  <c r="BC83" i="250"/>
  <c r="BB83" i="250"/>
  <c r="BA83" i="250"/>
  <c r="AZ83" i="250"/>
  <c r="AY83" i="250"/>
  <c r="AX83" i="250"/>
  <c r="BH81" i="250"/>
  <c r="BH78" i="250"/>
  <c r="BH75" i="250"/>
  <c r="BG70" i="250"/>
  <c r="BG88" i="250" s="1"/>
  <c r="BF70" i="250"/>
  <c r="BF88" i="250" s="1"/>
  <c r="BE70" i="250"/>
  <c r="BE88" i="250" s="1"/>
  <c r="BD70" i="250"/>
  <c r="BD88" i="250" s="1"/>
  <c r="BC70" i="250"/>
  <c r="BC88" i="250" s="1"/>
  <c r="BB70" i="250"/>
  <c r="BB88" i="250" s="1"/>
  <c r="BA70" i="250"/>
  <c r="BA88" i="250" s="1"/>
  <c r="AZ70" i="250"/>
  <c r="AZ88" i="250" s="1"/>
  <c r="AY70" i="250"/>
  <c r="AY88" i="250" s="1"/>
  <c r="AX70" i="250"/>
  <c r="AX88" i="250" s="1"/>
  <c r="BG68" i="250"/>
  <c r="BG85" i="250" s="1"/>
  <c r="BF68" i="250"/>
  <c r="BF85" i="250" s="1"/>
  <c r="BE68" i="250"/>
  <c r="BE85" i="250" s="1"/>
  <c r="BD68" i="250"/>
  <c r="BD85" i="250" s="1"/>
  <c r="BC68" i="250"/>
  <c r="BC85" i="250" s="1"/>
  <c r="BB68" i="250"/>
  <c r="BB85" i="250" s="1"/>
  <c r="BA68" i="250"/>
  <c r="BA85" i="250" s="1"/>
  <c r="AZ68" i="250"/>
  <c r="AZ85" i="250" s="1"/>
  <c r="AY68" i="250"/>
  <c r="AY85" i="250" s="1"/>
  <c r="AX68" i="250"/>
  <c r="AX85" i="250" s="1"/>
  <c r="BG66" i="250"/>
  <c r="BF66" i="250"/>
  <c r="BE66" i="250"/>
  <c r="BD66" i="250"/>
  <c r="BC66" i="250"/>
  <c r="BB66" i="250"/>
  <c r="BA66" i="250"/>
  <c r="AZ66" i="250"/>
  <c r="AY66" i="250"/>
  <c r="AX66" i="250"/>
  <c r="BD65" i="250"/>
  <c r="BD82" i="250" s="1"/>
  <c r="BC65" i="250"/>
  <c r="BC82" i="250" s="1"/>
  <c r="BG63" i="250"/>
  <c r="BG69" i="250" s="1"/>
  <c r="BG86" i="250" s="1"/>
  <c r="BF63" i="250"/>
  <c r="BF69" i="250" s="1"/>
  <c r="BF86" i="250" s="1"/>
  <c r="BE63" i="250"/>
  <c r="BE69" i="250" s="1"/>
  <c r="BE86" i="250" s="1"/>
  <c r="BD63" i="250"/>
  <c r="BD69" i="250" s="1"/>
  <c r="BD86" i="250" s="1"/>
  <c r="BC63" i="250"/>
  <c r="BC69" i="250" s="1"/>
  <c r="BB63" i="250"/>
  <c r="BB69" i="250" s="1"/>
  <c r="BB86" i="250" s="1"/>
  <c r="BA63" i="250"/>
  <c r="BA69" i="250" s="1"/>
  <c r="BA86" i="250" s="1"/>
  <c r="AZ63" i="250"/>
  <c r="AZ69" i="250" s="1"/>
  <c r="AZ86" i="250" s="1"/>
  <c r="AY63" i="250"/>
  <c r="AY69" i="250" s="1"/>
  <c r="AY86" i="250" s="1"/>
  <c r="AX63" i="250"/>
  <c r="AX69" i="250" s="1"/>
  <c r="AX86" i="250" s="1"/>
  <c r="BG62" i="250"/>
  <c r="BG67" i="250" s="1"/>
  <c r="BG84" i="250" s="1"/>
  <c r="BF62" i="250"/>
  <c r="BF67" i="250" s="1"/>
  <c r="BF84" i="250" s="1"/>
  <c r="BE62" i="250"/>
  <c r="BE67" i="250" s="1"/>
  <c r="BE84" i="250" s="1"/>
  <c r="BD62" i="250"/>
  <c r="BD67" i="250" s="1"/>
  <c r="BD84" i="250" s="1"/>
  <c r="BC62" i="250"/>
  <c r="BC67" i="250" s="1"/>
  <c r="BC84" i="250" s="1"/>
  <c r="BB62" i="250"/>
  <c r="BB67" i="250" s="1"/>
  <c r="BB84" i="250" s="1"/>
  <c r="BA62" i="250"/>
  <c r="BA67" i="250" s="1"/>
  <c r="BA84" i="250" s="1"/>
  <c r="AZ62" i="250"/>
  <c r="AZ67" i="250" s="1"/>
  <c r="AY62" i="250"/>
  <c r="AY67" i="250" s="1"/>
  <c r="AY84" i="250" s="1"/>
  <c r="AX62" i="250"/>
  <c r="AX67" i="250" s="1"/>
  <c r="AX84" i="250" s="1"/>
  <c r="BG61" i="250"/>
  <c r="BF61" i="250"/>
  <c r="BF65" i="250" s="1"/>
  <c r="BE61" i="250"/>
  <c r="BB61" i="250"/>
  <c r="BB65" i="250" s="1"/>
  <c r="BA61" i="250"/>
  <c r="BA65" i="250" s="1"/>
  <c r="AZ61" i="250"/>
  <c r="AZ65" i="250" s="1"/>
  <c r="AZ82" i="250" s="1"/>
  <c r="AY61" i="250"/>
  <c r="AY65" i="250" s="1"/>
  <c r="AX61" i="250"/>
  <c r="AX65" i="250" s="1"/>
  <c r="BH57" i="250"/>
  <c r="BH54" i="250"/>
  <c r="BH47" i="250"/>
  <c r="BH34" i="250"/>
  <c r="BH29" i="250"/>
  <c r="BH24" i="250"/>
  <c r="BH20" i="250"/>
  <c r="BH16" i="250"/>
  <c r="BH11" i="250"/>
  <c r="AL49" i="255"/>
  <c r="AL44" i="255"/>
  <c r="AL54" i="255"/>
  <c r="AL53" i="255"/>
  <c r="AL52" i="255"/>
  <c r="AL51" i="255"/>
  <c r="AL48" i="255"/>
  <c r="AL46" i="255"/>
  <c r="AL45" i="255"/>
  <c r="AL42" i="255"/>
  <c r="AL41" i="255"/>
  <c r="AL40" i="255"/>
  <c r="AL37" i="255"/>
  <c r="AL36" i="255"/>
  <c r="AL35" i="255"/>
  <c r="AL33" i="255"/>
  <c r="AL32" i="255"/>
  <c r="AL31" i="255"/>
  <c r="AL30" i="255"/>
  <c r="AL29" i="255"/>
  <c r="AL27" i="255"/>
  <c r="AL26" i="255"/>
  <c r="AL25" i="255"/>
  <c r="AL24" i="255"/>
  <c r="AL23" i="255"/>
  <c r="AL22" i="255"/>
  <c r="AL21" i="255"/>
  <c r="AL18" i="255"/>
  <c r="AL17" i="255"/>
  <c r="AL16" i="255"/>
  <c r="AL15" i="255"/>
  <c r="AL13" i="255"/>
  <c r="AL12" i="255"/>
  <c r="AL10" i="255"/>
  <c r="AL9" i="255"/>
  <c r="AL7" i="255"/>
  <c r="AL62" i="254"/>
  <c r="AL63" i="254"/>
  <c r="AL39" i="254"/>
  <c r="AL18" i="254"/>
  <c r="AL80" i="254"/>
  <c r="AL79" i="254"/>
  <c r="AL78" i="254"/>
  <c r="AL77" i="254"/>
  <c r="AL76" i="254"/>
  <c r="AL75" i="254"/>
  <c r="AL72" i="254"/>
  <c r="AL71" i="254"/>
  <c r="AL70" i="254"/>
  <c r="AL66" i="254"/>
  <c r="AL65" i="254"/>
  <c r="AL64" i="254"/>
  <c r="AL61" i="254"/>
  <c r="AL60" i="254"/>
  <c r="AL58" i="254"/>
  <c r="AL57" i="254"/>
  <c r="AL56" i="254"/>
  <c r="AL46" i="254"/>
  <c r="AL45" i="254"/>
  <c r="AL44" i="254"/>
  <c r="AL43" i="254"/>
  <c r="AL41" i="254"/>
  <c r="AL40" i="254"/>
  <c r="AL38" i="254"/>
  <c r="AL37" i="254"/>
  <c r="AL36" i="254"/>
  <c r="AL34" i="254"/>
  <c r="AL33" i="254"/>
  <c r="AL32" i="254"/>
  <c r="AL31" i="254"/>
  <c r="AL30" i="254"/>
  <c r="AL29" i="254"/>
  <c r="AL28" i="254"/>
  <c r="AL25" i="254"/>
  <c r="AL24" i="254"/>
  <c r="AL23" i="254"/>
  <c r="AL21" i="254"/>
  <c r="AL17" i="254"/>
  <c r="AL16" i="254"/>
  <c r="AL15" i="254"/>
  <c r="AL14" i="254"/>
  <c r="AL13" i="254"/>
  <c r="AL11" i="254"/>
  <c r="AL9" i="254"/>
  <c r="AL8" i="254"/>
  <c r="AL6" i="254"/>
  <c r="AK18" i="253"/>
  <c r="AK11" i="253"/>
  <c r="AL9" i="253"/>
  <c r="AL6" i="253"/>
  <c r="AL7" i="253"/>
  <c r="AL8" i="253"/>
  <c r="AL10" i="253"/>
  <c r="AL12" i="253"/>
  <c r="AL13" i="253" s="1"/>
  <c r="AL14" i="253"/>
  <c r="AL15" i="253" s="1"/>
  <c r="AL16" i="253"/>
  <c r="AL17" i="253" s="1"/>
  <c r="AL19" i="253"/>
  <c r="AL20" i="253" s="1"/>
  <c r="BB102" i="274"/>
  <c r="BB101" i="274"/>
  <c r="BB100" i="274"/>
  <c r="BB99" i="274"/>
  <c r="BB98" i="274"/>
  <c r="BB97" i="274"/>
  <c r="BB96" i="274"/>
  <c r="BB95" i="274"/>
  <c r="BB94" i="274"/>
  <c r="BB93" i="274"/>
  <c r="BB92" i="274"/>
  <c r="BB91" i="274"/>
  <c r="BB90" i="274"/>
  <c r="BB89" i="274"/>
  <c r="BB88" i="274"/>
  <c r="BB87" i="274"/>
  <c r="BB86" i="274"/>
  <c r="BB85" i="274"/>
  <c r="BB84" i="274"/>
  <c r="BB83" i="274"/>
  <c r="BB82" i="274"/>
  <c r="BB81" i="274"/>
  <c r="BB80" i="274"/>
  <c r="BB79" i="274"/>
  <c r="BB78" i="274"/>
  <c r="BB77" i="274"/>
  <c r="BB76" i="274"/>
  <c r="BB75" i="274"/>
  <c r="BB74" i="274"/>
  <c r="BB73" i="274"/>
  <c r="BB72" i="274"/>
  <c r="BB71" i="274"/>
  <c r="BB70" i="274"/>
  <c r="BB69" i="274"/>
  <c r="BB68" i="274"/>
  <c r="BB67" i="274"/>
  <c r="BB66" i="274"/>
  <c r="BB65" i="274"/>
  <c r="BB64" i="274"/>
  <c r="BB63" i="274"/>
  <c r="BB62" i="274"/>
  <c r="BB61" i="274"/>
  <c r="BB60" i="274"/>
  <c r="BB59" i="274"/>
  <c r="BB58" i="274"/>
  <c r="BB57" i="274"/>
  <c r="BB56" i="274"/>
  <c r="BB55" i="274"/>
  <c r="BB54" i="274"/>
  <c r="BB53" i="274"/>
  <c r="BB52" i="274"/>
  <c r="BB51" i="274"/>
  <c r="BB50" i="274"/>
  <c r="BB49" i="274"/>
  <c r="BB48" i="274"/>
  <c r="BB47" i="274"/>
  <c r="BB46" i="274"/>
  <c r="BB45" i="274"/>
  <c r="BB44" i="274"/>
  <c r="BB43" i="274"/>
  <c r="BB42" i="274"/>
  <c r="BB41" i="274"/>
  <c r="BB40" i="274"/>
  <c r="BB39" i="274"/>
  <c r="BB38" i="274"/>
  <c r="BB37" i="274"/>
  <c r="BB36" i="274"/>
  <c r="BB35" i="274"/>
  <c r="BB34" i="274"/>
  <c r="BB33" i="274"/>
  <c r="BB32" i="274"/>
  <c r="BB31" i="274"/>
  <c r="BB30" i="274"/>
  <c r="BB29" i="274"/>
  <c r="BB28" i="274"/>
  <c r="BB27" i="274"/>
  <c r="BB26" i="274"/>
  <c r="BB25" i="274"/>
  <c r="BB24" i="274"/>
  <c r="BB23" i="274"/>
  <c r="BB22" i="274"/>
  <c r="BB21" i="274"/>
  <c r="BB20" i="274"/>
  <c r="BB19" i="274"/>
  <c r="BB18" i="274"/>
  <c r="BB17" i="274"/>
  <c r="BB16" i="274"/>
  <c r="BB15" i="274"/>
  <c r="BB14" i="274"/>
  <c r="BB13" i="274"/>
  <c r="BB12" i="274"/>
  <c r="BB11" i="274"/>
  <c r="BB10" i="274"/>
  <c r="BB9" i="274"/>
  <c r="BB8" i="274"/>
  <c r="BB7" i="274"/>
  <c r="BB6" i="274"/>
  <c r="DN104" i="262"/>
  <c r="DN102" i="262"/>
  <c r="DN101" i="262"/>
  <c r="DN100" i="262"/>
  <c r="DN99" i="262"/>
  <c r="DN98" i="262"/>
  <c r="DN97" i="262"/>
  <c r="DN96" i="262"/>
  <c r="DN95" i="262"/>
  <c r="DN94" i="262"/>
  <c r="DN93" i="262"/>
  <c r="DN92" i="262"/>
  <c r="DN91" i="262"/>
  <c r="DN90" i="262"/>
  <c r="DN89" i="262"/>
  <c r="DN88" i="262"/>
  <c r="DN87" i="262"/>
  <c r="DN86" i="262"/>
  <c r="DN85" i="262"/>
  <c r="DN84" i="262"/>
  <c r="DN83" i="262"/>
  <c r="DN82" i="262"/>
  <c r="DN81" i="262"/>
  <c r="DN80" i="262"/>
  <c r="DN79" i="262"/>
  <c r="DN78" i="262"/>
  <c r="DN77" i="262"/>
  <c r="DN76" i="262"/>
  <c r="DN75" i="262"/>
  <c r="DN74" i="262"/>
  <c r="DN73" i="262"/>
  <c r="DN72" i="262"/>
  <c r="DN71" i="262"/>
  <c r="DN70" i="262"/>
  <c r="DN69" i="262"/>
  <c r="DN68" i="262"/>
  <c r="DN67" i="262"/>
  <c r="DN66" i="262"/>
  <c r="DN65" i="262"/>
  <c r="DN64" i="262"/>
  <c r="DN63" i="262"/>
  <c r="DN62" i="262"/>
  <c r="DN61" i="262"/>
  <c r="DN60" i="262"/>
  <c r="DN59" i="262"/>
  <c r="DN58" i="262"/>
  <c r="DN57" i="262"/>
  <c r="DN56" i="262"/>
  <c r="DN55" i="262"/>
  <c r="DN54" i="262"/>
  <c r="DN53" i="262"/>
  <c r="DN52" i="262"/>
  <c r="DN51" i="262"/>
  <c r="DN50" i="262"/>
  <c r="DN49" i="262"/>
  <c r="DN48" i="262"/>
  <c r="DN47" i="262"/>
  <c r="DN46" i="262"/>
  <c r="DN45" i="262"/>
  <c r="DN44" i="262"/>
  <c r="DN43" i="262"/>
  <c r="DN42" i="262"/>
  <c r="DN41" i="262"/>
  <c r="DN40" i="262"/>
  <c r="DN39" i="262"/>
  <c r="DN38" i="262"/>
  <c r="DN37" i="262"/>
  <c r="DN36" i="262"/>
  <c r="DN35" i="262"/>
  <c r="DN34" i="262"/>
  <c r="DN33" i="262"/>
  <c r="DN32" i="262"/>
  <c r="DN31" i="262"/>
  <c r="DN30" i="262"/>
  <c r="DN29" i="262"/>
  <c r="DN28" i="262"/>
  <c r="DN27" i="262"/>
  <c r="DN26" i="262"/>
  <c r="DN25" i="262"/>
  <c r="DN24" i="262"/>
  <c r="DN23" i="262"/>
  <c r="DN22" i="262"/>
  <c r="DN21" i="262"/>
  <c r="DN20" i="262"/>
  <c r="DN19" i="262"/>
  <c r="DN18" i="262"/>
  <c r="DN17" i="262"/>
  <c r="DN16" i="262"/>
  <c r="DN15" i="262"/>
  <c r="DN14" i="262"/>
  <c r="DN13" i="262"/>
  <c r="DN12" i="262"/>
  <c r="DN11" i="262"/>
  <c r="DN10" i="262"/>
  <c r="DN9" i="262"/>
  <c r="BV326" i="251"/>
  <c r="BV319" i="251"/>
  <c r="BV296" i="251"/>
  <c r="BV291" i="251"/>
  <c r="BV286" i="251"/>
  <c r="BV278" i="251"/>
  <c r="BV270" i="251"/>
  <c r="BV263" i="251"/>
  <c r="BV251" i="251"/>
  <c r="BV247" i="251"/>
  <c r="BV242" i="251"/>
  <c r="BV235" i="251"/>
  <c r="BV227" i="251"/>
  <c r="BV223" i="251"/>
  <c r="BV217" i="251"/>
  <c r="BV211" i="251"/>
  <c r="BV205" i="251"/>
  <c r="BV201" i="251"/>
  <c r="BV193" i="251"/>
  <c r="BV188" i="251"/>
  <c r="BV185" i="251"/>
  <c r="BV182" i="251"/>
  <c r="BV177" i="251"/>
  <c r="BV174" i="251"/>
  <c r="BV167" i="251"/>
  <c r="BV164" i="251"/>
  <c r="BV158" i="251"/>
  <c r="BV155" i="251"/>
  <c r="BV150" i="251"/>
  <c r="BV147" i="251"/>
  <c r="BV140" i="251"/>
  <c r="BV135" i="251"/>
  <c r="BV129" i="251"/>
  <c r="BV120" i="251"/>
  <c r="BV114" i="251"/>
  <c r="BV107" i="251"/>
  <c r="BV101" i="251"/>
  <c r="BV77" i="251"/>
  <c r="BV67" i="251"/>
  <c r="BV39" i="251"/>
  <c r="BV30" i="251"/>
  <c r="BV22" i="251"/>
  <c r="BV12" i="251"/>
  <c r="AT54" i="255"/>
  <c r="AT52" i="255"/>
  <c r="AT49" i="255"/>
  <c r="AT41" i="255"/>
  <c r="AT42" i="255"/>
  <c r="AT45" i="255"/>
  <c r="AT46" i="255"/>
  <c r="AT48" i="255"/>
  <c r="AT51" i="255"/>
  <c r="AT53" i="255"/>
  <c r="AT40" i="255"/>
  <c r="AT22" i="255"/>
  <c r="AT23" i="255"/>
  <c r="AT24" i="255"/>
  <c r="AT25" i="255"/>
  <c r="AT26" i="255"/>
  <c r="AT27" i="255"/>
  <c r="AT29" i="255"/>
  <c r="AT30" i="255"/>
  <c r="AT31" i="255"/>
  <c r="AT32" i="255"/>
  <c r="AT33" i="255"/>
  <c r="AT35" i="255"/>
  <c r="AT36" i="255"/>
  <c r="AT37" i="255"/>
  <c r="AT21" i="255"/>
  <c r="AT9" i="255"/>
  <c r="AT10" i="255"/>
  <c r="AT12" i="255"/>
  <c r="AT13" i="255"/>
  <c r="AT15" i="255"/>
  <c r="AT16" i="255"/>
  <c r="AT17" i="255"/>
  <c r="AT18" i="255"/>
  <c r="AT7" i="255"/>
  <c r="AT74" i="254"/>
  <c r="AT75" i="254" s="1"/>
  <c r="AT76" i="254"/>
  <c r="AT77" i="254" s="1"/>
  <c r="AT72" i="254"/>
  <c r="AT73" i="254" s="1"/>
  <c r="AT49" i="254"/>
  <c r="AT50" i="254"/>
  <c r="AT51" i="254"/>
  <c r="AT52" i="254"/>
  <c r="AT53" i="254"/>
  <c r="AT54" i="254"/>
  <c r="AT55" i="254"/>
  <c r="AT56" i="254"/>
  <c r="AT57" i="254"/>
  <c r="AT59" i="254"/>
  <c r="AT60" i="254"/>
  <c r="AT61" i="254"/>
  <c r="AT62" i="254"/>
  <c r="AT63" i="254"/>
  <c r="AT64" i="254"/>
  <c r="AT65" i="254"/>
  <c r="AT67" i="254"/>
  <c r="AT68" i="254"/>
  <c r="AT69" i="254"/>
  <c r="AT48" i="254"/>
  <c r="AT28" i="254"/>
  <c r="AT29" i="254"/>
  <c r="AT30" i="254"/>
  <c r="AT31" i="254"/>
  <c r="AT32" i="254"/>
  <c r="AT33" i="254"/>
  <c r="AT35" i="254"/>
  <c r="AT36" i="254"/>
  <c r="AT37" i="254"/>
  <c r="AT38" i="254"/>
  <c r="AT39" i="254"/>
  <c r="AT40" i="254"/>
  <c r="AT42" i="254"/>
  <c r="AT43" i="254"/>
  <c r="AT44" i="254"/>
  <c r="AT45" i="254"/>
  <c r="AT27" i="254"/>
  <c r="AT23" i="254"/>
  <c r="AT24" i="254"/>
  <c r="AT22" i="254"/>
  <c r="AT13" i="254"/>
  <c r="AT14" i="254"/>
  <c r="AT15" i="254"/>
  <c r="AT16" i="254"/>
  <c r="AT17" i="254"/>
  <c r="AT12" i="254"/>
  <c r="AT7" i="254"/>
  <c r="AT8" i="254"/>
  <c r="AT9" i="254"/>
  <c r="AT10" i="254"/>
  <c r="AT6" i="254"/>
  <c r="AT14" i="253"/>
  <c r="AT15" i="253" s="1"/>
  <c r="AT16" i="253"/>
  <c r="AT17" i="253" s="1"/>
  <c r="AT19" i="253"/>
  <c r="AT20" i="253" s="1"/>
  <c r="AT12" i="253"/>
  <c r="AT13" i="253" s="1"/>
  <c r="AT7" i="253"/>
  <c r="AT8" i="253"/>
  <c r="AT10" i="253"/>
  <c r="AT6" i="253"/>
  <c r="D49" i="243"/>
  <c r="E48" i="243" s="1"/>
  <c r="E43" i="243"/>
  <c r="E47" i="243"/>
  <c r="E44" i="243"/>
  <c r="E46" i="243"/>
  <c r="CL224" i="252"/>
  <c r="CL217" i="252"/>
  <c r="CL210" i="252"/>
  <c r="CL206" i="252"/>
  <c r="CL202" i="252"/>
  <c r="CL196" i="252"/>
  <c r="CL190" i="252"/>
  <c r="CL179" i="252"/>
  <c r="CL173" i="252"/>
  <c r="CL168" i="252"/>
  <c r="CL161" i="252"/>
  <c r="CL155" i="252"/>
  <c r="CL151" i="252"/>
  <c r="CL149" i="252"/>
  <c r="CL143" i="252"/>
  <c r="CL134" i="252"/>
  <c r="CL127" i="252"/>
  <c r="CL121" i="252"/>
  <c r="CL117" i="252"/>
  <c r="CL111" i="252"/>
  <c r="CL104" i="252"/>
  <c r="CL98" i="252"/>
  <c r="CL94" i="252"/>
  <c r="CL92" i="252"/>
  <c r="CL85" i="252"/>
  <c r="CL79" i="252"/>
  <c r="CL75" i="252"/>
  <c r="CL71" i="252"/>
  <c r="CL68" i="252"/>
  <c r="CL63" i="252"/>
  <c r="CL56" i="252"/>
  <c r="CL48" i="252"/>
  <c r="CL43" i="252"/>
  <c r="CL41" i="252"/>
  <c r="CL35" i="252"/>
  <c r="CL27" i="252"/>
  <c r="CL20" i="252"/>
  <c r="CL16" i="252"/>
  <c r="CL14" i="252"/>
  <c r="BT76" i="250"/>
  <c r="BU76" i="250" s="1"/>
  <c r="BS76" i="250"/>
  <c r="BQ76" i="250"/>
  <c r="BP76" i="250"/>
  <c r="BT73" i="250"/>
  <c r="BS73" i="250"/>
  <c r="BT69" i="250"/>
  <c r="BP69" i="250"/>
  <c r="BU68" i="250"/>
  <c r="BU65" i="250"/>
  <c r="BU62" i="250"/>
  <c r="BT59" i="250"/>
  <c r="BS59" i="250"/>
  <c r="BR59" i="250"/>
  <c r="BQ59" i="250"/>
  <c r="BP59" i="250"/>
  <c r="BN59" i="250"/>
  <c r="BT57" i="250"/>
  <c r="BS57" i="250"/>
  <c r="BQ57" i="250"/>
  <c r="BT55" i="250"/>
  <c r="BP55" i="250"/>
  <c r="BT53" i="250"/>
  <c r="BR53" i="250"/>
  <c r="BP53" i="250"/>
  <c r="BN53" i="250"/>
  <c r="BT52" i="250"/>
  <c r="BU52" i="250" s="1"/>
  <c r="BR52" i="250"/>
  <c r="BQ52" i="250"/>
  <c r="BP52" i="250"/>
  <c r="BT51" i="250"/>
  <c r="BT49" i="250"/>
  <c r="BR49" i="250"/>
  <c r="BP49" i="250"/>
  <c r="BT48" i="250"/>
  <c r="BQ48" i="250"/>
  <c r="BP48" i="250"/>
  <c r="BP46" i="250"/>
  <c r="BU45" i="250"/>
  <c r="BU42" i="250"/>
  <c r="BU36" i="250"/>
  <c r="BU26" i="250"/>
  <c r="BU17" i="250"/>
  <c r="BU14" i="250"/>
  <c r="BU10" i="250"/>
  <c r="BJ95" i="274"/>
  <c r="BJ96" i="274"/>
  <c r="BJ97" i="274"/>
  <c r="BJ98" i="274"/>
  <c r="BJ99" i="274"/>
  <c r="BJ100" i="274"/>
  <c r="BJ101" i="274"/>
  <c r="BJ102" i="274"/>
  <c r="BJ94" i="274"/>
  <c r="BJ81" i="274"/>
  <c r="BJ82" i="274"/>
  <c r="BJ83" i="274"/>
  <c r="BJ84" i="274"/>
  <c r="BJ85" i="274"/>
  <c r="BJ86" i="274"/>
  <c r="BJ87" i="274"/>
  <c r="BJ88" i="274"/>
  <c r="BJ89" i="274"/>
  <c r="BJ90" i="274"/>
  <c r="BJ91" i="274"/>
  <c r="BJ92" i="274"/>
  <c r="BJ93" i="274"/>
  <c r="BJ80" i="274"/>
  <c r="BJ79" i="274"/>
  <c r="BJ78" i="274"/>
  <c r="BJ77" i="274"/>
  <c r="BJ76" i="274"/>
  <c r="BJ75" i="274"/>
  <c r="BJ74" i="274"/>
  <c r="BJ73" i="274"/>
  <c r="BJ72" i="274"/>
  <c r="BJ71" i="274"/>
  <c r="BJ70" i="274"/>
  <c r="BJ69" i="274"/>
  <c r="BJ68" i="274"/>
  <c r="BJ67" i="274"/>
  <c r="BJ66" i="274"/>
  <c r="BJ65" i="274"/>
  <c r="BJ64" i="274"/>
  <c r="BJ63" i="274"/>
  <c r="BJ62" i="274"/>
  <c r="BJ61" i="274"/>
  <c r="BJ60" i="274"/>
  <c r="BJ59" i="274"/>
  <c r="BJ58" i="274"/>
  <c r="BJ57" i="274"/>
  <c r="BJ56" i="274"/>
  <c r="BJ55" i="274"/>
  <c r="BJ54" i="274"/>
  <c r="BJ53" i="274"/>
  <c r="BJ52" i="274"/>
  <c r="BJ51" i="274"/>
  <c r="BJ50" i="274"/>
  <c r="BJ49" i="274"/>
  <c r="BJ48" i="274"/>
  <c r="BJ47" i="274"/>
  <c r="BJ46" i="274"/>
  <c r="BJ45" i="274"/>
  <c r="BJ44" i="274"/>
  <c r="BJ43" i="274"/>
  <c r="BJ42" i="274"/>
  <c r="BJ41" i="274"/>
  <c r="BJ40" i="274"/>
  <c r="BJ39" i="274"/>
  <c r="BJ38" i="274"/>
  <c r="BJ37" i="274"/>
  <c r="BJ36" i="274"/>
  <c r="BJ35" i="274"/>
  <c r="BJ34" i="274"/>
  <c r="BJ33" i="274"/>
  <c r="BJ32" i="274"/>
  <c r="BJ31" i="274"/>
  <c r="BJ30" i="274"/>
  <c r="BJ29" i="274"/>
  <c r="BJ28" i="274"/>
  <c r="BJ27" i="274"/>
  <c r="BJ26" i="274"/>
  <c r="BJ25" i="274"/>
  <c r="BJ24" i="274"/>
  <c r="BJ23" i="274"/>
  <c r="BJ22" i="274"/>
  <c r="BJ21" i="274"/>
  <c r="BJ20" i="274"/>
  <c r="BJ19" i="274"/>
  <c r="BJ18" i="274"/>
  <c r="BJ17" i="274"/>
  <c r="BJ16" i="274"/>
  <c r="BJ15" i="274"/>
  <c r="BJ14" i="274"/>
  <c r="BJ13" i="274"/>
  <c r="BJ12" i="274"/>
  <c r="BJ11" i="274"/>
  <c r="BJ10" i="274"/>
  <c r="BJ9" i="274"/>
  <c r="BJ8" i="274"/>
  <c r="BJ7" i="274"/>
  <c r="BJ6" i="274"/>
  <c r="EH104" i="262"/>
  <c r="EH103" i="262"/>
  <c r="EH102" i="262"/>
  <c r="EH101" i="262"/>
  <c r="EH100" i="262"/>
  <c r="EH99" i="262"/>
  <c r="EH98" i="262"/>
  <c r="EH97" i="262"/>
  <c r="EH96" i="262"/>
  <c r="EH95" i="262"/>
  <c r="EH94" i="262"/>
  <c r="EH93" i="262"/>
  <c r="EH92" i="262"/>
  <c r="EH91" i="262"/>
  <c r="EH90" i="262"/>
  <c r="EH89" i="262"/>
  <c r="EH88" i="262"/>
  <c r="EH87" i="262"/>
  <c r="EH86" i="262"/>
  <c r="EH85" i="262"/>
  <c r="EH84" i="262"/>
  <c r="EH83" i="262"/>
  <c r="EH82" i="262"/>
  <c r="EH81" i="262"/>
  <c r="EH80" i="262"/>
  <c r="EH79" i="262"/>
  <c r="EH78" i="262"/>
  <c r="EH77" i="262"/>
  <c r="EH76" i="262"/>
  <c r="EH75" i="262"/>
  <c r="EH74" i="262"/>
  <c r="EH73" i="262"/>
  <c r="EH72" i="262"/>
  <c r="EH71" i="262"/>
  <c r="EH70" i="262"/>
  <c r="EH69" i="262"/>
  <c r="EH68" i="262"/>
  <c r="EH67" i="262"/>
  <c r="EH66" i="262"/>
  <c r="EH65" i="262"/>
  <c r="EH64" i="262"/>
  <c r="EH63" i="262"/>
  <c r="EH62" i="262"/>
  <c r="EH61" i="262"/>
  <c r="EH60" i="262"/>
  <c r="EH59" i="262"/>
  <c r="EH58" i="262"/>
  <c r="EH57" i="262"/>
  <c r="EH56" i="262"/>
  <c r="EH55" i="262"/>
  <c r="EH54" i="262"/>
  <c r="EH53" i="262"/>
  <c r="EH52" i="262"/>
  <c r="EH51" i="262"/>
  <c r="EH50" i="262"/>
  <c r="EH49" i="262"/>
  <c r="EH48" i="262"/>
  <c r="EH47" i="262"/>
  <c r="EH46" i="262"/>
  <c r="EH45" i="262"/>
  <c r="EH44" i="262"/>
  <c r="EH43" i="262"/>
  <c r="EH42" i="262"/>
  <c r="EH41" i="262"/>
  <c r="EH40" i="262"/>
  <c r="EH39" i="262"/>
  <c r="EH38" i="262"/>
  <c r="EH37" i="262"/>
  <c r="EH36" i="262"/>
  <c r="EH35" i="262"/>
  <c r="EH34" i="262"/>
  <c r="EH33" i="262"/>
  <c r="EH32" i="262"/>
  <c r="EH31" i="262"/>
  <c r="EH30" i="262"/>
  <c r="EH29" i="262"/>
  <c r="EH28" i="262"/>
  <c r="EH27" i="262"/>
  <c r="EH26" i="262"/>
  <c r="EH25" i="262"/>
  <c r="EH24" i="262"/>
  <c r="EH23" i="262"/>
  <c r="EH22" i="262"/>
  <c r="EH21" i="262"/>
  <c r="EH20" i="262"/>
  <c r="EH19" i="262"/>
  <c r="EH18" i="262"/>
  <c r="EH17" i="262"/>
  <c r="EH16" i="262"/>
  <c r="EH15" i="262"/>
  <c r="EH14" i="262"/>
  <c r="EH13" i="262"/>
  <c r="EH12" i="262"/>
  <c r="EH11" i="262"/>
  <c r="EH10" i="262"/>
  <c r="EH9" i="262"/>
  <c r="EH8" i="262"/>
  <c r="EH7" i="262"/>
  <c r="N372" i="213"/>
  <c r="O371" i="213"/>
  <c r="O370" i="213"/>
  <c r="O369" i="213"/>
  <c r="O368" i="213"/>
  <c r="O367" i="213"/>
  <c r="O366" i="213"/>
  <c r="O365" i="213"/>
  <c r="O364" i="213"/>
  <c r="O363" i="213"/>
  <c r="O362" i="213"/>
  <c r="O361" i="213"/>
  <c r="O360" i="213"/>
  <c r="O359" i="213"/>
  <c r="O358" i="213"/>
  <c r="O357" i="213"/>
  <c r="O356" i="213"/>
  <c r="O355" i="213"/>
  <c r="O354" i="213"/>
  <c r="O353" i="213"/>
  <c r="O352" i="213"/>
  <c r="O351" i="213"/>
  <c r="O350" i="213"/>
  <c r="O349" i="213"/>
  <c r="O348" i="213"/>
  <c r="O347" i="213"/>
  <c r="O346" i="213"/>
  <c r="O345" i="213"/>
  <c r="O344" i="213"/>
  <c r="O343" i="213"/>
  <c r="O342" i="213"/>
  <c r="O341" i="213"/>
  <c r="O340" i="213"/>
  <c r="O339" i="213"/>
  <c r="O338" i="213"/>
  <c r="O337" i="213"/>
  <c r="O336" i="213"/>
  <c r="O335" i="213"/>
  <c r="O334" i="213"/>
  <c r="O333" i="213"/>
  <c r="O332" i="213"/>
  <c r="O331" i="213"/>
  <c r="O330" i="213"/>
  <c r="O329" i="213"/>
  <c r="O328" i="213"/>
  <c r="O327" i="213"/>
  <c r="O326" i="213"/>
  <c r="O325" i="213"/>
  <c r="O324" i="213"/>
  <c r="O323" i="213"/>
  <c r="O322" i="213"/>
  <c r="O321" i="213"/>
  <c r="O320" i="213"/>
  <c r="O319" i="213"/>
  <c r="O318" i="213"/>
  <c r="O317" i="213"/>
  <c r="O316" i="213"/>
  <c r="O315" i="213"/>
  <c r="O314" i="213"/>
  <c r="O313" i="213"/>
  <c r="O312" i="213"/>
  <c r="O311" i="213"/>
  <c r="O310" i="213"/>
  <c r="O309" i="213"/>
  <c r="O308" i="213"/>
  <c r="O307" i="213"/>
  <c r="O306" i="213"/>
  <c r="O305" i="213"/>
  <c r="O304" i="213"/>
  <c r="O303" i="213"/>
  <c r="O302" i="213"/>
  <c r="O301" i="213"/>
  <c r="O300" i="213"/>
  <c r="O299" i="213"/>
  <c r="O298" i="213"/>
  <c r="O297" i="213"/>
  <c r="O296" i="213"/>
  <c r="O295" i="213"/>
  <c r="O294" i="213"/>
  <c r="O293" i="213"/>
  <c r="O292" i="213"/>
  <c r="O291" i="213"/>
  <c r="O290" i="213"/>
  <c r="O289" i="213"/>
  <c r="O288" i="213"/>
  <c r="O287" i="213"/>
  <c r="O286" i="213"/>
  <c r="O285" i="213"/>
  <c r="O284" i="213"/>
  <c r="O283" i="213"/>
  <c r="O282" i="213"/>
  <c r="O281" i="213"/>
  <c r="O280" i="213"/>
  <c r="O279" i="213"/>
  <c r="O278" i="213"/>
  <c r="O277" i="213"/>
  <c r="O276" i="213"/>
  <c r="O275" i="213"/>
  <c r="O274" i="213"/>
  <c r="O273" i="213"/>
  <c r="O272" i="213"/>
  <c r="O271" i="213"/>
  <c r="O270" i="213"/>
  <c r="O269" i="213"/>
  <c r="O268" i="213"/>
  <c r="O267" i="213"/>
  <c r="O266" i="213"/>
  <c r="O265" i="213"/>
  <c r="O264" i="213"/>
  <c r="O263" i="213"/>
  <c r="O262" i="213"/>
  <c r="O261" i="213"/>
  <c r="O260" i="213"/>
  <c r="O259" i="213"/>
  <c r="O258" i="213"/>
  <c r="O257" i="213"/>
  <c r="O256" i="213"/>
  <c r="O255" i="213"/>
  <c r="O254" i="213"/>
  <c r="O253" i="213"/>
  <c r="O252" i="213"/>
  <c r="O251" i="213"/>
  <c r="O250" i="213"/>
  <c r="O249" i="213"/>
  <c r="O248" i="213"/>
  <c r="O247" i="213"/>
  <c r="O246" i="213"/>
  <c r="O245" i="213"/>
  <c r="O244" i="213"/>
  <c r="O243" i="213"/>
  <c r="O242" i="213"/>
  <c r="O241" i="213"/>
  <c r="O240" i="213"/>
  <c r="O239" i="213"/>
  <c r="O238" i="213"/>
  <c r="O237" i="213"/>
  <c r="O236" i="213"/>
  <c r="O235" i="213"/>
  <c r="O234" i="213"/>
  <c r="O233" i="213"/>
  <c r="O232" i="213"/>
  <c r="O231" i="213"/>
  <c r="M230" i="213"/>
  <c r="J226" i="213"/>
  <c r="I226" i="213"/>
  <c r="K225" i="213"/>
  <c r="K224" i="213"/>
  <c r="K223" i="213"/>
  <c r="K222" i="213"/>
  <c r="O314" i="212"/>
  <c r="O313" i="212"/>
  <c r="O312" i="212"/>
  <c r="O311" i="212"/>
  <c r="O310" i="212"/>
  <c r="O309" i="212"/>
  <c r="O308" i="212"/>
  <c r="O307" i="212"/>
  <c r="O306" i="212"/>
  <c r="O305" i="212"/>
  <c r="O304" i="212"/>
  <c r="O303" i="212"/>
  <c r="O302" i="212"/>
  <c r="O301" i="212"/>
  <c r="O300" i="212"/>
  <c r="O299" i="212"/>
  <c r="O298" i="212"/>
  <c r="O297" i="212"/>
  <c r="O296" i="212"/>
  <c r="O295" i="212"/>
  <c r="O294" i="212"/>
  <c r="O293" i="212"/>
  <c r="O292" i="212"/>
  <c r="O291" i="212"/>
  <c r="O290" i="212"/>
  <c r="O289" i="212"/>
  <c r="O288" i="212"/>
  <c r="O287" i="212"/>
  <c r="O286" i="212"/>
  <c r="O285" i="212"/>
  <c r="O284" i="212"/>
  <c r="O283" i="212"/>
  <c r="O282" i="212"/>
  <c r="O281" i="212"/>
  <c r="O280" i="212"/>
  <c r="O279" i="212"/>
  <c r="O278" i="212"/>
  <c r="O277" i="212"/>
  <c r="O276" i="212"/>
  <c r="O275" i="212"/>
  <c r="O274" i="212"/>
  <c r="O273" i="212"/>
  <c r="O272" i="212"/>
  <c r="O271" i="212"/>
  <c r="O270" i="212"/>
  <c r="O269" i="212"/>
  <c r="O268" i="212"/>
  <c r="O267" i="212"/>
  <c r="O266" i="212"/>
  <c r="O265" i="212"/>
  <c r="O264" i="212"/>
  <c r="O263" i="212"/>
  <c r="O262" i="212"/>
  <c r="O261" i="212"/>
  <c r="O260" i="212"/>
  <c r="O258" i="212"/>
  <c r="O257" i="212"/>
  <c r="O256" i="212"/>
  <c r="O255" i="212"/>
  <c r="O254" i="212"/>
  <c r="O253" i="212"/>
  <c r="O252" i="212"/>
  <c r="O251" i="212"/>
  <c r="O250" i="212"/>
  <c r="O249" i="212"/>
  <c r="O248" i="212"/>
  <c r="O247" i="212"/>
  <c r="O246" i="212"/>
  <c r="O245" i="212"/>
  <c r="O244" i="212"/>
  <c r="O243" i="212"/>
  <c r="O242" i="212"/>
  <c r="O241" i="212"/>
  <c r="O240" i="212"/>
  <c r="O239" i="212"/>
  <c r="K226" i="213"/>
  <c r="S39" i="272"/>
  <c r="U39" i="272" s="1"/>
  <c r="S32" i="272"/>
  <c r="S25" i="272"/>
  <c r="S18" i="272"/>
  <c r="U18" i="272" s="1"/>
  <c r="S6" i="272"/>
  <c r="S11" i="272" s="1"/>
  <c r="U11" i="272" s="1"/>
  <c r="D61" i="231"/>
  <c r="D62" i="231" s="1"/>
  <c r="L8" i="273"/>
  <c r="C239" i="238"/>
  <c r="B239" i="238"/>
  <c r="C209" i="238"/>
  <c r="B209" i="238"/>
  <c r="G250" i="238"/>
  <c r="H250" i="238"/>
  <c r="L28" i="273"/>
  <c r="L23" i="273"/>
  <c r="L19" i="273"/>
  <c r="L14" i="273"/>
  <c r="AN84" i="220"/>
  <c r="AK83" i="222"/>
  <c r="AJ83" i="222"/>
  <c r="AJ85" i="222" s="1"/>
  <c r="V45" i="271"/>
  <c r="M84" i="215"/>
  <c r="N84" i="215" s="1"/>
  <c r="AS13" i="235"/>
  <c r="G29" i="217"/>
  <c r="H28" i="217" s="1"/>
  <c r="G28" i="217"/>
  <c r="BZ103" i="267"/>
  <c r="BZ105" i="267" s="1"/>
  <c r="AR31" i="235"/>
  <c r="AQ31" i="235"/>
  <c r="AR30" i="235"/>
  <c r="AQ30" i="235"/>
  <c r="AS30" i="235" s="1"/>
  <c r="AR29" i="235"/>
  <c r="AQ29" i="235"/>
  <c r="AS27" i="235"/>
  <c r="AS23" i="235"/>
  <c r="AS22" i="235"/>
  <c r="AS21" i="235"/>
  <c r="AS19" i="235"/>
  <c r="AS18" i="235"/>
  <c r="AS17" i="235"/>
  <c r="AS15" i="235"/>
  <c r="AS14" i="235"/>
  <c r="AS11" i="235"/>
  <c r="AS10" i="235"/>
  <c r="AS9" i="235"/>
  <c r="AS7" i="235"/>
  <c r="AS6" i="235"/>
  <c r="AS5" i="235"/>
  <c r="AE43" i="234"/>
  <c r="AE41" i="234"/>
  <c r="AE39" i="234"/>
  <c r="AE38" i="234"/>
  <c r="AE37" i="234"/>
  <c r="AE36" i="234"/>
  <c r="AE35" i="234"/>
  <c r="AE34" i="234"/>
  <c r="AE32" i="234"/>
  <c r="AE31" i="234"/>
  <c r="AE30" i="234"/>
  <c r="AE29" i="234"/>
  <c r="AE28" i="234"/>
  <c r="AE27" i="234"/>
  <c r="AE25" i="234"/>
  <c r="AE24" i="234"/>
  <c r="AE23" i="234"/>
  <c r="AE22" i="234"/>
  <c r="AE21" i="234"/>
  <c r="AE20" i="234"/>
  <c r="AE18" i="234"/>
  <c r="AE17" i="234"/>
  <c r="AE16" i="234"/>
  <c r="AE15" i="234"/>
  <c r="AE14" i="234"/>
  <c r="AE13" i="234"/>
  <c r="AE11" i="234"/>
  <c r="AE10" i="234"/>
  <c r="AE9" i="234"/>
  <c r="AE8" i="234"/>
  <c r="AE7" i="234"/>
  <c r="AE6" i="234"/>
  <c r="V43" i="233"/>
  <c r="V41" i="233"/>
  <c r="V39" i="233"/>
  <c r="V38" i="233"/>
  <c r="V37" i="233"/>
  <c r="V36" i="233"/>
  <c r="V35" i="233"/>
  <c r="V34" i="233"/>
  <c r="V32" i="233"/>
  <c r="V31" i="233"/>
  <c r="V30" i="233"/>
  <c r="V29" i="233"/>
  <c r="V28" i="233"/>
  <c r="V27" i="233"/>
  <c r="V25" i="233"/>
  <c r="V24" i="233"/>
  <c r="V23" i="233"/>
  <c r="V22" i="233"/>
  <c r="V21" i="233"/>
  <c r="V20" i="233"/>
  <c r="V18" i="233"/>
  <c r="V17" i="233"/>
  <c r="V16" i="233"/>
  <c r="V15" i="233"/>
  <c r="V14" i="233"/>
  <c r="V13" i="233"/>
  <c r="V11" i="233"/>
  <c r="V10" i="233"/>
  <c r="V9" i="233"/>
  <c r="V8" i="233"/>
  <c r="V7" i="233"/>
  <c r="V6" i="233"/>
  <c r="B62" i="231"/>
  <c r="E62" i="231"/>
  <c r="C62" i="231"/>
  <c r="BE31" i="223"/>
  <c r="BE32" i="223"/>
  <c r="BE33" i="223"/>
  <c r="BE34" i="223"/>
  <c r="BE35" i="223"/>
  <c r="BH35" i="223" s="1"/>
  <c r="BE36" i="223"/>
  <c r="BF31" i="223"/>
  <c r="BF32" i="223"/>
  <c r="BH32" i="223" s="1"/>
  <c r="BI32" i="223" s="1"/>
  <c r="BF33" i="223"/>
  <c r="BF34" i="223"/>
  <c r="BF35" i="223"/>
  <c r="BF36" i="223"/>
  <c r="BG31" i="223"/>
  <c r="BG32" i="223"/>
  <c r="BG33" i="223"/>
  <c r="BG34" i="223"/>
  <c r="BG35" i="223"/>
  <c r="BG36" i="223"/>
  <c r="BH33" i="223"/>
  <c r="BE29" i="223"/>
  <c r="BH29" i="223" s="1"/>
  <c r="BF29" i="223"/>
  <c r="BG29" i="223"/>
  <c r="BH28" i="223"/>
  <c r="BI28" i="223"/>
  <c r="BH27" i="223"/>
  <c r="BI27" i="223"/>
  <c r="BH26" i="223"/>
  <c r="BI26" i="223" s="1"/>
  <c r="BE24" i="223"/>
  <c r="BF24" i="223"/>
  <c r="BG24" i="223"/>
  <c r="BH23" i="223"/>
  <c r="BI23" i="223"/>
  <c r="BH22" i="223"/>
  <c r="BI22" i="223"/>
  <c r="BH21" i="223"/>
  <c r="BI21" i="223"/>
  <c r="BE19" i="223"/>
  <c r="BF19" i="223"/>
  <c r="BG19" i="223"/>
  <c r="BH18" i="223"/>
  <c r="BI18" i="223" s="1"/>
  <c r="BH17" i="223"/>
  <c r="BI17" i="223" s="1"/>
  <c r="BH16" i="223"/>
  <c r="BI16" i="223"/>
  <c r="BE14" i="223"/>
  <c r="BF14" i="223"/>
  <c r="BH14" i="223" s="1"/>
  <c r="BG14" i="223"/>
  <c r="BH13" i="223"/>
  <c r="BI13" i="223" s="1"/>
  <c r="BH12" i="223"/>
  <c r="BI12" i="223"/>
  <c r="BH11" i="223"/>
  <c r="BI11" i="223" s="1"/>
  <c r="BE9" i="223"/>
  <c r="BF9" i="223"/>
  <c r="BG9" i="223"/>
  <c r="BH8" i="223"/>
  <c r="BI8" i="223"/>
  <c r="BH7" i="223"/>
  <c r="BI7" i="223" s="1"/>
  <c r="BH6" i="223"/>
  <c r="BI6" i="223"/>
  <c r="AH87" i="222"/>
  <c r="AN84" i="221"/>
  <c r="AP84" i="221" s="1"/>
  <c r="AO84" i="221"/>
  <c r="AP82" i="221"/>
  <c r="AP81" i="221"/>
  <c r="AP80" i="221"/>
  <c r="AP79" i="221"/>
  <c r="AP78" i="221"/>
  <c r="AP77" i="221"/>
  <c r="AP76" i="221"/>
  <c r="AP75" i="221"/>
  <c r="AP74" i="221"/>
  <c r="AP73" i="221"/>
  <c r="AP72" i="221"/>
  <c r="AP71" i="221"/>
  <c r="AP70" i="221"/>
  <c r="AP69" i="221"/>
  <c r="AP68" i="221"/>
  <c r="AP67" i="221"/>
  <c r="AP66" i="221"/>
  <c r="AP65" i="221"/>
  <c r="AP64" i="221"/>
  <c r="AP61" i="221"/>
  <c r="AP59" i="221"/>
  <c r="AP58" i="221"/>
  <c r="AP57" i="221"/>
  <c r="AP56" i="221"/>
  <c r="AP55" i="221"/>
  <c r="AP53" i="221"/>
  <c r="AP52" i="221"/>
  <c r="AP51" i="221"/>
  <c r="AP50" i="221"/>
  <c r="AP49" i="221"/>
  <c r="AP48" i="221"/>
  <c r="AP47" i="221"/>
  <c r="AP46" i="221"/>
  <c r="AP45" i="221"/>
  <c r="AP44" i="221"/>
  <c r="AP43" i="221"/>
  <c r="AP42" i="221"/>
  <c r="AP41" i="221"/>
  <c r="AP40" i="221"/>
  <c r="AP39" i="221"/>
  <c r="AP38" i="221"/>
  <c r="AP37" i="221"/>
  <c r="AP36" i="221"/>
  <c r="AP35" i="221"/>
  <c r="AP34" i="221"/>
  <c r="AP33" i="221"/>
  <c r="AP32" i="221"/>
  <c r="AP31" i="221"/>
  <c r="AP30" i="221"/>
  <c r="AP29" i="221"/>
  <c r="AP28" i="221"/>
  <c r="AP27" i="221"/>
  <c r="AP26" i="221"/>
  <c r="AP25" i="221"/>
  <c r="AP24" i="221"/>
  <c r="AP23" i="221"/>
  <c r="AP22" i="221"/>
  <c r="AP21" i="221"/>
  <c r="AP20" i="221"/>
  <c r="AP19" i="221"/>
  <c r="AP18" i="221"/>
  <c r="AP17" i="221"/>
  <c r="AP16" i="221"/>
  <c r="AP15" i="221"/>
  <c r="AP14" i="221"/>
  <c r="AP13" i="221"/>
  <c r="AP12" i="221"/>
  <c r="AP11" i="221"/>
  <c r="AP10" i="221"/>
  <c r="AP9" i="221"/>
  <c r="AP8" i="221"/>
  <c r="AP7" i="221"/>
  <c r="AP6" i="221"/>
  <c r="AP5" i="221"/>
  <c r="AP84" i="220"/>
  <c r="AP82" i="220"/>
  <c r="AP81" i="220"/>
  <c r="AP80" i="220"/>
  <c r="AP79" i="220"/>
  <c r="AP78" i="220"/>
  <c r="AP77" i="220"/>
  <c r="AP76" i="220"/>
  <c r="AP75" i="220"/>
  <c r="AP74" i="220"/>
  <c r="AP73" i="220"/>
  <c r="AP72" i="220"/>
  <c r="AP71" i="220"/>
  <c r="AP70" i="220"/>
  <c r="AP69" i="220"/>
  <c r="AP68" i="220"/>
  <c r="AP67" i="220"/>
  <c r="AP66" i="220"/>
  <c r="AP65" i="220"/>
  <c r="AP64" i="220"/>
  <c r="AP61" i="220"/>
  <c r="AP59" i="220"/>
  <c r="AP58" i="220"/>
  <c r="AP57" i="220"/>
  <c r="AP56" i="220"/>
  <c r="AP55" i="220"/>
  <c r="AP53" i="220"/>
  <c r="AP52" i="220"/>
  <c r="AP51" i="220"/>
  <c r="AP50" i="220"/>
  <c r="AP49" i="220"/>
  <c r="AP48" i="220"/>
  <c r="AP47" i="220"/>
  <c r="AP46" i="220"/>
  <c r="AP45" i="220"/>
  <c r="AP44" i="220"/>
  <c r="AP43" i="220"/>
  <c r="AP42" i="220"/>
  <c r="AP41" i="220"/>
  <c r="AP40" i="220"/>
  <c r="AP39" i="220"/>
  <c r="AP38" i="220"/>
  <c r="AP37" i="220"/>
  <c r="AP36" i="220"/>
  <c r="AP35" i="220"/>
  <c r="AP34" i="220"/>
  <c r="AP33" i="220"/>
  <c r="AP32" i="220"/>
  <c r="AP31" i="220"/>
  <c r="AP30" i="220"/>
  <c r="AP29" i="220"/>
  <c r="AP28" i="220"/>
  <c r="AP27" i="220"/>
  <c r="AP26" i="220"/>
  <c r="AP25" i="220"/>
  <c r="AP24" i="220"/>
  <c r="AP23" i="220"/>
  <c r="AP22" i="220"/>
  <c r="AP21" i="220"/>
  <c r="AP20" i="220"/>
  <c r="AP19" i="220"/>
  <c r="AP18" i="220"/>
  <c r="AP17" i="220"/>
  <c r="AP16" i="220"/>
  <c r="AP15" i="220"/>
  <c r="AP14" i="220"/>
  <c r="AP13" i="220"/>
  <c r="AP12" i="220"/>
  <c r="AP11" i="220"/>
  <c r="AP10" i="220"/>
  <c r="AP9" i="220"/>
  <c r="AP8" i="220"/>
  <c r="AP7" i="220"/>
  <c r="AP6" i="220"/>
  <c r="AP5" i="220"/>
  <c r="AM84" i="261"/>
  <c r="AO84" i="261" s="1"/>
  <c r="AO82" i="261"/>
  <c r="AO81" i="261"/>
  <c r="AO80" i="261"/>
  <c r="AO79" i="261"/>
  <c r="AO78" i="261"/>
  <c r="AO77" i="261"/>
  <c r="AO76" i="261"/>
  <c r="AO75" i="261"/>
  <c r="AO74" i="261"/>
  <c r="AO73" i="261"/>
  <c r="AO72" i="261"/>
  <c r="AO71" i="261"/>
  <c r="AO70" i="261"/>
  <c r="AO69" i="261"/>
  <c r="AO68" i="261"/>
  <c r="AO67" i="261"/>
  <c r="AO66" i="261"/>
  <c r="AO65" i="261"/>
  <c r="AO64" i="261"/>
  <c r="AO61" i="261"/>
  <c r="AO59" i="261"/>
  <c r="AO58" i="261"/>
  <c r="AO57" i="261"/>
  <c r="AO56" i="261"/>
  <c r="AO55" i="261"/>
  <c r="AO53" i="261"/>
  <c r="AO52" i="261"/>
  <c r="AO51" i="261"/>
  <c r="AO50" i="261"/>
  <c r="AO49" i="261"/>
  <c r="AO48" i="261"/>
  <c r="AO47" i="261"/>
  <c r="AO46" i="261"/>
  <c r="AO45" i="261"/>
  <c r="AO44" i="261"/>
  <c r="AO43" i="261"/>
  <c r="AO42" i="261"/>
  <c r="AO41" i="261"/>
  <c r="AO40" i="261"/>
  <c r="AO39" i="261"/>
  <c r="AO38" i="261"/>
  <c r="AO37" i="261"/>
  <c r="AO36" i="261"/>
  <c r="AO35" i="261"/>
  <c r="AO34" i="261"/>
  <c r="AO33" i="261"/>
  <c r="AO32" i="261"/>
  <c r="AO31" i="261"/>
  <c r="AO30" i="261"/>
  <c r="AO29" i="261"/>
  <c r="AO28" i="261"/>
  <c r="AO27" i="261"/>
  <c r="AO26" i="261"/>
  <c r="AO25" i="261"/>
  <c r="AO24" i="261"/>
  <c r="AO23" i="261"/>
  <c r="AO22" i="261"/>
  <c r="AO21" i="261"/>
  <c r="AO20" i="261"/>
  <c r="AO19" i="261"/>
  <c r="AO18" i="261"/>
  <c r="AO17" i="261"/>
  <c r="AO16" i="261"/>
  <c r="AO15" i="261"/>
  <c r="AO14" i="261"/>
  <c r="AO13" i="261"/>
  <c r="AO12" i="261"/>
  <c r="AO11" i="261"/>
  <c r="AO10" i="261"/>
  <c r="AO9" i="261"/>
  <c r="AO8" i="261"/>
  <c r="AO7" i="261"/>
  <c r="AO6" i="261"/>
  <c r="AO5" i="261"/>
  <c r="U41" i="272"/>
  <c r="U38" i="272"/>
  <c r="U37" i="272"/>
  <c r="U36" i="272"/>
  <c r="U35" i="272"/>
  <c r="U34" i="272"/>
  <c r="U31" i="272"/>
  <c r="U30" i="272"/>
  <c r="U29" i="272"/>
  <c r="U28" i="272"/>
  <c r="U27" i="272"/>
  <c r="U25" i="272"/>
  <c r="U24" i="272"/>
  <c r="U23" i="272"/>
  <c r="U22" i="272"/>
  <c r="U21" i="272"/>
  <c r="U20" i="272"/>
  <c r="U17" i="272"/>
  <c r="U16" i="272"/>
  <c r="U15" i="272"/>
  <c r="U14" i="272"/>
  <c r="U13" i="272"/>
  <c r="U10" i="272"/>
  <c r="U9" i="272"/>
  <c r="U8" i="272"/>
  <c r="U7" i="272"/>
  <c r="BU84" i="216"/>
  <c r="BU82" i="216"/>
  <c r="BU81" i="216"/>
  <c r="BU79" i="216"/>
  <c r="BU77" i="216"/>
  <c r="BU76" i="216"/>
  <c r="BU75" i="216"/>
  <c r="BU74" i="216"/>
  <c r="BU73" i="216"/>
  <c r="BU72" i="216"/>
  <c r="BU71" i="216"/>
  <c r="BU70" i="216"/>
  <c r="BU69" i="216"/>
  <c r="BU68" i="216"/>
  <c r="BU67" i="216"/>
  <c r="BU66" i="216"/>
  <c r="BU65" i="216"/>
  <c r="BU64" i="216"/>
  <c r="BU63" i="216"/>
  <c r="BU62" i="216"/>
  <c r="BU61" i="216"/>
  <c r="BU60" i="216"/>
  <c r="BU59" i="216"/>
  <c r="BU58" i="216"/>
  <c r="BU57" i="216"/>
  <c r="BU55" i="216"/>
  <c r="BU53" i="216"/>
  <c r="BU52" i="216"/>
  <c r="BU51" i="216"/>
  <c r="BU49" i="216"/>
  <c r="BU47" i="216"/>
  <c r="BU46" i="216"/>
  <c r="BU45" i="216"/>
  <c r="BU44" i="216"/>
  <c r="BU43" i="216"/>
  <c r="BU42" i="216"/>
  <c r="BU41" i="216"/>
  <c r="BU40" i="216"/>
  <c r="BU39" i="216"/>
  <c r="BU38" i="216"/>
  <c r="BU37" i="216"/>
  <c r="BU35" i="216"/>
  <c r="BU34" i="216"/>
  <c r="BU33" i="216"/>
  <c r="BU32" i="216"/>
  <c r="BU31" i="216"/>
  <c r="BU30" i="216"/>
  <c r="BU29" i="216"/>
  <c r="BU28" i="216"/>
  <c r="BU27" i="216"/>
  <c r="BU26" i="216"/>
  <c r="BU25" i="216"/>
  <c r="BU24" i="216"/>
  <c r="BU23" i="216"/>
  <c r="BU22" i="216"/>
  <c r="BU21" i="216"/>
  <c r="BU20" i="216"/>
  <c r="BU19" i="216"/>
  <c r="BU18" i="216"/>
  <c r="BU17" i="216"/>
  <c r="BU16" i="216"/>
  <c r="BU15" i="216"/>
  <c r="BU14" i="216"/>
  <c r="BU13" i="216"/>
  <c r="BU12" i="216"/>
  <c r="BU11" i="216"/>
  <c r="BU10" i="216"/>
  <c r="BU9" i="216"/>
  <c r="BU8" i="216"/>
  <c r="BU7" i="216"/>
  <c r="BU6" i="216"/>
  <c r="BU5" i="216"/>
  <c r="N82" i="215"/>
  <c r="N81" i="215"/>
  <c r="N80" i="215"/>
  <c r="N79" i="215"/>
  <c r="N78" i="215"/>
  <c r="N77" i="215"/>
  <c r="N76" i="215"/>
  <c r="N75" i="215"/>
  <c r="N74" i="215"/>
  <c r="N73" i="215"/>
  <c r="N72" i="215"/>
  <c r="N71" i="215"/>
  <c r="N70" i="215"/>
  <c r="N69" i="215"/>
  <c r="N68" i="215"/>
  <c r="N67" i="215"/>
  <c r="N66" i="215"/>
  <c r="N60" i="215"/>
  <c r="N59" i="215"/>
  <c r="N58" i="215"/>
  <c r="N57" i="215"/>
  <c r="N56" i="215"/>
  <c r="N55" i="215"/>
  <c r="N54" i="215"/>
  <c r="N53" i="215"/>
  <c r="N52" i="215"/>
  <c r="N51" i="215"/>
  <c r="N50" i="215"/>
  <c r="N49" i="215"/>
  <c r="N48" i="215"/>
  <c r="N47" i="215"/>
  <c r="N46" i="215"/>
  <c r="N45" i="215"/>
  <c r="N44" i="215"/>
  <c r="N43" i="215"/>
  <c r="N42" i="215"/>
  <c r="N41" i="215"/>
  <c r="N40" i="215"/>
  <c r="N39" i="215"/>
  <c r="N38" i="215"/>
  <c r="N37" i="215"/>
  <c r="N36" i="215"/>
  <c r="N35" i="215"/>
  <c r="N34" i="215"/>
  <c r="N33" i="215"/>
  <c r="N32" i="215"/>
  <c r="N31" i="215"/>
  <c r="N30" i="215"/>
  <c r="N29" i="215"/>
  <c r="N28" i="215"/>
  <c r="N27" i="215"/>
  <c r="N26" i="215"/>
  <c r="N25" i="215"/>
  <c r="N24" i="215"/>
  <c r="N23" i="215"/>
  <c r="N22" i="215"/>
  <c r="N21" i="215"/>
  <c r="N20" i="215"/>
  <c r="N18" i="215"/>
  <c r="N17" i="215"/>
  <c r="N19" i="215"/>
  <c r="N16" i="215"/>
  <c r="N15" i="215"/>
  <c r="N14" i="215"/>
  <c r="N13" i="215"/>
  <c r="N12" i="215"/>
  <c r="N11" i="215"/>
  <c r="N10" i="215"/>
  <c r="N9" i="215"/>
  <c r="N8" i="215"/>
  <c r="N7" i="215"/>
  <c r="N6" i="215"/>
  <c r="N5" i="215"/>
  <c r="AO10" i="214"/>
  <c r="AO16" i="214"/>
  <c r="AP16" i="214" s="1"/>
  <c r="AP21" i="214"/>
  <c r="AO26" i="214"/>
  <c r="AP26" i="214" s="1"/>
  <c r="AO30" i="214"/>
  <c r="AP30" i="214" s="1"/>
  <c r="AO34" i="214"/>
  <c r="AO41" i="214"/>
  <c r="AP41" i="214" s="1"/>
  <c r="AO47" i="214"/>
  <c r="AP47" i="214" s="1"/>
  <c r="AO52" i="214"/>
  <c r="AO57" i="214"/>
  <c r="AP57" i="214" s="1"/>
  <c r="AO61" i="214"/>
  <c r="AP61" i="214" s="1"/>
  <c r="AO65" i="214"/>
  <c r="AO71" i="214"/>
  <c r="AP71" i="214" s="1"/>
  <c r="AO76" i="214"/>
  <c r="AP76" i="214" s="1"/>
  <c r="AO81" i="214"/>
  <c r="AP80" i="214"/>
  <c r="AP79" i="214"/>
  <c r="AP78" i="214"/>
  <c r="AP77" i="214"/>
  <c r="AP75" i="214"/>
  <c r="AP74" i="214"/>
  <c r="AP73" i="214"/>
  <c r="AP72" i="214"/>
  <c r="AP70" i="214"/>
  <c r="AP69" i="214"/>
  <c r="AP68" i="214"/>
  <c r="AP67" i="214"/>
  <c r="AP65" i="214"/>
  <c r="AP64" i="214"/>
  <c r="AP63" i="214"/>
  <c r="AP62" i="214"/>
  <c r="AP60" i="214"/>
  <c r="AP59" i="214"/>
  <c r="AP58" i="214"/>
  <c r="AP56" i="214"/>
  <c r="AP55" i="214"/>
  <c r="AP54" i="214"/>
  <c r="AP51" i="214"/>
  <c r="AP50" i="214"/>
  <c r="AP49" i="214"/>
  <c r="AP48" i="214"/>
  <c r="AP46" i="214"/>
  <c r="AP45" i="214"/>
  <c r="AP44" i="214"/>
  <c r="AP43" i="214"/>
  <c r="AP42" i="214"/>
  <c r="AP40" i="214"/>
  <c r="AP39" i="214"/>
  <c r="AP38" i="214"/>
  <c r="AP37" i="214"/>
  <c r="AP36" i="214"/>
  <c r="AP33" i="214"/>
  <c r="AP32" i="214"/>
  <c r="AP31" i="214"/>
  <c r="AP29" i="214"/>
  <c r="AP28" i="214"/>
  <c r="AP27" i="214"/>
  <c r="AP25" i="214"/>
  <c r="AP24" i="214"/>
  <c r="AP23" i="214"/>
  <c r="AP20" i="214"/>
  <c r="AP19" i="214"/>
  <c r="AP18" i="214"/>
  <c r="AP17" i="214"/>
  <c r="AP15" i="214"/>
  <c r="AP14" i="214"/>
  <c r="AP13" i="214"/>
  <c r="AP12" i="214"/>
  <c r="AP11" i="214"/>
  <c r="AP10" i="214"/>
  <c r="AP9" i="214"/>
  <c r="AP8" i="214"/>
  <c r="AP7" i="214"/>
  <c r="AP6" i="214"/>
  <c r="AP5" i="214"/>
  <c r="V44" i="271"/>
  <c r="U44" i="271"/>
  <c r="U45" i="271"/>
  <c r="U46" i="271"/>
  <c r="T44" i="271"/>
  <c r="T45" i="271"/>
  <c r="T46" i="271"/>
  <c r="T47" i="271" s="1"/>
  <c r="V40" i="271"/>
  <c r="U40" i="271"/>
  <c r="T40" i="271"/>
  <c r="V30" i="271"/>
  <c r="U30" i="271"/>
  <c r="V23" i="271"/>
  <c r="U23" i="271"/>
  <c r="T23" i="271"/>
  <c r="V16" i="271"/>
  <c r="U16" i="271"/>
  <c r="T16" i="271"/>
  <c r="U8" i="271"/>
  <c r="T8" i="271"/>
  <c r="W10" i="269"/>
  <c r="W15" i="269"/>
  <c r="W20" i="269"/>
  <c r="W25" i="269"/>
  <c r="W30" i="269"/>
  <c r="X7" i="269"/>
  <c r="X8" i="269"/>
  <c r="X9" i="269"/>
  <c r="Z9" i="269"/>
  <c r="X12" i="269"/>
  <c r="X13" i="269"/>
  <c r="X14" i="269"/>
  <c r="Y14" i="269" s="1"/>
  <c r="T20" i="269"/>
  <c r="U20" i="269"/>
  <c r="V20" i="269"/>
  <c r="V25" i="269"/>
  <c r="X27" i="269"/>
  <c r="X28" i="269"/>
  <c r="X29" i="269"/>
  <c r="Z29" i="269" s="1"/>
  <c r="U10" i="269"/>
  <c r="U30" i="269"/>
  <c r="V10" i="269"/>
  <c r="V15" i="269"/>
  <c r="V30" i="269"/>
  <c r="T10" i="269"/>
  <c r="T15" i="269"/>
  <c r="T30" i="269"/>
  <c r="T32" i="269" s="1"/>
  <c r="X24" i="269"/>
  <c r="Z24" i="269"/>
  <c r="Y24" i="269"/>
  <c r="X23" i="269"/>
  <c r="Z23" i="269" s="1"/>
  <c r="Y23" i="269"/>
  <c r="X22" i="269"/>
  <c r="Y22" i="269"/>
  <c r="X19" i="269"/>
  <c r="X18" i="269"/>
  <c r="Z18" i="269"/>
  <c r="X17" i="269"/>
  <c r="Y17" i="269"/>
  <c r="C51" i="237"/>
  <c r="D51" i="237"/>
  <c r="B51" i="237"/>
  <c r="E50" i="237"/>
  <c r="E49" i="237"/>
  <c r="E48" i="237"/>
  <c r="E47" i="237"/>
  <c r="E46" i="237"/>
  <c r="E45" i="237"/>
  <c r="D11" i="236"/>
  <c r="E11" i="236"/>
  <c r="F11" i="236"/>
  <c r="G11" i="236"/>
  <c r="K8" i="230"/>
  <c r="I107" i="232"/>
  <c r="H107" i="232"/>
  <c r="E107" i="232"/>
  <c r="D107" i="232"/>
  <c r="C107" i="232"/>
  <c r="J105" i="232"/>
  <c r="F61" i="231"/>
  <c r="G61" i="231" s="1"/>
  <c r="F105" i="232"/>
  <c r="L105" i="232" s="1"/>
  <c r="J103" i="232"/>
  <c r="F60" i="231"/>
  <c r="G60" i="231" s="1"/>
  <c r="F103" i="232"/>
  <c r="L103" i="232" s="1"/>
  <c r="J101" i="232"/>
  <c r="F101" i="232"/>
  <c r="J99" i="232"/>
  <c r="F58" i="231" s="1"/>
  <c r="G58" i="231" s="1"/>
  <c r="F99" i="232"/>
  <c r="J97" i="232"/>
  <c r="F97" i="232"/>
  <c r="J95" i="232"/>
  <c r="F56" i="231" s="1"/>
  <c r="G56" i="231" s="1"/>
  <c r="F95" i="232"/>
  <c r="BB54" i="255"/>
  <c r="BB49" i="255"/>
  <c r="BB10" i="255"/>
  <c r="BB11" i="255"/>
  <c r="BB13" i="255"/>
  <c r="BB14" i="255"/>
  <c r="BB16" i="255"/>
  <c r="BB17" i="255"/>
  <c r="BB18" i="255"/>
  <c r="BB21" i="255"/>
  <c r="BB22" i="255"/>
  <c r="BB23" i="255"/>
  <c r="BB24" i="255"/>
  <c r="BB25" i="255"/>
  <c r="BB26" i="255"/>
  <c r="BB27" i="255"/>
  <c r="BB29" i="255"/>
  <c r="BB30" i="255"/>
  <c r="BB31" i="255"/>
  <c r="BB32" i="255"/>
  <c r="BB33" i="255"/>
  <c r="BB35" i="255"/>
  <c r="BB36" i="255"/>
  <c r="BB37" i="255"/>
  <c r="BB40" i="255"/>
  <c r="BB41" i="255"/>
  <c r="BB42" i="255"/>
  <c r="BB44" i="255"/>
  <c r="BB45" i="255"/>
  <c r="BB46" i="255"/>
  <c r="BB48" i="255"/>
  <c r="BB51" i="255"/>
  <c r="BB52" i="255"/>
  <c r="BB55" i="255" s="1"/>
  <c r="BB53" i="255"/>
  <c r="BB9" i="255"/>
  <c r="BB8" i="254"/>
  <c r="BB9" i="254"/>
  <c r="BB10" i="254"/>
  <c r="BB11" i="254"/>
  <c r="BB13" i="254"/>
  <c r="BB14" i="254"/>
  <c r="BB15" i="254"/>
  <c r="BB16" i="254"/>
  <c r="BB17" i="254"/>
  <c r="BB18" i="254"/>
  <c r="BB20" i="254"/>
  <c r="BB21" i="254"/>
  <c r="BB22" i="254"/>
  <c r="BB23" i="254"/>
  <c r="BB24" i="254"/>
  <c r="BB27" i="254"/>
  <c r="BB28" i="254"/>
  <c r="BB29" i="254"/>
  <c r="BB30" i="254"/>
  <c r="BB31" i="254"/>
  <c r="BB32" i="254"/>
  <c r="BB33" i="254"/>
  <c r="BB35" i="254"/>
  <c r="BB36" i="254"/>
  <c r="BB37" i="254"/>
  <c r="BB38" i="254"/>
  <c r="BB39" i="254"/>
  <c r="BB41" i="254"/>
  <c r="BB42" i="254"/>
  <c r="BB43" i="254"/>
  <c r="BB44" i="254"/>
  <c r="BB47" i="254"/>
  <c r="BB48" i="254"/>
  <c r="BB49" i="254"/>
  <c r="BB50" i="254"/>
  <c r="BB51" i="254"/>
  <c r="BB52" i="254"/>
  <c r="BB53" i="254"/>
  <c r="BB54" i="254"/>
  <c r="BB55" i="254"/>
  <c r="BB56" i="254"/>
  <c r="BB58" i="254"/>
  <c r="BB59" i="254"/>
  <c r="BB60" i="254"/>
  <c r="BB61" i="254"/>
  <c r="BB62" i="254"/>
  <c r="BB63" i="254"/>
  <c r="BB64" i="254"/>
  <c r="BB66" i="254"/>
  <c r="BB67" i="254"/>
  <c r="BB70" i="254"/>
  <c r="BB71" i="254"/>
  <c r="BB74" i="254"/>
  <c r="BB75" i="254"/>
  <c r="BB6" i="254"/>
  <c r="BB7" i="253"/>
  <c r="BB11" i="253" s="1"/>
  <c r="BB8" i="253"/>
  <c r="BB9" i="253"/>
  <c r="BB10" i="253"/>
  <c r="BB12" i="253"/>
  <c r="BB13" i="253"/>
  <c r="BB14" i="253"/>
  <c r="BB15" i="253"/>
  <c r="BB18" i="253"/>
  <c r="BB19" i="253"/>
  <c r="BB20" i="253"/>
  <c r="BB21" i="253"/>
  <c r="BB23" i="253"/>
  <c r="BB24" i="253"/>
  <c r="BB25" i="253"/>
  <c r="BB6" i="253"/>
  <c r="DJ251" i="252"/>
  <c r="DJ242" i="252"/>
  <c r="DJ229" i="252"/>
  <c r="DJ222" i="252"/>
  <c r="DJ217" i="252"/>
  <c r="DJ211" i="252"/>
  <c r="DJ207" i="252"/>
  <c r="DJ203" i="252"/>
  <c r="DJ197" i="252"/>
  <c r="DJ193" i="252"/>
  <c r="DJ188" i="252"/>
  <c r="DJ182" i="252"/>
  <c r="DJ177" i="252"/>
  <c r="DJ172" i="252"/>
  <c r="DJ163" i="252"/>
  <c r="DJ156" i="252"/>
  <c r="DJ151" i="252"/>
  <c r="DJ144" i="252"/>
  <c r="DJ137" i="252"/>
  <c r="DJ129" i="252"/>
  <c r="DJ124" i="252"/>
  <c r="DJ117" i="252"/>
  <c r="DJ111" i="252"/>
  <c r="DJ105" i="252"/>
  <c r="DJ100" i="252"/>
  <c r="DJ94" i="252"/>
  <c r="DJ90" i="252"/>
  <c r="DJ82" i="252"/>
  <c r="DJ78" i="252"/>
  <c r="DJ74" i="252"/>
  <c r="DJ69" i="252"/>
  <c r="DJ64" i="252"/>
  <c r="DJ57" i="252"/>
  <c r="DJ50" i="252"/>
  <c r="DJ42" i="252"/>
  <c r="DJ31" i="252"/>
  <c r="DJ26" i="252"/>
  <c r="DJ21" i="252"/>
  <c r="DJ8" i="252"/>
  <c r="CM338" i="251"/>
  <c r="CM328" i="251"/>
  <c r="CM322" i="251"/>
  <c r="CM307" i="251"/>
  <c r="CM299" i="251"/>
  <c r="CM293" i="251"/>
  <c r="CM287" i="251"/>
  <c r="CM280" i="251"/>
  <c r="CM276" i="251"/>
  <c r="CM270" i="251"/>
  <c r="CM264" i="251"/>
  <c r="CM260" i="251"/>
  <c r="CM255" i="251"/>
  <c r="CM247" i="251"/>
  <c r="CM243" i="251"/>
  <c r="CM239" i="251"/>
  <c r="CM231" i="251"/>
  <c r="CM229" i="251"/>
  <c r="CM227" i="251"/>
  <c r="CM221" i="251"/>
  <c r="CM214" i="251"/>
  <c r="CM211" i="251"/>
  <c r="CM206" i="251"/>
  <c r="CM197" i="251"/>
  <c r="CM190" i="251"/>
  <c r="CM186" i="251"/>
  <c r="CM182" i="251"/>
  <c r="CM176" i="251"/>
  <c r="CM171" i="251"/>
  <c r="CM163" i="251"/>
  <c r="CM159" i="251"/>
  <c r="CM153" i="251"/>
  <c r="CM146" i="251"/>
  <c r="CM138" i="251"/>
  <c r="CM133" i="251"/>
  <c r="CM128" i="251"/>
  <c r="CM123" i="251"/>
  <c r="CM116" i="251"/>
  <c r="CM105" i="251"/>
  <c r="CM99" i="251"/>
  <c r="CM90" i="251"/>
  <c r="CM81" i="251"/>
  <c r="CM68" i="251"/>
  <c r="CM65" i="251"/>
  <c r="CM44" i="251"/>
  <c r="CM36" i="251"/>
  <c r="CM29" i="251"/>
  <c r="CM23" i="251"/>
  <c r="CM17" i="251"/>
  <c r="CM12" i="251"/>
  <c r="CJ95" i="250"/>
  <c r="CJ79" i="250"/>
  <c r="CJ75" i="250"/>
  <c r="CJ71" i="250"/>
  <c r="CJ67" i="250"/>
  <c r="CJ59" i="250"/>
  <c r="CJ54" i="250"/>
  <c r="CJ52" i="250"/>
  <c r="CJ47" i="250"/>
  <c r="CJ41" i="250"/>
  <c r="CJ35" i="250"/>
  <c r="CJ28" i="250"/>
  <c r="CJ21" i="250"/>
  <c r="CJ18" i="250"/>
  <c r="CJ12" i="250"/>
  <c r="FB103" i="262"/>
  <c r="FB102" i="262"/>
  <c r="FB101" i="262"/>
  <c r="FB100" i="262"/>
  <c r="FB99" i="262"/>
  <c r="FB98" i="262"/>
  <c r="FB97" i="262"/>
  <c r="FB96" i="262"/>
  <c r="FB95" i="262"/>
  <c r="FB94" i="262"/>
  <c r="FB93" i="262"/>
  <c r="FB92" i="262"/>
  <c r="FB91" i="262"/>
  <c r="FB90" i="262"/>
  <c r="FB89" i="262"/>
  <c r="FB88" i="262"/>
  <c r="FB87" i="262"/>
  <c r="FB86" i="262"/>
  <c r="FB85" i="262"/>
  <c r="FB84" i="262"/>
  <c r="FB83" i="262"/>
  <c r="FB82" i="262"/>
  <c r="FB81" i="262"/>
  <c r="FB80" i="262"/>
  <c r="FB79" i="262"/>
  <c r="FB78" i="262"/>
  <c r="FB77" i="262"/>
  <c r="FB76" i="262"/>
  <c r="FB75" i="262"/>
  <c r="FB74" i="262"/>
  <c r="FB73" i="262"/>
  <c r="FB72" i="262"/>
  <c r="FB71" i="262"/>
  <c r="FB70" i="262"/>
  <c r="FB69" i="262"/>
  <c r="FB68" i="262"/>
  <c r="FB67" i="262"/>
  <c r="FB66" i="262"/>
  <c r="FB65" i="262"/>
  <c r="FB64" i="262"/>
  <c r="FB63" i="262"/>
  <c r="FB62" i="262"/>
  <c r="FB61" i="262"/>
  <c r="FB60" i="262"/>
  <c r="FB59" i="262"/>
  <c r="FB58" i="262"/>
  <c r="FB57" i="262"/>
  <c r="FB56" i="262"/>
  <c r="FB55" i="262"/>
  <c r="FB54" i="262"/>
  <c r="FB53" i="262"/>
  <c r="FB52" i="262"/>
  <c r="FB51" i="262"/>
  <c r="FB50" i="262"/>
  <c r="FB49" i="262"/>
  <c r="FB48" i="262"/>
  <c r="FB47" i="262"/>
  <c r="FB46" i="262"/>
  <c r="FB45" i="262"/>
  <c r="FB44" i="262"/>
  <c r="FB43" i="262"/>
  <c r="FB42" i="262"/>
  <c r="FB41" i="262"/>
  <c r="FB40" i="262"/>
  <c r="FB39" i="262"/>
  <c r="FB38" i="262"/>
  <c r="FB37" i="262"/>
  <c r="FB36" i="262"/>
  <c r="FB35" i="262"/>
  <c r="FB34" i="262"/>
  <c r="FB33" i="262"/>
  <c r="FB32" i="262"/>
  <c r="FB31" i="262"/>
  <c r="FB30" i="262"/>
  <c r="FB29" i="262"/>
  <c r="FB28" i="262"/>
  <c r="FB27" i="262"/>
  <c r="FB26" i="262"/>
  <c r="FB25" i="262"/>
  <c r="FB24" i="262"/>
  <c r="FB23" i="262"/>
  <c r="FB22" i="262"/>
  <c r="FB21" i="262"/>
  <c r="FB20" i="262"/>
  <c r="FB19" i="262"/>
  <c r="FB18" i="262"/>
  <c r="FB17" i="262"/>
  <c r="FB16" i="262"/>
  <c r="FB15" i="262"/>
  <c r="FB14" i="262"/>
  <c r="FB13" i="262"/>
  <c r="FB12" i="262"/>
  <c r="FB11" i="262"/>
  <c r="FB10" i="262"/>
  <c r="FB9" i="262"/>
  <c r="FB8" i="262"/>
  <c r="FB7" i="262"/>
  <c r="BR7" i="274"/>
  <c r="BR8" i="274"/>
  <c r="BR9" i="274"/>
  <c r="BR10" i="274"/>
  <c r="BR11" i="274"/>
  <c r="BR12" i="274"/>
  <c r="BR13" i="274"/>
  <c r="BR14" i="274"/>
  <c r="BR15" i="274"/>
  <c r="BR16" i="274"/>
  <c r="BR17" i="274"/>
  <c r="BR18" i="274"/>
  <c r="BR19" i="274"/>
  <c r="BR20" i="274"/>
  <c r="BR21" i="274"/>
  <c r="BR22" i="274"/>
  <c r="BR23" i="274"/>
  <c r="BR24" i="274"/>
  <c r="BR25" i="274"/>
  <c r="BR26" i="274"/>
  <c r="BR27" i="274"/>
  <c r="BR28" i="274"/>
  <c r="BR29" i="274"/>
  <c r="BR30" i="274"/>
  <c r="BR31" i="274"/>
  <c r="BR32" i="274"/>
  <c r="BR33" i="274"/>
  <c r="BR34" i="274"/>
  <c r="BR35" i="274"/>
  <c r="BR36" i="274"/>
  <c r="BR37" i="274"/>
  <c r="BR38" i="274"/>
  <c r="BR39" i="274"/>
  <c r="BR40" i="274"/>
  <c r="BR41" i="274"/>
  <c r="BR42" i="274"/>
  <c r="BR43" i="274"/>
  <c r="BR44" i="274"/>
  <c r="BR45" i="274"/>
  <c r="BR46" i="274"/>
  <c r="BR47" i="274"/>
  <c r="BR48" i="274"/>
  <c r="BR49" i="274"/>
  <c r="BR50" i="274"/>
  <c r="BR51" i="274"/>
  <c r="BR52" i="274"/>
  <c r="BR53" i="274"/>
  <c r="BR54" i="274"/>
  <c r="BR55" i="274"/>
  <c r="BR56" i="274"/>
  <c r="BR57" i="274"/>
  <c r="BR58" i="274"/>
  <c r="BR59" i="274"/>
  <c r="BR60" i="274"/>
  <c r="BR61" i="274"/>
  <c r="BR62" i="274"/>
  <c r="BR63" i="274"/>
  <c r="BR64" i="274"/>
  <c r="BR65" i="274"/>
  <c r="BR66" i="274"/>
  <c r="BR67" i="274"/>
  <c r="BR68" i="274"/>
  <c r="BR69" i="274"/>
  <c r="BR70" i="274"/>
  <c r="BR71" i="274"/>
  <c r="BR72" i="274"/>
  <c r="BR73" i="274"/>
  <c r="BR74" i="274"/>
  <c r="BR75" i="274"/>
  <c r="BR76" i="274"/>
  <c r="BR77" i="274"/>
  <c r="BR78" i="274"/>
  <c r="BR79" i="274"/>
  <c r="BR80" i="274"/>
  <c r="BR81" i="274"/>
  <c r="BR82" i="274"/>
  <c r="BR83" i="274"/>
  <c r="BR84" i="274"/>
  <c r="BR85" i="274"/>
  <c r="BR86" i="274"/>
  <c r="BR87" i="274"/>
  <c r="BR88" i="274"/>
  <c r="BR89" i="274"/>
  <c r="BR90" i="274"/>
  <c r="BR91" i="274"/>
  <c r="BR92" i="274"/>
  <c r="BR93" i="274"/>
  <c r="BR94" i="274"/>
  <c r="BR95" i="274"/>
  <c r="BR96" i="274"/>
  <c r="BR97" i="274"/>
  <c r="BR98" i="274"/>
  <c r="BR99" i="274"/>
  <c r="BR100" i="274"/>
  <c r="BR101" i="274"/>
  <c r="BR6" i="274"/>
  <c r="C11" i="227"/>
  <c r="C10" i="227"/>
  <c r="C298" i="238"/>
  <c r="B298" i="238"/>
  <c r="C266" i="238"/>
  <c r="B266" i="238"/>
  <c r="E266" i="238" s="1"/>
  <c r="G308" i="238"/>
  <c r="C326" i="238"/>
  <c r="H308" i="238"/>
  <c r="B326" i="238"/>
  <c r="E326" i="238" s="1"/>
  <c r="AG31" i="243"/>
  <c r="AH13" i="243"/>
  <c r="AJ81" i="214"/>
  <c r="AJ82" i="214"/>
  <c r="AJ84" i="214" s="1"/>
  <c r="AI28" i="243"/>
  <c r="AI27" i="243"/>
  <c r="AI26" i="243"/>
  <c r="AI25" i="243"/>
  <c r="AI24" i="243"/>
  <c r="AI23" i="243"/>
  <c r="AI22" i="243"/>
  <c r="AI21" i="243"/>
  <c r="AI20" i="243"/>
  <c r="AI19" i="243"/>
  <c r="AI18" i="243"/>
  <c r="AI17" i="243"/>
  <c r="AI16" i="243"/>
  <c r="AI15" i="243"/>
  <c r="AI14" i="243"/>
  <c r="AI13" i="243"/>
  <c r="AI12" i="243"/>
  <c r="AI11" i="243"/>
  <c r="AI10" i="243"/>
  <c r="AI8" i="243"/>
  <c r="AI7" i="243"/>
  <c r="AI6" i="243"/>
  <c r="Y8" i="271"/>
  <c r="Z8" i="271"/>
  <c r="X8" i="271"/>
  <c r="J8" i="230"/>
  <c r="H35" i="217"/>
  <c r="W43" i="272"/>
  <c r="E18" i="229"/>
  <c r="E19" i="229" s="1"/>
  <c r="C18" i="229"/>
  <c r="F17" i="229"/>
  <c r="D17" i="229"/>
  <c r="F16" i="229"/>
  <c r="D16" i="229"/>
  <c r="F15" i="229"/>
  <c r="F14" i="229"/>
  <c r="G14" i="229" s="1"/>
  <c r="D15" i="229"/>
  <c r="D14" i="229"/>
  <c r="F13" i="229"/>
  <c r="D13" i="229"/>
  <c r="F12" i="229"/>
  <c r="C11" i="229"/>
  <c r="D12" i="229"/>
  <c r="F10" i="229"/>
  <c r="G10" i="229" s="1"/>
  <c r="D10" i="229"/>
  <c r="F9" i="229"/>
  <c r="D9" i="229"/>
  <c r="F8" i="229"/>
  <c r="F7" i="229"/>
  <c r="D8" i="229"/>
  <c r="D7" i="229"/>
  <c r="F6" i="229"/>
  <c r="G7" i="229" s="1"/>
  <c r="AJ84" i="220"/>
  <c r="AI84" i="261"/>
  <c r="AK84" i="261" s="1"/>
  <c r="AK84" i="221"/>
  <c r="AL84" i="221"/>
  <c r="AJ84" i="221"/>
  <c r="AL82" i="221"/>
  <c r="AL81" i="221"/>
  <c r="AL80" i="221"/>
  <c r="AL79" i="221"/>
  <c r="AL78" i="221"/>
  <c r="AL77" i="221"/>
  <c r="AL76" i="221"/>
  <c r="AL75" i="221"/>
  <c r="AL74" i="221"/>
  <c r="AL73" i="221"/>
  <c r="AL72" i="221"/>
  <c r="AL71" i="221"/>
  <c r="AL70" i="221"/>
  <c r="AL69" i="221"/>
  <c r="AL68" i="221"/>
  <c r="AL67" i="221"/>
  <c r="AL66" i="221"/>
  <c r="AL65" i="221"/>
  <c r="AL64" i="221"/>
  <c r="AL61" i="221"/>
  <c r="AL59" i="221"/>
  <c r="AL58" i="221"/>
  <c r="AL57" i="221"/>
  <c r="AL56" i="221"/>
  <c r="AL55" i="221"/>
  <c r="AL53" i="221"/>
  <c r="AL52" i="221"/>
  <c r="AL51" i="221"/>
  <c r="AL50" i="221"/>
  <c r="AL49" i="221"/>
  <c r="AL48" i="221"/>
  <c r="AL47" i="221"/>
  <c r="AL46" i="221"/>
  <c r="AL45" i="221"/>
  <c r="AL44" i="221"/>
  <c r="AL43" i="221"/>
  <c r="AL42" i="221"/>
  <c r="AL41" i="221"/>
  <c r="AL40" i="221"/>
  <c r="AL39" i="221"/>
  <c r="AL38" i="221"/>
  <c r="AL37" i="221"/>
  <c r="AL36" i="221"/>
  <c r="AL35" i="221"/>
  <c r="AL34" i="221"/>
  <c r="AL33" i="221"/>
  <c r="AL32" i="221"/>
  <c r="AL31" i="221"/>
  <c r="AL30" i="221"/>
  <c r="AL29" i="221"/>
  <c r="AL28" i="221"/>
  <c r="AL27" i="221"/>
  <c r="AL26" i="221"/>
  <c r="AL25" i="221"/>
  <c r="AL24" i="221"/>
  <c r="AL23" i="221"/>
  <c r="AL22" i="221"/>
  <c r="AL21" i="221"/>
  <c r="AL20" i="221"/>
  <c r="AL19" i="221"/>
  <c r="AL18" i="221"/>
  <c r="AL17" i="221"/>
  <c r="AL16" i="221"/>
  <c r="AL15" i="221"/>
  <c r="AL14" i="221"/>
  <c r="AL13" i="221"/>
  <c r="AL12" i="221"/>
  <c r="AL11" i="221"/>
  <c r="AL10" i="221"/>
  <c r="AL9" i="221"/>
  <c r="AL8" i="221"/>
  <c r="AL7" i="221"/>
  <c r="AL6" i="221"/>
  <c r="AL5" i="221"/>
  <c r="AH43" i="234"/>
  <c r="AI43" i="234"/>
  <c r="AK43" i="234" s="1"/>
  <c r="AJ43" i="234"/>
  <c r="AG43" i="234"/>
  <c r="AK41" i="234"/>
  <c r="AK39" i="234"/>
  <c r="AK38" i="234"/>
  <c r="AK37" i="234"/>
  <c r="AK36" i="234"/>
  <c r="AK35" i="234"/>
  <c r="AK34" i="234"/>
  <c r="AK32" i="234"/>
  <c r="AK31" i="234"/>
  <c r="AK30" i="234"/>
  <c r="AK29" i="234"/>
  <c r="AK28" i="234"/>
  <c r="AK27" i="234"/>
  <c r="AK25" i="234"/>
  <c r="AK24" i="234"/>
  <c r="AK23" i="234"/>
  <c r="AK22" i="234"/>
  <c r="AK21" i="234"/>
  <c r="AK20" i="234"/>
  <c r="AK18" i="234"/>
  <c r="AK17" i="234"/>
  <c r="AK16" i="234"/>
  <c r="AK15" i="234"/>
  <c r="AK14" i="234"/>
  <c r="AK13" i="234"/>
  <c r="AK11" i="234"/>
  <c r="AK10" i="234"/>
  <c r="AK9" i="234"/>
  <c r="AK8" i="234"/>
  <c r="AK7" i="234"/>
  <c r="AK6" i="234"/>
  <c r="Y43" i="233"/>
  <c r="X43" i="233"/>
  <c r="Z6" i="233"/>
  <c r="Z7" i="233"/>
  <c r="Z8" i="233"/>
  <c r="Z9" i="233"/>
  <c r="Z10" i="233"/>
  <c r="Z11" i="233"/>
  <c r="Z13" i="233"/>
  <c r="Z14" i="233"/>
  <c r="Z15" i="233"/>
  <c r="Z16" i="233"/>
  <c r="Z17" i="233"/>
  <c r="Z18" i="233"/>
  <c r="Z20" i="233"/>
  <c r="Z21" i="233"/>
  <c r="Z22" i="233"/>
  <c r="Z23" i="233"/>
  <c r="Z24" i="233"/>
  <c r="Z25" i="233"/>
  <c r="Z27" i="233"/>
  <c r="Z28" i="233"/>
  <c r="Z29" i="233"/>
  <c r="Z30" i="233"/>
  <c r="Z31" i="233"/>
  <c r="Z32" i="233"/>
  <c r="Z34" i="233"/>
  <c r="Z35" i="233"/>
  <c r="Z36" i="233"/>
  <c r="Z37" i="233"/>
  <c r="Z38" i="233"/>
  <c r="Z39" i="233"/>
  <c r="Z41" i="233"/>
  <c r="Z30" i="271"/>
  <c r="Y30" i="271"/>
  <c r="BY103" i="267"/>
  <c r="BY105" i="267" s="1"/>
  <c r="N532" i="213"/>
  <c r="M532" i="213"/>
  <c r="O531" i="213"/>
  <c r="O530" i="213"/>
  <c r="O529" i="213"/>
  <c r="O528" i="213"/>
  <c r="O527" i="213"/>
  <c r="O526" i="213"/>
  <c r="O525" i="213"/>
  <c r="O524" i="213"/>
  <c r="O523" i="213"/>
  <c r="O522" i="213"/>
  <c r="O521" i="213"/>
  <c r="O520" i="213"/>
  <c r="O519" i="213"/>
  <c r="O518" i="213"/>
  <c r="O517" i="213"/>
  <c r="O516" i="213"/>
  <c r="O515" i="213"/>
  <c r="O514" i="213"/>
  <c r="O513" i="213"/>
  <c r="O512" i="213"/>
  <c r="O511" i="213"/>
  <c r="O510" i="213"/>
  <c r="O509" i="213"/>
  <c r="O508" i="213"/>
  <c r="O507" i="213"/>
  <c r="O506" i="213"/>
  <c r="O505" i="213"/>
  <c r="O504" i="213"/>
  <c r="O503" i="213"/>
  <c r="O502" i="213"/>
  <c r="O501" i="213"/>
  <c r="O500" i="213"/>
  <c r="O499" i="213"/>
  <c r="O498" i="213"/>
  <c r="O497" i="213"/>
  <c r="O496" i="213"/>
  <c r="O495" i="213"/>
  <c r="O494" i="213"/>
  <c r="O493" i="213"/>
  <c r="O492" i="213"/>
  <c r="O491" i="213"/>
  <c r="O490" i="213"/>
  <c r="O489" i="213"/>
  <c r="O488" i="213"/>
  <c r="O487" i="213"/>
  <c r="O486" i="213"/>
  <c r="O485" i="213"/>
  <c r="O484" i="213"/>
  <c r="O483" i="213"/>
  <c r="O482" i="213"/>
  <c r="O481" i="213"/>
  <c r="O480" i="213"/>
  <c r="O479" i="213"/>
  <c r="O478" i="213"/>
  <c r="O477" i="213"/>
  <c r="O476" i="213"/>
  <c r="O475" i="213"/>
  <c r="O474" i="213"/>
  <c r="O473" i="213"/>
  <c r="O472" i="213"/>
  <c r="O471" i="213"/>
  <c r="O470" i="213"/>
  <c r="O469" i="213"/>
  <c r="O468" i="213"/>
  <c r="O467" i="213"/>
  <c r="O466" i="213"/>
  <c r="O465" i="213"/>
  <c r="O464" i="213"/>
  <c r="O463" i="213"/>
  <c r="O462" i="213"/>
  <c r="O461" i="213"/>
  <c r="O460" i="213"/>
  <c r="O459" i="213"/>
  <c r="O458" i="213"/>
  <c r="O457" i="213"/>
  <c r="O456" i="213"/>
  <c r="O455" i="213"/>
  <c r="O454" i="213"/>
  <c r="O453" i="213"/>
  <c r="O452" i="213"/>
  <c r="O451" i="213"/>
  <c r="O450" i="213"/>
  <c r="O449" i="213"/>
  <c r="O448" i="213"/>
  <c r="O447" i="213"/>
  <c r="O446" i="213"/>
  <c r="O445" i="213"/>
  <c r="O444" i="213"/>
  <c r="O443" i="213"/>
  <c r="O442" i="213"/>
  <c r="O441" i="213"/>
  <c r="O440" i="213"/>
  <c r="O439" i="213"/>
  <c r="O438" i="213"/>
  <c r="O437" i="213"/>
  <c r="O436" i="213"/>
  <c r="O435" i="213"/>
  <c r="O434" i="213"/>
  <c r="O433" i="213"/>
  <c r="O432" i="213"/>
  <c r="O431" i="213"/>
  <c r="O430" i="213"/>
  <c r="O429" i="213"/>
  <c r="O428" i="213"/>
  <c r="O427" i="213"/>
  <c r="O426" i="213"/>
  <c r="O425" i="213"/>
  <c r="O424" i="213"/>
  <c r="O423" i="213"/>
  <c r="O422" i="213"/>
  <c r="O421" i="213"/>
  <c r="O420" i="213"/>
  <c r="O419" i="213"/>
  <c r="O418" i="213"/>
  <c r="O417" i="213"/>
  <c r="O416" i="213"/>
  <c r="O415" i="213"/>
  <c r="O414" i="213"/>
  <c r="O413" i="213"/>
  <c r="O412" i="213"/>
  <c r="O411" i="213"/>
  <c r="O410" i="213"/>
  <c r="O409" i="213"/>
  <c r="O408" i="213"/>
  <c r="O407" i="213"/>
  <c r="O406" i="213"/>
  <c r="O405" i="213"/>
  <c r="O404" i="213"/>
  <c r="O403" i="213"/>
  <c r="O402" i="213"/>
  <c r="O401" i="213"/>
  <c r="O400" i="213"/>
  <c r="O399" i="213"/>
  <c r="O398" i="213"/>
  <c r="O397" i="213"/>
  <c r="O396" i="213"/>
  <c r="O395" i="213"/>
  <c r="O394" i="213"/>
  <c r="O393" i="213"/>
  <c r="O392" i="213"/>
  <c r="O391" i="213"/>
  <c r="O390" i="213"/>
  <c r="J386" i="213"/>
  <c r="K386" i="213" s="1"/>
  <c r="K385" i="213"/>
  <c r="K384" i="213"/>
  <c r="K383" i="213"/>
  <c r="K382" i="213"/>
  <c r="N403" i="212"/>
  <c r="M403" i="212"/>
  <c r="L403" i="212"/>
  <c r="O402" i="212"/>
  <c r="O401" i="212"/>
  <c r="O400" i="212"/>
  <c r="O399" i="212"/>
  <c r="O398" i="212"/>
  <c r="O397" i="212"/>
  <c r="O396" i="212"/>
  <c r="O382" i="212"/>
  <c r="O381" i="212"/>
  <c r="O380" i="212"/>
  <c r="O379" i="212"/>
  <c r="O378" i="212"/>
  <c r="O377" i="212"/>
  <c r="O376" i="212"/>
  <c r="O375" i="212"/>
  <c r="O374" i="212"/>
  <c r="O373" i="212"/>
  <c r="O372" i="212"/>
  <c r="O371" i="212"/>
  <c r="O369" i="212"/>
  <c r="O368" i="212"/>
  <c r="O366" i="212"/>
  <c r="O365" i="212"/>
  <c r="O364" i="212"/>
  <c r="O363" i="212"/>
  <c r="O362" i="212"/>
  <c r="O361" i="212"/>
  <c r="O360" i="212"/>
  <c r="O359" i="212"/>
  <c r="O358" i="212"/>
  <c r="O357" i="212"/>
  <c r="O356" i="212"/>
  <c r="O355" i="212"/>
  <c r="O354" i="212"/>
  <c r="O353" i="212"/>
  <c r="O352" i="212"/>
  <c r="O351" i="212"/>
  <c r="O350" i="212"/>
  <c r="O349" i="212"/>
  <c r="O347" i="212"/>
  <c r="O346" i="212"/>
  <c r="O345" i="212"/>
  <c r="O344" i="212"/>
  <c r="O343" i="212"/>
  <c r="O342" i="212"/>
  <c r="O340" i="212"/>
  <c r="O339" i="212"/>
  <c r="O337" i="212"/>
  <c r="O336" i="212"/>
  <c r="O335" i="212"/>
  <c r="O334" i="212"/>
  <c r="O333" i="212"/>
  <c r="O332" i="212"/>
  <c r="O331" i="212"/>
  <c r="O330" i="212"/>
  <c r="O329" i="212"/>
  <c r="K14" i="273"/>
  <c r="K23" i="273"/>
  <c r="K8" i="273"/>
  <c r="Y16" i="271"/>
  <c r="Z16" i="271"/>
  <c r="X16" i="271"/>
  <c r="Y23" i="271"/>
  <c r="Z23" i="271"/>
  <c r="X23" i="271"/>
  <c r="K19" i="273"/>
  <c r="K28" i="273"/>
  <c r="D61" i="237"/>
  <c r="C61" i="237"/>
  <c r="B61" i="237"/>
  <c r="E60" i="237"/>
  <c r="E59" i="237"/>
  <c r="E58" i="237"/>
  <c r="E57" i="237"/>
  <c r="E56" i="237"/>
  <c r="E55" i="237"/>
  <c r="E72" i="231"/>
  <c r="F74" i="231"/>
  <c r="D74" i="231"/>
  <c r="C74" i="231"/>
  <c r="B74" i="231"/>
  <c r="G74" i="231" s="1"/>
  <c r="G73" i="231"/>
  <c r="E73" i="231"/>
  <c r="G72" i="231"/>
  <c r="G71" i="231"/>
  <c r="E71" i="231"/>
  <c r="G70" i="231"/>
  <c r="E70" i="231"/>
  <c r="G69" i="231"/>
  <c r="E69" i="231"/>
  <c r="G68" i="231"/>
  <c r="E68" i="231"/>
  <c r="Y44" i="271"/>
  <c r="Y45" i="271"/>
  <c r="Y46" i="271"/>
  <c r="Y47" i="271" s="1"/>
  <c r="Z46" i="271"/>
  <c r="X46" i="271"/>
  <c r="Z45" i="271"/>
  <c r="X45" i="271"/>
  <c r="Z44" i="271"/>
  <c r="X44" i="271"/>
  <c r="Y40" i="271"/>
  <c r="Z40" i="271"/>
  <c r="X40" i="271"/>
  <c r="AO31" i="235"/>
  <c r="AP31" i="235" s="1"/>
  <c r="AN31" i="235"/>
  <c r="AO30" i="235"/>
  <c r="AN30" i="235"/>
  <c r="AO29" i="235"/>
  <c r="AN29" i="235"/>
  <c r="AP27" i="235"/>
  <c r="AP23" i="235"/>
  <c r="AP22" i="235"/>
  <c r="AP21" i="235"/>
  <c r="AP19" i="235"/>
  <c r="AP18" i="235"/>
  <c r="AP17" i="235"/>
  <c r="AP15" i="235"/>
  <c r="AP14" i="235"/>
  <c r="AP13" i="235"/>
  <c r="AP11" i="235"/>
  <c r="AP10" i="235"/>
  <c r="AP9" i="235"/>
  <c r="AP7" i="235"/>
  <c r="AP6" i="235"/>
  <c r="AP5" i="235"/>
  <c r="Y7" i="272"/>
  <c r="Y8" i="272"/>
  <c r="Y9" i="272"/>
  <c r="Y10" i="272"/>
  <c r="Y13" i="272"/>
  <c r="Y14" i="272"/>
  <c r="Y15" i="272"/>
  <c r="Y16" i="272"/>
  <c r="Y17" i="272"/>
  <c r="Y18" i="272"/>
  <c r="Y20" i="272"/>
  <c r="Y21" i="272"/>
  <c r="Y22" i="272"/>
  <c r="Y23" i="272"/>
  <c r="Y24" i="272"/>
  <c r="Y27" i="272"/>
  <c r="Y28" i="272"/>
  <c r="Y29" i="272"/>
  <c r="Y30" i="272"/>
  <c r="Y31" i="272"/>
  <c r="Y34" i="272"/>
  <c r="Y35" i="272"/>
  <c r="Y36" i="272"/>
  <c r="Y37" i="272"/>
  <c r="Y38" i="272"/>
  <c r="Y41" i="272"/>
  <c r="Y43" i="272"/>
  <c r="Y6" i="272"/>
  <c r="Y32" i="272"/>
  <c r="Y25" i="272"/>
  <c r="Y39" i="272"/>
  <c r="Y11" i="272"/>
  <c r="O30" i="269"/>
  <c r="N30" i="269"/>
  <c r="M30" i="269"/>
  <c r="L30" i="269"/>
  <c r="P29" i="269"/>
  <c r="R29" i="269" s="1"/>
  <c r="P28" i="269"/>
  <c r="Q28" i="269"/>
  <c r="P27" i="269"/>
  <c r="O25" i="269"/>
  <c r="N25" i="269"/>
  <c r="P25" i="269"/>
  <c r="P24" i="269"/>
  <c r="R24" i="269" s="1"/>
  <c r="P23" i="269"/>
  <c r="P22" i="269"/>
  <c r="O20" i="269"/>
  <c r="N20" i="269"/>
  <c r="M20" i="269"/>
  <c r="L20" i="269"/>
  <c r="P20" i="269" s="1"/>
  <c r="P19" i="269"/>
  <c r="P18" i="269"/>
  <c r="P17" i="269"/>
  <c r="O15" i="269"/>
  <c r="N15" i="269"/>
  <c r="L15" i="269"/>
  <c r="P14" i="269"/>
  <c r="P12" i="269"/>
  <c r="P13" i="269"/>
  <c r="O10" i="269"/>
  <c r="N10" i="269"/>
  <c r="M10" i="269"/>
  <c r="L10" i="269"/>
  <c r="P9" i="269"/>
  <c r="P8" i="269"/>
  <c r="R8" i="269" s="1"/>
  <c r="P7" i="269"/>
  <c r="Q24" i="269"/>
  <c r="R28" i="269"/>
  <c r="AK81" i="220"/>
  <c r="AL81" i="220" s="1"/>
  <c r="AK76" i="220"/>
  <c r="AL76" i="220" s="1"/>
  <c r="AK71" i="220"/>
  <c r="AK82" i="220" s="1"/>
  <c r="AL82" i="220" s="1"/>
  <c r="AK65" i="220"/>
  <c r="AL65" i="220" s="1"/>
  <c r="AK61" i="220"/>
  <c r="AL61" i="220" s="1"/>
  <c r="AK57" i="220"/>
  <c r="AL57" i="220" s="1"/>
  <c r="AK52" i="220"/>
  <c r="AL52" i="220"/>
  <c r="AK47" i="220"/>
  <c r="AL47" i="220"/>
  <c r="AK41" i="220"/>
  <c r="AL41" i="220" s="1"/>
  <c r="AK34" i="220"/>
  <c r="AL34" i="220" s="1"/>
  <c r="AK30" i="220"/>
  <c r="AL30" i="220" s="1"/>
  <c r="AK26" i="220"/>
  <c r="AL26" i="220" s="1"/>
  <c r="AK21" i="220"/>
  <c r="AL21" i="220" s="1"/>
  <c r="AK16" i="220"/>
  <c r="AL16" i="220" s="1"/>
  <c r="AK10" i="220"/>
  <c r="AL10" i="220" s="1"/>
  <c r="AL80" i="220"/>
  <c r="AL79" i="220"/>
  <c r="AL78" i="220"/>
  <c r="AL77" i="220"/>
  <c r="AL75" i="220"/>
  <c r="AL74" i="220"/>
  <c r="AL73" i="220"/>
  <c r="AL72" i="220"/>
  <c r="AL70" i="220"/>
  <c r="AL69" i="220"/>
  <c r="AL68" i="220"/>
  <c r="AL67" i="220"/>
  <c r="AL64" i="220"/>
  <c r="AL59" i="220"/>
  <c r="AL58" i="220"/>
  <c r="AL56" i="220"/>
  <c r="AL55" i="220"/>
  <c r="AL51" i="220"/>
  <c r="AL50" i="220"/>
  <c r="AL49" i="220"/>
  <c r="AL48" i="220"/>
  <c r="AL46" i="220"/>
  <c r="AL45" i="220"/>
  <c r="AL44" i="220"/>
  <c r="AL43" i="220"/>
  <c r="AL42" i="220"/>
  <c r="AL40" i="220"/>
  <c r="AL39" i="220"/>
  <c r="AL38" i="220"/>
  <c r="AL37" i="220"/>
  <c r="AL36" i="220"/>
  <c r="AL33" i="220"/>
  <c r="AL32" i="220"/>
  <c r="AL31" i="220"/>
  <c r="AL29" i="220"/>
  <c r="AL28" i="220"/>
  <c r="AL27" i="220"/>
  <c r="AL25" i="220"/>
  <c r="AL24" i="220"/>
  <c r="AL23" i="220"/>
  <c r="AL20" i="220"/>
  <c r="AL19" i="220"/>
  <c r="AL18" i="220"/>
  <c r="AL17" i="220"/>
  <c r="AL15" i="220"/>
  <c r="AL14" i="220"/>
  <c r="AL13" i="220"/>
  <c r="AL12" i="220"/>
  <c r="AL11" i="220"/>
  <c r="AL9" i="220"/>
  <c r="AL8" i="220"/>
  <c r="AL7" i="220"/>
  <c r="AL6" i="220"/>
  <c r="AL5" i="220"/>
  <c r="AK81" i="261"/>
  <c r="AK80" i="261"/>
  <c r="AK79" i="261"/>
  <c r="AK78" i="261"/>
  <c r="AK77" i="261"/>
  <c r="AK75" i="261"/>
  <c r="AK74" i="261"/>
  <c r="AK73" i="261"/>
  <c r="AK72" i="261"/>
  <c r="AK71" i="261"/>
  <c r="AK70" i="261"/>
  <c r="AK69" i="261"/>
  <c r="AK68" i="261"/>
  <c r="AK67" i="261"/>
  <c r="AK65" i="261"/>
  <c r="AK64" i="261"/>
  <c r="AK61" i="261"/>
  <c r="AK59" i="261"/>
  <c r="AK58" i="261"/>
  <c r="AK66" i="261"/>
  <c r="AK56" i="261"/>
  <c r="AK55" i="261"/>
  <c r="AK52" i="261"/>
  <c r="AK51" i="261"/>
  <c r="AK50" i="261"/>
  <c r="AK49" i="261"/>
  <c r="AK48" i="261"/>
  <c r="AK47" i="261"/>
  <c r="AK46" i="261"/>
  <c r="AK45" i="261"/>
  <c r="AK44" i="261"/>
  <c r="AK43" i="261"/>
  <c r="AK42" i="261"/>
  <c r="AK41" i="261"/>
  <c r="AK40" i="261"/>
  <c r="AK39" i="261"/>
  <c r="AK38" i="261"/>
  <c r="AK37" i="261"/>
  <c r="AK36" i="261"/>
  <c r="AK34" i="261"/>
  <c r="AK33" i="261"/>
  <c r="AK32" i="261"/>
  <c r="AK31" i="261"/>
  <c r="AK30" i="261"/>
  <c r="AK35" i="261"/>
  <c r="AK29" i="261"/>
  <c r="AK28" i="261"/>
  <c r="AK27" i="261"/>
  <c r="AK26" i="261"/>
  <c r="AK25" i="261"/>
  <c r="AK24" i="261"/>
  <c r="AK23" i="261"/>
  <c r="AK21" i="261"/>
  <c r="AK20" i="261"/>
  <c r="AK19" i="261"/>
  <c r="AK18" i="261"/>
  <c r="AK17" i="261"/>
  <c r="AK16" i="261"/>
  <c r="AK15" i="261"/>
  <c r="AK14" i="261"/>
  <c r="AK13" i="261"/>
  <c r="AK12" i="261"/>
  <c r="AK11" i="261"/>
  <c r="AK10" i="261"/>
  <c r="AK9" i="261"/>
  <c r="AK8" i="261"/>
  <c r="AK7" i="261"/>
  <c r="AK6" i="261"/>
  <c r="AK5" i="261"/>
  <c r="AL80" i="214"/>
  <c r="AL79" i="214"/>
  <c r="AL78" i="214"/>
  <c r="AL77" i="214"/>
  <c r="AL75" i="214"/>
  <c r="AL74" i="214"/>
  <c r="AL73" i="214"/>
  <c r="AL72" i="214"/>
  <c r="AL70" i="214"/>
  <c r="AL69" i="214"/>
  <c r="AL68" i="214"/>
  <c r="AL67" i="214"/>
  <c r="AL64" i="214"/>
  <c r="AL63" i="214"/>
  <c r="AL62" i="214"/>
  <c r="AL60" i="214"/>
  <c r="AL59" i="214"/>
  <c r="AL58" i="214"/>
  <c r="AL56" i="214"/>
  <c r="AL55" i="214"/>
  <c r="AL54" i="214"/>
  <c r="AL51" i="214"/>
  <c r="AL50" i="214"/>
  <c r="AL49" i="214"/>
  <c r="AL48" i="214"/>
  <c r="AL46" i="214"/>
  <c r="AL45" i="214"/>
  <c r="AL44" i="214"/>
  <c r="AL43" i="214"/>
  <c r="AL42" i="214"/>
  <c r="AL40" i="214"/>
  <c r="AL39" i="214"/>
  <c r="AL38" i="214"/>
  <c r="AL37" i="214"/>
  <c r="AL36" i="214"/>
  <c r="AL33" i="214"/>
  <c r="AL32" i="214"/>
  <c r="AL31" i="214"/>
  <c r="AL29" i="214"/>
  <c r="AL28" i="214"/>
  <c r="AL27" i="214"/>
  <c r="AL25" i="214"/>
  <c r="AL24" i="214"/>
  <c r="AL23" i="214"/>
  <c r="AL20" i="214"/>
  <c r="AL19" i="214"/>
  <c r="AL18" i="214"/>
  <c r="AL17" i="214"/>
  <c r="AL15" i="214"/>
  <c r="AL14" i="214"/>
  <c r="AL13" i="214"/>
  <c r="AL12" i="214"/>
  <c r="AL11" i="214"/>
  <c r="AL9" i="214"/>
  <c r="AL8" i="214"/>
  <c r="AL7" i="214"/>
  <c r="AL6" i="214"/>
  <c r="AL5" i="214"/>
  <c r="AK81" i="214"/>
  <c r="AK76" i="214"/>
  <c r="AL76" i="214" s="1"/>
  <c r="AK71" i="214"/>
  <c r="AL71" i="214" s="1"/>
  <c r="AK65" i="214"/>
  <c r="AL65" i="214"/>
  <c r="AK61" i="214"/>
  <c r="AL61" i="214"/>
  <c r="AK57" i="214"/>
  <c r="AK66" i="214" s="1"/>
  <c r="AL66" i="214" s="1"/>
  <c r="AK52" i="214"/>
  <c r="AL52" i="214" s="1"/>
  <c r="AK47" i="214"/>
  <c r="AK41" i="214"/>
  <c r="AK34" i="214"/>
  <c r="AL34" i="214" s="1"/>
  <c r="AK30" i="214"/>
  <c r="AL30" i="214" s="1"/>
  <c r="AK26" i="214"/>
  <c r="AL26" i="214" s="1"/>
  <c r="AL21" i="214"/>
  <c r="AK16" i="214"/>
  <c r="AK10" i="214"/>
  <c r="AL10" i="214" s="1"/>
  <c r="AK53" i="261"/>
  <c r="AK76" i="261"/>
  <c r="AK82" i="261"/>
  <c r="AK57" i="261"/>
  <c r="I128" i="232"/>
  <c r="H128" i="232"/>
  <c r="E128" i="232"/>
  <c r="D128" i="232"/>
  <c r="C128" i="232"/>
  <c r="J126" i="232"/>
  <c r="F126" i="232"/>
  <c r="L126" i="232" s="1"/>
  <c r="J124" i="232"/>
  <c r="F124" i="232"/>
  <c r="J122" i="232"/>
  <c r="F122" i="232"/>
  <c r="J120" i="232"/>
  <c r="F120" i="232"/>
  <c r="J118" i="232"/>
  <c r="F118" i="232"/>
  <c r="L118" i="232" s="1"/>
  <c r="J116" i="232"/>
  <c r="F116" i="232"/>
  <c r="AK22" i="261"/>
  <c r="BN84" i="216"/>
  <c r="BN82" i="216"/>
  <c r="BN81" i="216"/>
  <c r="BN79" i="216"/>
  <c r="BN77" i="216"/>
  <c r="BN76" i="216"/>
  <c r="BN75" i="216"/>
  <c r="BN74" i="216"/>
  <c r="BN73" i="216"/>
  <c r="BN72" i="216"/>
  <c r="BN71" i="216"/>
  <c r="BN70" i="216"/>
  <c r="BN69" i="216"/>
  <c r="BN68" i="216"/>
  <c r="BN67" i="216"/>
  <c r="BN66" i="216"/>
  <c r="BN65" i="216"/>
  <c r="BN64" i="216"/>
  <c r="BN63" i="216"/>
  <c r="BN62" i="216"/>
  <c r="BN61" i="216"/>
  <c r="BN60" i="216"/>
  <c r="BN59" i="216"/>
  <c r="BN58" i="216"/>
  <c r="BN57" i="216"/>
  <c r="BN55" i="216"/>
  <c r="BN53" i="216"/>
  <c r="BN52" i="216"/>
  <c r="BN51" i="216"/>
  <c r="BN49" i="216"/>
  <c r="BN47" i="216"/>
  <c r="BN46" i="216"/>
  <c r="BN45" i="216"/>
  <c r="BN44" i="216"/>
  <c r="BN43" i="216"/>
  <c r="BN42" i="216"/>
  <c r="BN41" i="216"/>
  <c r="BN40" i="216"/>
  <c r="BN39" i="216"/>
  <c r="BN38" i="216"/>
  <c r="BN37" i="216"/>
  <c r="BN35" i="216"/>
  <c r="BN34" i="216"/>
  <c r="BN33" i="216"/>
  <c r="BN32" i="216"/>
  <c r="BN31" i="216"/>
  <c r="BN30" i="216"/>
  <c r="BN29" i="216"/>
  <c r="BN28" i="216"/>
  <c r="BN27" i="216"/>
  <c r="BN26" i="216"/>
  <c r="BN25" i="216"/>
  <c r="BN24" i="216"/>
  <c r="BN23" i="216"/>
  <c r="BN22" i="216"/>
  <c r="BN21" i="216"/>
  <c r="BN20" i="216"/>
  <c r="BN19" i="216"/>
  <c r="BN18" i="216"/>
  <c r="BN17" i="216"/>
  <c r="BN16" i="216"/>
  <c r="BN15" i="216"/>
  <c r="BN14" i="216"/>
  <c r="BN13" i="216"/>
  <c r="BN12" i="216"/>
  <c r="BN11" i="216"/>
  <c r="BN10" i="216"/>
  <c r="BN9" i="216"/>
  <c r="BN8" i="216"/>
  <c r="BN7" i="216"/>
  <c r="BN6" i="216"/>
  <c r="BN5" i="216"/>
  <c r="J84" i="215"/>
  <c r="J82" i="215"/>
  <c r="J81" i="215"/>
  <c r="J80" i="215"/>
  <c r="J79" i="215"/>
  <c r="J78" i="215"/>
  <c r="J77" i="215"/>
  <c r="J76" i="215"/>
  <c r="J75" i="215"/>
  <c r="J74" i="215"/>
  <c r="J73" i="215"/>
  <c r="J72" i="215"/>
  <c r="J71" i="215"/>
  <c r="J70" i="215"/>
  <c r="J69" i="215"/>
  <c r="J68" i="215"/>
  <c r="J67" i="215"/>
  <c r="J66" i="215"/>
  <c r="J63" i="215"/>
  <c r="J62" i="215"/>
  <c r="J60" i="215"/>
  <c r="J59" i="215"/>
  <c r="J58" i="215"/>
  <c r="J57" i="215"/>
  <c r="J56" i="215"/>
  <c r="J55" i="215"/>
  <c r="J54" i="215"/>
  <c r="J53" i="215"/>
  <c r="J52" i="215"/>
  <c r="J51" i="215"/>
  <c r="J50" i="215"/>
  <c r="J49" i="215"/>
  <c r="J48" i="215"/>
  <c r="J47" i="215"/>
  <c r="J46" i="215"/>
  <c r="J45" i="215"/>
  <c r="J44" i="215"/>
  <c r="J43" i="215"/>
  <c r="J42" i="215"/>
  <c r="J41" i="215"/>
  <c r="J40" i="215"/>
  <c r="J39" i="215"/>
  <c r="J38" i="215"/>
  <c r="J37" i="215"/>
  <c r="J36" i="215"/>
  <c r="J35" i="215"/>
  <c r="J34" i="215"/>
  <c r="J33" i="215"/>
  <c r="J32" i="215"/>
  <c r="J31" i="215"/>
  <c r="J30" i="215"/>
  <c r="J29" i="215"/>
  <c r="J28" i="215"/>
  <c r="J27" i="215"/>
  <c r="J26" i="215"/>
  <c r="J25" i="215"/>
  <c r="J24" i="215"/>
  <c r="J23" i="215"/>
  <c r="J22" i="215"/>
  <c r="J21" i="215"/>
  <c r="J20" i="215"/>
  <c r="J18" i="215"/>
  <c r="J17" i="215"/>
  <c r="J19" i="215"/>
  <c r="J16" i="215"/>
  <c r="J15" i="215"/>
  <c r="J14" i="215"/>
  <c r="J13" i="215"/>
  <c r="J12" i="215"/>
  <c r="J11" i="215"/>
  <c r="J10" i="215"/>
  <c r="J9" i="215"/>
  <c r="J8" i="215"/>
  <c r="J7" i="215"/>
  <c r="J6" i="215"/>
  <c r="J5" i="215"/>
  <c r="BA36" i="223"/>
  <c r="AZ36" i="223"/>
  <c r="AY36" i="223"/>
  <c r="BA35" i="223"/>
  <c r="AZ35" i="223"/>
  <c r="AY35" i="223"/>
  <c r="AY31" i="223"/>
  <c r="AY32" i="223"/>
  <c r="AY33" i="223"/>
  <c r="AY34" i="223"/>
  <c r="BA34" i="223"/>
  <c r="AZ34" i="223"/>
  <c r="BA33" i="223"/>
  <c r="AZ33" i="223"/>
  <c r="BA32" i="223"/>
  <c r="AZ32" i="223"/>
  <c r="AZ31" i="223"/>
  <c r="BA31" i="223"/>
  <c r="BA29" i="223"/>
  <c r="AZ29" i="223"/>
  <c r="AY29" i="223"/>
  <c r="BB28" i="223"/>
  <c r="BC28" i="223"/>
  <c r="BB27" i="223"/>
  <c r="BC27" i="223"/>
  <c r="BB26" i="223"/>
  <c r="BC26" i="223" s="1"/>
  <c r="BA24" i="223"/>
  <c r="AZ24" i="223"/>
  <c r="BB24" i="223"/>
  <c r="BC24" i="223"/>
  <c r="AY24" i="223"/>
  <c r="BB23" i="223"/>
  <c r="BC23" i="223" s="1"/>
  <c r="BB22" i="223"/>
  <c r="BC22" i="223" s="1"/>
  <c r="BB21" i="223"/>
  <c r="BC21" i="223"/>
  <c r="BA19" i="223"/>
  <c r="AZ19" i="223"/>
  <c r="AY19" i="223"/>
  <c r="BB19" i="223"/>
  <c r="BB18" i="223"/>
  <c r="BC18" i="223" s="1"/>
  <c r="BB17" i="223"/>
  <c r="BC17" i="223"/>
  <c r="BB16" i="223"/>
  <c r="BC16" i="223"/>
  <c r="BA14" i="223"/>
  <c r="AZ14" i="223"/>
  <c r="AY14" i="223"/>
  <c r="BB14" i="223" s="1"/>
  <c r="BB13" i="223"/>
  <c r="BC13" i="223"/>
  <c r="BB12" i="223"/>
  <c r="BC12" i="223"/>
  <c r="BB11" i="223"/>
  <c r="BC11" i="223" s="1"/>
  <c r="BA9" i="223"/>
  <c r="AZ9" i="223"/>
  <c r="AY9" i="223"/>
  <c r="BB8" i="223"/>
  <c r="BC8" i="223" s="1"/>
  <c r="BB7" i="223"/>
  <c r="BC7" i="223" s="1"/>
  <c r="BB6" i="223"/>
  <c r="BC6" i="223" s="1"/>
  <c r="BX103" i="267"/>
  <c r="BX105" i="267" s="1"/>
  <c r="E70" i="237"/>
  <c r="C5" i="227"/>
  <c r="AD87" i="222"/>
  <c r="L47" i="217"/>
  <c r="AD46" i="271"/>
  <c r="AD44" i="271"/>
  <c r="AD45" i="271"/>
  <c r="AD50" i="271" s="1"/>
  <c r="AD52" i="271" s="1"/>
  <c r="AA39" i="272"/>
  <c r="AC39" i="272" s="1"/>
  <c r="AB39" i="272"/>
  <c r="AA32" i="272"/>
  <c r="AA25" i="272"/>
  <c r="AC25" i="272" s="1"/>
  <c r="AB25" i="272"/>
  <c r="AA18" i="272"/>
  <c r="AA11" i="272"/>
  <c r="AC6" i="272"/>
  <c r="AG7" i="272"/>
  <c r="AG8" i="272"/>
  <c r="AG9" i="272"/>
  <c r="AG10" i="272"/>
  <c r="AG13" i="272"/>
  <c r="AG14" i="272"/>
  <c r="AG15" i="272"/>
  <c r="AG16" i="272"/>
  <c r="AG17" i="272"/>
  <c r="AG20" i="272"/>
  <c r="AG21" i="272"/>
  <c r="AG22" i="272"/>
  <c r="AG23" i="272"/>
  <c r="AG24" i="272"/>
  <c r="AG27" i="272"/>
  <c r="AG28" i="272"/>
  <c r="AG29" i="272"/>
  <c r="AG30" i="272"/>
  <c r="AG31" i="272"/>
  <c r="AG34" i="272"/>
  <c r="AG35" i="272"/>
  <c r="AG36" i="272"/>
  <c r="AG37" i="272"/>
  <c r="AG38" i="272"/>
  <c r="AG6" i="272"/>
  <c r="AF41" i="272"/>
  <c r="AG41" i="272" s="1"/>
  <c r="AF39" i="272"/>
  <c r="AE39" i="272"/>
  <c r="AF32" i="272"/>
  <c r="AE32" i="272"/>
  <c r="AF25" i="272"/>
  <c r="AE25" i="272"/>
  <c r="AF18" i="272"/>
  <c r="AE18" i="272"/>
  <c r="AF11" i="272"/>
  <c r="AE11" i="272"/>
  <c r="AG11" i="272" s="1"/>
  <c r="AB41" i="272"/>
  <c r="AC41" i="272" s="1"/>
  <c r="AB32" i="272"/>
  <c r="AB18" i="272"/>
  <c r="AC18" i="272" s="1"/>
  <c r="AB11" i="272"/>
  <c r="AT41" i="234"/>
  <c r="AU41" i="234" s="1"/>
  <c r="AW41" i="234" s="1"/>
  <c r="AV39" i="234"/>
  <c r="AS39" i="234"/>
  <c r="AT38" i="234"/>
  <c r="AU38" i="234" s="1"/>
  <c r="AW38" i="234" s="1"/>
  <c r="AT37" i="234"/>
  <c r="AU37" i="234" s="1"/>
  <c r="AW37" i="234" s="1"/>
  <c r="AT36" i="234"/>
  <c r="AU36" i="234" s="1"/>
  <c r="AW36" i="234" s="1"/>
  <c r="AT35" i="234"/>
  <c r="AU35" i="234" s="1"/>
  <c r="AW35" i="234" s="1"/>
  <c r="AT34" i="234"/>
  <c r="AV32" i="234"/>
  <c r="AS32" i="234"/>
  <c r="AU31" i="234"/>
  <c r="AW31" i="234" s="1"/>
  <c r="AT30" i="234"/>
  <c r="AU29" i="234"/>
  <c r="AW29" i="234"/>
  <c r="AU28" i="234"/>
  <c r="AW28" i="234" s="1"/>
  <c r="AU27" i="234"/>
  <c r="AW27" i="234" s="1"/>
  <c r="AV25" i="234"/>
  <c r="AS25" i="234"/>
  <c r="AU24" i="234"/>
  <c r="AW24" i="234" s="1"/>
  <c r="AT23" i="234"/>
  <c r="AU23" i="234" s="1"/>
  <c r="AW23" i="234" s="1"/>
  <c r="AT22" i="234"/>
  <c r="AT21" i="234"/>
  <c r="AU21" i="234" s="1"/>
  <c r="AW21" i="234" s="1"/>
  <c r="AT20" i="234"/>
  <c r="AT25" i="234" s="1"/>
  <c r="AV18" i="234"/>
  <c r="AS18" i="234"/>
  <c r="AU17" i="234"/>
  <c r="AW17" i="234" s="1"/>
  <c r="AT16" i="234"/>
  <c r="AU16" i="234"/>
  <c r="AW16" i="234" s="1"/>
  <c r="AT15" i="234"/>
  <c r="AU15" i="234" s="1"/>
  <c r="AW15" i="234" s="1"/>
  <c r="AT14" i="234"/>
  <c r="AT18" i="234" s="1"/>
  <c r="AU13" i="234"/>
  <c r="AW13" i="234" s="1"/>
  <c r="AV11" i="234"/>
  <c r="AS11" i="234"/>
  <c r="AT10" i="234"/>
  <c r="AU10" i="234" s="1"/>
  <c r="AW10" i="234" s="1"/>
  <c r="AT9" i="234"/>
  <c r="AU9" i="234" s="1"/>
  <c r="AW9" i="234" s="1"/>
  <c r="AT8" i="234"/>
  <c r="AU8" i="234" s="1"/>
  <c r="AW8" i="234" s="1"/>
  <c r="AT7" i="234"/>
  <c r="AT6" i="234"/>
  <c r="AO41" i="234"/>
  <c r="AQ41" i="234" s="1"/>
  <c r="AP39" i="234"/>
  <c r="AN39" i="234"/>
  <c r="AM39" i="234"/>
  <c r="AO38" i="234"/>
  <c r="AQ38" i="234" s="1"/>
  <c r="AO37" i="234"/>
  <c r="AQ37" i="234" s="1"/>
  <c r="AO36" i="234"/>
  <c r="AQ36" i="234" s="1"/>
  <c r="AO35" i="234"/>
  <c r="AQ35" i="234" s="1"/>
  <c r="AO34" i="234"/>
  <c r="AQ34" i="234" s="1"/>
  <c r="AP32" i="234"/>
  <c r="AN32" i="234"/>
  <c r="AM32" i="234"/>
  <c r="AO31" i="234"/>
  <c r="AQ31" i="234"/>
  <c r="AO30" i="234"/>
  <c r="AQ30" i="234"/>
  <c r="AO29" i="234"/>
  <c r="AO28" i="234"/>
  <c r="AO27" i="234"/>
  <c r="AQ27" i="234"/>
  <c r="AP25" i="234"/>
  <c r="AM25" i="234"/>
  <c r="AO24" i="234"/>
  <c r="AQ24" i="234" s="1"/>
  <c r="AN23" i="234"/>
  <c r="AO23" i="234" s="1"/>
  <c r="AQ23" i="234" s="1"/>
  <c r="AN22" i="234"/>
  <c r="AO21" i="234"/>
  <c r="AQ21" i="234" s="1"/>
  <c r="AO20" i="234"/>
  <c r="AQ20" i="234" s="1"/>
  <c r="AP18" i="234"/>
  <c r="AN18" i="234"/>
  <c r="AM18" i="234"/>
  <c r="AO17" i="234"/>
  <c r="AQ17" i="234"/>
  <c r="AO16" i="234"/>
  <c r="AQ16" i="234" s="1"/>
  <c r="AO15" i="234"/>
  <c r="AQ15" i="234" s="1"/>
  <c r="AO14" i="234"/>
  <c r="AQ14" i="234" s="1"/>
  <c r="AO13" i="234"/>
  <c r="AQ13" i="234" s="1"/>
  <c r="AP11" i="234"/>
  <c r="AN11" i="234"/>
  <c r="AM11" i="234"/>
  <c r="AO10" i="234"/>
  <c r="AO9" i="234"/>
  <c r="AQ9" i="234" s="1"/>
  <c r="AO8" i="234"/>
  <c r="AO7" i="234"/>
  <c r="AQ7" i="234" s="1"/>
  <c r="AO6" i="234"/>
  <c r="AQ6" i="234" s="1"/>
  <c r="AH41" i="233"/>
  <c r="AG39" i="233"/>
  <c r="AF39" i="233"/>
  <c r="AH39" i="233" s="1"/>
  <c r="AH38" i="233"/>
  <c r="AH37" i="233"/>
  <c r="AH36" i="233"/>
  <c r="AH35" i="233"/>
  <c r="AH34" i="233"/>
  <c r="AG32" i="233"/>
  <c r="AF32" i="233"/>
  <c r="AH31" i="233"/>
  <c r="AH30" i="233"/>
  <c r="AH29" i="233"/>
  <c r="AH28" i="233"/>
  <c r="AH27" i="233"/>
  <c r="AG25" i="233"/>
  <c r="AF25" i="233"/>
  <c r="AH24" i="233"/>
  <c r="AH23" i="233"/>
  <c r="AH22" i="233"/>
  <c r="AH21" i="233"/>
  <c r="AH20" i="233"/>
  <c r="AG18" i="233"/>
  <c r="AF18" i="233"/>
  <c r="AH17" i="233"/>
  <c r="AH16" i="233"/>
  <c r="AH15" i="233"/>
  <c r="AH14" i="233"/>
  <c r="AH13" i="233"/>
  <c r="AG11" i="233"/>
  <c r="AG43" i="233" s="1"/>
  <c r="AF11" i="233"/>
  <c r="AH10" i="233"/>
  <c r="AH9" i="233"/>
  <c r="AH8" i="233"/>
  <c r="AH7" i="233"/>
  <c r="AH6" i="233"/>
  <c r="AC41" i="233"/>
  <c r="AD41" i="233"/>
  <c r="AC39" i="233"/>
  <c r="AB39" i="233"/>
  <c r="AD38" i="233"/>
  <c r="AD37" i="233"/>
  <c r="AD36" i="233"/>
  <c r="AD35" i="233"/>
  <c r="AD34" i="233"/>
  <c r="AC32" i="233"/>
  <c r="AC43" i="233" s="1"/>
  <c r="AB32" i="233"/>
  <c r="AD31" i="233"/>
  <c r="AD30" i="233"/>
  <c r="AD29" i="233"/>
  <c r="AD28" i="233"/>
  <c r="AD27" i="233"/>
  <c r="AC25" i="233"/>
  <c r="AB25" i="233"/>
  <c r="AB43" i="233" s="1"/>
  <c r="AD43" i="233" s="1"/>
  <c r="AD24" i="233"/>
  <c r="AD23" i="233"/>
  <c r="AD22" i="233"/>
  <c r="AD21" i="233"/>
  <c r="AD20" i="233"/>
  <c r="AC18" i="233"/>
  <c r="AB18" i="233"/>
  <c r="AD17" i="233"/>
  <c r="AD16" i="233"/>
  <c r="AD15" i="233"/>
  <c r="AD14" i="233"/>
  <c r="AD13" i="233"/>
  <c r="AC11" i="233"/>
  <c r="AB11" i="233"/>
  <c r="AD10" i="233"/>
  <c r="AD9" i="233"/>
  <c r="AD8" i="233"/>
  <c r="AD7" i="233"/>
  <c r="AD6" i="233"/>
  <c r="AO22" i="234"/>
  <c r="AQ22" i="234" s="1"/>
  <c r="AQ8" i="234"/>
  <c r="AG84" i="221"/>
  <c r="AF84" i="221"/>
  <c r="AF82" i="220"/>
  <c r="AE82" i="261"/>
  <c r="L48" i="217"/>
  <c r="I6" i="230"/>
  <c r="I8" i="230" s="1"/>
  <c r="BJ52" i="255"/>
  <c r="BJ51" i="255"/>
  <c r="BJ50" i="255"/>
  <c r="BJ47" i="255"/>
  <c r="BJ42" i="255"/>
  <c r="BJ43" i="255"/>
  <c r="BJ44" i="255"/>
  <c r="BJ40" i="255"/>
  <c r="BJ35" i="255"/>
  <c r="BJ36" i="255"/>
  <c r="BJ29" i="255"/>
  <c r="BJ30" i="255"/>
  <c r="BJ31" i="255"/>
  <c r="BJ32" i="255"/>
  <c r="BJ25" i="255"/>
  <c r="BJ26" i="255"/>
  <c r="BJ18" i="255"/>
  <c r="BJ19" i="255"/>
  <c r="BJ10" i="255"/>
  <c r="BJ13" i="255"/>
  <c r="BJ14" i="255"/>
  <c r="BJ15" i="255"/>
  <c r="BJ11" i="255"/>
  <c r="BJ7" i="255"/>
  <c r="BJ9" i="255"/>
  <c r="BJ8" i="255"/>
  <c r="BJ49" i="255"/>
  <c r="BJ46" i="255"/>
  <c r="BJ39" i="255"/>
  <c r="BJ34" i="255"/>
  <c r="BJ28" i="255"/>
  <c r="BJ24" i="255"/>
  <c r="BJ23" i="255"/>
  <c r="BJ22" i="255"/>
  <c r="BJ17" i="255"/>
  <c r="BJ7" i="254"/>
  <c r="BJ8" i="254"/>
  <c r="BJ9" i="254"/>
  <c r="BJ10" i="254"/>
  <c r="BJ11" i="254"/>
  <c r="BJ13" i="254"/>
  <c r="BJ14" i="254"/>
  <c r="BJ15" i="254"/>
  <c r="BJ16" i="254"/>
  <c r="BJ17" i="254"/>
  <c r="BJ19" i="254"/>
  <c r="BJ20" i="254"/>
  <c r="BJ21" i="254"/>
  <c r="BJ22" i="254"/>
  <c r="BJ23" i="254"/>
  <c r="BJ24" i="254"/>
  <c r="BJ27" i="254"/>
  <c r="BJ28" i="254"/>
  <c r="BJ29" i="254"/>
  <c r="BJ30" i="254"/>
  <c r="BJ31" i="254"/>
  <c r="BJ32" i="254"/>
  <c r="BJ33" i="254"/>
  <c r="BJ35" i="254"/>
  <c r="BJ36" i="254"/>
  <c r="BJ37" i="254"/>
  <c r="BJ38" i="254"/>
  <c r="BJ39" i="254"/>
  <c r="BJ41" i="254"/>
  <c r="BJ42" i="254"/>
  <c r="BJ43" i="254"/>
  <c r="BJ44" i="254"/>
  <c r="BJ47" i="254"/>
  <c r="BJ48" i="254"/>
  <c r="BJ49" i="254"/>
  <c r="BJ50" i="254"/>
  <c r="BJ51" i="254"/>
  <c r="BJ52" i="254"/>
  <c r="BJ53" i="254"/>
  <c r="BJ55" i="254"/>
  <c r="BJ56" i="254"/>
  <c r="BJ57" i="254"/>
  <c r="BJ58" i="254"/>
  <c r="BJ59" i="254"/>
  <c r="BJ60" i="254"/>
  <c r="BJ61" i="254"/>
  <c r="BJ62" i="254"/>
  <c r="BJ63" i="254"/>
  <c r="BJ65" i="254"/>
  <c r="BJ66" i="254"/>
  <c r="BJ67" i="254"/>
  <c r="BJ70" i="254"/>
  <c r="BJ71" i="254"/>
  <c r="BJ72" i="254"/>
  <c r="BJ73" i="254"/>
  <c r="BJ74" i="254"/>
  <c r="BJ75" i="254"/>
  <c r="BJ6" i="254"/>
  <c r="BJ24" i="253"/>
  <c r="BJ25" i="253"/>
  <c r="BJ23" i="253"/>
  <c r="BJ19" i="253"/>
  <c r="BJ20" i="253"/>
  <c r="BJ21" i="253"/>
  <c r="BJ22" i="253" s="1"/>
  <c r="BJ18" i="253"/>
  <c r="BJ15" i="253"/>
  <c r="BJ13" i="253"/>
  <c r="BJ14" i="253"/>
  <c r="BJ12" i="253"/>
  <c r="BJ8" i="253"/>
  <c r="BJ9" i="253"/>
  <c r="BJ7" i="253"/>
  <c r="BJ6" i="253"/>
  <c r="EH213" i="252"/>
  <c r="EH203" i="252"/>
  <c r="EH195" i="252"/>
  <c r="EH191" i="252"/>
  <c r="EH187" i="252"/>
  <c r="EH180" i="252"/>
  <c r="EH173" i="252"/>
  <c r="EH165" i="252"/>
  <c r="EH161" i="252"/>
  <c r="EH157" i="252"/>
  <c r="EH151" i="252"/>
  <c r="EH145" i="252"/>
  <c r="EH139" i="252"/>
  <c r="EH132" i="252"/>
  <c r="EH126" i="252"/>
  <c r="EH120" i="252"/>
  <c r="EH113" i="252"/>
  <c r="EH106" i="252"/>
  <c r="EH101" i="252"/>
  <c r="EH95" i="252"/>
  <c r="EH89" i="252"/>
  <c r="EH84" i="252"/>
  <c r="EH79" i="252"/>
  <c r="EH74" i="252"/>
  <c r="EH67" i="252"/>
  <c r="EH63" i="252"/>
  <c r="EH59" i="252"/>
  <c r="EH55" i="252"/>
  <c r="EH50" i="252"/>
  <c r="EH43" i="252"/>
  <c r="EH36" i="252"/>
  <c r="EH30" i="252"/>
  <c r="EH24" i="252"/>
  <c r="EH16" i="252"/>
  <c r="EH14" i="252"/>
  <c r="EH9" i="252"/>
  <c r="DE334" i="251"/>
  <c r="DE325" i="251"/>
  <c r="DE323" i="251"/>
  <c r="DE318" i="251"/>
  <c r="DE313" i="251"/>
  <c r="DE309" i="251"/>
  <c r="DE305" i="251"/>
  <c r="DE299" i="251"/>
  <c r="DE293" i="251"/>
  <c r="DE284" i="251"/>
  <c r="DE277" i="251"/>
  <c r="DE273" i="251"/>
  <c r="DE268" i="251"/>
  <c r="DE259" i="251"/>
  <c r="DE255" i="251"/>
  <c r="DE249" i="251"/>
  <c r="DE245" i="251"/>
  <c r="DE239" i="251"/>
  <c r="DE230" i="251"/>
  <c r="DE225" i="251"/>
  <c r="DE220" i="251"/>
  <c r="DE218" i="251"/>
  <c r="DE213" i="251"/>
  <c r="DE209" i="251"/>
  <c r="DE207" i="251"/>
  <c r="DE199" i="251"/>
  <c r="DE194" i="251"/>
  <c r="DE190" i="251"/>
  <c r="DE186" i="251"/>
  <c r="DE182" i="251"/>
  <c r="DE179" i="251"/>
  <c r="DE173" i="251"/>
  <c r="DE169" i="251"/>
  <c r="DE163" i="251"/>
  <c r="DE159" i="251"/>
  <c r="DE151" i="251"/>
  <c r="DE145" i="251"/>
  <c r="DE136" i="251"/>
  <c r="DE131" i="251"/>
  <c r="DE125" i="251"/>
  <c r="DE118" i="251"/>
  <c r="DE111" i="251"/>
  <c r="DE101" i="251"/>
  <c r="DE89" i="251"/>
  <c r="DE84" i="251"/>
  <c r="DE79" i="251"/>
  <c r="DE69" i="251"/>
  <c r="DE63" i="251"/>
  <c r="DE61" i="251"/>
  <c r="DE44" i="251"/>
  <c r="DE41" i="251"/>
  <c r="DE34" i="251"/>
  <c r="DE27" i="251"/>
  <c r="DE23" i="251"/>
  <c r="DE17" i="251"/>
  <c r="DE13" i="251"/>
  <c r="DE11" i="251"/>
  <c r="CW79" i="250"/>
  <c r="CW69" i="250"/>
  <c r="CW65" i="250"/>
  <c r="CW61" i="250"/>
  <c r="CW57" i="250"/>
  <c r="CW50" i="250"/>
  <c r="CW42" i="250"/>
  <c r="CW37" i="250"/>
  <c r="CW35" i="250"/>
  <c r="CW30" i="250"/>
  <c r="CW24" i="250"/>
  <c r="CW19" i="250"/>
  <c r="CW14" i="250"/>
  <c r="CW10" i="250"/>
  <c r="AC38" i="272"/>
  <c r="AC37" i="272"/>
  <c r="AC36" i="272"/>
  <c r="AC35" i="272"/>
  <c r="AC34" i="272"/>
  <c r="AC31" i="272"/>
  <c r="AC30" i="272"/>
  <c r="AC29" i="272"/>
  <c r="AC28" i="272"/>
  <c r="AC27" i="272"/>
  <c r="AC24" i="272"/>
  <c r="AC23" i="272"/>
  <c r="AC22" i="272"/>
  <c r="AC21" i="272"/>
  <c r="AC20" i="272"/>
  <c r="AC17" i="272"/>
  <c r="AC16" i="272"/>
  <c r="AC15" i="272"/>
  <c r="AC14" i="272"/>
  <c r="AC13" i="272"/>
  <c r="AC10" i="272"/>
  <c r="AC9" i="272"/>
  <c r="AC8" i="272"/>
  <c r="AC7" i="272"/>
  <c r="AD31" i="243"/>
  <c r="AE7" i="243"/>
  <c r="AF27" i="243"/>
  <c r="AF26" i="243"/>
  <c r="AF25" i="243"/>
  <c r="AF24" i="243"/>
  <c r="AF23" i="243"/>
  <c r="AF22" i="243"/>
  <c r="AF21" i="243"/>
  <c r="AF20" i="243"/>
  <c r="AF19" i="243"/>
  <c r="AF18" i="243"/>
  <c r="AF17" i="243"/>
  <c r="AF16" i="243"/>
  <c r="AF15" i="243"/>
  <c r="AF14" i="243"/>
  <c r="AF13" i="243"/>
  <c r="AF12" i="243"/>
  <c r="AF11" i="243"/>
  <c r="AF10" i="243"/>
  <c r="AF8" i="243"/>
  <c r="AF7" i="243"/>
  <c r="AF6" i="243"/>
  <c r="AE22" i="243"/>
  <c r="AE12" i="243"/>
  <c r="AE27" i="243"/>
  <c r="AE25" i="243"/>
  <c r="AE17" i="243"/>
  <c r="BZ7" i="274"/>
  <c r="BZ8" i="274"/>
  <c r="BZ9" i="274"/>
  <c r="BZ10" i="274"/>
  <c r="BZ11" i="274"/>
  <c r="BZ12" i="274"/>
  <c r="BZ13" i="274"/>
  <c r="BZ14" i="274"/>
  <c r="BZ15" i="274"/>
  <c r="BZ16" i="274"/>
  <c r="BZ17" i="274"/>
  <c r="BZ18" i="274"/>
  <c r="BZ19" i="274"/>
  <c r="BZ20" i="274"/>
  <c r="BZ21" i="274"/>
  <c r="BZ22" i="274"/>
  <c r="BZ23" i="274"/>
  <c r="BZ24" i="274"/>
  <c r="BZ25" i="274"/>
  <c r="BZ26" i="274"/>
  <c r="BZ27" i="274"/>
  <c r="BZ28" i="274"/>
  <c r="BZ29" i="274"/>
  <c r="BZ30" i="274"/>
  <c r="BZ31" i="274"/>
  <c r="BZ32" i="274"/>
  <c r="BZ33" i="274"/>
  <c r="BZ34" i="274"/>
  <c r="BZ35" i="274"/>
  <c r="BZ36" i="274"/>
  <c r="BZ37" i="274"/>
  <c r="BZ38" i="274"/>
  <c r="BZ39" i="274"/>
  <c r="BZ40" i="274"/>
  <c r="BZ41" i="274"/>
  <c r="BZ42" i="274"/>
  <c r="BZ43" i="274"/>
  <c r="BZ44" i="274"/>
  <c r="BZ45" i="274"/>
  <c r="BZ46" i="274"/>
  <c r="BZ47" i="274"/>
  <c r="BZ48" i="274"/>
  <c r="BZ49" i="274"/>
  <c r="BZ50" i="274"/>
  <c r="BZ51" i="274"/>
  <c r="BZ52" i="274"/>
  <c r="BZ53" i="274"/>
  <c r="BZ54" i="274"/>
  <c r="BZ55" i="274"/>
  <c r="BZ56" i="274"/>
  <c r="BZ57" i="274"/>
  <c r="BZ58" i="274"/>
  <c r="BZ59" i="274"/>
  <c r="BZ60" i="274"/>
  <c r="BZ61" i="274"/>
  <c r="BZ62" i="274"/>
  <c r="BZ63" i="274"/>
  <c r="BZ64" i="274"/>
  <c r="BZ65" i="274"/>
  <c r="BZ66" i="274"/>
  <c r="BZ67" i="274"/>
  <c r="BZ68" i="274"/>
  <c r="BZ69" i="274"/>
  <c r="BZ70" i="274"/>
  <c r="BZ71" i="274"/>
  <c r="BZ72" i="274"/>
  <c r="BZ73" i="274"/>
  <c r="BZ74" i="274"/>
  <c r="BZ75" i="274"/>
  <c r="BZ76" i="274"/>
  <c r="BZ77" i="274"/>
  <c r="BZ78" i="274"/>
  <c r="BZ79" i="274"/>
  <c r="BZ80" i="274"/>
  <c r="BZ81" i="274"/>
  <c r="BZ82" i="274"/>
  <c r="BZ83" i="274"/>
  <c r="BZ84" i="274"/>
  <c r="BZ85" i="274"/>
  <c r="BZ86" i="274"/>
  <c r="BZ87" i="274"/>
  <c r="BZ88" i="274"/>
  <c r="BZ89" i="274"/>
  <c r="BZ90" i="274"/>
  <c r="BZ91" i="274"/>
  <c r="BZ92" i="274"/>
  <c r="BZ93" i="274"/>
  <c r="BZ94" i="274"/>
  <c r="BZ95" i="274"/>
  <c r="BZ96" i="274"/>
  <c r="BZ97" i="274"/>
  <c r="BZ98" i="274"/>
  <c r="BZ99" i="274"/>
  <c r="BZ100" i="274"/>
  <c r="BZ101" i="274"/>
  <c r="BZ6" i="274"/>
  <c r="CN100" i="274"/>
  <c r="CG100" i="274"/>
  <c r="FV102" i="262"/>
  <c r="FV101" i="262"/>
  <c r="FV100" i="262"/>
  <c r="FV99" i="262"/>
  <c r="FV98" i="262"/>
  <c r="FV97" i="262"/>
  <c r="FV96" i="262"/>
  <c r="FV95" i="262"/>
  <c r="FV94" i="262"/>
  <c r="FV93" i="262"/>
  <c r="FV92" i="262"/>
  <c r="FV91" i="262"/>
  <c r="FV90" i="262"/>
  <c r="FV89" i="262"/>
  <c r="FV88" i="262"/>
  <c r="FV87" i="262"/>
  <c r="FV86" i="262"/>
  <c r="FV85" i="262"/>
  <c r="FV84" i="262"/>
  <c r="FV83" i="262"/>
  <c r="FV82" i="262"/>
  <c r="FV81" i="262"/>
  <c r="FV80" i="262"/>
  <c r="FV79" i="262"/>
  <c r="FV78" i="262"/>
  <c r="FV77" i="262"/>
  <c r="FV76" i="262"/>
  <c r="FV75" i="262"/>
  <c r="FV74" i="262"/>
  <c r="FV73" i="262"/>
  <c r="FV72" i="262"/>
  <c r="FV71" i="262"/>
  <c r="FV70" i="262"/>
  <c r="FV69" i="262"/>
  <c r="FV68" i="262"/>
  <c r="FV67" i="262"/>
  <c r="FV66" i="262"/>
  <c r="FV65" i="262"/>
  <c r="FV64" i="262"/>
  <c r="FV63" i="262"/>
  <c r="FV62" i="262"/>
  <c r="FV61" i="262"/>
  <c r="FV60" i="262"/>
  <c r="FV59" i="262"/>
  <c r="FV58" i="262"/>
  <c r="FV57" i="262"/>
  <c r="FV56" i="262"/>
  <c r="FV55" i="262"/>
  <c r="FV54" i="262"/>
  <c r="FV53" i="262"/>
  <c r="FV52" i="262"/>
  <c r="FV51" i="262"/>
  <c r="FV50" i="262"/>
  <c r="FV49" i="262"/>
  <c r="FV48" i="262"/>
  <c r="FV47" i="262"/>
  <c r="FV46" i="262"/>
  <c r="FV45" i="262"/>
  <c r="FV44" i="262"/>
  <c r="FV43" i="262"/>
  <c r="FV42" i="262"/>
  <c r="FV41" i="262"/>
  <c r="FV40" i="262"/>
  <c r="FV39" i="262"/>
  <c r="FV38" i="262"/>
  <c r="FV37" i="262"/>
  <c r="FV36" i="262"/>
  <c r="FV35" i="262"/>
  <c r="FV34" i="262"/>
  <c r="FV33" i="262"/>
  <c r="FV32" i="262"/>
  <c r="FV31" i="262"/>
  <c r="FV30" i="262"/>
  <c r="FV29" i="262"/>
  <c r="FV28" i="262"/>
  <c r="FV27" i="262"/>
  <c r="FV26" i="262"/>
  <c r="FV25" i="262"/>
  <c r="FV24" i="262"/>
  <c r="FV23" i="262"/>
  <c r="FV22" i="262"/>
  <c r="FV21" i="262"/>
  <c r="FV20" i="262"/>
  <c r="FV19" i="262"/>
  <c r="FV18" i="262"/>
  <c r="FV17" i="262"/>
  <c r="FV16" i="262"/>
  <c r="FV15" i="262"/>
  <c r="FV14" i="262"/>
  <c r="FV13" i="262"/>
  <c r="FV12" i="262"/>
  <c r="FV11" i="262"/>
  <c r="FV10" i="262"/>
  <c r="FV9" i="262"/>
  <c r="FV8" i="262"/>
  <c r="FV7" i="262"/>
  <c r="J14" i="273"/>
  <c r="J8" i="273"/>
  <c r="J19" i="273"/>
  <c r="J28" i="273"/>
  <c r="J23" i="273"/>
  <c r="C358" i="238"/>
  <c r="B358" i="238"/>
  <c r="E80" i="231"/>
  <c r="K543" i="213"/>
  <c r="K544" i="213"/>
  <c r="K545" i="213"/>
  <c r="K546" i="213"/>
  <c r="I547" i="213"/>
  <c r="J547" i="213"/>
  <c r="K547" i="213" s="1"/>
  <c r="O552" i="213"/>
  <c r="O553" i="213"/>
  <c r="O554" i="213"/>
  <c r="O555" i="213"/>
  <c r="O556" i="213"/>
  <c r="O557" i="213"/>
  <c r="O558" i="213"/>
  <c r="O559" i="213"/>
  <c r="O560" i="213"/>
  <c r="O561" i="213"/>
  <c r="O562" i="213"/>
  <c r="O563" i="213"/>
  <c r="O564" i="213"/>
  <c r="O565" i="213"/>
  <c r="O566" i="213"/>
  <c r="O567" i="213"/>
  <c r="O568" i="213"/>
  <c r="O569" i="213"/>
  <c r="O570" i="213"/>
  <c r="O571" i="213"/>
  <c r="O572" i="213"/>
  <c r="O573" i="213"/>
  <c r="O574" i="213"/>
  <c r="O575" i="213"/>
  <c r="O576" i="213"/>
  <c r="O577" i="213"/>
  <c r="O578" i="213"/>
  <c r="O579" i="213"/>
  <c r="O580" i="213"/>
  <c r="O581" i="213"/>
  <c r="O582" i="213"/>
  <c r="O583" i="213"/>
  <c r="O584" i="213"/>
  <c r="O585" i="213"/>
  <c r="O586" i="213"/>
  <c r="O587" i="213"/>
  <c r="O588" i="213"/>
  <c r="O589" i="213"/>
  <c r="O590" i="213"/>
  <c r="O591" i="213"/>
  <c r="O592" i="213"/>
  <c r="O593" i="213"/>
  <c r="O594" i="213"/>
  <c r="O595" i="213"/>
  <c r="O596" i="213"/>
  <c r="O597" i="213"/>
  <c r="O598" i="213"/>
  <c r="O599" i="213"/>
  <c r="O600" i="213"/>
  <c r="O601" i="213"/>
  <c r="O602" i="213"/>
  <c r="O603" i="213"/>
  <c r="O604" i="213"/>
  <c r="O605" i="213"/>
  <c r="O606" i="213"/>
  <c r="O607" i="213"/>
  <c r="O608" i="213"/>
  <c r="O609" i="213"/>
  <c r="O610" i="213"/>
  <c r="O611" i="213"/>
  <c r="O612" i="213"/>
  <c r="O613" i="213"/>
  <c r="O614" i="213"/>
  <c r="O615" i="213"/>
  <c r="O616" i="213"/>
  <c r="O617" i="213"/>
  <c r="O618" i="213"/>
  <c r="O619" i="213"/>
  <c r="O620" i="213"/>
  <c r="O621" i="213"/>
  <c r="O622" i="213"/>
  <c r="O623" i="213"/>
  <c r="O624" i="213"/>
  <c r="O625" i="213"/>
  <c r="O626" i="213"/>
  <c r="O627" i="213"/>
  <c r="O628" i="213"/>
  <c r="O629" i="213"/>
  <c r="O630" i="213"/>
  <c r="O631" i="213"/>
  <c r="O632" i="213"/>
  <c r="O633" i="213"/>
  <c r="O634" i="213"/>
  <c r="O635" i="213"/>
  <c r="O636" i="213"/>
  <c r="O637" i="213"/>
  <c r="O638" i="213"/>
  <c r="O639" i="213"/>
  <c r="O640" i="213"/>
  <c r="O641" i="213"/>
  <c r="O642" i="213"/>
  <c r="O643" i="213"/>
  <c r="O644" i="213"/>
  <c r="O645" i="213"/>
  <c r="O646" i="213"/>
  <c r="O647" i="213"/>
  <c r="O648" i="213"/>
  <c r="O649" i="213"/>
  <c r="O650" i="213"/>
  <c r="O651" i="213"/>
  <c r="O652" i="213"/>
  <c r="O653" i="213"/>
  <c r="O654" i="213"/>
  <c r="O655" i="213"/>
  <c r="O656" i="213"/>
  <c r="O657" i="213"/>
  <c r="M658" i="213"/>
  <c r="N658" i="213"/>
  <c r="O658" i="213" s="1"/>
  <c r="N482" i="212"/>
  <c r="M482" i="212"/>
  <c r="L482" i="212"/>
  <c r="O481" i="212"/>
  <c r="O480" i="212"/>
  <c r="O479" i="212"/>
  <c r="C72" i="237"/>
  <c r="B72" i="237"/>
  <c r="E71" i="237"/>
  <c r="E69" i="237"/>
  <c r="E68" i="237"/>
  <c r="E67" i="237"/>
  <c r="E66" i="237"/>
  <c r="D72" i="237"/>
  <c r="AL31" i="235"/>
  <c r="AK31" i="235"/>
  <c r="AL30" i="235"/>
  <c r="AK30" i="235"/>
  <c r="AM30" i="235" s="1"/>
  <c r="AL29" i="235"/>
  <c r="AK29" i="235"/>
  <c r="AM27" i="235"/>
  <c r="AM23" i="235"/>
  <c r="AM22" i="235"/>
  <c r="AM21" i="235"/>
  <c r="AM19" i="235"/>
  <c r="AM18" i="235"/>
  <c r="AM17" i="235"/>
  <c r="AM15" i="235"/>
  <c r="AM14" i="235"/>
  <c r="AM13" i="235"/>
  <c r="AM11" i="235"/>
  <c r="AM10" i="235"/>
  <c r="AM9" i="235"/>
  <c r="AM7" i="235"/>
  <c r="AM6" i="235"/>
  <c r="AM5" i="235"/>
  <c r="F86" i="231"/>
  <c r="D86" i="231"/>
  <c r="C86" i="231"/>
  <c r="B86" i="231"/>
  <c r="G85" i="231"/>
  <c r="E85" i="231"/>
  <c r="G84" i="231"/>
  <c r="E84" i="231"/>
  <c r="G83" i="231"/>
  <c r="E83" i="231"/>
  <c r="G82" i="231"/>
  <c r="E82" i="231"/>
  <c r="G81" i="231"/>
  <c r="E81" i="231"/>
  <c r="G80" i="231"/>
  <c r="BA46" i="271"/>
  <c r="BB46" i="271"/>
  <c r="AZ46" i="271"/>
  <c r="BA45" i="271"/>
  <c r="BA47" i="271" s="1"/>
  <c r="BB45" i="271"/>
  <c r="AZ45" i="271"/>
  <c r="BA44" i="271"/>
  <c r="BB44" i="271"/>
  <c r="AZ44" i="271"/>
  <c r="AC46" i="271"/>
  <c r="AB46" i="271"/>
  <c r="AB47" i="271" s="1"/>
  <c r="AC45" i="271"/>
  <c r="AC47" i="271" s="1"/>
  <c r="AC44" i="271"/>
  <c r="AB45" i="271"/>
  <c r="AB44" i="271"/>
  <c r="AD40" i="271"/>
  <c r="AC40" i="271"/>
  <c r="AB40" i="271"/>
  <c r="AD30" i="271"/>
  <c r="AC30" i="271"/>
  <c r="AB30" i="271"/>
  <c r="AD23" i="271"/>
  <c r="AC23" i="271"/>
  <c r="AB23" i="271"/>
  <c r="AD16" i="271"/>
  <c r="AC16" i="271"/>
  <c r="AB16" i="271"/>
  <c r="AD8" i="271"/>
  <c r="AC8" i="271"/>
  <c r="AB8" i="271"/>
  <c r="AM29" i="235"/>
  <c r="BA23" i="271"/>
  <c r="BB23" i="271"/>
  <c r="AZ23" i="271"/>
  <c r="AG81" i="220"/>
  <c r="AH81" i="220" s="1"/>
  <c r="AG76" i="220"/>
  <c r="AG82" i="220" s="1"/>
  <c r="AH82" i="220" s="1"/>
  <c r="AG71" i="220"/>
  <c r="AH71" i="220" s="1"/>
  <c r="AG65" i="220"/>
  <c r="AH65" i="220" s="1"/>
  <c r="AG61" i="220"/>
  <c r="AH61" i="220" s="1"/>
  <c r="AG57" i="220"/>
  <c r="AG52" i="220"/>
  <c r="AH52" i="220" s="1"/>
  <c r="AG47" i="220"/>
  <c r="AH47" i="220" s="1"/>
  <c r="AG41" i="220"/>
  <c r="AH41" i="220" s="1"/>
  <c r="AG34" i="220"/>
  <c r="AG30" i="220"/>
  <c r="AH30" i="220" s="1"/>
  <c r="AG26" i="220"/>
  <c r="AH26" i="220" s="1"/>
  <c r="AG21" i="220"/>
  <c r="AH21" i="220" s="1"/>
  <c r="AG16" i="220"/>
  <c r="AH16" i="220" s="1"/>
  <c r="AG10" i="220"/>
  <c r="AH10" i="220" s="1"/>
  <c r="AF81" i="261"/>
  <c r="AG81" i="261" s="1"/>
  <c r="AF76" i="261"/>
  <c r="AG76" i="261" s="1"/>
  <c r="AF71" i="261"/>
  <c r="AG71" i="261" s="1"/>
  <c r="AF65" i="261"/>
  <c r="AF61" i="261"/>
  <c r="AG61" i="261" s="1"/>
  <c r="AF57" i="261"/>
  <c r="AG57" i="261"/>
  <c r="AF52" i="261"/>
  <c r="AF47" i="261"/>
  <c r="AG47" i="261"/>
  <c r="AF41" i="261"/>
  <c r="AG41" i="261" s="1"/>
  <c r="AF34" i="261"/>
  <c r="AF35" i="261" s="1"/>
  <c r="AG35" i="261" s="1"/>
  <c r="AF30" i="261"/>
  <c r="AG30" i="261" s="1"/>
  <c r="AF26" i="261"/>
  <c r="AG26" i="261" s="1"/>
  <c r="AG21" i="261"/>
  <c r="AF16" i="261"/>
  <c r="AG16" i="261" s="1"/>
  <c r="AF10" i="261"/>
  <c r="AG10" i="261" s="1"/>
  <c r="AG52" i="214"/>
  <c r="AH52" i="214" s="1"/>
  <c r="AH82" i="221"/>
  <c r="AH81" i="221"/>
  <c r="AH80" i="221"/>
  <c r="AH79" i="221"/>
  <c r="AH78" i="221"/>
  <c r="AH77" i="221"/>
  <c r="AH76" i="221"/>
  <c r="AH75" i="221"/>
  <c r="AH74" i="221"/>
  <c r="AH73" i="221"/>
  <c r="AH72" i="221"/>
  <c r="AH71" i="221"/>
  <c r="AH70" i="221"/>
  <c r="AH69" i="221"/>
  <c r="AH68" i="221"/>
  <c r="AH67" i="221"/>
  <c r="AH66" i="221"/>
  <c r="AH65" i="221"/>
  <c r="AH64" i="221"/>
  <c r="AH61" i="221"/>
  <c r="AH59" i="221"/>
  <c r="AH58" i="221"/>
  <c r="AH57" i="221"/>
  <c r="AH56" i="221"/>
  <c r="AH55" i="221"/>
  <c r="AH53" i="221"/>
  <c r="AH52" i="221"/>
  <c r="AH51" i="221"/>
  <c r="AH50" i="221"/>
  <c r="AH49" i="221"/>
  <c r="AH48" i="221"/>
  <c r="AH47" i="221"/>
  <c r="AH46" i="221"/>
  <c r="AH45" i="221"/>
  <c r="AH44" i="221"/>
  <c r="AH43" i="221"/>
  <c r="AH42" i="221"/>
  <c r="AH41" i="221"/>
  <c r="AH40" i="221"/>
  <c r="AH39" i="221"/>
  <c r="AH38" i="221"/>
  <c r="AH37" i="221"/>
  <c r="AH36" i="221"/>
  <c r="AH35" i="221"/>
  <c r="AH34" i="221"/>
  <c r="AH33" i="221"/>
  <c r="AH32" i="221"/>
  <c r="AH31" i="221"/>
  <c r="AH30" i="221"/>
  <c r="AH29" i="221"/>
  <c r="AH28" i="221"/>
  <c r="AH27" i="221"/>
  <c r="AH26" i="221"/>
  <c r="AH25" i="221"/>
  <c r="AH24" i="221"/>
  <c r="AH23" i="221"/>
  <c r="AH22" i="221"/>
  <c r="AH21" i="221"/>
  <c r="AH20" i="221"/>
  <c r="AH19" i="221"/>
  <c r="AH18" i="221"/>
  <c r="AH17" i="221"/>
  <c r="AH16" i="221"/>
  <c r="AH15" i="221"/>
  <c r="AH14" i="221"/>
  <c r="AH13" i="221"/>
  <c r="AH12" i="221"/>
  <c r="AH11" i="221"/>
  <c r="AH10" i="221"/>
  <c r="AH9" i="221"/>
  <c r="AH8" i="221"/>
  <c r="AH7" i="221"/>
  <c r="AH6" i="221"/>
  <c r="AH5" i="221"/>
  <c r="AH80" i="220"/>
  <c r="AH79" i="220"/>
  <c r="AH78" i="220"/>
  <c r="AH77" i="220"/>
  <c r="AH75" i="220"/>
  <c r="AH74" i="220"/>
  <c r="AH73" i="220"/>
  <c r="AH72" i="220"/>
  <c r="AH70" i="220"/>
  <c r="AH69" i="220"/>
  <c r="AH68" i="220"/>
  <c r="AH67" i="220"/>
  <c r="AH64" i="220"/>
  <c r="AH59" i="220"/>
  <c r="AH58" i="220"/>
  <c r="AH56" i="220"/>
  <c r="AH55" i="220"/>
  <c r="AH51" i="220"/>
  <c r="AH50" i="220"/>
  <c r="AH49" i="220"/>
  <c r="AH48" i="220"/>
  <c r="AH46" i="220"/>
  <c r="AH45" i="220"/>
  <c r="AH44" i="220"/>
  <c r="AH43" i="220"/>
  <c r="AH42" i="220"/>
  <c r="AH40" i="220"/>
  <c r="AH39" i="220"/>
  <c r="AH38" i="220"/>
  <c r="AH37" i="220"/>
  <c r="AH36" i="220"/>
  <c r="AH34" i="220"/>
  <c r="AH33" i="220"/>
  <c r="AH32" i="220"/>
  <c r="AH31" i="220"/>
  <c r="AH29" i="220"/>
  <c r="AH28" i="220"/>
  <c r="AH27" i="220"/>
  <c r="AH25" i="220"/>
  <c r="AH24" i="220"/>
  <c r="AH23" i="220"/>
  <c r="AH20" i="220"/>
  <c r="AH19" i="220"/>
  <c r="AH18" i="220"/>
  <c r="AH17" i="220"/>
  <c r="AH15" i="220"/>
  <c r="AH14" i="220"/>
  <c r="AH13" i="220"/>
  <c r="AH12" i="220"/>
  <c r="AH11" i="220"/>
  <c r="AH9" i="220"/>
  <c r="AH8" i="220"/>
  <c r="AH7" i="220"/>
  <c r="AH6" i="220"/>
  <c r="AH5" i="220"/>
  <c r="AG80" i="261"/>
  <c r="AG79" i="261"/>
  <c r="AG78" i="261"/>
  <c r="AG77" i="261"/>
  <c r="AG75" i="261"/>
  <c r="AG74" i="261"/>
  <c r="AG73" i="261"/>
  <c r="AG72" i="261"/>
  <c r="AG70" i="261"/>
  <c r="AG69" i="261"/>
  <c r="AG68" i="261"/>
  <c r="AG67" i="261"/>
  <c r="AG64" i="261"/>
  <c r="AG59" i="261"/>
  <c r="AG58" i="261"/>
  <c r="AG56" i="261"/>
  <c r="AG55" i="261"/>
  <c r="AG52" i="261"/>
  <c r="AG51" i="261"/>
  <c r="AG50" i="261"/>
  <c r="AG49" i="261"/>
  <c r="AG48" i="261"/>
  <c r="AG46" i="261"/>
  <c r="AG45" i="261"/>
  <c r="AG44" i="261"/>
  <c r="AG43" i="261"/>
  <c r="AG42" i="261"/>
  <c r="AG40" i="261"/>
  <c r="AG39" i="261"/>
  <c r="AG38" i="261"/>
  <c r="AG37" i="261"/>
  <c r="AG36" i="261"/>
  <c r="AG33" i="261"/>
  <c r="AG32" i="261"/>
  <c r="AG31" i="261"/>
  <c r="AG29" i="261"/>
  <c r="AG28" i="261"/>
  <c r="AG27" i="261"/>
  <c r="AG25" i="261"/>
  <c r="AG24" i="261"/>
  <c r="AG23" i="261"/>
  <c r="AG20" i="261"/>
  <c r="AG19" i="261"/>
  <c r="AG18" i="261"/>
  <c r="AG17" i="261"/>
  <c r="AG15" i="261"/>
  <c r="AG14" i="261"/>
  <c r="AG13" i="261"/>
  <c r="AG12" i="261"/>
  <c r="AG11" i="261"/>
  <c r="AG9" i="261"/>
  <c r="AG8" i="261"/>
  <c r="AG7" i="261"/>
  <c r="AG6" i="261"/>
  <c r="AG5" i="261"/>
  <c r="BG81" i="216"/>
  <c r="BF80" i="216"/>
  <c r="BG79" i="216"/>
  <c r="BF79" i="216"/>
  <c r="BF78" i="216"/>
  <c r="BG77" i="216"/>
  <c r="BF77" i="216"/>
  <c r="BF76" i="216"/>
  <c r="BG75" i="216"/>
  <c r="BF75" i="216"/>
  <c r="BG74" i="216"/>
  <c r="BF74" i="216"/>
  <c r="BG73" i="216"/>
  <c r="BF73" i="216"/>
  <c r="BG72" i="216"/>
  <c r="BF72" i="216"/>
  <c r="BB82" i="216"/>
  <c r="BB84" i="216" s="1"/>
  <c r="BG70" i="216"/>
  <c r="BF70" i="216"/>
  <c r="BG69" i="216"/>
  <c r="BF69" i="216"/>
  <c r="BG68" i="216"/>
  <c r="BF68" i="216"/>
  <c r="BG67" i="216"/>
  <c r="BF67" i="216"/>
  <c r="BG64" i="216"/>
  <c r="BF64" i="216"/>
  <c r="BF65" i="216"/>
  <c r="BG63" i="216"/>
  <c r="BF63" i="216"/>
  <c r="BF62" i="216"/>
  <c r="BG62" i="216"/>
  <c r="BG61" i="216"/>
  <c r="BG60" i="216"/>
  <c r="BF60" i="216"/>
  <c r="BF58" i="216"/>
  <c r="BF59" i="216"/>
  <c r="BG59" i="216"/>
  <c r="BG58" i="216"/>
  <c r="BF56" i="216"/>
  <c r="BG55" i="216"/>
  <c r="BF55" i="216"/>
  <c r="BF54" i="216"/>
  <c r="BG52" i="216"/>
  <c r="BG51" i="216"/>
  <c r="BF51" i="216"/>
  <c r="BF48" i="216"/>
  <c r="BF49" i="216"/>
  <c r="BF50" i="216"/>
  <c r="BG49" i="216"/>
  <c r="BG47" i="216"/>
  <c r="BG46" i="216"/>
  <c r="BF46" i="216"/>
  <c r="BG45" i="216"/>
  <c r="BF45" i="216"/>
  <c r="BG44" i="216"/>
  <c r="BF44" i="216"/>
  <c r="BG43" i="216"/>
  <c r="BF43" i="216"/>
  <c r="BF42" i="216"/>
  <c r="BG42" i="216"/>
  <c r="BG40" i="216"/>
  <c r="BF40" i="216"/>
  <c r="BG39" i="216"/>
  <c r="BF39" i="216"/>
  <c r="BG38" i="216"/>
  <c r="BF38" i="216"/>
  <c r="BG37" i="216"/>
  <c r="BF37" i="216"/>
  <c r="BF36" i="216"/>
  <c r="BG34" i="216"/>
  <c r="BG33" i="216"/>
  <c r="BF33" i="216"/>
  <c r="BG32" i="216"/>
  <c r="BF32" i="216"/>
  <c r="BG31" i="216"/>
  <c r="BF31" i="216"/>
  <c r="BG30" i="216"/>
  <c r="BG29" i="216"/>
  <c r="BF29" i="216"/>
  <c r="BG28" i="216"/>
  <c r="BF28" i="216"/>
  <c r="BF27" i="216"/>
  <c r="BF30" i="216" s="1"/>
  <c r="BG27" i="216"/>
  <c r="BG25" i="216"/>
  <c r="BF25" i="216"/>
  <c r="BG24" i="216"/>
  <c r="BF24" i="216"/>
  <c r="BG23" i="216"/>
  <c r="BF23" i="216"/>
  <c r="BG20" i="216"/>
  <c r="BF20" i="216"/>
  <c r="BG19" i="216"/>
  <c r="BF19" i="216"/>
  <c r="BG18" i="216"/>
  <c r="BF18" i="216"/>
  <c r="BG17" i="216"/>
  <c r="BF17" i="216"/>
  <c r="BG15" i="216"/>
  <c r="BF15" i="216"/>
  <c r="BG14" i="216"/>
  <c r="BF14" i="216"/>
  <c r="BG13" i="216"/>
  <c r="BF13" i="216"/>
  <c r="BG12" i="216"/>
  <c r="BF12" i="216"/>
  <c r="BG11" i="216"/>
  <c r="BF11" i="216"/>
  <c r="BG9" i="216"/>
  <c r="BF9" i="216"/>
  <c r="BG8" i="216"/>
  <c r="BF8" i="216"/>
  <c r="BG7" i="216"/>
  <c r="BF7" i="216"/>
  <c r="BG6" i="216"/>
  <c r="BF6" i="216"/>
  <c r="BG5" i="216"/>
  <c r="BF5" i="216"/>
  <c r="F81" i="215"/>
  <c r="F80" i="215"/>
  <c r="F79" i="215"/>
  <c r="F78" i="215"/>
  <c r="F77" i="215"/>
  <c r="F76" i="215"/>
  <c r="F75" i="215"/>
  <c r="F74" i="215"/>
  <c r="F73" i="215"/>
  <c r="F72" i="215"/>
  <c r="F70" i="215"/>
  <c r="F69" i="215"/>
  <c r="F68" i="215"/>
  <c r="F67" i="215"/>
  <c r="F63" i="215"/>
  <c r="F62" i="215"/>
  <c r="F60" i="215"/>
  <c r="F59" i="215"/>
  <c r="F58" i="215"/>
  <c r="F56" i="215"/>
  <c r="F55" i="215"/>
  <c r="F54" i="215"/>
  <c r="F52" i="215"/>
  <c r="F51" i="215"/>
  <c r="F50" i="215"/>
  <c r="F49" i="215"/>
  <c r="F48" i="215"/>
  <c r="F46" i="215"/>
  <c r="F45" i="215"/>
  <c r="F44" i="215"/>
  <c r="F43" i="215"/>
  <c r="F42" i="215"/>
  <c r="F40" i="215"/>
  <c r="F39" i="215"/>
  <c r="F38" i="215"/>
  <c r="F37" i="215"/>
  <c r="F36" i="215"/>
  <c r="F33" i="215"/>
  <c r="F32" i="215"/>
  <c r="F31" i="215"/>
  <c r="F29" i="215"/>
  <c r="F28" i="215"/>
  <c r="F27" i="215"/>
  <c r="F25" i="215"/>
  <c r="F24" i="215"/>
  <c r="F23" i="215"/>
  <c r="F21" i="215"/>
  <c r="F20" i="215"/>
  <c r="F18" i="215"/>
  <c r="F17" i="215"/>
  <c r="F19" i="215"/>
  <c r="F16" i="215"/>
  <c r="F15" i="215"/>
  <c r="F14" i="215"/>
  <c r="F13" i="215"/>
  <c r="F12" i="215"/>
  <c r="F11" i="215"/>
  <c r="F9" i="215"/>
  <c r="F8" i="215"/>
  <c r="F7" i="215"/>
  <c r="F6" i="215"/>
  <c r="F5" i="215"/>
  <c r="AG81" i="214"/>
  <c r="AH81" i="214" s="1"/>
  <c r="AH80" i="214"/>
  <c r="AH79" i="214"/>
  <c r="AH78" i="214"/>
  <c r="AH77" i="214"/>
  <c r="AG76" i="214"/>
  <c r="AH76" i="214" s="1"/>
  <c r="AH75" i="214"/>
  <c r="AH74" i="214"/>
  <c r="AH73" i="214"/>
  <c r="AH72" i="214"/>
  <c r="AG71" i="214"/>
  <c r="AH71" i="214" s="1"/>
  <c r="AH70" i="214"/>
  <c r="AH69" i="214"/>
  <c r="AH68" i="214"/>
  <c r="AH67" i="214"/>
  <c r="AG65" i="214"/>
  <c r="AH65" i="214" s="1"/>
  <c r="AH64" i="214"/>
  <c r="AH63" i="214"/>
  <c r="AH62" i="214"/>
  <c r="AG61" i="214"/>
  <c r="AH61" i="214" s="1"/>
  <c r="AH60" i="214"/>
  <c r="AH59" i="214"/>
  <c r="AH58" i="214"/>
  <c r="AG57" i="214"/>
  <c r="AH57" i="214" s="1"/>
  <c r="AH56" i="214"/>
  <c r="AH55" i="214"/>
  <c r="AH54" i="214"/>
  <c r="AH51" i="214"/>
  <c r="AH50" i="214"/>
  <c r="AH49" i="214"/>
  <c r="AH48" i="214"/>
  <c r="AG47" i="214"/>
  <c r="AH47" i="214" s="1"/>
  <c r="AH46" i="214"/>
  <c r="AH45" i="214"/>
  <c r="AH44" i="214"/>
  <c r="AH43" i="214"/>
  <c r="AH42" i="214"/>
  <c r="AG41" i="214"/>
  <c r="AH40" i="214"/>
  <c r="AH39" i="214"/>
  <c r="AH38" i="214"/>
  <c r="AH37" i="214"/>
  <c r="AH36" i="214"/>
  <c r="AG34" i="214"/>
  <c r="AH34" i="214" s="1"/>
  <c r="AH33" i="214"/>
  <c r="AH32" i="214"/>
  <c r="AH31" i="214"/>
  <c r="AG30" i="214"/>
  <c r="AH30" i="214" s="1"/>
  <c r="AH29" i="214"/>
  <c r="AH28" i="214"/>
  <c r="AH27" i="214"/>
  <c r="AG26" i="214"/>
  <c r="AH26" i="214" s="1"/>
  <c r="AH25" i="214"/>
  <c r="AH24" i="214"/>
  <c r="AH23" i="214"/>
  <c r="AH21" i="214"/>
  <c r="AH20" i="214"/>
  <c r="AH19" i="214"/>
  <c r="AH18" i="214"/>
  <c r="AH17" i="214"/>
  <c r="AG16" i="214"/>
  <c r="AH16" i="214"/>
  <c r="AH15" i="214"/>
  <c r="AH14" i="214"/>
  <c r="AH13" i="214"/>
  <c r="AH12" i="214"/>
  <c r="AH11" i="214"/>
  <c r="AG10" i="214"/>
  <c r="AH10" i="214" s="1"/>
  <c r="AH9" i="214"/>
  <c r="AH8" i="214"/>
  <c r="AH7" i="214"/>
  <c r="AH6" i="214"/>
  <c r="AH5" i="214"/>
  <c r="BD82" i="216"/>
  <c r="BD84" i="216"/>
  <c r="BE82" i="216"/>
  <c r="BE84" i="216"/>
  <c r="BF81" i="216"/>
  <c r="BF82" i="216"/>
  <c r="BC82" i="216"/>
  <c r="BC84" i="216" s="1"/>
  <c r="BG76" i="216"/>
  <c r="BG71" i="216"/>
  <c r="BG65" i="216"/>
  <c r="BG41" i="216"/>
  <c r="BG21" i="216"/>
  <c r="BG16" i="216"/>
  <c r="BG53" i="216"/>
  <c r="BF71" i="216"/>
  <c r="BG10" i="216"/>
  <c r="BG26" i="216"/>
  <c r="BG57" i="216"/>
  <c r="F57" i="215"/>
  <c r="F41" i="215"/>
  <c r="D82" i="215"/>
  <c r="F10" i="215"/>
  <c r="F26" i="215"/>
  <c r="AF82" i="214"/>
  <c r="AF84" i="214" s="1"/>
  <c r="G30" i="269"/>
  <c r="F30" i="269"/>
  <c r="E30" i="269"/>
  <c r="D30" i="269"/>
  <c r="H29" i="269"/>
  <c r="I29" i="269" s="1"/>
  <c r="H28" i="269"/>
  <c r="H27" i="269"/>
  <c r="I27" i="269"/>
  <c r="G25" i="269"/>
  <c r="F25" i="269"/>
  <c r="H24" i="269"/>
  <c r="J24" i="269"/>
  <c r="H23" i="269"/>
  <c r="J23" i="269" s="1"/>
  <c r="H22" i="269"/>
  <c r="I22" i="269"/>
  <c r="J22" i="269"/>
  <c r="G20" i="269"/>
  <c r="F20" i="269"/>
  <c r="E20" i="269"/>
  <c r="D20" i="269"/>
  <c r="H19" i="269"/>
  <c r="J19" i="269" s="1"/>
  <c r="H18" i="269"/>
  <c r="J18" i="269"/>
  <c r="H17" i="269"/>
  <c r="J17" i="269" s="1"/>
  <c r="G15" i="269"/>
  <c r="F15" i="269"/>
  <c r="D15" i="269"/>
  <c r="H14" i="269"/>
  <c r="H13" i="269"/>
  <c r="I13" i="269"/>
  <c r="H12" i="269"/>
  <c r="I12" i="269" s="1"/>
  <c r="G10" i="269"/>
  <c r="F10" i="269"/>
  <c r="E10" i="269"/>
  <c r="D10" i="269"/>
  <c r="H9" i="269"/>
  <c r="H8" i="269"/>
  <c r="J8" i="269"/>
  <c r="H7" i="269"/>
  <c r="BG66" i="216"/>
  <c r="BG35" i="216"/>
  <c r="BG22" i="216"/>
  <c r="AU29" i="223"/>
  <c r="AS29" i="223"/>
  <c r="AT29" i="223"/>
  <c r="AU24" i="223"/>
  <c r="AT24" i="223"/>
  <c r="AS24" i="223"/>
  <c r="AU19" i="223"/>
  <c r="AT19" i="223"/>
  <c r="AS19" i="223"/>
  <c r="AU14" i="223"/>
  <c r="AT14" i="223"/>
  <c r="AS14" i="223"/>
  <c r="AW14" i="223" s="1"/>
  <c r="AU9" i="223"/>
  <c r="AT9" i="223"/>
  <c r="AS9" i="223"/>
  <c r="AU36" i="223"/>
  <c r="AT36" i="223"/>
  <c r="AS36" i="223"/>
  <c r="AU35" i="223"/>
  <c r="AT35" i="223"/>
  <c r="AV35" i="223" s="1"/>
  <c r="AW35" i="223" s="1"/>
  <c r="AS35" i="223"/>
  <c r="AU34" i="223"/>
  <c r="AT34" i="223"/>
  <c r="AS34" i="223"/>
  <c r="AU33" i="223"/>
  <c r="AS33" i="223"/>
  <c r="AT33" i="223"/>
  <c r="AU32" i="223"/>
  <c r="AT32" i="223"/>
  <c r="AS32" i="223"/>
  <c r="AS37" i="223" s="1"/>
  <c r="AU31" i="223"/>
  <c r="AT31" i="223"/>
  <c r="AS31" i="223"/>
  <c r="AV7" i="223"/>
  <c r="AW7" i="223"/>
  <c r="AV8" i="223"/>
  <c r="AW8" i="223"/>
  <c r="AV11" i="223"/>
  <c r="AW11" i="223" s="1"/>
  <c r="AV12" i="223"/>
  <c r="AW12" i="223"/>
  <c r="AV13" i="223"/>
  <c r="AW13" i="223"/>
  <c r="AV16" i="223"/>
  <c r="AW16" i="223"/>
  <c r="AV17" i="223"/>
  <c r="AW17" i="223" s="1"/>
  <c r="AV18" i="223"/>
  <c r="AW18" i="223"/>
  <c r="AV21" i="223"/>
  <c r="AW21" i="223"/>
  <c r="AV22" i="223"/>
  <c r="AW22" i="223"/>
  <c r="AV23" i="223"/>
  <c r="AW23" i="223" s="1"/>
  <c r="AV26" i="223"/>
  <c r="AW26" i="223"/>
  <c r="AV27" i="223"/>
  <c r="AW27" i="223"/>
  <c r="AV28" i="223"/>
  <c r="AW28" i="223"/>
  <c r="AV6" i="223"/>
  <c r="AW6" i="223" s="1"/>
  <c r="I149" i="232"/>
  <c r="H149" i="232"/>
  <c r="J149" i="232" s="1"/>
  <c r="E149" i="232"/>
  <c r="D149" i="232"/>
  <c r="C149" i="232"/>
  <c r="J147" i="232"/>
  <c r="F147" i="232"/>
  <c r="J145" i="232"/>
  <c r="F145" i="232"/>
  <c r="J143" i="232"/>
  <c r="L143" i="232" s="1"/>
  <c r="F143" i="232"/>
  <c r="J141" i="232"/>
  <c r="F141" i="232"/>
  <c r="J139" i="232"/>
  <c r="F139" i="232"/>
  <c r="J137" i="232"/>
  <c r="F137" i="232"/>
  <c r="P801" i="213"/>
  <c r="P800" i="213"/>
  <c r="P799" i="213"/>
  <c r="P798" i="213"/>
  <c r="P797" i="213"/>
  <c r="P796" i="213"/>
  <c r="P794" i="213"/>
  <c r="P793" i="213"/>
  <c r="P792" i="213"/>
  <c r="P791" i="213"/>
  <c r="P790" i="213"/>
  <c r="P789" i="213"/>
  <c r="P788" i="213"/>
  <c r="P787" i="213"/>
  <c r="P785" i="213"/>
  <c r="P784" i="213"/>
  <c r="P783" i="213"/>
  <c r="P782" i="213"/>
  <c r="P781" i="213"/>
  <c r="P780" i="213"/>
  <c r="P779" i="213"/>
  <c r="P778" i="213"/>
  <c r="P777" i="213"/>
  <c r="P776" i="213"/>
  <c r="P775" i="213"/>
  <c r="P774" i="213"/>
  <c r="P773" i="213"/>
  <c r="P772" i="213"/>
  <c r="P771" i="213"/>
  <c r="P769" i="213"/>
  <c r="P768" i="213"/>
  <c r="P767" i="213"/>
  <c r="P766" i="213"/>
  <c r="P765" i="213"/>
  <c r="P764" i="213"/>
  <c r="P763" i="213"/>
  <c r="P762" i="213"/>
  <c r="P761" i="213"/>
  <c r="P760" i="213"/>
  <c r="P759" i="213"/>
  <c r="P758" i="213"/>
  <c r="P757" i="213"/>
  <c r="P756" i="213"/>
  <c r="P755" i="213"/>
  <c r="P754" i="213"/>
  <c r="P753" i="213"/>
  <c r="P752" i="213"/>
  <c r="P751" i="213"/>
  <c r="P750" i="213"/>
  <c r="P749" i="213"/>
  <c r="P748" i="213"/>
  <c r="P747" i="213"/>
  <c r="P746" i="213"/>
  <c r="P744" i="213"/>
  <c r="P743" i="213"/>
  <c r="P742" i="213"/>
  <c r="P741" i="213"/>
  <c r="P740" i="213"/>
  <c r="P739" i="213"/>
  <c r="P738" i="213"/>
  <c r="P737" i="213"/>
  <c r="P736" i="213"/>
  <c r="P735" i="213"/>
  <c r="P734" i="213"/>
  <c r="P733" i="213"/>
  <c r="P732" i="213"/>
  <c r="P731" i="213"/>
  <c r="P730" i="213"/>
  <c r="P728" i="213"/>
  <c r="P727" i="213"/>
  <c r="P726" i="213"/>
  <c r="P725" i="213"/>
  <c r="P724" i="213"/>
  <c r="P723" i="213"/>
  <c r="P721" i="213"/>
  <c r="P720" i="213"/>
  <c r="P719" i="213"/>
  <c r="P716" i="213"/>
  <c r="P715" i="213"/>
  <c r="P714" i="213"/>
  <c r="P713" i="213"/>
  <c r="P712" i="213"/>
  <c r="P711" i="213"/>
  <c r="P710" i="213"/>
  <c r="P709" i="213"/>
  <c r="P708" i="213"/>
  <c r="P707" i="213"/>
  <c r="P706" i="213"/>
  <c r="P705" i="213"/>
  <c r="P704" i="213"/>
  <c r="P703" i="213"/>
  <c r="P702" i="213"/>
  <c r="P701" i="213"/>
  <c r="P700" i="213"/>
  <c r="P699" i="213"/>
  <c r="P698" i="213"/>
  <c r="P697" i="213"/>
  <c r="P696" i="213"/>
  <c r="P695" i="213"/>
  <c r="P694" i="213"/>
  <c r="P693" i="213"/>
  <c r="P692" i="213"/>
  <c r="P691" i="213"/>
  <c r="P690" i="213"/>
  <c r="P688" i="213"/>
  <c r="P686" i="213"/>
  <c r="P685" i="213"/>
  <c r="P684" i="213"/>
  <c r="P683" i="213"/>
  <c r="J678" i="213"/>
  <c r="S677" i="213"/>
  <c r="K672" i="213"/>
  <c r="N672" i="213" s="1"/>
  <c r="N671" i="213"/>
  <c r="N670" i="213"/>
  <c r="N669" i="213"/>
  <c r="N668" i="213"/>
  <c r="N569" i="212"/>
  <c r="M569" i="212"/>
  <c r="L569" i="212"/>
  <c r="R568" i="212"/>
  <c r="R567" i="212"/>
  <c r="R566" i="212"/>
  <c r="R565" i="212"/>
  <c r="R564" i="212"/>
  <c r="R563" i="212"/>
  <c r="R562" i="212"/>
  <c r="R561" i="212"/>
  <c r="R560" i="212"/>
  <c r="R559" i="212"/>
  <c r="R558" i="212"/>
  <c r="R557" i="212"/>
  <c r="R556" i="212"/>
  <c r="R555" i="212"/>
  <c r="R554" i="212"/>
  <c r="R553" i="212"/>
  <c r="R552" i="212"/>
  <c r="R551" i="212"/>
  <c r="R550" i="212"/>
  <c r="R549" i="212"/>
  <c r="R548" i="212"/>
  <c r="R547" i="212"/>
  <c r="R546" i="212"/>
  <c r="R545" i="212"/>
  <c r="R544" i="212"/>
  <c r="R543" i="212"/>
  <c r="R542" i="212"/>
  <c r="R541" i="212"/>
  <c r="R540" i="212"/>
  <c r="R539" i="212"/>
  <c r="R538" i="212"/>
  <c r="R537" i="212"/>
  <c r="R536" i="212"/>
  <c r="R535" i="212"/>
  <c r="R534" i="212"/>
  <c r="R533" i="212"/>
  <c r="R532" i="212"/>
  <c r="R531" i="212"/>
  <c r="R530" i="212"/>
  <c r="R529" i="212"/>
  <c r="R528" i="212"/>
  <c r="R527" i="212"/>
  <c r="R526" i="212"/>
  <c r="R525" i="212"/>
  <c r="R524" i="212"/>
  <c r="R523" i="212"/>
  <c r="R522" i="212"/>
  <c r="R521" i="212"/>
  <c r="R520" i="212"/>
  <c r="R519" i="212"/>
  <c r="R518" i="212"/>
  <c r="R517" i="212"/>
  <c r="R516" i="212"/>
  <c r="R515" i="212"/>
  <c r="R514" i="212"/>
  <c r="R513" i="212"/>
  <c r="R512" i="212"/>
  <c r="R511" i="212"/>
  <c r="R510" i="212"/>
  <c r="R509" i="212"/>
  <c r="R508" i="212"/>
  <c r="R507" i="212"/>
  <c r="R506" i="212"/>
  <c r="R505" i="212"/>
  <c r="R504" i="212"/>
  <c r="R503" i="212"/>
  <c r="R502" i="212"/>
  <c r="R501" i="212"/>
  <c r="R500" i="212"/>
  <c r="R499" i="212"/>
  <c r="M495" i="212"/>
  <c r="I28" i="273"/>
  <c r="I23" i="273"/>
  <c r="I19" i="273"/>
  <c r="I14" i="273"/>
  <c r="I8" i="273"/>
  <c r="C825" i="238"/>
  <c r="C815" i="238"/>
  <c r="B815" i="238"/>
  <c r="B814" i="238"/>
  <c r="B813" i="238"/>
  <c r="B811" i="238"/>
  <c r="C810" i="238"/>
  <c r="B810" i="238"/>
  <c r="C808" i="238"/>
  <c r="B808" i="238"/>
  <c r="C798" i="238"/>
  <c r="B798" i="238"/>
  <c r="C796" i="238"/>
  <c r="B796" i="238"/>
  <c r="C793" i="238"/>
  <c r="C791" i="238"/>
  <c r="C789" i="238"/>
  <c r="C787" i="238"/>
  <c r="H784" i="238"/>
  <c r="G784" i="238"/>
  <c r="C784" i="238"/>
  <c r="B784" i="238"/>
  <c r="C780" i="238"/>
  <c r="B780" i="238"/>
  <c r="B767" i="238"/>
  <c r="B762" i="238"/>
  <c r="B754" i="238"/>
  <c r="C753" i="238"/>
  <c r="C770" i="238" s="1"/>
  <c r="B753" i="238"/>
  <c r="B752" i="238"/>
  <c r="B748" i="238"/>
  <c r="B745" i="238"/>
  <c r="B737" i="238"/>
  <c r="F737" i="238" s="1"/>
  <c r="C734" i="238"/>
  <c r="C737" i="238" s="1"/>
  <c r="C730" i="238"/>
  <c r="G717" i="238"/>
  <c r="H711" i="238"/>
  <c r="H717" i="238" s="1"/>
  <c r="C700" i="238"/>
  <c r="B700" i="238"/>
  <c r="C699" i="238"/>
  <c r="B699" i="238"/>
  <c r="C698" i="238"/>
  <c r="B698" i="238"/>
  <c r="C697" i="238"/>
  <c r="B697" i="238"/>
  <c r="C696" i="238"/>
  <c r="B696" i="238"/>
  <c r="C695" i="238"/>
  <c r="B695" i="238"/>
  <c r="C689" i="238"/>
  <c r="B689" i="238"/>
  <c r="C687" i="238"/>
  <c r="B687" i="238"/>
  <c r="C686" i="238"/>
  <c r="B686" i="238"/>
  <c r="C685" i="238"/>
  <c r="B685" i="238"/>
  <c r="C682" i="238"/>
  <c r="B682" i="238"/>
  <c r="C681" i="238"/>
  <c r="B681" i="238"/>
  <c r="C675" i="238"/>
  <c r="B675" i="238"/>
  <c r="C674" i="238"/>
  <c r="B674" i="238"/>
  <c r="C672" i="238"/>
  <c r="C701" i="238" s="1"/>
  <c r="B672" i="238"/>
  <c r="B666" i="238"/>
  <c r="F667" i="238" s="1"/>
  <c r="C664" i="238"/>
  <c r="C662" i="238"/>
  <c r="G661" i="238"/>
  <c r="G664" i="238" s="1"/>
  <c r="C661" i="238"/>
  <c r="C660" i="238"/>
  <c r="H659" i="238"/>
  <c r="H664" i="238" s="1"/>
  <c r="G659" i="238"/>
  <c r="C659" i="238"/>
  <c r="C658" i="238"/>
  <c r="C657" i="238"/>
  <c r="C654" i="238"/>
  <c r="C653" i="238"/>
  <c r="C652" i="238"/>
  <c r="C651" i="238"/>
  <c r="C650" i="238"/>
  <c r="C649" i="238"/>
  <c r="C648" i="238"/>
  <c r="C647" i="238"/>
  <c r="C646" i="238"/>
  <c r="C645" i="238"/>
  <c r="C644" i="238"/>
  <c r="C643" i="238"/>
  <c r="C641" i="238"/>
  <c r="C640" i="238"/>
  <c r="C639" i="238"/>
  <c r="C638" i="238"/>
  <c r="C630" i="238"/>
  <c r="B630" i="238"/>
  <c r="C629" i="238"/>
  <c r="B629" i="238"/>
  <c r="C628" i="238"/>
  <c r="B628" i="238"/>
  <c r="C627" i="238"/>
  <c r="B627" i="238"/>
  <c r="C626" i="238"/>
  <c r="B626" i="238"/>
  <c r="C625" i="238"/>
  <c r="B625" i="238"/>
  <c r="C624" i="238"/>
  <c r="B624" i="238"/>
  <c r="C623" i="238"/>
  <c r="B623" i="238"/>
  <c r="C620" i="238"/>
  <c r="B620" i="238"/>
  <c r="C616" i="238"/>
  <c r="B616" i="238"/>
  <c r="C615" i="238"/>
  <c r="B615" i="238"/>
  <c r="C614" i="238"/>
  <c r="B614" i="238"/>
  <c r="C613" i="238"/>
  <c r="B613" i="238"/>
  <c r="C610" i="238"/>
  <c r="B610" i="238"/>
  <c r="C609" i="238"/>
  <c r="B609" i="238"/>
  <c r="C608" i="238"/>
  <c r="B608" i="238"/>
  <c r="C603" i="238"/>
  <c r="B603" i="238"/>
  <c r="C602" i="238"/>
  <c r="B602" i="238"/>
  <c r="B600" i="238"/>
  <c r="C600" i="238" s="1"/>
  <c r="C599" i="238"/>
  <c r="B599" i="238"/>
  <c r="C598" i="238"/>
  <c r="B598" i="238"/>
  <c r="C597" i="238"/>
  <c r="B597" i="238"/>
  <c r="C596" i="238"/>
  <c r="B596" i="238"/>
  <c r="C590" i="238"/>
  <c r="B590" i="238"/>
  <c r="E590" i="238" s="1"/>
  <c r="G582" i="238"/>
  <c r="H566" i="238"/>
  <c r="H582" i="238" s="1"/>
  <c r="C557" i="238"/>
  <c r="B557" i="238"/>
  <c r="C555" i="238"/>
  <c r="B555" i="238"/>
  <c r="C554" i="238"/>
  <c r="B554" i="238"/>
  <c r="C549" i="238"/>
  <c r="B549" i="238"/>
  <c r="C544" i="238"/>
  <c r="B544" i="238"/>
  <c r="C542" i="238"/>
  <c r="B542" i="238"/>
  <c r="C541" i="238"/>
  <c r="B541" i="238"/>
  <c r="C540" i="238"/>
  <c r="B540" i="238"/>
  <c r="C539" i="238"/>
  <c r="B539" i="238"/>
  <c r="C537" i="238"/>
  <c r="B537" i="238"/>
  <c r="C531" i="238"/>
  <c r="B531" i="238"/>
  <c r="H523" i="238"/>
  <c r="G523" i="238"/>
  <c r="C522" i="238"/>
  <c r="B522" i="238"/>
  <c r="C518" i="238"/>
  <c r="B518" i="238"/>
  <c r="C512" i="238"/>
  <c r="B512" i="238"/>
  <c r="C511" i="238"/>
  <c r="B511" i="238"/>
  <c r="C510" i="238"/>
  <c r="B510" i="238"/>
  <c r="C509" i="238"/>
  <c r="B509" i="238"/>
  <c r="C506" i="238"/>
  <c r="B506" i="238"/>
  <c r="C505" i="238"/>
  <c r="B505" i="238"/>
  <c r="C496" i="238"/>
  <c r="B496" i="238"/>
  <c r="C460" i="238"/>
  <c r="B460" i="238"/>
  <c r="E460" i="238" s="1"/>
  <c r="H446" i="238"/>
  <c r="G446" i="238"/>
  <c r="BQ24" i="255"/>
  <c r="BQ25" i="255"/>
  <c r="BQ49" i="255"/>
  <c r="BQ53" i="255" s="1"/>
  <c r="BQ48" i="255"/>
  <c r="BQ46" i="255"/>
  <c r="BQ45" i="255"/>
  <c r="BQ43" i="255"/>
  <c r="BQ42" i="255"/>
  <c r="BQ41" i="255"/>
  <c r="BQ39" i="255"/>
  <c r="BQ38" i="255"/>
  <c r="BQ35" i="255"/>
  <c r="BQ34" i="255"/>
  <c r="BQ33" i="255"/>
  <c r="BQ31" i="255"/>
  <c r="BQ30" i="255"/>
  <c r="BQ29" i="255"/>
  <c r="BQ28" i="255"/>
  <c r="BQ27" i="255"/>
  <c r="BQ23" i="255"/>
  <c r="BQ22" i="255"/>
  <c r="BQ21" i="255"/>
  <c r="BQ20" i="255"/>
  <c r="BQ17" i="255"/>
  <c r="BQ11" i="255"/>
  <c r="BQ16" i="255"/>
  <c r="BQ12" i="255"/>
  <c r="BQ7" i="255"/>
  <c r="BQ9" i="255" s="1"/>
  <c r="BQ81" i="254"/>
  <c r="BQ80" i="254"/>
  <c r="BQ68" i="254"/>
  <c r="BQ69" i="254"/>
  <c r="BQ70" i="254"/>
  <c r="BQ66" i="254"/>
  <c r="BQ71" i="254" s="1"/>
  <c r="BQ61" i="254"/>
  <c r="BQ62" i="254"/>
  <c r="BQ56" i="254"/>
  <c r="BQ57" i="254"/>
  <c r="BQ58" i="254"/>
  <c r="BQ59" i="254"/>
  <c r="BQ50" i="254"/>
  <c r="BQ51" i="254"/>
  <c r="BQ40" i="254"/>
  <c r="BQ41" i="254"/>
  <c r="BQ35" i="254"/>
  <c r="BQ30" i="254"/>
  <c r="BQ15" i="254"/>
  <c r="BQ14" i="254"/>
  <c r="BQ13" i="254"/>
  <c r="BQ12" i="254"/>
  <c r="BQ11" i="254"/>
  <c r="BQ17" i="254"/>
  <c r="BQ21" i="254"/>
  <c r="BQ24" i="254"/>
  <c r="BQ67" i="254"/>
  <c r="BQ65" i="254"/>
  <c r="BQ55" i="254"/>
  <c r="BQ54" i="254"/>
  <c r="BQ53" i="254"/>
  <c r="BQ49" i="254"/>
  <c r="BQ48" i="254"/>
  <c r="BQ47" i="254"/>
  <c r="BQ46" i="254"/>
  <c r="BQ45" i="254"/>
  <c r="BQ44" i="254"/>
  <c r="BQ39" i="254"/>
  <c r="BQ38" i="254"/>
  <c r="BQ36" i="254"/>
  <c r="BQ34" i="254"/>
  <c r="BQ33" i="254"/>
  <c r="BQ32" i="254"/>
  <c r="BQ29" i="254"/>
  <c r="BQ28" i="254"/>
  <c r="BQ27" i="254"/>
  <c r="BQ26" i="254"/>
  <c r="BQ25" i="254"/>
  <c r="BQ20" i="254"/>
  <c r="BQ19" i="254"/>
  <c r="BQ18" i="254"/>
  <c r="BQ9" i="254"/>
  <c r="BQ8" i="254"/>
  <c r="BQ7" i="254"/>
  <c r="BQ6" i="254"/>
  <c r="BQ15" i="253"/>
  <c r="BQ7" i="253"/>
  <c r="BQ32" i="253" s="1"/>
  <c r="BQ12" i="253"/>
  <c r="BQ13" i="253"/>
  <c r="BQ14" i="253"/>
  <c r="BQ18" i="253"/>
  <c r="BQ19" i="253"/>
  <c r="BQ20" i="253"/>
  <c r="BQ22" i="253"/>
  <c r="BQ24" i="253"/>
  <c r="BQ25" i="253"/>
  <c r="BQ26" i="253"/>
  <c r="BQ6" i="253"/>
  <c r="FF202" i="252"/>
  <c r="FF192" i="252"/>
  <c r="FF187" i="252"/>
  <c r="FF183" i="252"/>
  <c r="FF179" i="252"/>
  <c r="FF174" i="252"/>
  <c r="FF169" i="252"/>
  <c r="FF163" i="252"/>
  <c r="FF159" i="252"/>
  <c r="FF155" i="252"/>
  <c r="FF149" i="252"/>
  <c r="FF143" i="252"/>
  <c r="FF139" i="252"/>
  <c r="FF130" i="252"/>
  <c r="FF123" i="252"/>
  <c r="FF119" i="252"/>
  <c r="FF114" i="252"/>
  <c r="FF107" i="252"/>
  <c r="FF101" i="252"/>
  <c r="FF96" i="252"/>
  <c r="FF90" i="252"/>
  <c r="FF85" i="252"/>
  <c r="FF79" i="252"/>
  <c r="FF75" i="252"/>
  <c r="FF67" i="252"/>
  <c r="FF61" i="252"/>
  <c r="FF58" i="252"/>
  <c r="FF51" i="252"/>
  <c r="FF47" i="252"/>
  <c r="FF45" i="252"/>
  <c r="FF38" i="252"/>
  <c r="FF34" i="252"/>
  <c r="FF31" i="252"/>
  <c r="FF24" i="252"/>
  <c r="FF22" i="252"/>
  <c r="FF20" i="252"/>
  <c r="FF16" i="252"/>
  <c r="FF12" i="252"/>
  <c r="FF9" i="252"/>
  <c r="DW343" i="251"/>
  <c r="DW334" i="251"/>
  <c r="DW325" i="251"/>
  <c r="DW322" i="251"/>
  <c r="DW315" i="251"/>
  <c r="DW310" i="251"/>
  <c r="DW305" i="251"/>
  <c r="DW299" i="251"/>
  <c r="DW293" i="251"/>
  <c r="DW286" i="251"/>
  <c r="DW281" i="251"/>
  <c r="DW276" i="251"/>
  <c r="DW269" i="251"/>
  <c r="DW265" i="251"/>
  <c r="DW259" i="251"/>
  <c r="DW253" i="251"/>
  <c r="DW248" i="251"/>
  <c r="DW246" i="251"/>
  <c r="DW240" i="251"/>
  <c r="DW235" i="251"/>
  <c r="DW231" i="251"/>
  <c r="DW226" i="251"/>
  <c r="DW221" i="251"/>
  <c r="DW219" i="251"/>
  <c r="DW211" i="251"/>
  <c r="DW207" i="251"/>
  <c r="DW202" i="251"/>
  <c r="DW194" i="251"/>
  <c r="DW187" i="251"/>
  <c r="DW182" i="251"/>
  <c r="DW177" i="251"/>
  <c r="DW171" i="251"/>
  <c r="DW164" i="251"/>
  <c r="DW157" i="251"/>
  <c r="DW153" i="251"/>
  <c r="DW147" i="251"/>
  <c r="DW141" i="251"/>
  <c r="DW136" i="251"/>
  <c r="DW128" i="251"/>
  <c r="DW122" i="251"/>
  <c r="DW116" i="251"/>
  <c r="DW112" i="251"/>
  <c r="DW107" i="251"/>
  <c r="DW101" i="251"/>
  <c r="DW94" i="251"/>
  <c r="DW89" i="251"/>
  <c r="DW67" i="251"/>
  <c r="DW45" i="251"/>
  <c r="DW41" i="251"/>
  <c r="DW27" i="251"/>
  <c r="DW19" i="251"/>
  <c r="DW13" i="251"/>
  <c r="DJ94" i="250"/>
  <c r="DJ86" i="250"/>
  <c r="DJ81" i="250"/>
  <c r="DJ76" i="250"/>
  <c r="DJ71" i="250"/>
  <c r="DJ66" i="250"/>
  <c r="DJ62" i="250"/>
  <c r="DJ52" i="250"/>
  <c r="DJ46" i="250"/>
  <c r="DJ40" i="250"/>
  <c r="DJ34" i="250"/>
  <c r="DJ29" i="250"/>
  <c r="DJ24" i="250"/>
  <c r="DJ19" i="250"/>
  <c r="DJ14" i="250"/>
  <c r="DJ11" i="250"/>
  <c r="CG106" i="274"/>
  <c r="CG105" i="274"/>
  <c r="CG7" i="274"/>
  <c r="CG8" i="274"/>
  <c r="CG9" i="274"/>
  <c r="CG10" i="274"/>
  <c r="CG11" i="274"/>
  <c r="CG12" i="274"/>
  <c r="CG13" i="274"/>
  <c r="CG14" i="274"/>
  <c r="CG15" i="274"/>
  <c r="CG16" i="274"/>
  <c r="CG17" i="274"/>
  <c r="CG18" i="274"/>
  <c r="CG19" i="274"/>
  <c r="CG20" i="274"/>
  <c r="CG21" i="274"/>
  <c r="CG22" i="274"/>
  <c r="CG23" i="274"/>
  <c r="CG24" i="274"/>
  <c r="CG25" i="274"/>
  <c r="CG26" i="274"/>
  <c r="CG27" i="274"/>
  <c r="CG28" i="274"/>
  <c r="CG29" i="274"/>
  <c r="CG30" i="274"/>
  <c r="CG31" i="274"/>
  <c r="CG32" i="274"/>
  <c r="CG33" i="274"/>
  <c r="CG34" i="274"/>
  <c r="CG35" i="274"/>
  <c r="CG36" i="274"/>
  <c r="CG37" i="274"/>
  <c r="CG38" i="274"/>
  <c r="CG39" i="274"/>
  <c r="CG40" i="274"/>
  <c r="CG41" i="274"/>
  <c r="CG42" i="274"/>
  <c r="CG43" i="274"/>
  <c r="CG44" i="274"/>
  <c r="CG45" i="274"/>
  <c r="CG46" i="274"/>
  <c r="CG47" i="274"/>
  <c r="CG48" i="274"/>
  <c r="CG49" i="274"/>
  <c r="CG50" i="274"/>
  <c r="CG51" i="274"/>
  <c r="CG52" i="274"/>
  <c r="CG53" i="274"/>
  <c r="CG54" i="274"/>
  <c r="CG55" i="274"/>
  <c r="CG56" i="274"/>
  <c r="CG57" i="274"/>
  <c r="CG58" i="274"/>
  <c r="CG59" i="274"/>
  <c r="CG60" i="274"/>
  <c r="CG61" i="274"/>
  <c r="CG62" i="274"/>
  <c r="CG63" i="274"/>
  <c r="CG64" i="274"/>
  <c r="CG65" i="274"/>
  <c r="CG66" i="274"/>
  <c r="CG67" i="274"/>
  <c r="CG68" i="274"/>
  <c r="CG69" i="274"/>
  <c r="CG70" i="274"/>
  <c r="CG71" i="274"/>
  <c r="CG72" i="274"/>
  <c r="CG73" i="274"/>
  <c r="CG74" i="274"/>
  <c r="CG75" i="274"/>
  <c r="CG76" i="274"/>
  <c r="CG77" i="274"/>
  <c r="CG78" i="274"/>
  <c r="CG79" i="274"/>
  <c r="CG80" i="274"/>
  <c r="CG81" i="274"/>
  <c r="CG82" i="274"/>
  <c r="CG83" i="274"/>
  <c r="CG84" i="274"/>
  <c r="CG85" i="274"/>
  <c r="CG86" i="274"/>
  <c r="CG87" i="274"/>
  <c r="CG88" i="274"/>
  <c r="CG89" i="274"/>
  <c r="CG90" i="274"/>
  <c r="CG91" i="274"/>
  <c r="CG92" i="274"/>
  <c r="CG93" i="274"/>
  <c r="CG94" i="274"/>
  <c r="CG95" i="274"/>
  <c r="CG97" i="274"/>
  <c r="CG98" i="274"/>
  <c r="CG99" i="274"/>
  <c r="CG101" i="274"/>
  <c r="CG6" i="274"/>
  <c r="GP101" i="262"/>
  <c r="GP100" i="262"/>
  <c r="GP99" i="262"/>
  <c r="GP98" i="262"/>
  <c r="GP97" i="262"/>
  <c r="GP96" i="262"/>
  <c r="GP95" i="262"/>
  <c r="GP94" i="262"/>
  <c r="GP93" i="262"/>
  <c r="GP92" i="262"/>
  <c r="GP91" i="262"/>
  <c r="GP90" i="262"/>
  <c r="GP89" i="262"/>
  <c r="GP88" i="262"/>
  <c r="GP87" i="262"/>
  <c r="GP86" i="262"/>
  <c r="GP85" i="262"/>
  <c r="GP84" i="262"/>
  <c r="GP83" i="262"/>
  <c r="GP82" i="262"/>
  <c r="GP81" i="262"/>
  <c r="GP80" i="262"/>
  <c r="GP79" i="262"/>
  <c r="GP78" i="262"/>
  <c r="GP77" i="262"/>
  <c r="GP76" i="262"/>
  <c r="GP75" i="262"/>
  <c r="GP74" i="262"/>
  <c r="GP73" i="262"/>
  <c r="GP72" i="262"/>
  <c r="GP71" i="262"/>
  <c r="GP70" i="262"/>
  <c r="GP69" i="262"/>
  <c r="GP68" i="262"/>
  <c r="GP67" i="262"/>
  <c r="GP66" i="262"/>
  <c r="GP65" i="262"/>
  <c r="GP64" i="262"/>
  <c r="GP63" i="262"/>
  <c r="GP62" i="262"/>
  <c r="GP61" i="262"/>
  <c r="GP60" i="262"/>
  <c r="GP59" i="262"/>
  <c r="GP58" i="262"/>
  <c r="GP57" i="262"/>
  <c r="GP56" i="262"/>
  <c r="GP55" i="262"/>
  <c r="GP54" i="262"/>
  <c r="GP53" i="262"/>
  <c r="GP52" i="262"/>
  <c r="GP51" i="262"/>
  <c r="GP50" i="262"/>
  <c r="GP49" i="262"/>
  <c r="GP48" i="262"/>
  <c r="GP47" i="262"/>
  <c r="GP46" i="262"/>
  <c r="GP45" i="262"/>
  <c r="GP44" i="262"/>
  <c r="GP43" i="262"/>
  <c r="GP42" i="262"/>
  <c r="GP41" i="262"/>
  <c r="GP40" i="262"/>
  <c r="GP39" i="262"/>
  <c r="GP38" i="262"/>
  <c r="GP37" i="262"/>
  <c r="GP36" i="262"/>
  <c r="GP35" i="262"/>
  <c r="GP34" i="262"/>
  <c r="GP33" i="262"/>
  <c r="GP32" i="262"/>
  <c r="GP31" i="262"/>
  <c r="GP30" i="262"/>
  <c r="GP29" i="262"/>
  <c r="GP28" i="262"/>
  <c r="GP27" i="262"/>
  <c r="GP26" i="262"/>
  <c r="GP25" i="262"/>
  <c r="GP24" i="262"/>
  <c r="GP23" i="262"/>
  <c r="GP22" i="262"/>
  <c r="GP21" i="262"/>
  <c r="GP20" i="262"/>
  <c r="GP19" i="262"/>
  <c r="GP18" i="262"/>
  <c r="GP17" i="262"/>
  <c r="GP16" i="262"/>
  <c r="GP15" i="262"/>
  <c r="GP14" i="262"/>
  <c r="GP13" i="262"/>
  <c r="GP12" i="262"/>
  <c r="GP11" i="262"/>
  <c r="GP10" i="262"/>
  <c r="GP9" i="262"/>
  <c r="GP8" i="262"/>
  <c r="GP7" i="262"/>
  <c r="BW103" i="267"/>
  <c r="BW105" i="267" s="1"/>
  <c r="AA31" i="243"/>
  <c r="AC27" i="243"/>
  <c r="AC26" i="243"/>
  <c r="AC25" i="243"/>
  <c r="AC24" i="243"/>
  <c r="AC23" i="243"/>
  <c r="AC22" i="243"/>
  <c r="AC21" i="243"/>
  <c r="AC20" i="243"/>
  <c r="AC19" i="243"/>
  <c r="AC18" i="243"/>
  <c r="AC17" i="243"/>
  <c r="AC16" i="243"/>
  <c r="AC15" i="243"/>
  <c r="AC14" i="243"/>
  <c r="AC13" i="243"/>
  <c r="AC12" i="243"/>
  <c r="AC11" i="243"/>
  <c r="AC10" i="243"/>
  <c r="AC8" i="243"/>
  <c r="AC7" i="243"/>
  <c r="AC6" i="243"/>
  <c r="H8" i="230"/>
  <c r="AY68" i="216"/>
  <c r="AY69" i="216"/>
  <c r="AY70" i="216"/>
  <c r="AY72" i="216"/>
  <c r="AY73" i="216"/>
  <c r="AY74" i="216"/>
  <c r="AY75" i="216"/>
  <c r="AY77" i="216"/>
  <c r="AY78" i="216"/>
  <c r="AY79" i="216"/>
  <c r="AY80" i="216"/>
  <c r="AY67" i="216"/>
  <c r="AV81" i="216"/>
  <c r="AW81" i="216"/>
  <c r="AX81" i="216"/>
  <c r="AU81" i="216"/>
  <c r="AV76" i="216"/>
  <c r="AW76" i="216"/>
  <c r="AX76" i="216"/>
  <c r="AU76" i="216"/>
  <c r="AU82" i="216" s="1"/>
  <c r="AU71" i="216"/>
  <c r="AV71" i="216"/>
  <c r="AW71" i="216"/>
  <c r="AX71" i="216"/>
  <c r="AZ71" i="216" s="1"/>
  <c r="AZ63" i="216"/>
  <c r="AZ60" i="216"/>
  <c r="AV65" i="216"/>
  <c r="AW65" i="216"/>
  <c r="AW66" i="216" s="1"/>
  <c r="AX65" i="216"/>
  <c r="AU65" i="216"/>
  <c r="AV61" i="216"/>
  <c r="AW61" i="216"/>
  <c r="AX61" i="216"/>
  <c r="AU61" i="216"/>
  <c r="AV57" i="216"/>
  <c r="AV66" i="216" s="1"/>
  <c r="AW57" i="216"/>
  <c r="AX57" i="216"/>
  <c r="AU57" i="216"/>
  <c r="AY55" i="216"/>
  <c r="AY56" i="216"/>
  <c r="AY58" i="216"/>
  <c r="AY59" i="216"/>
  <c r="AY60" i="216"/>
  <c r="AY62" i="216"/>
  <c r="AY63" i="216"/>
  <c r="AY64" i="216"/>
  <c r="AY54" i="216"/>
  <c r="AV52" i="216"/>
  <c r="AW52" i="216"/>
  <c r="AX52" i="216"/>
  <c r="AU52" i="216"/>
  <c r="AV47" i="216"/>
  <c r="AV41" i="216"/>
  <c r="AW47" i="216"/>
  <c r="AX47" i="216"/>
  <c r="AU47" i="216"/>
  <c r="AZ47" i="216" s="1"/>
  <c r="AW41" i="216"/>
  <c r="AX41" i="216"/>
  <c r="AX53" i="216" s="1"/>
  <c r="AU41" i="216"/>
  <c r="AY37" i="216"/>
  <c r="AY38" i="216"/>
  <c r="AY39" i="216"/>
  <c r="AY40" i="216"/>
  <c r="AY42" i="216"/>
  <c r="AY43" i="216"/>
  <c r="AY44" i="216"/>
  <c r="AY45" i="216"/>
  <c r="AY46" i="216"/>
  <c r="AY48" i="216"/>
  <c r="AY49" i="216"/>
  <c r="AY50" i="216"/>
  <c r="AY51" i="216"/>
  <c r="AY36" i="216"/>
  <c r="AV34" i="216"/>
  <c r="AW34" i="216"/>
  <c r="AX34" i="216"/>
  <c r="AU34" i="216"/>
  <c r="AV30" i="216"/>
  <c r="AW30" i="216"/>
  <c r="AX30" i="216"/>
  <c r="AU30" i="216"/>
  <c r="AU35" i="216" s="1"/>
  <c r="AV26" i="216"/>
  <c r="AW26" i="216"/>
  <c r="AX26" i="216"/>
  <c r="AX35" i="216"/>
  <c r="AU26" i="216"/>
  <c r="AY24" i="216"/>
  <c r="AY25" i="216"/>
  <c r="AY27" i="216"/>
  <c r="AY28" i="216"/>
  <c r="AY29" i="216"/>
  <c r="AY31" i="216"/>
  <c r="AY32" i="216"/>
  <c r="AY33" i="216"/>
  <c r="AY23" i="216"/>
  <c r="AY26" i="216" s="1"/>
  <c r="AV16" i="216"/>
  <c r="AV10" i="216"/>
  <c r="AZ10" i="216" s="1"/>
  <c r="AW16" i="216"/>
  <c r="AX16" i="216"/>
  <c r="AU16" i="216"/>
  <c r="AU10" i="216"/>
  <c r="AW10" i="216"/>
  <c r="AX10" i="216"/>
  <c r="CN106" i="274"/>
  <c r="CN105" i="274"/>
  <c r="CN99" i="274"/>
  <c r="CN98" i="274"/>
  <c r="CN97" i="274"/>
  <c r="CU106" i="274"/>
  <c r="CN95" i="274"/>
  <c r="DX106" i="274"/>
  <c r="DP106" i="274"/>
  <c r="DI106" i="274"/>
  <c r="DB106" i="274"/>
  <c r="CU105" i="274"/>
  <c r="CN94" i="274"/>
  <c r="DX105" i="274"/>
  <c r="DP105" i="274"/>
  <c r="DI105" i="274"/>
  <c r="DB105" i="274"/>
  <c r="CN93" i="274"/>
  <c r="CU92" i="274"/>
  <c r="CN92" i="274"/>
  <c r="DI91" i="274"/>
  <c r="DB91" i="274"/>
  <c r="CU91" i="274"/>
  <c r="CN91" i="274"/>
  <c r="DX90" i="274"/>
  <c r="DP90" i="274"/>
  <c r="DI90" i="274"/>
  <c r="DB90" i="274"/>
  <c r="CZ90" i="274"/>
  <c r="CU90" i="274"/>
  <c r="CN90" i="274"/>
  <c r="DX89" i="274"/>
  <c r="DP89" i="274"/>
  <c r="DI89" i="274"/>
  <c r="DB89" i="274"/>
  <c r="CU89" i="274"/>
  <c r="CN89" i="274"/>
  <c r="DX88" i="274"/>
  <c r="DP88" i="274"/>
  <c r="DI88" i="274"/>
  <c r="DB88" i="274"/>
  <c r="CU88" i="274"/>
  <c r="CN88" i="274"/>
  <c r="DX87" i="274"/>
  <c r="DP87" i="274"/>
  <c r="DI87" i="274"/>
  <c r="DB87" i="274"/>
  <c r="CU87" i="274"/>
  <c r="CN87" i="274"/>
  <c r="DX86" i="274"/>
  <c r="DP86" i="274"/>
  <c r="DI86" i="274"/>
  <c r="DB86" i="274"/>
  <c r="CZ86" i="274"/>
  <c r="CU86" i="274"/>
  <c r="CN86" i="274"/>
  <c r="DP85" i="274"/>
  <c r="DI85" i="274"/>
  <c r="DB85" i="274"/>
  <c r="CU85" i="274"/>
  <c r="CN85" i="274"/>
  <c r="DP84" i="274"/>
  <c r="DI84" i="274"/>
  <c r="CU84" i="274"/>
  <c r="CN84" i="274"/>
  <c r="DX83" i="274"/>
  <c r="DP83" i="274"/>
  <c r="DI83" i="274"/>
  <c r="DB83" i="274"/>
  <c r="CU83" i="274"/>
  <c r="CN83" i="274"/>
  <c r="DX82" i="274"/>
  <c r="DP82" i="274"/>
  <c r="DI82" i="274"/>
  <c r="DB82" i="274"/>
  <c r="CZ82" i="274"/>
  <c r="CU82" i="274"/>
  <c r="CN82" i="274"/>
  <c r="DP81" i="274"/>
  <c r="DI81" i="274"/>
  <c r="DB81" i="274"/>
  <c r="CU81" i="274"/>
  <c r="CN81" i="274"/>
  <c r="DX80" i="274"/>
  <c r="DP80" i="274"/>
  <c r="DI80" i="274"/>
  <c r="DB80" i="274"/>
  <c r="CU80" i="274"/>
  <c r="CN80" i="274"/>
  <c r="DX79" i="274"/>
  <c r="DP79" i="274"/>
  <c r="DI79" i="274"/>
  <c r="DB79" i="274"/>
  <c r="CU79" i="274"/>
  <c r="CN79" i="274"/>
  <c r="DX78" i="274"/>
  <c r="DP78" i="274"/>
  <c r="DI78" i="274"/>
  <c r="DB78" i="274"/>
  <c r="CU78" i="274"/>
  <c r="CN78" i="274"/>
  <c r="DX77" i="274"/>
  <c r="DP77" i="274"/>
  <c r="DI77" i="274"/>
  <c r="DB77" i="274"/>
  <c r="CZ77" i="274"/>
  <c r="CU77" i="274"/>
  <c r="CN77" i="274"/>
  <c r="DX76" i="274"/>
  <c r="DP76" i="274"/>
  <c r="DI76" i="274"/>
  <c r="DB76" i="274"/>
  <c r="CU76" i="274"/>
  <c r="CN76" i="274"/>
  <c r="DX75" i="274"/>
  <c r="DP75" i="274"/>
  <c r="DI75" i="274"/>
  <c r="DB75" i="274"/>
  <c r="CU75" i="274"/>
  <c r="CN75" i="274"/>
  <c r="DX74" i="274"/>
  <c r="DP74" i="274"/>
  <c r="DI74" i="274"/>
  <c r="DB74" i="274"/>
  <c r="CU74" i="274"/>
  <c r="CN74" i="274"/>
  <c r="DX73" i="274"/>
  <c r="DP73" i="274"/>
  <c r="DI73" i="274"/>
  <c r="DB73" i="274"/>
  <c r="CU73" i="274"/>
  <c r="CN73" i="274"/>
  <c r="DX72" i="274"/>
  <c r="DP72" i="274"/>
  <c r="DI72" i="274"/>
  <c r="DB72" i="274"/>
  <c r="CZ72" i="274"/>
  <c r="CU72" i="274"/>
  <c r="CN72" i="274"/>
  <c r="DX71" i="274"/>
  <c r="DP71" i="274"/>
  <c r="DI71" i="274"/>
  <c r="DB71" i="274"/>
  <c r="CU71" i="274"/>
  <c r="CN71" i="274"/>
  <c r="DX70" i="274"/>
  <c r="DP70" i="274"/>
  <c r="DI70" i="274"/>
  <c r="DB70" i="274"/>
  <c r="CU70" i="274"/>
  <c r="CN70" i="274"/>
  <c r="DX69" i="274"/>
  <c r="DP69" i="274"/>
  <c r="DI69" i="274"/>
  <c r="DB69" i="274"/>
  <c r="CU69" i="274"/>
  <c r="CN69" i="274"/>
  <c r="DX68" i="274"/>
  <c r="DP68" i="274"/>
  <c r="DI68" i="274"/>
  <c r="DB68" i="274"/>
  <c r="CU68" i="274"/>
  <c r="CN68" i="274"/>
  <c r="DX67" i="274"/>
  <c r="DP67" i="274"/>
  <c r="DI67" i="274"/>
  <c r="DB67" i="274"/>
  <c r="CU67" i="274"/>
  <c r="CN67" i="274"/>
  <c r="DX66" i="274"/>
  <c r="DP66" i="274"/>
  <c r="DI66" i="274"/>
  <c r="DB66" i="274"/>
  <c r="CU66" i="274"/>
  <c r="CN66" i="274"/>
  <c r="DX65" i="274"/>
  <c r="DP65" i="274"/>
  <c r="DI65" i="274"/>
  <c r="DB65" i="274"/>
  <c r="CU65" i="274"/>
  <c r="CN65" i="274"/>
  <c r="DX64" i="274"/>
  <c r="DP64" i="274"/>
  <c r="DI64" i="274"/>
  <c r="DB64" i="274"/>
  <c r="CU64" i="274"/>
  <c r="CN64" i="274"/>
  <c r="DX63" i="274"/>
  <c r="DP63" i="274"/>
  <c r="DI63" i="274"/>
  <c r="DB63" i="274"/>
  <c r="CZ63" i="274"/>
  <c r="CU63" i="274"/>
  <c r="CN63" i="274"/>
  <c r="DX62" i="274"/>
  <c r="DP62" i="274"/>
  <c r="DI62" i="274"/>
  <c r="DB62" i="274"/>
  <c r="CU62" i="274"/>
  <c r="CN62" i="274"/>
  <c r="DX61" i="274"/>
  <c r="DP61" i="274"/>
  <c r="DI61" i="274"/>
  <c r="DB61" i="274"/>
  <c r="CU61" i="274"/>
  <c r="CN61" i="274"/>
  <c r="DX60" i="274"/>
  <c r="DP60" i="274"/>
  <c r="DI60" i="274"/>
  <c r="DB60" i="274"/>
  <c r="CU60" i="274"/>
  <c r="CN60" i="274"/>
  <c r="DX59" i="274"/>
  <c r="DP59" i="274"/>
  <c r="DI59" i="274"/>
  <c r="DB59" i="274"/>
  <c r="CU59" i="274"/>
  <c r="CN59" i="274"/>
  <c r="DX58" i="274"/>
  <c r="DP58" i="274"/>
  <c r="DI58" i="274"/>
  <c r="DB58" i="274"/>
  <c r="CU58" i="274"/>
  <c r="CN58" i="274"/>
  <c r="DX57" i="274"/>
  <c r="DP57" i="274"/>
  <c r="DI57" i="274"/>
  <c r="DB57" i="274"/>
  <c r="CU57" i="274"/>
  <c r="CN57" i="274"/>
  <c r="DX56" i="274"/>
  <c r="DP56" i="274"/>
  <c r="DI56" i="274"/>
  <c r="DB56" i="274"/>
  <c r="CU56" i="274"/>
  <c r="CN56" i="274"/>
  <c r="DX55" i="274"/>
  <c r="DP55" i="274"/>
  <c r="DI55" i="274"/>
  <c r="DB55" i="274"/>
  <c r="CZ55" i="274"/>
  <c r="CU55" i="274"/>
  <c r="CN55" i="274"/>
  <c r="DX54" i="274"/>
  <c r="DP54" i="274"/>
  <c r="DI54" i="274"/>
  <c r="DB54" i="274"/>
  <c r="CU54" i="274"/>
  <c r="CN54" i="274"/>
  <c r="DX53" i="274"/>
  <c r="DP53" i="274"/>
  <c r="DI53" i="274"/>
  <c r="DB53" i="274"/>
  <c r="CU53" i="274"/>
  <c r="CN53" i="274"/>
  <c r="DX52" i="274"/>
  <c r="DP52" i="274"/>
  <c r="DI52" i="274"/>
  <c r="DB52" i="274"/>
  <c r="CU52" i="274"/>
  <c r="CN52" i="274"/>
  <c r="DX51" i="274"/>
  <c r="DP51" i="274"/>
  <c r="DI51" i="274"/>
  <c r="DB51" i="274"/>
  <c r="CU51" i="274"/>
  <c r="CN51" i="274"/>
  <c r="DX50" i="274"/>
  <c r="DP50" i="274"/>
  <c r="DI50" i="274"/>
  <c r="DB50" i="274"/>
  <c r="CU50" i="274"/>
  <c r="CN50" i="274"/>
  <c r="DX49" i="274"/>
  <c r="DP49" i="274"/>
  <c r="DI49" i="274"/>
  <c r="DB49" i="274"/>
  <c r="CU49" i="274"/>
  <c r="CN49" i="274"/>
  <c r="DX48" i="274"/>
  <c r="DP48" i="274"/>
  <c r="DI48" i="274"/>
  <c r="DB48" i="274"/>
  <c r="CZ48" i="274"/>
  <c r="CU48" i="274"/>
  <c r="CN48" i="274"/>
  <c r="DX47" i="274"/>
  <c r="DP47" i="274"/>
  <c r="DI47" i="274"/>
  <c r="DB47" i="274"/>
  <c r="CU47" i="274"/>
  <c r="CN47" i="274"/>
  <c r="DX46" i="274"/>
  <c r="DP46" i="274"/>
  <c r="DI46" i="274"/>
  <c r="DB46" i="274"/>
  <c r="CU46" i="274"/>
  <c r="CN46" i="274"/>
  <c r="DX45" i="274"/>
  <c r="DP45" i="274"/>
  <c r="DI45" i="274"/>
  <c r="DB45" i="274"/>
  <c r="CU45" i="274"/>
  <c r="CN45" i="274"/>
  <c r="DX44" i="274"/>
  <c r="DP44" i="274"/>
  <c r="DI44" i="274"/>
  <c r="DB44" i="274"/>
  <c r="CU44" i="274"/>
  <c r="CN44" i="274"/>
  <c r="DX43" i="274"/>
  <c r="DP43" i="274"/>
  <c r="DI43" i="274"/>
  <c r="DB43" i="274"/>
  <c r="CU43" i="274"/>
  <c r="CN43" i="274"/>
  <c r="DX42" i="274"/>
  <c r="DP42" i="274"/>
  <c r="DI42" i="274"/>
  <c r="DB42" i="274"/>
  <c r="CU42" i="274"/>
  <c r="CN42" i="274"/>
  <c r="DX41" i="274"/>
  <c r="DP41" i="274"/>
  <c r="DI41" i="274"/>
  <c r="DB41" i="274"/>
  <c r="CU41" i="274"/>
  <c r="CN41" i="274"/>
  <c r="DX40" i="274"/>
  <c r="DP40" i="274"/>
  <c r="DI40" i="274"/>
  <c r="DB40" i="274"/>
  <c r="CU40" i="274"/>
  <c r="CN40" i="274"/>
  <c r="DX39" i="274"/>
  <c r="DP39" i="274"/>
  <c r="DI39" i="274"/>
  <c r="DB39" i="274"/>
  <c r="CU39" i="274"/>
  <c r="CN39" i="274"/>
  <c r="DX38" i="274"/>
  <c r="DP38" i="274"/>
  <c r="DI38" i="274"/>
  <c r="DB38" i="274"/>
  <c r="CU38" i="274"/>
  <c r="CN38" i="274"/>
  <c r="DX37" i="274"/>
  <c r="DP37" i="274"/>
  <c r="DI37" i="274"/>
  <c r="DB37" i="274"/>
  <c r="CU37" i="274"/>
  <c r="CN37" i="274"/>
  <c r="DX36" i="274"/>
  <c r="DP36" i="274"/>
  <c r="DI36" i="274"/>
  <c r="DB36" i="274"/>
  <c r="CZ36" i="274"/>
  <c r="CU36" i="274"/>
  <c r="CN36" i="274"/>
  <c r="DX35" i="274"/>
  <c r="DP35" i="274"/>
  <c r="DI35" i="274"/>
  <c r="DB35" i="274"/>
  <c r="CU35" i="274"/>
  <c r="CN35" i="274"/>
  <c r="DX34" i="274"/>
  <c r="DP34" i="274"/>
  <c r="DI34" i="274"/>
  <c r="DB34" i="274"/>
  <c r="CU34" i="274"/>
  <c r="CN34" i="274"/>
  <c r="DX33" i="274"/>
  <c r="DP33" i="274"/>
  <c r="DI33" i="274"/>
  <c r="DB33" i="274"/>
  <c r="CU33" i="274"/>
  <c r="CN33" i="274"/>
  <c r="DX32" i="274"/>
  <c r="DP32" i="274"/>
  <c r="DI32" i="274"/>
  <c r="DB32" i="274"/>
  <c r="CU32" i="274"/>
  <c r="CN32" i="274"/>
  <c r="DX31" i="274"/>
  <c r="DP31" i="274"/>
  <c r="DI31" i="274"/>
  <c r="DB31" i="274"/>
  <c r="CU31" i="274"/>
  <c r="CN31" i="274"/>
  <c r="DX30" i="274"/>
  <c r="DP30" i="274"/>
  <c r="DI30" i="274"/>
  <c r="DB30" i="274"/>
  <c r="CU30" i="274"/>
  <c r="CN30" i="274"/>
  <c r="DX29" i="274"/>
  <c r="DP29" i="274"/>
  <c r="DI29" i="274"/>
  <c r="DB29" i="274"/>
  <c r="CU29" i="274"/>
  <c r="CN29" i="274"/>
  <c r="DX28" i="274"/>
  <c r="DP28" i="274"/>
  <c r="DI28" i="274"/>
  <c r="CU28" i="274"/>
  <c r="CN28" i="274"/>
  <c r="DX27" i="274"/>
  <c r="DP27" i="274"/>
  <c r="DI27" i="274"/>
  <c r="DB27" i="274"/>
  <c r="CU27" i="274"/>
  <c r="CN27" i="274"/>
  <c r="DX26" i="274"/>
  <c r="DP26" i="274"/>
  <c r="DI26" i="274"/>
  <c r="DB26" i="274"/>
  <c r="CU26" i="274"/>
  <c r="CN26" i="274"/>
  <c r="DX25" i="274"/>
  <c r="DP25" i="274"/>
  <c r="DI25" i="274"/>
  <c r="DB25" i="274"/>
  <c r="CZ25" i="274"/>
  <c r="CU25" i="274"/>
  <c r="CN25" i="274"/>
  <c r="DX24" i="274"/>
  <c r="DP24" i="274"/>
  <c r="DI24" i="274"/>
  <c r="DB24" i="274"/>
  <c r="CU24" i="274"/>
  <c r="CN24" i="274"/>
  <c r="DX23" i="274"/>
  <c r="DP23" i="274"/>
  <c r="DI23" i="274"/>
  <c r="DB23" i="274"/>
  <c r="CU23" i="274"/>
  <c r="CN23" i="274"/>
  <c r="DX22" i="274"/>
  <c r="DP22" i="274"/>
  <c r="DI22" i="274"/>
  <c r="DB22" i="274"/>
  <c r="CU22" i="274"/>
  <c r="CN22" i="274"/>
  <c r="DX21" i="274"/>
  <c r="DP21" i="274"/>
  <c r="DI21" i="274"/>
  <c r="DB21" i="274"/>
  <c r="CZ21" i="274"/>
  <c r="CU21" i="274"/>
  <c r="CN21" i="274"/>
  <c r="DX20" i="274"/>
  <c r="DP20" i="274"/>
  <c r="DI20" i="274"/>
  <c r="DB20" i="274"/>
  <c r="CU20" i="274"/>
  <c r="CN20" i="274"/>
  <c r="DX19" i="274"/>
  <c r="DP19" i="274"/>
  <c r="DI19" i="274"/>
  <c r="DB19" i="274"/>
  <c r="CU19" i="274"/>
  <c r="CN19" i="274"/>
  <c r="DX18" i="274"/>
  <c r="DP18" i="274"/>
  <c r="DI18" i="274"/>
  <c r="DB18" i="274"/>
  <c r="CU18" i="274"/>
  <c r="CN18" i="274"/>
  <c r="DX17" i="274"/>
  <c r="DP17" i="274"/>
  <c r="DI17" i="274"/>
  <c r="DB17" i="274"/>
  <c r="CU17" i="274"/>
  <c r="CN17" i="274"/>
  <c r="DX16" i="274"/>
  <c r="DP16" i="274"/>
  <c r="DI16" i="274"/>
  <c r="DB16" i="274"/>
  <c r="CZ16" i="274"/>
  <c r="CZ105" i="274" s="1"/>
  <c r="CU16" i="274"/>
  <c r="CN16" i="274"/>
  <c r="DX15" i="274"/>
  <c r="DP15" i="274"/>
  <c r="DI15" i="274"/>
  <c r="DB15" i="274"/>
  <c r="CU15" i="274"/>
  <c r="CN15" i="274"/>
  <c r="DX14" i="274"/>
  <c r="DP14" i="274"/>
  <c r="DI14" i="274"/>
  <c r="DB14" i="274"/>
  <c r="CU14" i="274"/>
  <c r="CN14" i="274"/>
  <c r="DX13" i="274"/>
  <c r="DP13" i="274"/>
  <c r="DI13" i="274"/>
  <c r="DB13" i="274"/>
  <c r="CU13" i="274"/>
  <c r="CN13" i="274"/>
  <c r="DX12" i="274"/>
  <c r="DP12" i="274"/>
  <c r="DI12" i="274"/>
  <c r="DB12" i="274"/>
  <c r="CU12" i="274"/>
  <c r="CN12" i="274"/>
  <c r="DX11" i="274"/>
  <c r="DP11" i="274"/>
  <c r="DI11" i="274"/>
  <c r="DB11" i="274"/>
  <c r="CU11" i="274"/>
  <c r="CN11" i="274"/>
  <c r="DX10" i="274"/>
  <c r="DP10" i="274"/>
  <c r="DI10" i="274"/>
  <c r="DB10" i="274"/>
  <c r="CU10" i="274"/>
  <c r="CN10" i="274"/>
  <c r="DX9" i="274"/>
  <c r="DP9" i="274"/>
  <c r="DI9" i="274"/>
  <c r="DB9" i="274"/>
  <c r="CU9" i="274"/>
  <c r="CN9" i="274"/>
  <c r="DX8" i="274"/>
  <c r="DP8" i="274"/>
  <c r="DI8" i="274"/>
  <c r="DB8" i="274"/>
  <c r="CU8" i="274"/>
  <c r="CN8" i="274"/>
  <c r="DX7" i="274"/>
  <c r="DP7" i="274"/>
  <c r="DI7" i="274"/>
  <c r="DB7" i="274"/>
  <c r="CU7" i="274"/>
  <c r="CN7" i="274"/>
  <c r="DX6" i="274"/>
  <c r="DP6" i="274"/>
  <c r="DI6" i="274"/>
  <c r="DB6" i="274"/>
  <c r="CU6" i="274"/>
  <c r="CN6" i="274"/>
  <c r="BX51" i="255"/>
  <c r="BX50" i="255"/>
  <c r="BX49" i="255"/>
  <c r="BX48" i="255"/>
  <c r="BX46" i="255"/>
  <c r="BX45" i="255"/>
  <c r="BX42" i="255"/>
  <c r="BX41" i="255"/>
  <c r="BX39" i="255"/>
  <c r="BX38" i="255"/>
  <c r="BX35" i="255"/>
  <c r="BX34" i="255"/>
  <c r="BX33" i="255"/>
  <c r="BX31" i="255"/>
  <c r="BX30" i="255"/>
  <c r="BX29" i="255"/>
  <c r="BX28" i="255"/>
  <c r="BX27" i="255"/>
  <c r="BX24" i="255"/>
  <c r="BX23" i="255"/>
  <c r="BX22" i="255"/>
  <c r="BX21" i="255"/>
  <c r="BX20" i="255"/>
  <c r="BX17" i="255"/>
  <c r="BX16" i="255"/>
  <c r="BX15" i="255"/>
  <c r="BX14" i="255"/>
  <c r="BX12" i="255"/>
  <c r="BX11" i="255"/>
  <c r="BX10" i="255"/>
  <c r="BX8" i="255"/>
  <c r="BX7" i="255"/>
  <c r="BX79" i="254"/>
  <c r="BX78" i="254"/>
  <c r="BX68" i="254"/>
  <c r="BX67" i="254"/>
  <c r="BX66" i="254"/>
  <c r="BX65" i="254"/>
  <c r="BX64" i="254"/>
  <c r="BX63" i="254"/>
  <c r="BX60" i="254"/>
  <c r="BX59" i="254"/>
  <c r="BX58" i="254"/>
  <c r="BX56" i="254"/>
  <c r="BX55" i="254"/>
  <c r="BX54" i="254"/>
  <c r="BX53" i="254"/>
  <c r="BX52" i="254"/>
  <c r="BX51" i="254"/>
  <c r="BX49" i="254"/>
  <c r="BX48" i="254"/>
  <c r="BX47" i="254"/>
  <c r="BX46" i="254"/>
  <c r="BX45" i="254"/>
  <c r="BX44" i="254"/>
  <c r="BX43" i="254"/>
  <c r="BX42" i="254"/>
  <c r="BX39" i="254"/>
  <c r="BX38" i="254"/>
  <c r="BX37" i="254"/>
  <c r="BX36" i="254"/>
  <c r="BX34" i="254"/>
  <c r="BX33" i="254"/>
  <c r="BX32" i="254"/>
  <c r="BX31" i="254"/>
  <c r="BX29" i="254"/>
  <c r="BX28" i="254"/>
  <c r="BX27" i="254"/>
  <c r="BX26" i="254"/>
  <c r="BX25" i="254"/>
  <c r="BX24" i="254"/>
  <c r="BX23" i="254"/>
  <c r="BX20" i="254"/>
  <c r="BX19" i="254"/>
  <c r="BX18" i="254"/>
  <c r="BX16" i="254"/>
  <c r="BX15" i="254"/>
  <c r="BX14" i="254"/>
  <c r="BX13" i="254"/>
  <c r="BX12" i="254"/>
  <c r="BX9" i="254"/>
  <c r="BX8" i="254"/>
  <c r="BX7" i="254"/>
  <c r="BX6" i="254"/>
  <c r="BX26" i="253"/>
  <c r="BX25" i="253"/>
  <c r="BX24" i="253"/>
  <c r="BX34" i="253" s="1"/>
  <c r="BX22" i="253"/>
  <c r="BX20" i="253"/>
  <c r="BX19" i="253"/>
  <c r="BX18" i="253"/>
  <c r="BX15" i="253"/>
  <c r="BX14" i="253"/>
  <c r="BX13" i="253"/>
  <c r="BX12" i="253"/>
  <c r="BX11" i="253"/>
  <c r="BX8" i="253"/>
  <c r="BX6" i="253"/>
  <c r="GB194" i="252"/>
  <c r="GB185" i="252"/>
  <c r="GB180" i="252"/>
  <c r="GB175" i="252"/>
  <c r="GB170" i="252"/>
  <c r="GB163" i="252"/>
  <c r="GB159" i="252"/>
  <c r="GB155" i="252"/>
  <c r="GB148" i="252"/>
  <c r="GB141" i="252"/>
  <c r="GB135" i="252"/>
  <c r="GB131" i="252"/>
  <c r="GB125" i="252"/>
  <c r="GB117" i="252"/>
  <c r="GB111" i="252"/>
  <c r="GB106" i="252"/>
  <c r="GB100" i="252"/>
  <c r="GB94" i="252"/>
  <c r="GB87" i="252"/>
  <c r="GB83" i="252"/>
  <c r="GB81" i="252"/>
  <c r="GB74" i="252"/>
  <c r="GB68" i="252"/>
  <c r="GB64" i="252"/>
  <c r="GB52" i="252"/>
  <c r="GB48" i="252"/>
  <c r="GB44" i="252"/>
  <c r="GB32" i="252"/>
  <c r="GB22" i="252"/>
  <c r="GB17" i="252"/>
  <c r="GB12" i="252"/>
  <c r="GB9" i="252"/>
  <c r="EN330" i="251"/>
  <c r="EN316" i="251"/>
  <c r="EN311" i="251"/>
  <c r="EN306" i="251"/>
  <c r="EN301" i="251"/>
  <c r="EN296" i="251"/>
  <c r="EN289" i="251"/>
  <c r="EN282" i="251"/>
  <c r="EN273" i="251"/>
  <c r="EN259" i="251"/>
  <c r="EN254" i="251"/>
  <c r="EN247" i="251"/>
  <c r="EN240" i="251"/>
  <c r="EN233" i="251"/>
  <c r="EN227" i="251"/>
  <c r="EN221" i="251"/>
  <c r="EN215" i="251"/>
  <c r="EN210" i="251"/>
  <c r="EN206" i="251"/>
  <c r="EN197" i="251"/>
  <c r="EN191" i="251"/>
  <c r="EN186" i="251"/>
  <c r="EN181" i="251"/>
  <c r="EN175" i="251"/>
  <c r="EN171" i="251"/>
  <c r="EN164" i="251"/>
  <c r="EN157" i="251"/>
  <c r="EN153" i="251"/>
  <c r="EN145" i="251"/>
  <c r="EN138" i="251"/>
  <c r="EN131" i="251"/>
  <c r="EN124" i="251"/>
  <c r="EN117" i="251"/>
  <c r="EN110" i="251"/>
  <c r="EN103" i="251"/>
  <c r="EN98" i="251"/>
  <c r="EN89" i="251"/>
  <c r="EN82" i="251"/>
  <c r="EN79" i="251"/>
  <c r="EN75" i="251"/>
  <c r="EN72" i="251"/>
  <c r="EN66" i="251"/>
  <c r="EN61" i="251"/>
  <c r="EN43" i="251"/>
  <c r="EN39" i="251"/>
  <c r="EN27" i="251"/>
  <c r="EN22" i="251"/>
  <c r="EN14" i="251"/>
  <c r="DW88" i="250"/>
  <c r="DW79" i="250"/>
  <c r="DW74" i="250"/>
  <c r="DW69" i="250"/>
  <c r="DW64" i="250"/>
  <c r="DW57" i="250"/>
  <c r="DW51" i="250"/>
  <c r="DW47" i="250"/>
  <c r="DW41" i="250"/>
  <c r="DW37" i="250"/>
  <c r="DW33" i="250"/>
  <c r="DW18" i="250"/>
  <c r="DW12" i="250"/>
  <c r="HJ102" i="262"/>
  <c r="HJ101" i="262"/>
  <c r="HJ100" i="262"/>
  <c r="HJ99" i="262"/>
  <c r="HJ98" i="262"/>
  <c r="HJ97" i="262"/>
  <c r="HJ96" i="262"/>
  <c r="HJ95" i="262"/>
  <c r="HJ94" i="262"/>
  <c r="HJ93" i="262"/>
  <c r="HJ92" i="262"/>
  <c r="HJ91" i="262"/>
  <c r="HJ90" i="262"/>
  <c r="HJ89" i="262"/>
  <c r="HJ88" i="262"/>
  <c r="HJ87" i="262"/>
  <c r="HJ86" i="262"/>
  <c r="HJ85" i="262"/>
  <c r="HJ84" i="262"/>
  <c r="HJ83" i="262"/>
  <c r="HJ82" i="262"/>
  <c r="HJ81" i="262"/>
  <c r="HJ80" i="262"/>
  <c r="HJ79" i="262"/>
  <c r="HJ78" i="262"/>
  <c r="HJ77" i="262"/>
  <c r="HJ76" i="262"/>
  <c r="HJ75" i="262"/>
  <c r="HJ74" i="262"/>
  <c r="HJ73" i="262"/>
  <c r="HJ72" i="262"/>
  <c r="HJ71" i="262"/>
  <c r="HJ70" i="262"/>
  <c r="HJ69" i="262"/>
  <c r="HJ68" i="262"/>
  <c r="HJ67" i="262"/>
  <c r="HJ66" i="262"/>
  <c r="HJ65" i="262"/>
  <c r="HJ64" i="262"/>
  <c r="HJ63" i="262"/>
  <c r="HJ62" i="262"/>
  <c r="HJ61" i="262"/>
  <c r="HJ60" i="262"/>
  <c r="HJ59" i="262"/>
  <c r="HJ58" i="262"/>
  <c r="HJ57" i="262"/>
  <c r="HJ56" i="262"/>
  <c r="HJ55" i="262"/>
  <c r="HJ54" i="262"/>
  <c r="HJ53" i="262"/>
  <c r="HJ52" i="262"/>
  <c r="HJ51" i="262"/>
  <c r="HJ50" i="262"/>
  <c r="HJ49" i="262"/>
  <c r="HJ48" i="262"/>
  <c r="HJ47" i="262"/>
  <c r="HJ46" i="262"/>
  <c r="HJ45" i="262"/>
  <c r="HJ44" i="262"/>
  <c r="HJ43" i="262"/>
  <c r="HJ42" i="262"/>
  <c r="HJ41" i="262"/>
  <c r="HJ40" i="262"/>
  <c r="HJ39" i="262"/>
  <c r="HJ38" i="262"/>
  <c r="HJ37" i="262"/>
  <c r="HJ36" i="262"/>
  <c r="HJ35" i="262"/>
  <c r="HJ34" i="262"/>
  <c r="HJ33" i="262"/>
  <c r="HJ32" i="262"/>
  <c r="HJ31" i="262"/>
  <c r="HJ30" i="262"/>
  <c r="HJ29" i="262"/>
  <c r="HJ28" i="262"/>
  <c r="HJ27" i="262"/>
  <c r="HJ26" i="262"/>
  <c r="HJ25" i="262"/>
  <c r="HJ24" i="262"/>
  <c r="HJ23" i="262"/>
  <c r="HJ22" i="262"/>
  <c r="HJ21" i="262"/>
  <c r="HJ20" i="262"/>
  <c r="HJ19" i="262"/>
  <c r="HJ18" i="262"/>
  <c r="HJ17" i="262"/>
  <c r="HJ16" i="262"/>
  <c r="HJ15" i="262"/>
  <c r="HJ14" i="262"/>
  <c r="HJ13" i="262"/>
  <c r="HJ12" i="262"/>
  <c r="HJ11" i="262"/>
  <c r="HJ10" i="262"/>
  <c r="HJ9" i="262"/>
  <c r="HJ8" i="262"/>
  <c r="HJ7" i="262"/>
  <c r="AJ21" i="235"/>
  <c r="AJ5" i="235"/>
  <c r="AJ13" i="235"/>
  <c r="G102" i="231"/>
  <c r="G103" i="231"/>
  <c r="G104" i="231"/>
  <c r="G105" i="231"/>
  <c r="G106" i="231"/>
  <c r="G107" i="231"/>
  <c r="C9" i="227"/>
  <c r="B430" i="238"/>
  <c r="B386" i="238"/>
  <c r="E386" i="238" s="1"/>
  <c r="G368" i="238"/>
  <c r="H368" i="238"/>
  <c r="C430" i="238"/>
  <c r="C386" i="238"/>
  <c r="F386" i="238" s="1"/>
  <c r="E92" i="231"/>
  <c r="G91" i="231"/>
  <c r="B97" i="231"/>
  <c r="F97" i="231"/>
  <c r="B108" i="231"/>
  <c r="D97" i="231"/>
  <c r="C97" i="231"/>
  <c r="G96" i="231"/>
  <c r="E96" i="231"/>
  <c r="G95" i="231"/>
  <c r="E95" i="231"/>
  <c r="G94" i="231"/>
  <c r="E94" i="231"/>
  <c r="G93" i="231"/>
  <c r="E93" i="231"/>
  <c r="G92" i="231"/>
  <c r="E103" i="231"/>
  <c r="E104" i="231"/>
  <c r="E105" i="231"/>
  <c r="E106" i="231"/>
  <c r="E107" i="231"/>
  <c r="E102" i="231"/>
  <c r="D108" i="231"/>
  <c r="C108" i="231"/>
  <c r="F108" i="231"/>
  <c r="AH46" i="271"/>
  <c r="AG46" i="271"/>
  <c r="AF46" i="271"/>
  <c r="AH45" i="271"/>
  <c r="AG45" i="271"/>
  <c r="AG47" i="271" s="1"/>
  <c r="AF45" i="271"/>
  <c r="AH44" i="271"/>
  <c r="AG44" i="271"/>
  <c r="AF44" i="271"/>
  <c r="AH40" i="271"/>
  <c r="AG40" i="271"/>
  <c r="AF40" i="271"/>
  <c r="AH30" i="271"/>
  <c r="AG30" i="271"/>
  <c r="AF30" i="271"/>
  <c r="AH23" i="271"/>
  <c r="AG23" i="271"/>
  <c r="AF23" i="271"/>
  <c r="AH16" i="271"/>
  <c r="AG16" i="271"/>
  <c r="AF16" i="271"/>
  <c r="AH8" i="271"/>
  <c r="AG8" i="271"/>
  <c r="AF8" i="271"/>
  <c r="D80" i="237"/>
  <c r="E80" i="237" s="1"/>
  <c r="D79" i="237"/>
  <c r="E79" i="237" s="1"/>
  <c r="D78" i="237"/>
  <c r="D77" i="237"/>
  <c r="D76" i="237"/>
  <c r="C82" i="237"/>
  <c r="B82" i="237"/>
  <c r="E81" i="237"/>
  <c r="I170" i="232"/>
  <c r="H170" i="232"/>
  <c r="E170" i="232"/>
  <c r="D170" i="232"/>
  <c r="C170" i="232"/>
  <c r="J168" i="232"/>
  <c r="F168" i="232"/>
  <c r="J166" i="232"/>
  <c r="F166" i="232"/>
  <c r="J164" i="232"/>
  <c r="F164" i="232"/>
  <c r="L164" i="232" s="1"/>
  <c r="J162" i="232"/>
  <c r="F162" i="232"/>
  <c r="J160" i="232"/>
  <c r="L160" i="232" s="1"/>
  <c r="F160" i="232"/>
  <c r="F158" i="232"/>
  <c r="J158" i="232"/>
  <c r="AI31" i="235"/>
  <c r="AH31" i="235"/>
  <c r="AJ31" i="235" s="1"/>
  <c r="AI30" i="235"/>
  <c r="AH30" i="235"/>
  <c r="AI29" i="235"/>
  <c r="AH29" i="235"/>
  <c r="AJ27" i="235"/>
  <c r="AJ23" i="235"/>
  <c r="AJ22" i="235"/>
  <c r="AJ19" i="235"/>
  <c r="AJ18" i="235"/>
  <c r="AJ17" i="235"/>
  <c r="AJ15" i="235"/>
  <c r="AJ14" i="235"/>
  <c r="AJ11" i="235"/>
  <c r="AJ10" i="235"/>
  <c r="AJ9" i="235"/>
  <c r="AJ7" i="235"/>
  <c r="AJ6" i="235"/>
  <c r="AP6" i="223"/>
  <c r="AQ6" i="223"/>
  <c r="AZ79" i="216"/>
  <c r="AZ77" i="216"/>
  <c r="AZ75" i="216"/>
  <c r="AZ74" i="216"/>
  <c r="AZ73" i="216"/>
  <c r="AZ72" i="216"/>
  <c r="AZ70" i="216"/>
  <c r="AZ69" i="216"/>
  <c r="AZ68" i="216"/>
  <c r="AZ67" i="216"/>
  <c r="AZ64" i="216"/>
  <c r="AZ62" i="216"/>
  <c r="AZ59" i="216"/>
  <c r="AZ58" i="216"/>
  <c r="AZ55" i="216"/>
  <c r="AZ51" i="216"/>
  <c r="AZ49" i="216"/>
  <c r="AZ46" i="216"/>
  <c r="AZ45" i="216"/>
  <c r="AZ44" i="216"/>
  <c r="AZ43" i="216"/>
  <c r="AZ42" i="216"/>
  <c r="AZ40" i="216"/>
  <c r="AZ39" i="216"/>
  <c r="AZ38" i="216"/>
  <c r="AZ37" i="216"/>
  <c r="AZ33" i="216"/>
  <c r="AZ32" i="216"/>
  <c r="AZ31" i="216"/>
  <c r="AZ29" i="216"/>
  <c r="AZ28" i="216"/>
  <c r="AZ27" i="216"/>
  <c r="AZ25" i="216"/>
  <c r="AZ24" i="216"/>
  <c r="AZ23" i="216"/>
  <c r="AZ20" i="216"/>
  <c r="AY20" i="216"/>
  <c r="AZ19" i="216"/>
  <c r="AY19" i="216"/>
  <c r="AZ18" i="216"/>
  <c r="AY18" i="216"/>
  <c r="AZ17" i="216"/>
  <c r="AY17" i="216"/>
  <c r="AZ15" i="216"/>
  <c r="AY15" i="216"/>
  <c r="AZ14" i="216"/>
  <c r="AY14" i="216"/>
  <c r="AZ13" i="216"/>
  <c r="AY13" i="216"/>
  <c r="AZ12" i="216"/>
  <c r="AY12" i="216"/>
  <c r="AZ11" i="216"/>
  <c r="AY11" i="216"/>
  <c r="AZ9" i="216"/>
  <c r="AY9" i="216"/>
  <c r="AZ8" i="216"/>
  <c r="AY8" i="216"/>
  <c r="AZ7" i="216"/>
  <c r="AY7" i="216"/>
  <c r="AZ6" i="216"/>
  <c r="AY6" i="216"/>
  <c r="AY5" i="216"/>
  <c r="AZ5" i="216"/>
  <c r="AD81" i="221"/>
  <c r="AD80" i="221"/>
  <c r="AD79" i="221"/>
  <c r="AD78" i="221"/>
  <c r="AD77" i="221"/>
  <c r="AD76" i="221"/>
  <c r="AD75" i="221"/>
  <c r="AD74" i="221"/>
  <c r="AD73" i="221"/>
  <c r="AD72" i="221"/>
  <c r="AD71" i="221"/>
  <c r="AD70" i="221"/>
  <c r="AD69" i="221"/>
  <c r="AD68" i="221"/>
  <c r="AD67" i="221"/>
  <c r="AD66" i="221"/>
  <c r="AD65" i="221"/>
  <c r="AD64" i="221"/>
  <c r="AD61" i="221"/>
  <c r="AD59" i="221"/>
  <c r="AD58" i="221"/>
  <c r="AD57" i="221"/>
  <c r="AD56" i="221"/>
  <c r="AD55" i="221"/>
  <c r="AD53" i="221"/>
  <c r="AD52" i="221"/>
  <c r="AD51" i="221"/>
  <c r="AD50" i="221"/>
  <c r="AD49" i="221"/>
  <c r="AD48" i="221"/>
  <c r="AD47" i="221"/>
  <c r="AD46" i="221"/>
  <c r="AD45" i="221"/>
  <c r="AD44" i="221"/>
  <c r="AD43" i="221"/>
  <c r="AD42" i="221"/>
  <c r="AD41" i="221"/>
  <c r="AD40" i="221"/>
  <c r="AD39" i="221"/>
  <c r="AD38" i="221"/>
  <c r="AD37" i="221"/>
  <c r="AD36" i="221"/>
  <c r="AD35" i="221"/>
  <c r="AD34" i="221"/>
  <c r="AD33" i="221"/>
  <c r="AD32" i="221"/>
  <c r="AD31" i="221"/>
  <c r="AD30" i="221"/>
  <c r="AD29" i="221"/>
  <c r="AD28" i="221"/>
  <c r="AD27" i="221"/>
  <c r="AD26" i="221"/>
  <c r="AD25" i="221"/>
  <c r="AD24" i="221"/>
  <c r="AD23" i="221"/>
  <c r="AD22" i="221"/>
  <c r="AD21" i="221"/>
  <c r="AD20" i="221"/>
  <c r="AD19" i="221"/>
  <c r="AD18" i="221"/>
  <c r="AD17" i="221"/>
  <c r="AD16" i="221"/>
  <c r="AD15" i="221"/>
  <c r="AD14" i="221"/>
  <c r="AD13" i="221"/>
  <c r="AD12" i="221"/>
  <c r="AD11" i="221"/>
  <c r="AD10" i="221"/>
  <c r="AD9" i="221"/>
  <c r="AD8" i="221"/>
  <c r="AD7" i="221"/>
  <c r="AD6" i="221"/>
  <c r="AD5" i="221"/>
  <c r="AC81" i="220"/>
  <c r="AD81" i="220" s="1"/>
  <c r="AC76" i="220"/>
  <c r="AC71" i="220"/>
  <c r="AD71" i="220" s="1"/>
  <c r="AC65" i="220"/>
  <c r="AD65" i="220" s="1"/>
  <c r="AC61" i="220"/>
  <c r="AC66" i="220" s="1"/>
  <c r="AD66" i="220" s="1"/>
  <c r="AC57" i="220"/>
  <c r="AD57" i="220" s="1"/>
  <c r="AC52" i="220"/>
  <c r="AD52" i="220" s="1"/>
  <c r="AC47" i="220"/>
  <c r="AD47" i="220" s="1"/>
  <c r="AC41" i="220"/>
  <c r="AD41" i="220" s="1"/>
  <c r="AC34" i="220"/>
  <c r="AD34" i="220" s="1"/>
  <c r="AC30" i="220"/>
  <c r="AD30" i="220"/>
  <c r="AC26" i="220"/>
  <c r="AD26" i="220" s="1"/>
  <c r="AC21" i="220"/>
  <c r="AD21" i="220" s="1"/>
  <c r="AC16" i="220"/>
  <c r="AD16" i="220" s="1"/>
  <c r="AC10" i="220"/>
  <c r="AD80" i="220"/>
  <c r="AD79" i="220"/>
  <c r="AD78" i="220"/>
  <c r="AD77" i="220"/>
  <c r="AD75" i="220"/>
  <c r="AD74" i="220"/>
  <c r="AD73" i="220"/>
  <c r="AD72" i="220"/>
  <c r="AD70" i="220"/>
  <c r="AD69" i="220"/>
  <c r="AD68" i="220"/>
  <c r="AD67" i="220"/>
  <c r="AD64" i="220"/>
  <c r="AD59" i="220"/>
  <c r="AD58" i="220"/>
  <c r="AD56" i="220"/>
  <c r="AD55" i="220"/>
  <c r="AD51" i="220"/>
  <c r="AD50" i="220"/>
  <c r="AD49" i="220"/>
  <c r="AD48" i="220"/>
  <c r="AD46" i="220"/>
  <c r="AD45" i="220"/>
  <c r="AD44" i="220"/>
  <c r="AD43" i="220"/>
  <c r="AD42" i="220"/>
  <c r="AD40" i="220"/>
  <c r="AD39" i="220"/>
  <c r="AD38" i="220"/>
  <c r="AD37" i="220"/>
  <c r="AD36" i="220"/>
  <c r="AD33" i="220"/>
  <c r="AD32" i="220"/>
  <c r="AD31" i="220"/>
  <c r="AD29" i="220"/>
  <c r="AD28" i="220"/>
  <c r="AD27" i="220"/>
  <c r="AD25" i="220"/>
  <c r="AD24" i="220"/>
  <c r="AD23" i="220"/>
  <c r="AD20" i="220"/>
  <c r="AD19" i="220"/>
  <c r="AD18" i="220"/>
  <c r="AD17" i="220"/>
  <c r="AD15" i="220"/>
  <c r="AD14" i="220"/>
  <c r="AD13" i="220"/>
  <c r="AD12" i="220"/>
  <c r="AD11" i="220"/>
  <c r="AD9" i="220"/>
  <c r="AD8" i="220"/>
  <c r="AD7" i="220"/>
  <c r="AD6" i="220"/>
  <c r="AD5" i="220"/>
  <c r="AB81" i="261"/>
  <c r="AC81" i="261" s="1"/>
  <c r="AB76" i="261"/>
  <c r="AC76" i="261" s="1"/>
  <c r="AB71" i="261"/>
  <c r="AC71" i="261" s="1"/>
  <c r="AB65" i="261"/>
  <c r="AC65" i="261" s="1"/>
  <c r="AB61" i="261"/>
  <c r="AC61" i="261" s="1"/>
  <c r="AB57" i="261"/>
  <c r="AC57" i="261" s="1"/>
  <c r="AB52" i="261"/>
  <c r="AC52" i="261" s="1"/>
  <c r="AB47" i="261"/>
  <c r="AC47" i="261" s="1"/>
  <c r="AB41" i="261"/>
  <c r="AB34" i="261"/>
  <c r="AB30" i="261"/>
  <c r="AB26" i="261"/>
  <c r="AC26" i="261" s="1"/>
  <c r="AB16" i="261"/>
  <c r="AC16" i="261"/>
  <c r="AB10" i="261"/>
  <c r="AC10" i="261" s="1"/>
  <c r="AC80" i="261"/>
  <c r="AC79" i="261"/>
  <c r="AC78" i="261"/>
  <c r="AC77" i="261"/>
  <c r="AC75" i="261"/>
  <c r="AC74" i="261"/>
  <c r="AC73" i="261"/>
  <c r="AC72" i="261"/>
  <c r="AC70" i="261"/>
  <c r="AC69" i="261"/>
  <c r="AC68" i="261"/>
  <c r="AC67" i="261"/>
  <c r="AC64" i="261"/>
  <c r="AC59" i="261"/>
  <c r="AC58" i="261"/>
  <c r="AC56" i="261"/>
  <c r="AC55" i="261"/>
  <c r="AC51" i="261"/>
  <c r="AC50" i="261"/>
  <c r="AC49" i="261"/>
  <c r="AC48" i="261"/>
  <c r="AC46" i="261"/>
  <c r="AC45" i="261"/>
  <c r="AC44" i="261"/>
  <c r="AC43" i="261"/>
  <c r="AC42" i="261"/>
  <c r="AC40" i="261"/>
  <c r="AC39" i="261"/>
  <c r="AC38" i="261"/>
  <c r="AC37" i="261"/>
  <c r="AC36" i="261"/>
  <c r="AC33" i="261"/>
  <c r="AC32" i="261"/>
  <c r="AC31" i="261"/>
  <c r="AC29" i="261"/>
  <c r="AC28" i="261"/>
  <c r="AC27" i="261"/>
  <c r="AC25" i="261"/>
  <c r="AC24" i="261"/>
  <c r="AC23" i="261"/>
  <c r="AC20" i="261"/>
  <c r="AC19" i="261"/>
  <c r="AC18" i="261"/>
  <c r="AC17" i="261"/>
  <c r="AC15" i="261"/>
  <c r="AC14" i="261"/>
  <c r="AC13" i="261"/>
  <c r="AC12" i="261"/>
  <c r="AC11" i="261"/>
  <c r="AC9" i="261"/>
  <c r="AC8" i="261"/>
  <c r="AC7" i="261"/>
  <c r="AC6" i="261"/>
  <c r="AC5" i="261"/>
  <c r="AC81" i="214"/>
  <c r="AC76" i="214"/>
  <c r="AC71" i="214"/>
  <c r="AC65" i="214"/>
  <c r="AC61" i="214"/>
  <c r="AC57" i="214"/>
  <c r="AC52" i="214"/>
  <c r="AC47" i="214"/>
  <c r="AC41" i="214"/>
  <c r="AC34" i="214"/>
  <c r="AC30" i="214"/>
  <c r="AC26" i="214"/>
  <c r="AC16" i="214"/>
  <c r="AC10" i="214"/>
  <c r="AB81" i="214"/>
  <c r="AD80" i="214"/>
  <c r="AD79" i="214"/>
  <c r="AD78" i="214"/>
  <c r="AD77" i="214"/>
  <c r="AB76" i="214"/>
  <c r="AD75" i="214"/>
  <c r="AD74" i="214"/>
  <c r="AD73" i="214"/>
  <c r="AD72" i="214"/>
  <c r="AB71" i="214"/>
  <c r="AD70" i="214"/>
  <c r="AD69" i="214"/>
  <c r="AD68" i="214"/>
  <c r="AD67" i="214"/>
  <c r="AB65" i="214"/>
  <c r="AD64" i="214"/>
  <c r="AD63" i="214"/>
  <c r="AD62" i="214"/>
  <c r="AB61" i="214"/>
  <c r="AD60" i="214"/>
  <c r="AD59" i="214"/>
  <c r="AD58" i="214"/>
  <c r="AB57" i="214"/>
  <c r="AD56" i="214"/>
  <c r="AD55" i="214"/>
  <c r="AD54" i="214"/>
  <c r="AB52" i="214"/>
  <c r="AD52" i="214" s="1"/>
  <c r="AD51" i="214"/>
  <c r="AD50" i="214"/>
  <c r="AD49" i="214"/>
  <c r="AD48" i="214"/>
  <c r="AB47" i="214"/>
  <c r="AD46" i="214"/>
  <c r="AD45" i="214"/>
  <c r="AD44" i="214"/>
  <c r="AD43" i="214"/>
  <c r="AD42" i="214"/>
  <c r="AB41" i="214"/>
  <c r="AD40" i="214"/>
  <c r="AD39" i="214"/>
  <c r="AD38" i="214"/>
  <c r="AD37" i="214"/>
  <c r="AD36" i="214"/>
  <c r="AB34" i="214"/>
  <c r="AD33" i="214"/>
  <c r="AD32" i="214"/>
  <c r="AD31" i="214"/>
  <c r="AB30" i="214"/>
  <c r="AD29" i="214"/>
  <c r="AD28" i="214"/>
  <c r="AD27" i="214"/>
  <c r="AB26" i="214"/>
  <c r="AD25" i="214"/>
  <c r="AD24" i="214"/>
  <c r="AD23" i="214"/>
  <c r="AB21" i="214"/>
  <c r="AD20" i="214"/>
  <c r="AD19" i="214"/>
  <c r="AD18" i="214"/>
  <c r="AD17" i="214"/>
  <c r="AB16" i="214"/>
  <c r="AD15" i="214"/>
  <c r="AD14" i="214"/>
  <c r="AD13" i="214"/>
  <c r="AD12" i="214"/>
  <c r="AD11" i="214"/>
  <c r="AB10" i="214"/>
  <c r="AD9" i="214"/>
  <c r="AD8" i="214"/>
  <c r="AD7" i="214"/>
  <c r="AD6" i="214"/>
  <c r="AD5" i="214"/>
  <c r="AC30" i="261"/>
  <c r="AD84" i="221"/>
  <c r="AD82" i="221"/>
  <c r="AO36" i="223"/>
  <c r="AN36" i="223"/>
  <c r="AM36" i="223"/>
  <c r="AO35" i="223"/>
  <c r="AN35" i="223"/>
  <c r="AM35" i="223"/>
  <c r="AO34" i="223"/>
  <c r="AO31" i="223"/>
  <c r="AO32" i="223"/>
  <c r="AO33" i="223"/>
  <c r="AN34" i="223"/>
  <c r="AM34" i="223"/>
  <c r="AN33" i="223"/>
  <c r="AP33" i="223" s="1"/>
  <c r="AQ33" i="223" s="1"/>
  <c r="AM33" i="223"/>
  <c r="AN32" i="223"/>
  <c r="AM32" i="223"/>
  <c r="AN31" i="223"/>
  <c r="AM31" i="223"/>
  <c r="AO29" i="223"/>
  <c r="AN29" i="223"/>
  <c r="AM29" i="223"/>
  <c r="AQ29" i="223" s="1"/>
  <c r="AP28" i="223"/>
  <c r="AQ28" i="223" s="1"/>
  <c r="AP27" i="223"/>
  <c r="AQ27" i="223"/>
  <c r="AP26" i="223"/>
  <c r="AO24" i="223"/>
  <c r="AN24" i="223"/>
  <c r="AM24" i="223"/>
  <c r="AP23" i="223"/>
  <c r="AP24" i="223" s="1"/>
  <c r="AQ24" i="223" s="1"/>
  <c r="AP22" i="223"/>
  <c r="AQ22" i="223" s="1"/>
  <c r="AP21" i="223"/>
  <c r="AQ21" i="223" s="1"/>
  <c r="AO19" i="223"/>
  <c r="AN19" i="223"/>
  <c r="AM19" i="223"/>
  <c r="AP18" i="223"/>
  <c r="AQ18" i="223" s="1"/>
  <c r="AP17" i="223"/>
  <c r="AQ17" i="223"/>
  <c r="AP16" i="223"/>
  <c r="AO14" i="223"/>
  <c r="AN14" i="223"/>
  <c r="AM14" i="223"/>
  <c r="AP13" i="223"/>
  <c r="AQ13" i="223" s="1"/>
  <c r="AP12" i="223"/>
  <c r="AQ12" i="223"/>
  <c r="AP11" i="223"/>
  <c r="AQ11" i="223"/>
  <c r="AO9" i="223"/>
  <c r="AN9" i="223"/>
  <c r="AM9" i="223"/>
  <c r="AP8" i="223"/>
  <c r="AQ8" i="223" s="1"/>
  <c r="AP7" i="223"/>
  <c r="AQ7" i="223" s="1"/>
  <c r="AH31" i="223"/>
  <c r="AI31" i="223"/>
  <c r="AH32" i="223"/>
  <c r="AI32" i="223"/>
  <c r="AH33" i="223"/>
  <c r="AH34" i="223"/>
  <c r="AH35" i="223"/>
  <c r="AH36" i="223"/>
  <c r="AI33" i="223"/>
  <c r="AG33" i="223"/>
  <c r="AG32" i="223"/>
  <c r="AG31" i="223"/>
  <c r="AI24" i="223"/>
  <c r="AH24" i="223"/>
  <c r="AG24" i="223"/>
  <c r="AJ23" i="223"/>
  <c r="AJ21" i="223"/>
  <c r="AJ22" i="223"/>
  <c r="U82" i="222"/>
  <c r="V82" i="222" s="1"/>
  <c r="T82" i="222"/>
  <c r="U77" i="222"/>
  <c r="T77" i="222"/>
  <c r="U72" i="222"/>
  <c r="T72" i="222"/>
  <c r="U53" i="222"/>
  <c r="T53" i="222"/>
  <c r="T54" i="222" s="1"/>
  <c r="V54" i="222" s="1"/>
  <c r="U48" i="222"/>
  <c r="U54" i="222" s="1"/>
  <c r="U42" i="222"/>
  <c r="T48" i="222"/>
  <c r="T42" i="222"/>
  <c r="U35" i="222"/>
  <c r="T35" i="222"/>
  <c r="U31" i="222"/>
  <c r="T31" i="222"/>
  <c r="V31" i="222" s="1"/>
  <c r="T27" i="222"/>
  <c r="U27" i="222"/>
  <c r="U22" i="222"/>
  <c r="T22" i="222"/>
  <c r="U16" i="222"/>
  <c r="T16" i="222"/>
  <c r="U10" i="222"/>
  <c r="T10" i="222"/>
  <c r="V10" i="222" s="1"/>
  <c r="BA41" i="234"/>
  <c r="BC41" i="234" s="1"/>
  <c r="BB39" i="234"/>
  <c r="AZ39" i="234"/>
  <c r="AY39" i="234"/>
  <c r="BA38" i="234"/>
  <c r="BC38" i="234" s="1"/>
  <c r="BA37" i="234"/>
  <c r="BC37" i="234" s="1"/>
  <c r="BA36" i="234"/>
  <c r="BA35" i="234"/>
  <c r="BC35" i="234" s="1"/>
  <c r="BA34" i="234"/>
  <c r="BC34" i="234" s="1"/>
  <c r="BB32" i="234"/>
  <c r="AZ32" i="234"/>
  <c r="AY32" i="234"/>
  <c r="BA31" i="234"/>
  <c r="BA30" i="234"/>
  <c r="BC30" i="234" s="1"/>
  <c r="BA29" i="234"/>
  <c r="BA27" i="234"/>
  <c r="BA28" i="234"/>
  <c r="BB25" i="234"/>
  <c r="AZ25" i="234"/>
  <c r="AY25" i="234"/>
  <c r="BA24" i="234"/>
  <c r="BC24" i="234" s="1"/>
  <c r="BA23" i="234"/>
  <c r="BC23" i="234" s="1"/>
  <c r="BA22" i="234"/>
  <c r="BA21" i="234"/>
  <c r="BC21" i="234" s="1"/>
  <c r="BA20" i="234"/>
  <c r="BB18" i="234"/>
  <c r="AZ18" i="234"/>
  <c r="AZ11" i="234"/>
  <c r="AY18" i="234"/>
  <c r="BA17" i="234"/>
  <c r="BC17" i="234" s="1"/>
  <c r="BA16" i="234"/>
  <c r="BC16" i="234" s="1"/>
  <c r="BA15" i="234"/>
  <c r="BC15" i="234" s="1"/>
  <c r="BA14" i="234"/>
  <c r="BA13" i="234"/>
  <c r="BB11" i="234"/>
  <c r="BB43" i="234" s="1"/>
  <c r="AY11" i="234"/>
  <c r="BA10" i="234"/>
  <c r="BC10" i="234" s="1"/>
  <c r="BA9" i="234"/>
  <c r="BC9" i="234" s="1"/>
  <c r="BA8" i="234"/>
  <c r="BC8" i="234" s="1"/>
  <c r="BA7" i="234"/>
  <c r="BA6" i="234"/>
  <c r="BC6" i="234" s="1"/>
  <c r="AL41" i="233"/>
  <c r="AK39" i="233"/>
  <c r="AJ39" i="233"/>
  <c r="AL38" i="233"/>
  <c r="AL37" i="233"/>
  <c r="AL36" i="233"/>
  <c r="AL35" i="233"/>
  <c r="AL34" i="233"/>
  <c r="AK32" i="233"/>
  <c r="AK43" i="233" s="1"/>
  <c r="AK11" i="233"/>
  <c r="AK18" i="233"/>
  <c r="AK25" i="233"/>
  <c r="AJ32" i="233"/>
  <c r="AL31" i="233"/>
  <c r="AL30" i="233"/>
  <c r="AL29" i="233"/>
  <c r="AL28" i="233"/>
  <c r="AL27" i="233"/>
  <c r="AJ25" i="233"/>
  <c r="AL25" i="233" s="1"/>
  <c r="AL24" i="233"/>
  <c r="AL23" i="233"/>
  <c r="AL22" i="233"/>
  <c r="AL21" i="233"/>
  <c r="AL20" i="233"/>
  <c r="AJ18" i="233"/>
  <c r="AJ43" i="233" s="1"/>
  <c r="AL43" i="233" s="1"/>
  <c r="AL17" i="233"/>
  <c r="AL16" i="233"/>
  <c r="AL15" i="233"/>
  <c r="AL14" i="233"/>
  <c r="AL13" i="233"/>
  <c r="AJ11" i="233"/>
  <c r="AL10" i="233"/>
  <c r="AL9" i="233"/>
  <c r="AL8" i="233"/>
  <c r="AL7" i="233"/>
  <c r="AL6" i="233"/>
  <c r="X31" i="243"/>
  <c r="Z27" i="243"/>
  <c r="Z26" i="243"/>
  <c r="Z25" i="243"/>
  <c r="Z24" i="243"/>
  <c r="Z23" i="243"/>
  <c r="Z22" i="243"/>
  <c r="Z21" i="243"/>
  <c r="Z20" i="243"/>
  <c r="Z19" i="243"/>
  <c r="Z18" i="243"/>
  <c r="Z17" i="243"/>
  <c r="Z16" i="243"/>
  <c r="Z15" i="243"/>
  <c r="Z14" i="243"/>
  <c r="Z13" i="243"/>
  <c r="Z12" i="243"/>
  <c r="Z11" i="243"/>
  <c r="Z10" i="243"/>
  <c r="Z8" i="243"/>
  <c r="Z7" i="243"/>
  <c r="Z6" i="243"/>
  <c r="S18" i="242"/>
  <c r="T9" i="242" s="1"/>
  <c r="U17" i="242"/>
  <c r="U14" i="242"/>
  <c r="U13" i="242"/>
  <c r="U11" i="242"/>
  <c r="U10" i="242"/>
  <c r="U9" i="242"/>
  <c r="U8" i="242"/>
  <c r="U7" i="242"/>
  <c r="C92" i="237"/>
  <c r="B92" i="237"/>
  <c r="D91" i="237"/>
  <c r="E91" i="237" s="1"/>
  <c r="D90" i="237"/>
  <c r="E90" i="237" s="1"/>
  <c r="D89" i="237"/>
  <c r="E89" i="237"/>
  <c r="D88" i="237"/>
  <c r="E88" i="237" s="1"/>
  <c r="D87" i="237"/>
  <c r="E87" i="237" s="1"/>
  <c r="D86" i="237"/>
  <c r="E86" i="237" s="1"/>
  <c r="AF31" i="235"/>
  <c r="AE31" i="235"/>
  <c r="AF30" i="235"/>
  <c r="AE30" i="235"/>
  <c r="AF29" i="235"/>
  <c r="AE29" i="235"/>
  <c r="AG29" i="235" s="1"/>
  <c r="AG27" i="235"/>
  <c r="AG23" i="235"/>
  <c r="AG22" i="235"/>
  <c r="AG21" i="235"/>
  <c r="AG19" i="235"/>
  <c r="AG18" i="235"/>
  <c r="AG17" i="235"/>
  <c r="AG15" i="235"/>
  <c r="AG14" i="235"/>
  <c r="AG13" i="235"/>
  <c r="AG11" i="235"/>
  <c r="AG10" i="235"/>
  <c r="AG9" i="235"/>
  <c r="AG7" i="235"/>
  <c r="AG6" i="235"/>
  <c r="AG5" i="235"/>
  <c r="I191" i="232"/>
  <c r="H191" i="232"/>
  <c r="E191" i="232"/>
  <c r="D191" i="232"/>
  <c r="C191" i="232"/>
  <c r="J189" i="232"/>
  <c r="F189" i="232"/>
  <c r="J187" i="232"/>
  <c r="F187" i="232"/>
  <c r="J185" i="232"/>
  <c r="F185" i="232"/>
  <c r="J183" i="232"/>
  <c r="F183" i="232"/>
  <c r="J181" i="232"/>
  <c r="F181" i="232"/>
  <c r="J179" i="232"/>
  <c r="F179" i="232"/>
  <c r="G8" i="230"/>
  <c r="H28" i="273"/>
  <c r="G28" i="273"/>
  <c r="F28" i="273"/>
  <c r="E28" i="273"/>
  <c r="D28" i="273"/>
  <c r="C28" i="273"/>
  <c r="H23" i="273"/>
  <c r="G23" i="273"/>
  <c r="F23" i="273"/>
  <c r="E23" i="273"/>
  <c r="D23" i="273"/>
  <c r="C23" i="273"/>
  <c r="H19" i="273"/>
  <c r="G19" i="273"/>
  <c r="F19" i="273"/>
  <c r="E19" i="273"/>
  <c r="D19" i="273"/>
  <c r="C19" i="273"/>
  <c r="H14" i="273"/>
  <c r="G14" i="273"/>
  <c r="F14" i="273"/>
  <c r="E14" i="273"/>
  <c r="D14" i="273"/>
  <c r="C14" i="273"/>
  <c r="H8" i="273"/>
  <c r="G8" i="273"/>
  <c r="F8" i="273"/>
  <c r="E8" i="273"/>
  <c r="D8" i="273"/>
  <c r="C8" i="273"/>
  <c r="C32" i="273" s="1"/>
  <c r="AI36" i="223"/>
  <c r="AG36" i="223"/>
  <c r="AI35" i="223"/>
  <c r="AG35" i="223"/>
  <c r="AI34" i="223"/>
  <c r="AG34" i="223"/>
  <c r="AI29" i="223"/>
  <c r="AH29" i="223"/>
  <c r="AG29" i="223"/>
  <c r="AJ28" i="223"/>
  <c r="AK28" i="223" s="1"/>
  <c r="AJ27" i="223"/>
  <c r="AK27" i="223"/>
  <c r="AJ26" i="223"/>
  <c r="AK26" i="223"/>
  <c r="AI19" i="223"/>
  <c r="AH19" i="223"/>
  <c r="AG19" i="223"/>
  <c r="AJ18" i="223"/>
  <c r="AK18" i="223" s="1"/>
  <c r="AJ17" i="223"/>
  <c r="AJ16" i="223"/>
  <c r="AJ19" i="223" s="1"/>
  <c r="AI14" i="223"/>
  <c r="AH14" i="223"/>
  <c r="AG14" i="223"/>
  <c r="AJ13" i="223"/>
  <c r="AK13" i="223" s="1"/>
  <c r="AJ12" i="223"/>
  <c r="AK12" i="223" s="1"/>
  <c r="AJ11" i="223"/>
  <c r="AI9" i="223"/>
  <c r="AH9" i="223"/>
  <c r="AG9" i="223"/>
  <c r="AJ8" i="223"/>
  <c r="AK8" i="223" s="1"/>
  <c r="AJ7" i="223"/>
  <c r="AK7" i="223" s="1"/>
  <c r="AJ6" i="223"/>
  <c r="AK6" i="223" s="1"/>
  <c r="AR43" i="272"/>
  <c r="AQ43" i="272"/>
  <c r="AS41" i="272"/>
  <c r="AO41" i="272"/>
  <c r="AK41" i="272"/>
  <c r="AS39" i="272"/>
  <c r="AN39" i="272"/>
  <c r="AM39" i="272"/>
  <c r="AO39" i="272" s="1"/>
  <c r="AJ39" i="272"/>
  <c r="AS38" i="272"/>
  <c r="AO38" i="272"/>
  <c r="AK38" i="272"/>
  <c r="AS37" i="272"/>
  <c r="AO37" i="272"/>
  <c r="AK37" i="272"/>
  <c r="BE41" i="272"/>
  <c r="BA41" i="272"/>
  <c r="AW41" i="272"/>
  <c r="AS36" i="272"/>
  <c r="AO36" i="272"/>
  <c r="AK36" i="272"/>
  <c r="AS35" i="272"/>
  <c r="AO35" i="272"/>
  <c r="AK35" i="272"/>
  <c r="BE39" i="272"/>
  <c r="AZ39" i="272"/>
  <c r="BA39" i="272" s="1"/>
  <c r="AW39" i="272"/>
  <c r="AS34" i="272"/>
  <c r="AO34" i="272"/>
  <c r="AK34" i="272"/>
  <c r="BC32" i="272"/>
  <c r="AZ32" i="272"/>
  <c r="AY32" i="272"/>
  <c r="AV32" i="272"/>
  <c r="AU32" i="272"/>
  <c r="AW32" i="272" s="1"/>
  <c r="AS32" i="272"/>
  <c r="AN32" i="272"/>
  <c r="AM32" i="272"/>
  <c r="AJ32" i="272"/>
  <c r="BE31" i="272"/>
  <c r="BA31" i="272"/>
  <c r="AW31" i="272"/>
  <c r="AS31" i="272"/>
  <c r="AO31" i="272"/>
  <c r="AK31" i="272"/>
  <c r="BD30" i="272"/>
  <c r="BE30" i="272" s="1"/>
  <c r="BA30" i="272"/>
  <c r="AW30" i="272"/>
  <c r="AS30" i="272"/>
  <c r="AO30" i="272"/>
  <c r="AK30" i="272"/>
  <c r="BE29" i="272"/>
  <c r="BA29" i="272"/>
  <c r="AW29" i="272"/>
  <c r="AS29" i="272"/>
  <c r="AO29" i="272"/>
  <c r="AK29" i="272"/>
  <c r="BE28" i="272"/>
  <c r="BA28" i="272"/>
  <c r="AW28" i="272"/>
  <c r="AS28" i="272"/>
  <c r="AO28" i="272"/>
  <c r="AK28" i="272"/>
  <c r="BE27" i="272"/>
  <c r="BA27" i="272"/>
  <c r="AW27" i="272"/>
  <c r="AS27" i="272"/>
  <c r="AO27" i="272"/>
  <c r="AI32" i="272"/>
  <c r="BC25" i="272"/>
  <c r="AZ25" i="272"/>
  <c r="AY25" i="272"/>
  <c r="BA25" i="272" s="1"/>
  <c r="AV25" i="272"/>
  <c r="AU25" i="272"/>
  <c r="AS25" i="272"/>
  <c r="AN25" i="272"/>
  <c r="AM25" i="272"/>
  <c r="AJ25" i="272"/>
  <c r="BE24" i="272"/>
  <c r="BA24" i="272"/>
  <c r="AW24" i="272"/>
  <c r="AS24" i="272"/>
  <c r="AO24" i="272"/>
  <c r="AK24" i="272"/>
  <c r="BD23" i="272"/>
  <c r="BD25" i="272" s="1"/>
  <c r="BA23" i="272"/>
  <c r="AW23" i="272"/>
  <c r="AS23" i="272"/>
  <c r="AO23" i="272"/>
  <c r="AK23" i="272"/>
  <c r="BE22" i="272"/>
  <c r="BA22" i="272"/>
  <c r="AW22" i="272"/>
  <c r="AS22" i="272"/>
  <c r="AO22" i="272"/>
  <c r="AK22" i="272"/>
  <c r="BE21" i="272"/>
  <c r="BA21" i="272"/>
  <c r="AW21" i="272"/>
  <c r="AS21" i="272"/>
  <c r="AO21" i="272"/>
  <c r="AK21" i="272"/>
  <c r="BE20" i="272"/>
  <c r="BA20" i="272"/>
  <c r="AW20" i="272"/>
  <c r="AS20" i="272"/>
  <c r="AO20" i="272"/>
  <c r="AK20" i="272"/>
  <c r="BC18" i="272"/>
  <c r="AZ18" i="272"/>
  <c r="AY18" i="272"/>
  <c r="AV18" i="272"/>
  <c r="AU18" i="272"/>
  <c r="AS18" i="272"/>
  <c r="AN18" i="272"/>
  <c r="AM18" i="272"/>
  <c r="AJ18" i="272"/>
  <c r="BE17" i="272"/>
  <c r="BA17" i="272"/>
  <c r="AW17" i="272"/>
  <c r="AS17" i="272"/>
  <c r="AO17" i="272"/>
  <c r="AK17" i="272"/>
  <c r="BD16" i="272"/>
  <c r="BE16" i="272" s="1"/>
  <c r="BA16" i="272"/>
  <c r="AW16" i="272"/>
  <c r="AS16" i="272"/>
  <c r="AO16" i="272"/>
  <c r="AK16" i="272"/>
  <c r="BE15" i="272"/>
  <c r="BA15" i="272"/>
  <c r="AW15" i="272"/>
  <c r="AS15" i="272"/>
  <c r="AO15" i="272"/>
  <c r="AK15" i="272"/>
  <c r="BE14" i="272"/>
  <c r="BA14" i="272"/>
  <c r="AW14" i="272"/>
  <c r="AS14" i="272"/>
  <c r="AO14" i="272"/>
  <c r="AK14" i="272"/>
  <c r="BE13" i="272"/>
  <c r="BA13" i="272"/>
  <c r="AW13" i="272"/>
  <c r="AS13" i="272"/>
  <c r="AO13" i="272"/>
  <c r="BC11" i="272"/>
  <c r="BC43" i="272" s="1"/>
  <c r="AY11" i="272"/>
  <c r="AV11" i="272"/>
  <c r="AU11" i="272"/>
  <c r="AS11" i="272"/>
  <c r="AN11" i="272"/>
  <c r="AM11" i="272"/>
  <c r="AJ11" i="272"/>
  <c r="AI11" i="272"/>
  <c r="AK11" i="272" s="1"/>
  <c r="BE10" i="272"/>
  <c r="BA10" i="272"/>
  <c r="AW10" i="272"/>
  <c r="AS10" i="272"/>
  <c r="AO10" i="272"/>
  <c r="AK10" i="272"/>
  <c r="BD9" i="272"/>
  <c r="BD11" i="272" s="1"/>
  <c r="AZ9" i="272"/>
  <c r="BA9" i="272" s="1"/>
  <c r="AW9" i="272"/>
  <c r="AS9" i="272"/>
  <c r="AO9" i="272"/>
  <c r="AK9" i="272"/>
  <c r="BE8" i="272"/>
  <c r="BA8" i="272"/>
  <c r="AW8" i="272"/>
  <c r="AS8" i="272"/>
  <c r="AO8" i="272"/>
  <c r="AK8" i="272"/>
  <c r="BE7" i="272"/>
  <c r="AZ7" i="272"/>
  <c r="BA7" i="272" s="1"/>
  <c r="AW7" i="272"/>
  <c r="AS7" i="272"/>
  <c r="AO7" i="272"/>
  <c r="AK7" i="272"/>
  <c r="BE6" i="272"/>
  <c r="AZ6" i="272"/>
  <c r="BA6" i="272" s="1"/>
  <c r="AW6" i="272"/>
  <c r="AS6" i="272"/>
  <c r="AO6" i="272"/>
  <c r="AX46" i="271"/>
  <c r="AW46" i="271"/>
  <c r="AV46" i="271"/>
  <c r="AT46" i="271"/>
  <c r="AS46" i="271"/>
  <c r="AS44" i="271"/>
  <c r="AS47" i="271" s="1"/>
  <c r="AS45" i="271"/>
  <c r="AR46" i="271"/>
  <c r="AP46" i="271"/>
  <c r="AP45" i="271"/>
  <c r="AO46" i="271"/>
  <c r="AN46" i="271"/>
  <c r="AL46" i="271"/>
  <c r="AK46" i="271"/>
  <c r="AJ46" i="271"/>
  <c r="AX45" i="271"/>
  <c r="AW45" i="271"/>
  <c r="AV45" i="271"/>
  <c r="AT45" i="271"/>
  <c r="AR45" i="271"/>
  <c r="AO45" i="271"/>
  <c r="AN45" i="271"/>
  <c r="AN47" i="271" s="1"/>
  <c r="AL45" i="271"/>
  <c r="AK45" i="271"/>
  <c r="AJ45" i="271"/>
  <c r="AX44" i="271"/>
  <c r="AW44" i="271"/>
  <c r="AV44" i="271"/>
  <c r="AT44" i="271"/>
  <c r="AR44" i="271"/>
  <c r="AR47" i="271" s="1"/>
  <c r="AP44" i="271"/>
  <c r="AO44" i="271"/>
  <c r="AN44" i="271"/>
  <c r="AL44" i="271"/>
  <c r="AK44" i="271"/>
  <c r="AJ44" i="271"/>
  <c r="BB40" i="271"/>
  <c r="BA40" i="271"/>
  <c r="AZ40" i="271"/>
  <c r="AX40" i="271"/>
  <c r="AW40" i="271"/>
  <c r="AV40" i="271"/>
  <c r="AT40" i="271"/>
  <c r="AS40" i="271"/>
  <c r="AR40" i="271"/>
  <c r="AP40" i="271"/>
  <c r="AO40" i="271"/>
  <c r="AN40" i="271"/>
  <c r="AL40" i="271"/>
  <c r="AK40" i="271"/>
  <c r="AJ40" i="271"/>
  <c r="AT30" i="271"/>
  <c r="AS30" i="271"/>
  <c r="AR30" i="271"/>
  <c r="AP30" i="271"/>
  <c r="AO30" i="271"/>
  <c r="AN30" i="271"/>
  <c r="AL30" i="271"/>
  <c r="AK30" i="271"/>
  <c r="AJ30" i="271"/>
  <c r="AX23" i="271"/>
  <c r="AW23" i="271"/>
  <c r="AV23" i="271"/>
  <c r="AT23" i="271"/>
  <c r="AS23" i="271"/>
  <c r="AR23" i="271"/>
  <c r="AP23" i="271"/>
  <c r="AO23" i="271"/>
  <c r="AN23" i="271"/>
  <c r="AL23" i="271"/>
  <c r="AK23" i="271"/>
  <c r="AJ23" i="271"/>
  <c r="BB16" i="271"/>
  <c r="BA16" i="271"/>
  <c r="AZ16" i="271"/>
  <c r="AX16" i="271"/>
  <c r="AW16" i="271"/>
  <c r="AV16" i="271"/>
  <c r="AT16" i="271"/>
  <c r="AS16" i="271"/>
  <c r="AR16" i="271"/>
  <c r="AP16" i="271"/>
  <c r="AO16" i="271"/>
  <c r="AN16" i="271"/>
  <c r="AL16" i="271"/>
  <c r="AK16" i="271"/>
  <c r="AJ16" i="271"/>
  <c r="BB8" i="271"/>
  <c r="BA8" i="271"/>
  <c r="AZ8" i="271"/>
  <c r="AX8" i="271"/>
  <c r="AW8" i="271"/>
  <c r="AV8" i="271"/>
  <c r="AT8" i="271"/>
  <c r="AS8" i="271"/>
  <c r="AR8" i="271"/>
  <c r="AP8" i="271"/>
  <c r="AO8" i="271"/>
  <c r="AN8" i="271"/>
  <c r="AL8" i="271"/>
  <c r="AK8" i="271"/>
  <c r="AJ8" i="271"/>
  <c r="BR103" i="267"/>
  <c r="BR105" i="267" s="1"/>
  <c r="BV103" i="267"/>
  <c r="BV105" i="267" s="1"/>
  <c r="BU103" i="267"/>
  <c r="BU105" i="267" s="1"/>
  <c r="BT103" i="267"/>
  <c r="BT105" i="267" s="1"/>
  <c r="BS103" i="267"/>
  <c r="BS105" i="267" s="1"/>
  <c r="BQ103" i="267"/>
  <c r="BQ105" i="267" s="1"/>
  <c r="AK6" i="272"/>
  <c r="AI18" i="272"/>
  <c r="AI25" i="272"/>
  <c r="AK25" i="272" s="1"/>
  <c r="AI39" i="272"/>
  <c r="AK13" i="272"/>
  <c r="AK27" i="272"/>
  <c r="Z80" i="214"/>
  <c r="Z79" i="214"/>
  <c r="Z78" i="214"/>
  <c r="Z77" i="214"/>
  <c r="Z75" i="214"/>
  <c r="Z74" i="214"/>
  <c r="Z73" i="214"/>
  <c r="Z72" i="214"/>
  <c r="Z70" i="214"/>
  <c r="Z69" i="214"/>
  <c r="Z68" i="214"/>
  <c r="Z67" i="214"/>
  <c r="Z64" i="214"/>
  <c r="Z63" i="214"/>
  <c r="Z62" i="214"/>
  <c r="Z60" i="214"/>
  <c r="Z59" i="214"/>
  <c r="Z58" i="214"/>
  <c r="Z56" i="214"/>
  <c r="Z55" i="214"/>
  <c r="Z54" i="214"/>
  <c r="Z51" i="214"/>
  <c r="Z50" i="214"/>
  <c r="Z49" i="214"/>
  <c r="Z48" i="214"/>
  <c r="Z46" i="214"/>
  <c r="Z45" i="214"/>
  <c r="Z44" i="214"/>
  <c r="Z43" i="214"/>
  <c r="Z42" i="214"/>
  <c r="Z40" i="214"/>
  <c r="Z39" i="214"/>
  <c r="Z38" i="214"/>
  <c r="Z37" i="214"/>
  <c r="Z36" i="214"/>
  <c r="Z33" i="214"/>
  <c r="Z32" i="214"/>
  <c r="Z31" i="214"/>
  <c r="Z29" i="214"/>
  <c r="Z28" i="214"/>
  <c r="Z27" i="214"/>
  <c r="Z25" i="214"/>
  <c r="Z24" i="214"/>
  <c r="Z23" i="214"/>
  <c r="Z20" i="214"/>
  <c r="Z19" i="214"/>
  <c r="Z18" i="214"/>
  <c r="Z17" i="214"/>
  <c r="Z15" i="214"/>
  <c r="Z14" i="214"/>
  <c r="Z13" i="214"/>
  <c r="Z12" i="214"/>
  <c r="Z11" i="214"/>
  <c r="Z9" i="214"/>
  <c r="Z8" i="214"/>
  <c r="Z7" i="214"/>
  <c r="Z6" i="214"/>
  <c r="Z5" i="214"/>
  <c r="Y81" i="214"/>
  <c r="Y82" i="214" s="1"/>
  <c r="Y84" i="214" s="1"/>
  <c r="Y81" i="221"/>
  <c r="Y82" i="221" s="1"/>
  <c r="Z80" i="221"/>
  <c r="Z79" i="221"/>
  <c r="Z78" i="221"/>
  <c r="Z77" i="221"/>
  <c r="Z76" i="221"/>
  <c r="Z75" i="221"/>
  <c r="Z74" i="221"/>
  <c r="Z73" i="221"/>
  <c r="Z72" i="221"/>
  <c r="Z71" i="221"/>
  <c r="Z70" i="221"/>
  <c r="Z69" i="221"/>
  <c r="Z68" i="221"/>
  <c r="Z67" i="221"/>
  <c r="Z65" i="221"/>
  <c r="Z64" i="221"/>
  <c r="Z61" i="221"/>
  <c r="Z59" i="221"/>
  <c r="Z58" i="221"/>
  <c r="Z66" i="221"/>
  <c r="Z56" i="221"/>
  <c r="Z55" i="221"/>
  <c r="Z53" i="221"/>
  <c r="Z52" i="221"/>
  <c r="Z51" i="221"/>
  <c r="Z50" i="221"/>
  <c r="Z49" i="221"/>
  <c r="Z48" i="221"/>
  <c r="Z47" i="221"/>
  <c r="Z46" i="221"/>
  <c r="Z45" i="221"/>
  <c r="Z44" i="221"/>
  <c r="Z43" i="221"/>
  <c r="Z42" i="221"/>
  <c r="Z41" i="221"/>
  <c r="Z40" i="221"/>
  <c r="Z39" i="221"/>
  <c r="Z38" i="221"/>
  <c r="Z37" i="221"/>
  <c r="Z36" i="221"/>
  <c r="Z34" i="221"/>
  <c r="Z33" i="221"/>
  <c r="Z32" i="221"/>
  <c r="Z31" i="221"/>
  <c r="Z30" i="221"/>
  <c r="Z29" i="221"/>
  <c r="Z28" i="221"/>
  <c r="Z27" i="221"/>
  <c r="Z26" i="221"/>
  <c r="Z25" i="221"/>
  <c r="Z24" i="221"/>
  <c r="Z23" i="221"/>
  <c r="Z21" i="221"/>
  <c r="Z20" i="221"/>
  <c r="Z19" i="221"/>
  <c r="Z18" i="221"/>
  <c r="Z17" i="221"/>
  <c r="Z16" i="221"/>
  <c r="Z15" i="221"/>
  <c r="Z14" i="221"/>
  <c r="Z13" i="221"/>
  <c r="Z12" i="221"/>
  <c r="Z11" i="221"/>
  <c r="Z10" i="221"/>
  <c r="Z9" i="221"/>
  <c r="Z8" i="221"/>
  <c r="Z7" i="221"/>
  <c r="Z6" i="221"/>
  <c r="Z5" i="221"/>
  <c r="W76" i="261"/>
  <c r="W71" i="261"/>
  <c r="Y71" i="261" s="1"/>
  <c r="W47" i="261"/>
  <c r="Y47" i="261" s="1"/>
  <c r="W41" i="261"/>
  <c r="Y41" i="261" s="1"/>
  <c r="W34" i="261"/>
  <c r="W30" i="261"/>
  <c r="W26" i="261"/>
  <c r="Y26" i="261" s="1"/>
  <c r="W16" i="261"/>
  <c r="Y16" i="261" s="1"/>
  <c r="W10" i="261"/>
  <c r="Y10" i="261"/>
  <c r="W21" i="261"/>
  <c r="Y21" i="261" s="1"/>
  <c r="W52" i="261"/>
  <c r="W53" i="261" s="1"/>
  <c r="Y53" i="261" s="1"/>
  <c r="W57" i="261"/>
  <c r="Y57" i="261" s="1"/>
  <c r="W61" i="261"/>
  <c r="Y61" i="261" s="1"/>
  <c r="W65" i="261"/>
  <c r="Y65" i="261"/>
  <c r="X21" i="220"/>
  <c r="X16" i="220"/>
  <c r="Z16" i="220" s="1"/>
  <c r="X10" i="220"/>
  <c r="X76" i="220"/>
  <c r="Z76" i="220" s="1"/>
  <c r="X71" i="220"/>
  <c r="Z71" i="220" s="1"/>
  <c r="X65" i="220"/>
  <c r="Z65" i="220" s="1"/>
  <c r="X61" i="220"/>
  <c r="Z61" i="220" s="1"/>
  <c r="X57" i="220"/>
  <c r="Z57" i="220" s="1"/>
  <c r="X52" i="220"/>
  <c r="X47" i="220"/>
  <c r="X41" i="220"/>
  <c r="Z41" i="220" s="1"/>
  <c r="X34" i="220"/>
  <c r="Z34" i="220" s="1"/>
  <c r="X30" i="220"/>
  <c r="Z30" i="220"/>
  <c r="X26" i="220"/>
  <c r="Z26" i="220"/>
  <c r="Y81" i="220"/>
  <c r="Y82" i="220" s="1"/>
  <c r="Y84" i="220" s="1"/>
  <c r="X81" i="220"/>
  <c r="Z80" i="220"/>
  <c r="Z79" i="220"/>
  <c r="Z78" i="220"/>
  <c r="Z77" i="220"/>
  <c r="Z75" i="220"/>
  <c r="Z74" i="220"/>
  <c r="Z73" i="220"/>
  <c r="Z72" i="220"/>
  <c r="Z70" i="220"/>
  <c r="Z69" i="220"/>
  <c r="Z68" i="220"/>
  <c r="Z67" i="220"/>
  <c r="Z64" i="220"/>
  <c r="Z59" i="220"/>
  <c r="Z58" i="220"/>
  <c r="Z56" i="220"/>
  <c r="Z55" i="220"/>
  <c r="Z51" i="220"/>
  <c r="Z50" i="220"/>
  <c r="Z49" i="220"/>
  <c r="Z48" i="220"/>
  <c r="Z46" i="220"/>
  <c r="Z45" i="220"/>
  <c r="Z44" i="220"/>
  <c r="Z43" i="220"/>
  <c r="Z42" i="220"/>
  <c r="Z40" i="220"/>
  <c r="Z39" i="220"/>
  <c r="Z38" i="220"/>
  <c r="Z37" i="220"/>
  <c r="Z36" i="220"/>
  <c r="Z33" i="220"/>
  <c r="Z32" i="220"/>
  <c r="Z31" i="220"/>
  <c r="Z29" i="220"/>
  <c r="Z28" i="220"/>
  <c r="Z27" i="220"/>
  <c r="Z25" i="220"/>
  <c r="Z24" i="220"/>
  <c r="Z23" i="220"/>
  <c r="Z20" i="220"/>
  <c r="Z19" i="220"/>
  <c r="Z18" i="220"/>
  <c r="Z17" i="220"/>
  <c r="Z15" i="220"/>
  <c r="Z14" i="220"/>
  <c r="Z13" i="220"/>
  <c r="Z12" i="220"/>
  <c r="Z11" i="220"/>
  <c r="Z9" i="220"/>
  <c r="Z8" i="220"/>
  <c r="Z7" i="220"/>
  <c r="Z6" i="220"/>
  <c r="Z5" i="220"/>
  <c r="X81" i="261"/>
  <c r="X82" i="261"/>
  <c r="X84" i="261" s="1"/>
  <c r="W81" i="261"/>
  <c r="Y80" i="261"/>
  <c r="Y79" i="261"/>
  <c r="Y78" i="261"/>
  <c r="Y77" i="261"/>
  <c r="Y75" i="261"/>
  <c r="Y74" i="261"/>
  <c r="Y73" i="261"/>
  <c r="Y72" i="261"/>
  <c r="Y70" i="261"/>
  <c r="Y69" i="261"/>
  <c r="Y68" i="261"/>
  <c r="Y67" i="261"/>
  <c r="Y64" i="261"/>
  <c r="Y59" i="261"/>
  <c r="Y58" i="261"/>
  <c r="Y56" i="261"/>
  <c r="Y55" i="261"/>
  <c r="Y51" i="261"/>
  <c r="Y50" i="261"/>
  <c r="Y49" i="261"/>
  <c r="Y48" i="261"/>
  <c r="Y46" i="261"/>
  <c r="Y45" i="261"/>
  <c r="Y44" i="261"/>
  <c r="Y43" i="261"/>
  <c r="Y42" i="261"/>
  <c r="Y40" i="261"/>
  <c r="Y39" i="261"/>
  <c r="Y38" i="261"/>
  <c r="Y37" i="261"/>
  <c r="Y36" i="261"/>
  <c r="Y33" i="261"/>
  <c r="Y32" i="261"/>
  <c r="Y31" i="261"/>
  <c r="Y29" i="261"/>
  <c r="Y28" i="261"/>
  <c r="Y27" i="261"/>
  <c r="Y25" i="261"/>
  <c r="Y24" i="261"/>
  <c r="Y23" i="261"/>
  <c r="Y20" i="261"/>
  <c r="Y19" i="261"/>
  <c r="Y18" i="261"/>
  <c r="Y17" i="261"/>
  <c r="Y15" i="261"/>
  <c r="Y14" i="261"/>
  <c r="Y13" i="261"/>
  <c r="Y12" i="261"/>
  <c r="Y11" i="261"/>
  <c r="Y9" i="261"/>
  <c r="Y8" i="261"/>
  <c r="Y7" i="261"/>
  <c r="Y6" i="261"/>
  <c r="Y5" i="261"/>
  <c r="Z57" i="221"/>
  <c r="AS82" i="216"/>
  <c r="AS81" i="216"/>
  <c r="AS79" i="216"/>
  <c r="AS77" i="216"/>
  <c r="AS76" i="216"/>
  <c r="AS75" i="216"/>
  <c r="AS74" i="216"/>
  <c r="AS73" i="216"/>
  <c r="AS72" i="216"/>
  <c r="AS71" i="216"/>
  <c r="AS70" i="216"/>
  <c r="AS69" i="216"/>
  <c r="AS68" i="216"/>
  <c r="AS67" i="216"/>
  <c r="AS66" i="216"/>
  <c r="AS65" i="216"/>
  <c r="AS64" i="216"/>
  <c r="AS62" i="216"/>
  <c r="AS61" i="216"/>
  <c r="AS59" i="216"/>
  <c r="AS58" i="216"/>
  <c r="AS57" i="216"/>
  <c r="AS55" i="216"/>
  <c r="AS54" i="216"/>
  <c r="AS53" i="216"/>
  <c r="AS52" i="216"/>
  <c r="AS51" i="216"/>
  <c r="AS49" i="216"/>
  <c r="AS47" i="216"/>
  <c r="AS46" i="216"/>
  <c r="AS45" i="216"/>
  <c r="AS44" i="216"/>
  <c r="AS43" i="216"/>
  <c r="AS42" i="216"/>
  <c r="AS41" i="216"/>
  <c r="AS40" i="216"/>
  <c r="AS39" i="216"/>
  <c r="AS38" i="216"/>
  <c r="AS37" i="216"/>
  <c r="AS35" i="216"/>
  <c r="AS34" i="216"/>
  <c r="AS33" i="216"/>
  <c r="AS32" i="216"/>
  <c r="AS31" i="216"/>
  <c r="AS30" i="216"/>
  <c r="AS29" i="216"/>
  <c r="AS28" i="216"/>
  <c r="AS27" i="216"/>
  <c r="AS26" i="216"/>
  <c r="AS25" i="216"/>
  <c r="AS24" i="216"/>
  <c r="AS23" i="216"/>
  <c r="AS22" i="216"/>
  <c r="AS20" i="216"/>
  <c r="AS19" i="216"/>
  <c r="AS18" i="216"/>
  <c r="AS17" i="216"/>
  <c r="AS16" i="216"/>
  <c r="AS15" i="216"/>
  <c r="AS14" i="216"/>
  <c r="AS13" i="216"/>
  <c r="AS12" i="216"/>
  <c r="AS11" i="216"/>
  <c r="AS10" i="216"/>
  <c r="AS9" i="216"/>
  <c r="AS8" i="216"/>
  <c r="AS7" i="216"/>
  <c r="AS6" i="216"/>
  <c r="AS5" i="216"/>
  <c r="AR82" i="216"/>
  <c r="AR81" i="216"/>
  <c r="AR80" i="216"/>
  <c r="AR79" i="216"/>
  <c r="AR78" i="216"/>
  <c r="AR77" i="216"/>
  <c r="AR76" i="216"/>
  <c r="AR75" i="216"/>
  <c r="AR74" i="216"/>
  <c r="AR73" i="216"/>
  <c r="AR72" i="216"/>
  <c r="AR71" i="216"/>
  <c r="AR70" i="216"/>
  <c r="AR69" i="216"/>
  <c r="AR68" i="216"/>
  <c r="AR67" i="216"/>
  <c r="AR66" i="216"/>
  <c r="AR65" i="216"/>
  <c r="AR64" i="216"/>
  <c r="AR63" i="216"/>
  <c r="AR62" i="216"/>
  <c r="AR61" i="216"/>
  <c r="AR60" i="216"/>
  <c r="AR59" i="216"/>
  <c r="AR58" i="216"/>
  <c r="AR57" i="216"/>
  <c r="AR56" i="216"/>
  <c r="AR55" i="216"/>
  <c r="AR54" i="216"/>
  <c r="AR53" i="216"/>
  <c r="AR52" i="216"/>
  <c r="AR51" i="216"/>
  <c r="AR50" i="216"/>
  <c r="AR49" i="216"/>
  <c r="AR48" i="216"/>
  <c r="AR47" i="216"/>
  <c r="AR46" i="216"/>
  <c r="AR45" i="216"/>
  <c r="AR44" i="216"/>
  <c r="AR43" i="216"/>
  <c r="AR42" i="216"/>
  <c r="AR41" i="216"/>
  <c r="AR40" i="216"/>
  <c r="AR39" i="216"/>
  <c r="AR38" i="216"/>
  <c r="AR37" i="216"/>
  <c r="AR36" i="216"/>
  <c r="AR35" i="216"/>
  <c r="AR34" i="216"/>
  <c r="AR33" i="216"/>
  <c r="AR32" i="216"/>
  <c r="AR31" i="216"/>
  <c r="AR30" i="216"/>
  <c r="AR29" i="216"/>
  <c r="AR28" i="216"/>
  <c r="AR27" i="216"/>
  <c r="AR26" i="216"/>
  <c r="AR25" i="216"/>
  <c r="AR24" i="216"/>
  <c r="AR23" i="216"/>
  <c r="AR22" i="216"/>
  <c r="AR20" i="216"/>
  <c r="AR19" i="216"/>
  <c r="AR18" i="216"/>
  <c r="AR17" i="216"/>
  <c r="AR16" i="216"/>
  <c r="AR15" i="216"/>
  <c r="AR14" i="216"/>
  <c r="AR13" i="216"/>
  <c r="AR12" i="216"/>
  <c r="AR11" i="216"/>
  <c r="AR10" i="216"/>
  <c r="AR9" i="216"/>
  <c r="AR8" i="216"/>
  <c r="AR7" i="216"/>
  <c r="AR6" i="216"/>
  <c r="AR5" i="216"/>
  <c r="AO84" i="216"/>
  <c r="AP84" i="216"/>
  <c r="AQ84" i="216"/>
  <c r="AN84" i="216"/>
  <c r="Z35" i="221"/>
  <c r="Z22" i="221"/>
  <c r="V62" i="214"/>
  <c r="V63" i="214"/>
  <c r="X81" i="214"/>
  <c r="Z81" i="214" s="1"/>
  <c r="X76" i="214"/>
  <c r="Z76" i="214" s="1"/>
  <c r="X71" i="214"/>
  <c r="Z71" i="214" s="1"/>
  <c r="X65" i="214"/>
  <c r="Z65" i="214" s="1"/>
  <c r="X61" i="214"/>
  <c r="Z61" i="214" s="1"/>
  <c r="X57" i="214"/>
  <c r="Z57" i="214" s="1"/>
  <c r="X52" i="214"/>
  <c r="Z52" i="214" s="1"/>
  <c r="X47" i="214"/>
  <c r="Z47" i="214" s="1"/>
  <c r="X41" i="214"/>
  <c r="Z41" i="214" s="1"/>
  <c r="X34" i="214"/>
  <c r="Z34" i="214"/>
  <c r="X30" i="214"/>
  <c r="Z30" i="214" s="1"/>
  <c r="X26" i="214"/>
  <c r="Z26" i="214" s="1"/>
  <c r="X21" i="214"/>
  <c r="X10" i="214"/>
  <c r="X16" i="214"/>
  <c r="K579" i="212"/>
  <c r="K934" i="213"/>
  <c r="V80" i="214"/>
  <c r="V79" i="214"/>
  <c r="V78" i="214"/>
  <c r="V77" i="214"/>
  <c r="V75" i="214"/>
  <c r="V74" i="214"/>
  <c r="V73" i="214"/>
  <c r="V72" i="214"/>
  <c r="V70" i="214"/>
  <c r="V69" i="214"/>
  <c r="V68" i="214"/>
  <c r="V67" i="214"/>
  <c r="V64" i="214"/>
  <c r="V60" i="214"/>
  <c r="V59" i="214"/>
  <c r="V58" i="214"/>
  <c r="V56" i="214"/>
  <c r="V55" i="214"/>
  <c r="V54" i="214"/>
  <c r="V51" i="214"/>
  <c r="V50" i="214"/>
  <c r="V49" i="214"/>
  <c r="V48" i="214"/>
  <c r="V46" i="214"/>
  <c r="V45" i="214"/>
  <c r="V44" i="214"/>
  <c r="V43" i="214"/>
  <c r="V42" i="214"/>
  <c r="V40" i="214"/>
  <c r="V39" i="214"/>
  <c r="V38" i="214"/>
  <c r="V37" i="214"/>
  <c r="V36" i="214"/>
  <c r="V33" i="214"/>
  <c r="V32" i="214"/>
  <c r="V31" i="214"/>
  <c r="V29" i="214"/>
  <c r="V28" i="214"/>
  <c r="V27" i="214"/>
  <c r="V25" i="214"/>
  <c r="V24" i="214"/>
  <c r="V23" i="214"/>
  <c r="V20" i="214"/>
  <c r="V19" i="214"/>
  <c r="V18" i="214"/>
  <c r="V17" i="214"/>
  <c r="V15" i="214"/>
  <c r="V14" i="214"/>
  <c r="V13" i="214"/>
  <c r="V12" i="214"/>
  <c r="V11" i="214"/>
  <c r="V9" i="214"/>
  <c r="V8" i="214"/>
  <c r="V7" i="214"/>
  <c r="V6" i="214"/>
  <c r="V5" i="214"/>
  <c r="R80" i="214"/>
  <c r="R79" i="214"/>
  <c r="R78" i="214"/>
  <c r="R77" i="214"/>
  <c r="R75" i="214"/>
  <c r="R74" i="214"/>
  <c r="R73" i="214"/>
  <c r="R72" i="214"/>
  <c r="R70" i="214"/>
  <c r="R69" i="214"/>
  <c r="R68" i="214"/>
  <c r="R67" i="214"/>
  <c r="R64" i="214"/>
  <c r="R60" i="214"/>
  <c r="R59" i="214"/>
  <c r="R58" i="214"/>
  <c r="R56" i="214"/>
  <c r="R55" i="214"/>
  <c r="R54" i="214"/>
  <c r="R51" i="214"/>
  <c r="R50" i="214"/>
  <c r="R49" i="214"/>
  <c r="R48" i="214"/>
  <c r="R46" i="214"/>
  <c r="R45" i="214"/>
  <c r="R44" i="214"/>
  <c r="R43" i="214"/>
  <c r="R42" i="214"/>
  <c r="R40" i="214"/>
  <c r="R39" i="214"/>
  <c r="R38" i="214"/>
  <c r="R37" i="214"/>
  <c r="R36" i="214"/>
  <c r="R33" i="214"/>
  <c r="R32" i="214"/>
  <c r="R31" i="214"/>
  <c r="R29" i="214"/>
  <c r="R28" i="214"/>
  <c r="R27" i="214"/>
  <c r="R25" i="214"/>
  <c r="R24" i="214"/>
  <c r="R23" i="214"/>
  <c r="R20" i="214"/>
  <c r="R19" i="214"/>
  <c r="R18" i="214"/>
  <c r="R17" i="214"/>
  <c r="R15" i="214"/>
  <c r="R14" i="214"/>
  <c r="R13" i="214"/>
  <c r="R12" i="214"/>
  <c r="R11" i="214"/>
  <c r="R9" i="214"/>
  <c r="R8" i="214"/>
  <c r="R7" i="214"/>
  <c r="R6" i="214"/>
  <c r="R5" i="214"/>
  <c r="N80" i="214"/>
  <c r="N79" i="214"/>
  <c r="N78" i="214"/>
  <c r="N77" i="214"/>
  <c r="N75" i="214"/>
  <c r="N74" i="214"/>
  <c r="N73" i="214"/>
  <c r="N72" i="214"/>
  <c r="N70" i="214"/>
  <c r="N69" i="214"/>
  <c r="N68" i="214"/>
  <c r="N67" i="214"/>
  <c r="N64" i="214"/>
  <c r="N60" i="214"/>
  <c r="N59" i="214"/>
  <c r="N58" i="214"/>
  <c r="N56" i="214"/>
  <c r="N55" i="214"/>
  <c r="N54" i="214"/>
  <c r="N51" i="214"/>
  <c r="N50" i="214"/>
  <c r="N49" i="214"/>
  <c r="N48" i="214"/>
  <c r="N46" i="214"/>
  <c r="N45" i="214"/>
  <c r="N44" i="214"/>
  <c r="N43" i="214"/>
  <c r="N42" i="214"/>
  <c r="N40" i="214"/>
  <c r="N39" i="214"/>
  <c r="N38" i="214"/>
  <c r="N37" i="214"/>
  <c r="N36" i="214"/>
  <c r="N33" i="214"/>
  <c r="N32" i="214"/>
  <c r="N31" i="214"/>
  <c r="N29" i="214"/>
  <c r="N28" i="214"/>
  <c r="N27" i="214"/>
  <c r="N25" i="214"/>
  <c r="N24" i="214"/>
  <c r="N23" i="214"/>
  <c r="N20" i="214"/>
  <c r="N19" i="214"/>
  <c r="N18" i="214"/>
  <c r="N17" i="214"/>
  <c r="N15" i="214"/>
  <c r="N14" i="214"/>
  <c r="N13" i="214"/>
  <c r="N12" i="214"/>
  <c r="N11" i="214"/>
  <c r="N9" i="214"/>
  <c r="N8" i="214"/>
  <c r="N7" i="214"/>
  <c r="N6" i="214"/>
  <c r="N5" i="214"/>
  <c r="J80" i="214"/>
  <c r="J79" i="214"/>
  <c r="J78" i="214"/>
  <c r="J77" i="214"/>
  <c r="J75" i="214"/>
  <c r="J74" i="214"/>
  <c r="J73" i="214"/>
  <c r="J72" i="214"/>
  <c r="J70" i="214"/>
  <c r="J69" i="214"/>
  <c r="J68" i="214"/>
  <c r="J67" i="214"/>
  <c r="J64" i="214"/>
  <c r="J60" i="214"/>
  <c r="J59" i="214"/>
  <c r="J58" i="214"/>
  <c r="J56" i="214"/>
  <c r="J55" i="214"/>
  <c r="J54" i="214"/>
  <c r="J51" i="214"/>
  <c r="J50" i="214"/>
  <c r="J49" i="214"/>
  <c r="J48" i="214"/>
  <c r="J46" i="214"/>
  <c r="J45" i="214"/>
  <c r="J44" i="214"/>
  <c r="J43" i="214"/>
  <c r="J42" i="214"/>
  <c r="J40" i="214"/>
  <c r="J39" i="214"/>
  <c r="J38" i="214"/>
  <c r="J37" i="214"/>
  <c r="J36" i="214"/>
  <c r="J33" i="214"/>
  <c r="J32" i="214"/>
  <c r="J31" i="214"/>
  <c r="J29" i="214"/>
  <c r="J28" i="214"/>
  <c r="J27" i="214"/>
  <c r="J25" i="214"/>
  <c r="J24" i="214"/>
  <c r="J23" i="214"/>
  <c r="J20" i="214"/>
  <c r="J19" i="214"/>
  <c r="J18" i="214"/>
  <c r="J17" i="214"/>
  <c r="J15" i="214"/>
  <c r="J14" i="214"/>
  <c r="J13" i="214"/>
  <c r="J12" i="214"/>
  <c r="J11" i="214"/>
  <c r="J9" i="214"/>
  <c r="J8" i="214"/>
  <c r="J7" i="214"/>
  <c r="J6" i="214"/>
  <c r="J5" i="214"/>
  <c r="D81" i="214"/>
  <c r="D76" i="214"/>
  <c r="D71" i="214"/>
  <c r="E71" i="214"/>
  <c r="D65" i="214"/>
  <c r="D66" i="214" s="1"/>
  <c r="D61" i="214"/>
  <c r="D57" i="214"/>
  <c r="D52" i="214"/>
  <c r="D47" i="214"/>
  <c r="D41" i="214"/>
  <c r="D34" i="214"/>
  <c r="D30" i="214"/>
  <c r="D35" i="214" s="1"/>
  <c r="E30" i="214"/>
  <c r="D26" i="214"/>
  <c r="D21" i="214"/>
  <c r="D16" i="214"/>
  <c r="E10" i="214"/>
  <c r="F10" i="214"/>
  <c r="D10" i="214"/>
  <c r="F23" i="214"/>
  <c r="F24" i="214"/>
  <c r="F25" i="214"/>
  <c r="F27" i="214"/>
  <c r="F28" i="214"/>
  <c r="F29" i="214"/>
  <c r="F31" i="214"/>
  <c r="F32" i="214"/>
  <c r="F33" i="214"/>
  <c r="F36" i="214"/>
  <c r="F37" i="214"/>
  <c r="F38" i="214"/>
  <c r="F39" i="214"/>
  <c r="F40" i="214"/>
  <c r="F42" i="214"/>
  <c r="F43" i="214"/>
  <c r="F44" i="214"/>
  <c r="F45" i="214"/>
  <c r="F46" i="214"/>
  <c r="F48" i="214"/>
  <c r="F49" i="214"/>
  <c r="F50" i="214"/>
  <c r="F51" i="214"/>
  <c r="F54" i="214"/>
  <c r="F55" i="214"/>
  <c r="F56" i="214"/>
  <c r="F58" i="214"/>
  <c r="F59" i="214"/>
  <c r="F60" i="214"/>
  <c r="F64" i="214"/>
  <c r="F67" i="214"/>
  <c r="F68" i="214"/>
  <c r="F69" i="214"/>
  <c r="F70" i="214"/>
  <c r="F72" i="214"/>
  <c r="F73" i="214"/>
  <c r="F74" i="214"/>
  <c r="F75" i="214"/>
  <c r="F77" i="214"/>
  <c r="F78" i="214"/>
  <c r="F79" i="214"/>
  <c r="F80" i="214"/>
  <c r="F6" i="214"/>
  <c r="F5" i="214"/>
  <c r="F7" i="214"/>
  <c r="F8" i="214"/>
  <c r="F9" i="214"/>
  <c r="F11" i="214"/>
  <c r="F12" i="214"/>
  <c r="F13" i="214"/>
  <c r="F14" i="214"/>
  <c r="F15" i="214"/>
  <c r="F17" i="214"/>
  <c r="F18" i="214"/>
  <c r="F19" i="214"/>
  <c r="F20" i="214"/>
  <c r="U81" i="214"/>
  <c r="V81" i="214" s="1"/>
  <c r="U76" i="214"/>
  <c r="V76" i="214" s="1"/>
  <c r="U71" i="214"/>
  <c r="V71" i="214" s="1"/>
  <c r="U65" i="214"/>
  <c r="V65" i="214" s="1"/>
  <c r="U57" i="214"/>
  <c r="V57" i="214" s="1"/>
  <c r="U61" i="214"/>
  <c r="V61" i="214"/>
  <c r="U52" i="214"/>
  <c r="V52" i="214"/>
  <c r="U47" i="214"/>
  <c r="V47" i="214" s="1"/>
  <c r="U41" i="214"/>
  <c r="V41" i="214" s="1"/>
  <c r="U34" i="214"/>
  <c r="V34" i="214"/>
  <c r="U30" i="214"/>
  <c r="U26" i="214"/>
  <c r="V26" i="214" s="1"/>
  <c r="V21" i="214"/>
  <c r="U16" i="214"/>
  <c r="V16" i="214" s="1"/>
  <c r="U10" i="214"/>
  <c r="Q81" i="214"/>
  <c r="R81" i="214" s="1"/>
  <c r="Q76" i="214"/>
  <c r="R76" i="214" s="1"/>
  <c r="Q71" i="214"/>
  <c r="Q65" i="214"/>
  <c r="R65" i="214" s="1"/>
  <c r="Q61" i="214"/>
  <c r="Q57" i="214"/>
  <c r="R57" i="214" s="1"/>
  <c r="Q52" i="214"/>
  <c r="Q47" i="214"/>
  <c r="R47" i="214" s="1"/>
  <c r="Q41" i="214"/>
  <c r="R41" i="214" s="1"/>
  <c r="Q34" i="214"/>
  <c r="R34" i="214" s="1"/>
  <c r="Q30" i="214"/>
  <c r="R30" i="214" s="1"/>
  <c r="Q26" i="214"/>
  <c r="R26" i="214" s="1"/>
  <c r="R21" i="214"/>
  <c r="Q16" i="214"/>
  <c r="R16" i="214" s="1"/>
  <c r="Q10" i="214"/>
  <c r="R10" i="214" s="1"/>
  <c r="M81" i="214"/>
  <c r="N81" i="214"/>
  <c r="M76" i="214"/>
  <c r="N76" i="214"/>
  <c r="M71" i="214"/>
  <c r="N71" i="214" s="1"/>
  <c r="M65" i="214"/>
  <c r="N65" i="214"/>
  <c r="M61" i="214"/>
  <c r="N61" i="214"/>
  <c r="M57" i="214"/>
  <c r="M52" i="214"/>
  <c r="N52" i="214" s="1"/>
  <c r="M47" i="214"/>
  <c r="M41" i="214"/>
  <c r="N41" i="214" s="1"/>
  <c r="M34" i="214"/>
  <c r="M30" i="214"/>
  <c r="N30" i="214" s="1"/>
  <c r="M26" i="214"/>
  <c r="N26" i="214" s="1"/>
  <c r="N21" i="214"/>
  <c r="M16" i="214"/>
  <c r="M10" i="214"/>
  <c r="N10" i="214" s="1"/>
  <c r="I81" i="214"/>
  <c r="J81" i="214" s="1"/>
  <c r="I76" i="214"/>
  <c r="J76" i="214" s="1"/>
  <c r="I71" i="214"/>
  <c r="J71" i="214" s="1"/>
  <c r="I65" i="214"/>
  <c r="J65" i="214" s="1"/>
  <c r="I61" i="214"/>
  <c r="J61" i="214" s="1"/>
  <c r="I57" i="214"/>
  <c r="J57" i="214" s="1"/>
  <c r="I52" i="214"/>
  <c r="I47" i="214"/>
  <c r="J47" i="214"/>
  <c r="I41" i="214"/>
  <c r="J41" i="214" s="1"/>
  <c r="I34" i="214"/>
  <c r="I30" i="214"/>
  <c r="J30" i="214" s="1"/>
  <c r="I26" i="214"/>
  <c r="J26" i="214" s="1"/>
  <c r="I16" i="214"/>
  <c r="J16" i="214" s="1"/>
  <c r="I10" i="214"/>
  <c r="J10" i="214" s="1"/>
  <c r="E81" i="214"/>
  <c r="E76" i="214"/>
  <c r="E65" i="214"/>
  <c r="E61" i="214"/>
  <c r="E57" i="214"/>
  <c r="E52" i="214"/>
  <c r="F52" i="214" s="1"/>
  <c r="E47" i="214"/>
  <c r="E41" i="214"/>
  <c r="E34" i="214"/>
  <c r="E26" i="214"/>
  <c r="E16" i="214"/>
  <c r="E22" i="214" s="1"/>
  <c r="J6" i="216"/>
  <c r="J7" i="216"/>
  <c r="J8" i="216"/>
  <c r="J9" i="216"/>
  <c r="J11" i="216"/>
  <c r="J12" i="216"/>
  <c r="J13" i="216"/>
  <c r="J14" i="216"/>
  <c r="J15" i="216"/>
  <c r="J17" i="216"/>
  <c r="J18" i="216"/>
  <c r="J23" i="216"/>
  <c r="J24" i="216"/>
  <c r="J25" i="216"/>
  <c r="J27" i="216"/>
  <c r="J28" i="216"/>
  <c r="J29" i="216"/>
  <c r="J31" i="216"/>
  <c r="J32" i="216"/>
  <c r="J33" i="216"/>
  <c r="J36" i="216"/>
  <c r="J37" i="216"/>
  <c r="J38" i="216"/>
  <c r="J39" i="216"/>
  <c r="J40" i="216"/>
  <c r="J42" i="216"/>
  <c r="J43" i="216"/>
  <c r="J44" i="216"/>
  <c r="J45" i="216"/>
  <c r="J46" i="216"/>
  <c r="J48" i="216"/>
  <c r="J49" i="216"/>
  <c r="J50" i="216"/>
  <c r="J51" i="216"/>
  <c r="J55" i="216"/>
  <c r="J58" i="216"/>
  <c r="J67" i="216"/>
  <c r="J68" i="216"/>
  <c r="J69" i="216"/>
  <c r="J70" i="216"/>
  <c r="J73" i="216"/>
  <c r="J74" i="216"/>
  <c r="J75" i="216"/>
  <c r="J77" i="216"/>
  <c r="J79" i="216"/>
  <c r="J5" i="216"/>
  <c r="Q6" i="216"/>
  <c r="Q7" i="216"/>
  <c r="Q8" i="216"/>
  <c r="Q9" i="216"/>
  <c r="Q11" i="216"/>
  <c r="Q12" i="216"/>
  <c r="Q13" i="216"/>
  <c r="Q14" i="216"/>
  <c r="Q15" i="216"/>
  <c r="Q17" i="216"/>
  <c r="Q18" i="216"/>
  <c r="Q23" i="216"/>
  <c r="Q24" i="216"/>
  <c r="Q25" i="216"/>
  <c r="Q27" i="216"/>
  <c r="Q28" i="216"/>
  <c r="Q29" i="216"/>
  <c r="Q31" i="216"/>
  <c r="Q32" i="216"/>
  <c r="Q33" i="216"/>
  <c r="Q36" i="216"/>
  <c r="Q37" i="216"/>
  <c r="Q38" i="216"/>
  <c r="Q39" i="216"/>
  <c r="Q40" i="216"/>
  <c r="Q42" i="216"/>
  <c r="Q43" i="216"/>
  <c r="Q44" i="216"/>
  <c r="Q45" i="216"/>
  <c r="Q46" i="216"/>
  <c r="Q48" i="216"/>
  <c r="Q49" i="216"/>
  <c r="Q50" i="216"/>
  <c r="Q51" i="216"/>
  <c r="Q55" i="216"/>
  <c r="Q58" i="216"/>
  <c r="Q59" i="216"/>
  <c r="Q60" i="216"/>
  <c r="Q67" i="216"/>
  <c r="Q68" i="216"/>
  <c r="Q69" i="216"/>
  <c r="Q70" i="216"/>
  <c r="Q73" i="216"/>
  <c r="Q74" i="216"/>
  <c r="Q75" i="216"/>
  <c r="Q77" i="216"/>
  <c r="Q79" i="216"/>
  <c r="Q5" i="216"/>
  <c r="X6" i="216"/>
  <c r="X7" i="216"/>
  <c r="X8" i="216"/>
  <c r="X9" i="216"/>
  <c r="X11" i="216"/>
  <c r="X12" i="216"/>
  <c r="X13" i="216"/>
  <c r="X14" i="216"/>
  <c r="X15" i="216"/>
  <c r="X17" i="216"/>
  <c r="X18" i="216"/>
  <c r="X19" i="216"/>
  <c r="X23" i="216"/>
  <c r="X24" i="216"/>
  <c r="X25" i="216"/>
  <c r="X27" i="216"/>
  <c r="X28" i="216"/>
  <c r="X29" i="216"/>
  <c r="X31" i="216"/>
  <c r="X32" i="216"/>
  <c r="X33" i="216"/>
  <c r="X36" i="216"/>
  <c r="X37" i="216"/>
  <c r="X38" i="216"/>
  <c r="X39" i="216"/>
  <c r="X40" i="216"/>
  <c r="X42" i="216"/>
  <c r="X43" i="216"/>
  <c r="X44" i="216"/>
  <c r="X45" i="216"/>
  <c r="X46" i="216"/>
  <c r="X48" i="216"/>
  <c r="X49" i="216"/>
  <c r="X50" i="216"/>
  <c r="X51" i="216"/>
  <c r="X55" i="216"/>
  <c r="X56" i="216"/>
  <c r="X58" i="216"/>
  <c r="X59" i="216"/>
  <c r="X60" i="216"/>
  <c r="X64" i="216"/>
  <c r="X67" i="216"/>
  <c r="X68" i="216"/>
  <c r="X69" i="216"/>
  <c r="X70" i="216"/>
  <c r="X72" i="216"/>
  <c r="X73" i="216"/>
  <c r="X74" i="216"/>
  <c r="X75" i="216"/>
  <c r="X77" i="216"/>
  <c r="X79" i="216"/>
  <c r="X80" i="216"/>
  <c r="X5" i="216"/>
  <c r="AE6" i="216"/>
  <c r="AE7" i="216"/>
  <c r="AE8" i="216"/>
  <c r="AE9" i="216"/>
  <c r="AE11" i="216"/>
  <c r="AE12" i="216"/>
  <c r="AE13" i="216"/>
  <c r="AE14" i="216"/>
  <c r="AE15" i="216"/>
  <c r="AE17" i="216"/>
  <c r="AE18" i="216"/>
  <c r="AE19" i="216"/>
  <c r="AE23" i="216"/>
  <c r="AE24" i="216"/>
  <c r="AE25" i="216"/>
  <c r="AE27" i="216"/>
  <c r="AE28" i="216"/>
  <c r="AE29" i="216"/>
  <c r="AE31" i="216"/>
  <c r="AE32" i="216"/>
  <c r="AE33" i="216"/>
  <c r="AE36" i="216"/>
  <c r="AE37" i="216"/>
  <c r="AE38" i="216"/>
  <c r="AE39" i="216"/>
  <c r="AE40" i="216"/>
  <c r="AE42" i="216"/>
  <c r="AE43" i="216"/>
  <c r="AE44" i="216"/>
  <c r="AE45" i="216"/>
  <c r="AE46" i="216"/>
  <c r="AE48" i="216"/>
  <c r="AE49" i="216"/>
  <c r="AE50" i="216"/>
  <c r="AE51" i="216"/>
  <c r="AE54" i="216"/>
  <c r="AE55" i="216"/>
  <c r="AE56" i="216"/>
  <c r="AE58" i="216"/>
  <c r="AE59" i="216"/>
  <c r="AE60" i="216"/>
  <c r="AE62" i="216"/>
  <c r="AE64" i="216"/>
  <c r="AE67" i="216"/>
  <c r="AE68" i="216"/>
  <c r="AE69" i="216"/>
  <c r="AE70" i="216"/>
  <c r="AE72" i="216"/>
  <c r="AE73" i="216"/>
  <c r="AE74" i="216"/>
  <c r="AE75" i="216"/>
  <c r="AE77" i="216"/>
  <c r="AE78" i="216"/>
  <c r="AE79" i="216"/>
  <c r="AE80" i="216"/>
  <c r="AE5" i="216"/>
  <c r="AL6" i="216"/>
  <c r="AL7" i="216"/>
  <c r="AL8" i="216"/>
  <c r="AL9" i="216"/>
  <c r="AL11" i="216"/>
  <c r="AL12" i="216"/>
  <c r="AL13" i="216"/>
  <c r="AL14" i="216"/>
  <c r="AL15" i="216"/>
  <c r="AL17" i="216"/>
  <c r="AL18" i="216"/>
  <c r="AL19" i="216"/>
  <c r="AL20" i="216"/>
  <c r="AL23" i="216"/>
  <c r="AL24" i="216"/>
  <c r="AL25" i="216"/>
  <c r="AL27" i="216"/>
  <c r="AL28" i="216"/>
  <c r="AL29" i="216"/>
  <c r="AL31" i="216"/>
  <c r="AL32" i="216"/>
  <c r="AL33" i="216"/>
  <c r="AL37" i="216"/>
  <c r="AL38" i="216"/>
  <c r="AL39" i="216"/>
  <c r="AL40" i="216"/>
  <c r="AL42" i="216"/>
  <c r="AL43" i="216"/>
  <c r="AL44" i="216"/>
  <c r="AL45" i="216"/>
  <c r="AL46" i="216"/>
  <c r="AL49" i="216"/>
  <c r="AL51" i="216"/>
  <c r="AL54" i="216"/>
  <c r="AL55" i="216"/>
  <c r="AL56" i="216"/>
  <c r="AL58" i="216"/>
  <c r="AL59" i="216"/>
  <c r="AL62" i="216"/>
  <c r="AL64" i="216"/>
  <c r="AL67" i="216"/>
  <c r="AL68" i="216"/>
  <c r="AL69" i="216"/>
  <c r="AL70" i="216"/>
  <c r="AL72" i="216"/>
  <c r="AL73" i="216"/>
  <c r="AL74" i="216"/>
  <c r="AL75" i="216"/>
  <c r="AL77" i="216"/>
  <c r="AL79" i="216"/>
  <c r="AL5" i="216"/>
  <c r="AJ81" i="216"/>
  <c r="AI81" i="216"/>
  <c r="AI82" i="216" s="1"/>
  <c r="AG81" i="216"/>
  <c r="AH81" i="216"/>
  <c r="AK80" i="216"/>
  <c r="AK79" i="216"/>
  <c r="AK78" i="216"/>
  <c r="AK77" i="216"/>
  <c r="AJ76" i="216"/>
  <c r="AL76" i="216" s="1"/>
  <c r="AG76" i="216"/>
  <c r="AH76" i="216"/>
  <c r="AI76" i="216"/>
  <c r="AK75" i="216"/>
  <c r="AK74" i="216"/>
  <c r="AK73" i="216"/>
  <c r="AK72" i="216"/>
  <c r="AJ71" i="216"/>
  <c r="AG71" i="216"/>
  <c r="AH71" i="216"/>
  <c r="AI71" i="216"/>
  <c r="AK70" i="216"/>
  <c r="AK69" i="216"/>
  <c r="AK68" i="216"/>
  <c r="AK67" i="216"/>
  <c r="AJ65" i="216"/>
  <c r="AG65" i="216"/>
  <c r="AH65" i="216"/>
  <c r="AI65" i="216"/>
  <c r="AK64" i="216"/>
  <c r="AK63" i="216"/>
  <c r="AK62" i="216"/>
  <c r="AJ61" i="216"/>
  <c r="AI61" i="216"/>
  <c r="AI57" i="216"/>
  <c r="AH61" i="216"/>
  <c r="AG61" i="216"/>
  <c r="AK60" i="216"/>
  <c r="AK59" i="216"/>
  <c r="AK58" i="216"/>
  <c r="AJ57" i="216"/>
  <c r="AH57" i="216"/>
  <c r="AH66" i="216" s="1"/>
  <c r="AG57" i="216"/>
  <c r="AK56" i="216"/>
  <c r="AK55" i="216"/>
  <c r="AK54" i="216"/>
  <c r="AJ52" i="216"/>
  <c r="AI52" i="216"/>
  <c r="AG52" i="216"/>
  <c r="AK52" i="216" s="1"/>
  <c r="AH52" i="216"/>
  <c r="AK51" i="216"/>
  <c r="AK50" i="216"/>
  <c r="AK49" i="216"/>
  <c r="AK48" i="216"/>
  <c r="AJ47" i="216"/>
  <c r="AI47" i="216"/>
  <c r="AG47" i="216"/>
  <c r="AK47" i="216" s="1"/>
  <c r="AH47" i="216"/>
  <c r="AK46" i="216"/>
  <c r="AK45" i="216"/>
  <c r="AK44" i="216"/>
  <c r="AK43" i="216"/>
  <c r="AK42" i="216"/>
  <c r="AJ41" i="216"/>
  <c r="AI41" i="216"/>
  <c r="AH41" i="216"/>
  <c r="AG41" i="216"/>
  <c r="AK40" i="216"/>
  <c r="AK39" i="216"/>
  <c r="AK38" i="216"/>
  <c r="AK37" i="216"/>
  <c r="AK36" i="216"/>
  <c r="AJ34" i="216"/>
  <c r="AI34" i="216"/>
  <c r="AG34" i="216"/>
  <c r="AH34" i="216"/>
  <c r="AK33" i="216"/>
  <c r="AK32" i="216"/>
  <c r="AK31" i="216"/>
  <c r="AJ30" i="216"/>
  <c r="AI30" i="216"/>
  <c r="AL30" i="216" s="1"/>
  <c r="AH30" i="216"/>
  <c r="AH26" i="216"/>
  <c r="AG30" i="216"/>
  <c r="AK29" i="216"/>
  <c r="AK28" i="216"/>
  <c r="AK27" i="216"/>
  <c r="AJ26" i="216"/>
  <c r="AI26" i="216"/>
  <c r="AL26" i="216" s="1"/>
  <c r="AG26" i="216"/>
  <c r="AK25" i="216"/>
  <c r="AK24" i="216"/>
  <c r="AK23" i="216"/>
  <c r="AK20" i="216"/>
  <c r="AK19" i="216"/>
  <c r="AK18" i="216"/>
  <c r="AK17" i="216"/>
  <c r="AJ16" i="216"/>
  <c r="AJ22" i="216" s="1"/>
  <c r="AI16" i="216"/>
  <c r="AI22" i="216"/>
  <c r="AG16" i="216"/>
  <c r="AH16" i="216"/>
  <c r="AK15" i="216"/>
  <c r="AK14" i="216"/>
  <c r="AK13" i="216"/>
  <c r="AK12" i="216"/>
  <c r="AK11" i="216"/>
  <c r="AJ10" i="216"/>
  <c r="AI10" i="216"/>
  <c r="AH10" i="216"/>
  <c r="AG10" i="216"/>
  <c r="AK10" i="216" s="1"/>
  <c r="AK9" i="216"/>
  <c r="AK8" i="216"/>
  <c r="AK7" i="216"/>
  <c r="AK6" i="216"/>
  <c r="AK5" i="216"/>
  <c r="AC81" i="216"/>
  <c r="AB81" i="216"/>
  <c r="Z81" i="216"/>
  <c r="AA81" i="216"/>
  <c r="AD80" i="216"/>
  <c r="AD79" i="216"/>
  <c r="AD78" i="216"/>
  <c r="AD77" i="216"/>
  <c r="AC76" i="216"/>
  <c r="AB76" i="216"/>
  <c r="Z76" i="216"/>
  <c r="AA76" i="216"/>
  <c r="AD75" i="216"/>
  <c r="AD76" i="216" s="1"/>
  <c r="AD74" i="216"/>
  <c r="AD73" i="216"/>
  <c r="AD72" i="216"/>
  <c r="AC71" i="216"/>
  <c r="AB71" i="216"/>
  <c r="Z71" i="216"/>
  <c r="Z82" i="216" s="1"/>
  <c r="AA71" i="216"/>
  <c r="AD70" i="216"/>
  <c r="AD69" i="216"/>
  <c r="AD68" i="216"/>
  <c r="AD67" i="216"/>
  <c r="AC65" i="216"/>
  <c r="AB65" i="216"/>
  <c r="AB61" i="216"/>
  <c r="AB57" i="216"/>
  <c r="AA65" i="216"/>
  <c r="Z65" i="216"/>
  <c r="AD64" i="216"/>
  <c r="AD63" i="216"/>
  <c r="AD65" i="216" s="1"/>
  <c r="AD62" i="216"/>
  <c r="AC61" i="216"/>
  <c r="AA61" i="216"/>
  <c r="AA57" i="216"/>
  <c r="Z61" i="216"/>
  <c r="AD60" i="216"/>
  <c r="AD59" i="216"/>
  <c r="AD58" i="216"/>
  <c r="AC57" i="216"/>
  <c r="Z57" i="216"/>
  <c r="AD56" i="216"/>
  <c r="AD55" i="216"/>
  <c r="AD54" i="216"/>
  <c r="AD57" i="216" s="1"/>
  <c r="AC52" i="216"/>
  <c r="AC53" i="216" s="1"/>
  <c r="AB52" i="216"/>
  <c r="AA52" i="216"/>
  <c r="Z52" i="216"/>
  <c r="AD51" i="216"/>
  <c r="AD48" i="216"/>
  <c r="AD52" i="216" s="1"/>
  <c r="AD49" i="216"/>
  <c r="AD50" i="216"/>
  <c r="AC47" i="216"/>
  <c r="AB47" i="216"/>
  <c r="AA47" i="216"/>
  <c r="Z47" i="216"/>
  <c r="AD46" i="216"/>
  <c r="AD42" i="216"/>
  <c r="AD43" i="216"/>
  <c r="AD44" i="216"/>
  <c r="AD45" i="216"/>
  <c r="AD36" i="216"/>
  <c r="AD37" i="216"/>
  <c r="AD38" i="216"/>
  <c r="AD39" i="216"/>
  <c r="AD40" i="216"/>
  <c r="AC41" i="216"/>
  <c r="AB41" i="216"/>
  <c r="AE41" i="216" s="1"/>
  <c r="Z41" i="216"/>
  <c r="AA41" i="216"/>
  <c r="AC34" i="216"/>
  <c r="AB34" i="216"/>
  <c r="AB30" i="216"/>
  <c r="AB26" i="216"/>
  <c r="AA34" i="216"/>
  <c r="Z34" i="216"/>
  <c r="Z35" i="216" s="1"/>
  <c r="AD33" i="216"/>
  <c r="AD32" i="216"/>
  <c r="AD31" i="216"/>
  <c r="AC30" i="216"/>
  <c r="AA30" i="216"/>
  <c r="AA26" i="216"/>
  <c r="Z30" i="216"/>
  <c r="AD29" i="216"/>
  <c r="AD30" i="216" s="1"/>
  <c r="AD28" i="216"/>
  <c r="AD27" i="216"/>
  <c r="AC26" i="216"/>
  <c r="Z26" i="216"/>
  <c r="AD25" i="216"/>
  <c r="AD24" i="216"/>
  <c r="AD23" i="216"/>
  <c r="AC21" i="216"/>
  <c r="AE21" i="216" s="1"/>
  <c r="AD20" i="216"/>
  <c r="AD17" i="216"/>
  <c r="AD18" i="216"/>
  <c r="AD19" i="216"/>
  <c r="AC16" i="216"/>
  <c r="AB16" i="216"/>
  <c r="AA16" i="216"/>
  <c r="Z16" i="216"/>
  <c r="AD15" i="216"/>
  <c r="AD11" i="216"/>
  <c r="AD12" i="216"/>
  <c r="AD13" i="216"/>
  <c r="AD14" i="216"/>
  <c r="AD5" i="216"/>
  <c r="AD10" i="216" s="1"/>
  <c r="AD6" i="216"/>
  <c r="AD7" i="216"/>
  <c r="AD8" i="216"/>
  <c r="AD9" i="216"/>
  <c r="AC10" i="216"/>
  <c r="AB10" i="216"/>
  <c r="AA10" i="216"/>
  <c r="AE10" i="216" s="1"/>
  <c r="Z10" i="216"/>
  <c r="V81" i="216"/>
  <c r="U81" i="216"/>
  <c r="T81" i="216"/>
  <c r="S81" i="216"/>
  <c r="W80" i="216"/>
  <c r="W79" i="216"/>
  <c r="W78" i="216"/>
  <c r="W77" i="216"/>
  <c r="V76" i="216"/>
  <c r="U76" i="216"/>
  <c r="S76" i="216"/>
  <c r="T76" i="216"/>
  <c r="W75" i="216"/>
  <c r="W74" i="216"/>
  <c r="W76" i="216" s="1"/>
  <c r="W73" i="216"/>
  <c r="W72" i="216"/>
  <c r="V71" i="216"/>
  <c r="U71" i="216"/>
  <c r="T71" i="216"/>
  <c r="S71" i="216"/>
  <c r="W70" i="216"/>
  <c r="W69" i="216"/>
  <c r="W68" i="216"/>
  <c r="W67" i="216"/>
  <c r="V65" i="216"/>
  <c r="U65" i="216"/>
  <c r="T65" i="216"/>
  <c r="T61" i="216"/>
  <c r="T57" i="216"/>
  <c r="T66" i="216" s="1"/>
  <c r="S65" i="216"/>
  <c r="S66" i="216" s="1"/>
  <c r="W64" i="216"/>
  <c r="W63" i="216"/>
  <c r="W62" i="216"/>
  <c r="V61" i="216"/>
  <c r="V66" i="216" s="1"/>
  <c r="U61" i="216"/>
  <c r="S61" i="216"/>
  <c r="W60" i="216"/>
  <c r="W59" i="216"/>
  <c r="W58" i="216"/>
  <c r="V57" i="216"/>
  <c r="U57" i="216"/>
  <c r="S57" i="216"/>
  <c r="W56" i="216"/>
  <c r="W55" i="216"/>
  <c r="W54" i="216"/>
  <c r="W57" i="216" s="1"/>
  <c r="V52" i="216"/>
  <c r="V53" i="216" s="1"/>
  <c r="U52" i="216"/>
  <c r="S52" i="216"/>
  <c r="T52" i="216"/>
  <c r="W51" i="216"/>
  <c r="W50" i="216"/>
  <c r="W49" i="216"/>
  <c r="W48" i="216"/>
  <c r="V47" i="216"/>
  <c r="U47" i="216"/>
  <c r="S47" i="216"/>
  <c r="T47" i="216"/>
  <c r="W46" i="216"/>
  <c r="W45" i="216"/>
  <c r="W44" i="216"/>
  <c r="W43" i="216"/>
  <c r="W42" i="216"/>
  <c r="V41" i="216"/>
  <c r="U41" i="216"/>
  <c r="T41" i="216"/>
  <c r="T53" i="216" s="1"/>
  <c r="S41" i="216"/>
  <c r="W40" i="216"/>
  <c r="W39" i="216"/>
  <c r="W41" i="216" s="1"/>
  <c r="W38" i="216"/>
  <c r="W37" i="216"/>
  <c r="W36" i="216"/>
  <c r="V34" i="216"/>
  <c r="U34" i="216"/>
  <c r="T34" i="216"/>
  <c r="T30" i="216"/>
  <c r="T26" i="216"/>
  <c r="X26" i="216" s="1"/>
  <c r="S34" i="216"/>
  <c r="W33" i="216"/>
  <c r="W32" i="216"/>
  <c r="W34" i="216" s="1"/>
  <c r="W31" i="216"/>
  <c r="V30" i="216"/>
  <c r="V26" i="216"/>
  <c r="U30" i="216"/>
  <c r="S30" i="216"/>
  <c r="X30" i="216" s="1"/>
  <c r="W29" i="216"/>
  <c r="W30" i="216" s="1"/>
  <c r="W28" i="216"/>
  <c r="W27" i="216"/>
  <c r="U26" i="216"/>
  <c r="S26" i="216"/>
  <c r="W25" i="216"/>
  <c r="W24" i="216"/>
  <c r="W23" i="216"/>
  <c r="W26" i="216" s="1"/>
  <c r="V21" i="216"/>
  <c r="S21" i="216"/>
  <c r="T21" i="216"/>
  <c r="T16" i="216"/>
  <c r="T10" i="216"/>
  <c r="W20" i="216"/>
  <c r="W19" i="216"/>
  <c r="W18" i="216"/>
  <c r="W17" i="216"/>
  <c r="V16" i="216"/>
  <c r="U16" i="216"/>
  <c r="S16" i="216"/>
  <c r="X16" i="216" s="1"/>
  <c r="W15" i="216"/>
  <c r="W14" i="216"/>
  <c r="W13" i="216"/>
  <c r="W12" i="216"/>
  <c r="W11" i="216"/>
  <c r="V10" i="216"/>
  <c r="U10" i="216"/>
  <c r="S10" i="216"/>
  <c r="W9" i="216"/>
  <c r="W8" i="216"/>
  <c r="W7" i="216"/>
  <c r="W6" i="216"/>
  <c r="W5" i="216"/>
  <c r="O81" i="216"/>
  <c r="N81" i="216"/>
  <c r="L81" i="216"/>
  <c r="M80" i="216"/>
  <c r="P80" i="216" s="1"/>
  <c r="P79" i="216"/>
  <c r="P78" i="216"/>
  <c r="P77" i="216"/>
  <c r="O76" i="216"/>
  <c r="L76" i="216"/>
  <c r="P75" i="216"/>
  <c r="P74" i="216"/>
  <c r="P73" i="216"/>
  <c r="N72" i="216"/>
  <c r="N76" i="216" s="1"/>
  <c r="M72" i="216"/>
  <c r="M76" i="216" s="1"/>
  <c r="O71" i="216"/>
  <c r="Q71" i="216" s="1"/>
  <c r="N71" i="216"/>
  <c r="M71" i="216"/>
  <c r="L71" i="216"/>
  <c r="P70" i="216"/>
  <c r="P69" i="216"/>
  <c r="P68" i="216"/>
  <c r="P67" i="216"/>
  <c r="P71" i="216" s="1"/>
  <c r="O65" i="216"/>
  <c r="O66" i="216" s="1"/>
  <c r="O61" i="216"/>
  <c r="O57" i="216"/>
  <c r="N65" i="216"/>
  <c r="M65" i="216"/>
  <c r="L65" i="216"/>
  <c r="L66" i="216" s="1"/>
  <c r="P62" i="216"/>
  <c r="P65" i="216" s="1"/>
  <c r="N61" i="216"/>
  <c r="M61" i="216"/>
  <c r="L61" i="216"/>
  <c r="P60" i="216"/>
  <c r="P59" i="216"/>
  <c r="P58" i="216"/>
  <c r="N57" i="216"/>
  <c r="Q57" i="216" s="1"/>
  <c r="M57" i="216"/>
  <c r="M66" i="216" s="1"/>
  <c r="L57" i="216"/>
  <c r="P55" i="216"/>
  <c r="P57" i="216" s="1"/>
  <c r="O52" i="216"/>
  <c r="N52" i="216"/>
  <c r="M52" i="216"/>
  <c r="L52" i="216"/>
  <c r="P51" i="216"/>
  <c r="P50" i="216"/>
  <c r="P49" i="216"/>
  <c r="P48" i="216"/>
  <c r="O47" i="216"/>
  <c r="N47" i="216"/>
  <c r="N53" i="216" s="1"/>
  <c r="M47" i="216"/>
  <c r="L47" i="216"/>
  <c r="P46" i="216"/>
  <c r="P45" i="216"/>
  <c r="P44" i="216"/>
  <c r="P43" i="216"/>
  <c r="P42" i="216"/>
  <c r="O41" i="216"/>
  <c r="N41" i="216"/>
  <c r="M41" i="216"/>
  <c r="L41" i="216"/>
  <c r="L53" i="216" s="1"/>
  <c r="P40" i="216"/>
  <c r="P39" i="216"/>
  <c r="P38" i="216"/>
  <c r="P36" i="216"/>
  <c r="P37" i="216"/>
  <c r="O34" i="216"/>
  <c r="N34" i="216"/>
  <c r="M34" i="216"/>
  <c r="L34" i="216"/>
  <c r="L30" i="216"/>
  <c r="L26" i="216"/>
  <c r="P33" i="216"/>
  <c r="P31" i="216"/>
  <c r="P32" i="216"/>
  <c r="O30" i="216"/>
  <c r="O35" i="216" s="1"/>
  <c r="N30" i="216"/>
  <c r="M30" i="216"/>
  <c r="P29" i="216"/>
  <c r="P28" i="216"/>
  <c r="P27" i="216"/>
  <c r="P30" i="216" s="1"/>
  <c r="O26" i="216"/>
  <c r="N26" i="216"/>
  <c r="M26" i="216"/>
  <c r="P25" i="216"/>
  <c r="P24" i="216"/>
  <c r="P23" i="216"/>
  <c r="O21" i="216"/>
  <c r="M21" i="216"/>
  <c r="Q21" i="216" s="1"/>
  <c r="L21" i="216"/>
  <c r="P20" i="216"/>
  <c r="P19" i="216"/>
  <c r="P18" i="216"/>
  <c r="P17" i="216"/>
  <c r="O16" i="216"/>
  <c r="N16" i="216"/>
  <c r="Q16" i="216" s="1"/>
  <c r="M16" i="216"/>
  <c r="L16" i="216"/>
  <c r="L22" i="216" s="1"/>
  <c r="P15" i="216"/>
  <c r="P14" i="216"/>
  <c r="P13" i="216"/>
  <c r="P12" i="216"/>
  <c r="P11" i="216"/>
  <c r="O10" i="216"/>
  <c r="N10" i="216"/>
  <c r="M10" i="216"/>
  <c r="Q10" i="216" s="1"/>
  <c r="L10" i="216"/>
  <c r="P9" i="216"/>
  <c r="P8" i="216"/>
  <c r="P7" i="216"/>
  <c r="P5" i="216"/>
  <c r="P10" i="216" s="1"/>
  <c r="P6" i="216"/>
  <c r="I18" i="216"/>
  <c r="I19" i="216"/>
  <c r="I20" i="216"/>
  <c r="I17" i="216"/>
  <c r="I12" i="216"/>
  <c r="I13" i="216"/>
  <c r="I14" i="216"/>
  <c r="I11" i="216"/>
  <c r="I15" i="216"/>
  <c r="I6" i="216"/>
  <c r="I5" i="216"/>
  <c r="I7" i="216"/>
  <c r="I8" i="216"/>
  <c r="I9" i="216"/>
  <c r="F21" i="216"/>
  <c r="H21" i="216"/>
  <c r="E21" i="216"/>
  <c r="F16" i="216"/>
  <c r="G16" i="216"/>
  <c r="H16" i="216"/>
  <c r="E16" i="216"/>
  <c r="F10" i="216"/>
  <c r="G10" i="216"/>
  <c r="H10" i="216"/>
  <c r="E10" i="216"/>
  <c r="H81" i="216"/>
  <c r="H76" i="216"/>
  <c r="H71" i="216"/>
  <c r="G81" i="216"/>
  <c r="E81" i="216"/>
  <c r="E82" i="216" s="1"/>
  <c r="F80" i="216"/>
  <c r="F81" i="216" s="1"/>
  <c r="I79" i="216"/>
  <c r="I78" i="216"/>
  <c r="I77" i="216"/>
  <c r="E76" i="216"/>
  <c r="I75" i="216"/>
  <c r="I74" i="216"/>
  <c r="I73" i="216"/>
  <c r="G72" i="216"/>
  <c r="G76" i="216" s="1"/>
  <c r="F72" i="216"/>
  <c r="G71" i="216"/>
  <c r="F71" i="216"/>
  <c r="E71" i="216"/>
  <c r="I70" i="216"/>
  <c r="I69" i="216"/>
  <c r="I68" i="216"/>
  <c r="I67" i="216"/>
  <c r="H65" i="216"/>
  <c r="G65" i="216"/>
  <c r="F65" i="216"/>
  <c r="F66" i="216" s="1"/>
  <c r="E65" i="216"/>
  <c r="I62" i="216"/>
  <c r="I65" i="216" s="1"/>
  <c r="H61" i="216"/>
  <c r="G61" i="216"/>
  <c r="F61" i="216"/>
  <c r="E61" i="216"/>
  <c r="J61" i="216" s="1"/>
  <c r="I59" i="216"/>
  <c r="I58" i="216"/>
  <c r="I61" i="216" s="1"/>
  <c r="H57" i="216"/>
  <c r="G57" i="216"/>
  <c r="F57" i="216"/>
  <c r="E57" i="216"/>
  <c r="I55" i="216"/>
  <c r="I57" i="216"/>
  <c r="I66" i="216" s="1"/>
  <c r="H52" i="216"/>
  <c r="G52" i="216"/>
  <c r="F52" i="216"/>
  <c r="F47" i="216"/>
  <c r="F41" i="216"/>
  <c r="F53" i="216" s="1"/>
  <c r="E52" i="216"/>
  <c r="I51" i="216"/>
  <c r="I50" i="216"/>
  <c r="I49" i="216"/>
  <c r="I48" i="216"/>
  <c r="H47" i="216"/>
  <c r="H53" i="216" s="1"/>
  <c r="G47" i="216"/>
  <c r="E47" i="216"/>
  <c r="I46" i="216"/>
  <c r="I45" i="216"/>
  <c r="I44" i="216"/>
  <c r="I43" i="216"/>
  <c r="I42" i="216"/>
  <c r="H41" i="216"/>
  <c r="G41" i="216"/>
  <c r="J41" i="216"/>
  <c r="E41" i="216"/>
  <c r="I40" i="216"/>
  <c r="I39" i="216"/>
  <c r="I38" i="216"/>
  <c r="I37" i="216"/>
  <c r="I36" i="216"/>
  <c r="H34" i="216"/>
  <c r="H35" i="216"/>
  <c r="H30" i="216"/>
  <c r="H26" i="216"/>
  <c r="G34" i="216"/>
  <c r="F34" i="216"/>
  <c r="E34" i="216"/>
  <c r="I33" i="216"/>
  <c r="I32" i="216"/>
  <c r="I31" i="216"/>
  <c r="I34" i="216" s="1"/>
  <c r="G30" i="216"/>
  <c r="F30" i="216"/>
  <c r="E30" i="216"/>
  <c r="I29" i="216"/>
  <c r="I28" i="216"/>
  <c r="I27" i="216"/>
  <c r="G26" i="216"/>
  <c r="G35" i="216"/>
  <c r="F26" i="216"/>
  <c r="E26" i="216"/>
  <c r="I25" i="216"/>
  <c r="I24" i="216"/>
  <c r="I23" i="216"/>
  <c r="F6" i="221"/>
  <c r="F7" i="221"/>
  <c r="F8" i="221"/>
  <c r="F9" i="221"/>
  <c r="F11" i="221"/>
  <c r="F12" i="221"/>
  <c r="F13" i="221"/>
  <c r="F14" i="221"/>
  <c r="F15" i="221"/>
  <c r="F17" i="221"/>
  <c r="F18" i="221"/>
  <c r="F19" i="221"/>
  <c r="F20" i="221"/>
  <c r="F23" i="221"/>
  <c r="F24" i="221"/>
  <c r="F25" i="221"/>
  <c r="F27" i="221"/>
  <c r="F28" i="221"/>
  <c r="F29" i="221"/>
  <c r="F31" i="221"/>
  <c r="F32" i="221"/>
  <c r="F33" i="221"/>
  <c r="F36" i="221"/>
  <c r="F37" i="221"/>
  <c r="F38" i="221"/>
  <c r="F39" i="221"/>
  <c r="F40" i="221"/>
  <c r="F42" i="221"/>
  <c r="F43" i="221"/>
  <c r="F44" i="221"/>
  <c r="F45" i="221"/>
  <c r="F46" i="221"/>
  <c r="F48" i="221"/>
  <c r="F49" i="221"/>
  <c r="F50" i="221"/>
  <c r="F51" i="221"/>
  <c r="F67" i="221"/>
  <c r="F68" i="221"/>
  <c r="F69" i="221"/>
  <c r="F70" i="221"/>
  <c r="F72" i="221"/>
  <c r="F73" i="221"/>
  <c r="F74" i="221"/>
  <c r="F75" i="221"/>
  <c r="F77" i="221"/>
  <c r="F78" i="221"/>
  <c r="F79" i="221"/>
  <c r="F80" i="221"/>
  <c r="F6" i="220"/>
  <c r="F7" i="220"/>
  <c r="F8" i="220"/>
  <c r="F9" i="220"/>
  <c r="F11" i="220"/>
  <c r="F12" i="220"/>
  <c r="F13" i="220"/>
  <c r="F14" i="220"/>
  <c r="F15" i="220"/>
  <c r="F17" i="220"/>
  <c r="F18" i="220"/>
  <c r="F19" i="220"/>
  <c r="F20" i="220"/>
  <c r="F23" i="220"/>
  <c r="F24" i="220"/>
  <c r="F25" i="220"/>
  <c r="F27" i="220"/>
  <c r="F28" i="220"/>
  <c r="F29" i="220"/>
  <c r="F31" i="220"/>
  <c r="F32" i="220"/>
  <c r="F33" i="220"/>
  <c r="F36" i="220"/>
  <c r="F37" i="220"/>
  <c r="F38" i="220"/>
  <c r="F39" i="220"/>
  <c r="F40" i="220"/>
  <c r="F42" i="220"/>
  <c r="F43" i="220"/>
  <c r="F44" i="220"/>
  <c r="F45" i="220"/>
  <c r="F46" i="220"/>
  <c r="F48" i="220"/>
  <c r="F49" i="220"/>
  <c r="F50" i="220"/>
  <c r="F51" i="220"/>
  <c r="F54" i="220"/>
  <c r="F55" i="220"/>
  <c r="F56" i="220"/>
  <c r="F58" i="220"/>
  <c r="F59" i="220"/>
  <c r="F60" i="220"/>
  <c r="F64" i="220"/>
  <c r="F67" i="220"/>
  <c r="F68" i="220"/>
  <c r="F69" i="220"/>
  <c r="F70" i="220"/>
  <c r="F72" i="220"/>
  <c r="F73" i="220"/>
  <c r="F74" i="220"/>
  <c r="F75" i="220"/>
  <c r="F77" i="220"/>
  <c r="F78" i="220"/>
  <c r="F79" i="220"/>
  <c r="F80" i="220"/>
  <c r="F5" i="220"/>
  <c r="U81" i="220"/>
  <c r="U76" i="220"/>
  <c r="U71" i="220"/>
  <c r="U82" i="220" s="1"/>
  <c r="U65" i="220"/>
  <c r="U61" i="220"/>
  <c r="U57" i="220"/>
  <c r="U52" i="220"/>
  <c r="V52" i="220" s="1"/>
  <c r="U47" i="220"/>
  <c r="U41" i="220"/>
  <c r="U34" i="220"/>
  <c r="U30" i="220"/>
  <c r="U26" i="220"/>
  <c r="U21" i="220"/>
  <c r="U16" i="220"/>
  <c r="U10" i="220"/>
  <c r="Q81" i="220"/>
  <c r="Q76" i="220"/>
  <c r="Q71" i="220"/>
  <c r="R71" i="220" s="1"/>
  <c r="Q65" i="220"/>
  <c r="Q61" i="220"/>
  <c r="Q57" i="220"/>
  <c r="Q52" i="220"/>
  <c r="Q47" i="220"/>
  <c r="R47" i="220" s="1"/>
  <c r="Q41" i="220"/>
  <c r="R41" i="220" s="1"/>
  <c r="Q34" i="220"/>
  <c r="R34" i="220" s="1"/>
  <c r="Q30" i="220"/>
  <c r="R30" i="220" s="1"/>
  <c r="Q26" i="220"/>
  <c r="R26" i="220" s="1"/>
  <c r="Q21" i="220"/>
  <c r="R21" i="220" s="1"/>
  <c r="Q16" i="220"/>
  <c r="R16" i="220" s="1"/>
  <c r="Q10" i="220"/>
  <c r="R10" i="220"/>
  <c r="M81" i="220"/>
  <c r="N81" i="220" s="1"/>
  <c r="M76" i="220"/>
  <c r="N76" i="220" s="1"/>
  <c r="M71" i="220"/>
  <c r="M65" i="220"/>
  <c r="M61" i="220"/>
  <c r="M57" i="220"/>
  <c r="M52" i="220"/>
  <c r="N52" i="220" s="1"/>
  <c r="M47" i="220"/>
  <c r="M41" i="220"/>
  <c r="N41" i="220" s="1"/>
  <c r="M34" i="220"/>
  <c r="N34" i="220" s="1"/>
  <c r="M30" i="220"/>
  <c r="N30" i="220"/>
  <c r="M26" i="220"/>
  <c r="M21" i="220"/>
  <c r="N21" i="220" s="1"/>
  <c r="M16" i="220"/>
  <c r="N16" i="220" s="1"/>
  <c r="M10" i="220"/>
  <c r="N10" i="220" s="1"/>
  <c r="I81" i="220"/>
  <c r="I76" i="220"/>
  <c r="J76" i="220" s="1"/>
  <c r="I71" i="220"/>
  <c r="I82" i="220" s="1"/>
  <c r="J82" i="220" s="1"/>
  <c r="I65" i="220"/>
  <c r="I61" i="220"/>
  <c r="I57" i="220"/>
  <c r="I52" i="220"/>
  <c r="I47" i="220"/>
  <c r="J47" i="220" s="1"/>
  <c r="I41" i="220"/>
  <c r="I34" i="220"/>
  <c r="J34" i="220" s="1"/>
  <c r="I30" i="220"/>
  <c r="J30" i="220" s="1"/>
  <c r="I26" i="220"/>
  <c r="J26" i="220" s="1"/>
  <c r="I21" i="220"/>
  <c r="J21" i="220" s="1"/>
  <c r="I16" i="220"/>
  <c r="J16" i="220" s="1"/>
  <c r="I10" i="220"/>
  <c r="E81" i="220"/>
  <c r="E76" i="220"/>
  <c r="E71" i="220"/>
  <c r="E65" i="220"/>
  <c r="F65" i="220" s="1"/>
  <c r="E61" i="220"/>
  <c r="E57" i="220"/>
  <c r="F57" i="220" s="1"/>
  <c r="E52" i="220"/>
  <c r="E47" i="220"/>
  <c r="E41" i="220"/>
  <c r="E34" i="220"/>
  <c r="E30" i="220"/>
  <c r="E26" i="220"/>
  <c r="F26" i="220" s="1"/>
  <c r="E21" i="220"/>
  <c r="E16" i="220"/>
  <c r="E10" i="220"/>
  <c r="S81" i="261"/>
  <c r="S82" i="261" s="1"/>
  <c r="U82" i="261" s="1"/>
  <c r="S76" i="261"/>
  <c r="S71" i="261"/>
  <c r="S65" i="261"/>
  <c r="S61" i="261"/>
  <c r="S66" i="261"/>
  <c r="S57" i="261"/>
  <c r="S52" i="261"/>
  <c r="S47" i="261"/>
  <c r="S41" i="261"/>
  <c r="S34" i="261"/>
  <c r="S30" i="261"/>
  <c r="S26" i="261"/>
  <c r="S21" i="261"/>
  <c r="S16" i="261"/>
  <c r="S10" i="261"/>
  <c r="U10" i="261" s="1"/>
  <c r="O81" i="261"/>
  <c r="O76" i="261"/>
  <c r="O71" i="261"/>
  <c r="O57" i="261"/>
  <c r="O66" i="261" s="1"/>
  <c r="O52" i="261"/>
  <c r="O47" i="261"/>
  <c r="Q47" i="261" s="1"/>
  <c r="O41" i="261"/>
  <c r="O34" i="261"/>
  <c r="O35" i="261" s="1"/>
  <c r="O30" i="261"/>
  <c r="O26" i="261"/>
  <c r="O21" i="261"/>
  <c r="O16" i="261"/>
  <c r="O10" i="261"/>
  <c r="K52" i="261"/>
  <c r="M52" i="261" s="1"/>
  <c r="K47" i="261"/>
  <c r="K41" i="261"/>
  <c r="K34" i="261"/>
  <c r="K30" i="261"/>
  <c r="K26" i="261"/>
  <c r="K21" i="261"/>
  <c r="K16" i="261"/>
  <c r="K10" i="261"/>
  <c r="K22" i="261" s="1"/>
  <c r="G84" i="261"/>
  <c r="I6" i="261"/>
  <c r="I7" i="261"/>
  <c r="I8" i="261"/>
  <c r="I9" i="261"/>
  <c r="I11" i="261"/>
  <c r="I12" i="261"/>
  <c r="I13" i="261"/>
  <c r="I14" i="261"/>
  <c r="I15" i="261"/>
  <c r="I17" i="261"/>
  <c r="I18" i="261"/>
  <c r="I19" i="261"/>
  <c r="I20" i="261"/>
  <c r="I23" i="261"/>
  <c r="I24" i="261"/>
  <c r="I25" i="261"/>
  <c r="I27" i="261"/>
  <c r="I28" i="261"/>
  <c r="I29" i="261"/>
  <c r="I31" i="261"/>
  <c r="I32" i="261"/>
  <c r="I33" i="261"/>
  <c r="I36" i="261"/>
  <c r="I37" i="261"/>
  <c r="I38" i="261"/>
  <c r="I39" i="261"/>
  <c r="I40" i="261"/>
  <c r="I42" i="261"/>
  <c r="I43" i="261"/>
  <c r="I44" i="261"/>
  <c r="I45" i="261"/>
  <c r="I46" i="261"/>
  <c r="I48" i="261"/>
  <c r="I49" i="261"/>
  <c r="I50" i="261"/>
  <c r="I51" i="261"/>
  <c r="I67" i="261"/>
  <c r="I68" i="261"/>
  <c r="I69" i="261"/>
  <c r="I70" i="261"/>
  <c r="I72" i="261"/>
  <c r="I73" i="261"/>
  <c r="I74" i="261"/>
  <c r="I75" i="261"/>
  <c r="I77" i="261"/>
  <c r="I78" i="261"/>
  <c r="I79" i="261"/>
  <c r="I80" i="261"/>
  <c r="E6" i="261"/>
  <c r="E7" i="261"/>
  <c r="E8" i="261"/>
  <c r="E9" i="261"/>
  <c r="E11" i="261"/>
  <c r="E12" i="261"/>
  <c r="E13" i="261"/>
  <c r="E14" i="261"/>
  <c r="E15" i="261"/>
  <c r="E17" i="261"/>
  <c r="E18" i="261"/>
  <c r="E19" i="261"/>
  <c r="E20" i="261"/>
  <c r="E23" i="261"/>
  <c r="E24" i="261"/>
  <c r="E25" i="261"/>
  <c r="E27" i="261"/>
  <c r="E28" i="261"/>
  <c r="E29" i="261"/>
  <c r="E31" i="261"/>
  <c r="E32" i="261"/>
  <c r="E33" i="261"/>
  <c r="E36" i="261"/>
  <c r="E37" i="261"/>
  <c r="E38" i="261"/>
  <c r="E39" i="261"/>
  <c r="E40" i="261"/>
  <c r="E42" i="261"/>
  <c r="E43" i="261"/>
  <c r="E44" i="261"/>
  <c r="E45" i="261"/>
  <c r="E46" i="261"/>
  <c r="E48" i="261"/>
  <c r="E49" i="261"/>
  <c r="E50" i="261"/>
  <c r="E51" i="261"/>
  <c r="E54" i="261"/>
  <c r="E55" i="261"/>
  <c r="E56" i="261"/>
  <c r="E58" i="261"/>
  <c r="E59" i="261"/>
  <c r="E60" i="261"/>
  <c r="E64" i="261"/>
  <c r="E67" i="261"/>
  <c r="E68" i="261"/>
  <c r="E69" i="261"/>
  <c r="E70" i="261"/>
  <c r="E72" i="261"/>
  <c r="E73" i="261"/>
  <c r="E74" i="261"/>
  <c r="E75" i="261"/>
  <c r="E77" i="261"/>
  <c r="E78" i="261"/>
  <c r="E79" i="261"/>
  <c r="E80" i="261"/>
  <c r="E5" i="261"/>
  <c r="C84" i="261"/>
  <c r="T81" i="261"/>
  <c r="T76" i="261"/>
  <c r="T71" i="261"/>
  <c r="T65" i="261"/>
  <c r="U65" i="261" s="1"/>
  <c r="T61" i="261"/>
  <c r="U61" i="261"/>
  <c r="T57" i="261"/>
  <c r="T52" i="261"/>
  <c r="T47" i="261"/>
  <c r="T41" i="261"/>
  <c r="T34" i="261"/>
  <c r="T30" i="261"/>
  <c r="T26" i="261"/>
  <c r="T16" i="261"/>
  <c r="U16" i="261" s="1"/>
  <c r="T10" i="261"/>
  <c r="P81" i="261"/>
  <c r="P82" i="261" s="1"/>
  <c r="Q82" i="261" s="1"/>
  <c r="P76" i="261"/>
  <c r="P71" i="261"/>
  <c r="P65" i="261"/>
  <c r="P66" i="261" s="1"/>
  <c r="P61" i="261"/>
  <c r="P57" i="261"/>
  <c r="P52" i="261"/>
  <c r="Q52" i="261" s="1"/>
  <c r="P47" i="261"/>
  <c r="P41" i="261"/>
  <c r="P34" i="261"/>
  <c r="P30" i="261"/>
  <c r="P26" i="261"/>
  <c r="P16" i="261"/>
  <c r="P10" i="261"/>
  <c r="Q10" i="261" s="1"/>
  <c r="L81" i="261"/>
  <c r="M81" i="261" s="1"/>
  <c r="L76" i="261"/>
  <c r="M76" i="261" s="1"/>
  <c r="L71" i="261"/>
  <c r="M71" i="261" s="1"/>
  <c r="L65" i="261"/>
  <c r="L61" i="261"/>
  <c r="L57" i="261"/>
  <c r="L52" i="261"/>
  <c r="L47" i="261"/>
  <c r="M47" i="261" s="1"/>
  <c r="L41" i="261"/>
  <c r="L34" i="261"/>
  <c r="L30" i="261"/>
  <c r="M30" i="261" s="1"/>
  <c r="L26" i="261"/>
  <c r="L16" i="261"/>
  <c r="L10" i="261"/>
  <c r="H81" i="261"/>
  <c r="H82" i="261" s="1"/>
  <c r="I82" i="261" s="1"/>
  <c r="H76" i="261"/>
  <c r="I76" i="261" s="1"/>
  <c r="H71" i="261"/>
  <c r="I71" i="261"/>
  <c r="H65" i="261"/>
  <c r="H61" i="261"/>
  <c r="H57" i="261"/>
  <c r="H66" i="261" s="1"/>
  <c r="H52" i="261"/>
  <c r="I52" i="261" s="1"/>
  <c r="H47" i="261"/>
  <c r="I47" i="261" s="1"/>
  <c r="H41" i="261"/>
  <c r="I41" i="261"/>
  <c r="H34" i="261"/>
  <c r="I34" i="261" s="1"/>
  <c r="H30" i="261"/>
  <c r="I30" i="261" s="1"/>
  <c r="H26" i="261"/>
  <c r="H35" i="261" s="1"/>
  <c r="I21" i="261"/>
  <c r="H16" i="261"/>
  <c r="I16" i="261" s="1"/>
  <c r="H10" i="261"/>
  <c r="D81" i="261"/>
  <c r="E81" i="261" s="1"/>
  <c r="D76" i="261"/>
  <c r="E76" i="261"/>
  <c r="D71" i="261"/>
  <c r="E71" i="261"/>
  <c r="D65" i="261"/>
  <c r="E65" i="261" s="1"/>
  <c r="D61" i="261"/>
  <c r="E61" i="261" s="1"/>
  <c r="D57" i="261"/>
  <c r="E57" i="261" s="1"/>
  <c r="D52" i="261"/>
  <c r="E52" i="261"/>
  <c r="D47" i="261"/>
  <c r="E47" i="261" s="1"/>
  <c r="D41" i="261"/>
  <c r="E41" i="261" s="1"/>
  <c r="D34" i="261"/>
  <c r="E34" i="261" s="1"/>
  <c r="D30" i="261"/>
  <c r="E30" i="261" s="1"/>
  <c r="D26" i="261"/>
  <c r="E26" i="261" s="1"/>
  <c r="E21" i="261"/>
  <c r="D16" i="261"/>
  <c r="D10" i="261"/>
  <c r="E10" i="261" s="1"/>
  <c r="P84" i="220"/>
  <c r="L84" i="220"/>
  <c r="H84" i="220"/>
  <c r="T81" i="220"/>
  <c r="V80" i="220"/>
  <c r="R80" i="220"/>
  <c r="N80" i="220"/>
  <c r="J80" i="220"/>
  <c r="V79" i="220"/>
  <c r="R79" i="220"/>
  <c r="N79" i="220"/>
  <c r="J79" i="220"/>
  <c r="V78" i="220"/>
  <c r="R78" i="220"/>
  <c r="N78" i="220"/>
  <c r="J78" i="220"/>
  <c r="V77" i="220"/>
  <c r="R77" i="220"/>
  <c r="N77" i="220"/>
  <c r="J77" i="220"/>
  <c r="T76" i="220"/>
  <c r="F76" i="220"/>
  <c r="V75" i="220"/>
  <c r="R75" i="220"/>
  <c r="N75" i="220"/>
  <c r="J75" i="220"/>
  <c r="V74" i="220"/>
  <c r="R74" i="220"/>
  <c r="N74" i="220"/>
  <c r="J74" i="220"/>
  <c r="V73" i="220"/>
  <c r="R73" i="220"/>
  <c r="N73" i="220"/>
  <c r="J73" i="220"/>
  <c r="V72" i="220"/>
  <c r="R72" i="220"/>
  <c r="N72" i="220"/>
  <c r="J72" i="220"/>
  <c r="T71" i="220"/>
  <c r="V70" i="220"/>
  <c r="R70" i="220"/>
  <c r="N70" i="220"/>
  <c r="J70" i="220"/>
  <c r="V69" i="220"/>
  <c r="R69" i="220"/>
  <c r="N69" i="220"/>
  <c r="J69" i="220"/>
  <c r="V68" i="220"/>
  <c r="R68" i="220"/>
  <c r="N68" i="220"/>
  <c r="J68" i="220"/>
  <c r="V67" i="220"/>
  <c r="R67" i="220"/>
  <c r="N67" i="220"/>
  <c r="J67" i="220"/>
  <c r="T65" i="220"/>
  <c r="V64" i="220"/>
  <c r="T61" i="220"/>
  <c r="V59" i="220"/>
  <c r="V58" i="220"/>
  <c r="T57" i="220"/>
  <c r="V57" i="220" s="1"/>
  <c r="V56" i="220"/>
  <c r="V55" i="220"/>
  <c r="T52" i="220"/>
  <c r="V51" i="220"/>
  <c r="R51" i="220"/>
  <c r="N51" i="220"/>
  <c r="J51" i="220"/>
  <c r="V50" i="220"/>
  <c r="R50" i="220"/>
  <c r="N50" i="220"/>
  <c r="J50" i="220"/>
  <c r="V49" i="220"/>
  <c r="R49" i="220"/>
  <c r="N49" i="220"/>
  <c r="J49" i="220"/>
  <c r="V48" i="220"/>
  <c r="R48" i="220"/>
  <c r="N48" i="220"/>
  <c r="J48" i="220"/>
  <c r="T47" i="220"/>
  <c r="V46" i="220"/>
  <c r="R46" i="220"/>
  <c r="N46" i="220"/>
  <c r="J46" i="220"/>
  <c r="V45" i="220"/>
  <c r="R45" i="220"/>
  <c r="N45" i="220"/>
  <c r="J45" i="220"/>
  <c r="V44" i="220"/>
  <c r="R44" i="220"/>
  <c r="N44" i="220"/>
  <c r="J44" i="220"/>
  <c r="V43" i="220"/>
  <c r="R43" i="220"/>
  <c r="N43" i="220"/>
  <c r="J43" i="220"/>
  <c r="V42" i="220"/>
  <c r="R42" i="220"/>
  <c r="N42" i="220"/>
  <c r="J42" i="220"/>
  <c r="T41" i="220"/>
  <c r="V40" i="220"/>
  <c r="R40" i="220"/>
  <c r="N40" i="220"/>
  <c r="J40" i="220"/>
  <c r="V39" i="220"/>
  <c r="R39" i="220"/>
  <c r="N39" i="220"/>
  <c r="J39" i="220"/>
  <c r="V38" i="220"/>
  <c r="R38" i="220"/>
  <c r="N38" i="220"/>
  <c r="J38" i="220"/>
  <c r="V37" i="220"/>
  <c r="R37" i="220"/>
  <c r="N37" i="220"/>
  <c r="J37" i="220"/>
  <c r="V36" i="220"/>
  <c r="R36" i="220"/>
  <c r="N36" i="220"/>
  <c r="J36" i="220"/>
  <c r="T34" i="220"/>
  <c r="V33" i="220"/>
  <c r="R33" i="220"/>
  <c r="N33" i="220"/>
  <c r="J33" i="220"/>
  <c r="V32" i="220"/>
  <c r="R32" i="220"/>
  <c r="N32" i="220"/>
  <c r="J32" i="220"/>
  <c r="V31" i="220"/>
  <c r="R31" i="220"/>
  <c r="N31" i="220"/>
  <c r="J31" i="220"/>
  <c r="T30" i="220"/>
  <c r="V29" i="220"/>
  <c r="R29" i="220"/>
  <c r="N29" i="220"/>
  <c r="J29" i="220"/>
  <c r="V28" i="220"/>
  <c r="R28" i="220"/>
  <c r="N28" i="220"/>
  <c r="J28" i="220"/>
  <c r="V27" i="220"/>
  <c r="R27" i="220"/>
  <c r="N27" i="220"/>
  <c r="J27" i="220"/>
  <c r="T26" i="220"/>
  <c r="V25" i="220"/>
  <c r="R25" i="220"/>
  <c r="N25" i="220"/>
  <c r="J25" i="220"/>
  <c r="V24" i="220"/>
  <c r="R24" i="220"/>
  <c r="N24" i="220"/>
  <c r="J24" i="220"/>
  <c r="V23" i="220"/>
  <c r="R23" i="220"/>
  <c r="N23" i="220"/>
  <c r="J23" i="220"/>
  <c r="T21" i="220"/>
  <c r="V20" i="220"/>
  <c r="R20" i="220"/>
  <c r="N20" i="220"/>
  <c r="J20" i="220"/>
  <c r="V19" i="220"/>
  <c r="R19" i="220"/>
  <c r="N19" i="220"/>
  <c r="J19" i="220"/>
  <c r="V18" i="220"/>
  <c r="R18" i="220"/>
  <c r="N18" i="220"/>
  <c r="J18" i="220"/>
  <c r="V17" i="220"/>
  <c r="R17" i="220"/>
  <c r="N17" i="220"/>
  <c r="J17" i="220"/>
  <c r="T16" i="220"/>
  <c r="V15" i="220"/>
  <c r="R15" i="220"/>
  <c r="N15" i="220"/>
  <c r="J15" i="220"/>
  <c r="V14" i="220"/>
  <c r="R14" i="220"/>
  <c r="N14" i="220"/>
  <c r="J14" i="220"/>
  <c r="V13" i="220"/>
  <c r="R13" i="220"/>
  <c r="N13" i="220"/>
  <c r="J13" i="220"/>
  <c r="V12" i="220"/>
  <c r="R12" i="220"/>
  <c r="N12" i="220"/>
  <c r="J12" i="220"/>
  <c r="V11" i="220"/>
  <c r="R11" i="220"/>
  <c r="N11" i="220"/>
  <c r="J11" i="220"/>
  <c r="T10" i="220"/>
  <c r="V9" i="220"/>
  <c r="R9" i="220"/>
  <c r="N9" i="220"/>
  <c r="J9" i="220"/>
  <c r="V8" i="220"/>
  <c r="R8" i="220"/>
  <c r="N8" i="220"/>
  <c r="J8" i="220"/>
  <c r="V7" i="220"/>
  <c r="R7" i="220"/>
  <c r="N7" i="220"/>
  <c r="J7" i="220"/>
  <c r="V6" i="220"/>
  <c r="R6" i="220"/>
  <c r="N6" i="220"/>
  <c r="J6" i="220"/>
  <c r="V5" i="220"/>
  <c r="R5" i="220"/>
  <c r="N5" i="220"/>
  <c r="J5" i="220"/>
  <c r="U80" i="261"/>
  <c r="Q80" i="261"/>
  <c r="M80" i="261"/>
  <c r="U79" i="261"/>
  <c r="Q79" i="261"/>
  <c r="M79" i="261"/>
  <c r="U78" i="261"/>
  <c r="Q78" i="261"/>
  <c r="M78" i="261"/>
  <c r="U77" i="261"/>
  <c r="Q77" i="261"/>
  <c r="M77" i="261"/>
  <c r="U75" i="261"/>
  <c r="Q75" i="261"/>
  <c r="M75" i="261"/>
  <c r="U74" i="261"/>
  <c r="Q74" i="261"/>
  <c r="M74" i="261"/>
  <c r="U73" i="261"/>
  <c r="Q73" i="261"/>
  <c r="M73" i="261"/>
  <c r="U72" i="261"/>
  <c r="Q72" i="261"/>
  <c r="M72" i="261"/>
  <c r="U70" i="261"/>
  <c r="Q70" i="261"/>
  <c r="M70" i="261"/>
  <c r="U69" i="261"/>
  <c r="Q69" i="261"/>
  <c r="M69" i="261"/>
  <c r="U68" i="261"/>
  <c r="Q68" i="261"/>
  <c r="M68" i="261"/>
  <c r="U67" i="261"/>
  <c r="Q67" i="261"/>
  <c r="M67" i="261"/>
  <c r="U64" i="261"/>
  <c r="U59" i="261"/>
  <c r="U58" i="261"/>
  <c r="U56" i="261"/>
  <c r="U55" i="261"/>
  <c r="U51" i="261"/>
  <c r="Q51" i="261"/>
  <c r="M51" i="261"/>
  <c r="U50" i="261"/>
  <c r="Q50" i="261"/>
  <c r="M50" i="261"/>
  <c r="U49" i="261"/>
  <c r="Q49" i="261"/>
  <c r="M49" i="261"/>
  <c r="U48" i="261"/>
  <c r="Q48" i="261"/>
  <c r="M48" i="261"/>
  <c r="U46" i="261"/>
  <c r="Q46" i="261"/>
  <c r="M46" i="261"/>
  <c r="U45" i="261"/>
  <c r="Q45" i="261"/>
  <c r="M45" i="261"/>
  <c r="U44" i="261"/>
  <c r="Q44" i="261"/>
  <c r="M44" i="261"/>
  <c r="U43" i="261"/>
  <c r="Q43" i="261"/>
  <c r="M43" i="261"/>
  <c r="U42" i="261"/>
  <c r="Q42" i="261"/>
  <c r="M42" i="261"/>
  <c r="U40" i="261"/>
  <c r="Q40" i="261"/>
  <c r="M40" i="261"/>
  <c r="U39" i="261"/>
  <c r="Q39" i="261"/>
  <c r="M39" i="261"/>
  <c r="U38" i="261"/>
  <c r="Q38" i="261"/>
  <c r="M38" i="261"/>
  <c r="U37" i="261"/>
  <c r="Q37" i="261"/>
  <c r="M37" i="261"/>
  <c r="U36" i="261"/>
  <c r="Q36" i="261"/>
  <c r="M36" i="261"/>
  <c r="U33" i="261"/>
  <c r="Q33" i="261"/>
  <c r="M33" i="261"/>
  <c r="U32" i="261"/>
  <c r="Q32" i="261"/>
  <c r="M32" i="261"/>
  <c r="U31" i="261"/>
  <c r="Q31" i="261"/>
  <c r="M31" i="261"/>
  <c r="U29" i="261"/>
  <c r="Q29" i="261"/>
  <c r="M29" i="261"/>
  <c r="U28" i="261"/>
  <c r="Q28" i="261"/>
  <c r="M28" i="261"/>
  <c r="U27" i="261"/>
  <c r="Q27" i="261"/>
  <c r="M27" i="261"/>
  <c r="U25" i="261"/>
  <c r="Q25" i="261"/>
  <c r="M25" i="261"/>
  <c r="U24" i="261"/>
  <c r="Q24" i="261"/>
  <c r="M24" i="261"/>
  <c r="U23" i="261"/>
  <c r="Q23" i="261"/>
  <c r="M23" i="261"/>
  <c r="U20" i="261"/>
  <c r="Q20" i="261"/>
  <c r="M20" i="261"/>
  <c r="U19" i="261"/>
  <c r="Q19" i="261"/>
  <c r="M19" i="261"/>
  <c r="U18" i="261"/>
  <c r="Q18" i="261"/>
  <c r="M18" i="261"/>
  <c r="U17" i="261"/>
  <c r="Q17" i="261"/>
  <c r="M17" i="261"/>
  <c r="U15" i="261"/>
  <c r="Q15" i="261"/>
  <c r="M15" i="261"/>
  <c r="U14" i="261"/>
  <c r="Q14" i="261"/>
  <c r="M14" i="261"/>
  <c r="U13" i="261"/>
  <c r="Q13" i="261"/>
  <c r="M13" i="261"/>
  <c r="U12" i="261"/>
  <c r="Q12" i="261"/>
  <c r="M12" i="261"/>
  <c r="U11" i="261"/>
  <c r="Q11" i="261"/>
  <c r="M11" i="261"/>
  <c r="U9" i="261"/>
  <c r="Q9" i="261"/>
  <c r="M9" i="261"/>
  <c r="U8" i="261"/>
  <c r="Q8" i="261"/>
  <c r="M8" i="261"/>
  <c r="U7" i="261"/>
  <c r="Q7" i="261"/>
  <c r="M7" i="261"/>
  <c r="U6" i="261"/>
  <c r="Q6" i="261"/>
  <c r="M6" i="261"/>
  <c r="U5" i="261"/>
  <c r="Q5" i="261"/>
  <c r="M5" i="261"/>
  <c r="I5" i="261"/>
  <c r="IV112" i="262"/>
  <c r="IV111" i="262"/>
  <c r="IV110" i="262"/>
  <c r="IV109" i="262"/>
  <c r="IV107" i="262"/>
  <c r="IV106" i="262"/>
  <c r="IV105" i="262"/>
  <c r="LB99" i="262"/>
  <c r="LC99" i="262" s="1"/>
  <c r="KJ99" i="262"/>
  <c r="JP99" i="262"/>
  <c r="LB98" i="262"/>
  <c r="LC98" i="262" s="1"/>
  <c r="KJ98" i="262"/>
  <c r="JP98" i="262"/>
  <c r="LB97" i="262"/>
  <c r="LC97" i="262" s="1"/>
  <c r="KJ97" i="262"/>
  <c r="JP97" i="262"/>
  <c r="LB96" i="262"/>
  <c r="LC96" i="262" s="1"/>
  <c r="KJ96" i="262"/>
  <c r="JP96" i="262"/>
  <c r="LB95" i="262"/>
  <c r="LC95" i="262" s="1"/>
  <c r="KJ95" i="262"/>
  <c r="JP95" i="262"/>
  <c r="IV95" i="262"/>
  <c r="IC95" i="262"/>
  <c r="IV94" i="262"/>
  <c r="IC94" i="262"/>
  <c r="IV93" i="262"/>
  <c r="IC93" i="262"/>
  <c r="IV92" i="262"/>
  <c r="IC92" i="262"/>
  <c r="IV91" i="262"/>
  <c r="IC91" i="262"/>
  <c r="KJ90" i="262"/>
  <c r="JP90" i="262"/>
  <c r="IV90" i="262"/>
  <c r="IC90" i="262"/>
  <c r="KJ89" i="262"/>
  <c r="JP89" i="262"/>
  <c r="IV89" i="262"/>
  <c r="IC89" i="262"/>
  <c r="KJ88" i="262"/>
  <c r="JP88" i="262"/>
  <c r="IV88" i="262"/>
  <c r="IC88" i="262"/>
  <c r="KJ87" i="262"/>
  <c r="JP87" i="262"/>
  <c r="IV87" i="262"/>
  <c r="IC87" i="262"/>
  <c r="LB86" i="262"/>
  <c r="LC86" i="262" s="1"/>
  <c r="KJ86" i="262"/>
  <c r="JP86" i="262"/>
  <c r="IV86" i="262"/>
  <c r="IC86" i="262"/>
  <c r="LB85" i="262"/>
  <c r="LC85" i="262" s="1"/>
  <c r="KJ85" i="262"/>
  <c r="JP85" i="262"/>
  <c r="IV85" i="262"/>
  <c r="IC85" i="262"/>
  <c r="LB84" i="262"/>
  <c r="LC84" i="262" s="1"/>
  <c r="KJ84" i="262"/>
  <c r="JP84" i="262"/>
  <c r="IV84" i="262"/>
  <c r="IC84" i="262"/>
  <c r="LB83" i="262"/>
  <c r="LC83" i="262" s="1"/>
  <c r="KJ83" i="262"/>
  <c r="JP83" i="262"/>
  <c r="IV83" i="262"/>
  <c r="IC83" i="262"/>
  <c r="LB82" i="262"/>
  <c r="LC82" i="262" s="1"/>
  <c r="KJ82" i="262"/>
  <c r="JP82" i="262"/>
  <c r="IV82" i="262"/>
  <c r="IC82" i="262"/>
  <c r="LB81" i="262"/>
  <c r="LC81" i="262" s="1"/>
  <c r="KJ81" i="262"/>
  <c r="JP81" i="262"/>
  <c r="IV81" i="262"/>
  <c r="IC81" i="262"/>
  <c r="LB80" i="262"/>
  <c r="LC80" i="262" s="1"/>
  <c r="KJ80" i="262"/>
  <c r="JP80" i="262"/>
  <c r="IV80" i="262"/>
  <c r="IC80" i="262"/>
  <c r="LB79" i="262"/>
  <c r="LC79" i="262" s="1"/>
  <c r="KJ79" i="262"/>
  <c r="JP79" i="262"/>
  <c r="IV79" i="262"/>
  <c r="IC79" i="262"/>
  <c r="LB78" i="262"/>
  <c r="LC78" i="262" s="1"/>
  <c r="KJ78" i="262"/>
  <c r="JP78" i="262"/>
  <c r="IV78" i="262"/>
  <c r="IC78" i="262"/>
  <c r="LB77" i="262"/>
  <c r="LC77" i="262" s="1"/>
  <c r="KJ77" i="262"/>
  <c r="JP77" i="262"/>
  <c r="IV77" i="262"/>
  <c r="IC77" i="262"/>
  <c r="LB76" i="262"/>
  <c r="LC76" i="262" s="1"/>
  <c r="KJ76" i="262"/>
  <c r="JP76" i="262"/>
  <c r="IV76" i="262"/>
  <c r="IC76" i="262"/>
  <c r="LB75" i="262"/>
  <c r="LC75" i="262" s="1"/>
  <c r="KJ75" i="262"/>
  <c r="JP75" i="262"/>
  <c r="IV75" i="262"/>
  <c r="IC75" i="262"/>
  <c r="LB74" i="262"/>
  <c r="LC74" i="262" s="1"/>
  <c r="KJ74" i="262"/>
  <c r="JP74" i="262"/>
  <c r="IV74" i="262"/>
  <c r="IC74" i="262"/>
  <c r="LB73" i="262"/>
  <c r="LC73" i="262" s="1"/>
  <c r="KJ73" i="262"/>
  <c r="JP73" i="262"/>
  <c r="IV73" i="262"/>
  <c r="IC73" i="262"/>
  <c r="LB72" i="262"/>
  <c r="LC72" i="262" s="1"/>
  <c r="KJ72" i="262"/>
  <c r="JP72" i="262"/>
  <c r="IV72" i="262"/>
  <c r="IC72" i="262"/>
  <c r="LB71" i="262"/>
  <c r="LC71" i="262" s="1"/>
  <c r="KJ71" i="262"/>
  <c r="JP71" i="262"/>
  <c r="IV71" i="262"/>
  <c r="IC71" i="262"/>
  <c r="LB70" i="262"/>
  <c r="LC70" i="262" s="1"/>
  <c r="KJ70" i="262"/>
  <c r="JP70" i="262"/>
  <c r="IV70" i="262"/>
  <c r="IC70" i="262"/>
  <c r="LB69" i="262"/>
  <c r="LC69" i="262" s="1"/>
  <c r="KJ69" i="262"/>
  <c r="JP69" i="262"/>
  <c r="IV69" i="262"/>
  <c r="IC69" i="262"/>
  <c r="LB68" i="262"/>
  <c r="LC68" i="262" s="1"/>
  <c r="KJ68" i="262"/>
  <c r="JP68" i="262"/>
  <c r="IV68" i="262"/>
  <c r="IC68" i="262"/>
  <c r="LB67" i="262"/>
  <c r="LC67" i="262" s="1"/>
  <c r="KJ67" i="262"/>
  <c r="JP67" i="262"/>
  <c r="IV67" i="262"/>
  <c r="IC67" i="262"/>
  <c r="LB66" i="262"/>
  <c r="LC66" i="262" s="1"/>
  <c r="KJ66" i="262"/>
  <c r="JP66" i="262"/>
  <c r="IV66" i="262"/>
  <c r="IC66" i="262"/>
  <c r="LB65" i="262"/>
  <c r="LC65" i="262" s="1"/>
  <c r="KJ65" i="262"/>
  <c r="JP65" i="262"/>
  <c r="IV65" i="262"/>
  <c r="IC65" i="262"/>
  <c r="LB64" i="262"/>
  <c r="LC64" i="262" s="1"/>
  <c r="KJ64" i="262"/>
  <c r="JP64" i="262"/>
  <c r="IV64" i="262"/>
  <c r="IC64" i="262"/>
  <c r="LB63" i="262"/>
  <c r="LC63" i="262" s="1"/>
  <c r="KJ63" i="262"/>
  <c r="JP63" i="262"/>
  <c r="IV63" i="262"/>
  <c r="IC63" i="262"/>
  <c r="LB62" i="262"/>
  <c r="LC62" i="262" s="1"/>
  <c r="KJ62" i="262"/>
  <c r="JP62" i="262"/>
  <c r="IV62" i="262"/>
  <c r="IC62" i="262"/>
  <c r="LB61" i="262"/>
  <c r="LC61" i="262" s="1"/>
  <c r="KJ61" i="262"/>
  <c r="JP61" i="262"/>
  <c r="IV61" i="262"/>
  <c r="IC61" i="262"/>
  <c r="LB60" i="262"/>
  <c r="LC60" i="262" s="1"/>
  <c r="KJ60" i="262"/>
  <c r="JP60" i="262"/>
  <c r="IV60" i="262"/>
  <c r="IC60" i="262"/>
  <c r="LB59" i="262"/>
  <c r="LC59" i="262" s="1"/>
  <c r="KJ59" i="262"/>
  <c r="JP59" i="262"/>
  <c r="IV59" i="262"/>
  <c r="IC59" i="262"/>
  <c r="LB58" i="262"/>
  <c r="LC58" i="262" s="1"/>
  <c r="KJ58" i="262"/>
  <c r="JP58" i="262"/>
  <c r="IV58" i="262"/>
  <c r="IC58" i="262"/>
  <c r="LB57" i="262"/>
  <c r="LC57" i="262" s="1"/>
  <c r="KJ57" i="262"/>
  <c r="JP57" i="262"/>
  <c r="IV57" i="262"/>
  <c r="IC57" i="262"/>
  <c r="LB56" i="262"/>
  <c r="LC56" i="262" s="1"/>
  <c r="KJ56" i="262"/>
  <c r="JP56" i="262"/>
  <c r="IV56" i="262"/>
  <c r="IC56" i="262"/>
  <c r="LB55" i="262"/>
  <c r="LC55" i="262" s="1"/>
  <c r="KJ55" i="262"/>
  <c r="JP55" i="262"/>
  <c r="IV55" i="262"/>
  <c r="IC55" i="262"/>
  <c r="LB54" i="262"/>
  <c r="LC54" i="262" s="1"/>
  <c r="KJ54" i="262"/>
  <c r="JP54" i="262"/>
  <c r="IV54" i="262"/>
  <c r="IC54" i="262"/>
  <c r="LB53" i="262"/>
  <c r="LC53" i="262" s="1"/>
  <c r="KJ53" i="262"/>
  <c r="JP53" i="262"/>
  <c r="IV53" i="262"/>
  <c r="IC53" i="262"/>
  <c r="LB52" i="262"/>
  <c r="LC52" i="262" s="1"/>
  <c r="KJ52" i="262"/>
  <c r="JP52" i="262"/>
  <c r="IV52" i="262"/>
  <c r="IC52" i="262"/>
  <c r="LB51" i="262"/>
  <c r="LC51" i="262" s="1"/>
  <c r="KJ51" i="262"/>
  <c r="JP51" i="262"/>
  <c r="IV51" i="262"/>
  <c r="IC51" i="262"/>
  <c r="LB50" i="262"/>
  <c r="LC50" i="262" s="1"/>
  <c r="KJ50" i="262"/>
  <c r="JP50" i="262"/>
  <c r="IV50" i="262"/>
  <c r="IC50" i="262"/>
  <c r="LB49" i="262"/>
  <c r="LC49" i="262" s="1"/>
  <c r="KJ49" i="262"/>
  <c r="JP49" i="262"/>
  <c r="IV49" i="262"/>
  <c r="IC49" i="262"/>
  <c r="LB48" i="262"/>
  <c r="LC48" i="262" s="1"/>
  <c r="KJ48" i="262"/>
  <c r="JP48" i="262"/>
  <c r="IV48" i="262"/>
  <c r="IC48" i="262"/>
  <c r="LB47" i="262"/>
  <c r="LC47" i="262" s="1"/>
  <c r="KJ47" i="262"/>
  <c r="JP47" i="262"/>
  <c r="IV47" i="262"/>
  <c r="IC47" i="262"/>
  <c r="LB46" i="262"/>
  <c r="LC46" i="262" s="1"/>
  <c r="KJ46" i="262"/>
  <c r="JP46" i="262"/>
  <c r="IV46" i="262"/>
  <c r="IC46" i="262"/>
  <c r="LB45" i="262"/>
  <c r="LC45" i="262" s="1"/>
  <c r="KJ45" i="262"/>
  <c r="JP45" i="262"/>
  <c r="IV45" i="262"/>
  <c r="IC45" i="262"/>
  <c r="LB44" i="262"/>
  <c r="LC44" i="262" s="1"/>
  <c r="KJ44" i="262"/>
  <c r="JP44" i="262"/>
  <c r="IV44" i="262"/>
  <c r="IC44" i="262"/>
  <c r="LB43" i="262"/>
  <c r="LC43" i="262" s="1"/>
  <c r="KJ43" i="262"/>
  <c r="JP43" i="262"/>
  <c r="IV43" i="262"/>
  <c r="IC43" i="262"/>
  <c r="LB42" i="262"/>
  <c r="LC42" i="262" s="1"/>
  <c r="KJ42" i="262"/>
  <c r="JP42" i="262"/>
  <c r="IV42" i="262"/>
  <c r="IC42" i="262"/>
  <c r="LB41" i="262"/>
  <c r="LC41" i="262" s="1"/>
  <c r="KJ41" i="262"/>
  <c r="JP41" i="262"/>
  <c r="IV41" i="262"/>
  <c r="IC41" i="262"/>
  <c r="LB40" i="262"/>
  <c r="LC40" i="262" s="1"/>
  <c r="KJ40" i="262"/>
  <c r="JP40" i="262"/>
  <c r="IV40" i="262"/>
  <c r="IC40" i="262"/>
  <c r="LB39" i="262"/>
  <c r="LC39" i="262" s="1"/>
  <c r="KJ39" i="262"/>
  <c r="JP39" i="262"/>
  <c r="IV39" i="262"/>
  <c r="IC39" i="262"/>
  <c r="LB38" i="262"/>
  <c r="LC38" i="262" s="1"/>
  <c r="KJ38" i="262"/>
  <c r="JP38" i="262"/>
  <c r="IV38" i="262"/>
  <c r="IC38" i="262"/>
  <c r="LB37" i="262"/>
  <c r="LC37" i="262" s="1"/>
  <c r="KJ37" i="262"/>
  <c r="JP37" i="262"/>
  <c r="IV37" i="262"/>
  <c r="IC37" i="262"/>
  <c r="LB36" i="262"/>
  <c r="LC36" i="262" s="1"/>
  <c r="KJ36" i="262"/>
  <c r="JP36" i="262"/>
  <c r="IV36" i="262"/>
  <c r="IC36" i="262"/>
  <c r="LB35" i="262"/>
  <c r="LC35" i="262" s="1"/>
  <c r="KJ35" i="262"/>
  <c r="JP35" i="262"/>
  <c r="IV35" i="262"/>
  <c r="IC35" i="262"/>
  <c r="LB34" i="262"/>
  <c r="LC34" i="262" s="1"/>
  <c r="KJ34" i="262"/>
  <c r="JP34" i="262"/>
  <c r="IV34" i="262"/>
  <c r="IC34" i="262"/>
  <c r="LB33" i="262"/>
  <c r="LC33" i="262" s="1"/>
  <c r="KJ33" i="262"/>
  <c r="JP33" i="262"/>
  <c r="IV33" i="262"/>
  <c r="IC33" i="262"/>
  <c r="LB32" i="262"/>
  <c r="LC32" i="262" s="1"/>
  <c r="KJ32" i="262"/>
  <c r="JP32" i="262"/>
  <c r="IV32" i="262"/>
  <c r="IC32" i="262"/>
  <c r="LB31" i="262"/>
  <c r="LC31" i="262" s="1"/>
  <c r="KJ31" i="262"/>
  <c r="JP31" i="262"/>
  <c r="IV31" i="262"/>
  <c r="IC31" i="262"/>
  <c r="LB30" i="262"/>
  <c r="LC30" i="262" s="1"/>
  <c r="KJ30" i="262"/>
  <c r="JP30" i="262"/>
  <c r="IV30" i="262"/>
  <c r="IC30" i="262"/>
  <c r="LB29" i="262"/>
  <c r="LC29" i="262" s="1"/>
  <c r="KJ29" i="262"/>
  <c r="JP29" i="262"/>
  <c r="IV29" i="262"/>
  <c r="IC29" i="262"/>
  <c r="LB28" i="262"/>
  <c r="LC28" i="262" s="1"/>
  <c r="KJ28" i="262"/>
  <c r="JP28" i="262"/>
  <c r="IV28" i="262"/>
  <c r="IC28" i="262"/>
  <c r="LB27" i="262"/>
  <c r="LC27" i="262" s="1"/>
  <c r="KJ27" i="262"/>
  <c r="JP27" i="262"/>
  <c r="IV27" i="262"/>
  <c r="IC27" i="262"/>
  <c r="LB26" i="262"/>
  <c r="LC26" i="262" s="1"/>
  <c r="KJ26" i="262"/>
  <c r="JP26" i="262"/>
  <c r="IV26" i="262"/>
  <c r="IC26" i="262"/>
  <c r="LB25" i="262"/>
  <c r="LC25" i="262" s="1"/>
  <c r="KJ25" i="262"/>
  <c r="JP25" i="262"/>
  <c r="IV25" i="262"/>
  <c r="IC25" i="262"/>
  <c r="LB24" i="262"/>
  <c r="LC24" i="262" s="1"/>
  <c r="KJ24" i="262"/>
  <c r="JP24" i="262"/>
  <c r="IV24" i="262"/>
  <c r="IC24" i="262"/>
  <c r="LB23" i="262"/>
  <c r="LC23" i="262" s="1"/>
  <c r="KJ23" i="262"/>
  <c r="JP23" i="262"/>
  <c r="IV23" i="262"/>
  <c r="IC23" i="262"/>
  <c r="LB22" i="262"/>
  <c r="LC22" i="262" s="1"/>
  <c r="KJ22" i="262"/>
  <c r="JP22" i="262"/>
  <c r="IV22" i="262"/>
  <c r="IC22" i="262"/>
  <c r="LB21" i="262"/>
  <c r="LC21" i="262" s="1"/>
  <c r="KJ21" i="262"/>
  <c r="JP21" i="262"/>
  <c r="IV21" i="262"/>
  <c r="IC21" i="262"/>
  <c r="LB20" i="262"/>
  <c r="LC20" i="262" s="1"/>
  <c r="KJ20" i="262"/>
  <c r="JP20" i="262"/>
  <c r="IV20" i="262"/>
  <c r="IC20" i="262"/>
  <c r="LB19" i="262"/>
  <c r="LC19" i="262" s="1"/>
  <c r="KJ19" i="262"/>
  <c r="JP19" i="262"/>
  <c r="IV19" i="262"/>
  <c r="IC19" i="262"/>
  <c r="LB18" i="262"/>
  <c r="LC18" i="262" s="1"/>
  <c r="KJ18" i="262"/>
  <c r="JP18" i="262"/>
  <c r="IV18" i="262"/>
  <c r="IC18" i="262"/>
  <c r="LB17" i="262"/>
  <c r="LC17" i="262" s="1"/>
  <c r="KJ17" i="262"/>
  <c r="JP17" i="262"/>
  <c r="IV17" i="262"/>
  <c r="IC17" i="262"/>
  <c r="LB16" i="262"/>
  <c r="LC16" i="262" s="1"/>
  <c r="KJ16" i="262"/>
  <c r="JP16" i="262"/>
  <c r="IV16" i="262"/>
  <c r="IC16" i="262"/>
  <c r="LB15" i="262"/>
  <c r="LC15" i="262" s="1"/>
  <c r="KJ15" i="262"/>
  <c r="JP15" i="262"/>
  <c r="IV15" i="262"/>
  <c r="IC15" i="262"/>
  <c r="LB14" i="262"/>
  <c r="LC14" i="262" s="1"/>
  <c r="KJ14" i="262"/>
  <c r="JP14" i="262"/>
  <c r="IV14" i="262"/>
  <c r="IC14" i="262"/>
  <c r="LB13" i="262"/>
  <c r="LC13" i="262" s="1"/>
  <c r="KJ13" i="262"/>
  <c r="JP13" i="262"/>
  <c r="IV13" i="262"/>
  <c r="IC13" i="262"/>
  <c r="LB12" i="262"/>
  <c r="LC12" i="262" s="1"/>
  <c r="KJ12" i="262"/>
  <c r="JP12" i="262"/>
  <c r="IV12" i="262"/>
  <c r="IC12" i="262"/>
  <c r="LB11" i="262"/>
  <c r="LC11" i="262" s="1"/>
  <c r="KJ11" i="262"/>
  <c r="JP11" i="262"/>
  <c r="IV11" i="262"/>
  <c r="IC11" i="262"/>
  <c r="LB10" i="262"/>
  <c r="LC10" i="262" s="1"/>
  <c r="KJ10" i="262"/>
  <c r="JP10" i="262"/>
  <c r="IV10" i="262"/>
  <c r="IC10" i="262"/>
  <c r="LB9" i="262"/>
  <c r="LC9" i="262" s="1"/>
  <c r="KJ9" i="262"/>
  <c r="JP9" i="262"/>
  <c r="IV9" i="262"/>
  <c r="IC9" i="262"/>
  <c r="LB8" i="262"/>
  <c r="LC8" i="262" s="1"/>
  <c r="KJ8" i="262"/>
  <c r="JP8" i="262"/>
  <c r="IV8" i="262"/>
  <c r="IC8" i="262"/>
  <c r="LB7" i="262"/>
  <c r="LC7" i="262" s="1"/>
  <c r="KJ7" i="262"/>
  <c r="JP7" i="262"/>
  <c r="IV7" i="262"/>
  <c r="IC7" i="262"/>
  <c r="CE44" i="255"/>
  <c r="CE43" i="255"/>
  <c r="DN42" i="255"/>
  <c r="CE42" i="255"/>
  <c r="DN41" i="255"/>
  <c r="DE41" i="255"/>
  <c r="DE42" i="255" s="1"/>
  <c r="DF38" i="255" s="1"/>
  <c r="CW41" i="255"/>
  <c r="CW42" i="255" s="1"/>
  <c r="CT41" i="255"/>
  <c r="CT42" i="255" s="1"/>
  <c r="CE40" i="255"/>
  <c r="DN39" i="255"/>
  <c r="DE39" i="255"/>
  <c r="CW39" i="255"/>
  <c r="CT39" i="255"/>
  <c r="CN39" i="255"/>
  <c r="CN40" i="255" s="1"/>
  <c r="CE39" i="255"/>
  <c r="DN38" i="255"/>
  <c r="DE38" i="255"/>
  <c r="DF36" i="255" s="1"/>
  <c r="CW38" i="255"/>
  <c r="CT38" i="255"/>
  <c r="CN37" i="255"/>
  <c r="CE37" i="255"/>
  <c r="DE36" i="255"/>
  <c r="CW36" i="255"/>
  <c r="CT36" i="255"/>
  <c r="CN36" i="255"/>
  <c r="CE36" i="255"/>
  <c r="DN35" i="255"/>
  <c r="DE35" i="255"/>
  <c r="CW35" i="255"/>
  <c r="CT35" i="255"/>
  <c r="CE35" i="255"/>
  <c r="DN34" i="255"/>
  <c r="DN36" i="255" s="1"/>
  <c r="DE34" i="255"/>
  <c r="CW34" i="255"/>
  <c r="CT34" i="255"/>
  <c r="CN34" i="255"/>
  <c r="CE34" i="255"/>
  <c r="CN33" i="255"/>
  <c r="CE33" i="255"/>
  <c r="CN32" i="255"/>
  <c r="CE32" i="255"/>
  <c r="DN31" i="255"/>
  <c r="DE31" i="255"/>
  <c r="CW31" i="255"/>
  <c r="CT31" i="255"/>
  <c r="CE31" i="255"/>
  <c r="DN30" i="255"/>
  <c r="DE30" i="255"/>
  <c r="CW30" i="255"/>
  <c r="CT30" i="255"/>
  <c r="CE30" i="255"/>
  <c r="DN29" i="255"/>
  <c r="DE29" i="255"/>
  <c r="CW29" i="255"/>
  <c r="CT29" i="255"/>
  <c r="CN29" i="255"/>
  <c r="CE29" i="255"/>
  <c r="CN28" i="255"/>
  <c r="CE28" i="255"/>
  <c r="DN27" i="255"/>
  <c r="DE27" i="255"/>
  <c r="CW27" i="255"/>
  <c r="CT27" i="255"/>
  <c r="CN27" i="255"/>
  <c r="CE27" i="255"/>
  <c r="DN26" i="255"/>
  <c r="DE26" i="255"/>
  <c r="CW26" i="255"/>
  <c r="CT26" i="255"/>
  <c r="CE26" i="255"/>
  <c r="DN25" i="255"/>
  <c r="DE25" i="255"/>
  <c r="CW25" i="255"/>
  <c r="CT25" i="255"/>
  <c r="CN25" i="255"/>
  <c r="CE25" i="255"/>
  <c r="DN24" i="255"/>
  <c r="DE24" i="255"/>
  <c r="CW24" i="255"/>
  <c r="CT24" i="255"/>
  <c r="CN24" i="255"/>
  <c r="CE24" i="255"/>
  <c r="DN23" i="255"/>
  <c r="DE23" i="255"/>
  <c r="CW23" i="255"/>
  <c r="CT23" i="255"/>
  <c r="CN23" i="255"/>
  <c r="CE23" i="255"/>
  <c r="CN22" i="255"/>
  <c r="CE22" i="255"/>
  <c r="DN21" i="255"/>
  <c r="CN21" i="255"/>
  <c r="CE21" i="255"/>
  <c r="DN20" i="255"/>
  <c r="CW20" i="255"/>
  <c r="CT20" i="255"/>
  <c r="CE20" i="255"/>
  <c r="DN19" i="255"/>
  <c r="DE19" i="255"/>
  <c r="CW19" i="255"/>
  <c r="CT19" i="255"/>
  <c r="CN19" i="255"/>
  <c r="CE19" i="255"/>
  <c r="DN18" i="255"/>
  <c r="DE18" i="255"/>
  <c r="CW18" i="255"/>
  <c r="CT18" i="255"/>
  <c r="CN18" i="255"/>
  <c r="CE18" i="255"/>
  <c r="DN17" i="255"/>
  <c r="DE17" i="255"/>
  <c r="CW17" i="255"/>
  <c r="CT17" i="255"/>
  <c r="CN17" i="255"/>
  <c r="CE17" i="255"/>
  <c r="DN16" i="255"/>
  <c r="DE16" i="255"/>
  <c r="CW16" i="255"/>
  <c r="CT16" i="255"/>
  <c r="CN16" i="255"/>
  <c r="CE16" i="255"/>
  <c r="CN15" i="255"/>
  <c r="CE15" i="255"/>
  <c r="DN14" i="255"/>
  <c r="DN13" i="255"/>
  <c r="DE13" i="255"/>
  <c r="DE14" i="255" s="1"/>
  <c r="CW13" i="255"/>
  <c r="CW14" i="255" s="1"/>
  <c r="CT13" i="255"/>
  <c r="CT14" i="255" s="1"/>
  <c r="CE13" i="255"/>
  <c r="CN12" i="255"/>
  <c r="CN13" i="255" s="1"/>
  <c r="CE12" i="255"/>
  <c r="DN11" i="255"/>
  <c r="DE11" i="255"/>
  <c r="CW11" i="255"/>
  <c r="CT11" i="255"/>
  <c r="DN10" i="255"/>
  <c r="DE10" i="255"/>
  <c r="CW10" i="255"/>
  <c r="CT10" i="255"/>
  <c r="CN10" i="255"/>
  <c r="CN11" i="255" s="1"/>
  <c r="CE10" i="255"/>
  <c r="CE9" i="255"/>
  <c r="DN8" i="255"/>
  <c r="DE8" i="255"/>
  <c r="CW8" i="255"/>
  <c r="CT8" i="255"/>
  <c r="CN8" i="255"/>
  <c r="CE8" i="255"/>
  <c r="DN7" i="255"/>
  <c r="DE7" i="255"/>
  <c r="CW7" i="255"/>
  <c r="CT7" i="255"/>
  <c r="CN7" i="255"/>
  <c r="CN9" i="255" s="1"/>
  <c r="CE7" i="255"/>
  <c r="CE67" i="254"/>
  <c r="CE66" i="254"/>
  <c r="CE65" i="254"/>
  <c r="CE64" i="254"/>
  <c r="CE63" i="254"/>
  <c r="CE62" i="254"/>
  <c r="CE61" i="254"/>
  <c r="CE59" i="254"/>
  <c r="DE58" i="254"/>
  <c r="CW58" i="254"/>
  <c r="CT58" i="254"/>
  <c r="CE58" i="254"/>
  <c r="DN57" i="254"/>
  <c r="DE57" i="254"/>
  <c r="CW57" i="254"/>
  <c r="CT57" i="254"/>
  <c r="CT59" i="254" s="1"/>
  <c r="CE57" i="254"/>
  <c r="DN56" i="254"/>
  <c r="CE56" i="254"/>
  <c r="CN55" i="254"/>
  <c r="CN56" i="254" s="1"/>
  <c r="DN54" i="254"/>
  <c r="DC54" i="254"/>
  <c r="DE54" i="254" s="1"/>
  <c r="CW54" i="254"/>
  <c r="CT54" i="254"/>
  <c r="CE54" i="254"/>
  <c r="DN53" i="254"/>
  <c r="DE53" i="254"/>
  <c r="CW53" i="254"/>
  <c r="CT53" i="254"/>
  <c r="CE53" i="254"/>
  <c r="DN52" i="254"/>
  <c r="DE52" i="254"/>
  <c r="CW52" i="254"/>
  <c r="CT52" i="254"/>
  <c r="CN52" i="254"/>
  <c r="CE52" i="254"/>
  <c r="DN51" i="254"/>
  <c r="DE51" i="254"/>
  <c r="CW51" i="254"/>
  <c r="CT51" i="254"/>
  <c r="CN51" i="254"/>
  <c r="CE51" i="254"/>
  <c r="DN50" i="254"/>
  <c r="DE50" i="254"/>
  <c r="CW50" i="254"/>
  <c r="CT50" i="254"/>
  <c r="CN50" i="254"/>
  <c r="CE50" i="254"/>
  <c r="DN49" i="254"/>
  <c r="CW49" i="254"/>
  <c r="CT49" i="254"/>
  <c r="CE49" i="254"/>
  <c r="CN48" i="254"/>
  <c r="CW47" i="254"/>
  <c r="CT47" i="254"/>
  <c r="CN47" i="254"/>
  <c r="CE47" i="254"/>
  <c r="DC46" i="254"/>
  <c r="DE46" i="254" s="1"/>
  <c r="CW46" i="254"/>
  <c r="CT46" i="254"/>
  <c r="CN46" i="254"/>
  <c r="CE46" i="254"/>
  <c r="DN45" i="254"/>
  <c r="DE45" i="254"/>
  <c r="CW45" i="254"/>
  <c r="CT45" i="254"/>
  <c r="CN45" i="254"/>
  <c r="CE45" i="254"/>
  <c r="DN44" i="254"/>
  <c r="DE44" i="254"/>
  <c r="CW44" i="254"/>
  <c r="CT44" i="254"/>
  <c r="CN44" i="254"/>
  <c r="CE44" i="254"/>
  <c r="DN43" i="254"/>
  <c r="DE43" i="254"/>
  <c r="CW43" i="254"/>
  <c r="CT43" i="254"/>
  <c r="CN43" i="254"/>
  <c r="CE43" i="254"/>
  <c r="DN42" i="254"/>
  <c r="DE42" i="254"/>
  <c r="CW42" i="254"/>
  <c r="CT42" i="254"/>
  <c r="CE42" i="254"/>
  <c r="DN41" i="254"/>
  <c r="DE41" i="254"/>
  <c r="CW41" i="254"/>
  <c r="CT41" i="254"/>
  <c r="CN41" i="254"/>
  <c r="CE41" i="254"/>
  <c r="DN40" i="254"/>
  <c r="DE40" i="254"/>
  <c r="CW40" i="254"/>
  <c r="CT40" i="254"/>
  <c r="CN40" i="254"/>
  <c r="CE40" i="254"/>
  <c r="DN39" i="254"/>
  <c r="DC39" i="254"/>
  <c r="DE39" i="254" s="1"/>
  <c r="CN39" i="254"/>
  <c r="CN38" i="254"/>
  <c r="CE38" i="254"/>
  <c r="CN37" i="254"/>
  <c r="CE37" i="254"/>
  <c r="DN36" i="254"/>
  <c r="CN36" i="254"/>
  <c r="CE36" i="254"/>
  <c r="DN35" i="254"/>
  <c r="DE35" i="254"/>
  <c r="CW35" i="254"/>
  <c r="CT35" i="254"/>
  <c r="CN35" i="254"/>
  <c r="CE35" i="254"/>
  <c r="DN34" i="254"/>
  <c r="DE34" i="254"/>
  <c r="CW34" i="254"/>
  <c r="CT34" i="254"/>
  <c r="CN34" i="254"/>
  <c r="CE34" i="254"/>
  <c r="DN33" i="254"/>
  <c r="DE33" i="254"/>
  <c r="CW33" i="254"/>
  <c r="CT33" i="254"/>
  <c r="CE32" i="254"/>
  <c r="DN31" i="254"/>
  <c r="DE31" i="254"/>
  <c r="CW31" i="254"/>
  <c r="CT31" i="254"/>
  <c r="CN31" i="254"/>
  <c r="CE31" i="254"/>
  <c r="DN30" i="254"/>
  <c r="DE30" i="254"/>
  <c r="CW30" i="254"/>
  <c r="CT30" i="254"/>
  <c r="CN30" i="254"/>
  <c r="CE30" i="254"/>
  <c r="DN29" i="254"/>
  <c r="DE29" i="254"/>
  <c r="CW29" i="254"/>
  <c r="CT29" i="254"/>
  <c r="CN29" i="254"/>
  <c r="CE29" i="254"/>
  <c r="DN28" i="254"/>
  <c r="DE28" i="254"/>
  <c r="CW28" i="254"/>
  <c r="CT28" i="254"/>
  <c r="CE28" i="254"/>
  <c r="DN27" i="254"/>
  <c r="DC27" i="254"/>
  <c r="DE27" i="254" s="1"/>
  <c r="CW27" i="254"/>
  <c r="CT27" i="254"/>
  <c r="CN27" i="254"/>
  <c r="CE27" i="254"/>
  <c r="DN26" i="254"/>
  <c r="DE26" i="254"/>
  <c r="CN26" i="254"/>
  <c r="CE26" i="254"/>
  <c r="CN25" i="254"/>
  <c r="CE25" i="254"/>
  <c r="DN24" i="254"/>
  <c r="DE24" i="254"/>
  <c r="CW24" i="254"/>
  <c r="CT24" i="254"/>
  <c r="CN24" i="254"/>
  <c r="CE24" i="254"/>
  <c r="DN23" i="254"/>
  <c r="DE23" i="254"/>
  <c r="CW23" i="254"/>
  <c r="CT23" i="254"/>
  <c r="CE23" i="254"/>
  <c r="DN22" i="254"/>
  <c r="DE22" i="254"/>
  <c r="CW22" i="254"/>
  <c r="CT22" i="254"/>
  <c r="CN22" i="254"/>
  <c r="CE22" i="254"/>
  <c r="DN21" i="254"/>
  <c r="DE21" i="254"/>
  <c r="CW21" i="254"/>
  <c r="CT21" i="254"/>
  <c r="CN21" i="254"/>
  <c r="CE21" i="254"/>
  <c r="DN20" i="254"/>
  <c r="DE20" i="254"/>
  <c r="CW20" i="254"/>
  <c r="CT20" i="254"/>
  <c r="CN20" i="254"/>
  <c r="DN19" i="254"/>
  <c r="DE19" i="254"/>
  <c r="CN19" i="254"/>
  <c r="CE19" i="254"/>
  <c r="CN18" i="254"/>
  <c r="CE18" i="254"/>
  <c r="DN17" i="254"/>
  <c r="CN17" i="254"/>
  <c r="DN16" i="254"/>
  <c r="DC16" i="254"/>
  <c r="DC17" i="254" s="1"/>
  <c r="CW16" i="254"/>
  <c r="CW17" i="254" s="1"/>
  <c r="CT16" i="254"/>
  <c r="CT17" i="254" s="1"/>
  <c r="CE16" i="254"/>
  <c r="CE15" i="254"/>
  <c r="DE14" i="254"/>
  <c r="CW14" i="254"/>
  <c r="CT14" i="254"/>
  <c r="CN14" i="254"/>
  <c r="CN15" i="254" s="1"/>
  <c r="CE14" i="254"/>
  <c r="DN13" i="254"/>
  <c r="DE13" i="254"/>
  <c r="CW13" i="254"/>
  <c r="CT13" i="254"/>
  <c r="CE13" i="254"/>
  <c r="DN12" i="254"/>
  <c r="DE12" i="254"/>
  <c r="CW12" i="254"/>
  <c r="CT12" i="254"/>
  <c r="CN12" i="254"/>
  <c r="CE12" i="254"/>
  <c r="DN11" i="254"/>
  <c r="DE11" i="254"/>
  <c r="CN11" i="254"/>
  <c r="DN10" i="254"/>
  <c r="DE10" i="254"/>
  <c r="CW10" i="254"/>
  <c r="CT10" i="254"/>
  <c r="CN10" i="254"/>
  <c r="CE10" i="254"/>
  <c r="CE9" i="254"/>
  <c r="DN8" i="254"/>
  <c r="DE8" i="254"/>
  <c r="CW8" i="254"/>
  <c r="CT8" i="254"/>
  <c r="CN8" i="254"/>
  <c r="CE8" i="254"/>
  <c r="DN7" i="254"/>
  <c r="DE7" i="254"/>
  <c r="CW7" i="254"/>
  <c r="CT7" i="254"/>
  <c r="CN7" i="254"/>
  <c r="CE7" i="254"/>
  <c r="DN6" i="254"/>
  <c r="DE6" i="254"/>
  <c r="CW6" i="254"/>
  <c r="CT6" i="254"/>
  <c r="CN6" i="254"/>
  <c r="CE6" i="254"/>
  <c r="CT38" i="253"/>
  <c r="CN29" i="253"/>
  <c r="CN28" i="253"/>
  <c r="CE26" i="253"/>
  <c r="CE25" i="253"/>
  <c r="CE24" i="253"/>
  <c r="DN21" i="253"/>
  <c r="DE21" i="253"/>
  <c r="CE21" i="253"/>
  <c r="DN20" i="253"/>
  <c r="DE20" i="253"/>
  <c r="DF22" i="253" s="1"/>
  <c r="CW20" i="253"/>
  <c r="CT20" i="253"/>
  <c r="CE20" i="253"/>
  <c r="CW19" i="253"/>
  <c r="CT19" i="253"/>
  <c r="CE19" i="253"/>
  <c r="DE18" i="253"/>
  <c r="CW18" i="253"/>
  <c r="CW36" i="253" s="1"/>
  <c r="CT18" i="253"/>
  <c r="CE18" i="253"/>
  <c r="DN17" i="253"/>
  <c r="DE17" i="253"/>
  <c r="CW17" i="253"/>
  <c r="CT17" i="253"/>
  <c r="CN17" i="253"/>
  <c r="CN18" i="253" s="1"/>
  <c r="DE15" i="253"/>
  <c r="CW15" i="253"/>
  <c r="CT15" i="253"/>
  <c r="CN15" i="253"/>
  <c r="CN16" i="253" s="1"/>
  <c r="CE15" i="253"/>
  <c r="DN14" i="253"/>
  <c r="DE14" i="253"/>
  <c r="CW14" i="253"/>
  <c r="CW16" i="253" s="1"/>
  <c r="CT14" i="253"/>
  <c r="CE14" i="253"/>
  <c r="DN13" i="253"/>
  <c r="CW13" i="253"/>
  <c r="CT13" i="253"/>
  <c r="CE13" i="253"/>
  <c r="DN12" i="253"/>
  <c r="DE12" i="253"/>
  <c r="DE13" i="253" s="1"/>
  <c r="CW12" i="253"/>
  <c r="CT12" i="253"/>
  <c r="CN12" i="253"/>
  <c r="CE12" i="253"/>
  <c r="CN11" i="253"/>
  <c r="DN10" i="253"/>
  <c r="DE10" i="253"/>
  <c r="DF28" i="253" s="1"/>
  <c r="CW10" i="253"/>
  <c r="CW28" i="253" s="1"/>
  <c r="CT10" i="253"/>
  <c r="CT28" i="253" s="1"/>
  <c r="CN10" i="253"/>
  <c r="CE10" i="253"/>
  <c r="DN9" i="253"/>
  <c r="DE9" i="253"/>
  <c r="CW9" i="253"/>
  <c r="CT9" i="253"/>
  <c r="CE9" i="253"/>
  <c r="CT8" i="253"/>
  <c r="CT34" i="253" s="1"/>
  <c r="CN8" i="253"/>
  <c r="DE7" i="253"/>
  <c r="CW7" i="253"/>
  <c r="CT7" i="253"/>
  <c r="CE7" i="253"/>
  <c r="DN6" i="253"/>
  <c r="DE6" i="253"/>
  <c r="CW6" i="253"/>
  <c r="CT6" i="253"/>
  <c r="CN6" i="253"/>
  <c r="CN9" i="253" s="1"/>
  <c r="CE6" i="253"/>
  <c r="KO211" i="252"/>
  <c r="KN211" i="252"/>
  <c r="JQ211" i="252"/>
  <c r="IS211" i="252"/>
  <c r="JQ196" i="252"/>
  <c r="IS195" i="252"/>
  <c r="KO194" i="252"/>
  <c r="KN194" i="252"/>
  <c r="JQ189" i="252"/>
  <c r="IS189" i="252"/>
  <c r="KO188" i="252"/>
  <c r="KN188" i="252"/>
  <c r="HY187" i="252"/>
  <c r="JQ181" i="252"/>
  <c r="IS181" i="252"/>
  <c r="KO180" i="252"/>
  <c r="KN180" i="252"/>
  <c r="GZ179" i="252"/>
  <c r="HY178" i="252"/>
  <c r="HY172" i="252"/>
  <c r="GZ170" i="252"/>
  <c r="IS168" i="252"/>
  <c r="HY168" i="252"/>
  <c r="JQ165" i="252"/>
  <c r="HY164" i="252"/>
  <c r="KO162" i="252"/>
  <c r="KN162" i="252"/>
  <c r="IS162" i="252"/>
  <c r="GZ162" i="252"/>
  <c r="JQ159" i="252"/>
  <c r="HY159" i="252"/>
  <c r="KO157" i="252"/>
  <c r="KN157" i="252"/>
  <c r="IS156" i="252"/>
  <c r="GZ155" i="252"/>
  <c r="HY154" i="252"/>
  <c r="JQ153" i="252"/>
  <c r="KN152" i="252"/>
  <c r="IS152" i="252"/>
  <c r="KO149" i="252"/>
  <c r="KN149" i="252"/>
  <c r="HY149" i="252"/>
  <c r="JQ148" i="252"/>
  <c r="GZ148" i="252"/>
  <c r="IS145" i="252"/>
  <c r="KO144" i="252"/>
  <c r="KN144" i="252"/>
  <c r="HY143" i="252"/>
  <c r="GZ142" i="252"/>
  <c r="JQ140" i="252"/>
  <c r="HY139" i="252"/>
  <c r="GZ138" i="252"/>
  <c r="IS137" i="252"/>
  <c r="HY137" i="252"/>
  <c r="KO136" i="252"/>
  <c r="KN136" i="252"/>
  <c r="GZ133" i="252"/>
  <c r="JQ131" i="252"/>
  <c r="HY131" i="252"/>
  <c r="KO130" i="252"/>
  <c r="KN130" i="252"/>
  <c r="KN126" i="252"/>
  <c r="JQ125" i="252"/>
  <c r="IS125" i="252"/>
  <c r="GZ125" i="252"/>
  <c r="KO124" i="252"/>
  <c r="KN124" i="252"/>
  <c r="HY123" i="252"/>
  <c r="GZ119" i="252"/>
  <c r="HY117" i="252"/>
  <c r="GZ114" i="252"/>
  <c r="HY112" i="252"/>
  <c r="JQ109" i="252"/>
  <c r="GZ108" i="252"/>
  <c r="HY107" i="252"/>
  <c r="IS106" i="252"/>
  <c r="JQ104" i="252"/>
  <c r="HY102" i="252"/>
  <c r="GZ102" i="252"/>
  <c r="IS100" i="252"/>
  <c r="JQ99" i="252"/>
  <c r="JQ97" i="252"/>
  <c r="HY95" i="252"/>
  <c r="JQ94" i="252"/>
  <c r="GZ94" i="252"/>
  <c r="KO92" i="252"/>
  <c r="KN92" i="252"/>
  <c r="IS91" i="252"/>
  <c r="HY90" i="252"/>
  <c r="GZ90" i="252"/>
  <c r="KN87" i="252"/>
  <c r="HY86" i="252"/>
  <c r="JQ85" i="252"/>
  <c r="KO84" i="252"/>
  <c r="KN84" i="252"/>
  <c r="GZ83" i="252"/>
  <c r="IS82" i="252"/>
  <c r="KO81" i="252"/>
  <c r="KN81" i="252"/>
  <c r="JQ81" i="252"/>
  <c r="HY80" i="252"/>
  <c r="JQ79" i="252"/>
  <c r="KN78" i="252"/>
  <c r="IS78" i="252"/>
  <c r="GZ77" i="252"/>
  <c r="JQ76" i="252"/>
  <c r="HY76" i="252"/>
  <c r="KN75" i="252"/>
  <c r="IS74" i="252"/>
  <c r="KO73" i="252"/>
  <c r="KN73" i="252"/>
  <c r="GZ72" i="252"/>
  <c r="JQ71" i="252"/>
  <c r="KO70" i="252"/>
  <c r="KN70" i="252"/>
  <c r="HY70" i="252"/>
  <c r="JQ69" i="252"/>
  <c r="GZ68" i="252"/>
  <c r="KO67" i="252"/>
  <c r="KN67" i="252"/>
  <c r="IS65" i="252"/>
  <c r="JQ63" i="252"/>
  <c r="KN62" i="252"/>
  <c r="HY61" i="252"/>
  <c r="KO60" i="252"/>
  <c r="KN60" i="252"/>
  <c r="IS59" i="252"/>
  <c r="GZ59" i="252"/>
  <c r="JQ58" i="252"/>
  <c r="HY57" i="252"/>
  <c r="GZ56" i="252"/>
  <c r="KO55" i="252"/>
  <c r="KN55" i="252"/>
  <c r="IS53" i="252"/>
  <c r="HY51" i="252"/>
  <c r="GZ51" i="252"/>
  <c r="KO50" i="252"/>
  <c r="KN50" i="252"/>
  <c r="JQ48" i="252"/>
  <c r="IS48" i="252"/>
  <c r="HY46" i="252"/>
  <c r="GZ46" i="252"/>
  <c r="KO45" i="252"/>
  <c r="KN45" i="252"/>
  <c r="JQ43" i="252"/>
  <c r="GZ43" i="252"/>
  <c r="IS42" i="252"/>
  <c r="HY41" i="252"/>
  <c r="KO39" i="252"/>
  <c r="KN39" i="252"/>
  <c r="GZ36" i="252"/>
  <c r="KO35" i="252"/>
  <c r="KN35" i="252"/>
  <c r="IS35" i="252"/>
  <c r="HY35" i="252"/>
  <c r="JQ34" i="252"/>
  <c r="GZ31" i="252"/>
  <c r="KO30" i="252"/>
  <c r="KN30" i="252"/>
  <c r="HY30" i="252"/>
  <c r="KO26" i="252"/>
  <c r="KN26" i="252"/>
  <c r="JQ26" i="252"/>
  <c r="GZ26" i="252"/>
  <c r="KN22" i="252"/>
  <c r="JQ21" i="252"/>
  <c r="KO20" i="252"/>
  <c r="KN20" i="252"/>
  <c r="GZ20" i="252"/>
  <c r="JQ17" i="252"/>
  <c r="HY17" i="252"/>
  <c r="KN16" i="252"/>
  <c r="IS16" i="252"/>
  <c r="KO14" i="252"/>
  <c r="KN14" i="252"/>
  <c r="GZ14" i="252"/>
  <c r="JQ13" i="252"/>
  <c r="IS13" i="252"/>
  <c r="KO10" i="252"/>
  <c r="KN10" i="252"/>
  <c r="GZ10" i="252"/>
  <c r="HY9" i="252"/>
  <c r="FE330" i="251"/>
  <c r="FE316" i="251"/>
  <c r="FE312" i="251"/>
  <c r="FE308" i="251"/>
  <c r="FE302" i="251"/>
  <c r="FE296" i="251"/>
  <c r="FE290" i="251"/>
  <c r="HX287" i="251"/>
  <c r="HW287" i="251"/>
  <c r="HE287" i="251"/>
  <c r="GN287" i="251"/>
  <c r="FE284" i="251"/>
  <c r="HE275" i="251"/>
  <c r="GN275" i="251"/>
  <c r="FE275" i="251"/>
  <c r="HX274" i="251"/>
  <c r="HW274" i="251"/>
  <c r="FE270" i="251"/>
  <c r="GN267" i="251"/>
  <c r="HX266" i="251"/>
  <c r="HW266" i="251"/>
  <c r="HE266" i="251"/>
  <c r="FE265" i="251"/>
  <c r="FW263" i="251"/>
  <c r="HX258" i="251"/>
  <c r="HW258" i="251"/>
  <c r="HE258" i="251"/>
  <c r="GN258" i="251"/>
  <c r="FE255" i="251"/>
  <c r="FW254" i="251"/>
  <c r="FE252" i="251"/>
  <c r="FW248" i="251"/>
  <c r="HX245" i="251"/>
  <c r="HW245" i="251"/>
  <c r="HE245" i="251"/>
  <c r="FE245" i="251"/>
  <c r="GN244" i="251"/>
  <c r="FW242" i="251"/>
  <c r="HX239" i="251"/>
  <c r="HW239" i="251"/>
  <c r="GN239" i="251"/>
  <c r="HE238" i="251"/>
  <c r="FE237" i="251"/>
  <c r="FW236" i="251"/>
  <c r="HX232" i="251"/>
  <c r="HW232" i="251"/>
  <c r="FE232" i="251"/>
  <c r="GN231" i="251"/>
  <c r="HE229" i="251"/>
  <c r="FW229" i="251"/>
  <c r="FE228" i="251"/>
  <c r="HX224" i="251"/>
  <c r="HW224" i="251"/>
  <c r="HE224" i="251"/>
  <c r="GN224" i="251"/>
  <c r="HX219" i="251"/>
  <c r="HW219" i="251"/>
  <c r="FW219" i="251"/>
  <c r="FE219" i="251"/>
  <c r="HE218" i="251"/>
  <c r="GN218" i="251"/>
  <c r="FE214" i="251"/>
  <c r="FW213" i="251"/>
  <c r="HX211" i="251"/>
  <c r="HW211" i="251"/>
  <c r="HE211" i="251"/>
  <c r="GN209" i="251"/>
  <c r="FW208" i="251"/>
  <c r="FE208" i="251"/>
  <c r="HE204" i="251"/>
  <c r="HX203" i="251"/>
  <c r="HW203" i="251"/>
  <c r="FE203" i="251"/>
  <c r="GN202" i="251"/>
  <c r="FW200" i="251"/>
  <c r="HX197" i="251"/>
  <c r="HW197" i="251"/>
  <c r="HE197" i="251"/>
  <c r="FW194" i="251"/>
  <c r="FE194" i="251"/>
  <c r="HX191" i="251"/>
  <c r="HW191" i="251"/>
  <c r="HE191" i="251"/>
  <c r="GN191" i="251"/>
  <c r="FW189" i="251"/>
  <c r="FE188" i="251"/>
  <c r="FW184" i="251"/>
  <c r="FE181" i="251"/>
  <c r="HO180" i="251"/>
  <c r="HN180" i="251"/>
  <c r="HM180" i="251"/>
  <c r="HL180" i="251"/>
  <c r="HK180" i="251"/>
  <c r="GN179" i="251"/>
  <c r="FW179" i="251"/>
  <c r="HX178" i="251"/>
  <c r="HW178" i="251"/>
  <c r="FE176" i="251"/>
  <c r="GN174" i="251"/>
  <c r="FW174" i="251"/>
  <c r="HX172" i="251"/>
  <c r="HW172" i="251"/>
  <c r="GN170" i="251"/>
  <c r="FW169" i="251"/>
  <c r="FE168" i="251"/>
  <c r="HX167" i="251"/>
  <c r="HW167" i="251"/>
  <c r="FW167" i="251"/>
  <c r="GN165" i="251"/>
  <c r="FW165" i="251"/>
  <c r="HX161" i="251"/>
  <c r="HW161" i="251"/>
  <c r="FE160" i="251"/>
  <c r="GN158" i="251"/>
  <c r="HX156" i="251"/>
  <c r="HW156" i="251"/>
  <c r="FW156" i="251"/>
  <c r="FE155" i="251"/>
  <c r="GN152" i="251"/>
  <c r="HW150" i="251"/>
  <c r="FE150" i="251"/>
  <c r="FW149" i="251"/>
  <c r="HX147" i="251"/>
  <c r="HW147" i="251"/>
  <c r="HE145" i="251"/>
  <c r="FE145" i="251"/>
  <c r="FW144" i="251"/>
  <c r="HX143" i="251"/>
  <c r="HW143" i="251"/>
  <c r="GN143" i="251"/>
  <c r="HE140" i="251"/>
  <c r="FW140" i="251"/>
  <c r="FE139" i="251"/>
  <c r="HX138" i="251"/>
  <c r="HW138" i="251"/>
  <c r="GN138" i="251"/>
  <c r="HE135" i="251"/>
  <c r="FE135" i="251"/>
  <c r="HX134" i="251"/>
  <c r="HW134" i="251"/>
  <c r="FW133" i="251"/>
  <c r="GN132" i="251"/>
  <c r="HX129" i="251"/>
  <c r="HW129" i="251"/>
  <c r="HE129" i="251"/>
  <c r="FE129" i="251"/>
  <c r="GN126" i="251"/>
  <c r="FW126" i="251"/>
  <c r="HX123" i="251"/>
  <c r="HW123" i="251"/>
  <c r="FE123" i="251"/>
  <c r="HE122" i="251"/>
  <c r="GN121" i="251"/>
  <c r="FW120" i="251"/>
  <c r="HX116" i="251"/>
  <c r="HW116" i="251"/>
  <c r="GN116" i="251"/>
  <c r="FW116" i="251"/>
  <c r="FE115" i="251"/>
  <c r="HX112" i="251"/>
  <c r="HW112" i="251"/>
  <c r="HE111" i="251"/>
  <c r="HX107" i="251"/>
  <c r="HW107" i="251"/>
  <c r="GN107" i="251"/>
  <c r="FW107" i="251"/>
  <c r="FE107" i="251"/>
  <c r="HE105" i="251"/>
  <c r="GN103" i="251"/>
  <c r="HX102" i="251"/>
  <c r="HW102" i="251"/>
  <c r="HE101" i="251"/>
  <c r="FW101" i="251"/>
  <c r="FE100" i="251"/>
  <c r="GN98" i="251"/>
  <c r="HX97" i="251"/>
  <c r="HW97" i="251"/>
  <c r="HE96" i="251"/>
  <c r="FW94" i="251"/>
  <c r="FE94" i="251"/>
  <c r="GN93" i="251"/>
  <c r="HX90" i="251"/>
  <c r="HW90" i="251"/>
  <c r="HE90" i="251"/>
  <c r="FW88" i="251"/>
  <c r="FE88" i="251"/>
  <c r="GN86" i="251"/>
  <c r="HE85" i="251"/>
  <c r="HX83" i="251"/>
  <c r="HW83" i="251"/>
  <c r="FW83" i="251"/>
  <c r="HE81" i="251"/>
  <c r="FE81" i="251"/>
  <c r="GN79" i="251"/>
  <c r="HX78" i="251"/>
  <c r="HW78" i="251"/>
  <c r="HE76" i="251"/>
  <c r="FW76" i="251"/>
  <c r="GN75" i="251"/>
  <c r="FE74" i="251"/>
  <c r="HX73" i="251"/>
  <c r="HW73" i="251"/>
  <c r="FW71" i="251"/>
  <c r="HE70" i="251"/>
  <c r="HX69" i="251"/>
  <c r="HW69" i="251"/>
  <c r="GN69" i="251"/>
  <c r="HX66" i="251"/>
  <c r="HW66" i="251"/>
  <c r="HE65" i="251"/>
  <c r="FE65" i="251"/>
  <c r="GN64" i="251"/>
  <c r="FW62" i="251"/>
  <c r="FE62" i="251"/>
  <c r="HX61" i="251"/>
  <c r="HW61" i="251"/>
  <c r="GN45" i="251"/>
  <c r="HW43" i="251"/>
  <c r="HX39" i="251"/>
  <c r="HW39" i="251"/>
  <c r="HE39" i="251"/>
  <c r="FE38" i="251"/>
  <c r="FW35" i="251"/>
  <c r="HE34" i="251"/>
  <c r="HW33" i="251"/>
  <c r="HE31" i="251"/>
  <c r="HX30" i="251"/>
  <c r="HW30" i="251"/>
  <c r="FE29" i="251"/>
  <c r="HE27" i="251"/>
  <c r="FW27" i="251"/>
  <c r="HX26" i="251"/>
  <c r="HW26" i="251"/>
  <c r="FE26" i="251"/>
  <c r="GN24" i="251"/>
  <c r="HE22" i="251"/>
  <c r="HW21" i="251"/>
  <c r="FW20" i="251"/>
  <c r="FE19" i="251"/>
  <c r="HX18" i="251"/>
  <c r="HW18" i="251"/>
  <c r="HE17" i="251"/>
  <c r="GN17" i="251"/>
  <c r="FW14" i="251"/>
  <c r="FE13" i="251"/>
  <c r="HW11" i="251"/>
  <c r="GH128" i="250"/>
  <c r="GG128" i="250"/>
  <c r="FT128" i="250"/>
  <c r="FH127" i="250"/>
  <c r="GH115" i="250"/>
  <c r="GG115" i="250"/>
  <c r="FH115" i="250"/>
  <c r="FT112" i="250"/>
  <c r="FT108" i="250"/>
  <c r="GH107" i="250"/>
  <c r="GG107" i="250"/>
  <c r="FH107" i="250"/>
  <c r="EI105" i="250"/>
  <c r="FT100" i="250"/>
  <c r="GH99" i="250"/>
  <c r="GG99" i="250"/>
  <c r="FH96" i="250"/>
  <c r="EI96" i="250"/>
  <c r="EI93" i="250"/>
  <c r="EI90" i="250"/>
  <c r="FH88" i="250"/>
  <c r="EV105" i="250"/>
  <c r="EI87" i="250"/>
  <c r="GH84" i="250"/>
  <c r="GG84" i="250"/>
  <c r="FT82" i="250"/>
  <c r="EI80" i="250"/>
  <c r="GH79" i="250"/>
  <c r="GG79" i="250"/>
  <c r="EV96" i="250"/>
  <c r="FT78" i="250"/>
  <c r="FH77" i="250"/>
  <c r="EV93" i="250"/>
  <c r="EH75" i="250"/>
  <c r="EF75" i="250"/>
  <c r="EH74" i="250"/>
  <c r="EF74" i="250"/>
  <c r="GH73" i="250"/>
  <c r="GG73" i="250"/>
  <c r="EV90" i="250"/>
  <c r="FT71" i="250"/>
  <c r="FH70" i="250"/>
  <c r="EV71" i="250"/>
  <c r="EI69" i="250"/>
  <c r="GH67" i="250"/>
  <c r="GG67" i="250"/>
  <c r="FT65" i="250"/>
  <c r="EI65" i="250"/>
  <c r="GH62" i="250"/>
  <c r="GG62" i="250"/>
  <c r="EV63" i="250"/>
  <c r="EI61" i="250"/>
  <c r="FT57" i="250"/>
  <c r="FH56" i="250"/>
  <c r="GH55" i="250"/>
  <c r="GG55" i="250"/>
  <c r="EI54" i="250"/>
  <c r="EV53" i="250"/>
  <c r="FH48" i="250"/>
  <c r="EI48" i="250"/>
  <c r="EV46" i="250"/>
  <c r="EI43" i="250"/>
  <c r="EV43" i="250"/>
  <c r="GH41" i="250"/>
  <c r="GG41" i="250"/>
  <c r="FT41" i="250"/>
  <c r="EV40" i="250"/>
  <c r="EI38" i="250"/>
  <c r="GG37" i="250"/>
  <c r="GH35" i="250"/>
  <c r="GG35" i="250"/>
  <c r="FT35" i="250"/>
  <c r="FH34" i="250"/>
  <c r="EV33" i="250"/>
  <c r="EI31" i="250"/>
  <c r="GG29" i="250"/>
  <c r="FT29" i="250"/>
  <c r="FH28" i="250"/>
  <c r="GH27" i="250"/>
  <c r="GG27" i="250"/>
  <c r="EV26" i="250"/>
  <c r="EI24" i="250"/>
  <c r="FT23" i="250"/>
  <c r="GH22" i="250"/>
  <c r="GG22" i="250"/>
  <c r="EI19" i="250"/>
  <c r="EV19" i="250"/>
  <c r="GH17" i="250"/>
  <c r="GG17" i="250"/>
  <c r="FH16" i="250"/>
  <c r="FT15" i="250"/>
  <c r="EI14" i="250"/>
  <c r="FT12" i="250"/>
  <c r="FH11" i="250"/>
  <c r="EV11" i="250"/>
  <c r="EI11" i="250"/>
  <c r="GH10" i="250"/>
  <c r="U31" i="243"/>
  <c r="R31" i="243"/>
  <c r="O31" i="243"/>
  <c r="P16" i="243" s="1"/>
  <c r="L31" i="243"/>
  <c r="M24" i="243"/>
  <c r="I31" i="243"/>
  <c r="J31" i="243" s="1"/>
  <c r="G31" i="243"/>
  <c r="F31" i="243"/>
  <c r="E31" i="243"/>
  <c r="D31" i="243"/>
  <c r="W27" i="243"/>
  <c r="W26" i="243"/>
  <c r="T26" i="243"/>
  <c r="Q26" i="243"/>
  <c r="N26" i="243"/>
  <c r="K26" i="243"/>
  <c r="W25" i="243"/>
  <c r="T25" i="243"/>
  <c r="Q25" i="243"/>
  <c r="N25" i="243"/>
  <c r="K25" i="243"/>
  <c r="W24" i="243"/>
  <c r="T24" i="243"/>
  <c r="Q24" i="243"/>
  <c r="N24" i="243"/>
  <c r="K24" i="243"/>
  <c r="W23" i="243"/>
  <c r="T23" i="243"/>
  <c r="Q23" i="243"/>
  <c r="N23" i="243"/>
  <c r="K23" i="243"/>
  <c r="W22" i="243"/>
  <c r="T22" i="243"/>
  <c r="Q22" i="243"/>
  <c r="N22" i="243"/>
  <c r="K22" i="243"/>
  <c r="W21" i="243"/>
  <c r="T21" i="243"/>
  <c r="Q21" i="243"/>
  <c r="N21" i="243"/>
  <c r="K21" i="243"/>
  <c r="H21" i="243"/>
  <c r="W20" i="243"/>
  <c r="T20" i="243"/>
  <c r="Q20" i="243"/>
  <c r="H20" i="243"/>
  <c r="W19" i="243"/>
  <c r="T19" i="243"/>
  <c r="Q19" i="243"/>
  <c r="N19" i="243"/>
  <c r="K19" i="243"/>
  <c r="W18" i="243"/>
  <c r="T18" i="243"/>
  <c r="Q18" i="243"/>
  <c r="N18" i="243"/>
  <c r="K18" i="243"/>
  <c r="W17" i="243"/>
  <c r="T17" i="243"/>
  <c r="Q17" i="243"/>
  <c r="N17" i="243"/>
  <c r="K17" i="243"/>
  <c r="W16" i="243"/>
  <c r="T16" i="243"/>
  <c r="Q16" i="243"/>
  <c r="N16" i="243"/>
  <c r="K16" i="243"/>
  <c r="W15" i="243"/>
  <c r="T15" i="243"/>
  <c r="Q15" i="243"/>
  <c r="N15" i="243"/>
  <c r="K15" i="243"/>
  <c r="W14" i="243"/>
  <c r="T14" i="243"/>
  <c r="Q14" i="243"/>
  <c r="N14" i="243"/>
  <c r="K14" i="243"/>
  <c r="H14" i="243"/>
  <c r="W13" i="243"/>
  <c r="T13" i="243"/>
  <c r="Q13" i="243"/>
  <c r="N13" i="243"/>
  <c r="K13" i="243"/>
  <c r="H13" i="243"/>
  <c r="W12" i="243"/>
  <c r="T12" i="243"/>
  <c r="Q12" i="243"/>
  <c r="N12" i="243"/>
  <c r="K12" i="243"/>
  <c r="H12" i="243"/>
  <c r="W11" i="243"/>
  <c r="T11" i="243"/>
  <c r="Q11" i="243"/>
  <c r="N11" i="243"/>
  <c r="K11" i="243"/>
  <c r="W10" i="243"/>
  <c r="T10" i="243"/>
  <c r="Q10" i="243"/>
  <c r="N10" i="243"/>
  <c r="K10" i="243"/>
  <c r="H10" i="243"/>
  <c r="K9" i="243"/>
  <c r="W8" i="243"/>
  <c r="T8" i="243"/>
  <c r="Q8" i="243"/>
  <c r="N8" i="243"/>
  <c r="K8" i="243"/>
  <c r="H8" i="243"/>
  <c r="W7" i="243"/>
  <c r="T7" i="243"/>
  <c r="Q7" i="243"/>
  <c r="N7" i="243"/>
  <c r="K7" i="243"/>
  <c r="H7" i="243"/>
  <c r="W6" i="243"/>
  <c r="T6" i="243"/>
  <c r="Q6" i="243"/>
  <c r="N6" i="243"/>
  <c r="K6" i="243"/>
  <c r="H6" i="243"/>
  <c r="P18" i="242"/>
  <c r="M18" i="242"/>
  <c r="J18" i="242"/>
  <c r="K14" i="242" s="1"/>
  <c r="I18" i="242"/>
  <c r="H18" i="242"/>
  <c r="F18" i="242"/>
  <c r="E18" i="242"/>
  <c r="C18" i="242"/>
  <c r="R17" i="242"/>
  <c r="O17" i="242"/>
  <c r="L17" i="242"/>
  <c r="I17" i="242"/>
  <c r="H17" i="242"/>
  <c r="F17" i="242"/>
  <c r="E17" i="242"/>
  <c r="C17" i="242"/>
  <c r="H16" i="242"/>
  <c r="F16" i="242"/>
  <c r="E16" i="242"/>
  <c r="C16" i="242"/>
  <c r="R15" i="242"/>
  <c r="O15" i="242"/>
  <c r="L15" i="242"/>
  <c r="I15" i="242"/>
  <c r="H15" i="242"/>
  <c r="F15" i="242"/>
  <c r="E15" i="242"/>
  <c r="C15" i="242"/>
  <c r="R14" i="242"/>
  <c r="O14" i="242"/>
  <c r="L14" i="242"/>
  <c r="H14" i="242"/>
  <c r="F14" i="242"/>
  <c r="E14" i="242"/>
  <c r="C14" i="242"/>
  <c r="R13" i="242"/>
  <c r="O13" i="242"/>
  <c r="L13" i="242"/>
  <c r="I13" i="242"/>
  <c r="H13" i="242"/>
  <c r="F13" i="242"/>
  <c r="E13" i="242"/>
  <c r="C13" i="242"/>
  <c r="R12" i="242"/>
  <c r="O12" i="242"/>
  <c r="L12" i="242"/>
  <c r="I12" i="242"/>
  <c r="H12" i="242"/>
  <c r="F12" i="242"/>
  <c r="E12" i="242"/>
  <c r="C12" i="242"/>
  <c r="R11" i="242"/>
  <c r="O11" i="242"/>
  <c r="L11" i="242"/>
  <c r="I11" i="242"/>
  <c r="H11" i="242"/>
  <c r="F11" i="242"/>
  <c r="E11" i="242"/>
  <c r="C11" i="242"/>
  <c r="R10" i="242"/>
  <c r="O10" i="242"/>
  <c r="L10" i="242"/>
  <c r="I10" i="242"/>
  <c r="H10" i="242"/>
  <c r="F10" i="242"/>
  <c r="E10" i="242"/>
  <c r="C10" i="242"/>
  <c r="R9" i="242"/>
  <c r="O9" i="242"/>
  <c r="L9" i="242"/>
  <c r="I9" i="242"/>
  <c r="H9" i="242"/>
  <c r="F9" i="242"/>
  <c r="E9" i="242"/>
  <c r="C9" i="242"/>
  <c r="R8" i="242"/>
  <c r="O8" i="242"/>
  <c r="L8" i="242"/>
  <c r="I8" i="242"/>
  <c r="H8" i="242"/>
  <c r="F8" i="242"/>
  <c r="E8" i="242"/>
  <c r="C8" i="242"/>
  <c r="R7" i="242"/>
  <c r="O7" i="242"/>
  <c r="L7" i="242"/>
  <c r="I7" i="242"/>
  <c r="H7" i="242"/>
  <c r="F7" i="242"/>
  <c r="E7" i="242"/>
  <c r="C7" i="242"/>
  <c r="D132" i="237"/>
  <c r="C132" i="237"/>
  <c r="E132" i="237" s="1"/>
  <c r="B132" i="237"/>
  <c r="E131" i="237"/>
  <c r="E130" i="237"/>
  <c r="E129" i="237"/>
  <c r="E128" i="237"/>
  <c r="E127" i="237"/>
  <c r="E126" i="237"/>
  <c r="C122" i="237"/>
  <c r="B122" i="237"/>
  <c r="D121" i="237"/>
  <c r="E121" i="237" s="1"/>
  <c r="D120" i="237"/>
  <c r="E120" i="237" s="1"/>
  <c r="D119" i="237"/>
  <c r="E119" i="237" s="1"/>
  <c r="D118" i="237"/>
  <c r="D117" i="237"/>
  <c r="E117" i="237" s="1"/>
  <c r="D116" i="237"/>
  <c r="E116" i="237" s="1"/>
  <c r="C112" i="237"/>
  <c r="B112" i="237"/>
  <c r="D111" i="237"/>
  <c r="E111" i="237" s="1"/>
  <c r="D110" i="237"/>
  <c r="E110" i="237" s="1"/>
  <c r="D109" i="237"/>
  <c r="E109" i="237" s="1"/>
  <c r="D108" i="237"/>
  <c r="E108" i="237" s="1"/>
  <c r="D107" i="237"/>
  <c r="D106" i="237"/>
  <c r="C102" i="237"/>
  <c r="B102" i="237"/>
  <c r="D101" i="237"/>
  <c r="E101" i="237" s="1"/>
  <c r="D100" i="237"/>
  <c r="E100" i="237" s="1"/>
  <c r="D99" i="237"/>
  <c r="E99" i="237" s="1"/>
  <c r="D98" i="237"/>
  <c r="D97" i="237"/>
  <c r="D96" i="237"/>
  <c r="AC31" i="235"/>
  <c r="AD31" i="235" s="1"/>
  <c r="AB31" i="235"/>
  <c r="Z31" i="235"/>
  <c r="Y31" i="235"/>
  <c r="W31" i="235"/>
  <c r="V31" i="235"/>
  <c r="T31" i="235"/>
  <c r="U31" i="235" s="1"/>
  <c r="S31" i="235"/>
  <c r="O31" i="235"/>
  <c r="L31" i="235"/>
  <c r="K31" i="235"/>
  <c r="H31" i="235"/>
  <c r="J31" i="235" s="1"/>
  <c r="G31" i="235"/>
  <c r="D31" i="235"/>
  <c r="C31" i="235"/>
  <c r="AC30" i="235"/>
  <c r="AB30" i="235"/>
  <c r="Z30" i="235"/>
  <c r="Y30" i="235"/>
  <c r="W30" i="235"/>
  <c r="X30" i="235" s="1"/>
  <c r="V30" i="235"/>
  <c r="T30" i="235"/>
  <c r="S30" i="235"/>
  <c r="P30" i="235"/>
  <c r="O30" i="235"/>
  <c r="L30" i="235"/>
  <c r="K30" i="235"/>
  <c r="N30" i="235" s="1"/>
  <c r="H30" i="235"/>
  <c r="G30" i="235"/>
  <c r="D30" i="235"/>
  <c r="F30" i="235" s="1"/>
  <c r="C30" i="235"/>
  <c r="AC29" i="235"/>
  <c r="AB29" i="235"/>
  <c r="Z29" i="235"/>
  <c r="Y29" i="235"/>
  <c r="V29" i="235"/>
  <c r="S29" i="235"/>
  <c r="O29" i="235"/>
  <c r="K29" i="235"/>
  <c r="G29" i="235"/>
  <c r="C29" i="235"/>
  <c r="AD27" i="235"/>
  <c r="AA27" i="235"/>
  <c r="X27" i="235"/>
  <c r="U27" i="235"/>
  <c r="P27" i="235"/>
  <c r="AD23" i="235"/>
  <c r="AA23" i="235"/>
  <c r="X23" i="235"/>
  <c r="U23" i="235"/>
  <c r="R23" i="235"/>
  <c r="Q23" i="235"/>
  <c r="N23" i="235"/>
  <c r="M23" i="235"/>
  <c r="J23" i="235"/>
  <c r="I23" i="235"/>
  <c r="F23" i="235"/>
  <c r="E23" i="235"/>
  <c r="AD22" i="235"/>
  <c r="AA22" i="235"/>
  <c r="X22" i="235"/>
  <c r="U22" i="235"/>
  <c r="R22" i="235"/>
  <c r="Q22" i="235"/>
  <c r="N22" i="235"/>
  <c r="M22" i="235"/>
  <c r="J22" i="235"/>
  <c r="I22" i="235"/>
  <c r="F22" i="235"/>
  <c r="E22" i="235"/>
  <c r="AD21" i="235"/>
  <c r="AA21" i="235"/>
  <c r="X21" i="235"/>
  <c r="T21" i="235"/>
  <c r="U21" i="235" s="1"/>
  <c r="P21" i="235"/>
  <c r="R21" i="235" s="1"/>
  <c r="L21" i="235"/>
  <c r="N21" i="235" s="1"/>
  <c r="H21" i="235"/>
  <c r="I21" i="235" s="1"/>
  <c r="D21" i="235"/>
  <c r="E21" i="235" s="1"/>
  <c r="V20" i="235"/>
  <c r="S20" i="235"/>
  <c r="AD19" i="235"/>
  <c r="AA19" i="235"/>
  <c r="X19" i="235"/>
  <c r="U19" i="235"/>
  <c r="N19" i="235"/>
  <c r="M19" i="235"/>
  <c r="J19" i="235"/>
  <c r="I19" i="235"/>
  <c r="F19" i="235"/>
  <c r="E19" i="235"/>
  <c r="AD18" i="235"/>
  <c r="AA18" i="235"/>
  <c r="X18" i="235"/>
  <c r="U18" i="235"/>
  <c r="N18" i="235"/>
  <c r="M18" i="235"/>
  <c r="J18" i="235"/>
  <c r="I18" i="235"/>
  <c r="F18" i="235"/>
  <c r="E18" i="235"/>
  <c r="AD17" i="235"/>
  <c r="AA17" i="235"/>
  <c r="X17" i="235"/>
  <c r="U17" i="235"/>
  <c r="L17" i="235"/>
  <c r="N17" i="235" s="1"/>
  <c r="H17" i="235"/>
  <c r="D17" i="235"/>
  <c r="F17" i="235" s="1"/>
  <c r="AD15" i="235"/>
  <c r="AA15" i="235"/>
  <c r="X15" i="235"/>
  <c r="U15" i="235"/>
  <c r="R15" i="235"/>
  <c r="Q15" i="235"/>
  <c r="N15" i="235"/>
  <c r="M15" i="235"/>
  <c r="J15" i="235"/>
  <c r="I15" i="235"/>
  <c r="F15" i="235"/>
  <c r="E15" i="235"/>
  <c r="AD14" i="235"/>
  <c r="AA14" i="235"/>
  <c r="X14" i="235"/>
  <c r="U14" i="235"/>
  <c r="R14" i="235"/>
  <c r="Q14" i="235"/>
  <c r="N14" i="235"/>
  <c r="M14" i="235"/>
  <c r="J14" i="235"/>
  <c r="I14" i="235"/>
  <c r="F14" i="235"/>
  <c r="E14" i="235"/>
  <c r="AD13" i="235"/>
  <c r="AA13" i="235"/>
  <c r="X13" i="235"/>
  <c r="T13" i="235"/>
  <c r="U13" i="235" s="1"/>
  <c r="P13" i="235"/>
  <c r="R13" i="235" s="1"/>
  <c r="L13" i="235"/>
  <c r="H13" i="235"/>
  <c r="J13" i="235" s="1"/>
  <c r="D13" i="235"/>
  <c r="E13" i="235" s="1"/>
  <c r="AD11" i="235"/>
  <c r="AA11" i="235"/>
  <c r="X11" i="235"/>
  <c r="U11" i="235"/>
  <c r="R11" i="235"/>
  <c r="Q11" i="235"/>
  <c r="N11" i="235"/>
  <c r="M11" i="235"/>
  <c r="J11" i="235"/>
  <c r="I11" i="235"/>
  <c r="F11" i="235"/>
  <c r="E11" i="235"/>
  <c r="AD10" i="235"/>
  <c r="AA10" i="235"/>
  <c r="X10" i="235"/>
  <c r="U10" i="235"/>
  <c r="R10" i="235"/>
  <c r="Q10" i="235"/>
  <c r="N10" i="235"/>
  <c r="M10" i="235"/>
  <c r="J10" i="235"/>
  <c r="I10" i="235"/>
  <c r="F10" i="235"/>
  <c r="E10" i="235"/>
  <c r="AD9" i="235"/>
  <c r="AA9" i="235"/>
  <c r="X9" i="235"/>
  <c r="T9" i="235"/>
  <c r="R9" i="235"/>
  <c r="Q9" i="235"/>
  <c r="N9" i="235"/>
  <c r="M9" i="235"/>
  <c r="J9" i="235"/>
  <c r="I9" i="235"/>
  <c r="F9" i="235"/>
  <c r="E9" i="235"/>
  <c r="AD7" i="235"/>
  <c r="AA7" i="235"/>
  <c r="X7" i="235"/>
  <c r="U7" i="235"/>
  <c r="R7" i="235"/>
  <c r="Q7" i="235"/>
  <c r="N7" i="235"/>
  <c r="M7" i="235"/>
  <c r="J7" i="235"/>
  <c r="I7" i="235"/>
  <c r="F7" i="235"/>
  <c r="E7" i="235"/>
  <c r="AD6" i="235"/>
  <c r="AA6" i="235"/>
  <c r="X6" i="235"/>
  <c r="U6" i="235"/>
  <c r="R6" i="235"/>
  <c r="Q6" i="235"/>
  <c r="N6" i="235"/>
  <c r="M6" i="235"/>
  <c r="J6" i="235"/>
  <c r="I6" i="235"/>
  <c r="F6" i="235"/>
  <c r="E6" i="235"/>
  <c r="AD5" i="235"/>
  <c r="AA5" i="235"/>
  <c r="W5" i="235"/>
  <c r="X5" i="235" s="1"/>
  <c r="T5" i="235"/>
  <c r="U5" i="235" s="1"/>
  <c r="P5" i="235"/>
  <c r="R5" i="235" s="1"/>
  <c r="L5" i="235"/>
  <c r="M5" i="235" s="1"/>
  <c r="H5" i="235"/>
  <c r="J5" i="235" s="1"/>
  <c r="D5" i="235"/>
  <c r="D29" i="235" s="1"/>
  <c r="F29" i="235" s="1"/>
  <c r="CE41" i="234"/>
  <c r="CG41" i="234" s="1"/>
  <c r="BY41" i="234"/>
  <c r="CA41" i="234" s="1"/>
  <c r="BS41" i="234"/>
  <c r="BU41" i="234" s="1"/>
  <c r="BM41" i="234"/>
  <c r="BO41" i="234" s="1"/>
  <c r="BF41" i="234"/>
  <c r="BG41" i="234" s="1"/>
  <c r="BI41" i="234" s="1"/>
  <c r="CF39" i="234"/>
  <c r="CF11" i="234"/>
  <c r="CF18" i="234"/>
  <c r="CF25" i="234"/>
  <c r="CF32" i="234"/>
  <c r="CD39" i="234"/>
  <c r="CC39" i="234"/>
  <c r="BZ39" i="234"/>
  <c r="BX39" i="234"/>
  <c r="BW39" i="234"/>
  <c r="BT39" i="234"/>
  <c r="BR39" i="234"/>
  <c r="BQ39" i="234"/>
  <c r="BN39" i="234"/>
  <c r="BL39" i="234"/>
  <c r="BK39" i="234"/>
  <c r="BH39" i="234"/>
  <c r="BF39" i="234"/>
  <c r="BE39" i="234"/>
  <c r="CE38" i="234"/>
  <c r="CG38" i="234"/>
  <c r="BY38" i="234"/>
  <c r="BS38" i="234"/>
  <c r="BU38" i="234" s="1"/>
  <c r="BM38" i="234"/>
  <c r="BO38" i="234" s="1"/>
  <c r="BG38" i="234"/>
  <c r="BI38" i="234" s="1"/>
  <c r="CE37" i="234"/>
  <c r="CG37" i="234" s="1"/>
  <c r="BY37" i="234"/>
  <c r="CA37" i="234"/>
  <c r="BS37" i="234"/>
  <c r="BM37" i="234"/>
  <c r="BO37" i="234" s="1"/>
  <c r="BG37" i="234"/>
  <c r="CE36" i="234"/>
  <c r="BY36" i="234"/>
  <c r="CA36" i="234" s="1"/>
  <c r="BS36" i="234"/>
  <c r="BU36" i="234" s="1"/>
  <c r="BM36" i="234"/>
  <c r="BG36" i="234"/>
  <c r="BI36" i="234" s="1"/>
  <c r="CE35" i="234"/>
  <c r="CG35" i="234" s="1"/>
  <c r="BY35" i="234"/>
  <c r="CA35" i="234" s="1"/>
  <c r="BS35" i="234"/>
  <c r="BU35" i="234" s="1"/>
  <c r="BM35" i="234"/>
  <c r="BG35" i="234"/>
  <c r="BI35" i="234" s="1"/>
  <c r="CE34" i="234"/>
  <c r="CE39" i="234" s="1"/>
  <c r="BY34" i="234"/>
  <c r="BS34" i="234"/>
  <c r="BU34" i="234" s="1"/>
  <c r="BM34" i="234"/>
  <c r="BG34" i="234"/>
  <c r="CD32" i="234"/>
  <c r="CC32" i="234"/>
  <c r="BZ32" i="234"/>
  <c r="BX32" i="234"/>
  <c r="BW32" i="234"/>
  <c r="BT32" i="234"/>
  <c r="BR32" i="234"/>
  <c r="BQ32" i="234"/>
  <c r="BN32" i="234"/>
  <c r="BL32" i="234"/>
  <c r="BK32" i="234"/>
  <c r="BH32" i="234"/>
  <c r="BE32" i="234"/>
  <c r="CE31" i="234"/>
  <c r="BY31" i="234"/>
  <c r="BS31" i="234"/>
  <c r="BM31" i="234"/>
  <c r="BG31" i="234"/>
  <c r="CE30" i="234"/>
  <c r="CG30" i="234" s="1"/>
  <c r="BY30" i="234"/>
  <c r="CA30" i="234" s="1"/>
  <c r="BS30" i="234"/>
  <c r="BM30" i="234"/>
  <c r="BO30" i="234" s="1"/>
  <c r="BF30" i="234"/>
  <c r="BG30" i="234" s="1"/>
  <c r="CE29" i="234"/>
  <c r="BY29" i="234"/>
  <c r="BS29" i="234"/>
  <c r="BM29" i="234"/>
  <c r="BM32" i="234" s="1"/>
  <c r="BO32" i="234" s="1"/>
  <c r="BG29" i="234"/>
  <c r="CE28" i="234"/>
  <c r="BY28" i="234"/>
  <c r="BS28" i="234"/>
  <c r="BM28" i="234"/>
  <c r="BG28" i="234"/>
  <c r="CE27" i="234"/>
  <c r="BY27" i="234"/>
  <c r="BS27" i="234"/>
  <c r="BM27" i="234"/>
  <c r="BG27" i="234"/>
  <c r="BG32" i="234" s="1"/>
  <c r="BI32" i="234" s="1"/>
  <c r="CD25" i="234"/>
  <c r="CC25" i="234"/>
  <c r="BZ25" i="234"/>
  <c r="BX25" i="234"/>
  <c r="BW25" i="234"/>
  <c r="BT25" i="234"/>
  <c r="BR25" i="234"/>
  <c r="BQ25" i="234"/>
  <c r="BN25" i="234"/>
  <c r="BL25" i="234"/>
  <c r="BK25" i="234"/>
  <c r="BH25" i="234"/>
  <c r="BE25" i="234"/>
  <c r="CE24" i="234"/>
  <c r="CG24" i="234" s="1"/>
  <c r="BY24" i="234"/>
  <c r="CA24" i="234"/>
  <c r="BS24" i="234"/>
  <c r="BU24" i="234" s="1"/>
  <c r="BM24" i="234"/>
  <c r="BO24" i="234" s="1"/>
  <c r="BG24" i="234"/>
  <c r="BI24" i="234" s="1"/>
  <c r="CE23" i="234"/>
  <c r="CG23" i="234" s="1"/>
  <c r="BY23" i="234"/>
  <c r="CA23" i="234" s="1"/>
  <c r="BS23" i="234"/>
  <c r="BU23" i="234" s="1"/>
  <c r="BM23" i="234"/>
  <c r="BO23" i="234" s="1"/>
  <c r="BG23" i="234"/>
  <c r="BI23" i="234" s="1"/>
  <c r="CE22" i="234"/>
  <c r="CG22" i="234" s="1"/>
  <c r="BY22" i="234"/>
  <c r="BS22" i="234"/>
  <c r="BU22" i="234" s="1"/>
  <c r="BM22" i="234"/>
  <c r="BO22" i="234" s="1"/>
  <c r="BF22" i="234"/>
  <c r="BG22" i="234" s="1"/>
  <c r="BI22" i="234" s="1"/>
  <c r="CE21" i="234"/>
  <c r="CG21" i="234" s="1"/>
  <c r="CE20" i="234"/>
  <c r="BY21" i="234"/>
  <c r="BS21" i="234"/>
  <c r="BU21" i="234" s="1"/>
  <c r="BM21" i="234"/>
  <c r="BG21" i="234"/>
  <c r="BI21" i="234" s="1"/>
  <c r="BY20" i="234"/>
  <c r="CA20" i="234" s="1"/>
  <c r="BS20" i="234"/>
  <c r="BU20" i="234" s="1"/>
  <c r="BM20" i="234"/>
  <c r="BG20" i="234"/>
  <c r="CD18" i="234"/>
  <c r="CC18" i="234"/>
  <c r="BZ18" i="234"/>
  <c r="BX18" i="234"/>
  <c r="BW18" i="234"/>
  <c r="BW11" i="234"/>
  <c r="BT18" i="234"/>
  <c r="BR18" i="234"/>
  <c r="BQ18" i="234"/>
  <c r="BN18" i="234"/>
  <c r="BM13" i="234"/>
  <c r="BM14" i="234"/>
  <c r="BM15" i="234"/>
  <c r="BO15" i="234" s="1"/>
  <c r="BM16" i="234"/>
  <c r="BO16" i="234" s="1"/>
  <c r="BM17" i="234"/>
  <c r="BO17" i="234" s="1"/>
  <c r="BL18" i="234"/>
  <c r="BK18" i="234"/>
  <c r="BH18" i="234"/>
  <c r="BF18" i="234"/>
  <c r="BE18" i="234"/>
  <c r="CE17" i="234"/>
  <c r="CG17" i="234" s="1"/>
  <c r="BY17" i="234"/>
  <c r="CA17" i="234" s="1"/>
  <c r="BS17" i="234"/>
  <c r="BU17" i="234" s="1"/>
  <c r="BG17" i="234"/>
  <c r="BI17" i="234" s="1"/>
  <c r="CE16" i="234"/>
  <c r="CG16" i="234" s="1"/>
  <c r="BY16" i="234"/>
  <c r="CA16" i="234" s="1"/>
  <c r="BS16" i="234"/>
  <c r="BU16" i="234" s="1"/>
  <c r="BG16" i="234"/>
  <c r="BI16" i="234" s="1"/>
  <c r="CE15" i="234"/>
  <c r="CG15" i="234" s="1"/>
  <c r="BY15" i="234"/>
  <c r="CA15" i="234" s="1"/>
  <c r="BS15" i="234"/>
  <c r="BU15" i="234" s="1"/>
  <c r="BG15" i="234"/>
  <c r="BI15" i="234" s="1"/>
  <c r="CE14" i="234"/>
  <c r="CG14" i="234" s="1"/>
  <c r="BY14" i="234"/>
  <c r="CA14" i="234" s="1"/>
  <c r="BS14" i="234"/>
  <c r="BU14" i="234" s="1"/>
  <c r="BG14" i="234"/>
  <c r="CE13" i="234"/>
  <c r="BY13" i="234"/>
  <c r="CA13" i="234" s="1"/>
  <c r="BS13" i="234"/>
  <c r="BG13" i="234"/>
  <c r="BI13" i="234" s="1"/>
  <c r="CD11" i="234"/>
  <c r="CD43" i="234" s="1"/>
  <c r="CC11" i="234"/>
  <c r="BZ11" i="234"/>
  <c r="BX11" i="234"/>
  <c r="BT11" i="234"/>
  <c r="BR11" i="234"/>
  <c r="BQ11" i="234"/>
  <c r="BN11" i="234"/>
  <c r="BN43" i="234" s="1"/>
  <c r="BL11" i="234"/>
  <c r="BK11" i="234"/>
  <c r="BH11" i="234"/>
  <c r="BE11" i="234"/>
  <c r="CE10" i="234"/>
  <c r="CG10" i="234" s="1"/>
  <c r="BY10" i="234"/>
  <c r="CA10" i="234" s="1"/>
  <c r="BS10" i="234"/>
  <c r="BU10" i="234" s="1"/>
  <c r="BM10" i="234"/>
  <c r="BO10" i="234" s="1"/>
  <c r="BG10" i="234"/>
  <c r="BI10" i="234" s="1"/>
  <c r="CE9" i="234"/>
  <c r="CG9" i="234" s="1"/>
  <c r="BY9" i="234"/>
  <c r="BS9" i="234"/>
  <c r="BU9" i="234" s="1"/>
  <c r="BM9" i="234"/>
  <c r="BO9" i="234" s="1"/>
  <c r="BF9" i="234"/>
  <c r="BG9" i="234" s="1"/>
  <c r="BI9" i="234" s="1"/>
  <c r="CE8" i="234"/>
  <c r="BY8" i="234"/>
  <c r="BS8" i="234"/>
  <c r="BM8" i="234"/>
  <c r="BO8" i="234" s="1"/>
  <c r="BF8" i="234"/>
  <c r="BG8" i="234" s="1"/>
  <c r="CE7" i="234"/>
  <c r="CG7" i="234" s="1"/>
  <c r="BY7" i="234"/>
  <c r="CA7" i="234" s="1"/>
  <c r="BS7" i="234"/>
  <c r="BU7" i="234" s="1"/>
  <c r="BM7" i="234"/>
  <c r="BF7" i="234"/>
  <c r="BG7" i="234" s="1"/>
  <c r="CE6" i="234"/>
  <c r="CG6" i="234"/>
  <c r="BY6" i="234"/>
  <c r="CA6" i="234" s="1"/>
  <c r="BS6" i="234"/>
  <c r="BU6" i="234" s="1"/>
  <c r="BM6" i="234"/>
  <c r="BO6" i="234" s="1"/>
  <c r="BF6" i="234"/>
  <c r="BF41" i="233"/>
  <c r="BB41" i="233"/>
  <c r="AX41" i="233"/>
  <c r="AT41" i="233"/>
  <c r="AP41" i="233"/>
  <c r="BE39" i="233"/>
  <c r="BD39" i="233"/>
  <c r="BD11" i="233"/>
  <c r="BD18" i="233"/>
  <c r="BD25" i="233"/>
  <c r="BD32" i="233"/>
  <c r="BF32" i="233" s="1"/>
  <c r="BE11" i="233"/>
  <c r="BE43" i="233" s="1"/>
  <c r="BE18" i="233"/>
  <c r="BE25" i="233"/>
  <c r="BE32" i="233"/>
  <c r="BA39" i="233"/>
  <c r="AZ39" i="233"/>
  <c r="AW39" i="233"/>
  <c r="AV39" i="233"/>
  <c r="AX39" i="233" s="1"/>
  <c r="AS39" i="233"/>
  <c r="AS43" i="233" s="1"/>
  <c r="AR39" i="233"/>
  <c r="AN39" i="233"/>
  <c r="AP39" i="233" s="1"/>
  <c r="BF38" i="233"/>
  <c r="BB38" i="233"/>
  <c r="AX38" i="233"/>
  <c r="AT38" i="233"/>
  <c r="AP38" i="233"/>
  <c r="BF37" i="233"/>
  <c r="BB37" i="233"/>
  <c r="AX37" i="233"/>
  <c r="AT37" i="233"/>
  <c r="AP37" i="233"/>
  <c r="BF36" i="233"/>
  <c r="BB36" i="233"/>
  <c r="AX36" i="233"/>
  <c r="AT36" i="233"/>
  <c r="AP36" i="233"/>
  <c r="BF35" i="233"/>
  <c r="BB35" i="233"/>
  <c r="AX35" i="233"/>
  <c r="AT35" i="233"/>
  <c r="AP35" i="233"/>
  <c r="BF34" i="233"/>
  <c r="BB34" i="233"/>
  <c r="AX34" i="233"/>
  <c r="AT34" i="233"/>
  <c r="AP34" i="233"/>
  <c r="BA32" i="233"/>
  <c r="BB32" i="233"/>
  <c r="AZ32" i="233"/>
  <c r="AW32" i="233"/>
  <c r="AV32" i="233"/>
  <c r="AX32" i="233" s="1"/>
  <c r="AS32" i="233"/>
  <c r="AR32" i="233"/>
  <c r="AN32" i="233"/>
  <c r="BF31" i="233"/>
  <c r="BB31" i="233"/>
  <c r="AX31" i="233"/>
  <c r="AT31" i="233"/>
  <c r="AP31" i="233"/>
  <c r="BF30" i="233"/>
  <c r="BB30" i="233"/>
  <c r="AX30" i="233"/>
  <c r="AT30" i="233"/>
  <c r="AP30" i="233"/>
  <c r="BF29" i="233"/>
  <c r="BB29" i="233"/>
  <c r="AX29" i="233"/>
  <c r="AT29" i="233"/>
  <c r="AP29" i="233"/>
  <c r="BF28" i="233"/>
  <c r="BB28" i="233"/>
  <c r="AX28" i="233"/>
  <c r="AT28" i="233"/>
  <c r="AP28" i="233"/>
  <c r="BF27" i="233"/>
  <c r="BB27" i="233"/>
  <c r="AX27" i="233"/>
  <c r="AT27" i="233"/>
  <c r="AP27" i="233"/>
  <c r="BA25" i="233"/>
  <c r="AZ25" i="233"/>
  <c r="AW25" i="233"/>
  <c r="AV25" i="233"/>
  <c r="AX25" i="233" s="1"/>
  <c r="AS25" i="233"/>
  <c r="AR25" i="233"/>
  <c r="AO25" i="233"/>
  <c r="AN25" i="233"/>
  <c r="BF24" i="233"/>
  <c r="BB24" i="233"/>
  <c r="AX24" i="233"/>
  <c r="AT24" i="233"/>
  <c r="AP24" i="233"/>
  <c r="BF23" i="233"/>
  <c r="BB23" i="233"/>
  <c r="AX23" i="233"/>
  <c r="AT23" i="233"/>
  <c r="AP23" i="233"/>
  <c r="BF22" i="233"/>
  <c r="BB22" i="233"/>
  <c r="AX22" i="233"/>
  <c r="AT22" i="233"/>
  <c r="AP22" i="233"/>
  <c r="BF21" i="233"/>
  <c r="BB21" i="233"/>
  <c r="AX21" i="233"/>
  <c r="AT21" i="233"/>
  <c r="AP21" i="233"/>
  <c r="BF20" i="233"/>
  <c r="BB20" i="233"/>
  <c r="AX20" i="233"/>
  <c r="AT20" i="233"/>
  <c r="AP20" i="233"/>
  <c r="BA18" i="233"/>
  <c r="AZ18" i="233"/>
  <c r="BB18" i="233" s="1"/>
  <c r="AW18" i="233"/>
  <c r="AX18" i="233" s="1"/>
  <c r="AV18" i="233"/>
  <c r="AS18" i="233"/>
  <c r="AR18" i="233"/>
  <c r="AO18" i="233"/>
  <c r="AN18" i="233"/>
  <c r="BF17" i="233"/>
  <c r="BB17" i="233"/>
  <c r="AX17" i="233"/>
  <c r="AT17" i="233"/>
  <c r="AP17" i="233"/>
  <c r="BF16" i="233"/>
  <c r="BB16" i="233"/>
  <c r="AX16" i="233"/>
  <c r="AT16" i="233"/>
  <c r="AP16" i="233"/>
  <c r="BF15" i="233"/>
  <c r="BB15" i="233"/>
  <c r="AX15" i="233"/>
  <c r="AT15" i="233"/>
  <c r="AP15" i="233"/>
  <c r="BF14" i="233"/>
  <c r="BB14" i="233"/>
  <c r="AX14" i="233"/>
  <c r="AT14" i="233"/>
  <c r="AP14" i="233"/>
  <c r="BF13" i="233"/>
  <c r="BB13" i="233"/>
  <c r="AX13" i="233"/>
  <c r="AT13" i="233"/>
  <c r="AP13" i="233"/>
  <c r="BA11" i="233"/>
  <c r="AZ11" i="233"/>
  <c r="BB11" i="233" s="1"/>
  <c r="AW11" i="233"/>
  <c r="AV11" i="233"/>
  <c r="AS11" i="233"/>
  <c r="AR11" i="233"/>
  <c r="AO11" i="233"/>
  <c r="AN11" i="233"/>
  <c r="BF10" i="233"/>
  <c r="BB10" i="233"/>
  <c r="AX10" i="233"/>
  <c r="AT10" i="233"/>
  <c r="AP10" i="233"/>
  <c r="BF9" i="233"/>
  <c r="BB9" i="233"/>
  <c r="AX9" i="233"/>
  <c r="AT9" i="233"/>
  <c r="AP9" i="233"/>
  <c r="BF8" i="233"/>
  <c r="BB8" i="233"/>
  <c r="AX8" i="233"/>
  <c r="AT8" i="233"/>
  <c r="AP8" i="233"/>
  <c r="BF7" i="233"/>
  <c r="BB7" i="233"/>
  <c r="AX7" i="233"/>
  <c r="AT7" i="233"/>
  <c r="AP7" i="233"/>
  <c r="BF6" i="233"/>
  <c r="BB6" i="233"/>
  <c r="AX6" i="233"/>
  <c r="AT6" i="233"/>
  <c r="AP6" i="233"/>
  <c r="I295" i="232"/>
  <c r="H295" i="232"/>
  <c r="J295" i="232" s="1"/>
  <c r="E295" i="232"/>
  <c r="J293" i="232"/>
  <c r="C293" i="232"/>
  <c r="F293" i="232" s="1"/>
  <c r="J291" i="232"/>
  <c r="D291" i="232"/>
  <c r="D295" i="232" s="1"/>
  <c r="C291" i="232"/>
  <c r="J289" i="232"/>
  <c r="C289" i="232"/>
  <c r="F289" i="232" s="1"/>
  <c r="L289" i="232" s="1"/>
  <c r="J287" i="232"/>
  <c r="C287" i="232"/>
  <c r="F287" i="232" s="1"/>
  <c r="J285" i="232"/>
  <c r="C285" i="232"/>
  <c r="J283" i="232"/>
  <c r="C283" i="232"/>
  <c r="F283" i="232" s="1"/>
  <c r="I273" i="232"/>
  <c r="H273" i="232"/>
  <c r="E273" i="232"/>
  <c r="D273" i="232"/>
  <c r="J271" i="232"/>
  <c r="C271" i="232"/>
  <c r="F271" i="232" s="1"/>
  <c r="J269" i="232"/>
  <c r="F269" i="232"/>
  <c r="J267" i="232"/>
  <c r="F267" i="232"/>
  <c r="J265" i="232"/>
  <c r="F265" i="232"/>
  <c r="J263" i="232"/>
  <c r="F263" i="232"/>
  <c r="J261" i="232"/>
  <c r="F261" i="232"/>
  <c r="I252" i="232"/>
  <c r="H252" i="232"/>
  <c r="E252" i="232"/>
  <c r="D252" i="232"/>
  <c r="C252" i="232"/>
  <c r="J250" i="232"/>
  <c r="F250" i="232"/>
  <c r="L250" i="232" s="1"/>
  <c r="G143" i="231"/>
  <c r="J248" i="232"/>
  <c r="G142" i="231"/>
  <c r="F248" i="232"/>
  <c r="J246" i="232"/>
  <c r="F246" i="232"/>
  <c r="J244" i="232"/>
  <c r="F244" i="232"/>
  <c r="G140" i="231"/>
  <c r="J242" i="232"/>
  <c r="F242" i="232"/>
  <c r="J240" i="232"/>
  <c r="F240" i="232"/>
  <c r="I231" i="232"/>
  <c r="H231" i="232"/>
  <c r="E231" i="232"/>
  <c r="D231" i="232"/>
  <c r="J229" i="232"/>
  <c r="F229" i="232"/>
  <c r="L229" i="232" s="1"/>
  <c r="J227" i="232"/>
  <c r="C227" i="232"/>
  <c r="F227" i="232" s="1"/>
  <c r="J225" i="232"/>
  <c r="C225" i="232"/>
  <c r="J223" i="232"/>
  <c r="C223" i="232"/>
  <c r="F223" i="232" s="1"/>
  <c r="J221" i="232"/>
  <c r="C221" i="232"/>
  <c r="F221" i="232" s="1"/>
  <c r="L221" i="232" s="1"/>
  <c r="J219" i="232"/>
  <c r="C219" i="232"/>
  <c r="F219" i="232" s="1"/>
  <c r="I211" i="232"/>
  <c r="H211" i="232"/>
  <c r="E211" i="232"/>
  <c r="D211" i="232"/>
  <c r="C211" i="232"/>
  <c r="J209" i="232"/>
  <c r="F209" i="232"/>
  <c r="J207" i="232"/>
  <c r="F207" i="232"/>
  <c r="J205" i="232"/>
  <c r="G117" i="231"/>
  <c r="F205" i="232"/>
  <c r="J203" i="232"/>
  <c r="F203" i="232"/>
  <c r="J201" i="232"/>
  <c r="G115" i="231"/>
  <c r="F201" i="232"/>
  <c r="J199" i="232"/>
  <c r="G114" i="231"/>
  <c r="F199" i="232"/>
  <c r="F169" i="231"/>
  <c r="B169" i="231"/>
  <c r="G168" i="231"/>
  <c r="G167" i="231"/>
  <c r="G166" i="231"/>
  <c r="G165" i="231"/>
  <c r="G164" i="231"/>
  <c r="G163" i="231"/>
  <c r="F156" i="231"/>
  <c r="D156" i="231"/>
  <c r="C156" i="231"/>
  <c r="B156" i="231"/>
  <c r="G155" i="231"/>
  <c r="G154" i="231"/>
  <c r="E154" i="231"/>
  <c r="G153" i="231"/>
  <c r="E153" i="231"/>
  <c r="G152" i="231"/>
  <c r="E152" i="231"/>
  <c r="G151" i="231"/>
  <c r="G150" i="231"/>
  <c r="D144" i="231"/>
  <c r="C144" i="231"/>
  <c r="E143" i="231"/>
  <c r="E142" i="231"/>
  <c r="G141" i="231"/>
  <c r="E141" i="231"/>
  <c r="E140" i="231"/>
  <c r="G139" i="231"/>
  <c r="E139" i="231"/>
  <c r="E138" i="231"/>
  <c r="B144" i="231"/>
  <c r="G131" i="231"/>
  <c r="D120" i="231"/>
  <c r="C120" i="231"/>
  <c r="B120" i="231"/>
  <c r="G119" i="231"/>
  <c r="G118" i="231"/>
  <c r="E117" i="231"/>
  <c r="G116" i="231"/>
  <c r="E116" i="231"/>
  <c r="E115" i="231"/>
  <c r="E114" i="231"/>
  <c r="D8" i="230"/>
  <c r="B8" i="230"/>
  <c r="E7" i="230"/>
  <c r="F6" i="230"/>
  <c r="F8" i="230" s="1"/>
  <c r="E6" i="230"/>
  <c r="E8" i="230" s="1"/>
  <c r="C6" i="230"/>
  <c r="C8" i="230" s="1"/>
  <c r="F18" i="224"/>
  <c r="F15" i="224"/>
  <c r="F12" i="224"/>
  <c r="AC36" i="223"/>
  <c r="AB36" i="223"/>
  <c r="AA36" i="223"/>
  <c r="W36" i="223"/>
  <c r="V36" i="223"/>
  <c r="U36" i="223"/>
  <c r="Q36" i="223"/>
  <c r="P36" i="223"/>
  <c r="O36" i="223"/>
  <c r="O31" i="223"/>
  <c r="O32" i="223"/>
  <c r="O33" i="223"/>
  <c r="O34" i="223"/>
  <c r="O35" i="223"/>
  <c r="K36" i="223"/>
  <c r="J36" i="223"/>
  <c r="I36" i="223"/>
  <c r="E36" i="223"/>
  <c r="D36" i="223"/>
  <c r="C36" i="223"/>
  <c r="AC35" i="223"/>
  <c r="AC31" i="223"/>
  <c r="AC32" i="223"/>
  <c r="AC33" i="223"/>
  <c r="AC34" i="223"/>
  <c r="AB35" i="223"/>
  <c r="AA35" i="223"/>
  <c r="W35" i="223"/>
  <c r="V35" i="223"/>
  <c r="U35" i="223"/>
  <c r="Q35" i="223"/>
  <c r="P35" i="223"/>
  <c r="K35" i="223"/>
  <c r="J35" i="223"/>
  <c r="I35" i="223"/>
  <c r="L12" i="223"/>
  <c r="E35" i="223"/>
  <c r="D35" i="223"/>
  <c r="C35" i="223"/>
  <c r="AB34" i="223"/>
  <c r="AB31" i="223"/>
  <c r="AB37" i="223" s="1"/>
  <c r="AB32" i="223"/>
  <c r="AB33" i="223"/>
  <c r="AA34" i="223"/>
  <c r="W34" i="223"/>
  <c r="V34" i="223"/>
  <c r="U34" i="223"/>
  <c r="Q34" i="223"/>
  <c r="P34" i="223"/>
  <c r="P37" i="223" s="1"/>
  <c r="K34" i="223"/>
  <c r="J34" i="223"/>
  <c r="I34" i="223"/>
  <c r="E34" i="223"/>
  <c r="D34" i="223"/>
  <c r="C34" i="223"/>
  <c r="AA33" i="223"/>
  <c r="W33" i="223"/>
  <c r="W37" i="223" s="1"/>
  <c r="V33" i="223"/>
  <c r="U33" i="223"/>
  <c r="Q33" i="223"/>
  <c r="P33" i="223"/>
  <c r="K33" i="223"/>
  <c r="J33" i="223"/>
  <c r="I33" i="223"/>
  <c r="E33" i="223"/>
  <c r="E37" i="223" s="1"/>
  <c r="D33" i="223"/>
  <c r="C33" i="223"/>
  <c r="C31" i="223"/>
  <c r="C32" i="223"/>
  <c r="AA32" i="223"/>
  <c r="W32" i="223"/>
  <c r="V32" i="223"/>
  <c r="U32" i="223"/>
  <c r="U37" i="223" s="1"/>
  <c r="Q32" i="223"/>
  <c r="P32" i="223"/>
  <c r="K32" i="223"/>
  <c r="J32" i="223"/>
  <c r="I32" i="223"/>
  <c r="E32" i="223"/>
  <c r="D32" i="223"/>
  <c r="AA31" i="223"/>
  <c r="W31" i="223"/>
  <c r="V31" i="223"/>
  <c r="U31" i="223"/>
  <c r="Q31" i="223"/>
  <c r="P31" i="223"/>
  <c r="K31" i="223"/>
  <c r="J31" i="223"/>
  <c r="I31" i="223"/>
  <c r="E31" i="223"/>
  <c r="D31" i="223"/>
  <c r="D37" i="223" s="1"/>
  <c r="AC29" i="223"/>
  <c r="AB29" i="223"/>
  <c r="AA29" i="223"/>
  <c r="W29" i="223"/>
  <c r="V29" i="223"/>
  <c r="U29" i="223"/>
  <c r="Y29" i="223" s="1"/>
  <c r="Q29" i="223"/>
  <c r="P29" i="223"/>
  <c r="O29" i="223"/>
  <c r="K29" i="223"/>
  <c r="J29" i="223"/>
  <c r="I29" i="223"/>
  <c r="E29" i="223"/>
  <c r="D29" i="223"/>
  <c r="C29" i="223"/>
  <c r="AD28" i="223"/>
  <c r="X28" i="223"/>
  <c r="Y28" i="223" s="1"/>
  <c r="R28" i="223"/>
  <c r="S28" i="223"/>
  <c r="L28" i="223"/>
  <c r="M28" i="223"/>
  <c r="F28" i="223"/>
  <c r="G28" i="223" s="1"/>
  <c r="AD27" i="223"/>
  <c r="AE27" i="223"/>
  <c r="X27" i="223"/>
  <c r="Y27" i="223" s="1"/>
  <c r="R27" i="223"/>
  <c r="S27" i="223"/>
  <c r="L27" i="223"/>
  <c r="M27" i="223"/>
  <c r="F27" i="223"/>
  <c r="G27" i="223" s="1"/>
  <c r="AD26" i="223"/>
  <c r="AE26" i="223"/>
  <c r="X26" i="223"/>
  <c r="Y26" i="223"/>
  <c r="R26" i="223"/>
  <c r="R29" i="223" s="1"/>
  <c r="S29" i="223" s="1"/>
  <c r="L26" i="223"/>
  <c r="M26" i="223"/>
  <c r="F26" i="223"/>
  <c r="AC19" i="223"/>
  <c r="AB19" i="223"/>
  <c r="AA19" i="223"/>
  <c r="W19" i="223"/>
  <c r="V19" i="223"/>
  <c r="U19" i="223"/>
  <c r="Q19" i="223"/>
  <c r="P19" i="223"/>
  <c r="O19" i="223"/>
  <c r="K19" i="223"/>
  <c r="J19" i="223"/>
  <c r="I19" i="223"/>
  <c r="E19" i="223"/>
  <c r="D19" i="223"/>
  <c r="C19" i="223"/>
  <c r="AD18" i="223"/>
  <c r="X18" i="223"/>
  <c r="R18" i="223"/>
  <c r="R33" i="223" s="1"/>
  <c r="S33" i="223" s="1"/>
  <c r="L18" i="223"/>
  <c r="L33" i="223" s="1"/>
  <c r="F18" i="223"/>
  <c r="F33" i="223" s="1"/>
  <c r="AD17" i="223"/>
  <c r="AE17" i="223"/>
  <c r="X17" i="223"/>
  <c r="Y17" i="223"/>
  <c r="R17" i="223"/>
  <c r="R7" i="223"/>
  <c r="R11" i="223"/>
  <c r="L17" i="223"/>
  <c r="F17" i="223"/>
  <c r="AD16" i="223"/>
  <c r="AE16" i="223" s="1"/>
  <c r="X16" i="223"/>
  <c r="R16" i="223"/>
  <c r="R19" i="223" s="1"/>
  <c r="S19" i="223" s="1"/>
  <c r="L16" i="223"/>
  <c r="M16" i="223" s="1"/>
  <c r="F16" i="223"/>
  <c r="AC14" i="223"/>
  <c r="AB14" i="223"/>
  <c r="AA14" i="223"/>
  <c r="AD11" i="223"/>
  <c r="AE11" i="223"/>
  <c r="AD12" i="223"/>
  <c r="AD13" i="223"/>
  <c r="AE13" i="223" s="1"/>
  <c r="W14" i="223"/>
  <c r="V14" i="223"/>
  <c r="U14" i="223"/>
  <c r="Q14" i="223"/>
  <c r="P14" i="223"/>
  <c r="O14" i="223"/>
  <c r="S14" i="223" s="1"/>
  <c r="K14" i="223"/>
  <c r="J14" i="223"/>
  <c r="I14" i="223"/>
  <c r="E14" i="223"/>
  <c r="D14" i="223"/>
  <c r="C14" i="223"/>
  <c r="G14" i="223" s="1"/>
  <c r="X13" i="223"/>
  <c r="Y13" i="223"/>
  <c r="R13" i="223"/>
  <c r="S13" i="223"/>
  <c r="L13" i="223"/>
  <c r="M13" i="223" s="1"/>
  <c r="F13" i="223"/>
  <c r="F36" i="223"/>
  <c r="X12" i="223"/>
  <c r="Y12" i="223" s="1"/>
  <c r="R12" i="223"/>
  <c r="S12" i="223"/>
  <c r="F12" i="223"/>
  <c r="G12" i="223" s="1"/>
  <c r="X11" i="223"/>
  <c r="L11" i="223"/>
  <c r="M11" i="223"/>
  <c r="F11" i="223"/>
  <c r="F14" i="223" s="1"/>
  <c r="AC9" i="223"/>
  <c r="AA9" i="223"/>
  <c r="AB9" i="223"/>
  <c r="W9" i="223"/>
  <c r="X9" i="223" s="1"/>
  <c r="Y9" i="223" s="1"/>
  <c r="V9" i="223"/>
  <c r="U9" i="223"/>
  <c r="Q9" i="223"/>
  <c r="O9" i="223"/>
  <c r="P9" i="223"/>
  <c r="K9" i="223"/>
  <c r="L9" i="223" s="1"/>
  <c r="M9" i="223" s="1"/>
  <c r="J9" i="223"/>
  <c r="I9" i="223"/>
  <c r="E9" i="223"/>
  <c r="D9" i="223"/>
  <c r="C9" i="223"/>
  <c r="AD8" i="223"/>
  <c r="X8" i="223"/>
  <c r="R8" i="223"/>
  <c r="R34" i="223" s="1"/>
  <c r="S34" i="223" s="1"/>
  <c r="L8" i="223"/>
  <c r="M8" i="223" s="1"/>
  <c r="F8" i="223"/>
  <c r="G8" i="223" s="1"/>
  <c r="AD7" i="223"/>
  <c r="AD32" i="223" s="1"/>
  <c r="AE32" i="223" s="1"/>
  <c r="X7" i="223"/>
  <c r="X32" i="223" s="1"/>
  <c r="Y7" i="223"/>
  <c r="L7" i="223"/>
  <c r="M7" i="223"/>
  <c r="F7" i="223"/>
  <c r="G7" i="223" s="1"/>
  <c r="AD6" i="223"/>
  <c r="X6" i="223"/>
  <c r="R6" i="223"/>
  <c r="S6" i="223"/>
  <c r="L6" i="223"/>
  <c r="F6" i="223"/>
  <c r="Q82" i="222"/>
  <c r="R82" i="222" s="1"/>
  <c r="P82" i="222"/>
  <c r="M82" i="222"/>
  <c r="L82" i="222"/>
  <c r="I82" i="222"/>
  <c r="J82" i="222"/>
  <c r="H82" i="222"/>
  <c r="E82" i="222"/>
  <c r="D82" i="222"/>
  <c r="Q77" i="222"/>
  <c r="P77" i="222"/>
  <c r="P83" i="222" s="1"/>
  <c r="M77" i="222"/>
  <c r="L77" i="222"/>
  <c r="I77" i="222"/>
  <c r="J77" i="222" s="1"/>
  <c r="H77" i="222"/>
  <c r="E77" i="222"/>
  <c r="F77" i="222" s="1"/>
  <c r="D77" i="222"/>
  <c r="Q72" i="222"/>
  <c r="P72" i="222"/>
  <c r="R72" i="222" s="1"/>
  <c r="M72" i="222"/>
  <c r="L72" i="222"/>
  <c r="I72" i="222"/>
  <c r="J72" i="222" s="1"/>
  <c r="H72" i="222"/>
  <c r="E72" i="222"/>
  <c r="F72" i="222"/>
  <c r="D72" i="222"/>
  <c r="D83" i="222" s="1"/>
  <c r="Q66" i="222"/>
  <c r="P66" i="222"/>
  <c r="M66" i="222"/>
  <c r="N66" i="222" s="1"/>
  <c r="L66" i="222"/>
  <c r="I66" i="222"/>
  <c r="H66" i="222"/>
  <c r="E66" i="222"/>
  <c r="E67" i="222" s="1"/>
  <c r="D66" i="222"/>
  <c r="Q62" i="222"/>
  <c r="P62" i="222"/>
  <c r="M62" i="222"/>
  <c r="L62" i="222"/>
  <c r="I62" i="222"/>
  <c r="H62" i="222"/>
  <c r="H58" i="222"/>
  <c r="J58" i="222" s="1"/>
  <c r="E62" i="222"/>
  <c r="D62" i="222"/>
  <c r="Q58" i="222"/>
  <c r="P58" i="222"/>
  <c r="M58" i="222"/>
  <c r="N58" i="222" s="1"/>
  <c r="L58" i="222"/>
  <c r="I58" i="222"/>
  <c r="E58" i="222"/>
  <c r="F58" i="222" s="1"/>
  <c r="D58" i="222"/>
  <c r="Q53" i="222"/>
  <c r="R53" i="222" s="1"/>
  <c r="Q48" i="222"/>
  <c r="Q42" i="222"/>
  <c r="R42" i="222" s="1"/>
  <c r="P53" i="222"/>
  <c r="M53" i="222"/>
  <c r="L53" i="222"/>
  <c r="I53" i="222"/>
  <c r="J53" i="222" s="1"/>
  <c r="H53" i="222"/>
  <c r="E53" i="222"/>
  <c r="D53" i="222"/>
  <c r="P48" i="222"/>
  <c r="M48" i="222"/>
  <c r="L48" i="222"/>
  <c r="N48" i="222" s="1"/>
  <c r="I48" i="222"/>
  <c r="J48" i="222" s="1"/>
  <c r="H48" i="222"/>
  <c r="E48" i="222"/>
  <c r="D48" i="222"/>
  <c r="P42" i="222"/>
  <c r="M42" i="222"/>
  <c r="L42" i="222"/>
  <c r="I42" i="222"/>
  <c r="J42" i="222" s="1"/>
  <c r="H42" i="222"/>
  <c r="E42" i="222"/>
  <c r="D42" i="222"/>
  <c r="Q35" i="222"/>
  <c r="P35" i="222"/>
  <c r="M35" i="222"/>
  <c r="L35" i="222"/>
  <c r="I35" i="222"/>
  <c r="I36" i="222" s="1"/>
  <c r="H35" i="222"/>
  <c r="E35" i="222"/>
  <c r="D35" i="222"/>
  <c r="Q31" i="222"/>
  <c r="P31" i="222"/>
  <c r="M31" i="222"/>
  <c r="L31" i="222"/>
  <c r="L36" i="222" s="1"/>
  <c r="I31" i="222"/>
  <c r="H31" i="222"/>
  <c r="E31" i="222"/>
  <c r="D31" i="222"/>
  <c r="Q27" i="222"/>
  <c r="P27" i="222"/>
  <c r="M27" i="222"/>
  <c r="L27" i="222"/>
  <c r="N27" i="222" s="1"/>
  <c r="I27" i="222"/>
  <c r="H27" i="222"/>
  <c r="E27" i="222"/>
  <c r="D27" i="222"/>
  <c r="Q22" i="222"/>
  <c r="P22" i="222"/>
  <c r="R22" i="222" s="1"/>
  <c r="M22" i="222"/>
  <c r="L22" i="222"/>
  <c r="I22" i="222"/>
  <c r="H22" i="222"/>
  <c r="E22" i="222"/>
  <c r="D22" i="222"/>
  <c r="Q16" i="222"/>
  <c r="R16" i="222"/>
  <c r="P16" i="222"/>
  <c r="M16" i="222"/>
  <c r="N16" i="222" s="1"/>
  <c r="L16" i="222"/>
  <c r="I16" i="222"/>
  <c r="H16" i="222"/>
  <c r="E16" i="222"/>
  <c r="D16" i="222"/>
  <c r="Q10" i="222"/>
  <c r="R10" i="222" s="1"/>
  <c r="P10" i="222"/>
  <c r="M10" i="222"/>
  <c r="N10" i="222" s="1"/>
  <c r="L10" i="222"/>
  <c r="I10" i="222"/>
  <c r="H10" i="222"/>
  <c r="E10" i="222"/>
  <c r="D10" i="222"/>
  <c r="P84" i="221"/>
  <c r="L84" i="221"/>
  <c r="I84" i="221"/>
  <c r="J84" i="221" s="1"/>
  <c r="H84" i="221"/>
  <c r="E84" i="221"/>
  <c r="N82" i="221"/>
  <c r="J82" i="221"/>
  <c r="U81" i="221"/>
  <c r="T81" i="221"/>
  <c r="V81" i="221" s="1"/>
  <c r="Q81" i="221"/>
  <c r="R81" i="221"/>
  <c r="N81" i="221"/>
  <c r="J81" i="221"/>
  <c r="D81" i="221"/>
  <c r="F81" i="221"/>
  <c r="V80" i="221"/>
  <c r="R80" i="221"/>
  <c r="N80" i="221"/>
  <c r="J80" i="221"/>
  <c r="V79" i="221"/>
  <c r="R79" i="221"/>
  <c r="N79" i="221"/>
  <c r="J79" i="221"/>
  <c r="V78" i="221"/>
  <c r="R78" i="221"/>
  <c r="N78" i="221"/>
  <c r="J78" i="221"/>
  <c r="V77" i="221"/>
  <c r="R77" i="221"/>
  <c r="N77" i="221"/>
  <c r="J77" i="221"/>
  <c r="U76" i="221"/>
  <c r="T76" i="221"/>
  <c r="V76" i="221" s="1"/>
  <c r="Q76" i="221"/>
  <c r="Q82" i="221"/>
  <c r="R82" i="221" s="1"/>
  <c r="N76" i="221"/>
  <c r="J76" i="221"/>
  <c r="D76" i="221"/>
  <c r="F76" i="221" s="1"/>
  <c r="V75" i="221"/>
  <c r="R75" i="221"/>
  <c r="N75" i="221"/>
  <c r="J75" i="221"/>
  <c r="V74" i="221"/>
  <c r="R74" i="221"/>
  <c r="N74" i="221"/>
  <c r="J74" i="221"/>
  <c r="V73" i="221"/>
  <c r="R73" i="221"/>
  <c r="N73" i="221"/>
  <c r="J73" i="221"/>
  <c r="V72" i="221"/>
  <c r="R72" i="221"/>
  <c r="N72" i="221"/>
  <c r="J72" i="221"/>
  <c r="U71" i="221"/>
  <c r="T71" i="221"/>
  <c r="T82" i="221" s="1"/>
  <c r="Q71" i="221"/>
  <c r="R71" i="221" s="1"/>
  <c r="N71" i="221"/>
  <c r="J71" i="221"/>
  <c r="D71" i="221"/>
  <c r="F71" i="221"/>
  <c r="V70" i="221"/>
  <c r="R70" i="221"/>
  <c r="N70" i="221"/>
  <c r="J70" i="221"/>
  <c r="V69" i="221"/>
  <c r="R69" i="221"/>
  <c r="N69" i="221"/>
  <c r="J69" i="221"/>
  <c r="V68" i="221"/>
  <c r="R68" i="221"/>
  <c r="N68" i="221"/>
  <c r="J68" i="221"/>
  <c r="V67" i="221"/>
  <c r="R67" i="221"/>
  <c r="N67" i="221"/>
  <c r="J67" i="221"/>
  <c r="U65" i="221"/>
  <c r="V65" i="221" s="1"/>
  <c r="T65" i="221"/>
  <c r="V64" i="221"/>
  <c r="U61" i="221"/>
  <c r="T61" i="221"/>
  <c r="V59" i="221"/>
  <c r="V58" i="221"/>
  <c r="U57" i="221"/>
  <c r="T57" i="221"/>
  <c r="T66" i="221" s="1"/>
  <c r="Q57" i="221"/>
  <c r="Q66" i="221"/>
  <c r="V56" i="221"/>
  <c r="V55" i="221"/>
  <c r="J53" i="221"/>
  <c r="U52" i="221"/>
  <c r="T52" i="221"/>
  <c r="Q52" i="221"/>
  <c r="R52" i="221"/>
  <c r="M52" i="221"/>
  <c r="N52" i="221" s="1"/>
  <c r="J52" i="221"/>
  <c r="D52" i="221"/>
  <c r="F52" i="221" s="1"/>
  <c r="V51" i="221"/>
  <c r="R51" i="221"/>
  <c r="N51" i="221"/>
  <c r="J51" i="221"/>
  <c r="V50" i="221"/>
  <c r="R50" i="221"/>
  <c r="N50" i="221"/>
  <c r="J50" i="221"/>
  <c r="V49" i="221"/>
  <c r="R49" i="221"/>
  <c r="N49" i="221"/>
  <c r="J49" i="221"/>
  <c r="V48" i="221"/>
  <c r="R48" i="221"/>
  <c r="N48" i="221"/>
  <c r="J48" i="221"/>
  <c r="U47" i="221"/>
  <c r="U53" i="221" s="1"/>
  <c r="T47" i="221"/>
  <c r="Q47" i="221"/>
  <c r="R47" i="221" s="1"/>
  <c r="M47" i="221"/>
  <c r="N47" i="221"/>
  <c r="J47" i="221"/>
  <c r="D47" i="221"/>
  <c r="F47" i="221"/>
  <c r="V46" i="221"/>
  <c r="R46" i="221"/>
  <c r="N46" i="221"/>
  <c r="J46" i="221"/>
  <c r="V45" i="221"/>
  <c r="R45" i="221"/>
  <c r="N45" i="221"/>
  <c r="J45" i="221"/>
  <c r="V44" i="221"/>
  <c r="R44" i="221"/>
  <c r="N44" i="221"/>
  <c r="J44" i="221"/>
  <c r="V43" i="221"/>
  <c r="R43" i="221"/>
  <c r="N43" i="221"/>
  <c r="J43" i="221"/>
  <c r="V42" i="221"/>
  <c r="R42" i="221"/>
  <c r="N42" i="221"/>
  <c r="J42" i="221"/>
  <c r="U41" i="221"/>
  <c r="V41" i="221" s="1"/>
  <c r="T41" i="221"/>
  <c r="Q41" i="221"/>
  <c r="R41" i="221"/>
  <c r="M41" i="221"/>
  <c r="N41" i="221" s="1"/>
  <c r="J41" i="221"/>
  <c r="D41" i="221"/>
  <c r="F41" i="221" s="1"/>
  <c r="V40" i="221"/>
  <c r="R40" i="221"/>
  <c r="N40" i="221"/>
  <c r="J40" i="221"/>
  <c r="V39" i="221"/>
  <c r="R39" i="221"/>
  <c r="N39" i="221"/>
  <c r="J39" i="221"/>
  <c r="V38" i="221"/>
  <c r="R38" i="221"/>
  <c r="N38" i="221"/>
  <c r="J38" i="221"/>
  <c r="V37" i="221"/>
  <c r="R37" i="221"/>
  <c r="N37" i="221"/>
  <c r="J37" i="221"/>
  <c r="V36" i="221"/>
  <c r="R36" i="221"/>
  <c r="N36" i="221"/>
  <c r="J36" i="221"/>
  <c r="J35" i="221"/>
  <c r="U34" i="221"/>
  <c r="T34" i="221"/>
  <c r="V34" i="221" s="1"/>
  <c r="Q34" i="221"/>
  <c r="R34" i="221"/>
  <c r="M34" i="221"/>
  <c r="N34" i="221" s="1"/>
  <c r="J34" i="221"/>
  <c r="D34" i="221"/>
  <c r="F34" i="221" s="1"/>
  <c r="V33" i="221"/>
  <c r="R33" i="221"/>
  <c r="N33" i="221"/>
  <c r="J33" i="221"/>
  <c r="V32" i="221"/>
  <c r="R32" i="221"/>
  <c r="N32" i="221"/>
  <c r="J32" i="221"/>
  <c r="V31" i="221"/>
  <c r="R31" i="221"/>
  <c r="N31" i="221"/>
  <c r="J31" i="221"/>
  <c r="U30" i="221"/>
  <c r="U35" i="221" s="1"/>
  <c r="V35" i="221" s="1"/>
  <c r="T30" i="221"/>
  <c r="Q30" i="221"/>
  <c r="R30" i="221" s="1"/>
  <c r="M30" i="221"/>
  <c r="N30" i="221"/>
  <c r="J30" i="221"/>
  <c r="D30" i="221"/>
  <c r="F30" i="221"/>
  <c r="V29" i="221"/>
  <c r="R29" i="221"/>
  <c r="N29" i="221"/>
  <c r="J29" i="221"/>
  <c r="V28" i="221"/>
  <c r="R28" i="221"/>
  <c r="N28" i="221"/>
  <c r="J28" i="221"/>
  <c r="V27" i="221"/>
  <c r="R27" i="221"/>
  <c r="N27" i="221"/>
  <c r="J27" i="221"/>
  <c r="U26" i="221"/>
  <c r="T26" i="221"/>
  <c r="Q26" i="221"/>
  <c r="R26" i="221" s="1"/>
  <c r="M26" i="221"/>
  <c r="N26" i="221" s="1"/>
  <c r="J26" i="221"/>
  <c r="D26" i="221"/>
  <c r="F26" i="221"/>
  <c r="V25" i="221"/>
  <c r="R25" i="221"/>
  <c r="N25" i="221"/>
  <c r="J25" i="221"/>
  <c r="V24" i="221"/>
  <c r="R24" i="221"/>
  <c r="N24" i="221"/>
  <c r="J24" i="221"/>
  <c r="V23" i="221"/>
  <c r="R23" i="221"/>
  <c r="N23" i="221"/>
  <c r="J23" i="221"/>
  <c r="J22" i="221"/>
  <c r="U21" i="221"/>
  <c r="T21" i="221"/>
  <c r="V21" i="221"/>
  <c r="Q21" i="221"/>
  <c r="R21" i="221"/>
  <c r="M21" i="221"/>
  <c r="N21" i="221"/>
  <c r="J21" i="221"/>
  <c r="D21" i="221"/>
  <c r="V20" i="221"/>
  <c r="R20" i="221"/>
  <c r="N20" i="221"/>
  <c r="J20" i="221"/>
  <c r="V19" i="221"/>
  <c r="R19" i="221"/>
  <c r="N19" i="221"/>
  <c r="J19" i="221"/>
  <c r="V18" i="221"/>
  <c r="R18" i="221"/>
  <c r="N18" i="221"/>
  <c r="J18" i="221"/>
  <c r="V17" i="221"/>
  <c r="R17" i="221"/>
  <c r="N17" i="221"/>
  <c r="J17" i="221"/>
  <c r="U16" i="221"/>
  <c r="T16" i="221"/>
  <c r="Q16" i="221"/>
  <c r="R16" i="221" s="1"/>
  <c r="M16" i="221"/>
  <c r="N16" i="221" s="1"/>
  <c r="J16" i="221"/>
  <c r="D16" i="221"/>
  <c r="F16" i="221" s="1"/>
  <c r="V15" i="221"/>
  <c r="R15" i="221"/>
  <c r="N15" i="221"/>
  <c r="J15" i="221"/>
  <c r="V14" i="221"/>
  <c r="R14" i="221"/>
  <c r="N14" i="221"/>
  <c r="J14" i="221"/>
  <c r="V13" i="221"/>
  <c r="R13" i="221"/>
  <c r="N13" i="221"/>
  <c r="J13" i="221"/>
  <c r="V12" i="221"/>
  <c r="R12" i="221"/>
  <c r="N12" i="221"/>
  <c r="J12" i="221"/>
  <c r="V11" i="221"/>
  <c r="R11" i="221"/>
  <c r="N11" i="221"/>
  <c r="J11" i="221"/>
  <c r="U10" i="221"/>
  <c r="T10" i="221"/>
  <c r="Q10" i="221"/>
  <c r="R10" i="221" s="1"/>
  <c r="M10" i="221"/>
  <c r="N10" i="221"/>
  <c r="J10" i="221"/>
  <c r="D10" i="221"/>
  <c r="V9" i="221"/>
  <c r="R9" i="221"/>
  <c r="N9" i="221"/>
  <c r="J9" i="221"/>
  <c r="V8" i="221"/>
  <c r="R8" i="221"/>
  <c r="N8" i="221"/>
  <c r="J8" i="221"/>
  <c r="V7" i="221"/>
  <c r="R7" i="221"/>
  <c r="N7" i="221"/>
  <c r="J7" i="221"/>
  <c r="V6" i="221"/>
  <c r="R6" i="221"/>
  <c r="N6" i="221"/>
  <c r="J6" i="221"/>
  <c r="V5" i="221"/>
  <c r="R5" i="221"/>
  <c r="N5" i="221"/>
  <c r="J5" i="221"/>
  <c r="F5" i="221"/>
  <c r="D153" i="217"/>
  <c r="D152" i="217"/>
  <c r="D151" i="217"/>
  <c r="D150" i="217"/>
  <c r="D149" i="217"/>
  <c r="D148" i="217"/>
  <c r="D147" i="217"/>
  <c r="D146" i="217"/>
  <c r="D145" i="217"/>
  <c r="D144" i="217"/>
  <c r="D143" i="217"/>
  <c r="D136" i="217"/>
  <c r="D135" i="217"/>
  <c r="D134" i="217"/>
  <c r="D133" i="217"/>
  <c r="D132" i="217"/>
  <c r="D131" i="217"/>
  <c r="D130" i="217"/>
  <c r="D129" i="217"/>
  <c r="D128" i="217"/>
  <c r="D127" i="217"/>
  <c r="G130" i="231"/>
  <c r="G127" i="231"/>
  <c r="G129" i="231"/>
  <c r="E128" i="231"/>
  <c r="R35" i="223"/>
  <c r="C7" i="227"/>
  <c r="C8" i="227"/>
  <c r="Q13" i="235"/>
  <c r="E5" i="235"/>
  <c r="F5" i="235"/>
  <c r="P24" i="243"/>
  <c r="P17" i="243"/>
  <c r="P12" i="243"/>
  <c r="P13" i="243"/>
  <c r="K15" i="242"/>
  <c r="K12" i="242"/>
  <c r="K18" i="242"/>
  <c r="K17" i="242"/>
  <c r="I17" i="235"/>
  <c r="J17" i="235"/>
  <c r="K11" i="242"/>
  <c r="P10" i="243"/>
  <c r="P14" i="243"/>
  <c r="F132" i="231"/>
  <c r="G16" i="223"/>
  <c r="R36" i="223"/>
  <c r="S36" i="223" s="1"/>
  <c r="M23" i="243"/>
  <c r="E129" i="231"/>
  <c r="P11" i="243"/>
  <c r="S16" i="243"/>
  <c r="G128" i="231"/>
  <c r="S13" i="243"/>
  <c r="S26" i="243"/>
  <c r="E130" i="231"/>
  <c r="Q21" i="235"/>
  <c r="F13" i="235"/>
  <c r="C6" i="227"/>
  <c r="D132" i="231"/>
  <c r="E127" i="231"/>
  <c r="B132" i="231"/>
  <c r="G126" i="231"/>
  <c r="E126" i="231"/>
  <c r="C132" i="231"/>
  <c r="F120" i="231"/>
  <c r="G120" i="231" s="1"/>
  <c r="G138" i="231"/>
  <c r="F144" i="231"/>
  <c r="BG6" i="234"/>
  <c r="BI6" i="234" s="1"/>
  <c r="BO34" i="234"/>
  <c r="CA34" i="234"/>
  <c r="I5" i="235"/>
  <c r="W29" i="235"/>
  <c r="X29" i="235" s="1"/>
  <c r="J961" i="213"/>
  <c r="J959" i="213"/>
  <c r="J958" i="213"/>
  <c r="I948" i="213"/>
  <c r="K947" i="213" s="1"/>
  <c r="J837" i="213"/>
  <c r="J836" i="213"/>
  <c r="K835" i="213"/>
  <c r="J835" i="213"/>
  <c r="K834" i="213"/>
  <c r="J834" i="213"/>
  <c r="K833" i="213"/>
  <c r="J833" i="213"/>
  <c r="Y81" i="261"/>
  <c r="V11" i="243"/>
  <c r="V7" i="243"/>
  <c r="V20" i="243"/>
  <c r="V17" i="243"/>
  <c r="Y22" i="243"/>
  <c r="P7" i="243"/>
  <c r="AE7" i="223"/>
  <c r="E97" i="237"/>
  <c r="F35" i="223"/>
  <c r="G35" i="223" s="1"/>
  <c r="U34" i="261"/>
  <c r="Q76" i="261"/>
  <c r="U41" i="261"/>
  <c r="Y6" i="223"/>
  <c r="I10" i="261"/>
  <c r="K13" i="242"/>
  <c r="L18" i="242"/>
  <c r="K16" i="242"/>
  <c r="K8" i="242"/>
  <c r="K7" i="242"/>
  <c r="K9" i="242"/>
  <c r="K10" i="242"/>
  <c r="J10" i="243"/>
  <c r="T53" i="261"/>
  <c r="Q61" i="216"/>
  <c r="AA30" i="235"/>
  <c r="N31" i="235"/>
  <c r="J81" i="220"/>
  <c r="R52" i="220"/>
  <c r="S20" i="243"/>
  <c r="S7" i="243"/>
  <c r="S24" i="243"/>
  <c r="W31" i="243"/>
  <c r="S17" i="243"/>
  <c r="T31" i="243"/>
  <c r="N71" i="220"/>
  <c r="R76" i="220"/>
  <c r="Q30" i="216"/>
  <c r="S82" i="216"/>
  <c r="X81" i="216"/>
  <c r="G66" i="216"/>
  <c r="J34" i="214"/>
  <c r="Y76" i="261"/>
  <c r="T82" i="261"/>
  <c r="Q30" i="261"/>
  <c r="J80" i="216"/>
  <c r="N22" i="216"/>
  <c r="M35" i="216"/>
  <c r="AH22" i="216"/>
  <c r="D22" i="214"/>
  <c r="F22" i="214" s="1"/>
  <c r="I80" i="216"/>
  <c r="I41" i="216"/>
  <c r="I53" i="216"/>
  <c r="I47" i="216"/>
  <c r="I52" i="216"/>
  <c r="X61" i="216"/>
  <c r="N16" i="214"/>
  <c r="R61" i="214"/>
  <c r="V30" i="214"/>
  <c r="D92" i="237"/>
  <c r="E92" i="237" s="1"/>
  <c r="AB53" i="216"/>
  <c r="AJ66" i="216"/>
  <c r="U22" i="214"/>
  <c r="V22" i="214" s="1"/>
  <c r="V10" i="214"/>
  <c r="X71" i="216"/>
  <c r="U82" i="216"/>
  <c r="Z22" i="216"/>
  <c r="U23" i="222"/>
  <c r="AK16" i="223"/>
  <c r="L179" i="232"/>
  <c r="AQ16" i="223"/>
  <c r="AD57" i="214"/>
  <c r="AB82" i="220"/>
  <c r="AB84" i="220" s="1"/>
  <c r="AK22" i="223"/>
  <c r="AD10" i="214"/>
  <c r="E76" i="237"/>
  <c r="AJ30" i="235"/>
  <c r="AD21" i="214"/>
  <c r="F16" i="222"/>
  <c r="F35" i="216"/>
  <c r="M53" i="216"/>
  <c r="T10" i="242"/>
  <c r="N7" i="242"/>
  <c r="N8" i="242"/>
  <c r="U71" i="261"/>
  <c r="I30" i="216"/>
  <c r="AD29" i="235"/>
  <c r="I26" i="216"/>
  <c r="E35" i="216"/>
  <c r="E35" i="214"/>
  <c r="AL61" i="216"/>
  <c r="F10" i="221"/>
  <c r="F21" i="235"/>
  <c r="V65" i="220"/>
  <c r="J26" i="216"/>
  <c r="Q80" i="216"/>
  <c r="N13" i="242"/>
  <c r="M81" i="216"/>
  <c r="AG66" i="216"/>
  <c r="AP31" i="223"/>
  <c r="AQ31" i="223"/>
  <c r="AL39" i="233"/>
  <c r="AF47" i="271"/>
  <c r="AP25" i="233"/>
  <c r="BF25" i="233"/>
  <c r="AL11" i="233"/>
  <c r="AW11" i="272"/>
  <c r="AK32" i="272"/>
  <c r="BD32" i="272"/>
  <c r="BE32" i="272" s="1"/>
  <c r="BU30" i="234"/>
  <c r="BF32" i="234"/>
  <c r="F81" i="214"/>
  <c r="R52" i="214"/>
  <c r="J52" i="214"/>
  <c r="J191" i="232"/>
  <c r="AV24" i="223"/>
  <c r="AW24" i="223"/>
  <c r="AK39" i="272"/>
  <c r="BE9" i="272"/>
  <c r="AO32" i="272"/>
  <c r="BE23" i="272"/>
  <c r="I8" i="269"/>
  <c r="I18" i="269"/>
  <c r="J27" i="269"/>
  <c r="AC35" i="216"/>
  <c r="AE35" i="216" s="1"/>
  <c r="L139" i="232"/>
  <c r="L147" i="232"/>
  <c r="F31" i="235"/>
  <c r="O53" i="261"/>
  <c r="V35" i="222"/>
  <c r="T83" i="222"/>
  <c r="AP9" i="223"/>
  <c r="AQ9" i="223"/>
  <c r="AV14" i="223"/>
  <c r="F61" i="220"/>
  <c r="AD47" i="214"/>
  <c r="P67" i="222"/>
  <c r="F76" i="214"/>
  <c r="AW47" i="271"/>
  <c r="AG30" i="235"/>
  <c r="V53" i="222"/>
  <c r="H30" i="269"/>
  <c r="J30" i="269" s="1"/>
  <c r="M22" i="221"/>
  <c r="N22" i="221" s="1"/>
  <c r="AB82" i="216"/>
  <c r="AH57" i="220"/>
  <c r="E22" i="216"/>
  <c r="AC66" i="216"/>
  <c r="AG31" i="235"/>
  <c r="V72" i="222"/>
  <c r="V42" i="222"/>
  <c r="R62" i="222"/>
  <c r="R58" i="222"/>
  <c r="E16" i="261"/>
  <c r="D23" i="222"/>
  <c r="G11" i="223"/>
  <c r="BU37" i="234"/>
  <c r="BS39" i="234"/>
  <c r="BU39" i="234" s="1"/>
  <c r="P31" i="235"/>
  <c r="R31" i="235" s="1"/>
  <c r="R27" i="235"/>
  <c r="N16" i="242"/>
  <c r="N12" i="242"/>
  <c r="N11" i="242"/>
  <c r="E53" i="220"/>
  <c r="F53" i="220" s="1"/>
  <c r="M67" i="222"/>
  <c r="M21" i="235"/>
  <c r="M26" i="261"/>
  <c r="L35" i="261"/>
  <c r="CA8" i="234"/>
  <c r="E106" i="237"/>
  <c r="F21" i="221"/>
  <c r="D22" i="221"/>
  <c r="L29" i="223"/>
  <c r="M29" i="223" s="1"/>
  <c r="J22" i="243"/>
  <c r="J11" i="243"/>
  <c r="J30" i="235"/>
  <c r="Q12" i="242"/>
  <c r="M53" i="221"/>
  <c r="N53" i="221" s="1"/>
  <c r="S11" i="223"/>
  <c r="AD71" i="216"/>
  <c r="T13" i="242"/>
  <c r="T16" i="242"/>
  <c r="T18" i="242"/>
  <c r="T8" i="242"/>
  <c r="T14" i="242"/>
  <c r="T15" i="242"/>
  <c r="T17" i="242"/>
  <c r="T12" i="242"/>
  <c r="T7" i="242"/>
  <c r="T11" i="242"/>
  <c r="T82" i="216"/>
  <c r="J21" i="214"/>
  <c r="AB22" i="214"/>
  <c r="AX47" i="271"/>
  <c r="J14" i="269"/>
  <c r="I14" i="269"/>
  <c r="E32" i="269"/>
  <c r="H20" i="269"/>
  <c r="J20" i="269" s="1"/>
  <c r="AG82" i="214"/>
  <c r="J9" i="269"/>
  <c r="I9" i="269"/>
  <c r="AP14" i="223"/>
  <c r="AQ14" i="223"/>
  <c r="AW35" i="216"/>
  <c r="AZ35" i="216" s="1"/>
  <c r="AZ30" i="216"/>
  <c r="BF10" i="216"/>
  <c r="D32" i="269"/>
  <c r="H10" i="269"/>
  <c r="F32" i="269"/>
  <c r="H25" i="269"/>
  <c r="J25" i="269"/>
  <c r="I24" i="269"/>
  <c r="H15" i="269"/>
  <c r="I15" i="269"/>
  <c r="J13" i="269"/>
  <c r="J12" i="269"/>
  <c r="G32" i="269"/>
  <c r="I7" i="269"/>
  <c r="J7" i="269"/>
  <c r="CE16" i="253"/>
  <c r="AW25" i="272"/>
  <c r="BA18" i="272"/>
  <c r="AJ43" i="272"/>
  <c r="BE25" i="272"/>
  <c r="AK18" i="272"/>
  <c r="E96" i="237"/>
  <c r="E78" i="237"/>
  <c r="AJ29" i="235"/>
  <c r="AP47" i="271"/>
  <c r="AH47" i="271"/>
  <c r="J22" i="222"/>
  <c r="E36" i="222"/>
  <c r="P54" i="222"/>
  <c r="F34" i="220"/>
  <c r="F47" i="220"/>
  <c r="U30" i="261"/>
  <c r="O82" i="261"/>
  <c r="Q82" i="220"/>
  <c r="R82" i="220"/>
  <c r="M66" i="214"/>
  <c r="N66" i="214" s="1"/>
  <c r="AJ35" i="223"/>
  <c r="AK35" i="223" s="1"/>
  <c r="AJ36" i="223"/>
  <c r="AK36" i="223" s="1"/>
  <c r="V27" i="222"/>
  <c r="V77" i="222"/>
  <c r="AP34" i="223"/>
  <c r="AQ34" i="223"/>
  <c r="AP35" i="223"/>
  <c r="AP36" i="223"/>
  <c r="AQ36" i="223" s="1"/>
  <c r="AD65" i="214"/>
  <c r="AC22" i="220"/>
  <c r="AD22" i="220" s="1"/>
  <c r="AC82" i="220"/>
  <c r="D82" i="237"/>
  <c r="E82" i="237" s="1"/>
  <c r="AB6" i="243"/>
  <c r="AB21" i="243"/>
  <c r="AB8" i="243"/>
  <c r="AB20" i="243"/>
  <c r="AB12" i="243"/>
  <c r="AB23" i="243"/>
  <c r="AB15" i="243"/>
  <c r="AB27" i="243"/>
  <c r="AB22" i="243"/>
  <c r="AB14" i="243"/>
  <c r="AB13" i="243"/>
  <c r="I17" i="269"/>
  <c r="I19" i="269"/>
  <c r="J29" i="269"/>
  <c r="D84" i="215"/>
  <c r="N32" i="269"/>
  <c r="R18" i="269"/>
  <c r="Q18" i="269"/>
  <c r="R22" i="269"/>
  <c r="Q22" i="269"/>
  <c r="R27" i="269"/>
  <c r="Q27" i="269"/>
  <c r="AI31" i="243"/>
  <c r="BB31" i="223"/>
  <c r="BC31" i="223" s="1"/>
  <c r="AK66" i="220"/>
  <c r="AL66" i="220" s="1"/>
  <c r="Q17" i="269"/>
  <c r="R17" i="269"/>
  <c r="R19" i="269"/>
  <c r="Q19" i="269"/>
  <c r="Q25" i="269"/>
  <c r="P30" i="269"/>
  <c r="R30" i="269"/>
  <c r="AP30" i="235"/>
  <c r="E61" i="237"/>
  <c r="E77" i="237"/>
  <c r="Z47" i="271"/>
  <c r="Z50" i="271"/>
  <c r="Z52" i="271" s="1"/>
  <c r="AL47" i="214"/>
  <c r="F34" i="214"/>
  <c r="AL16" i="214"/>
  <c r="N57" i="214"/>
  <c r="AH41" i="214"/>
  <c r="M16" i="261"/>
  <c r="AC34" i="261"/>
  <c r="M41" i="261"/>
  <c r="AE84" i="261"/>
  <c r="AB82" i="261"/>
  <c r="AC82" i="261" s="1"/>
  <c r="W22" i="261"/>
  <c r="H22" i="261"/>
  <c r="I22" i="261" s="1"/>
  <c r="AC41" i="261"/>
  <c r="D82" i="221"/>
  <c r="F82" i="221"/>
  <c r="D53" i="221"/>
  <c r="F53" i="221" s="1"/>
  <c r="V47" i="220"/>
  <c r="AK22" i="220"/>
  <c r="AL22" i="220" s="1"/>
  <c r="AD76" i="220"/>
  <c r="R81" i="220"/>
  <c r="T22" i="220"/>
  <c r="AK53" i="220"/>
  <c r="Z52" i="220"/>
  <c r="X66" i="220"/>
  <c r="Z66" i="220" s="1"/>
  <c r="T66" i="220"/>
  <c r="J41" i="220"/>
  <c r="I22" i="220"/>
  <c r="J22" i="220" s="1"/>
  <c r="M82" i="220"/>
  <c r="N82" i="220" s="1"/>
  <c r="E22" i="220"/>
  <c r="AG53" i="220"/>
  <c r="AH53" i="220" s="1"/>
  <c r="AG22" i="220"/>
  <c r="AH22" i="220" s="1"/>
  <c r="X35" i="220"/>
  <c r="Z35" i="220" s="1"/>
  <c r="J10" i="220"/>
  <c r="AF84" i="220"/>
  <c r="Z21" i="220"/>
  <c r="F41" i="220"/>
  <c r="V21" i="220"/>
  <c r="F81" i="220"/>
  <c r="AD10" i="220"/>
  <c r="N47" i="220"/>
  <c r="Z82" i="221"/>
  <c r="Y84" i="221"/>
  <c r="Z84" i="221"/>
  <c r="Z81" i="221"/>
  <c r="Q53" i="221"/>
  <c r="R53" i="221" s="1"/>
  <c r="F31" i="222"/>
  <c r="H36" i="222"/>
  <c r="D54" i="222"/>
  <c r="V16" i="222"/>
  <c r="N53" i="222"/>
  <c r="I32" i="273"/>
  <c r="AP29" i="223"/>
  <c r="AG37" i="223"/>
  <c r="AP19" i="223"/>
  <c r="AQ19" i="223"/>
  <c r="AJ31" i="223"/>
  <c r="AK31" i="223"/>
  <c r="AJ14" i="223"/>
  <c r="AK14" i="223" s="1"/>
  <c r="L32" i="223"/>
  <c r="M32" i="223" s="1"/>
  <c r="BC14" i="223"/>
  <c r="BB33" i="223"/>
  <c r="BC33" i="223" s="1"/>
  <c r="AQ26" i="223"/>
  <c r="BA37" i="223"/>
  <c r="M17" i="223"/>
  <c r="G18" i="223"/>
  <c r="AE18" i="223"/>
  <c r="AK17" i="223"/>
  <c r="F19" i="223"/>
  <c r="G19" i="223" s="1"/>
  <c r="AI37" i="223"/>
  <c r="AV32" i="223"/>
  <c r="AW32" i="223" s="1"/>
  <c r="AQ35" i="223"/>
  <c r="AK11" i="223"/>
  <c r="AJ32" i="223"/>
  <c r="AK32" i="223"/>
  <c r="Q30" i="269"/>
  <c r="L145" i="232"/>
  <c r="L137" i="232"/>
  <c r="L116" i="232"/>
  <c r="L122" i="232"/>
  <c r="J128" i="232"/>
  <c r="L162" i="232"/>
  <c r="AX50" i="271"/>
  <c r="AX52" i="271" s="1"/>
  <c r="AT50" i="271"/>
  <c r="AT52" i="271" s="1"/>
  <c r="X47" i="271"/>
  <c r="BC13" i="234"/>
  <c r="AT32" i="233"/>
  <c r="AR43" i="233"/>
  <c r="AD18" i="233"/>
  <c r="V48" i="222"/>
  <c r="U83" i="222"/>
  <c r="R31" i="222"/>
  <c r="R48" i="222"/>
  <c r="M54" i="222"/>
  <c r="J10" i="222"/>
  <c r="J27" i="222"/>
  <c r="J31" i="222"/>
  <c r="L54" i="222"/>
  <c r="N54" i="222" s="1"/>
  <c r="L67" i="222"/>
  <c r="N62" i="222"/>
  <c r="I54" i="222"/>
  <c r="T22" i="221"/>
  <c r="V61" i="221"/>
  <c r="AC35" i="220"/>
  <c r="AD35" i="220" s="1"/>
  <c r="X82" i="220"/>
  <c r="Q35" i="220"/>
  <c r="R35" i="220" s="1"/>
  <c r="AF82" i="261"/>
  <c r="AG82" i="261" s="1"/>
  <c r="BF26" i="216"/>
  <c r="AZ26" i="216"/>
  <c r="AY47" i="216"/>
  <c r="AY57" i="216"/>
  <c r="AX66" i="216"/>
  <c r="AI35" i="216"/>
  <c r="AK30" i="216"/>
  <c r="AK61" i="216"/>
  <c r="AJ82" i="216"/>
  <c r="AK81" i="216"/>
  <c r="AK16" i="216"/>
  <c r="AK57" i="216"/>
  <c r="AL57" i="216"/>
  <c r="AH82" i="216"/>
  <c r="AG35" i="216"/>
  <c r="AE30" i="216"/>
  <c r="AE26" i="216"/>
  <c r="AE34" i="216"/>
  <c r="U53" i="216"/>
  <c r="U22" i="216"/>
  <c r="AZ41" i="216"/>
  <c r="AV35" i="216"/>
  <c r="J10" i="216"/>
  <c r="AG22" i="214"/>
  <c r="AH22" i="214" s="1"/>
  <c r="AD34" i="214"/>
  <c r="X35" i="214"/>
  <c r="Z35" i="214" s="1"/>
  <c r="Q22" i="214"/>
  <c r="R22" i="214" s="1"/>
  <c r="M82" i="214"/>
  <c r="N82" i="214" s="1"/>
  <c r="I22" i="214"/>
  <c r="J22" i="214" s="1"/>
  <c r="AK82" i="214"/>
  <c r="AL82" i="214" s="1"/>
  <c r="F26" i="214"/>
  <c r="AC22" i="214"/>
  <c r="I82" i="214"/>
  <c r="J82" i="214" s="1"/>
  <c r="X66" i="214"/>
  <c r="Z66" i="214" s="1"/>
  <c r="F61" i="214"/>
  <c r="AD41" i="214"/>
  <c r="F21" i="214"/>
  <c r="BB32" i="223"/>
  <c r="BC32" i="223"/>
  <c r="BB35" i="223"/>
  <c r="BC35" i="223"/>
  <c r="BB29" i="223"/>
  <c r="BC29" i="223"/>
  <c r="BB9" i="223"/>
  <c r="BC9" i="223" s="1"/>
  <c r="AV31" i="223"/>
  <c r="AW31" i="223"/>
  <c r="AM37" i="223"/>
  <c r="AJ33" i="223"/>
  <c r="AK33" i="223"/>
  <c r="AJ29" i="223"/>
  <c r="AK29" i="223"/>
  <c r="AD33" i="223"/>
  <c r="AE33" i="223"/>
  <c r="AD29" i="223"/>
  <c r="AE29" i="223" s="1"/>
  <c r="AE8" i="223"/>
  <c r="R14" i="223"/>
  <c r="L36" i="223"/>
  <c r="M36" i="223" s="1"/>
  <c r="L34" i="223"/>
  <c r="M34" i="223" s="1"/>
  <c r="AF43" i="272"/>
  <c r="AY30" i="216"/>
  <c r="I25" i="269"/>
  <c r="L124" i="232"/>
  <c r="L187" i="232"/>
  <c r="F35" i="222"/>
  <c r="D36" i="222"/>
  <c r="CA21" i="234"/>
  <c r="AL53" i="220"/>
  <c r="Q22" i="221"/>
  <c r="R22" i="221" s="1"/>
  <c r="U82" i="221"/>
  <c r="V37" i="223"/>
  <c r="G17" i="223"/>
  <c r="M33" i="223"/>
  <c r="M18" i="223"/>
  <c r="L19" i="223"/>
  <c r="M19" i="223" s="1"/>
  <c r="X29" i="223"/>
  <c r="Q37" i="223"/>
  <c r="S18" i="223"/>
  <c r="BO35" i="234"/>
  <c r="J52" i="220"/>
  <c r="I53" i="220"/>
  <c r="J53" i="220" s="1"/>
  <c r="F76" i="216"/>
  <c r="D35" i="221"/>
  <c r="Q83" i="222"/>
  <c r="S17" i="223"/>
  <c r="G144" i="231"/>
  <c r="AD36" i="223"/>
  <c r="L23" i="222"/>
  <c r="BG18" i="234"/>
  <c r="BI18" i="234" s="1"/>
  <c r="H83" i="222"/>
  <c r="Y8" i="223"/>
  <c r="X34" i="223"/>
  <c r="Y34" i="223"/>
  <c r="G13" i="223"/>
  <c r="G26" i="223"/>
  <c r="AP11" i="233"/>
  <c r="M13" i="235"/>
  <c r="N13" i="235"/>
  <c r="N82" i="222"/>
  <c r="L83" i="222"/>
  <c r="F9" i="223"/>
  <c r="G9" i="223"/>
  <c r="Q5" i="235"/>
  <c r="P29" i="235"/>
  <c r="R29" i="235" s="1"/>
  <c r="K32" i="273"/>
  <c r="N15" i="242"/>
  <c r="V34" i="220"/>
  <c r="AG82" i="216"/>
  <c r="AY61" i="216"/>
  <c r="G156" i="231"/>
  <c r="J30" i="216"/>
  <c r="V16" i="220"/>
  <c r="S53" i="216"/>
  <c r="N10" i="242"/>
  <c r="AL10" i="216"/>
  <c r="AV9" i="223"/>
  <c r="AW9" i="223"/>
  <c r="N9" i="242"/>
  <c r="BF39" i="233"/>
  <c r="V22" i="222"/>
  <c r="AD11" i="233"/>
  <c r="AU30" i="234"/>
  <c r="AT32" i="234"/>
  <c r="Q9" i="269"/>
  <c r="R9" i="269"/>
  <c r="P10" i="269"/>
  <c r="AB7" i="243"/>
  <c r="AB10" i="243"/>
  <c r="AB16" i="243"/>
  <c r="AB19" i="243"/>
  <c r="AB24" i="243"/>
  <c r="Q20" i="269"/>
  <c r="R20" i="269"/>
  <c r="F18" i="229"/>
  <c r="G18" i="229" s="1"/>
  <c r="AK19" i="223"/>
  <c r="AQ28" i="234"/>
  <c r="BB36" i="223"/>
  <c r="BC36" i="223" s="1"/>
  <c r="AL41" i="214"/>
  <c r="BB47" i="271"/>
  <c r="AV34" i="223"/>
  <c r="AW34" i="223"/>
  <c r="AH25" i="233"/>
  <c r="AQ10" i="234"/>
  <c r="AO11" i="234"/>
  <c r="AQ11" i="234" s="1"/>
  <c r="BB34" i="223"/>
  <c r="BC34" i="223"/>
  <c r="AK22" i="214"/>
  <c r="AL22" i="214" s="1"/>
  <c r="U36" i="222"/>
  <c r="AB53" i="261"/>
  <c r="AC53" i="261" s="1"/>
  <c r="AU22" i="234"/>
  <c r="AW22" i="234" s="1"/>
  <c r="R23" i="269"/>
  <c r="Q23" i="269"/>
  <c r="AH27" i="243"/>
  <c r="AH19" i="243"/>
  <c r="AH11" i="243"/>
  <c r="G9" i="229"/>
  <c r="AH26" i="243"/>
  <c r="AH18" i="243"/>
  <c r="AH10" i="243"/>
  <c r="AH25" i="243"/>
  <c r="AH17" i="243"/>
  <c r="AH24" i="243"/>
  <c r="AH16" i="243"/>
  <c r="AH8" i="243"/>
  <c r="AH23" i="243"/>
  <c r="AH15" i="243"/>
  <c r="AH7" i="243"/>
  <c r="AP29" i="235"/>
  <c r="AH6" i="243"/>
  <c r="AH31" i="243" s="1"/>
  <c r="AH14" i="243"/>
  <c r="AH21" i="243"/>
  <c r="AH22" i="243"/>
  <c r="AH29" i="243"/>
  <c r="DN15" i="253"/>
  <c r="BX16" i="253"/>
  <c r="BX17" i="253" s="1"/>
  <c r="BQ33" i="253"/>
  <c r="E86" i="231"/>
  <c r="E74" i="231"/>
  <c r="F35" i="221"/>
  <c r="R10" i="269"/>
  <c r="Q10" i="269"/>
  <c r="Y27" i="269"/>
  <c r="Z27" i="269"/>
  <c r="Y18" i="269"/>
  <c r="Y12" i="269"/>
  <c r="Z12" i="269"/>
  <c r="Y9" i="269"/>
  <c r="W32" i="269"/>
  <c r="AO22" i="214"/>
  <c r="AP22" i="214" s="1"/>
  <c r="BI33" i="223"/>
  <c r="BG37" i="223"/>
  <c r="BH36" i="223"/>
  <c r="BI36" i="223" s="1"/>
  <c r="BI14" i="223"/>
  <c r="BE37" i="223"/>
  <c r="BI35" i="223"/>
  <c r="AT47" i="271"/>
  <c r="U47" i="271"/>
  <c r="L205" i="232"/>
  <c r="L244" i="232"/>
  <c r="V16" i="221"/>
  <c r="F10" i="222"/>
  <c r="F27" i="222"/>
  <c r="F42" i="222"/>
  <c r="R66" i="222"/>
  <c r="F29" i="223"/>
  <c r="G29" i="223" s="1"/>
  <c r="M22" i="216"/>
  <c r="AV53" i="216"/>
  <c r="J15" i="269"/>
  <c r="D67" i="222"/>
  <c r="K37" i="223"/>
  <c r="O37" i="223"/>
  <c r="L66" i="261"/>
  <c r="M21" i="261"/>
  <c r="AA35" i="216"/>
  <c r="AL47" i="271"/>
  <c r="V52" i="221"/>
  <c r="AP32" i="233"/>
  <c r="Q16" i="261"/>
  <c r="E83" i="222"/>
  <c r="F83" i="222" s="1"/>
  <c r="V82" i="216"/>
  <c r="R76" i="221"/>
  <c r="N42" i="222"/>
  <c r="J66" i="222"/>
  <c r="AC37" i="223"/>
  <c r="L207" i="232"/>
  <c r="X52" i="216"/>
  <c r="AE81" i="216"/>
  <c r="AK34" i="216"/>
  <c r="AO47" i="271"/>
  <c r="BA18" i="234"/>
  <c r="BC18" i="234" s="1"/>
  <c r="G132" i="231"/>
  <c r="G33" i="223"/>
  <c r="J37" i="223"/>
  <c r="L287" i="232"/>
  <c r="P26" i="216"/>
  <c r="P35" i="216" s="1"/>
  <c r="N66" i="216"/>
  <c r="X47" i="216"/>
  <c r="AC82" i="216"/>
  <c r="AH35" i="216"/>
  <c r="AB22" i="216"/>
  <c r="F48" i="222"/>
  <c r="Q54" i="222"/>
  <c r="R54" i="222" s="1"/>
  <c r="N77" i="222"/>
  <c r="I37" i="223"/>
  <c r="G169" i="231"/>
  <c r="L269" i="232"/>
  <c r="U66" i="220"/>
  <c r="AK76" i="216"/>
  <c r="L189" i="232"/>
  <c r="AP32" i="223"/>
  <c r="AP37" i="223" s="1"/>
  <c r="AQ37" i="223" s="1"/>
  <c r="AV36" i="223"/>
  <c r="AW36" i="223"/>
  <c r="AZ47" i="271"/>
  <c r="AE20" i="243"/>
  <c r="AH32" i="233"/>
  <c r="O32" i="269"/>
  <c r="R32" i="269" s="1"/>
  <c r="Z14" i="269"/>
  <c r="X30" i="269"/>
  <c r="AZ65" i="216"/>
  <c r="I23" i="269"/>
  <c r="V32" i="269"/>
  <c r="T22" i="216"/>
  <c r="X76" i="216"/>
  <c r="U66" i="214"/>
  <c r="V66" i="214" s="1"/>
  <c r="AJ47" i="271"/>
  <c r="L183" i="232"/>
  <c r="AE15" i="243"/>
  <c r="AH18" i="233"/>
  <c r="BF37" i="223"/>
  <c r="AH50" i="271"/>
  <c r="AH52" i="271" s="1"/>
  <c r="AE24" i="243"/>
  <c r="AE23" i="243"/>
  <c r="AG32" i="272"/>
  <c r="AZ37" i="223"/>
  <c r="BB22" i="253"/>
  <c r="Y29" i="269"/>
  <c r="U32" i="269"/>
  <c r="J107" i="232"/>
  <c r="Y7" i="269"/>
  <c r="AS31" i="235"/>
  <c r="AV33" i="223"/>
  <c r="AW33" i="223"/>
  <c r="AG53" i="214"/>
  <c r="AH53" i="214" s="1"/>
  <c r="M32" i="269"/>
  <c r="BB50" i="271"/>
  <c r="BB52" i="271" s="1"/>
  <c r="BH34" i="223"/>
  <c r="BI34" i="223"/>
  <c r="H54" i="222"/>
  <c r="Q67" i="222"/>
  <c r="R67" i="222" s="1"/>
  <c r="F66" i="222"/>
  <c r="J273" i="232"/>
  <c r="CG8" i="234"/>
  <c r="BO13" i="234"/>
  <c r="AD30" i="235"/>
  <c r="AD35" i="223"/>
  <c r="AE35" i="223" s="1"/>
  <c r="X36" i="223"/>
  <c r="Y36" i="223"/>
  <c r="E17" i="235"/>
  <c r="J21" i="235"/>
  <c r="H29" i="235"/>
  <c r="J29" i="235" s="1"/>
  <c r="E107" i="237"/>
  <c r="D112" i="237"/>
  <c r="E112" i="237" s="1"/>
  <c r="I67" i="222"/>
  <c r="G6" i="223"/>
  <c r="F31" i="223"/>
  <c r="G31" i="223"/>
  <c r="AE12" i="223"/>
  <c r="BI37" i="234"/>
  <c r="U9" i="235"/>
  <c r="H67" i="222"/>
  <c r="J62" i="222"/>
  <c r="T53" i="221"/>
  <c r="S26" i="223"/>
  <c r="E118" i="237"/>
  <c r="X31" i="223"/>
  <c r="X19" i="223"/>
  <c r="Y19" i="223"/>
  <c r="Y16" i="223"/>
  <c r="F34" i="223"/>
  <c r="G34" i="223"/>
  <c r="Q35" i="221"/>
  <c r="E23" i="222"/>
  <c r="F22" i="222"/>
  <c r="F53" i="222"/>
  <c r="E54" i="222"/>
  <c r="M83" i="222"/>
  <c r="N83" i="222" s="1"/>
  <c r="N72" i="222"/>
  <c r="N35" i="222"/>
  <c r="M36" i="222"/>
  <c r="U66" i="221"/>
  <c r="V66" i="221"/>
  <c r="V57" i="221"/>
  <c r="H23" i="222"/>
  <c r="AE6" i="223"/>
  <c r="Y11" i="223"/>
  <c r="S7" i="223"/>
  <c r="C37" i="223"/>
  <c r="BU13" i="234"/>
  <c r="Q14" i="242"/>
  <c r="Q9" i="242"/>
  <c r="U18" i="242"/>
  <c r="Q7" i="242"/>
  <c r="Q15" i="242"/>
  <c r="R18" i="242"/>
  <c r="Q8" i="242"/>
  <c r="Q17" i="242"/>
  <c r="Q11" i="242"/>
  <c r="Q18" i="242"/>
  <c r="Q10" i="242"/>
  <c r="F82" i="222"/>
  <c r="T35" i="221"/>
  <c r="V26" i="221"/>
  <c r="J16" i="222"/>
  <c r="I23" i="222"/>
  <c r="J23" i="222" s="1"/>
  <c r="AB11" i="243"/>
  <c r="AF31" i="243"/>
  <c r="AB26" i="243"/>
  <c r="R13" i="269"/>
  <c r="P15" i="269"/>
  <c r="Q15" i="269"/>
  <c r="Q13" i="269"/>
  <c r="K31" i="243"/>
  <c r="AL16" i="216"/>
  <c r="Q7" i="269"/>
  <c r="R7" i="269"/>
  <c r="P34" i="216"/>
  <c r="AB35" i="216"/>
  <c r="AL81" i="216"/>
  <c r="AS43" i="272"/>
  <c r="AJ9" i="223"/>
  <c r="AK9" i="223"/>
  <c r="AC66" i="214"/>
  <c r="AB17" i="243"/>
  <c r="AJ34" i="223"/>
  <c r="AK34" i="223" s="1"/>
  <c r="AJ37" i="223"/>
  <c r="AK37" i="223" s="1"/>
  <c r="AV29" i="223"/>
  <c r="AW29" i="223" s="1"/>
  <c r="O18" i="242"/>
  <c r="AH37" i="223"/>
  <c r="AV37" i="223"/>
  <c r="AW37" i="223" s="1"/>
  <c r="AV19" i="223"/>
  <c r="AW19" i="223" s="1"/>
  <c r="Q29" i="269"/>
  <c r="H31" i="243"/>
  <c r="AK26" i="216"/>
  <c r="AJ24" i="223"/>
  <c r="AK24" i="223"/>
  <c r="AK21" i="223"/>
  <c r="AU37" i="223"/>
  <c r="J28" i="269"/>
  <c r="I28" i="269"/>
  <c r="Q12" i="269"/>
  <c r="R12" i="269"/>
  <c r="BH9" i="223"/>
  <c r="BI9" i="223" s="1"/>
  <c r="AT37" i="223"/>
  <c r="AH84" i="221"/>
  <c r="AP43" i="234"/>
  <c r="AY37" i="223"/>
  <c r="R14" i="269"/>
  <c r="Q14" i="269"/>
  <c r="L32" i="269"/>
  <c r="D11" i="229"/>
  <c r="F11" i="229"/>
  <c r="G32" i="273"/>
  <c r="R25" i="269"/>
  <c r="AP34" i="214"/>
  <c r="R15" i="269"/>
  <c r="X25" i="269"/>
  <c r="Y25" i="269"/>
  <c r="AV82" i="216"/>
  <c r="Z19" i="269"/>
  <c r="Y19" i="269"/>
  <c r="AD32" i="233"/>
  <c r="F59" i="231"/>
  <c r="G59" i="231" s="1"/>
  <c r="L101" i="232"/>
  <c r="BH31" i="223"/>
  <c r="BI31" i="223" s="1"/>
  <c r="L95" i="232"/>
  <c r="E51" i="237"/>
  <c r="Z17" i="269"/>
  <c r="Z22" i="269"/>
  <c r="Z7" i="269"/>
  <c r="J32" i="273"/>
  <c r="Y8" i="269"/>
  <c r="BH19" i="223"/>
  <c r="BI19" i="223" s="1"/>
  <c r="BI29" i="223"/>
  <c r="AP81" i="214"/>
  <c r="BX13" i="255"/>
  <c r="AB25" i="243"/>
  <c r="AB18" i="243"/>
  <c r="AE10" i="243"/>
  <c r="AE28" i="243"/>
  <c r="AE18" i="243"/>
  <c r="AE13" i="243"/>
  <c r="AE26" i="243"/>
  <c r="AE21" i="243"/>
  <c r="AE8" i="243"/>
  <c r="AE11" i="243"/>
  <c r="AE6" i="243"/>
  <c r="AE31" i="243" s="1"/>
  <c r="AE16" i="243"/>
  <c r="AE19" i="243"/>
  <c r="AE14" i="243"/>
  <c r="Y23" i="243"/>
  <c r="Y11" i="243"/>
  <c r="Y12" i="243"/>
  <c r="M7" i="243"/>
  <c r="Z31" i="243"/>
  <c r="Y21" i="243"/>
  <c r="Y13" i="243"/>
  <c r="Y19" i="243"/>
  <c r="Y8" i="243"/>
  <c r="AC31" i="243"/>
  <c r="Y18" i="243"/>
  <c r="Y6" i="243"/>
  <c r="Y27" i="243"/>
  <c r="Y17" i="243"/>
  <c r="Y24" i="243"/>
  <c r="Y26" i="243"/>
  <c r="Y15" i="243"/>
  <c r="Y20" i="243"/>
  <c r="Y25" i="243"/>
  <c r="Y14" i="243"/>
  <c r="M10" i="243"/>
  <c r="P6" i="243"/>
  <c r="P31" i="243" s="1"/>
  <c r="V21" i="243"/>
  <c r="V12" i="243"/>
  <c r="Q31" i="243"/>
  <c r="M19" i="243"/>
  <c r="P23" i="243"/>
  <c r="M11" i="243"/>
  <c r="J16" i="243"/>
  <c r="P21" i="243"/>
  <c r="V26" i="243"/>
  <c r="V13" i="243"/>
  <c r="V27" i="243"/>
  <c r="P20" i="243"/>
  <c r="M20" i="243"/>
  <c r="P18" i="243"/>
  <c r="V22" i="243"/>
  <c r="V8" i="243"/>
  <c r="V23" i="243"/>
  <c r="M8" i="243"/>
  <c r="M25" i="243"/>
  <c r="AH28" i="243"/>
  <c r="J19" i="243"/>
  <c r="M16" i="243"/>
  <c r="V18" i="243"/>
  <c r="V6" i="243"/>
  <c r="V19" i="243"/>
  <c r="P22" i="243"/>
  <c r="P26" i="243"/>
  <c r="M14" i="243"/>
  <c r="P25" i="243"/>
  <c r="AH20" i="243"/>
  <c r="M6" i="243"/>
  <c r="M12" i="243"/>
  <c r="M15" i="243"/>
  <c r="V14" i="243"/>
  <c r="V24" i="243"/>
  <c r="V15" i="243"/>
  <c r="P19" i="243"/>
  <c r="P15" i="243"/>
  <c r="M22" i="243"/>
  <c r="M21" i="243"/>
  <c r="P8" i="243"/>
  <c r="AH12" i="243"/>
  <c r="M13" i="243"/>
  <c r="M17" i="243"/>
  <c r="M31" i="243"/>
  <c r="M18" i="243"/>
  <c r="M26" i="243"/>
  <c r="V25" i="243"/>
  <c r="AS29" i="235"/>
  <c r="AQ32" i="223"/>
  <c r="Z30" i="269"/>
  <c r="Y30" i="269"/>
  <c r="P32" i="269"/>
  <c r="R35" i="221"/>
  <c r="Y31" i="223"/>
  <c r="Z25" i="269"/>
  <c r="G12" i="229"/>
  <c r="AB31" i="243"/>
  <c r="BB37" i="223"/>
  <c r="BC37" i="223" s="1"/>
  <c r="Q32" i="269"/>
  <c r="V8" i="271"/>
  <c r="V46" i="271"/>
  <c r="D35" i="261"/>
  <c r="E35" i="261" s="1"/>
  <c r="Y52" i="261"/>
  <c r="L53" i="261"/>
  <c r="S35" i="261"/>
  <c r="U53" i="214"/>
  <c r="V53" i="214" s="1"/>
  <c r="D82" i="214"/>
  <c r="I53" i="214"/>
  <c r="J53" i="214" s="1"/>
  <c r="AS22" i="214"/>
  <c r="AS82" i="214"/>
  <c r="AT61" i="214"/>
  <c r="BI30" i="234"/>
  <c r="BO7" i="234"/>
  <c r="BI8" i="234"/>
  <c r="CA9" i="234"/>
  <c r="BI20" i="234"/>
  <c r="BO21" i="234"/>
  <c r="CA22" i="234"/>
  <c r="CG36" i="234"/>
  <c r="CA38" i="234"/>
  <c r="BC22" i="234"/>
  <c r="BC36" i="234"/>
  <c r="AQ29" i="234"/>
  <c r="AU7" i="234"/>
  <c r="AW7" i="234" s="1"/>
  <c r="AU20" i="234"/>
  <c r="AU34" i="234"/>
  <c r="BI34" i="234"/>
  <c r="BF18" i="233"/>
  <c r="BB39" i="233"/>
  <c r="AF43" i="233"/>
  <c r="AH43" i="233" s="1"/>
  <c r="AX11" i="233"/>
  <c r="Q26" i="261"/>
  <c r="T66" i="261"/>
  <c r="D82" i="261"/>
  <c r="E82" i="261" s="1"/>
  <c r="AF53" i="261"/>
  <c r="AG53" i="261" s="1"/>
  <c r="U26" i="261"/>
  <c r="Y34" i="261"/>
  <c r="U21" i="261"/>
  <c r="M34" i="261"/>
  <c r="H53" i="261"/>
  <c r="I53" i="261" s="1"/>
  <c r="AG65" i="261"/>
  <c r="U76" i="261"/>
  <c r="W66" i="261"/>
  <c r="Y66" i="261" s="1"/>
  <c r="D66" i="261"/>
  <c r="E66" i="261" s="1"/>
  <c r="D22" i="261"/>
  <c r="E22" i="261" s="1"/>
  <c r="AF22" i="261"/>
  <c r="BF61" i="216"/>
  <c r="BF34" i="216"/>
  <c r="Z53" i="216"/>
  <c r="J34" i="216"/>
  <c r="AL71" i="216"/>
  <c r="P72" i="216"/>
  <c r="P76" i="216" s="1"/>
  <c r="AZ34" i="216"/>
  <c r="AI53" i="216"/>
  <c r="Q72" i="216"/>
  <c r="AZ57" i="216"/>
  <c r="G53" i="216"/>
  <c r="H22" i="216"/>
  <c r="O22" i="216"/>
  <c r="AA53" i="216"/>
  <c r="AE57" i="216"/>
  <c r="AZ16" i="216"/>
  <c r="Q41" i="216"/>
  <c r="U35" i="216"/>
  <c r="V22" i="216"/>
  <c r="AL52" i="216"/>
  <c r="AW20" i="234"/>
  <c r="AG22" i="261"/>
  <c r="BF25" i="234" l="1"/>
  <c r="AZ43" i="234"/>
  <c r="BS25" i="234"/>
  <c r="BW43" i="234"/>
  <c r="BH43" i="234"/>
  <c r="AV43" i="234"/>
  <c r="BK43" i="234"/>
  <c r="AO18" i="234"/>
  <c r="AQ18" i="234" s="1"/>
  <c r="BS11" i="234"/>
  <c r="AM43" i="234"/>
  <c r="AT11" i="234"/>
  <c r="BG11" i="234"/>
  <c r="D102" i="237"/>
  <c r="E102" i="237" s="1"/>
  <c r="E98" i="237"/>
  <c r="AA29" i="235"/>
  <c r="R30" i="235"/>
  <c r="I13" i="235"/>
  <c r="AV29" i="235"/>
  <c r="T29" i="235"/>
  <c r="U29" i="235" s="1"/>
  <c r="U30" i="235"/>
  <c r="M17" i="235"/>
  <c r="BF11" i="233"/>
  <c r="AV43" i="233"/>
  <c r="AX43" i="233" s="1"/>
  <c r="BA43" i="233"/>
  <c r="BD43" i="233"/>
  <c r="AD25" i="233"/>
  <c r="AL18" i="233"/>
  <c r="AO43" i="233"/>
  <c r="AH11" i="233"/>
  <c r="AT43" i="233"/>
  <c r="AL32" i="233"/>
  <c r="AW43" i="233"/>
  <c r="AT39" i="233"/>
  <c r="AD39" i="233"/>
  <c r="L227" i="232"/>
  <c r="L240" i="232"/>
  <c r="L265" i="232"/>
  <c r="L185" i="232"/>
  <c r="L199" i="232"/>
  <c r="F291" i="232"/>
  <c r="L291" i="232" s="1"/>
  <c r="F107" i="232"/>
  <c r="L107" i="232" s="1"/>
  <c r="J211" i="232"/>
  <c r="J86" i="232"/>
  <c r="L84" i="232"/>
  <c r="G108" i="231"/>
  <c r="E144" i="231"/>
  <c r="E132" i="231"/>
  <c r="T53" i="220"/>
  <c r="E35" i="220"/>
  <c r="E82" i="220"/>
  <c r="F82" i="220" s="1"/>
  <c r="T82" i="220"/>
  <c r="V82" i="220" s="1"/>
  <c r="AD82" i="220"/>
  <c r="U22" i="220"/>
  <c r="V22" i="220" s="1"/>
  <c r="M35" i="220"/>
  <c r="N35" i="220" s="1"/>
  <c r="M66" i="220"/>
  <c r="Q22" i="220"/>
  <c r="R22" i="220" s="1"/>
  <c r="U53" i="220"/>
  <c r="V41" i="220"/>
  <c r="J71" i="220"/>
  <c r="N26" i="220"/>
  <c r="X53" i="220"/>
  <c r="Z53" i="220" s="1"/>
  <c r="AK35" i="220"/>
  <c r="AL35" i="220" s="1"/>
  <c r="F71" i="220"/>
  <c r="V10" i="220"/>
  <c r="AG35" i="220"/>
  <c r="AH35" i="220" s="1"/>
  <c r="AG66" i="220"/>
  <c r="AH66" i="220" s="1"/>
  <c r="Q53" i="220"/>
  <c r="R53" i="220" s="1"/>
  <c r="Q66" i="220"/>
  <c r="I35" i="220"/>
  <c r="J35" i="220" s="1"/>
  <c r="I66" i="220"/>
  <c r="I84" i="220" s="1"/>
  <c r="J84" i="220" s="1"/>
  <c r="Z82" i="220"/>
  <c r="Z81" i="220"/>
  <c r="X22" i="220"/>
  <c r="AU43" i="272"/>
  <c r="AW43" i="272" s="1"/>
  <c r="BE11" i="272"/>
  <c r="AG39" i="272"/>
  <c r="AC32" i="272"/>
  <c r="AO11" i="272"/>
  <c r="AV43" i="272"/>
  <c r="BA32" i="272"/>
  <c r="U6" i="272"/>
  <c r="AG25" i="272"/>
  <c r="Q18" i="272"/>
  <c r="BE43" i="234"/>
  <c r="BT43" i="234"/>
  <c r="CE18" i="234"/>
  <c r="CG18" i="234" s="1"/>
  <c r="BU8" i="234"/>
  <c r="AU39" i="234"/>
  <c r="AW39" i="234" s="1"/>
  <c r="AN25" i="234"/>
  <c r="BY18" i="234"/>
  <c r="CA18" i="234" s="1"/>
  <c r="CE32" i="234"/>
  <c r="CG32" i="234" s="1"/>
  <c r="AO39" i="234"/>
  <c r="AQ39" i="234" s="1"/>
  <c r="AU14" i="234"/>
  <c r="AU18" i="234" s="1"/>
  <c r="AW18" i="234" s="1"/>
  <c r="BU25" i="234"/>
  <c r="AU32" i="234"/>
  <c r="AW32" i="234" s="1"/>
  <c r="BG39" i="234"/>
  <c r="BI39" i="234" s="1"/>
  <c r="AU6" i="234"/>
  <c r="AW6" i="234" s="1"/>
  <c r="BZ43" i="234"/>
  <c r="BY25" i="234"/>
  <c r="CA25" i="234" s="1"/>
  <c r="BR43" i="234"/>
  <c r="AU25" i="234"/>
  <c r="AW25" i="234" s="1"/>
  <c r="BM25" i="234"/>
  <c r="BO25" i="234" s="1"/>
  <c r="CG34" i="234"/>
  <c r="BF11" i="234"/>
  <c r="BF43" i="234" s="1"/>
  <c r="BM18" i="234"/>
  <c r="BO18" i="234" s="1"/>
  <c r="BM39" i="234"/>
  <c r="BO39" i="234" s="1"/>
  <c r="AO32" i="234"/>
  <c r="AQ32" i="234" s="1"/>
  <c r="L99" i="232"/>
  <c r="L246" i="232"/>
  <c r="F128" i="232"/>
  <c r="L128" i="232" s="1"/>
  <c r="L201" i="232"/>
  <c r="L261" i="232"/>
  <c r="L283" i="232"/>
  <c r="L166" i="232"/>
  <c r="J231" i="232"/>
  <c r="Z22" i="220"/>
  <c r="V76" i="220"/>
  <c r="F16" i="220"/>
  <c r="V71" i="220"/>
  <c r="V30" i="220"/>
  <c r="Z47" i="220"/>
  <c r="Z10" i="220"/>
  <c r="AH76" i="220"/>
  <c r="AL71" i="220"/>
  <c r="U35" i="220"/>
  <c r="U84" i="220" s="1"/>
  <c r="M22" i="220"/>
  <c r="N22" i="220" s="1"/>
  <c r="F21" i="220"/>
  <c r="F35" i="220"/>
  <c r="AD61" i="220"/>
  <c r="V61" i="220"/>
  <c r="V81" i="220"/>
  <c r="V66" i="220"/>
  <c r="F10" i="220"/>
  <c r="F52" i="220"/>
  <c r="F30" i="220"/>
  <c r="AK47" i="271"/>
  <c r="AP50" i="271"/>
  <c r="AP52" i="271" s="1"/>
  <c r="AD47" i="271"/>
  <c r="V47" i="271"/>
  <c r="R50" i="271"/>
  <c r="R52" i="271" s="1"/>
  <c r="AL50" i="271"/>
  <c r="AL52" i="271" s="1"/>
  <c r="P47" i="271"/>
  <c r="B800" i="238"/>
  <c r="F326" i="238"/>
  <c r="B830" i="238"/>
  <c r="C830" i="238"/>
  <c r="C523" i="238"/>
  <c r="B701" i="238"/>
  <c r="AB43" i="272"/>
  <c r="AW18" i="272"/>
  <c r="AE43" i="272"/>
  <c r="AG43" i="272" s="1"/>
  <c r="AA43" i="272"/>
  <c r="AC43" i="272" s="1"/>
  <c r="AY43" i="272"/>
  <c r="AM43" i="272"/>
  <c r="AN43" i="272"/>
  <c r="Q25" i="272"/>
  <c r="M32" i="273"/>
  <c r="E32" i="273"/>
  <c r="V83" i="222"/>
  <c r="N67" i="222"/>
  <c r="J67" i="222"/>
  <c r="D85" i="222"/>
  <c r="F54" i="222"/>
  <c r="H85" i="222"/>
  <c r="J54" i="222"/>
  <c r="U85" i="222"/>
  <c r="J36" i="222"/>
  <c r="F23" i="222"/>
  <c r="L82" i="232"/>
  <c r="L120" i="232"/>
  <c r="L219" i="232"/>
  <c r="DE9" i="255"/>
  <c r="BJ16" i="255"/>
  <c r="BB15" i="255"/>
  <c r="CW8" i="253"/>
  <c r="CW26" i="253" s="1"/>
  <c r="DE19" i="253"/>
  <c r="BX32" i="253"/>
  <c r="BX33" i="253"/>
  <c r="BB16" i="253"/>
  <c r="DF16" i="253"/>
  <c r="BQ8" i="253"/>
  <c r="BQ11" i="253" s="1"/>
  <c r="DF19" i="253"/>
  <c r="B523" i="238"/>
  <c r="E528" i="238" s="1"/>
  <c r="B558" i="238"/>
  <c r="B770" i="238"/>
  <c r="C558" i="238"/>
  <c r="C631" i="238"/>
  <c r="B631" i="238"/>
  <c r="C666" i="238"/>
  <c r="C800" i="238"/>
  <c r="M22" i="261"/>
  <c r="I35" i="261"/>
  <c r="H84" i="261"/>
  <c r="I84" i="261" s="1"/>
  <c r="Q35" i="261"/>
  <c r="U81" i="261"/>
  <c r="D53" i="261"/>
  <c r="E53" i="261" s="1"/>
  <c r="Q81" i="261"/>
  <c r="P35" i="261"/>
  <c r="Q71" i="261"/>
  <c r="Q34" i="261"/>
  <c r="AB35" i="261"/>
  <c r="AC35" i="261" s="1"/>
  <c r="K35" i="261"/>
  <c r="K84" i="261" s="1"/>
  <c r="U47" i="261"/>
  <c r="AG34" i="261"/>
  <c r="U66" i="261"/>
  <c r="P22" i="261"/>
  <c r="I81" i="261"/>
  <c r="I26" i="261"/>
  <c r="L22" i="261"/>
  <c r="T22" i="261"/>
  <c r="K53" i="261"/>
  <c r="M53" i="261" s="1"/>
  <c r="U57" i="261"/>
  <c r="L82" i="261"/>
  <c r="M82" i="261" s="1"/>
  <c r="S22" i="261"/>
  <c r="W82" i="261"/>
  <c r="Y82" i="261" s="1"/>
  <c r="AB22" i="261"/>
  <c r="AB66" i="261"/>
  <c r="AC66" i="261" s="1"/>
  <c r="AO25" i="272"/>
  <c r="BD18" i="272"/>
  <c r="BE18" i="272" s="1"/>
  <c r="AG18" i="272"/>
  <c r="Q39" i="272"/>
  <c r="AC11" i="272"/>
  <c r="AO18" i="272"/>
  <c r="AI43" i="272"/>
  <c r="AK43" i="272" s="1"/>
  <c r="AZ11" i="272"/>
  <c r="AZ43" i="272" s="1"/>
  <c r="J960" i="213"/>
  <c r="J962" i="213" s="1"/>
  <c r="F32" i="273"/>
  <c r="H32" i="273"/>
  <c r="D32" i="273"/>
  <c r="F19" i="229"/>
  <c r="G19" i="229" s="1"/>
  <c r="G15" i="229"/>
  <c r="G16" i="229"/>
  <c r="G11" i="229"/>
  <c r="G13" i="229"/>
  <c r="G8" i="229"/>
  <c r="G17" i="229"/>
  <c r="V82" i="221"/>
  <c r="T84" i="221"/>
  <c r="R83" i="222"/>
  <c r="F67" i="222"/>
  <c r="E85" i="222"/>
  <c r="N36" i="222"/>
  <c r="V53" i="221"/>
  <c r="R27" i="222"/>
  <c r="P53" i="261"/>
  <c r="P84" i="261" s="1"/>
  <c r="Q41" i="261"/>
  <c r="O22" i="261"/>
  <c r="Q21" i="261"/>
  <c r="CB57" i="216"/>
  <c r="BZ66" i="216"/>
  <c r="BY82" i="216"/>
  <c r="CB71" i="216"/>
  <c r="J25" i="243"/>
  <c r="O82" i="216"/>
  <c r="X65" i="216"/>
  <c r="BS18" i="234"/>
  <c r="BU18" i="234" s="1"/>
  <c r="R32" i="223"/>
  <c r="S32" i="223" s="1"/>
  <c r="AO25" i="234"/>
  <c r="AQ25" i="234" s="1"/>
  <c r="AG84" i="220"/>
  <c r="AH84" i="220" s="1"/>
  <c r="AW14" i="234"/>
  <c r="BH37" i="223"/>
  <c r="BI37" i="223" s="1"/>
  <c r="T36" i="222"/>
  <c r="V36" i="222" s="1"/>
  <c r="CE11" i="234"/>
  <c r="Y32" i="223"/>
  <c r="M23" i="222"/>
  <c r="H32" i="269"/>
  <c r="J32" i="269" s="1"/>
  <c r="R31" i="223"/>
  <c r="N31" i="222"/>
  <c r="AD19" i="223"/>
  <c r="AE19" i="223" s="1"/>
  <c r="R77" i="222"/>
  <c r="I30" i="269"/>
  <c r="J7" i="243"/>
  <c r="R35" i="222"/>
  <c r="S35" i="223"/>
  <c r="AT18" i="233"/>
  <c r="S11" i="243"/>
  <c r="S23" i="243"/>
  <c r="S15" i="243"/>
  <c r="S19" i="243"/>
  <c r="S10" i="243"/>
  <c r="S22" i="243"/>
  <c r="S14" i="243"/>
  <c r="S21" i="243"/>
  <c r="S8" i="243"/>
  <c r="S6" i="243"/>
  <c r="S18" i="243"/>
  <c r="S27" i="243"/>
  <c r="S25" i="243"/>
  <c r="S12" i="243"/>
  <c r="N47" i="214"/>
  <c r="M53" i="214"/>
  <c r="N53" i="214" s="1"/>
  <c r="U32" i="272"/>
  <c r="S43" i="272"/>
  <c r="U43" i="272" s="1"/>
  <c r="M6" i="223"/>
  <c r="L31" i="223"/>
  <c r="L37" i="223" s="1"/>
  <c r="M37" i="223" s="1"/>
  <c r="R9" i="223"/>
  <c r="S9" i="223" s="1"/>
  <c r="X14" i="223"/>
  <c r="Y14" i="223" s="1"/>
  <c r="P23" i="222"/>
  <c r="P36" i="222"/>
  <c r="N5" i="235"/>
  <c r="L29" i="235"/>
  <c r="N29" i="235" s="1"/>
  <c r="AW34" i="234"/>
  <c r="Q22" i="216"/>
  <c r="BI11" i="234"/>
  <c r="N31" i="243"/>
  <c r="J14" i="243"/>
  <c r="J18" i="243"/>
  <c r="I83" i="222"/>
  <c r="F22" i="220"/>
  <c r="BU11" i="234"/>
  <c r="L85" i="222"/>
  <c r="F32" i="223"/>
  <c r="E66" i="220"/>
  <c r="J10" i="269"/>
  <c r="I10" i="269"/>
  <c r="I20" i="269"/>
  <c r="J15" i="243"/>
  <c r="X82" i="216"/>
  <c r="J21" i="243"/>
  <c r="J9" i="243"/>
  <c r="V47" i="221"/>
  <c r="N14" i="242"/>
  <c r="N17" i="242"/>
  <c r="N18" i="242"/>
  <c r="J35" i="216"/>
  <c r="AJ35" i="216"/>
  <c r="AL35" i="216" s="1"/>
  <c r="AL34" i="216"/>
  <c r="AN43" i="234"/>
  <c r="BL37" i="223"/>
  <c r="BN32" i="223"/>
  <c r="BO32" i="223" s="1"/>
  <c r="BK37" i="223"/>
  <c r="BN35" i="223"/>
  <c r="BO35" i="223" s="1"/>
  <c r="C295" i="232"/>
  <c r="F295" i="232" s="1"/>
  <c r="L295" i="232" s="1"/>
  <c r="F285" i="232"/>
  <c r="L285" i="232" s="1"/>
  <c r="BA43" i="272"/>
  <c r="Q36" i="222"/>
  <c r="R36" i="222" s="1"/>
  <c r="BM11" i="234"/>
  <c r="AD31" i="223"/>
  <c r="AC53" i="220"/>
  <c r="AD53" i="220" s="1"/>
  <c r="T23" i="222"/>
  <c r="V23" i="222" s="1"/>
  <c r="J12" i="243"/>
  <c r="BO20" i="234"/>
  <c r="J6" i="243"/>
  <c r="AE28" i="223"/>
  <c r="AD34" i="223"/>
  <c r="AE34" i="223" s="1"/>
  <c r="L35" i="223"/>
  <c r="M35" i="223" s="1"/>
  <c r="L14" i="223"/>
  <c r="M14" i="223" s="1"/>
  <c r="G36" i="223"/>
  <c r="V26" i="220"/>
  <c r="T35" i="220"/>
  <c r="M10" i="261"/>
  <c r="U52" i="261"/>
  <c r="S53" i="261"/>
  <c r="U53" i="261" s="1"/>
  <c r="BC7" i="234"/>
  <c r="BA11" i="234"/>
  <c r="BC20" i="234"/>
  <c r="BA25" i="234"/>
  <c r="BC25" i="234" s="1"/>
  <c r="Z8" i="269"/>
  <c r="X10" i="269"/>
  <c r="T35" i="216"/>
  <c r="T84" i="216" s="1"/>
  <c r="V50" i="271"/>
  <c r="V52" i="271" s="1"/>
  <c r="AA37" i="223"/>
  <c r="AO43" i="234"/>
  <c r="AQ43" i="234" s="1"/>
  <c r="Q84" i="221"/>
  <c r="R84" i="221" s="1"/>
  <c r="V71" i="221"/>
  <c r="Q66" i="216"/>
  <c r="AW30" i="234"/>
  <c r="Q23" i="222"/>
  <c r="M53" i="220"/>
  <c r="Y22" i="261"/>
  <c r="V10" i="221"/>
  <c r="U22" i="221"/>
  <c r="J35" i="222"/>
  <c r="F62" i="222"/>
  <c r="S8" i="223"/>
  <c r="M12" i="223"/>
  <c r="AD14" i="223"/>
  <c r="AE14" i="223" s="1"/>
  <c r="S16" i="223"/>
  <c r="X33" i="223"/>
  <c r="Y33" i="223" s="1"/>
  <c r="Y18" i="223"/>
  <c r="AE36" i="223"/>
  <c r="BY32" i="234"/>
  <c r="CA32" i="234" s="1"/>
  <c r="W71" i="216"/>
  <c r="AD9" i="223"/>
  <c r="AE9" i="223" s="1"/>
  <c r="J23" i="243"/>
  <c r="J26" i="243"/>
  <c r="J13" i="243"/>
  <c r="J24" i="243"/>
  <c r="Y16" i="243"/>
  <c r="Y7" i="243"/>
  <c r="Y10" i="243"/>
  <c r="CG13" i="234"/>
  <c r="M35" i="221"/>
  <c r="X53" i="216"/>
  <c r="AN37" i="223"/>
  <c r="J8" i="243"/>
  <c r="J17" i="243"/>
  <c r="D122" i="237"/>
  <c r="E122" i="237" s="1"/>
  <c r="X35" i="223"/>
  <c r="Y35" i="223" s="1"/>
  <c r="F36" i="222"/>
  <c r="V53" i="220"/>
  <c r="D84" i="221"/>
  <c r="F84" i="221" s="1"/>
  <c r="F22" i="221"/>
  <c r="BI7" i="234"/>
  <c r="V30" i="221"/>
  <c r="N22" i="222"/>
  <c r="C231" i="232"/>
  <c r="F225" i="232"/>
  <c r="L225" i="232" s="1"/>
  <c r="AN43" i="233"/>
  <c r="BB25" i="233"/>
  <c r="BQ43" i="234"/>
  <c r="BG25" i="234"/>
  <c r="BI25" i="234" s="1"/>
  <c r="BO36" i="234"/>
  <c r="E120" i="231"/>
  <c r="E156" i="231"/>
  <c r="AT11" i="233"/>
  <c r="AP18" i="233"/>
  <c r="BX43" i="234"/>
  <c r="J71" i="216"/>
  <c r="S35" i="216"/>
  <c r="F35" i="214"/>
  <c r="L32" i="273"/>
  <c r="AT57" i="214"/>
  <c r="AS66" i="214"/>
  <c r="BF43" i="233"/>
  <c r="CC43" i="234"/>
  <c r="CG20" i="234"/>
  <c r="CE25" i="234"/>
  <c r="CG25" i="234" s="1"/>
  <c r="BS32" i="234"/>
  <c r="BU32" i="234" s="1"/>
  <c r="T35" i="261"/>
  <c r="P16" i="216"/>
  <c r="M82" i="216"/>
  <c r="M84" i="216" s="1"/>
  <c r="W16" i="216"/>
  <c r="D19" i="229"/>
  <c r="D18" i="229"/>
  <c r="BN24" i="223"/>
  <c r="BO24" i="223" s="1"/>
  <c r="BL43" i="234"/>
  <c r="BY39" i="234"/>
  <c r="CA39" i="234" s="1"/>
  <c r="X31" i="235"/>
  <c r="E53" i="216"/>
  <c r="AE53" i="216"/>
  <c r="AH53" i="216"/>
  <c r="AH84" i="216" s="1"/>
  <c r="AH23" i="269"/>
  <c r="AG23" i="269"/>
  <c r="F211" i="232"/>
  <c r="L211" i="232" s="1"/>
  <c r="L209" i="232"/>
  <c r="L263" i="232"/>
  <c r="L271" i="232"/>
  <c r="AZ43" i="233"/>
  <c r="BB43" i="233" s="1"/>
  <c r="AT25" i="233"/>
  <c r="BY11" i="234"/>
  <c r="CG39" i="234"/>
  <c r="CF43" i="234"/>
  <c r="AA31" i="235"/>
  <c r="Q16" i="242"/>
  <c r="Q13" i="242"/>
  <c r="V10" i="243"/>
  <c r="V31" i="243" s="1"/>
  <c r="V16" i="243"/>
  <c r="N35" i="216"/>
  <c r="AD32" i="269"/>
  <c r="AG15" i="269"/>
  <c r="AG29" i="269"/>
  <c r="AH29" i="269"/>
  <c r="AF30" i="269"/>
  <c r="J47" i="216"/>
  <c r="H66" i="216"/>
  <c r="I81" i="216"/>
  <c r="I16" i="216"/>
  <c r="Q26" i="216"/>
  <c r="P61" i="216"/>
  <c r="W52" i="216"/>
  <c r="AA82" i="216"/>
  <c r="AE82" i="216" s="1"/>
  <c r="AJ53" i="216"/>
  <c r="AL47" i="216"/>
  <c r="F71" i="214"/>
  <c r="W35" i="261"/>
  <c r="Y35" i="261" s="1"/>
  <c r="Y30" i="261"/>
  <c r="AZ52" i="216"/>
  <c r="AM31" i="235"/>
  <c r="X20" i="269"/>
  <c r="M372" i="213"/>
  <c r="O372" i="213" s="1"/>
  <c r="O230" i="213"/>
  <c r="F86" i="232"/>
  <c r="L86" i="232" s="1"/>
  <c r="AH10" i="269"/>
  <c r="AG10" i="269"/>
  <c r="AT21" i="214"/>
  <c r="F82" i="216"/>
  <c r="P81" i="216"/>
  <c r="AD47" i="216"/>
  <c r="AA66" i="216"/>
  <c r="AF20" i="269"/>
  <c r="AH20" i="269" s="1"/>
  <c r="AG20" i="269"/>
  <c r="AC32" i="269"/>
  <c r="BN9" i="223"/>
  <c r="BO9" i="223"/>
  <c r="BN36" i="223"/>
  <c r="BO36" i="223"/>
  <c r="P43" i="272"/>
  <c r="Q32" i="272"/>
  <c r="J57" i="216"/>
  <c r="P41" i="216"/>
  <c r="O53" i="216"/>
  <c r="O84" i="216" s="1"/>
  <c r="X10" i="216"/>
  <c r="AD16" i="216"/>
  <c r="Z66" i="216"/>
  <c r="Z84" i="216" s="1"/>
  <c r="AE61" i="216"/>
  <c r="AB66" i="216"/>
  <c r="AE76" i="216"/>
  <c r="AY43" i="234"/>
  <c r="BC19" i="223"/>
  <c r="Z13" i="269"/>
  <c r="Y13" i="269"/>
  <c r="X15" i="269"/>
  <c r="Z15" i="269" s="1"/>
  <c r="AL83" i="222"/>
  <c r="AK85" i="222"/>
  <c r="AL85" i="222" s="1"/>
  <c r="O43" i="272"/>
  <c r="Q11" i="272"/>
  <c r="L242" i="232"/>
  <c r="L248" i="232"/>
  <c r="F252" i="232"/>
  <c r="L293" i="232"/>
  <c r="I71" i="216"/>
  <c r="P52" i="216"/>
  <c r="Q81" i="216"/>
  <c r="X34" i="216"/>
  <c r="W65" i="216"/>
  <c r="U66" i="216"/>
  <c r="AD34" i="216"/>
  <c r="AD41" i="216"/>
  <c r="AD53" i="216" s="1"/>
  <c r="AS84" i="216"/>
  <c r="L181" i="232"/>
  <c r="BA32" i="234"/>
  <c r="BC32" i="234" s="1"/>
  <c r="AZ61" i="216"/>
  <c r="AF66" i="261"/>
  <c r="Z43" i="233"/>
  <c r="Z28" i="269"/>
  <c r="Y28" i="269"/>
  <c r="BH24" i="223"/>
  <c r="BI24" i="223"/>
  <c r="J252" i="232"/>
  <c r="L267" i="232"/>
  <c r="CT26" i="253"/>
  <c r="DE22" i="253"/>
  <c r="DE36" i="253" s="1"/>
  <c r="I10" i="216"/>
  <c r="P47" i="216"/>
  <c r="L82" i="216"/>
  <c r="X57" i="216"/>
  <c r="AE47" i="216"/>
  <c r="AD81" i="216"/>
  <c r="AD82" i="216" s="1"/>
  <c r="AK65" i="216"/>
  <c r="BA39" i="234"/>
  <c r="BC39" i="234" s="1"/>
  <c r="AO37" i="223"/>
  <c r="BF41" i="216"/>
  <c r="BF47" i="216"/>
  <c r="Q8" i="269"/>
  <c r="R47" i="271"/>
  <c r="CT15" i="254"/>
  <c r="E66" i="216"/>
  <c r="J16" i="216"/>
  <c r="L35" i="216"/>
  <c r="W10" i="216"/>
  <c r="X21" i="216"/>
  <c r="W47" i="216"/>
  <c r="W61" i="216"/>
  <c r="W66" i="216" s="1"/>
  <c r="W81" i="216"/>
  <c r="AE16" i="216"/>
  <c r="AD26" i="216"/>
  <c r="AE52" i="216"/>
  <c r="AD61" i="216"/>
  <c r="AK71" i="216"/>
  <c r="AR84" i="216"/>
  <c r="AV47" i="271"/>
  <c r="BF21" i="216"/>
  <c r="AS43" i="234"/>
  <c r="AT39" i="234"/>
  <c r="AT43" i="234" s="1"/>
  <c r="F191" i="232"/>
  <c r="L191" i="232" s="1"/>
  <c r="AY41" i="216"/>
  <c r="AW53" i="216"/>
  <c r="AY76" i="216"/>
  <c r="BQ40" i="255"/>
  <c r="F149" i="232"/>
  <c r="L149" i="232" s="1"/>
  <c r="AL81" i="214"/>
  <c r="L97" i="232"/>
  <c r="E53" i="215"/>
  <c r="F53" i="215" s="1"/>
  <c r="H22" i="217"/>
  <c r="AR82" i="214"/>
  <c r="BY53" i="216"/>
  <c r="CB53" i="216" s="1"/>
  <c r="AG22" i="216"/>
  <c r="AU22" i="216"/>
  <c r="BX22" i="216"/>
  <c r="BX35" i="216"/>
  <c r="BX53" i="216"/>
  <c r="J170" i="232"/>
  <c r="G97" i="231"/>
  <c r="AY81" i="216"/>
  <c r="BF35" i="216"/>
  <c r="M47" i="217"/>
  <c r="E45" i="243"/>
  <c r="E49" i="243" s="1"/>
  <c r="AG14" i="269"/>
  <c r="G50" i="231"/>
  <c r="AV30" i="235"/>
  <c r="CB34" i="216"/>
  <c r="CB52" i="216"/>
  <c r="CB76" i="216"/>
  <c r="AY52" i="216"/>
  <c r="AU66" i="216"/>
  <c r="BF16" i="216"/>
  <c r="BJ45" i="255"/>
  <c r="AV31" i="235"/>
  <c r="L158" i="232"/>
  <c r="AY34" i="216"/>
  <c r="AZ81" i="216"/>
  <c r="BG84" i="216"/>
  <c r="G86" i="231"/>
  <c r="AO53" i="214"/>
  <c r="AP53" i="214" s="1"/>
  <c r="L74" i="232"/>
  <c r="L80" i="232"/>
  <c r="CB41" i="216"/>
  <c r="AT10" i="214"/>
  <c r="BW35" i="216"/>
  <c r="BW66" i="216"/>
  <c r="CA82" i="216"/>
  <c r="AB66" i="214"/>
  <c r="AD76" i="214"/>
  <c r="AY10" i="216"/>
  <c r="L168" i="232"/>
  <c r="AX22" i="216"/>
  <c r="AY65" i="216"/>
  <c r="AY66" i="216" s="1"/>
  <c r="AY71" i="216"/>
  <c r="BF52" i="216"/>
  <c r="BF57" i="216"/>
  <c r="BF66" i="216" s="1"/>
  <c r="L76" i="232"/>
  <c r="AR66" i="214"/>
  <c r="AT66" i="214" s="1"/>
  <c r="BW22" i="216"/>
  <c r="CB22" i="216" s="1"/>
  <c r="CB30" i="216"/>
  <c r="BW53" i="216"/>
  <c r="CA66" i="216"/>
  <c r="BZ82" i="216"/>
  <c r="CT12" i="255"/>
  <c r="BJ53" i="255"/>
  <c r="BB38" i="255"/>
  <c r="BB19" i="255"/>
  <c r="BX36" i="255"/>
  <c r="BQ44" i="255"/>
  <c r="BQ47" i="255" s="1"/>
  <c r="CW32" i="255"/>
  <c r="DE37" i="255"/>
  <c r="CN38" i="255"/>
  <c r="DN12" i="255"/>
  <c r="CN35" i="255"/>
  <c r="BQ18" i="255"/>
  <c r="BQ62" i="255" s="1"/>
  <c r="CW40" i="255"/>
  <c r="BJ33" i="255"/>
  <c r="DF33" i="255"/>
  <c r="CT37" i="255"/>
  <c r="BX9" i="255"/>
  <c r="BX44" i="255"/>
  <c r="BJ20" i="255"/>
  <c r="BJ37" i="255"/>
  <c r="BB47" i="255"/>
  <c r="CW12" i="255"/>
  <c r="DE32" i="255"/>
  <c r="DF9" i="255"/>
  <c r="CT9" i="255"/>
  <c r="CN20" i="255"/>
  <c r="CN47" i="255" s="1"/>
  <c r="CN30" i="255"/>
  <c r="DN40" i="255"/>
  <c r="DN43" i="255" s="1"/>
  <c r="BQ13" i="255"/>
  <c r="BB12" i="255"/>
  <c r="BB68" i="254"/>
  <c r="DN37" i="254"/>
  <c r="BJ25" i="254"/>
  <c r="BX17" i="254"/>
  <c r="CN9" i="254"/>
  <c r="BJ45" i="254"/>
  <c r="BJ18" i="254"/>
  <c r="DE11" i="253"/>
  <c r="DE28" i="253" s="1"/>
  <c r="DF11" i="253"/>
  <c r="CT16" i="253"/>
  <c r="CT27" i="253" s="1"/>
  <c r="CT36" i="253"/>
  <c r="AL18" i="253"/>
  <c r="AD11" i="253"/>
  <c r="Z10" i="214"/>
  <c r="AD61" i="214"/>
  <c r="AG35" i="214"/>
  <c r="AH35" i="214" s="1"/>
  <c r="AB53" i="214"/>
  <c r="F57" i="214"/>
  <c r="Q82" i="214"/>
  <c r="R82" i="214" s="1"/>
  <c r="E82" i="214"/>
  <c r="F82" i="214" s="1"/>
  <c r="AB82" i="214"/>
  <c r="AC53" i="214"/>
  <c r="AD81" i="214"/>
  <c r="AO82" i="214"/>
  <c r="AP82" i="214" s="1"/>
  <c r="X82" i="214"/>
  <c r="Z82" i="214" s="1"/>
  <c r="AD66" i="214"/>
  <c r="AC82" i="214"/>
  <c r="AC84" i="214" s="1"/>
  <c r="E53" i="214"/>
  <c r="AG66" i="214"/>
  <c r="AH66" i="214" s="1"/>
  <c r="X53" i="214"/>
  <c r="Z53" i="214" s="1"/>
  <c r="F41" i="214"/>
  <c r="M35" i="214"/>
  <c r="N35" i="214" s="1"/>
  <c r="F47" i="214"/>
  <c r="AT26" i="214"/>
  <c r="AT65" i="214"/>
  <c r="I35" i="214"/>
  <c r="J35" i="214" s="1"/>
  <c r="AT82" i="214"/>
  <c r="F65" i="214"/>
  <c r="AS35" i="214"/>
  <c r="AT34" i="214"/>
  <c r="AD16" i="214"/>
  <c r="Z21" i="214"/>
  <c r="AR53" i="214"/>
  <c r="AT53" i="214" s="1"/>
  <c r="AO66" i="214"/>
  <c r="AP66" i="214" s="1"/>
  <c r="I66" i="214"/>
  <c r="J66" i="214" s="1"/>
  <c r="U35" i="214"/>
  <c r="V35" i="214" s="1"/>
  <c r="X22" i="214"/>
  <c r="AD26" i="214"/>
  <c r="AC35" i="214"/>
  <c r="AT52" i="214"/>
  <c r="E72" i="237"/>
  <c r="E108" i="231"/>
  <c r="E97" i="231"/>
  <c r="L223" i="232"/>
  <c r="F231" i="232"/>
  <c r="L231" i="232" s="1"/>
  <c r="C273" i="232"/>
  <c r="F273" i="232" s="1"/>
  <c r="L273" i="232" s="1"/>
  <c r="L203" i="232"/>
  <c r="F170" i="232"/>
  <c r="F57" i="231"/>
  <c r="G57" i="231" s="1"/>
  <c r="L141" i="232"/>
  <c r="X66" i="216"/>
  <c r="U84" i="216"/>
  <c r="CB82" i="216"/>
  <c r="AL53" i="216"/>
  <c r="AK35" i="216"/>
  <c r="I35" i="216"/>
  <c r="W53" i="216"/>
  <c r="AD35" i="216"/>
  <c r="AD66" i="216"/>
  <c r="AY35" i="216"/>
  <c r="CB66" i="216"/>
  <c r="E84" i="216"/>
  <c r="J53" i="216"/>
  <c r="J81" i="216"/>
  <c r="P66" i="216"/>
  <c r="W82" i="216"/>
  <c r="AK22" i="216"/>
  <c r="AJ84" i="216"/>
  <c r="AK66" i="216"/>
  <c r="AL82" i="216"/>
  <c r="AK82" i="216"/>
  <c r="Q35" i="216"/>
  <c r="P82" i="216"/>
  <c r="AG84" i="216"/>
  <c r="AU84" i="216"/>
  <c r="AZ66" i="216"/>
  <c r="W35" i="216"/>
  <c r="Q76" i="216"/>
  <c r="J76" i="216"/>
  <c r="G82" i="216"/>
  <c r="Q53" i="216"/>
  <c r="AY82" i="216"/>
  <c r="P53" i="216"/>
  <c r="AB84" i="216"/>
  <c r="AE66" i="216"/>
  <c r="AG53" i="216"/>
  <c r="AU53" i="216"/>
  <c r="AZ53" i="216" s="1"/>
  <c r="AL65" i="216"/>
  <c r="AI66" i="216"/>
  <c r="AL66" i="216" s="1"/>
  <c r="AV22" i="216"/>
  <c r="AV84" i="216" s="1"/>
  <c r="CA22" i="216"/>
  <c r="BF22" i="216"/>
  <c r="Q52" i="216"/>
  <c r="J52" i="216"/>
  <c r="X41" i="216"/>
  <c r="AE65" i="216"/>
  <c r="S22" i="216"/>
  <c r="CB26" i="216"/>
  <c r="AW22" i="216"/>
  <c r="BY35" i="216"/>
  <c r="CB35" i="216" s="1"/>
  <c r="N82" i="216"/>
  <c r="Q82" i="216" s="1"/>
  <c r="J72" i="216"/>
  <c r="G22" i="216"/>
  <c r="G84" i="216" s="1"/>
  <c r="I21" i="216"/>
  <c r="I22" i="216" s="1"/>
  <c r="AD21" i="216"/>
  <c r="AD22" i="216" s="1"/>
  <c r="AK21" i="216"/>
  <c r="CB10" i="216"/>
  <c r="AL21" i="216"/>
  <c r="H82" i="216"/>
  <c r="H84" i="216" s="1"/>
  <c r="AX82" i="216"/>
  <c r="AX84" i="216" s="1"/>
  <c r="F22" i="216"/>
  <c r="F84" i="216" s="1"/>
  <c r="P21" i="216"/>
  <c r="P22" i="216" s="1"/>
  <c r="V35" i="216"/>
  <c r="AR21" i="216"/>
  <c r="AY16" i="216"/>
  <c r="AS21" i="216"/>
  <c r="AZ76" i="216"/>
  <c r="BG82" i="216"/>
  <c r="AW82" i="216"/>
  <c r="AZ82" i="216" s="1"/>
  <c r="Q47" i="216"/>
  <c r="L84" i="216"/>
  <c r="AE71" i="216"/>
  <c r="AL41" i="216"/>
  <c r="AY21" i="216"/>
  <c r="AA22" i="216"/>
  <c r="AK41" i="216"/>
  <c r="Q34" i="216"/>
  <c r="I72" i="216"/>
  <c r="I76" i="216" s="1"/>
  <c r="I82" i="216" s="1"/>
  <c r="W21" i="216"/>
  <c r="W22" i="216" s="1"/>
  <c r="AZ22" i="216"/>
  <c r="AL22" i="216"/>
  <c r="J21" i="216"/>
  <c r="AZ21" i="216"/>
  <c r="AC22" i="216"/>
  <c r="E82" i="215"/>
  <c r="Q53" i="215"/>
  <c r="R53" i="215" s="1"/>
  <c r="R10" i="215"/>
  <c r="Q66" i="215"/>
  <c r="R66" i="215" s="1"/>
  <c r="Q82" i="215"/>
  <c r="R82" i="215" s="1"/>
  <c r="E66" i="215"/>
  <c r="F66" i="215" s="1"/>
  <c r="E35" i="215"/>
  <c r="F35" i="215" s="1"/>
  <c r="Q35" i="215"/>
  <c r="R35" i="215" s="1"/>
  <c r="F82" i="215"/>
  <c r="F22" i="215"/>
  <c r="R22" i="215"/>
  <c r="AD53" i="214"/>
  <c r="Z22" i="214"/>
  <c r="AS84" i="214"/>
  <c r="AT84" i="214" s="1"/>
  <c r="F30" i="214"/>
  <c r="Q35" i="214"/>
  <c r="Q53" i="214"/>
  <c r="R53" i="214" s="1"/>
  <c r="AB35" i="214"/>
  <c r="AD35" i="214" s="1"/>
  <c r="AH82" i="214"/>
  <c r="F16" i="214"/>
  <c r="E66" i="214"/>
  <c r="F66" i="214" s="1"/>
  <c r="M22" i="214"/>
  <c r="N34" i="214"/>
  <c r="R71" i="214"/>
  <c r="Z16" i="214"/>
  <c r="AL57" i="214"/>
  <c r="AP52" i="214"/>
  <c r="D53" i="214"/>
  <c r="AO35" i="214"/>
  <c r="AK53" i="214"/>
  <c r="AL53" i="214" s="1"/>
  <c r="AD71" i="214"/>
  <c r="AD30" i="214"/>
  <c r="AR35" i="214"/>
  <c r="AT35" i="214" s="1"/>
  <c r="AB84" i="214"/>
  <c r="Q66" i="214"/>
  <c r="R66" i="214" s="1"/>
  <c r="U82" i="214"/>
  <c r="V82" i="214" s="1"/>
  <c r="AK35" i="214"/>
  <c r="AR22" i="214"/>
  <c r="AT22" i="214" s="1"/>
  <c r="AD22" i="214"/>
  <c r="CW9" i="255"/>
  <c r="CN26" i="255"/>
  <c r="CW28" i="255"/>
  <c r="AT11" i="255"/>
  <c r="AL14" i="255"/>
  <c r="BX26" i="255"/>
  <c r="DE12" i="255"/>
  <c r="DE56" i="255" s="1"/>
  <c r="BQ32" i="255"/>
  <c r="CE11" i="255"/>
  <c r="CE14" i="255" s="1"/>
  <c r="BQ36" i="255"/>
  <c r="AT38" i="255"/>
  <c r="DN9" i="255"/>
  <c r="DF19" i="255"/>
  <c r="CT21" i="255"/>
  <c r="CT28" i="255"/>
  <c r="DF25" i="255"/>
  <c r="DF29" i="255"/>
  <c r="CT40" i="255"/>
  <c r="CW21" i="255"/>
  <c r="DN22" i="255"/>
  <c r="DN32" i="255"/>
  <c r="BX18" i="255"/>
  <c r="BX32" i="255"/>
  <c r="BX40" i="255"/>
  <c r="BX52" i="255"/>
  <c r="BX53" i="255" s="1"/>
  <c r="DE40" i="255"/>
  <c r="AT55" i="255"/>
  <c r="DE21" i="255"/>
  <c r="DF12" i="255"/>
  <c r="DE28" i="255"/>
  <c r="DN28" i="255"/>
  <c r="CT32" i="255"/>
  <c r="CW37" i="255"/>
  <c r="CE38" i="255"/>
  <c r="CE41" i="255" s="1"/>
  <c r="BQ26" i="255"/>
  <c r="BQ59" i="255" s="1"/>
  <c r="AL55" i="255"/>
  <c r="BJ27" i="255"/>
  <c r="BJ12" i="255"/>
  <c r="BB43" i="255"/>
  <c r="BB34" i="255"/>
  <c r="BB28" i="255"/>
  <c r="AT14" i="255"/>
  <c r="AT47" i="255"/>
  <c r="AT43" i="255"/>
  <c r="BJ41" i="255"/>
  <c r="AD43" i="255"/>
  <c r="AL19" i="255"/>
  <c r="AL38" i="255"/>
  <c r="AL28" i="255"/>
  <c r="AL34" i="255"/>
  <c r="AD39" i="255"/>
  <c r="AD10" i="255"/>
  <c r="AD25" i="255"/>
  <c r="AT19" i="255"/>
  <c r="AD34" i="255"/>
  <c r="AL11" i="255"/>
  <c r="AL43" i="255"/>
  <c r="AT34" i="255"/>
  <c r="AD30" i="255"/>
  <c r="AL47" i="255"/>
  <c r="AD51" i="255"/>
  <c r="CN14" i="255"/>
  <c r="AT28" i="255"/>
  <c r="AD16" i="255"/>
  <c r="CN50" i="255"/>
  <c r="CT50" i="255"/>
  <c r="CW50" i="255"/>
  <c r="DE50" i="255"/>
  <c r="DF45" i="255"/>
  <c r="CN28" i="254"/>
  <c r="CT32" i="254"/>
  <c r="BX69" i="254"/>
  <c r="BX35" i="254"/>
  <c r="BJ76" i="254"/>
  <c r="BJ54" i="254"/>
  <c r="BB40" i="254"/>
  <c r="BB19" i="254"/>
  <c r="BB25" i="254" s="1"/>
  <c r="AT11" i="254"/>
  <c r="AT18" i="254"/>
  <c r="AT46" i="254"/>
  <c r="AT70" i="254"/>
  <c r="AL12" i="254"/>
  <c r="AL26" i="254"/>
  <c r="AL47" i="254"/>
  <c r="AL69" i="254"/>
  <c r="AL81" i="254"/>
  <c r="CT48" i="254"/>
  <c r="BX30" i="254"/>
  <c r="BX50" i="254"/>
  <c r="BX57" i="254"/>
  <c r="BQ10" i="254"/>
  <c r="BQ31" i="254"/>
  <c r="BQ42" i="254"/>
  <c r="AT34" i="254"/>
  <c r="CN42" i="254"/>
  <c r="CW36" i="254"/>
  <c r="CW59" i="254"/>
  <c r="CW66" i="254" s="1"/>
  <c r="BQ63" i="254"/>
  <c r="CN53" i="254"/>
  <c r="CN66" i="254" s="1"/>
  <c r="CE48" i="254"/>
  <c r="CE17" i="254"/>
  <c r="CW15" i="254"/>
  <c r="DN25" i="254"/>
  <c r="CE33" i="254"/>
  <c r="CE39" i="254" s="1"/>
  <c r="CT55" i="254"/>
  <c r="DE15" i="254"/>
  <c r="CN32" i="254"/>
  <c r="CW55" i="254"/>
  <c r="CW9" i="254"/>
  <c r="DF55" i="254"/>
  <c r="BX21" i="254"/>
  <c r="BX61" i="254"/>
  <c r="BQ22" i="254"/>
  <c r="BQ37" i="254"/>
  <c r="DN55" i="254"/>
  <c r="DN9" i="254"/>
  <c r="CN13" i="254"/>
  <c r="BJ12" i="254"/>
  <c r="BJ68" i="254"/>
  <c r="BJ64" i="254"/>
  <c r="BJ40" i="254"/>
  <c r="BJ34" i="254"/>
  <c r="BB76" i="254"/>
  <c r="BB65" i="254"/>
  <c r="BB57" i="254"/>
  <c r="BB45" i="254"/>
  <c r="BB34" i="254"/>
  <c r="BB12" i="254"/>
  <c r="AT25" i="254"/>
  <c r="AT41" i="254"/>
  <c r="AT66" i="254"/>
  <c r="AT58" i="254"/>
  <c r="AL19" i="254"/>
  <c r="AL35" i="254"/>
  <c r="AL42" i="254"/>
  <c r="AL73" i="254"/>
  <c r="CT9" i="254"/>
  <c r="DE9" i="254"/>
  <c r="CE11" i="254"/>
  <c r="DF15" i="254"/>
  <c r="CN23" i="254"/>
  <c r="CW25" i="254"/>
  <c r="CW32" i="254"/>
  <c r="CW48" i="254"/>
  <c r="BX11" i="254"/>
  <c r="BX40" i="254"/>
  <c r="BQ52" i="254"/>
  <c r="BQ16" i="254"/>
  <c r="BQ60" i="254"/>
  <c r="AL59" i="254"/>
  <c r="DE16" i="254"/>
  <c r="DE17" i="254" s="1"/>
  <c r="DF9" i="254"/>
  <c r="DN32" i="254"/>
  <c r="DF35" i="254"/>
  <c r="DN46" i="254"/>
  <c r="CN49" i="254"/>
  <c r="DE55" i="254"/>
  <c r="CE55" i="254"/>
  <c r="DN14" i="254"/>
  <c r="CT25" i="254"/>
  <c r="DE25" i="254"/>
  <c r="DF31" i="254"/>
  <c r="DE32" i="254"/>
  <c r="DE36" i="254"/>
  <c r="DF52" i="254"/>
  <c r="DF24" i="254"/>
  <c r="CT66" i="254"/>
  <c r="AT78" i="254"/>
  <c r="CT36" i="254"/>
  <c r="DE59" i="254"/>
  <c r="DF8" i="253"/>
  <c r="CE8" i="253"/>
  <c r="CE11" i="253" s="1"/>
  <c r="CE17" i="253"/>
  <c r="CE22" i="253"/>
  <c r="CE23" i="253" s="1"/>
  <c r="DN16" i="253"/>
  <c r="DN22" i="253" s="1"/>
  <c r="DE16" i="253"/>
  <c r="DE27" i="253" s="1"/>
  <c r="DE8" i="253"/>
  <c r="DF44" i="254"/>
  <c r="DE47" i="254"/>
  <c r="CN57" i="254"/>
  <c r="AT11" i="253"/>
  <c r="BJ10" i="253"/>
  <c r="BJ11" i="253" s="1"/>
  <c r="BQ23" i="253"/>
  <c r="BQ34" i="253" s="1"/>
  <c r="AL11" i="253"/>
  <c r="BJ16" i="253"/>
  <c r="BJ17" i="253" s="1"/>
  <c r="BQ16" i="253"/>
  <c r="BQ17" i="253" s="1"/>
  <c r="CN13" i="253"/>
  <c r="CN14" i="253" s="1"/>
  <c r="BX23" i="253"/>
  <c r="BX27" i="253" s="1"/>
  <c r="BB17" i="253"/>
  <c r="BB26" i="253" s="1"/>
  <c r="AK21" i="253"/>
  <c r="CN26" i="253"/>
  <c r="AT18" i="253"/>
  <c r="AD18" i="253"/>
  <c r="DF13" i="253"/>
  <c r="CW27" i="253"/>
  <c r="CW35" i="253"/>
  <c r="CW34" i="253"/>
  <c r="DF36" i="253"/>
  <c r="BG64" i="250"/>
  <c r="BH64" i="250" s="1"/>
  <c r="EI75" i="250"/>
  <c r="BG65" i="250"/>
  <c r="BG82" i="250" s="1"/>
  <c r="BG90" i="250" s="1"/>
  <c r="BH90" i="250" s="1"/>
  <c r="BU59" i="250"/>
  <c r="BC64" i="250"/>
  <c r="BE64" i="250"/>
  <c r="BA64" i="250"/>
  <c r="BB64" i="250"/>
  <c r="AZ64" i="250"/>
  <c r="BD64" i="250"/>
  <c r="BD90" i="250"/>
  <c r="BC86" i="250"/>
  <c r="BC90" i="250" s="1"/>
  <c r="BC72" i="250"/>
  <c r="AY64" i="250"/>
  <c r="BD72" i="250"/>
  <c r="BA72" i="250"/>
  <c r="BA82" i="250"/>
  <c r="BA90" i="250" s="1"/>
  <c r="AZ72" i="250"/>
  <c r="AZ84" i="250"/>
  <c r="AZ90" i="250" s="1"/>
  <c r="BB72" i="250"/>
  <c r="BB82" i="250"/>
  <c r="BB90" i="250" s="1"/>
  <c r="BF72" i="250"/>
  <c r="BF82" i="250"/>
  <c r="BF90" i="250" s="1"/>
  <c r="AX72" i="250"/>
  <c r="AX82" i="250"/>
  <c r="AX90" i="250" s="1"/>
  <c r="AY82" i="250"/>
  <c r="AY90" i="250" s="1"/>
  <c r="AY72" i="250"/>
  <c r="BF64" i="250"/>
  <c r="AX64" i="250"/>
  <c r="BE65" i="250"/>
  <c r="CZ91" i="274"/>
  <c r="CZ78" i="274"/>
  <c r="CZ56" i="274"/>
  <c r="CZ26" i="274"/>
  <c r="CZ106" i="274"/>
  <c r="O532" i="213"/>
  <c r="I950" i="213"/>
  <c r="O222" i="212"/>
  <c r="O403" i="212"/>
  <c r="AP43" i="233" l="1"/>
  <c r="L170" i="232"/>
  <c r="Q84" i="220"/>
  <c r="R84" i="220" s="1"/>
  <c r="X84" i="220"/>
  <c r="Z84" i="220" s="1"/>
  <c r="AK84" i="220"/>
  <c r="AL84" i="220" s="1"/>
  <c r="AU11" i="234"/>
  <c r="BG43" i="234"/>
  <c r="BI43" i="234" s="1"/>
  <c r="BD43" i="272"/>
  <c r="BE43" i="272" s="1"/>
  <c r="AO43" i="272"/>
  <c r="F85" i="222"/>
  <c r="P85" i="222"/>
  <c r="R23" i="222"/>
  <c r="CT58" i="255"/>
  <c r="CT56" i="255"/>
  <c r="CW49" i="255"/>
  <c r="BJ48" i="255"/>
  <c r="CT71" i="254"/>
  <c r="CT64" i="254"/>
  <c r="AD22" i="253"/>
  <c r="DF34" i="253"/>
  <c r="L84" i="261"/>
  <c r="M84" i="261" s="1"/>
  <c r="AC22" i="261"/>
  <c r="AB84" i="261"/>
  <c r="AC84" i="261" s="1"/>
  <c r="D84" i="261"/>
  <c r="E84" i="261" s="1"/>
  <c r="Q53" i="261"/>
  <c r="M35" i="261"/>
  <c r="U22" i="261"/>
  <c r="Q43" i="272"/>
  <c r="BA11" i="272"/>
  <c r="I84" i="214"/>
  <c r="J84" i="214" s="1"/>
  <c r="Y31" i="243"/>
  <c r="M84" i="220"/>
  <c r="N84" i="220" s="1"/>
  <c r="N53" i="220"/>
  <c r="S84" i="261"/>
  <c r="AD84" i="214"/>
  <c r="N23" i="222"/>
  <c r="M85" i="222"/>
  <c r="N85" i="222" s="1"/>
  <c r="CN41" i="255"/>
  <c r="AP87" i="222"/>
  <c r="AL87" i="222"/>
  <c r="Z10" i="269"/>
  <c r="Y10" i="269"/>
  <c r="X32" i="269"/>
  <c r="BN37" i="223"/>
  <c r="BO37" i="223" s="1"/>
  <c r="AC84" i="220"/>
  <c r="AD84" i="220" s="1"/>
  <c r="Q85" i="222"/>
  <c r="R85" i="222" s="1"/>
  <c r="P84" i="216"/>
  <c r="AI84" i="216"/>
  <c r="AF32" i="269"/>
  <c r="AH32" i="269" s="1"/>
  <c r="AD37" i="223"/>
  <c r="I85" i="222"/>
  <c r="J85" i="222" s="1"/>
  <c r="J87" i="222" s="1"/>
  <c r="J83" i="222"/>
  <c r="S31" i="243"/>
  <c r="CE43" i="234"/>
  <c r="CG43" i="234" s="1"/>
  <c r="CG11" i="234"/>
  <c r="AE31" i="223"/>
  <c r="AY53" i="216"/>
  <c r="BF53" i="216"/>
  <c r="BF84" i="216" s="1"/>
  <c r="N35" i="221"/>
  <c r="M84" i="221"/>
  <c r="N84" i="221" s="1"/>
  <c r="Y15" i="269"/>
  <c r="T84" i="220"/>
  <c r="V84" i="220" s="1"/>
  <c r="V35" i="220"/>
  <c r="BM43" i="234"/>
  <c r="BO43" i="234" s="1"/>
  <c r="BO11" i="234"/>
  <c r="O84" i="261"/>
  <c r="Q84" i="261" s="1"/>
  <c r="Q22" i="261"/>
  <c r="M31" i="223"/>
  <c r="X37" i="223"/>
  <c r="Y37" i="223" s="1"/>
  <c r="AK53" i="216"/>
  <c r="L252" i="232"/>
  <c r="V22" i="221"/>
  <c r="U84" i="221"/>
  <c r="V84" i="221" s="1"/>
  <c r="I32" i="269"/>
  <c r="AH30" i="269"/>
  <c r="AG30" i="269"/>
  <c r="AA84" i="216"/>
  <c r="CA11" i="234"/>
  <c r="BY43" i="234"/>
  <c r="CA43" i="234" s="1"/>
  <c r="T84" i="261"/>
  <c r="U35" i="261"/>
  <c r="F66" i="220"/>
  <c r="E84" i="220"/>
  <c r="F84" i="220" s="1"/>
  <c r="S31" i="223"/>
  <c r="R37" i="223"/>
  <c r="S37" i="223" s="1"/>
  <c r="T85" i="222"/>
  <c r="V85" i="222" s="1"/>
  <c r="W84" i="261"/>
  <c r="Y84" i="261" s="1"/>
  <c r="AG66" i="261"/>
  <c r="AF84" i="261"/>
  <c r="AG84" i="261" s="1"/>
  <c r="Z20" i="269"/>
  <c r="Y20" i="269"/>
  <c r="J66" i="216"/>
  <c r="AE37" i="223"/>
  <c r="BA43" i="234"/>
  <c r="BC43" i="234" s="1"/>
  <c r="BC11" i="234"/>
  <c r="F37" i="223"/>
  <c r="G37" i="223" s="1"/>
  <c r="G32" i="223"/>
  <c r="BS43" i="234"/>
  <c r="BU43" i="234" s="1"/>
  <c r="CT48" i="255"/>
  <c r="CN49" i="255"/>
  <c r="CN48" i="255"/>
  <c r="BQ61" i="255"/>
  <c r="BB50" i="255"/>
  <c r="BB20" i="255"/>
  <c r="BQ19" i="255"/>
  <c r="BX19" i="255"/>
  <c r="CT47" i="255"/>
  <c r="BJ38" i="255"/>
  <c r="DF51" i="255"/>
  <c r="DN15" i="255"/>
  <c r="CW57" i="255"/>
  <c r="BX47" i="255"/>
  <c r="BJ21" i="255"/>
  <c r="DF44" i="255"/>
  <c r="CN31" i="255"/>
  <c r="CW48" i="255"/>
  <c r="CW56" i="255"/>
  <c r="CE45" i="255"/>
  <c r="BX37" i="255"/>
  <c r="BX75" i="254"/>
  <c r="BJ26" i="254"/>
  <c r="DF59" i="254"/>
  <c r="CN63" i="254"/>
  <c r="CN16" i="254"/>
  <c r="CT65" i="254"/>
  <c r="AT26" i="254"/>
  <c r="CT35" i="253"/>
  <c r="CT30" i="253" s="1"/>
  <c r="AT21" i="253"/>
  <c r="CE27" i="253"/>
  <c r="DF26" i="253"/>
  <c r="DE26" i="253"/>
  <c r="DF30" i="253" s="1"/>
  <c r="DE34" i="253"/>
  <c r="AG84" i="214"/>
  <c r="AH84" i="214" s="1"/>
  <c r="U84" i="214"/>
  <c r="V84" i="214" s="1"/>
  <c r="X84" i="214"/>
  <c r="Z84" i="214" s="1"/>
  <c r="AD82" i="214"/>
  <c r="F62" i="231"/>
  <c r="G62" i="231" s="1"/>
  <c r="J84" i="216"/>
  <c r="J82" i="216"/>
  <c r="AL84" i="216"/>
  <c r="I84" i="216"/>
  <c r="J22" i="216"/>
  <c r="AK84" i="216"/>
  <c r="AY22" i="216"/>
  <c r="AY84" i="216" s="1"/>
  <c r="N84" i="216"/>
  <c r="Q84" i="216" s="1"/>
  <c r="AW84" i="216"/>
  <c r="AZ84" i="216" s="1"/>
  <c r="W84" i="216"/>
  <c r="V84" i="216"/>
  <c r="X35" i="216"/>
  <c r="AD84" i="216"/>
  <c r="S84" i="216"/>
  <c r="X22" i="216"/>
  <c r="AE22" i="216"/>
  <c r="AC84" i="216"/>
  <c r="AE84" i="216" s="1"/>
  <c r="Q84" i="215"/>
  <c r="R84" i="215" s="1"/>
  <c r="E84" i="215"/>
  <c r="F84" i="215" s="1"/>
  <c r="Q84" i="214"/>
  <c r="R84" i="214" s="1"/>
  <c r="R35" i="214"/>
  <c r="AL35" i="214"/>
  <c r="AK84" i="214"/>
  <c r="AL84" i="214" s="1"/>
  <c r="AO84" i="214"/>
  <c r="AP84" i="214" s="1"/>
  <c r="AP35" i="214"/>
  <c r="N22" i="214"/>
  <c r="M84" i="214"/>
  <c r="N84" i="214" s="1"/>
  <c r="D84" i="214"/>
  <c r="F53" i="214"/>
  <c r="E84" i="214"/>
  <c r="CW47" i="255"/>
  <c r="AT50" i="255"/>
  <c r="DE48" i="255"/>
  <c r="CW58" i="255"/>
  <c r="DE49" i="255"/>
  <c r="BQ37" i="255"/>
  <c r="DF43" i="255"/>
  <c r="AD46" i="255"/>
  <c r="DN33" i="255"/>
  <c r="BQ60" i="255"/>
  <c r="DF53" i="255"/>
  <c r="DE58" i="255"/>
  <c r="CT57" i="255"/>
  <c r="CT60" i="255" s="1"/>
  <c r="DF52" i="255"/>
  <c r="CT49" i="255"/>
  <c r="CT52" i="255" s="1"/>
  <c r="BB39" i="255"/>
  <c r="DF42" i="255"/>
  <c r="DE57" i="255"/>
  <c r="DE47" i="255"/>
  <c r="AL20" i="255"/>
  <c r="AT20" i="255"/>
  <c r="AL39" i="255"/>
  <c r="CN42" i="255"/>
  <c r="AT39" i="255"/>
  <c r="CN51" i="255"/>
  <c r="AD35" i="255"/>
  <c r="AD17" i="255"/>
  <c r="AL50" i="255"/>
  <c r="CT73" i="254"/>
  <c r="AL27" i="254"/>
  <c r="CW71" i="254"/>
  <c r="BQ79" i="254"/>
  <c r="BQ76" i="254"/>
  <c r="BQ43" i="254"/>
  <c r="CW65" i="254"/>
  <c r="DN38" i="254"/>
  <c r="BX76" i="254"/>
  <c r="AT47" i="254"/>
  <c r="BX62" i="254"/>
  <c r="BQ78" i="254"/>
  <c r="CE60" i="254"/>
  <c r="AT71" i="254"/>
  <c r="BX74" i="254"/>
  <c r="CE20" i="254"/>
  <c r="CW73" i="254"/>
  <c r="BX41" i="254"/>
  <c r="CW63" i="254"/>
  <c r="BB46" i="254"/>
  <c r="CN33" i="254"/>
  <c r="CN65" i="254"/>
  <c r="DN58" i="254"/>
  <c r="DE71" i="254"/>
  <c r="CW72" i="254"/>
  <c r="BJ69" i="254"/>
  <c r="BB69" i="254"/>
  <c r="DF17" i="254"/>
  <c r="DF62" i="254"/>
  <c r="BX77" i="254"/>
  <c r="BX22" i="254"/>
  <c r="BQ64" i="254"/>
  <c r="DN18" i="254"/>
  <c r="BJ46" i="254"/>
  <c r="CN64" i="254"/>
  <c r="BQ77" i="254"/>
  <c r="DE72" i="254"/>
  <c r="CN54" i="254"/>
  <c r="CW64" i="254"/>
  <c r="CT63" i="254"/>
  <c r="BQ23" i="254"/>
  <c r="DE63" i="254"/>
  <c r="DF61" i="254"/>
  <c r="CT72" i="254"/>
  <c r="BB26" i="254"/>
  <c r="AL48" i="254"/>
  <c r="AL74" i="254"/>
  <c r="DE66" i="254"/>
  <c r="DF68" i="254"/>
  <c r="DE65" i="254"/>
  <c r="DF69" i="254"/>
  <c r="DE35" i="253"/>
  <c r="AL21" i="253"/>
  <c r="DF35" i="253"/>
  <c r="DF27" i="253"/>
  <c r="BQ27" i="253"/>
  <c r="DE73" i="254"/>
  <c r="DF70" i="254"/>
  <c r="DF60" i="254"/>
  <c r="DE64" i="254"/>
  <c r="CN27" i="253"/>
  <c r="CN19" i="253"/>
  <c r="CN30" i="253"/>
  <c r="BJ26" i="253"/>
  <c r="CW38" i="253"/>
  <c r="CW30" i="253"/>
  <c r="BG72" i="250"/>
  <c r="BH72" i="250" s="1"/>
  <c r="BE82" i="250"/>
  <c r="BE90" i="250" s="1"/>
  <c r="BE72" i="250"/>
  <c r="J946" i="213"/>
  <c r="J947" i="213"/>
  <c r="J949" i="213"/>
  <c r="AW11" i="234" l="1"/>
  <c r="AU43" i="234"/>
  <c r="AW43" i="234" s="1"/>
  <c r="R87" i="222"/>
  <c r="BB56" i="255"/>
  <c r="DN44" i="255"/>
  <c r="CW52" i="255"/>
  <c r="CT67" i="254"/>
  <c r="BJ77" i="254"/>
  <c r="U84" i="261"/>
  <c r="V87" i="222"/>
  <c r="Z87" i="222"/>
  <c r="X84" i="216"/>
  <c r="N87" i="222"/>
  <c r="AG32" i="269"/>
  <c r="Y32" i="269"/>
  <c r="Z32" i="269"/>
  <c r="BQ54" i="255"/>
  <c r="BJ54" i="255"/>
  <c r="BX54" i="255"/>
  <c r="DF55" i="255"/>
  <c r="CW60" i="255"/>
  <c r="CT75" i="254"/>
  <c r="DE30" i="253"/>
  <c r="DF38" i="253"/>
  <c r="DE38" i="253"/>
  <c r="F84" i="214"/>
  <c r="DE52" i="255"/>
  <c r="DE60" i="255"/>
  <c r="DF47" i="255"/>
  <c r="AT56" i="255"/>
  <c r="AL56" i="255"/>
  <c r="AD52" i="255"/>
  <c r="CW75" i="254"/>
  <c r="CW67" i="254"/>
  <c r="BB77" i="254"/>
  <c r="BX70" i="254"/>
  <c r="AT79" i="254"/>
  <c r="CE68" i="254"/>
  <c r="CN58" i="254"/>
  <c r="DF72" i="254"/>
  <c r="CN67" i="254"/>
  <c r="DN59" i="254"/>
  <c r="AL83" i="254"/>
  <c r="DE74" i="254"/>
  <c r="DF64" i="254"/>
  <c r="DE67" i="254"/>
  <c r="J948" i="213"/>
  <c r="J950" i="213" s="1"/>
  <c r="U221" i="251"/>
  <c r="U213" i="251"/>
  <c r="U222" i="251" s="1"/>
  <c r="U275" i="251" s="1"/>
  <c r="U302" i="251" s="1"/>
  <c r="W222" i="251" l="1"/>
  <c r="U274" i="251"/>
  <c r="W213" i="251"/>
  <c r="U301" i="251" l="1"/>
  <c r="W302" i="251" s="1"/>
  <c r="W275" i="251"/>
</calcChain>
</file>

<file path=xl/sharedStrings.xml><?xml version="1.0" encoding="utf-8"?>
<sst xmlns="http://schemas.openxmlformats.org/spreadsheetml/2006/main" count="33727" uniqueCount="4164">
  <si>
    <t>Unidad</t>
  </si>
  <si>
    <t>División</t>
  </si>
  <si>
    <t>Plan de Estudios</t>
  </si>
  <si>
    <t>Azcapotzalco</t>
  </si>
  <si>
    <t>CBI</t>
  </si>
  <si>
    <t>Ing. Ambiental</t>
  </si>
  <si>
    <t>Ing. Civil</t>
  </si>
  <si>
    <t>Ing. Eléctrica</t>
  </si>
  <si>
    <t>Ing. Física</t>
  </si>
  <si>
    <t>Ing. Industrial</t>
  </si>
  <si>
    <t>Ing. Mecánica</t>
  </si>
  <si>
    <t>Ing. Metalúrgica</t>
  </si>
  <si>
    <t>Ing. Química</t>
  </si>
  <si>
    <t>Ing. Electrónica</t>
  </si>
  <si>
    <t>Ing. en Computación</t>
  </si>
  <si>
    <t>Total</t>
  </si>
  <si>
    <t>CSH</t>
  </si>
  <si>
    <t>Administración</t>
  </si>
  <si>
    <t>Derecho</t>
  </si>
  <si>
    <t>Economía</t>
  </si>
  <si>
    <t>Sociología</t>
  </si>
  <si>
    <t>CAD</t>
  </si>
  <si>
    <t>Arquitectura</t>
  </si>
  <si>
    <t>Diseño de la Comunicación Gráfica</t>
  </si>
  <si>
    <t>Diseño Industrial</t>
  </si>
  <si>
    <t>Iztapalapa</t>
  </si>
  <si>
    <t>Ing. Biomédica</t>
  </si>
  <si>
    <t>Ing. Hidrológica</t>
  </si>
  <si>
    <t>Ing. en Energía</t>
  </si>
  <si>
    <t>Física</t>
  </si>
  <si>
    <t>Matemáticas</t>
  </si>
  <si>
    <t>Química</t>
  </si>
  <si>
    <t>Computación</t>
  </si>
  <si>
    <t>Antropología Social</t>
  </si>
  <si>
    <t>Letras Hispánicas</t>
  </si>
  <si>
    <t>Filosofía</t>
  </si>
  <si>
    <t>Historia</t>
  </si>
  <si>
    <t>Lingüistica</t>
  </si>
  <si>
    <t>Ciencia Política</t>
  </si>
  <si>
    <t>Psicología Social</t>
  </si>
  <si>
    <t>Geografía Humana</t>
  </si>
  <si>
    <t>CBS</t>
  </si>
  <si>
    <t>Biología</t>
  </si>
  <si>
    <t>Biología Experimental</t>
  </si>
  <si>
    <t>Hidrobiología</t>
  </si>
  <si>
    <t>Producción Animal</t>
  </si>
  <si>
    <t>Ing. Bioquímica Industrial</t>
  </si>
  <si>
    <t>Ing. de los Alimentos</t>
  </si>
  <si>
    <t>Xochimilco</t>
  </si>
  <si>
    <t>Comunicación Social</t>
  </si>
  <si>
    <t>Psicología</t>
  </si>
  <si>
    <t>Política y Gestión Social</t>
  </si>
  <si>
    <t>Enfermería</t>
  </si>
  <si>
    <t>Estomatología</t>
  </si>
  <si>
    <t>Química Farmacéutica Biológica</t>
  </si>
  <si>
    <t>Medicina Veterinaria y Zootecnia</t>
  </si>
  <si>
    <t>Agronomía</t>
  </si>
  <si>
    <t>Nutrición</t>
  </si>
  <si>
    <t>Planeación Territorial</t>
  </si>
  <si>
    <t>Cuajimalpa</t>
  </si>
  <si>
    <t>Estudios Socioterritoriales</t>
  </si>
  <si>
    <t>CCD</t>
  </si>
  <si>
    <t>Diseño</t>
  </si>
  <si>
    <t>Ciencias de la Comunicación</t>
  </si>
  <si>
    <t>CNI</t>
  </si>
  <si>
    <t>Matemáticas Aplicadas</t>
  </si>
  <si>
    <t>Eficiencia Terminal</t>
  </si>
  <si>
    <t>TOTAL UAM</t>
  </si>
  <si>
    <t>UNIDAD</t>
  </si>
  <si>
    <t>DIVISIÓN</t>
  </si>
  <si>
    <t>AZCAPOTZALCO</t>
  </si>
  <si>
    <t>TOTAL</t>
  </si>
  <si>
    <t>CUAJIMALPA</t>
  </si>
  <si>
    <t>IZTAPALAPA</t>
  </si>
  <si>
    <t>XOCHIMILCO</t>
  </si>
  <si>
    <t>UAM</t>
  </si>
  <si>
    <t>%</t>
  </si>
  <si>
    <t>L</t>
  </si>
  <si>
    <t>E</t>
  </si>
  <si>
    <t>M</t>
  </si>
  <si>
    <t>D</t>
  </si>
  <si>
    <t>Biología Molecular</t>
  </si>
  <si>
    <t>LERMA</t>
  </si>
  <si>
    <t>S N I</t>
  </si>
  <si>
    <t>INVESTIGACIÓN</t>
  </si>
  <si>
    <t>Secretaría</t>
  </si>
  <si>
    <t>Rectoría</t>
  </si>
  <si>
    <t>Rectoría General</t>
  </si>
  <si>
    <t>INSTITUCIÓN</t>
  </si>
  <si>
    <t>Ranking México</t>
  </si>
  <si>
    <t>Ranking Mundial</t>
  </si>
  <si>
    <t>UNIVERSIDAD</t>
  </si>
  <si>
    <t xml:space="preserve"> Universidad Nacional Autónoma de México</t>
  </si>
  <si>
    <t>Centro de Investigación y de Estudios Avanzados del IPN</t>
  </si>
  <si>
    <t xml:space="preserve"> Instituto Politécnico Nacional</t>
  </si>
  <si>
    <t>Universidad Autónoma Metropolitana</t>
  </si>
  <si>
    <t>Universidad de Guadalajara</t>
  </si>
  <si>
    <t>(Miles de pesos)</t>
  </si>
  <si>
    <t>(Monto en pesos)</t>
  </si>
  <si>
    <t>Concepto</t>
  </si>
  <si>
    <t>Subsidio Federal</t>
  </si>
  <si>
    <t>Porcentaje</t>
  </si>
  <si>
    <t>Esp en Literatura Mexicana del Siglo XX</t>
  </si>
  <si>
    <t>CyAD</t>
  </si>
  <si>
    <t>Esp-Mtría-Doc en Diseño</t>
  </si>
  <si>
    <t>Total Azcapotzalco</t>
  </si>
  <si>
    <t>Esp-Mtría-Doc en Ciencias Antropológicas</t>
  </si>
  <si>
    <t>Esp en Biotecnología</t>
  </si>
  <si>
    <t>Esp en Acupuntura y Fitoterapia</t>
  </si>
  <si>
    <t>Total Iztapalapa</t>
  </si>
  <si>
    <t>Esp-Mtría-Doc en Desarrollo Rural</t>
  </si>
  <si>
    <t>Esp-Mtría en Patología y Medicina Bucal</t>
  </si>
  <si>
    <t>Total UAM</t>
  </si>
  <si>
    <t>Mtría en Ciencias de la Computación</t>
  </si>
  <si>
    <t>Esp-Mtría-Doc en Ciencias e Ingeniería</t>
  </si>
  <si>
    <t>Mtría-Doc en Ing. Estructural</t>
  </si>
  <si>
    <t>Mtría en Planeación y Políticas Metropolitanas</t>
  </si>
  <si>
    <t>Mtría-Doc en Sociología</t>
  </si>
  <si>
    <t>Posgrado en Historiografía</t>
  </si>
  <si>
    <t>Posgrado en Física</t>
  </si>
  <si>
    <t>Posgrado en Matemáticas</t>
  </si>
  <si>
    <t>Posgrado en Química</t>
  </si>
  <si>
    <t>Posgrado en Ingeniería Química</t>
  </si>
  <si>
    <t>Posgrado en Ingeniería Biomédica</t>
  </si>
  <si>
    <t>Mtría-Doc en Estudios Organizacionales</t>
  </si>
  <si>
    <t>Mtría-Doc en Humanidades</t>
  </si>
  <si>
    <t>Mtría-Doc en Estudios Sociales</t>
  </si>
  <si>
    <t>Mtría-Doc en Ciencias Económicas</t>
  </si>
  <si>
    <t>Posgrado en Biotecnología</t>
  </si>
  <si>
    <t>Posgrado en Biología Experimental</t>
  </si>
  <si>
    <t>Mtría en Biología</t>
  </si>
  <si>
    <t>Mtría en Desarrollo y Planeación de la Educación</t>
  </si>
  <si>
    <t>Mtría en Economía y Gestión del Cambio Tecnológico</t>
  </si>
  <si>
    <t>Esp-Mtría en Estudios de la Mujer</t>
  </si>
  <si>
    <t>Mtría en Psicología Social de Grupos e Instituciones</t>
  </si>
  <si>
    <t>Mtría en Políticas Públicas</t>
  </si>
  <si>
    <t>Mtría en Comunicación y Política</t>
  </si>
  <si>
    <t>Esp-Mtría en Medicina Social</t>
  </si>
  <si>
    <t>Mtría en Rehabilitación Neurológica</t>
  </si>
  <si>
    <t>Mtría en Ciencias en Salud en el Trabajo</t>
  </si>
  <si>
    <t>Mtría en Ciencias Farmacéuticas</t>
  </si>
  <si>
    <t>Mtría en Ciencias Agropecuarias</t>
  </si>
  <si>
    <t>Mtría en Ciencias y Artes para el Diseño</t>
  </si>
  <si>
    <t>Doc en Ciencias Sociales</t>
  </si>
  <si>
    <t>Doc en Ciencias en Salud Colectiva</t>
  </si>
  <si>
    <t>Doc en Ciencias y Artes para el Diseño</t>
  </si>
  <si>
    <t>Institución</t>
  </si>
  <si>
    <t>2004 - 2008</t>
  </si>
  <si>
    <t>Artículos</t>
  </si>
  <si>
    <t>Citas</t>
  </si>
  <si>
    <t>Impacto</t>
  </si>
  <si>
    <t>Universidad Nacional Autónoma de México</t>
  </si>
  <si>
    <t>Secretaría de Salud</t>
  </si>
  <si>
    <t>Instituto Politécnico Nacional</t>
  </si>
  <si>
    <t>Instituto Mexicano del Seguro Social</t>
  </si>
  <si>
    <t>Instituto Mexicano del Petróleo</t>
  </si>
  <si>
    <t>Universidad Autónoma de Nuevo León</t>
  </si>
  <si>
    <t>Universidad Autónoma de Puebla</t>
  </si>
  <si>
    <t>Secretaría de Educación Pública</t>
  </si>
  <si>
    <t>Fuente: Institute for Scientific Information, 2009.</t>
  </si>
  <si>
    <t>Duración en horas</t>
  </si>
  <si>
    <t>FUENTE: Unidades Universitarias</t>
  </si>
  <si>
    <t>Total de presupuesto  ajustado 2010 de otros gastos de operación, mantenimiento e inversión</t>
  </si>
  <si>
    <t>Equipamiento</t>
  </si>
  <si>
    <t>FUENTE: Ejercicio Presupuestal 2010.</t>
  </si>
  <si>
    <t>Temática</t>
  </si>
  <si>
    <t>Núm.</t>
  </si>
  <si>
    <t xml:space="preserve">Escolares </t>
  </si>
  <si>
    <t xml:space="preserve">Laborales </t>
  </si>
  <si>
    <t xml:space="preserve">Vinculación </t>
  </si>
  <si>
    <t xml:space="preserve">Académicos  </t>
  </si>
  <si>
    <t xml:space="preserve">Financieros y presupuestales </t>
  </si>
  <si>
    <t xml:space="preserve">Legislación universitaria </t>
  </si>
  <si>
    <t xml:space="preserve">Estadísticas y encuestas </t>
  </si>
  <si>
    <t xml:space="preserve">Difusión cultural </t>
  </si>
  <si>
    <t xml:space="preserve">No es materia de la Ley </t>
  </si>
  <si>
    <t>Planeación</t>
  </si>
  <si>
    <t xml:space="preserve">Otros </t>
  </si>
  <si>
    <t>PROGRAMAS DE SALUD</t>
  </si>
  <si>
    <t>No. DE BENEFICIARIOS</t>
  </si>
  <si>
    <t>DISCIPLINA</t>
  </si>
  <si>
    <t>NO. DE BENEFICIARIOS</t>
  </si>
  <si>
    <t>Basquetbol</t>
  </si>
  <si>
    <t>Ajedrez</t>
  </si>
  <si>
    <t>Tenis</t>
  </si>
  <si>
    <t>Squash</t>
  </si>
  <si>
    <t>PLAN</t>
  </si>
  <si>
    <t>DOCENCIA</t>
  </si>
  <si>
    <t>RECTORÍA GENERAL</t>
  </si>
  <si>
    <t>Información pública consultada en la página de transparencia en Internet</t>
  </si>
  <si>
    <t>Rubro*</t>
  </si>
  <si>
    <t>Número de consultas</t>
  </si>
  <si>
    <t>Informe de Actividades del Comité de Información y Resolución</t>
  </si>
  <si>
    <t>Lineamientos para el Acceso a la Información de la UAM</t>
  </si>
  <si>
    <t>Datos de la Oficina de Enlace y Acceso a la Información Universitaria</t>
  </si>
  <si>
    <t>Servicios que ofrece la UAM</t>
  </si>
  <si>
    <t>Cuotas por los servicios que ofrece la UAM</t>
  </si>
  <si>
    <t>Personal Académico y Administrativo contratado</t>
  </si>
  <si>
    <t>*Se considera una consulta al ingresar al rubro.</t>
  </si>
  <si>
    <t xml:space="preserve">         </t>
  </si>
  <si>
    <t xml:space="preserve">        </t>
  </si>
  <si>
    <t>A 274</t>
  </si>
  <si>
    <t>A 251</t>
  </si>
  <si>
    <t>A 280</t>
  </si>
  <si>
    <t>A 305</t>
  </si>
  <si>
    <t>A 257</t>
  </si>
  <si>
    <t>A 260</t>
  </si>
  <si>
    <t>A 281</t>
  </si>
  <si>
    <t>A 323</t>
  </si>
  <si>
    <t>A= Adecuación</t>
  </si>
  <si>
    <t>M= Modificación</t>
  </si>
  <si>
    <t>C=Creación</t>
  </si>
  <si>
    <t>ACADÉMICOS</t>
  </si>
  <si>
    <t>ADMINISTRATIVOS</t>
  </si>
  <si>
    <t>BASE</t>
  </si>
  <si>
    <t>CONFIANZA</t>
  </si>
  <si>
    <t>TC</t>
  </si>
  <si>
    <t>MT</t>
  </si>
  <si>
    <t>TP</t>
  </si>
  <si>
    <t>ELABORACIÓN: Dirección de Planeación.</t>
  </si>
  <si>
    <t>COMPÚTADORAS</t>
  </si>
  <si>
    <t>COBERTURA</t>
  </si>
  <si>
    <t>NÚMERO</t>
  </si>
  <si>
    <t>RELACIÓN</t>
  </si>
  <si>
    <t>FUENTE: INDICADORES DEL PIFI</t>
  </si>
  <si>
    <t>M 296.7</t>
  </si>
  <si>
    <t>A336</t>
  </si>
  <si>
    <t>C 260.3</t>
  </si>
  <si>
    <t>C 281.11</t>
  </si>
  <si>
    <t>A 290</t>
  </si>
  <si>
    <t>A 336</t>
  </si>
  <si>
    <t>A 252</t>
  </si>
  <si>
    <t>A 327</t>
  </si>
  <si>
    <t>A 287</t>
  </si>
  <si>
    <t>A260</t>
  </si>
  <si>
    <t>A 241</t>
  </si>
  <si>
    <t>CUAJIMALPA CNI</t>
  </si>
  <si>
    <t>C 325.5</t>
  </si>
  <si>
    <t>Mtría en Economía</t>
  </si>
  <si>
    <t>FUENTE: Oficina de Enlace y Acceso a la Información</t>
  </si>
  <si>
    <t>Lerma</t>
  </si>
  <si>
    <t>Número de solicitudes de información  por temática</t>
  </si>
  <si>
    <t>A327</t>
  </si>
  <si>
    <t>Maestría</t>
  </si>
  <si>
    <t>Doctorado</t>
  </si>
  <si>
    <t>A 278</t>
  </si>
  <si>
    <t>A 272</t>
  </si>
  <si>
    <t>A 300</t>
  </si>
  <si>
    <t>A 248</t>
  </si>
  <si>
    <t>A 255</t>
  </si>
  <si>
    <t>M 255.7</t>
  </si>
  <si>
    <t>C 325.6</t>
  </si>
  <si>
    <t>M 294.7</t>
  </si>
  <si>
    <t>A 265</t>
  </si>
  <si>
    <t>CUAJIMALPA CSH</t>
  </si>
  <si>
    <t>Medicina</t>
  </si>
  <si>
    <t>Total Cuajimalpa</t>
  </si>
  <si>
    <t>Especialidad</t>
  </si>
  <si>
    <t>ND</t>
  </si>
  <si>
    <t>SI</t>
  </si>
  <si>
    <t>NO</t>
  </si>
  <si>
    <t>Ingeniería en Energía</t>
  </si>
  <si>
    <t>Ingeniería Bioquímica Industrial</t>
  </si>
  <si>
    <t>Ingeniería de los Alimentos</t>
  </si>
  <si>
    <t>Nutrición Humana</t>
  </si>
  <si>
    <t>Maestría en Ciencias de la Computación</t>
  </si>
  <si>
    <t>Maestría en Ingeniería Estructural</t>
  </si>
  <si>
    <t>Doctorado en Ingeniería Estructural</t>
  </si>
  <si>
    <t>Maestría en Ciencias Económicas</t>
  </si>
  <si>
    <t>Maestría en Economía</t>
  </si>
  <si>
    <t>Maestría en Planeación y Políticas Metropolitanas</t>
  </si>
  <si>
    <t>Doctorado en Sociología</t>
  </si>
  <si>
    <t>Doctorado en Ciencias Económicas</t>
  </si>
  <si>
    <t>Maestría en Ciencias y Tecnologías de la Información</t>
  </si>
  <si>
    <t>Especialización en Ciencias Antropológicas</t>
  </si>
  <si>
    <t>Maestría en Humanidades</t>
  </si>
  <si>
    <t>Maestría en Ciencias Antropológicas</t>
  </si>
  <si>
    <t>Maestría en Estudios Organizacionales</t>
  </si>
  <si>
    <t>Maestría en Estudios Sociales</t>
  </si>
  <si>
    <t>Doctorado en Humanidades</t>
  </si>
  <si>
    <t>Doctorado en Ciencias Antropológicas</t>
  </si>
  <si>
    <t>Doctorado en Estudios Organizacionales</t>
  </si>
  <si>
    <t>Doctorado en Estudios Sociales</t>
  </si>
  <si>
    <t>Especialización en Biotecnología</t>
  </si>
  <si>
    <t>Especialización en Acupuntura y Fitoterapia</t>
  </si>
  <si>
    <t>Maestría en Biotecnología</t>
  </si>
  <si>
    <t>Maestría en Biología</t>
  </si>
  <si>
    <t>Doctorado en Biotecnología</t>
  </si>
  <si>
    <t>Maestría en Psicología Social de Grupos e Instituciones</t>
  </si>
  <si>
    <t>Maestría en Políticas Públicas</t>
  </si>
  <si>
    <t>Maestría en Estudios de la Mujer</t>
  </si>
  <si>
    <t>Doctorado en Ciencias Sociales</t>
  </si>
  <si>
    <t>Maestría en Ciencias Agropecuarias</t>
  </si>
  <si>
    <t>Maestría en Rehabilitación Neurológica</t>
  </si>
  <si>
    <t>Maestría en Medicina Social</t>
  </si>
  <si>
    <t>Maestría en Ciencias Farmacéuticas</t>
  </si>
  <si>
    <t>Doctorado en Ciencias en Salud Colectiva</t>
  </si>
  <si>
    <t>Maestría en Ciencias y Artes para el Diseño</t>
  </si>
  <si>
    <t>Doctorado en Ciencias y Artes para el Diseño</t>
  </si>
  <si>
    <t>Fuente: Ejercicio presupuestal 2010.</t>
  </si>
  <si>
    <t>a) Torneos Internos *</t>
  </si>
  <si>
    <t>b) Servicios proporcionados a la Comunidad Universitaria *</t>
  </si>
  <si>
    <t>ACTIVIDAD</t>
  </si>
  <si>
    <t>PERIODICIDAD</t>
  </si>
  <si>
    <t>Fútbol Rápido</t>
  </si>
  <si>
    <t>Fútbol Soccer</t>
  </si>
  <si>
    <t>Gimnasio de Pesas y Cardio</t>
  </si>
  <si>
    <t>Pista de Atletismo y Circuito de Corredores</t>
  </si>
  <si>
    <t>Spinning</t>
  </si>
  <si>
    <t>Tae Kwon Do</t>
  </si>
  <si>
    <t>Tenis de Mesa</t>
  </si>
  <si>
    <t>* Estos servicios se cuentan por usuario atendido, que en algunos casos se repite.</t>
  </si>
  <si>
    <t>incluye personal definitivo y temporal</t>
  </si>
  <si>
    <t xml:space="preserve">Fuente: Dirección de Tecnologías de Información </t>
  </si>
  <si>
    <t>No.</t>
  </si>
  <si>
    <t xml:space="preserve"> </t>
  </si>
  <si>
    <t xml:space="preserve">Universidad Autónoma de Nuevo León </t>
  </si>
  <si>
    <t>Total de presupuesto ejercido 2010 de otros gastos de operación, mantenimiento e inversión</t>
  </si>
  <si>
    <t>Mantenimiento</t>
  </si>
  <si>
    <t>FUENTE: Coordinación General de Difusión</t>
  </si>
  <si>
    <t>Doc en Ciencias Biológicas y de la Salud</t>
  </si>
  <si>
    <t xml:space="preserve">Benemérita Universidad Autónoma de Puebla </t>
  </si>
  <si>
    <t>Instituto Tecnológico y de Estudios Superiores de Monterrey</t>
  </si>
  <si>
    <t>Universidad Autónoma del Estado de Morelos</t>
  </si>
  <si>
    <t>Universidad de Guanajuato</t>
  </si>
  <si>
    <t>Universidad Autónoma de San Luis Potosí</t>
  </si>
  <si>
    <t>Universidad Autónoma  de Baja California</t>
  </si>
  <si>
    <t>Colegio de Postgraduados</t>
  </si>
  <si>
    <t>POSICIÓN RANKING</t>
  </si>
  <si>
    <t>Especialización en Sociología de la Educación Superior</t>
  </si>
  <si>
    <t>Maestría en Población y Salud</t>
  </si>
  <si>
    <t>Año</t>
  </si>
  <si>
    <t>Monto del subsidio federal (asignación original)</t>
  </si>
  <si>
    <t>Tasa de crecimiento (nominal)</t>
  </si>
  <si>
    <t>Tasa de crecimiento (real)</t>
  </si>
  <si>
    <t>FUENTE: Anuncios programáticos de cada año</t>
  </si>
  <si>
    <t>TOTAL UNIDAD XOCHIMILCO</t>
  </si>
  <si>
    <t>FUENTE: Base de Datos de Nómina, Quincena 20 de 2011. Incluye Mandos Medios Académicos, Mandos Medios Administrativos con Base Académica y Funcionarios Académicos.</t>
  </si>
  <si>
    <t>TOTAL UNIDAD LERMA</t>
  </si>
  <si>
    <t>Incluye personal administrativo definitivo y temporal</t>
  </si>
  <si>
    <t>TOTAL UNIDAD CUAJIMALPA</t>
  </si>
  <si>
    <t>AZC. CBI.</t>
  </si>
  <si>
    <t>AZC. CSH.</t>
  </si>
  <si>
    <t>AZC. CAD.</t>
  </si>
  <si>
    <t>IZT. CBI.</t>
  </si>
  <si>
    <t>IZT. CSH.</t>
  </si>
  <si>
    <t>IZT. CBS.</t>
  </si>
  <si>
    <t>XOC. CSH.</t>
  </si>
  <si>
    <t>XOC. CBS</t>
  </si>
  <si>
    <t>XOC. CAD</t>
  </si>
  <si>
    <t>C341.5</t>
  </si>
  <si>
    <t>C341.6</t>
  </si>
  <si>
    <t>C338.8</t>
  </si>
  <si>
    <t>M339</t>
  </si>
  <si>
    <t>A338</t>
  </si>
  <si>
    <t>M338.9</t>
  </si>
  <si>
    <t>A339</t>
  </si>
  <si>
    <t>C338.7</t>
  </si>
  <si>
    <t>C-M 299.5</t>
  </si>
  <si>
    <t>C299.4</t>
  </si>
  <si>
    <t>C306.4</t>
  </si>
  <si>
    <t>C341.7</t>
  </si>
  <si>
    <t>ENERO DE 2012</t>
  </si>
  <si>
    <t>POSICIÓN  UNIVERSIDADES MEXICANAS</t>
  </si>
  <si>
    <t>11-I</t>
  </si>
  <si>
    <t>11-P</t>
  </si>
  <si>
    <t>11-O</t>
  </si>
  <si>
    <t xml:space="preserve">TOTAL </t>
  </si>
  <si>
    <t>Informe de Actividades de los Órganos e Instancias de Apoyo</t>
  </si>
  <si>
    <t>Contrato Colectivo de Trabajo</t>
  </si>
  <si>
    <t xml:space="preserve">Estructura Orgánica </t>
  </si>
  <si>
    <t>Directorio de Funcionarios</t>
  </si>
  <si>
    <t>Marco Normativo</t>
  </si>
  <si>
    <t>Resultado de las Auditorias Practicadas</t>
  </si>
  <si>
    <t xml:space="preserve">Becas y Estímulos del Personal Académico </t>
  </si>
  <si>
    <t>Becas y Financiamiento Educativo</t>
  </si>
  <si>
    <t>Tabulador de sueldos del Personal Académico y Administrativo</t>
  </si>
  <si>
    <t>Fútbol 7</t>
  </si>
  <si>
    <t>Tochito Bandera Femenil y Mixto</t>
  </si>
  <si>
    <t>Kendo</t>
  </si>
  <si>
    <t>No. DE EVENTOS</t>
  </si>
  <si>
    <t>Doctorado en Ciencias Biológicas y de la Salud</t>
  </si>
  <si>
    <t>Maestría en Desarrollo y Planeación de la Educación</t>
  </si>
  <si>
    <t>Maestría en Diseño, Información y Comunicación</t>
  </si>
  <si>
    <t>Humanidades</t>
  </si>
  <si>
    <t>Tecnologías y Sistemas de Información</t>
  </si>
  <si>
    <t>Ingeniería Biológica</t>
  </si>
  <si>
    <t>Esp en Sociología de la Educación Superior</t>
  </si>
  <si>
    <t>Posgrado en Ciencias y Tecnologías de la Información</t>
  </si>
  <si>
    <t>Mtría en Reutilización del Patrimonio Edificado</t>
  </si>
  <si>
    <t>Mtría en Diseño y Producción Editorial</t>
  </si>
  <si>
    <t>C 342.4</t>
  </si>
  <si>
    <t>Se requiere que el 50% de la transmisión radiofónica en programas hablados para conservar la concesión</t>
  </si>
  <si>
    <t>C341.4</t>
  </si>
  <si>
    <t xml:space="preserve">Mide el porcentaje del tiempo de  transmisión radiofónica en programas hablados. </t>
  </si>
  <si>
    <t>PRODUCCIÓN EDITORIAL</t>
  </si>
  <si>
    <t>CAPACITACIÓN</t>
  </si>
  <si>
    <t>FUENTE: Base de Datos de Nómina, Quincena 20 de 2010. Incluye Mandos Medios Académicos, Mandos Medios Administrativos con Base Académica y Funcionarios Académicos.</t>
  </si>
  <si>
    <t>Centro de Investigación y de Estudios Avanzados del IPN (Cinvestav)</t>
  </si>
  <si>
    <t xml:space="preserve">Instituto Politécnico Nacional </t>
  </si>
  <si>
    <t>Instituto Mexicano del Seguro Social (IMSS)</t>
  </si>
  <si>
    <t>Instituto Nacional de Ciencias Médicas y Nutrición Salvador Zubirán</t>
  </si>
  <si>
    <t>Benemerita Universidad Autónona de Puebla</t>
  </si>
  <si>
    <t xml:space="preserve">Secretaría de Educación Pública </t>
  </si>
  <si>
    <t>Instituto Nacional de Astrofísica Óptica y Electrónica</t>
  </si>
  <si>
    <t>2000-2009</t>
  </si>
  <si>
    <r>
      <t xml:space="preserve">Fuente: </t>
    </r>
    <r>
      <rPr>
        <sz val="8"/>
        <rFont val="Arial"/>
        <family val="2"/>
      </rPr>
      <t>Institute for Scientific Information, 2010.</t>
    </r>
  </si>
  <si>
    <t>% profesores con E. M. y D.</t>
  </si>
  <si>
    <t>% profesores con Doctorado</t>
  </si>
  <si>
    <t>(incluye personal definitivo y temporal)</t>
  </si>
  <si>
    <t>MATRICULA TOTAL</t>
  </si>
  <si>
    <t>% DE POSGRADO</t>
  </si>
  <si>
    <t>Total Xochimilco</t>
  </si>
  <si>
    <t>Mtría en Biología de la Reproducción Animal</t>
  </si>
  <si>
    <t>Mtría en Población y Salud</t>
  </si>
  <si>
    <t>Comunidad Universitaria susceptible de beneficiarse con los programas salud</t>
  </si>
  <si>
    <t>CUAJIMALPA CCD</t>
  </si>
  <si>
    <t>** Azcapotzalco, Iztapalapa y Xochimilco</t>
  </si>
  <si>
    <t>***Iztapalapa, Xochimilco y Cuajimalpa</t>
  </si>
  <si>
    <t>* Iztapalapa y Azcapotzalco</t>
  </si>
  <si>
    <t>Total de presupuesto  ajustado 2011 de otros gastos de operación, mantenimiento e inversión</t>
  </si>
  <si>
    <t>Total de presupuesto ejercido 2011 de otros gastos de operación, mantenimiento e inversión</t>
  </si>
  <si>
    <t>Se tomó como referencia la programación semanal más regular que fue la de la segunda semana de noviembre de 2011. Se obtuvo el promedio semanal de horas de programas hablados, incluyendo cápsulas de difusión, spots y formatos de 30, 60 y 120 minutos. El resultado fue de 52 horas de programas hablados a la semana contra las 168 horas de transmisión de los siete días de transmisión.</t>
  </si>
  <si>
    <r>
      <t>C3.17</t>
    </r>
    <r>
      <rPr>
        <sz val="11"/>
        <color rgb="FF000000"/>
        <rFont val="Calibri"/>
        <family val="2"/>
        <scheme val="minor"/>
      </rPr>
      <t xml:space="preserve"> Horas de transmisión de eventos culturales por radio y video conferencia.</t>
    </r>
  </si>
  <si>
    <t>Fuente: Ejercicio presupuestal 2011.</t>
  </si>
  <si>
    <t>FUENTE: Ejercicio Presupuestal 2011,  considera todas las partidas 90.</t>
  </si>
  <si>
    <t>ENERO DE 2011</t>
  </si>
  <si>
    <t>TIEMPO  PROMEDIO EXCEDENTE PARA CONCLUIR ESTUDIOS DE LICENCIATURA</t>
  </si>
  <si>
    <t>HABILITACIÓN DE LA PLANTA ACADÉMICA</t>
  </si>
  <si>
    <t>HORAS DE TRANSMISIÓN DE EVENTOS CULTURALES POR RADIO Y VIDEOCONFERENCIA</t>
  </si>
  <si>
    <r>
      <t xml:space="preserve">ESTRUCTURA DE PERSONAL EN UNIDADES ACADÉMICAS </t>
    </r>
    <r>
      <rPr>
        <sz val="14"/>
        <color theme="1"/>
        <rFont val="Arial"/>
        <family val="2"/>
      </rPr>
      <t/>
    </r>
  </si>
  <si>
    <t>INVERSIÓN PARA ACTUALIZACIÓN DE EQUIPAMIENTO</t>
  </si>
  <si>
    <t>GASTO DE MANTENIMIENTO</t>
  </si>
  <si>
    <t>INGRESOS DIFERENTES AL SUBSIDIO FEDERAL</t>
  </si>
  <si>
    <t>ATENCIÓN A SOLICITUDES DE TRANSPARENCIA</t>
  </si>
  <si>
    <t>ANCHO DE BANDA</t>
  </si>
  <si>
    <t>COMPUTADORAS ACTUALIZADAS DEDICADAS A LOS ALUMNOS Y PERSONAL</t>
  </si>
  <si>
    <t>Maestría en Historiografía de México</t>
  </si>
  <si>
    <t>Maestría en Sociología</t>
  </si>
  <si>
    <t>Maestría en Filosofía de la Ciencia</t>
  </si>
  <si>
    <t>Maestría en Biología de la Reproducción Animal</t>
  </si>
  <si>
    <t>Doctorado en Ciencias Biológicas</t>
  </si>
  <si>
    <t>Maestría en Desarrollo Rural</t>
  </si>
  <si>
    <t>Maestría en Comunicación y Política</t>
  </si>
  <si>
    <t>Especialización en Patología y Medicina Bucal</t>
  </si>
  <si>
    <t>Especialización en Diagnóstico Integral y Patología Bucal</t>
  </si>
  <si>
    <t>Maestría en Ciencias en Salud en el Trabajo</t>
  </si>
  <si>
    <t>444 MB</t>
  </si>
  <si>
    <t>Indice de crecimiento</t>
  </si>
  <si>
    <t>Ind. crec.</t>
  </si>
  <si>
    <t>Total personal Administrativo</t>
  </si>
  <si>
    <t>Participantes</t>
  </si>
  <si>
    <t>de base</t>
  </si>
  <si>
    <t>de confianza</t>
  </si>
  <si>
    <t>PROGRAMAS DE ACTIVIDADES DEPORTIVAS</t>
  </si>
  <si>
    <t>FUENTE: Base de Datos de Nómina, Quincena 20 de 2012. Incluye Mandos Medios Académicos, Mandos Medios Administrativos con Base Académica y Funcionarios Académicos.</t>
  </si>
  <si>
    <t>Total de presupuesto  ajustado 2012 de otros gastos de operación, mantenimiento e inversión</t>
  </si>
  <si>
    <t>FUENTE: Ejercicio Presupuestal 2012,  considera todas las partidas 90.</t>
  </si>
  <si>
    <t>Total de presupuesto ejercido 2012 de otros gastos de operación, mantenimiento e inversión</t>
  </si>
  <si>
    <t>Presupuesto ejercido 2012</t>
  </si>
  <si>
    <t>Mtría en Literatura Mexicana Contemporánea</t>
  </si>
  <si>
    <t>Mtría en Relaciones Internacionales</t>
  </si>
  <si>
    <t>A343</t>
  </si>
  <si>
    <t>A 348</t>
  </si>
  <si>
    <t>A 346</t>
  </si>
  <si>
    <t>M 348.1</t>
  </si>
  <si>
    <t>S 348</t>
  </si>
  <si>
    <t>A344</t>
  </si>
  <si>
    <t>CBS Y CNI</t>
  </si>
  <si>
    <t>ENERO DE 2013</t>
  </si>
  <si>
    <t>Universidade Estadual de Campinas</t>
  </si>
  <si>
    <t xml:space="preserve">Universidad Autónoma Metropolitana </t>
  </si>
  <si>
    <t>Universidad Michoacana de San Nicolás de Hidalgo</t>
  </si>
  <si>
    <t>Universidad Autónoma del Estado de México</t>
  </si>
  <si>
    <t>Ingeniería Ambiental</t>
  </si>
  <si>
    <t>Ingeniería Civil</t>
  </si>
  <si>
    <t>Ingeniería en Computación</t>
  </si>
  <si>
    <t>Ingeniería Física</t>
  </si>
  <si>
    <t>Ingeniería Química</t>
  </si>
  <si>
    <t>Ingeniería Biomédica</t>
  </si>
  <si>
    <t>Lingüística</t>
  </si>
  <si>
    <t>Instancia</t>
  </si>
  <si>
    <t>Total CBI</t>
  </si>
  <si>
    <t>Total CSH</t>
  </si>
  <si>
    <t>Total CAD</t>
  </si>
  <si>
    <t>Total CBS</t>
  </si>
  <si>
    <t>Total CCD</t>
  </si>
  <si>
    <t>Total CNI</t>
  </si>
  <si>
    <t>Servicio Médico</t>
  </si>
  <si>
    <t>Arte y Comunicación Digitales</t>
  </si>
  <si>
    <t>Voleibol de Playa</t>
  </si>
  <si>
    <t>Evaluaciones Físicas</t>
  </si>
  <si>
    <t>C 346</t>
  </si>
  <si>
    <t>C 347</t>
  </si>
  <si>
    <t>C 346.8</t>
  </si>
  <si>
    <t>FUENTE: http://www.uam.mx/colegioacademico/</t>
  </si>
  <si>
    <t>Simbología:</t>
  </si>
  <si>
    <t>03-I</t>
  </si>
  <si>
    <t>04-P</t>
  </si>
  <si>
    <t>04-O</t>
  </si>
  <si>
    <t>05-I</t>
  </si>
  <si>
    <t>05-P</t>
  </si>
  <si>
    <t>05-O</t>
  </si>
  <si>
    <t>06-I</t>
  </si>
  <si>
    <t>06-P</t>
  </si>
  <si>
    <t>06-O</t>
  </si>
  <si>
    <t>07-I</t>
  </si>
  <si>
    <t>07-P</t>
  </si>
  <si>
    <t>07-O</t>
  </si>
  <si>
    <t>08-I</t>
  </si>
  <si>
    <t>08-P</t>
  </si>
  <si>
    <t>09-I</t>
  </si>
  <si>
    <t>09-P</t>
  </si>
  <si>
    <t>09-O</t>
  </si>
  <si>
    <t>10-I</t>
  </si>
  <si>
    <t>10-P</t>
  </si>
  <si>
    <t>10-O</t>
  </si>
  <si>
    <t>12-I</t>
  </si>
  <si>
    <t>12-P</t>
  </si>
  <si>
    <t>12-O</t>
  </si>
  <si>
    <t>NOTA: Ubicar el movimiento en el trimestre de aprobación por el Colegio Académico</t>
  </si>
  <si>
    <t>S= Supresión</t>
  </si>
  <si>
    <t>03-P</t>
  </si>
  <si>
    <t>03-O</t>
  </si>
  <si>
    <t>04-I</t>
  </si>
  <si>
    <t>Doctorado en Ciencias Agropecuarias</t>
  </si>
  <si>
    <t>POSGRADOS INTERUNIDADES</t>
  </si>
  <si>
    <t>Medicina (*)</t>
  </si>
  <si>
    <t>Esp en Acupuntura y Fitoterapia (*)</t>
  </si>
  <si>
    <t>Mtría en Estudios de la Mujer</t>
  </si>
  <si>
    <t>C</t>
  </si>
  <si>
    <t xml:space="preserve">Secretaría de Salud (SSA) 1/ </t>
  </si>
  <si>
    <t>Centro de Investigaciones Científica y de Educación Superior de Ensenada</t>
  </si>
  <si>
    <t>Instituto Nacional de Salud Pública</t>
  </si>
  <si>
    <t>Universidad Michoacana San Nicolas de Hidalgo</t>
  </si>
  <si>
    <t>Centro de Investigaciones Biológicas del Noroeste, S.C.  </t>
  </si>
  <si>
    <t>Instituto de Ecología</t>
  </si>
  <si>
    <t>Centro en investigación en Optica A.C.</t>
  </si>
  <si>
    <t xml:space="preserve">Universidad Autónoma de Baja California </t>
  </si>
  <si>
    <t>Universidad de Sonora</t>
  </si>
  <si>
    <t>Instituto Nacional de Investigaciones Nucleares</t>
  </si>
  <si>
    <t>Instituto Nacional de Cardiología  Dr.  Ignacio Chávez</t>
  </si>
  <si>
    <t>El Colegio de la Frontera Sur    (ECOSUR)    </t>
  </si>
  <si>
    <t>1/ Incluye clinicas y hospitales.</t>
  </si>
  <si>
    <t>e/ Cifras estimadas</t>
  </si>
  <si>
    <r>
      <t xml:space="preserve">Fuente: </t>
    </r>
    <r>
      <rPr>
        <i/>
        <sz val="8"/>
        <rFont val="Arial"/>
        <family val="2"/>
      </rPr>
      <t>Institute for Scientific Information</t>
    </r>
    <r>
      <rPr>
        <sz val="8"/>
        <rFont val="Arial"/>
        <family val="2"/>
      </rPr>
      <t>, 2010.</t>
    </r>
  </si>
  <si>
    <t>PRODUCCIÓN E IMPACTO SEGÚN LA INSTITUCIÓN DEL AUTOR, 2002-2011</t>
  </si>
  <si>
    <t>Se tomó como referencia una semana de programación regular para obrtener el promedio  de horas de programas hablados, incluyendo cápsulas de difusión y formatos de 30, 60 y 120 minutos. El resultado fue de 35 horas de programas hablados contra las 168  de transmisión semanal.</t>
  </si>
  <si>
    <t>Presupuesto ejercido 2011</t>
  </si>
  <si>
    <t>*</t>
  </si>
  <si>
    <t>Fuente: Ejercicio presupuestal 2012, considera las partida 70 adapataciones y 71-79 mantenimiento</t>
  </si>
  <si>
    <r>
      <t>RELACIÓN</t>
    </r>
    <r>
      <rPr>
        <sz val="10"/>
        <color indexed="8"/>
        <rFont val="Arial"/>
        <family val="2"/>
      </rPr>
      <t xml:space="preserve"> (A/B)</t>
    </r>
  </si>
  <si>
    <t>FUENTE: Base de Datos de Nómina, Quincena 20 de 2013. Incluye Mandos Medios Académicos, Mandos Medios Administrativos con Base Académica y Funcionarios Académicos.</t>
  </si>
  <si>
    <t>JULIO DE 2013</t>
  </si>
  <si>
    <t>Ranking Latinoamérica</t>
  </si>
  <si>
    <t>Benemérita Universidad Autónoma de Puebla</t>
  </si>
  <si>
    <t>-</t>
  </si>
  <si>
    <t>PRESENCE</t>
  </si>
  <si>
    <t>IMPACT</t>
  </si>
  <si>
    <t>OPENNES</t>
  </si>
  <si>
    <t xml:space="preserve"> Ranking Mundial de Universidades en la Web</t>
  </si>
  <si>
    <t>Universidad</t>
  </si>
  <si>
    <t>Universidade Estadual Paulista Julio de Mesquita Filho</t>
  </si>
  <si>
    <t>http://www.scimagoir.com</t>
  </si>
  <si>
    <t>Universidad de Buenos Aires</t>
  </si>
  <si>
    <t>Universidade Federal de Minas Gerais</t>
  </si>
  <si>
    <t>Universidade Federal de Sao Paulo</t>
  </si>
  <si>
    <t>Universidad de Chile</t>
  </si>
  <si>
    <t>Pontificia Universidad Católica de Chile</t>
  </si>
  <si>
    <t>Universidade Federal de Pernambuco</t>
  </si>
  <si>
    <t>Universidade de Brasilia</t>
  </si>
  <si>
    <t>Universidade Federal de Vicosa</t>
  </si>
  <si>
    <t xml:space="preserve">  Ranking SIR 2010</t>
  </si>
  <si>
    <t>Universidade de Sao Paulo</t>
  </si>
  <si>
    <t>Universidade Federaldo Rio de Janeiro</t>
  </si>
  <si>
    <t>Universidade Federaldo Rio Grande do Sul</t>
  </si>
  <si>
    <t>Centro de Investigación y de Estudios Avanzados</t>
  </si>
  <si>
    <t>Universidad Nacional de La Plata</t>
  </si>
  <si>
    <t>University of Puerto Rico</t>
  </si>
  <si>
    <t>Universidade Federaldo Parana</t>
  </si>
  <si>
    <t>Universidade Federal de Sao Carlos</t>
  </si>
  <si>
    <t>Universidade do Estado do Rio de Janeiro</t>
  </si>
  <si>
    <t>Universidad de Concepción</t>
  </si>
  <si>
    <t>Universidad Federal do Ceara</t>
  </si>
  <si>
    <t>JULIO DE 2012</t>
  </si>
  <si>
    <t>JULIO DE 2011</t>
  </si>
  <si>
    <t>JULIO DE 2010</t>
  </si>
  <si>
    <t xml:space="preserve">*Quedaron arriba de la posición No. 100 . </t>
  </si>
  <si>
    <t>Sólo se publican  100 universidades en Ranking Latinoamérica.</t>
  </si>
  <si>
    <t xml:space="preserve">El ranking Webometrics es producido por el Laboratorio de Cibermetría del Consejo Superior de Investigaciones Científicas de España. Se publica dos veces al año (enero y julio) desde 2004. Se basa en mediciones de la presencia de las universidades en la web a través de contenidos académicos visibles. </t>
  </si>
  <si>
    <t xml:space="preserve">  Ranking SIR 2011 2a. Edición</t>
  </si>
  <si>
    <t>Universidad Michoacana de san Nicolás de Hidalgo</t>
  </si>
  <si>
    <t>Posición Nacional</t>
  </si>
  <si>
    <t xml:space="preserve">Tecnológico de Monterrey </t>
  </si>
  <si>
    <t xml:space="preserve">Universidad de Guanajuato </t>
  </si>
  <si>
    <t xml:space="preserve">Universidad Autónoma del Estado de Morelos </t>
  </si>
  <si>
    <t>Universidad Autónoma de Baja California</t>
  </si>
  <si>
    <t xml:space="preserve">Universidad de Sonora </t>
  </si>
  <si>
    <t xml:space="preserve">Universidad Autónoma de Yucatán </t>
  </si>
  <si>
    <t>13-I</t>
  </si>
  <si>
    <t>13-P</t>
  </si>
  <si>
    <t>13-O</t>
  </si>
  <si>
    <t>A 355</t>
  </si>
  <si>
    <t>A 357</t>
  </si>
  <si>
    <t>A363</t>
  </si>
  <si>
    <t>C365.6</t>
  </si>
  <si>
    <t>Posgrado en Optimización</t>
  </si>
  <si>
    <t>Posgrado en Ingeniería de Procesos</t>
  </si>
  <si>
    <t>Posgrado en Ciencias Sociales y Humanidades</t>
  </si>
  <si>
    <t>Posgrado en Ciencias Naturales e Ingeniería</t>
  </si>
  <si>
    <t>Maestría en Ecología Aplicada</t>
  </si>
  <si>
    <t>Voleibol de Sala</t>
  </si>
  <si>
    <t>Natación</t>
  </si>
  <si>
    <t>Información relevante</t>
  </si>
  <si>
    <r>
      <t xml:space="preserve">Informe Presupuestal </t>
    </r>
    <r>
      <rPr>
        <i/>
        <u/>
        <sz val="10"/>
        <color rgb="FFFF0000"/>
        <rFont val="Calibri"/>
        <family val="2"/>
        <scheme val="minor"/>
      </rPr>
      <t>(se agrego al rubro anterior)</t>
    </r>
  </si>
  <si>
    <r>
      <rPr>
        <i/>
        <sz val="10"/>
        <rFont val="Calibri"/>
        <family val="2"/>
        <scheme val="minor"/>
      </rPr>
      <t>Otros conceptos</t>
    </r>
    <r>
      <rPr>
        <sz val="11"/>
        <rFont val="Calibri"/>
        <family val="2"/>
        <scheme val="minor"/>
      </rPr>
      <t xml:space="preserve"> _ PROMEP</t>
    </r>
  </si>
  <si>
    <t>Convocatorias para licitar obras, adquisiciones etc, y contrataciones que se hayan celebrado</t>
  </si>
  <si>
    <t>Portal de Transparencia</t>
  </si>
  <si>
    <t xml:space="preserve">Presupuesto de Ingresos y Egresos y Estados Financieros dictaminados e Informe Presupuestal de Ingresos y Egresos </t>
  </si>
  <si>
    <t>Informe de Actividades del  Rector General y Anuarios Estadísticos</t>
  </si>
  <si>
    <t>Se tomó como referencia una semana de programación regular para obrtener el promedio  de horas de programas hablados, incluyendo cápsulas de difusión y formatos de 30, 60 y 120 minutos. El resultado fue de 34 horas con 40 minutos de programas hablados contra las 168  de transmisión semanal.  El porcentaje de programación hablada es la misma que la de 2012, debido a que no hubo incremento de personal.</t>
  </si>
  <si>
    <t>e/ Cifras estimadas.</t>
  </si>
  <si>
    <t>Fuente: Institute for Scientific Information, 2010.</t>
  </si>
  <si>
    <t>PRODUCCIÓN, CITAS E IMPACTO SEGÚN LA INSTITUCIÓN DEL AUTOR, 2007-2011e/</t>
  </si>
  <si>
    <t>Centro de Investigación y deEstudios Avanzados del IPN</t>
  </si>
  <si>
    <t xml:space="preserve">Instituto Nacional de Nutrición “Salvador Zubirán” </t>
  </si>
  <si>
    <t xml:space="preserve">Universidad de Guadalajara </t>
  </si>
  <si>
    <t xml:space="preserve">Instituto Mexicano del Petróleo </t>
  </si>
  <si>
    <t>ENERO DE 2014</t>
  </si>
  <si>
    <t>Total de presupuesto  ajustado 2013 de otros gastos de operación, mantenimiento e inversión</t>
  </si>
  <si>
    <t>Presupuesto ejercido 2013</t>
  </si>
  <si>
    <t>Total de presupuesto ejercido 2013 de otros gastos de operación, mantenimiento e inversión</t>
  </si>
  <si>
    <t>Universidad de Colima</t>
  </si>
  <si>
    <t>Universidad Veracruzana</t>
  </si>
  <si>
    <t>Universidad Iberoamericana</t>
  </si>
  <si>
    <t>Universidad Autónoma de Tamaulipas</t>
  </si>
  <si>
    <t>Universidad Autónoma de Querétaro</t>
  </si>
  <si>
    <t>Colegio de México</t>
  </si>
  <si>
    <t>Universidad Pedagógica Nacional</t>
  </si>
  <si>
    <t>Universidad Autónoma de Ciudad Juárez</t>
  </si>
  <si>
    <t>Universidad de las Américas Puebla</t>
  </si>
  <si>
    <t>Universidad Autónoma de Yucatán</t>
  </si>
  <si>
    <t>Instituto Tecnológico Autónomo de México</t>
  </si>
  <si>
    <t>ITESO - Universidad Jesuita de Guadalajara</t>
  </si>
  <si>
    <t>Fuente: http://www.webometrics.info/en</t>
  </si>
  <si>
    <t>Esp.</t>
  </si>
  <si>
    <t>Mtría.</t>
  </si>
  <si>
    <t>Presupuesto ejercido 2010</t>
  </si>
  <si>
    <t>14-I</t>
  </si>
  <si>
    <t>97-O</t>
  </si>
  <si>
    <t>01-O</t>
  </si>
  <si>
    <t>14-P</t>
  </si>
  <si>
    <t>Maestría. en Ciencias de la Computación</t>
  </si>
  <si>
    <t>Especialidad en Literatura Mexicana del Siglo XX</t>
  </si>
  <si>
    <t>Especialidad en Sociología de la Educación Superior</t>
  </si>
  <si>
    <t>Maestría  en Planeación y Políticas Metropolitanas</t>
  </si>
  <si>
    <t>Especialidad en Ciencias Antropológicas</t>
  </si>
  <si>
    <t>Maestría  en Ciencias Antropológicas</t>
  </si>
  <si>
    <t>Maestría en Historia (A, 99-O, Sesión 206)</t>
  </si>
  <si>
    <t>Maestría en Filosofía de la Ciencia (A, 99-O, Sesión 206)</t>
  </si>
  <si>
    <t>Maestría en Sociología del Trabajo (A, 99-O, Sesión 206)</t>
  </si>
  <si>
    <t>Especialización en Desarrollo  Rural</t>
  </si>
  <si>
    <t>Maestría en Desarrollo  Rural</t>
  </si>
  <si>
    <t>Doctorado en Desarrollo  Rural</t>
  </si>
  <si>
    <r>
      <t xml:space="preserve">Especialización en Estudios de la Mujer </t>
    </r>
    <r>
      <rPr>
        <b/>
        <i/>
        <sz val="11"/>
        <color rgb="FFFF0000"/>
        <rFont val="Calibri"/>
        <family val="2"/>
        <scheme val="minor"/>
      </rPr>
      <t>(Suprimido)</t>
    </r>
  </si>
  <si>
    <t>Maestría en Ciencias en Salud de los Trabajadores</t>
  </si>
  <si>
    <r>
      <t>Especialización en Medicina Social</t>
    </r>
    <r>
      <rPr>
        <sz val="11"/>
        <color rgb="FFFF0000"/>
        <rFont val="Calibri"/>
        <family val="2"/>
        <scheme val="minor"/>
      </rPr>
      <t xml:space="preserve"> (C, 25.11 y M,83.4,  26-11-87)</t>
    </r>
  </si>
  <si>
    <t xml:space="preserve">Especialización en Patología y Medicina Bucal </t>
  </si>
  <si>
    <t xml:space="preserve">Maestría en Patología y Medicina Bucal </t>
  </si>
  <si>
    <t>Maestría en Ciencias Económicas**</t>
  </si>
  <si>
    <t>Doctorado en Ciencias Económicas**</t>
  </si>
  <si>
    <t>Doctorado en Ciencias Biológicas y de la Salud***</t>
  </si>
  <si>
    <t>Número de torneos y actividades organizados para la práctica del deporte</t>
  </si>
  <si>
    <t>Ingeniería Eléctrica</t>
  </si>
  <si>
    <t>Ingeniería Industrial</t>
  </si>
  <si>
    <t>Ingeniería Mecánica</t>
  </si>
  <si>
    <t>Ingeniería Metalúrgica</t>
  </si>
  <si>
    <t>Ingeniería Electrónica</t>
  </si>
  <si>
    <t>Ingeniería Hidrológica</t>
  </si>
  <si>
    <t>Políticas Públicas</t>
  </si>
  <si>
    <t>Biología Ambiental</t>
  </si>
  <si>
    <t>Posgrado en Energía y Medio Ambiente</t>
  </si>
  <si>
    <t>FUENTE: Base de Datos de Nómina, Quincena 20 de 2014. Incluye Mandos Medios Académicos, Mandos Medios Administrativos con Base Académica y Funcionarios Académicos.</t>
  </si>
  <si>
    <r>
      <t>Dedicadas a los alumnos</t>
    </r>
    <r>
      <rPr>
        <vertAlign val="superscript"/>
        <sz val="11"/>
        <rFont val="Calibri"/>
        <family val="2"/>
        <scheme val="minor"/>
      </rPr>
      <t>1</t>
    </r>
  </si>
  <si>
    <r>
      <t>Dedicadas al personal de apoyo</t>
    </r>
    <r>
      <rPr>
        <vertAlign val="superscript"/>
        <sz val="11"/>
        <rFont val="Calibri"/>
        <family val="2"/>
        <scheme val="minor"/>
      </rPr>
      <t>2</t>
    </r>
  </si>
  <si>
    <r>
      <rPr>
        <vertAlign val="superscript"/>
        <sz val="8"/>
        <rFont val="Calibri"/>
        <family val="2"/>
        <scheme val="minor"/>
      </rPr>
      <t xml:space="preserve">1 </t>
    </r>
    <r>
      <rPr>
        <sz val="8"/>
        <rFont val="Calibri"/>
        <family val="2"/>
        <scheme val="minor"/>
      </rPr>
      <t xml:space="preserve">INCLUYE MATRICULA (inscritos + reinscritos) DE LICENCIATURA Y POSGRADO </t>
    </r>
  </si>
  <si>
    <r>
      <t>C3.17</t>
    </r>
    <r>
      <rPr>
        <sz val="11"/>
        <color rgb="FF000000"/>
        <rFont val="Calibri"/>
        <family val="2"/>
        <scheme val="minor"/>
      </rPr>
      <t xml:space="preserve"> Horas de transmisión de eventos culturales por radio y video streamming.</t>
    </r>
  </si>
  <si>
    <t>14-O</t>
  </si>
  <si>
    <t>A 369</t>
  </si>
  <si>
    <t>A369</t>
  </si>
  <si>
    <t>A 366</t>
  </si>
  <si>
    <t>A 353</t>
  </si>
  <si>
    <t>A 376</t>
  </si>
  <si>
    <t>A376</t>
  </si>
  <si>
    <t>M 375.8</t>
  </si>
  <si>
    <t>HUMANIDADES</t>
  </si>
  <si>
    <t>NO. DE TORNEOS</t>
  </si>
  <si>
    <t>NO. PARTICIPANTES</t>
  </si>
  <si>
    <t>NO. DE SERVICIOS</t>
  </si>
  <si>
    <t>Acondicionamiento Físico</t>
  </si>
  <si>
    <t>Desfiles Cívicos</t>
  </si>
  <si>
    <t>Juegos de Mesa</t>
  </si>
  <si>
    <t>Karate do</t>
  </si>
  <si>
    <t>Serial Atlético "Corriendo por la UAM"</t>
  </si>
  <si>
    <t>Caminando por la UAM</t>
  </si>
  <si>
    <t>Convivencia Deportiva</t>
  </si>
  <si>
    <t>(CUATRO TRIMESTRES MÁXIMO)</t>
  </si>
  <si>
    <t>(*) Plan de estudios de dos años, se considera el ingreso de 2012</t>
  </si>
  <si>
    <t>(OCHO TRIMESTRES MÁXIMO)</t>
  </si>
  <si>
    <t>Mtría en Patología y Medicina Bucal</t>
  </si>
  <si>
    <t>CCyD</t>
  </si>
  <si>
    <t>Mtría en Diseño, Información y Comunicación</t>
  </si>
  <si>
    <t>(CATORCE TRIMESTRES MÁXIMO)</t>
  </si>
  <si>
    <t>Total de presupuesto  ajustado 2014 de otros gastos de operación, mantenimiento e inversión</t>
  </si>
  <si>
    <t>Presupuesto ejercido 2014</t>
  </si>
  <si>
    <t>Total de presupuesto ejercido 2014 de otros gastos de operación, mantenimiento e inversión</t>
  </si>
  <si>
    <t>ENERO DE 2015</t>
  </si>
  <si>
    <t>Centro de Investigación y de Estudios Avanzados del IPN CIVESTAV</t>
  </si>
  <si>
    <t>Tecnológico  de Monterrey</t>
  </si>
  <si>
    <t>Instituto Nacional de Antropología e Historia</t>
  </si>
  <si>
    <t>Posición Mundial</t>
  </si>
  <si>
    <t>Nota: Para el nivel de Especialización se consideran 4 trimestres para egresar</t>
  </si>
  <si>
    <t>FUENTE: Ejercicio Presupuestal 2014 cifras preliminares, considera todas las partidas 90.</t>
  </si>
  <si>
    <t>Fuente: Ejercicio presupuestal 2014 cifras preliminares, considera las partida 70 adapataciones y 71-79 mantenimiento</t>
  </si>
  <si>
    <t>Promedio UAM</t>
  </si>
  <si>
    <t>Porcentaje de alumnos de licenciatura que terminó con éxito sus estudios  dentro del plazo que permite el Reglamento de Estudios Superiores (entre 4 y 10 años)</t>
  </si>
  <si>
    <t>Total CyAD</t>
  </si>
  <si>
    <t>Mtría en Matemáticas Aplicadas e Industriales</t>
  </si>
  <si>
    <t>Doc en Ciencias Biológicas</t>
  </si>
  <si>
    <t>Esp en Diseño Ambiental</t>
  </si>
  <si>
    <t>Mtría en Historiografía de México</t>
  </si>
  <si>
    <t>Total CCyD</t>
  </si>
  <si>
    <t>Total SH</t>
  </si>
  <si>
    <t>O3-P</t>
  </si>
  <si>
    <t>O3-0</t>
  </si>
  <si>
    <t>O4-I</t>
  </si>
  <si>
    <t>08-O</t>
  </si>
  <si>
    <t xml:space="preserve">Lic. Ing. Ambiental </t>
  </si>
  <si>
    <t>A 283</t>
  </si>
  <si>
    <t>A 303</t>
  </si>
  <si>
    <t>AA 305</t>
  </si>
  <si>
    <t>A 338</t>
  </si>
  <si>
    <t>M 355.4</t>
  </si>
  <si>
    <t xml:space="preserve">Lic. Ing. Civil </t>
  </si>
  <si>
    <t>A 292</t>
  </si>
  <si>
    <t>M 355.9</t>
  </si>
  <si>
    <t>Lic. Ing. Eléctrica</t>
  </si>
  <si>
    <t>M 357.4</t>
  </si>
  <si>
    <t>Lic. Ing. Física</t>
  </si>
  <si>
    <t>M 360.3</t>
  </si>
  <si>
    <t>Lic. Ing. Industrial</t>
  </si>
  <si>
    <t>M 360.4</t>
  </si>
  <si>
    <t>Lic. Ing. Mecánica</t>
  </si>
  <si>
    <t>M 355.7</t>
  </si>
  <si>
    <t>Lic. Ing. Metalúrgica</t>
  </si>
  <si>
    <t>M 357.5</t>
  </si>
  <si>
    <t>Lic. Ing. Química</t>
  </si>
  <si>
    <t>M 355.8</t>
  </si>
  <si>
    <t>Lic. Ing. Electrónica</t>
  </si>
  <si>
    <t>M 355.6</t>
  </si>
  <si>
    <t>Lic. Ing. en Computación</t>
  </si>
  <si>
    <t>C 242.4</t>
  </si>
  <si>
    <t>M 355.5</t>
  </si>
  <si>
    <t>Lic. en Administración</t>
  </si>
  <si>
    <t>A 334</t>
  </si>
  <si>
    <t>Lic. en Derecho</t>
  </si>
  <si>
    <t>A257</t>
  </si>
  <si>
    <t>Lic. en Economía</t>
  </si>
  <si>
    <t>A305</t>
  </si>
  <si>
    <t>A 316</t>
  </si>
  <si>
    <t>Lic. en Sociología</t>
  </si>
  <si>
    <t>A 242</t>
  </si>
  <si>
    <t>Lic. en Arquitectura</t>
  </si>
  <si>
    <t>A 261</t>
  </si>
  <si>
    <t>Lic. en Diseño de la Comunicación Gráfica</t>
  </si>
  <si>
    <t>Lic. en Diseño Industrial</t>
  </si>
  <si>
    <t>Lic. Ing. Biomédica</t>
  </si>
  <si>
    <t>M-A 275</t>
  </si>
  <si>
    <t>AA 320</t>
  </si>
  <si>
    <r>
      <t xml:space="preserve">A 348,    </t>
    </r>
    <r>
      <rPr>
        <sz val="9"/>
        <color rgb="FF0070C0"/>
        <rFont val="Calibri"/>
        <family val="2"/>
        <scheme val="minor"/>
      </rPr>
      <t>AP 354.8</t>
    </r>
  </si>
  <si>
    <t xml:space="preserve">AP 369.4 </t>
  </si>
  <si>
    <t>Lic. Ing. Hidrológica</t>
  </si>
  <si>
    <t>A 275</t>
  </si>
  <si>
    <t>A 320</t>
  </si>
  <si>
    <t xml:space="preserve">AP 354.8 </t>
  </si>
  <si>
    <t>M 360.5</t>
  </si>
  <si>
    <t>M 331.9</t>
  </si>
  <si>
    <t>Lic. Ing. en Energía</t>
  </si>
  <si>
    <t>M 331.8</t>
  </si>
  <si>
    <t>Lic. Física</t>
  </si>
  <si>
    <t>Lic. Matemáticas</t>
  </si>
  <si>
    <t>M 360.6</t>
  </si>
  <si>
    <t>Lic. Química</t>
  </si>
  <si>
    <t>M 343.8</t>
  </si>
  <si>
    <t xml:space="preserve">A366/AP 369.4 </t>
  </si>
  <si>
    <t>Lic. Computación</t>
  </si>
  <si>
    <t>A 304</t>
  </si>
  <si>
    <t>M 314.6</t>
  </si>
  <si>
    <t>Lic. en Antropología Social</t>
  </si>
  <si>
    <t>M 331.7</t>
  </si>
  <si>
    <t>A 363</t>
  </si>
  <si>
    <t>Lic. en Letras Hispánicas</t>
  </si>
  <si>
    <t>M 320.6</t>
  </si>
  <si>
    <t>Lic. en Filosofía</t>
  </si>
  <si>
    <t>M 322.6</t>
  </si>
  <si>
    <t>M318.7</t>
  </si>
  <si>
    <t>M 336.8</t>
  </si>
  <si>
    <t>Lic. en Historia</t>
  </si>
  <si>
    <t>M 309.8</t>
  </si>
  <si>
    <t>Lic. en Lingüística</t>
  </si>
  <si>
    <t>M 322.7</t>
  </si>
  <si>
    <t>Lic. en Ciencia Política</t>
  </si>
  <si>
    <t>Lic. en Psicología Social</t>
  </si>
  <si>
    <t>Lic. en Geografía Humana</t>
  </si>
  <si>
    <t>Lic. en Biología</t>
  </si>
  <si>
    <t>M 344.9</t>
  </si>
  <si>
    <t>Lic. en Biología Experimental</t>
  </si>
  <si>
    <t>Lic. en Hidrobioligía</t>
  </si>
  <si>
    <t>Lic. en Producción Animal</t>
  </si>
  <si>
    <t>M 344.8</t>
  </si>
  <si>
    <t>Lic. en Ing. Bioquímica Industrial</t>
  </si>
  <si>
    <t>A 365</t>
  </si>
  <si>
    <t>Lic. en Ing. de los Alimentos</t>
  </si>
  <si>
    <t>A 268</t>
  </si>
  <si>
    <t>Lic. en Comunicación Social</t>
  </si>
  <si>
    <t>Lic. en Psicología</t>
  </si>
  <si>
    <t>Lic. en Política y Gestión Social</t>
  </si>
  <si>
    <t>A 315</t>
  </si>
  <si>
    <t>M 371.5</t>
  </si>
  <si>
    <t>Lic. en Química Farmacéutica Biológica</t>
  </si>
  <si>
    <t>M 305</t>
  </si>
  <si>
    <t>M 314.7</t>
  </si>
  <si>
    <t>Lic. en Medicina</t>
  </si>
  <si>
    <t>Lic. en Nutrición Humana</t>
  </si>
  <si>
    <t>M 299.6</t>
  </si>
  <si>
    <t>CUA. CSH</t>
  </si>
  <si>
    <t>C 270.3</t>
  </si>
  <si>
    <t>A 351</t>
  </si>
  <si>
    <t xml:space="preserve">Lic. en Derecho </t>
  </si>
  <si>
    <t>AP 305.6</t>
  </si>
  <si>
    <t xml:space="preserve">Lic. en Humanidades </t>
  </si>
  <si>
    <t>C 288.6</t>
  </si>
  <si>
    <t>Lic. en Estudios Socioterritoriales</t>
  </si>
  <si>
    <t>A 351,353</t>
  </si>
  <si>
    <t>CUA. CCD</t>
  </si>
  <si>
    <t>Lic. en Diseño</t>
  </si>
  <si>
    <t>Lic. en Tecnologías y Sistemas de Información</t>
  </si>
  <si>
    <t>C 288.7</t>
  </si>
  <si>
    <t>Lic. en Ciencias de la Comunicación</t>
  </si>
  <si>
    <t>C 288.8</t>
  </si>
  <si>
    <t>CUA. CNI</t>
  </si>
  <si>
    <t>Lic. en Matemáticas Aplicadas</t>
  </si>
  <si>
    <t>Ing.  Biológica</t>
  </si>
  <si>
    <t>C 303.8</t>
  </si>
  <si>
    <t>Lic. en Biología Molecular</t>
  </si>
  <si>
    <t>C 323.4</t>
  </si>
  <si>
    <t>CBI-LER</t>
  </si>
  <si>
    <t>C331.4</t>
  </si>
  <si>
    <t>AP 344.3 AP 346.9</t>
  </si>
  <si>
    <t>CBS-LER</t>
  </si>
  <si>
    <t>C331.5</t>
  </si>
  <si>
    <t>AP 344.3</t>
  </si>
  <si>
    <t>CSH-LER</t>
  </si>
  <si>
    <t>C331.6</t>
  </si>
  <si>
    <t>Lic. en Arte y Comunicación Digitales</t>
  </si>
  <si>
    <t>C 354.9</t>
  </si>
  <si>
    <t>S=Supresión</t>
  </si>
  <si>
    <t>AP= Aprobación de programas</t>
  </si>
  <si>
    <t>08P-12I</t>
  </si>
  <si>
    <t>07P-11I</t>
  </si>
  <si>
    <t>07O-11P</t>
  </si>
  <si>
    <t xml:space="preserve"> 08O-12P</t>
  </si>
  <si>
    <t>09P-13I</t>
  </si>
  <si>
    <t>09O-13P</t>
  </si>
  <si>
    <t>10P-14I</t>
  </si>
  <si>
    <t>10O-14P</t>
  </si>
  <si>
    <t>2002-2008</t>
  </si>
  <si>
    <t>ALUMNOS DE LICENCIATURA CON NIVEL INTERMEDIO EN EL IDIOMA INGLÉS</t>
  </si>
  <si>
    <t>Nivel</t>
  </si>
  <si>
    <t>IDIOMA</t>
  </si>
  <si>
    <t xml:space="preserve">NIVEL </t>
  </si>
  <si>
    <t>INV</t>
  </si>
  <si>
    <t>PRIM</t>
  </si>
  <si>
    <t>OTO</t>
  </si>
  <si>
    <t>Inglés</t>
  </si>
  <si>
    <t>Principiante</t>
  </si>
  <si>
    <t>Intermedio</t>
  </si>
  <si>
    <t>Avanzado</t>
  </si>
  <si>
    <t>TOTAL AZCAPOTZALCO</t>
  </si>
  <si>
    <t>FUENTE: División de Ciencias Sociales y Humanidades</t>
  </si>
  <si>
    <t>TOTAL CUAJIMALPA</t>
  </si>
  <si>
    <t>FUENTE: Coordinación de Lenguas Extranjeras / * Alumnos Externos incluye: Alumnos Externos, Egresados y Alumnos de Otras Unidades de la UAM.</t>
  </si>
  <si>
    <t>INGLÉS</t>
  </si>
  <si>
    <t>TOTAL IZTAPALAPA</t>
  </si>
  <si>
    <t>FUENTE: Coordinación de Enseñanza de Lenguas Extrajeras, División de CSH, Unidad Iztapalapa</t>
  </si>
  <si>
    <t>TOTAL LERMA</t>
  </si>
  <si>
    <t>INGLÉS (COMPRENSIÓN DE LECTURA)</t>
  </si>
  <si>
    <t>INGLÉS (HABILIDADES)</t>
  </si>
  <si>
    <t>TOTAL XOCHIMILCO</t>
  </si>
  <si>
    <t>Alumnos que poseen al menos el nivel intermedio B1 del MCE</t>
  </si>
  <si>
    <t>Alumnos inscritos con más de 75% de créditos aprobados Tr-O</t>
  </si>
  <si>
    <t xml:space="preserve">Mide el porcentaje de alumnos con más de 75% de créditos aprobados en su plan de estudios de licenciatura que poseen al menos el nivel intermedio B1 del Marco Común Europeo (MCE) de Referencia para las Lenguas, recomendado para estudiantes egresados del nivel de licenciatura por la Secretaría de Educación Pública en el idioma inglés. </t>
  </si>
  <si>
    <r>
      <t xml:space="preserve">Número de alumnos que poseen al menos el nivel intermedio B1 del MCE  de Referencia para las Lenguas en el idioma inglés </t>
    </r>
    <r>
      <rPr>
        <b/>
        <sz val="8"/>
        <color theme="1"/>
        <rFont val="Arial"/>
        <family val="2"/>
      </rPr>
      <t>entre</t>
    </r>
    <r>
      <rPr>
        <sz val="8"/>
        <color theme="1"/>
        <rFont val="Arial"/>
        <family val="2"/>
      </rPr>
      <t xml:space="preserve"> el número de alumnos inscritos con más de 75% de créditos aprobados de su plan de estudio por 100.</t>
    </r>
  </si>
  <si>
    <t>EMPLEO DE LOS EGRESADOS DE LICENCIATURA</t>
  </si>
  <si>
    <t>Porcentaje de egresados que declararon trabajar actualmente por año de egreso</t>
  </si>
  <si>
    <t>¿Trabaja actualmente?</t>
  </si>
  <si>
    <t>Año de egreso</t>
  </si>
  <si>
    <t>Si</t>
  </si>
  <si>
    <t>No</t>
  </si>
  <si>
    <t>Variable: Trabaja actualmente/ ua_aa2</t>
  </si>
  <si>
    <t>Variable: Trabaja actualmente/ ut_aa</t>
  </si>
  <si>
    <t>Generación 1997</t>
  </si>
  <si>
    <t>Generación 2002</t>
  </si>
  <si>
    <t>Generación 1998</t>
  </si>
  <si>
    <t>Generación 2003</t>
  </si>
  <si>
    <t>FUENTE:Oficina de egresados- CGII</t>
  </si>
  <si>
    <t>Nota metodológica:</t>
  </si>
  <si>
    <t>Encuesta realizada a través del “Sistema de Información para la generación de estudios sobre trayectoria académica de estudiantes, opinión de empleadores y tendencias de los mercados laborales y seguimiento de los egresados de la Universidad Autónoma Metropolitana”</t>
  </si>
  <si>
    <t>Para obtener el porcentaje de aceptación de cada uno de los indicadores se consideró el total de encuestados entre los que contestaron positivamente (Excelente, Muy Bueno, Bueno)</t>
  </si>
  <si>
    <t>EMPLEO DE LOS EGRESADOS DE POSGRADO</t>
  </si>
  <si>
    <r>
      <t>Fuente:</t>
    </r>
    <r>
      <rPr>
        <sz val="10"/>
        <color theme="1"/>
        <rFont val="Arial"/>
        <family val="2"/>
      </rPr>
      <t xml:space="preserve"> Estudio sobre la trayectoria profesional de los egresados de posgrado. Se apoya en una encuesta que debe ser aplicada a todos los egresados de los programas de posgrado, es decir, se trata de un censo.</t>
    </r>
  </si>
  <si>
    <t>¿Trabaja?</t>
  </si>
  <si>
    <t>Frecuencia</t>
  </si>
  <si>
    <t>Porcentaje válido</t>
  </si>
  <si>
    <t>Vacías</t>
  </si>
  <si>
    <t xml:space="preserve">Actual </t>
  </si>
  <si>
    <t>Variable: ¿Tiene empleo actualmente? (Clasificada en la base de datos como P10)</t>
  </si>
  <si>
    <r>
      <t xml:space="preserve">Fuente: </t>
    </r>
    <r>
      <rPr>
        <sz val="10"/>
        <color rgb="FF000000"/>
        <rFont val="Arial"/>
        <family val="2"/>
      </rPr>
      <t>Estudio de Seguimiento de Egresados del posgrado.</t>
    </r>
  </si>
  <si>
    <r>
      <t>Fecha de publicación del estudio:</t>
    </r>
    <r>
      <rPr>
        <sz val="10"/>
        <color rgb="FF000000"/>
        <rFont val="Arial"/>
        <family val="2"/>
      </rPr>
      <t xml:space="preserve"> Febrero de 2010.</t>
    </r>
  </si>
  <si>
    <r>
      <t xml:space="preserve">Número de cuestionarios aplicados: </t>
    </r>
    <r>
      <rPr>
        <sz val="10"/>
        <color theme="1"/>
        <rFont val="Arial"/>
        <family val="2"/>
      </rPr>
      <t>2, 447.</t>
    </r>
  </si>
  <si>
    <r>
      <t>Método de aplicación:</t>
    </r>
    <r>
      <rPr>
        <sz val="10"/>
        <color rgb="FF000000"/>
        <rFont val="Arial"/>
        <family val="2"/>
      </rPr>
      <t xml:space="preserve"> Entrevista telefónica.</t>
    </r>
  </si>
  <si>
    <r>
      <t>Proyecto:</t>
    </r>
    <r>
      <rPr>
        <sz val="10"/>
        <color theme="1"/>
        <rFont val="Arial"/>
        <family val="2"/>
      </rPr>
      <t xml:space="preserve"> Sistema de Información de estudiantes, egresados y empleadores.</t>
    </r>
  </si>
  <si>
    <t>Sí</t>
  </si>
  <si>
    <t xml:space="preserve">Azcapotzalco </t>
  </si>
  <si>
    <t xml:space="preserve">Ciencias Básicas e Ingeniería </t>
  </si>
  <si>
    <t xml:space="preserve">Ciencias Sociales y Humanidades </t>
  </si>
  <si>
    <t xml:space="preserve">Ciencias y Artes para el Diseño </t>
  </si>
  <si>
    <t xml:space="preserve">Iztapalapa </t>
  </si>
  <si>
    <t xml:space="preserve">Ciencias Biológicas y de la Salud </t>
  </si>
  <si>
    <t xml:space="preserve">Xochimilco </t>
  </si>
  <si>
    <t>GLOBAL</t>
  </si>
  <si>
    <t>UNIDAD / DIVISIÓN</t>
  </si>
  <si>
    <t>S N I - 2010</t>
  </si>
  <si>
    <t>PADTC con Doctorado</t>
  </si>
  <si>
    <t>S N I - 2011</t>
  </si>
  <si>
    <t>S N I - 2012</t>
  </si>
  <si>
    <t>S N I - 2013</t>
  </si>
  <si>
    <t>S N I - 2014</t>
  </si>
  <si>
    <t xml:space="preserve">ISI </t>
  </si>
  <si>
    <t>2010-2014</t>
  </si>
  <si>
    <t>Articulos</t>
  </si>
  <si>
    <t>Fuente: Coordinación General de Vinculación y Desarrollo Institucional</t>
  </si>
  <si>
    <t>Artículo especializado de investigación</t>
  </si>
  <si>
    <t>Personal Académico de tiempo completo</t>
  </si>
  <si>
    <t>FUENTE: Departamento de Ingreso  y Promoción de Personal Académico.</t>
  </si>
  <si>
    <t>Art. Esp Inv.</t>
  </si>
  <si>
    <t>CIENCIAS BASICAS</t>
  </si>
  <si>
    <t>ELECTRONICA</t>
  </si>
  <si>
    <t>ENERGIA</t>
  </si>
  <si>
    <t>MATERIALES</t>
  </si>
  <si>
    <t>SISTEMAS</t>
  </si>
  <si>
    <t>ADMINISTRACION</t>
  </si>
  <si>
    <t>DERECHO</t>
  </si>
  <si>
    <t>ECONOMIA</t>
  </si>
  <si>
    <t>SOCIOLOGIA</t>
  </si>
  <si>
    <t>CYAD</t>
  </si>
  <si>
    <t>EVALUAC. DISENO EN EL TIEMPO</t>
  </si>
  <si>
    <t>INVESTIGACION CONOCIMIENTO DISENO</t>
  </si>
  <si>
    <t>MEDIO AMBIENTE</t>
  </si>
  <si>
    <t>PROCESOS TEC.REALIZACION</t>
  </si>
  <si>
    <t>TOTAL UNIDAD AZCAPOTZALCO</t>
  </si>
  <si>
    <t>CIENCIAS DE LA COMUNICACION</t>
  </si>
  <si>
    <t>TECNOLOGIAS DE LA INFORMACION</t>
  </si>
  <si>
    <t>TEORIA Y PROCESOS DEL DISEÑO</t>
  </si>
  <si>
    <t>CIENCIAS NATURALES</t>
  </si>
  <si>
    <t>MATEMATICAS APLICADAS Y SISTEMAS</t>
  </si>
  <si>
    <t>PROCESOS Y TECNOLOGIA</t>
  </si>
  <si>
    <t>CIENCIAS SOCIALES</t>
  </si>
  <si>
    <t>ESTUDIOS INSTITUCIONALES</t>
  </si>
  <si>
    <t>FISICA</t>
  </si>
  <si>
    <t>INGENIERIA DE PROCESOS E HIDRAULICA</t>
  </si>
  <si>
    <t>INGENIERIA ELECTRICA</t>
  </si>
  <si>
    <t>MATEMATICAS</t>
  </si>
  <si>
    <t>QUIMICA</t>
  </si>
  <si>
    <t>BIOLOGIA</t>
  </si>
  <si>
    <t>BIOLOGIA REPRODUCCION</t>
  </si>
  <si>
    <t>BIOTECNOLOGIA</t>
  </si>
  <si>
    <t>CIENCIAS DE LA SALUD</t>
  </si>
  <si>
    <t>HIDROBIOLOGIA</t>
  </si>
  <si>
    <t>ANTROPOLOGIA</t>
  </si>
  <si>
    <t>FILOSOFIA</t>
  </si>
  <si>
    <t>TOTAL UNIDAD IZTAPALAPA</t>
  </si>
  <si>
    <t>PROCESOS PRODUCTIVOS</t>
  </si>
  <si>
    <t>RECURSOS DE LA TIERRA</t>
  </si>
  <si>
    <t>SISTEMAS DE INFORMACION Y COMUNICACIONES</t>
  </si>
  <si>
    <t>CIENCIAS AMBIENTALES</t>
  </si>
  <si>
    <t>CIENCIAS DE LA ALIMENTACION</t>
  </si>
  <si>
    <t>ARTES Y HUMANIDADES</t>
  </si>
  <si>
    <t>ESTUDIOS CULTURALES</t>
  </si>
  <si>
    <t>PROCESOS SOCIALES</t>
  </si>
  <si>
    <t>ATENCION A LA SALUD</t>
  </si>
  <si>
    <t>EL HOMBRE Y SU AMBIENTE</t>
  </si>
  <si>
    <t>PRODUCCION AGRICOLA Y ANIMAL</t>
  </si>
  <si>
    <t>SISTEMAS BIOLOGICOS</t>
  </si>
  <si>
    <t>EDUCACION Y COMUNICACION</t>
  </si>
  <si>
    <t>POLITICA Y CULTURA</t>
  </si>
  <si>
    <t>PRODUCCION ECONOMICA</t>
  </si>
  <si>
    <t>RELACIONES SOCIALES</t>
  </si>
  <si>
    <t>METODOS Y SISTEMAS</t>
  </si>
  <si>
    <t>SINTESIS CREATIVA</t>
  </si>
  <si>
    <t>TECNOLOGIA Y PRODUCCION</t>
  </si>
  <si>
    <t>TEORIA Y ANALISIS</t>
  </si>
  <si>
    <t>Recuento</t>
  </si>
  <si>
    <t>Suma</t>
  </si>
  <si>
    <t>Media</t>
  </si>
  <si>
    <t>CIENCIAS Y ARTES PARA EL DISEÑO</t>
  </si>
  <si>
    <t>BIOLOGIA DE LA REPRODUCCION</t>
  </si>
  <si>
    <t>Total Lerma</t>
  </si>
  <si>
    <t>Tasa de crecimiento</t>
  </si>
  <si>
    <t>CAC</t>
  </si>
  <si>
    <t>CAEC</t>
  </si>
  <si>
    <t>CAEF</t>
  </si>
  <si>
    <t>CAC: Cuerpo Académico Consolidado</t>
  </si>
  <si>
    <t>CAEC:  Cuerpo Académico en Consolidación</t>
  </si>
  <si>
    <t>CAEF: Cuerpo Académico en Formación</t>
  </si>
  <si>
    <r>
      <rPr>
        <b/>
        <u/>
        <sz val="11"/>
        <color rgb="FF000000"/>
        <rFont val="Calibri"/>
        <family val="2"/>
        <scheme val="minor"/>
      </rPr>
      <t>49:30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</si>
  <si>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r>
      <rPr>
        <b/>
        <u/>
        <sz val="11"/>
        <color rgb="FF000000"/>
        <rFont val="Calibri"/>
        <family val="2"/>
        <scheme val="minor"/>
      </rPr>
      <t>34:40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sz val="11"/>
        <color rgb="FF000000"/>
        <rFont val="Calibri"/>
        <family val="2"/>
        <scheme val="minor"/>
      </rPr>
      <t xml:space="preserve"> horas de transmisión semanales.</t>
    </r>
  </si>
  <si>
    <r>
      <rPr>
        <b/>
        <u/>
        <sz val="11"/>
        <color rgb="FF000000"/>
        <rFont val="Calibri"/>
        <family val="2"/>
        <scheme val="minor"/>
      </rPr>
      <t>35</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entre</t>
    </r>
    <r>
      <rPr>
        <b/>
        <u/>
        <sz val="11"/>
        <color rgb="FF000000"/>
        <rFont val="Calibri"/>
        <family val="2"/>
        <scheme val="minor"/>
      </rPr>
      <t xml:space="preserve"> 168</t>
    </r>
    <r>
      <rPr>
        <sz val="11"/>
        <color rgb="FF000000"/>
        <rFont val="Calibri"/>
        <family val="2"/>
        <scheme val="minor"/>
      </rPr>
      <t xml:space="preserve"> horas de transmisión semanales.</t>
    </r>
  </si>
  <si>
    <r>
      <t>Horas de transmisión en programas hablados (</t>
    </r>
    <r>
      <rPr>
        <b/>
        <u/>
        <sz val="11"/>
        <rFont val="Calibri"/>
        <family val="2"/>
        <scheme val="minor"/>
      </rPr>
      <t>52</t>
    </r>
    <r>
      <rPr>
        <sz val="11"/>
        <rFont val="Calibri"/>
        <family val="2"/>
        <scheme val="minor"/>
      </rPr>
      <t xml:space="preserve"> A LA SEMANA) entre horas de transmisión radiofónica (</t>
    </r>
    <r>
      <rPr>
        <b/>
        <u/>
        <sz val="11"/>
        <rFont val="Calibri"/>
        <family val="2"/>
        <scheme val="minor"/>
      </rPr>
      <t>168</t>
    </r>
    <r>
      <rPr>
        <sz val="11"/>
        <rFont val="Calibri"/>
        <family val="2"/>
        <scheme val="minor"/>
      </rPr>
      <t xml:space="preserve"> HORAS A LA SEMANA)* 100.</t>
    </r>
  </si>
  <si>
    <t>Resultados</t>
  </si>
  <si>
    <t>Metas</t>
  </si>
  <si>
    <t>Principales  indicadores</t>
  </si>
  <si>
    <t>Descripción</t>
  </si>
  <si>
    <t>Fórmula</t>
  </si>
  <si>
    <r>
      <t>A4.23.</t>
    </r>
    <r>
      <rPr>
        <sz val="12"/>
        <color rgb="FFFF0000"/>
        <rFont val="Arial"/>
        <family val="2"/>
      </rPr>
      <t xml:space="preserve"> Grado de vivencia de los valores institucionales</t>
    </r>
  </si>
  <si>
    <t xml:space="preserve">Mide el grado de vivencia de los  valores institucionales en la comunidad universitaria. </t>
  </si>
  <si>
    <t>Mide el crecimiento real del subsidio federal en relación con el periodo inmediato anterior.</t>
  </si>
  <si>
    <t>Mide el total de ingresos adicionales al subsidio federal.</t>
  </si>
  <si>
    <t>Mide las horas que se destinan para cada trabajador al año a programas de capacitación.</t>
  </si>
  <si>
    <t>1.1 horas persona</t>
  </si>
  <si>
    <t>1.5 horas persona</t>
  </si>
  <si>
    <t>20 horas persona</t>
  </si>
  <si>
    <t>Mide la relación entre el personal que colabora en los procesos sustantivos en relación con el personal en los procesos de apoyo.</t>
  </si>
  <si>
    <t>Mide la proporción del presupuesto ejercido en equipamiento.</t>
  </si>
  <si>
    <t>Mide la proporción del presupuesto ejercido en mantenimiento.</t>
  </si>
  <si>
    <t>Alumnos por computadora.</t>
  </si>
  <si>
    <t>Personal académico por computadora.</t>
  </si>
  <si>
    <t>Personal administrativo por computadora.</t>
  </si>
  <si>
    <t>Ancho de banda en red.</t>
  </si>
  <si>
    <t>Suma de las salidas a internet e internet 2.</t>
  </si>
  <si>
    <t>136 MB</t>
  </si>
  <si>
    <t>544 MB</t>
  </si>
  <si>
    <t>700 MB</t>
  </si>
  <si>
    <t>810 MB</t>
  </si>
  <si>
    <t>1684 MB</t>
  </si>
  <si>
    <t>60 GB</t>
  </si>
  <si>
    <t>Mide el número de miembros de la comunidad que participan en programas de salud.</t>
  </si>
  <si>
    <t>Mide el número de torneos y actividades organizados para la práctica del deporte.</t>
  </si>
  <si>
    <t>Número de torneos y actividades deportivas.</t>
  </si>
  <si>
    <t>Mide el número de servicios proporcionados para la práctica diaria.</t>
  </si>
  <si>
    <t>Webometrics.</t>
  </si>
  <si>
    <t>SIR latinoamericano.</t>
  </si>
  <si>
    <t>SIR universidades mexicanas.</t>
  </si>
  <si>
    <t>Mide la tasa de crecimiento de solicitudes de transparencia.</t>
  </si>
  <si>
    <t>Mide la tasa de crecimiento  de consultas de la información institucional.</t>
  </si>
  <si>
    <t>EFICIENCIA TERMINAL DE ALUMNOS DE LICENCIATURA QUE INGRESARON EN EL PERÍODO 2003-2009</t>
  </si>
  <si>
    <t>EFICIENCIA TERMINAL EN LICENCIATURA POR PLAZO MÁXIMO REGLAMENTADO</t>
  </si>
  <si>
    <t>AGA Lic 2015-I 1a.Semana</t>
  </si>
  <si>
    <t>AGA Lic 2014-I 4a. Semana</t>
  </si>
  <si>
    <t>Criterio: (origenM=1 ó origenM=2) &amp; edo&lt;&gt;13 &amp; edo &lt;&gt;19 &amp; aing&gt;=2003 &amp; aing&lt;=2009</t>
  </si>
  <si>
    <t>Estado del Alumno</t>
  </si>
  <si>
    <t>Activo</t>
  </si>
  <si>
    <t>No Reinscrito</t>
  </si>
  <si>
    <t>Suspendido</t>
  </si>
  <si>
    <t>Baja Definitiva</t>
  </si>
  <si>
    <t>Titulado</t>
  </si>
  <si>
    <t>Egresado</t>
  </si>
  <si>
    <t>Baja Reglamentaria</t>
  </si>
  <si>
    <t>Egresado "A"</t>
  </si>
  <si>
    <t>Baja por Dictámen</t>
  </si>
  <si>
    <t>Inscrito en Blanco</t>
  </si>
  <si>
    <t>Créditos Cubiertos</t>
  </si>
  <si>
    <t>Abandono</t>
  </si>
  <si>
    <t>Admitido Lista Complementaria</t>
  </si>
  <si>
    <t>Nuevo Ingreso No Inscrito</t>
  </si>
  <si>
    <t>Cancelación de Trámite</t>
  </si>
  <si>
    <t>Egreso</t>
  </si>
  <si>
    <t>Docencia (D)</t>
  </si>
  <si>
    <t>Mide el porcentaje de alumnos de licenciatura que terminó con éxito sus estudios  dentro del plazo que permite el Reglamento de Estudios Superiores (entre 4 y 10 años).</t>
  </si>
  <si>
    <t>Mide el tiempo promedio que excede en trimestres la conclusión de los planes de estudio de licenciatura en relación con la duración normal establecida.</t>
  </si>
  <si>
    <t>Mide la tasa de inserción laboral al tercer y quinto año de egreso.</t>
  </si>
  <si>
    <t>Datos derivados de la encuesta a egresados sobre trayectoria laboral de la última generación de estudio (licenciatura).</t>
  </si>
  <si>
    <t>Datos derivados de la encuesta a egresados sobre trayectoria laboral de la última generación de estudio (posgrado).</t>
  </si>
  <si>
    <t>Mide el porcentaje de los planes de estudio de licenciatura considerados de calidad, respecto del total de los planes evaluables.</t>
  </si>
  <si>
    <t>Mide el porcentaje de los planes de estudio de posgrado considerados de calidad, respecto del total de los planes.</t>
  </si>
  <si>
    <t xml:space="preserve">Mide el grado en el que se actualizan los planes de estudio de licenciatura. </t>
  </si>
  <si>
    <t>Mide el grado en el que se actualizan los planes de estudio de posgrado.</t>
  </si>
  <si>
    <t>Mide la capacidad académica de los profesores definitivos de tiempo completo.</t>
  </si>
  <si>
    <t xml:space="preserve">Número total de alumnos atendidos en el año (n). </t>
  </si>
  <si>
    <t>Mide la proporción de alumnos de posgrado respecto del total de la matrícula.</t>
  </si>
  <si>
    <t>Investigación (I)</t>
  </si>
  <si>
    <t>Mide el número de citas promedio por artículo publicado.</t>
  </si>
  <si>
    <t>Mide el porcentaje del tiempo de transmisión radiofónica en programas hablados.</t>
  </si>
  <si>
    <t>Indicadores y Metas</t>
  </si>
  <si>
    <t>x 100</t>
  </si>
  <si>
    <t>Número total de alumnos de la misma cohorte</t>
  </si>
  <si>
    <t>Número de alumnos con 100% de créditos de acuerdo con su cohorte generacional</t>
  </si>
  <si>
    <t>(</t>
  </si>
  <si>
    <t>)</t>
  </si>
  <si>
    <t>No considera alumnos con cero créditos</t>
  </si>
  <si>
    <t>2004 - 2010</t>
  </si>
  <si>
    <t>2003 - 2009</t>
  </si>
  <si>
    <t>2001 - 2007</t>
  </si>
  <si>
    <t>2000 - 2006</t>
  </si>
  <si>
    <t>EFICIENCIA TERMINAL SEGÚN EL TIEMPO MÁXIMO ESTABLECIDO EN LA NORMATIVIDAD VIGENTE</t>
  </si>
  <si>
    <t>Total de alumnos cuyo ingreso se dio dentro del mismo plazo</t>
  </si>
  <si>
    <t>Número de alumnos que acreditaron el plan de estudios dentro del plazo máximo reglamentado</t>
  </si>
  <si>
    <t>Número de alumnos que acreditaron el plan de estudios</t>
  </si>
  <si>
    <t>Número de alumnos incritos de nuevo ingreso</t>
  </si>
  <si>
    <t>Número de alumnos con 100% de créditos de acuerdo con su cohorte generacional más dos trimestres</t>
  </si>
  <si>
    <t>Número total de alumnos de la misma cohorte más dos trimestres</t>
  </si>
  <si>
    <t>No. Casos</t>
  </si>
  <si>
    <t>Diferencia</t>
  </si>
  <si>
    <t>Trimestres del plan</t>
  </si>
  <si>
    <t>Trimestres excedentes</t>
  </si>
  <si>
    <t>NTRC: Número de trimestres realmente cursados</t>
  </si>
  <si>
    <t>FUENTE: Información del AGA de la primera semana del 2011-I</t>
  </si>
  <si>
    <t>EFICIENCIA TERMINAL EN POSGRADO POR COHORTE DE INGRESO</t>
  </si>
  <si>
    <t>EFICIENCIA TERMINAL CON RESULTADOS AL TRIMESTRE 2013-O DE LOS ALUMNOS DE ESPECIALIDAD QUE INGRESARON EN 2012</t>
  </si>
  <si>
    <t>EFICIENCIA TERMINAL DE LOS ALUMNOS DE ESPECIALIDAD (*)</t>
  </si>
  <si>
    <t>AGA Posg 2014-I 4a. Semana</t>
  </si>
  <si>
    <t>INGRESO 2011 - RESULTADOS AL 2012-O</t>
  </si>
  <si>
    <t xml:space="preserve">SIN ESTADO 13* Y CRÉDITOS &gt; 0 </t>
  </si>
  <si>
    <t xml:space="preserve">NIVEL ESPECIALIZACIÓN AÑO DE INGRESO 2009 SIN ESTADOS 13* Y CRÉDITOS &gt; 0 </t>
  </si>
  <si>
    <t>AGA Posg 2015-I 1a.Semana</t>
  </si>
  <si>
    <t>CRITERIO:  aing_n = 2012 &amp; pla &lt; 500 &amp; niv = 1 &amp; edo ~= 13</t>
  </si>
  <si>
    <t>ntrc</t>
  </si>
  <si>
    <t>Ntrc</t>
  </si>
  <si>
    <t>NTRC</t>
  </si>
  <si>
    <t>Eficiencia</t>
  </si>
  <si>
    <t>Estado del Alumno 2011-I</t>
  </si>
  <si>
    <t>Alumnos que concluyeron en tiempo establecido el Plan de Estudios</t>
  </si>
  <si>
    <t>Alumnos con Diploma</t>
  </si>
  <si>
    <t>Esp en Acupuntura y Fitoterapia (**)</t>
  </si>
  <si>
    <t>Azc</t>
  </si>
  <si>
    <t>Izt</t>
  </si>
  <si>
    <t>Xoch</t>
  </si>
  <si>
    <t>NIVEL ESPECIALIZACIÓN AÑO DE INGRESO 2009 SIN ESTADOS 13* Y CRÉDITOS &gt; 0 POR UNIDAD</t>
  </si>
  <si>
    <t>(*) Plan de Estudios de dos años</t>
  </si>
  <si>
    <t>fuente: AGA 2013-I  de la 2a. Sem</t>
  </si>
  <si>
    <t>(*) Para el nivel de Especialización se consideran 4 trimestres para egresar</t>
  </si>
  <si>
    <t>*ESTADO 13: Nuevo ingreso no inscrito</t>
  </si>
  <si>
    <t>(**) Plan de estudios de 2 años.</t>
  </si>
  <si>
    <t>Para el nivel especialización se consideran 4 trimestres para egresar</t>
  </si>
  <si>
    <t>FUENTE: Información del AGA de la 3a. semana del 2012-I</t>
  </si>
  <si>
    <t>ALUMNOS DE MAESTRÍA QUE INGRESARON EN 2012 Y ACREDITARON PLAN DE ESTUDIOS EN 2014</t>
  </si>
  <si>
    <t>EFICIENCIA TERMINAL CON RESULTADOS AL TRIMESTRE 2013-O DE LOS ALUMNOS DE MAESTRÍA QUE INGRESARON EN 2011</t>
  </si>
  <si>
    <t>EFICIENCIA TERMINAL DE LOS ALUMNOS DE MAESTRÍA</t>
  </si>
  <si>
    <r>
      <rPr>
        <b/>
        <i/>
        <sz val="11"/>
        <color rgb="FFFF0000"/>
        <rFont val="Arial"/>
        <family val="2"/>
      </rPr>
      <t>NIVEL MAESTRÍA</t>
    </r>
    <r>
      <rPr>
        <b/>
        <i/>
        <sz val="11"/>
        <rFont val="Arial"/>
        <family val="2"/>
      </rPr>
      <t xml:space="preserve"> AÑO DE INGRESO 2009</t>
    </r>
  </si>
  <si>
    <t>INGRESO 2010 - RESULTADOS AL 2012-O</t>
  </si>
  <si>
    <t xml:space="preserve">NIVEL MAESTRÍA AÑO DE INGRESO 2008 SIN ESTADOS 13* Y CRÉDITOS &gt; 0 </t>
  </si>
  <si>
    <t>CRITERIO:  aing_n = 2011 &amp; pla &lt; 500 &amp; niv = 2 &amp; edo ~= 13</t>
  </si>
  <si>
    <t>Azcapotazalco</t>
  </si>
  <si>
    <t>Alumno con Grado</t>
  </si>
  <si>
    <t>Mtría en Ciencias y Tecnologías de la Información</t>
  </si>
  <si>
    <t>Mtría en Derecho Económico</t>
  </si>
  <si>
    <t>Fuente: AGA 2013-I  de la 2a. Sem</t>
  </si>
  <si>
    <t>Para el nivel de Maestría se consideran 8 trimestres para egresar</t>
  </si>
  <si>
    <t>ALUMNOS DE DOCTORADO QUE INGRESARON EN 2010 Y ACREDITARON PLAN DE ESTUDIOS EN 2014</t>
  </si>
  <si>
    <t>EFICIENCIA TERMINAL CON RESULTADOS AL TRIMESTRE 2013-O DE LOS ALUMNOS DE DOCTORADO QUE INGRESARON EN 2009</t>
  </si>
  <si>
    <t>EFICIENCIA TERMINAL DE LOS ALUMNOS DE DOCTORADO</t>
  </si>
  <si>
    <r>
      <rPr>
        <b/>
        <i/>
        <sz val="11"/>
        <color rgb="FFFF0000"/>
        <rFont val="Arial"/>
        <family val="2"/>
      </rPr>
      <t>NIVEL DOCTORADO</t>
    </r>
    <r>
      <rPr>
        <b/>
        <i/>
        <sz val="11"/>
        <rFont val="Arial"/>
        <family val="2"/>
      </rPr>
      <t xml:space="preserve"> AÑO DE INGRESO 2007</t>
    </r>
  </si>
  <si>
    <t>INGRESO 2008 - RESULTADOS AL 2012-O</t>
  </si>
  <si>
    <t>NIVEL DOCTORADO AÑO DE INGRESO 2006 SIN ESTADOS 13* Y CRÉDITOS &gt; 0</t>
  </si>
  <si>
    <t>CRITERIO:  aing_n = 2009 &amp; pla &lt; 500 &amp; niv = 3 &amp; edo ~= 13</t>
  </si>
  <si>
    <t>Para el nivel de Doctorado se consideran 14 trimestres para egresar</t>
  </si>
  <si>
    <t>TRIMESTRES REALMENTE CURSADOS PARA ACREDITAR PLAN DE ESTUDIOS EN 2013</t>
  </si>
  <si>
    <t xml:space="preserve">TRIMESTRES CURSADOS PROMEDIO UTILIZADOS PARA ACREDITA PLAN DE ESTUDIOS </t>
  </si>
  <si>
    <t>TIEMPO  PROMEDIO EXCEDENTE PARA CONCLUIR ESTUDIOS DE POSGRADO</t>
  </si>
  <si>
    <t>PROMEDIO DE TRIMESTRES REALMENTE CURSADOS PARA ACREDITAR PLAN DE ESTUDIOS DE ESPECIALIDAD 2014</t>
  </si>
  <si>
    <t>POSGRADO NIVEL ESPECIALIDAD</t>
  </si>
  <si>
    <t xml:space="preserve"> ESPECIALIDAD 2012</t>
  </si>
  <si>
    <r>
      <t xml:space="preserve">ALUMNOS QUE CONCLUYERON EN 2011 EL </t>
    </r>
    <r>
      <rPr>
        <b/>
        <sz val="10"/>
        <color rgb="FFFF0000"/>
        <rFont val="Arial"/>
        <family val="2"/>
      </rPr>
      <t>NIVEL DE ESPECIALIDAD</t>
    </r>
  </si>
  <si>
    <t>AGA Posg 2015-I 1a. Semana</t>
  </si>
  <si>
    <t>AGA Posg. 2014-I 4a. Semana</t>
  </si>
  <si>
    <t>N</t>
  </si>
  <si>
    <t>Desv. típ.</t>
  </si>
  <si>
    <t>Media NTRC</t>
  </si>
  <si>
    <t>Media NTRI</t>
  </si>
  <si>
    <t>Promedio de Trimestres Naturales</t>
  </si>
  <si>
    <t>No. Trimestres del Plan</t>
  </si>
  <si>
    <t>Total Cuajimalapa</t>
  </si>
  <si>
    <t>(*) Plan de estudios de 2 años.</t>
  </si>
  <si>
    <t>FUENTE: AGA de la cuarta semana del 2011-I</t>
  </si>
  <si>
    <t>Realmente cursados</t>
  </si>
  <si>
    <t>Totales por División: se obtiene un promedio multiplicando el número de casos N por la diferencia de cada plan de estudio, se suman y se dividen sobre el total de casos por División.</t>
  </si>
  <si>
    <t>Totales por Unidad: se obtiene un promedio multiplicando el número de casos N por la diferencia de cada División, se suman y se dividen sobre el total de casos por Unidad.</t>
  </si>
  <si>
    <t>PROMEDIO DE TRIMESTRES REALMENTE CURSADOS PARA ACREDITAR PLAN DE ESTUDIOS DE MAESTRÍA 2014</t>
  </si>
  <si>
    <t>Mtría en Filosofía de la Ciencia</t>
  </si>
  <si>
    <t>Mtría en Sociología del Trabajo</t>
  </si>
  <si>
    <t>PROMEDIO DE TRIMESTRES REALMENTE CURSADOS PARA ACREDITAR PLAN DE ESTUDIOS DE DOCTORADO 2014</t>
  </si>
  <si>
    <t>POSGRADO NIVEL DOCTORADO</t>
  </si>
  <si>
    <t xml:space="preserve"> DOCTORADO 2012</t>
  </si>
  <si>
    <t>ALUMNOS QUE CONCLUYERON EN 2011 EL NIVEL DE DOCTORADO</t>
  </si>
  <si>
    <t>Doc.</t>
  </si>
  <si>
    <t>Doc en Ciencias</t>
  </si>
  <si>
    <t>Divisiones</t>
  </si>
  <si>
    <t>Media de trimestres  realmente cursados por los egresados en el año</t>
  </si>
  <si>
    <t xml:space="preserve"> Número de trimestres establecidos en la duración normal prevista de cada plan de estudio.</t>
  </si>
  <si>
    <r>
      <t>ALUMNOS DE ESPECIALIZACIÓN QUE INGRESARON EN 2013 Y ACREDITARON PLAN DE ESTUDIOS EN</t>
    </r>
    <r>
      <rPr>
        <b/>
        <sz val="12"/>
        <color rgb="FFCC9900"/>
        <rFont val="Calibri"/>
        <family val="2"/>
        <scheme val="minor"/>
      </rPr>
      <t xml:space="preserve"> 2014</t>
    </r>
  </si>
  <si>
    <t>Numero total de alumnos de la misma cohorte</t>
  </si>
  <si>
    <t xml:space="preserve">Número de alumnos de especialización  con 100% de créditos de acuerdo a su cohorte generacional </t>
  </si>
  <si>
    <t xml:space="preserve">Número de alumnos de maestría  con 100% de créditos de acuerdo a su cohorte generacional </t>
  </si>
  <si>
    <t xml:space="preserve">Número de alumnos de doctorado  con 100% de créditos de acuerdo a su cohorte generacional </t>
  </si>
  <si>
    <t>Media de trimestres  realmente cursados por los egresados de especialización en el año</t>
  </si>
  <si>
    <t xml:space="preserve"> Número de trimestres establecidos en la duración normal prevista de cada uno de los planes de estudio de especialización</t>
  </si>
  <si>
    <t>Media de trimestres  realmente cursados por los egresados de maestría en el año</t>
  </si>
  <si>
    <t xml:space="preserve"> Número de trimestres establecidos en la duración normal prevista de cada uno de los planes de estudio de maestría</t>
  </si>
  <si>
    <t>Media de trimestres  realmente cursados por los egresados de doctorado en el año</t>
  </si>
  <si>
    <t xml:space="preserve"> Número de trimestres establecidos en la duración normal prevista de cada uno de los planes de estudio de doctorado</t>
  </si>
  <si>
    <t>Total de planes evaluables</t>
  </si>
  <si>
    <t>Total de planes de estudio de licenciatura acreditados por COPAES y evaluados por CIEES Nivel 1</t>
  </si>
  <si>
    <t>Total de planes de estudio de posgrado registrados en el PNPC</t>
  </si>
  <si>
    <t>Total de planes de estudio</t>
  </si>
  <si>
    <t xml:space="preserve"> número total de planes de estudio</t>
  </si>
  <si>
    <t>Número de planes de estudio de licenciatura con adecuaciones, modificaciones y de nueva creación  en los últimos 3 años</t>
  </si>
  <si>
    <t xml:space="preserve">Número de planes de estudio de posgrado con adecuaciones, modificaciones y de nueva creación en los últimos 5 años </t>
  </si>
  <si>
    <t>Número de alumnos de posgrado en el año (n)</t>
  </si>
  <si>
    <t>Total de alumnos por 100.</t>
  </si>
  <si>
    <t>Número de alumnos en programas de movilidad</t>
  </si>
  <si>
    <t xml:space="preserve">Matrícula  elegible </t>
  </si>
  <si>
    <t>Número de alumnos que poseen al menos el nivel intermedio B1 del MCE  de Referencia para las Lenguas en el idioma inglés</t>
  </si>
  <si>
    <t>Alumnos inscritos con más de 75% de créditos aprobados de su plan de estudio</t>
  </si>
  <si>
    <t>Número de profesores definitivos de tiempo completo con especialidad, maestría y doctorado</t>
  </si>
  <si>
    <t>Total de profesores definitivos de tiempo completo</t>
  </si>
  <si>
    <t>Número de profesores definitivos de tiempo completo con doctorado</t>
  </si>
  <si>
    <t>Mide el porcentaje de Profesores en el  S N I en relación al Personal Académico Definitivo de Tiempo Completo con Doctorado</t>
  </si>
  <si>
    <t>Mide la proporción del financiamiento externo a proyectos de investigación en relación con el  presupuesto aprobado en Otros Gastos de Operación e Inversión del año (n).</t>
  </si>
  <si>
    <t>Mide el número de libros editados por la Universidad en el año (n).</t>
  </si>
  <si>
    <t>Mide la tasa de crecimiento de las actividades artísticas y culturales</t>
  </si>
  <si>
    <t>Número de profesores de tiempo completo inscritos en el (SNI)</t>
  </si>
  <si>
    <t>Total de profesores de tiempo completo</t>
  </si>
  <si>
    <t>Total de profesores de tiempo completo con Doctorado</t>
  </si>
  <si>
    <t>Mide el porcentaje de Profesores en el S N I nivel 2 y 3 en relación con profesores S N I nivel 1 y Candidato</t>
  </si>
  <si>
    <t>Número de profesores de tiempo completo inscritos en el (SNI) niveles 2 y 3</t>
  </si>
  <si>
    <t>Número de profesores de tiempo completo inscritos en el (SNI) niveles 1 y candidato</t>
  </si>
  <si>
    <t>Número de citas a los artículos publicados</t>
  </si>
  <si>
    <t>Número de artículos publicados.</t>
  </si>
  <si>
    <t>Monto total del financiamiento externo a proyectos de investigación</t>
  </si>
  <si>
    <t>Monto  total del presupuesto aprobado en Otros Gastos de Operación e Inversión del año (n)</t>
  </si>
  <si>
    <t>Puntaje 3300</t>
  </si>
  <si>
    <t>Mide el porcentaje de alumnos de especialización que terminó con éxito sus estudios por cohorte generacional.</t>
  </si>
  <si>
    <t>Mide el porcentaje de alumnos de maestría que terminó con éxito sus estudios por cohorte generacional.</t>
  </si>
  <si>
    <t>Mide el porcentaje de alumnos de doctorado que terminó con éxito sus estudios por cohorte generacional.</t>
  </si>
  <si>
    <t>Mide la matrícula de alumnos inscritos y reinscritos de licenciatura y posgrado en el año (n).</t>
  </si>
  <si>
    <t>Mide el porcentaje de alumnos con más de 75% de créditos aprobados en su plan de estudios de licenciatura que poseen al menos el nivel intermedio B1 del Marco Común Europeo (MCE) de Referencia para las Lenguas, recomendado para estudiantes egresados del n</t>
  </si>
  <si>
    <t>Mide la capacidad académica de los profesores definitivos de tiempo completo con doctorado.</t>
  </si>
  <si>
    <t>Número de Artículos especializados de investigación</t>
  </si>
  <si>
    <t>Número de Artículos especializados de investigación con puntaje de 3300</t>
  </si>
  <si>
    <t>Mide la proporción de los artículos especializados de investigación en relación al  Personal Académico Definitivo de tiempo completo</t>
  </si>
  <si>
    <t>Mide la proporción de los artículos especializados con puntaje de 3300 en relación al  Personal Académico Definitivo de tiempo completo</t>
  </si>
  <si>
    <t>Mide la proporción de los artículos especializados con puntaje de 3300 en relación con el total de los artículos especializados de investigación</t>
  </si>
  <si>
    <t>Media de puntos por profesor del año n</t>
  </si>
  <si>
    <t xml:space="preserve">Horas de transmisión en programas hablados </t>
  </si>
  <si>
    <t>Horas de transmisión radiofónica</t>
  </si>
  <si>
    <t>Conteo simple</t>
  </si>
  <si>
    <t>Total de asistentes</t>
  </si>
  <si>
    <r>
      <t>Número total de actividades</t>
    </r>
    <r>
      <rPr>
        <i/>
        <sz val="14"/>
        <color theme="1"/>
        <rFont val="Arial"/>
        <family val="2"/>
      </rPr>
      <t xml:space="preserve"> * </t>
    </r>
    <r>
      <rPr>
        <sz val="10"/>
        <color theme="1"/>
        <rFont val="Arial"/>
        <family val="2"/>
      </rPr>
      <t>Duración de                                                  cada una</t>
    </r>
  </si>
  <si>
    <t>Media de puntos por profesor del año anterior</t>
  </si>
  <si>
    <t>Número de eventos cuturales en el año n</t>
  </si>
  <si>
    <t>DIFUSIÓN CULTURAL</t>
  </si>
  <si>
    <t>APOYO INST.</t>
  </si>
  <si>
    <r>
      <rPr>
        <b/>
        <sz val="11"/>
        <color theme="1"/>
        <rFont val="Arial"/>
        <family val="2"/>
      </rPr>
      <t xml:space="preserve"> -</t>
    </r>
    <r>
      <rPr>
        <sz val="10"/>
        <color theme="1"/>
        <rFont val="Arial"/>
        <family val="2"/>
      </rPr>
      <t xml:space="preserve"> 1 x 100</t>
    </r>
  </si>
  <si>
    <t>Subsidio real en el año (n)</t>
  </si>
  <si>
    <t>Subsidio real del año (n-1)</t>
  </si>
  <si>
    <t>Ingresos adicionales</t>
  </si>
  <si>
    <t>Subsidio federal</t>
  </si>
  <si>
    <t>Personal académico</t>
  </si>
  <si>
    <t>Personal administrativo</t>
  </si>
  <si>
    <t>Presupuesto ejercido en equipamiento en el año (n)</t>
  </si>
  <si>
    <t>Presupuesto total ajustado en otros gastos de operación, mantenimiento e inversión en el año (n)</t>
  </si>
  <si>
    <t>Presupuesto ejercido en mantenimiento en el año (n)</t>
  </si>
  <si>
    <t>Número de alumnos en el año (n)</t>
  </si>
  <si>
    <t>Número de personal académico en el año (n)</t>
  </si>
  <si>
    <t>Total de computadoras destinadas a los alumnos en el año (n)</t>
  </si>
  <si>
    <t>Total de computadoras destinadas al personal académico en el año (n).</t>
  </si>
  <si>
    <t>Total de computadoras destinadas a personal administrativo en el año (n).</t>
  </si>
  <si>
    <t>Número de personal admvo. en el año (n)</t>
  </si>
  <si>
    <t>Lugar</t>
  </si>
  <si>
    <t>Número de beneficiarios</t>
  </si>
  <si>
    <t>Número de solicitudes de transparencia del año (n)</t>
  </si>
  <si>
    <t>Número de solicitudes de transparencia del año (n-1)</t>
  </si>
  <si>
    <t>Número de consultas de información institucional en el año (n)</t>
  </si>
  <si>
    <t>Número de consultas de información institucional en el año (n-1)</t>
  </si>
  <si>
    <t>Número de servicios diarios proporcionados  a la comunidad universitaria</t>
  </si>
  <si>
    <t>Mide el porcentaje de profesores inscritos en el S N I en relación al Personal Académico Definitivo de Tiempo Completo</t>
  </si>
  <si>
    <t>Clasificación</t>
  </si>
  <si>
    <t>EFICIENCIA TERMINAL DE ALUMNOS DE LICENCIATURA QUE INGRESARON ENTRE 2004 y 2010</t>
  </si>
  <si>
    <r>
      <t>GENERACIONES DE INGRESO 2002 A 2008 CON RESULTADOS AL TRIMESTRE</t>
    </r>
    <r>
      <rPr>
        <b/>
        <sz val="11"/>
        <color rgb="FFFF0000"/>
        <rFont val="Calibri"/>
        <family val="2"/>
        <scheme val="minor"/>
      </rPr>
      <t xml:space="preserve"> 2012</t>
    </r>
    <r>
      <rPr>
        <b/>
        <sz val="11"/>
        <color theme="1"/>
        <rFont val="Calibri"/>
        <family val="2"/>
        <scheme val="minor"/>
      </rPr>
      <t>-O (AGA 2013-I 2a. Semana)</t>
    </r>
  </si>
  <si>
    <r>
      <t>GENERACIONES DE INGRESO 2001 A 2007 CON RESULTADOS AL TRIMESTRE</t>
    </r>
    <r>
      <rPr>
        <b/>
        <sz val="11"/>
        <color rgb="FFFF0000"/>
        <rFont val="Calibri"/>
        <family val="2"/>
        <scheme val="minor"/>
      </rPr>
      <t xml:space="preserve"> 2011</t>
    </r>
    <r>
      <rPr>
        <b/>
        <sz val="11"/>
        <color theme="1"/>
        <rFont val="Calibri"/>
        <family val="2"/>
        <scheme val="minor"/>
      </rPr>
      <t>-O (AGA 2012-I 3a. Semana)</t>
    </r>
  </si>
  <si>
    <r>
      <t xml:space="preserve">GENERACIONES DE INGRESO 2000 A 2006 CON RESULTADOS AL TRIMESTRE </t>
    </r>
    <r>
      <rPr>
        <b/>
        <i/>
        <sz val="12"/>
        <color rgb="FFFF0000"/>
        <rFont val="Calibri"/>
        <family val="2"/>
        <scheme val="minor"/>
      </rPr>
      <t>2010</t>
    </r>
    <r>
      <rPr>
        <b/>
        <i/>
        <sz val="12"/>
        <color theme="1"/>
        <rFont val="Calibri"/>
        <family val="2"/>
        <scheme val="minor"/>
      </rPr>
      <t>-O (AGA 2011-I 1a. Semana)</t>
    </r>
  </si>
  <si>
    <r>
      <t>Estado del Alumno en</t>
    </r>
    <r>
      <rPr>
        <b/>
        <sz val="9"/>
        <color rgb="FFFF0000"/>
        <rFont val="Calibri"/>
        <family val="2"/>
        <scheme val="minor"/>
      </rPr>
      <t xml:space="preserve"> 2013</t>
    </r>
    <r>
      <rPr>
        <b/>
        <sz val="9"/>
        <color indexed="8"/>
        <rFont val="Calibri"/>
        <family val="2"/>
        <scheme val="minor"/>
      </rPr>
      <t>-O</t>
    </r>
  </si>
  <si>
    <r>
      <t>Estado del Alumno en</t>
    </r>
    <r>
      <rPr>
        <b/>
        <sz val="11"/>
        <color rgb="FFFF0000"/>
        <rFont val="Calibri"/>
        <family val="2"/>
        <scheme val="minor"/>
      </rPr>
      <t xml:space="preserve"> 2012</t>
    </r>
    <r>
      <rPr>
        <b/>
        <sz val="11"/>
        <color indexed="8"/>
        <rFont val="Calibri"/>
        <family val="2"/>
        <scheme val="minor"/>
      </rPr>
      <t>-O</t>
    </r>
  </si>
  <si>
    <r>
      <t>Estado del Alumno en</t>
    </r>
    <r>
      <rPr>
        <b/>
        <sz val="12"/>
        <color rgb="FFFF0000"/>
        <rFont val="Calibri"/>
        <family val="2"/>
        <scheme val="minor"/>
      </rPr>
      <t xml:space="preserve"> 2011</t>
    </r>
    <r>
      <rPr>
        <b/>
        <sz val="12"/>
        <color theme="1"/>
        <rFont val="Calibri"/>
        <family val="2"/>
        <scheme val="minor"/>
      </rPr>
      <t>-O  (AGA 2012-I 3a.Semana)</t>
    </r>
  </si>
  <si>
    <t>Eficiencia Terminal  al 2014</t>
  </si>
  <si>
    <r>
      <t>Estado del Alumno en</t>
    </r>
    <r>
      <rPr>
        <b/>
        <sz val="9"/>
        <color rgb="FFFF0000"/>
        <rFont val="Calibri"/>
        <family val="2"/>
        <scheme val="minor"/>
      </rPr>
      <t xml:space="preserve"> 2012</t>
    </r>
    <r>
      <rPr>
        <b/>
        <sz val="9"/>
        <color indexed="8"/>
        <rFont val="Calibri"/>
        <family val="2"/>
        <scheme val="minor"/>
      </rPr>
      <t>-O</t>
    </r>
  </si>
  <si>
    <r>
      <t xml:space="preserve">Estado del Alumno en </t>
    </r>
    <r>
      <rPr>
        <b/>
        <sz val="9"/>
        <color rgb="FFFF0000"/>
        <rFont val="Calibri"/>
        <family val="2"/>
        <scheme val="minor"/>
      </rPr>
      <t>2011</t>
    </r>
    <r>
      <rPr>
        <b/>
        <sz val="9"/>
        <color theme="1"/>
        <rFont val="Calibri"/>
        <family val="2"/>
        <scheme val="minor"/>
      </rPr>
      <t>-O  (AGA 2012-I 3a.Semana)</t>
    </r>
  </si>
  <si>
    <t>Mide el porcentaje de alumnos de licenciatura que terminó con éxito sus estudios por cohorte generacional (no considera alumnos con cero créditos).</t>
  </si>
  <si>
    <t>Mide el tiempo promedio que excede en trimestres la conclusión de los planes de estudio de especialización en relación con la duración normal establecida.</t>
  </si>
  <si>
    <t>Mide el tiempo promedio que excede en trimestres la conclusión de los planes de estudio de maestría en relación con la duración normal establecida.</t>
  </si>
  <si>
    <t>Mide el tiempo promedio que excede en trimestres la conclusión de los planes de estudio de doctorado en relación con la duración normal establecida.</t>
  </si>
  <si>
    <t>Mide la tasa de crecimiento del Puntaje  acumulado de las actividades académicas evaluables</t>
  </si>
  <si>
    <t>CAC / Total</t>
  </si>
  <si>
    <t>Mide la proporción de Cuerpos Académicos consolidados respecto al total de cuerpos académicos reconocidos</t>
  </si>
  <si>
    <t>Número de cuerpos académicos consolidados</t>
  </si>
  <si>
    <t>Número de cuerpos académicos reconocidos</t>
  </si>
  <si>
    <t>Número de eventos cuturales del año (n-1)</t>
  </si>
  <si>
    <t xml:space="preserve">Plan </t>
  </si>
  <si>
    <t>¿Tiene Empleo actualmente? (%)</t>
  </si>
  <si>
    <t>Relación de su actividad laboral con los estudios de posgrado que realizó (%)</t>
  </si>
  <si>
    <t>Nula</t>
  </si>
  <si>
    <t>Baja</t>
  </si>
  <si>
    <t xml:space="preserve">Mediana </t>
  </si>
  <si>
    <t>Alta</t>
  </si>
  <si>
    <t xml:space="preserve">ESPECIALIZACIÓN EN CIENCIAS E INGENIERÍA </t>
  </si>
  <si>
    <t>ESPECIALIDAD</t>
  </si>
  <si>
    <t>MAESTRÍA EN CIENCIAS DE LA COMPUTACIÓN</t>
  </si>
  <si>
    <t>MAESTRIA</t>
  </si>
  <si>
    <t xml:space="preserve">MAESTRÍA EN CIENCIAS E INGENIERÍA </t>
  </si>
  <si>
    <t>MAESTRÍA EN INGENIERÍA ESTRUCTURAL</t>
  </si>
  <si>
    <t xml:space="preserve">DOCTORADO EN CIENCIAS E INGENIERÍA </t>
  </si>
  <si>
    <t>DOCTORADO</t>
  </si>
  <si>
    <t>DOCTORADO EN INGENIERÍA ESTRUCTURAL</t>
  </si>
  <si>
    <t>ESPECIALIZACIÓN EN LITERATURA MEXICANA DEL SIGLO XX</t>
  </si>
  <si>
    <t xml:space="preserve">ESPECIALIZACIÓN EN SOCIOLOGÍA DE LA EDUCACIÓN </t>
  </si>
  <si>
    <t>MAESTRÍA EN PLANEACIÓN Y POLÍTICAS METROPOLITANAS</t>
  </si>
  <si>
    <t>MAESTRÍA EN ECONOMÍA</t>
  </si>
  <si>
    <t>MAESTRÍA EN HISTORIOGRAFÍA DE MÉXICO</t>
  </si>
  <si>
    <t>MAESTRÍA EN CIENCIAS ECONÓMICAS (COMPARTIDO)</t>
  </si>
  <si>
    <t xml:space="preserve">POSGRADO EN HISTORIOGRAFÍA </t>
  </si>
  <si>
    <t xml:space="preserve">DOCTORADO EN CIENCIAS ECONÓMICAS </t>
  </si>
  <si>
    <t xml:space="preserve">DOCTORADO EN SOCIOLOGÍA </t>
  </si>
  <si>
    <t>ESPECIALIDAD EN DISEÑO AMBIENTAL</t>
  </si>
  <si>
    <t xml:space="preserve">ESPECIALIDAD EN DISEÑO </t>
  </si>
  <si>
    <t>MAESTRÍA EN DISEÑO</t>
  </si>
  <si>
    <t>MAESTRÍA EN REUTILIZACIÓN DEL PATRIMONIO EDIFICADO</t>
  </si>
  <si>
    <t xml:space="preserve">DOCTORADO EN DISEÑO </t>
  </si>
  <si>
    <t>ESPECIALIDAD EN CIENCIAS ANTROPOLÓGICAS</t>
  </si>
  <si>
    <t>ESPECIALIDAD EN BIOTECNOLOGÍA</t>
  </si>
  <si>
    <t xml:space="preserve">ESPECIALIDAD EN ACUPUNTURA Y FITOTERAPIA </t>
  </si>
  <si>
    <t>MAESTRÍA EN FÍSICA</t>
  </si>
  <si>
    <t>MAESTRÍA EN QUÍMICA</t>
  </si>
  <si>
    <t>MAESTRÍA EN MATEMÁTICAS</t>
  </si>
  <si>
    <t>MAESTRÍA EN INGENIERÍA QUÍMICA</t>
  </si>
  <si>
    <t>MAESTRÍA EN INGENIERÍA BIOMÉDICA</t>
  </si>
  <si>
    <t>MAESTRÍA EN HISTORIA</t>
  </si>
  <si>
    <t xml:space="preserve">MAESTRÍA EN FILOSOFÍA DE LA CIENCIA </t>
  </si>
  <si>
    <t>MAESTRÍA EN SOCIOLOGÍA DEL TRABAJO</t>
  </si>
  <si>
    <t>MAESTRÍA EN CIENCIAS ANTROPOLÓGICAS</t>
  </si>
  <si>
    <t>MAESTRÍA EN BIOLOGÍA EXPERIMENTAL</t>
  </si>
  <si>
    <t xml:space="preserve">MAESTRÍA EN BIOLOGÍA DE LA REPRODUCCIÓN ANIMAL </t>
  </si>
  <si>
    <t>MAESTRÍA EN INVESTIGACIÓN EN SALUD PÚBLICA</t>
  </si>
  <si>
    <t>POSGRADO EN BIOTECNOLOGÍA</t>
  </si>
  <si>
    <t>MAESTRÍA EN ESTUDIOS ORGANIZACIONALES</t>
  </si>
  <si>
    <t xml:space="preserve">MAESTRÍA EN HUMANIDADES </t>
  </si>
  <si>
    <t xml:space="preserve">MAESTRÍA EN ESTUDIOS SOCIALES </t>
  </si>
  <si>
    <t>POSGRADO EN FÍSICA</t>
  </si>
  <si>
    <t>POSGRADO EN MATEMÁTICAS</t>
  </si>
  <si>
    <t>POSGRADO EN QUÍMICA</t>
  </si>
  <si>
    <t>POSGRADO EN INGENIERÍA QUÍMICA</t>
  </si>
  <si>
    <t>POSGRADO EN INGENIERÍA BIOMÉDICA</t>
  </si>
  <si>
    <t xml:space="preserve">POSGRADO EN BIOLOGÍA EXPERIMENTAL </t>
  </si>
  <si>
    <t xml:space="preserve">MAESTRÍA EN BIOLOGÍA </t>
  </si>
  <si>
    <t>MAESTRÍA EN CIENCIAS Y TECNOLOGÍAS DE LA INFORMACIÓN</t>
  </si>
  <si>
    <t>POSGRADO EN CIENCIAS Y TECNOLOGÍAS DE LA INFORMACIÓN</t>
  </si>
  <si>
    <t>DOCTORADO EN CIENCIAS</t>
  </si>
  <si>
    <t xml:space="preserve">DOCTORADO EN CIENCIAS ANTROPOLÓGICAS </t>
  </si>
  <si>
    <t>DOCTORADO EN CIENCIAS BIOLÓGICAS (COMPARTIDO)</t>
  </si>
  <si>
    <t xml:space="preserve">DOCTORADO EN ESTUDIOS ORGANIZACIONALES </t>
  </si>
  <si>
    <t>DOCTORADO EN HUMANIDADES</t>
  </si>
  <si>
    <t>DOCTORADO EN ESTUDIOS SOCIALES</t>
  </si>
  <si>
    <t>ESPECIALIDAD EN MEDICINA SOCIAL</t>
  </si>
  <si>
    <t>ESPECIALIZACIÓN EN DIAGNÓSTICO INTEGRAL Y PATOLOGÍA BUCAL</t>
  </si>
  <si>
    <t>ESPECIALIZACIÓN EN ESTUDIOS DE LA MUJER</t>
  </si>
  <si>
    <t>POSGRADO EN DESARROLLO RURAL</t>
  </si>
  <si>
    <t xml:space="preserve">ESPECIALIZACIÓN EN PATOLOGÍA Y MEDICINA  BUCAL </t>
  </si>
  <si>
    <t>MAESTRÍA EN DERECHO ECONÓMICO</t>
  </si>
  <si>
    <t>MAESTRÍA EN DESARROLLO RURAL</t>
  </si>
  <si>
    <t>MAESTRÍA EN PLANEACIÓN DE LA EDUCACIÓN</t>
  </si>
  <si>
    <t xml:space="preserve">MAESTRÍA EN ECONOMÍA Y GESTIÓN DEL CAMBIO TECNOLÓGICO </t>
  </si>
  <si>
    <t xml:space="preserve">MAESTRÍA EN MEDICINA SOCIAL </t>
  </si>
  <si>
    <t>MAESTRÍA EN REHABILITACIÓN NEUROLÓGICA</t>
  </si>
  <si>
    <t xml:space="preserve">MAESTRÍA EN CIENCIAS DE LA SALUD EN EL TRABAJO </t>
  </si>
  <si>
    <t xml:space="preserve">MAESTRÍA EN ESTUDIOS DE LA MUJER </t>
  </si>
  <si>
    <t xml:space="preserve">MAESTRÍA EN PSICOLOGÍA SOCIAL EN GRUPOS E INSTITUCIONES </t>
  </si>
  <si>
    <t xml:space="preserve">MAESTRÍA EN ADMINISTRACIÓN DEL TRABAJO </t>
  </si>
  <si>
    <t xml:space="preserve">MAESTRÍA EN POLÍTICAS PÚBLICAS </t>
  </si>
  <si>
    <t>MAESTRÍA EN POBLACIÓN EN SALUD</t>
  </si>
  <si>
    <t>MAESTRÍA EN COMUNICACIÓN Y POLÍTICA</t>
  </si>
  <si>
    <t xml:space="preserve">MAESTRÍA EN CIENCIAS FARMACÉUTICAS </t>
  </si>
  <si>
    <t xml:space="preserve">MAESTRÍA EN CIENCIAS Y ARTES PARA EL DISEÑO </t>
  </si>
  <si>
    <t xml:space="preserve">MAESTRÍA EN CIENCIAS AGROPECUARIAS </t>
  </si>
  <si>
    <t xml:space="preserve">MAESTRÍA EN RELACIONES INTERNACIONALES </t>
  </si>
  <si>
    <t xml:space="preserve">DOCTORADO EN CIENCIAS SOCIALES </t>
  </si>
  <si>
    <t xml:space="preserve">DOCTORADO EN CIENCIAS Y ARTES PARA EL DISEÑO </t>
  </si>
  <si>
    <t>DOCTORADO EN CIENCIAS ECONÓMICAS  (COMPARTIDO)</t>
  </si>
  <si>
    <t>POSGRADO EN CIENCIAS SOCIALES Y HUMANIDADES</t>
  </si>
  <si>
    <t>Elaboración: Dirección de Planeación.</t>
  </si>
  <si>
    <t>DEPARTAMENTO</t>
  </si>
  <si>
    <t>DIVISION</t>
  </si>
  <si>
    <t>SUBTOTAL CBI</t>
  </si>
  <si>
    <t>SUBTOTAL CSH</t>
  </si>
  <si>
    <t>EVALUACION DEL DISEÑO EN EL TIEMPO</t>
  </si>
  <si>
    <t>INVESTIGACIÓN Y CONOCIMIENTO DEL DISEÑO</t>
  </si>
  <si>
    <t>PROCESOS Y TECNICAS DE REALIZACION</t>
  </si>
  <si>
    <t>SUBTOTAL CYAD</t>
  </si>
  <si>
    <t>SUBTOTAL CCD</t>
  </si>
  <si>
    <t>SUBTOTAL CNI</t>
  </si>
  <si>
    <t>SUBTOTAL CBS</t>
  </si>
  <si>
    <t>Porcentaje de respuesta por año de egreso</t>
  </si>
  <si>
    <t xml:space="preserve">Año de egreso </t>
  </si>
  <si>
    <t>Variable: Último año de actividad académica (ua_aa2)</t>
  </si>
  <si>
    <t>¿En qué medida coincide su actividad laboral con los estudios de licenciatura?</t>
  </si>
  <si>
    <t>Licenciatura</t>
  </si>
  <si>
    <t>Nula coincidencia</t>
  </si>
  <si>
    <t>Baja coincidencia</t>
  </si>
  <si>
    <t>Coincidencia</t>
  </si>
  <si>
    <t>Total coincidencia</t>
  </si>
  <si>
    <t>Sociologia</t>
  </si>
  <si>
    <t>Diseño de la comunicación gráfica</t>
  </si>
  <si>
    <t>Ing. Energía</t>
  </si>
  <si>
    <t>Antropología social</t>
  </si>
  <si>
    <t>Letras hispánicas</t>
  </si>
  <si>
    <t>Ciencia política</t>
  </si>
  <si>
    <t>Biología experimental</t>
  </si>
  <si>
    <t>Producción animal</t>
  </si>
  <si>
    <t>Ing de los Alimentos</t>
  </si>
  <si>
    <t>Comunicación social</t>
  </si>
  <si>
    <t>Enfermeria</t>
  </si>
  <si>
    <t>Química farmacéutica biológica</t>
  </si>
  <si>
    <t>Medicina veterinaria y zootecnia</t>
  </si>
  <si>
    <t>Nutrición humana</t>
  </si>
  <si>
    <t>Diseño industrial</t>
  </si>
  <si>
    <t>Planeacion territorial</t>
  </si>
  <si>
    <t>Politica y gestion social</t>
  </si>
  <si>
    <t>Total de matrícula de planes evaluables</t>
  </si>
  <si>
    <t>Total de matrícula de planes de estudio de licenciatura acreditados por COPAES y evaluados por CIEES Nivel 1</t>
  </si>
  <si>
    <t>Total de matrícula de planes de estudio de posgrado registrados en el PNPC</t>
  </si>
  <si>
    <t>Total de matrícula de planes de estudio</t>
  </si>
  <si>
    <t>S N I - 2015</t>
  </si>
  <si>
    <t>Ing. Recursos Hídricos</t>
  </si>
  <si>
    <t xml:space="preserve"> 11P-15I</t>
  </si>
  <si>
    <t>11O-15P</t>
  </si>
  <si>
    <t>2005-2011</t>
  </si>
  <si>
    <t>Posgrado en Diseño, Planificación y Conservación de Paisajes y Jardines</t>
  </si>
  <si>
    <t>Posgrado en Diseño Bioclimático</t>
  </si>
  <si>
    <t>Posgrado en Diseño y Desarrollo de Productos</t>
  </si>
  <si>
    <t>Posgrado en Diseño y Estudios Urbanos</t>
  </si>
  <si>
    <t>Posgrado en Diseño y Visualización de la Información</t>
  </si>
  <si>
    <r>
      <t xml:space="preserve">Fuente: </t>
    </r>
    <r>
      <rPr>
        <sz val="8"/>
        <color theme="1"/>
        <rFont val="Calibri"/>
        <family val="2"/>
        <scheme val="minor"/>
      </rPr>
      <t xml:space="preserve">Sistema de Información de Estudiantes, Egresados y Empleadores (sieee). </t>
    </r>
  </si>
  <si>
    <r>
      <t>Empleo de los egresados:  E</t>
    </r>
    <r>
      <rPr>
        <sz val="8"/>
        <color theme="1"/>
        <rFont val="Calibri"/>
        <family val="2"/>
        <scheme val="minor"/>
      </rPr>
      <t>studio sobre la trayectoria profesional de los egresados de posgrado. Se apoya en una encuesta que debe ser aplicada a todos los egresados de los programas de posgrado, es decir, se trata de un censo.</t>
    </r>
  </si>
  <si>
    <r>
      <rPr>
        <b/>
        <sz val="8"/>
        <color theme="1"/>
        <rFont val="Calibri"/>
        <family val="2"/>
        <scheme val="minor"/>
      </rPr>
      <t>Nota metodológica</t>
    </r>
    <r>
      <rPr>
        <sz val="8"/>
        <color theme="1"/>
        <rFont val="Calibri"/>
        <family val="2"/>
        <scheme val="minor"/>
      </rPr>
      <t>: El universo de estudio fue extraíodo del Archivo General de Alumnos (AGA) generado en la semana 11 del trimestre Otoño 2015 a partir de la variable: Último año de actividad académica (ua_aa2). A continuación se señalan en color los planes que no cumplen ni con el porcentaje de la representatividad estadística.</t>
    </r>
  </si>
  <si>
    <t>D1. Eficiencia terminal en licenciatura</t>
  </si>
  <si>
    <t>D2. Trimestres excedentes (licenciatura)</t>
  </si>
  <si>
    <t>D3. Eficiencia terminal en posgrado</t>
  </si>
  <si>
    <t>D4. Tiempo promedio para concluir estudios de posgrado</t>
  </si>
  <si>
    <t>D5. Empleo de los egresados</t>
  </si>
  <si>
    <t>D.1.1 Cohorte generacional</t>
  </si>
  <si>
    <t>D.2.3 Tiempo  promedio excedente para concluir estudios de licenciatura</t>
  </si>
  <si>
    <t>D.1.2 Plazo máximo reglamentado</t>
  </si>
  <si>
    <t>D.3.4 Especialización</t>
  </si>
  <si>
    <t>D.5.5 Maestría</t>
  </si>
  <si>
    <t>D.3.6 Doctorado</t>
  </si>
  <si>
    <t>D.4.8 Maestría</t>
  </si>
  <si>
    <t>D.4.7 Especialización</t>
  </si>
  <si>
    <t>D.4.9 Doctorado</t>
  </si>
  <si>
    <t>D.5.10 Licenciatura</t>
  </si>
  <si>
    <t>D.5.11 Posgrado</t>
  </si>
  <si>
    <t>D.6.12. Planes de Licenciatura</t>
  </si>
  <si>
    <t>D.6.13 Planes de Posgrado</t>
  </si>
  <si>
    <t>15-I</t>
  </si>
  <si>
    <t>15-P</t>
  </si>
  <si>
    <t>15-O</t>
  </si>
  <si>
    <t>16-I</t>
  </si>
  <si>
    <t>A 383</t>
  </si>
  <si>
    <t>A 263</t>
  </si>
  <si>
    <t>A 294    A 292</t>
  </si>
  <si>
    <t>16-P</t>
  </si>
  <si>
    <t>A 377</t>
  </si>
  <si>
    <t>A 381</t>
  </si>
  <si>
    <t xml:space="preserve">AP 369.4 / A 369 </t>
  </si>
  <si>
    <t>M 369..9</t>
  </si>
  <si>
    <t>M 378.11</t>
  </si>
  <si>
    <t>AP 272.5</t>
  </si>
  <si>
    <t>AP 274.5 AP 281.13</t>
  </si>
  <si>
    <t>AP 284.6</t>
  </si>
  <si>
    <t>A 382</t>
  </si>
  <si>
    <t>AP 280.4</t>
  </si>
  <si>
    <t>AP 294.8</t>
  </si>
  <si>
    <t>A 306</t>
  </si>
  <si>
    <t>A 325</t>
  </si>
  <si>
    <t>AP 272</t>
  </si>
  <si>
    <t>AP 280</t>
  </si>
  <si>
    <t xml:space="preserve">A 292,  M294.9                                            </t>
  </si>
  <si>
    <t>A 315.5</t>
  </si>
  <si>
    <t>A383</t>
  </si>
  <si>
    <t>C 252.4</t>
  </si>
  <si>
    <t>15-O y 17-O</t>
  </si>
  <si>
    <t>M378.9</t>
  </si>
  <si>
    <t>C378.9</t>
  </si>
  <si>
    <t>17-O</t>
  </si>
  <si>
    <t>C 346.7</t>
  </si>
  <si>
    <t>A381</t>
  </si>
  <si>
    <t>M 369.5</t>
  </si>
  <si>
    <t>A 243</t>
  </si>
  <si>
    <t>A 354</t>
  </si>
  <si>
    <t>M381</t>
  </si>
  <si>
    <t>C 309</t>
  </si>
  <si>
    <t>D7. Actualización de planes de estudio</t>
  </si>
  <si>
    <t>D.7.14 Licenciatura</t>
  </si>
  <si>
    <t>D.7.15 Posgrado</t>
  </si>
  <si>
    <t>D8. Planta académica</t>
  </si>
  <si>
    <t>D.8.16 Grado académico</t>
  </si>
  <si>
    <t>D.8.17 Doctorado</t>
  </si>
  <si>
    <t>D9. Matrícula</t>
  </si>
  <si>
    <t>D.9.18 Matrícula total</t>
  </si>
  <si>
    <t>D.9.19 Matrícula de posgrado en relación con la matrícula total</t>
  </si>
  <si>
    <t>Posgrado en Diseño para la Rehabilitación, Recuperación y Conservación del Patrimonio Construido</t>
  </si>
  <si>
    <t>D10. Inglés</t>
  </si>
  <si>
    <t>D.10.20 Alumnos de licenciatura con nivel intermedio en el idioma inglés</t>
  </si>
  <si>
    <t>I11. Sistema Nacional de Investigadores (SNI)</t>
  </si>
  <si>
    <t>I12. Citas promedio</t>
  </si>
  <si>
    <t>2011-2015</t>
  </si>
  <si>
    <t>Articulos (2016/03/02)</t>
  </si>
  <si>
    <t>Citas  (2016/03/02)</t>
  </si>
  <si>
    <t>I13. Financiamiento</t>
  </si>
  <si>
    <t>I.11.21 Relación con  Personal Académico Definitivo de Tiempo Completo</t>
  </si>
  <si>
    <t>I.11.22 Relación con  Personal Académico Definitivo de Tiempo Completo con Doctorado</t>
  </si>
  <si>
    <t>I.11.23 Relación de profesores en el S N I nivel 2 y 3 con profesores nivel 1 y Candidato</t>
  </si>
  <si>
    <t>I.13.25 Financiamiento externo a proyectos de investigación</t>
  </si>
  <si>
    <t>I.12.24 Citas promedio por artículo publicado.</t>
  </si>
  <si>
    <t>I.14.26 Por profesor</t>
  </si>
  <si>
    <t>I.14.27 Puntaje de 3300 por profesor</t>
  </si>
  <si>
    <t>I.14.28  Relación de puntaje de 3300 y total</t>
  </si>
  <si>
    <t>I15. Puntaje acumulado</t>
  </si>
  <si>
    <t>I14. Artículos especializados de investigación</t>
  </si>
  <si>
    <t>I16. Cuerpos académicos</t>
  </si>
  <si>
    <t>I.15.29 Tasa de crecimiento del puntaje acumulado en las actividades académicas evaluables</t>
  </si>
  <si>
    <t>C17. Radio UAM</t>
  </si>
  <si>
    <t>C18. Libros</t>
  </si>
  <si>
    <t>I.16.30 Cuerpos académicos consolidados</t>
  </si>
  <si>
    <t>C.17.31 Horas de transmisión de eventos culturales por radio y videoconferencia</t>
  </si>
  <si>
    <t>C.18.32 Producción editorial</t>
  </si>
  <si>
    <t>No. de horas por persona (B / F)</t>
  </si>
  <si>
    <t>FUENTE: Base de Datos de Nómina, Quincena 20 de 2015. Incluye Mandos Medios Académicos, Mandos Medios Administrativos con Base Académica y Funcionarios Académicos.</t>
  </si>
  <si>
    <t>Presupuesto ejercido 2015</t>
  </si>
  <si>
    <t>PARTICIPANTES</t>
  </si>
  <si>
    <t>ESPECTADORES</t>
  </si>
  <si>
    <t>Atletismo</t>
  </si>
  <si>
    <t xml:space="preserve"> Ajedrez Tableros</t>
  </si>
  <si>
    <t>Yoga</t>
  </si>
  <si>
    <t>Zumba</t>
  </si>
  <si>
    <t>ENERO DE 2016</t>
  </si>
  <si>
    <t>http://www.webometrics.info/en/Latin_America/Mexico</t>
  </si>
  <si>
    <t>Lugar Latinoamerica 2015</t>
  </si>
  <si>
    <t>UNIVERSIDADES</t>
  </si>
  <si>
    <t>PUNTAJE OBTENIDO</t>
  </si>
  <si>
    <t>Universidad Nacional Autónoma de México (UNAM)</t>
  </si>
  <si>
    <t>Instituto Tecnológico y de Estudios Superiores de Monterrey  (ITESM)</t>
  </si>
  <si>
    <t>Universidad Iberoamericana (UIA)</t>
  </si>
  <si>
    <t>Instituto Politécnico Nacional (IPN)</t>
  </si>
  <si>
    <t>Universidad Autónoma Metropolitana (UAM)</t>
  </si>
  <si>
    <t>Instituto Tecnológico Autónomo de México (ITAM)</t>
  </si>
  <si>
    <t>Universidad de Guadalajara (UDG)</t>
  </si>
  <si>
    <t>Universidad Anahuac</t>
  </si>
  <si>
    <t>Universidad de las Américas Puebla (UDLAP)</t>
  </si>
  <si>
    <t>Universidad Autónoma de Nuevo León (UANL)</t>
  </si>
  <si>
    <t>universidad de Monterrey (UDEM)</t>
  </si>
  <si>
    <t>Universidad Panamericana</t>
  </si>
  <si>
    <t>Lugar México 2015</t>
  </si>
  <si>
    <t>551-600</t>
  </si>
  <si>
    <t>601-650</t>
  </si>
  <si>
    <t>651-700</t>
  </si>
  <si>
    <t>Universidad ANAHUAC</t>
  </si>
  <si>
    <t>Universidad Panamericana (UP)</t>
  </si>
  <si>
    <t>701+</t>
  </si>
  <si>
    <t>Universidad Autonoma de Nuevo Leon (UANL)</t>
  </si>
  <si>
    <t>Universidad Autónoma del Estado de Mexico (UAEMex)</t>
  </si>
  <si>
    <t>Universidad de Monterrey (UDEM)</t>
  </si>
  <si>
    <t>http://www.topuniversities.com/university-rankings/world-university-rankings/2015?utm_source=tu_house&amp;utm_medium=web_banner&amp;utm_campaign=WUR-2015#sorting=rank+region=213+country=241+faculty=+stars=false+search=</t>
  </si>
  <si>
    <t>Apoyo Institucional (A)</t>
  </si>
  <si>
    <t>10 GB</t>
  </si>
  <si>
    <t>A.25.46. Posición de la UAM en contexto nacional e internacional</t>
  </si>
  <si>
    <t>A.25.47 Transparencia</t>
  </si>
  <si>
    <t>Preservación y Difusión de la Cultura (C)</t>
  </si>
  <si>
    <t>C19. Actividades culturales</t>
  </si>
  <si>
    <t>A20. Presupuesto</t>
  </si>
  <si>
    <t>A21. Recursos Humanos</t>
  </si>
  <si>
    <t>A22. Infraestructura</t>
  </si>
  <si>
    <t>A23. Índice de cobertura de las TIC</t>
  </si>
  <si>
    <t>A24. Servicios universitarios</t>
  </si>
  <si>
    <t>A25. Rendición de cuentas</t>
  </si>
  <si>
    <t>C.19.33 Actividades Artísticas y Culturales</t>
  </si>
  <si>
    <t>A.20.34 Crecimiento real del subsidio federal</t>
  </si>
  <si>
    <t>A.20.35 Ingresos diferentes al subsidio federal</t>
  </si>
  <si>
    <t>A.21.36 Capacitación</t>
  </si>
  <si>
    <t>A.21.37 Estructura de personal en unidades académicas</t>
  </si>
  <si>
    <t>A.22.38 Crecimiento en equipamiento</t>
  </si>
  <si>
    <t>A.22.39 Mantenimiento</t>
  </si>
  <si>
    <t>A.23.40 Alumnos por Computadoras</t>
  </si>
  <si>
    <t>A.23.41 Personal académico por Computadoras</t>
  </si>
  <si>
    <t>A.23.42 personal administrativo por Computadoras</t>
  </si>
  <si>
    <t>A.23.43 Red</t>
  </si>
  <si>
    <t>A.24.44. Programa de salud</t>
  </si>
  <si>
    <t>A.24.45. Programa de actividades deportivas</t>
  </si>
  <si>
    <r>
      <rPr>
        <b/>
        <sz val="11"/>
        <color rgb="FF000000"/>
        <rFont val="Calibri"/>
        <family val="2"/>
        <scheme val="minor"/>
      </rPr>
      <t>50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</si>
  <si>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t>Ciencias Atmosféricas</t>
  </si>
  <si>
    <t>Especialización en Física Médica Clínica</t>
  </si>
  <si>
    <t>S N I - 2016</t>
  </si>
  <si>
    <t>14.3 GB</t>
  </si>
  <si>
    <t>Comunidad Universitaria susceptible de beneficiarse con los programas salud*</t>
  </si>
  <si>
    <t>* Activos de Licenciatura y Posgrado + pnal. Académico y pnal. Admvo.</t>
  </si>
  <si>
    <t>GB</t>
  </si>
  <si>
    <t>Basquetbol Tercias</t>
  </si>
  <si>
    <t>Balonmano</t>
  </si>
  <si>
    <t>Pesas</t>
  </si>
  <si>
    <t>Karate Do</t>
  </si>
  <si>
    <t>Halterofilia</t>
  </si>
  <si>
    <t>Torneo de fuerza</t>
  </si>
  <si>
    <t>Rally de bienvenida</t>
  </si>
  <si>
    <t>Tae kwon Do</t>
  </si>
  <si>
    <t>Areas verdes</t>
  </si>
  <si>
    <t>Baloncesto y canchas de basquetbol</t>
  </si>
  <si>
    <t>Crossfit y gimnasio de Crossfit</t>
  </si>
  <si>
    <t>Danza acrobática</t>
  </si>
  <si>
    <t>Entrenamientos deportivos</t>
  </si>
  <si>
    <t>Festivales, rallys de bienvenida y concursos</t>
  </si>
  <si>
    <t>Gimnasio urbano</t>
  </si>
  <si>
    <t>Participación en eventos de la Universidad</t>
  </si>
  <si>
    <t>Préstamo de balones</t>
  </si>
  <si>
    <t>Préstamo de instalaciones</t>
  </si>
  <si>
    <t>Préstamo de material deportivo</t>
  </si>
  <si>
    <t>PIVU CYAD</t>
  </si>
  <si>
    <t>Senderismo</t>
  </si>
  <si>
    <t>Tae Bo</t>
  </si>
  <si>
    <t>Tenis (canchas)</t>
  </si>
  <si>
    <t>Tenis de Mesa y raquetas</t>
  </si>
  <si>
    <t>Torneos internos y externos</t>
  </si>
  <si>
    <t>Sep, Oct, Nov, Dic</t>
  </si>
  <si>
    <t>No. de eventos culturales</t>
  </si>
  <si>
    <t xml:space="preserve"> 12P-16I</t>
  </si>
  <si>
    <t>12O-16P</t>
  </si>
  <si>
    <t>EFICIENCIA TERMINAL DE ALUMNOS QUE INGRESARON ENTRE 2005 Y 2011</t>
  </si>
  <si>
    <t>AGA Lic 2016-I 1a Sem</t>
  </si>
  <si>
    <t>Criterio: (origen_mat = 1 | origen_mat = 2) &amp; cre_acum &gt; 0 &amp;  aing&gt; 2004 &amp; aing&lt;2012</t>
  </si>
  <si>
    <t>Inscripción Cancelada</t>
  </si>
  <si>
    <t>Eficiencia Terminal al 2015</t>
  </si>
  <si>
    <t>(*) Plan de 5 años, el ingreso es de un año anterior</t>
  </si>
  <si>
    <t>2006-2012</t>
  </si>
  <si>
    <t>EFICIENCIA TERMINAL DE ALUMNOS QUE INGRESARON ENTRE 2006 Y 2012</t>
  </si>
  <si>
    <t>AGA Lic 2017-I 1a Sem</t>
  </si>
  <si>
    <t>AGA Posg 2016-I 1a Sem</t>
  </si>
  <si>
    <t>Criterio: aing_n = 2014 &amp; pla &lt; 500 &amp; niv = 1 &amp; edo ~= 13</t>
  </si>
  <si>
    <t>Aceptado Nuevo Ingreso</t>
  </si>
  <si>
    <r>
      <t>EFICIENCIA TERMINAL DE ALUMNOS DE ESPECIALIDAD QUE INGRESARON EN</t>
    </r>
    <r>
      <rPr>
        <b/>
        <sz val="12"/>
        <color rgb="FFFF0000"/>
        <rFont val="Calibri"/>
        <family val="2"/>
        <scheme val="minor"/>
      </rPr>
      <t xml:space="preserve"> 2015</t>
    </r>
  </si>
  <si>
    <t>EFICIENCIA TERMINAL DE ALUMNOS DE MAESTRÍA QUE INGRESARON EN 2013</t>
  </si>
  <si>
    <t>Criterio: aing_n = 2013 &amp; pla &lt; 500 &amp; niv = 2 &amp; edo ~= 13</t>
  </si>
  <si>
    <t>EFICIENCIA TERMINAL DE ALUMNOS DE DOCTORADO QUE INGRESARON EN 2011</t>
  </si>
  <si>
    <t>Criterio: aing_n = 2011 &amp; pla &lt; 500 &amp; niv = 3 &amp; edo ~= 13</t>
  </si>
  <si>
    <t>AGA Posg 2016-I 1a. Sem</t>
  </si>
  <si>
    <t>Prom TRC</t>
  </si>
  <si>
    <t>(*) Plan de 6 trimestres</t>
  </si>
  <si>
    <t>PROMEDIO DE TRIMESTRES REALMENTE CURSADOS PARA ACREDITAR PLAN DE ESTUDIOS DE ESPECIALIDAD 2015</t>
  </si>
  <si>
    <t>PROMEDIO DE TRIMESTRES REALMENTE CURSADOS PARA ACREDITAR PLAN DE ESTUDIOS DE MAESTRÍA 2015</t>
  </si>
  <si>
    <t>PROMEDIO DE TRIMESTRES REALMENTE CURSADOS PARA ACREDITAR PLAN DE ESTUDIOS DE DOCTORADO 2015</t>
  </si>
  <si>
    <t>Egreso 2015</t>
  </si>
  <si>
    <t>Egreso 2014</t>
  </si>
  <si>
    <t>Egreso 2013</t>
  </si>
  <si>
    <t>Egreso 2012</t>
  </si>
  <si>
    <t>Egreso 2011</t>
  </si>
  <si>
    <t>Egreso en 2010</t>
  </si>
  <si>
    <t>Trim Prom</t>
  </si>
  <si>
    <t>NTRC Media</t>
  </si>
  <si>
    <t>Trim Cursados Promedio</t>
  </si>
  <si>
    <t>Fuente: AGA Lic 2015-I 1a. Sem</t>
  </si>
  <si>
    <t>México</t>
  </si>
  <si>
    <t>ENERO DE 2017</t>
  </si>
  <si>
    <t>Centro de Investigación y de Estudios Avanzados del IPN CINVESTAV</t>
  </si>
  <si>
    <t>Tecnológico de Monterrey</t>
  </si>
  <si>
    <t xml:space="preserve">Clasificación por país: México,  QS Ranking Latin America 2016, Universidades Mexicanas. </t>
  </si>
  <si>
    <t>Lugar Latinoamerica</t>
  </si>
  <si>
    <r>
      <t xml:space="preserve">Esp en Acupuntura y Fitoterapia </t>
    </r>
    <r>
      <rPr>
        <b/>
        <sz val="9"/>
        <color rgb="FFFF0000"/>
        <rFont val="Calibri"/>
        <family val="2"/>
        <scheme val="minor"/>
      </rPr>
      <t>(*)</t>
    </r>
  </si>
  <si>
    <r>
      <rPr>
        <b/>
        <sz val="9"/>
        <color rgb="FFFF0000"/>
        <rFont val="Calibri"/>
        <family val="2"/>
        <scheme val="minor"/>
      </rPr>
      <t>(*)</t>
    </r>
    <r>
      <rPr>
        <sz val="9"/>
        <color theme="1"/>
        <rFont val="Calibri"/>
        <family val="2"/>
        <scheme val="minor"/>
      </rPr>
      <t xml:space="preserve"> Plan de dos años, el ingreso es de un año anterior</t>
    </r>
  </si>
  <si>
    <t>Para el nivel de Especialización se consideran 4 trimestres para egresar</t>
  </si>
  <si>
    <t>Criterio: (origen_mat = 1 | origen_mat = 2) &amp; cre_acum &gt; 0 &amp;  aing&gt; 2005 &amp; aing&lt;2013</t>
  </si>
  <si>
    <r>
      <rPr>
        <b/>
        <sz val="8"/>
        <color rgb="FFFF0000"/>
        <rFont val="Calibri"/>
        <family val="2"/>
        <scheme val="minor"/>
      </rPr>
      <t>(*)</t>
    </r>
    <r>
      <rPr>
        <sz val="8"/>
        <color theme="1"/>
        <rFont val="Calibri"/>
        <family val="2"/>
        <scheme val="minor"/>
      </rPr>
      <t xml:space="preserve"> Plan de 5 años, el ingreso es de un año anterior</t>
    </r>
  </si>
  <si>
    <t>16-O</t>
  </si>
  <si>
    <t>A 398</t>
  </si>
  <si>
    <t>C 396.3</t>
  </si>
  <si>
    <t>Lic. Ciencias Atmosféricas</t>
  </si>
  <si>
    <t>A 387</t>
  </si>
  <si>
    <t>A 402</t>
  </si>
  <si>
    <t>M 390.6</t>
  </si>
  <si>
    <r>
      <t xml:space="preserve">Especialidad en Diseño (A, 02-0, Sesión 238) </t>
    </r>
    <r>
      <rPr>
        <b/>
        <i/>
        <sz val="11"/>
        <rFont val="Calibri"/>
        <family val="2"/>
        <scheme val="minor"/>
      </rPr>
      <t>Ya no se cuentan como vigentes</t>
    </r>
  </si>
  <si>
    <r>
      <t>Maestría en Diseño (A, 02-0, Sesión 238)</t>
    </r>
    <r>
      <rPr>
        <b/>
        <i/>
        <sz val="11"/>
        <rFont val="Calibri"/>
        <family val="2"/>
        <scheme val="minor"/>
      </rPr>
      <t>Ya no se cuentan como vigentes</t>
    </r>
  </si>
  <si>
    <r>
      <t xml:space="preserve">Doctorado en Diseño (A, 02-0, Sesión 238) </t>
    </r>
    <r>
      <rPr>
        <b/>
        <i/>
        <sz val="11"/>
        <rFont val="Calibri"/>
        <family val="2"/>
        <scheme val="minor"/>
      </rPr>
      <t>Ya no se cuentan como vigentes</t>
    </r>
  </si>
  <si>
    <t>Maestría en Literatura Mexicana Contemporánea</t>
  </si>
  <si>
    <r>
      <t>Posgrado en Optimización-Maestría</t>
    </r>
    <r>
      <rPr>
        <sz val="11"/>
        <color rgb="FFFF0000"/>
        <rFont val="Calibri"/>
        <family val="2"/>
        <scheme val="minor"/>
      </rPr>
      <t xml:space="preserve"> </t>
    </r>
  </si>
  <si>
    <r>
      <t>Posgrado en Optimización-Doctorado</t>
    </r>
    <r>
      <rPr>
        <sz val="11"/>
        <color rgb="FFFF0000"/>
        <rFont val="Calibri"/>
        <family val="2"/>
        <scheme val="minor"/>
      </rPr>
      <t xml:space="preserve"> </t>
    </r>
  </si>
  <si>
    <t>Posgrado en Ingeniería de Procesos-Maestría</t>
  </si>
  <si>
    <t>Posgrado en Ingeniería de Procesos-Doctorado</t>
  </si>
  <si>
    <t>C 387.6</t>
  </si>
  <si>
    <t>C 402.9</t>
  </si>
  <si>
    <t>17-I</t>
  </si>
  <si>
    <t>C390.5</t>
  </si>
  <si>
    <t>C398.3</t>
  </si>
  <si>
    <t>A398</t>
  </si>
  <si>
    <t>A402</t>
  </si>
  <si>
    <t>A357</t>
  </si>
  <si>
    <t>C 387.5</t>
  </si>
  <si>
    <t>Eficiencia Terminal al 2016 de alumnos que ingresaron en 2006-2012</t>
  </si>
  <si>
    <t>PROMEDIO DE TRIMESTRES REALMENTE CURSADOS PARA ACREDITAR PLAN DE ESTUDIOS</t>
  </si>
  <si>
    <t>EGRESADOS EN 2016</t>
  </si>
  <si>
    <t>AGA Lic 2017-I 1a. Sem</t>
  </si>
  <si>
    <t>Egreso 2016</t>
  </si>
  <si>
    <t>AGA Posg 2017-I 1a Sem</t>
  </si>
  <si>
    <t>Criterio: aing_n = 2015 &amp; pla &lt; 500 &amp; niv = 1 &amp; edo ~= 13</t>
  </si>
  <si>
    <t>EFICIENCIA TERMINAL DE ALUMNOS DE ESPECIALIDAD QUE INGRESARON EN 2016</t>
  </si>
  <si>
    <t>EFICIENCIA TERMINAL DE ALUMNOS DE MAESTRÏA QUE INGRESARON EN 2014</t>
  </si>
  <si>
    <t>Criterio: aing_n = 2014 &amp; pla &lt; 500 &amp; niv = 2 &amp; edo ~= 13</t>
  </si>
  <si>
    <t>Total Iztapalpa</t>
  </si>
  <si>
    <t>Mtría en Economía, Gestión y Política de Innovación</t>
  </si>
  <si>
    <t>Mtría en Ecología Aplicada</t>
  </si>
  <si>
    <t>EFICIENCIA TERMINAL DE ALUMNOS DE DOCTORADO QUE INGRESARON EN 2012</t>
  </si>
  <si>
    <t>Criterio: aing_n = 2012 &amp; pla &lt; 500 &amp; niv = 3 &amp; edo ~= 13</t>
  </si>
  <si>
    <t>Trámite Cancelado</t>
  </si>
  <si>
    <t>PROMEDIO DE TRIMESTRES REALMENTE CURSADOS PARA APROBAR EL PLAN DE ESTUDIOS DE ESPECIALIDAD 2016</t>
  </si>
  <si>
    <t>AGA Posg 2017-I 1a. Sem</t>
  </si>
  <si>
    <t>Prom Ntrc</t>
  </si>
  <si>
    <r>
      <t xml:space="preserve">Esp en Acupuntura y Fitoterapia </t>
    </r>
    <r>
      <rPr>
        <sz val="9"/>
        <color rgb="FFFF0000"/>
        <rFont val="Calibri"/>
        <family val="2"/>
        <scheme val="minor"/>
      </rPr>
      <t>(*)</t>
    </r>
  </si>
  <si>
    <r>
      <rPr>
        <sz val="8"/>
        <color rgb="FFFF0000"/>
        <rFont val="Calibri"/>
        <family val="2"/>
        <scheme val="minor"/>
      </rPr>
      <t>(*)</t>
    </r>
    <r>
      <rPr>
        <sz val="8"/>
        <color theme="1"/>
        <rFont val="Calibri"/>
        <family val="2"/>
        <scheme val="minor"/>
      </rPr>
      <t xml:space="preserve"> Plan de dos años</t>
    </r>
  </si>
  <si>
    <t>PROMEDIO DE TRIMESTRES REALMENTE CURSADOS PARA APROBAR EL PLAN DE ESTUDIOS DE MAESTRÍA 2016</t>
  </si>
  <si>
    <t>PROMEDIO DE TRIMESTRES REALMENTE CURSADOS PARA APROBAR EL PLAN DE ESTUDIOS DE DOCTORADO 2016</t>
  </si>
  <si>
    <t>Doc en Ciencias Agropecuarias</t>
  </si>
  <si>
    <t>Total de presupuesto  ajustado 2016 de otros gastos de operación, mantenimiento e inversión</t>
  </si>
  <si>
    <t>Total de presupuesto ejercido 2016 de otros gastos de operación, mantenimiento e inversión</t>
  </si>
  <si>
    <t>Presupuesto ejercido 2016</t>
  </si>
  <si>
    <t>Total de presupuesto ejercido 2015 de otros gastos de operación, mantenimiento e inversión</t>
  </si>
  <si>
    <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u/>
        <sz val="11"/>
        <color rgb="FF000000"/>
        <rFont val="Calibri"/>
        <family val="2"/>
        <scheme val="minor"/>
      </rPr>
      <t xml:space="preserve"> </t>
    </r>
    <r>
      <rPr>
        <sz val="11"/>
        <color rgb="FF000000"/>
        <rFont val="Calibri"/>
        <family val="2"/>
        <scheme val="minor"/>
      </rPr>
      <t>horas de transmisión semanales.</t>
    </r>
  </si>
  <si>
    <t>Cua. 23 Sept.</t>
  </si>
  <si>
    <t>Ler. 1 Oct.</t>
  </si>
  <si>
    <t>Azc. 16 Oct.</t>
  </si>
  <si>
    <t>Corriendo por la UAM</t>
  </si>
  <si>
    <t>Xoc. 30 Oct.</t>
  </si>
  <si>
    <t>Basquetbol Tercias y Two Ball</t>
  </si>
  <si>
    <t>Izt. 13 Nov.</t>
  </si>
  <si>
    <t>Dominó</t>
  </si>
  <si>
    <t>Ajedrez,Baloncesto, Fútbol Asociación, Fútbol Bardas, Halterofilia, karate Do, Tae kwon do, Tenis, Tenis de mesa, Voleibol de playa y Voleibol de sala</t>
  </si>
  <si>
    <t>Octubre</t>
  </si>
  <si>
    <t>Paseo Ciclista</t>
  </si>
  <si>
    <t>Interdivisional</t>
  </si>
  <si>
    <t>Marathón de Sustentabilidad</t>
  </si>
  <si>
    <t>Rally de Bienvenida</t>
  </si>
  <si>
    <t>Rally Recreativo de CNI</t>
  </si>
  <si>
    <t>Remo y Remo Bajo Techo</t>
  </si>
  <si>
    <t>Vencidas</t>
  </si>
  <si>
    <t xml:space="preserve">    Voleibol de Playa</t>
  </si>
  <si>
    <t>Voleibol Tercias</t>
  </si>
  <si>
    <t>Baloncesto</t>
  </si>
  <si>
    <t>Colchonetas</t>
  </si>
  <si>
    <t>Crossfit</t>
  </si>
  <si>
    <t>Fútbol Americano</t>
  </si>
  <si>
    <t>Gimnasio de Duela</t>
  </si>
  <si>
    <r>
      <t xml:space="preserve">Nivel 1:  Al interior de las Unidades Académicas </t>
    </r>
    <r>
      <rPr>
        <b/>
        <sz val="12"/>
        <color rgb="FFFF0000"/>
        <rFont val="Calibri"/>
        <family val="2"/>
        <scheme val="minor"/>
      </rPr>
      <t>2015</t>
    </r>
  </si>
  <si>
    <r>
      <t xml:space="preserve">Nivel 2: Entre las Unidades académicas </t>
    </r>
    <r>
      <rPr>
        <b/>
        <sz val="12"/>
        <color rgb="FFFF0000"/>
        <rFont val="Calibri"/>
        <family val="2"/>
        <scheme val="minor"/>
      </rPr>
      <t>2015</t>
    </r>
  </si>
  <si>
    <t>No. de benefiviarios</t>
  </si>
  <si>
    <t>Espectadores</t>
  </si>
  <si>
    <t>FestiUAM</t>
  </si>
  <si>
    <t>Septiembre - Diciembre</t>
  </si>
  <si>
    <t>Simultáneas de Ajedrez, Dominó, Fútbol Coladeritas, Voleibol de Pasto, Juegos de Destreza, Tenis de Mesa y Karaoke</t>
  </si>
  <si>
    <t>Damas Españolas</t>
  </si>
  <si>
    <t>Olimpiada UAM 2011</t>
  </si>
  <si>
    <t>Septiembre y Octubre</t>
  </si>
  <si>
    <t>Competencia de Fuerza, Voleibol de Playa, Tenis, Ajedrez, Fútbol de Bardas, Baloncesto, Fútbol Asociación y Tenis de Mesa</t>
  </si>
  <si>
    <t>Intradivisional CyAD</t>
  </si>
  <si>
    <t>Ler. 12 Sept.</t>
  </si>
  <si>
    <t>Cua. 18 Sept</t>
  </si>
  <si>
    <t>Azc. 10 Oct.</t>
  </si>
  <si>
    <t>Xoc. 24 Oct.</t>
  </si>
  <si>
    <t>Izt. 14 Nov.</t>
  </si>
  <si>
    <t>Fútbol Asociación, Baloncesto, Voleibol, Fútbol Bardas, Karate do, Tae kwon do</t>
  </si>
  <si>
    <t>Capoeira</t>
  </si>
  <si>
    <t>Danza Acrobática</t>
  </si>
  <si>
    <t>Hapkido</t>
  </si>
  <si>
    <t>Karaoke</t>
  </si>
  <si>
    <t>Tableros de Ajedrez</t>
  </si>
  <si>
    <r>
      <t xml:space="preserve">Nivel 1:  Al interior de las Unidades Académicas </t>
    </r>
    <r>
      <rPr>
        <b/>
        <sz val="12"/>
        <color rgb="FFFF0000"/>
        <rFont val="Calibri"/>
        <family val="2"/>
        <scheme val="minor"/>
      </rPr>
      <t>2014</t>
    </r>
  </si>
  <si>
    <r>
      <t xml:space="preserve">Nivel 2: Entre las Unidades académicas </t>
    </r>
    <r>
      <rPr>
        <b/>
        <sz val="12"/>
        <color rgb="FFFF0000"/>
        <rFont val="Calibri"/>
        <family val="2"/>
        <scheme val="minor"/>
      </rPr>
      <t>2014</t>
    </r>
  </si>
  <si>
    <r>
      <t>Nivel 1:  Al interior de las Unidades Académicas</t>
    </r>
    <r>
      <rPr>
        <b/>
        <sz val="12"/>
        <color rgb="FFFF0000"/>
        <rFont val="Calibri"/>
        <family val="2"/>
        <scheme val="minor"/>
      </rPr>
      <t xml:space="preserve"> 2014</t>
    </r>
  </si>
  <si>
    <t>No. DE TORNEOS</t>
  </si>
  <si>
    <t>No. PARTICIPANTES</t>
  </si>
  <si>
    <t>Convivencia Deportiva 2013</t>
  </si>
  <si>
    <t>Junio, Septiembre y Octubre 2013</t>
  </si>
  <si>
    <t xml:space="preserve">Paticipan los equipos representativos de las 5 Unidades Académicas de la UAM en los siguientes deportes: </t>
  </si>
  <si>
    <t>Sede de los eventos: Las instalaciones de las Unidades Académicas</t>
  </si>
  <si>
    <t>Basquetbol Tercias                              Relámpago y Two Ball</t>
  </si>
  <si>
    <t>1.- Ajedrez   2.- Atletismo    3.- Baloncesto 4.- Fútbol Asociación 5.- Fútbol Rápido 6.- Karate Do 7.- Lev. Olímpico de Pesas 8.- Tae Kwon Do 9.- Tenis 10.- Tenis de Mesa 11.- Voleibol de Playa 12.- Voleibol de Sala</t>
  </si>
  <si>
    <t>Canotaje</t>
  </si>
  <si>
    <t>Grupo de Animación</t>
  </si>
  <si>
    <t>Serial Atlético "Corriendo por la UAM" 2013</t>
  </si>
  <si>
    <t>Lerma 4 de Septiembre</t>
  </si>
  <si>
    <t>Cuajimalpa 13 de Septiembre</t>
  </si>
  <si>
    <t>Serial Atlético "Caminando por la UAM" 2013</t>
  </si>
  <si>
    <t>Azcapotzalco 27 de Septiembre</t>
  </si>
  <si>
    <t>Xochimilco 11 de Octubre</t>
  </si>
  <si>
    <t>Iztapalapa 25 de Octubre</t>
  </si>
  <si>
    <t>Tae kwon do</t>
  </si>
  <si>
    <t>No. DE SERVICIOS</t>
  </si>
  <si>
    <t xml:space="preserve">      Acondicionamiento Físico</t>
  </si>
  <si>
    <t>Actividades Diversas **</t>
  </si>
  <si>
    <t xml:space="preserve">     Baile</t>
  </si>
  <si>
    <t>Box</t>
  </si>
  <si>
    <t xml:space="preserve">      Capoeira</t>
  </si>
  <si>
    <t>Danza</t>
  </si>
  <si>
    <t>Dominó (juegos de destreza)</t>
  </si>
  <si>
    <t>Full Contact</t>
  </si>
  <si>
    <t>Gap</t>
  </si>
  <si>
    <t>Gimnasio de Duela ***</t>
  </si>
  <si>
    <t>Lacrosse</t>
  </si>
  <si>
    <t>Parkour</t>
  </si>
  <si>
    <t>Pláticas de Juego Limpio</t>
  </si>
  <si>
    <t>Voleibol</t>
  </si>
  <si>
    <r>
      <t xml:space="preserve">Nivel 1:  Al interior de las Unidades Académicas </t>
    </r>
    <r>
      <rPr>
        <b/>
        <sz val="12"/>
        <color rgb="FFFF0000"/>
        <rFont val="Calibri"/>
        <family val="2"/>
        <scheme val="minor"/>
      </rPr>
      <t>2013</t>
    </r>
  </si>
  <si>
    <r>
      <t xml:space="preserve">Nivel 2: Entre las Unidades académicas </t>
    </r>
    <r>
      <rPr>
        <b/>
        <sz val="12"/>
        <color rgb="FFFF0000"/>
        <rFont val="Calibri"/>
        <family val="2"/>
        <scheme val="minor"/>
      </rPr>
      <t>2013</t>
    </r>
  </si>
  <si>
    <r>
      <t xml:space="preserve">Nivel 1:  Al interior de las Unidades Académicas </t>
    </r>
    <r>
      <rPr>
        <b/>
        <sz val="11"/>
        <color rgb="FFFF0000"/>
        <rFont val="Calibri"/>
        <family val="2"/>
        <scheme val="minor"/>
      </rPr>
      <t>2013</t>
    </r>
  </si>
  <si>
    <t>Convivencia Deportiva 2012</t>
  </si>
  <si>
    <t>Julio 2012</t>
  </si>
  <si>
    <t>Basquetbol Tercias: Relámpago y Two Ball</t>
  </si>
  <si>
    <t>Fisicoconstructivismo</t>
  </si>
  <si>
    <t>Fútbolito</t>
  </si>
  <si>
    <t>Olimpiada UAM 2012</t>
  </si>
  <si>
    <t>Septiembre - Octubre 2012</t>
  </si>
  <si>
    <t>Participan equipos de alumnos de las 5 Unidades Académicas en los siguientes deportes: 1.- Ajedrez  2.- Baloncesto 3.- Fisicoconstructivismo 4.- Fútbol Asociación 5.- Fútbol Rápido 6.- Levantamiento de Potencia 7.- Tenis de Mesa 8.- Voliebol de Playa</t>
  </si>
  <si>
    <t>Interdivisional CBI, CSH y CyAD</t>
  </si>
  <si>
    <t>Serial Atlético "Corriendo por la UAM" 2012</t>
  </si>
  <si>
    <t>Cuajimalpa 11 de Octubre</t>
  </si>
  <si>
    <t>Azcapotzalco 26 de Octubre</t>
  </si>
  <si>
    <t>Serial Atlético "Caminando por la UAM" 2012</t>
  </si>
  <si>
    <t>Xochimilco 9 de Noviembre</t>
  </si>
  <si>
    <t>Lerma 16 de Noviembre</t>
  </si>
  <si>
    <t>Iztapalapa 23 de Noviembre</t>
  </si>
  <si>
    <t>Artes Marciales</t>
  </si>
  <si>
    <t>Campamento Deportivo</t>
  </si>
  <si>
    <t>Prog. Diversificación Acts. Deportivas</t>
  </si>
  <si>
    <t>Gimnasia</t>
  </si>
  <si>
    <t>** Se reporta en bloque ya que son varias actividades con poca participación</t>
  </si>
  <si>
    <r>
      <t xml:space="preserve">Nivel 1:  Al interior de las Unidades Académicas </t>
    </r>
    <r>
      <rPr>
        <b/>
        <sz val="12"/>
        <color rgb="FFFF0000"/>
        <rFont val="Calibri"/>
        <family val="2"/>
        <scheme val="minor"/>
      </rPr>
      <t>2012</t>
    </r>
  </si>
  <si>
    <r>
      <t xml:space="preserve">Nivel 2: Entre las Unidades académicas </t>
    </r>
    <r>
      <rPr>
        <b/>
        <sz val="12"/>
        <color rgb="FFFF0000"/>
        <rFont val="Calibri"/>
        <family val="2"/>
        <scheme val="minor"/>
      </rPr>
      <t>2012</t>
    </r>
  </si>
  <si>
    <r>
      <t>Nivel 1:  Al interior de las Unidades Académicas</t>
    </r>
    <r>
      <rPr>
        <b/>
        <sz val="11"/>
        <color rgb="FFFF0000"/>
        <rFont val="Calibri"/>
        <family val="2"/>
        <scheme val="minor"/>
      </rPr>
      <t xml:space="preserve"> 2012</t>
    </r>
  </si>
  <si>
    <t>Anual</t>
  </si>
  <si>
    <t>Artes Marciales Mixtas</t>
  </si>
  <si>
    <t>4 carreras por año</t>
  </si>
  <si>
    <t>4 eventos por año</t>
  </si>
  <si>
    <t>Caminata por la Salud</t>
  </si>
  <si>
    <t>Clase abierta de Zumba</t>
  </si>
  <si>
    <t>Fútbol Rápido Tercias</t>
  </si>
  <si>
    <t>Graficar "G 34"</t>
  </si>
  <si>
    <t xml:space="preserve">    Voleibol</t>
  </si>
  <si>
    <t xml:space="preserve">      Actividades Diversas</t>
  </si>
  <si>
    <t>Danza Árabe y Polinesia</t>
  </si>
  <si>
    <t>Jazz</t>
  </si>
  <si>
    <t>Tahitiano y Hawwaiano</t>
  </si>
  <si>
    <t>Graficar "B 67"</t>
  </si>
  <si>
    <r>
      <t xml:space="preserve">Nivel 1:  Al interior de las Unidades Académicas </t>
    </r>
    <r>
      <rPr>
        <b/>
        <sz val="12"/>
        <color rgb="FFFF0000"/>
        <rFont val="Calibri"/>
        <family val="2"/>
        <scheme val="minor"/>
      </rPr>
      <t>2011</t>
    </r>
  </si>
  <si>
    <r>
      <t xml:space="preserve">Nivel 2: Entre las Unidades académicas </t>
    </r>
    <r>
      <rPr>
        <b/>
        <sz val="12"/>
        <color rgb="FFFF0000"/>
        <rFont val="Calibri"/>
        <family val="2"/>
        <scheme val="minor"/>
      </rPr>
      <t>2011</t>
    </r>
  </si>
  <si>
    <t>Olimpiada UAM 2010</t>
  </si>
  <si>
    <t>Caminata por el Día Mundial del Medio Ambiente</t>
  </si>
  <si>
    <t>Competencia de Pesas</t>
  </si>
  <si>
    <t>Concurso de Karaoke</t>
  </si>
  <si>
    <t>Damas españolas</t>
  </si>
  <si>
    <t>Fútbol Sala</t>
  </si>
  <si>
    <t>Remo bajo Techo</t>
  </si>
  <si>
    <t>Tochito Flag (Mixto)</t>
  </si>
  <si>
    <t>Fitness</t>
  </si>
  <si>
    <t>Tochito Bandera</t>
  </si>
  <si>
    <r>
      <t xml:space="preserve">Nivel 1:  Al interior de las Unidades Académicas </t>
    </r>
    <r>
      <rPr>
        <b/>
        <sz val="12"/>
        <color rgb="FFFF0000"/>
        <rFont val="Calibri"/>
        <family val="2"/>
        <scheme val="minor"/>
      </rPr>
      <t>2010</t>
    </r>
  </si>
  <si>
    <r>
      <t xml:space="preserve">Nivel 2: Entre las Unidades académicas  </t>
    </r>
    <r>
      <rPr>
        <b/>
        <sz val="12"/>
        <color rgb="FFFF0000"/>
        <rFont val="Calibri"/>
        <family val="2"/>
        <scheme val="minor"/>
      </rPr>
      <t>2010</t>
    </r>
  </si>
  <si>
    <r>
      <t xml:space="preserve">Nivel 1:  Al interior de las Unidades Académicas </t>
    </r>
    <r>
      <rPr>
        <b/>
        <sz val="12"/>
        <color rgb="FFFF0000"/>
        <rFont val="Calibri"/>
        <family val="2"/>
        <scheme val="minor"/>
      </rPr>
      <t>2016</t>
    </r>
  </si>
  <si>
    <r>
      <t>Nivel 2: Entre las Unidades académicas</t>
    </r>
    <r>
      <rPr>
        <b/>
        <sz val="11"/>
        <color rgb="FFFF0000"/>
        <rFont val="Calibri"/>
        <family val="2"/>
        <scheme val="minor"/>
      </rPr>
      <t xml:space="preserve"> 2016</t>
    </r>
  </si>
  <si>
    <r>
      <t>Nivel 1:  Al interior de las Unidades Académicas</t>
    </r>
    <r>
      <rPr>
        <b/>
        <sz val="12"/>
        <color rgb="FFFF0000"/>
        <rFont val="Calibri"/>
        <family val="2"/>
        <scheme val="minor"/>
      </rPr>
      <t xml:space="preserve"> 2016</t>
    </r>
  </si>
  <si>
    <t>SISTEMAS DE INFORMACION Y COMUNICACION</t>
  </si>
  <si>
    <t>La cohorte de seguimiento está constituida por egresados en el año 2012, cuyo ingreso y transito al mercado laboral es relativamente reciente, útil para valorar y  comparar el impacto inmediato de la formación profesional recibida en la institución. Cabe señalar que en el Esquema Básico para Estudios de Egresados en Educación Superior, publicado por ANUIES, se recomienda enfocar la atención a las generaciones que tengan cuando menos tres años en el mercado laboral.</t>
  </si>
  <si>
    <t>Para el cálculo del tamaño de la muestra se utilizó un muestreo aleatorio proporcional por estratos (estrato por carrera) y se consideró que en las subpoblaciones menores a 30 registros no se estimaría muestra si no que se buscaría el censo a fin de mantener una representatividad confiable. Cabe señalar que en las licenciaturas comarcadas con un asterisco no se logró cumplir con la muestra estadística debido a que no fue posible aplicar el cuestionario a todos los egresados seleccionados en el proceso aleatorio.</t>
  </si>
  <si>
    <t>Universo (N)</t>
  </si>
  <si>
    <t>Muestra (n)</t>
  </si>
  <si>
    <t>Cuestionarios aplicados</t>
  </si>
  <si>
    <t>Representatividad %</t>
  </si>
  <si>
    <t>Unidades</t>
  </si>
  <si>
    <t>Encuestados</t>
  </si>
  <si>
    <t>Porcentaje total</t>
  </si>
  <si>
    <t>Egresados (N)</t>
  </si>
  <si>
    <t>Egresados encuestados</t>
  </si>
  <si>
    <t>Porcentaje de respuesta</t>
  </si>
  <si>
    <t>*Ingeniería Física</t>
  </si>
  <si>
    <t>*Ingeniería Metalúrgica</t>
  </si>
  <si>
    <t>*Arquitectura</t>
  </si>
  <si>
    <t>Diseño de la Comunicación Grafica</t>
  </si>
  <si>
    <t>Diseño  Industrial</t>
  </si>
  <si>
    <t>*Física</t>
  </si>
  <si>
    <t>*Ingeniería Biomédica</t>
  </si>
  <si>
    <t>*Ingeniería Electrónica</t>
  </si>
  <si>
    <t>*Ingeniería en Energía</t>
  </si>
  <si>
    <t>*Ingeniería Hidrológica</t>
  </si>
  <si>
    <t>*Ingeniería Química</t>
  </si>
  <si>
    <t>*Matemáticas</t>
  </si>
  <si>
    <t>*Química</t>
  </si>
  <si>
    <t>*Administración</t>
  </si>
  <si>
    <t>*Filosofía</t>
  </si>
  <si>
    <t>*Lingüística</t>
  </si>
  <si>
    <t>*Sociología</t>
  </si>
  <si>
    <t>*Geografía Humana</t>
  </si>
  <si>
    <t>*Biología</t>
  </si>
  <si>
    <t>*Hidrobiología</t>
  </si>
  <si>
    <t>*Ingeniería Bioquímica Industrial</t>
  </si>
  <si>
    <t>*Producción Animal</t>
  </si>
  <si>
    <t>*Estudios Socioterritoriales</t>
  </si>
  <si>
    <t>*Humanidades</t>
  </si>
  <si>
    <t>*Diseño</t>
  </si>
  <si>
    <t>Tecnologías y Sistemas de la Información</t>
  </si>
  <si>
    <t>*Ciencias de la Comunicación</t>
  </si>
  <si>
    <t>*Ingeniería en Computación</t>
  </si>
  <si>
    <t>*Matemáticas Aplicadas</t>
  </si>
  <si>
    <t xml:space="preserve">Fuente: </t>
  </si>
  <si>
    <t xml:space="preserve">Sistema de Información de Estudiantes, Egresados y Empleadores </t>
  </si>
  <si>
    <t>Estudio sobre la trayectoria profesional de los egresados de posgrado. Se apoya en una encuesta que debe ser aplicada a todos los egresados de los programas de posgrado, es decir, se trata de un censo.</t>
  </si>
  <si>
    <r>
      <rPr>
        <b/>
        <sz val="10"/>
        <color theme="1"/>
        <rFont val="Arial"/>
        <family val="2"/>
      </rPr>
      <t>Nota metodológica</t>
    </r>
    <r>
      <rPr>
        <sz val="10"/>
        <color theme="1"/>
        <rFont val="Arial"/>
        <family val="2"/>
      </rPr>
      <t>: El universo de estudio fue extraído del Archivo General de Alumnos (AGA) generado en la semana 4 del trimestre Otoño 2016 a partir de la variable: Último año de actividad académica (ua_aa2).</t>
    </r>
  </si>
  <si>
    <t>Número de egresados (N)</t>
  </si>
  <si>
    <t>Egresados encuestados (n)</t>
  </si>
  <si>
    <t>Porcentaje de respuesta (%)</t>
  </si>
  <si>
    <t>Clave Plan</t>
  </si>
  <si>
    <t xml:space="preserve">Nombre del Plan </t>
  </si>
  <si>
    <t>MAESTRÍA</t>
  </si>
  <si>
    <t>MAESTRÍA Y DOCTORADO EN INGENIERÍA ESTRUCTURAL</t>
  </si>
  <si>
    <t>POSGRADO EN INGENIERÍA DE PROCESOS</t>
  </si>
  <si>
    <t>POSGRADO EN OPTIMIZACIÓN</t>
  </si>
  <si>
    <t>POSGRADO EN CIENCIAS E INGENIERÍA (AMBIENTALES, DE MATERIALES)</t>
  </si>
  <si>
    <t>ESPECIALIZACIÓN</t>
  </si>
  <si>
    <t>ESPECIALIZACIÓN EN LITERATURA MEXICANA SIGLO XX</t>
  </si>
  <si>
    <t>ESPECIALIZACIÓN EN SOCIOLOGÍA DE LA EDUCACIÓN SUPERIOR</t>
  </si>
  <si>
    <t>MAESTRÍA EN PLANEACIÓN Y POLITÍCAS METROPOLITANAS</t>
  </si>
  <si>
    <t>MAESTRÍA EN ECONOMÍA (HISTORIA ECONÓMICA; EMPRESAS; FINANZAS E INNOVACIÓN)</t>
  </si>
  <si>
    <t>MAESTRÍA EN LITARATURA MEXICANA CONTEMPORANEA</t>
  </si>
  <si>
    <t>MAESTRÍA Y DOCTORADO EN SOCIOLOGÍA</t>
  </si>
  <si>
    <t>POSGRADO EN HISTORIOGRAFÍA</t>
  </si>
  <si>
    <t>ESPECIALIZACIÓN EN DISEÑO AMBIENTAL</t>
  </si>
  <si>
    <t>MAESTRÍA EN DESARROLLO DE PRODUCTOS</t>
  </si>
  <si>
    <t>ESPECIALIZACIÓN, MAESTRÍA Y DOCTORADO EN DISEÑO</t>
  </si>
  <si>
    <t>POSGRADO</t>
  </si>
  <si>
    <t>POSGRADO EN DISEÑO BIOCLIMÁTICO</t>
  </si>
  <si>
    <t>POSGRADO EN DISEÑO Y DESARROLLO DE PRODUCTOS</t>
  </si>
  <si>
    <t>POSGRADO EN DISEÑO Y ESTUDIOS URBANOS</t>
  </si>
  <si>
    <t>POSGRADO EN DISEÑO Y VISUALIZACIÓN DE LA INFORMACIÓN</t>
  </si>
  <si>
    <t>POSGRADO EN DISEÑO PARA LA REHABILITACIÓN Y CONSERVACIÓN DEL PATRIMONIO COSNTRUIDO</t>
  </si>
  <si>
    <t>POSGRADO EN DISEÑO, PLANIFICACIÓN Y CONSERVACIÓN DE PAISAJES Y JARDINES</t>
  </si>
  <si>
    <t>MAESTRÍA EN DISEÑO, INFORMACIÓN Y COMUNICACIÓN</t>
  </si>
  <si>
    <t>POSGRADO EN CIENCIAS NATURALES E INGENIERÍA</t>
  </si>
  <si>
    <t>POSGRADO EN INGENIERÍA EN QUÍMICA</t>
  </si>
  <si>
    <t>POSGRADO EN ENERGÍA Y MEDIO AMBIENTE</t>
  </si>
  <si>
    <t>MAESTRÍA EN HISTORÍA</t>
  </si>
  <si>
    <t>MAESTRÍA EN FILOSOFÍA DE LA CIENCIA</t>
  </si>
  <si>
    <t>DOCTORADO EN CIENCIAS ECONÓMICAS</t>
  </si>
  <si>
    <t>MAESTRÍA Y DOCTORADO EN ESTUDIOS ORGANIZACIONALES</t>
  </si>
  <si>
    <t>MAESTRÍA Y DOCTORADO EN HUMANIDADES</t>
  </si>
  <si>
    <t>MAESTRÍA Y DOCTORADO EN ESTUDIOS SOCIALES</t>
  </si>
  <si>
    <t>MAESTRÍA Y DOCTORADO EN CIENCIAS ECONÓMICAS</t>
  </si>
  <si>
    <t>ESPECIALIZACIÓN, MAESTRÍA Y DOCTORADO EN CIENCIAS ANTROPOLÓGICAS</t>
  </si>
  <si>
    <t>ESPECIALIZACIÓN EN BIOTECNOLOGÍA</t>
  </si>
  <si>
    <t>ESPECIALIZACIÓN EN ACUPUNTURA Y FITOTERAPÍA</t>
  </si>
  <si>
    <t>MAESTRÍA EN BIOLOGÍA DE LA REPRODUCCIÓN ANIMAL</t>
  </si>
  <si>
    <t xml:space="preserve">MAESTRÍA EN BIOLOGÍA  </t>
  </si>
  <si>
    <t>DOCTORADO EN CIENCIAS BIOLÓGICAS Y DE LA SALUD</t>
  </si>
  <si>
    <t>POSGRADO EN BIOLOGÍA EXPERIMENTAL</t>
  </si>
  <si>
    <t>68*</t>
  </si>
  <si>
    <t>MAESTRÍA EN DESARROLLO Y PLANEACIÓN DE LA EDUCACIÓN</t>
  </si>
  <si>
    <t>90*</t>
  </si>
  <si>
    <t>ESPECIALIZACIÓN Y MAESTRÍA EN ESTUDIOS DE LA MUJER</t>
  </si>
  <si>
    <t>MAESTRÍA EN PSICOLOGÍA SOCIAL DE GRUPOS E INSTITUCIONES</t>
  </si>
  <si>
    <t>MAESTRÍA EN POLÍTICAS PÚBLICAS</t>
  </si>
  <si>
    <t>MAESTRÍA EN RELACIONES INTERNACIONALES</t>
  </si>
  <si>
    <t>MAESTRÍA EN ESTUDIOS DE LA MUJER</t>
  </si>
  <si>
    <t>MAESTRÍA EN ECONOMÍA, GESTIÓN Y POLÍTICAS DE INNOVACIÓN</t>
  </si>
  <si>
    <t>DOCTORADO EN CIENCIAS SOCIALES</t>
  </si>
  <si>
    <t xml:space="preserve">ESPECIALIZACIÓN, MAESTRÍA Y DOCTORADO EN DESARROLLO RURAL </t>
  </si>
  <si>
    <t>ESPECIALIZACIÓN EN POBLACIÓN Y SALUD (ÁREA PLANIFICACIÓN FAMILIAR)</t>
  </si>
  <si>
    <t>MAESTRÍA EN CIENCIAS EN SALUD DE LOS TRABAJADORES</t>
  </si>
  <si>
    <t>MAESTRÍA EN POBLACIÓN Y SALUD (ÁREA DE PLANIFICACIÓN FAMILIAR)</t>
  </si>
  <si>
    <t>MAESTRÍA EN CIENCIAS FARMACÉUTICAS</t>
  </si>
  <si>
    <t>MAESTRÍA EN CIENCIAS AGROPECUARIAS</t>
  </si>
  <si>
    <t>MAESTRÍA EN ECOLOGÍA APLICADA</t>
  </si>
  <si>
    <t>MAESTRÍA EN PATOLOGÍA Y MEDICINA BUCAL</t>
  </si>
  <si>
    <t>DOCTORADO EN CIENCIAS EN SALUD COLECTIVA</t>
  </si>
  <si>
    <t>DOCTORADO EN CIENCIAS AGROPECUARIAS</t>
  </si>
  <si>
    <t>MAESTRÍA Y ESPECIALIZACIÓN EN MEDICINA SOCIAL</t>
  </si>
  <si>
    <t>MAESTRÍA EN CIENCIAS Y ARTES PARA EL DISEÑO</t>
  </si>
  <si>
    <t>MAESTRÍA EN DISEÑO Y PRODUCCIÓN EDITORIAL</t>
  </si>
  <si>
    <t>DOCTORADO EN CIENCIAS Y ARTES PARA EL DISEÑO</t>
  </si>
  <si>
    <t>MAESTRÍA EN ADMINISTRACIÓN DEL TRABAJO</t>
  </si>
  <si>
    <t>PLANES QUE YA NO ESTÁN EN OPERACIÓN</t>
  </si>
  <si>
    <r>
      <t>Número de artículos publicados</t>
    </r>
    <r>
      <rPr>
        <vertAlign val="superscript"/>
        <sz val="11"/>
        <color theme="1"/>
        <rFont val="Calibri"/>
        <family val="2"/>
        <scheme val="minor"/>
      </rPr>
      <t>[1]</t>
    </r>
  </si>
  <si>
    <t>[1] El número de artículos varía respecto a lo reportado en años anteriores sobre todo debido a que el número de revistas y libros incluidos en el sistema ISI Web of Science se va incrementando en el tiempo.</t>
  </si>
  <si>
    <t>2012-2016</t>
  </si>
  <si>
    <t>PRODUCCIÓN, CITAS E IMPACTO</t>
  </si>
  <si>
    <r>
      <t>Fuente</t>
    </r>
    <r>
      <rPr>
        <sz val="8"/>
        <color theme="1"/>
        <rFont val="Calibri"/>
        <family val="2"/>
        <scheme val="minor"/>
      </rPr>
      <t>: ISI Web of Science (</t>
    </r>
    <r>
      <rPr>
        <i/>
        <sz val="8"/>
        <color theme="1"/>
        <rFont val="Calibri"/>
        <family val="2"/>
        <scheme val="minor"/>
      </rPr>
      <t>https://webofknowledge.com/) consultado el día 20 de abril de 2017</t>
    </r>
  </si>
  <si>
    <r>
      <t xml:space="preserve">PRESUPUESTO AUTORIZADO TOTAL </t>
    </r>
    <r>
      <rPr>
        <b/>
        <sz val="11"/>
        <color rgb="FFFF0000"/>
        <rFont val="Calibri"/>
        <family val="2"/>
        <scheme val="minor"/>
      </rPr>
      <t>2015</t>
    </r>
  </si>
  <si>
    <r>
      <t xml:space="preserve">PRESUPUESTO AUTORIZADO TOTAL </t>
    </r>
    <r>
      <rPr>
        <b/>
        <sz val="11"/>
        <color rgb="FFFF0000"/>
        <rFont val="Calibri"/>
        <family val="2"/>
        <scheme val="minor"/>
      </rPr>
      <t>2014</t>
    </r>
  </si>
  <si>
    <r>
      <t xml:space="preserve">PRESUPUESTO AUTORIZADO TOTAL </t>
    </r>
    <r>
      <rPr>
        <b/>
        <sz val="11"/>
        <color rgb="FFFF0000"/>
        <rFont val="Calibri"/>
        <family val="2"/>
        <scheme val="minor"/>
      </rPr>
      <t>2013</t>
    </r>
  </si>
  <si>
    <r>
      <t>PRESUPUESTO AUTORIZADO TOTAL</t>
    </r>
    <r>
      <rPr>
        <b/>
        <sz val="11"/>
        <color rgb="FFFF0000"/>
        <rFont val="Calibri"/>
        <family val="2"/>
        <scheme val="minor"/>
      </rPr>
      <t xml:space="preserve"> 2012</t>
    </r>
  </si>
  <si>
    <r>
      <t xml:space="preserve">PRESUPUESTO AUTORIZADO TOTAL </t>
    </r>
    <r>
      <rPr>
        <b/>
        <sz val="11"/>
        <color rgb="FFFF0000"/>
        <rFont val="Calibri"/>
        <family val="2"/>
        <scheme val="minor"/>
      </rPr>
      <t>2011</t>
    </r>
  </si>
  <si>
    <r>
      <t xml:space="preserve">PRESUPUESTO AUTORIZADO TOTAL </t>
    </r>
    <r>
      <rPr>
        <b/>
        <sz val="11"/>
        <color rgb="FFFF0000"/>
        <rFont val="Calibri"/>
        <family val="2"/>
        <scheme val="minor"/>
      </rPr>
      <t xml:space="preserve">2010 </t>
    </r>
  </si>
  <si>
    <r>
      <t>PRESUPUESTO AUTORIZADO TOTAL</t>
    </r>
    <r>
      <rPr>
        <b/>
        <sz val="11"/>
        <color rgb="FFFF0000"/>
        <rFont val="Calibri"/>
        <family val="2"/>
        <scheme val="minor"/>
      </rPr>
      <t xml:space="preserve"> 2016</t>
    </r>
  </si>
  <si>
    <t>FINANCIAMIENTO EXTERNO A PROYECTOS DE INVESTIGACIÓN EN RELACIÓN AL PRESUPUESTO APROBADO</t>
  </si>
  <si>
    <r>
      <t>ocultar</t>
    </r>
    <r>
      <rPr>
        <b/>
        <sz val="11"/>
        <color rgb="FFFF0000"/>
        <rFont val="Calibri"/>
        <family val="2"/>
        <scheme val="minor"/>
      </rPr>
      <t xml:space="preserve"> </t>
    </r>
    <r>
      <rPr>
        <sz val="11"/>
        <color rgb="FFFF0000"/>
        <rFont val="Calibri"/>
        <family val="2"/>
        <scheme val="minor"/>
      </rPr>
      <t>no hubo respuesta del área</t>
    </r>
  </si>
  <si>
    <t>Lugar Latinoamerica 2014</t>
  </si>
  <si>
    <t>Tecnológico de Monterrey (ITESM)</t>
  </si>
  <si>
    <t>Lugar Latinoamerica 2012</t>
  </si>
  <si>
    <t>Fuente: http://www.topuniversities.com/university-rankings/latin-american-university-rankings/2014#sorting=rank+region=+country=241+faculty=+stars=false+search=</t>
  </si>
  <si>
    <t>Fuente:http://www.topuniversities.com/university-rankings/latin-american-university-rankings/2016#sorting=rank+region=+country=+faculty=+stars=false+search=</t>
  </si>
  <si>
    <t>Fuente: http://www.topuniversities.com/university-rankings/latam-university-rankings/2015#sorting=rank+region=+country=241+faculty=+stars=false+search=</t>
  </si>
  <si>
    <t>Fuente: www.topuniversities.com/university-rankings/latin-american-university-rankings/2011</t>
  </si>
  <si>
    <t>Lugar Latinoamerica 2011</t>
  </si>
  <si>
    <t>Fuente: http://www.scimagoir.com</t>
  </si>
  <si>
    <t>QS Ranking Latin America 2010, Universidades Mexicanas</t>
  </si>
  <si>
    <t>Universidad Nacional Autónoma de Mexico (UNAM)</t>
  </si>
  <si>
    <t>http://www.topuniversities.com/university-rankings/world-university-rankings/2014#sorting=rank+region=213+country=241+faculty=+stars=false+search=</t>
  </si>
  <si>
    <t>551- 600</t>
  </si>
  <si>
    <t>601-651</t>
  </si>
  <si>
    <t>Instituto Tecnológico Autonomo de México (ITAM)</t>
  </si>
  <si>
    <t>601+</t>
  </si>
  <si>
    <t>Universidad Autónoma de Nuevo León(UANL)</t>
  </si>
  <si>
    <t>306=</t>
  </si>
  <si>
    <t>501- 550</t>
  </si>
  <si>
    <t>N/A</t>
  </si>
  <si>
    <t>http://www.topuniversities.com/university-rankings/world-university-rankings/2012</t>
  </si>
  <si>
    <t>http://www.topuniversities.com/university-rankings/world-university-rankings/2013#sorting=rank+region=213+country=241+faculty=+stars=false+search=</t>
  </si>
  <si>
    <t xml:space="preserve"> QS World University, Ranking Mundial 2016, Clasificación por país: México.</t>
  </si>
  <si>
    <t xml:space="preserve"> QS World University, Ranking Mundial 2015, Clasificación por país: México.</t>
  </si>
  <si>
    <t xml:space="preserve"> QS World University, Ranking Mundial 2014, Clasificación por país: México.</t>
  </si>
  <si>
    <t xml:space="preserve"> QS World University, Ranking Mundial 2013, Clasificación por país: México.</t>
  </si>
  <si>
    <t xml:space="preserve"> QS World University, Ranking Mundial 2012, Clasificación por país: México.</t>
  </si>
  <si>
    <t xml:space="preserve">Clasificación por país: México,  QS Ranking Latin America 2015, Universidades Mexicanas. </t>
  </si>
  <si>
    <t xml:space="preserve">Clasificación por país: México,  QS Ranking Latin America 2014, Universidades Mexicanas. </t>
  </si>
  <si>
    <t xml:space="preserve">Clasificación por país: México,  QS Ranking Latin America 2013, Universidades Mexicanas. </t>
  </si>
  <si>
    <t xml:space="preserve">Clasificación por país: México,  QS Ranking Latin America 2012, Universidades Mexicanas. </t>
  </si>
  <si>
    <t>Indicador omitido en modulo del 2016 por falta de información del área</t>
  </si>
  <si>
    <t>Ingeniería en Recursos Hídricos</t>
  </si>
  <si>
    <t>Ingeniería en Computación y Telecomunicaciones</t>
  </si>
  <si>
    <t>Psicología Biomédica</t>
  </si>
  <si>
    <t>Mtría en Derecho</t>
  </si>
  <si>
    <t>Posgrado Integral en Ciencias Administrativas</t>
  </si>
  <si>
    <t>Especialización en Diseño Ambiental</t>
  </si>
  <si>
    <t>Maestría en Economía, Gestión y Políticas de Innovación</t>
  </si>
  <si>
    <t>Mtría. en Sociedades Sustentables</t>
  </si>
  <si>
    <t>PLAN DE ESTUDIOS</t>
  </si>
  <si>
    <t>OBSERVACIONES</t>
  </si>
  <si>
    <t>Ciencias Básicas e Ingeniería (CBI)</t>
  </si>
  <si>
    <t>Ciencias Sociales y Humanidades (CSH)</t>
  </si>
  <si>
    <t>Especialización en Literatura Mexicana del Siglo XX</t>
  </si>
  <si>
    <r>
      <t xml:space="preserve">Compartido: </t>
    </r>
    <r>
      <rPr>
        <sz val="11"/>
        <color rgb="FFCD032E"/>
        <rFont val="Calibri"/>
        <family val="2"/>
        <scheme val="minor"/>
      </rPr>
      <t>Azcapotzalco</t>
    </r>
    <r>
      <rPr>
        <sz val="11"/>
        <rFont val="Calibri"/>
        <family val="2"/>
        <scheme val="minor"/>
      </rPr>
      <t xml:space="preserve">, </t>
    </r>
    <r>
      <rPr>
        <sz val="11"/>
        <color rgb="FF57A519"/>
        <rFont val="Calibri"/>
        <family val="2"/>
        <scheme val="minor"/>
      </rPr>
      <t>Iztapalapa</t>
    </r>
    <r>
      <rPr>
        <sz val="11"/>
        <rFont val="Calibri"/>
        <family val="2"/>
        <scheme val="minor"/>
      </rPr>
      <t xml:space="preserve"> y </t>
    </r>
    <r>
      <rPr>
        <sz val="11"/>
        <color rgb="FF0072CE"/>
        <rFont val="Calibri"/>
        <family val="2"/>
        <scheme val="minor"/>
      </rPr>
      <t>Xochimilco</t>
    </r>
  </si>
  <si>
    <t>Maestría en Derecho</t>
  </si>
  <si>
    <t>Ciencias y Artes para el Diseño (CAD)</t>
  </si>
  <si>
    <t>Ciencias de la Comunicación y Diseño (CCD)</t>
  </si>
  <si>
    <t>Ciencias Naturales e Ingeniería (CNI)</t>
  </si>
  <si>
    <t>Especialización en Ciencias Naturales e Ingeniería</t>
  </si>
  <si>
    <t>Maestría en Ciencias Naturales e Ingeniería</t>
  </si>
  <si>
    <t>Doctorado en Ciencias Naturales e Ingeniería</t>
  </si>
  <si>
    <t>Compartido con CBS</t>
  </si>
  <si>
    <t>Maestría en Energía y Medio Ambiente</t>
  </si>
  <si>
    <t>Doctorado en Energía y Medio Ambiente</t>
  </si>
  <si>
    <t>Ciencias Biológicas y de la Salud (CBS)</t>
  </si>
  <si>
    <t>Compartido con CBI</t>
  </si>
  <si>
    <t>Maestría en Biología Experimental</t>
  </si>
  <si>
    <t xml:space="preserve">Maestría en Comunicación y Política </t>
  </si>
  <si>
    <t>Maestría en Relaciones Internacionales</t>
  </si>
  <si>
    <t>Maestría en Sociedades Sustentables</t>
  </si>
  <si>
    <t>Especialización en Población y Salud</t>
  </si>
  <si>
    <t>Maestría en Patología y Medicina Bucal</t>
  </si>
  <si>
    <t>Maestría en Ciencias en Salud de los trabajadores</t>
  </si>
  <si>
    <t>Maestría en Reutilización del Patrimonio Edificado</t>
  </si>
  <si>
    <t>Maestría en Diseño y Producción Editorial</t>
  </si>
  <si>
    <t>CBS y CNI</t>
  </si>
  <si>
    <t>VIGENCIA</t>
  </si>
  <si>
    <t xml:space="preserve">Ingeniería Ambiental </t>
  </si>
  <si>
    <t>CACEI</t>
  </si>
  <si>
    <t xml:space="preserve">Ingeniería Civil </t>
  </si>
  <si>
    <t xml:space="preserve">Ingeniería Eléctrica </t>
  </si>
  <si>
    <t xml:space="preserve">Ingeniería Física </t>
  </si>
  <si>
    <t xml:space="preserve">Ingeniería Industrial </t>
  </si>
  <si>
    <t xml:space="preserve">Ingeniería Mecánica </t>
  </si>
  <si>
    <t xml:space="preserve">Ingeniería Metalúrgica </t>
  </si>
  <si>
    <t xml:space="preserve">Ingeniería Química </t>
  </si>
  <si>
    <t xml:space="preserve">Ingeniería Electrónica </t>
  </si>
  <si>
    <t>CIEES</t>
  </si>
  <si>
    <t>ACCECISO</t>
  </si>
  <si>
    <t>ANPADEH</t>
  </si>
  <si>
    <t xml:space="preserve">CACEI: Consejo de Acreditación de la Enseñanza de la Ingeniería, A.C. </t>
  </si>
  <si>
    <t xml:space="preserve">ACCECISO: Asociación para la Acreditación y Certificación en Ciencias Sociales, A.C. </t>
  </si>
  <si>
    <t>ANPADEH: Acreditadora Nacional de Programas de Arquitectura y Disciplinas del Espacio Habitable, A. C.</t>
  </si>
  <si>
    <t>COMAPROD: Consejo Mexicano para la Acreditación de Programas de Diseño, A. C.</t>
  </si>
  <si>
    <t xml:space="preserve">Administración </t>
  </si>
  <si>
    <t xml:space="preserve">Estudios Socioterritoriales </t>
  </si>
  <si>
    <t xml:space="preserve">Tecnologías y Sistemas de Información </t>
  </si>
  <si>
    <t xml:space="preserve">Ingeniería en Computación </t>
  </si>
  <si>
    <t>CONAIC</t>
  </si>
  <si>
    <t xml:space="preserve">Ingeniería Biológica </t>
  </si>
  <si>
    <t>CACEB</t>
  </si>
  <si>
    <t>CACEB: Comité de Acreditación y Certificación de la Licenciatura en Biología, A.C.</t>
  </si>
  <si>
    <t xml:space="preserve">Ingeniería Biomédica </t>
  </si>
  <si>
    <t xml:space="preserve">Ingeniería Hidrológica </t>
  </si>
  <si>
    <t xml:space="preserve">Matemáticas  </t>
  </si>
  <si>
    <t>Ciencias Sociales y Humanidades CSH)</t>
  </si>
  <si>
    <t xml:space="preserve">Lingüística </t>
  </si>
  <si>
    <t xml:space="preserve">Geografía Humana </t>
  </si>
  <si>
    <t xml:space="preserve">Biología Experimental </t>
  </si>
  <si>
    <t xml:space="preserve">CONAIC: Consejo Nacional de Acreditación en Informática y Computación, A.C. </t>
  </si>
  <si>
    <t xml:space="preserve">Políticas Públicas </t>
  </si>
  <si>
    <t xml:space="preserve">Psicología </t>
  </si>
  <si>
    <t>Química Farmaceútica Biológica</t>
  </si>
  <si>
    <t>COMAEF</t>
  </si>
  <si>
    <t>COMAEM</t>
  </si>
  <si>
    <t>CONCAPREN</t>
  </si>
  <si>
    <t xml:space="preserve">Planeación Territorial </t>
  </si>
  <si>
    <t xml:space="preserve">COMACE: Consejo Mexicano para la  Acreditación y Certificación de la Enfermería, A.C. </t>
  </si>
  <si>
    <t xml:space="preserve">COMAEM: Consejo Mexicano para la Acreditación de la Educación Médica, A.C. </t>
  </si>
  <si>
    <t>CONCAPREN: Consejo Nacional para la Calidad de Programas Educativos en Nutriología, A.C.</t>
  </si>
  <si>
    <t xml:space="preserve">ANPADEH: Acreditadora Nacional de Programas de Arquitectura y Disciplinas del Espacio Habitable, A. C. </t>
  </si>
  <si>
    <t xml:space="preserve">COMAEF: Consejo Mexicano para la Acreditación de la Educación Farmacéutica </t>
  </si>
  <si>
    <t>FUENTE: Base de Datos de Nómina, Quincena 20 de 2016. Incluye Mandos Medios Académicos, Mandos Medios Administrativos con Base Académica y Funcionarios Académicos.</t>
  </si>
  <si>
    <t>FUENTE: Base de Datos de Nómina, Quincena 20 de 2017. Incluye Mandos Medios Académicos, Mandos Medios Administrativos con Base Académica y Funcionarios Académicos.</t>
  </si>
  <si>
    <t>S N I - 2017</t>
  </si>
  <si>
    <t>17-P</t>
  </si>
  <si>
    <t>Lic. en Psicología Biomédica</t>
  </si>
  <si>
    <t>Lic. en Computación y Telecomunicaciones</t>
  </si>
  <si>
    <t>18-P</t>
  </si>
  <si>
    <t xml:space="preserve">Maestría en Ciencias e Ingeniería Electrómagnética </t>
  </si>
  <si>
    <t>18-O</t>
  </si>
  <si>
    <t xml:space="preserve">Maestría en Derecho </t>
  </si>
  <si>
    <t xml:space="preserve">Maestría en Psicología Social </t>
  </si>
  <si>
    <t>Doctorado en Psicología Social</t>
  </si>
  <si>
    <t xml:space="preserve">Doctorado en  Estudios Organizacionales </t>
  </si>
  <si>
    <t>Doctorado en Estudios Feministas</t>
  </si>
  <si>
    <t>18-I</t>
  </si>
  <si>
    <t>A 429</t>
  </si>
  <si>
    <t>C419.10</t>
  </si>
  <si>
    <t>Maestría en Ciencias Odontológicas</t>
  </si>
  <si>
    <t>C 432.9</t>
  </si>
  <si>
    <t>A 420</t>
  </si>
  <si>
    <t>A 423</t>
  </si>
  <si>
    <t>A 412.7</t>
  </si>
  <si>
    <t>A 419</t>
  </si>
  <si>
    <t>C 432.8</t>
  </si>
  <si>
    <t>A 411</t>
  </si>
  <si>
    <t>A 432</t>
  </si>
  <si>
    <t>A 412</t>
  </si>
  <si>
    <t>C 419.9</t>
  </si>
  <si>
    <t>C412.8</t>
  </si>
  <si>
    <t>801-1000</t>
  </si>
  <si>
    <t>751-800</t>
  </si>
  <si>
    <t>¿Trabaja actualmente? (%)</t>
  </si>
  <si>
    <t>¿En qué medida coincide su actividad laboral con los estudios de licenciatura? (%)</t>
  </si>
  <si>
    <t>% de respuesta</t>
  </si>
  <si>
    <t>Ciencias Básica e Ingeniería</t>
  </si>
  <si>
    <t>Ciencias Sociales y Humanidades</t>
  </si>
  <si>
    <t>Ciencias y Artes para el Diseño</t>
  </si>
  <si>
    <t>Ciencias Biológicas y de la Salud</t>
  </si>
  <si>
    <t>Ciencias de la Comunicación y Diseño</t>
  </si>
  <si>
    <t>Ciencias Naturales e Ingeniería</t>
  </si>
  <si>
    <t>Ciencias Básicas e Ingeniería</t>
  </si>
  <si>
    <t>Ingeniería en Recursos Hidricos</t>
  </si>
  <si>
    <t>La información se obtuvo a partir de los Estudios sobre la Trayectoria Profesional de los Egresados de Posgrado, el cual se apoya en una encuesta que debe ser aplicada a todos los egresados de los programas de posgrado, es decir, se trata de un censo. El método de aplicación de la encuesta se realizó por vía telefónica y correo electrónico.</t>
  </si>
  <si>
    <t>Fecha de corte de la base de datos: 04 de enero del 2018</t>
  </si>
  <si>
    <t>A continuación se presenta el porcentaje de respuesta por Unidad:</t>
  </si>
  <si>
    <t>¿Tiene empleo actualmente? (%)</t>
  </si>
  <si>
    <t>Mediana</t>
  </si>
  <si>
    <t>Plan</t>
  </si>
  <si>
    <t>Especialización, Maestría y Doctorado en Ciencias e Ingeniería</t>
  </si>
  <si>
    <t xml:space="preserve">Posgrado en Historiografía </t>
  </si>
  <si>
    <t xml:space="preserve">Maestría y Doctorado en Ciencias Económicas </t>
  </si>
  <si>
    <t>Especialización en Diseño</t>
  </si>
  <si>
    <t>Maestría en Diseño</t>
  </si>
  <si>
    <t>Doctorado en Diseño</t>
  </si>
  <si>
    <t>Maestría en Física</t>
  </si>
  <si>
    <t>Maestría en Química</t>
  </si>
  <si>
    <t>Maestría en Matemáticas</t>
  </si>
  <si>
    <t>Maestría en Ingeniería Química</t>
  </si>
  <si>
    <t>Maestría en Ingeniería Biomédica</t>
  </si>
  <si>
    <t xml:space="preserve">Posgrado en Matemáticas </t>
  </si>
  <si>
    <t xml:space="preserve">Posgrado en Química </t>
  </si>
  <si>
    <t xml:space="preserve">Posgrado en Ingeniería Química </t>
  </si>
  <si>
    <t xml:space="preserve">Posgrado en Ingeniería Biomédica </t>
  </si>
  <si>
    <t xml:space="preserve">Posgrado en Ciencias y Tecnologías de la Información </t>
  </si>
  <si>
    <t>Doctorado en Ciencias</t>
  </si>
  <si>
    <t xml:space="preserve">Especialización, Maestría y Doctorado en Ciencias Antropológicas </t>
  </si>
  <si>
    <t>Maestría en Historia</t>
  </si>
  <si>
    <t>Maestría en Sociología del Trabajo</t>
  </si>
  <si>
    <t xml:space="preserve">Especialización, Maestría y Doctorado en Ciencias Antropológicas  </t>
  </si>
  <si>
    <t xml:space="preserve">Maestría y Doctorado en Estudios Organizacionales </t>
  </si>
  <si>
    <t xml:space="preserve">Maestría y Doctorado en Humanidades </t>
  </si>
  <si>
    <t xml:space="preserve">Maestría y Doctorado en Estudios Sociales </t>
  </si>
  <si>
    <t xml:space="preserve">Maestría y Doctorado en Ciencias Económicas  </t>
  </si>
  <si>
    <t>Especialización, Maestría y Doctorado en Ciencias Antropológicas</t>
  </si>
  <si>
    <t>Maestría y Doctorado en Estudios Organizacionales</t>
  </si>
  <si>
    <t>Maestría y Doctorado en Humanidades</t>
  </si>
  <si>
    <t>Maestría y Doctorado en Estudios Sociales</t>
  </si>
  <si>
    <t xml:space="preserve">Maestría y Doctorado en Ciencias Económicas    </t>
  </si>
  <si>
    <t>Maestría en Biología de la Repreducción Animal</t>
  </si>
  <si>
    <t>Maestría en Investigación en Salud Pública</t>
  </si>
  <si>
    <t xml:space="preserve">Posgrado en Biotecnología </t>
  </si>
  <si>
    <t xml:space="preserve">Posgrado en Biología Experimental </t>
  </si>
  <si>
    <t xml:space="preserve">Especialización y Maestría en Estudios de la Mujer </t>
  </si>
  <si>
    <t xml:space="preserve">Especialización, Maestría y Doctorado en Desarrollo Rural </t>
  </si>
  <si>
    <t>Maestría en Derecho Económico</t>
  </si>
  <si>
    <t>Maestría en Economía y Gestión del Cambio Tecnológico</t>
  </si>
  <si>
    <t>Especialización y Maestría en Estudios de la Mujer</t>
  </si>
  <si>
    <t>Maestría en Administración del Trabajo</t>
  </si>
  <si>
    <t xml:space="preserve">Maestría y Doctorado en Ciencias Económicas      </t>
  </si>
  <si>
    <t xml:space="preserve">Especialización, Maestría y Doctorado en Desarrollo Rural   </t>
  </si>
  <si>
    <t>Maestría y Doctorado en Ciencias Económicas</t>
  </si>
  <si>
    <t>Especialización, Maestría y Doctorado en Desarrollo Rural</t>
  </si>
  <si>
    <t xml:space="preserve">Maestría y Especialización en Medicina Bucal </t>
  </si>
  <si>
    <t>Curso de Especialización en Patología y Medicina Bucal</t>
  </si>
  <si>
    <t>Especialización y Maestría en Patología y Medicina Bucal</t>
  </si>
  <si>
    <t>Maestría y Especialización en Medicina Bucal</t>
  </si>
  <si>
    <t xml:space="preserve">Posgrado en Ciencias Sociales y Humanidades </t>
  </si>
  <si>
    <t xml:space="preserve">Posgrado en Ciencias Naturales e Ingeniería  </t>
  </si>
  <si>
    <t xml:space="preserve">Basquetbol Tercias                              </t>
  </si>
  <si>
    <t xml:space="preserve">Carreras o Caminatas </t>
  </si>
  <si>
    <t>Desfile cívico</t>
  </si>
  <si>
    <t xml:space="preserve">   Torneos Representativos de Unidad</t>
  </si>
  <si>
    <t>Actividades Diversas</t>
  </si>
  <si>
    <t>Gimnasio Urbano</t>
  </si>
  <si>
    <t>Préstamo de instalaciones deportivas</t>
  </si>
  <si>
    <t xml:space="preserve">Tochito bandera </t>
  </si>
  <si>
    <t>Ultimate</t>
  </si>
  <si>
    <t>Voleibol Playa</t>
  </si>
  <si>
    <t>No. de beneficiarios</t>
  </si>
  <si>
    <t xml:space="preserve"> Septiembre a Diciembre</t>
  </si>
  <si>
    <t>Septiembre a Diciembre</t>
  </si>
  <si>
    <r>
      <t xml:space="preserve">Nivel 1:  Al interior de las Unidades Académicas </t>
    </r>
    <r>
      <rPr>
        <b/>
        <sz val="12"/>
        <color rgb="FFFF0000"/>
        <rFont val="Calibri"/>
        <family val="2"/>
        <scheme val="minor"/>
      </rPr>
      <t>2017</t>
    </r>
  </si>
  <si>
    <r>
      <t>Nivel 2: Entre las Unidades académicas</t>
    </r>
    <r>
      <rPr>
        <b/>
        <sz val="12"/>
        <color rgb="FFFF0000"/>
        <rFont val="Calibri"/>
        <family val="2"/>
        <scheme val="minor"/>
      </rPr>
      <t xml:space="preserve"> 2017</t>
    </r>
  </si>
  <si>
    <t xml:space="preserve"> 13P-17I</t>
  </si>
  <si>
    <t>13O-17P</t>
  </si>
  <si>
    <t>EFICIENCIA TERMINAL SEGÚN EL TIEMPO MÁXIMO ESTABLECIDO EN LA NORMATIVIDAD VIGENTE (Entre 4 y 10 años)</t>
  </si>
  <si>
    <t>Eficiencia terminal 2007 - 2013</t>
  </si>
  <si>
    <t>Fuente: AGA Lic 2018-I 1a. Sem</t>
  </si>
  <si>
    <t>2007-2013</t>
  </si>
  <si>
    <t>Trimestres Promedio P/Egresar</t>
  </si>
  <si>
    <t>Núm Casos</t>
  </si>
  <si>
    <t>NÚMERO DE TRIMESTRES REALMENTE CURSADOS PARA ACREDITA EL PLAN DE ESTUDIOS 2017</t>
  </si>
  <si>
    <t>Egreso 2017</t>
  </si>
  <si>
    <r>
      <t xml:space="preserve">Manual de Puestos Administrativos de Base </t>
    </r>
    <r>
      <rPr>
        <i/>
        <sz val="9"/>
        <rFont val="Calibri"/>
        <family val="2"/>
        <scheme val="minor"/>
      </rPr>
      <t>(se agrego el rubro a partir de mayo del 2017)</t>
    </r>
  </si>
  <si>
    <r>
      <t>PRESUPUESTO AUTORIZADO TOTAL</t>
    </r>
    <r>
      <rPr>
        <b/>
        <sz val="11"/>
        <color rgb="FFFF0000"/>
        <rFont val="Calibri"/>
        <family val="2"/>
        <scheme val="minor"/>
      </rPr>
      <t xml:space="preserve"> 2017</t>
    </r>
  </si>
  <si>
    <t>AGA Posg 2018-I 1a Sem</t>
  </si>
  <si>
    <t>Criterio: aing_n = 2016 &amp; niv = 1 &amp; edo ~= 13</t>
  </si>
  <si>
    <t>(4 trimestre máximo para acreditar plan de estudios)</t>
  </si>
  <si>
    <t>Cubrió Requisitos para Cambiar de Nivel</t>
  </si>
  <si>
    <t>Esp en Física Médica Clínica (*)</t>
  </si>
  <si>
    <t>(*) Planes de dos años, el ingreso debe ser un año antes; para Acupuntura y Fitoterapia no hubo nuevo ingreso en 2015 y Física Médica Clínica todavía no cumple dos años la primera generación</t>
  </si>
  <si>
    <t>EFICIENCIA TERMINAL DE ALUMNOS DE MAESTRÏA QUE INGRESARON EN 2015</t>
  </si>
  <si>
    <t>Criterio: aing_n = 2015 &amp; pla &lt; 500 &amp; niv = 2 &amp; edo ~= 13</t>
  </si>
  <si>
    <t>(Máximimo 8 trimestres para acreditar el plan de estudios)</t>
  </si>
  <si>
    <t>Posgrado en Ciencias e Ingeniería (Ambientales, de Materiales)</t>
  </si>
  <si>
    <t>Posgrado en Diseño para la Rehabilitación, Recuparación y Conservación del Patrimonio Construido</t>
  </si>
  <si>
    <t>Mtría en Medicina Social</t>
  </si>
  <si>
    <t>EFICIENCIA TERMINAL DE ALUMNOS DE DOCTORADO QUE INGRESARON EN 2013</t>
  </si>
  <si>
    <t>Criterio: aing_n = 2013 &amp; pla &lt; 500 &amp; niv = 3 &amp; edo ~= 13</t>
  </si>
  <si>
    <t>(Máximimo 14 trimestres para acreditar el plan de estudios)</t>
  </si>
  <si>
    <t>AGA Posg 2018-I 1a. Sem</t>
  </si>
  <si>
    <t>Criterio: ua_aa2 = 2017 &amp; (edo = 6 | edo = 12 | edo = 15) &amp; niv = 1</t>
  </si>
  <si>
    <t>NTRC Prom</t>
  </si>
  <si>
    <t>En el cálculo no se considera Esp en Acupuntura y Fitoterapia por ser plan de 2 años. Esto para que no afecte el promedio de División, Unidad y UAM</t>
  </si>
  <si>
    <r>
      <t xml:space="preserve">PROMEDIO DE TRIMESTRES REALMENTE CURSADOS PARA APROBAR EL PLAN DE ESTUDIOS DE ESPECIALIDAD </t>
    </r>
    <r>
      <rPr>
        <b/>
        <sz val="11"/>
        <color rgb="FFFF0000"/>
        <rFont val="Calibri"/>
        <family val="2"/>
        <scheme val="minor"/>
      </rPr>
      <t>2017</t>
    </r>
  </si>
  <si>
    <t>Criterio: ua_aa2 = 2017 &amp; (edo = 6 | edo = 12 | edo = 16) &amp; niv = 2</t>
  </si>
  <si>
    <r>
      <t>PROMEDIO DE TRIMESTRES REALMENTE CURSADOS PARA APROBAR EL PLAN DE ESTUDIOS DE MAESTRÍA</t>
    </r>
    <r>
      <rPr>
        <b/>
        <sz val="11"/>
        <color rgb="FFFF0000"/>
        <rFont val="Calibri"/>
        <family val="2"/>
        <scheme val="minor"/>
      </rPr>
      <t xml:space="preserve"> 2017</t>
    </r>
  </si>
  <si>
    <r>
      <t>TIEMPO  PROMEDIO EXCEDENTE PARA CONCLUIR ESTUDIOS DE POSGRADO ALUMNOS QUE CONCLUYERON EN 2011 EL</t>
    </r>
    <r>
      <rPr>
        <b/>
        <sz val="11"/>
        <color rgb="FFFF0000"/>
        <rFont val="Calibri"/>
        <family val="2"/>
        <scheme val="minor"/>
      </rPr>
      <t xml:space="preserve"> NIVEL DE MAESTRÍA</t>
    </r>
  </si>
  <si>
    <t xml:space="preserve"> TRIMESTRES CURSADOS PROMEDIO UTILIZADOS PARA ACREDITA PLAN DE ESTUDIOS MAESTRÍA 2012</t>
  </si>
  <si>
    <t>TRIMESTRES REALMENTE CURSADOS PARA ACREDITAR PLAN DE ESTUDIOS EN 2013 POSGRADO NIVEL MAESTRÍA</t>
  </si>
  <si>
    <t>Criterio: ua_aa2 = 2017 &amp; (edo = 6 | edo = 12 | edo = 16) &amp; niv = 3</t>
  </si>
  <si>
    <r>
      <t xml:space="preserve">PROMEDIO DE TRIMESTRES REALMENTE CURSADOS PARA APROBAR EL PLAN DE ESTUDIOS DE DOCTORADO </t>
    </r>
    <r>
      <rPr>
        <b/>
        <sz val="11"/>
        <color rgb="FFFF0000"/>
        <rFont val="Calibri"/>
        <family val="2"/>
        <scheme val="minor"/>
      </rPr>
      <t>2017</t>
    </r>
  </si>
  <si>
    <t>Datos del año anterior</t>
  </si>
  <si>
    <t>Presupuesto ejercido 2017</t>
  </si>
  <si>
    <t>Total de presupuesto ejercido 2017 de otros gastos de operación, mantenimiento e inversión</t>
  </si>
  <si>
    <t>2013-2017</t>
  </si>
  <si>
    <r>
      <t>Número de artículos publicados</t>
    </r>
    <r>
      <rPr>
        <vertAlign val="superscript"/>
        <sz val="11"/>
        <rFont val="Calibri"/>
        <family val="2"/>
        <scheme val="minor"/>
      </rPr>
      <t xml:space="preserve"> [2]</t>
    </r>
  </si>
  <si>
    <t>[1] Se refiere únicamente a artículos en revistas o capítulos de libros indizados por el sistema ISI Web of Science.</t>
  </si>
  <si>
    <t xml:space="preserve">[2] El número de artículos varía respecto a lo reportado en años anteriores sobre todo debido a que el número de revistas y libros incluidos en el sistema ISI Web of Science se va incrementando en el tiempo. </t>
  </si>
  <si>
    <t>Número artículos distintos donde se cita artículos publicados por personal académico de la UAM</t>
  </si>
  <si>
    <r>
      <t xml:space="preserve">citas a artículos publicados por personal académico de la UAM excluyendo autocitas </t>
    </r>
    <r>
      <rPr>
        <vertAlign val="superscript"/>
        <sz val="11"/>
        <rFont val="Calibri"/>
        <family val="2"/>
        <scheme val="minor"/>
      </rPr>
      <t>[3]</t>
    </r>
  </si>
  <si>
    <t>[3] Las autocitas son aquellas citas que realiza un autor a otros artículos publicados por él mismo</t>
  </si>
  <si>
    <r>
      <t>Fuente</t>
    </r>
    <r>
      <rPr>
        <sz val="11"/>
        <color theme="1"/>
        <rFont val="Calibri"/>
        <family val="2"/>
        <scheme val="minor"/>
      </rPr>
      <t>: ISI Web of Science (</t>
    </r>
    <r>
      <rPr>
        <i/>
        <sz val="11"/>
        <color theme="1"/>
        <rFont val="Calibri"/>
        <family val="2"/>
        <scheme val="minor"/>
      </rPr>
      <t>https://webofknowledge.com/) consultado el día 5 de enero de 2018</t>
    </r>
  </si>
  <si>
    <t>FUENTE: Bases de Nómina correspondientes a las quincenas 20 del año correspondiente</t>
  </si>
  <si>
    <t>Adaptaciones</t>
  </si>
  <si>
    <t>(*) En el cálculo no se considera Esp en Acupuntura y Fitoterapia por ser plan de 2 años. Esto para que no afecte el promedio de División, Unidad y UAM</t>
  </si>
  <si>
    <t>Total de presupuesto  ajustado 2017 de otros gastos de operación, mantenimiento e inversión</t>
  </si>
  <si>
    <t>INPC (2010=100)</t>
  </si>
  <si>
    <t>Monto del subsidio federal a precios constantes de 2010</t>
  </si>
  <si>
    <t>Universiad Autónoma de Querétaro</t>
  </si>
  <si>
    <t>Universidad de las América de Puebla</t>
  </si>
  <si>
    <t>ENERO DE 2018</t>
  </si>
  <si>
    <t>* No considera el Fondo de Obras.</t>
  </si>
  <si>
    <t>Educación y Tecnologías Digitales</t>
  </si>
  <si>
    <t>Maestría en Ciencias en Ing. Electromagnética</t>
  </si>
  <si>
    <t>S N I - 2018</t>
  </si>
  <si>
    <t>Unidad / División</t>
  </si>
  <si>
    <t>FUENTE: Base de Datos de Nómina, Quincena 18 de 2018.</t>
  </si>
  <si>
    <t>Total de presupuesto ejercido 2018 de otros gastos de operación, mantenimiento e inversión</t>
  </si>
  <si>
    <t>Presupuesto ejercido 2018</t>
  </si>
  <si>
    <r>
      <t>PRESUPUESTO AUTORIZADO TOTAL</t>
    </r>
    <r>
      <rPr>
        <b/>
        <sz val="11"/>
        <color rgb="FFFF0000"/>
        <rFont val="Calibri"/>
        <family val="2"/>
        <scheme val="minor"/>
      </rPr>
      <t xml:space="preserve"> 2018</t>
    </r>
  </si>
  <si>
    <t>División / Unidad</t>
  </si>
  <si>
    <t>No acreditados</t>
  </si>
  <si>
    <t>Evaluables</t>
  </si>
  <si>
    <t>No evaluables</t>
  </si>
  <si>
    <t>ORGANISMO ACREDITADOR</t>
  </si>
  <si>
    <t>CACECA</t>
  </si>
  <si>
    <r>
      <rPr>
        <b/>
        <sz val="8"/>
        <rFont val="Calibri"/>
        <family val="2"/>
        <scheme val="minor"/>
      </rPr>
      <t>FUENTE:</t>
    </r>
    <r>
      <rPr>
        <sz val="8"/>
        <rFont val="Calibri"/>
        <family val="2"/>
        <scheme val="minor"/>
      </rPr>
      <t xml:space="preserve"> Consejo para la Acreditación de la Educación Superior (COPAES)</t>
    </r>
  </si>
  <si>
    <t>6 diciembre,2022</t>
  </si>
  <si>
    <t>CAPEM</t>
  </si>
  <si>
    <t>CONAECQ</t>
  </si>
  <si>
    <t>Ciencias Biológicas y de la Salud
(CBS)</t>
  </si>
  <si>
    <t>CAPEM: Consejo de Acreditación de Programas Educativos en Matemáticas A.C.</t>
  </si>
  <si>
    <t>Nivel 1</t>
  </si>
  <si>
    <t>Ingeniería en Sistemas Mecatrónicos Industriales</t>
  </si>
  <si>
    <t>Ciencia y Tecnología de Alimentos</t>
  </si>
  <si>
    <t>CNEIP</t>
  </si>
  <si>
    <t>COMEAA</t>
  </si>
  <si>
    <t>Ciencias y Artes para el Diseño
(CAD)</t>
  </si>
  <si>
    <t>CNEIP: Consejo Nacional para la Enseñanza e Investigación en Psicología, A.C.</t>
  </si>
  <si>
    <t>COMEAA: Comité Mexicano de Acreditación de la Educación Agronómica, A. C.</t>
  </si>
  <si>
    <t>CBI y CBS</t>
  </si>
  <si>
    <t>Interunidades</t>
  </si>
  <si>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Cuajimalpa</t>
    </r>
    <r>
      <rPr>
        <sz val="11"/>
        <rFont val="Calibri"/>
        <family val="2"/>
        <scheme val="minor"/>
      </rPr>
      <t xml:space="preserve"> y</t>
    </r>
    <r>
      <rPr>
        <sz val="11"/>
        <color rgb="FFF08200"/>
        <rFont val="Calibri"/>
        <family val="2"/>
        <scheme val="minor"/>
      </rPr>
      <t xml:space="preserve"> </t>
    </r>
    <r>
      <rPr>
        <sz val="11"/>
        <color rgb="FFAD25A8"/>
        <rFont val="Calibri"/>
        <family val="2"/>
        <scheme val="minor"/>
      </rPr>
      <t>Lerma</t>
    </r>
  </si>
  <si>
    <t>Maestría y Doctorado en Psicología Social</t>
  </si>
  <si>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 xml:space="preserve">Cuajimalpa </t>
    </r>
    <r>
      <rPr>
        <sz val="11"/>
        <rFont val="Calibri"/>
        <family val="2"/>
        <scheme val="minor"/>
      </rPr>
      <t>y</t>
    </r>
    <r>
      <rPr>
        <sz val="11"/>
        <color rgb="FFF08200"/>
        <rFont val="Calibri"/>
        <family val="2"/>
        <scheme val="minor"/>
      </rPr>
      <t xml:space="preserve"> </t>
    </r>
    <r>
      <rPr>
        <sz val="11"/>
        <color rgb="FFAD25A8"/>
        <rFont val="Calibri"/>
        <family val="2"/>
        <scheme val="minor"/>
      </rPr>
      <t>Lerma</t>
    </r>
  </si>
  <si>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 en ambos casos se empleó el software LimeSurvey.
Fuente: Sistema de Información de Estudiantes, Egresados y Empleadores (SIEEE).</t>
  </si>
  <si>
    <t>UNIVERSO DE ESTUDIO</t>
  </si>
  <si>
    <t>Cohorte</t>
  </si>
  <si>
    <t>* El estudio de la cohorte 2016 se encuentra en proceso de elaboración, el levantamiento de la información inició el 11 de octubre de 2018 y a la fecha se cuenta con 1860 encuestas aplicadas que representan el 80.4% de la muestra estimada.</t>
  </si>
  <si>
    <t>Clave</t>
  </si>
  <si>
    <t>Fecha de corte de la base de datos: 07 de enero de 2019</t>
  </si>
  <si>
    <t>Universo</t>
  </si>
  <si>
    <t>Maestría y Doctorado en Ingeniería Estructural</t>
  </si>
  <si>
    <t>Maestría y Doctorado en Sociología</t>
  </si>
  <si>
    <t>Especialización, Maestría y Doctorado en Diseño</t>
  </si>
  <si>
    <t>Maestría en Desarrollo de Productos</t>
  </si>
  <si>
    <t>A 447</t>
  </si>
  <si>
    <t>A 443</t>
  </si>
  <si>
    <t>A 451</t>
  </si>
  <si>
    <t>M 438.6</t>
  </si>
  <si>
    <t>A 449</t>
  </si>
  <si>
    <t>Licenciatura en Ingeniería en Sistemas Mecatrónicos Industriales</t>
  </si>
  <si>
    <t>Licenciatura en Ciencia y Tecnología de Alimentos</t>
  </si>
  <si>
    <t>Licenciatura en Educación y Tecnologías Digitales.</t>
  </si>
  <si>
    <t>C 442.11</t>
  </si>
  <si>
    <t>C 442.10</t>
  </si>
  <si>
    <t>C 404.7</t>
  </si>
  <si>
    <t>A 405</t>
  </si>
  <si>
    <t>A 442</t>
  </si>
  <si>
    <t>Especialización en Economía y Gestión del Agua</t>
  </si>
  <si>
    <t>19-P</t>
  </si>
  <si>
    <t>C 443.6</t>
  </si>
  <si>
    <t>M 443.7</t>
  </si>
  <si>
    <t>Fuente: Semanario de la UAM, programación de cada evento, páginas WEB de cada Unidad, agenda cultural UAM</t>
  </si>
  <si>
    <t>Universidad Iberoamericana IBERO</t>
  </si>
  <si>
    <t>El Colegio de México, A.C.</t>
  </si>
  <si>
    <t>581-590</t>
  </si>
  <si>
    <t>701-750</t>
  </si>
  <si>
    <t>https://www.topuniversities.com/university-rankings/world-university-rankings/2019</t>
  </si>
  <si>
    <t>Instituto Tecnológico y de Estudios Superiores de Monterrey (ITESM)</t>
  </si>
  <si>
    <t>Benemérita Universidad Autónoma de Puebla (BUAP)</t>
  </si>
  <si>
    <t>Universidad ANAHUAC (UA)</t>
  </si>
  <si>
    <t>https://www.topuniversities.com/university-rankings/latin-american-university-rankings/2019?utm_source=tu_house_banners&amp;utm_medium=web_banner</t>
  </si>
  <si>
    <t xml:space="preserve">Centro de Investigación y de Estudios Avanzados </t>
  </si>
  <si>
    <t>JULIO DE 2018</t>
  </si>
  <si>
    <t>Número de horas persona en actividades destinadas
 a capacitación al año.</t>
  </si>
  <si>
    <t>Unidad / División / Departamento</t>
  </si>
  <si>
    <t>ENERO DE 2019</t>
  </si>
  <si>
    <t>Citas totales</t>
  </si>
  <si>
    <t>Número de artículos publicados</t>
  </si>
  <si>
    <t>Fuente: Departamento de Biblioteca Digital - CGFAyV</t>
  </si>
  <si>
    <t>* Activos de Licenciatura y Posgrado + pnal. Académico y pnal. Admvo. (ind. 37)</t>
  </si>
  <si>
    <r>
      <t xml:space="preserve">Obligaciones de Transparencia art. 70 y 75 LGTAIP </t>
    </r>
    <r>
      <rPr>
        <i/>
        <sz val="9"/>
        <rFont val="Calibri"/>
        <family val="2"/>
        <scheme val="minor"/>
      </rPr>
      <t xml:space="preserve">(se agrego el rubro a partir de abril 2018 ) </t>
    </r>
  </si>
  <si>
    <t>C 394.8</t>
  </si>
  <si>
    <t>402.M</t>
  </si>
  <si>
    <t>11</t>
  </si>
  <si>
    <t>"Caminando por la UAM"</t>
  </si>
  <si>
    <t>Olimpiada UAM</t>
  </si>
  <si>
    <t>Fútbol Rápido Mixto</t>
  </si>
  <si>
    <t>Fútbol 5</t>
  </si>
  <si>
    <t xml:space="preserve">Handball </t>
  </si>
  <si>
    <t xml:space="preserve"> Remo Bajo Techo</t>
  </si>
  <si>
    <t>Ludoteca</t>
  </si>
  <si>
    <r>
      <t xml:space="preserve">Nivel 1:  Al interior de las Unidades Académicas </t>
    </r>
    <r>
      <rPr>
        <b/>
        <sz val="14"/>
        <color rgb="FFCD032E"/>
        <rFont val="Calibri"/>
        <family val="2"/>
        <scheme val="minor"/>
      </rPr>
      <t>2018</t>
    </r>
  </si>
  <si>
    <r>
      <t xml:space="preserve">Nivel 2: Entre las Unidades académicas </t>
    </r>
    <r>
      <rPr>
        <b/>
        <sz val="14"/>
        <color rgb="FFCD032E"/>
        <rFont val="Calibri"/>
        <family val="2"/>
        <scheme val="minor"/>
      </rPr>
      <t>2018</t>
    </r>
  </si>
  <si>
    <t xml:space="preserve"> 14P-18I</t>
  </si>
  <si>
    <t>14O-18P</t>
  </si>
  <si>
    <t>2008-2014</t>
  </si>
  <si>
    <t>Fuente: AGA Lic 2019-I 3a. Sem</t>
  </si>
  <si>
    <t>Egreso 2018</t>
  </si>
  <si>
    <t>Eficiencia Terminal Ingreso 2008-2014</t>
  </si>
  <si>
    <t>Lic. en Ciencia y Tecnología de Alimentos</t>
  </si>
  <si>
    <t>EFICIENCIA TERMINAL DE ALUMNOS DE ESPECIALIDAD QUE INGRESARON EN 2017</t>
  </si>
  <si>
    <t>AGA Posg 2019-I 1a Sem</t>
  </si>
  <si>
    <t>Criterio: aing_n = 2017 &amp; niv = 1 &amp; edo ~= 13</t>
  </si>
  <si>
    <t>(*) Plan de dos años, el ingreso es 2016 y plazo máximo para egresar 8 trimestres</t>
  </si>
  <si>
    <t>EFICIENCIA TERMINAL DE ALUMNOS DE MAESTRÍA QUE INGRESARON EN 2016</t>
  </si>
  <si>
    <t>Criterio: aing_n = 2016 &amp; niv = 2 &amp; edo ~= 13 &amp; plan &lt; 500</t>
  </si>
  <si>
    <t>(8 trimestre máximo para acreditar plan de estudios)</t>
  </si>
  <si>
    <t>UEA Requerida para Doctorado</t>
  </si>
  <si>
    <t>EFICIENCIA TERMINAL DE ALUMNOS DE DOCTORADO QUE INGRESARON EN 2014</t>
  </si>
  <si>
    <t>Criterio: aing_n = 2014 &amp; niv = 3 &amp; edo ~= 13 &amp; plan &lt; 500</t>
  </si>
  <si>
    <t>(14 trimestre máximo para acreditar plan de estudios)</t>
  </si>
  <si>
    <t>PROMEDIO DE TRIMESTRES REALMENTE CURSADOS PARA CREDITAR EL PLAN DE ESPECIALIZACIÓN</t>
  </si>
  <si>
    <r>
      <t xml:space="preserve">ALUMNOS DE ESPECIALIZACIÓN QUE CONCLUYERON EN </t>
    </r>
    <r>
      <rPr>
        <b/>
        <sz val="11"/>
        <color rgb="FFFF0000"/>
        <rFont val="Calibri"/>
        <family val="2"/>
        <scheme val="minor"/>
      </rPr>
      <t>2018</t>
    </r>
  </si>
  <si>
    <r>
      <t xml:space="preserve">PROMEDIO DE TRIMESTRES REALMENTE CURSADOS PARA CREDITAR EL PLAN DE MAESTRÍA_ALUMNOS DE MAESTRÍA QUE CONCLUYERON EN </t>
    </r>
    <r>
      <rPr>
        <b/>
        <sz val="12"/>
        <color rgb="FFFF0000"/>
        <rFont val="Calibri"/>
        <family val="2"/>
        <scheme val="minor"/>
      </rPr>
      <t>2018</t>
    </r>
  </si>
  <si>
    <t>PROMEDIO DE TRIMESTRES REALMENTE CURSADOS PARA CREDITAR EL PLAN DE DOCTORADO</t>
  </si>
  <si>
    <r>
      <t>ALUMNOS DE DOCTORADO QUE CONCLUYERON EN</t>
    </r>
    <r>
      <rPr>
        <b/>
        <sz val="11"/>
        <color rgb="FFFF0000"/>
        <rFont val="Calibri"/>
        <family val="2"/>
        <scheme val="minor"/>
      </rPr>
      <t xml:space="preserve"> 2018</t>
    </r>
  </si>
  <si>
    <t>0.8 horas persona</t>
  </si>
  <si>
    <t>1.4 horas persona</t>
  </si>
  <si>
    <t>1.3 horas persona</t>
  </si>
  <si>
    <t>Criterio: (origen_mat = 1 | origen_mat = 2) &amp; cre_acum &gt; 0 &amp;  aing&gt; 2006 &amp; aing&lt;2014</t>
  </si>
  <si>
    <t>ALUMNOS QUE INGRESARON ENTRE 2007 Y 2013</t>
  </si>
  <si>
    <t>ALUMNOS QUE INGRESARON ENTRE 2008 Y 2014</t>
  </si>
  <si>
    <t>Criterio: (origen_mat = 1 | origen_mat = 2) &amp; cre_acum &gt; 0 &amp;  aing&gt; 2007 &amp; aing&lt;2015</t>
  </si>
  <si>
    <t>Tiempo de dedicación</t>
  </si>
  <si>
    <t>Tipo de contratación</t>
  </si>
  <si>
    <r>
      <t xml:space="preserve">Total
</t>
    </r>
    <r>
      <rPr>
        <sz val="10"/>
        <color theme="1"/>
        <rFont val="Arial"/>
        <family val="2"/>
      </rPr>
      <t>(A)</t>
    </r>
  </si>
  <si>
    <r>
      <t xml:space="preserve">Total
</t>
    </r>
    <r>
      <rPr>
        <sz val="10"/>
        <color theme="1"/>
        <rFont val="Arial"/>
        <family val="2"/>
      </rPr>
      <t>(B)</t>
    </r>
  </si>
  <si>
    <t>FUENTE: Base de Datos de Nómina, Quincena 17 de 2019.</t>
  </si>
  <si>
    <t>Sría. y Rect.</t>
  </si>
  <si>
    <t>Unidad / División/ Planes de Estudios</t>
  </si>
  <si>
    <t>Unidad / División / Planes de Estudios</t>
  </si>
  <si>
    <t>Computadoras actualizadas</t>
  </si>
  <si>
    <t>Computadoras</t>
  </si>
  <si>
    <t>Número</t>
  </si>
  <si>
    <t>Cobertura</t>
  </si>
  <si>
    <t>Relación</t>
  </si>
  <si>
    <t>TASA DE CRECIMIENTO  DE CONSULTAS
DE LA INFORMACIÓN INSTITUCIONAL</t>
  </si>
  <si>
    <t>Capacidad académica de los profesores definitivos</t>
  </si>
  <si>
    <r>
      <t xml:space="preserve">ACTUALIZACIÓN DE PLANES DE ESTUDIO DE </t>
    </r>
    <r>
      <rPr>
        <b/>
        <sz val="12"/>
        <color rgb="FFFF0000"/>
        <rFont val="Arial"/>
        <family val="2"/>
      </rPr>
      <t>LICENCIATURA</t>
    </r>
  </si>
  <si>
    <r>
      <t xml:space="preserve">ACTUALIZACIÓN DE PLANES DE ESTUDIO DE </t>
    </r>
    <r>
      <rPr>
        <b/>
        <sz val="12"/>
        <color rgb="FFFF0000"/>
        <rFont val="Arial"/>
        <family val="2"/>
      </rPr>
      <t>POSGRADO</t>
    </r>
  </si>
  <si>
    <r>
      <rPr>
        <b/>
        <sz val="12"/>
        <rFont val="Arial"/>
        <family val="2"/>
      </rPr>
      <t>PLANES DE ESTUDIOS DE</t>
    </r>
    <r>
      <rPr>
        <b/>
        <sz val="12"/>
        <color indexed="8"/>
        <rFont val="Arial"/>
        <family val="2"/>
      </rPr>
      <t xml:space="preserve"> </t>
    </r>
    <r>
      <rPr>
        <b/>
        <sz val="12"/>
        <color indexed="10"/>
        <rFont val="Arial"/>
        <family val="2"/>
      </rPr>
      <t>POSGRADO</t>
    </r>
  </si>
  <si>
    <r>
      <t>PROFESORES EN EL</t>
    </r>
    <r>
      <rPr>
        <sz val="12"/>
        <rFont val="Arial"/>
        <family val="2"/>
      </rPr>
      <t xml:space="preserve"> S N I</t>
    </r>
    <r>
      <rPr>
        <b/>
        <sz val="12"/>
        <rFont val="Arial"/>
        <family val="2"/>
      </rPr>
      <t xml:space="preserve"> EN RELACIÓN AL PERSONAL ACADÉMICO DEFINITIVO DE TIEMPO COMPLETO</t>
    </r>
    <r>
      <rPr>
        <sz val="12"/>
        <rFont val="Arial"/>
        <family val="2"/>
      </rPr>
      <t xml:space="preserve"> (PADTC)</t>
    </r>
    <r>
      <rPr>
        <b/>
        <sz val="12"/>
        <rFont val="Arial"/>
        <family val="2"/>
      </rPr>
      <t xml:space="preserve"> CON DOCTORADO</t>
    </r>
  </si>
  <si>
    <t>PUNTOS ACUMULADOS</t>
  </si>
  <si>
    <t>CUERPOS ACADÉMICOS</t>
  </si>
  <si>
    <t>CRECIMIENTO REAL DEL SUBSIDIO FEDERAL</t>
  </si>
  <si>
    <r>
      <t xml:space="preserve">QS RANKING MUNDIAL
</t>
    </r>
    <r>
      <rPr>
        <sz val="10"/>
        <rFont val="Arial"/>
        <family val="2"/>
      </rPr>
      <t>CLASIFICACIÓN POR PAÍS: MÉXICO</t>
    </r>
  </si>
  <si>
    <t>2018
Universidad</t>
  </si>
  <si>
    <r>
      <t xml:space="preserve">QS RANKING LATIN AMERICA
</t>
    </r>
    <r>
      <rPr>
        <sz val="10"/>
        <color theme="1"/>
        <rFont val="Arial"/>
        <family val="2"/>
      </rPr>
      <t>CLASIFICACIÓN POR PAÍS: MÉXICO</t>
    </r>
  </si>
  <si>
    <t>2018
UNIVERSIDADES</t>
  </si>
  <si>
    <t xml:space="preserve"> 15P-19I</t>
  </si>
  <si>
    <t>15O-19P</t>
  </si>
  <si>
    <t>2009-2015</t>
  </si>
  <si>
    <r>
      <t>RELACIÓN</t>
    </r>
    <r>
      <rPr>
        <sz val="11"/>
        <color indexed="8"/>
        <rFont val="Calibri"/>
        <family val="2"/>
        <scheme val="minor"/>
      </rPr>
      <t xml:space="preserve"> (A/B)</t>
    </r>
  </si>
  <si>
    <r>
      <t xml:space="preserve">Total
</t>
    </r>
    <r>
      <rPr>
        <sz val="11"/>
        <color theme="1"/>
        <rFont val="Calibri"/>
        <family val="2"/>
        <scheme val="minor"/>
      </rPr>
      <t>(A)</t>
    </r>
  </si>
  <si>
    <r>
      <t xml:space="preserve">Total
</t>
    </r>
    <r>
      <rPr>
        <sz val="11"/>
        <color theme="1"/>
        <rFont val="Calibri"/>
        <family val="2"/>
        <scheme val="minor"/>
      </rPr>
      <t>(B)</t>
    </r>
  </si>
  <si>
    <t>S N I - 2019</t>
  </si>
  <si>
    <r>
      <t>PRESUPUESTO AUTORIZADO TOTAL</t>
    </r>
    <r>
      <rPr>
        <b/>
        <sz val="11"/>
        <color rgb="FFFF0000"/>
        <rFont val="Calibri"/>
        <family val="2"/>
        <scheme val="minor"/>
      </rPr>
      <t xml:space="preserve"> 2019</t>
    </r>
  </si>
  <si>
    <t>Presupuesto ejercido 2019</t>
  </si>
  <si>
    <t>19-I</t>
  </si>
  <si>
    <t>M 463.7</t>
  </si>
  <si>
    <t>M 465.8</t>
  </si>
  <si>
    <t>A 458</t>
  </si>
  <si>
    <t>A 464</t>
  </si>
  <si>
    <t>A 461</t>
  </si>
  <si>
    <t>M429.6</t>
  </si>
  <si>
    <t>1.0 horas persona</t>
  </si>
  <si>
    <t>2006
a
2010</t>
  </si>
  <si>
    <t xml:space="preserve"> 2007
a
2011</t>
  </si>
  <si>
    <t>2008
a
2012</t>
  </si>
  <si>
    <t>2009
a
2013</t>
  </si>
  <si>
    <t>2010
a
2014</t>
  </si>
  <si>
    <t>2011
a
2015</t>
  </si>
  <si>
    <t>2012
a
2016</t>
  </si>
  <si>
    <t>2013
a
2017</t>
  </si>
  <si>
    <t>2014
a
2018</t>
  </si>
  <si>
    <t>2015
a
2019</t>
  </si>
  <si>
    <t>2008
a
2010</t>
  </si>
  <si>
    <t>2009
a
2011</t>
  </si>
  <si>
    <t>2010
a
2012</t>
  </si>
  <si>
    <t>2011
a
2013</t>
  </si>
  <si>
    <t>2012
a
2014</t>
  </si>
  <si>
    <t>2013
a
2015</t>
  </si>
  <si>
    <t>2014
a
2016</t>
  </si>
  <si>
    <t>2015
a
2017</t>
  </si>
  <si>
    <t>2016
a
2018</t>
  </si>
  <si>
    <t>2017
a
2019</t>
  </si>
  <si>
    <t>A 133</t>
  </si>
  <si>
    <t>Acreditados / Evaluados</t>
  </si>
  <si>
    <t>CACECA: Consejo de Acreditación de Ciencias Administrativas, Contables y Afines
, A.C.</t>
  </si>
  <si>
    <t>ORGANISMO ACREDITADOR O EVALUADOR</t>
  </si>
  <si>
    <t>CIEES: Comités Interinstitucionales para la Evaluación de la Educación Superior</t>
  </si>
  <si>
    <t>Especialización</t>
  </si>
  <si>
    <t>2015-2019</t>
  </si>
  <si>
    <r>
      <t xml:space="preserve">Número de artículos publicados </t>
    </r>
    <r>
      <rPr>
        <sz val="8"/>
        <color theme="1"/>
        <rFont val="Calibri"/>
        <family val="2"/>
        <scheme val="minor"/>
      </rPr>
      <t>[1]</t>
    </r>
  </si>
  <si>
    <t xml:space="preserve"> (edo = 1 | edo = 10) &amp; plan &lt;500 &amp; tri_ubica</t>
  </si>
  <si>
    <t>7</t>
  </si>
  <si>
    <t>FESTIUAM 45 AÑOS</t>
  </si>
  <si>
    <t>Octubre a Diciembre</t>
  </si>
  <si>
    <r>
      <t xml:space="preserve">Nivel 1:  Al interior de las Unidades Académicas </t>
    </r>
    <r>
      <rPr>
        <b/>
        <sz val="14"/>
        <color rgb="FFCD032E"/>
        <rFont val="Calibri"/>
        <family val="2"/>
        <scheme val="minor"/>
      </rPr>
      <t>2019</t>
    </r>
  </si>
  <si>
    <r>
      <t xml:space="preserve">Nivel 2: Entre las Unidades académicas </t>
    </r>
    <r>
      <rPr>
        <b/>
        <sz val="14"/>
        <color rgb="FFCD032E"/>
        <rFont val="Calibri"/>
        <family val="2"/>
        <scheme val="minor"/>
      </rPr>
      <t>2019</t>
    </r>
  </si>
  <si>
    <r>
      <t>Nivel 1:  Al interior de las Unidades Académicas</t>
    </r>
    <r>
      <rPr>
        <b/>
        <sz val="14"/>
        <color rgb="FFCD032E"/>
        <rFont val="Calibri"/>
        <family val="2"/>
        <scheme val="minor"/>
      </rPr>
      <t xml:space="preserve"> 2019</t>
    </r>
  </si>
  <si>
    <t>2020
UNIVERSIDADES</t>
  </si>
  <si>
    <t>561-570</t>
  </si>
  <si>
    <r>
      <t xml:space="preserve">LA UAM EN EL RANKING MUNDIAL DE UNIVERSIDADES EN LA WEB
</t>
    </r>
    <r>
      <rPr>
        <b/>
        <i/>
        <sz val="11"/>
        <color theme="1"/>
        <rFont val="Arial"/>
        <family val="2"/>
      </rPr>
      <t>(Universidades en  México)</t>
    </r>
  </si>
  <si>
    <t>ENERO DE 2020</t>
  </si>
  <si>
    <t>Total personal Administrativo*</t>
  </si>
  <si>
    <t>* Indicador A.37</t>
  </si>
  <si>
    <t>Miles de pesos</t>
  </si>
  <si>
    <t>Ingresos diferentes al Subsidio Federal *</t>
  </si>
  <si>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t>
  </si>
  <si>
    <t xml:space="preserve">* La información de las cohortes de egreso corresponde al estudio sobre el "Empleo y desempeño profesional de los egresados de nivel licenciatura. Generación 2016" publicado en noviembre de 2019 y al "Estudio de seguimiento de egresados. Generación 2012" publicado en noviembre de 2017. </t>
  </si>
  <si>
    <t>La información se obtuvo a partir del "Estudio sobre la Trayectoria Profesional de los Egresados de Posgrado", el cuales se apoyan en una encuesta que debe ser aplicada a los egresados de los programas de posgrado que se evaluan para su ingreso o permanencia al Programa Nacional de Posgrados de Calidad. Fundamentalmente se trata de lograr un censo y, en caso justificado donde esto no sea posible, la representatividad o tasa mínima de respuesta será de por lo menos el 30% del total de egresados, con énfasis en las últimas tres o cinco generaciones dependiendo de la antigüedad y el histórico de cada programa.</t>
  </si>
  <si>
    <t>Fecha de corte de la base de datos: 10 de febrero de 2020</t>
  </si>
  <si>
    <t>EFICIENCIA TERMINAL DE LICENCIATURA CONSIDERANDO EL TIEMPO MÁXIMO ESTIPULADO EN LA LEGISLACIÓN (ENTRE 4 Y 10 AÑOS)</t>
  </si>
  <si>
    <t>AGA Lic 2019-O 1a. Sem</t>
  </si>
  <si>
    <t>Faltan resultados del trimestre 2019-O</t>
  </si>
  <si>
    <t>Eficiencia Terminal 10 Años Máximo</t>
  </si>
  <si>
    <t>NÚMERO DE TRIMESTRES REALMENTE CURSADOS PARA ACREDITAR EL PLAN DE ESTUDIOS DE LICENCIATURA</t>
  </si>
  <si>
    <t>AGA Lic 2019-O 1a Sem</t>
  </si>
  <si>
    <t>NÚMERO DE TRIMESTRES REALMENTE CURSADOS PARA ACREDITA EL PLAN DE ESTUDIOS 2018</t>
  </si>
  <si>
    <t>Egreso 2019</t>
  </si>
  <si>
    <t>EFICIENCIA TERMINAL DE ALUMNOS DE ESPECIALIDAD QUE INGRESARON EN 2018</t>
  </si>
  <si>
    <t>(*) Especialidades de dos años, se toma un año anterior de ingreso</t>
  </si>
  <si>
    <t>Mtría en Ciencias en Salud de los Trabajadores</t>
  </si>
  <si>
    <t>EFICIENCIA TERMINAL DE ALUMNOS DE DOCTORADO QUE INGRESARON EN 2015</t>
  </si>
  <si>
    <t>Criterio: aing_n = 2015 &amp; niv = 3 &amp; edo ~= 13 &amp; pla &lt; 500</t>
  </si>
  <si>
    <t>El nuevo sitio de Transparencia se encuentra alojado en un servidor virtual el cual utiliza la herramienta Google Analitycs como contador de accesos, estos se realizan a partir de páginas principales, mismas que corresponden a los apartados definidos en el Portal. El conteo por peticiones ya no se lleva a cabo a partir de la implementación del nuevo sitio en 2019</t>
  </si>
  <si>
    <t>CONSULTAS EN LA PAGINA DE TRANSPARENCIA</t>
  </si>
  <si>
    <t>APARTADOS</t>
  </si>
  <si>
    <t>Inicio</t>
  </si>
  <si>
    <t>Obligaciones de Transparencia</t>
  </si>
  <si>
    <t>Casa Abierta y Transparente</t>
  </si>
  <si>
    <t>Solicitud de Informacion</t>
  </si>
  <si>
    <t>Transparencia Proactiva</t>
  </si>
  <si>
    <t>Contraloria Social</t>
  </si>
  <si>
    <t>PROMEDIO DE TRIMESTRES REALMENTE CURSADOS PARA ACREDITAR PLAN DE ESPECIALIDAD 2019</t>
  </si>
  <si>
    <t>AGA 2019-O 4a. Sem</t>
  </si>
  <si>
    <t>PROM NTRC</t>
  </si>
  <si>
    <t>(*) Plan de dos años</t>
  </si>
  <si>
    <t>PROMEDIO DE TRIMESTRES REALMENTE CURSADOS PARA ACREDITAR PLAN DE MAESTRÍA 2019</t>
  </si>
  <si>
    <t>Mtría-Doc en Psicología Social</t>
  </si>
  <si>
    <t>* Datos del año pasado, falto infomación de la unidad</t>
  </si>
  <si>
    <t>OTO*</t>
  </si>
  <si>
    <t>* Datos del año pasado</t>
  </si>
  <si>
    <t>2016*</t>
  </si>
  <si>
    <t>*Datos del año pasado, falto infomación de la unidad</t>
  </si>
  <si>
    <t>Total de presupuesto ejercido 2019 de otros gastos de operación, mantenimiento e inversión</t>
  </si>
  <si>
    <t>Criterio: aing_n = 2017 &amp; niv = 2 &amp; edo ~= 13 &amp; pla &lt; 500</t>
  </si>
  <si>
    <t>Criterio: aing_n = 2018 &amp; niv = 1 &amp; edo ~= 13</t>
  </si>
  <si>
    <t>AGA Lic 2020-I 1a. Sem</t>
  </si>
  <si>
    <t>ALUMNOS QUE INGRESARON ENTRE 2009 Y 2015</t>
  </si>
  <si>
    <t>Planes de estudio</t>
  </si>
  <si>
    <t>Eficiencia Terminal Tiempo Máximo 2019</t>
  </si>
  <si>
    <r>
      <rPr>
        <b/>
        <sz val="8"/>
        <rFont val="Calibri"/>
        <family val="2"/>
        <scheme val="minor"/>
      </rPr>
      <t xml:space="preserve">ALUMNOS QUE CONCLUYERON EN 2019 </t>
    </r>
    <r>
      <rPr>
        <b/>
        <sz val="8"/>
        <color rgb="FFFF0000"/>
        <rFont val="Calibri"/>
        <family val="2"/>
        <scheme val="minor"/>
      </rPr>
      <t>- falta otoño 2019</t>
    </r>
  </si>
  <si>
    <t>AGA Lic 2020-I 1a Sem</t>
  </si>
  <si>
    <r>
      <t xml:space="preserve">ALUMNOS QUE CONCLUYERON EN 2019 - </t>
    </r>
    <r>
      <rPr>
        <b/>
        <sz val="10"/>
        <color rgb="FFFF0000"/>
        <rFont val="Calibri"/>
        <family val="2"/>
        <scheme val="minor"/>
      </rPr>
      <t>Completo</t>
    </r>
  </si>
  <si>
    <t>AGA 2020-I 2a. Sem</t>
  </si>
  <si>
    <r>
      <t>AGA 2019-O 4a. Sem -</t>
    </r>
    <r>
      <rPr>
        <b/>
        <sz val="8"/>
        <color rgb="FFFF0000"/>
        <rFont val="Calibri"/>
        <family val="2"/>
        <scheme val="minor"/>
      </rPr>
      <t>FALTA OTOÑO</t>
    </r>
  </si>
  <si>
    <r>
      <t xml:space="preserve">PROMEDIO DE TRIMESTRES REALMENTE CURSADOS PARA CREDITAR EL PLAN DE MAESTRÍA_ALUMNOS DE MAESTRÍA QUE CONCLUYERON EN </t>
    </r>
    <r>
      <rPr>
        <b/>
        <sz val="12"/>
        <color rgb="FFFF0000"/>
        <rFont val="Calibri"/>
        <family val="2"/>
        <scheme val="minor"/>
      </rPr>
      <t>2019</t>
    </r>
  </si>
  <si>
    <r>
      <t xml:space="preserve">AGA 2019-O 4a. Sem </t>
    </r>
    <r>
      <rPr>
        <b/>
        <sz val="8"/>
        <color rgb="FFFF0000"/>
        <rFont val="Calibri"/>
        <family val="2"/>
        <scheme val="minor"/>
      </rPr>
      <t>FALTA OTOÑO</t>
    </r>
  </si>
  <si>
    <r>
      <t xml:space="preserve">AGA 2020-I 2a. Sem </t>
    </r>
    <r>
      <rPr>
        <b/>
        <sz val="12"/>
        <color rgb="FFFF0000"/>
        <rFont val="Calibri"/>
        <family val="2"/>
        <scheme val="minor"/>
      </rPr>
      <t>COMPLETO</t>
    </r>
  </si>
  <si>
    <t>Criterio: (origen_mat = 1 | origen_mat = 2) &amp; cre_acum &gt; 0 &amp;  aing&gt; 2008 &amp; aing&lt;2016 &amp; Plan &lt;500</t>
  </si>
  <si>
    <t>Nuevo Ingreso N.P.</t>
  </si>
  <si>
    <t>Esp en Física Médica Clínica</t>
  </si>
  <si>
    <t>EFICIENCIA TERMINAL DE ALUMNOS DE ESPECIALIDAD QUE INGRESARON EN 2019</t>
  </si>
  <si>
    <t>AGA Posg 2020-I 2a. Sem</t>
  </si>
  <si>
    <r>
      <t xml:space="preserve">AGA Posg 2019-O 4a. Sem </t>
    </r>
    <r>
      <rPr>
        <b/>
        <sz val="8"/>
        <color rgb="FFFF0000"/>
        <rFont val="Calibri"/>
        <family val="2"/>
        <scheme val="minor"/>
      </rPr>
      <t>FALTA OTOÑO</t>
    </r>
  </si>
  <si>
    <t>Criterio: aing_n = 2019 &amp; niv = 1 &amp; edo ~= 13</t>
  </si>
  <si>
    <t>AGA Posg 2020-I 2a Sem</t>
  </si>
  <si>
    <t>(Egresado +Créditos cubiertos+Alumno con grado) / (Total)</t>
  </si>
  <si>
    <t>(Egresado +Créditos cubiertos+Alumno con grado) / (Total-Nuevo ingreso no presentado)</t>
  </si>
  <si>
    <t>(Egresado +Créditos cubiertos+Alumno con diploma) / (Total-Nuevo ingreso no presentado)</t>
  </si>
  <si>
    <t>19-O</t>
  </si>
  <si>
    <t>20-I</t>
  </si>
  <si>
    <t>20-P</t>
  </si>
  <si>
    <t>20-O</t>
  </si>
  <si>
    <t>A 466</t>
  </si>
  <si>
    <t>2018
a
2020</t>
  </si>
  <si>
    <t>A 473</t>
  </si>
  <si>
    <t>A 480</t>
  </si>
  <si>
    <t>M 477.16</t>
  </si>
  <si>
    <t>M 466.9</t>
  </si>
  <si>
    <t>A 477</t>
  </si>
  <si>
    <t>2016
 a
2020</t>
  </si>
  <si>
    <t xml:space="preserve">Doctorado en Intervención en las Organizaciones </t>
  </si>
  <si>
    <t>C 448.7</t>
  </si>
  <si>
    <t>A 485</t>
  </si>
  <si>
    <t>M 466.10</t>
  </si>
  <si>
    <t>485.A</t>
  </si>
  <si>
    <t>483.A</t>
  </si>
  <si>
    <t>CONACE</t>
  </si>
  <si>
    <t>26 febrero, 20025</t>
  </si>
  <si>
    <t>FUENTE: Base de Datos de Nómina, Quincena 20 de 2020.</t>
  </si>
  <si>
    <t>El universo de estudio corresponde a los egresados que concluyeron sus estudios en 2015, 2016 y 2018 y que al momento de la encuesta tenían entre dos y cinco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t>
  </si>
  <si>
    <t>Cohortes*</t>
  </si>
  <si>
    <t>2015-2018**</t>
  </si>
  <si>
    <t xml:space="preserve">* La información de las cohortes de egreso corresponde al estudio sobre el "Empleo y desempeño profesional de los egresados de nivel licenciatura. Generación 2016" publicado en noviembre de 2019 y al "Estudio de seguimiento de egresados. Generaciones 2015-2018" (en proceso 2020). </t>
  </si>
  <si>
    <t>** Corte de la base de datos: 18 de diciembre de 2020</t>
  </si>
  <si>
    <t>…</t>
  </si>
  <si>
    <t>...</t>
  </si>
  <si>
    <t>Medicina Veterinaria y Zootécnia</t>
  </si>
  <si>
    <t>Fecha de corte de la base de datos: 18 de diciembre de 2020</t>
  </si>
  <si>
    <t>Tabla cruzada Unidad Académica*33.- De acuerdo con una escala de 1 a 5, donde 1 es nula coincidencia y 5 es total coincidencia señale la relación de su</t>
  </si>
  <si>
    <t>% dentro de Unidad Académica</t>
  </si>
  <si>
    <t/>
  </si>
  <si>
    <t>33.- De acuerdo con una escala de 1 a 5, donde 1 es nula coincidencia y 5 es total coincidencia señale la relación de su</t>
  </si>
  <si>
    <t>1 Nula coincidencia</t>
  </si>
  <si>
    <t>2</t>
  </si>
  <si>
    <t>3</t>
  </si>
  <si>
    <t>4</t>
  </si>
  <si>
    <t>5 Total coincidencia</t>
  </si>
  <si>
    <t>Unidad Académica</t>
  </si>
  <si>
    <t>Especialización, Maestría y Doctorado en Ciencias e Ingeniería (Ambientales, de Materiales)</t>
  </si>
  <si>
    <t>Maestría en Economía (Historia Económica; Empresas, Finanzas e Innovación)</t>
  </si>
  <si>
    <t>Maestría en Literatura Mexicana Contemporanea</t>
  </si>
  <si>
    <t>Maestría en Física (F/O)</t>
  </si>
  <si>
    <t>Maestría en Química (F/O)</t>
  </si>
  <si>
    <t>Maestría en Matemáticas (F/O)</t>
  </si>
  <si>
    <t>Maestría en Ingeniería Biomédica (F/O)</t>
  </si>
  <si>
    <t>Maestría y Doctorado en Estudios Sociales (Estudios Laborales, Procesos Políticos, Economía Sociale)</t>
  </si>
  <si>
    <t>Maestría en Psicología Social</t>
  </si>
  <si>
    <t>Maestría en Biología Experimental (F/O)</t>
  </si>
  <si>
    <t>Maestría en Investigación en Salud Pública (F/O)</t>
  </si>
  <si>
    <t>Mestría en Derecho Económico</t>
  </si>
  <si>
    <t>Maestría en Desarrollo Rural (F/O)</t>
  </si>
  <si>
    <t>Maestría en Administración del Trabajo (F/O)</t>
  </si>
  <si>
    <t>Maestría en Sociedade Sustentables</t>
  </si>
  <si>
    <t>Maestría y Especialización en Medicina Social</t>
  </si>
  <si>
    <t>Especialización en Diagnóstico Integral y Patología Bucal (F/O)</t>
  </si>
  <si>
    <t>571-580</t>
  </si>
  <si>
    <t>Universidad Autónoma de Chapingo</t>
  </si>
  <si>
    <t>2019
UNIVERSIDADES</t>
  </si>
  <si>
    <t>2020
Universidad</t>
  </si>
  <si>
    <t>2019
Universidad</t>
  </si>
  <si>
    <t>Universiad Panamericana (UP)</t>
  </si>
  <si>
    <t>Universidad de Monterrey</t>
  </si>
  <si>
    <t>1</t>
  </si>
  <si>
    <t>Carrera en Bicicleta</t>
  </si>
  <si>
    <t>Tae Kwon Do (exhibición)</t>
  </si>
  <si>
    <t>Entrenamiento Funcional</t>
  </si>
  <si>
    <t>Gimnasio de Crossfit y Spinning</t>
  </si>
  <si>
    <t>10, 553</t>
  </si>
  <si>
    <r>
      <t xml:space="preserve">Nivel 1:  Al interior de las Unidades Académicas </t>
    </r>
    <r>
      <rPr>
        <b/>
        <sz val="14"/>
        <color rgb="FFFF0000"/>
        <rFont val="Calibri"/>
        <family val="2"/>
        <scheme val="minor"/>
      </rPr>
      <t>2020</t>
    </r>
  </si>
  <si>
    <r>
      <t xml:space="preserve">Nivel 2: Entre las Unidades académicas </t>
    </r>
    <r>
      <rPr>
        <b/>
        <sz val="14"/>
        <color rgb="FFFF0000"/>
        <rFont val="Calibri"/>
        <family val="2"/>
        <scheme val="minor"/>
      </rPr>
      <t>2020</t>
    </r>
  </si>
  <si>
    <t>S N I - 2020</t>
  </si>
  <si>
    <r>
      <t>PRESUPUESTO AUTORIZADO TOTAL</t>
    </r>
    <r>
      <rPr>
        <b/>
        <sz val="11"/>
        <color rgb="FFFF0000"/>
        <rFont val="Calibri"/>
        <family val="2"/>
        <scheme val="minor"/>
      </rPr>
      <t xml:space="preserve"> 2020</t>
    </r>
  </si>
  <si>
    <t>2016-2020</t>
  </si>
  <si>
    <t>Fuente: ISI Web of Science (https://webofknowledge.com/) consultado el día XX de enero de 2020</t>
  </si>
  <si>
    <t xml:space="preserve"> 16P-20I</t>
  </si>
  <si>
    <t xml:space="preserve"> 16O-20P</t>
  </si>
  <si>
    <t>Lic. en Ciencias Atmosféricas</t>
  </si>
  <si>
    <t>Mtría en Ciencias en Ingeniería Electromagnética</t>
  </si>
  <si>
    <t>Mtría en Ciencias Odontologicas</t>
  </si>
  <si>
    <t>Tecnológico Nacional de México</t>
  </si>
  <si>
    <t>ENERO DE 2021</t>
  </si>
  <si>
    <r>
      <t xml:space="preserve">ocultar </t>
    </r>
    <r>
      <rPr>
        <sz val="14"/>
        <color rgb="FFFF0000"/>
        <rFont val="Calibri"/>
        <family val="2"/>
        <scheme val="minor"/>
      </rPr>
      <t>no hubo respuesta del área</t>
    </r>
  </si>
  <si>
    <t>ARTÍCULO ESPECIALIZADO DE INVESTIGACIÓN EN RELACIÓN AL PERSONAL ACADÉMICO DEFINITIVO DE TIEMPO COMPLETO</t>
  </si>
  <si>
    <t>Media
NTRC</t>
  </si>
  <si>
    <t>NÚMERO DE TRIMESTRES REALMENTE CURSADOS PARA ACREDITAR EL PLAN DE ESTUDIOS LICENCIATURA</t>
  </si>
  <si>
    <t>Total de presupuesto ejercido 2020 de otros gastos de operación, mantenimiento e inversión</t>
  </si>
  <si>
    <t>Presupuesto ejercido 2020</t>
  </si>
  <si>
    <t>Esp. en Economía y Gestión del Agua</t>
  </si>
  <si>
    <t>Esp en Física Médica Clínica (2 años)</t>
  </si>
  <si>
    <t>Mtría-Doc en Ciencias Farmaceuticas</t>
  </si>
  <si>
    <t>NÚMERO DE TRIMESTRES REALMENTE CURSADOS PARA ACREDITAR EL PLAN DE ESTUDIOS MAESTRÍA</t>
  </si>
  <si>
    <t>PROMEDIO DE TRIMESTRES REALMENTE CURSADOS PARA ACREDITAR PLAN DE DOCTORADO2019</t>
  </si>
  <si>
    <t>PROMEDIO DE TRIMESTRES REALMENTE CURSADOS PARA ACREDITAR PLAN DE DOCTORADO 2019</t>
  </si>
  <si>
    <t>NÚMERO DE TRIMESTRES REALMENTE CURSADOS PARA ACREDITAR EL PLAN DE ESTUDIOS ESPECIALIDAD</t>
  </si>
  <si>
    <t>Falta otoño 2020</t>
  </si>
  <si>
    <t>NÚMERO DE TRIMESTRES REALMENTE CURSADOS PARA ACREDITAR EL PLAN DE ESTUDIOS DOCTORADO</t>
  </si>
  <si>
    <t>2010-2016</t>
  </si>
  <si>
    <t>D6. Tasa de planes de estudio evaluables considerados de calidad</t>
  </si>
  <si>
    <t>Lic en Psicología Biomédica</t>
  </si>
  <si>
    <t>EFICIENCIA TERMINAL DE ALUMNOS DE LICENCIATURA EN EL PLAZO MÁXIMO ESTIPULADO EN LA LEGISLACIÓN (4 A 10 AÑOS)</t>
  </si>
  <si>
    <t>(Ingreso de alumnos de 2010 a 2016 y créditos mayor a cero)</t>
  </si>
  <si>
    <t>Falta el Trimestre 2020-O</t>
  </si>
  <si>
    <t>64893</t>
  </si>
  <si>
    <t>Total
Mio</t>
  </si>
  <si>
    <r>
      <t xml:space="preserve">EFICIENCIA TERMINAL POR COHORTE GENERACIONAL
</t>
    </r>
    <r>
      <rPr>
        <sz val="12"/>
        <color theme="1"/>
        <rFont val="Arial"/>
        <family val="2"/>
      </rPr>
      <t>(12 trimestres)</t>
    </r>
  </si>
  <si>
    <t>(*) Planes de dos años, el ingreso debe ser un año antes; para Acupuntura y Fitoterapia no hubo nuevo ingreso en 2015 y Física Médica Clínica todavía no cumple dos años la primera generación.</t>
  </si>
  <si>
    <t>(*) En el cálculo no se considera Esp. en Acupuntura y Fitoterapia por ser plan de 2 años. Esto para que no afecte el promedio de División, Unidad y UAM.</t>
  </si>
  <si>
    <r>
      <t xml:space="preserve">EMPLEO DE LOS EGRESADOS Y TASA DE RESPUESTA POR UNIDAD </t>
    </r>
    <r>
      <rPr>
        <b/>
        <sz val="8"/>
        <color rgb="FFFF0000"/>
        <rFont val="Arial"/>
        <family val="2"/>
      </rPr>
      <t>2020</t>
    </r>
  </si>
  <si>
    <r>
      <t xml:space="preserve">EMPLEO DE LOS EGRESADOS Y TASA DE RESPUESTA POR UNIDAD </t>
    </r>
    <r>
      <rPr>
        <b/>
        <sz val="8"/>
        <color rgb="FFFF0000"/>
        <rFont val="Arial"/>
        <family val="2"/>
      </rPr>
      <t>2019</t>
    </r>
  </si>
  <si>
    <r>
      <t xml:space="preserve">EMPLEO DE LOS EGRESADOS Y TASA DE RESPUESTA POR UNIDAD </t>
    </r>
    <r>
      <rPr>
        <b/>
        <sz val="8"/>
        <color rgb="FFFF0000"/>
        <rFont val="Arial"/>
        <family val="2"/>
      </rPr>
      <t>2018</t>
    </r>
  </si>
  <si>
    <r>
      <t xml:space="preserve">EMPLEO DE LOS EGRESADOS Y TASA DE RESPUESTA POR UNIDAD </t>
    </r>
    <r>
      <rPr>
        <b/>
        <sz val="10"/>
        <color rgb="FFFF0000"/>
        <rFont val="Calibri"/>
        <family val="2"/>
        <scheme val="minor"/>
      </rPr>
      <t>2017</t>
    </r>
  </si>
  <si>
    <t>Citas a artículos publicados</t>
  </si>
  <si>
    <t>AGA Lic 2021-I 2a. Sem</t>
  </si>
  <si>
    <t>Criterio: (origen_mat = 1 | origen_mat = 2) &amp; cre_acum &gt; 0 &amp;  aing&gt; 2009 &amp; aing&lt;2017 &amp; Plan &lt;500</t>
  </si>
  <si>
    <t>ALUMNOS QUE INGRESARON ENTRE 2010 Y 2016</t>
  </si>
  <si>
    <t>UNI</t>
  </si>
  <si>
    <t>DIV</t>
  </si>
  <si>
    <t>PLA</t>
  </si>
  <si>
    <t>Inscrito en blanco</t>
  </si>
  <si>
    <t>activo</t>
  </si>
  <si>
    <t>Baja definitiva</t>
  </si>
  <si>
    <t>Baja por dictamen</t>
  </si>
  <si>
    <t>Baja reglamentaria</t>
  </si>
  <si>
    <t>Cancelación del tramite</t>
  </si>
  <si>
    <t>Créditos cubiertos</t>
  </si>
  <si>
    <t>Créditos en revisión</t>
  </si>
  <si>
    <t>No reinscrito</t>
  </si>
  <si>
    <t>Nuevo ingreso no presentado</t>
  </si>
  <si>
    <t>Eficiencia Terminal Tiempo Máximo 2020</t>
  </si>
  <si>
    <r>
      <t xml:space="preserve">Criterio: (origen_mat = 1 | origen_mat = 2) &amp; cre_acum &gt; 0 &amp;  aing&gt; </t>
    </r>
    <r>
      <rPr>
        <sz val="11"/>
        <color rgb="FFFF0000"/>
        <rFont val="Calibri"/>
        <family val="2"/>
        <scheme val="minor"/>
      </rPr>
      <t>2008</t>
    </r>
    <r>
      <rPr>
        <sz val="11"/>
        <color theme="1"/>
        <rFont val="Calibri"/>
        <family val="2"/>
        <scheme val="minor"/>
      </rPr>
      <t xml:space="preserve"> &amp; aing&lt;2017 &amp; Plan</t>
    </r>
    <r>
      <rPr>
        <sz val="11"/>
        <color rgb="FFFF0000"/>
        <rFont val="Calibri"/>
        <family val="2"/>
        <scheme val="minor"/>
      </rPr>
      <t>79</t>
    </r>
  </si>
  <si>
    <t>Falta trimestre 20-O</t>
  </si>
  <si>
    <t>Total de PromedioDeNTRC</t>
  </si>
  <si>
    <r>
      <t xml:space="preserve">ALUMNOS QUE CONCLUYERON EN 2020 - </t>
    </r>
    <r>
      <rPr>
        <b/>
        <sz val="10"/>
        <color rgb="FFFF0000"/>
        <rFont val="Calibri"/>
        <family val="2"/>
        <scheme val="minor"/>
      </rPr>
      <t>Completo</t>
    </r>
  </si>
  <si>
    <t>AGA Lic 2021-I 2a Sem</t>
  </si>
  <si>
    <t>EFICIENCIA TERMINAL DE ALUMNOS DE ESPECIALIDAD QUE INGRESARON EN 2020</t>
  </si>
  <si>
    <t>AGA Posg 2021-I 2a. Sem</t>
  </si>
  <si>
    <r>
      <rPr>
        <b/>
        <i/>
        <sz val="9"/>
        <color rgb="FFFF0000"/>
        <rFont val="Arial"/>
        <family val="2"/>
      </rPr>
      <t>NIVEL ESPECIALIZACIÓN</t>
    </r>
    <r>
      <rPr>
        <b/>
        <i/>
        <sz val="9"/>
        <rFont val="Arial"/>
        <family val="2"/>
      </rPr>
      <t xml:space="preserve"> AÑO DE INGRESO 2010</t>
    </r>
  </si>
  <si>
    <t>NÚMERO DE TRIMESTRES REALMENTE CURSADOS PARA ACREDITAR EL PLAN DE ESTUDIOS ESPECIALIDAD 2020</t>
  </si>
  <si>
    <t>AGA 2021-I 2a. Sem</t>
  </si>
  <si>
    <t>NOMBRE</t>
  </si>
  <si>
    <t>PromedioDeNTRC</t>
  </si>
  <si>
    <t>Posgrado en Diseño Bioclimatico</t>
  </si>
  <si>
    <t>Especialización-Maestría-Doctorado en Ciencias Antropológicas</t>
  </si>
  <si>
    <t>Prom. NTRC</t>
  </si>
  <si>
    <t>Edo. 13: Nuevo ingreso no presentado</t>
  </si>
  <si>
    <t>AGA Posg 2019-O 4a Sem</t>
  </si>
  <si>
    <t>AGA Posg 2021-I 2a Sem</t>
  </si>
  <si>
    <t>Estado</t>
  </si>
  <si>
    <t xml:space="preserve"> Inscrito en blanco</t>
  </si>
  <si>
    <t>Alumno con grado</t>
  </si>
  <si>
    <t>Maestría-Doctorado en Ing. Estructural</t>
  </si>
  <si>
    <t>Posgrado en Ciencias e Ingeniería (ambientales, de Materiales)</t>
  </si>
  <si>
    <t>Maestría-Doctorado en Humanidades</t>
  </si>
  <si>
    <t>Maestría-Doctorado en Estudios Sociales</t>
  </si>
  <si>
    <t>Maestría-Doctorado en Ciencias Económicas</t>
  </si>
  <si>
    <t>Especialización-Maestría-Doctorado en Desarrollo Rural</t>
  </si>
  <si>
    <t>Maestría en Economía, Gestión y Política de innovación</t>
  </si>
  <si>
    <t xml:space="preserve"> Maestría y Doctorado en Ciencias Farmacéuticas</t>
  </si>
  <si>
    <t>EFICIENCIA TERMINAL DE ALUMNOS DE MAESTRÍA QUE INGRESARON EN 2017</t>
  </si>
  <si>
    <r>
      <t xml:space="preserve">Criterio: aing_n = 2015 &amp; niv = 3 &amp; edo ~= 13 &amp; pla &lt; 500 </t>
    </r>
    <r>
      <rPr>
        <b/>
        <sz val="11"/>
        <color theme="0" tint="-0.34998626667073579"/>
        <rFont val="Calibri"/>
        <family val="2"/>
        <scheme val="minor"/>
      </rPr>
      <t>&amp; NTRC&lt;15</t>
    </r>
  </si>
  <si>
    <t>NTRC&lt;15 para los edos. del egreso y; para global sin este criterio</t>
  </si>
  <si>
    <r>
      <t>Criterio: aing_n = 2018 &amp; niv = 2 &amp; edo &lt;&gt;13 &amp; pla &lt; 500</t>
    </r>
    <r>
      <rPr>
        <b/>
        <sz val="11"/>
        <color theme="0" tint="-0.34998626667073579"/>
        <rFont val="Calibri"/>
        <family val="2"/>
        <scheme val="minor"/>
      </rPr>
      <t xml:space="preserve"> &amp; NTRC&lt;9</t>
    </r>
  </si>
  <si>
    <t>NTRC&lt;9 para los edos. del egreso y; para global sin este criterio</t>
  </si>
  <si>
    <t>EFICIENCIA TERMINAL DE ALUMNOS DE DOCTORADO QUE INGRESARON EN 2016</t>
  </si>
  <si>
    <r>
      <t xml:space="preserve">Criterio: aing_n = 2016 &amp; niv = 3 &amp; edo &lt;&gt;13 &amp; pla &lt; 500 </t>
    </r>
    <r>
      <rPr>
        <b/>
        <sz val="11"/>
        <color theme="0" tint="-0.34998626667073579"/>
        <rFont val="Calibri"/>
        <family val="2"/>
        <scheme val="minor"/>
      </rPr>
      <t>&amp; NTRC&lt;15</t>
    </r>
  </si>
  <si>
    <t>Maestría-Doctorado en Sociología</t>
  </si>
  <si>
    <t>Maestría-Doctorado en Estudios Organizacionales</t>
  </si>
  <si>
    <t>Eficiencia Teminal</t>
  </si>
  <si>
    <t>S/NTRC &lt;15</t>
  </si>
  <si>
    <t>NTRC &lt;15</t>
  </si>
  <si>
    <t>Eficicencia Terminal</t>
  </si>
  <si>
    <t>Egresado +Créditos cubiertos+Alumno con grado</t>
  </si>
  <si>
    <t>EFICIENCIA TERMINAL DE POSGRADO NIVEL ESPECIALIDAD EN 2020</t>
  </si>
  <si>
    <t>Esp en Acupuntura y Fitoterapia (2 AÑOS)</t>
  </si>
  <si>
    <t>(Egresado + Créditos Cubiertos + Alumno con Grado) / (Total - Nuevo Ingreso N.P.)</t>
  </si>
  <si>
    <t>Falta Otoño 2020</t>
  </si>
  <si>
    <t>EFICIENCIA TERMINAL DE POSGRADO NIVEL MAESTRÍA EN 2020</t>
  </si>
  <si>
    <t>EFICIENCIA TERMINAL DE POSGRADO NIVEL DOCTORADO EN 2020</t>
  </si>
  <si>
    <t>Criterio: ua_aa2 = 2020 &amp; (edo = 6 | edo = 12 | edo = 16) &amp; niv = 2</t>
  </si>
  <si>
    <t>Criterio: ua_aa2 = 2020 &amp; (edo = 6 | edo = 12 | edo = 15) &amp; niv = 1</t>
  </si>
  <si>
    <t>63</t>
  </si>
  <si>
    <t>PROMEDIO DE TRIMESTRES REALMENTE CURSADOS PARA APROBAR EL PLAN DE ESTUDIOS DE MAESTRÍA 2020</t>
  </si>
  <si>
    <t>Criterio: ua_aa2 = 2020 &amp; (edo = 6 | edo = 12 | edo = 16) &amp; niv = 3</t>
  </si>
  <si>
    <t>PROMEDIO DE TRIMESTRES REALMENTE CURSADOS PARA APROBAR EL PLAN DE ESTUDIOS DE DOCTORADO 2020</t>
  </si>
  <si>
    <t>CuentaDePLA</t>
  </si>
  <si>
    <t>90</t>
  </si>
  <si>
    <t>Alumno con diploma</t>
  </si>
  <si>
    <r>
      <t>Criterio: aing_n = 2019 &amp; niv = 1 &amp; edo &lt;&gt; 13</t>
    </r>
    <r>
      <rPr>
        <b/>
        <sz val="11"/>
        <color theme="0" tint="-0.34998626667073579"/>
        <rFont val="Calibri"/>
        <family val="2"/>
        <scheme val="minor"/>
      </rPr>
      <t xml:space="preserve"> &amp; NTRC&lt;5</t>
    </r>
  </si>
  <si>
    <t>(*) Plan de dos años, el ingreso es 2018 y plazo máximo para egresar 8 trimestres</t>
  </si>
  <si>
    <t>Total CSH y Azcapotzalco</t>
  </si>
  <si>
    <t>Total CSH y Xochimilco</t>
  </si>
  <si>
    <t>AGA Posg 2019-O 4a Sem FALTA OTOÑO</t>
  </si>
  <si>
    <t>Inscrito o Activo</t>
  </si>
  <si>
    <t>EFICIENCIA TERMINAL DE ALUMNOS DE MAESTRÍA QUE INGRESARON EN 2018</t>
  </si>
  <si>
    <t>640</t>
  </si>
  <si>
    <t>AGA Posg 2020-O 1a Sem</t>
  </si>
  <si>
    <t>Criterio: aing_n = 2018 &amp; niv = 2 &amp; edo &lt;&gt;13 &amp; pla &lt; 500 &amp; NTRC&lt;9</t>
  </si>
  <si>
    <t>Especialización-Maestría-Doctorado en Ciencias e Ingeniería</t>
  </si>
  <si>
    <t>S N I - 2021</t>
  </si>
  <si>
    <r>
      <rPr>
        <b/>
        <sz val="11"/>
        <rFont val="Calibri"/>
        <family val="2"/>
        <scheme val="minor"/>
      </rPr>
      <t xml:space="preserve"> %</t>
    </r>
    <r>
      <rPr>
        <sz val="9"/>
        <rFont val="Calibri"/>
        <family val="2"/>
        <scheme val="minor"/>
      </rPr>
      <t xml:space="preserve">
(2+3 / C+1)</t>
    </r>
  </si>
  <si>
    <t>|</t>
  </si>
  <si>
    <t xml:space="preserve"> 17P-21I</t>
  </si>
  <si>
    <t xml:space="preserve"> 17O-21P</t>
  </si>
  <si>
    <t>Ing. en Computación y Telecomunicaciones</t>
  </si>
  <si>
    <t>Total 2021</t>
  </si>
  <si>
    <t>Total 2020</t>
  </si>
  <si>
    <t>Activos</t>
  </si>
  <si>
    <t>Lic.</t>
  </si>
  <si>
    <t>Pos.</t>
  </si>
  <si>
    <t>FUENTE: Base de Datos de Nómina, Quincena 20 de 2021.</t>
  </si>
  <si>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2021</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</si>
  <si>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2020</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</si>
  <si>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2019</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</si>
  <si>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2018</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</si>
  <si>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2017</t>
    </r>
  </si>
  <si>
    <r>
      <rPr>
        <b/>
        <sz val="11"/>
        <rFont val="Calibri"/>
        <family val="2"/>
        <scheme val="minor"/>
      </rPr>
      <t>Porcentaje</t>
    </r>
    <r>
      <rPr>
        <b/>
        <sz val="11"/>
        <color rgb="FFFF0000"/>
        <rFont val="Calibri"/>
        <family val="2"/>
        <scheme val="minor"/>
      </rPr>
      <t xml:space="preserve"> 2016</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</si>
  <si>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2015</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</si>
  <si>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2014</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</si>
  <si>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2013</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</si>
  <si>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2012</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</si>
  <si>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2011</t>
    </r>
  </si>
  <si>
    <t>Indicador incorporado en revisión de 2015</t>
  </si>
  <si>
    <t>activo (Inscrito a UEA)</t>
  </si>
  <si>
    <t>Egresado A (cred_ en rev_)</t>
  </si>
  <si>
    <t>AGA Lic 2021-O 5a. Sem</t>
  </si>
  <si>
    <r>
      <t>Criterio: (origen_mat = 1 | origen_mat = 2) &amp; cre_acum &gt; 0 &amp;  aing</t>
    </r>
    <r>
      <rPr>
        <sz val="11"/>
        <color rgb="FFFF0000"/>
        <rFont val="Calibri"/>
        <family val="2"/>
        <scheme val="minor"/>
      </rPr>
      <t>&gt; 2010</t>
    </r>
    <r>
      <rPr>
        <sz val="11"/>
        <color theme="1"/>
        <rFont val="Calibri"/>
        <family val="2"/>
        <scheme val="minor"/>
      </rPr>
      <t xml:space="preserve"> &amp; aing</t>
    </r>
    <r>
      <rPr>
        <sz val="11"/>
        <color rgb="FFFF0000"/>
        <rFont val="Calibri"/>
        <family val="2"/>
        <scheme val="minor"/>
      </rPr>
      <t>&lt;2018</t>
    </r>
    <r>
      <rPr>
        <sz val="11"/>
        <color theme="1"/>
        <rFont val="Calibri"/>
        <family val="2"/>
        <scheme val="minor"/>
      </rPr>
      <t xml:space="preserve"> &amp; Plan &lt;500</t>
    </r>
  </si>
  <si>
    <t>Eficiencia Terminal Tiempo Máximo 2021</t>
  </si>
  <si>
    <t>SIN OTOÑO</t>
  </si>
  <si>
    <t xml:space="preserve">Total </t>
  </si>
  <si>
    <r>
      <t xml:space="preserve">Criterio: (origen_mat = 1 | origen_mat = 2) &amp; cre_acum &gt; 0 &amp;  aing&gt; </t>
    </r>
    <r>
      <rPr>
        <sz val="9"/>
        <color rgb="FFFF0000"/>
        <rFont val="Calibri"/>
        <family val="2"/>
        <scheme val="minor"/>
      </rPr>
      <t>2009</t>
    </r>
    <r>
      <rPr>
        <sz val="9"/>
        <color theme="1"/>
        <rFont val="Calibri"/>
        <family val="2"/>
        <scheme val="minor"/>
      </rPr>
      <t xml:space="preserve"> &amp; aing&lt;2018 &amp; Plan</t>
    </r>
    <r>
      <rPr>
        <sz val="9"/>
        <color rgb="FFFF0000"/>
        <rFont val="Calibri"/>
        <family val="2"/>
        <scheme val="minor"/>
      </rPr>
      <t>79</t>
    </r>
  </si>
  <si>
    <t>2011-2017</t>
  </si>
  <si>
    <t>AGA Lic 2021-O 5a Sem</t>
  </si>
  <si>
    <t>Prom
NTRC</t>
  </si>
  <si>
    <r>
      <t xml:space="preserve">ALUMNOS QUE CONCLUYERON EN </t>
    </r>
    <r>
      <rPr>
        <b/>
        <sz val="10"/>
        <color rgb="FFFF0000"/>
        <rFont val="Calibri"/>
        <family val="2"/>
        <scheme val="minor"/>
      </rPr>
      <t>2021</t>
    </r>
  </si>
  <si>
    <t>2019
a
2021</t>
  </si>
  <si>
    <t>21-I</t>
  </si>
  <si>
    <t>21-P</t>
  </si>
  <si>
    <t>21-O</t>
  </si>
  <si>
    <t>A 499</t>
  </si>
  <si>
    <t>A.489</t>
  </si>
  <si>
    <t>A 501</t>
  </si>
  <si>
    <t>Fecha de aprobación en Colegio Académico</t>
  </si>
  <si>
    <t>17/03/2020</t>
  </si>
  <si>
    <t>22-P</t>
  </si>
  <si>
    <t>16-O, S. 398 A</t>
  </si>
  <si>
    <t>16-I. S.387 A</t>
  </si>
  <si>
    <t>16-I S.383 A</t>
  </si>
  <si>
    <t>18-I S.420 A</t>
  </si>
  <si>
    <t>16-O S. 396.3 C</t>
  </si>
  <si>
    <t>15-I S.369 A</t>
  </si>
  <si>
    <t>S.369.4</t>
  </si>
  <si>
    <t>14-O S.369.4</t>
  </si>
  <si>
    <t>15-O S 381 A</t>
  </si>
  <si>
    <t>S369.4</t>
  </si>
  <si>
    <t>06-I S268A</t>
  </si>
  <si>
    <t>15-P S. 376 A</t>
  </si>
  <si>
    <t>06-O S.274 A</t>
  </si>
  <si>
    <t>18-P S432 A</t>
  </si>
  <si>
    <t>16-I S.381 A</t>
  </si>
  <si>
    <t>15-I S.376 A</t>
  </si>
  <si>
    <t>18-I S.423 A</t>
  </si>
  <si>
    <t>16-I S. 382A</t>
  </si>
  <si>
    <t>16-I S. 381A</t>
  </si>
  <si>
    <t>16-P S. 378.11 M</t>
  </si>
  <si>
    <t>15-I S. 376A</t>
  </si>
  <si>
    <t>17-I S. 398A</t>
  </si>
  <si>
    <t>17-I S. 402A</t>
  </si>
  <si>
    <t xml:space="preserve"> S. 377A</t>
  </si>
  <si>
    <t>17P S. 411 A</t>
  </si>
  <si>
    <t>17-O S. 412 A</t>
  </si>
  <si>
    <t>14-O S.369 A</t>
  </si>
  <si>
    <t>18-O S.429 A</t>
  </si>
  <si>
    <t>17-O S.419 A</t>
  </si>
  <si>
    <t>16-O S.387 A</t>
  </si>
  <si>
    <t>17-P S.404 A</t>
  </si>
  <si>
    <t>22-I</t>
  </si>
  <si>
    <t>18-P S. 419.9 Creac.</t>
  </si>
  <si>
    <t>Vigencia a partir del trimestre (operación) *</t>
  </si>
  <si>
    <t>Especialización en Etnografía Política y Espacio Público</t>
  </si>
  <si>
    <t>Maestría en Enfermería de Práctica Avanzada</t>
  </si>
  <si>
    <r>
      <t>Trim. en que entra en operación la  última actualización marcada por Colegio Academ. y fecha de sesion</t>
    </r>
    <r>
      <rPr>
        <b/>
        <vertAlign val="superscript"/>
        <sz val="9"/>
        <rFont val="Calibri (Cuerpo)"/>
      </rPr>
      <t>1_/</t>
    </r>
  </si>
  <si>
    <t>20-I-O</t>
  </si>
  <si>
    <t>18-0</t>
  </si>
  <si>
    <t>19-11-2020</t>
  </si>
  <si>
    <t>16 y 17/04/2015</t>
  </si>
  <si>
    <t>27,30/06/2017 y 12/07/2017</t>
  </si>
  <si>
    <t>23 y 24/07/2015</t>
  </si>
  <si>
    <t>23y 24 /07/2015</t>
  </si>
  <si>
    <t> 11/05/2011</t>
  </si>
  <si>
    <t>23y 24/07/2015</t>
  </si>
  <si>
    <t>27 y 30/06/2017</t>
  </si>
  <si>
    <t>01-10-2020</t>
  </si>
  <si>
    <t>C 500.6</t>
  </si>
  <si>
    <t xml:space="preserve">A 501 </t>
  </si>
  <si>
    <t>C 496.4</t>
  </si>
  <si>
    <t>*Donde no hay fecha de sesión, no se indica el trimestre en que opera la actualización en Colegio Académico.</t>
  </si>
  <si>
    <t>AGA Posg 2021-O 4a. Sem</t>
  </si>
  <si>
    <t>EFICIENCIA TERMINAL DE ALUMNOS DE ESPECIALIDAD QUE INGRESARON EN 2021</t>
  </si>
  <si>
    <t>(*) Acupuntura y Fitoterapia y Física Médica Clínica, planes de dos años, el ingreso debe ser un año antes;  plazo máximo para egresar 8 trimestres</t>
  </si>
  <si>
    <r>
      <t>Criterio: aing_n = 2020 &amp; niv = 1 &amp; edo &lt;&gt; 13</t>
    </r>
    <r>
      <rPr>
        <b/>
        <sz val="11"/>
        <color theme="0" tint="-0.34998626667073579"/>
        <rFont val="Calibri"/>
        <family val="2"/>
        <scheme val="minor"/>
      </rPr>
      <t xml:space="preserve"> </t>
    </r>
  </si>
  <si>
    <t>Egresado +Créditos cubiertos+Alumno con grado, no debe rebasar los 4 NTRC</t>
  </si>
  <si>
    <t>AGA Posg 2021-O 4a Sem</t>
  </si>
  <si>
    <t>Egresado +Créditos cubiertos+Alumno con grado, no debe rebasar los 8 NTRC</t>
  </si>
  <si>
    <r>
      <t>Criterio: aing_n = 2019 &amp; niv = 2 &amp; edo &lt;&gt;13 &amp; pla &lt; 500</t>
    </r>
    <r>
      <rPr>
        <b/>
        <sz val="11"/>
        <color theme="0" tint="-0.34998626667073579"/>
        <rFont val="Calibri"/>
        <family val="2"/>
        <scheme val="minor"/>
      </rPr>
      <t xml:space="preserve"> </t>
    </r>
  </si>
  <si>
    <t>FALTA OTOÑO</t>
  </si>
  <si>
    <t>Mtría-Doc en Ciencias Farmacéuticas</t>
  </si>
  <si>
    <t>Egresado +Créditos cubiertos+Alumno con grado, no debe rebasar los 14 NTRC</t>
  </si>
  <si>
    <t>Criterio: aing_n = 2017 &amp; niv = 3 &amp; edo &lt;&gt;13 &amp; pla &lt; 500</t>
  </si>
  <si>
    <t>Doctorado en Intervención en las Organizaciones</t>
  </si>
  <si>
    <t>Doctorado en Ciencias Farmacéuticas</t>
  </si>
  <si>
    <t>AcreditAcción</t>
  </si>
  <si>
    <t>2019 - 2026</t>
  </si>
  <si>
    <t>Acreditación Internacional</t>
  </si>
  <si>
    <t>2020 - 2025</t>
  </si>
  <si>
    <t>CONACE: Consejo Nacional de Acreditación de Ciencias Económicas, A.C.</t>
  </si>
  <si>
    <r>
      <rPr>
        <u/>
        <sz val="8"/>
        <rFont val="Calibri"/>
        <family val="2"/>
        <scheme val="minor"/>
      </rPr>
      <t>AcreditAcción</t>
    </r>
    <r>
      <rPr>
        <sz val="8"/>
        <rFont val="Calibri"/>
        <family val="2"/>
        <scheme val="minor"/>
      </rPr>
      <t>: es una agencia de acreditación internacional, privada, independiente y autónoma, cuyo propósito central es contribuir al aseguramiento de la calidad en instituciones de educación superior a través, principalmente, de la acreditación y/o certificación institucional y de programas y carreras para los niveles técnico, profesional, licenciatura y postgrado.</t>
    </r>
  </si>
  <si>
    <t>Prórroga</t>
  </si>
  <si>
    <t>Nueva</t>
  </si>
  <si>
    <t>CONAECQ: Consejo Nacional para la Evaluación de programas de Ciencias Químicas, A.C</t>
  </si>
  <si>
    <t>NÚMERO DE TRIMESTRES REALMENTE CURSADOS PARA ACREDITAR EL PLAN DE ESTUDIOS ESPECIALIDAD 2021</t>
  </si>
  <si>
    <t>AGA 2021-O 4a. Sem</t>
  </si>
  <si>
    <t>Criterio: ua_aa2 = 2021 &amp; (edo = 6 | edo = 12 | edo = 15) &amp; niv = 1</t>
  </si>
  <si>
    <t>Xoc</t>
  </si>
  <si>
    <t>PROMEDIO DE TRIMESTRES REALMENTE CURSADOS PARA APROBAR EL PLAN DE ESTUDIOS DE MAESTRÍA 2021</t>
  </si>
  <si>
    <t>Criterio: ua_aa2 = 2021 &amp; (edo = 6 | edo = 12 | edo = 16) &amp; niv = 2</t>
  </si>
  <si>
    <t>PROMEDIO DE TRIMESTRES REALMENTE CURSADOS PARA APROBAR EL PLAN DE ESTUDIOS DE DOCTORADO 2021</t>
  </si>
  <si>
    <t>AGA Posg 2021-o 4a. Sem</t>
  </si>
  <si>
    <t>Criterio: ua_aa2 = 2021 &amp; (edo = 6 | edo = 12 | edo = 16) &amp; niv = 3</t>
  </si>
  <si>
    <t>FALTA OTOÑO 2021</t>
  </si>
  <si>
    <t>TRI_UBICA</t>
  </si>
  <si>
    <t>5</t>
  </si>
  <si>
    <t>01</t>
  </si>
  <si>
    <t>02</t>
  </si>
  <si>
    <t>03</t>
  </si>
  <si>
    <t>04</t>
  </si>
  <si>
    <t>05</t>
  </si>
  <si>
    <t>06</t>
  </si>
  <si>
    <t>07</t>
  </si>
  <si>
    <t>08</t>
  </si>
  <si>
    <t>09</t>
  </si>
  <si>
    <t>10</t>
  </si>
  <si>
    <t>12</t>
  </si>
  <si>
    <t>13</t>
  </si>
  <si>
    <t>14</t>
  </si>
  <si>
    <t>15</t>
  </si>
  <si>
    <t>46827</t>
  </si>
  <si>
    <t>45088</t>
  </si>
  <si>
    <r>
      <t>Dedicadas a los profesores</t>
    </r>
    <r>
      <rPr>
        <vertAlign val="superscript"/>
        <sz val="11"/>
        <rFont val="Calibri"/>
        <family val="2"/>
        <scheme val="minor"/>
      </rPr>
      <t>2</t>
    </r>
  </si>
  <si>
    <r>
      <rPr>
        <vertAlign val="superscript"/>
        <sz val="8"/>
        <rFont val="Calibri"/>
        <family val="2"/>
        <scheme val="minor"/>
      </rPr>
      <t xml:space="preserve">2  </t>
    </r>
    <r>
      <rPr>
        <sz val="8"/>
        <rFont val="Calibri"/>
        <family val="2"/>
        <scheme val="minor"/>
      </rPr>
      <t>(indicador A.37.)</t>
    </r>
  </si>
  <si>
    <t>2022
UNIVERSIDADES</t>
  </si>
  <si>
    <t>2021
Universidad</t>
  </si>
  <si>
    <t>Fuente: ISI Web of Science (https://webofknowledge.com/) consultado el día XX de enero de 202X</t>
  </si>
  <si>
    <t>2017-2021</t>
  </si>
  <si>
    <t xml:space="preserve">a) Torneos Internos </t>
  </si>
  <si>
    <t>Ajedrez (virtual)</t>
  </si>
  <si>
    <t>Dual meet Futbol 7 (presencial)</t>
  </si>
  <si>
    <t>Torneo Virtual de Ajedrez</t>
  </si>
  <si>
    <t>Torneo de Simultáneas</t>
  </si>
  <si>
    <t>b) Servicios proporcionados a la Comunidad Universitaria por medio de las plataformas digitales</t>
  </si>
  <si>
    <t>PLATAFORMA DIGITAL</t>
  </si>
  <si>
    <t>NO DE PERSONAS ALCANZADAS</t>
  </si>
  <si>
    <t>Taller de Ajedrez</t>
  </si>
  <si>
    <t>Zoom</t>
  </si>
  <si>
    <t>Taller de Tenis de mesa</t>
  </si>
  <si>
    <t>Taller de Tochito</t>
  </si>
  <si>
    <t>Taller de Yoga (virtual)</t>
  </si>
  <si>
    <t>Taller de Yoga (presencial)</t>
  </si>
  <si>
    <t>Taller de Entrenamiento Funcional</t>
  </si>
  <si>
    <t>Videos de Acondicionamiento Físico Gral.</t>
  </si>
  <si>
    <t>You Tube</t>
  </si>
  <si>
    <t xml:space="preserve">Videos de salud mental </t>
  </si>
  <si>
    <t xml:space="preserve"> You Tube -Facebook</t>
  </si>
  <si>
    <t xml:space="preserve">Miniconferencias </t>
  </si>
  <si>
    <t>Facebook-You Tube</t>
  </si>
  <si>
    <t>Videos de contenido Temático</t>
  </si>
  <si>
    <t>Facebook-Instagram</t>
  </si>
  <si>
    <t>Super Clase de Zumba</t>
  </si>
  <si>
    <t>Clase de Kick Boxing</t>
  </si>
  <si>
    <t>Zoom - Facebook</t>
  </si>
  <si>
    <t>Clase de Pilates</t>
  </si>
  <si>
    <t>Eventos de Bienvenida (Presencial)</t>
  </si>
  <si>
    <t>Presencial</t>
  </si>
  <si>
    <t>Entrevistas</t>
  </si>
  <si>
    <t>Facebook</t>
  </si>
  <si>
    <t>Conversatorios</t>
  </si>
  <si>
    <t>Infografías</t>
  </si>
  <si>
    <t>Collage de Fotografía Histórica</t>
  </si>
  <si>
    <t>Minivideos Tik Tok</t>
  </si>
  <si>
    <t>Tik Tok</t>
  </si>
  <si>
    <t>Historias Instagram</t>
  </si>
  <si>
    <t>Instagram</t>
  </si>
  <si>
    <t>Textos y Banners</t>
  </si>
  <si>
    <t>1 MB=</t>
  </si>
  <si>
    <t>1 GB=</t>
  </si>
  <si>
    <t>MB</t>
  </si>
  <si>
    <t>13.7 GB</t>
  </si>
  <si>
    <r>
      <t xml:space="preserve">EMPLEO DE LOS EGRESADOS Y TASA DE RESPUESTA POR UNIDAD </t>
    </r>
    <r>
      <rPr>
        <b/>
        <sz val="8"/>
        <color rgb="FFFF0000"/>
        <rFont val="Arial"/>
        <family val="2"/>
      </rPr>
      <t>2021</t>
    </r>
  </si>
  <si>
    <t>Población total (N)</t>
  </si>
  <si>
    <t>Cuestionarios aplicados (n1)</t>
  </si>
  <si>
    <t>Nula
coincidencia</t>
  </si>
  <si>
    <t>Baja
coincidencia</t>
  </si>
  <si>
    <t>Total
coincidencia</t>
  </si>
  <si>
    <r>
      <t xml:space="preserve">Fuente: </t>
    </r>
    <r>
      <rPr>
        <sz val="9"/>
        <color theme="1"/>
        <rFont val="Calibri"/>
        <family val="2"/>
        <scheme val="minor"/>
      </rPr>
      <t>Estudio de Seguimiento de Egresados de Licenciatura: Generación 2012</t>
    </r>
  </si>
  <si>
    <r>
      <t xml:space="preserve">Empleo de los egresados: </t>
    </r>
    <r>
      <rPr>
        <sz val="9"/>
        <color theme="1"/>
        <rFont val="Calibri"/>
        <family val="2"/>
        <scheme val="minor"/>
      </rPr>
      <t>Mide la tasa de inserción laboral al tercer año de egreso</t>
    </r>
  </si>
  <si>
    <r>
      <t xml:space="preserve">Nota metodológica: </t>
    </r>
    <r>
      <rPr>
        <sz val="9"/>
        <color theme="1"/>
        <rFont val="Calibri"/>
        <family val="2"/>
        <scheme val="minor"/>
      </rPr>
      <t xml:space="preserve">La población total de la generación 2012 asciende a 4744 egresados. Para efectos del presente estudio se obtuvo la información del Archivo General de Alumnos correspondiente al trimestre 2015-Invierno (AGA_2015I_9a_Sem). Para determinar el número de egresados (N) se utilizó la variable “último año de actividad académica” (ua_aa2). </t>
    </r>
    <r>
      <rPr>
        <b/>
        <sz val="9"/>
        <color theme="1"/>
        <rFont val="Calibri"/>
        <family val="2"/>
        <scheme val="minor"/>
      </rPr>
      <t xml:space="preserve">
</t>
    </r>
    <r>
      <rPr>
        <sz val="9"/>
        <color theme="1"/>
        <rFont val="Calibri"/>
        <family val="2"/>
        <scheme val="minor"/>
      </rPr>
      <t>De las cinco unidades universitarias, cuentan con la generación de estudio Azcapotzalco, Iztapalapa,  Xochimilco y Cuajimalpa; de ésta última las licenciaturas en Derecho y Biología Molecular no registraron egresados en 2012.</t>
    </r>
  </si>
  <si>
    <r>
      <rPr>
        <b/>
        <sz val="9"/>
        <color theme="1"/>
        <rFont val="Calibri"/>
        <family val="2"/>
        <scheme val="minor"/>
      </rPr>
      <t>*</t>
    </r>
    <r>
      <rPr>
        <sz val="9"/>
        <color theme="1"/>
        <rFont val="Calibri"/>
        <family val="2"/>
        <scheme val="minor"/>
      </rPr>
      <t>Ingeniería Civil</t>
    </r>
  </si>
  <si>
    <r>
      <rPr>
        <b/>
        <sz val="9"/>
        <color theme="1"/>
        <rFont val="Calibri"/>
        <family val="2"/>
        <scheme val="minor"/>
      </rPr>
      <t>*</t>
    </r>
    <r>
      <rPr>
        <sz val="9"/>
        <color theme="1"/>
        <rFont val="Calibri"/>
        <family val="2"/>
        <scheme val="minor"/>
      </rPr>
      <t>Ingeniería Eléctrica</t>
    </r>
  </si>
  <si>
    <r>
      <t>Fuente:</t>
    </r>
    <r>
      <rPr>
        <sz val="9"/>
        <color theme="1"/>
        <rFont val="Calibri"/>
        <family val="2"/>
        <scheme val="minor"/>
      </rPr>
      <t xml:space="preserve"> Estudio de seguimiento de egresados de las generaciones 2005 y 2008 publicado en septiembre de 2013</t>
    </r>
  </si>
  <si>
    <r>
      <t xml:space="preserve">Empleo de los egresados: </t>
    </r>
    <r>
      <rPr>
        <sz val="9"/>
        <color theme="1"/>
        <rFont val="Calibri"/>
        <family val="2"/>
        <scheme val="minor"/>
      </rPr>
      <t>Mide la tasa de inserción laboral al tercer y quinto año de egreso</t>
    </r>
  </si>
  <si>
    <r>
      <t xml:space="preserve">Empleo de los egresados: </t>
    </r>
    <r>
      <rPr>
        <sz val="9"/>
        <color theme="1"/>
        <rFont val="Calibri"/>
        <family val="2"/>
        <scheme val="minor"/>
      </rPr>
      <t>Mide la tasa de inserción laboral al tercer y quinto año de egreso,</t>
    </r>
  </si>
  <si>
    <r>
      <t xml:space="preserve">Nivel: </t>
    </r>
    <r>
      <rPr>
        <sz val="9"/>
        <color theme="1"/>
        <rFont val="Calibri"/>
        <family val="2"/>
        <scheme val="minor"/>
      </rPr>
      <t>Licenciatura</t>
    </r>
  </si>
  <si>
    <r>
      <t xml:space="preserve">Fuente: </t>
    </r>
    <r>
      <rPr>
        <sz val="9"/>
        <color theme="1"/>
        <rFont val="Calibri"/>
        <family val="2"/>
        <scheme val="minor"/>
      </rPr>
      <t>Estudio de Seguimiento de Egresados de las Generaciones 2005 y 2008</t>
    </r>
  </si>
  <si>
    <r>
      <t>Fuente:</t>
    </r>
    <r>
      <rPr>
        <sz val="9"/>
        <color theme="1"/>
        <rFont val="Calibri"/>
        <family val="2"/>
        <scheme val="minor"/>
      </rPr>
      <t xml:space="preserve"> Estudio de seguimiento de egresados de las generaciones 2005 y 2006 el cual se encuentra en etapa de localización y levantamiento de información. Se estima concluirlo en junio del año en curso.</t>
    </r>
  </si>
  <si>
    <r>
      <t>Población de estudio:</t>
    </r>
    <r>
      <rPr>
        <sz val="9"/>
        <color indexed="8"/>
        <rFont val="Calibri"/>
        <family val="2"/>
        <scheme val="minor"/>
      </rPr>
      <t xml:space="preserve"> Egresados que han concluido el 100% de créditos del plan de estudios o bien se encuentren titulándose. Para determinar la muestra se utilizó el AGA 2010 Invierno generado en la segunda semana de </t>
    </r>
    <r>
      <rPr>
        <sz val="9"/>
        <color indexed="63"/>
        <rFont val="Calibri"/>
        <family val="2"/>
        <scheme val="minor"/>
      </rPr>
      <t xml:space="preserve">enero </t>
    </r>
    <r>
      <rPr>
        <sz val="9"/>
        <color indexed="8"/>
        <rFont val="Calibri"/>
        <family val="2"/>
        <scheme val="minor"/>
      </rPr>
      <t>de 2010.</t>
    </r>
  </si>
  <si>
    <r>
      <t>Nivel de confianza:</t>
    </r>
    <r>
      <rPr>
        <sz val="9"/>
        <color indexed="8"/>
        <rFont val="Calibri"/>
        <family val="2"/>
        <scheme val="minor"/>
      </rPr>
      <t xml:space="preserve"> La muestra cuenta con un nivel de confianza del 90% (Z conf ), un error del 0.05 (β) y una proporción (“p”) del 0.5 para cada una de las licenciaturas, es decir se trabajo con base en una muestra estratificada, en donde los datos fueron recopilados de forma aleatoria simple.</t>
    </r>
  </si>
  <si>
    <r>
      <t>Número de entrevistas:</t>
    </r>
    <r>
      <rPr>
        <sz val="9"/>
        <color indexed="8"/>
        <rFont val="Calibri"/>
        <family val="2"/>
        <scheme val="minor"/>
      </rPr>
      <t xml:space="preserve">   8637</t>
    </r>
  </si>
  <si>
    <r>
      <t>Método de aplicación:</t>
    </r>
    <r>
      <rPr>
        <sz val="9"/>
        <color indexed="8"/>
        <rFont val="Calibri"/>
        <family val="2"/>
        <scheme val="minor"/>
      </rPr>
      <t xml:space="preserve"> Entrevista telefónica y aplicación vía Web.</t>
    </r>
  </si>
  <si>
    <t>56,3</t>
  </si>
  <si>
    <t>81,1%</t>
  </si>
  <si>
    <t>18,9%</t>
  </si>
  <si>
    <t>56,8</t>
  </si>
  <si>
    <t>76,6%</t>
  </si>
  <si>
    <t>23,4%</t>
  </si>
  <si>
    <t>81,3%</t>
  </si>
  <si>
    <t>18,7%</t>
  </si>
  <si>
    <t>72,8</t>
  </si>
  <si>
    <t>69,6%</t>
  </si>
  <si>
    <t>30,4%</t>
  </si>
  <si>
    <t>56,9</t>
  </si>
  <si>
    <t>78,7%</t>
  </si>
  <si>
    <t>21,3%</t>
  </si>
  <si>
    <t>Presupuesto ejercido 2021</t>
  </si>
  <si>
    <t>Total de presupuesto ejercido 2021 de otros gastos de operación, mantenimiento e inversión</t>
  </si>
  <si>
    <r>
      <t>PRESUPUESTO AUTORIZADO TOTAL</t>
    </r>
    <r>
      <rPr>
        <b/>
        <sz val="11"/>
        <color rgb="FFFF0000"/>
        <rFont val="Calibri"/>
        <family val="2"/>
        <scheme val="minor"/>
      </rPr>
      <t xml:space="preserve"> 2021</t>
    </r>
  </si>
  <si>
    <r>
      <t>ARTÍCULOS ESPECIALIZADOS DE INVESTIGACIÓN</t>
    </r>
    <r>
      <rPr>
        <sz val="12"/>
        <color theme="1"/>
        <rFont val="Arial"/>
        <family val="2"/>
      </rPr>
      <t xml:space="preserve"> </t>
    </r>
    <r>
      <rPr>
        <b/>
        <sz val="12"/>
        <color theme="1"/>
        <rFont val="Arial"/>
        <family val="2"/>
      </rPr>
      <t>CON PUNTAJE = 3300 EN RELACIÓN CON ARTÍCULOS ESPECIALIZADOS DE INVESTIGACIÓN</t>
    </r>
  </si>
  <si>
    <r>
      <t>ARTÍCULOS ESPECIALIZADOS DE INVESTIGACIÓN</t>
    </r>
    <r>
      <rPr>
        <sz val="12"/>
        <color theme="1"/>
        <rFont val="Arial"/>
        <family val="2"/>
      </rPr>
      <t xml:space="preserve"> CON PUNTAJE = 3300</t>
    </r>
    <r>
      <rPr>
        <b/>
        <sz val="12"/>
        <color theme="1"/>
        <rFont val="Arial"/>
        <family val="2"/>
      </rPr>
      <t xml:space="preserve"> EN RELACIÓN AL  PERSONAL ACADÉMICO DEFINITIVO DE TIEMPO COMPLETO</t>
    </r>
  </si>
  <si>
    <t>TITULO DEL LIBRO</t>
  </si>
  <si>
    <t>AUTOR</t>
  </si>
  <si>
    <t>EDITORIAL O COEDITOR</t>
  </si>
  <si>
    <t>ISBN</t>
  </si>
  <si>
    <t>CEU</t>
  </si>
  <si>
    <t>UAM / Editorial Ítaca</t>
  </si>
  <si>
    <t>2017
a
2021</t>
  </si>
  <si>
    <t>AGA Posg 2022-I 2a. Sem</t>
  </si>
  <si>
    <t>Inscrito a UEA</t>
  </si>
  <si>
    <t>Cuajimalpa - CNI</t>
  </si>
  <si>
    <t xml:space="preserve">Para los estados (Egresado +Créditos cubiertos+Alumno con grado) no se considera el N cuando rebasa los 4 NTRC </t>
  </si>
  <si>
    <t>COMPLETO 2021</t>
  </si>
  <si>
    <t>AGA Posg 2022-I 2a Sem</t>
  </si>
  <si>
    <t>Un</t>
  </si>
  <si>
    <t>Div</t>
  </si>
  <si>
    <t>EFICIENCIA TERMINAL DE ALUMNOS DE MAESTRÍA QUE INGRESARON EN 2019</t>
  </si>
  <si>
    <t>se cuenta abajo</t>
  </si>
  <si>
    <t>EFICIENCIA TERMINAL DE ALUMNOS DE DOCTORADO QUE INGRESARON EN 2017</t>
  </si>
  <si>
    <t>AGA 2022-I 2a. Sem</t>
  </si>
  <si>
    <t>AGA Lic 2022-I 2a. Sem</t>
  </si>
  <si>
    <t>AGA Lic 2022-I 2a Sem</t>
  </si>
  <si>
    <t>menos del 50%</t>
  </si>
  <si>
    <t>del 50% al 99%</t>
  </si>
  <si>
    <t>100% o más</t>
  </si>
  <si>
    <t>Criterio:</t>
  </si>
  <si>
    <t xml:space="preserve"> 18P-22I</t>
  </si>
  <si>
    <t xml:space="preserve"> 18O-22P</t>
  </si>
  <si>
    <t>Ing. Sistemas Mecatrónicos Industriales</t>
  </si>
  <si>
    <t>2012-2018</t>
  </si>
  <si>
    <t>JULIO DE 2021</t>
  </si>
  <si>
    <t>ENERO DE 2022</t>
  </si>
  <si>
    <t>JULIO DE 2022</t>
  </si>
  <si>
    <t>NO.
PARTICIPANTES</t>
  </si>
  <si>
    <t>Universidad Autónoma de Sinaloa</t>
  </si>
  <si>
    <t>2021
UNIVERSIDADES</t>
  </si>
  <si>
    <t xml:space="preserve">Clasificación por país: México,  QS Ranking Latin America 2017, Universidades Mexicanas. </t>
  </si>
  <si>
    <t>QS Ranking Latin America 2011, Universidades Mexicanas</t>
  </si>
  <si>
    <t>Fuente: http://www.topuniversities.com/university-rankings/latin-american-university-rankings/2013</t>
  </si>
  <si>
    <t>Fuente: www.topuniversities.com/university-rankings/latin-american-university-rankings/2012</t>
  </si>
  <si>
    <t>2022
Universidad</t>
  </si>
  <si>
    <t>551-560</t>
  </si>
  <si>
    <t>751-801</t>
  </si>
  <si>
    <t>Universidad Autónoma del Estado de Hidalgo</t>
  </si>
  <si>
    <t>https://www.topuniversities.com/university-rankings/world-university-rankings/2021</t>
  </si>
  <si>
    <t>https://www.topuniversities.com/university-rankings/world-university-rankings/2022</t>
  </si>
  <si>
    <t>2023
Universidad</t>
  </si>
  <si>
    <t>541-550</t>
  </si>
  <si>
    <t>Universidad Anáhuac México</t>
  </si>
  <si>
    <t>Universidad Autonoma Chapingo</t>
  </si>
  <si>
    <t>ITESO, Universidad Jesuita de Guadalajara</t>
  </si>
  <si>
    <t>Universidad Autónoma del Estado de Hidalgo (UAEH)</t>
  </si>
  <si>
    <t>Universidad Autónoma del Estado de México (UAEMex)</t>
  </si>
  <si>
    <t>https://www.topuniversities.com/university-rankings/world-university-rankings/2023</t>
  </si>
  <si>
    <t>Fecha de consulta: 08-06-2021</t>
  </si>
  <si>
    <t>Fecha de consulta: 8/6/2022</t>
  </si>
  <si>
    <t>Fecha de consulta: 11-06-2020</t>
  </si>
  <si>
    <t>Fecha de consulta: 19/6/2019</t>
  </si>
  <si>
    <t>S N I - 2022</t>
  </si>
  <si>
    <t>2018-2022</t>
  </si>
  <si>
    <t>FUENTE: Base de Datos de Nómina, Quincena 20 de 2022.</t>
  </si>
  <si>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2022</t>
    </r>
  </si>
  <si>
    <t>* Activos de Licenciatura y Posgrado (ind. 18 y 19) + pnal. Académico y pnal. Admvo. (ind. 37)</t>
  </si>
  <si>
    <t>Total 2022</t>
  </si>
  <si>
    <t>22-O</t>
  </si>
  <si>
    <t>A 516.A</t>
  </si>
  <si>
    <t>517.A</t>
  </si>
  <si>
    <t>A 509</t>
  </si>
  <si>
    <t>2020
a
2022</t>
  </si>
  <si>
    <t>C 516.4</t>
  </si>
  <si>
    <t>A 504.A</t>
  </si>
  <si>
    <t>A 510.A</t>
  </si>
  <si>
    <t>C 508.3</t>
  </si>
  <si>
    <t>2018
a
2022</t>
  </si>
  <si>
    <t>S 463.7</t>
  </si>
  <si>
    <t>23-P</t>
  </si>
  <si>
    <t>LERMA CSH</t>
  </si>
  <si>
    <t>23-I</t>
  </si>
  <si>
    <t>(Latentes)</t>
  </si>
  <si>
    <t>Mtría. y Doctorado en Ciencias Sociales</t>
  </si>
  <si>
    <t>UAM-CSH, Lerma Aprobación de la propuesta inicial de Creaciónsesión 438.5 28/02/2018</t>
  </si>
  <si>
    <t>Posgrado en Ciencias y Tecnologías de la Computación</t>
  </si>
  <si>
    <t>463.4 UAM CUAJIMALPA CCD    Integración de la Comisión Específica encargada de analizar y dictaminar la propuesta inicial de creación 24/07/2019</t>
  </si>
  <si>
    <t>466.8 Aprobación propuesta inicial de Creación del Posgrado en Ciencias y Tecnologías de la Computación , de la División de Ciencias de la Comunicación y Diseño, UAM  Cuajimalpa, 03-12-2019</t>
  </si>
  <si>
    <r>
      <t xml:space="preserve">Maestría en Economía
</t>
    </r>
    <r>
      <rPr>
        <i/>
        <sz val="11"/>
        <color theme="1"/>
        <rFont val="Calibri"/>
        <family val="2"/>
        <scheme val="minor"/>
      </rPr>
      <t>(Historia Económica, Empresas, Finanzas e Innovación)</t>
    </r>
  </si>
  <si>
    <t>Maestría en Ciencias
(Matemáticas Aplicadas e Industriales)</t>
  </si>
  <si>
    <r>
      <t xml:space="preserve"> Especialización en Física Médica Clínica. 
</t>
    </r>
    <r>
      <rPr>
        <i/>
        <sz val="11"/>
        <color rgb="FF00B050"/>
        <rFont val="Calibri"/>
        <family val="2"/>
        <scheme val="minor"/>
      </rPr>
      <t>No se cuentan ya se hizo en CBI</t>
    </r>
  </si>
  <si>
    <r>
      <t xml:space="preserve">Maestría en Rehabilitación Neurológica
</t>
    </r>
    <r>
      <rPr>
        <i/>
        <sz val="11"/>
        <color theme="1"/>
        <rFont val="Calibri"/>
        <family val="2"/>
        <scheme val="minor"/>
      </rPr>
      <t>(Área de Salud Inf. y Prev. de Sec. del Des.)</t>
    </r>
  </si>
  <si>
    <t>Maestría en Ciencias Sociales</t>
  </si>
  <si>
    <r>
      <t xml:space="preserve">Diseño, Planificación y Conservación de Paisajes y Jardines </t>
    </r>
    <r>
      <rPr>
        <i/>
        <sz val="11"/>
        <rFont val="Calibri"/>
        <family val="2"/>
        <scheme val="minor"/>
      </rPr>
      <t>(Especialidad)</t>
    </r>
  </si>
  <si>
    <r>
      <t xml:space="preserve">Diseño, Planificación y Conservación de Paisajes y Jardines </t>
    </r>
    <r>
      <rPr>
        <i/>
        <sz val="11"/>
        <rFont val="Calibri"/>
        <family val="2"/>
        <scheme val="minor"/>
      </rPr>
      <t xml:space="preserve">(Maestría) </t>
    </r>
  </si>
  <si>
    <r>
      <t xml:space="preserve">Diseño, Planificación y Conservación de Paisajes y Jardines </t>
    </r>
    <r>
      <rPr>
        <i/>
        <sz val="11"/>
        <rFont val="Calibri"/>
        <family val="2"/>
        <scheme val="minor"/>
      </rPr>
      <t xml:space="preserve">(Doctorado) </t>
    </r>
  </si>
  <si>
    <r>
      <t xml:space="preserve">Diseño y Estudios Urbanos </t>
    </r>
    <r>
      <rPr>
        <i/>
        <sz val="11"/>
        <rFont val="Calibri"/>
        <family val="2"/>
        <scheme val="minor"/>
      </rPr>
      <t xml:space="preserve"> (Maestría)</t>
    </r>
  </si>
  <si>
    <r>
      <t xml:space="preserve">Diseño y Estudios Urbanos </t>
    </r>
    <r>
      <rPr>
        <i/>
        <sz val="11"/>
        <rFont val="Calibri"/>
        <family val="2"/>
        <scheme val="minor"/>
      </rPr>
      <t xml:space="preserve"> (Doctorado)</t>
    </r>
  </si>
  <si>
    <r>
      <t xml:space="preserve">Diseño Bioclimático </t>
    </r>
    <r>
      <rPr>
        <i/>
        <sz val="11"/>
        <rFont val="Calibri"/>
        <family val="2"/>
        <scheme val="minor"/>
      </rPr>
      <t>(Maestría)</t>
    </r>
  </si>
  <si>
    <r>
      <t xml:space="preserve">Diseño Bioclimático </t>
    </r>
    <r>
      <rPr>
        <i/>
        <sz val="11"/>
        <rFont val="Calibri"/>
        <family val="2"/>
        <scheme val="minor"/>
      </rPr>
      <t>(Doctorado)</t>
    </r>
  </si>
  <si>
    <r>
      <t xml:space="preserve">Diseño y Desarrollo de Productos </t>
    </r>
    <r>
      <rPr>
        <i/>
        <sz val="11"/>
        <rFont val="Calibri"/>
        <family val="2"/>
        <scheme val="minor"/>
      </rPr>
      <t>(Doctorado)</t>
    </r>
  </si>
  <si>
    <r>
      <t xml:space="preserve">Diseño y Visualización de la Información </t>
    </r>
    <r>
      <rPr>
        <i/>
        <sz val="11"/>
        <rFont val="Calibri"/>
        <family val="2"/>
        <scheme val="minor"/>
      </rPr>
      <t>(Maestría)</t>
    </r>
  </si>
  <si>
    <r>
      <t xml:space="preserve">Diseño y Visualización de la Información </t>
    </r>
    <r>
      <rPr>
        <i/>
        <sz val="11"/>
        <rFont val="Calibri"/>
        <family val="2"/>
        <scheme val="minor"/>
      </rPr>
      <t>(Doctorado)</t>
    </r>
  </si>
  <si>
    <r>
      <t xml:space="preserve">Diseño para la Rehabilitación, Recuperación y Conservación del Patrimonio  Construido </t>
    </r>
    <r>
      <rPr>
        <i/>
        <sz val="11"/>
        <rFont val="Calibri"/>
        <family val="2"/>
        <scheme val="minor"/>
      </rPr>
      <t xml:space="preserve">(Maestría) </t>
    </r>
  </si>
  <si>
    <r>
      <t xml:space="preserve">Diseño para la Rehabilitación, Recuperación y Conservación del Patrimonio  Construido </t>
    </r>
    <r>
      <rPr>
        <i/>
        <sz val="11"/>
        <rFont val="Calibri"/>
        <family val="2"/>
        <scheme val="minor"/>
      </rPr>
      <t xml:space="preserve">(Doctorado) </t>
    </r>
  </si>
  <si>
    <r>
      <t xml:space="preserve">Posgrado en Procesos Culturales para el Diseño y el Arte </t>
    </r>
    <r>
      <rPr>
        <i/>
        <sz val="11"/>
        <rFont val="Calibri"/>
        <family val="2"/>
        <scheme val="minor"/>
      </rPr>
      <t>(Maestría)</t>
    </r>
  </si>
  <si>
    <r>
      <t xml:space="preserve">Posgrado en Procesos Culturales para el Diseño y el Arte </t>
    </r>
    <r>
      <rPr>
        <i/>
        <sz val="11"/>
        <rFont val="Calibri"/>
        <family val="2"/>
        <scheme val="minor"/>
      </rPr>
      <t>(Doctorado)</t>
    </r>
  </si>
  <si>
    <r>
      <t xml:space="preserve">Posgrado en Energía y Medio Ambiente (Maestría)
</t>
    </r>
    <r>
      <rPr>
        <b/>
        <i/>
        <sz val="11"/>
        <color rgb="FF00B050"/>
        <rFont val="Calibri"/>
        <family val="2"/>
        <scheme val="minor"/>
      </rPr>
      <t>Compartido con CBS</t>
    </r>
  </si>
  <si>
    <r>
      <t xml:space="preserve"> Especialización en Física Médica Clínica
</t>
    </r>
    <r>
      <rPr>
        <b/>
        <i/>
        <sz val="11"/>
        <color rgb="FF00B050"/>
        <rFont val="Calibri"/>
        <family val="2"/>
        <scheme val="minor"/>
      </rPr>
      <t>Compartido con CBS</t>
    </r>
  </si>
  <si>
    <r>
      <t>Maestría en Ecología Aplicada</t>
    </r>
    <r>
      <rPr>
        <sz val="11"/>
        <color rgb="FF00B050"/>
        <rFont val="Calibri"/>
        <family val="2"/>
        <scheme val="minor"/>
      </rPr>
      <t/>
    </r>
  </si>
  <si>
    <t xml:space="preserve">Maestría  en Medicina Social
</t>
  </si>
  <si>
    <t xml:space="preserve">Maestría en Ciencias y Artes para el Diseño
</t>
  </si>
  <si>
    <t xml:space="preserve">Doctorado en Ciencias y Artes para el Diseño
</t>
  </si>
  <si>
    <t xml:space="preserve">Maestría en Diseño y Producción Editorial
</t>
  </si>
  <si>
    <t xml:space="preserve">Maestría en Reutilización del Patrimonio Edificado
</t>
  </si>
  <si>
    <r>
      <t xml:space="preserve">Posgrado en Ciencias Sociales  y Humanidades </t>
    </r>
    <r>
      <rPr>
        <i/>
        <sz val="11"/>
        <color theme="1"/>
        <rFont val="Calibri"/>
        <family val="2"/>
        <scheme val="minor"/>
      </rPr>
      <t>(Maestría)</t>
    </r>
  </si>
  <si>
    <r>
      <t>Posgrado en Ciencias Sociales  y Humanidades</t>
    </r>
    <r>
      <rPr>
        <i/>
        <sz val="11"/>
        <color theme="1"/>
        <rFont val="Calibri"/>
        <family val="2"/>
        <scheme val="minor"/>
      </rPr>
      <t xml:space="preserve"> (Doctorado)</t>
    </r>
  </si>
  <si>
    <r>
      <t>Posgrado Integral en Ciencias Administrativas</t>
    </r>
    <r>
      <rPr>
        <i/>
        <sz val="11"/>
        <color theme="1"/>
        <rFont val="Calibri"/>
        <family val="2"/>
        <scheme val="minor"/>
      </rPr>
      <t xml:space="preserve"> (Maestría)</t>
    </r>
  </si>
  <si>
    <r>
      <t>Posgrado Integral en Ciencias Administrativas</t>
    </r>
    <r>
      <rPr>
        <i/>
        <sz val="11"/>
        <color theme="1"/>
        <rFont val="Calibri"/>
        <family val="2"/>
        <scheme val="minor"/>
      </rPr>
      <t xml:space="preserve"> (Doctorado)</t>
    </r>
  </si>
  <si>
    <t xml:space="preserve">Especialización en Población y Salud
</t>
  </si>
  <si>
    <t xml:space="preserve">Maestría en Población y Salud
</t>
  </si>
  <si>
    <t>Maestría.  en Biología</t>
  </si>
  <si>
    <t xml:space="preserve">Especialización en Acupuntura y Fitoterapía
</t>
  </si>
  <si>
    <t>Doctorado en  Humanidades</t>
  </si>
  <si>
    <t>Maestría en  Estudios Sociales</t>
  </si>
  <si>
    <t>Doctorado en  Estudios Sociales</t>
  </si>
  <si>
    <r>
      <t xml:space="preserve">Diseño y  Desarrollo de Productos </t>
    </r>
    <r>
      <rPr>
        <i/>
        <sz val="11"/>
        <rFont val="Calibri"/>
        <family val="2"/>
        <scheme val="minor"/>
      </rPr>
      <t>(Maestría)</t>
    </r>
  </si>
  <si>
    <r>
      <t xml:space="preserve">Maestría en Ciencias e Ingeniería
</t>
    </r>
    <r>
      <rPr>
        <i/>
        <sz val="11"/>
        <color theme="1"/>
        <rFont val="Calibri"/>
        <family val="2"/>
        <scheme val="minor"/>
      </rPr>
      <t>(Ambientales y de Materiales)</t>
    </r>
  </si>
  <si>
    <r>
      <t xml:space="preserve">Doctorado en Ciencias e Ingeniería
</t>
    </r>
    <r>
      <rPr>
        <i/>
        <sz val="11"/>
        <color theme="1"/>
        <rFont val="Calibri"/>
        <family val="2"/>
        <scheme val="minor"/>
      </rPr>
      <t>(Ambientales y de Materiales)</t>
    </r>
  </si>
  <si>
    <r>
      <t xml:space="preserve">Posgrado en Historiografía </t>
    </r>
    <r>
      <rPr>
        <i/>
        <sz val="11"/>
        <color theme="1"/>
        <rFont val="Calibri"/>
        <family val="2"/>
        <scheme val="minor"/>
      </rPr>
      <t>(Especialización)</t>
    </r>
  </si>
  <si>
    <r>
      <t>Posgrado en Historiografía</t>
    </r>
    <r>
      <rPr>
        <i/>
        <sz val="11"/>
        <color theme="1"/>
        <rFont val="Calibri"/>
        <family val="2"/>
        <scheme val="minor"/>
      </rPr>
      <t xml:space="preserve"> (Maestría)</t>
    </r>
  </si>
  <si>
    <r>
      <t xml:space="preserve">Posgrado en Historiografía </t>
    </r>
    <r>
      <rPr>
        <i/>
        <sz val="11"/>
        <color theme="1"/>
        <rFont val="Calibri"/>
        <family val="2"/>
        <scheme val="minor"/>
      </rPr>
      <t>(Doctorado)</t>
    </r>
  </si>
  <si>
    <r>
      <t>Diseño Ambiental</t>
    </r>
    <r>
      <rPr>
        <i/>
        <sz val="11"/>
        <rFont val="Calibri"/>
        <family val="2"/>
        <scheme val="minor"/>
      </rPr>
      <t xml:space="preserve"> (Especialidad)</t>
    </r>
  </si>
  <si>
    <r>
      <t>Posgrado  en Física</t>
    </r>
    <r>
      <rPr>
        <i/>
        <sz val="11"/>
        <color theme="1"/>
        <rFont val="Calibri"/>
        <family val="2"/>
        <scheme val="minor"/>
      </rPr>
      <t xml:space="preserve"> (Maestría)</t>
    </r>
  </si>
  <si>
    <r>
      <t xml:space="preserve">Posgrado  en Física </t>
    </r>
    <r>
      <rPr>
        <i/>
        <sz val="11"/>
        <color theme="1"/>
        <rFont val="Calibri"/>
        <family val="2"/>
        <scheme val="minor"/>
      </rPr>
      <t>(Doctorado)</t>
    </r>
  </si>
  <si>
    <r>
      <t>Posgrado  en Química</t>
    </r>
    <r>
      <rPr>
        <i/>
        <sz val="11"/>
        <color theme="1"/>
        <rFont val="Calibri"/>
        <family val="2"/>
        <scheme val="minor"/>
      </rPr>
      <t xml:space="preserve"> (Maestría)</t>
    </r>
  </si>
  <si>
    <r>
      <t>Posgrado  en Química</t>
    </r>
    <r>
      <rPr>
        <i/>
        <sz val="11"/>
        <color theme="1"/>
        <rFont val="Calibri"/>
        <family val="2"/>
        <scheme val="minor"/>
      </rPr>
      <t xml:space="preserve"> (Doctorado)</t>
    </r>
  </si>
  <si>
    <r>
      <t>Posgrado  en Ingeniería Biomédica</t>
    </r>
    <r>
      <rPr>
        <i/>
        <sz val="11"/>
        <color theme="1"/>
        <rFont val="Calibri"/>
        <family val="2"/>
        <scheme val="minor"/>
      </rPr>
      <t xml:space="preserve"> (Maestría)</t>
    </r>
  </si>
  <si>
    <r>
      <t>Posgrado  en Ingeniería Biomédica</t>
    </r>
    <r>
      <rPr>
        <i/>
        <sz val="11"/>
        <color theme="1"/>
        <rFont val="Calibri"/>
        <family val="2"/>
        <scheme val="minor"/>
      </rPr>
      <t xml:space="preserve"> (Doctorado)</t>
    </r>
  </si>
  <si>
    <r>
      <t>Posgrado  en Matemáticas</t>
    </r>
    <r>
      <rPr>
        <i/>
        <sz val="11"/>
        <color theme="1"/>
        <rFont val="Calibri"/>
        <family val="2"/>
        <scheme val="minor"/>
      </rPr>
      <t xml:space="preserve"> (Maestría)</t>
    </r>
  </si>
  <si>
    <r>
      <t>Posgrado  en Matemáticas</t>
    </r>
    <r>
      <rPr>
        <i/>
        <sz val="11"/>
        <color theme="1"/>
        <rFont val="Calibri"/>
        <family val="2"/>
        <scheme val="minor"/>
      </rPr>
      <t xml:space="preserve"> (Doctorado)</t>
    </r>
  </si>
  <si>
    <r>
      <t>Posgrado  en Ingeniería Química</t>
    </r>
    <r>
      <rPr>
        <i/>
        <sz val="11"/>
        <color theme="1"/>
        <rFont val="Calibri"/>
        <family val="2"/>
        <scheme val="minor"/>
      </rPr>
      <t xml:space="preserve"> (Maestría)</t>
    </r>
    <r>
      <rPr>
        <sz val="11"/>
        <color theme="1"/>
        <rFont val="Calibri"/>
        <family val="2"/>
        <scheme val="minor"/>
      </rPr>
      <t xml:space="preserve">
</t>
    </r>
  </si>
  <si>
    <r>
      <t>Posgrado  en Ingeniería Química</t>
    </r>
    <r>
      <rPr>
        <i/>
        <sz val="11"/>
        <color theme="1"/>
        <rFont val="Calibri"/>
        <family val="2"/>
        <scheme val="minor"/>
      </rPr>
      <t xml:space="preserve"> (Doctorado)</t>
    </r>
    <r>
      <rPr>
        <sz val="11"/>
        <color theme="1"/>
        <rFont val="Calibri"/>
        <family val="2"/>
        <scheme val="minor"/>
      </rPr>
      <t xml:space="preserve">
</t>
    </r>
  </si>
  <si>
    <r>
      <t xml:space="preserve">Posgrado en Ciencias y Tecnologías de la Información  </t>
    </r>
    <r>
      <rPr>
        <i/>
        <sz val="11"/>
        <color theme="1"/>
        <rFont val="Calibri"/>
        <family val="2"/>
        <scheme val="minor"/>
      </rPr>
      <t>(Maestría)</t>
    </r>
  </si>
  <si>
    <r>
      <t xml:space="preserve">Posgrado en Ciencias y Tecnologías de la Información  </t>
    </r>
    <r>
      <rPr>
        <i/>
        <sz val="11"/>
        <color theme="1"/>
        <rFont val="Calibri"/>
        <family val="2"/>
        <scheme val="minor"/>
      </rPr>
      <t>(Doctorado)</t>
    </r>
  </si>
  <si>
    <r>
      <t xml:space="preserve">Posgrado en Energía y Medio Ambiente </t>
    </r>
    <r>
      <rPr>
        <i/>
        <sz val="11"/>
        <color theme="1"/>
        <rFont val="Calibri"/>
        <family val="2"/>
        <scheme val="minor"/>
      </rPr>
      <t>(Doctorado)</t>
    </r>
    <r>
      <rPr>
        <i/>
        <sz val="11"/>
        <color rgb="FFFF0000"/>
        <rFont val="Calibri"/>
        <family val="2"/>
        <scheme val="minor"/>
      </rPr>
      <t xml:space="preserve">  </t>
    </r>
    <r>
      <rPr>
        <b/>
        <i/>
        <sz val="11"/>
        <color rgb="FF00B050"/>
        <rFont val="Calibri"/>
        <family val="2"/>
        <scheme val="minor"/>
      </rPr>
      <t>Compartido con CBS</t>
    </r>
  </si>
  <si>
    <t>Maestría  en Biología de la Reproducción Animal</t>
  </si>
  <si>
    <r>
      <t xml:space="preserve">Posgrado en Biología Experimental </t>
    </r>
    <r>
      <rPr>
        <i/>
        <sz val="11"/>
        <color theme="1"/>
        <rFont val="Calibri"/>
        <family val="2"/>
        <scheme val="minor"/>
      </rPr>
      <t>(Maestría)</t>
    </r>
  </si>
  <si>
    <r>
      <t>Posgrado en Biología Experimental</t>
    </r>
    <r>
      <rPr>
        <i/>
        <sz val="11"/>
        <color theme="1"/>
        <rFont val="Calibri"/>
        <family val="2"/>
        <scheme val="minor"/>
      </rPr>
      <t xml:space="preserve"> (Doctorado)</t>
    </r>
  </si>
  <si>
    <r>
      <t>Posgrado en Energía y Medio Ambiente</t>
    </r>
    <r>
      <rPr>
        <i/>
        <sz val="11"/>
        <color theme="1"/>
        <rFont val="Calibri"/>
        <family val="2"/>
        <scheme val="minor"/>
      </rPr>
      <t xml:space="preserve"> (Maestría)</t>
    </r>
    <r>
      <rPr>
        <sz val="11"/>
        <color theme="1"/>
        <rFont val="Calibri"/>
        <family val="2"/>
        <scheme val="minor"/>
      </rPr>
      <t xml:space="preserve">
</t>
    </r>
    <r>
      <rPr>
        <i/>
        <sz val="11"/>
        <color rgb="FF00B050"/>
        <rFont val="Calibri"/>
        <family val="2"/>
        <scheme val="minor"/>
      </rPr>
      <t>No se cuentan ya se hizo en CBI</t>
    </r>
  </si>
  <si>
    <r>
      <t xml:space="preserve">Posgrado en Energía y Medio Ambiente </t>
    </r>
    <r>
      <rPr>
        <i/>
        <sz val="11"/>
        <color theme="1"/>
        <rFont val="Calibri"/>
        <family val="2"/>
        <scheme val="minor"/>
      </rPr>
      <t xml:space="preserve">(Doctorado) </t>
    </r>
    <r>
      <rPr>
        <sz val="11"/>
        <color theme="1"/>
        <rFont val="Calibri"/>
        <family val="2"/>
        <scheme val="minor"/>
      </rPr>
      <t xml:space="preserve">
</t>
    </r>
    <r>
      <rPr>
        <i/>
        <sz val="11"/>
        <color rgb="FF00B050"/>
        <rFont val="Calibri"/>
        <family val="2"/>
        <scheme val="minor"/>
      </rPr>
      <t>No se cuentan ya se hizo en CBI</t>
    </r>
  </si>
  <si>
    <r>
      <t xml:space="preserve">Posgrado en Ciencias Naturales e Ingeniería </t>
    </r>
    <r>
      <rPr>
        <i/>
        <sz val="11"/>
        <color theme="1"/>
        <rFont val="Calibri"/>
        <family val="2"/>
        <scheme val="minor"/>
      </rPr>
      <t>(Especialidad)</t>
    </r>
  </si>
  <si>
    <r>
      <t>Posgrado en Ciencias Naturales e Ingeniería</t>
    </r>
    <r>
      <rPr>
        <i/>
        <sz val="11"/>
        <color theme="1"/>
        <rFont val="Calibri"/>
        <family val="2"/>
        <scheme val="minor"/>
      </rPr>
      <t xml:space="preserve"> (Maestría)</t>
    </r>
  </si>
  <si>
    <r>
      <t xml:space="preserve">Posgrado en Ciencias Naturales e Ingeniería </t>
    </r>
    <r>
      <rPr>
        <i/>
        <sz val="11"/>
        <color theme="1"/>
        <rFont val="Calibri"/>
        <family val="2"/>
        <scheme val="minor"/>
      </rPr>
      <t>(Doctorado)</t>
    </r>
  </si>
  <si>
    <r>
      <t>OBSERVACIONES</t>
    </r>
    <r>
      <rPr>
        <sz val="11"/>
        <rFont val="Calibri"/>
        <family val="2"/>
        <scheme val="minor"/>
      </rPr>
      <t xml:space="preserve"> (Fecha de creación)</t>
    </r>
  </si>
  <si>
    <t>CIFRHS</t>
  </si>
  <si>
    <t>CIFRHS: Comisión Interinstitucional para la Formación de Recursos Humanos para la Salud.</t>
  </si>
  <si>
    <t>CONAEDO</t>
  </si>
  <si>
    <t>CONAEDO: Consejo Nacional de Educación Odontológica A. C.</t>
  </si>
  <si>
    <r>
      <t xml:space="preserve">ALUMNOS QUE CONCLUYERON EN </t>
    </r>
    <r>
      <rPr>
        <b/>
        <sz val="10"/>
        <color rgb="FFFF0000"/>
        <rFont val="Calibri"/>
        <family val="2"/>
        <scheme val="minor"/>
      </rPr>
      <t>2022</t>
    </r>
  </si>
  <si>
    <t>AGA Lic 2022-O 4a Sem</t>
  </si>
  <si>
    <t>EFICIENCIA TERMINAL DE ALUMNOS DE ESPECIALIDAD QUE INGRESARON EN 2022</t>
  </si>
  <si>
    <t>AGA Posg 2022-O 4a. Sem</t>
  </si>
  <si>
    <r>
      <t>Criterio: aing_n = 2021 &amp; niv = 1 &amp; edo &lt;&gt; 13</t>
    </r>
    <r>
      <rPr>
        <b/>
        <sz val="11"/>
        <color theme="0" tint="-0.34998626667073579"/>
        <rFont val="Calibri"/>
        <family val="2"/>
        <scheme val="minor"/>
      </rPr>
      <t xml:space="preserve"> </t>
    </r>
  </si>
  <si>
    <t>Especialización en Desarrollo Rural</t>
  </si>
  <si>
    <t>CSH - Xochimilco</t>
  </si>
  <si>
    <t>Doc en estudios Feministas</t>
  </si>
  <si>
    <t>0</t>
  </si>
  <si>
    <t>6</t>
  </si>
  <si>
    <t>8</t>
  </si>
  <si>
    <t>9</t>
  </si>
  <si>
    <r>
      <t xml:space="preserve">EMPLEO DE LOS EGRESADOS Y TASA DE RESPUESTA POR UNIDAD </t>
    </r>
    <r>
      <rPr>
        <b/>
        <sz val="9"/>
        <color rgb="FFFF0000"/>
        <rFont val="Arial"/>
        <family val="2"/>
      </rPr>
      <t>2022</t>
    </r>
  </si>
  <si>
    <t>En linea</t>
  </si>
  <si>
    <r>
      <t>PRESUPUESTO AUTORIZADO TOTAL</t>
    </r>
    <r>
      <rPr>
        <b/>
        <sz val="11"/>
        <color rgb="FFFF0000"/>
        <rFont val="Calibri"/>
        <family val="2"/>
        <scheme val="minor"/>
      </rPr>
      <t xml:space="preserve"> 2022</t>
    </r>
  </si>
  <si>
    <t>0.2 horas persona</t>
  </si>
  <si>
    <t>DIGITAL</t>
  </si>
  <si>
    <t>Digital</t>
  </si>
  <si>
    <t>978-607-28-2621-2</t>
  </si>
  <si>
    <t>978-987-88-7230-8</t>
  </si>
  <si>
    <t>Editora Nómada</t>
  </si>
  <si>
    <t>978-607-28-2675-5</t>
  </si>
  <si>
    <t>González Márquez, José Juan; Montelongo Buenavista, Ivett; Pacheco Ruiz, Ana María (coords.)</t>
  </si>
  <si>
    <t>Tamayo, Sergio; Cruz, Alitzel (coords.)</t>
  </si>
  <si>
    <t>Francisco Mata Rosas</t>
  </si>
  <si>
    <t>Bad hombres. Teorías de conspiración y narrativas de riesgo en México</t>
  </si>
  <si>
    <t>Soltero, Gonzalo</t>
  </si>
  <si>
    <t>Epub</t>
  </si>
  <si>
    <t>PDF</t>
  </si>
  <si>
    <t>Universidad del Rosario</t>
  </si>
  <si>
    <t>Litnoah. Ambiente y territorio I</t>
  </si>
  <si>
    <t>978-607-28-2707-3</t>
  </si>
  <si>
    <t>Real sin ser actual. Una ontología procesual de la información biológica</t>
  </si>
  <si>
    <t>Mercado Reyes, Agustín</t>
  </si>
  <si>
    <t>Guevara Aristizábal, Juan Felipe</t>
  </si>
  <si>
    <t>electrónico</t>
  </si>
  <si>
    <t>978-607-28-2582-6</t>
  </si>
  <si>
    <t>E-Book</t>
  </si>
  <si>
    <t>Gedisa Editorial</t>
  </si>
  <si>
    <t>Juan Pablos Editor</t>
  </si>
  <si>
    <t>Ediciones del Lirio</t>
  </si>
  <si>
    <t>UAM-Ediciones del Lirio S.A de CV</t>
  </si>
  <si>
    <t>Vázquez Ortega, José Joel (coord.)</t>
  </si>
  <si>
    <t>Los impuestos en México, análisis y propuestas para una mejor relación impositiva</t>
  </si>
  <si>
    <t>Eduardo Ramírez Cedillo</t>
  </si>
  <si>
    <t>Memorias en conflicto. Reflexiones desde lo urbano</t>
  </si>
  <si>
    <t>Memotopías urbanas. Un recorrido etnográfico</t>
  </si>
  <si>
    <t>Electrónico</t>
  </si>
  <si>
    <t>978-607-28-2787-5</t>
  </si>
  <si>
    <t>Meraz Quintana, Leonardo</t>
  </si>
  <si>
    <t>Editorial Ítaca</t>
  </si>
  <si>
    <t>Editorial Terracota</t>
  </si>
  <si>
    <t>UAM / Juan Pablos Editor</t>
  </si>
  <si>
    <t>digital</t>
  </si>
  <si>
    <t>Sin información</t>
  </si>
  <si>
    <t>Total de presupuesto  ajustado 2022 de otros gastos de operación, mantenimiento e inversión</t>
  </si>
  <si>
    <t>Total de presupuesto  ajustado 2018 de otros gastos de operación, mantenimiento e inversión</t>
  </si>
  <si>
    <t>Total de presupuesto  ajustado 2019 de otros gastos de operación, mantenimiento e inversión</t>
  </si>
  <si>
    <t>Total de presupuesto  ajustado 2020 de otros gastos de operación, mantenimiento e inversión</t>
  </si>
  <si>
    <t>Total de presupuesto  ajustado 2021 de otros gastos de operación, mantenimiento e inversión</t>
  </si>
  <si>
    <t>Presupuesto ejercido 2022</t>
  </si>
  <si>
    <t>Total de presupuesto ejercido 2022 de otros gastos de operación, mantenimiento e inversión</t>
  </si>
  <si>
    <t>* Incluye 100 Mb a Internet en cada una de las 10 oficinas remotas</t>
  </si>
  <si>
    <t>3.5 *</t>
  </si>
  <si>
    <t>Básquetbol</t>
  </si>
  <si>
    <t>Básquetbol Tercias                              Relámpago y Two Ball</t>
  </si>
  <si>
    <t>Remo Bajo Techo</t>
  </si>
  <si>
    <t>Presentaciones Baile Depotivo</t>
  </si>
  <si>
    <t>Préstamo de balones (baloncesto. Voleibol, futbol americano, soccer) y material deportivo</t>
  </si>
  <si>
    <t>Prestamo de Juegos de Mesa</t>
  </si>
  <si>
    <t>Futbol Bandera</t>
  </si>
  <si>
    <t>Baile Deportivo</t>
  </si>
  <si>
    <t xml:space="preserve">Gimnasio de crossfit </t>
  </si>
  <si>
    <t>Rally Deportivo 2022</t>
  </si>
  <si>
    <t>Serial Atlético "Muévete con la UAM"</t>
  </si>
  <si>
    <t xml:space="preserve"> Evaluaciones fisicas</t>
  </si>
  <si>
    <t>semestral</t>
  </si>
  <si>
    <t>Selectivo Panteras negras 2022</t>
  </si>
  <si>
    <r>
      <t xml:space="preserve">Nivel 1: Al interior y entre las Unidades Académicas </t>
    </r>
    <r>
      <rPr>
        <b/>
        <sz val="12"/>
        <color rgb="FFFF0000"/>
        <rFont val="Calibri"/>
        <family val="2"/>
        <scheme val="minor"/>
      </rPr>
      <t>2021</t>
    </r>
  </si>
  <si>
    <r>
      <t xml:space="preserve">Nivel 1:  Al interior de las Unidades Académicas </t>
    </r>
    <r>
      <rPr>
        <b/>
        <sz val="12"/>
        <color rgb="FFFF0000"/>
        <rFont val="Calibri"/>
        <family val="2"/>
        <scheme val="minor"/>
      </rPr>
      <t>2021</t>
    </r>
  </si>
  <si>
    <r>
      <t xml:space="preserve">Nivel 2: Entre las Unidades académicas </t>
    </r>
    <r>
      <rPr>
        <b/>
        <sz val="12"/>
        <color rgb="FFFF0000"/>
        <rFont val="Calibri"/>
        <family val="2"/>
        <scheme val="minor"/>
      </rPr>
      <t>2021</t>
    </r>
  </si>
  <si>
    <t>anual</t>
  </si>
  <si>
    <t>Núm. de torneos</t>
  </si>
  <si>
    <r>
      <t xml:space="preserve">Nivel 1:  Al interior de las Unidades Académicas </t>
    </r>
    <r>
      <rPr>
        <b/>
        <sz val="12"/>
        <color rgb="FFFF0000"/>
        <rFont val="Calibri"/>
        <family val="2"/>
        <scheme val="minor"/>
      </rPr>
      <t>2022</t>
    </r>
  </si>
  <si>
    <r>
      <t xml:space="preserve">Nivel 2: Entre las Unidades académicas </t>
    </r>
    <r>
      <rPr>
        <b/>
        <sz val="12"/>
        <color rgb="FFFF0000"/>
        <rFont val="Calibri"/>
        <family val="2"/>
        <scheme val="minor"/>
      </rPr>
      <t>2022</t>
    </r>
  </si>
  <si>
    <t>Disciplina</t>
  </si>
  <si>
    <t>Actividad</t>
  </si>
  <si>
    <t>Núm. de Servicios</t>
  </si>
  <si>
    <t>Núm. de beneficiarios</t>
  </si>
  <si>
    <t>Periodicidad</t>
  </si>
  <si>
    <t>Núm. de participantes</t>
  </si>
  <si>
    <t>JULIO DE 2020</t>
  </si>
  <si>
    <t>JULIO DE 2019</t>
  </si>
  <si>
    <t>AGA Lic 2023-I 4a. Sem</t>
  </si>
  <si>
    <r>
      <t>Criterio: (origen_mat = 1 | origen_mat = 2) &amp; cre_acum &gt; 0 &amp;  aing</t>
    </r>
    <r>
      <rPr>
        <sz val="11"/>
        <color rgb="FFFF0000"/>
        <rFont val="Calibri"/>
        <family val="2"/>
        <scheme val="minor"/>
      </rPr>
      <t>&gt; 2011</t>
    </r>
    <r>
      <rPr>
        <sz val="11"/>
        <color theme="1"/>
        <rFont val="Calibri"/>
        <family val="2"/>
        <scheme val="minor"/>
      </rPr>
      <t xml:space="preserve"> &amp; aing</t>
    </r>
    <r>
      <rPr>
        <sz val="11"/>
        <color rgb="FFFF0000"/>
        <rFont val="Calibri"/>
        <family val="2"/>
        <scheme val="minor"/>
      </rPr>
      <t>&lt;2019</t>
    </r>
    <r>
      <rPr>
        <sz val="11"/>
        <color theme="1"/>
        <rFont val="Calibri"/>
        <family val="2"/>
        <scheme val="minor"/>
      </rPr>
      <t xml:space="preserve"> &amp; Plan &lt;500</t>
    </r>
  </si>
  <si>
    <t>Total de CuentaDePLA</t>
  </si>
  <si>
    <t>Eficiencia Terminal Tiempo Máximo 2022</t>
  </si>
  <si>
    <t>ET 10 años</t>
  </si>
  <si>
    <t>COMPLETO 2022</t>
  </si>
  <si>
    <t>AGA Lic 2023-I 4a Sem</t>
  </si>
  <si>
    <t>Ing. En Computación y Telecomunicaciones</t>
  </si>
  <si>
    <t>2022 completo</t>
  </si>
  <si>
    <t>Edo. 8, 12, 15, 16, que no rebasa los 14 NTRC</t>
  </si>
  <si>
    <t>Ef. terminal</t>
  </si>
  <si>
    <t>Monto en pesos</t>
  </si>
  <si>
    <t>2021
a
2023</t>
  </si>
  <si>
    <t>23-O</t>
  </si>
  <si>
    <t>A 521.A</t>
  </si>
  <si>
    <t>A 522A</t>
  </si>
  <si>
    <t>A 522.A</t>
  </si>
  <si>
    <t>2019
a
2023</t>
  </si>
  <si>
    <r>
      <t xml:space="preserve">Porcentaje de planes actualizados en los últimos </t>
    </r>
    <r>
      <rPr>
        <b/>
        <i/>
        <sz val="11"/>
        <rFont val="Calibri"/>
        <family val="2"/>
        <scheme val="minor"/>
      </rPr>
      <t>3 años</t>
    </r>
  </si>
  <si>
    <r>
      <rPr>
        <sz val="11"/>
        <rFont val="Calibri"/>
        <family val="2"/>
        <scheme val="minor"/>
      </rPr>
      <t>Porcentaje de planes actualizados en los últimos</t>
    </r>
    <r>
      <rPr>
        <b/>
        <sz val="11"/>
        <rFont val="Calibri"/>
        <family val="2"/>
        <scheme val="minor"/>
      </rPr>
      <t xml:space="preserve"> 5 años</t>
    </r>
  </si>
  <si>
    <t xml:space="preserve"> 19P-23I</t>
  </si>
  <si>
    <t xml:space="preserve"> 19O-23P</t>
  </si>
  <si>
    <t>2013-2019</t>
  </si>
  <si>
    <t>Total 2023</t>
  </si>
  <si>
    <t>S N I - 2023</t>
  </si>
  <si>
    <t>2019-2023</t>
  </si>
  <si>
    <t>2014-2018</t>
  </si>
  <si>
    <t>526.A</t>
  </si>
  <si>
    <t>Lic. en Enfermería</t>
  </si>
  <si>
    <t>Lic. en Estomatología</t>
  </si>
  <si>
    <t>Lic. en Medicina Veterinaria y Zootecnia</t>
  </si>
  <si>
    <t>Lic. en Agronomía</t>
  </si>
  <si>
    <t>Lic. en Diseño Industria</t>
  </si>
  <si>
    <t>Lic. en Planeación Territorial</t>
  </si>
  <si>
    <t>Lic. en Recursos Hídricos</t>
  </si>
  <si>
    <t xml:space="preserve">Lic. en Biología Ambiental </t>
  </si>
  <si>
    <t>Lic. en Políticas Públicas</t>
  </si>
  <si>
    <t>Las cofras en negativo indican que terminaron antes de tiempo establecido para la licenciatura.</t>
  </si>
  <si>
    <t>Las cofras en negativo indican que terminaron antes de tiempo establecido para el plan de estudio.</t>
  </si>
  <si>
    <r>
      <t xml:space="preserve">Unidad / División
Planes de Estudios                            </t>
    </r>
    <r>
      <rPr>
        <sz val="11"/>
        <color indexed="8"/>
        <rFont val="Calibri"/>
        <family val="2"/>
        <scheme val="minor"/>
      </rPr>
      <t xml:space="preserve"> año de ingreso</t>
    </r>
  </si>
  <si>
    <t>TIEMPO PROMEDIO EXCEDENTE PARA CONCLUIR ESTUDIOS DE LICENCIATURA</t>
  </si>
  <si>
    <t>EFICIENCIA TERMINAL DE ALUMNOS DE ESPECIALIDAD</t>
  </si>
  <si>
    <t xml:space="preserve">EFICIENCIA TERMINAL DE ALUMNOS DE MAESTRÍA </t>
  </si>
  <si>
    <t xml:space="preserve">EFICIENCIA TERMINAL DE ALUMNOS DE DOCTORADO </t>
  </si>
  <si>
    <t>TIEMPO PROMEDIO EXCEDENTE DE TRIMESTRES REALMENTE CURSADOS PARA ACREDITAR PLAN DE ESTUDIOS DE ESPECIALIZACIÓN</t>
  </si>
  <si>
    <t>TIEMPO PROMEDIO EXCEDENTE DE TRIMESTRES REALMENTE CURSADOS PARA ACREDITAR PLAN DE ESTUDIOS DE MAESTRÍA</t>
  </si>
  <si>
    <t>TIEMPO PROMEDIO EXCEDENTE DE TRIMESTRES REALMENTE CURSADOS PARA ACREDITAR PLAN DE ESTUDIOS DE DOCTORADO</t>
  </si>
  <si>
    <t>PLANES  DE ESTUDIO DE LICENCIATURA</t>
  </si>
  <si>
    <t>MATRÍCULA TOTAL  Y SU DISTRIBUCIÓN DE LA MATRÍCULA DE POSGRADO EN RELACIÓN CON LA MATRÍCULA TOTAL</t>
  </si>
  <si>
    <t>PROFESORES EN EL S N I CON RESPECTO AL PERSONAL ACADÉMICO DEFINITIVO DE TIEMPO COMPLETO</t>
  </si>
  <si>
    <t>PROFESORES EN EL S N I NIVEL 2 Y 3 EN RELACIÓN CON PROFESORES S N I NIVEL 1 Y CANDIDATO</t>
  </si>
  <si>
    <r>
      <t xml:space="preserve">EMPLEO DE LOS EGRESADOS Y TASA DE RESPUESTA POR UNIDAD </t>
    </r>
    <r>
      <rPr>
        <b/>
        <sz val="9"/>
        <color rgb="FFFF0000"/>
        <rFont val="Arial"/>
        <family val="2"/>
      </rPr>
      <t>2023</t>
    </r>
  </si>
  <si>
    <r>
      <t>PRESUPUESTO AUTORIZADO TOTAL</t>
    </r>
    <r>
      <rPr>
        <b/>
        <sz val="11"/>
        <color rgb="FFFF0000"/>
        <rFont val="Calibri"/>
        <family val="2"/>
        <scheme val="minor"/>
      </rPr>
      <t xml:space="preserve"> 2023</t>
    </r>
  </si>
  <si>
    <t>TASA DE CRECIMIENTO DE ACTIVIDADES
ARTÍSTICAS Y CULTURALES REALIZADAS</t>
  </si>
  <si>
    <r>
      <t xml:space="preserve">FUENTE: Presupuesto de ingresos y Egresos </t>
    </r>
    <r>
      <rPr>
        <i/>
        <sz val="8"/>
        <color theme="1"/>
        <rFont val="Calibri"/>
        <family val="2"/>
        <scheme val="minor"/>
      </rPr>
      <t>(rubro: Ingresos por subsidio federal)</t>
    </r>
    <r>
      <rPr>
        <sz val="10"/>
        <color theme="1"/>
        <rFont val="Calibri"/>
        <family val="2"/>
        <scheme val="minor"/>
      </rPr>
      <t xml:space="preserve"> y Módulo de Control de Otros Fondo </t>
    </r>
    <r>
      <rPr>
        <i/>
        <sz val="8"/>
        <color theme="1"/>
        <rFont val="Calibri"/>
        <family val="2"/>
        <scheme val="minor"/>
      </rPr>
      <t>(</t>
    </r>
    <r>
      <rPr>
        <i/>
        <u/>
        <sz val="8"/>
        <color theme="1"/>
        <rFont val="Calibri"/>
        <family val="2"/>
        <scheme val="minor"/>
      </rPr>
      <t>Anexo estadístico/Apoyo institucional/Recursos externos</t>
    </r>
    <r>
      <rPr>
        <i/>
        <sz val="8"/>
        <color theme="1"/>
        <rFont val="Calibri"/>
        <family val="2"/>
        <scheme val="minor"/>
      </rPr>
      <t>)</t>
    </r>
  </si>
  <si>
    <t>FUENTE: Base de Datos de Nómina, Quincena 20 de 2023.</t>
  </si>
  <si>
    <t>Presupuesto ejercido 2023</t>
  </si>
  <si>
    <t>Total de presupuesto ejercido 2023 de otros gastos de operación, mantenimiento e inversión</t>
  </si>
  <si>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2023</t>
    </r>
  </si>
  <si>
    <t>ENERO DE 2023</t>
  </si>
  <si>
    <t>JULIO DE 2023</t>
  </si>
  <si>
    <t>2023
UNIVERSIDADES</t>
  </si>
  <si>
    <t>2024
Universidad</t>
  </si>
  <si>
    <t>Centro de Investigación y Docencia Económicas</t>
  </si>
  <si>
    <t>A 527</t>
  </si>
  <si>
    <t>Diseño de Proyectos Sustentables</t>
  </si>
  <si>
    <t>C 527.6</t>
  </si>
  <si>
    <t>06P - 10I</t>
  </si>
  <si>
    <t>06O - 10P</t>
  </si>
  <si>
    <t>20-P al 23-1</t>
  </si>
  <si>
    <t>M 513.20</t>
  </si>
  <si>
    <t>A 531.A</t>
  </si>
  <si>
    <t>A 533.A</t>
  </si>
  <si>
    <t>M 535.6</t>
  </si>
  <si>
    <t>A 535.A</t>
  </si>
  <si>
    <t>Univerisidad de las Américas de Puebla</t>
  </si>
  <si>
    <t>Universidad Iberoaméricana IBERO)</t>
  </si>
  <si>
    <t xml:space="preserve">Universidad Autónoma del Estado de México </t>
  </si>
  <si>
    <t>651-660</t>
  </si>
  <si>
    <t>661-670</t>
  </si>
  <si>
    <t>681-690</t>
  </si>
  <si>
    <t>691-700</t>
  </si>
  <si>
    <t>741-750</t>
  </si>
  <si>
    <t>771-780</t>
  </si>
  <si>
    <t>851-900</t>
  </si>
  <si>
    <t>901-950</t>
  </si>
  <si>
    <t>951-1000</t>
  </si>
  <si>
    <t>1001-1200</t>
  </si>
  <si>
    <t>Universidad Autonoma de Guadalajara (UAG)</t>
  </si>
  <si>
    <t>Universidad Autonoma de Nuevo León</t>
  </si>
  <si>
    <t>QS World University Rankings 2024: Top Global Universities | Top Universities</t>
  </si>
  <si>
    <t>QS Ranking Mundial 2017, Clasificación por país: México.</t>
  </si>
  <si>
    <t>https://www.topuniversities.com/university-rankings/world-university-rankings/2016</t>
  </si>
  <si>
    <t>https://www.topuniversities.com/university-rankings/world-university-rankings/2018</t>
  </si>
  <si>
    <t>M 536.
MIV</t>
  </si>
  <si>
    <t>A 536.A</t>
  </si>
  <si>
    <t>15 GB</t>
  </si>
  <si>
    <t>0.0%</t>
  </si>
  <si>
    <t xml:space="preserve">Ingeniería en Sistemas Mecatrónicos Industriales </t>
  </si>
  <si>
    <t>2023*</t>
  </si>
  <si>
    <t>No considera el trimestre otoño*</t>
  </si>
  <si>
    <t>(Cuatro trimestres máximo)</t>
  </si>
  <si>
    <t>Mestría Procesos Culturales para el Diseño y el Arte</t>
  </si>
  <si>
    <t>Maestría-Doctorado en Ciencias Farmacéuticas</t>
  </si>
  <si>
    <t>Fuente: Dirección de Planeación; a partir de 2022, Dirección de  Análisis, Seguimiento y Apoyo Académico</t>
  </si>
  <si>
    <t>Planes trim. 23-O</t>
  </si>
  <si>
    <t>UNIDAD AZCAPOTZALCO 2023</t>
  </si>
  <si>
    <t>Nueva vigencia</t>
  </si>
  <si>
    <t>Inicia 23-O</t>
  </si>
  <si>
    <t>UNIDAD CUAJIMALPA 2023</t>
  </si>
  <si>
    <t>25 noviembre,2027</t>
  </si>
  <si>
    <t>UNIDAD IZTAPALAPA 2023</t>
  </si>
  <si>
    <t>No evaluable</t>
  </si>
  <si>
    <t>UNIDAD LERMA 2023</t>
  </si>
  <si>
    <t xml:space="preserve">Ingeniería en Recursos Hídricos </t>
  </si>
  <si>
    <t>UNIDAD XOCHIMILCO 2023</t>
  </si>
  <si>
    <t>Fuente: base COPAES julio 2023</t>
  </si>
  <si>
    <t>Fecha de consulta: 16 enero 2024</t>
  </si>
  <si>
    <t>Registrados en el SNP</t>
  </si>
  <si>
    <t>Sin registro</t>
  </si>
  <si>
    <t>CBI*</t>
  </si>
  <si>
    <r>
      <rPr>
        <b/>
        <sz val="9"/>
        <rFont val="Calibri"/>
        <family val="2"/>
        <scheme val="minor"/>
      </rPr>
      <t>Fuente:</t>
    </r>
    <r>
      <rPr>
        <sz val="9"/>
        <rFont val="Calibri"/>
        <family val="2"/>
        <scheme val="minor"/>
      </rPr>
      <t xml:space="preserve"> Sistema Nacional de Posgrado (SNP)</t>
    </r>
  </si>
  <si>
    <t>* El Posgrado en Ciencias e Ingeniería (maestría) tiene dos lineas de investigación: ambientales y materiales, las cuales están registradas por separado en el SNP, por esa razón  en los documentos publicados por el Conahcyt aparecen 98.</t>
  </si>
  <si>
    <t>Fuente: Sistema Nacional de Posgrado (SNP)</t>
  </si>
  <si>
    <t>Planes de estudio de posgrado 2023</t>
  </si>
  <si>
    <t>Actualización: 18/12/2023</t>
  </si>
  <si>
    <t>Unidad Azcapotzalco 2023</t>
  </si>
  <si>
    <t>Divisón</t>
  </si>
  <si>
    <t>Orientación SNP</t>
  </si>
  <si>
    <t>Observaciones</t>
  </si>
  <si>
    <t>Profesionalización</t>
  </si>
  <si>
    <t>Maestría en Ciencias en Ingeniería Electromagnética</t>
  </si>
  <si>
    <t>Investigación</t>
  </si>
  <si>
    <t>Posgrado en Ciencias e Ingeniería_Ambientales</t>
  </si>
  <si>
    <t>Posgrado en Ciencias e Ingeniería_Materiales</t>
  </si>
  <si>
    <t>Posgrado en Ciencias e Ingeniería</t>
  </si>
  <si>
    <t>Posgrado en Procesos Culturales para el Diseño y el Arte</t>
  </si>
  <si>
    <t>Nuevo 23-P</t>
  </si>
  <si>
    <t>Unidad Cuajimalpa 2023</t>
  </si>
  <si>
    <t>Unidad Iztapalapa 2023</t>
  </si>
  <si>
    <t>Posgrado en Matemáticas Aplicadas e Industriales</t>
  </si>
  <si>
    <t>Unidad Lerma 2023</t>
  </si>
  <si>
    <r>
      <t>Nuevo</t>
    </r>
    <r>
      <rPr>
        <sz val="8"/>
        <rFont val="Calibri"/>
        <family val="2"/>
        <scheme val="minor"/>
      </rPr>
      <t xml:space="preserve"> 2023-I</t>
    </r>
  </si>
  <si>
    <t>Unidad Xochimilco 2023</t>
  </si>
  <si>
    <t>Interunidades 2023</t>
  </si>
  <si>
    <t>Los indicadores del 1.1 al 4.9 no consideran el trimestre otoño 2023, se actualizarán en la 4a. Semana del trim. 24-I</t>
  </si>
  <si>
    <t>0.5
horas persona</t>
  </si>
  <si>
    <t>0.6 horas persona</t>
  </si>
  <si>
    <t>0.9 horas persona</t>
  </si>
  <si>
    <t>Fuente: Subdirección de Deporte y Recreación</t>
  </si>
  <si>
    <r>
      <t xml:space="preserve">Información de artículos publicados y citados del personal académico de la UAM </t>
    </r>
    <r>
      <rPr>
        <vertAlign val="superscript"/>
        <sz val="10"/>
        <rFont val="Calibri"/>
        <family val="2"/>
        <scheme val="minor"/>
      </rPr>
      <t>[1]</t>
    </r>
  </si>
  <si>
    <t xml:space="preserve">1919 a un siglo en el arte, la historia y el diseño. </t>
  </si>
  <si>
    <t>Sánchez Ruiz, Gerardo G.; Sánchez Chavarría, Edzna; Herrera Gutiérrez de Velasco, Luis Carlos et al.</t>
  </si>
  <si>
    <t>Anuario de Espacios Urb anos, Historia, Cultura y Diseño</t>
  </si>
  <si>
    <t>Coordinadorxs: María Esther Sánchez Martínez, Frnacisco Javier de la Torre Galindo y Daniel Fajardo Montaño</t>
  </si>
  <si>
    <t>UAM-A</t>
  </si>
  <si>
    <t>ISSN: 2448-8828</t>
  </si>
  <si>
    <t xml:space="preserve">Avances de las mujeres en las ciencias, las humanidades y todas las disciplinas. </t>
  </si>
  <si>
    <t>OLIVIA FRAGOSO SUSUNAGA</t>
  </si>
  <si>
    <t>978-607-28-3053-0 (Soporte: Digital, Formato:PDF)</t>
  </si>
  <si>
    <t>Banquetas. El orden híbrido de las aceras en la Ciudad de México y su área metropolitana</t>
  </si>
  <si>
    <t>Capron, Guénola; Monnet, Jérôme; Pérez López, Ruth (coords.)</t>
  </si>
  <si>
    <t>Calle del imaginario esquina (con) Utopía</t>
  </si>
  <si>
    <t>Nicolás Amoroso</t>
  </si>
  <si>
    <t xml:space="preserve">Camino a la fosa común. </t>
  </si>
  <si>
    <t>Bautista, Memo</t>
  </si>
  <si>
    <t>Producciones El Salario del Miedo</t>
  </si>
  <si>
    <t xml:space="preserve">Cánones de rondó. Aproximaciones a la(s) música(s) en México </t>
  </si>
  <si>
    <t xml:space="preserve">José Hernández Riwes Cruz (Coordinador) </t>
  </si>
  <si>
    <t>978-607-28-2990-9</t>
  </si>
  <si>
    <t xml:space="preserve">Capítulo 5 de libro intitulado: Una epistemología del currículo para la formación de estudiantes-investigadores </t>
  </si>
  <si>
    <t>Genaro Hernández Camacho</t>
  </si>
  <si>
    <t>978-9962-8555-4-5</t>
  </si>
  <si>
    <t>Ciudad transversal, La. Del verso al sueño</t>
  </si>
  <si>
    <t>Amoroso Boelcke, Nicolás</t>
  </si>
  <si>
    <t>Combustión. Notas de curso</t>
  </si>
  <si>
    <t>Luna Paz, Ricardo; Quintana Díaz, María Berenice Guadalupe</t>
  </si>
  <si>
    <t xml:space="preserve">Compendio de ejercicios para EPMI. </t>
  </si>
  <si>
    <t>Navarrete López, Alejandra Montserrat; Santana Cruz, Alejandra; Godínez García, Andrés</t>
  </si>
  <si>
    <t>Del infierno verde al paraíso perdido. La narrativa de la selva en América Latina</t>
  </si>
  <si>
    <t>Torres, Vicente Francisco</t>
  </si>
  <si>
    <t xml:space="preserve">Diálogos de los educadores del diseño </t>
  </si>
  <si>
    <t>Paloma Ibáñez Villalobos
Miguel Hirata Kitahara
Sandra Rodríguez Mondragón (eds.)</t>
  </si>
  <si>
    <t xml:space="preserve">978-607-28-2997-8 </t>
  </si>
  <si>
    <t>978-607-28-2998-5 Digital</t>
  </si>
  <si>
    <t>Dilemas en torno a la historia, la memoria y la verdad, Los. Los contextos de violencia política y justicia transicional en Perú y México en el tránsito de dos siglos</t>
  </si>
  <si>
    <t>Ramírez Treviño, Francisco Javier</t>
  </si>
  <si>
    <t xml:space="preserve">Dinero, producción y empleo en México. </t>
  </si>
  <si>
    <t>Rosa Mendoza, Juan Ramiro de la (coord.)</t>
  </si>
  <si>
    <t xml:space="preserve">Diseño bioclimático, confort, sostenibilidad, resiliencia y salud. </t>
  </si>
  <si>
    <t>García Chávez, José Roberto (coord.)</t>
  </si>
  <si>
    <t>Diseño, análisis y cultura</t>
  </si>
  <si>
    <t>LAURA ELVIRA SERRATOS ZAVALA</t>
  </si>
  <si>
    <t>978-607-28-2889-6</t>
  </si>
  <si>
    <t>DISEÑOS DE LO INTANGIBLE Y LO TANGIBLE 07 (CAP. DEL LIBRO)</t>
  </si>
  <si>
    <t>MARTHA IVONNE MURILLO ISLAS</t>
  </si>
  <si>
    <t>978-607-28-2697-7</t>
  </si>
  <si>
    <t>En busca del espiritu de la democracia estadounidense. El análisis de Max Weber de una cultura política singular: pasado, presente y futuro</t>
  </si>
  <si>
    <t xml:space="preserve"> Micaela Ciardello (Traductora) José Hernández Prado </t>
  </si>
  <si>
    <t>978-607-28-2994-7</t>
  </si>
  <si>
    <t>Escenarios de la educación del diseño y la arquitectura</t>
  </si>
  <si>
    <t>ISBN 978-607-28-3051-6</t>
  </si>
  <si>
    <t xml:space="preserve">Federalismo en América y la pandemia de COVID-19, El. </t>
  </si>
  <si>
    <t>González, Gretchen; Montelongo, Ivett; Coronilla, Raúl (coords.)</t>
  </si>
  <si>
    <t>Foro 18 de Historia y Crítica de la Arquitectura Moderna</t>
  </si>
  <si>
    <t>FERNANDO RAFAEL MINAYA HERNÁNDEZ</t>
  </si>
  <si>
    <t xml:space="preserve">Futuro del derecho ambiental a 50 años de la primera ley ambiental en México, El. </t>
  </si>
  <si>
    <t xml:space="preserve">Gestión gubernamental del COVID-19, el reto que se nos impuso. </t>
  </si>
  <si>
    <t>Núñez Rodríguez, Carlos J.; Magallón Diez, María (coords.)</t>
  </si>
  <si>
    <t xml:space="preserve">Historiorafia: Nueve trayectorias </t>
  </si>
  <si>
    <t>José Agustín Ronzón León (coordinador)</t>
  </si>
  <si>
    <t>978-607-282804-9</t>
  </si>
  <si>
    <t xml:space="preserve">Ingeniería de materiales. </t>
  </si>
  <si>
    <t>Ita de la Torre, Antonio Silvio de; Franco Velázquez, Francisca</t>
  </si>
  <si>
    <t>Innovación en diseño para una educación de calidad e igualdad de género. Design Driven Innovatio for Quality Education and Gender Equality</t>
  </si>
  <si>
    <t>Ferruzca Navarro, Marco V.; Martínez Motta, Alejandra (eds.)</t>
  </si>
  <si>
    <t>Interacciones semióticas entre el diseño, el arte y la cultura.</t>
  </si>
  <si>
    <t>ISBN 978-607-28-2965-7 (Soporte: Digital, Formato:PDF/A)</t>
  </si>
  <si>
    <t xml:space="preserve">Interdisciplina en el estudio de la forma urbana, La. </t>
  </si>
  <si>
    <t>Espinosa Dorantes, Elizabeth; Göbel, Christof; González Arellano, Salomón (coords.)</t>
  </si>
  <si>
    <t xml:space="preserve">Introducción a los estudios poscoloniales, subalternos y descoloniales. </t>
  </si>
  <si>
    <t>Ochoa Muñoz, Karina</t>
  </si>
  <si>
    <t>Investigación y Conceptualización del Diseño</t>
  </si>
  <si>
    <t>ALDA MARIA ZIZUMBO ALAMILLA</t>
  </si>
  <si>
    <t xml:space="preserve"> 978-607-28-2961-9</t>
  </si>
  <si>
    <t xml:space="preserve">La pandemia del COVID-19 y la economía:contextos impactos y retos futuros </t>
  </si>
  <si>
    <t xml:space="preserve">Sergio Cámara (Coordinadores) </t>
  </si>
  <si>
    <t>978-607-28-3065-3</t>
  </si>
  <si>
    <t>La Revolución mexicana: un balance desde academia. Los cursos de invierno de 1955</t>
  </si>
  <si>
    <t xml:space="preserve"> Elmy Lemus </t>
  </si>
  <si>
    <t>978-607-28-2828-4</t>
  </si>
  <si>
    <t>Las organizaciones sanitarias ante la crisis del COVID-19</t>
  </si>
  <si>
    <t>Elvia Espinosa Infante (coordinadora)</t>
  </si>
  <si>
    <t>978-607-28-2912-1</t>
  </si>
  <si>
    <t xml:space="preserve">Los dilemas en torno a la verdad </t>
  </si>
  <si>
    <t xml:space="preserve">Francisco Javier Ramirez Treviño </t>
  </si>
  <si>
    <t>978-607-28-2826-1</t>
  </si>
  <si>
    <t>Mapas, territorios y narrativas urbanas</t>
  </si>
  <si>
    <t>María Esther Sánchez Martínez, María del Carmen Bernárdez de la Granja, Marcela Dávalos López, Juan Antonio Laviada Cáceres, Martín Sánchez Rodríguez, LuisnCarlos Colón Llamas, Anthony Joseph Picón, Jorge Ernesto Gómez Sánchez, Rodrigo Octavio Tirado de Salazar</t>
  </si>
  <si>
    <t>978-607-28-2958-9</t>
  </si>
  <si>
    <t>MM1, un año de disenarte</t>
  </si>
  <si>
    <t>Coord. Teresa Olalde y Olivia Fragoso</t>
  </si>
  <si>
    <t>ISSN: 1665-0964</t>
  </si>
  <si>
    <t>Negritudes latinoamericanas: memoria, identidad, cultura</t>
  </si>
  <si>
    <t>Ociel Flores Flores (Coordinador)</t>
  </si>
  <si>
    <t>978-607-28-3071-4</t>
  </si>
  <si>
    <t>Partera de la historia. Violencia en literatura, performance y medios audiovisuales en Latinoamérica</t>
  </si>
  <si>
    <t>Sandoval León, Osvaldo; Zegarra, Chrystian (coords.)</t>
  </si>
  <si>
    <t>Periodismo femenino en los años 40: el caso de Consuelo Colón</t>
  </si>
  <si>
    <t xml:space="preserve">Cecilia Colón Hernández </t>
  </si>
  <si>
    <t>978-607-28-2803-2</t>
  </si>
  <si>
    <t>Perspectivas de la economía mundial ante la pandemia de COVID-19</t>
  </si>
  <si>
    <t>Alfredo Sánchez Daza, Victor Manuel Cuevas Ahumada (coordinador)</t>
  </si>
  <si>
    <t>978-607-28-2989-3</t>
  </si>
  <si>
    <t>Procesos Metodológicos Participativos y tecnológicos de la enseñanza de arquitectura en un contexto de crisis</t>
  </si>
  <si>
    <t>MIGUEL ANGEL PEREZ SANDOVAL</t>
  </si>
  <si>
    <t xml:space="preserve">978-607-28-2675-5 </t>
  </si>
  <si>
    <t xml:space="preserve">Reflexiones sobre la educación en diseño en contextos de emergencia. </t>
  </si>
  <si>
    <t>A: 978-607-28-2583-3</t>
  </si>
  <si>
    <t xml:space="preserve">Reflexiones sobre la sociedad del conocimiento y los procesos innovadores </t>
  </si>
  <si>
    <t>Rodolfo García (coordinador)</t>
  </si>
  <si>
    <t>978-607-28-2913-8</t>
  </si>
  <si>
    <t xml:space="preserve">Relámpago y la bala, El. </t>
  </si>
  <si>
    <t>Baena Crespo, Erick</t>
  </si>
  <si>
    <t>Reposicionamiento político de las derechas y el breve espacio de las izquierdas. En un contexto de pandemia</t>
  </si>
  <si>
    <t>Retos en el sector salud en México ante la Covid-19. Economías, políticas públicas, educación y salud mental</t>
  </si>
  <si>
    <t>Ramos García, Jesús Manuel; Rodríguez Nava, Abigail (coords.)</t>
  </si>
  <si>
    <t>Revolución mexicana: un balance desde la academia, La. Los cursos de invierno de 1955</t>
  </si>
  <si>
    <t>Lemus Soriano, Elmy Grisel</t>
  </si>
  <si>
    <t xml:space="preserve">Solución de problemas propuestos de física III. </t>
  </si>
  <si>
    <t>García Cruz, Luz María; Luna García, Héctor; Navarrete González, Tomás David</t>
  </si>
  <si>
    <t>Tejiendo diálogos. Reflexiones contemporáneas sobre la expresión y el sentido</t>
  </si>
  <si>
    <t>DULCE MARÍA CASTRO VAL</t>
  </si>
  <si>
    <t>Temas selectos de derecho fiscal. Politica fiscal, Derechos Humanos  y Aspectos sustantivos y Adjetivos relevantes</t>
  </si>
  <si>
    <t>Lorena Isidoro y Victor Hugo Lares (coordinador)</t>
  </si>
  <si>
    <t>978-607-28-2995-4</t>
  </si>
  <si>
    <t>Teoria postmoderna del portafolio. Volumen I. Analisis de inversiones</t>
  </si>
  <si>
    <t xml:space="preserve">Marissa Martínez Precee (coordinadora) </t>
  </si>
  <si>
    <t>978-607-28-3011-0</t>
  </si>
  <si>
    <t xml:space="preserve">Termodinámica aplicada para ingenieros. </t>
  </si>
  <si>
    <t>Aragón González, Gerardo; León Galicia, Alejandro</t>
  </si>
  <si>
    <t>TRANSFORMACIONES Y RETOS DE LA EDUCACIÓN EN LAS ARTES Y LOS DISEÑOS</t>
  </si>
  <si>
    <t>978-9962-8555-5-2</t>
  </si>
  <si>
    <t>Vamos a jugar a Londres. La Escena Oscura del Rock Mexicano al Sur del D.F. en los 80</t>
  </si>
  <si>
    <t xml:space="preserve">Hernández Riwes Cruz, José; 
Muñoz Ramos, Macarena </t>
  </si>
  <si>
    <t xml:space="preserve">Vectores y tensores con aplicaciones. </t>
  </si>
  <si>
    <t xml:space="preserve">Cardoso Cortés, José Luis; Ibarra Sierra, Víctor Alejandro; Kunold Bello, Alejandro;
Sandoval Santana, Juan Carlos </t>
  </si>
  <si>
    <t>Acuerpar emociones. Testimonios de mujeres en pandemia</t>
  </si>
  <si>
    <t>Treviño Cabrera, Úrsula (coord.)</t>
  </si>
  <si>
    <t>DCCD</t>
  </si>
  <si>
    <t>Adiós al arte contemporáneo ¡viva el arte anacrónico!</t>
  </si>
  <si>
    <t>Mario Alberto Morales Domínguez</t>
  </si>
  <si>
    <t>978-607-28-2881-0</t>
  </si>
  <si>
    <t>978-607-28-2883-4</t>
  </si>
  <si>
    <t xml:space="preserve">Archivo de contraedición. </t>
  </si>
  <si>
    <t>Trejo, E. Tonatiuh</t>
  </si>
  <si>
    <t xml:space="preserve">Arte y movimientos sociales. Políticas culturales en México y Aztlán </t>
  </si>
  <si>
    <t>Edward McCaughan</t>
  </si>
  <si>
    <t>UAM-Cuajimalpa</t>
  </si>
  <si>
    <t>978-607-28-2869-8</t>
  </si>
  <si>
    <t>Festina Publicaciones</t>
  </si>
  <si>
    <t>Cambio climático</t>
  </si>
  <si>
    <t>978-607-28-2982-4</t>
  </si>
  <si>
    <t xml:space="preserve">Clases medias en América Latina: subjetividades, prácticas y genealogías. </t>
  </si>
  <si>
    <t>Barbosa Cruz, Mario; López-Pedreros, Ricardo;  Stern, Claudia (coords.)</t>
  </si>
  <si>
    <t>DCSH</t>
  </si>
  <si>
    <t>Clases medias en América Latina: subjetividades, prácticas y genealogías. Guerra Fría, neoliberalismo y movilizaciones sociales, II</t>
  </si>
  <si>
    <t>Barbosa Cruz, Mario; López-Pedreros, Ricardo; Stern, Claudia (Edits).</t>
  </si>
  <si>
    <t>UAM-C DCSH / Universidad del Rosario</t>
  </si>
  <si>
    <t>978-607-28-2852-0</t>
  </si>
  <si>
    <t>Clases medias en América Latina: subjetividades, prácticas y genealogías. Liberalismo, trabajo y política, I</t>
  </si>
  <si>
    <t>978-607-28-2851-3</t>
  </si>
  <si>
    <t>Cuerpos anormales. Metabolismo y alimentación en el México posrevolucionario</t>
  </si>
  <si>
    <t>Vargas Dompinguez, Joel</t>
  </si>
  <si>
    <t>UAM-C (Rectoría/DCSH)</t>
  </si>
  <si>
    <t>978-607-28-3004-2</t>
  </si>
  <si>
    <t xml:space="preserve">Del sentimiento de la naturaleza en las sociedades modernas. </t>
  </si>
  <si>
    <t>Reclus, Élisée</t>
  </si>
  <si>
    <t>DCNI</t>
  </si>
  <si>
    <t>Desarrollo de software a gran escala</t>
  </si>
  <si>
    <t>González Pérez, P.P., Gomez Fuentes, M.C. y Cervantes Ojeda, J.</t>
  </si>
  <si>
    <t xml:space="preserve">ISBN 978-607-28-2846-9                                                                        </t>
  </si>
  <si>
    <t xml:space="preserve">Educación y tecnología: encuentros y desencuentros para la innovación después de la pandemia </t>
  </si>
  <si>
    <t>Héctor Martínez Reyes</t>
  </si>
  <si>
    <t>CIIE</t>
  </si>
  <si>
    <t xml:space="preserve"> 978-607-99795-5-3</t>
  </si>
  <si>
    <t>El envejecimiento en las enfermedades neurológicas y psiquiátricas</t>
  </si>
  <si>
    <t xml:space="preserve"> López, M., Monroy, N., Ortega,A. y Soto E</t>
  </si>
  <si>
    <t>ISBN 978-607-28-3067-7</t>
  </si>
  <si>
    <t>El surgimiento del diseño industrial en México</t>
  </si>
  <si>
    <t>Luis Alfredo Rodríguez Morales</t>
  </si>
  <si>
    <t>978-607-28-2902-2</t>
  </si>
  <si>
    <t>978-607-28-2906-0</t>
  </si>
  <si>
    <t>Emociones, poder y conflicto. Perspectivas teóricas, género, reistencias y políticas de Estado.</t>
  </si>
  <si>
    <t>Vázquez Gutíerrez, Juan Pablo (Coord).</t>
  </si>
  <si>
    <t>UAM-C (DCSH) / Universidad Iberoamericana</t>
  </si>
  <si>
    <t>978-607-28-2838-4</t>
  </si>
  <si>
    <t>Rectoría / UAM Xochimilco</t>
  </si>
  <si>
    <t>Folleto de folletos</t>
  </si>
  <si>
    <t>Rini Templeton</t>
  </si>
  <si>
    <t>978-607-28-2888-9</t>
  </si>
  <si>
    <t>Historias metropolitanas 5</t>
  </si>
  <si>
    <t>Balladares Gómez, Elizabeth; Barrientos Fernández, Isaac; de los Monteros Aguilera, Ámbar; Omaña Mendoza, Ehecatl (Coords).</t>
  </si>
  <si>
    <t>UAM-C (DCSH)</t>
  </si>
  <si>
    <t>978-607-28-2808-7</t>
  </si>
  <si>
    <t>Historias metropolitanas 6</t>
  </si>
  <si>
    <t>Barbosa Cruz, Mario; González Castro, Viridiana; Trejo Poo, Alejandra</t>
  </si>
  <si>
    <t>978-607-28-2809-4</t>
  </si>
  <si>
    <t xml:space="preserve">Intelectuales en el debate ideológico del siglo XX, Los. </t>
  </si>
  <si>
    <t>Illades, Carlos (ed.)</t>
  </si>
  <si>
    <t xml:space="preserve">Introducción a la ingeniería biológica </t>
  </si>
  <si>
    <t>Irmene Ortíz y Rodolfo Quintero</t>
  </si>
  <si>
    <t>UAM-Cuajimalpa (Rectoría/DCNI)</t>
  </si>
  <si>
    <t>978-607-28-2897-1</t>
  </si>
  <si>
    <t>CCCD</t>
  </si>
  <si>
    <t>Invención iconográfica, La. Identidades regionales y nación en el cine mexicano de la edad de oro</t>
  </si>
  <si>
    <t>Castro Ricalde, Maricruz</t>
  </si>
  <si>
    <t>Jnoptikbeel ta swenta k'altik</t>
  </si>
  <si>
    <t xml:space="preserve">Alejandra García Franco y Alma Adrianna Gómez Galindo </t>
  </si>
  <si>
    <t>978-607-28-2665-6</t>
  </si>
  <si>
    <t>Li ta chomtike toj-ep k'usi stak' jchantik</t>
  </si>
  <si>
    <t>978-607-28-2664-9</t>
  </si>
  <si>
    <t>Línea, La. Apuntes desde la frontera norte</t>
  </si>
  <si>
    <t>Mata Rosas, Francisco</t>
  </si>
  <si>
    <t>Alfie Cohen, Miriam (coord.)</t>
  </si>
  <si>
    <t>Matemáticas para todos, con ejercicios y notas históricas</t>
  </si>
  <si>
    <t>Romero Sanpedro, J. M.</t>
  </si>
  <si>
    <t>ISBN 978-607-28-2848-3</t>
  </si>
  <si>
    <t xml:space="preserve">Memes virales: narrativas de la pandemia desde la inteligencia colectiva </t>
  </si>
  <si>
    <t>Jacob Bañuelos Capistrán / Carlos Saldaña Ramírez</t>
  </si>
  <si>
    <t>978-607-28-3032-5</t>
  </si>
  <si>
    <t>Modelado, arquitectura y comunicación en el desarrollo de sistemas de software: un enfoque práctico</t>
  </si>
  <si>
    <t xml:space="preserve">Pedro Pablo González Pérez e Ismael Soto Galindo </t>
  </si>
  <si>
    <t>978-607-28-3021-9</t>
  </si>
  <si>
    <t>Núcleo de acción para una educación en salud mental con enfoque humanista dirigida a infantes y adolescentes</t>
  </si>
  <si>
    <t>Karina Trejo Sánchez</t>
  </si>
  <si>
    <t>REDIPE</t>
  </si>
  <si>
    <t>978-1-957395-28-9</t>
  </si>
  <si>
    <t xml:space="preserve">Nuestros bichos y la magia del sistema inmune. </t>
  </si>
  <si>
    <t>Campos Rivera, Marisol; Castillo Hernández, Geneve Karen; Cueto Castillo, Iker Josué et al.</t>
  </si>
  <si>
    <t>Objetos en tránsito, objetos en disputa. Las colecciones del Museo Nacional de México</t>
  </si>
  <si>
    <t>Achim, Miruna; Deans-Smith; Rozental, Sandra (Edits).</t>
  </si>
  <si>
    <t>978-607-28-2891-9</t>
  </si>
  <si>
    <t>Políticas migratorias contemporaneas: Tendencias del sistema</t>
  </si>
  <si>
    <t>Leonardo Díaz Abraham</t>
  </si>
  <si>
    <t xml:space="preserve">Editorial: UAM-C/Universidad del Rosario (Colombia). </t>
  </si>
  <si>
    <t>Retos y perspectivas del emprendimiento en México</t>
  </si>
  <si>
    <t xml:space="preserve"> 978-607-99795-6-0</t>
  </si>
  <si>
    <t>Revolución y diseño</t>
  </si>
  <si>
    <t>Aarón J. Caballero Quiroz</t>
  </si>
  <si>
    <t>978-607-28-2839-1</t>
  </si>
  <si>
    <t>978-607-28-2840-7</t>
  </si>
  <si>
    <t>Revolución y diseño. Discusiones en torno a procesos sociales de transformación que derivan en diseño</t>
  </si>
  <si>
    <t>Caballero Quiroz, Aarón J. (coord.)</t>
  </si>
  <si>
    <t>Siglo XIX. El libro sobre la nueva conquista de América. Catecismo y cartilla de Francia bajan (1830-1950). Estudio de caso: desde Francia, libros para México y América Latina</t>
  </si>
  <si>
    <t>Arnulfo Uriel de Santiago</t>
  </si>
  <si>
    <t>978-607-28-2877-3</t>
  </si>
  <si>
    <t>Surgimiento del diseño industrial en México, El. Una cronología</t>
  </si>
  <si>
    <t>Luis Rodríguez Morales</t>
  </si>
  <si>
    <t>Tensión y disrupción. Una narrativa monstruosa del proyecto crítico kantiano</t>
  </si>
  <si>
    <t>TRABAJOS DE REVISIÓN DEL CÓDIGO PENAL. Proyecto de reformas y exposición de motivos (1903-1912)</t>
  </si>
  <si>
    <t>Mario Armando Téllez González,Jessica Colín Marínez, Rafael Estrada Michel</t>
  </si>
  <si>
    <t>Tirant Lo Blanch</t>
  </si>
  <si>
    <t>978-84-1197-138-6</t>
  </si>
  <si>
    <t>Tráfico de armas de fuego y delincuencia organizada en la frontera norte de México</t>
  </si>
  <si>
    <t>Ignacio Marcelino López Sandoval</t>
  </si>
  <si>
    <t>978-84-1147-682-9</t>
  </si>
  <si>
    <t>¿Quién nos representa?. La reconfiguración del poder en las elecciones de 2021</t>
  </si>
  <si>
    <t>Tejera Gaona, Héctor; Monsiváis-Carrillo, Alejandro; Palma, Esperanza (coords.)</t>
  </si>
  <si>
    <t xml:space="preserve">Acciones en México para recuperar poblaciones de mamíferos en riesgo. </t>
  </si>
  <si>
    <t>Navarro Maldonado, María del Carmen; Vargas Miranda, Bárbara; Trejo Córdova, Alfredo; Ambriz García, Demetrio Alonso (comps.)</t>
  </si>
  <si>
    <t>Administración y organización estratégicas</t>
  </si>
  <si>
    <t>María Teresa S. Montoya Flores M. Beatriz Mota Aragón</t>
  </si>
  <si>
    <t>978-607-28-2932-9 (impreso)</t>
  </si>
  <si>
    <t>978-607-28-2933-6 (.epub)</t>
  </si>
  <si>
    <t>Alfabetización disciplinar y literacidad en las Universidades Latinoamericanas</t>
  </si>
  <si>
    <t>Hernández Sandoval, Adriana Maria; Hernández Soto, Gabriel; Caudillo Zambrano, María de Lourdes; Areiza Pérez, Adriana Patricia; Amavizca Montaño, Sofía; Meneses Jimenez, Rubén; Fernández Sesma, María Georgina; Montes Silva, Melanie Elizabeth; Martins Vieira, Isabel María; Canales Goerne, Adriana</t>
  </si>
  <si>
    <t>Ediciones Del Lirio</t>
  </si>
  <si>
    <t>978-607-8837-84-7</t>
  </si>
  <si>
    <t>Aproximaciones críticas a la laicidad. Desafíos contemporáneos</t>
  </si>
  <si>
    <t>Garma Navarro, Carlos; Meza Torres, Andrea (coords.)</t>
  </si>
  <si>
    <t>Avances en la Reproducción y Conservación de Mamíferos Domésticos y Silvestres</t>
  </si>
  <si>
    <t>Dr. Alfredo Trejo Córdova, Dr. Demetrio Ambriz García, Dra. María del Carmen Navarro Maldonado, Dra. Bárbara Vargas Miranda, Dra. Bárbara Vargas Miranda</t>
  </si>
  <si>
    <t>978-607-28-3078-3</t>
  </si>
  <si>
    <t>Bajo asedio del Maligno. La persecución de la brujería en Salem, Massachusetts a finales del siglo XVII</t>
  </si>
  <si>
    <t>Báez-Villaseñor, María Estela</t>
  </si>
  <si>
    <t xml:space="preserve">Capitalismos ante el desafío de la pandemia, Los. </t>
  </si>
  <si>
    <t>Boyer, Robert</t>
  </si>
  <si>
    <t>Claroscuros de la memoria. Culturas cinematográficas y mundos urbanos</t>
  </si>
  <si>
    <t>Zirión, Antonio; Rosas Mantecón, Ana (coords.)</t>
  </si>
  <si>
    <t xml:space="preserve">Contabilidad Nacional Básica </t>
  </si>
  <si>
    <t xml:space="preserve">Carbajal De Nova, Carolina </t>
  </si>
  <si>
    <t>9786072828841 (.epub)</t>
  </si>
  <si>
    <t>Curso de Química Cuántica</t>
  </si>
  <si>
    <t>José Andrés Cedillo Ortiz</t>
  </si>
  <si>
    <t>978-607-28-2870-4</t>
  </si>
  <si>
    <t>De Animalibus. La presencia zoológica en la literatura (de la antigüedad a la época contemporánea)</t>
  </si>
  <si>
    <t>Cruz Martínez, Xochiquetzalli; Fernández Izaguirre, Penélope Marcela (coords.)</t>
  </si>
  <si>
    <t>Dejad que el prodigio estremezca las almas. A 100 años de la creación de la Secretaría de Educación Pública</t>
  </si>
  <si>
    <t>Enríquez Perea, Alberto Donato; Baez-Villaseñor Moreno, María Estela; Ávila Escamilla, Jorge Luis; Calderón Mólgora, Marco Antonio; Gómez Ochoa, Eduardo; López Vargas, Juan Ramón; Martínez Rebollo, Arturo Said; Merino Tellechea, Julio César; Milán, Alfonso; Mora Velázquez, Salvador; Ramírez Sánchez, Mauricio César; Valdez Garza, Dalia</t>
  </si>
  <si>
    <t>978-607-8837-77-9</t>
  </si>
  <si>
    <t>Del arte de la aceptación al arte del control. Dewey y la primera lógica de la investigación empírica</t>
  </si>
  <si>
    <t>Guillaumin, Godfrey</t>
  </si>
  <si>
    <t>DIVERSIDAD Y COMPLEJIDAD EN LA ATENCIÓN PSICOSOCIAL EN MÉXICO</t>
  </si>
  <si>
    <t>Yoseline Yohuali Antonio Mateo, Víctor Gerardo Cárdenas González, Sara Miranda Herrera, Marisol Pérez Ramos, Mariana Cielo Maldonado, Juan Carlos Hurtado Aduna, José Luis Sánchez Gutiérrez, Jesús Daniel Sixtos Cruz, Jesica Nalleli de la Torre Herrera, Hugo Leonardo Gómez Hernández, Hugo Armando Brito Rivera, Angélica María Segura Torres, Angel Manuel Vázquez Montes de Oca y Alejandro Lara Figueroa.</t>
  </si>
  <si>
    <t>EDITORIAL FONTAMARA</t>
  </si>
  <si>
    <t>ISBN FONTAMARA: 978-607-736-841-0 ISBN UAM: 978-607-28-3029-5</t>
  </si>
  <si>
    <t>Economía financiera. Teoría, modelos e investigación aplicada</t>
  </si>
  <si>
    <t>Mota Aragón, M. Beatriz (coord.)</t>
  </si>
  <si>
    <t>Bonilla Artigas Editores</t>
  </si>
  <si>
    <t xml:space="preserve">Educación en la literatura española a lo largo de los siglos, La. </t>
  </si>
  <si>
    <t>Muñoz Covarrubias, Pablo (coord.)</t>
  </si>
  <si>
    <t>El lento cambio. Consensos, Mediaciones y Regulaciones para arraigar diseños multilingües interculturales</t>
  </si>
  <si>
    <t>Héctor Muñoz Cruz, Millacura Salas, Claudio Vicente
Huenchullán Arrué, Carolina Soledad Samaniego Sastre, Mario
Reyes Núñez, Juan Pablo Arrueta Rodríguez, José Antonio Catrileo Anaya, Antonio Calibán De Luise, Danilo Morelli, Mara
Prada Ramírez, Fernando Saldoval Cruz, Fausto Jara Labarthé, Vanessa Andrea Lagos Altamirano, Daniel Sergio JIménez Donoso, Nestor Ramiro Miglietta, Francesca Zerega, Alicia Robilliard Ferreyra, Sandra Weinberg Alarcón, Jimena García Rivera, Fernando</t>
  </si>
  <si>
    <t>978-607-28-2268-9</t>
  </si>
  <si>
    <t>ELECCIONES Y PARTIDOS EN MÉXICO 2021: LA GOBERNANZA EN TIEMPOS DE PANDEMIA</t>
  </si>
  <si>
    <t>Alberto Escamilla Cadena, Eduardo Eliud Bermúdez Ballesteros, Edwin Cuitláhuac Ramírez Díaz, Enrique Cuna Pérez, Francisco Reveles Vázquez, Javier Rosiles Salas, José Antonio Carrera Barroso, Luis Eduardo Medina Torres, Manual Larrosa Haro, Omar de la Cruz Carrillo, Rene López de la Torre y Ricardo Espinoza Toledo.</t>
  </si>
  <si>
    <t>EDICIONES DEL LIRIO</t>
  </si>
  <si>
    <t>ISBN EDL: 978-607-8930-50-0           ISBN UAM: 978-607-28-3019-9</t>
  </si>
  <si>
    <t>Evocar para no olvidar. A 100 años de la creación de la Secretaría de Educación Pública (1921-2021)</t>
  </si>
  <si>
    <t>Enríquez Perea, Alberto (coord.)</t>
  </si>
  <si>
    <t>Explotación de lo íntimo, La. Memorias, imaginarios y conocimientos bajo covid-19</t>
  </si>
  <si>
    <t>Besserer, Federico; Ruiz Grajales, Dafne Elena (coords.)</t>
  </si>
  <si>
    <t>Filosofía política de la Conquista</t>
  </si>
  <si>
    <t>Piñón Gaytán, José Francisco</t>
  </si>
  <si>
    <t>978-607-8879-02-1</t>
  </si>
  <si>
    <t xml:space="preserve">Guerrilla, violencia y xenofobia en la guerra entre México y Estados Unidos (1846-1848). </t>
  </si>
  <si>
    <t>Santiago Aparicio, Eliud</t>
  </si>
  <si>
    <t>Horizontes de sentido y configuraciones de lo político</t>
  </si>
  <si>
    <t>Velázquez Delgado, Jorge</t>
  </si>
  <si>
    <t xml:space="preserve"> 978-607-8837-78-6</t>
  </si>
  <si>
    <t xml:space="preserve">Impuestos en México, análisis y propuestas para una mejor relación impositiva, Los. </t>
  </si>
  <si>
    <t>Ramírez Cedillo, Eduardo (coord.)</t>
  </si>
  <si>
    <t>Interseccionalidad. Teoría antidiscriminatoria y análisis de casos</t>
  </si>
  <si>
    <t>Rodríguez Zepeda, Jesús; González Luna, Teresa (coords.)</t>
  </si>
  <si>
    <t>Introducción a la Cinética Química y Catálisis</t>
  </si>
  <si>
    <t>Iris Natzielly Serratos Álvarez, Brenda Anahí Segura Bailón, Luis Franco Pérez, Norma Pilar Castellanos Abrego, Dulce Analaura Galicia García, José Rafael Godínez Fernández, Sergio Antonio Gómez Torres, Margarita Viniegra Ramírez</t>
  </si>
  <si>
    <t>978-607-28-2643-4</t>
  </si>
  <si>
    <t>La educación en la literatura española a lo largo de los siglos</t>
  </si>
  <si>
    <t>Muñoz Covarrubias, Juan Pablo  Gómez Goyzueta, Ximena
Altamirano Meza, Gerardo Román Rodríguez Torres, Adriana Azucena Gutiérrez Sebastián, Raquel Orozco Watrel, Martha Patricia Mejía González, Alma LeticiaMoreno Rodríguez, Ramón Hernández Sandoval, Adriana María</t>
  </si>
  <si>
    <t>978-607-8837-73-1</t>
  </si>
  <si>
    <t>La revolución silenciosa. Expansión, reordenamiento e integración de la experiencia científica</t>
  </si>
  <si>
    <t>Guillaumin Juárez, Godfrey</t>
  </si>
  <si>
    <t>978-607-28-2856-8</t>
  </si>
  <si>
    <t>Lento cambio, El. Consensos, mediaciones y regulaciones para arraigar diseños multilingües interculturales</t>
  </si>
  <si>
    <t>Muñoz Cruz, Héctor (coord.)</t>
  </si>
  <si>
    <t>978-607-28-2921-3 (impreso)</t>
  </si>
  <si>
    <t>978-607-28-2925-1 (.epub)</t>
  </si>
  <si>
    <t>Los Sistemas Electrónicos de la Instrumentación Biomédica</t>
  </si>
  <si>
    <t>Caupolicán Muñoz Gamboa,
Donaciano Jiménez Vázquez</t>
  </si>
  <si>
    <t>Memoria y políticas culturales. Procesos globales, conflictos locales</t>
  </si>
  <si>
    <t>Aguayo Ayala, Adriana; Ruiz Lagier, Rocío (coords.)</t>
  </si>
  <si>
    <t>Camarena Ocampo, Mario; Martínez Guzmán, Rocío (coords.)</t>
  </si>
  <si>
    <t>Portal, María Ana (coord.)</t>
  </si>
  <si>
    <t>Michel Foucault. La fuerza de la crítica</t>
  </si>
  <si>
    <t>Pérez Cortés, Sergio</t>
  </si>
  <si>
    <t xml:space="preserve">Modelos financieros, monetarios y de politicas públicas en México. </t>
  </si>
  <si>
    <t>Gutiérrez Rodríguez, Roberto (coord.)</t>
  </si>
  <si>
    <t>Museo sale a la calle, El. Un experimento pionero de participación cultural</t>
  </si>
  <si>
    <t>Pérez Castellanos, Leticia</t>
  </si>
  <si>
    <t xml:space="preserve">Organelos y estructuras celulares. </t>
  </si>
  <si>
    <t>Campos Muñiz, Carolina; Hernández Pérez, Elizabeth; Rodríguez Cruz, Leonor (comps.)</t>
  </si>
  <si>
    <t xml:space="preserve">Panoramas de las antropologías mundiales. Tomo 1. </t>
  </si>
  <si>
    <t>Lins Ribeiro, Gustavo (ed.)</t>
  </si>
  <si>
    <t>CIESAS y Universidad Iberoamericana</t>
  </si>
  <si>
    <t xml:space="preserve">Panoramas de las antropologías mundiales. Tomo 2. </t>
  </si>
  <si>
    <t xml:space="preserve">Pensar en los públicos. </t>
  </si>
  <si>
    <t>Rosas Mantecón, Ana</t>
  </si>
  <si>
    <t xml:space="preserve">Poder de consagración en el campo del arte mexicano (1922-1966). </t>
  </si>
  <si>
    <t>Barbosa Sánchez, Alma</t>
  </si>
  <si>
    <t>Políticas y las instituciones durante el gobierno de Andrés Manuel López Obrador, Las. Una evaluación hacia la mitad de su gobierno</t>
  </si>
  <si>
    <t>Medina Torres, Luis Eduardo; Escamilla Cadena, Alberto (coords.)</t>
  </si>
  <si>
    <t xml:space="preserve">Postcosecha de Cultivos Nativos Mexicanos </t>
  </si>
  <si>
    <t>Dr Fernando Rivera Cabrera</t>
  </si>
  <si>
    <t>978-607-208-2727-1</t>
  </si>
  <si>
    <t>Problemas de Circuitos Eléctricos</t>
  </si>
  <si>
    <t>Jacqueline Vidal Rosado, Miguel Ángel Bautista León</t>
  </si>
  <si>
    <t>978-607-28-2886-5</t>
  </si>
  <si>
    <t>Propuestas y prioridades de la agenda pública al final del sexenio</t>
  </si>
  <si>
    <t>978-607-28-2927-5 (impreso)</t>
  </si>
  <si>
    <t>978-607-28-2929-9 (.epub)</t>
  </si>
  <si>
    <t xml:space="preserve">Psicología social y profesionalización: perspectivas y prácticas. </t>
  </si>
  <si>
    <t xml:space="preserve">Relevancias socio-educativas del lenguaje y del multilingüísmo. </t>
  </si>
  <si>
    <t>Revolución silenciosa, La. Expansión, reordenamiento e integración de la experiencia científica</t>
  </si>
  <si>
    <t>Una teoría de la Discriminación</t>
  </si>
  <si>
    <t>Rodríguez Zepeda, Jesús</t>
  </si>
  <si>
    <t>978-607-28-2811-7</t>
  </si>
  <si>
    <t>Walter Benjamin. Hacia la crítica de la violencia</t>
  </si>
  <si>
    <t>Leyva, Gustavo (ed.)</t>
  </si>
  <si>
    <t>25 años de elecciones en Michoacán</t>
  </si>
  <si>
    <t>Figueroa Romero, Raúl, Rosiles Salas, Javier y Alvarez Hernández, Miguel David</t>
  </si>
  <si>
    <t>Universidad de la Ciénega del Estado de Michoacán de Ocampo / Bonilla / UAM</t>
  </si>
  <si>
    <t>978-607-28-3091-2</t>
  </si>
  <si>
    <t>Aprendizaje y uso de las evaluaciones de política social en México. Un análisis de las evaluaciones externas de diseño del CONEVAL (2012-2018) (electrónico)</t>
  </si>
  <si>
    <t>Lara Caballero, Manuel y Moreno Guerrero, Regina</t>
  </si>
  <si>
    <t>UAM / Miguel Ángel Porrúa</t>
  </si>
  <si>
    <t>978-607-28-3026-4</t>
  </si>
  <si>
    <t>Aprendizaje y uso de las evaluaciones de política social en México. Un análisis de las evaluaciones externas de diseño del CONEVAL (2012-2018) (impreso)</t>
  </si>
  <si>
    <t>978-607-28-3052-3</t>
  </si>
  <si>
    <t>Cuéntame de la ciénega</t>
  </si>
  <si>
    <t>Blásquez Martínez, Lidia Ivonne; Montes Ortiz, Lucia (coordinadoras)</t>
  </si>
  <si>
    <t>978-607-28-3039-4</t>
  </si>
  <si>
    <t>Economía social, cooperativismo y políticas públicas: potencialidades de organizaciones alternativas</t>
  </si>
  <si>
    <t>Martínez Cuero, Julieta; Lara Caballero, Manuel; Moreno Gaytán, Silvia Iveth (coordinadores)</t>
  </si>
  <si>
    <t>978-607-28-2796-7</t>
  </si>
  <si>
    <t>Espacio-Timbre. Hacia una teoría interdisciplinar en la música electroacústica</t>
  </si>
  <si>
    <t>Olivares Soria, Edmar</t>
  </si>
  <si>
    <t>Estudios y posturas de arqueología de medios / Studies and approaches on media archaeology</t>
  </si>
  <si>
    <t>Mosqueda Gómez, Claudia (coordinadora)</t>
  </si>
  <si>
    <t>978-607-28-2815-5</t>
  </si>
  <si>
    <t>Experiencias de mujeres mexicanas en la academia</t>
  </si>
  <si>
    <t>López González, Rocío; Hernández y Hernández, Nadia Denise; Ortíz Henderson, Gladys (coordinadoras)</t>
  </si>
  <si>
    <t>UV / UAM</t>
  </si>
  <si>
    <t>978-607-28-2938-1</t>
  </si>
  <si>
    <t>Memorias desde el Post Antropoceno. Estudios mediales desde la investigación especulativa</t>
  </si>
  <si>
    <t>978-607-28-3087-5</t>
  </si>
  <si>
    <t>Miradas interdisciplinarias sobre la violencia de género, política, el desplazamiento y la desaparición forzada</t>
  </si>
  <si>
    <t>Valladares de la Cruz, Laura Raquel; Güereca Torres, Eva Raquel; Escárzaga, Nicté Fabiola (coordinadoras)</t>
  </si>
  <si>
    <t>978-607-28-3037-0</t>
  </si>
  <si>
    <t>Objeto, Beckett, Sonoro. Los sonidos en las producciones para la escucha de Samuel Beckett</t>
  </si>
  <si>
    <t>Sánchez Cardona, Luz María</t>
  </si>
  <si>
    <t>Panoramas de las antropologías mundiales Tomo 1 (electrónico)</t>
  </si>
  <si>
    <t>Lins Ribeiro, Gustavo Sergio (editor)</t>
  </si>
  <si>
    <t>CIESAS / UAM / IBERO</t>
  </si>
  <si>
    <t>978-607-486-679-7</t>
  </si>
  <si>
    <t>Panoramas de las antropologías mundiales Tomo 1 (impreso)</t>
  </si>
  <si>
    <t>978-607-28-2857-5</t>
  </si>
  <si>
    <t>Panoramas de las antropologías mundiales Tomo 2 (electrónico)</t>
  </si>
  <si>
    <t>978-607-486-680-3</t>
  </si>
  <si>
    <t>Panoramas de las antropologías mundiales Tomo 2 (impreso)</t>
  </si>
  <si>
    <t>978-607-28-2859-9</t>
  </si>
  <si>
    <t>Territorio, tecnología y gestión: condiciones y contradicciones de la ciudad inteligente</t>
  </si>
  <si>
    <t>Hernández Mar, Raúl; Guajardo Mendoza, Miguel Adolfo; Hernández Diego, Celia; Rózga Luter, Ryszard Edward; Salas Becerril, Patricia (coordinadores)</t>
  </si>
  <si>
    <t>978-607-28-2810-0</t>
  </si>
  <si>
    <t>CEU y Difusión Cultural</t>
  </si>
  <si>
    <t xml:space="preserve"> Reimpresión del libro Álbum de plantas prohibidas </t>
  </si>
  <si>
    <t xml:space="preserve">María del Carmen Tostado Gutiérrez </t>
  </si>
  <si>
    <t>UAM (Rectoría y Xochimilco) y ELEFANTA DEL SUR</t>
  </si>
  <si>
    <t>UAM 978-607-28-2370-9
ELEFANTA 978-607-28-8749-32-4</t>
  </si>
  <si>
    <t>¿Para qué las Ciencias Biológicas y de la Salud?</t>
  </si>
  <si>
    <t>Rosa María Nájera Nájera; Manuel Outón Lemus; María Elena Contreras Garfias; María del Consuelo Chapela Mendoza; Luis Amado Ayala Pérez; Maura Lourdes Velázquez Villalón; María de los Ángeles Martínez Cárdenas; Marlen Yasmín Sánchez Mendoza; Norma Laura Lara Flores; Sandra Luz Morales Estrella; Diana Pérez Salgado; María de los Ángeles Garduño Andrade; Addis Abeba Salinas Urbina; Margarita Pulido Navarro; Juan Víctor Faccio Lucero; Iván Pável Moreno Espíndola; Rafael Díaz García; Norma Ramos Ibáñez; Fernando de León González; Rafael Calderón Arózqueta; Edgar Carlos Jarillo Soto; José Arturo Granados Cosme; Víctor Ríos Cortázar; Alejandra Gasca García; Mónica Franco Martínez; María del Carmen Sánchez Pérez; Patricia Muñoz Ledo Rábago; Mario Antonio Mandujano Valdés; Rosario Cárdenas Elizalde; Carolina Martínez Salgado; Silvia Tamez González; José Ignacio Arroyo Tapia; Alejandro Azaola Espinoza; Marisa Cabeza Salinas; María Dolores Gavaldón Rosas; Rafael Bojalil Parra; Joel Heredia Cuevas; Javier Lorenzo Olivares Orozco; María Guadalupe Ramos Espinoza; Martín López Hernández; María Flores Cruz; Gabriela Anaya-Saavedra; Elsy Elizabeth Verde Flota; María Guadalupe Figueroa Torres.</t>
  </si>
  <si>
    <t>Digital: 978-607-28-2759-2  impreso:978-607-28-2758-5</t>
  </si>
  <si>
    <t xml:space="preserve">4T y el régimen político, La. </t>
  </si>
  <si>
    <t>Vidal de la Rosa, Godofredo (coord.)</t>
  </si>
  <si>
    <t>Alimentación, nutrición y desarrollo integral del niño de 0 a 5 años. Guía para el promotor de salud</t>
  </si>
  <si>
    <t>García Chávez, Deianira; Soto Villaseñor, Fabiola; Rivera González, Iván Rolando</t>
  </si>
  <si>
    <t>978-607-28-2786-8</t>
  </si>
  <si>
    <t>978-607-28-2782-0</t>
  </si>
  <si>
    <t xml:space="preserve">América Latina, sociedad, política y salud en tiempos de pandemias. </t>
  </si>
  <si>
    <t>Tetelboin Henrion, Carolina; Iturrieta Henríquez, Daisy; Schor-Landman, Clara (coords.)</t>
  </si>
  <si>
    <t>CLACSO, Universidad de Valparaíso, Universidad Mayor de San Simón y Universidad Veracruzana</t>
  </si>
  <si>
    <t>América Latina: sociedad, política y salud en tiempos de pandemias</t>
  </si>
  <si>
    <t>978-607-28-2124-8</t>
  </si>
  <si>
    <t xml:space="preserve">Análisis multidisciplinario de la situación mundial postcovid 19 </t>
  </si>
  <si>
    <t>Abigail Rodríguez Nava (coord.)</t>
  </si>
  <si>
    <t>Impreso 978-607-28-2974-9 Digital 978-607-28-2992-3</t>
  </si>
  <si>
    <t>Aportes de enfermería UAM Xochimilco: un enfoque desde la docencia, investigación y servicio</t>
  </si>
  <si>
    <t>Gaona Rivera, Angélica María; Pozos Carmona, Damara; Pérez Ramírez, Samantha; Verde Flota, Elsy Elizabeth; García Camarillo, Fernanda Isabel; Díaz Orihuela, Karla; Cruz Rojas, Lilia; García De la Cruz, Kenia; Correa Argueta, Edgar; Rivas Espinosa, Juan Gabriel; Hernández Guerrero, Linda Vanessa América; Hernández Márquez, Gloria; López Murillo, Jesús Obdulio; Enríquez Hernández, Mariana; Valadez Arias, Erandi; Texis Texis, Irma Gloria; Nicolás Gómez, Blanca Estela; Jiménez Castro, Ana Bertha</t>
  </si>
  <si>
    <t>978-607-28-2737-0</t>
  </si>
  <si>
    <t>Bibliografía comentada sobre economía social (y conceptos afines) en México</t>
  </si>
  <si>
    <t>Carola Conde Bonfil</t>
  </si>
  <si>
    <t>978-607-28-3012-7</t>
  </si>
  <si>
    <t>Ciudad de México: más allá de la megalópolis ingobernable</t>
  </si>
  <si>
    <t>José Antonio Rosique Cañas</t>
  </si>
  <si>
    <t>UAM / Fides Editores</t>
  </si>
  <si>
    <t xml:space="preserve"> impreso: 978-607-28-3056-1 / epub: 978-607-28-3055-4</t>
  </si>
  <si>
    <t>Códice de la Cruz Badiano . Reflexiones desde la ciencia, la historia y la antropología</t>
  </si>
  <si>
    <t>Alejandra Moreno Toscano (coord.)</t>
  </si>
  <si>
    <t xml:space="preserve">Como ríos de fuego por las calles. La marcha del movimiento de las personas con discapacidad </t>
  </si>
  <si>
    <t>Alejandro Cerda García</t>
  </si>
  <si>
    <t>978-607-28-2996-1</t>
  </si>
  <si>
    <t>Condiciones económicas postcovid. Políticas y efectos</t>
  </si>
  <si>
    <t>Violeta Remedios Núñez Rodríguez y Alejandro Espinosa Yáñez</t>
  </si>
  <si>
    <t xml:space="preserve"> epub 978-607-28-3028-8</t>
  </si>
  <si>
    <t>Conflictos y alternativas socioterritoriales en el sur-sur este de México</t>
  </si>
  <si>
    <t>Gisela Espinosa Damián y Carlos Rodríguez Wallenius (coords.)</t>
  </si>
  <si>
    <t>UAM / El Colegio de San Luis</t>
  </si>
  <si>
    <t>impreso 978-607-28-3076-9</t>
  </si>
  <si>
    <t xml:space="preserve">Cooperación internacional y conflicto ante la crisis del covid-19. </t>
  </si>
  <si>
    <t>Pérez Rodríguez, Beatriz Nadia; Gutiérrez del Cid, Ana Teresa (coords.)</t>
  </si>
  <si>
    <t xml:space="preserve">Debate en la investigación de los diseños, El. </t>
  </si>
  <si>
    <t>Lisett Márquez López y Gabriela Montserrat Gay Hernández (coords.)</t>
  </si>
  <si>
    <t>Derechas católicas y cultura ciudadana en tres momentos del siglo XX mexicano</t>
  </si>
  <si>
    <t>Gabriela Contreras Pérez et al.</t>
  </si>
  <si>
    <t>epub 978-607-28-2968-8 / impreso 978-607-28-2967-1</t>
  </si>
  <si>
    <t>Destierro y memoria. Trayectorias de familias judías piomontesas</t>
  </si>
  <si>
    <t>Liliana López Levi</t>
  </si>
  <si>
    <t>UAM / UNAM / Fides Ediciones</t>
  </si>
  <si>
    <t>impreso 978-607-28-3022-6 / epub 978-607-28-3075-2</t>
  </si>
  <si>
    <t>Dialéctica de la dependencia a cincuenta años</t>
  </si>
  <si>
    <t>Jaime Osorio y Mathias Seibel Luce (coords.)</t>
  </si>
  <si>
    <t>UAM / Clacso</t>
  </si>
  <si>
    <t>impreso 978-607-28-2962-6</t>
  </si>
  <si>
    <t>Diálogos de saberes, prácticas y metodologías en la investigación</t>
  </si>
  <si>
    <t>José Luis Cisneros e Hilario Anguiano</t>
  </si>
  <si>
    <t>epub: 978-607-28-3046-2 impreso: 978-607-28-3045-5</t>
  </si>
  <si>
    <t xml:space="preserve">Diálogos entre el cine y otros saberes. </t>
  </si>
  <si>
    <t>Saavedra Luna, Isis (coord.)</t>
  </si>
  <si>
    <t>Diccionario de protagonistas del mundo católico en México. Siglo XXI</t>
  </si>
  <si>
    <t>Gabriela Aguirre Cristiani et al.</t>
  </si>
  <si>
    <t>Impreso 978-607-28-3047-9 / epub: 978-607-28-3058-5</t>
  </si>
  <si>
    <t>Disputa por los bienes naturales. Militarización y fuerzas armadas en México</t>
  </si>
  <si>
    <t>Azamar Alonso, Aleida (coord.)</t>
  </si>
  <si>
    <t>Diversas manifestaciones de la crisis económica y alternativas de solución</t>
  </si>
  <si>
    <t>Carlos Hernández Gómez</t>
  </si>
  <si>
    <t xml:space="preserve">978-607-28-3013-4 </t>
  </si>
  <si>
    <t xml:space="preserve">Educación en México en tiempos de pandemia: retos y perspectivas. </t>
  </si>
  <si>
    <t>Contreras Carbajal, José Javier; Gallegos Cárdenas, Miguel Ángel (coords.)</t>
  </si>
  <si>
    <t>El Códice de la Cruz Badiano. Reflexiones desde la ciencia, la antropología y la historia</t>
  </si>
  <si>
    <t>Alejandra Moreno y Toscano, Alejandro de Ávila Blomberg, María Hilda Flores Olvera, Liliana Schifter Aceves, Helga Ochoterena Booth, Patricia Elena Aceves Pastrana, Thomas Borsch, Antonio Saborit García Peña, Baltazar Brito Guadarrama, Viola König, José Rodrigo Barquera Lozano e Iván Pedroza Reyes.</t>
  </si>
  <si>
    <t>UAM XOCHIMILCO, INAH Y SCIENTIKA</t>
  </si>
  <si>
    <t>978-607-28-2960-2</t>
  </si>
  <si>
    <t>DCyAD</t>
  </si>
  <si>
    <t xml:space="preserve">El debate en la investigación de los diseños </t>
  </si>
  <si>
    <t>Dra. Lisett Márquez López y Mtra. Gabriela Montserrat Gay Hernández (coords.)</t>
  </si>
  <si>
    <t>El placer del cine. Conversaciones sobre análisis cinematográfico</t>
  </si>
  <si>
    <t>Lauro Zavala Alvarado</t>
  </si>
  <si>
    <t>epub 978-607-28-2979-4 / impreso 978-607-28-2978-7</t>
  </si>
  <si>
    <t>El rock mexicano. Un espacio en disputa</t>
  </si>
  <si>
    <t>María del Carmen de la Peza Cásares</t>
  </si>
  <si>
    <t>UAM / Editorial Tintable</t>
  </si>
  <si>
    <t>impreso: 978-607-2801-19-6</t>
  </si>
  <si>
    <t>El tiempo de las ruinas</t>
  </si>
  <si>
    <t>Ivana Carina Jofré, Mario Rufer, Celeste Olalquiaga, Alejandro Haber, Alfredo González-Ruibal, Cristóbal Gnecco, Andras Huyssen, Sandra Rozental, Luis Alberto Suárez Guava, María Isabel Galindo Orrego, Quetzil E. Castañeda, Christian Ernsten, Eduardo Abaroa, Michael Shanks, Krysta Ryzewski.</t>
  </si>
  <si>
    <t>UAM XOCHIMILCO Y UNIVERSIDAD DE LOS ANDES</t>
  </si>
  <si>
    <t>UNIANDES 978-958-798-482-8
UAM : 978-607-28-2860-5</t>
  </si>
  <si>
    <t>En medio de la tormenta. Temas emergentes de la realidad nacional</t>
  </si>
  <si>
    <t>Sonia Comboni Salinas y Eduardo Brenna Becerril (coords.)</t>
  </si>
  <si>
    <t>impreso 978-607-28-2841-4 epub 978-607-28-2842-1</t>
  </si>
  <si>
    <t xml:space="preserve">Encuentros disciplinarios y debates metodológicos. La investigación crítica sobre las relaciones espacio/territorio </t>
  </si>
  <si>
    <t xml:space="preserve">Dra. Blanca Rebeca Ramírez </t>
  </si>
  <si>
    <t>Epistemologías de las discapacidades. De la exclusión a la incidencia</t>
  </si>
  <si>
    <t xml:space="preserve">impreso: 978-607-28-3038-7 </t>
  </si>
  <si>
    <t>Escrituras autobiográficas latinoamericanas: procesos y actualidad</t>
  </si>
  <si>
    <t>Humberto Guerra de la Huerta (coord.)</t>
  </si>
  <si>
    <t>impreso 978-607-28-3017-2</t>
  </si>
  <si>
    <t xml:space="preserve">Espacios de transformación y cambio: historia de los movimientos feministas en México. </t>
  </si>
  <si>
    <t>Lau Jaiven, Ana; Gómez López, Maricruz (coords.)</t>
  </si>
  <si>
    <t>Fides Ediciones</t>
  </si>
  <si>
    <t>Espacios distantes... Aún vivos. Las salas cinematográficas de la Ciudad de México</t>
  </si>
  <si>
    <t>Alfaro Salazar, Francisco Haroldo; Ochoa Vega, Alejandro</t>
  </si>
  <si>
    <t xml:space="preserve">Estudios y argumentaciones hermenéuticas. Vol. VII. </t>
  </si>
  <si>
    <t>Velázquez Becerril, César Arturo (coord.)</t>
  </si>
  <si>
    <t>Etnografía de la espera en urgencias. Caso de los hospitales públicos de la Ciudad de México</t>
  </si>
  <si>
    <t>Bruno Henri Lutz</t>
  </si>
  <si>
    <t>impreso 978-607-28-2999-2 epub 978-607-28-3000-4</t>
  </si>
  <si>
    <t>Evaluación de las gnosias y las praxias en niños de 2 a 8 años. La visión del neurodesarrollo</t>
  </si>
  <si>
    <t>González Medrano, Juan Antonio; Figueroa Olea, Miriam; Hernández Chale, Ketzally; Izazola Ezquerro, Silvia; Guillén Alzua, Selene Monserrath</t>
  </si>
  <si>
    <t>978-607-28-2760-8</t>
  </si>
  <si>
    <t>978-607-28-2378-5</t>
  </si>
  <si>
    <t xml:space="preserve">Experiencias y expectativas de la bioeconomía. </t>
  </si>
  <si>
    <t>Ceballos Pérez, Sergio Gabriel; Azamar Alonso, Aleida (coords.)</t>
  </si>
  <si>
    <t>Ficciones psicopatológicas. Prensa, locura y literatura n México (1882-1903)</t>
  </si>
  <si>
    <t>Maya González, José Antonio</t>
  </si>
  <si>
    <t>impreso: 978-607-28-2844-5, digital: 978-607-28-2845-2</t>
  </si>
  <si>
    <t xml:space="preserve">Galería de las Ciencias. </t>
  </si>
  <si>
    <t>Muñiz García, Elsa (pres.)</t>
  </si>
  <si>
    <t>Gato por liebre</t>
  </si>
  <si>
    <t>Claudia Hernández de Valle-Arizpe</t>
  </si>
  <si>
    <t>UAM XOCHIMILCO</t>
  </si>
  <si>
    <t>978-607-28-2986-2</t>
  </si>
  <si>
    <t>Gestión y tecnologías del agua. Alternativas desde las nuevas generaciones</t>
  </si>
  <si>
    <t>Roberto Martín Constantino Toto y Delia Montero et al.</t>
  </si>
  <si>
    <t>978-607-28-2977-0</t>
  </si>
  <si>
    <t>Gramsci y Berlinguer en México. Vínculos entre comunistas mexicanos e italianos en los años 70</t>
  </si>
  <si>
    <t>Jaime Ortega Reyna y Massimo Modonesi</t>
  </si>
  <si>
    <t>UAM / Editorial Terracota</t>
  </si>
  <si>
    <t>impreso 978-607-28-2984-8 / epub 978-607-28-2983-1</t>
  </si>
  <si>
    <t>Hacia un marxismo mundano: La clave está en los bordes</t>
  </si>
  <si>
    <t>Armando Bartra Vergés</t>
  </si>
  <si>
    <t>UAM Editorial Ítaca</t>
  </si>
  <si>
    <t>978-607-97101-3-2</t>
  </si>
  <si>
    <t>Hegemonía y la 4T. Un debate gramsciano</t>
  </si>
  <si>
    <t>Diana Fuentes de Fuentes</t>
  </si>
  <si>
    <t>ISBN impreso 978-607-28-2971-8 / digital 978-607-28-2993-0</t>
  </si>
  <si>
    <t xml:space="preserve">Institución de la salud en México, La. </t>
  </si>
  <si>
    <t>Gil Montes, Verónica</t>
  </si>
  <si>
    <t>Invierno social llega a su fin, El. Las izquierdas frente al resurgir campesino, 1959-1965</t>
  </si>
  <si>
    <t>Ortega Reyna, Jaime; Fuente Hernández, Juan de la</t>
  </si>
  <si>
    <t>Coedición DCyAD-UNAM</t>
  </si>
  <si>
    <t>Juan Segura. Un arquitecto mexicano en la construcción de la modernidad del siglo XX</t>
  </si>
  <si>
    <t>Dr. Xavier Guzmán Urbiola</t>
  </si>
  <si>
    <t>UAM-Facultad de Arquitectura, UNAM</t>
  </si>
  <si>
    <t>La ciudadanía digital. La crisis de la idea occidental de democracia y la participación en las redes digitales</t>
  </si>
  <si>
    <t>Massimo Di Felice</t>
  </si>
  <si>
    <t>impreso 978-607-28-3003-5 / epub 978-607-28-3002-8</t>
  </si>
  <si>
    <t>La imagen y el tiempo: miradas al pensamiento de Diego Lizarazo</t>
  </si>
  <si>
    <t>Mauricio Andión Gamboa et al.</t>
  </si>
  <si>
    <t>UAM / Ilce / Fides Ediciones</t>
  </si>
  <si>
    <t xml:space="preserve"> 978-607-28-3057-8</t>
  </si>
  <si>
    <t>La mirada escénica. Antología psicodramática</t>
  </si>
  <si>
    <t>Claudia Paz Román</t>
  </si>
  <si>
    <t xml:space="preserve">978-607-28-2954-1 (epub) / impreso 978-607-28-2953-4 </t>
  </si>
  <si>
    <t>La política internacional y su transformación ante la crisis</t>
  </si>
  <si>
    <t>Beatriz Nadia Pérez Rodríguez (coord.)</t>
  </si>
  <si>
    <t xml:space="preserve"> 978-607-28-3044-8 </t>
  </si>
  <si>
    <t xml:space="preserve">La simulación como una herramienta para la adquisición de habilidades quirúrgicas elementales. Modelo de oforosalpingohisterectomía (OSH) </t>
  </si>
  <si>
    <t>Lozada Gallegos, Ángel Raymundo; Herrera Barragán, José Antonio; Arcadio Castillo, Yurisa Damaris; Pérez Rivero Cruz y Celis, Juan José; Bernal del Campo, Ximena</t>
  </si>
  <si>
    <t>978-607-28-2788-2</t>
  </si>
  <si>
    <t>978-607-28-2784-4</t>
  </si>
  <si>
    <t xml:space="preserve">Léxico de la Unión Europea, El. </t>
  </si>
  <si>
    <t>Pérez Rodríguez, Beatriz Nadia; Pérez Llanas, Cuauhtémoc V.; Pérez Rodríguez, Teresa del Socorro</t>
  </si>
  <si>
    <t>Litio en América Latina. Demanda global contra daño socioambiental</t>
  </si>
  <si>
    <t>SEMARNAT</t>
  </si>
  <si>
    <t>Los fundamentos de la literatura</t>
  </si>
  <si>
    <t>David Rojas Azules</t>
  </si>
  <si>
    <t>978-607-28-2951-0</t>
  </si>
  <si>
    <t>Los nuevos partidos: ¿actores o comparsas?</t>
  </si>
  <si>
    <t>Rigoberto Ramírez López (coord.)</t>
  </si>
  <si>
    <t xml:space="preserve">epub: 978-607-28-2987-9 </t>
  </si>
  <si>
    <t>Maíz y milpa, identidad y modo de vida mesoamericanos</t>
  </si>
  <si>
    <t>Carlos Héctor Ávila Bello, Armando Bartra Vergés, Adelita San Vicente Tello  (Coords.)</t>
  </si>
  <si>
    <t>UAM XOCHIMILCO Y UNIVERSIDAD VERACRUZANA</t>
  </si>
  <si>
    <t>UV 978-607-8923-99-1
UAM 978-607-28-3082-0</t>
  </si>
  <si>
    <t>Manejo estomatológico del diabético y el paciente en riesgo de padecer la enfermedad</t>
  </si>
  <si>
    <t>Tenorio Torres, Gustavo; Luengas Aguirre, María Isabel de Fátima; Sáenz Martínez, Laura Patricia; Díaz Franco, Marco Antonio; Garcilazo Gómez, Alfredo</t>
  </si>
  <si>
    <t>978-607-28-2752-3</t>
  </si>
  <si>
    <t>978-607-28-2749-3</t>
  </si>
  <si>
    <t xml:space="preserve">Manejo estomatológico del diabético y el paciente en riesgo de padecer la enfermedad. </t>
  </si>
  <si>
    <t>Tenorio Torres, Gustavo; Luengas Aguirre, Ma. Isabel; Sáenz Martínez, Laura P.; Díaz Franco, Marco A.; Garcilazo Gómez, Alfredo</t>
  </si>
  <si>
    <t>Manual de cementado. Consideraciones y protocolos</t>
  </si>
  <si>
    <t>Miguelena Muro, Karla Eugenia; Garcilazo Gómez, Alfredo; Bonilla Haro, Rodolfo Agustín; Lobato García, Marisol</t>
  </si>
  <si>
    <t>978-607-28-2781-3</t>
  </si>
  <si>
    <t>978-607-28-2380-8</t>
  </si>
  <si>
    <t xml:space="preserve">Minería en México: panorama social, ambiental y económico. </t>
  </si>
  <si>
    <t>Azamar Alonso, Aleida; Téllez Ramírez, Isidro (coords.)</t>
  </si>
  <si>
    <t>Nutrición animal cuantitativa</t>
  </si>
  <si>
    <t>Mendoza Martinez, German David; Hernández García, Pedro Abel; Plata Pérez, Fernando Xicotencatl; Martínez García, José Antonio; Arcos García, Jose Luis; Lee Rangel, Héctor Aarón</t>
  </si>
  <si>
    <t>978-607-28-2751-6</t>
  </si>
  <si>
    <t>Olvidados de Euroasia, Los. Aportaciones desde México</t>
  </si>
  <si>
    <t>Palacios Cabrera, Eduardo; Tzili-Apango, Eduardo; Briceño Montes, Jaqueline (coords.)</t>
  </si>
  <si>
    <t>Posgrado de la División de Ciencias Biológicas y de la Salud, El. Historia y perspectivas</t>
  </si>
  <si>
    <t>Jarillo Soto, Edgar C. (coord.)</t>
  </si>
  <si>
    <t>Problemas emergentes de la educación digital en el contexto de la pandemia de covid-19</t>
  </si>
  <si>
    <t>José Luis Cisneros</t>
  </si>
  <si>
    <t>Impreso: 978-607-28-2879-7; epub: 978-607-28-2878-0</t>
  </si>
  <si>
    <t>Problemas nietzscheanos. Elementos para una filosofía dionisíaca II</t>
  </si>
  <si>
    <t>César Velázquez Becerril</t>
  </si>
  <si>
    <t>epub 978-607-28-2970-1 / impreso 978-607-28-2969-5</t>
  </si>
  <si>
    <t>Reflexiones desde el Departamento de Política y Cultura: Educación y pandemia</t>
  </si>
  <si>
    <t>Esthela Sotelo, Liliana López Levi y Marco Antonio Molina Zamora</t>
  </si>
  <si>
    <t>Epub 978-607-28-2966-4 / impreso  978-607-28-2964-0</t>
  </si>
  <si>
    <t xml:space="preserve">Reflexiones desde el Departamento de Política y Cultura: sociedad y poder </t>
  </si>
  <si>
    <t>Impreso: 978-607-28-3042-4 epub: 978-607-28-3043-1</t>
  </si>
  <si>
    <t>Rumor, el humor y el amor en tiempo de la influenza, El. México 2009</t>
  </si>
  <si>
    <t>Fernández Poncela, Anna María</t>
  </si>
  <si>
    <t>Salud bucal en diabéticos. Manual de autocuidado</t>
  </si>
  <si>
    <t>Tenorio Torres, Gustavo; Luengas Aguirre, María Isabel de Fátima; Sáenz Martínez, Laura Patricia; Del Castillo Muris, Cristina</t>
  </si>
  <si>
    <t>978-607-28-2785-1</t>
  </si>
  <si>
    <t>978-607-28-2800-1</t>
  </si>
  <si>
    <t>San Gregorio Atlapulco. Cosmovisiones</t>
  </si>
  <si>
    <t>Gisela Landázuri Benítez</t>
  </si>
  <si>
    <t>UAM / Corena</t>
  </si>
  <si>
    <t xml:space="preserve">impreso 978-607-28-3068-4 </t>
  </si>
  <si>
    <t>Sequía en México</t>
  </si>
  <si>
    <t>Roberto Martín Constantino Toto  y Sosa Rodríguez Fabiola</t>
  </si>
  <si>
    <t>978-607-28-2874-2</t>
  </si>
  <si>
    <t>Coedición DCyAD-DCSH</t>
  </si>
  <si>
    <t>Siglo XIX. El libro a la Nueva Conquista de América. 1850-1880. Libro y sueño de imperio: las grandes "librerías españolas" (volumen III)</t>
  </si>
  <si>
    <t xml:space="preserve">Dr. Arnulfo Uriel de Santiago Gómez </t>
  </si>
  <si>
    <t>Simulación como una herramienta para la adquisición de habilidades quirúrgicas elementales, La. Modelo de ooforosalpingohisterectomía (OSH)</t>
  </si>
  <si>
    <t>Lozada Gallegos, Ángeñ Raymundo; Pérez Rivero Cruz y Celis, Juan José; Herrera Barragán, José Antonio; Bernal del Campo, Ximena; Arcadio Castillo, Yurisa Damaris</t>
  </si>
  <si>
    <t xml:space="preserve">Sistema político, participación y ciudadanías en la cuarta transformación. </t>
  </si>
  <si>
    <t>Reyes del Campillo Lona, Juan Francisco; Toscana Aparicio, Alejandra (coords.)</t>
  </si>
  <si>
    <t>Territorios violentos en México. El caso de Tierra Caliente, Michoacán</t>
  </si>
  <si>
    <t>Guerra Manzo, Enrique</t>
  </si>
  <si>
    <t xml:space="preserve">Tiempo de las ruinas, El. </t>
  </si>
  <si>
    <t>Gnecco, Cristóbal; Rufer, Mario (eds.)</t>
  </si>
  <si>
    <t>Universidad de Los Andes</t>
  </si>
  <si>
    <t xml:space="preserve">Trabajo, pobreza, pobreza laboral. </t>
  </si>
  <si>
    <t>Rodríguez Nava, Abigail; Vela Peón, Fortino; García Villanueva, Carlos (coords.)</t>
  </si>
  <si>
    <t>Transición bloqueada. México 1970-2018. Elementos para la historia del presente</t>
  </si>
  <si>
    <t>ArturoAnguiano Orozco</t>
  </si>
  <si>
    <t>978-607-28-2981-7</t>
  </si>
  <si>
    <t>Un primer curso de álgebra lineal. Notas introductorias</t>
  </si>
  <si>
    <t>García Álvarez, Manuel</t>
  </si>
  <si>
    <t xml:space="preserve">Una aproximación a la equidad educativa en México a través de las escuelas públicas eficaces de nivel primaria. </t>
  </si>
  <si>
    <t>Valenti Nigrini, Giovanna (coord.)</t>
  </si>
  <si>
    <t>Urbanismo e historia. Reflexiones y casos</t>
  </si>
  <si>
    <t>Zona de riesgo</t>
  </si>
  <si>
    <t>Carlos Aguirre</t>
  </si>
  <si>
    <t>978-607-28-2959-6</t>
  </si>
  <si>
    <t>DPPE</t>
  </si>
  <si>
    <t>¡Viva el mole de guajolote! . Nuevos asedios al estridentismo</t>
  </si>
  <si>
    <t>Evodio Escalante</t>
  </si>
  <si>
    <t xml:space="preserve">Antología personal. </t>
  </si>
  <si>
    <t>Carlos Montemayor</t>
  </si>
  <si>
    <t xml:space="preserve">Cicuta de tiempo. </t>
  </si>
  <si>
    <t>Beatriz Saavedra</t>
  </si>
  <si>
    <t>Delta de los privados, El. Ontología crítica del poder punitivo</t>
  </si>
  <si>
    <t>Pablo Hoyos</t>
  </si>
  <si>
    <t>Folleto de folletos. Nueve pasos para preparar impresos y un anexo contra la desesperación</t>
  </si>
  <si>
    <t>Templeton, Rini</t>
  </si>
  <si>
    <t xml:space="preserve">Francesca Gargallo: remembranzas, sentires y su propia voz. </t>
  </si>
  <si>
    <t>Eli Bartra (coord.)</t>
  </si>
  <si>
    <t>Desde Abajo</t>
  </si>
  <si>
    <t xml:space="preserve">Grimorio. </t>
  </si>
  <si>
    <t>Amaury Colmenares</t>
  </si>
  <si>
    <t xml:space="preserve">Hamburgo. </t>
  </si>
  <si>
    <t>Marco Lupo</t>
  </si>
  <si>
    <t>Máquina de Aplausos</t>
  </si>
  <si>
    <t xml:space="preserve">Léxico tipográfico e histórico. </t>
  </si>
  <si>
    <t>José López-Dóñez</t>
  </si>
  <si>
    <t xml:space="preserve">Lugar de enunciación. </t>
  </si>
  <si>
    <t>Djamila Ribeiro</t>
  </si>
  <si>
    <t>Tumbalacasa</t>
  </si>
  <si>
    <t>Margo Glantz. Un mar de asombros en su obra</t>
  </si>
  <si>
    <t>Domenella, Ana Rosa, Gutiérrez de Velasco, Luzelena (eds.)</t>
  </si>
  <si>
    <t>Oda al olvido. Trilogía de Louise Bourgeois</t>
  </si>
  <si>
    <t>Guiochins, Elena</t>
  </si>
  <si>
    <r>
      <t xml:space="preserve">0.9 </t>
    </r>
    <r>
      <rPr>
        <sz val="12"/>
        <color theme="0"/>
        <rFont val="Arial"/>
        <family val="2"/>
      </rPr>
      <t>horas persona</t>
    </r>
  </si>
  <si>
    <t>Nivel 1:  Al interior de las Unidades Académicas 2023</t>
  </si>
  <si>
    <t>Nivel 1: Al interior y entre las Unidades Académicas 2023</t>
  </si>
  <si>
    <t>Nivel 2: Entre las Unidades académicas 2023</t>
  </si>
  <si>
    <t>b) Servicios proporcionados a la Comunidad Universitaria</t>
  </si>
  <si>
    <t>Núm. de servicios</t>
  </si>
  <si>
    <t xml:space="preserve">Animación y Porras </t>
  </si>
  <si>
    <t>Torneo Interunidades (InterUAM)</t>
  </si>
  <si>
    <t xml:space="preserve">Básquetbol </t>
  </si>
  <si>
    <t xml:space="preserve">Badminton </t>
  </si>
  <si>
    <t>Serial Atlético (Iztapalapa-Febrero)</t>
  </si>
  <si>
    <t>Básquetbol Tercias</t>
  </si>
  <si>
    <t xml:space="preserve">Baile Deportivo </t>
  </si>
  <si>
    <t>Serial Atlético (Azc, Cua, Izt, Ler, Xoc)</t>
  </si>
  <si>
    <t xml:space="preserve">Relámpago y Two Ball </t>
  </si>
  <si>
    <t xml:space="preserve">Torneo de Atletismo </t>
  </si>
  <si>
    <t>Caminata por la salud</t>
  </si>
  <si>
    <t>Evaluaciones Físicas*</t>
  </si>
  <si>
    <t>Entrenamientos Sábatinos (Azcapotzalco y Xochimilco)</t>
  </si>
  <si>
    <t xml:space="preserve">Fútbol Americano </t>
  </si>
  <si>
    <t>Entrenamiento de Karate Do en Rectoría General</t>
  </si>
  <si>
    <t xml:space="preserve">Torneo Metropolitana de Ajedrez </t>
  </si>
  <si>
    <t xml:space="preserve">Fútbol Soccer </t>
  </si>
  <si>
    <t xml:space="preserve">Exhibición de Karate Do </t>
  </si>
  <si>
    <t xml:space="preserve">Fútbol 7 </t>
  </si>
  <si>
    <t xml:space="preserve">Gimnasio Crossfit </t>
  </si>
  <si>
    <t xml:space="preserve">Halterofilia </t>
  </si>
  <si>
    <t xml:space="preserve">Gimnasio de Pesas y Cardio </t>
  </si>
  <si>
    <t xml:space="preserve">Pesas </t>
  </si>
  <si>
    <t xml:space="preserve">Gimnasio Urbano </t>
  </si>
  <si>
    <t xml:space="preserve">Karate Do </t>
  </si>
  <si>
    <t xml:space="preserve">Remo Bajo Techo </t>
  </si>
  <si>
    <t xml:space="preserve">Lacrosse </t>
  </si>
  <si>
    <t xml:space="preserve">Tenis </t>
  </si>
  <si>
    <t xml:space="preserve">Pista de Atletismo y Circuito de Corredores </t>
  </si>
  <si>
    <t xml:space="preserve">Préstamo de balones (baloncesto, Voleibol, Fútbol Americano, soccer) y material deportivo </t>
  </si>
  <si>
    <t xml:space="preserve">Préstamo de Juegos de Mesa </t>
  </si>
  <si>
    <t>Programa de Integración a la Vida Universitaria*</t>
  </si>
  <si>
    <t>Voleibol Sala</t>
  </si>
  <si>
    <t xml:space="preserve">Tableros de Ajedrez </t>
  </si>
  <si>
    <t xml:space="preserve">Voleibol Tercias </t>
  </si>
  <si>
    <t xml:space="preserve">Tae Kwon Do </t>
  </si>
  <si>
    <t xml:space="preserve">Tenis de Mesa </t>
  </si>
  <si>
    <t xml:space="preserve">Tochito Bandera </t>
  </si>
  <si>
    <t xml:space="preserve">Spinning </t>
  </si>
  <si>
    <t xml:space="preserve">Squash </t>
  </si>
  <si>
    <t>Numero de torneos</t>
  </si>
  <si>
    <t>Total: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</si>
</sst>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1" formatCode="_-* #,##0_-;\-* #,##0_-;_-* &quot;-&quot;_-;_-@_-"/>
    <numFmt numFmtId="44" formatCode="_-&quot;$&quot;* #,##0.00_-;\-&quot;$&quot;* #,##0.00_-;_-&quot;$&quot;* &quot;-&quot;??_-;_-@_-"/>
    <numFmt numFmtId="43" formatCode="_-* #,##0.00_-;\-* #,##0.00_-;_-* &quot;-&quot;??_-;_-@_-"/>
    <numFmt numFmtId="164" formatCode="_([$€-2]* #,##0.00_);_([$€-2]* \(#,##0.00\);_([$€-2]* &quot;-&quot;??_)"/>
    <numFmt numFmtId="165" formatCode="_(* #,##0.00_);_(* \(#,##0.00\);_(* &quot;-&quot;??_);_(@_)"/>
    <numFmt numFmtId="166" formatCode="_(&quot;$&quot;* #,##0.00_);_(&quot;$&quot;* \(#,##0.00\);_(&quot;$&quot;* &quot;-&quot;??_);_(@_)"/>
    <numFmt numFmtId="167" formatCode="_(* #,##0_);_(* \(#,##0\);_(* &quot;-&quot;??_);_(@_)"/>
    <numFmt numFmtId="168" formatCode="0.0%"/>
    <numFmt numFmtId="169" formatCode="_-* #,##0_-;\-* #,##0_-;_-* &quot;-&quot;??_-;_-@_-"/>
    <numFmt numFmtId="170" formatCode="0_);\(0\)"/>
    <numFmt numFmtId="171" formatCode="0.0"/>
    <numFmt numFmtId="172" formatCode="#,##0_ ;\-#,##0\ "/>
    <numFmt numFmtId="173" formatCode="\ \ \ \ \ @"/>
    <numFmt numFmtId="174" formatCode="&quot;$&quot;#.00"/>
    <numFmt numFmtId="175" formatCode="&quot;$&quot;#,##0_);[Red]\(&quot;$&quot;#,##0\)"/>
    <numFmt numFmtId="176" formatCode="m\o\n\th\ d\,\ \y\y\y\y"/>
    <numFmt numFmtId="177" formatCode="#.00"/>
    <numFmt numFmtId="178" formatCode="#."/>
    <numFmt numFmtId="179" formatCode="%#.00"/>
    <numFmt numFmtId="180" formatCode="#,##0.0"/>
    <numFmt numFmtId="181" formatCode="_-* #,##0.0_-;\-* #,##0.0_-;_-* &quot;-&quot;??_-;_-@_-"/>
    <numFmt numFmtId="182" formatCode="###0"/>
    <numFmt numFmtId="183" formatCode="###0.0"/>
    <numFmt numFmtId="184" formatCode="####.0"/>
    <numFmt numFmtId="185" formatCode="###0.00"/>
    <numFmt numFmtId="186" formatCode="###0.000"/>
    <numFmt numFmtId="187" formatCode="####.000"/>
    <numFmt numFmtId="188" formatCode="####.00"/>
    <numFmt numFmtId="189" formatCode="[$-409]General"/>
    <numFmt numFmtId="190" formatCode="[$-1540A]dd\ mmmm\,\ yyyy;@"/>
    <numFmt numFmtId="191" formatCode="###0.0%"/>
    <numFmt numFmtId="192" formatCode="####.0%"/>
    <numFmt numFmtId="193" formatCode="###0.00%"/>
    <numFmt numFmtId="194" formatCode="dd/mm/yyyy;@"/>
  </numFmts>
  <fonts count="364">
    <font>
      <sz val="11"/>
      <color theme="1"/>
      <name val="Calibri"/>
      <family val="2"/>
      <scheme val="minor"/>
    </font>
    <font>
      <sz val="10"/>
      <name val="Arial"/>
      <family val="2"/>
    </font>
    <font>
      <b/>
      <sz val="12"/>
      <name val="Arial"/>
      <family val="2"/>
    </font>
    <font>
      <b/>
      <sz val="12"/>
      <color indexed="8"/>
      <name val="Arial"/>
      <family val="2"/>
    </font>
    <font>
      <sz val="10"/>
      <name val="Arial"/>
      <family val="2"/>
    </font>
    <font>
      <b/>
      <sz val="10"/>
      <name val="Arial"/>
      <family val="2"/>
    </font>
    <font>
      <b/>
      <sz val="11"/>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color indexed="8"/>
      <name val="Arial"/>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0"/>
      <color indexed="8"/>
      <name val="Arial"/>
      <family val="2"/>
    </font>
    <font>
      <b/>
      <sz val="12"/>
      <color indexed="8"/>
      <name val="Calibri"/>
      <family val="2"/>
    </font>
    <font>
      <sz val="10"/>
      <color indexed="8"/>
      <name val="Calibri"/>
      <family val="2"/>
    </font>
    <font>
      <sz val="8"/>
      <color indexed="8"/>
      <name val="Arial"/>
      <family val="2"/>
    </font>
    <font>
      <sz val="11"/>
      <color indexed="8"/>
      <name val="Arial"/>
      <family val="2"/>
    </font>
    <font>
      <sz val="8"/>
      <name val="Arial"/>
      <family val="2"/>
    </font>
    <font>
      <sz val="10"/>
      <name val="Book Antiqua"/>
      <family val="1"/>
    </font>
    <font>
      <sz val="9"/>
      <name val="Arial"/>
      <family val="2"/>
    </font>
    <font>
      <sz val="1"/>
      <color indexed="8"/>
      <name val="Courier"/>
      <family val="3"/>
    </font>
    <font>
      <sz val="10"/>
      <name val="MS Sans Serif"/>
      <family val="2"/>
    </font>
    <font>
      <b/>
      <sz val="1"/>
      <color indexed="8"/>
      <name val="Courier"/>
      <family val="3"/>
    </font>
    <font>
      <b/>
      <sz val="8"/>
      <name val="Arial"/>
      <family val="2"/>
    </font>
    <font>
      <sz val="10"/>
      <name val="Arial"/>
      <family val="2"/>
    </font>
    <font>
      <sz val="11"/>
      <color theme="1"/>
      <name val="Calibri"/>
      <family val="2"/>
      <scheme val="minor"/>
    </font>
    <font>
      <u/>
      <sz val="8.8000000000000007"/>
      <color rgb="FF0000FF"/>
      <name val="Calibri"/>
      <family val="2"/>
    </font>
    <font>
      <b/>
      <sz val="11"/>
      <color theme="1"/>
      <name val="Calibri"/>
      <family val="2"/>
      <scheme val="minor"/>
    </font>
    <font>
      <sz val="10"/>
      <name val="Calibri"/>
      <family val="2"/>
      <scheme val="minor"/>
    </font>
    <font>
      <sz val="11"/>
      <name val="Calibri"/>
      <family val="2"/>
      <scheme val="minor"/>
    </font>
    <font>
      <b/>
      <sz val="11"/>
      <name val="Calibri"/>
      <family val="2"/>
      <scheme val="minor"/>
    </font>
    <font>
      <sz val="10"/>
      <color theme="1"/>
      <name val="Arial"/>
      <family val="2"/>
    </font>
    <font>
      <b/>
      <sz val="10"/>
      <color theme="1"/>
      <name val="Arial"/>
      <family val="2"/>
    </font>
    <font>
      <sz val="8"/>
      <color theme="1"/>
      <name val="Arial"/>
      <family val="2"/>
    </font>
    <font>
      <sz val="10"/>
      <color rgb="FFFF0000"/>
      <name val="Arial"/>
      <family val="2"/>
    </font>
    <font>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sz val="12"/>
      <color theme="1"/>
      <name val="Calibri"/>
      <family val="2"/>
      <scheme val="minor"/>
    </font>
    <font>
      <sz val="11"/>
      <color rgb="FF000000"/>
      <name val="Calibri"/>
      <family val="2"/>
    </font>
    <font>
      <b/>
      <sz val="11"/>
      <color rgb="FF000000"/>
      <name val="Calibri"/>
      <family val="2"/>
    </font>
    <font>
      <sz val="11"/>
      <color indexed="8"/>
      <name val="Calibri"/>
      <family val="2"/>
      <scheme val="minor"/>
    </font>
    <font>
      <b/>
      <sz val="12"/>
      <color theme="1"/>
      <name val="Arial"/>
      <family val="2"/>
    </font>
    <font>
      <b/>
      <sz val="8"/>
      <color indexed="8"/>
      <name val="Arial"/>
      <family val="2"/>
    </font>
    <font>
      <sz val="11"/>
      <color rgb="FF000000"/>
      <name val="Calibri"/>
      <family val="2"/>
      <scheme val="minor"/>
    </font>
    <font>
      <b/>
      <sz val="11"/>
      <color rgb="FF000000"/>
      <name val="Calibri"/>
      <family val="2"/>
      <scheme val="minor"/>
    </font>
    <font>
      <sz val="9"/>
      <color theme="1"/>
      <name val="Arial"/>
      <family val="2"/>
    </font>
    <font>
      <sz val="9"/>
      <name val="Calibri"/>
      <family val="2"/>
      <scheme val="minor"/>
    </font>
    <font>
      <b/>
      <sz val="11"/>
      <color theme="1"/>
      <name val="Arial"/>
      <family val="2"/>
    </font>
    <font>
      <sz val="10"/>
      <color rgb="FFFF0000"/>
      <name val="Calibri"/>
      <family val="2"/>
      <scheme val="minor"/>
    </font>
    <font>
      <sz val="10"/>
      <color rgb="FF000000"/>
      <name val="Arial"/>
      <family val="2"/>
    </font>
    <font>
      <sz val="11"/>
      <name val="Arial"/>
      <family val="2"/>
    </font>
    <font>
      <sz val="14"/>
      <color theme="1"/>
      <name val="Calibri"/>
      <family val="2"/>
      <scheme val="minor"/>
    </font>
    <font>
      <sz val="8"/>
      <color theme="1"/>
      <name val="Calibri"/>
      <family val="2"/>
      <scheme val="minor"/>
    </font>
    <font>
      <sz val="10"/>
      <name val="Arial"/>
      <family val="2"/>
    </font>
    <font>
      <b/>
      <i/>
      <sz val="12"/>
      <name val="Arial"/>
      <family val="2"/>
    </font>
    <font>
      <b/>
      <sz val="14"/>
      <color theme="1"/>
      <name val="Arial"/>
      <family val="2"/>
    </font>
    <font>
      <sz val="14"/>
      <color theme="1"/>
      <name val="Arial"/>
      <family val="2"/>
    </font>
    <font>
      <b/>
      <sz val="11"/>
      <color indexed="8"/>
      <name val="Arial"/>
      <family val="2"/>
    </font>
    <font>
      <sz val="9"/>
      <color indexed="8"/>
      <name val="Arial"/>
      <family val="2"/>
    </font>
    <font>
      <sz val="9"/>
      <color indexed="8"/>
      <name val="Calibri"/>
      <family val="2"/>
      <scheme val="minor"/>
    </font>
    <font>
      <b/>
      <sz val="10"/>
      <color theme="1"/>
      <name val="Calibri"/>
      <family val="2"/>
      <scheme val="minor"/>
    </font>
    <font>
      <i/>
      <sz val="10"/>
      <color theme="1"/>
      <name val="Calibri"/>
      <family val="2"/>
      <scheme val="minor"/>
    </font>
    <font>
      <sz val="10"/>
      <name val="Arial"/>
      <family val="2"/>
    </font>
    <font>
      <b/>
      <sz val="10"/>
      <color rgb="FFFF0000"/>
      <name val="Arial"/>
      <family val="2"/>
    </font>
    <font>
      <b/>
      <i/>
      <sz val="10"/>
      <color theme="1"/>
      <name val="Calibri"/>
      <family val="2"/>
      <scheme val="minor"/>
    </font>
    <font>
      <b/>
      <sz val="11"/>
      <color indexed="8"/>
      <name val="Calibri"/>
      <family val="2"/>
      <scheme val="minor"/>
    </font>
    <font>
      <i/>
      <sz val="8"/>
      <name val="Arial"/>
      <family val="2"/>
    </font>
    <font>
      <b/>
      <sz val="10"/>
      <color rgb="FF000000"/>
      <name val="Arial"/>
      <family val="2"/>
    </font>
    <font>
      <b/>
      <sz val="11"/>
      <color theme="0"/>
      <name val="Calibri"/>
      <family val="2"/>
      <scheme val="minor"/>
    </font>
    <font>
      <sz val="10"/>
      <name val="Arial"/>
      <family val="2"/>
    </font>
    <font>
      <b/>
      <i/>
      <sz val="12"/>
      <color theme="1"/>
      <name val="Arial"/>
      <family val="2"/>
    </font>
    <font>
      <b/>
      <sz val="14"/>
      <color theme="1"/>
      <name val="Calibri"/>
      <family val="2"/>
      <scheme val="minor"/>
    </font>
    <font>
      <sz val="8"/>
      <name val="Calibri"/>
      <family val="2"/>
      <scheme val="minor"/>
    </font>
    <font>
      <sz val="11"/>
      <color rgb="FFFF0000"/>
      <name val="Calibri"/>
      <family val="2"/>
      <scheme val="minor"/>
    </font>
    <font>
      <b/>
      <sz val="9"/>
      <name val="Calibri"/>
      <family val="2"/>
      <scheme val="minor"/>
    </font>
    <font>
      <b/>
      <sz val="10"/>
      <name val="Calibri"/>
      <family val="2"/>
      <scheme val="minor"/>
    </font>
    <font>
      <sz val="11"/>
      <color rgb="FF984806"/>
      <name val="Calibri"/>
      <family val="2"/>
      <scheme val="minor"/>
    </font>
    <font>
      <b/>
      <sz val="11"/>
      <color rgb="FFFF0000"/>
      <name val="Arial"/>
      <family val="2"/>
    </font>
    <font>
      <b/>
      <i/>
      <sz val="12"/>
      <color theme="1"/>
      <name val="Calibri"/>
      <family val="2"/>
      <scheme val="minor"/>
    </font>
    <font>
      <b/>
      <sz val="11"/>
      <color theme="5"/>
      <name val="Calibri"/>
      <family val="2"/>
      <scheme val="minor"/>
    </font>
    <font>
      <i/>
      <sz val="10"/>
      <name val="Calibri"/>
      <family val="2"/>
      <scheme val="minor"/>
    </font>
    <font>
      <sz val="10"/>
      <color indexed="8"/>
      <name val="Calibri"/>
      <family val="2"/>
      <scheme val="minor"/>
    </font>
    <font>
      <b/>
      <sz val="9"/>
      <color theme="1"/>
      <name val="Calibri"/>
      <family val="2"/>
      <scheme val="minor"/>
    </font>
    <font>
      <sz val="9"/>
      <color rgb="FF000000"/>
      <name val="Calibri"/>
      <family val="2"/>
      <scheme val="minor"/>
    </font>
    <font>
      <b/>
      <sz val="9"/>
      <color indexed="8"/>
      <name val="Calibri"/>
      <family val="2"/>
      <scheme val="minor"/>
    </font>
    <font>
      <u/>
      <sz val="11"/>
      <color theme="10"/>
      <name val="Calibri"/>
      <family val="2"/>
      <scheme val="minor"/>
    </font>
    <font>
      <b/>
      <sz val="14"/>
      <color rgb="FFFF0000"/>
      <name val="Calibri"/>
      <family val="2"/>
      <scheme val="minor"/>
    </font>
    <font>
      <b/>
      <sz val="12"/>
      <color rgb="FFFF0000"/>
      <name val="Calibri"/>
      <family val="2"/>
      <scheme val="minor"/>
    </font>
    <font>
      <b/>
      <sz val="11"/>
      <color rgb="FFFF0000"/>
      <name val="Calibri"/>
      <family val="2"/>
      <scheme val="minor"/>
    </font>
    <font>
      <b/>
      <sz val="8"/>
      <name val="Calibri"/>
      <family val="2"/>
      <scheme val="minor"/>
    </font>
    <font>
      <b/>
      <sz val="12"/>
      <color indexed="8"/>
      <name val="Calibri"/>
      <family val="2"/>
      <scheme val="minor"/>
    </font>
    <font>
      <b/>
      <sz val="11"/>
      <color rgb="FFF08200"/>
      <name val="Calibri"/>
      <family val="2"/>
      <scheme val="minor"/>
    </font>
    <font>
      <b/>
      <sz val="11"/>
      <color rgb="FFCD032E"/>
      <name val="Calibri"/>
      <family val="2"/>
      <scheme val="minor"/>
    </font>
    <font>
      <sz val="11"/>
      <color rgb="FFCD032E"/>
      <name val="Calibri"/>
      <family val="2"/>
      <scheme val="minor"/>
    </font>
    <font>
      <b/>
      <sz val="11"/>
      <color rgb="FFAD25A8"/>
      <name val="Calibri"/>
      <family val="2"/>
      <scheme val="minor"/>
    </font>
    <font>
      <sz val="11"/>
      <color rgb="FFF08200"/>
      <name val="Calibri"/>
      <family val="2"/>
      <scheme val="minor"/>
    </font>
    <font>
      <b/>
      <sz val="11"/>
      <color rgb="FF57A519"/>
      <name val="Calibri"/>
      <family val="2"/>
      <scheme val="minor"/>
    </font>
    <font>
      <sz val="11"/>
      <color rgb="FF57A519"/>
      <name val="Calibri"/>
      <family val="2"/>
      <scheme val="minor"/>
    </font>
    <font>
      <sz val="11"/>
      <color rgb="FFAD25A8"/>
      <name val="Calibri"/>
      <family val="2"/>
      <scheme val="minor"/>
    </font>
    <font>
      <b/>
      <sz val="11"/>
      <color rgb="FF0072CE"/>
      <name val="Calibri"/>
      <family val="2"/>
      <scheme val="minor"/>
    </font>
    <font>
      <sz val="11"/>
      <color rgb="FF0072CE"/>
      <name val="Calibri"/>
      <family val="2"/>
      <scheme val="minor"/>
    </font>
    <font>
      <b/>
      <sz val="12"/>
      <color rgb="FFCD032E"/>
      <name val="Calibri"/>
      <family val="2"/>
      <scheme val="minor"/>
    </font>
    <font>
      <b/>
      <sz val="12"/>
      <color rgb="FFCD032E"/>
      <name val="Arial"/>
      <family val="2"/>
    </font>
    <font>
      <b/>
      <i/>
      <sz val="11"/>
      <color theme="1"/>
      <name val="Calibri"/>
      <family val="2"/>
      <scheme val="minor"/>
    </font>
    <font>
      <sz val="8"/>
      <color rgb="FF000000"/>
      <name val="Calibri"/>
      <family val="2"/>
      <scheme val="minor"/>
    </font>
    <font>
      <b/>
      <sz val="12"/>
      <color rgb="FFFF0000"/>
      <name val="Arial"/>
      <family val="2"/>
    </font>
    <font>
      <b/>
      <sz val="8"/>
      <color theme="1"/>
      <name val="Calibri"/>
      <family val="2"/>
      <scheme val="minor"/>
    </font>
    <font>
      <sz val="10"/>
      <color theme="9" tint="-0.249977111117893"/>
      <name val="Calibri"/>
      <family val="2"/>
      <scheme val="minor"/>
    </font>
    <font>
      <b/>
      <sz val="11"/>
      <color theme="0" tint="-0.499984740745262"/>
      <name val="Calibri"/>
      <family val="2"/>
      <scheme val="minor"/>
    </font>
    <font>
      <i/>
      <u/>
      <sz val="10"/>
      <color rgb="FFFF0000"/>
      <name val="Calibri"/>
      <family val="2"/>
      <scheme val="minor"/>
    </font>
    <font>
      <sz val="8"/>
      <color indexed="8"/>
      <name val="Calibri"/>
      <family val="2"/>
      <scheme val="minor"/>
    </font>
    <font>
      <b/>
      <i/>
      <sz val="9"/>
      <color theme="1"/>
      <name val="Calibri"/>
      <family val="2"/>
      <scheme val="minor"/>
    </font>
    <font>
      <b/>
      <sz val="10"/>
      <color theme="5" tint="-0.499984740745262"/>
      <name val="Arial"/>
      <family val="2"/>
    </font>
    <font>
      <b/>
      <i/>
      <sz val="12"/>
      <color rgb="FFFF0000"/>
      <name val="Arial"/>
      <family val="2"/>
    </font>
    <font>
      <b/>
      <i/>
      <sz val="12"/>
      <color indexed="8"/>
      <name val="Arial"/>
      <family val="2"/>
    </font>
    <font>
      <i/>
      <sz val="10"/>
      <color theme="1"/>
      <name val="Arial"/>
      <family val="2"/>
    </font>
    <font>
      <sz val="12"/>
      <color theme="1"/>
      <name val="Arial"/>
      <family val="2"/>
    </font>
    <font>
      <sz val="12"/>
      <color rgb="FFFF0000"/>
      <name val="Arial"/>
      <family val="2"/>
    </font>
    <font>
      <b/>
      <sz val="9"/>
      <color indexed="8"/>
      <name val="Arial"/>
      <family val="2"/>
    </font>
    <font>
      <sz val="11"/>
      <color theme="0"/>
      <name val="Calibri"/>
      <family val="2"/>
      <scheme val="minor"/>
    </font>
    <font>
      <b/>
      <i/>
      <sz val="11"/>
      <color rgb="FFFF0000"/>
      <name val="Calibri"/>
      <family val="2"/>
      <scheme val="minor"/>
    </font>
    <font>
      <b/>
      <i/>
      <sz val="11"/>
      <name val="Calibri"/>
      <family val="2"/>
      <scheme val="minor"/>
    </font>
    <font>
      <b/>
      <i/>
      <sz val="11"/>
      <color rgb="FF00B050"/>
      <name val="Calibri"/>
      <family val="2"/>
      <scheme val="minor"/>
    </font>
    <font>
      <sz val="11"/>
      <color rgb="FF00B050"/>
      <name val="Calibri"/>
      <family val="2"/>
      <scheme val="minor"/>
    </font>
    <font>
      <b/>
      <sz val="11"/>
      <color rgb="FF0070C0"/>
      <name val="Calibri"/>
      <family val="2"/>
      <scheme val="minor"/>
    </font>
    <font>
      <sz val="8"/>
      <color rgb="FF57A519"/>
      <name val="Calibri"/>
      <family val="2"/>
      <scheme val="minor"/>
    </font>
    <font>
      <vertAlign val="superscript"/>
      <sz val="11"/>
      <name val="Calibri"/>
      <family val="2"/>
      <scheme val="minor"/>
    </font>
    <font>
      <vertAlign val="superscript"/>
      <sz val="8"/>
      <name val="Calibri"/>
      <family val="2"/>
      <scheme val="minor"/>
    </font>
    <font>
      <u/>
      <sz val="11"/>
      <color rgb="FF000000"/>
      <name val="Calibri"/>
      <family val="2"/>
      <scheme val="minor"/>
    </font>
    <font>
      <b/>
      <sz val="14"/>
      <color rgb="FFFF0000"/>
      <name val="Arial"/>
      <family val="2"/>
    </font>
    <font>
      <sz val="11"/>
      <color theme="1"/>
      <name val="Calibri"/>
      <family val="2"/>
      <charset val="1"/>
      <scheme val="minor"/>
    </font>
    <font>
      <sz val="11"/>
      <color rgb="FF000000"/>
      <name val="Calibri"/>
      <family val="2"/>
      <charset val="1"/>
    </font>
    <font>
      <sz val="9"/>
      <color rgb="FF0070C0"/>
      <name val="Calibri"/>
      <family val="2"/>
      <scheme val="minor"/>
    </font>
    <font>
      <b/>
      <sz val="8"/>
      <color theme="1"/>
      <name val="Arial"/>
      <family val="2"/>
    </font>
    <font>
      <sz val="9"/>
      <color rgb="FF000000"/>
      <name val="Arial"/>
      <family val="2"/>
    </font>
    <font>
      <b/>
      <sz val="14"/>
      <name val="Arial"/>
      <family val="2"/>
    </font>
    <font>
      <i/>
      <sz val="9"/>
      <color indexed="8"/>
      <name val="Arial"/>
      <family val="2"/>
    </font>
    <font>
      <sz val="12"/>
      <name val="Arial"/>
      <family val="2"/>
    </font>
    <font>
      <b/>
      <sz val="18"/>
      <color indexed="8"/>
      <name val="Calibri"/>
      <family val="2"/>
      <scheme val="minor"/>
    </font>
    <font>
      <i/>
      <sz val="8"/>
      <color rgb="FF222222"/>
      <name val="Calibri"/>
      <family val="2"/>
      <scheme val="minor"/>
    </font>
    <font>
      <b/>
      <sz val="9"/>
      <name val="Arial"/>
      <family val="2"/>
    </font>
    <font>
      <b/>
      <sz val="11"/>
      <color rgb="FFCD032E"/>
      <name val="Calibri"/>
      <family val="2"/>
    </font>
    <font>
      <b/>
      <sz val="11"/>
      <color rgb="FFF08200"/>
      <name val="Calibri"/>
      <family val="2"/>
    </font>
    <font>
      <b/>
      <sz val="11"/>
      <color rgb="FF57A519"/>
      <name val="Calibri"/>
      <family val="2"/>
    </font>
    <font>
      <b/>
      <sz val="11"/>
      <color rgb="FFAD25A8"/>
      <name val="Calibri"/>
      <family val="2"/>
    </font>
    <font>
      <b/>
      <sz val="11"/>
      <color rgb="FF0072CE"/>
      <name val="Calibri"/>
      <family val="2"/>
    </font>
    <font>
      <u/>
      <sz val="10"/>
      <color indexed="12"/>
      <name val="Arial"/>
      <family val="2"/>
    </font>
    <font>
      <b/>
      <u/>
      <sz val="11"/>
      <color rgb="FF000000"/>
      <name val="Calibri"/>
      <family val="2"/>
      <scheme val="minor"/>
    </font>
    <font>
      <b/>
      <u/>
      <sz val="11"/>
      <name val="Calibri"/>
      <family val="2"/>
      <scheme val="minor"/>
    </font>
    <font>
      <sz val="8"/>
      <name val="Helv"/>
    </font>
    <font>
      <sz val="11"/>
      <color theme="5" tint="-0.499984740745262"/>
      <name val="Calibri"/>
      <family val="2"/>
      <scheme val="minor"/>
    </font>
    <font>
      <b/>
      <i/>
      <sz val="16"/>
      <color theme="1"/>
      <name val="Arial"/>
      <family val="2"/>
    </font>
    <font>
      <sz val="12"/>
      <color theme="0"/>
      <name val="Arial"/>
      <family val="2"/>
    </font>
    <font>
      <b/>
      <sz val="9"/>
      <color theme="1"/>
      <name val="Arial"/>
      <family val="2"/>
    </font>
    <font>
      <b/>
      <i/>
      <sz val="11"/>
      <name val="Arial"/>
      <family val="2"/>
    </font>
    <font>
      <b/>
      <i/>
      <sz val="9"/>
      <name val="Arial"/>
      <family val="2"/>
    </font>
    <font>
      <sz val="36"/>
      <color theme="1"/>
      <name val="Calibri Light"/>
      <family val="2"/>
    </font>
    <font>
      <sz val="24"/>
      <color theme="1"/>
      <name val="Calibri Light"/>
      <family val="2"/>
    </font>
    <font>
      <sz val="48"/>
      <color theme="1"/>
      <name val="Calibri Light"/>
      <family val="2"/>
    </font>
    <font>
      <b/>
      <i/>
      <sz val="10"/>
      <name val="Arial"/>
      <family val="2"/>
    </font>
    <font>
      <b/>
      <sz val="9"/>
      <color rgb="FFFF0000"/>
      <name val="Calibri"/>
      <family val="2"/>
      <scheme val="minor"/>
    </font>
    <font>
      <b/>
      <i/>
      <sz val="9"/>
      <name val="Calibri"/>
      <family val="2"/>
      <scheme val="minor"/>
    </font>
    <font>
      <b/>
      <sz val="12"/>
      <name val="Calibri"/>
      <family val="2"/>
      <scheme val="minor"/>
    </font>
    <font>
      <b/>
      <sz val="12"/>
      <color rgb="FFCC9900"/>
      <name val="Calibri"/>
      <family val="2"/>
      <scheme val="minor"/>
    </font>
    <font>
      <b/>
      <i/>
      <sz val="11"/>
      <color rgb="FFFF0000"/>
      <name val="Arial"/>
      <family val="2"/>
    </font>
    <font>
      <sz val="9"/>
      <color indexed="8"/>
      <name val="Arial Bold"/>
    </font>
    <font>
      <b/>
      <i/>
      <sz val="10"/>
      <name val="Calibri"/>
      <family val="2"/>
      <scheme val="minor"/>
    </font>
    <font>
      <b/>
      <sz val="9"/>
      <color indexed="8"/>
      <name val="Arial Bold"/>
    </font>
    <font>
      <b/>
      <sz val="9"/>
      <color rgb="FFC00000"/>
      <name val="Calibri"/>
      <family val="2"/>
      <scheme val="minor"/>
    </font>
    <font>
      <sz val="22"/>
      <color theme="1"/>
      <name val="Wingdings 3"/>
      <family val="1"/>
      <charset val="2"/>
    </font>
    <font>
      <sz val="11"/>
      <color theme="5" tint="-0.499984740745262"/>
      <name val="Arial"/>
      <family val="2"/>
    </font>
    <font>
      <i/>
      <sz val="14"/>
      <color theme="1"/>
      <name val="Arial"/>
      <family val="2"/>
    </font>
    <font>
      <b/>
      <i/>
      <sz val="12"/>
      <color rgb="FFFF0000"/>
      <name val="Calibri"/>
      <family val="2"/>
      <scheme val="minor"/>
    </font>
    <font>
      <u/>
      <sz val="11"/>
      <color theme="10"/>
      <name val="Calibri"/>
      <family val="2"/>
    </font>
    <font>
      <sz val="12"/>
      <color indexed="8"/>
      <name val="Verdana"/>
      <family val="2"/>
    </font>
    <font>
      <sz val="8"/>
      <color rgb="FFFF0000"/>
      <name val="Calibri"/>
      <family val="2"/>
      <scheme val="minor"/>
    </font>
    <font>
      <b/>
      <sz val="9"/>
      <color rgb="FF0072CE"/>
      <name val="Calibri"/>
      <family val="2"/>
      <scheme val="minor"/>
    </font>
    <font>
      <u/>
      <sz val="8"/>
      <color theme="10"/>
      <name val="Calibri"/>
      <family val="2"/>
      <scheme val="minor"/>
    </font>
    <font>
      <b/>
      <sz val="11"/>
      <color rgb="FF353535"/>
      <name val="Calibri"/>
      <family val="2"/>
      <scheme val="minor"/>
    </font>
    <font>
      <b/>
      <sz val="10"/>
      <color rgb="FFFF0000"/>
      <name val="Calibri"/>
      <family val="2"/>
      <scheme val="minor"/>
    </font>
    <font>
      <b/>
      <sz val="9"/>
      <color rgb="FFFF0000"/>
      <name val="Arial"/>
      <family val="2"/>
    </font>
    <font>
      <sz val="12"/>
      <color rgb="FFFF0000"/>
      <name val="Calibri"/>
      <family val="2"/>
      <scheme val="minor"/>
    </font>
    <font>
      <sz val="9"/>
      <color rgb="FFFF0000"/>
      <name val="Calibri"/>
      <family val="2"/>
      <scheme val="minor"/>
    </font>
    <font>
      <b/>
      <i/>
      <sz val="11"/>
      <color theme="1"/>
      <name val="Arial"/>
      <family val="2"/>
    </font>
    <font>
      <b/>
      <i/>
      <sz val="10"/>
      <color theme="1"/>
      <name val="Arial"/>
      <family val="2"/>
    </font>
    <font>
      <sz val="11"/>
      <color theme="0" tint="-0.34998626667073579"/>
      <name val="Calibri"/>
      <family val="2"/>
      <scheme val="minor"/>
    </font>
    <font>
      <b/>
      <sz val="14"/>
      <color indexed="8"/>
      <name val="Calibri"/>
      <family val="2"/>
      <scheme val="minor"/>
    </font>
    <font>
      <sz val="12"/>
      <color theme="0" tint="-0.499984740745262"/>
      <name val="Arial"/>
      <family val="2"/>
    </font>
    <font>
      <b/>
      <sz val="8"/>
      <color rgb="FFFF0000"/>
      <name val="Arial"/>
      <family val="2"/>
    </font>
    <font>
      <b/>
      <sz val="8"/>
      <color rgb="FFFF0000"/>
      <name val="Calibri"/>
      <family val="2"/>
      <scheme val="minor"/>
    </font>
    <font>
      <sz val="9"/>
      <color theme="0"/>
      <name val="Calibri"/>
      <family val="2"/>
      <scheme val="minor"/>
    </font>
    <font>
      <b/>
      <sz val="9"/>
      <color theme="0"/>
      <name val="Calibri"/>
      <family val="2"/>
      <scheme val="minor"/>
    </font>
    <font>
      <sz val="8"/>
      <color rgb="FFAD25A8"/>
      <name val="Calibri"/>
      <family val="2"/>
      <scheme val="minor"/>
    </font>
    <font>
      <i/>
      <sz val="10"/>
      <color indexed="8"/>
      <name val="Arial"/>
      <family val="2"/>
    </font>
    <font>
      <b/>
      <sz val="14"/>
      <color theme="0"/>
      <name val="Arial"/>
      <family val="2"/>
    </font>
    <font>
      <b/>
      <sz val="12"/>
      <color theme="0"/>
      <name val="Arial"/>
      <family val="2"/>
    </font>
    <font>
      <sz val="8"/>
      <color rgb="FF000000"/>
      <name val="Arial"/>
      <family val="2"/>
    </font>
    <font>
      <vertAlign val="superscript"/>
      <sz val="11"/>
      <color theme="1"/>
      <name val="Calibri"/>
      <family val="2"/>
      <scheme val="minor"/>
    </font>
    <font>
      <i/>
      <sz val="8"/>
      <color theme="1"/>
      <name val="Calibri"/>
      <family val="2"/>
      <scheme val="minor"/>
    </font>
    <font>
      <sz val="11"/>
      <color rgb="FF353535"/>
      <name val="Calibri"/>
      <family val="2"/>
      <scheme val="minor"/>
    </font>
    <font>
      <i/>
      <sz val="9"/>
      <name val="Calibri"/>
      <family val="2"/>
      <scheme val="minor"/>
    </font>
    <font>
      <i/>
      <sz val="11"/>
      <name val="Calibri"/>
      <family val="2"/>
      <scheme val="minor"/>
    </font>
    <font>
      <i/>
      <sz val="9"/>
      <color rgb="FF0072CE"/>
      <name val="Calibri"/>
      <family val="2"/>
      <scheme val="minor"/>
    </font>
    <font>
      <i/>
      <sz val="10"/>
      <color rgb="FF0072CE"/>
      <name val="Calibri"/>
      <family val="2"/>
      <scheme val="minor"/>
    </font>
    <font>
      <sz val="8"/>
      <name val="Calibri"/>
      <family val="2"/>
    </font>
    <font>
      <i/>
      <sz val="9"/>
      <color indexed="8"/>
      <name val="Calibri"/>
      <family val="2"/>
      <scheme val="minor"/>
    </font>
    <font>
      <i/>
      <sz val="9"/>
      <color theme="1"/>
      <name val="Calibri"/>
      <family val="2"/>
      <scheme val="minor"/>
    </font>
    <font>
      <i/>
      <sz val="11"/>
      <color theme="1"/>
      <name val="Calibri"/>
      <family val="2"/>
      <scheme val="minor"/>
    </font>
    <font>
      <sz val="11"/>
      <name val="Calibri"/>
      <family val="2"/>
    </font>
    <font>
      <i/>
      <sz val="8"/>
      <color theme="2" tint="-0.499984740745262"/>
      <name val="Calibri"/>
      <family val="2"/>
      <scheme val="minor"/>
    </font>
    <font>
      <b/>
      <i/>
      <sz val="12"/>
      <color rgb="FF353535"/>
      <name val="Calibri"/>
      <family val="2"/>
      <scheme val="minor"/>
    </font>
    <font>
      <b/>
      <sz val="9"/>
      <color rgb="FF000000"/>
      <name val="Arial"/>
      <family val="2"/>
    </font>
    <font>
      <b/>
      <sz val="9"/>
      <color rgb="FF000000"/>
      <name val="Calibri"/>
      <family val="2"/>
      <scheme val="minor"/>
    </font>
    <font>
      <b/>
      <sz val="10"/>
      <color indexed="8"/>
      <name val="Calibri"/>
      <family val="2"/>
      <scheme val="minor"/>
    </font>
    <font>
      <sz val="10"/>
      <name val="Verdana"/>
      <family val="2"/>
    </font>
    <font>
      <b/>
      <sz val="11"/>
      <color rgb="FFC00000"/>
      <name val="Arial"/>
      <family val="2"/>
    </font>
    <font>
      <b/>
      <sz val="12"/>
      <name val="Calibri"/>
      <family val="2"/>
    </font>
    <font>
      <b/>
      <sz val="9"/>
      <name val="Calibri"/>
      <family val="2"/>
    </font>
    <font>
      <b/>
      <i/>
      <sz val="12"/>
      <color rgb="FFCD032E"/>
      <name val="Calibri"/>
      <family val="2"/>
      <scheme val="minor"/>
    </font>
    <font>
      <i/>
      <sz val="9"/>
      <color rgb="FFCD032E"/>
      <name val="Calibri"/>
      <family val="2"/>
      <scheme val="minor"/>
    </font>
    <font>
      <b/>
      <i/>
      <sz val="12"/>
      <color rgb="FFF08200"/>
      <name val="Calibri"/>
      <family val="2"/>
      <scheme val="minor"/>
    </font>
    <font>
      <i/>
      <sz val="9"/>
      <color rgb="FFF08200"/>
      <name val="Calibri"/>
      <family val="2"/>
      <scheme val="minor"/>
    </font>
    <font>
      <b/>
      <i/>
      <sz val="12"/>
      <color rgb="FF57A519"/>
      <name val="Calibri"/>
      <family val="2"/>
      <scheme val="minor"/>
    </font>
    <font>
      <sz val="10"/>
      <color rgb="FFAD25A8"/>
      <name val="Arial"/>
      <family val="2"/>
    </font>
    <font>
      <b/>
      <i/>
      <sz val="12"/>
      <color rgb="FFAD25A8"/>
      <name val="Calibri"/>
      <family val="2"/>
      <scheme val="minor"/>
    </font>
    <font>
      <b/>
      <i/>
      <sz val="12"/>
      <color rgb="FF0072CE"/>
      <name val="Calibri"/>
      <family val="2"/>
      <scheme val="minor"/>
    </font>
    <font>
      <sz val="12"/>
      <color rgb="FF000000"/>
      <name val="Calibri"/>
      <family val="2"/>
    </font>
    <font>
      <i/>
      <sz val="11"/>
      <color indexed="8"/>
      <name val="Calibri"/>
      <family val="2"/>
      <scheme val="minor"/>
    </font>
    <font>
      <b/>
      <i/>
      <sz val="11"/>
      <color theme="9" tint="-0.249977111117893"/>
      <name val="Calibri"/>
      <family val="2"/>
      <scheme val="minor"/>
    </font>
    <font>
      <b/>
      <sz val="12"/>
      <color theme="0"/>
      <name val="Calibri"/>
      <family val="2"/>
      <scheme val="minor"/>
    </font>
    <font>
      <sz val="10"/>
      <color rgb="FF57A519"/>
      <name val="Arial"/>
      <family val="2"/>
    </font>
    <font>
      <b/>
      <i/>
      <sz val="12"/>
      <color theme="1" tint="0.34998626667073579"/>
      <name val="Calibri"/>
      <family val="2"/>
      <scheme val="minor"/>
    </font>
    <font>
      <b/>
      <u/>
      <sz val="14"/>
      <color theme="1"/>
      <name val="Calibri"/>
      <family val="2"/>
      <scheme val="minor"/>
    </font>
    <font>
      <b/>
      <sz val="11"/>
      <color theme="1" tint="0.499984740745262"/>
      <name val="Arial"/>
      <family val="2"/>
    </font>
    <font>
      <b/>
      <i/>
      <sz val="14"/>
      <color theme="1"/>
      <name val="Calibri"/>
      <family val="2"/>
      <scheme val="minor"/>
    </font>
    <font>
      <b/>
      <i/>
      <sz val="20"/>
      <color theme="1"/>
      <name val="Arial"/>
      <family val="2"/>
    </font>
    <font>
      <b/>
      <sz val="14"/>
      <color rgb="FFCD032E"/>
      <name val="Calibri"/>
      <family val="2"/>
      <scheme val="minor"/>
    </font>
    <font>
      <b/>
      <sz val="10"/>
      <color rgb="FFC00000"/>
      <name val="Calibri"/>
      <family val="2"/>
      <scheme val="minor"/>
    </font>
    <font>
      <i/>
      <u/>
      <sz val="8"/>
      <color theme="1"/>
      <name val="Calibri"/>
      <family val="2"/>
      <scheme val="minor"/>
    </font>
    <font>
      <b/>
      <sz val="11"/>
      <color rgb="FFFF9900"/>
      <name val="Calibri"/>
      <family val="2"/>
      <scheme val="minor"/>
    </font>
    <font>
      <i/>
      <sz val="11"/>
      <color rgb="FFAD25A8"/>
      <name val="Calibri"/>
      <family val="2"/>
      <scheme val="minor"/>
    </font>
    <font>
      <i/>
      <sz val="11"/>
      <color rgb="FF0072CE"/>
      <name val="Calibri"/>
      <family val="2"/>
      <scheme val="minor"/>
    </font>
    <font>
      <b/>
      <sz val="12"/>
      <color indexed="10"/>
      <name val="Arial"/>
      <family val="2"/>
    </font>
    <font>
      <i/>
      <sz val="9"/>
      <color rgb="FFFF0000"/>
      <name val="Calibri"/>
      <family val="2"/>
      <scheme val="minor"/>
    </font>
    <font>
      <i/>
      <sz val="8"/>
      <color rgb="FFAD25A8"/>
      <name val="Calibri"/>
      <family val="2"/>
      <scheme val="minor"/>
    </font>
    <font>
      <i/>
      <sz val="8"/>
      <color rgb="FF0072CE"/>
      <name val="Calibri"/>
      <family val="2"/>
      <scheme val="minor"/>
    </font>
    <font>
      <i/>
      <sz val="8"/>
      <color rgb="FFCD032E"/>
      <name val="Calibri"/>
      <family val="2"/>
      <scheme val="minor"/>
    </font>
    <font>
      <sz val="8"/>
      <color rgb="FFF08200"/>
      <name val="Calibri"/>
      <family val="2"/>
      <scheme val="minor"/>
    </font>
    <font>
      <b/>
      <i/>
      <sz val="8"/>
      <name val="Calibri"/>
      <family val="2"/>
      <scheme val="minor"/>
    </font>
    <font>
      <b/>
      <sz val="8"/>
      <color rgb="FFC00000"/>
      <name val="Calibri"/>
      <family val="2"/>
      <scheme val="minor"/>
    </font>
    <font>
      <b/>
      <sz val="8"/>
      <color indexed="8"/>
      <name val="Calibri"/>
      <family val="2"/>
      <scheme val="minor"/>
    </font>
    <font>
      <sz val="12"/>
      <name val="Calibri"/>
      <family val="2"/>
      <scheme val="minor"/>
    </font>
    <font>
      <b/>
      <sz val="16"/>
      <color rgb="FFFF0000"/>
      <name val="Arial"/>
      <family val="2"/>
    </font>
    <font>
      <sz val="8"/>
      <color indexed="8"/>
      <name val="Calibri"/>
      <family val="2"/>
    </font>
    <font>
      <sz val="14"/>
      <color rgb="FFFF0000"/>
      <name val="Calibri"/>
      <family val="2"/>
      <scheme val="minor"/>
    </font>
    <font>
      <sz val="9"/>
      <color indexed="8"/>
      <name val="Calibri"/>
      <family val="2"/>
    </font>
    <font>
      <b/>
      <sz val="9"/>
      <color indexed="8"/>
      <name val="Calibri"/>
      <family val="2"/>
    </font>
    <font>
      <sz val="10"/>
      <color indexed="8"/>
      <name val="Arial"/>
      <family val="2"/>
    </font>
    <font>
      <b/>
      <sz val="9"/>
      <color theme="4"/>
      <name val="Calibri"/>
      <family val="2"/>
    </font>
    <font>
      <b/>
      <sz val="9"/>
      <color rgb="FFFF0000"/>
      <name val="Calibri"/>
      <family val="2"/>
    </font>
    <font>
      <b/>
      <i/>
      <sz val="9"/>
      <color rgb="FFFF0000"/>
      <name val="Arial"/>
      <family val="2"/>
    </font>
    <font>
      <sz val="9"/>
      <color rgb="FFFF9900"/>
      <name val="Calibri"/>
      <family val="2"/>
    </font>
    <font>
      <b/>
      <sz val="9"/>
      <color rgb="FFFF9900"/>
      <name val="Calibri"/>
      <family val="2"/>
    </font>
    <font>
      <sz val="11"/>
      <color rgb="FFFF9900"/>
      <name val="Calibri"/>
      <family val="2"/>
      <scheme val="minor"/>
    </font>
    <font>
      <b/>
      <sz val="11"/>
      <color theme="9"/>
      <name val="Calibri"/>
      <family val="2"/>
      <scheme val="minor"/>
    </font>
    <font>
      <b/>
      <sz val="11"/>
      <color theme="0" tint="-0.34998626667073579"/>
      <name val="Calibri"/>
      <family val="2"/>
      <scheme val="minor"/>
    </font>
    <font>
      <sz val="10"/>
      <color indexed="8"/>
      <name val="Arial"/>
      <family val="2"/>
    </font>
    <font>
      <sz val="9"/>
      <color theme="8"/>
      <name val="Calibri"/>
      <family val="2"/>
    </font>
    <font>
      <b/>
      <sz val="9"/>
      <color theme="8"/>
      <name val="Calibri"/>
      <family val="2"/>
    </font>
    <font>
      <b/>
      <sz val="9"/>
      <color theme="0" tint="-0.34998626667073579"/>
      <name val="Calibri"/>
      <family val="2"/>
      <scheme val="minor"/>
    </font>
    <font>
      <b/>
      <sz val="9"/>
      <color rgb="FFCD032E"/>
      <name val="Calibri"/>
      <family val="2"/>
    </font>
    <font>
      <sz val="9"/>
      <color rgb="FFCD032E"/>
      <name val="Calibri"/>
      <family val="2"/>
    </font>
    <font>
      <b/>
      <sz val="9"/>
      <color rgb="FF57A519"/>
      <name val="Calibri"/>
      <family val="2"/>
    </font>
    <font>
      <sz val="9"/>
      <color rgb="FF57A519"/>
      <name val="Calibri"/>
      <family val="2"/>
    </font>
    <font>
      <sz val="9"/>
      <color theme="4"/>
      <name val="Calibri"/>
      <family val="2"/>
    </font>
    <font>
      <b/>
      <sz val="9"/>
      <color rgb="FFAD25A8"/>
      <name val="Calibri"/>
      <family val="2"/>
    </font>
    <font>
      <sz val="9"/>
      <color rgb="FFAD25A8"/>
      <name val="Calibri"/>
      <family val="2"/>
    </font>
    <font>
      <b/>
      <sz val="11"/>
      <color theme="4"/>
      <name val="Calibri"/>
      <family val="2"/>
      <scheme val="minor"/>
    </font>
    <font>
      <b/>
      <sz val="11"/>
      <name val="Calibri"/>
      <family val="2"/>
    </font>
    <font>
      <b/>
      <i/>
      <sz val="9"/>
      <color rgb="FFFF0000"/>
      <name val="Calibri"/>
      <family val="2"/>
      <scheme val="minor"/>
    </font>
    <font>
      <sz val="8"/>
      <color rgb="FFF08200"/>
      <name val="Calibri"/>
      <family val="2"/>
    </font>
    <font>
      <sz val="9"/>
      <color rgb="FFF08200"/>
      <name val="Calibri"/>
      <family val="2"/>
    </font>
    <font>
      <sz val="9"/>
      <color rgb="FFF08200"/>
      <name val="Calibri"/>
      <family val="2"/>
      <scheme val="minor"/>
    </font>
    <font>
      <b/>
      <sz val="9"/>
      <color rgb="FFF08200"/>
      <name val="Calibri"/>
      <family val="2"/>
    </font>
    <font>
      <b/>
      <sz val="8"/>
      <color indexed="8"/>
      <name val="Calibri"/>
      <family val="2"/>
    </font>
    <font>
      <b/>
      <sz val="8"/>
      <color rgb="FFF08200"/>
      <name val="Calibri"/>
      <family val="2"/>
    </font>
    <font>
      <sz val="10"/>
      <color indexed="8"/>
      <name val="Arial"/>
      <family val="2"/>
    </font>
    <font>
      <b/>
      <sz val="9"/>
      <color rgb="FFF08200"/>
      <name val="Calibri"/>
      <family val="2"/>
      <scheme val="minor"/>
    </font>
    <font>
      <sz val="11"/>
      <color rgb="FFFF0000"/>
      <name val="Arial"/>
      <family val="2"/>
    </font>
    <font>
      <sz val="9"/>
      <name val="Calibri"/>
      <family val="2"/>
    </font>
    <font>
      <sz val="9"/>
      <color theme="0"/>
      <name val="Calibri"/>
      <family val="2"/>
    </font>
    <font>
      <b/>
      <sz val="9"/>
      <color rgb="FF0072CE"/>
      <name val="Calibri"/>
      <family val="2"/>
    </font>
    <font>
      <sz val="9"/>
      <color rgb="FF0072CE"/>
      <name val="Calibri"/>
      <family val="2"/>
    </font>
    <font>
      <sz val="10"/>
      <color indexed="8"/>
      <name val="Arial"/>
      <family val="2"/>
    </font>
    <font>
      <b/>
      <i/>
      <sz val="11"/>
      <color theme="0"/>
      <name val="Arial"/>
      <family val="2"/>
    </font>
    <font>
      <b/>
      <sz val="9"/>
      <color rgb="FF0070C0"/>
      <name val="Calibri"/>
      <family val="2"/>
    </font>
    <font>
      <b/>
      <sz val="9"/>
      <color rgb="FF00B050"/>
      <name val="Calibri"/>
      <family val="2"/>
      <scheme val="minor"/>
    </font>
    <font>
      <b/>
      <vertAlign val="superscript"/>
      <sz val="9"/>
      <name val="Calibri (Cuerpo)"/>
    </font>
    <font>
      <sz val="9"/>
      <color rgb="FFFF0000"/>
      <name val="Calibri"/>
      <family val="2"/>
    </font>
    <font>
      <sz val="9"/>
      <color rgb="FF00B050"/>
      <name val="Calibri"/>
      <family val="2"/>
    </font>
    <font>
      <b/>
      <sz val="9"/>
      <color rgb="FF00B050"/>
      <name val="Calibri"/>
      <family val="2"/>
    </font>
    <font>
      <sz val="9"/>
      <color rgb="FF0070C0"/>
      <name val="Calibri"/>
      <family val="2"/>
    </font>
    <font>
      <b/>
      <sz val="11"/>
      <color rgb="FF0070C0"/>
      <name val="Calibri"/>
      <family val="2"/>
    </font>
    <font>
      <i/>
      <sz val="9"/>
      <color rgb="FF57A519"/>
      <name val="Calibri"/>
      <family val="2"/>
      <scheme val="minor"/>
    </font>
    <font>
      <i/>
      <sz val="9"/>
      <color rgb="FFAD25A8"/>
      <name val="Calibri"/>
      <family val="2"/>
      <scheme val="minor"/>
    </font>
    <font>
      <u/>
      <sz val="8"/>
      <name val="Calibri"/>
      <family val="2"/>
      <scheme val="minor"/>
    </font>
    <font>
      <sz val="10"/>
      <color indexed="8"/>
      <name val="Arial"/>
      <family val="2"/>
    </font>
    <font>
      <sz val="11"/>
      <color indexed="8"/>
      <name val="Calibri"/>
      <family val="2"/>
    </font>
    <font>
      <sz val="9"/>
      <color rgb="FF57A519"/>
      <name val="Calibri"/>
      <family val="2"/>
      <scheme val="minor"/>
    </font>
    <font>
      <b/>
      <sz val="10"/>
      <color rgb="FF000000"/>
      <name val="Calibri"/>
      <family val="2"/>
      <scheme val="minor"/>
    </font>
    <font>
      <i/>
      <sz val="9"/>
      <color rgb="FF000000"/>
      <name val="Calibri"/>
      <family val="2"/>
      <scheme val="minor"/>
    </font>
    <font>
      <sz val="9"/>
      <color indexed="63"/>
      <name val="Calibri"/>
      <family val="2"/>
      <scheme val="minor"/>
    </font>
    <font>
      <b/>
      <sz val="9"/>
      <color rgb="FFCD032E"/>
      <name val="Calibri"/>
      <family val="2"/>
      <scheme val="minor"/>
    </font>
    <font>
      <b/>
      <sz val="9"/>
      <color theme="9" tint="-0.249977111117893"/>
      <name val="Calibri"/>
      <family val="2"/>
      <scheme val="minor"/>
    </font>
    <font>
      <b/>
      <sz val="9"/>
      <color rgb="FF57A519"/>
      <name val="Calibri"/>
      <family val="2"/>
      <scheme val="minor"/>
    </font>
    <font>
      <b/>
      <sz val="9"/>
      <color rgb="FFAD25A8"/>
      <name val="Calibri"/>
      <family val="2"/>
      <scheme val="minor"/>
    </font>
    <font>
      <sz val="9"/>
      <color rgb="FF0072CE"/>
      <name val="Calibri"/>
      <family val="2"/>
      <scheme val="minor"/>
    </font>
    <font>
      <sz val="9"/>
      <color theme="0" tint="-0.34998626667073579"/>
      <name val="Calibri"/>
      <family val="2"/>
    </font>
    <font>
      <b/>
      <sz val="10"/>
      <color rgb="FFCD032E"/>
      <name val="Calibri"/>
      <family val="2"/>
      <scheme val="minor"/>
    </font>
    <font>
      <b/>
      <sz val="10"/>
      <color rgb="FF57A519"/>
      <name val="Calibri"/>
      <family val="2"/>
      <scheme val="minor"/>
    </font>
    <font>
      <b/>
      <sz val="10"/>
      <color rgb="FFF08200"/>
      <name val="Calibri"/>
      <family val="2"/>
      <scheme val="minor"/>
    </font>
    <font>
      <b/>
      <sz val="10"/>
      <color rgb="FFCD032E"/>
      <name val="Calibri"/>
      <family val="2"/>
    </font>
    <font>
      <b/>
      <sz val="9"/>
      <color theme="9" tint="-0.249977111117893"/>
      <name val="Calibri"/>
      <family val="2"/>
    </font>
    <font>
      <sz val="11"/>
      <color theme="9" tint="-0.249977111117893"/>
      <name val="Calibri"/>
      <family val="2"/>
      <scheme val="minor"/>
    </font>
    <font>
      <sz val="9"/>
      <color theme="9" tint="-0.249977111117893"/>
      <name val="Calibri"/>
      <family val="2"/>
      <scheme val="minor"/>
    </font>
    <font>
      <b/>
      <sz val="11"/>
      <color theme="9" tint="-0.249977111117893"/>
      <name val="Calibri"/>
      <family val="2"/>
      <scheme val="minor"/>
    </font>
    <font>
      <b/>
      <sz val="11"/>
      <color theme="8"/>
      <name val="Calibri"/>
      <family val="2"/>
      <scheme val="minor"/>
    </font>
    <font>
      <b/>
      <sz val="11"/>
      <color theme="9" tint="-0.249977111117893"/>
      <name val="Calibri"/>
      <family val="2"/>
    </font>
    <font>
      <sz val="11"/>
      <color rgb="FFC00000"/>
      <name val="Calibri"/>
      <family val="2"/>
      <scheme val="minor"/>
    </font>
    <font>
      <sz val="9"/>
      <color rgb="FF00B050"/>
      <name val="Calibri"/>
      <family val="2"/>
      <scheme val="minor"/>
    </font>
    <font>
      <b/>
      <sz val="16"/>
      <color theme="0" tint="-0.499984740745262"/>
      <name val="Calibri"/>
      <family val="2"/>
      <scheme val="minor"/>
    </font>
    <font>
      <b/>
      <sz val="9"/>
      <color theme="0" tint="-0.499984740745262"/>
      <name val="Calibri"/>
      <family val="2"/>
      <scheme val="minor"/>
    </font>
    <font>
      <i/>
      <sz val="11"/>
      <color rgb="FF00B050"/>
      <name val="Calibri"/>
      <family val="2"/>
      <scheme val="minor"/>
    </font>
    <font>
      <i/>
      <sz val="11"/>
      <color rgb="FFFF0000"/>
      <name val="Calibri"/>
      <family val="2"/>
      <scheme val="minor"/>
    </font>
    <font>
      <sz val="11"/>
      <color theme="0" tint="-0.499984740745262"/>
      <name val="Calibri"/>
      <family val="2"/>
      <scheme val="minor"/>
    </font>
    <font>
      <sz val="9"/>
      <color rgb="FFC00000"/>
      <name val="Calibri"/>
      <family val="2"/>
      <scheme val="minor"/>
    </font>
    <font>
      <sz val="10"/>
      <color indexed="8"/>
      <name val="Arial"/>
      <family val="2"/>
    </font>
    <font>
      <sz val="11"/>
      <color indexed="8"/>
      <name val="Calibri"/>
      <family val="2"/>
    </font>
    <font>
      <b/>
      <i/>
      <sz val="14"/>
      <color theme="1"/>
      <name val="Arial"/>
      <family val="2"/>
    </font>
    <font>
      <i/>
      <sz val="11"/>
      <color theme="1"/>
      <name val="Arial"/>
      <family val="2"/>
    </font>
    <font>
      <b/>
      <i/>
      <sz val="22"/>
      <name val="Arial"/>
      <family val="2"/>
    </font>
    <font>
      <i/>
      <sz val="8"/>
      <color rgb="FFFF0000"/>
      <name val="Calibri"/>
      <family val="2"/>
      <scheme val="minor"/>
    </font>
    <font>
      <i/>
      <sz val="9"/>
      <color rgb="FF0070C0"/>
      <name val="Calibri"/>
      <family val="2"/>
      <scheme val="minor"/>
    </font>
    <font>
      <b/>
      <i/>
      <sz val="11"/>
      <color theme="1" tint="0.499984740745262"/>
      <name val="Calibri"/>
      <family val="2"/>
      <scheme val="minor"/>
    </font>
    <font>
      <i/>
      <sz val="9"/>
      <color theme="0" tint="-0.34998626667073579"/>
      <name val="Calibri"/>
      <family val="2"/>
      <scheme val="minor"/>
    </font>
    <font>
      <i/>
      <sz val="8"/>
      <name val="Calibri"/>
      <family val="2"/>
      <scheme val="minor"/>
    </font>
    <font>
      <i/>
      <sz val="9"/>
      <color rgb="FF00B050"/>
      <name val="Calibri"/>
      <family val="2"/>
      <scheme val="minor"/>
    </font>
    <font>
      <i/>
      <sz val="9"/>
      <color theme="0" tint="-0.499984740745262"/>
      <name val="Calibri"/>
      <family val="2"/>
      <scheme val="minor"/>
    </font>
    <font>
      <i/>
      <sz val="12"/>
      <color theme="1"/>
      <name val="Calibri"/>
      <family val="2"/>
      <scheme val="minor"/>
    </font>
    <font>
      <vertAlign val="superscript"/>
      <sz val="10"/>
      <name val="Calibri"/>
      <family val="2"/>
      <scheme val="minor"/>
    </font>
  </fonts>
  <fills count="72">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D9D9D9"/>
        <bgColor indexed="64"/>
      </patternFill>
    </fill>
    <fill>
      <patternFill patternType="solid">
        <fgColor rgb="FFFFFF66"/>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rgb="FFFFFFFF"/>
        <bgColor indexed="64"/>
      </patternFill>
    </fill>
    <fill>
      <patternFill patternType="solid">
        <fgColor rgb="FFCD032E"/>
        <bgColor indexed="64"/>
      </patternFill>
    </fill>
    <fill>
      <patternFill patternType="solid">
        <fgColor rgb="FFF08200"/>
        <bgColor indexed="64"/>
      </patternFill>
    </fill>
    <fill>
      <patternFill patternType="solid">
        <fgColor rgb="FF57A519"/>
        <bgColor indexed="64"/>
      </patternFill>
    </fill>
    <fill>
      <patternFill patternType="solid">
        <fgColor rgb="FFAD25A8"/>
        <bgColor indexed="64"/>
      </patternFill>
    </fill>
    <fill>
      <patternFill patternType="solid">
        <fgColor rgb="FF0072CE"/>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C00000"/>
        <bgColor indexed="64"/>
      </patternFill>
    </fill>
    <fill>
      <patternFill patternType="solid">
        <fgColor rgb="FFFFFFCC"/>
      </patternFill>
    </fill>
    <fill>
      <patternFill patternType="solid">
        <fgColor theme="1"/>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00"/>
        <bgColor indexed="64"/>
      </patternFill>
    </fill>
    <fill>
      <patternFill patternType="solid">
        <fgColor theme="4"/>
        <bgColor indexed="64"/>
      </patternFill>
    </fill>
    <fill>
      <patternFill patternType="solid">
        <fgColor rgb="FFFF9900"/>
        <bgColor indexed="64"/>
      </patternFill>
    </fill>
    <fill>
      <patternFill patternType="solid">
        <fgColor indexed="31"/>
        <bgColor indexed="64"/>
      </patternFill>
    </fill>
    <fill>
      <patternFill patternType="solid">
        <fgColor theme="7"/>
        <bgColor indexed="64"/>
      </patternFill>
    </fill>
    <fill>
      <patternFill patternType="solid">
        <fgColor indexed="22"/>
        <bgColor indexed="0"/>
      </patternFill>
    </fill>
    <fill>
      <patternFill patternType="solid">
        <fgColor rgb="FFFFFF00"/>
        <bgColor indexed="0"/>
      </patternFill>
    </fill>
    <fill>
      <patternFill patternType="solid">
        <fgColor rgb="FFD8D8D8"/>
        <bgColor rgb="FFD8D8D8"/>
      </patternFill>
    </fill>
    <fill>
      <patternFill patternType="solid">
        <fgColor theme="0"/>
        <bgColor theme="0"/>
      </patternFill>
    </fill>
    <fill>
      <patternFill patternType="solid">
        <fgColor rgb="FFFFC000"/>
        <bgColor rgb="FFD8D8D8"/>
      </patternFill>
    </fill>
    <fill>
      <patternFill patternType="solid">
        <fgColor rgb="FFFFFFDD"/>
        <bgColor indexed="64"/>
      </patternFill>
    </fill>
    <fill>
      <patternFill patternType="solid">
        <fgColor theme="6" tint="-0.499984740745262"/>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002060"/>
        <bgColor indexed="64"/>
      </patternFill>
    </fill>
  </fills>
  <borders count="5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theme="0" tint="-0.2499465926084170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22"/>
      </left>
      <right/>
      <top/>
      <bottom style="thin">
        <color indexed="2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auto="1"/>
      </left>
      <right style="thin">
        <color auto="1"/>
      </right>
      <top/>
      <bottom style="thin">
        <color auto="1"/>
      </bottom>
      <diagonal/>
    </border>
    <border>
      <left/>
      <right/>
      <top style="thin">
        <color indexed="64"/>
      </top>
      <bottom style="medium">
        <color indexed="64"/>
      </bottom>
      <diagonal/>
    </border>
    <border>
      <left/>
      <right/>
      <top style="thin">
        <color auto="1"/>
      </top>
      <bottom/>
      <diagonal/>
    </border>
    <border>
      <left/>
      <right/>
      <top/>
      <bottom style="thick">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right/>
      <top style="thin">
        <color indexed="64"/>
      </top>
      <bottom/>
      <diagonal/>
    </border>
    <border>
      <left/>
      <right/>
      <top style="medium">
        <color theme="0" tint="-0.14996795556505021"/>
      </top>
      <bottom style="medium">
        <color theme="0" tint="-0.1499679555650502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theme="0" tint="-0.24994659260841701"/>
      </right>
      <top/>
      <bottom/>
      <diagonal/>
    </border>
    <border>
      <left/>
      <right style="thin">
        <color theme="0" tint="-0.24994659260841701"/>
      </right>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auto="1"/>
      </left>
      <right style="thin">
        <color auto="1"/>
      </right>
      <top style="medium">
        <color theme="0" tint="-0.499984740745262"/>
      </top>
      <bottom style="thin">
        <color auto="1"/>
      </bottom>
      <diagonal/>
    </border>
    <border>
      <left style="thin">
        <color auto="1"/>
      </left>
      <right style="thin">
        <color auto="1"/>
      </right>
      <top style="medium">
        <color theme="0" tint="-0.499984740745262"/>
      </top>
      <bottom/>
      <diagonal/>
    </border>
    <border>
      <left style="thin">
        <color indexed="64"/>
      </left>
      <right style="thin">
        <color indexed="64"/>
      </right>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right style="medium">
        <color theme="0" tint="-0.24994659260841701"/>
      </right>
      <top/>
      <bottom/>
      <diagonal/>
    </border>
    <border>
      <left style="medium">
        <color theme="0" tint="-0.24994659260841701"/>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style="thin">
        <color theme="0" tint="-0.24994659260841701"/>
      </top>
      <bottom/>
      <diagonal/>
    </border>
    <border>
      <left style="thin">
        <color theme="0" tint="-0.24994659260841701"/>
      </left>
      <right/>
      <top/>
      <bottom style="medium">
        <color indexed="64"/>
      </bottom>
      <diagonal/>
    </border>
    <border>
      <left/>
      <right/>
      <top/>
      <bottom style="medium">
        <color rgb="FFCD032E"/>
      </bottom>
      <diagonal/>
    </border>
    <border>
      <left style="thin">
        <color theme="0" tint="-0.24994659260841701"/>
      </left>
      <right style="thin">
        <color theme="0" tint="-0.24994659260841701"/>
      </right>
      <top style="medium">
        <color rgb="FFCD032E"/>
      </top>
      <bottom/>
      <diagonal/>
    </border>
    <border>
      <left/>
      <right/>
      <top/>
      <bottom style="medium">
        <color rgb="FFF08200"/>
      </bottom>
      <diagonal/>
    </border>
    <border>
      <left style="thin">
        <color theme="0" tint="-0.24994659260841701"/>
      </left>
      <right style="thin">
        <color theme="0" tint="-0.24994659260841701"/>
      </right>
      <top style="medium">
        <color rgb="FFF08200"/>
      </top>
      <bottom style="thin">
        <color theme="0" tint="-0.24994659260841701"/>
      </bottom>
      <diagonal/>
    </border>
    <border>
      <left/>
      <right/>
      <top/>
      <bottom style="medium">
        <color rgb="FF57A519"/>
      </bottom>
      <diagonal/>
    </border>
    <border>
      <left/>
      <right/>
      <top/>
      <bottom style="medium">
        <color rgb="FFAD25A8"/>
      </bottom>
      <diagonal/>
    </border>
    <border>
      <left/>
      <right/>
      <top/>
      <bottom style="medium">
        <color rgb="FF0072CE"/>
      </bottom>
      <diagonal/>
    </border>
    <border>
      <left/>
      <right/>
      <top/>
      <bottom style="medium">
        <color theme="1" tint="0.34998626667073579"/>
      </bottom>
      <diagonal/>
    </border>
    <border>
      <left/>
      <right/>
      <top style="medium">
        <color indexed="64"/>
      </top>
      <bottom style="thin">
        <color theme="0" tint="-0.24994659260841701"/>
      </bottom>
      <diagonal/>
    </border>
    <border>
      <left style="thin">
        <color theme="0" tint="-0.24994659260841701"/>
      </left>
      <right style="thin">
        <color theme="0" tint="-0.24994659260841701"/>
      </right>
      <top/>
      <bottom style="medium">
        <color indexed="64"/>
      </bottom>
      <diagonal/>
    </border>
    <border>
      <left style="thin">
        <color auto="1"/>
      </left>
      <right style="thin">
        <color theme="0" tint="-0.24994659260841701"/>
      </right>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indexed="22"/>
      </left>
      <right/>
      <top/>
      <bottom style="thin">
        <color indexed="22"/>
      </bottom>
      <diagonal/>
    </border>
    <border>
      <left/>
      <right/>
      <top/>
      <bottom style="thin">
        <color indexed="22"/>
      </bottom>
      <diagonal/>
    </border>
    <border>
      <left style="thin">
        <color theme="0" tint="-0.24994659260841701"/>
      </left>
      <right style="thin">
        <color theme="0" tint="-0.24994659260841701"/>
      </right>
      <top/>
      <bottom style="thin">
        <color indexed="22"/>
      </bottom>
      <diagonal/>
    </border>
    <border>
      <left/>
      <right style="thin">
        <color auto="1"/>
      </right>
      <top/>
      <bottom style="thin">
        <color auto="1"/>
      </bottom>
      <diagonal/>
    </border>
    <border>
      <left/>
      <right/>
      <top/>
      <bottom style="thin">
        <color auto="1"/>
      </bottom>
      <diagonal/>
    </border>
    <border>
      <left style="thin">
        <color indexed="64"/>
      </left>
      <right/>
      <top/>
      <bottom style="thin">
        <color auto="1"/>
      </bottom>
      <diagonal/>
    </border>
    <border>
      <left style="thin">
        <color theme="0" tint="-0.24994659260841701"/>
      </left>
      <right style="thin">
        <color theme="0" tint="-0.24994659260841701"/>
      </right>
      <top/>
      <bottom style="thin">
        <color auto="1"/>
      </bottom>
      <diagonal/>
    </border>
    <border>
      <left style="thin">
        <color indexed="22"/>
      </left>
      <right/>
      <top style="thin">
        <color indexed="22"/>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0" tint="-0.24994659260841701"/>
      </left>
      <right style="thin">
        <color theme="0" tint="-0.24994659260841701"/>
      </right>
      <top/>
      <bottom style="thin">
        <color indexed="64"/>
      </bottom>
      <diagonal/>
    </border>
    <border>
      <left/>
      <right style="thin">
        <color theme="0" tint="-0.24994659260841701"/>
      </right>
      <top style="medium">
        <color indexed="64"/>
      </top>
      <bottom style="thin">
        <color theme="0" tint="-0.24994659260841701"/>
      </bottom>
      <diagonal/>
    </border>
    <border>
      <left style="medium">
        <color theme="0" tint="-0.24994659260841701"/>
      </left>
      <right/>
      <top style="medium">
        <color indexed="64"/>
      </top>
      <bottom/>
      <diagonal/>
    </border>
    <border>
      <left style="thin">
        <color indexed="22"/>
      </left>
      <right style="thin">
        <color indexed="22"/>
      </right>
      <top/>
      <bottom style="thin">
        <color indexed="22"/>
      </bottom>
      <diagonal/>
    </border>
    <border>
      <left style="thin">
        <color indexed="64"/>
      </left>
      <right style="thin">
        <color indexed="64"/>
      </right>
      <top/>
      <bottom style="thin">
        <color indexed="64"/>
      </bottom>
      <diagonal/>
    </border>
    <border>
      <left/>
      <right/>
      <top style="medium">
        <color theme="0" tint="-0.14996795556505021"/>
      </top>
      <bottom/>
      <diagonal/>
    </border>
    <border>
      <left style="thin">
        <color indexed="64"/>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style="thin">
        <color theme="0" tint="-0.24994659260841701"/>
      </left>
      <right style="thin">
        <color theme="0" tint="-0.24994659260841701"/>
      </right>
      <top style="medium">
        <color indexed="64"/>
      </top>
      <bottom style="thin">
        <color indexed="22"/>
      </bottom>
      <diagonal/>
    </border>
    <border>
      <left style="thin">
        <color theme="0" tint="-0.24994659260841701"/>
      </left>
      <right/>
      <top style="medium">
        <color indexed="64"/>
      </top>
      <bottom/>
      <diagonal/>
    </border>
    <border>
      <left style="thin">
        <color theme="0" tint="-0.24994659260841701"/>
      </left>
      <right style="thin">
        <color theme="0" tint="-0.24994659260841701"/>
      </right>
      <top/>
      <bottom style="thin">
        <color indexed="22"/>
      </bottom>
      <diagonal/>
    </border>
    <border>
      <left style="thin">
        <color theme="0" tint="-0.24994659260841701"/>
      </left>
      <right/>
      <top/>
      <bottom style="thin">
        <color indexed="64"/>
      </bottom>
      <diagonal/>
    </border>
    <border>
      <left style="thin">
        <color theme="0" tint="-0.24994659260841701"/>
      </left>
      <right style="thin">
        <color theme="0" tint="-0.24994659260841701"/>
      </right>
      <top style="thin">
        <color indexed="22"/>
      </top>
      <bottom style="thin">
        <color indexed="22"/>
      </bottom>
      <diagonal/>
    </border>
    <border>
      <left/>
      <right style="medium">
        <color theme="0" tint="-0.24994659260841701"/>
      </right>
      <top style="medium">
        <color indexed="64"/>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diagonal/>
    </border>
    <border>
      <left/>
      <right style="medium">
        <color theme="0" tint="-0.24994659260841701"/>
      </right>
      <top style="thin">
        <color theme="0" tint="-0.24994659260841701"/>
      </top>
      <bottom/>
      <diagonal/>
    </border>
    <border>
      <left/>
      <right style="medium">
        <color theme="0" tint="-0.24994659260841701"/>
      </right>
      <top/>
      <bottom style="thin">
        <color indexed="64"/>
      </bottom>
      <diagonal/>
    </border>
    <border>
      <left style="medium">
        <color theme="0" tint="-0.24994659260841701"/>
      </left>
      <right/>
      <top/>
      <bottom style="thin">
        <color indexed="64"/>
      </bottom>
      <diagonal/>
    </border>
    <border>
      <left/>
      <right style="medium">
        <color theme="0" tint="-0.24994659260841701"/>
      </right>
      <top style="thin">
        <color indexed="64"/>
      </top>
      <bottom style="thin">
        <color theme="0" tint="-0.24994659260841701"/>
      </bottom>
      <diagonal/>
    </border>
    <border>
      <left/>
      <right style="medium">
        <color theme="0" tint="-0.24994659260841701"/>
      </right>
      <top/>
      <bottom style="thin">
        <color theme="0" tint="-0.24994659260841701"/>
      </bottom>
      <diagonal/>
    </border>
    <border>
      <left/>
      <right/>
      <top style="thin">
        <color indexed="22"/>
      </top>
      <bottom style="thin">
        <color indexed="22"/>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auto="1"/>
      </bottom>
      <diagonal/>
    </border>
    <border>
      <left style="thin">
        <color auto="1"/>
      </left>
      <right style="thin">
        <color auto="1"/>
      </right>
      <top style="thin">
        <color auto="1"/>
      </top>
      <bottom/>
      <diagonal/>
    </border>
    <border>
      <left/>
      <right style="thin">
        <color auto="1"/>
      </right>
      <top/>
      <bottom style="medium">
        <color indexed="64"/>
      </bottom>
      <diagonal/>
    </border>
    <border>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right style="thin">
        <color theme="0" tint="-0.24994659260841701"/>
      </right>
      <top style="thin">
        <color indexed="64"/>
      </top>
      <bottom/>
      <diagonal/>
    </border>
    <border>
      <left/>
      <right style="thin">
        <color theme="0" tint="-0.24994659260841701"/>
      </right>
      <top style="thin">
        <color indexed="64"/>
      </top>
      <bottom style="thin">
        <color indexed="64"/>
      </bottom>
      <diagonal/>
    </border>
    <border>
      <left/>
      <right style="thin">
        <color auto="1"/>
      </right>
      <top style="thin">
        <color auto="1"/>
      </top>
      <bottom/>
      <diagonal/>
    </border>
    <border>
      <left style="thin">
        <color indexed="64"/>
      </left>
      <right style="thin">
        <color auto="1"/>
      </right>
      <top style="thin">
        <color auto="1"/>
      </top>
      <bottom/>
      <diagonal/>
    </border>
    <border>
      <left style="thin">
        <color theme="0" tint="-0.24994659260841701"/>
      </left>
      <right/>
      <top style="medium">
        <color indexed="64"/>
      </top>
      <bottom style="thin">
        <color theme="0" tint="-0.24994659260841701"/>
      </bottom>
      <diagonal/>
    </border>
    <border>
      <left/>
      <right style="thin">
        <color auto="1"/>
      </right>
      <top style="medium">
        <color indexed="64"/>
      </top>
      <bottom style="thin">
        <color theme="0" tint="-0.24994659260841701"/>
      </bottom>
      <diagonal/>
    </border>
    <border>
      <left style="thin">
        <color indexed="64"/>
      </left>
      <right style="thin">
        <color indexed="64"/>
      </right>
      <top style="medium">
        <color indexed="64"/>
      </top>
      <bottom style="thin">
        <color theme="0" tint="-0.24994659260841701"/>
      </bottom>
      <diagonal/>
    </border>
    <border>
      <left style="thin">
        <color indexed="64"/>
      </left>
      <right/>
      <top style="medium">
        <color indexed="64"/>
      </top>
      <bottom style="thin">
        <color theme="0" tint="-0.24994659260841701"/>
      </bottom>
      <diagonal/>
    </border>
    <border>
      <left/>
      <right/>
      <top style="thin">
        <color auto="1"/>
      </top>
      <bottom style="thin">
        <color theme="0" tint="-0.24994659260841701"/>
      </bottom>
      <diagonal/>
    </border>
    <border>
      <left style="thin">
        <color auto="1"/>
      </left>
      <right/>
      <top style="thin">
        <color theme="0" tint="-0.24994659260841701"/>
      </top>
      <bottom style="medium">
        <color theme="0" tint="-0.499984740745262"/>
      </bottom>
      <diagonal/>
    </border>
    <border>
      <left/>
      <right style="thin">
        <color indexed="64"/>
      </right>
      <top/>
      <bottom style="thin">
        <color indexed="64"/>
      </bottom>
      <diagonal/>
    </border>
    <border>
      <left style="thin">
        <color indexed="64"/>
      </left>
      <right style="thin">
        <color auto="1"/>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auto="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auto="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right/>
      <top style="medium">
        <color indexed="64"/>
      </top>
      <bottom style="thin">
        <color indexed="22"/>
      </bottom>
      <diagonal/>
    </border>
    <border>
      <left/>
      <right/>
      <top style="thin">
        <color indexed="22"/>
      </top>
      <bottom/>
      <diagonal/>
    </border>
    <border>
      <left/>
      <right/>
      <top/>
      <bottom style="thin">
        <color indexed="22"/>
      </bottom>
      <diagonal/>
    </border>
    <border>
      <left/>
      <right/>
      <top/>
      <bottom style="thin">
        <color indexed="64"/>
      </bottom>
      <diagonal/>
    </border>
    <border>
      <left/>
      <right/>
      <top style="thin">
        <color indexed="64"/>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right/>
      <top style="thin">
        <color indexed="22"/>
      </top>
      <bottom/>
      <diagonal/>
    </border>
    <border>
      <left style="thin">
        <color theme="0" tint="-0.24994659260841701"/>
      </left>
      <right/>
      <top/>
      <bottom style="thin">
        <color auto="1"/>
      </bottom>
      <diagonal/>
    </border>
    <border>
      <left style="thin">
        <color indexed="64"/>
      </left>
      <right/>
      <top/>
      <bottom style="thin">
        <color auto="1"/>
      </bottom>
      <diagonal/>
    </border>
    <border>
      <left style="thin">
        <color indexed="64"/>
      </left>
      <right style="thin">
        <color indexed="64"/>
      </right>
      <top/>
      <bottom style="thin">
        <color indexed="64"/>
      </bottom>
      <diagonal/>
    </border>
    <border>
      <left/>
      <right style="thin">
        <color theme="0" tint="-0.24994659260841701"/>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indexed="6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auto="1"/>
      </bottom>
      <diagonal/>
    </border>
    <border>
      <left/>
      <right/>
      <top style="thin">
        <color auto="1"/>
      </top>
      <bottom style="thin">
        <color auto="1"/>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3"/>
      </right>
      <top/>
      <bottom/>
      <diagonal/>
    </border>
    <border>
      <left style="thin">
        <color indexed="63"/>
      </left>
      <right style="thin">
        <color indexed="63"/>
      </right>
      <top/>
      <bottom/>
      <diagonal/>
    </border>
    <border>
      <left style="thin">
        <color indexed="63"/>
      </left>
      <right/>
      <top/>
      <bottom/>
      <diagonal/>
    </border>
    <border>
      <left/>
      <right/>
      <top/>
      <bottom style="thin">
        <color indexed="61"/>
      </bottom>
      <diagonal/>
    </border>
    <border>
      <left/>
      <right style="thin">
        <color indexed="63"/>
      </right>
      <top/>
      <bottom style="thin">
        <color indexed="61"/>
      </bottom>
      <diagonal/>
    </border>
    <border>
      <left style="thin">
        <color indexed="63"/>
      </left>
      <right style="thin">
        <color indexed="63"/>
      </right>
      <top/>
      <bottom style="thin">
        <color indexed="61"/>
      </bottom>
      <diagonal/>
    </border>
    <border>
      <left style="thin">
        <color indexed="63"/>
      </left>
      <right/>
      <top/>
      <bottom style="thin">
        <color indexed="61"/>
      </bottom>
      <diagonal/>
    </border>
    <border>
      <left/>
      <right/>
      <top style="thin">
        <color indexed="61"/>
      </top>
      <bottom style="thin">
        <color indexed="22"/>
      </bottom>
      <diagonal/>
    </border>
    <border>
      <left/>
      <right style="thin">
        <color indexed="63"/>
      </right>
      <top style="thin">
        <color indexed="61"/>
      </top>
      <bottom style="thin">
        <color indexed="22"/>
      </bottom>
      <diagonal/>
    </border>
    <border>
      <left style="thin">
        <color indexed="63"/>
      </left>
      <right style="thin">
        <color indexed="63"/>
      </right>
      <top style="thin">
        <color indexed="61"/>
      </top>
      <bottom style="thin">
        <color indexed="22"/>
      </bottom>
      <diagonal/>
    </border>
    <border>
      <left style="thin">
        <color indexed="63"/>
      </left>
      <right/>
      <top style="thin">
        <color indexed="61"/>
      </top>
      <bottom style="thin">
        <color indexed="22"/>
      </bottom>
      <diagonal/>
    </border>
    <border>
      <left/>
      <right/>
      <top style="thin">
        <color indexed="22"/>
      </top>
      <bottom style="thin">
        <color indexed="22"/>
      </bottom>
      <diagonal/>
    </border>
    <border>
      <left/>
      <right style="thin">
        <color indexed="63"/>
      </right>
      <top style="thin">
        <color indexed="22"/>
      </top>
      <bottom style="thin">
        <color indexed="22"/>
      </bottom>
      <diagonal/>
    </border>
    <border>
      <left style="thin">
        <color indexed="63"/>
      </left>
      <right style="thin">
        <color indexed="63"/>
      </right>
      <top style="thin">
        <color indexed="22"/>
      </top>
      <bottom style="thin">
        <color indexed="22"/>
      </bottom>
      <diagonal/>
    </border>
    <border>
      <left style="thin">
        <color indexed="63"/>
      </left>
      <right/>
      <top style="thin">
        <color indexed="22"/>
      </top>
      <bottom style="thin">
        <color indexed="22"/>
      </bottom>
      <diagonal/>
    </border>
    <border>
      <left/>
      <right/>
      <top style="thin">
        <color indexed="22"/>
      </top>
      <bottom/>
      <diagonal/>
    </border>
    <border>
      <left/>
      <right/>
      <top style="medium">
        <color indexed="64"/>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theme="0" tint="-0.24994659260841701"/>
      </left>
      <right style="thin">
        <color indexed="64"/>
      </right>
      <top/>
      <bottom style="thin">
        <color auto="1"/>
      </bottom>
      <diagonal/>
    </border>
    <border>
      <left/>
      <right/>
      <top/>
      <bottom style="thin">
        <color theme="0" tint="-0.14996795556505021"/>
      </bottom>
      <diagonal/>
    </border>
    <border>
      <left/>
      <right/>
      <top style="thin">
        <color theme="0" tint="-0.24994659260841701"/>
      </top>
      <bottom style="thin">
        <color theme="0" tint="-0.14996795556505021"/>
      </bottom>
      <diagonal/>
    </border>
    <border>
      <left/>
      <right style="thin">
        <color auto="1"/>
      </right>
      <top/>
      <bottom style="thin">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64"/>
      </bottom>
      <diagonal/>
    </border>
    <border>
      <left style="thin">
        <color indexed="22"/>
      </left>
      <right style="thin">
        <color indexed="22"/>
      </right>
      <top style="thin">
        <color indexed="22"/>
      </top>
      <bottom style="thin">
        <color indexed="64"/>
      </bottom>
      <diagonal/>
    </border>
    <border>
      <left/>
      <right/>
      <top style="thin">
        <color indexed="64"/>
      </top>
      <bottom/>
      <diagonal/>
    </border>
    <border>
      <left style="thin">
        <color indexed="22"/>
      </left>
      <right style="thin">
        <color indexed="22"/>
      </right>
      <top/>
      <bottom style="thin">
        <color indexed="22"/>
      </bottom>
      <diagonal/>
    </border>
    <border>
      <left/>
      <right/>
      <top/>
      <bottom style="thin">
        <color indexed="64"/>
      </bottom>
      <diagonal/>
    </border>
    <border>
      <left style="thin">
        <color indexed="22"/>
      </left>
      <right style="thin">
        <color indexed="22"/>
      </right>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64"/>
      </bottom>
      <diagonal/>
    </border>
    <border>
      <left style="thin">
        <color indexed="22"/>
      </left>
      <right/>
      <top style="thin">
        <color indexed="22"/>
      </top>
      <bottom style="thin">
        <color indexed="22"/>
      </bottom>
      <diagonal/>
    </border>
    <border>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thin">
        <color indexed="22"/>
      </left>
      <right/>
      <top/>
      <bottom style="thin">
        <color indexed="22"/>
      </bottom>
      <diagonal/>
    </border>
    <border>
      <left style="thin">
        <color indexed="22"/>
      </left>
      <right/>
      <top/>
      <bottom/>
      <diagonal/>
    </border>
    <border>
      <left style="thin">
        <color indexed="22"/>
      </left>
      <right style="thin">
        <color indexed="22"/>
      </right>
      <top style="thin">
        <color indexed="22"/>
      </top>
      <bottom/>
      <diagonal/>
    </border>
    <border>
      <left/>
      <right/>
      <top style="thin">
        <color auto="1"/>
      </top>
      <bottom style="medium">
        <color indexed="64"/>
      </bottom>
      <diagonal/>
    </border>
    <border>
      <left style="thin">
        <color indexed="22"/>
      </left>
      <right style="thin">
        <color indexed="22"/>
      </right>
      <top style="thin">
        <color indexed="22"/>
      </top>
      <bottom style="thin">
        <color indexed="64"/>
      </bottom>
      <diagonal/>
    </border>
    <border>
      <left style="thin">
        <color indexed="22"/>
      </left>
      <right/>
      <top style="thin">
        <color indexed="22"/>
      </top>
      <bottom/>
      <diagonal/>
    </border>
    <border>
      <left/>
      <right style="thin">
        <color indexed="22"/>
      </right>
      <top/>
      <bottom/>
      <diagonal/>
    </border>
    <border>
      <left style="thin">
        <color indexed="22"/>
      </left>
      <right style="thin">
        <color indexed="22"/>
      </right>
      <top style="thin">
        <color indexed="22"/>
      </top>
      <bottom/>
      <diagonal/>
    </border>
    <border>
      <left/>
      <right/>
      <top style="thin">
        <color indexed="22"/>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auto="1"/>
      </right>
      <top style="thin">
        <color auto="1"/>
      </top>
      <bottom/>
      <diagonal/>
    </border>
    <border>
      <left style="thin">
        <color indexed="64"/>
      </left>
      <right style="thin">
        <color theme="0" tint="-0.24994659260841701"/>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64"/>
      </top>
      <bottom style="thin">
        <color indexed="22"/>
      </bottom>
      <diagonal/>
    </border>
    <border>
      <left/>
      <right style="thin">
        <color theme="0" tint="-0.24994659260841701"/>
      </right>
      <top style="medium">
        <color rgb="FFCD032E"/>
      </top>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medium">
        <color rgb="FFAD25A8"/>
      </top>
      <bottom style="thin">
        <color indexed="64"/>
      </bottom>
      <diagonal/>
    </border>
    <border>
      <left style="thin">
        <color theme="0" tint="-0.24994659260841701"/>
      </left>
      <right/>
      <top style="medium">
        <color rgb="FFAD25A8"/>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22"/>
      </top>
      <bottom/>
      <diagonal/>
    </border>
    <border>
      <left style="thin">
        <color theme="0" tint="-0.24994659260841701"/>
      </left>
      <right/>
      <top/>
      <bottom style="thin">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right/>
      <top style="thin">
        <color theme="0" tint="-0.1499679555650502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medium">
        <color theme="0"/>
      </left>
      <right/>
      <top/>
      <bottom style="thin">
        <color auto="1"/>
      </bottom>
      <diagonal/>
    </border>
    <border>
      <left/>
      <right style="medium">
        <color theme="0"/>
      </right>
      <top/>
      <bottom style="thin">
        <color auto="1"/>
      </bottom>
      <diagonal/>
    </border>
    <border>
      <left style="thin">
        <color indexed="22"/>
      </left>
      <right style="thin">
        <color indexed="22"/>
      </right>
      <top/>
      <bottom style="thin">
        <color indexed="22"/>
      </bottom>
      <diagonal/>
    </border>
    <border>
      <left/>
      <right/>
      <top/>
      <bottom style="thin">
        <color indexed="64"/>
      </bottom>
      <diagonal/>
    </border>
    <border>
      <left style="thin">
        <color indexed="22"/>
      </left>
      <right/>
      <top style="thin">
        <color indexed="22"/>
      </top>
      <bottom style="thin">
        <color indexed="22"/>
      </bottom>
      <diagonal/>
    </border>
    <border>
      <left style="thin">
        <color indexed="22"/>
      </left>
      <right style="thin">
        <color indexed="64"/>
      </right>
      <top style="thin">
        <color indexed="22"/>
      </top>
      <bottom style="thin">
        <color indexed="64"/>
      </bottom>
      <diagonal/>
    </border>
    <border>
      <left/>
      <right style="thin">
        <color indexed="64"/>
      </right>
      <top/>
      <bottom style="thin">
        <color indexed="64"/>
      </bottom>
      <diagonal/>
    </border>
    <border>
      <left/>
      <right style="thin">
        <color indexed="22"/>
      </right>
      <top/>
      <bottom style="thin">
        <color indexed="64"/>
      </bottom>
      <diagonal/>
    </border>
    <border>
      <left style="thin">
        <color indexed="22"/>
      </left>
      <right/>
      <top style="thin">
        <color indexed="22"/>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22"/>
      </right>
      <top style="thin">
        <color indexed="64"/>
      </top>
      <bottom style="medium">
        <color indexed="64"/>
      </bottom>
      <diagonal/>
    </border>
    <border>
      <left style="thin">
        <color indexed="22"/>
      </left>
      <right style="thin">
        <color indexed="22"/>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22"/>
      </right>
      <top/>
      <bottom style="thin">
        <color indexed="64"/>
      </bottom>
      <diagonal/>
    </border>
    <border>
      <left style="thin">
        <color indexed="22"/>
      </left>
      <right/>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theme="0"/>
      </right>
      <top/>
      <bottom style="thin">
        <color auto="1"/>
      </bottom>
      <diagonal/>
    </border>
    <border>
      <left/>
      <right/>
      <top style="thin">
        <color indexed="64"/>
      </top>
      <bottom style="thin">
        <color theme="0" tint="-0.24994659260841701"/>
      </bottom>
      <diagonal/>
    </border>
    <border>
      <left style="thin">
        <color auto="1"/>
      </left>
      <right/>
      <top style="medium">
        <color theme="0" tint="-0.499984740745262"/>
      </top>
      <bottom style="thin">
        <color auto="1"/>
      </bottom>
      <diagonal/>
    </border>
    <border>
      <left style="medium">
        <color rgb="FF00B050"/>
      </left>
      <right style="medium">
        <color rgb="FF00B050"/>
      </right>
      <top style="medium">
        <color rgb="FF00B050"/>
      </top>
      <bottom style="thin">
        <color rgb="FF00B050"/>
      </bottom>
      <diagonal/>
    </border>
    <border>
      <left/>
      <right style="thin">
        <color theme="0" tint="-0.24994659260841701"/>
      </right>
      <top/>
      <bottom style="thin">
        <color indexed="64"/>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right style="thin">
        <color theme="0"/>
      </right>
      <top/>
      <bottom/>
      <diagonal/>
    </border>
    <border>
      <left style="thin">
        <color theme="0"/>
      </left>
      <right style="thin">
        <color indexed="64"/>
      </right>
      <top/>
      <bottom/>
      <diagonal/>
    </border>
    <border>
      <left style="thin">
        <color theme="0"/>
      </left>
      <right/>
      <top/>
      <bottom/>
      <diagonal/>
    </border>
    <border>
      <left style="thin">
        <color theme="0" tint="-0.24994659260841701"/>
      </left>
      <right style="thin">
        <color indexed="64"/>
      </right>
      <top/>
      <bottom style="thin">
        <color indexed="64"/>
      </bottom>
      <diagonal/>
    </border>
    <border>
      <left style="thin">
        <color indexed="64"/>
      </left>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diagonal/>
    </border>
    <border>
      <left/>
      <right style="thin">
        <color theme="0" tint="-0.24994659260841701"/>
      </right>
      <top style="medium">
        <color rgb="FF57A519"/>
      </top>
      <bottom/>
      <diagonal/>
    </border>
    <border>
      <left/>
      <right style="thin">
        <color theme="0" tint="-0.24994659260841701"/>
      </right>
      <top style="medium">
        <color rgb="FF0072CE"/>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22"/>
      </right>
      <top/>
      <bottom style="thin">
        <color indexed="22"/>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medium">
        <color indexed="64"/>
      </top>
      <bottom style="thin">
        <color indexed="64"/>
      </bottom>
      <diagonal/>
    </border>
    <border>
      <left style="thin">
        <color indexed="64"/>
      </left>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top style="thin">
        <color theme="0" tint="-0.34998626667073579"/>
      </top>
      <bottom style="thin">
        <color indexed="64"/>
      </bottom>
      <diagonal/>
    </border>
    <border>
      <left style="thin">
        <color indexed="64"/>
      </left>
      <right style="thin">
        <color indexed="64"/>
      </right>
      <top style="thin">
        <color theme="0" tint="-0.34998626667073579"/>
      </top>
      <bottom/>
      <diagonal/>
    </border>
    <border>
      <left style="thin">
        <color indexed="64"/>
      </left>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bottom style="thin">
        <color theme="0" tint="-0.34998626667073579"/>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2499465926084170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theme="0"/>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theme="0" tint="-0.24994659260841701"/>
      </left>
      <right/>
      <top/>
      <bottom style="thin">
        <color indexed="64"/>
      </bottom>
      <diagonal/>
    </border>
    <border>
      <left style="thin">
        <color auto="1"/>
      </left>
      <right style="thin">
        <color theme="0" tint="-0.24994659260841701"/>
      </right>
      <top/>
      <bottom style="thin">
        <color indexed="64"/>
      </bottom>
      <diagonal/>
    </border>
    <border>
      <left/>
      <right/>
      <top/>
      <bottom style="thin">
        <color indexed="22"/>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22"/>
      </top>
      <bottom style="thin">
        <color indexed="64"/>
      </bottom>
      <diagonal/>
    </border>
    <border>
      <left/>
      <right/>
      <top style="thin">
        <color indexed="64"/>
      </top>
      <bottom/>
      <diagonal/>
    </border>
    <border>
      <left style="thin">
        <color indexed="64"/>
      </left>
      <right style="thin">
        <color theme="0" tint="-0.24994659260841701"/>
      </right>
      <top/>
      <bottom style="thin">
        <color auto="1"/>
      </bottom>
      <diagonal/>
    </border>
    <border>
      <left style="thin">
        <color indexed="64"/>
      </left>
      <right/>
      <top/>
      <bottom style="thin">
        <color auto="1"/>
      </bottom>
      <diagonal/>
    </border>
    <border>
      <left style="thin">
        <color indexed="64"/>
      </left>
      <right/>
      <top/>
      <bottom/>
      <diagonal/>
    </border>
    <border>
      <left style="thin">
        <color indexed="64"/>
      </left>
      <right/>
      <top/>
      <bottom style="thin">
        <color indexed="64"/>
      </bottom>
      <diagonal/>
    </border>
    <border>
      <left/>
      <right style="thin">
        <color theme="0" tint="-0.2499465926084170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theme="1"/>
      </right>
      <top style="thin">
        <color indexed="64"/>
      </top>
      <bottom/>
      <diagonal/>
    </border>
    <border>
      <left style="thin">
        <color theme="1"/>
      </left>
      <right style="thin">
        <color theme="1"/>
      </right>
      <top style="thin">
        <color theme="1"/>
      </top>
      <bottom/>
      <diagonal/>
    </border>
    <border>
      <left style="thin">
        <color theme="1"/>
      </left>
      <right style="thin">
        <color theme="1"/>
      </right>
      <top style="thin">
        <color indexed="64"/>
      </top>
      <bottom/>
      <diagonal/>
    </border>
    <border>
      <left style="thin">
        <color indexed="64"/>
      </left>
      <right style="thin">
        <color theme="1"/>
      </right>
      <top/>
      <bottom/>
      <diagonal/>
    </border>
    <border>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right style="thin">
        <color theme="0" tint="-0.24994659260841701"/>
      </right>
      <top/>
      <bottom style="medium">
        <color indexed="64"/>
      </bottom>
      <diagonal/>
    </border>
  </borders>
  <cellStyleXfs count="3812">
    <xf numFmtId="0" fontId="0"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7"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1" applyNumberFormat="0" applyAlignment="0" applyProtection="0"/>
    <xf numFmtId="0" fontId="11" fillId="14" borderId="2" applyNumberFormat="0" applyAlignment="0" applyProtection="0"/>
    <xf numFmtId="0" fontId="12" fillId="0" borderId="3" applyNumberFormat="0" applyFill="0" applyAlignment="0" applyProtection="0"/>
    <xf numFmtId="4" fontId="32" fillId="0" borderId="0">
      <protection locked="0"/>
    </xf>
    <xf numFmtId="38" fontId="33" fillId="0" borderId="0" applyFont="0" applyFill="0" applyBorder="0" applyAlignment="0" applyProtection="0"/>
    <xf numFmtId="174" fontId="32" fillId="0" borderId="0">
      <protection locked="0"/>
    </xf>
    <xf numFmtId="175" fontId="33" fillId="0" borderId="0" applyFont="0" applyFill="0" applyBorder="0" applyAlignment="0" applyProtection="0"/>
    <xf numFmtId="176" fontId="32" fillId="0" borderId="0">
      <protection locked="0"/>
    </xf>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1" applyNumberFormat="0" applyAlignment="0" applyProtection="0"/>
    <xf numFmtId="164" fontId="4" fillId="0" borderId="0" applyFont="0" applyFill="0" applyBorder="0" applyAlignment="0" applyProtection="0"/>
    <xf numFmtId="177" fontId="32" fillId="0" borderId="0">
      <protection locked="0"/>
    </xf>
    <xf numFmtId="178" fontId="34" fillId="0" borderId="0">
      <protection locked="0"/>
    </xf>
    <xf numFmtId="178" fontId="34" fillId="0" borderId="0">
      <protection locked="0"/>
    </xf>
    <xf numFmtId="0" fontId="38" fillId="0" borderId="0" applyNumberFormat="0" applyFill="0" applyBorder="0" applyAlignment="0" applyProtection="0">
      <alignment vertical="top"/>
      <protection locked="0"/>
    </xf>
    <xf numFmtId="0" fontId="15" fillId="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16" fillId="9" borderId="0" applyNumberFormat="0" applyBorder="0" applyAlignment="0" applyProtection="0"/>
    <xf numFmtId="0" fontId="37" fillId="0" borderId="0"/>
    <xf numFmtId="0" fontId="37" fillId="0" borderId="0"/>
    <xf numFmtId="0" fontId="1" fillId="0" borderId="0"/>
    <xf numFmtId="0" fontId="30" fillId="0" borderId="0"/>
    <xf numFmtId="0" fontId="36" fillId="0" borderId="0"/>
    <xf numFmtId="0" fontId="4" fillId="0" borderId="0"/>
    <xf numFmtId="0" fontId="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4" fillId="0" borderId="0"/>
    <xf numFmtId="0" fontId="37" fillId="0" borderId="0"/>
    <xf numFmtId="0" fontId="4" fillId="0" borderId="0"/>
    <xf numFmtId="0" fontId="37" fillId="0" borderId="0"/>
    <xf numFmtId="0" fontId="17" fillId="0" borderId="0"/>
    <xf numFmtId="0" fontId="4" fillId="5" borderId="4" applyNumberFormat="0" applyFont="0" applyAlignment="0" applyProtection="0"/>
    <xf numFmtId="179" fontId="32" fillId="0" borderId="0">
      <protection locked="0"/>
    </xf>
    <xf numFmtId="9" fontId="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0" fontId="18" fillId="13" borderId="5"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9" applyNumberFormat="0" applyFill="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5"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xf numFmtId="9" fontId="67" fillId="0" borderId="0" applyFont="0" applyFill="0" applyBorder="0" applyAlignment="0" applyProtection="0"/>
    <xf numFmtId="0" fontId="1" fillId="0" borderId="0"/>
    <xf numFmtId="0" fontId="1" fillId="0" borderId="0"/>
    <xf numFmtId="0" fontId="10" fillId="13" borderId="32" applyNumberFormat="0" applyAlignment="0" applyProtection="0"/>
    <xf numFmtId="0" fontId="14" fillId="9" borderId="32" applyNumberFormat="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37" fillId="0" borderId="0"/>
    <xf numFmtId="0" fontId="1" fillId="0" borderId="0"/>
    <xf numFmtId="0" fontId="1" fillId="5" borderId="33" applyNumberFormat="0" applyFont="0" applyAlignment="0" applyProtection="0"/>
    <xf numFmtId="9" fontId="37" fillId="0" borderId="0" applyFont="0" applyFill="0" applyBorder="0" applyAlignment="0" applyProtection="0"/>
    <xf numFmtId="9" fontId="1" fillId="0" borderId="0" applyFont="0" applyFill="0" applyBorder="0" applyAlignment="0" applyProtection="0"/>
    <xf numFmtId="0" fontId="18" fillId="13" borderId="34" applyNumberFormat="0" applyAlignment="0" applyProtection="0"/>
    <xf numFmtId="0" fontId="23" fillId="0" borderId="35" applyNumberFormat="0" applyFill="0" applyAlignment="0" applyProtection="0"/>
    <xf numFmtId="0" fontId="1" fillId="5" borderId="33" applyNumberFormat="0" applyFont="0" applyAlignment="0" applyProtection="0"/>
    <xf numFmtId="0" fontId="1" fillId="0" borderId="0"/>
    <xf numFmtId="9" fontId="1" fillId="0" borderId="0" applyFont="0" applyFill="0" applyBorder="0" applyAlignment="0" applyProtection="0"/>
    <xf numFmtId="0" fontId="1" fillId="0" borderId="0"/>
    <xf numFmtId="0" fontId="10" fillId="13" borderId="32" applyNumberFormat="0" applyAlignment="0" applyProtection="0"/>
    <xf numFmtId="0" fontId="14" fillId="9" borderId="32" applyNumberFormat="0" applyAlignment="0" applyProtection="0"/>
    <xf numFmtId="0" fontId="18" fillId="13" borderId="34" applyNumberFormat="0" applyAlignment="0" applyProtection="0"/>
    <xf numFmtId="0" fontId="23" fillId="0" borderId="35" applyNumberFormat="0" applyFill="0" applyAlignment="0" applyProtection="0"/>
    <xf numFmtId="0" fontId="76" fillId="0" borderId="0"/>
    <xf numFmtId="43" fontId="7" fillId="0" borderId="0" applyFont="0" applyFill="0" applyBorder="0" applyAlignment="0" applyProtection="0"/>
    <xf numFmtId="0" fontId="83" fillId="0" borderId="0"/>
    <xf numFmtId="9" fontId="83" fillId="0" borderId="0" applyFont="0" applyFill="0" applyBorder="0" applyAlignment="0" applyProtection="0"/>
    <xf numFmtId="0" fontId="17" fillId="0" borderId="0"/>
    <xf numFmtId="0" fontId="17" fillId="0" borderId="0"/>
    <xf numFmtId="0" fontId="10" fillId="13" borderId="36" applyNumberFormat="0" applyAlignment="0" applyProtection="0"/>
    <xf numFmtId="0" fontId="10" fillId="13" borderId="36" applyNumberFormat="0" applyAlignment="0" applyProtection="0"/>
    <xf numFmtId="0" fontId="10" fillId="13" borderId="36" applyNumberFormat="0" applyAlignment="0" applyProtection="0"/>
    <xf numFmtId="0" fontId="14" fillId="9" borderId="36" applyNumberFormat="0" applyAlignment="0" applyProtection="0"/>
    <xf numFmtId="0" fontId="14" fillId="9" borderId="36" applyNumberFormat="0" applyAlignment="0" applyProtection="0"/>
    <xf numFmtId="0" fontId="14" fillId="9" borderId="36" applyNumberFormat="0" applyAlignment="0" applyProtection="0"/>
    <xf numFmtId="0" fontId="1" fillId="0" borderId="0"/>
    <xf numFmtId="0" fontId="1" fillId="0" borderId="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9" fontId="1" fillId="0" borderId="0" applyFont="0" applyFill="0" applyBorder="0" applyAlignment="0" applyProtection="0"/>
    <xf numFmtId="0" fontId="18" fillId="13" borderId="38" applyNumberFormat="0" applyAlignment="0" applyProtection="0"/>
    <xf numFmtId="0" fontId="18" fillId="13" borderId="38" applyNumberFormat="0" applyAlignment="0" applyProtection="0"/>
    <xf numFmtId="0" fontId="18" fillId="13" borderId="38" applyNumberFormat="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14" fillId="9" borderId="40" applyNumberFormat="0" applyAlignment="0" applyProtection="0"/>
    <xf numFmtId="0" fontId="14" fillId="9" borderId="40" applyNumberFormat="0" applyAlignment="0" applyProtection="0"/>
    <xf numFmtId="0" fontId="10" fillId="13" borderId="40" applyNumberFormat="0" applyAlignment="0" applyProtection="0"/>
    <xf numFmtId="0" fontId="10" fillId="13" borderId="40" applyNumberFormat="0" applyAlignment="0" applyProtection="0"/>
    <xf numFmtId="0" fontId="1" fillId="5" borderId="41" applyNumberFormat="0" applyFont="0" applyAlignment="0" applyProtection="0"/>
    <xf numFmtId="0" fontId="23" fillId="0" borderId="43" applyNumberFormat="0" applyFill="0" applyAlignment="0" applyProtection="0"/>
    <xf numFmtId="0" fontId="18" fillId="13" borderId="42" applyNumberFormat="0" applyAlignment="0" applyProtection="0"/>
    <xf numFmtId="0" fontId="1" fillId="5" borderId="41" applyNumberFormat="0" applyFont="0" applyAlignment="0" applyProtection="0"/>
    <xf numFmtId="0" fontId="14" fillId="9" borderId="40" applyNumberFormat="0" applyAlignment="0" applyProtection="0"/>
    <xf numFmtId="0" fontId="10" fillId="13" borderId="40" applyNumberFormat="0" applyAlignment="0" applyProtection="0"/>
    <xf numFmtId="0" fontId="14" fillId="9" borderId="52" applyNumberFormat="0" applyAlignment="0" applyProtection="0"/>
    <xf numFmtId="0" fontId="10" fillId="13" borderId="52" applyNumberForma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1" applyNumberFormat="0" applyFont="0" applyAlignment="0" applyProtection="0"/>
    <xf numFmtId="0" fontId="1" fillId="5" borderId="41" applyNumberFormat="0" applyFont="0" applyAlignment="0" applyProtection="0"/>
    <xf numFmtId="0" fontId="18" fillId="13" borderId="42" applyNumberFormat="0" applyAlignment="0" applyProtection="0"/>
    <xf numFmtId="0" fontId="18" fillId="13" borderId="42" applyNumberFormat="0" applyAlignment="0" applyProtection="0"/>
    <xf numFmtId="0" fontId="23" fillId="0" borderId="43" applyNumberFormat="0" applyFill="0" applyAlignment="0" applyProtection="0"/>
    <xf numFmtId="0" fontId="23" fillId="0" borderId="43" applyNumberFormat="0" applyFill="0" applyAlignment="0" applyProtection="0"/>
    <xf numFmtId="0" fontId="10" fillId="13" borderId="52" applyNumberFormat="0" applyAlignment="0" applyProtection="0"/>
    <xf numFmtId="0" fontId="1" fillId="5" borderId="57" applyNumberFormat="0" applyFont="0" applyAlignment="0" applyProtection="0"/>
    <xf numFmtId="0" fontId="10" fillId="13"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8" fillId="13" borderId="46" applyNumberFormat="0" applyAlignment="0" applyProtection="0"/>
    <xf numFmtId="0" fontId="23" fillId="0" borderId="47" applyNumberFormat="0" applyFill="0" applyAlignment="0" applyProtection="0"/>
    <xf numFmtId="0" fontId="1" fillId="5" borderId="45" applyNumberFormat="0" applyFont="0" applyAlignment="0" applyProtection="0"/>
    <xf numFmtId="0" fontId="10" fillId="13" borderId="44" applyNumberFormat="0" applyAlignment="0" applyProtection="0"/>
    <xf numFmtId="0" fontId="10" fillId="13" borderId="44" applyNumberFormat="0" applyAlignment="0" applyProtection="0"/>
    <xf numFmtId="0" fontId="14" fillId="9"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 fillId="5" borderId="45" applyNumberFormat="0" applyFont="0" applyAlignment="0" applyProtection="0"/>
    <xf numFmtId="0" fontId="18" fillId="13" borderId="46" applyNumberFormat="0" applyAlignment="0" applyProtection="0"/>
    <xf numFmtId="0" fontId="18" fillId="13" borderId="46" applyNumberFormat="0" applyAlignment="0" applyProtection="0"/>
    <xf numFmtId="0" fontId="23" fillId="0" borderId="47" applyNumberFormat="0" applyFill="0" applyAlignment="0" applyProtection="0"/>
    <xf numFmtId="0" fontId="23" fillId="0" borderId="47" applyNumberFormat="0" applyFill="0" applyAlignment="0" applyProtection="0"/>
    <xf numFmtId="0" fontId="10" fillId="13" borderId="56" applyNumberFormat="0" applyAlignment="0" applyProtection="0"/>
    <xf numFmtId="0" fontId="1" fillId="5" borderId="57" applyNumberFormat="0" applyFont="0" applyAlignment="0" applyProtection="0"/>
    <xf numFmtId="0" fontId="18" fillId="13" borderId="58" applyNumberFormat="0" applyAlignment="0" applyProtection="0"/>
    <xf numFmtId="0" fontId="18" fillId="13" borderId="54" applyNumberFormat="0" applyAlignment="0" applyProtection="0"/>
    <xf numFmtId="0" fontId="23" fillId="0" borderId="55" applyNumberFormat="0" applyFill="0" applyAlignment="0" applyProtection="0"/>
    <xf numFmtId="0" fontId="14" fillId="9" borderId="56" applyNumberFormat="0" applyAlignment="0" applyProtection="0"/>
    <xf numFmtId="0" fontId="23" fillId="0" borderId="59" applyNumberFormat="0" applyFill="0" applyAlignment="0" applyProtection="0"/>
    <xf numFmtId="0" fontId="1" fillId="5" borderId="53" applyNumberFormat="0" applyFont="0" applyAlignment="0" applyProtection="0"/>
    <xf numFmtId="0" fontId="14" fillId="9" borderId="52" applyNumberFormat="0" applyAlignment="0" applyProtection="0"/>
    <xf numFmtId="0" fontId="1" fillId="5" borderId="53" applyNumberFormat="0" applyFont="0" applyAlignment="0" applyProtection="0"/>
    <xf numFmtId="0" fontId="18" fillId="13" borderId="54" applyNumberFormat="0" applyAlignment="0" applyProtection="0"/>
    <xf numFmtId="0" fontId="10" fillId="13" borderId="52" applyNumberFormat="0" applyAlignment="0" applyProtection="0"/>
    <xf numFmtId="0" fontId="14" fillId="9" borderId="52" applyNumberFormat="0" applyAlignment="0" applyProtection="0"/>
    <xf numFmtId="0" fontId="18" fillId="13" borderId="54" applyNumberFormat="0" applyAlignment="0" applyProtection="0"/>
    <xf numFmtId="0" fontId="1" fillId="5" borderId="53" applyNumberFormat="0" applyFont="0" applyAlignment="0" applyProtection="0"/>
    <xf numFmtId="0" fontId="1" fillId="5" borderId="53" applyNumberFormat="0" applyFont="0" applyAlignment="0" applyProtection="0"/>
    <xf numFmtId="0" fontId="10" fillId="13"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8" fillId="13" borderId="50" applyNumberFormat="0" applyAlignment="0" applyProtection="0"/>
    <xf numFmtId="0" fontId="23" fillId="0" borderId="51" applyNumberFormat="0" applyFill="0" applyAlignment="0" applyProtection="0"/>
    <xf numFmtId="0" fontId="1" fillId="5" borderId="49" applyNumberFormat="0" applyFont="0" applyAlignment="0" applyProtection="0"/>
    <xf numFmtId="0" fontId="10" fillId="13" borderId="48" applyNumberFormat="0" applyAlignment="0" applyProtection="0"/>
    <xf numFmtId="0" fontId="10" fillId="13" borderId="48" applyNumberFormat="0" applyAlignment="0" applyProtection="0"/>
    <xf numFmtId="0" fontId="14" fillId="9"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 fillId="5" borderId="49" applyNumberFormat="0" applyFont="0" applyAlignment="0" applyProtection="0"/>
    <xf numFmtId="0" fontId="18" fillId="13" borderId="50" applyNumberFormat="0" applyAlignment="0" applyProtection="0"/>
    <xf numFmtId="0" fontId="18" fillId="13" borderId="50" applyNumberFormat="0" applyAlignment="0" applyProtection="0"/>
    <xf numFmtId="0" fontId="23" fillId="0" borderId="51" applyNumberFormat="0" applyFill="0" applyAlignment="0" applyProtection="0"/>
    <xf numFmtId="0" fontId="23" fillId="0" borderId="51"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10" fillId="13" borderId="56" applyNumberFormat="0" applyAlignment="0" applyProtection="0"/>
    <xf numFmtId="0" fontId="10" fillId="13" borderId="56" applyNumberFormat="0" applyAlignment="0" applyProtection="0"/>
    <xf numFmtId="0" fontId="14" fillId="9" borderId="56" applyNumberFormat="0" applyAlignment="0" applyProtection="0"/>
    <xf numFmtId="0" fontId="14" fillId="9" borderId="56" applyNumberFormat="0" applyAlignment="0" applyProtection="0"/>
    <xf numFmtId="0" fontId="1" fillId="5" borderId="57" applyNumberFormat="0" applyFont="0" applyAlignment="0" applyProtection="0"/>
    <xf numFmtId="0" fontId="1" fillId="5" borderId="57" applyNumberFormat="0" applyFont="0" applyAlignment="0" applyProtection="0"/>
    <xf numFmtId="0" fontId="18" fillId="13" borderId="58" applyNumberFormat="0" applyAlignment="0" applyProtection="0"/>
    <xf numFmtId="0" fontId="18" fillId="13" borderId="58" applyNumberFormat="0" applyAlignment="0" applyProtection="0"/>
    <xf numFmtId="0" fontId="23" fillId="0" borderId="59" applyNumberFormat="0" applyFill="0" applyAlignment="0" applyProtection="0"/>
    <xf numFmtId="0" fontId="23" fillId="0" borderId="59" applyNumberFormat="0" applyFill="0" applyAlignment="0" applyProtection="0"/>
    <xf numFmtId="0" fontId="10" fillId="13"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8" fillId="13" borderId="62" applyNumberFormat="0" applyAlignment="0" applyProtection="0"/>
    <xf numFmtId="0" fontId="23" fillId="0" borderId="63" applyNumberFormat="0" applyFill="0" applyAlignment="0" applyProtection="0"/>
    <xf numFmtId="0" fontId="1" fillId="5" borderId="61" applyNumberFormat="0" applyFont="0" applyAlignment="0" applyProtection="0"/>
    <xf numFmtId="0" fontId="10" fillId="13" borderId="60" applyNumberFormat="0" applyAlignment="0" applyProtection="0"/>
    <xf numFmtId="0" fontId="10" fillId="13" borderId="60" applyNumberFormat="0" applyAlignment="0" applyProtection="0"/>
    <xf numFmtId="0" fontId="14" fillId="9"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 fillId="5" borderId="61" applyNumberFormat="0" applyFont="0" applyAlignment="0" applyProtection="0"/>
    <xf numFmtId="0" fontId="18" fillId="13" borderId="62" applyNumberFormat="0" applyAlignment="0" applyProtection="0"/>
    <xf numFmtId="0" fontId="18" fillId="13" borderId="62" applyNumberFormat="0" applyAlignment="0" applyProtection="0"/>
    <xf numFmtId="0" fontId="23" fillId="0" borderId="63" applyNumberFormat="0" applyFill="0" applyAlignment="0" applyProtection="0"/>
    <xf numFmtId="0" fontId="23" fillId="0" borderId="63" applyNumberFormat="0" applyFill="0" applyAlignment="0" applyProtection="0"/>
    <xf numFmtId="0" fontId="10" fillId="13"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8" fillId="13" borderId="66" applyNumberFormat="0" applyAlignment="0" applyProtection="0"/>
    <xf numFmtId="0" fontId="23" fillId="0" borderId="67" applyNumberFormat="0" applyFill="0" applyAlignment="0" applyProtection="0"/>
    <xf numFmtId="0" fontId="1" fillId="5" borderId="65" applyNumberFormat="0" applyFont="0" applyAlignment="0" applyProtection="0"/>
    <xf numFmtId="0" fontId="10" fillId="13" borderId="64" applyNumberFormat="0" applyAlignment="0" applyProtection="0"/>
    <xf numFmtId="0" fontId="10" fillId="13" borderId="64" applyNumberFormat="0" applyAlignment="0" applyProtection="0"/>
    <xf numFmtId="0" fontId="14" fillId="9"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 fillId="5" borderId="65" applyNumberFormat="0" applyFont="0" applyAlignment="0" applyProtection="0"/>
    <xf numFmtId="0" fontId="18" fillId="13" borderId="66" applyNumberFormat="0" applyAlignment="0" applyProtection="0"/>
    <xf numFmtId="0" fontId="18" fillId="13" borderId="66" applyNumberFormat="0" applyAlignment="0" applyProtection="0"/>
    <xf numFmtId="0" fontId="23" fillId="0" borderId="67" applyNumberFormat="0" applyFill="0" applyAlignment="0" applyProtection="0"/>
    <xf numFmtId="0" fontId="23" fillId="0" borderId="67" applyNumberFormat="0" applyFill="0" applyAlignment="0" applyProtection="0"/>
    <xf numFmtId="0" fontId="99" fillId="0" borderId="0" applyNumberFormat="0" applyFill="0" applyBorder="0" applyAlignment="0" applyProtection="0"/>
    <xf numFmtId="44"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3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5" borderId="75" applyNumberFormat="0" applyFont="0" applyAlignment="0" applyProtection="0"/>
    <xf numFmtId="0" fontId="1" fillId="5" borderId="71" applyNumberFormat="0" applyFont="0" applyAlignment="0" applyProtection="0"/>
    <xf numFmtId="0" fontId="14" fillId="9" borderId="70" applyNumberFormat="0" applyAlignment="0" applyProtection="0"/>
    <xf numFmtId="0" fontId="10" fillId="13" borderId="70" applyNumberFormat="0" applyAlignment="0" applyProtection="0"/>
    <xf numFmtId="0" fontId="18" fillId="13" borderId="76" applyNumberFormat="0" applyAlignment="0" applyProtection="0"/>
    <xf numFmtId="0" fontId="18" fillId="13" borderId="69" applyNumberFormat="0" applyAlignment="0" applyProtection="0"/>
    <xf numFmtId="0" fontId="23" fillId="0" borderId="73" applyNumberFormat="0" applyFill="0" applyAlignment="0" applyProtection="0"/>
    <xf numFmtId="0" fontId="10" fillId="13" borderId="74" applyNumberFormat="0" applyAlignment="0" applyProtection="0"/>
    <xf numFmtId="0" fontId="7" fillId="0" borderId="0"/>
    <xf numFmtId="0" fontId="1" fillId="0" borderId="0"/>
    <xf numFmtId="0" fontId="37" fillId="0" borderId="0"/>
    <xf numFmtId="43" fontId="7" fillId="0" borderId="0" applyFont="0" applyFill="0" applyBorder="0" applyAlignment="0" applyProtection="0"/>
    <xf numFmtId="0" fontId="10" fillId="13" borderId="70" applyNumberFormat="0" applyAlignment="0" applyProtection="0"/>
    <xf numFmtId="0" fontId="10" fillId="13" borderId="70" applyNumberFormat="0" applyAlignment="0" applyProtection="0"/>
    <xf numFmtId="0" fontId="14" fillId="9" borderId="70" applyNumberFormat="0" applyAlignment="0" applyProtection="0"/>
    <xf numFmtId="0" fontId="14" fillId="9" borderId="70" applyNumberFormat="0" applyAlignment="0" applyProtection="0"/>
    <xf numFmtId="0" fontId="23" fillId="0" borderId="68" applyNumberFormat="0" applyFill="0" applyAlignment="0" applyProtection="0"/>
    <xf numFmtId="0" fontId="18" fillId="13" borderId="72" applyNumberFormat="0" applyAlignment="0" applyProtection="0"/>
    <xf numFmtId="0" fontId="14" fillId="9" borderId="74" applyNumberFormat="0" applyAlignment="0" applyProtection="0"/>
    <xf numFmtId="0" fontId="1" fillId="5" borderId="71" applyNumberFormat="0" applyFont="0" applyAlignment="0" applyProtection="0"/>
    <xf numFmtId="0" fontId="23" fillId="0" borderId="68" applyNumberFormat="0" applyFill="0" applyAlignment="0" applyProtection="0"/>
    <xf numFmtId="0" fontId="23" fillId="0" borderId="68" applyNumberFormat="0" applyFill="0" applyAlignment="0" applyProtection="0"/>
    <xf numFmtId="0" fontId="18" fillId="13" borderId="69" applyNumberFormat="0" applyAlignment="0" applyProtection="0"/>
    <xf numFmtId="0" fontId="18" fillId="13" borderId="69" applyNumberFormat="0" applyAlignment="0" applyProtection="0"/>
    <xf numFmtId="0" fontId="1" fillId="5" borderId="71" applyNumberFormat="0" applyFont="0" applyAlignment="0" applyProtection="0"/>
    <xf numFmtId="0" fontId="1" fillId="5" borderId="71" applyNumberFormat="0" applyFont="0" applyAlignment="0" applyProtection="0"/>
    <xf numFmtId="0" fontId="18" fillId="13" borderId="72" applyNumberFormat="0" applyAlignment="0" applyProtection="0"/>
    <xf numFmtId="0" fontId="18" fillId="13" borderId="72" applyNumberFormat="0" applyAlignment="0" applyProtection="0"/>
    <xf numFmtId="0" fontId="23" fillId="0" borderId="73" applyNumberFormat="0" applyFill="0" applyAlignment="0" applyProtection="0"/>
    <xf numFmtId="0" fontId="23" fillId="0" borderId="73" applyNumberFormat="0" applyFill="0" applyAlignment="0" applyProtection="0"/>
    <xf numFmtId="0" fontId="23" fillId="0" borderId="77" applyNumberFormat="0" applyFill="0" applyAlignment="0" applyProtection="0"/>
    <xf numFmtId="0" fontId="1" fillId="5" borderId="75" applyNumberFormat="0" applyFont="0" applyAlignment="0" applyProtection="0"/>
    <xf numFmtId="0" fontId="10" fillId="13" borderId="74" applyNumberFormat="0" applyAlignment="0" applyProtection="0"/>
    <xf numFmtId="0" fontId="10" fillId="13" borderId="74" applyNumberFormat="0" applyAlignment="0" applyProtection="0"/>
    <xf numFmtId="0" fontId="14" fillId="9" borderId="74" applyNumberFormat="0" applyAlignment="0" applyProtection="0"/>
    <xf numFmtId="0" fontId="14" fillId="9" borderId="74" applyNumberFormat="0" applyAlignment="0" applyProtection="0"/>
    <xf numFmtId="0" fontId="1" fillId="5" borderId="75" applyNumberFormat="0" applyFont="0" applyAlignment="0" applyProtection="0"/>
    <xf numFmtId="0" fontId="1" fillId="5" borderId="75" applyNumberFormat="0" applyFont="0" applyAlignment="0" applyProtection="0"/>
    <xf numFmtId="0" fontId="18" fillId="13" borderId="76" applyNumberFormat="0" applyAlignment="0" applyProtection="0"/>
    <xf numFmtId="0" fontId="18" fillId="13" borderId="76" applyNumberFormat="0" applyAlignment="0" applyProtection="0"/>
    <xf numFmtId="0" fontId="23" fillId="0" borderId="77" applyNumberFormat="0" applyFill="0" applyAlignment="0" applyProtection="0"/>
    <xf numFmtId="0" fontId="23" fillId="0" borderId="77" applyNumberFormat="0" applyFill="0" applyAlignment="0" applyProtection="0"/>
    <xf numFmtId="0" fontId="1" fillId="0" borderId="0"/>
    <xf numFmtId="0" fontId="1" fillId="0" borderId="0">
      <alignment horizontal="left" wrapText="1"/>
    </xf>
    <xf numFmtId="0" fontId="1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43" fontId="37" fillId="0" borderId="0" applyFont="0" applyFill="0" applyBorder="0" applyAlignment="0" applyProtection="0"/>
    <xf numFmtId="0" fontId="1" fillId="0" borderId="0"/>
    <xf numFmtId="0" fontId="37" fillId="0" borderId="0"/>
    <xf numFmtId="0" fontId="37" fillId="0" borderId="0"/>
    <xf numFmtId="0" fontId="144" fillId="0" borderId="0"/>
    <xf numFmtId="0" fontId="37" fillId="0" borderId="0"/>
    <xf numFmtId="0" fontId="37" fillId="0" borderId="0"/>
    <xf numFmtId="0" fontId="37" fillId="0" borderId="0"/>
    <xf numFmtId="0" fontId="37" fillId="0" borderId="0"/>
    <xf numFmtId="0" fontId="37" fillId="0" borderId="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85" applyNumberFormat="0" applyAlignment="0" applyProtection="0"/>
    <xf numFmtId="0" fontId="10" fillId="13" borderId="85" applyNumberFormat="0" applyAlignment="0" applyProtection="0"/>
    <xf numFmtId="0" fontId="11" fillId="14"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85" applyNumberFormat="0" applyAlignment="0" applyProtection="0"/>
    <xf numFmtId="0" fontId="14" fillId="9" borderId="85" applyNumberFormat="0" applyAlignment="0" applyProtection="0"/>
    <xf numFmtId="0" fontId="15" fillId="6" borderId="0" applyNumberFormat="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0" fontId="16" fillId="9"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37" fillId="0" borderId="0"/>
    <xf numFmtId="0" fontId="37" fillId="0" borderId="0"/>
    <xf numFmtId="0" fontId="5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37" fillId="0" borderId="0"/>
    <xf numFmtId="0" fontId="1" fillId="0" borderId="0"/>
    <xf numFmtId="0" fontId="1" fillId="5" borderId="86" applyNumberFormat="0" applyFont="0" applyAlignment="0" applyProtection="0"/>
    <xf numFmtId="0" fontId="1" fillId="5" borderId="86"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18" fillId="13" borderId="87" applyNumberFormat="0" applyAlignment="0" applyProtection="0"/>
    <xf numFmtId="0" fontId="18" fillId="13" borderId="87"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88" applyNumberFormat="0" applyFill="0" applyAlignment="0" applyProtection="0"/>
    <xf numFmtId="0" fontId="23" fillId="0" borderId="88" applyNumberFormat="0" applyFill="0" applyAlignment="0" applyProtection="0"/>
    <xf numFmtId="0" fontId="1" fillId="0" borderId="0"/>
    <xf numFmtId="0" fontId="1" fillId="0" borderId="0"/>
    <xf numFmtId="0" fontId="1" fillId="0" borderId="0"/>
    <xf numFmtId="0" fontId="1" fillId="0" borderId="0"/>
    <xf numFmtId="0" fontId="7" fillId="0" borderId="0" applyFill="0" applyProtection="0"/>
    <xf numFmtId="0" fontId="7" fillId="0" borderId="0" applyFill="0" applyProtection="0"/>
    <xf numFmtId="0" fontId="1" fillId="0" borderId="0"/>
    <xf numFmtId="0" fontId="17" fillId="0" borderId="0"/>
    <xf numFmtId="0" fontId="1" fillId="0" borderId="0"/>
    <xf numFmtId="0" fontId="160" fillId="0" borderId="0" applyNumberFormat="0" applyFill="0" applyBorder="0" applyAlignment="0" applyProtection="0">
      <alignment vertical="top"/>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 fillId="0" borderId="0"/>
    <xf numFmtId="0" fontId="37" fillId="0" borderId="0"/>
    <xf numFmtId="0" fontId="37" fillId="0" borderId="0"/>
    <xf numFmtId="0" fontId="17" fillId="0" borderId="0"/>
    <xf numFmtId="0" fontId="17" fillId="0" borderId="0"/>
    <xf numFmtId="0" fontId="1" fillId="0" borderId="0"/>
    <xf numFmtId="0" fontId="1" fillId="0" borderId="0"/>
    <xf numFmtId="0" fontId="1" fillId="0" borderId="0"/>
    <xf numFmtId="0" fontId="51"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0" fontId="10" fillId="13" borderId="121" applyNumberFormat="0" applyAlignment="0" applyProtection="0"/>
    <xf numFmtId="38" fontId="33" fillId="0" borderId="0" applyFont="0" applyFill="0" applyBorder="0" applyAlignment="0" applyProtection="0"/>
    <xf numFmtId="4" fontId="32" fillId="0" borderId="0">
      <protection locked="0"/>
    </xf>
    <xf numFmtId="43" fontId="7" fillId="0" borderId="0" applyFont="0" applyFill="0" applyBorder="0" applyAlignment="0" applyProtection="0"/>
    <xf numFmtId="4" fontId="32" fillId="0" borderId="0">
      <protection locked="0"/>
    </xf>
    <xf numFmtId="4" fontId="32" fillId="0" borderId="0">
      <protection locked="0"/>
    </xf>
    <xf numFmtId="4" fontId="32" fillId="0" borderId="0">
      <protection locked="0"/>
    </xf>
    <xf numFmtId="175" fontId="33" fillId="0" borderId="0" applyFont="0" applyFill="0" applyBorder="0" applyAlignment="0" applyProtection="0"/>
    <xf numFmtId="174" fontId="32" fillId="0" borderId="0">
      <protection locked="0"/>
    </xf>
    <xf numFmtId="44" fontId="7" fillId="0" borderId="0" applyFont="0" applyFill="0" applyBorder="0" applyAlignment="0" applyProtection="0"/>
    <xf numFmtId="174" fontId="32" fillId="0" borderId="0">
      <protection locked="0"/>
    </xf>
    <xf numFmtId="44" fontId="1" fillId="0" borderId="0" applyFont="0" applyFill="0" applyBorder="0" applyAlignment="0" applyProtection="0"/>
    <xf numFmtId="174" fontId="32" fillId="0" borderId="0">
      <protection locked="0"/>
    </xf>
    <xf numFmtId="174" fontId="32" fillId="0" borderId="0">
      <protection locked="0"/>
    </xf>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0" fontId="14" fillId="9" borderId="121" applyNumberFormat="0" applyAlignment="0" applyProtection="0"/>
    <xf numFmtId="189" fontId="43" fillId="0" borderId="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5"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188" fillId="0" borderId="0" applyNumberFormat="0" applyFill="0" applyBorder="0" applyProtection="0">
      <alignment vertical="top" wrapText="1"/>
    </xf>
    <xf numFmtId="0" fontId="188" fillId="0" borderId="0" applyNumberFormat="0" applyFill="0" applyBorder="0" applyProtection="0">
      <alignment vertical="top" wrapText="1"/>
    </xf>
    <xf numFmtId="0" fontId="188" fillId="0" borderId="0" applyNumberFormat="0" applyFill="0" applyBorder="0" applyProtection="0">
      <alignment vertical="top" wrapText="1"/>
    </xf>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1"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0" fontId="1" fillId="5" borderId="122" applyNumberFormat="0" applyFont="0" applyAlignment="0" applyProtection="0"/>
    <xf numFmtId="179" fontId="32" fillId="0" borderId="0">
      <protection locked="0"/>
    </xf>
    <xf numFmtId="9" fontId="7" fillId="0" borderId="0" applyFont="0" applyFill="0" applyBorder="0" applyAlignment="0" applyProtection="0"/>
    <xf numFmtId="179" fontId="32" fillId="0" borderId="0">
      <protection locked="0"/>
    </xf>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18" fillId="13" borderId="123" applyNumberFormat="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23" fillId="0" borderId="124" applyNumberFormat="0" applyFill="0" applyAlignment="0" applyProtection="0"/>
    <xf numFmtId="0" fontId="1" fillId="0" borderId="0"/>
    <xf numFmtId="0" fontId="1" fillId="0" borderId="0"/>
    <xf numFmtId="189" fontId="1" fillId="0" borderId="0"/>
    <xf numFmtId="189"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228" fillId="53" borderId="163" applyNumberFormat="0" applyFont="0" applyAlignment="0" applyProtection="0"/>
    <xf numFmtId="0" fontId="37" fillId="0" borderId="0"/>
    <xf numFmtId="0" fontId="1" fillId="0" borderId="0"/>
    <xf numFmtId="0" fontId="1" fillId="0" borderId="0"/>
    <xf numFmtId="0" fontId="1" fillId="0" borderId="0"/>
    <xf numFmtId="0" fontId="1" fillId="0" borderId="0"/>
    <xf numFmtId="0" fontId="17" fillId="0" borderId="0"/>
    <xf numFmtId="0" fontId="271" fillId="0" borderId="0"/>
    <xf numFmtId="0" fontId="17" fillId="0" borderId="0"/>
    <xf numFmtId="0" fontId="17" fillId="0" borderId="0"/>
    <xf numFmtId="0" fontId="17" fillId="0" borderId="0"/>
    <xf numFmtId="0" fontId="17" fillId="0" borderId="0"/>
    <xf numFmtId="0" fontId="280" fillId="0" borderId="0"/>
    <xf numFmtId="0" fontId="17" fillId="0" borderId="0"/>
    <xf numFmtId="0" fontId="280" fillId="0" borderId="0"/>
    <xf numFmtId="0" fontId="17" fillId="0" borderId="0"/>
    <xf numFmtId="0" fontId="300" fillId="0" borderId="0"/>
    <xf numFmtId="0" fontId="17" fillId="0" borderId="0"/>
    <xf numFmtId="0" fontId="307" fillId="0" borderId="0"/>
    <xf numFmtId="0" fontId="320" fillId="0" borderId="0"/>
    <xf numFmtId="0" fontId="37" fillId="0" borderId="0"/>
    <xf numFmtId="0" fontId="17" fillId="0" borderId="0"/>
    <xf numFmtId="0" fontId="350" fillId="0" borderId="0"/>
    <xf numFmtId="0" fontId="350" fillId="0" borderId="0"/>
  </cellStyleXfs>
  <cellXfs count="7631">
    <xf numFmtId="0" fontId="0" fillId="0" borderId="0" xfId="0"/>
    <xf numFmtId="0" fontId="0" fillId="0" borderId="0" xfId="0" applyAlignment="1">
      <alignment vertical="center"/>
    </xf>
    <xf numFmtId="3" fontId="0" fillId="0" borderId="0" xfId="0" applyNumberFormat="1"/>
    <xf numFmtId="0" fontId="0" fillId="0" borderId="0" xfId="0" applyAlignment="1">
      <alignment horizontal="right"/>
    </xf>
    <xf numFmtId="0" fontId="45" fillId="0" borderId="0" xfId="0" applyFont="1" applyAlignment="1">
      <alignment vertical="center"/>
    </xf>
    <xf numFmtId="0" fontId="43" fillId="0" borderId="0" xfId="0" applyFont="1" applyAlignment="1">
      <alignment vertical="center"/>
    </xf>
    <xf numFmtId="9" fontId="37" fillId="0" borderId="0" xfId="180" applyFont="1"/>
    <xf numFmtId="0" fontId="3" fillId="0" borderId="0" xfId="0" applyFont="1"/>
    <xf numFmtId="0" fontId="51" fillId="0" borderId="0" xfId="0" applyFont="1"/>
    <xf numFmtId="9" fontId="37" fillId="0" borderId="0" xfId="176"/>
    <xf numFmtId="3" fontId="43" fillId="0" borderId="14" xfId="0" applyNumberFormat="1" applyFont="1" applyBorder="1" applyAlignment="1">
      <alignment horizontal="center" vertical="center"/>
    </xf>
    <xf numFmtId="3" fontId="43" fillId="0" borderId="0" xfId="0" applyNumberFormat="1" applyFont="1" applyAlignment="1">
      <alignment horizontal="center" vertical="center"/>
    </xf>
    <xf numFmtId="171" fontId="43" fillId="0" borderId="11" xfId="0" applyNumberFormat="1" applyFont="1" applyBorder="1" applyAlignment="1">
      <alignment horizontal="center" vertical="center"/>
    </xf>
    <xf numFmtId="171" fontId="43" fillId="0" borderId="12" xfId="0" applyNumberFormat="1" applyFont="1" applyBorder="1" applyAlignment="1">
      <alignment horizontal="center" vertical="center"/>
    </xf>
    <xf numFmtId="0" fontId="43" fillId="0" borderId="13" xfId="0" applyFont="1" applyBorder="1" applyAlignment="1">
      <alignment vertical="center"/>
    </xf>
    <xf numFmtId="0" fontId="43" fillId="0" borderId="13" xfId="0" applyFont="1" applyBorder="1" applyAlignment="1">
      <alignment vertical="center" wrapText="1"/>
    </xf>
    <xf numFmtId="0" fontId="17" fillId="0" borderId="0" xfId="0" applyFont="1"/>
    <xf numFmtId="9" fontId="7" fillId="0" borderId="0" xfId="180"/>
    <xf numFmtId="0" fontId="55" fillId="0" borderId="0" xfId="0" applyFont="1"/>
    <xf numFmtId="0" fontId="0" fillId="0" borderId="0" xfId="0" applyAlignment="1">
      <alignment horizontal="left"/>
    </xf>
    <xf numFmtId="3" fontId="39" fillId="0" borderId="0" xfId="0" applyNumberFormat="1" applyFont="1"/>
    <xf numFmtId="0" fontId="1" fillId="0" borderId="0" xfId="0" applyFont="1" applyAlignment="1">
      <alignment vertical="center"/>
    </xf>
    <xf numFmtId="0" fontId="41" fillId="0" borderId="0" xfId="0" applyFont="1"/>
    <xf numFmtId="168" fontId="0" fillId="0" borderId="0" xfId="176" applyNumberFormat="1" applyFont="1"/>
    <xf numFmtId="169" fontId="0" fillId="0" borderId="0" xfId="0" applyNumberFormat="1"/>
    <xf numFmtId="10" fontId="0" fillId="0" borderId="0" xfId="176" applyNumberFormat="1" applyFont="1"/>
    <xf numFmtId="0" fontId="47" fillId="0" borderId="0" xfId="0" applyFont="1"/>
    <xf numFmtId="0" fontId="39" fillId="0" borderId="0" xfId="0" applyFont="1"/>
    <xf numFmtId="0" fontId="2" fillId="0" borderId="0" xfId="149" applyFont="1" applyAlignment="1">
      <alignment wrapText="1"/>
    </xf>
    <xf numFmtId="0" fontId="64" fillId="0" borderId="0" xfId="149" applyFont="1"/>
    <xf numFmtId="0" fontId="6" fillId="0" borderId="0" xfId="149" applyFont="1"/>
    <xf numFmtId="0" fontId="1" fillId="0" borderId="0" xfId="149"/>
    <xf numFmtId="0" fontId="66" fillId="0" borderId="0" xfId="0" applyFont="1"/>
    <xf numFmtId="0" fontId="41" fillId="0" borderId="0" xfId="0" applyFont="1" applyAlignment="1">
      <alignment horizontal="left" vertical="justify"/>
    </xf>
    <xf numFmtId="0" fontId="2" fillId="0" borderId="0" xfId="0" applyFont="1" applyAlignment="1">
      <alignment vertical="justify"/>
    </xf>
    <xf numFmtId="43" fontId="0" fillId="0" borderId="0" xfId="0" applyNumberFormat="1"/>
    <xf numFmtId="0" fontId="50" fillId="0" borderId="0" xfId="0" applyFont="1"/>
    <xf numFmtId="0" fontId="49" fillId="0" borderId="0" xfId="0" applyFont="1"/>
    <xf numFmtId="0" fontId="45" fillId="0" borderId="0" xfId="0" applyFont="1"/>
    <xf numFmtId="0" fontId="66" fillId="0" borderId="0" xfId="0" applyFont="1" applyAlignment="1">
      <alignment vertical="center"/>
    </xf>
    <xf numFmtId="0" fontId="0" fillId="0" borderId="0" xfId="0" applyAlignment="1">
      <alignment vertical="center" wrapText="1"/>
    </xf>
    <xf numFmtId="0" fontId="39" fillId="0" borderId="0" xfId="0" applyFont="1" applyAlignment="1">
      <alignment horizontal="center" vertical="center" wrapText="1"/>
    </xf>
    <xf numFmtId="0" fontId="50" fillId="0" borderId="0" xfId="0" applyFont="1" applyAlignment="1">
      <alignment vertical="center"/>
    </xf>
    <xf numFmtId="0" fontId="1" fillId="0" borderId="0" xfId="149" applyAlignment="1">
      <alignment vertical="center"/>
    </xf>
    <xf numFmtId="0" fontId="45" fillId="0" borderId="0" xfId="0" applyFont="1" applyAlignment="1">
      <alignment vertical="top"/>
    </xf>
    <xf numFmtId="2" fontId="0" fillId="0" borderId="0" xfId="0" applyNumberFormat="1"/>
    <xf numFmtId="0" fontId="49" fillId="0" borderId="16" xfId="0" applyFont="1" applyBorder="1" applyAlignment="1">
      <alignment horizontal="center" vertical="center" wrapText="1"/>
    </xf>
    <xf numFmtId="0" fontId="74" fillId="0" borderId="16" xfId="0" applyFont="1" applyBorder="1" applyAlignment="1">
      <alignment horizontal="center" vertical="center" wrapText="1"/>
    </xf>
    <xf numFmtId="0" fontId="69" fillId="0" borderId="0" xfId="0" applyFont="1" applyAlignment="1">
      <alignment vertical="center"/>
    </xf>
    <xf numFmtId="0" fontId="43" fillId="0" borderId="0" xfId="0" applyFont="1"/>
    <xf numFmtId="0" fontId="43" fillId="0" borderId="0" xfId="0" applyFont="1" applyAlignment="1">
      <alignment horizontal="center"/>
    </xf>
    <xf numFmtId="0" fontId="49" fillId="0" borderId="0" xfId="0" applyFont="1" applyAlignment="1">
      <alignment vertical="center"/>
    </xf>
    <xf numFmtId="0" fontId="44" fillId="27" borderId="13" xfId="0" applyFont="1" applyFill="1" applyBorder="1" applyAlignment="1">
      <alignment vertical="center"/>
    </xf>
    <xf numFmtId="3" fontId="44" fillId="27" borderId="0" xfId="0" applyNumberFormat="1" applyFont="1" applyFill="1" applyAlignment="1">
      <alignment horizontal="center" vertical="center"/>
    </xf>
    <xf numFmtId="171" fontId="44" fillId="27" borderId="11" xfId="0" applyNumberFormat="1" applyFont="1" applyFill="1" applyBorder="1" applyAlignment="1">
      <alignment horizontal="center" vertical="center"/>
    </xf>
    <xf numFmtId="1" fontId="0" fillId="0" borderId="0" xfId="0" applyNumberFormat="1" applyAlignment="1">
      <alignment vertical="center"/>
    </xf>
    <xf numFmtId="0" fontId="55" fillId="0" borderId="0" xfId="0" applyFont="1" applyAlignment="1">
      <alignment vertical="center" wrapText="1"/>
    </xf>
    <xf numFmtId="168" fontId="37" fillId="0" borderId="0" xfId="176" applyNumberFormat="1" applyAlignment="1">
      <alignment vertical="center"/>
    </xf>
    <xf numFmtId="3" fontId="64" fillId="0" borderId="0" xfId="149" applyNumberFormat="1" applyFont="1" applyAlignment="1">
      <alignment horizontal="right" indent="1"/>
    </xf>
    <xf numFmtId="168" fontId="64" fillId="0" borderId="0" xfId="176" applyNumberFormat="1" applyFont="1" applyAlignment="1">
      <alignment horizontal="right" indent="1"/>
    </xf>
    <xf numFmtId="0" fontId="55" fillId="0" borderId="0" xfId="0" applyFont="1" applyAlignment="1">
      <alignment horizontal="center" wrapText="1"/>
    </xf>
    <xf numFmtId="0" fontId="87" fillId="0" borderId="0" xfId="0" applyFont="1"/>
    <xf numFmtId="0" fontId="49" fillId="0" borderId="0" xfId="0" applyFont="1" applyAlignment="1">
      <alignment horizontal="right"/>
    </xf>
    <xf numFmtId="0" fontId="49" fillId="0" borderId="0" xfId="0" applyFont="1" applyAlignment="1">
      <alignment horizontal="center"/>
    </xf>
    <xf numFmtId="3" fontId="66" fillId="0" borderId="0" xfId="0" applyNumberFormat="1" applyFont="1" applyAlignment="1">
      <alignment vertical="top"/>
    </xf>
    <xf numFmtId="0" fontId="49" fillId="0" borderId="0" xfId="0" applyFont="1" applyAlignment="1">
      <alignment vertical="center" wrapText="1"/>
    </xf>
    <xf numFmtId="171" fontId="87" fillId="0" borderId="0" xfId="0" applyNumberFormat="1" applyFont="1"/>
    <xf numFmtId="171" fontId="87" fillId="0" borderId="0" xfId="0" applyNumberFormat="1" applyFont="1" applyAlignment="1">
      <alignment vertical="center"/>
    </xf>
    <xf numFmtId="0" fontId="87" fillId="0" borderId="0" xfId="0" applyFont="1" applyAlignment="1">
      <alignment horizontal="center"/>
    </xf>
    <xf numFmtId="0" fontId="52" fillId="0" borderId="18" xfId="0" applyFont="1" applyBorder="1" applyAlignment="1">
      <alignment horizontal="center" vertical="center" wrapText="1" readingOrder="1"/>
    </xf>
    <xf numFmtId="0" fontId="0" fillId="0" borderId="18" xfId="0" applyBorder="1" applyAlignment="1">
      <alignment horizontal="center" vertical="center" wrapText="1" readingOrder="1"/>
    </xf>
    <xf numFmtId="0" fontId="0" fillId="0" borderId="18" xfId="0" applyBorder="1" applyAlignment="1">
      <alignment horizontal="center" vertical="center" readingOrder="1"/>
    </xf>
    <xf numFmtId="0" fontId="0" fillId="0" borderId="24" xfId="0" applyBorder="1" applyAlignment="1">
      <alignment horizontal="center" vertical="center" readingOrder="1"/>
    </xf>
    <xf numFmtId="0" fontId="0" fillId="0" borderId="27" xfId="0" applyBorder="1" applyAlignment="1">
      <alignment horizontal="center" vertical="center" readingOrder="1"/>
    </xf>
    <xf numFmtId="171" fontId="0" fillId="0" borderId="28" xfId="0" applyNumberFormat="1" applyBorder="1" applyAlignment="1">
      <alignment horizontal="center" vertical="center" readingOrder="1"/>
    </xf>
    <xf numFmtId="171" fontId="0" fillId="0" borderId="22" xfId="0" applyNumberFormat="1" applyBorder="1" applyAlignment="1">
      <alignment horizontal="center" vertical="center" readingOrder="1"/>
    </xf>
    <xf numFmtId="171" fontId="0" fillId="0" borderId="25" xfId="0" applyNumberFormat="1" applyBorder="1" applyAlignment="1">
      <alignment horizontal="center" vertical="center" readingOrder="1"/>
    </xf>
    <xf numFmtId="171" fontId="0" fillId="0" borderId="29" xfId="0" applyNumberFormat="1" applyBorder="1" applyAlignment="1">
      <alignment horizontal="center" vertical="center" readingOrder="1"/>
    </xf>
    <xf numFmtId="171" fontId="0" fillId="0" borderId="19" xfId="0" applyNumberFormat="1" applyBorder="1" applyAlignment="1">
      <alignment horizontal="center" vertical="center" readingOrder="1"/>
    </xf>
    <xf numFmtId="171" fontId="0" fillId="0" borderId="26" xfId="0" applyNumberFormat="1" applyBorder="1" applyAlignment="1">
      <alignment horizontal="center" vertical="center" readingOrder="1"/>
    </xf>
    <xf numFmtId="0" fontId="43" fillId="0" borderId="0" xfId="0" applyFont="1" applyAlignment="1">
      <alignment horizontal="center" vertical="center" wrapText="1"/>
    </xf>
    <xf numFmtId="0" fontId="71" fillId="0" borderId="0" xfId="0" applyFont="1"/>
    <xf numFmtId="0" fontId="37" fillId="0" borderId="0" xfId="142"/>
    <xf numFmtId="0" fontId="54" fillId="0" borderId="0" xfId="142" applyFont="1"/>
    <xf numFmtId="3" fontId="54" fillId="0" borderId="0" xfId="142" applyNumberFormat="1" applyFont="1" applyAlignment="1">
      <alignment horizontal="center"/>
    </xf>
    <xf numFmtId="0" fontId="49" fillId="0" borderId="0" xfId="0" applyFont="1" applyAlignment="1">
      <alignment horizontal="center" vertical="center"/>
    </xf>
    <xf numFmtId="0" fontId="96" fillId="0" borderId="0" xfId="0" applyFont="1" applyAlignment="1">
      <alignment horizontal="center"/>
    </xf>
    <xf numFmtId="0" fontId="0" fillId="0" borderId="0" xfId="0" applyAlignment="1">
      <alignment horizontal="center" vertical="center" wrapText="1"/>
    </xf>
    <xf numFmtId="0" fontId="100" fillId="0" borderId="0" xfId="0" applyFont="1" applyAlignment="1">
      <alignment vertical="center"/>
    </xf>
    <xf numFmtId="0" fontId="37" fillId="0" borderId="0" xfId="0" applyFont="1"/>
    <xf numFmtId="9" fontId="0" fillId="0" borderId="0" xfId="176" applyFont="1"/>
    <xf numFmtId="168" fontId="37" fillId="0" borderId="29" xfId="176" applyNumberFormat="1" applyBorder="1" applyAlignment="1">
      <alignment horizontal="center" vertical="center" readingOrder="1"/>
    </xf>
    <xf numFmtId="168" fontId="37" fillId="0" borderId="19" xfId="176" applyNumberFormat="1" applyBorder="1" applyAlignment="1">
      <alignment horizontal="center" vertical="center" readingOrder="1"/>
    </xf>
    <xf numFmtId="168" fontId="37" fillId="0" borderId="21" xfId="176" applyNumberFormat="1" applyBorder="1" applyAlignment="1">
      <alignment horizontal="center" vertical="center" readingOrder="1"/>
    </xf>
    <xf numFmtId="0" fontId="61" fillId="0" borderId="0" xfId="0" applyFont="1"/>
    <xf numFmtId="0" fontId="50" fillId="0" borderId="0" xfId="0" applyFont="1" applyAlignment="1">
      <alignment horizontal="center"/>
    </xf>
    <xf numFmtId="0" fontId="92" fillId="0" borderId="0" xfId="0" applyFont="1" applyAlignment="1">
      <alignment vertical="center"/>
    </xf>
    <xf numFmtId="0" fontId="50" fillId="0" borderId="0" xfId="0" applyFont="1" applyAlignment="1">
      <alignment horizontal="center" vertical="center"/>
    </xf>
    <xf numFmtId="3" fontId="28" fillId="0" borderId="0" xfId="173" applyNumberFormat="1" applyFont="1"/>
    <xf numFmtId="3" fontId="28" fillId="0" borderId="0" xfId="428" applyNumberFormat="1" applyFont="1" applyAlignment="1">
      <alignment horizontal="right"/>
    </xf>
    <xf numFmtId="180" fontId="1" fillId="0" borderId="0" xfId="149" applyNumberFormat="1"/>
    <xf numFmtId="3" fontId="28" fillId="0" borderId="0" xfId="173" applyNumberFormat="1" applyFont="1" applyAlignment="1">
      <alignment horizontal="right"/>
    </xf>
    <xf numFmtId="3" fontId="28" fillId="0" borderId="0" xfId="430" applyNumberFormat="1" applyFont="1" applyAlignment="1">
      <alignment horizontal="right"/>
    </xf>
    <xf numFmtId="0" fontId="29" fillId="0" borderId="0" xfId="149" applyFont="1"/>
    <xf numFmtId="0" fontId="29" fillId="0" borderId="0" xfId="429" applyFont="1" applyAlignment="1"/>
    <xf numFmtId="0" fontId="29" fillId="0" borderId="0" xfId="0" applyFont="1"/>
    <xf numFmtId="0" fontId="24" fillId="20" borderId="14" xfId="149" applyFont="1" applyFill="1" applyBorder="1" applyAlignment="1">
      <alignment horizontal="center" vertical="center"/>
    </xf>
    <xf numFmtId="3" fontId="1" fillId="0" borderId="0" xfId="0" applyNumberFormat="1" applyFont="1" applyAlignment="1">
      <alignment vertical="center"/>
    </xf>
    <xf numFmtId="171" fontId="1" fillId="0" borderId="0" xfId="0" applyNumberFormat="1" applyFont="1" applyAlignment="1">
      <alignment horizontal="center" vertical="center"/>
    </xf>
    <xf numFmtId="3" fontId="5" fillId="30" borderId="0" xfId="0" applyNumberFormat="1" applyFont="1" applyFill="1" applyAlignment="1">
      <alignment vertical="center"/>
    </xf>
    <xf numFmtId="171" fontId="5" fillId="30" borderId="0" xfId="0" applyNumberFormat="1" applyFont="1" applyFill="1" applyAlignment="1">
      <alignment horizontal="center" vertical="center"/>
    </xf>
    <xf numFmtId="0" fontId="1" fillId="0" borderId="14" xfId="149" applyBorder="1" applyAlignment="1">
      <alignment vertical="center"/>
    </xf>
    <xf numFmtId="3" fontId="1" fillId="0" borderId="14" xfId="0" applyNumberFormat="1" applyFont="1" applyBorder="1" applyAlignment="1">
      <alignment vertical="center"/>
    </xf>
    <xf numFmtId="171" fontId="1" fillId="0" borderId="14" xfId="0" applyNumberFormat="1" applyFont="1" applyBorder="1" applyAlignment="1">
      <alignment horizontal="center" vertical="center"/>
    </xf>
    <xf numFmtId="0" fontId="49" fillId="0" borderId="0" xfId="0" applyFont="1" applyAlignment="1">
      <alignment horizontal="left" vertical="center" wrapText="1"/>
    </xf>
    <xf numFmtId="0" fontId="66" fillId="0" borderId="0" xfId="0" applyFont="1" applyAlignment="1">
      <alignment horizontal="right"/>
    </xf>
    <xf numFmtId="169" fontId="0" fillId="0" borderId="0" xfId="107" applyNumberFormat="1" applyFont="1"/>
    <xf numFmtId="172" fontId="0" fillId="0" borderId="0" xfId="0" applyNumberFormat="1"/>
    <xf numFmtId="0" fontId="61" fillId="0" borderId="0" xfId="0" applyFont="1" applyAlignment="1">
      <alignment horizontal="center" vertical="center"/>
    </xf>
    <xf numFmtId="0" fontId="0" fillId="0" borderId="0" xfId="0" applyAlignment="1">
      <alignment horizontal="center"/>
    </xf>
    <xf numFmtId="0" fontId="2" fillId="0" borderId="0" xfId="0" applyFont="1" applyAlignment="1">
      <alignment horizontal="center" vertical="justify"/>
    </xf>
    <xf numFmtId="0" fontId="66" fillId="0" borderId="0" xfId="0" applyFont="1" applyAlignment="1">
      <alignment vertical="top"/>
    </xf>
    <xf numFmtId="0" fontId="0" fillId="0" borderId="0" xfId="0" applyAlignment="1">
      <alignment wrapText="1"/>
    </xf>
    <xf numFmtId="0" fontId="40" fillId="0" borderId="0" xfId="0" applyFont="1"/>
    <xf numFmtId="0" fontId="60" fillId="0" borderId="0" xfId="0" applyFont="1"/>
    <xf numFmtId="14" fontId="50" fillId="0" borderId="0" xfId="0" applyNumberFormat="1" applyFont="1" applyAlignment="1">
      <alignment horizontal="left"/>
    </xf>
    <xf numFmtId="0" fontId="0" fillId="44" borderId="0" xfId="0" applyFill="1"/>
    <xf numFmtId="0" fontId="121" fillId="0" borderId="0" xfId="0" applyFont="1" applyAlignment="1">
      <alignment horizontal="center" vertical="center"/>
    </xf>
    <xf numFmtId="0" fontId="6" fillId="0" borderId="0" xfId="0" applyFont="1" applyAlignment="1">
      <alignment vertical="justify"/>
    </xf>
    <xf numFmtId="0" fontId="86" fillId="0" borderId="0" xfId="0" applyFont="1" applyAlignment="1">
      <alignment vertical="center"/>
    </xf>
    <xf numFmtId="0" fontId="41" fillId="22" borderId="0" xfId="0" applyFont="1" applyFill="1" applyAlignment="1">
      <alignment vertical="center"/>
    </xf>
    <xf numFmtId="0" fontId="41" fillId="22" borderId="0" xfId="0" applyFont="1" applyFill="1"/>
    <xf numFmtId="10" fontId="41" fillId="22" borderId="0" xfId="0" applyNumberFormat="1" applyFont="1" applyFill="1"/>
    <xf numFmtId="3" fontId="49" fillId="0" borderId="0" xfId="0" applyNumberFormat="1" applyFont="1"/>
    <xf numFmtId="2" fontId="50" fillId="0" borderId="0" xfId="0" applyNumberFormat="1" applyFont="1" applyAlignment="1">
      <alignment horizontal="center" vertical="center"/>
    </xf>
    <xf numFmtId="0" fontId="96" fillId="0" borderId="0" xfId="0" applyFont="1" applyAlignment="1">
      <alignment horizontal="center" vertical="center"/>
    </xf>
    <xf numFmtId="0" fontId="126" fillId="30" borderId="0" xfId="149" applyFont="1" applyFill="1" applyAlignment="1">
      <alignment vertical="center"/>
    </xf>
    <xf numFmtId="0" fontId="127" fillId="0" borderId="0" xfId="0" applyFont="1" applyAlignment="1">
      <alignment vertical="center"/>
    </xf>
    <xf numFmtId="0" fontId="127" fillId="0" borderId="0" xfId="0" applyFont="1" applyAlignment="1">
      <alignment horizontal="right" vertical="center" wrapText="1"/>
    </xf>
    <xf numFmtId="9" fontId="69" fillId="0" borderId="0" xfId="176" applyFont="1" applyAlignment="1">
      <alignment vertical="center"/>
    </xf>
    <xf numFmtId="0" fontId="84" fillId="0" borderId="0" xfId="0" applyFont="1" applyAlignment="1">
      <alignment vertical="center"/>
    </xf>
    <xf numFmtId="3" fontId="0" fillId="0" borderId="0" xfId="0" applyNumberFormat="1" applyAlignment="1">
      <alignment horizontal="center" vertical="center" wrapText="1"/>
    </xf>
    <xf numFmtId="0" fontId="0" fillId="43" borderId="0" xfId="0" applyFill="1" applyAlignment="1">
      <alignment vertical="center"/>
    </xf>
    <xf numFmtId="3" fontId="0" fillId="43" borderId="0" xfId="0" applyNumberFormat="1" applyFill="1" applyAlignment="1">
      <alignment horizontal="center" vertical="center" wrapText="1"/>
    </xf>
    <xf numFmtId="0" fontId="0" fillId="43" borderId="0" xfId="0" applyFill="1" applyAlignment="1">
      <alignment horizontal="center" vertical="center" wrapText="1"/>
    </xf>
    <xf numFmtId="0" fontId="0" fillId="0" borderId="14" xfId="0" applyBorder="1" applyAlignment="1">
      <alignment vertical="center"/>
    </xf>
    <xf numFmtId="3" fontId="0" fillId="0" borderId="14" xfId="0" applyNumberFormat="1" applyBorder="1" applyAlignment="1">
      <alignment horizontal="center" vertical="center" wrapText="1"/>
    </xf>
    <xf numFmtId="0" fontId="0" fillId="0" borderId="14" xfId="0" applyBorder="1" applyAlignment="1">
      <alignment horizontal="center" vertical="center" wrapText="1"/>
    </xf>
    <xf numFmtId="0" fontId="128" fillId="0" borderId="0" xfId="0" applyFont="1" applyAlignment="1">
      <alignment vertical="center"/>
    </xf>
    <xf numFmtId="0" fontId="39" fillId="0" borderId="0" xfId="0" applyFont="1" applyAlignment="1">
      <alignment wrapText="1"/>
    </xf>
    <xf numFmtId="0" fontId="43" fillId="0" borderId="0" xfId="0" applyFont="1" applyAlignment="1">
      <alignment horizontal="left" vertical="top" wrapText="1"/>
    </xf>
    <xf numFmtId="17" fontId="77" fillId="0" borderId="0" xfId="0" applyNumberFormat="1" applyFont="1" applyAlignment="1">
      <alignment vertical="center" wrapText="1"/>
    </xf>
    <xf numFmtId="0" fontId="87" fillId="0" borderId="0" xfId="0" applyFont="1" applyAlignment="1">
      <alignment vertical="center" wrapText="1"/>
    </xf>
    <xf numFmtId="0" fontId="43" fillId="0" borderId="0" xfId="0" applyFont="1" applyAlignment="1">
      <alignment vertical="top" wrapText="1"/>
    </xf>
    <xf numFmtId="14" fontId="50" fillId="0" borderId="0" xfId="0" applyNumberFormat="1" applyFont="1" applyAlignment="1">
      <alignment wrapText="1"/>
    </xf>
    <xf numFmtId="14" fontId="50" fillId="0" borderId="0" xfId="0" applyNumberFormat="1" applyFont="1" applyAlignment="1">
      <alignment vertical="center" wrapText="1"/>
    </xf>
    <xf numFmtId="0" fontId="43" fillId="0" borderId="0" xfId="0" applyFont="1" applyAlignment="1">
      <alignment vertical="center" wrapText="1"/>
    </xf>
    <xf numFmtId="0" fontId="0" fillId="0" borderId="0" xfId="0" applyAlignment="1">
      <alignment horizontal="center" vertical="center"/>
    </xf>
    <xf numFmtId="0" fontId="42" fillId="43" borderId="0" xfId="246" applyFont="1" applyFill="1" applyAlignment="1">
      <alignment horizontal="center" vertical="center" wrapText="1"/>
    </xf>
    <xf numFmtId="0" fontId="39" fillId="24" borderId="83" xfId="0" applyFont="1" applyFill="1" applyBorder="1" applyAlignment="1">
      <alignment horizontal="center" vertical="center" wrapText="1"/>
    </xf>
    <xf numFmtId="0" fontId="37" fillId="0" borderId="0" xfId="0" applyFont="1" applyAlignment="1">
      <alignment horizontal="center" vertical="center" wrapText="1"/>
    </xf>
    <xf numFmtId="0" fontId="41" fillId="0" borderId="0" xfId="246" applyFont="1" applyAlignment="1">
      <alignment wrapText="1"/>
    </xf>
    <xf numFmtId="0" fontId="41" fillId="0" borderId="0" xfId="246" applyFont="1" applyAlignment="1">
      <alignment horizontal="center" vertical="center" wrapText="1"/>
    </xf>
    <xf numFmtId="0" fontId="116" fillId="0" borderId="0" xfId="0" applyFont="1" applyAlignment="1">
      <alignment vertical="center"/>
    </xf>
    <xf numFmtId="0" fontId="86" fillId="0" borderId="0" xfId="0" applyFont="1" applyAlignment="1">
      <alignment horizontal="left" vertical="justify"/>
    </xf>
    <xf numFmtId="0" fontId="84" fillId="0" borderId="0" xfId="0" applyFont="1"/>
    <xf numFmtId="172" fontId="117" fillId="0" borderId="0" xfId="0" applyNumberFormat="1" applyFont="1" applyAlignment="1">
      <alignment vertical="center"/>
    </xf>
    <xf numFmtId="0" fontId="86" fillId="0" borderId="0" xfId="0" applyFont="1" applyAlignment="1">
      <alignment vertical="justify"/>
    </xf>
    <xf numFmtId="0" fontId="58" fillId="34" borderId="83" xfId="0" applyFont="1" applyFill="1" applyBorder="1" applyAlignment="1">
      <alignment horizontal="left" vertical="center" wrapText="1"/>
    </xf>
    <xf numFmtId="0" fontId="57" fillId="34" borderId="83" xfId="0" applyFont="1" applyFill="1" applyBorder="1" applyAlignment="1">
      <alignment horizontal="left" vertical="center" wrapText="1"/>
    </xf>
    <xf numFmtId="9" fontId="48" fillId="43" borderId="83" xfId="176" applyFont="1" applyFill="1" applyBorder="1" applyAlignment="1">
      <alignment horizontal="center" vertical="center"/>
    </xf>
    <xf numFmtId="0" fontId="42" fillId="0" borderId="0" xfId="246" applyFont="1" applyAlignment="1">
      <alignment horizontal="center" vertical="center" wrapText="1"/>
    </xf>
    <xf numFmtId="0" fontId="39" fillId="20" borderId="83" xfId="0" applyFont="1" applyFill="1" applyBorder="1" applyAlignment="1">
      <alignment horizontal="center" vertical="center" wrapText="1"/>
    </xf>
    <xf numFmtId="0" fontId="57" fillId="0" borderId="83" xfId="0" applyFont="1" applyBorder="1" applyAlignment="1">
      <alignment horizontal="left" vertical="center" wrapText="1"/>
    </xf>
    <xf numFmtId="0" fontId="0" fillId="0" borderId="83" xfId="0" applyBorder="1" applyAlignment="1">
      <alignment horizontal="center" vertical="center"/>
    </xf>
    <xf numFmtId="0" fontId="0" fillId="0" borderId="83" xfId="0" applyBorder="1" applyAlignment="1">
      <alignment horizontal="center" vertical="center" wrapText="1"/>
    </xf>
    <xf numFmtId="0" fontId="0" fillId="0" borderId="83" xfId="0" applyBorder="1" applyAlignment="1">
      <alignment horizontal="left" vertical="center" wrapText="1"/>
    </xf>
    <xf numFmtId="0" fontId="39" fillId="20" borderId="83" xfId="0" applyFont="1" applyFill="1" applyBorder="1" applyAlignment="1">
      <alignment horizontal="center" vertical="center"/>
    </xf>
    <xf numFmtId="0" fontId="0" fillId="0" borderId="83" xfId="0" applyBorder="1" applyAlignment="1">
      <alignment vertical="center"/>
    </xf>
    <xf numFmtId="0" fontId="39" fillId="0" borderId="0" xfId="0" applyFont="1" applyAlignment="1">
      <alignment vertical="center"/>
    </xf>
    <xf numFmtId="0" fontId="101" fillId="0" borderId="0" xfId="0" applyFont="1"/>
    <xf numFmtId="0" fontId="0" fillId="24" borderId="83" xfId="0" applyFill="1" applyBorder="1" applyAlignment="1">
      <alignment horizontal="center" vertical="center" wrapText="1"/>
    </xf>
    <xf numFmtId="1" fontId="0" fillId="0" borderId="83" xfId="0" applyNumberFormat="1" applyBorder="1" applyAlignment="1">
      <alignment horizontal="center" vertical="center" wrapText="1"/>
    </xf>
    <xf numFmtId="0" fontId="39" fillId="43" borderId="83" xfId="0" applyFont="1" applyFill="1" applyBorder="1" applyAlignment="1">
      <alignment horizontal="center" vertical="center" wrapText="1"/>
    </xf>
    <xf numFmtId="1" fontId="39" fillId="43" borderId="83" xfId="0" applyNumberFormat="1" applyFont="1" applyFill="1" applyBorder="1" applyAlignment="1">
      <alignment horizontal="center" vertical="center" wrapText="1"/>
    </xf>
    <xf numFmtId="0" fontId="39" fillId="0" borderId="83" xfId="0" applyFont="1" applyBorder="1" applyAlignment="1">
      <alignment horizontal="center" vertical="center" wrapText="1"/>
    </xf>
    <xf numFmtId="0" fontId="0" fillId="43" borderId="83" xfId="0" applyFill="1" applyBorder="1" applyAlignment="1">
      <alignment horizontal="left" vertical="center" wrapText="1"/>
    </xf>
    <xf numFmtId="14" fontId="135" fillId="0" borderId="0" xfId="246" applyNumberFormat="1" applyFont="1" applyAlignment="1">
      <alignment vertical="center" wrapText="1"/>
    </xf>
    <xf numFmtId="0" fontId="42" fillId="0" borderId="0" xfId="246" applyFont="1"/>
    <xf numFmtId="0" fontId="41" fillId="25" borderId="0" xfId="246" applyFont="1" applyFill="1"/>
    <xf numFmtId="0" fontId="41" fillId="23" borderId="0" xfId="246" applyFont="1" applyFill="1"/>
    <xf numFmtId="0" fontId="41" fillId="26" borderId="0" xfId="246" applyFont="1" applyFill="1"/>
    <xf numFmtId="0" fontId="133" fillId="28" borderId="0" xfId="246" applyFont="1" applyFill="1" applyAlignment="1">
      <alignment wrapText="1"/>
    </xf>
    <xf numFmtId="0" fontId="102" fillId="0" borderId="0" xfId="0" applyFont="1" applyAlignment="1">
      <alignment horizontal="center" vertical="center"/>
    </xf>
    <xf numFmtId="0" fontId="39" fillId="43" borderId="83" xfId="0" applyFont="1" applyFill="1" applyBorder="1" applyAlignment="1">
      <alignment horizontal="center" vertical="center"/>
    </xf>
    <xf numFmtId="168" fontId="39" fillId="0" borderId="0" xfId="176" applyNumberFormat="1" applyFont="1" applyAlignment="1">
      <alignment horizontal="center" vertical="center"/>
    </xf>
    <xf numFmtId="0" fontId="41" fillId="0" borderId="0" xfId="246" applyFont="1" applyAlignment="1">
      <alignment horizontal="center" vertical="center"/>
    </xf>
    <xf numFmtId="0" fontId="41" fillId="0" borderId="0" xfId="246" applyFont="1"/>
    <xf numFmtId="0" fontId="41" fillId="0" borderId="0" xfId="246" applyFont="1" applyAlignment="1">
      <alignment horizontal="left"/>
    </xf>
    <xf numFmtId="0" fontId="41" fillId="0" borderId="0" xfId="246" applyFont="1" applyAlignment="1">
      <alignment vertical="center"/>
    </xf>
    <xf numFmtId="0" fontId="60" fillId="0" borderId="0" xfId="246" applyFont="1" applyAlignment="1">
      <alignment horizontal="center" vertical="center"/>
    </xf>
    <xf numFmtId="0" fontId="41" fillId="0" borderId="0" xfId="246" applyFont="1" applyAlignment="1">
      <alignment horizontal="left" vertical="center"/>
    </xf>
    <xf numFmtId="0" fontId="42" fillId="0" borderId="0" xfId="246" applyFont="1" applyAlignment="1">
      <alignment vertical="center" wrapText="1"/>
    </xf>
    <xf numFmtId="0" fontId="41" fillId="25" borderId="0" xfId="246" applyFont="1" applyFill="1" applyAlignment="1">
      <alignment vertical="center" wrapText="1"/>
    </xf>
    <xf numFmtId="0" fontId="41" fillId="23" borderId="0" xfId="246" applyFont="1" applyFill="1" applyAlignment="1">
      <alignment vertical="center" wrapText="1"/>
    </xf>
    <xf numFmtId="0" fontId="41" fillId="0" borderId="0" xfId="0" applyFont="1" applyAlignment="1">
      <alignment vertical="center"/>
    </xf>
    <xf numFmtId="0" fontId="41" fillId="26" borderId="0" xfId="246" applyFont="1" applyFill="1" applyAlignment="1">
      <alignment vertical="center" wrapText="1"/>
    </xf>
    <xf numFmtId="0" fontId="133" fillId="28" borderId="0" xfId="246" applyFont="1" applyFill="1" applyAlignment="1">
      <alignment vertical="center" wrapText="1"/>
    </xf>
    <xf numFmtId="0" fontId="61" fillId="0" borderId="0" xfId="0" applyFont="1" applyAlignment="1">
      <alignment horizontal="center"/>
    </xf>
    <xf numFmtId="0" fontId="55" fillId="0" borderId="0" xfId="0" applyFont="1" applyAlignment="1">
      <alignment horizontal="center"/>
    </xf>
    <xf numFmtId="0" fontId="55" fillId="0" borderId="0" xfId="0" applyFont="1" applyAlignment="1">
      <alignment horizontal="center" vertical="center" wrapText="1"/>
    </xf>
    <xf numFmtId="0" fontId="48" fillId="0" borderId="0" xfId="0" applyFont="1" applyAlignment="1">
      <alignment horizontal="center" vertical="center"/>
    </xf>
    <xf numFmtId="0" fontId="84" fillId="0" borderId="0" xfId="0" applyFont="1" applyAlignment="1">
      <alignment horizontal="center" vertical="center"/>
    </xf>
    <xf numFmtId="0" fontId="84" fillId="0" borderId="0" xfId="0" applyFont="1" applyAlignment="1">
      <alignment horizontal="center"/>
    </xf>
    <xf numFmtId="0" fontId="55" fillId="0" borderId="0" xfId="0" applyFont="1" applyAlignment="1">
      <alignment vertical="center"/>
    </xf>
    <xf numFmtId="0" fontId="49" fillId="0" borderId="83" xfId="0" applyFont="1" applyBorder="1" applyAlignment="1">
      <alignment horizontal="center" vertical="center" wrapText="1"/>
    </xf>
    <xf numFmtId="9" fontId="66" fillId="0" borderId="0" xfId="176" applyFont="1" applyAlignment="1">
      <alignment vertical="center"/>
    </xf>
    <xf numFmtId="0" fontId="6" fillId="0" borderId="0" xfId="0" applyFont="1"/>
    <xf numFmtId="0" fontId="6" fillId="0" borderId="0" xfId="0" applyFont="1" applyAlignment="1">
      <alignment horizontal="center"/>
    </xf>
    <xf numFmtId="0" fontId="81" fillId="20" borderId="91" xfId="0" applyFont="1" applyFill="1" applyBorder="1" applyAlignment="1">
      <alignment horizontal="center" vertical="center" wrapText="1"/>
    </xf>
    <xf numFmtId="0" fontId="63" fillId="34" borderId="93" xfId="0" applyFont="1" applyFill="1" applyBorder="1" applyAlignment="1">
      <alignment horizontal="center" vertical="center" wrapText="1"/>
    </xf>
    <xf numFmtId="0" fontId="148" fillId="0" borderId="0" xfId="0" applyFont="1"/>
    <xf numFmtId="0" fontId="44" fillId="0" borderId="0" xfId="0" applyFont="1"/>
    <xf numFmtId="0" fontId="44" fillId="0" borderId="0" xfId="0" applyFont="1" applyAlignment="1">
      <alignment horizontal="left"/>
    </xf>
    <xf numFmtId="0" fontId="44" fillId="0" borderId="0" xfId="0" applyFont="1" applyAlignment="1">
      <alignment horizontal="center"/>
    </xf>
    <xf numFmtId="0" fontId="143" fillId="0" borderId="0" xfId="0" applyFont="1" applyAlignment="1">
      <alignment horizontal="center"/>
    </xf>
    <xf numFmtId="2" fontId="44" fillId="0" borderId="0" xfId="0" applyNumberFormat="1" applyFont="1" applyAlignment="1">
      <alignment horizontal="center"/>
    </xf>
    <xf numFmtId="0" fontId="44" fillId="0" borderId="0" xfId="0" applyFont="1" applyAlignment="1">
      <alignment vertical="center"/>
    </xf>
    <xf numFmtId="2" fontId="49" fillId="0" borderId="0" xfId="0" applyNumberFormat="1" applyFont="1" applyAlignment="1">
      <alignment vertical="center"/>
    </xf>
    <xf numFmtId="0" fontId="44" fillId="20" borderId="92" xfId="0" applyFont="1" applyFill="1" applyBorder="1" applyAlignment="1">
      <alignment horizontal="center" vertical="center" wrapText="1"/>
    </xf>
    <xf numFmtId="0" fontId="81" fillId="20" borderId="92" xfId="0" applyFont="1" applyFill="1" applyBorder="1" applyAlignment="1">
      <alignment horizontal="center" vertical="center" wrapText="1"/>
    </xf>
    <xf numFmtId="2" fontId="81" fillId="20" borderId="92" xfId="0" applyNumberFormat="1" applyFont="1" applyFill="1" applyBorder="1" applyAlignment="1">
      <alignment horizontal="center" vertical="center" wrapText="1"/>
    </xf>
    <xf numFmtId="0" fontId="63" fillId="34" borderId="92" xfId="0" applyFont="1" applyFill="1" applyBorder="1" applyAlignment="1">
      <alignment horizontal="center" vertical="center" wrapText="1"/>
    </xf>
    <xf numFmtId="2" fontId="63" fillId="34" borderId="92" xfId="176" applyNumberFormat="1" applyFont="1" applyFill="1" applyBorder="1" applyAlignment="1">
      <alignment horizontal="center" vertical="center" wrapText="1"/>
    </xf>
    <xf numFmtId="2" fontId="63" fillId="43" borderId="92" xfId="176" applyNumberFormat="1" applyFont="1" applyFill="1" applyBorder="1" applyAlignment="1">
      <alignment horizontal="center" vertical="center" wrapText="1"/>
    </xf>
    <xf numFmtId="2" fontId="63" fillId="0" borderId="92" xfId="176" applyNumberFormat="1" applyFont="1" applyBorder="1" applyAlignment="1">
      <alignment horizontal="center" vertical="center" wrapText="1"/>
    </xf>
    <xf numFmtId="0" fontId="81" fillId="34" borderId="92" xfId="0" applyFont="1" applyFill="1" applyBorder="1" applyAlignment="1">
      <alignment horizontal="center" vertical="center" wrapText="1"/>
    </xf>
    <xf numFmtId="0" fontId="44" fillId="0" borderId="0" xfId="0" applyFont="1" applyAlignment="1">
      <alignment vertical="center" wrapText="1"/>
    </xf>
    <xf numFmtId="182" fontId="72" fillId="0" borderId="92" xfId="802" applyNumberFormat="1" applyFont="1" applyBorder="1" applyAlignment="1">
      <alignment horizontal="center" vertical="center"/>
    </xf>
    <xf numFmtId="183" fontId="72" fillId="0" borderId="92" xfId="802" applyNumberFormat="1" applyFont="1" applyBorder="1" applyAlignment="1">
      <alignment horizontal="center" vertical="center"/>
    </xf>
    <xf numFmtId="168" fontId="150" fillId="43" borderId="92" xfId="176" applyNumberFormat="1" applyFont="1" applyFill="1" applyBorder="1" applyAlignment="1">
      <alignment horizontal="center" vertical="center"/>
    </xf>
    <xf numFmtId="183" fontId="72" fillId="43" borderId="92" xfId="802" applyNumberFormat="1" applyFont="1" applyFill="1" applyBorder="1" applyAlignment="1">
      <alignment horizontal="center" vertical="center"/>
    </xf>
    <xf numFmtId="0" fontId="81" fillId="34" borderId="93" xfId="0" applyFont="1" applyFill="1" applyBorder="1" applyAlignment="1">
      <alignment horizontal="center" vertical="center" wrapText="1"/>
    </xf>
    <xf numFmtId="184" fontId="72" fillId="0" borderId="92" xfId="802" applyNumberFormat="1" applyFont="1" applyBorder="1" applyAlignment="1">
      <alignment horizontal="center" vertical="center"/>
    </xf>
    <xf numFmtId="9" fontId="43" fillId="34" borderId="92" xfId="176" applyFont="1" applyFill="1" applyBorder="1" applyAlignment="1">
      <alignment horizontal="center" vertical="center" wrapText="1"/>
    </xf>
    <xf numFmtId="9" fontId="44" fillId="34" borderId="92" xfId="176" applyFont="1" applyFill="1" applyBorder="1" applyAlignment="1">
      <alignment horizontal="center" vertical="center" wrapText="1"/>
    </xf>
    <xf numFmtId="10" fontId="63" fillId="34" borderId="92" xfId="176" applyNumberFormat="1" applyFont="1" applyFill="1" applyBorder="1" applyAlignment="1">
      <alignment horizontal="center" vertical="center" wrapText="1"/>
    </xf>
    <xf numFmtId="168" fontId="81" fillId="21" borderId="92" xfId="176" applyNumberFormat="1" applyFont="1" applyFill="1" applyBorder="1" applyAlignment="1">
      <alignment horizontal="center" vertical="center" wrapText="1"/>
    </xf>
    <xf numFmtId="168" fontId="63" fillId="34" borderId="92" xfId="176" applyNumberFormat="1" applyFont="1" applyFill="1" applyBorder="1" applyAlignment="1">
      <alignment horizontal="center" vertical="center" wrapText="1"/>
    </xf>
    <xf numFmtId="171" fontId="63" fillId="34" borderId="92" xfId="176" applyNumberFormat="1" applyFont="1" applyFill="1" applyBorder="1" applyAlignment="1">
      <alignment horizontal="center" vertical="center" wrapText="1"/>
    </xf>
    <xf numFmtId="9" fontId="81" fillId="34" borderId="92" xfId="176" applyFont="1" applyFill="1" applyBorder="1" applyAlignment="1">
      <alignment horizontal="center" vertical="center" wrapText="1"/>
    </xf>
    <xf numFmtId="10" fontId="63" fillId="21" borderId="92" xfId="176" applyNumberFormat="1" applyFont="1" applyFill="1" applyBorder="1" applyAlignment="1">
      <alignment horizontal="center" vertical="center" wrapText="1"/>
    </xf>
    <xf numFmtId="0" fontId="44" fillId="0" borderId="0" xfId="0" applyFont="1" applyAlignment="1">
      <alignment horizontal="center" vertical="center"/>
    </xf>
    <xf numFmtId="0" fontId="43" fillId="0" borderId="0" xfId="0" applyFont="1" applyAlignment="1">
      <alignment horizontal="right"/>
    </xf>
    <xf numFmtId="0" fontId="81" fillId="0" borderId="0" xfId="0" applyFont="1"/>
    <xf numFmtId="0" fontId="81" fillId="0" borderId="0" xfId="0" applyFont="1" applyAlignment="1">
      <alignment wrapText="1"/>
    </xf>
    <xf numFmtId="0" fontId="5" fillId="20" borderId="92" xfId="0" applyFont="1" applyFill="1" applyBorder="1" applyAlignment="1">
      <alignment horizontal="center" vertical="top" wrapText="1"/>
    </xf>
    <xf numFmtId="0" fontId="5" fillId="20" borderId="92" xfId="0" applyFont="1" applyFill="1" applyBorder="1" applyAlignment="1">
      <alignment horizontal="center" vertical="top"/>
    </xf>
    <xf numFmtId="0" fontId="43" fillId="0" borderId="0" xfId="0" applyFont="1" applyAlignment="1">
      <alignment horizontal="justify" wrapText="1"/>
    </xf>
    <xf numFmtId="0" fontId="5" fillId="20" borderId="92" xfId="0" applyFont="1" applyFill="1" applyBorder="1" applyAlignment="1">
      <alignment horizontal="right" vertical="top" wrapText="1"/>
    </xf>
    <xf numFmtId="171" fontId="5" fillId="21" borderId="92" xfId="0" applyNumberFormat="1" applyFont="1" applyFill="1" applyBorder="1" applyAlignment="1">
      <alignment horizontal="center" vertical="top" wrapText="1"/>
    </xf>
    <xf numFmtId="171" fontId="5" fillId="20" borderId="92" xfId="0" applyNumberFormat="1" applyFont="1" applyFill="1" applyBorder="1" applyAlignment="1">
      <alignment horizontal="center" vertical="top" wrapText="1"/>
    </xf>
    <xf numFmtId="0" fontId="1" fillId="0" borderId="0" xfId="149" applyAlignment="1">
      <alignment horizontal="center" vertical="center"/>
    </xf>
    <xf numFmtId="0" fontId="2" fillId="0" borderId="0" xfId="149" applyFont="1" applyAlignment="1">
      <alignment vertical="center"/>
    </xf>
    <xf numFmtId="0" fontId="152" fillId="0" borderId="0" xfId="801" applyFont="1" applyAlignment="1">
      <alignment horizontal="left" vertical="center"/>
    </xf>
    <xf numFmtId="0" fontId="54" fillId="0" borderId="0" xfId="801" applyFont="1" applyAlignment="1">
      <alignment vertical="center"/>
    </xf>
    <xf numFmtId="0" fontId="153" fillId="0" borderId="0" xfId="801" applyFont="1" applyAlignment="1">
      <alignment vertical="center"/>
    </xf>
    <xf numFmtId="0" fontId="98" fillId="0" borderId="0" xfId="801" applyFont="1" applyAlignment="1">
      <alignment vertical="center"/>
    </xf>
    <xf numFmtId="0" fontId="39" fillId="20" borderId="95" xfId="0" applyFont="1" applyFill="1" applyBorder="1" applyAlignment="1">
      <alignment horizontal="center" vertical="center"/>
    </xf>
    <xf numFmtId="171" fontId="43" fillId="0" borderId="0" xfId="0" applyNumberFormat="1" applyFont="1"/>
    <xf numFmtId="0" fontId="39" fillId="20" borderId="94" xfId="0" applyFont="1" applyFill="1" applyBorder="1" applyAlignment="1">
      <alignment horizontal="center" vertical="center" wrapText="1"/>
    </xf>
    <xf numFmtId="0" fontId="44" fillId="20" borderId="83" xfId="0" applyFont="1" applyFill="1" applyBorder="1" applyAlignment="1">
      <alignment horizontal="center" vertical="center"/>
    </xf>
    <xf numFmtId="0" fontId="43" fillId="0" borderId="91" xfId="0" applyFont="1" applyBorder="1" applyAlignment="1">
      <alignment vertical="center" wrapText="1"/>
    </xf>
    <xf numFmtId="3" fontId="43" fillId="0" borderId="90" xfId="0" applyNumberFormat="1" applyFont="1" applyBorder="1" applyAlignment="1">
      <alignment horizontal="center" vertical="center"/>
    </xf>
    <xf numFmtId="171" fontId="43" fillId="0" borderId="89" xfId="0" applyNumberFormat="1" applyFont="1" applyBorder="1" applyAlignment="1">
      <alignment horizontal="center" vertical="center"/>
    </xf>
    <xf numFmtId="0" fontId="43" fillId="0" borderId="81" xfId="0" applyFont="1" applyBorder="1" applyAlignment="1">
      <alignment vertical="center"/>
    </xf>
    <xf numFmtId="0" fontId="101" fillId="0" borderId="0" xfId="0" applyFont="1" applyAlignment="1">
      <alignment horizontal="center" vertical="center"/>
    </xf>
    <xf numFmtId="0" fontId="0" fillId="0" borderId="0" xfId="0" applyAlignment="1">
      <alignment horizontal="centerContinuous" vertical="center"/>
    </xf>
    <xf numFmtId="167" fontId="0" fillId="0" borderId="0" xfId="0" applyNumberFormat="1"/>
    <xf numFmtId="0" fontId="149" fillId="0" borderId="0" xfId="167" applyFont="1" applyAlignment="1">
      <alignment horizontal="center" vertical="center"/>
    </xf>
    <xf numFmtId="0" fontId="85" fillId="0" borderId="0" xfId="167" applyFont="1" applyAlignment="1">
      <alignment vertical="center"/>
    </xf>
    <xf numFmtId="0" fontId="37" fillId="0" borderId="0" xfId="167" applyAlignment="1">
      <alignment vertical="center"/>
    </xf>
    <xf numFmtId="0" fontId="6" fillId="0" borderId="0" xfId="167" applyFont="1" applyAlignment="1">
      <alignment horizontal="center" vertical="center"/>
    </xf>
    <xf numFmtId="0" fontId="37" fillId="0" borderId="0" xfId="167" applyAlignment="1">
      <alignment horizontal="center" vertical="center"/>
    </xf>
    <xf numFmtId="0" fontId="41" fillId="0" borderId="22" xfId="167" applyFont="1" applyBorder="1" applyAlignment="1">
      <alignment horizontal="right" vertical="center" indent="1"/>
    </xf>
    <xf numFmtId="0" fontId="41" fillId="0" borderId="0" xfId="167" applyFont="1" applyAlignment="1">
      <alignment horizontal="left" vertical="center"/>
    </xf>
    <xf numFmtId="0" fontId="66" fillId="0" borderId="0" xfId="167" applyFont="1" applyAlignment="1">
      <alignment vertical="center"/>
    </xf>
    <xf numFmtId="0" fontId="31" fillId="0" borderId="0" xfId="805" applyFont="1" applyAlignment="1" applyProtection="1">
      <alignment horizontal="left" vertical="center"/>
    </xf>
    <xf numFmtId="0" fontId="31" fillId="0" borderId="0" xfId="167" applyFont="1" applyAlignment="1">
      <alignment horizontal="left" vertical="center"/>
    </xf>
    <xf numFmtId="0" fontId="91" fillId="20" borderId="83" xfId="0" applyFont="1" applyFill="1" applyBorder="1" applyAlignment="1">
      <alignment horizontal="center" vertical="center"/>
    </xf>
    <xf numFmtId="9" fontId="48" fillId="20" borderId="83" xfId="176" applyFont="1" applyFill="1" applyBorder="1" applyAlignment="1">
      <alignment horizontal="center" vertical="center"/>
    </xf>
    <xf numFmtId="0" fontId="58" fillId="0" borderId="83" xfId="0" applyFont="1" applyBorder="1" applyAlignment="1">
      <alignment horizontal="left" vertical="center" wrapText="1"/>
    </xf>
    <xf numFmtId="0" fontId="41" fillId="0" borderId="83" xfId="0" applyFont="1" applyBorder="1" applyAlignment="1">
      <alignment horizontal="left" vertical="center" wrapText="1"/>
    </xf>
    <xf numFmtId="0" fontId="39" fillId="0" borderId="0" xfId="0" applyFont="1" applyAlignment="1">
      <alignment horizontal="center" vertical="center"/>
    </xf>
    <xf numFmtId="9" fontId="164" fillId="0" borderId="0" xfId="176" applyFont="1"/>
    <xf numFmtId="0" fontId="130" fillId="0" borderId="0" xfId="0" applyFont="1"/>
    <xf numFmtId="0" fontId="130" fillId="0" borderId="0" xfId="0" applyFont="1" applyAlignment="1">
      <alignment horizontal="center" vertical="center"/>
    </xf>
    <xf numFmtId="0" fontId="130" fillId="0" borderId="83" xfId="0" applyFont="1" applyBorder="1" applyAlignment="1">
      <alignment horizontal="left" vertical="center" wrapText="1"/>
    </xf>
    <xf numFmtId="0" fontId="119" fillId="0" borderId="102" xfId="0" applyFont="1" applyBorder="1" applyAlignment="1">
      <alignment vertical="center" wrapText="1"/>
    </xf>
    <xf numFmtId="9" fontId="130" fillId="0" borderId="13" xfId="0" applyNumberFormat="1" applyFont="1" applyBorder="1" applyAlignment="1">
      <alignment horizontal="center" vertical="center" wrapText="1"/>
    </xf>
    <xf numFmtId="0" fontId="130" fillId="0" borderId="83" xfId="0" applyFont="1" applyBorder="1" applyAlignment="1">
      <alignment vertical="center" wrapText="1"/>
    </xf>
    <xf numFmtId="168" fontId="130" fillId="0" borderId="93" xfId="0" applyNumberFormat="1" applyFont="1" applyBorder="1" applyAlignment="1">
      <alignment horizontal="center" vertical="center" wrapText="1"/>
    </xf>
    <xf numFmtId="168" fontId="151" fillId="0" borderId="93" xfId="0" applyNumberFormat="1" applyFont="1" applyBorder="1" applyAlignment="1">
      <alignment horizontal="center" vertical="center" wrapText="1"/>
    </xf>
    <xf numFmtId="9" fontId="130" fillId="0" borderId="83" xfId="0" applyNumberFormat="1" applyFont="1" applyBorder="1" applyAlignment="1">
      <alignment horizontal="center" vertical="center" wrapText="1"/>
    </xf>
    <xf numFmtId="3" fontId="130" fillId="0" borderId="93" xfId="0" applyNumberFormat="1" applyFont="1" applyBorder="1" applyAlignment="1">
      <alignment horizontal="center" vertical="center" wrapText="1"/>
    </xf>
    <xf numFmtId="3" fontId="130" fillId="0" borderId="103" xfId="0" applyNumberFormat="1" applyFont="1" applyBorder="1" applyAlignment="1">
      <alignment horizontal="center" vertical="center" wrapText="1"/>
    </xf>
    <xf numFmtId="3" fontId="151" fillId="0" borderId="103" xfId="0" applyNumberFormat="1" applyFont="1" applyBorder="1" applyAlignment="1">
      <alignment horizontal="center" vertical="center" wrapText="1"/>
    </xf>
    <xf numFmtId="171" fontId="130" fillId="0" borderId="93" xfId="0" applyNumberFormat="1" applyFont="1" applyBorder="1" applyAlignment="1">
      <alignment horizontal="center" vertical="center" wrapText="1"/>
    </xf>
    <xf numFmtId="171" fontId="151" fillId="0" borderId="93" xfId="0" applyNumberFormat="1" applyFont="1" applyBorder="1" applyAlignment="1">
      <alignment horizontal="center" vertical="center" wrapText="1"/>
    </xf>
    <xf numFmtId="0" fontId="130" fillId="0" borderId="83" xfId="0" applyFont="1" applyBorder="1" applyAlignment="1">
      <alignment horizontal="center" vertical="center" wrapText="1"/>
    </xf>
    <xf numFmtId="168" fontId="130" fillId="0" borderId="95" xfId="0" applyNumberFormat="1" applyFont="1" applyBorder="1" applyAlignment="1">
      <alignment horizontal="center" vertical="center" wrapText="1"/>
    </xf>
    <xf numFmtId="171" fontId="130" fillId="0" borderId="10" xfId="0" applyNumberFormat="1" applyFont="1" applyBorder="1" applyAlignment="1">
      <alignment horizontal="center" vertical="center" wrapText="1"/>
    </xf>
    <xf numFmtId="171" fontId="151" fillId="0" borderId="10" xfId="0" applyNumberFormat="1" applyFont="1" applyBorder="1" applyAlignment="1">
      <alignment horizontal="center" vertical="center" wrapText="1"/>
    </xf>
    <xf numFmtId="0" fontId="130" fillId="0" borderId="103" xfId="0" applyFont="1" applyBorder="1" applyAlignment="1">
      <alignment horizontal="center" vertical="center" wrapText="1"/>
    </xf>
    <xf numFmtId="0" fontId="151" fillId="0" borderId="103" xfId="0" applyFont="1" applyBorder="1" applyAlignment="1">
      <alignment horizontal="center" vertical="center" wrapText="1"/>
    </xf>
    <xf numFmtId="0" fontId="130" fillId="22" borderId="99" xfId="0" applyFont="1" applyFill="1" applyBorder="1" applyAlignment="1">
      <alignment vertical="center" wrapText="1"/>
    </xf>
    <xf numFmtId="168" fontId="130" fillId="0" borderId="93" xfId="176" applyNumberFormat="1" applyFont="1" applyBorder="1" applyAlignment="1">
      <alignment horizontal="center" vertical="center" wrapText="1"/>
    </xf>
    <xf numFmtId="168" fontId="151" fillId="0" borderId="93" xfId="176" applyNumberFormat="1" applyFont="1" applyBorder="1" applyAlignment="1">
      <alignment horizontal="center" vertical="center" wrapText="1"/>
    </xf>
    <xf numFmtId="3" fontId="130" fillId="0" borderId="0" xfId="0" applyNumberFormat="1" applyFont="1" applyAlignment="1">
      <alignment horizontal="center" vertical="center" wrapText="1"/>
    </xf>
    <xf numFmtId="3" fontId="130" fillId="0" borderId="99" xfId="0" applyNumberFormat="1" applyFont="1" applyBorder="1" applyAlignment="1">
      <alignment horizontal="center" vertical="center" wrapText="1"/>
    </xf>
    <xf numFmtId="3" fontId="151" fillId="0" borderId="99" xfId="0" applyNumberFormat="1" applyFont="1" applyBorder="1" applyAlignment="1">
      <alignment horizontal="center" vertical="center" wrapText="1"/>
    </xf>
    <xf numFmtId="3" fontId="130" fillId="0" borderId="83" xfId="0" applyNumberFormat="1" applyFont="1" applyBorder="1" applyAlignment="1">
      <alignment horizontal="center" vertical="center" wrapText="1"/>
    </xf>
    <xf numFmtId="3" fontId="130" fillId="0" borderId="95" xfId="0" applyNumberFormat="1" applyFont="1" applyBorder="1" applyAlignment="1">
      <alignment horizontal="center" vertical="center" wrapText="1"/>
    </xf>
    <xf numFmtId="3" fontId="151" fillId="0" borderId="83" xfId="0" applyNumberFormat="1" applyFont="1" applyBorder="1" applyAlignment="1">
      <alignment horizontal="center" vertical="center" wrapText="1"/>
    </xf>
    <xf numFmtId="0" fontId="130" fillId="0" borderId="93" xfId="0" applyFont="1" applyBorder="1" applyAlignment="1">
      <alignment horizontal="center" vertical="center" wrapText="1"/>
    </xf>
    <xf numFmtId="0" fontId="151" fillId="0" borderId="93" xfId="0" applyFont="1" applyBorder="1" applyAlignment="1">
      <alignment horizontal="center" vertical="center" wrapText="1"/>
    </xf>
    <xf numFmtId="9" fontId="130" fillId="0" borderId="93" xfId="0" applyNumberFormat="1" applyFont="1" applyBorder="1" applyAlignment="1">
      <alignment horizontal="center" vertical="center" wrapText="1"/>
    </xf>
    <xf numFmtId="0" fontId="43" fillId="0" borderId="83" xfId="0" applyFont="1" applyBorder="1" applyAlignment="1">
      <alignment vertical="center" wrapText="1"/>
    </xf>
    <xf numFmtId="0" fontId="43" fillId="0" borderId="83" xfId="0" applyFont="1" applyBorder="1" applyAlignment="1">
      <alignment horizontal="center" vertical="center" wrapText="1"/>
    </xf>
    <xf numFmtId="169" fontId="39" fillId="20" borderId="83" xfId="0" applyNumberFormat="1" applyFont="1" applyFill="1" applyBorder="1" applyAlignment="1">
      <alignment horizontal="center"/>
    </xf>
    <xf numFmtId="168" fontId="39" fillId="43" borderId="83" xfId="182" applyNumberFormat="1" applyFont="1" applyFill="1" applyBorder="1" applyAlignment="1">
      <alignment horizontal="right" indent="1"/>
    </xf>
    <xf numFmtId="0" fontId="0" fillId="0" borderId="83" xfId="0" applyBorder="1"/>
    <xf numFmtId="0" fontId="0" fillId="24" borderId="93" xfId="0" applyFill="1" applyBorder="1" applyAlignment="1">
      <alignment horizontal="center" vertical="center" wrapText="1"/>
    </xf>
    <xf numFmtId="0" fontId="39" fillId="20" borderId="93" xfId="0" applyFont="1" applyFill="1" applyBorder="1" applyAlignment="1">
      <alignment horizontal="center" vertical="center" wrapText="1"/>
    </xf>
    <xf numFmtId="0" fontId="39" fillId="20" borderId="95" xfId="0" applyFont="1" applyFill="1" applyBorder="1" applyAlignment="1">
      <alignment horizontal="center" vertical="center" wrapText="1"/>
    </xf>
    <xf numFmtId="0" fontId="74" fillId="0" borderId="104" xfId="0" applyFont="1" applyBorder="1" applyAlignment="1">
      <alignment horizontal="center" vertical="center" wrapText="1"/>
    </xf>
    <xf numFmtId="0" fontId="0" fillId="0" borderId="83" xfId="0" quotePrefix="1" applyBorder="1" applyAlignment="1">
      <alignment horizontal="center" vertical="center" wrapText="1"/>
    </xf>
    <xf numFmtId="0" fontId="0" fillId="0" borderId="98" xfId="0" applyBorder="1" applyAlignment="1">
      <alignment wrapText="1"/>
    </xf>
    <xf numFmtId="0" fontId="74" fillId="0" borderId="83" xfId="0" applyFont="1" applyBorder="1" applyAlignment="1">
      <alignment horizontal="center" vertical="center" wrapText="1"/>
    </xf>
    <xf numFmtId="3" fontId="0" fillId="0" borderId="83" xfId="0" applyNumberFormat="1" applyBorder="1" applyAlignment="1">
      <alignment horizontal="center" vertical="center" wrapText="1"/>
    </xf>
    <xf numFmtId="3" fontId="39" fillId="43" borderId="83" xfId="0" applyNumberFormat="1" applyFont="1" applyFill="1" applyBorder="1" applyAlignment="1">
      <alignment horizontal="center" vertical="center" wrapText="1"/>
    </xf>
    <xf numFmtId="0" fontId="24" fillId="0" borderId="98" xfId="0" applyFont="1" applyBorder="1" applyAlignment="1">
      <alignment vertical="center" wrapText="1" readingOrder="1"/>
    </xf>
    <xf numFmtId="0" fontId="42" fillId="32" borderId="83" xfId="0" applyFont="1" applyFill="1" applyBorder="1" applyAlignment="1">
      <alignment horizontal="center" vertical="center" wrapText="1" readingOrder="1"/>
    </xf>
    <xf numFmtId="0" fontId="53" fillId="20" borderId="93" xfId="0" applyFont="1" applyFill="1" applyBorder="1" applyAlignment="1">
      <alignment horizontal="center" vertical="center" wrapText="1" readingOrder="1"/>
    </xf>
    <xf numFmtId="0" fontId="53" fillId="20" borderId="94" xfId="0" applyFont="1" applyFill="1" applyBorder="1" applyAlignment="1">
      <alignment horizontal="center" vertical="center" wrapText="1" readingOrder="1"/>
    </xf>
    <xf numFmtId="0" fontId="53" fillId="20" borderId="83" xfId="0" applyFont="1" applyFill="1" applyBorder="1" applyAlignment="1">
      <alignment horizontal="center" vertical="center" wrapText="1" readingOrder="1"/>
    </xf>
    <xf numFmtId="3" fontId="53" fillId="20" borderId="93" xfId="0" applyNumberFormat="1" applyFont="1" applyFill="1" applyBorder="1" applyAlignment="1">
      <alignment horizontal="center" vertical="center" wrapText="1" readingOrder="1"/>
    </xf>
    <xf numFmtId="1" fontId="39" fillId="20" borderId="94" xfId="0" applyNumberFormat="1" applyFont="1" applyFill="1" applyBorder="1" applyAlignment="1">
      <alignment horizontal="center" vertical="center" readingOrder="1"/>
    </xf>
    <xf numFmtId="1" fontId="39" fillId="20" borderId="95" xfId="0" applyNumberFormat="1" applyFont="1" applyFill="1" applyBorder="1" applyAlignment="1">
      <alignment horizontal="center" vertical="center" readingOrder="1"/>
    </xf>
    <xf numFmtId="168" fontId="39" fillId="20" borderId="94" xfId="176" applyNumberFormat="1" applyFont="1" applyFill="1" applyBorder="1" applyAlignment="1">
      <alignment horizontal="center" vertical="center" readingOrder="1"/>
    </xf>
    <xf numFmtId="0" fontId="72" fillId="0" borderId="0" xfId="736" applyFont="1" applyAlignment="1">
      <alignment horizontal="left" vertical="center"/>
    </xf>
    <xf numFmtId="0" fontId="6" fillId="0" borderId="0" xfId="0" applyFont="1" applyAlignment="1">
      <alignment vertical="center"/>
    </xf>
    <xf numFmtId="0" fontId="168" fillId="0" borderId="0" xfId="0" applyFont="1" applyAlignment="1">
      <alignment vertical="center"/>
    </xf>
    <xf numFmtId="0" fontId="46" fillId="0" borderId="0" xfId="144" applyFont="1" applyAlignment="1">
      <alignment vertical="center"/>
    </xf>
    <xf numFmtId="0" fontId="31" fillId="0" borderId="0" xfId="227" applyFont="1" applyAlignment="1">
      <alignment vertical="center"/>
    </xf>
    <xf numFmtId="0" fontId="165" fillId="0" borderId="0" xfId="0" applyFont="1" applyAlignment="1">
      <alignment horizontal="center" vertical="center"/>
    </xf>
    <xf numFmtId="9" fontId="151" fillId="0" borderId="93" xfId="0" applyNumberFormat="1" applyFont="1" applyBorder="1" applyAlignment="1">
      <alignment horizontal="center" vertical="center" wrapText="1"/>
    </xf>
    <xf numFmtId="9" fontId="151" fillId="0" borderId="83" xfId="0" applyNumberFormat="1" applyFont="1" applyBorder="1" applyAlignment="1">
      <alignment horizontal="center" vertical="center" wrapText="1"/>
    </xf>
    <xf numFmtId="9" fontId="130" fillId="0" borderId="93" xfId="176" applyFont="1" applyBorder="1" applyAlignment="1">
      <alignment horizontal="center" vertical="center" wrapText="1"/>
    </xf>
    <xf numFmtId="0" fontId="130" fillId="0" borderId="99" xfId="0" applyFont="1" applyBorder="1" applyAlignment="1">
      <alignment vertical="center" wrapText="1"/>
    </xf>
    <xf numFmtId="3" fontId="151" fillId="0" borderId="93" xfId="0" applyNumberFormat="1" applyFont="1" applyBorder="1" applyAlignment="1">
      <alignment horizontal="center" vertical="center" wrapText="1"/>
    </xf>
    <xf numFmtId="0" fontId="151" fillId="0" borderId="83" xfId="0" applyFont="1" applyBorder="1" applyAlignment="1">
      <alignment horizontal="center" vertical="center" wrapText="1"/>
    </xf>
    <xf numFmtId="9" fontId="151" fillId="0" borderId="94" xfId="176" applyFont="1" applyBorder="1" applyAlignment="1">
      <alignment horizontal="center" vertical="center" wrapText="1"/>
    </xf>
    <xf numFmtId="9" fontId="130" fillId="0" borderId="103" xfId="0" applyNumberFormat="1" applyFont="1" applyBorder="1" applyAlignment="1">
      <alignment horizontal="center" vertical="center" wrapText="1"/>
    </xf>
    <xf numFmtId="9" fontId="151" fillId="0" borderId="103" xfId="0" applyNumberFormat="1" applyFont="1" applyBorder="1" applyAlignment="1">
      <alignment horizontal="center" vertical="center" wrapText="1"/>
    </xf>
    <xf numFmtId="171" fontId="130" fillId="0" borderId="83" xfId="0" applyNumberFormat="1" applyFont="1" applyBorder="1" applyAlignment="1">
      <alignment horizontal="center" vertical="center" wrapText="1"/>
    </xf>
    <xf numFmtId="171" fontId="151" fillId="0" borderId="83" xfId="0" applyNumberFormat="1" applyFont="1" applyBorder="1" applyAlignment="1">
      <alignment horizontal="center" vertical="center" wrapText="1"/>
    </xf>
    <xf numFmtId="168" fontId="130" fillId="0" borderId="83" xfId="0" applyNumberFormat="1" applyFont="1" applyBorder="1" applyAlignment="1">
      <alignment horizontal="center" vertical="center" wrapText="1"/>
    </xf>
    <xf numFmtId="168" fontId="151" fillId="0" borderId="83" xfId="0" applyNumberFormat="1" applyFont="1" applyBorder="1" applyAlignment="1">
      <alignment horizontal="center" vertical="center" wrapText="1"/>
    </xf>
    <xf numFmtId="0" fontId="130" fillId="0" borderId="0" xfId="0" applyFont="1" applyAlignment="1">
      <alignment vertical="center" wrapText="1"/>
    </xf>
    <xf numFmtId="9" fontId="130" fillId="0" borderId="0" xfId="0" applyNumberFormat="1" applyFont="1" applyAlignment="1">
      <alignment horizontal="center" vertical="center" wrapText="1"/>
    </xf>
    <xf numFmtId="9" fontId="130" fillId="22" borderId="99" xfId="0" applyNumberFormat="1" applyFont="1" applyFill="1" applyBorder="1" applyAlignment="1">
      <alignment horizontal="center" vertical="center" wrapText="1"/>
    </xf>
    <xf numFmtId="0" fontId="130" fillId="0" borderId="94" xfId="0" applyFont="1" applyBorder="1" applyAlignment="1">
      <alignment vertical="center" wrapText="1"/>
    </xf>
    <xf numFmtId="0" fontId="130" fillId="22" borderId="94" xfId="0" applyFont="1" applyFill="1" applyBorder="1" applyAlignment="1">
      <alignment vertical="center" wrapText="1"/>
    </xf>
    <xf numFmtId="0" fontId="130" fillId="0" borderId="100" xfId="0" applyFont="1" applyBorder="1" applyAlignment="1">
      <alignment vertical="center" wrapText="1"/>
    </xf>
    <xf numFmtId="0" fontId="151" fillId="0" borderId="101" xfId="0" applyFont="1" applyBorder="1" applyAlignment="1">
      <alignment vertical="center" wrapText="1"/>
    </xf>
    <xf numFmtId="0" fontId="131" fillId="0" borderId="101" xfId="0" applyFont="1" applyBorder="1" applyAlignment="1">
      <alignment vertical="center" wrapText="1"/>
    </xf>
    <xf numFmtId="0" fontId="130" fillId="22" borderId="100" xfId="0" applyFont="1" applyFill="1" applyBorder="1" applyAlignment="1">
      <alignment vertical="center" wrapText="1"/>
    </xf>
    <xf numFmtId="0" fontId="43" fillId="0" borderId="98" xfId="0" applyFont="1" applyBorder="1" applyAlignment="1">
      <alignment horizontal="center" vertical="center" wrapText="1"/>
    </xf>
    <xf numFmtId="0" fontId="59" fillId="0" borderId="0" xfId="0" applyFont="1" applyAlignment="1">
      <alignment vertical="center"/>
    </xf>
    <xf numFmtId="0" fontId="43"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72" fillId="0" borderId="0" xfId="454" applyFont="1" applyAlignment="1">
      <alignment vertical="center"/>
    </xf>
    <xf numFmtId="0" fontId="31" fillId="0" borderId="0" xfId="454" applyFont="1" applyAlignment="1">
      <alignment vertical="center"/>
    </xf>
    <xf numFmtId="0" fontId="43" fillId="0" borderId="0" xfId="0" applyFont="1" applyAlignment="1">
      <alignment horizontal="center" vertical="center"/>
    </xf>
    <xf numFmtId="0" fontId="74" fillId="0" borderId="0" xfId="0" applyFont="1" applyAlignment="1">
      <alignment horizontal="center"/>
    </xf>
    <xf numFmtId="0" fontId="130" fillId="0" borderId="91" xfId="0" applyFont="1" applyBorder="1" applyAlignment="1">
      <alignment vertical="center" wrapText="1"/>
    </xf>
    <xf numFmtId="0" fontId="96" fillId="0" borderId="16" xfId="0" applyFont="1" applyBorder="1" applyAlignment="1">
      <alignment horizontal="center" vertical="center"/>
    </xf>
    <xf numFmtId="0" fontId="73" fillId="0" borderId="0" xfId="238" applyFont="1" applyAlignment="1">
      <alignment horizontal="left" vertical="top"/>
    </xf>
    <xf numFmtId="182" fontId="73" fillId="0" borderId="0" xfId="238" applyNumberFormat="1" applyFont="1" applyAlignment="1">
      <alignment horizontal="center" vertical="top"/>
    </xf>
    <xf numFmtId="185" fontId="73" fillId="0" borderId="0" xfId="238" applyNumberFormat="1" applyFont="1" applyAlignment="1">
      <alignment horizontal="center" vertical="top"/>
    </xf>
    <xf numFmtId="0" fontId="60" fillId="0" borderId="0" xfId="211" applyFont="1"/>
    <xf numFmtId="0" fontId="96" fillId="0" borderId="0" xfId="0" applyFont="1"/>
    <xf numFmtId="185" fontId="98" fillId="0" borderId="0" xfId="238" applyNumberFormat="1" applyFont="1" applyAlignment="1">
      <alignment horizontal="center" vertical="top"/>
    </xf>
    <xf numFmtId="182" fontId="98" fillId="0" borderId="0" xfId="238" applyNumberFormat="1" applyFont="1" applyAlignment="1">
      <alignment horizontal="center" vertical="top"/>
    </xf>
    <xf numFmtId="0" fontId="50" fillId="0" borderId="16" xfId="0" applyFont="1" applyBorder="1" applyAlignment="1">
      <alignment horizontal="center"/>
    </xf>
    <xf numFmtId="0" fontId="96" fillId="0" borderId="16" xfId="0" applyFont="1" applyBorder="1"/>
    <xf numFmtId="0" fontId="96" fillId="0" borderId="16" xfId="0" applyFont="1" applyBorder="1" applyAlignment="1">
      <alignment horizontal="center"/>
    </xf>
    <xf numFmtId="182" fontId="98" fillId="0" borderId="16" xfId="238" applyNumberFormat="1" applyFont="1" applyBorder="1" applyAlignment="1">
      <alignment horizontal="center" vertical="top"/>
    </xf>
    <xf numFmtId="185" fontId="98" fillId="0" borderId="16" xfId="238" applyNumberFormat="1" applyFont="1" applyBorder="1" applyAlignment="1">
      <alignment horizontal="center" vertical="top"/>
    </xf>
    <xf numFmtId="0" fontId="50" fillId="0" borderId="16" xfId="0" applyFont="1" applyBorder="1"/>
    <xf numFmtId="0" fontId="176" fillId="0" borderId="0" xfId="0" applyFont="1"/>
    <xf numFmtId="0" fontId="173" fillId="0" borderId="0" xfId="0" applyFont="1"/>
    <xf numFmtId="0" fontId="104" fillId="0" borderId="0" xfId="428" applyFont="1" applyAlignment="1">
      <alignment vertical="center"/>
    </xf>
    <xf numFmtId="0" fontId="179" fillId="0" borderId="0" xfId="451" applyFont="1" applyAlignment="1">
      <alignment vertical="center"/>
    </xf>
    <xf numFmtId="0" fontId="179" fillId="0" borderId="0" xfId="797" applyFont="1" applyAlignment="1">
      <alignment vertical="center"/>
    </xf>
    <xf numFmtId="0" fontId="1" fillId="0" borderId="0" xfId="797"/>
    <xf numFmtId="0" fontId="1" fillId="0" borderId="0" xfId="451" applyAlignment="1">
      <alignment vertical="center"/>
    </xf>
    <xf numFmtId="0" fontId="72" fillId="0" borderId="0" xfId="814" applyFont="1"/>
    <xf numFmtId="0" fontId="72" fillId="0" borderId="0" xfId="797" applyFont="1" applyAlignment="1">
      <alignment vertical="top"/>
    </xf>
    <xf numFmtId="0" fontId="132" fillId="0" borderId="0" xfId="451" applyFont="1" applyAlignment="1">
      <alignment vertical="center"/>
    </xf>
    <xf numFmtId="0" fontId="132" fillId="0" borderId="0" xfId="797" applyFont="1"/>
    <xf numFmtId="0" fontId="5" fillId="0" borderId="0" xfId="797" applyFont="1"/>
    <xf numFmtId="0" fontId="5" fillId="0" borderId="0" xfId="0" applyFont="1"/>
    <xf numFmtId="0" fontId="98" fillId="0" borderId="0" xfId="428" applyFont="1"/>
    <xf numFmtId="0" fontId="74" fillId="0" borderId="0" xfId="0" applyFont="1"/>
    <xf numFmtId="0" fontId="98" fillId="0" borderId="16" xfId="451" applyFont="1" applyBorder="1" applyAlignment="1">
      <alignment horizontal="center" vertical="center"/>
    </xf>
    <xf numFmtId="0" fontId="98" fillId="43" borderId="16" xfId="452" applyFont="1" applyFill="1" applyBorder="1" applyAlignment="1">
      <alignment horizontal="center" wrapText="1"/>
    </xf>
    <xf numFmtId="0" fontId="98" fillId="0" borderId="16" xfId="797" applyFont="1" applyBorder="1" applyAlignment="1">
      <alignment horizontal="center"/>
    </xf>
    <xf numFmtId="0" fontId="88" fillId="0" borderId="16" xfId="797" applyFont="1" applyBorder="1" applyAlignment="1">
      <alignment horizontal="center" vertical="center"/>
    </xf>
    <xf numFmtId="0" fontId="98" fillId="0" borderId="16" xfId="428" applyFont="1" applyBorder="1" applyAlignment="1">
      <alignment horizontal="center"/>
    </xf>
    <xf numFmtId="0" fontId="35" fillId="21" borderId="16" xfId="0" applyFont="1" applyFill="1" applyBorder="1" applyAlignment="1">
      <alignment horizontal="center" wrapText="1"/>
    </xf>
    <xf numFmtId="0" fontId="74" fillId="0" borderId="16" xfId="0" applyFont="1" applyBorder="1" applyAlignment="1">
      <alignment horizontal="center"/>
    </xf>
    <xf numFmtId="0" fontId="74" fillId="21" borderId="16" xfId="0" applyFont="1" applyFill="1" applyBorder="1" applyAlignment="1">
      <alignment horizontal="center" wrapText="1"/>
    </xf>
    <xf numFmtId="0" fontId="180" fillId="0" borderId="16" xfId="227" applyFont="1" applyBorder="1" applyAlignment="1">
      <alignment horizontal="center"/>
    </xf>
    <xf numFmtId="0" fontId="180" fillId="0" borderId="16" xfId="227" applyFont="1" applyBorder="1" applyAlignment="1">
      <alignment horizontal="center" wrapText="1"/>
    </xf>
    <xf numFmtId="0" fontId="73" fillId="0" borderId="0" xfId="451" applyFont="1" applyAlignment="1">
      <alignment horizontal="center" vertical="center"/>
    </xf>
    <xf numFmtId="0" fontId="73" fillId="0" borderId="0" xfId="451" applyFont="1" applyAlignment="1">
      <alignment vertical="center"/>
    </xf>
    <xf numFmtId="0" fontId="73" fillId="0" borderId="0" xfId="451" applyFont="1" applyAlignment="1">
      <alignment horizontal="left" vertical="center"/>
    </xf>
    <xf numFmtId="182" fontId="73" fillId="47" borderId="0" xfId="451" applyNumberFormat="1" applyFont="1" applyFill="1" applyAlignment="1">
      <alignment horizontal="center" vertical="center"/>
    </xf>
    <xf numFmtId="0" fontId="73" fillId="47" borderId="0" xfId="451" applyFont="1" applyFill="1" applyAlignment="1">
      <alignment horizontal="center" vertical="center"/>
    </xf>
    <xf numFmtId="182" fontId="73" fillId="0" borderId="0" xfId="451" applyNumberFormat="1" applyFont="1" applyAlignment="1">
      <alignment horizontal="center" vertical="center"/>
    </xf>
    <xf numFmtId="0" fontId="73" fillId="0" borderId="0" xfId="797" applyFont="1" applyAlignment="1">
      <alignment horizontal="center" vertical="center"/>
    </xf>
    <xf numFmtId="0" fontId="73" fillId="0" borderId="0" xfId="797" applyFont="1" applyAlignment="1">
      <alignment vertical="top"/>
    </xf>
    <xf numFmtId="0" fontId="73" fillId="0" borderId="0" xfId="797" applyFont="1" applyAlignment="1">
      <alignment horizontal="left" vertical="top"/>
    </xf>
    <xf numFmtId="182" fontId="73" fillId="48" borderId="0" xfId="797" applyNumberFormat="1" applyFont="1" applyFill="1" applyAlignment="1">
      <alignment horizontal="center" vertical="top"/>
    </xf>
    <xf numFmtId="0" fontId="73" fillId="48" borderId="0" xfId="797" applyFont="1" applyFill="1" applyAlignment="1">
      <alignment horizontal="center" vertical="top"/>
    </xf>
    <xf numFmtId="0" fontId="73" fillId="0" borderId="0" xfId="797" applyFont="1" applyAlignment="1">
      <alignment horizontal="center" vertical="top"/>
    </xf>
    <xf numFmtId="182" fontId="73" fillId="0" borderId="0" xfId="797" applyNumberFormat="1" applyFont="1" applyAlignment="1">
      <alignment horizontal="center" vertical="top"/>
    </xf>
    <xf numFmtId="10" fontId="88" fillId="0" borderId="0" xfId="176" applyNumberFormat="1" applyFont="1" applyAlignment="1">
      <alignment horizontal="center"/>
    </xf>
    <xf numFmtId="0" fontId="73" fillId="0" borderId="0" xfId="428" applyFont="1" applyAlignment="1">
      <alignment vertical="top"/>
    </xf>
    <xf numFmtId="0" fontId="73" fillId="0" borderId="0" xfId="428" applyFont="1" applyAlignment="1">
      <alignment horizontal="left" vertical="top"/>
    </xf>
    <xf numFmtId="0" fontId="73" fillId="0" borderId="0" xfId="428" applyFont="1" applyAlignment="1">
      <alignment horizontal="center" vertical="top"/>
    </xf>
    <xf numFmtId="182" fontId="73" fillId="0" borderId="0" xfId="428" applyNumberFormat="1" applyFont="1" applyAlignment="1">
      <alignment horizontal="center" vertical="top"/>
    </xf>
    <xf numFmtId="0" fontId="0" fillId="21" borderId="0" xfId="0" applyFill="1"/>
    <xf numFmtId="0" fontId="40" fillId="0" borderId="0" xfId="227" applyFont="1"/>
    <xf numFmtId="0" fontId="40" fillId="0" borderId="0" xfId="227" applyFont="1" applyAlignment="1">
      <alignment horizontal="center" vertical="center"/>
    </xf>
    <xf numFmtId="0" fontId="180" fillId="0" borderId="0" xfId="227" applyFont="1" applyAlignment="1">
      <alignment horizontal="center"/>
    </xf>
    <xf numFmtId="0" fontId="180" fillId="0" borderId="0" xfId="227" applyFont="1"/>
    <xf numFmtId="10" fontId="180" fillId="0" borderId="0" xfId="228" applyNumberFormat="1" applyFont="1"/>
    <xf numFmtId="0" fontId="98" fillId="0" borderId="0" xfId="451" applyFont="1" applyAlignment="1">
      <alignment vertical="center"/>
    </xf>
    <xf numFmtId="182" fontId="98" fillId="47" borderId="0" xfId="451" applyNumberFormat="1" applyFont="1" applyFill="1" applyAlignment="1">
      <alignment horizontal="center" vertical="center"/>
    </xf>
    <xf numFmtId="0" fontId="98" fillId="47" borderId="0" xfId="451" applyFont="1" applyFill="1" applyAlignment="1">
      <alignment horizontal="center" vertical="center"/>
    </xf>
    <xf numFmtId="0" fontId="98" fillId="0" borderId="0" xfId="451" applyFont="1" applyAlignment="1">
      <alignment horizontal="center" vertical="center"/>
    </xf>
    <xf numFmtId="182" fontId="98" fillId="0" borderId="0" xfId="451" applyNumberFormat="1" applyFont="1" applyAlignment="1">
      <alignment horizontal="center" vertical="center"/>
    </xf>
    <xf numFmtId="10" fontId="98" fillId="0" borderId="0" xfId="176" applyNumberFormat="1" applyFont="1" applyAlignment="1">
      <alignment horizontal="center" vertical="center"/>
    </xf>
    <xf numFmtId="0" fontId="98" fillId="0" borderId="0" xfId="797" applyFont="1" applyAlignment="1">
      <alignment vertical="top"/>
    </xf>
    <xf numFmtId="182" fontId="98" fillId="48" borderId="0" xfId="797" applyNumberFormat="1" applyFont="1" applyFill="1" applyAlignment="1">
      <alignment horizontal="center" vertical="top"/>
    </xf>
    <xf numFmtId="0" fontId="98" fillId="48" borderId="0" xfId="797" applyFont="1" applyFill="1" applyAlignment="1">
      <alignment horizontal="center" vertical="top"/>
    </xf>
    <xf numFmtId="0" fontId="98" fillId="0" borderId="0" xfId="797" applyFont="1" applyAlignment="1">
      <alignment horizontal="center" vertical="top"/>
    </xf>
    <xf numFmtId="182" fontId="98" fillId="0" borderId="0" xfId="797" applyNumberFormat="1" applyFont="1" applyAlignment="1">
      <alignment horizontal="center" vertical="top"/>
    </xf>
    <xf numFmtId="0" fontId="98" fillId="0" borderId="0" xfId="428" applyFont="1" applyAlignment="1">
      <alignment vertical="top"/>
    </xf>
    <xf numFmtId="0" fontId="98" fillId="0" borderId="0" xfId="428" applyFont="1" applyAlignment="1">
      <alignment horizontal="center" vertical="top"/>
    </xf>
    <xf numFmtId="182" fontId="98" fillId="0" borderId="0" xfId="428" applyNumberFormat="1" applyFont="1" applyAlignment="1">
      <alignment horizontal="center" vertical="top"/>
    </xf>
    <xf numFmtId="10" fontId="88" fillId="21" borderId="0" xfId="176" applyNumberFormat="1" applyFont="1" applyFill="1" applyAlignment="1">
      <alignment horizontal="center"/>
    </xf>
    <xf numFmtId="10" fontId="74" fillId="0" borderId="0" xfId="176" applyNumberFormat="1" applyFont="1"/>
    <xf numFmtId="10" fontId="73" fillId="0" borderId="0" xfId="176" applyNumberFormat="1" applyFont="1" applyAlignment="1">
      <alignment horizontal="center" vertical="center"/>
    </xf>
    <xf numFmtId="9" fontId="74" fillId="0" borderId="0" xfId="176" applyFont="1"/>
    <xf numFmtId="0" fontId="180" fillId="0" borderId="16" xfId="227" applyFont="1" applyBorder="1"/>
    <xf numFmtId="0" fontId="180" fillId="0" borderId="16" xfId="227" applyFont="1" applyBorder="1" applyAlignment="1">
      <alignment horizontal="center" vertical="center"/>
    </xf>
    <xf numFmtId="10" fontId="180" fillId="0" borderId="16" xfId="228" applyNumberFormat="1" applyFont="1" applyBorder="1"/>
    <xf numFmtId="0" fontId="49" fillId="0" borderId="16" xfId="0" applyFont="1" applyBorder="1" applyAlignment="1">
      <alignment horizontal="center"/>
    </xf>
    <xf numFmtId="0" fontId="49" fillId="0" borderId="16" xfId="0" applyFont="1" applyBorder="1"/>
    <xf numFmtId="0" fontId="74" fillId="0" borderId="16" xfId="0" applyFont="1" applyBorder="1"/>
    <xf numFmtId="9" fontId="74" fillId="0" borderId="16" xfId="176" applyFont="1" applyBorder="1"/>
    <xf numFmtId="0" fontId="73" fillId="40" borderId="0" xfId="451" applyFont="1" applyFill="1" applyAlignment="1">
      <alignment vertical="center"/>
    </xf>
    <xf numFmtId="0" fontId="73" fillId="40" borderId="0" xfId="451" applyFont="1" applyFill="1" applyAlignment="1">
      <alignment horizontal="left" vertical="center"/>
    </xf>
    <xf numFmtId="182" fontId="73" fillId="40" borderId="0" xfId="451" applyNumberFormat="1" applyFont="1" applyFill="1" applyAlignment="1">
      <alignment horizontal="center" vertical="center"/>
    </xf>
    <xf numFmtId="0" fontId="50" fillId="40" borderId="0" xfId="0" applyFont="1" applyFill="1"/>
    <xf numFmtId="0" fontId="98" fillId="40" borderId="0" xfId="451" applyFont="1" applyFill="1" applyAlignment="1">
      <alignment vertical="center"/>
    </xf>
    <xf numFmtId="182" fontId="98" fillId="40" borderId="0" xfId="451" applyNumberFormat="1" applyFont="1" applyFill="1" applyAlignment="1">
      <alignment horizontal="center" vertical="center"/>
    </xf>
    <xf numFmtId="9" fontId="98" fillId="40" borderId="0" xfId="176" applyFont="1" applyFill="1" applyAlignment="1">
      <alignment horizontal="center" vertical="center"/>
    </xf>
    <xf numFmtId="0" fontId="73" fillId="0" borderId="16" xfId="428" applyFont="1" applyBorder="1" applyAlignment="1">
      <alignment vertical="top"/>
    </xf>
    <xf numFmtId="0" fontId="98" fillId="0" borderId="16" xfId="428" applyFont="1" applyBorder="1" applyAlignment="1">
      <alignment vertical="top"/>
    </xf>
    <xf numFmtId="182" fontId="98" fillId="0" borderId="16" xfId="428" applyNumberFormat="1" applyFont="1" applyBorder="1" applyAlignment="1">
      <alignment horizontal="center" vertical="top"/>
    </xf>
    <xf numFmtId="0" fontId="98" fillId="0" borderId="16" xfId="428" applyFont="1" applyBorder="1" applyAlignment="1">
      <alignment horizontal="center" vertical="top"/>
    </xf>
    <xf numFmtId="10" fontId="88" fillId="21" borderId="16" xfId="176" applyNumberFormat="1" applyFont="1" applyFill="1" applyBorder="1" applyAlignment="1">
      <alignment horizontal="center"/>
    </xf>
    <xf numFmtId="0" fontId="98" fillId="0" borderId="16" xfId="428" applyFont="1" applyBorder="1" applyAlignment="1">
      <alignment horizontal="center" vertical="center"/>
    </xf>
    <xf numFmtId="0" fontId="35" fillId="21" borderId="16" xfId="0" applyFont="1" applyFill="1" applyBorder="1" applyAlignment="1">
      <alignment horizontal="center" vertical="center" wrapText="1"/>
    </xf>
    <xf numFmtId="0" fontId="74" fillId="0" borderId="16" xfId="0" applyFont="1" applyBorder="1" applyAlignment="1">
      <alignment horizontal="center" wrapText="1"/>
    </xf>
    <xf numFmtId="0" fontId="180" fillId="0" borderId="16" xfId="227" applyFont="1" applyBorder="1" applyAlignment="1">
      <alignment vertical="center" wrapText="1"/>
    </xf>
    <xf numFmtId="0" fontId="180" fillId="0" borderId="107" xfId="227" applyFont="1" applyBorder="1" applyAlignment="1">
      <alignment vertical="center" wrapText="1"/>
    </xf>
    <xf numFmtId="0" fontId="73" fillId="0" borderId="16" xfId="797" applyFont="1" applyBorder="1" applyAlignment="1">
      <alignment horizontal="center" vertical="center"/>
    </xf>
    <xf numFmtId="0" fontId="73" fillId="0" borderId="16" xfId="797" applyFont="1" applyBorder="1" applyAlignment="1">
      <alignment vertical="top"/>
    </xf>
    <xf numFmtId="0" fontId="98" fillId="0" borderId="16" xfId="797" applyFont="1" applyBorder="1" applyAlignment="1">
      <alignment vertical="top"/>
    </xf>
    <xf numFmtId="182" fontId="98" fillId="48" borderId="16" xfId="797" applyNumberFormat="1" applyFont="1" applyFill="1" applyBorder="1" applyAlignment="1">
      <alignment horizontal="center" vertical="top"/>
    </xf>
    <xf numFmtId="182" fontId="98" fillId="0" borderId="16" xfId="797" applyNumberFormat="1" applyFont="1" applyBorder="1" applyAlignment="1">
      <alignment horizontal="center" vertical="top"/>
    </xf>
    <xf numFmtId="10" fontId="88" fillId="43" borderId="16" xfId="176" applyNumberFormat="1" applyFont="1" applyFill="1" applyBorder="1" applyAlignment="1">
      <alignment horizontal="center"/>
    </xf>
    <xf numFmtId="0" fontId="180" fillId="0" borderId="16" xfId="227" applyFont="1" applyBorder="1" applyAlignment="1">
      <alignment horizontal="center" vertical="center" wrapText="1"/>
    </xf>
    <xf numFmtId="0" fontId="180" fillId="0" borderId="107" xfId="227" applyFont="1" applyBorder="1" applyAlignment="1">
      <alignment horizontal="center" vertical="center" wrapText="1"/>
    </xf>
    <xf numFmtId="0" fontId="98" fillId="0" borderId="16" xfId="451" applyFont="1" applyBorder="1" applyAlignment="1">
      <alignment vertical="center"/>
    </xf>
    <xf numFmtId="182" fontId="98" fillId="47" borderId="16" xfId="451" applyNumberFormat="1" applyFont="1" applyFill="1" applyBorder="1" applyAlignment="1">
      <alignment horizontal="center" vertical="center"/>
    </xf>
    <xf numFmtId="182" fontId="98" fillId="0" borderId="16" xfId="451" applyNumberFormat="1" applyFont="1" applyBorder="1" applyAlignment="1">
      <alignment horizontal="center" vertical="center"/>
    </xf>
    <xf numFmtId="10" fontId="98" fillId="43" borderId="16" xfId="176" applyNumberFormat="1" applyFont="1" applyFill="1" applyBorder="1" applyAlignment="1">
      <alignment horizontal="center" vertical="center"/>
    </xf>
    <xf numFmtId="0" fontId="35" fillId="0" borderId="0" xfId="211" applyFont="1"/>
    <xf numFmtId="182" fontId="0" fillId="0" borderId="0" xfId="0" applyNumberFormat="1" applyAlignment="1">
      <alignment vertical="center"/>
    </xf>
    <xf numFmtId="0" fontId="180" fillId="0" borderId="0" xfId="227" applyFont="1" applyAlignment="1">
      <alignment horizontal="center" vertical="center"/>
    </xf>
    <xf numFmtId="10" fontId="74" fillId="21" borderId="16" xfId="176" applyNumberFormat="1" applyFont="1" applyFill="1" applyBorder="1"/>
    <xf numFmtId="168" fontId="180" fillId="21" borderId="16" xfId="228" applyNumberFormat="1" applyFont="1" applyFill="1" applyBorder="1"/>
    <xf numFmtId="0" fontId="180" fillId="21" borderId="16" xfId="227" applyFont="1" applyFill="1" applyBorder="1" applyAlignment="1">
      <alignment horizontal="center"/>
    </xf>
    <xf numFmtId="0" fontId="103" fillId="0" borderId="0" xfId="0" applyFont="1"/>
    <xf numFmtId="0" fontId="40" fillId="0" borderId="0" xfId="211" applyFont="1"/>
    <xf numFmtId="0" fontId="48" fillId="0" borderId="0" xfId="0" applyFont="1"/>
    <xf numFmtId="0" fontId="179" fillId="0" borderId="0" xfId="453" applyFont="1" applyAlignment="1">
      <alignment vertical="center"/>
    </xf>
    <xf numFmtId="0" fontId="179" fillId="0" borderId="0" xfId="239" applyFont="1" applyAlignment="1">
      <alignment vertical="center"/>
    </xf>
    <xf numFmtId="0" fontId="1" fillId="0" borderId="0" xfId="453"/>
    <xf numFmtId="0" fontId="72" fillId="0" borderId="0" xfId="239" applyFont="1" applyAlignment="1">
      <alignment vertical="top"/>
    </xf>
    <xf numFmtId="0" fontId="132" fillId="0" borderId="0" xfId="453" applyFont="1"/>
    <xf numFmtId="0" fontId="132" fillId="0" borderId="0" xfId="239" applyFont="1"/>
    <xf numFmtId="0" fontId="98" fillId="0" borderId="0" xfId="173" applyFont="1"/>
    <xf numFmtId="0" fontId="98" fillId="0" borderId="16" xfId="453" applyFont="1" applyBorder="1" applyAlignment="1">
      <alignment horizontal="center" vertical="center"/>
    </xf>
    <xf numFmtId="0" fontId="98" fillId="43" borderId="16" xfId="452" applyFont="1" applyFill="1" applyBorder="1" applyAlignment="1">
      <alignment horizontal="center" vertical="center" wrapText="1"/>
    </xf>
    <xf numFmtId="0" fontId="98" fillId="0" borderId="16" xfId="239" applyFont="1" applyBorder="1" applyAlignment="1">
      <alignment horizontal="center"/>
    </xf>
    <xf numFmtId="0" fontId="174" fillId="43" borderId="16" xfId="797" applyFont="1" applyFill="1" applyBorder="1" applyAlignment="1">
      <alignment horizontal="center" vertical="center"/>
    </xf>
    <xf numFmtId="0" fontId="98" fillId="0" borderId="16" xfId="173" applyFont="1" applyBorder="1" applyAlignment="1">
      <alignment horizontal="center"/>
    </xf>
    <xf numFmtId="0" fontId="180" fillId="0" borderId="107" xfId="227" applyFont="1" applyBorder="1" applyAlignment="1">
      <alignment horizontal="center" wrapText="1"/>
    </xf>
    <xf numFmtId="0" fontId="73" fillId="0" borderId="0" xfId="453" applyFont="1" applyAlignment="1">
      <alignment horizontal="center" vertical="center"/>
    </xf>
    <xf numFmtId="0" fontId="73" fillId="0" borderId="0" xfId="453" applyFont="1" applyAlignment="1">
      <alignment vertical="top"/>
    </xf>
    <xf numFmtId="0" fontId="73" fillId="0" borderId="0" xfId="453" applyFont="1" applyAlignment="1">
      <alignment horizontal="left" vertical="top"/>
    </xf>
    <xf numFmtId="0" fontId="73" fillId="42" borderId="0" xfId="453" applyFont="1" applyFill="1" applyAlignment="1">
      <alignment horizontal="center" vertical="center"/>
    </xf>
    <xf numFmtId="182" fontId="73" fillId="42" borderId="0" xfId="453" applyNumberFormat="1" applyFont="1" applyFill="1" applyAlignment="1">
      <alignment horizontal="center" vertical="center"/>
    </xf>
    <xf numFmtId="182" fontId="73" fillId="0" borderId="0" xfId="453" applyNumberFormat="1" applyFont="1" applyAlignment="1">
      <alignment horizontal="center" vertical="center"/>
    </xf>
    <xf numFmtId="0" fontId="73" fillId="0" borderId="0" xfId="239" applyFont="1" applyAlignment="1">
      <alignment vertical="top"/>
    </xf>
    <xf numFmtId="0" fontId="73" fillId="0" borderId="0" xfId="239" applyFont="1" applyAlignment="1">
      <alignment horizontal="left" vertical="top"/>
    </xf>
    <xf numFmtId="0" fontId="73" fillId="48" borderId="0" xfId="239" applyFont="1" applyFill="1" applyAlignment="1">
      <alignment horizontal="center" vertical="top"/>
    </xf>
    <xf numFmtId="182" fontId="73" fillId="48" borderId="0" xfId="239" applyNumberFormat="1" applyFont="1" applyFill="1" applyAlignment="1">
      <alignment horizontal="center" vertical="top"/>
    </xf>
    <xf numFmtId="0" fontId="73" fillId="0" borderId="0" xfId="239" applyFont="1" applyAlignment="1">
      <alignment horizontal="center" vertical="top"/>
    </xf>
    <xf numFmtId="182" fontId="73" fillId="0" borderId="0" xfId="239" applyNumberFormat="1" applyFont="1" applyAlignment="1">
      <alignment horizontal="center" vertical="top"/>
    </xf>
    <xf numFmtId="10" fontId="98" fillId="0" borderId="0" xfId="176" applyNumberFormat="1" applyFont="1" applyAlignment="1">
      <alignment horizontal="center" vertical="top"/>
    </xf>
    <xf numFmtId="0" fontId="73" fillId="0" borderId="0" xfId="173" applyFont="1" applyAlignment="1">
      <alignment vertical="top"/>
    </xf>
    <xf numFmtId="0" fontId="73" fillId="0" borderId="0" xfId="173" applyFont="1" applyAlignment="1">
      <alignment horizontal="left" vertical="top"/>
    </xf>
    <xf numFmtId="0" fontId="73" fillId="0" borderId="0" xfId="173" applyFont="1" applyAlignment="1">
      <alignment horizontal="center" vertical="top"/>
    </xf>
    <xf numFmtId="182" fontId="73" fillId="0" borderId="0" xfId="173" applyNumberFormat="1" applyFont="1" applyAlignment="1">
      <alignment horizontal="center" vertical="top"/>
    </xf>
    <xf numFmtId="1" fontId="49" fillId="0" borderId="0" xfId="228" applyNumberFormat="1" applyFont="1" applyAlignment="1">
      <alignment horizontal="center"/>
    </xf>
    <xf numFmtId="0" fontId="98" fillId="0" borderId="0" xfId="239" applyFont="1" applyAlignment="1">
      <alignment vertical="top"/>
    </xf>
    <xf numFmtId="0" fontId="98" fillId="48" borderId="0" xfId="239" applyFont="1" applyFill="1" applyAlignment="1">
      <alignment horizontal="center" vertical="top"/>
    </xf>
    <xf numFmtId="182" fontId="98" fillId="48" borderId="0" xfId="239" applyNumberFormat="1" applyFont="1" applyFill="1" applyAlignment="1">
      <alignment horizontal="center" vertical="top"/>
    </xf>
    <xf numFmtId="0" fontId="98" fillId="0" borderId="0" xfId="239" applyFont="1" applyAlignment="1">
      <alignment horizontal="center" vertical="top"/>
    </xf>
    <xf numFmtId="182" fontId="98" fillId="0" borderId="0" xfId="239" applyNumberFormat="1" applyFont="1" applyAlignment="1">
      <alignment horizontal="center" vertical="top"/>
    </xf>
    <xf numFmtId="0" fontId="98" fillId="0" borderId="0" xfId="173" applyFont="1" applyAlignment="1">
      <alignment vertical="top"/>
    </xf>
    <xf numFmtId="0" fontId="98" fillId="0" borderId="0" xfId="173" applyFont="1" applyAlignment="1">
      <alignment horizontal="center" vertical="top"/>
    </xf>
    <xf numFmtId="182" fontId="98" fillId="0" borderId="0" xfId="173" applyNumberFormat="1" applyFont="1" applyAlignment="1">
      <alignment horizontal="center" vertical="top"/>
    </xf>
    <xf numFmtId="10" fontId="98" fillId="21" borderId="0" xfId="176" applyNumberFormat="1" applyFont="1" applyFill="1" applyAlignment="1">
      <alignment horizontal="center" vertical="top"/>
    </xf>
    <xf numFmtId="10" fontId="180" fillId="0" borderId="0" xfId="228" applyNumberFormat="1" applyFont="1" applyAlignment="1">
      <alignment horizontal="center"/>
    </xf>
    <xf numFmtId="0" fontId="98" fillId="0" borderId="0" xfId="453" applyFont="1" applyAlignment="1">
      <alignment vertical="top"/>
    </xf>
    <xf numFmtId="0" fontId="98" fillId="42" borderId="0" xfId="453" applyFont="1" applyFill="1" applyAlignment="1">
      <alignment horizontal="center" vertical="center"/>
    </xf>
    <xf numFmtId="182" fontId="98" fillId="42" borderId="0" xfId="453" applyNumberFormat="1" applyFont="1" applyFill="1" applyAlignment="1">
      <alignment horizontal="center" vertical="center"/>
    </xf>
    <xf numFmtId="0" fontId="98" fillId="0" borderId="0" xfId="453" applyFont="1" applyAlignment="1">
      <alignment horizontal="center" vertical="center"/>
    </xf>
    <xf numFmtId="182" fontId="98" fillId="0" borderId="0" xfId="453" applyNumberFormat="1" applyFont="1" applyAlignment="1">
      <alignment horizontal="center" vertical="center"/>
    </xf>
    <xf numFmtId="10" fontId="96" fillId="0" borderId="0" xfId="176" applyNumberFormat="1" applyFont="1" applyAlignment="1">
      <alignment horizontal="center"/>
    </xf>
    <xf numFmtId="0" fontId="40" fillId="0" borderId="16" xfId="227" applyFont="1" applyBorder="1"/>
    <xf numFmtId="10" fontId="180" fillId="0" borderId="16" xfId="228" applyNumberFormat="1" applyFont="1" applyBorder="1" applyAlignment="1">
      <alignment horizontal="center"/>
    </xf>
    <xf numFmtId="0" fontId="73" fillId="0" borderId="16" xfId="173" applyFont="1" applyBorder="1" applyAlignment="1">
      <alignment vertical="top"/>
    </xf>
    <xf numFmtId="0" fontId="98" fillId="0" borderId="16" xfId="173" applyFont="1" applyBorder="1" applyAlignment="1">
      <alignment vertical="top"/>
    </xf>
    <xf numFmtId="0" fontId="98" fillId="0" borderId="16" xfId="173" applyFont="1" applyBorder="1" applyAlignment="1">
      <alignment horizontal="center" vertical="top"/>
    </xf>
    <xf numFmtId="182" fontId="98" fillId="0" borderId="16" xfId="173" applyNumberFormat="1" applyFont="1" applyBorder="1" applyAlignment="1">
      <alignment horizontal="center" vertical="top"/>
    </xf>
    <xf numFmtId="10" fontId="98" fillId="21" borderId="16" xfId="176" applyNumberFormat="1" applyFont="1" applyFill="1" applyBorder="1" applyAlignment="1">
      <alignment horizontal="center" vertical="top"/>
    </xf>
    <xf numFmtId="10" fontId="74" fillId="0" borderId="16" xfId="176" applyNumberFormat="1" applyFont="1" applyBorder="1"/>
    <xf numFmtId="0" fontId="40" fillId="0" borderId="0" xfId="227" applyFont="1" applyAlignment="1">
      <alignment vertical="center" wrapText="1"/>
    </xf>
    <xf numFmtId="0" fontId="73" fillId="0" borderId="16" xfId="239" applyFont="1" applyBorder="1" applyAlignment="1">
      <alignment vertical="top"/>
    </xf>
    <xf numFmtId="0" fontId="98" fillId="0" borderId="16" xfId="239" applyFont="1" applyBorder="1" applyAlignment="1">
      <alignment vertical="top"/>
    </xf>
    <xf numFmtId="182" fontId="98" fillId="48" borderId="16" xfId="239" applyNumberFormat="1" applyFont="1" applyFill="1" applyBorder="1" applyAlignment="1">
      <alignment horizontal="center" vertical="top"/>
    </xf>
    <xf numFmtId="182" fontId="98" fillId="0" borderId="16" xfId="239" applyNumberFormat="1" applyFont="1" applyBorder="1" applyAlignment="1">
      <alignment horizontal="center" vertical="top"/>
    </xf>
    <xf numFmtId="10" fontId="98" fillId="43" borderId="16" xfId="176" applyNumberFormat="1" applyFont="1" applyFill="1" applyBorder="1" applyAlignment="1">
      <alignment horizontal="center" vertical="top"/>
    </xf>
    <xf numFmtId="0" fontId="98" fillId="0" borderId="16" xfId="173" applyFont="1" applyBorder="1" applyAlignment="1">
      <alignment horizontal="center" vertical="center"/>
    </xf>
    <xf numFmtId="0" fontId="74" fillId="0" borderId="16" xfId="0" applyFont="1" applyBorder="1" applyAlignment="1">
      <alignment vertical="center" wrapText="1"/>
    </xf>
    <xf numFmtId="0" fontId="73" fillId="0" borderId="0" xfId="173" applyFont="1" applyAlignment="1">
      <alignment horizontal="center" vertical="center"/>
    </xf>
    <xf numFmtId="0" fontId="35" fillId="0" borderId="0" xfId="211" applyFont="1" applyAlignment="1">
      <alignment horizontal="left"/>
    </xf>
    <xf numFmtId="0" fontId="89" fillId="0" borderId="0" xfId="211" applyFont="1" applyAlignment="1">
      <alignment horizontal="left"/>
    </xf>
    <xf numFmtId="0" fontId="1" fillId="0" borderId="0" xfId="227"/>
    <xf numFmtId="0" fontId="1" fillId="0" borderId="0" xfId="227" applyAlignment="1">
      <alignment horizontal="center" vertical="center"/>
    </xf>
    <xf numFmtId="0" fontId="73" fillId="0" borderId="16" xfId="453" applyFont="1" applyBorder="1" applyAlignment="1">
      <alignment horizontal="center" vertical="center"/>
    </xf>
    <xf numFmtId="0" fontId="73" fillId="0" borderId="16" xfId="453" applyFont="1" applyBorder="1" applyAlignment="1">
      <alignment vertical="top"/>
    </xf>
    <xf numFmtId="0" fontId="98" fillId="0" borderId="16" xfId="453" applyFont="1" applyBorder="1" applyAlignment="1">
      <alignment vertical="top"/>
    </xf>
    <xf numFmtId="182" fontId="98" fillId="42" borderId="16" xfId="453" applyNumberFormat="1" applyFont="1" applyFill="1" applyBorder="1" applyAlignment="1">
      <alignment horizontal="center" vertical="center"/>
    </xf>
    <xf numFmtId="182" fontId="98" fillId="0" borderId="16" xfId="453" applyNumberFormat="1" applyFont="1" applyBorder="1" applyAlignment="1">
      <alignment horizontal="center" vertical="center"/>
    </xf>
    <xf numFmtId="10" fontId="96" fillId="43" borderId="16" xfId="176" applyNumberFormat="1" applyFont="1" applyFill="1" applyBorder="1" applyAlignment="1">
      <alignment horizontal="center"/>
    </xf>
    <xf numFmtId="0" fontId="73" fillId="0" borderId="0" xfId="452" applyFont="1" applyAlignment="1">
      <alignment vertical="center"/>
    </xf>
    <xf numFmtId="0" fontId="179" fillId="0" borderId="0" xfId="428" applyFont="1" applyAlignment="1">
      <alignment vertical="center"/>
    </xf>
    <xf numFmtId="0" fontId="60" fillId="0" borderId="0" xfId="452" applyFont="1"/>
    <xf numFmtId="0" fontId="132" fillId="0" borderId="0" xfId="814" applyFont="1"/>
    <xf numFmtId="0" fontId="72" fillId="0" borderId="0" xfId="428" applyFont="1" applyAlignment="1">
      <alignment vertical="top"/>
    </xf>
    <xf numFmtId="0" fontId="98" fillId="0" borderId="0" xfId="452" applyFont="1"/>
    <xf numFmtId="0" fontId="88" fillId="0" borderId="0" xfId="0" applyFont="1"/>
    <xf numFmtId="0" fontId="98" fillId="0" borderId="0" xfId="238" applyFont="1"/>
    <xf numFmtId="0" fontId="98" fillId="0" borderId="16" xfId="452" applyFont="1" applyBorder="1" applyAlignment="1">
      <alignment horizontal="center" vertical="center"/>
    </xf>
    <xf numFmtId="0" fontId="98" fillId="0" borderId="16" xfId="238" applyFont="1" applyBorder="1" applyAlignment="1">
      <alignment horizontal="center"/>
    </xf>
    <xf numFmtId="0" fontId="88" fillId="21" borderId="16" xfId="0" applyFont="1" applyFill="1" applyBorder="1" applyAlignment="1">
      <alignment horizontal="center" wrapText="1"/>
    </xf>
    <xf numFmtId="0" fontId="96" fillId="21" borderId="16" xfId="0" applyFont="1" applyFill="1" applyBorder="1" applyAlignment="1">
      <alignment horizontal="center" wrapText="1"/>
    </xf>
    <xf numFmtId="0" fontId="175" fillId="0" borderId="107" xfId="227" applyFont="1" applyBorder="1" applyAlignment="1">
      <alignment horizontal="center"/>
    </xf>
    <xf numFmtId="0" fontId="175" fillId="0" borderId="107" xfId="227" applyFont="1" applyBorder="1" applyAlignment="1">
      <alignment horizontal="center" wrapText="1"/>
    </xf>
    <xf numFmtId="0" fontId="175" fillId="0" borderId="16" xfId="227" applyFont="1" applyBorder="1" applyAlignment="1">
      <alignment horizontal="center" wrapText="1"/>
    </xf>
    <xf numFmtId="0" fontId="73" fillId="0" borderId="0" xfId="452" applyFont="1" applyAlignment="1">
      <alignment vertical="top"/>
    </xf>
    <xf numFmtId="0" fontId="73" fillId="0" borderId="0" xfId="452" applyFont="1" applyAlignment="1">
      <alignment horizontal="left" vertical="top"/>
    </xf>
    <xf numFmtId="0" fontId="73" fillId="49" borderId="0" xfId="452" applyFont="1" applyFill="1" applyAlignment="1">
      <alignment horizontal="center" vertical="center"/>
    </xf>
    <xf numFmtId="182" fontId="73" fillId="49" borderId="0" xfId="452" applyNumberFormat="1" applyFont="1" applyFill="1" applyAlignment="1">
      <alignment horizontal="center" vertical="center"/>
    </xf>
    <xf numFmtId="0" fontId="73" fillId="0" borderId="0" xfId="452" applyFont="1" applyAlignment="1">
      <alignment horizontal="center" vertical="center"/>
    </xf>
    <xf numFmtId="182" fontId="73" fillId="0" borderId="0" xfId="452" applyNumberFormat="1" applyFont="1" applyAlignment="1">
      <alignment horizontal="center" vertical="center"/>
    </xf>
    <xf numFmtId="0" fontId="73" fillId="48" borderId="0" xfId="428" applyFont="1" applyFill="1" applyAlignment="1">
      <alignment horizontal="center"/>
    </xf>
    <xf numFmtId="182" fontId="73" fillId="48" borderId="0" xfId="428" applyNumberFormat="1" applyFont="1" applyFill="1" applyAlignment="1">
      <alignment horizontal="center"/>
    </xf>
    <xf numFmtId="0" fontId="73" fillId="0" borderId="0" xfId="428" applyFont="1" applyAlignment="1">
      <alignment horizontal="center"/>
    </xf>
    <xf numFmtId="182" fontId="73" fillId="0" borderId="0" xfId="428" applyNumberFormat="1" applyFont="1" applyAlignment="1">
      <alignment horizontal="center"/>
    </xf>
    <xf numFmtId="0" fontId="73" fillId="0" borderId="0" xfId="238" applyFont="1" applyAlignment="1">
      <alignment vertical="top"/>
    </xf>
    <xf numFmtId="0" fontId="73" fillId="0" borderId="0" xfId="238" applyFont="1" applyAlignment="1">
      <alignment horizontal="center" vertical="top"/>
    </xf>
    <xf numFmtId="0" fontId="50" fillId="21" borderId="0" xfId="0" applyFont="1" applyFill="1"/>
    <xf numFmtId="0" fontId="60" fillId="0" borderId="0" xfId="227" applyFont="1"/>
    <xf numFmtId="0" fontId="175" fillId="0" borderId="0" xfId="227" applyFont="1" applyAlignment="1">
      <alignment horizontal="center"/>
    </xf>
    <xf numFmtId="0" fontId="98" fillId="48" borderId="0" xfId="428" applyFont="1" applyFill="1" applyAlignment="1">
      <alignment horizontal="center"/>
    </xf>
    <xf numFmtId="182" fontId="98" fillId="48" borderId="0" xfId="428" applyNumberFormat="1" applyFont="1" applyFill="1" applyAlignment="1">
      <alignment horizontal="center"/>
    </xf>
    <xf numFmtId="0" fontId="98" fillId="0" borderId="0" xfId="428" applyFont="1" applyAlignment="1">
      <alignment horizontal="center"/>
    </xf>
    <xf numFmtId="182" fontId="98" fillId="0" borderId="0" xfId="428" applyNumberFormat="1" applyFont="1" applyAlignment="1">
      <alignment horizontal="center"/>
    </xf>
    <xf numFmtId="0" fontId="98" fillId="0" borderId="0" xfId="452" applyFont="1" applyAlignment="1">
      <alignment vertical="top"/>
    </xf>
    <xf numFmtId="0" fontId="98" fillId="49" borderId="0" xfId="452" applyFont="1" applyFill="1" applyAlignment="1">
      <alignment horizontal="center" vertical="center"/>
    </xf>
    <xf numFmtId="182" fontId="98" fillId="49" borderId="0" xfId="452" applyNumberFormat="1" applyFont="1" applyFill="1" applyAlignment="1">
      <alignment horizontal="center" vertical="center"/>
    </xf>
    <xf numFmtId="0" fontId="98" fillId="0" borderId="0" xfId="452" applyFont="1" applyAlignment="1">
      <alignment horizontal="center" vertical="center"/>
    </xf>
    <xf numFmtId="182" fontId="98" fillId="0" borderId="0" xfId="452" applyNumberFormat="1" applyFont="1" applyAlignment="1">
      <alignment horizontal="center" vertical="center"/>
    </xf>
    <xf numFmtId="0" fontId="175" fillId="0" borderId="0" xfId="227" applyFont="1"/>
    <xf numFmtId="10" fontId="175" fillId="0" borderId="0" xfId="228" applyNumberFormat="1" applyFont="1"/>
    <xf numFmtId="0" fontId="98" fillId="0" borderId="0" xfId="238" applyFont="1" applyAlignment="1">
      <alignment vertical="top"/>
    </xf>
    <xf numFmtId="0" fontId="98" fillId="0" borderId="0" xfId="238" applyFont="1" applyAlignment="1">
      <alignment horizontal="center" vertical="top"/>
    </xf>
    <xf numFmtId="10" fontId="96" fillId="0" borderId="0" xfId="176" applyNumberFormat="1" applyFont="1"/>
    <xf numFmtId="9" fontId="96" fillId="0" borderId="0" xfId="176" applyFont="1"/>
    <xf numFmtId="0" fontId="88" fillId="0" borderId="0" xfId="227" applyFont="1"/>
    <xf numFmtId="0" fontId="175" fillId="0" borderId="16" xfId="227" applyFont="1" applyBorder="1"/>
    <xf numFmtId="10" fontId="175" fillId="0" borderId="16" xfId="228" applyNumberFormat="1" applyFont="1" applyBorder="1"/>
    <xf numFmtId="0" fontId="175" fillId="0" borderId="16" xfId="227" applyFont="1" applyBorder="1" applyAlignment="1">
      <alignment horizontal="center"/>
    </xf>
    <xf numFmtId="0" fontId="73" fillId="0" borderId="16" xfId="238" applyFont="1" applyBorder="1" applyAlignment="1">
      <alignment vertical="top"/>
    </xf>
    <xf numFmtId="0" fontId="98" fillId="0" borderId="16" xfId="238" applyFont="1" applyBorder="1" applyAlignment="1">
      <alignment vertical="top"/>
    </xf>
    <xf numFmtId="0" fontId="98" fillId="0" borderId="16" xfId="238" applyFont="1" applyBorder="1" applyAlignment="1">
      <alignment horizontal="center" vertical="top"/>
    </xf>
    <xf numFmtId="9" fontId="96" fillId="0" borderId="16" xfId="176" applyFont="1" applyBorder="1"/>
    <xf numFmtId="0" fontId="98" fillId="0" borderId="16" xfId="238" applyFont="1" applyBorder="1" applyAlignment="1">
      <alignment horizontal="center" vertical="center" wrapText="1"/>
    </xf>
    <xf numFmtId="0" fontId="88" fillId="21" borderId="16" xfId="0" applyFont="1" applyFill="1" applyBorder="1" applyAlignment="1">
      <alignment horizontal="center" vertical="center" wrapText="1"/>
    </xf>
    <xf numFmtId="0" fontId="50" fillId="0" borderId="16" xfId="0" applyFont="1" applyBorder="1" applyAlignment="1">
      <alignment vertical="center" wrapText="1"/>
    </xf>
    <xf numFmtId="0" fontId="96" fillId="0" borderId="16" xfId="0" applyFont="1" applyBorder="1" applyAlignment="1">
      <alignment vertical="center" wrapText="1"/>
    </xf>
    <xf numFmtId="0" fontId="50" fillId="0" borderId="0" xfId="0" applyFont="1" applyAlignment="1">
      <alignment vertical="center" wrapText="1"/>
    </xf>
    <xf numFmtId="0" fontId="60" fillId="0" borderId="16" xfId="227" applyFont="1" applyBorder="1"/>
    <xf numFmtId="0" fontId="175" fillId="0" borderId="16" xfId="227" applyFont="1" applyBorder="1" applyAlignment="1">
      <alignment horizontal="center" vertical="center" wrapText="1"/>
    </xf>
    <xf numFmtId="0" fontId="175" fillId="0" borderId="107" xfId="227" applyFont="1" applyBorder="1" applyAlignment="1">
      <alignment horizontal="center" vertical="center" wrapText="1"/>
    </xf>
    <xf numFmtId="9" fontId="50" fillId="0" borderId="0" xfId="228" applyFont="1"/>
    <xf numFmtId="168" fontId="175" fillId="0" borderId="0" xfId="228" applyNumberFormat="1" applyFont="1"/>
    <xf numFmtId="0" fontId="73" fillId="0" borderId="0" xfId="238" applyFont="1" applyAlignment="1">
      <alignment vertical="center" wrapText="1"/>
    </xf>
    <xf numFmtId="0" fontId="50" fillId="0" borderId="16" xfId="0" applyFont="1" applyBorder="1" applyAlignment="1">
      <alignment horizontal="center" vertical="center" wrapText="1"/>
    </xf>
    <xf numFmtId="0" fontId="96" fillId="0" borderId="16" xfId="0" applyFont="1" applyBorder="1" applyAlignment="1">
      <alignment horizontal="center" vertical="center" wrapText="1"/>
    </xf>
    <xf numFmtId="0" fontId="73" fillId="0" borderId="16" xfId="452" applyFont="1" applyBorder="1" applyAlignment="1">
      <alignment vertical="top"/>
    </xf>
    <xf numFmtId="0" fontId="98" fillId="0" borderId="16" xfId="452" applyFont="1" applyBorder="1" applyAlignment="1">
      <alignment vertical="top"/>
    </xf>
    <xf numFmtId="182" fontId="98" fillId="49" borderId="16" xfId="452" applyNumberFormat="1" applyFont="1" applyFill="1" applyBorder="1" applyAlignment="1">
      <alignment horizontal="center" vertical="center"/>
    </xf>
    <xf numFmtId="182" fontId="98" fillId="0" borderId="16" xfId="452" applyNumberFormat="1" applyFont="1" applyBorder="1" applyAlignment="1">
      <alignment horizontal="center" vertical="center"/>
    </xf>
    <xf numFmtId="0" fontId="88" fillId="0" borderId="0" xfId="211" applyFont="1" applyAlignment="1">
      <alignment horizontal="left"/>
    </xf>
    <xf numFmtId="182" fontId="98" fillId="48" borderId="16" xfId="428" applyNumberFormat="1" applyFont="1" applyFill="1" applyBorder="1" applyAlignment="1">
      <alignment horizontal="center"/>
    </xf>
    <xf numFmtId="182" fontId="98" fillId="0" borderId="16" xfId="428" applyNumberFormat="1" applyFont="1" applyBorder="1" applyAlignment="1">
      <alignment horizontal="center"/>
    </xf>
    <xf numFmtId="10" fontId="96" fillId="0" borderId="16" xfId="176" applyNumberFormat="1" applyFont="1" applyBorder="1"/>
    <xf numFmtId="0" fontId="98" fillId="0" borderId="16" xfId="238" applyFont="1" applyBorder="1" applyAlignment="1">
      <alignment vertical="center" wrapText="1"/>
    </xf>
    <xf numFmtId="0" fontId="88" fillId="21" borderId="16" xfId="0" applyFont="1" applyFill="1" applyBorder="1" applyAlignment="1">
      <alignment vertical="center" wrapText="1"/>
    </xf>
    <xf numFmtId="0" fontId="175" fillId="0" borderId="107" xfId="227" applyFont="1" applyBorder="1" applyAlignment="1">
      <alignment horizontal="center" vertical="center"/>
    </xf>
    <xf numFmtId="0" fontId="60" fillId="0" borderId="0" xfId="227" applyFont="1" applyAlignment="1">
      <alignment horizontal="center"/>
    </xf>
    <xf numFmtId="10" fontId="96" fillId="21" borderId="16" xfId="176" applyNumberFormat="1" applyFont="1" applyFill="1" applyBorder="1"/>
    <xf numFmtId="168" fontId="175" fillId="21" borderId="16" xfId="228" applyNumberFormat="1" applyFont="1" applyFill="1" applyBorder="1"/>
    <xf numFmtId="0" fontId="175" fillId="21" borderId="16" xfId="227" applyFont="1" applyFill="1" applyBorder="1" applyAlignment="1">
      <alignment horizontal="center"/>
    </xf>
    <xf numFmtId="0" fontId="42" fillId="0" borderId="0" xfId="0" applyFont="1"/>
    <xf numFmtId="0" fontId="181" fillId="0" borderId="0" xfId="238" applyFont="1" applyAlignment="1">
      <alignment vertical="center"/>
    </xf>
    <xf numFmtId="0" fontId="102" fillId="0" borderId="0" xfId="0" applyFont="1"/>
    <xf numFmtId="0" fontId="174" fillId="0" borderId="0" xfId="0" applyFont="1"/>
    <xf numFmtId="0" fontId="5" fillId="0" borderId="0" xfId="455" applyFont="1"/>
    <xf numFmtId="0" fontId="68" fillId="0" borderId="0" xfId="0" applyFont="1" applyAlignment="1">
      <alignment horizontal="center"/>
    </xf>
    <xf numFmtId="0" fontId="72" fillId="0" borderId="0" xfId="238" applyFont="1" applyAlignment="1">
      <alignment vertical="top"/>
    </xf>
    <xf numFmtId="0" fontId="98" fillId="0" borderId="16" xfId="455" applyFont="1" applyBorder="1"/>
    <xf numFmtId="0" fontId="98" fillId="0" borderId="16" xfId="455" applyFont="1" applyBorder="1" applyAlignment="1">
      <alignment horizontal="center"/>
    </xf>
    <xf numFmtId="0" fontId="182" fillId="43" borderId="16" xfId="238" applyFont="1" applyFill="1" applyBorder="1" applyAlignment="1">
      <alignment horizontal="center" vertical="center"/>
    </xf>
    <xf numFmtId="0" fontId="98" fillId="0" borderId="16" xfId="173" applyFont="1" applyBorder="1" applyAlignment="1">
      <alignment horizontal="center" vertical="center" wrapText="1"/>
    </xf>
    <xf numFmtId="0" fontId="98" fillId="21" borderId="16" xfId="173" applyFont="1" applyFill="1" applyBorder="1" applyAlignment="1">
      <alignment horizontal="center" vertical="center" wrapText="1"/>
    </xf>
    <xf numFmtId="0" fontId="74" fillId="0" borderId="16" xfId="0" applyFont="1" applyBorder="1" applyAlignment="1">
      <alignment horizontal="center" vertical="center"/>
    </xf>
    <xf numFmtId="0" fontId="74" fillId="21" borderId="16" xfId="0" applyFont="1" applyFill="1" applyBorder="1" applyAlignment="1">
      <alignment horizontal="center" vertical="center" wrapText="1"/>
    </xf>
    <xf numFmtId="0" fontId="173" fillId="0" borderId="98" xfId="144" applyFont="1" applyBorder="1" applyAlignment="1">
      <alignment horizontal="center" vertical="center"/>
    </xf>
    <xf numFmtId="0" fontId="173" fillId="0" borderId="98" xfId="144" applyFont="1" applyBorder="1" applyAlignment="1">
      <alignment horizontal="center" vertical="center" wrapText="1"/>
    </xf>
    <xf numFmtId="0" fontId="5" fillId="0" borderId="98" xfId="144" applyFont="1" applyBorder="1" applyAlignment="1">
      <alignment horizontal="center" vertical="center" wrapText="1"/>
    </xf>
    <xf numFmtId="0" fontId="73" fillId="0" borderId="0" xfId="455" applyFont="1" applyAlignment="1">
      <alignment vertical="top"/>
    </xf>
    <xf numFmtId="0" fontId="73" fillId="0" borderId="0" xfId="455" applyFont="1" applyAlignment="1">
      <alignment horizontal="left" vertical="top"/>
    </xf>
    <xf numFmtId="185" fontId="73" fillId="0" borderId="0" xfId="455" applyNumberFormat="1" applyFont="1" applyAlignment="1">
      <alignment horizontal="center" vertical="center"/>
    </xf>
    <xf numFmtId="182" fontId="73" fillId="0" borderId="0" xfId="455" applyNumberFormat="1" applyFont="1" applyAlignment="1">
      <alignment horizontal="center" vertical="center"/>
    </xf>
    <xf numFmtId="186" fontId="73" fillId="0" borderId="0" xfId="238" applyNumberFormat="1" applyFont="1" applyAlignment="1">
      <alignment horizontal="center" vertical="top"/>
    </xf>
    <xf numFmtId="185" fontId="73" fillId="0" borderId="0" xfId="173" applyNumberFormat="1" applyFont="1" applyAlignment="1">
      <alignment horizontal="center" vertical="top"/>
    </xf>
    <xf numFmtId="185" fontId="73" fillId="0" borderId="0" xfId="0" applyNumberFormat="1" applyFont="1" applyAlignment="1">
      <alignment horizontal="center" vertical="top"/>
    </xf>
    <xf numFmtId="185" fontId="73" fillId="21" borderId="0" xfId="0" applyNumberFormat="1" applyFont="1" applyFill="1" applyAlignment="1">
      <alignment horizontal="center" vertical="top"/>
    </xf>
    <xf numFmtId="2" fontId="49" fillId="0" borderId="0" xfId="0" applyNumberFormat="1" applyFont="1" applyAlignment="1">
      <alignment horizontal="center"/>
    </xf>
    <xf numFmtId="0" fontId="1" fillId="0" borderId="0" xfId="144" applyAlignment="1">
      <alignment vertical="center"/>
    </xf>
    <xf numFmtId="0" fontId="1" fillId="0" borderId="0" xfId="144" applyAlignment="1">
      <alignment horizontal="center" vertical="center"/>
    </xf>
    <xf numFmtId="2" fontId="1" fillId="0" borderId="0" xfId="144" applyNumberFormat="1" applyAlignment="1">
      <alignment vertical="center"/>
    </xf>
    <xf numFmtId="1" fontId="1" fillId="0" borderId="0" xfId="144" applyNumberFormat="1" applyAlignment="1">
      <alignment horizontal="center" vertical="center"/>
    </xf>
    <xf numFmtId="171" fontId="1" fillId="0" borderId="0" xfId="144" applyNumberFormat="1" applyAlignment="1">
      <alignment vertical="center"/>
    </xf>
    <xf numFmtId="0" fontId="98" fillId="0" borderId="0" xfId="455" applyFont="1" applyAlignment="1">
      <alignment horizontal="left" vertical="top"/>
    </xf>
    <xf numFmtId="185" fontId="98" fillId="0" borderId="0" xfId="455" applyNumberFormat="1" applyFont="1" applyAlignment="1">
      <alignment horizontal="center" vertical="center"/>
    </xf>
    <xf numFmtId="182" fontId="98" fillId="0" borderId="0" xfId="455" applyNumberFormat="1" applyFont="1" applyAlignment="1">
      <alignment horizontal="center" vertical="center"/>
    </xf>
    <xf numFmtId="0" fontId="98" fillId="0" borderId="0" xfId="173" applyFont="1" applyAlignment="1">
      <alignment horizontal="left" vertical="top"/>
    </xf>
    <xf numFmtId="185" fontId="98" fillId="0" borderId="0" xfId="173" applyNumberFormat="1" applyFont="1" applyAlignment="1">
      <alignment horizontal="center" vertical="top"/>
    </xf>
    <xf numFmtId="185" fontId="98" fillId="0" borderId="0" xfId="0" applyNumberFormat="1" applyFont="1" applyAlignment="1">
      <alignment horizontal="center" vertical="top"/>
    </xf>
    <xf numFmtId="185" fontId="98" fillId="21" borderId="0" xfId="0" applyNumberFormat="1" applyFont="1" applyFill="1" applyAlignment="1">
      <alignment horizontal="center" vertical="top"/>
    </xf>
    <xf numFmtId="2" fontId="74" fillId="0" borderId="0" xfId="0" applyNumberFormat="1" applyFont="1" applyAlignment="1">
      <alignment horizontal="center"/>
    </xf>
    <xf numFmtId="2" fontId="39" fillId="0" borderId="0" xfId="0" applyNumberFormat="1" applyFont="1"/>
    <xf numFmtId="0" fontId="98" fillId="0" borderId="0" xfId="238" applyFont="1" applyAlignment="1">
      <alignment horizontal="left" vertical="top"/>
    </xf>
    <xf numFmtId="186" fontId="98" fillId="0" borderId="0" xfId="238" applyNumberFormat="1" applyFont="1" applyAlignment="1">
      <alignment horizontal="center" vertical="top"/>
    </xf>
    <xf numFmtId="0" fontId="173" fillId="0" borderId="0" xfId="144" applyFont="1" applyAlignment="1">
      <alignment vertical="center"/>
    </xf>
    <xf numFmtId="2" fontId="173" fillId="0" borderId="0" xfId="144" applyNumberFormat="1" applyFont="1" applyAlignment="1">
      <alignment vertical="center"/>
    </xf>
    <xf numFmtId="0" fontId="173" fillId="0" borderId="0" xfId="144" applyFont="1" applyAlignment="1">
      <alignment horizontal="center" vertical="center"/>
    </xf>
    <xf numFmtId="171" fontId="173" fillId="0" borderId="0" xfId="144" applyNumberFormat="1" applyFont="1" applyAlignment="1">
      <alignment vertical="center"/>
    </xf>
    <xf numFmtId="0" fontId="98" fillId="0" borderId="98" xfId="455" applyFont="1" applyBorder="1" applyAlignment="1">
      <alignment horizontal="left" vertical="top"/>
    </xf>
    <xf numFmtId="185" fontId="98" fillId="0" borderId="98" xfId="455" applyNumberFormat="1" applyFont="1" applyBorder="1" applyAlignment="1">
      <alignment horizontal="center" vertical="center"/>
    </xf>
    <xf numFmtId="182" fontId="98" fillId="0" borderId="98" xfId="455" applyNumberFormat="1" applyFont="1" applyBorder="1" applyAlignment="1">
      <alignment horizontal="center" vertical="center"/>
    </xf>
    <xf numFmtId="185" fontId="98" fillId="21" borderId="0" xfId="173" applyNumberFormat="1" applyFont="1" applyFill="1" applyAlignment="1">
      <alignment horizontal="center" vertical="top"/>
    </xf>
    <xf numFmtId="0" fontId="98" fillId="0" borderId="16" xfId="238" applyFont="1" applyBorder="1" applyAlignment="1">
      <alignment horizontal="left" vertical="top"/>
    </xf>
    <xf numFmtId="186" fontId="98" fillId="0" borderId="16" xfId="238" applyNumberFormat="1" applyFont="1" applyBorder="1" applyAlignment="1">
      <alignment horizontal="center" vertical="top"/>
    </xf>
    <xf numFmtId="185" fontId="98" fillId="0" borderId="16" xfId="173" applyNumberFormat="1" applyFont="1" applyBorder="1" applyAlignment="1">
      <alignment horizontal="center" vertical="top"/>
    </xf>
    <xf numFmtId="185" fontId="73" fillId="0" borderId="0" xfId="238" applyNumberFormat="1" applyFont="1" applyAlignment="1">
      <alignment horizontal="right" vertical="top"/>
    </xf>
    <xf numFmtId="182" fontId="73" fillId="0" borderId="0" xfId="238" applyNumberFormat="1" applyFont="1" applyAlignment="1">
      <alignment horizontal="right" vertical="top"/>
    </xf>
    <xf numFmtId="186" fontId="73" fillId="0" borderId="0" xfId="238" applyNumberFormat="1" applyFont="1" applyAlignment="1">
      <alignment horizontal="right" vertical="top"/>
    </xf>
    <xf numFmtId="0" fontId="98" fillId="0" borderId="16" xfId="173" applyFont="1" applyBorder="1" applyAlignment="1">
      <alignment horizontal="left" vertical="top"/>
    </xf>
    <xf numFmtId="185" fontId="98" fillId="0" borderId="16" xfId="0" applyNumberFormat="1" applyFont="1" applyBorder="1" applyAlignment="1">
      <alignment horizontal="center" vertical="top"/>
    </xf>
    <xf numFmtId="185" fontId="98" fillId="21" borderId="16" xfId="0" applyNumberFormat="1" applyFont="1" applyFill="1" applyBorder="1" applyAlignment="1">
      <alignment horizontal="center" vertical="top"/>
    </xf>
    <xf numFmtId="0" fontId="86" fillId="0" borderId="0" xfId="0" applyFont="1"/>
    <xf numFmtId="2" fontId="74" fillId="0" borderId="16" xfId="0" applyNumberFormat="1" applyFont="1" applyBorder="1" applyAlignment="1">
      <alignment horizontal="center"/>
    </xf>
    <xf numFmtId="0" fontId="1" fillId="0" borderId="98" xfId="144" applyBorder="1" applyAlignment="1">
      <alignment vertical="center"/>
    </xf>
    <xf numFmtId="0" fontId="1" fillId="0" borderId="98" xfId="144" applyBorder="1" applyAlignment="1">
      <alignment horizontal="center" vertical="center"/>
    </xf>
    <xf numFmtId="0" fontId="173" fillId="0" borderId="98" xfId="144" applyFont="1" applyBorder="1" applyAlignment="1">
      <alignment vertical="center"/>
    </xf>
    <xf numFmtId="2" fontId="173" fillId="0" borderId="98" xfId="144" applyNumberFormat="1" applyFont="1" applyBorder="1" applyAlignment="1">
      <alignment vertical="center"/>
    </xf>
    <xf numFmtId="1" fontId="1" fillId="0" borderId="98" xfId="144" applyNumberFormat="1" applyBorder="1" applyAlignment="1">
      <alignment horizontal="center" vertical="center"/>
    </xf>
    <xf numFmtId="171" fontId="173" fillId="21" borderId="98" xfId="144" applyNumberFormat="1" applyFont="1" applyFill="1" applyBorder="1" applyAlignment="1">
      <alignment vertical="center"/>
    </xf>
    <xf numFmtId="0" fontId="1" fillId="0" borderId="0" xfId="144"/>
    <xf numFmtId="0" fontId="1" fillId="0" borderId="0" xfId="144" applyAlignment="1">
      <alignment horizontal="center"/>
    </xf>
    <xf numFmtId="0" fontId="98" fillId="0" borderId="0" xfId="173" applyFont="1" applyAlignment="1">
      <alignment vertical="center"/>
    </xf>
    <xf numFmtId="0" fontId="73" fillId="0" borderId="16" xfId="238" applyFont="1" applyBorder="1" applyAlignment="1">
      <alignment horizontal="center"/>
    </xf>
    <xf numFmtId="186" fontId="98" fillId="0" borderId="16" xfId="238" applyNumberFormat="1" applyFont="1" applyBorder="1" applyAlignment="1">
      <alignment horizontal="center"/>
    </xf>
    <xf numFmtId="0" fontId="98" fillId="0" borderId="0" xfId="173" applyFont="1" applyAlignment="1">
      <alignment horizontal="center" vertical="center"/>
    </xf>
    <xf numFmtId="0" fontId="73" fillId="0" borderId="0" xfId="238" applyFont="1" applyAlignment="1">
      <alignment horizontal="center" vertical="center"/>
    </xf>
    <xf numFmtId="0" fontId="98" fillId="0" borderId="0" xfId="173" applyFont="1" applyAlignment="1">
      <alignment horizontal="center"/>
    </xf>
    <xf numFmtId="185" fontId="73" fillId="21" borderId="0" xfId="173" applyNumberFormat="1" applyFont="1" applyFill="1" applyAlignment="1">
      <alignment horizontal="center" vertical="top"/>
    </xf>
    <xf numFmtId="0" fontId="73" fillId="0" borderId="16" xfId="455" applyFont="1" applyBorder="1" applyAlignment="1">
      <alignment vertical="top"/>
    </xf>
    <xf numFmtId="0" fontId="98" fillId="0" borderId="16" xfId="455" applyFont="1" applyBorder="1" applyAlignment="1">
      <alignment horizontal="left" vertical="top"/>
    </xf>
    <xf numFmtId="185" fontId="98" fillId="0" borderId="105" xfId="455" applyNumberFormat="1" applyFont="1" applyBorder="1" applyAlignment="1">
      <alignment horizontal="center" vertical="center"/>
    </xf>
    <xf numFmtId="182" fontId="98" fillId="0" borderId="105" xfId="455" applyNumberFormat="1" applyFont="1" applyBorder="1" applyAlignment="1">
      <alignment horizontal="center" vertical="center"/>
    </xf>
    <xf numFmtId="185" fontId="96" fillId="43" borderId="105" xfId="455" applyNumberFormat="1" applyFont="1" applyFill="1" applyBorder="1" applyAlignment="1">
      <alignment horizontal="center" vertical="center"/>
    </xf>
    <xf numFmtId="0" fontId="73" fillId="0" borderId="0" xfId="173" applyFont="1" applyAlignment="1">
      <alignment horizontal="center"/>
    </xf>
    <xf numFmtId="185" fontId="98" fillId="43" borderId="16" xfId="173" applyNumberFormat="1" applyFont="1" applyFill="1" applyBorder="1" applyAlignment="1">
      <alignment horizontal="center" vertical="top"/>
    </xf>
    <xf numFmtId="185" fontId="98" fillId="21" borderId="16" xfId="173" applyNumberFormat="1" applyFont="1" applyFill="1" applyBorder="1" applyAlignment="1">
      <alignment horizontal="center" vertical="top"/>
    </xf>
    <xf numFmtId="0" fontId="72" fillId="0" borderId="0" xfId="238" applyFont="1" applyAlignment="1">
      <alignment horizontal="left" vertical="top"/>
    </xf>
    <xf numFmtId="185" fontId="72" fillId="0" borderId="0" xfId="238" applyNumberFormat="1" applyFont="1" applyAlignment="1">
      <alignment horizontal="right" vertical="top"/>
    </xf>
    <xf numFmtId="182" fontId="72" fillId="0" borderId="0" xfId="238" applyNumberFormat="1" applyFont="1" applyAlignment="1">
      <alignment horizontal="right" vertical="top"/>
    </xf>
    <xf numFmtId="186" fontId="72" fillId="0" borderId="0" xfId="238" applyNumberFormat="1" applyFont="1" applyAlignment="1">
      <alignment horizontal="right" vertical="top"/>
    </xf>
    <xf numFmtId="2" fontId="49" fillId="0" borderId="0" xfId="0" applyNumberFormat="1" applyFont="1"/>
    <xf numFmtId="2" fontId="74" fillId="21" borderId="16" xfId="0" applyNumberFormat="1" applyFont="1" applyFill="1" applyBorder="1" applyAlignment="1">
      <alignment horizontal="center"/>
    </xf>
    <xf numFmtId="0" fontId="1" fillId="0" borderId="0" xfId="211" applyAlignment="1">
      <alignment horizontal="left"/>
    </xf>
    <xf numFmtId="185" fontId="72" fillId="0" borderId="0" xfId="238" applyNumberFormat="1" applyFont="1" applyAlignment="1">
      <alignment horizontal="center" vertical="top"/>
    </xf>
    <xf numFmtId="182" fontId="72" fillId="0" borderId="0" xfId="238" applyNumberFormat="1" applyFont="1" applyAlignment="1">
      <alignment horizontal="center" vertical="top"/>
    </xf>
    <xf numFmtId="186" fontId="72" fillId="0" borderId="0" xfId="238" applyNumberFormat="1" applyFont="1" applyAlignment="1">
      <alignment horizontal="center" vertical="top"/>
    </xf>
    <xf numFmtId="0" fontId="73" fillId="0" borderId="0" xfId="456" applyFont="1" applyAlignment="1">
      <alignment vertical="center"/>
    </xf>
    <xf numFmtId="0" fontId="173" fillId="0" borderId="0" xfId="0" applyFont="1" applyAlignment="1">
      <alignment horizontal="center"/>
    </xf>
    <xf numFmtId="0" fontId="60" fillId="0" borderId="0" xfId="456" applyFont="1" applyAlignment="1">
      <alignment vertical="center"/>
    </xf>
    <xf numFmtId="0" fontId="73" fillId="0" borderId="0" xfId="798" applyFont="1" applyAlignment="1">
      <alignment horizontal="center" vertical="center" wrapText="1"/>
    </xf>
    <xf numFmtId="0" fontId="98" fillId="0" borderId="16" xfId="456" applyFont="1" applyBorder="1" applyAlignment="1">
      <alignment horizontal="center" vertical="center"/>
    </xf>
    <xf numFmtId="0" fontId="174" fillId="43" borderId="16" xfId="238" applyFont="1" applyFill="1" applyBorder="1" applyAlignment="1">
      <alignment horizontal="center" vertical="center"/>
    </xf>
    <xf numFmtId="0" fontId="98" fillId="0" borderId="16" xfId="238" applyFont="1" applyBorder="1"/>
    <xf numFmtId="0" fontId="98" fillId="0" borderId="16" xfId="798" applyFont="1" applyBorder="1" applyAlignment="1">
      <alignment horizontal="center" vertical="center" wrapText="1"/>
    </xf>
    <xf numFmtId="0" fontId="180" fillId="0" borderId="98" xfId="144" applyFont="1" applyBorder="1" applyAlignment="1">
      <alignment horizontal="center" vertical="center"/>
    </xf>
    <xf numFmtId="0" fontId="180" fillId="0" borderId="98" xfId="144" applyFont="1" applyBorder="1" applyAlignment="1">
      <alignment horizontal="center" vertical="center" wrapText="1"/>
    </xf>
    <xf numFmtId="0" fontId="180" fillId="0" borderId="98" xfId="144" applyFont="1" applyBorder="1" applyAlignment="1">
      <alignment horizontal="center" wrapText="1"/>
    </xf>
    <xf numFmtId="0" fontId="73" fillId="0" borderId="0" xfId="456" applyFont="1" applyAlignment="1">
      <alignment horizontal="center" vertical="center"/>
    </xf>
    <xf numFmtId="0" fontId="73" fillId="0" borderId="0" xfId="456" applyFont="1" applyAlignment="1">
      <alignment horizontal="left" vertical="center"/>
    </xf>
    <xf numFmtId="185" fontId="73" fillId="0" borderId="0" xfId="456" applyNumberFormat="1" applyFont="1" applyAlignment="1">
      <alignment horizontal="center" vertical="center"/>
    </xf>
    <xf numFmtId="182" fontId="73" fillId="0" borderId="0" xfId="456" applyNumberFormat="1" applyFont="1" applyAlignment="1">
      <alignment horizontal="center" vertical="center"/>
    </xf>
    <xf numFmtId="185" fontId="50" fillId="0" borderId="0" xfId="0" applyNumberFormat="1" applyFont="1" applyAlignment="1">
      <alignment horizontal="center" vertical="center"/>
    </xf>
    <xf numFmtId="2" fontId="73" fillId="0" borderId="0" xfId="238" applyNumberFormat="1" applyFont="1" applyAlignment="1">
      <alignment horizontal="center" vertical="top"/>
    </xf>
    <xf numFmtId="0" fontId="73" fillId="0" borderId="0" xfId="798" applyFont="1" applyAlignment="1">
      <alignment vertical="top"/>
    </xf>
    <xf numFmtId="0" fontId="73" fillId="0" borderId="0" xfId="798" applyFont="1" applyAlignment="1">
      <alignment horizontal="left" vertical="top"/>
    </xf>
    <xf numFmtId="185" fontId="73" fillId="0" borderId="0" xfId="798" applyNumberFormat="1" applyFont="1" applyAlignment="1">
      <alignment horizontal="center" vertical="top"/>
    </xf>
    <xf numFmtId="182" fontId="73" fillId="0" borderId="0" xfId="798" applyNumberFormat="1" applyFont="1" applyAlignment="1">
      <alignment horizontal="center" vertical="top"/>
    </xf>
    <xf numFmtId="0" fontId="40" fillId="0" borderId="0" xfId="144" applyFont="1"/>
    <xf numFmtId="0" fontId="40" fillId="0" borderId="0" xfId="144" applyFont="1" applyAlignment="1">
      <alignment horizontal="center"/>
    </xf>
    <xf numFmtId="2" fontId="40" fillId="0" borderId="0" xfId="144" applyNumberFormat="1" applyFont="1"/>
    <xf numFmtId="1" fontId="40" fillId="0" borderId="0" xfId="144" applyNumberFormat="1" applyFont="1" applyAlignment="1">
      <alignment horizontal="center"/>
    </xf>
    <xf numFmtId="185" fontId="98" fillId="0" borderId="0" xfId="798" applyNumberFormat="1" applyFont="1" applyAlignment="1">
      <alignment horizontal="center" vertical="top"/>
    </xf>
    <xf numFmtId="0" fontId="98" fillId="0" borderId="0" xfId="798" applyFont="1" applyAlignment="1">
      <alignment horizontal="left" vertical="top"/>
    </xf>
    <xf numFmtId="182" fontId="98" fillId="0" borderId="0" xfId="798" applyNumberFormat="1" applyFont="1" applyAlignment="1">
      <alignment horizontal="center" vertical="top"/>
    </xf>
    <xf numFmtId="171" fontId="74" fillId="0" borderId="0" xfId="0" applyNumberFormat="1" applyFont="1" applyAlignment="1">
      <alignment horizontal="center"/>
    </xf>
    <xf numFmtId="2" fontId="74" fillId="0" borderId="0" xfId="0" applyNumberFormat="1" applyFont="1"/>
    <xf numFmtId="2" fontId="40" fillId="0" borderId="0" xfId="144" applyNumberFormat="1" applyFont="1" applyAlignment="1">
      <alignment horizontal="center"/>
    </xf>
    <xf numFmtId="2" fontId="89" fillId="0" borderId="0" xfId="144" applyNumberFormat="1" applyFont="1"/>
    <xf numFmtId="187" fontId="73" fillId="0" borderId="0" xfId="238" applyNumberFormat="1" applyFont="1" applyAlignment="1">
      <alignment horizontal="center" vertical="top"/>
    </xf>
    <xf numFmtId="188" fontId="73" fillId="0" borderId="0" xfId="238" applyNumberFormat="1" applyFont="1" applyAlignment="1">
      <alignment horizontal="center" vertical="top"/>
    </xf>
    <xf numFmtId="0" fontId="98" fillId="0" borderId="0" xfId="456" applyFont="1" applyAlignment="1">
      <alignment horizontal="left" vertical="center"/>
    </xf>
    <xf numFmtId="185" fontId="98" fillId="0" borderId="0" xfId="456" applyNumberFormat="1" applyFont="1" applyAlignment="1">
      <alignment horizontal="center" vertical="center"/>
    </xf>
    <xf numFmtId="182" fontId="98" fillId="0" borderId="0" xfId="456" applyNumberFormat="1" applyFont="1" applyAlignment="1">
      <alignment horizontal="center" vertical="center"/>
    </xf>
    <xf numFmtId="185" fontId="96" fillId="0" borderId="0" xfId="0" applyNumberFormat="1" applyFont="1" applyAlignment="1">
      <alignment horizontal="center" vertical="center"/>
    </xf>
    <xf numFmtId="0" fontId="62" fillId="0" borderId="0" xfId="144" applyFont="1"/>
    <xf numFmtId="187" fontId="98" fillId="0" borderId="0" xfId="238" applyNumberFormat="1" applyFont="1" applyAlignment="1">
      <alignment horizontal="center" vertical="top"/>
    </xf>
    <xf numFmtId="0" fontId="98" fillId="0" borderId="98" xfId="238" applyFont="1" applyBorder="1" applyAlignment="1">
      <alignment horizontal="left" vertical="top"/>
    </xf>
    <xf numFmtId="185" fontId="98" fillId="0" borderId="98" xfId="238" applyNumberFormat="1" applyFont="1" applyBorder="1" applyAlignment="1">
      <alignment horizontal="center" vertical="top"/>
    </xf>
    <xf numFmtId="182" fontId="98" fillId="0" borderId="98" xfId="238" applyNumberFormat="1" applyFont="1" applyBorder="1" applyAlignment="1">
      <alignment horizontal="center" vertical="top"/>
    </xf>
    <xf numFmtId="186" fontId="98" fillId="0" borderId="98" xfId="238" applyNumberFormat="1" applyFont="1" applyBorder="1" applyAlignment="1">
      <alignment horizontal="center" vertical="top"/>
    </xf>
    <xf numFmtId="185" fontId="98" fillId="0" borderId="98" xfId="798" applyNumberFormat="1" applyFont="1" applyBorder="1" applyAlignment="1">
      <alignment horizontal="center" vertical="top"/>
    </xf>
    <xf numFmtId="0" fontId="73" fillId="0" borderId="98" xfId="798" applyFont="1" applyBorder="1" applyAlignment="1">
      <alignment vertical="top"/>
    </xf>
    <xf numFmtId="0" fontId="98" fillId="0" borderId="98" xfId="798" applyFont="1" applyBorder="1" applyAlignment="1">
      <alignment horizontal="left" vertical="top"/>
    </xf>
    <xf numFmtId="182" fontId="98" fillId="0" borderId="98" xfId="798" applyNumberFormat="1" applyFont="1" applyBorder="1" applyAlignment="1">
      <alignment horizontal="center" vertical="top"/>
    </xf>
    <xf numFmtId="0" fontId="49" fillId="0" borderId="98" xfId="0" applyFont="1" applyBorder="1" applyAlignment="1">
      <alignment horizontal="center"/>
    </xf>
    <xf numFmtId="0" fontId="74" fillId="0" borderId="98" xfId="0" applyFont="1" applyBorder="1"/>
    <xf numFmtId="0" fontId="74" fillId="0" borderId="98" xfId="0" applyFont="1" applyBorder="1" applyAlignment="1">
      <alignment horizontal="center"/>
    </xf>
    <xf numFmtId="2" fontId="74" fillId="0" borderId="98" xfId="0" applyNumberFormat="1" applyFont="1" applyBorder="1" applyAlignment="1">
      <alignment horizontal="center"/>
    </xf>
    <xf numFmtId="0" fontId="40" fillId="0" borderId="98" xfId="144" applyFont="1" applyBorder="1"/>
    <xf numFmtId="0" fontId="40" fillId="0" borderId="98" xfId="144" applyFont="1" applyBorder="1" applyAlignment="1">
      <alignment horizontal="center"/>
    </xf>
    <xf numFmtId="0" fontId="180" fillId="0" borderId="98" xfId="144" applyFont="1" applyBorder="1"/>
    <xf numFmtId="2" fontId="180" fillId="0" borderId="98" xfId="144" applyNumberFormat="1" applyFont="1" applyBorder="1"/>
    <xf numFmtId="0" fontId="180" fillId="0" borderId="98" xfId="144" applyFont="1" applyBorder="1" applyAlignment="1">
      <alignment horizontal="center"/>
    </xf>
    <xf numFmtId="1" fontId="40" fillId="0" borderId="98" xfId="144" applyNumberFormat="1" applyFont="1" applyBorder="1" applyAlignment="1">
      <alignment horizontal="center"/>
    </xf>
    <xf numFmtId="0" fontId="98" fillId="0" borderId="98" xfId="456" applyFont="1" applyBorder="1" applyAlignment="1">
      <alignment horizontal="left" vertical="center"/>
    </xf>
    <xf numFmtId="185" fontId="98" fillId="0" borderId="98" xfId="456" applyNumberFormat="1" applyFont="1" applyBorder="1" applyAlignment="1">
      <alignment horizontal="center" vertical="center"/>
    </xf>
    <xf numFmtId="182" fontId="98" fillId="0" borderId="98" xfId="456" applyNumberFormat="1" applyFont="1" applyBorder="1" applyAlignment="1">
      <alignment horizontal="center" vertical="center"/>
    </xf>
    <xf numFmtId="185" fontId="96" fillId="0" borderId="98" xfId="0" applyNumberFormat="1" applyFont="1" applyBorder="1" applyAlignment="1">
      <alignment horizontal="center" vertical="center"/>
    </xf>
    <xf numFmtId="187" fontId="98" fillId="0" borderId="98" xfId="238" applyNumberFormat="1" applyFont="1" applyBorder="1" applyAlignment="1">
      <alignment horizontal="center" vertical="top"/>
    </xf>
    <xf numFmtId="2" fontId="74" fillId="0" borderId="16" xfId="0" applyNumberFormat="1" applyFont="1" applyBorder="1" applyAlignment="1">
      <alignment horizontal="center" vertical="center"/>
    </xf>
    <xf numFmtId="0" fontId="180" fillId="0" borderId="0" xfId="144" applyFont="1"/>
    <xf numFmtId="2" fontId="180" fillId="0" borderId="0" xfId="144" applyNumberFormat="1" applyFont="1"/>
    <xf numFmtId="0" fontId="180" fillId="0" borderId="0" xfId="144" applyFont="1" applyAlignment="1">
      <alignment horizontal="center"/>
    </xf>
    <xf numFmtId="187" fontId="73" fillId="0" borderId="0" xfId="238" applyNumberFormat="1" applyFont="1" applyAlignment="1">
      <alignment horizontal="right" vertical="top"/>
    </xf>
    <xf numFmtId="0" fontId="73" fillId="0" borderId="16" xfId="798" applyFont="1" applyBorder="1" applyAlignment="1">
      <alignment vertical="top"/>
    </xf>
    <xf numFmtId="0" fontId="98" fillId="0" borderId="16" xfId="798" applyFont="1" applyBorder="1" applyAlignment="1">
      <alignment horizontal="left" vertical="top"/>
    </xf>
    <xf numFmtId="185" fontId="98" fillId="0" borderId="16" xfId="798" applyNumberFormat="1" applyFont="1" applyBorder="1" applyAlignment="1">
      <alignment horizontal="center" vertical="top"/>
    </xf>
    <xf numFmtId="182" fontId="98" fillId="0" borderId="16" xfId="798" applyNumberFormat="1" applyFont="1" applyBorder="1" applyAlignment="1">
      <alignment horizontal="center" vertical="top"/>
    </xf>
    <xf numFmtId="171" fontId="180" fillId="21" borderId="98" xfId="144" applyNumberFormat="1" applyFont="1" applyFill="1" applyBorder="1"/>
    <xf numFmtId="185" fontId="98" fillId="0" borderId="16" xfId="238" applyNumberFormat="1" applyFont="1" applyBorder="1" applyAlignment="1">
      <alignment horizontal="center"/>
    </xf>
    <xf numFmtId="2" fontId="49" fillId="0" borderId="0" xfId="0" applyNumberFormat="1" applyFont="1" applyAlignment="1">
      <alignment horizontal="center" vertical="center"/>
    </xf>
    <xf numFmtId="0" fontId="73" fillId="0" borderId="0" xfId="798" applyFont="1" applyAlignment="1">
      <alignment horizontal="center" vertical="center"/>
    </xf>
    <xf numFmtId="185" fontId="73" fillId="0" borderId="0" xfId="798" applyNumberFormat="1" applyFont="1" applyAlignment="1">
      <alignment horizontal="center" vertical="center"/>
    </xf>
    <xf numFmtId="182" fontId="73" fillId="0" borderId="0" xfId="798" applyNumberFormat="1" applyFont="1" applyAlignment="1">
      <alignment horizontal="center" vertical="center"/>
    </xf>
    <xf numFmtId="2" fontId="74" fillId="43" borderId="16" xfId="0" applyNumberFormat="1" applyFont="1" applyFill="1" applyBorder="1" applyAlignment="1">
      <alignment horizontal="center" vertical="center"/>
    </xf>
    <xf numFmtId="0" fontId="98" fillId="0" borderId="16" xfId="798" applyFont="1" applyBorder="1" applyAlignment="1">
      <alignment horizontal="center" vertical="center"/>
    </xf>
    <xf numFmtId="185" fontId="98" fillId="0" borderId="16" xfId="798" applyNumberFormat="1" applyFont="1" applyBorder="1" applyAlignment="1">
      <alignment horizontal="center" vertical="center"/>
    </xf>
    <xf numFmtId="2" fontId="74" fillId="21" borderId="16" xfId="0" applyNumberFormat="1" applyFont="1" applyFill="1" applyBorder="1" applyAlignment="1">
      <alignment horizontal="center" vertical="center"/>
    </xf>
    <xf numFmtId="182" fontId="98" fillId="0" borderId="16" xfId="798" applyNumberFormat="1" applyFont="1" applyBorder="1" applyAlignment="1">
      <alignment horizontal="center" vertical="center"/>
    </xf>
    <xf numFmtId="0" fontId="73" fillId="0" borderId="16" xfId="456" applyFont="1" applyBorder="1" applyAlignment="1">
      <alignment horizontal="center" vertical="center"/>
    </xf>
    <xf numFmtId="0" fontId="98" fillId="0" borderId="16" xfId="456" applyFont="1" applyBorder="1" applyAlignment="1">
      <alignment horizontal="left" vertical="center"/>
    </xf>
    <xf numFmtId="185" fontId="98" fillId="0" borderId="16" xfId="456" applyNumberFormat="1" applyFont="1" applyBorder="1" applyAlignment="1">
      <alignment horizontal="center" vertical="center"/>
    </xf>
    <xf numFmtId="182" fontId="98" fillId="0" borderId="16" xfId="456" applyNumberFormat="1" applyFont="1" applyBorder="1" applyAlignment="1">
      <alignment horizontal="center" vertical="center"/>
    </xf>
    <xf numFmtId="185" fontId="96" fillId="43" borderId="16" xfId="0" applyNumberFormat="1" applyFont="1" applyFill="1" applyBorder="1" applyAlignment="1">
      <alignment horizontal="center" vertical="center"/>
    </xf>
    <xf numFmtId="0" fontId="73" fillId="0" borderId="108" xfId="798" applyFont="1" applyBorder="1" applyAlignment="1">
      <alignment horizontal="left" vertical="top"/>
    </xf>
    <xf numFmtId="185" fontId="73" fillId="0" borderId="108" xfId="798" applyNumberFormat="1" applyFont="1" applyBorder="1" applyAlignment="1">
      <alignment horizontal="center" vertical="top"/>
    </xf>
    <xf numFmtId="182" fontId="73" fillId="0" borderId="108" xfId="798" applyNumberFormat="1" applyFont="1" applyBorder="1" applyAlignment="1">
      <alignment horizontal="center" vertical="top"/>
    </xf>
    <xf numFmtId="0" fontId="1" fillId="0" borderId="0" xfId="211" applyAlignment="1">
      <alignment horizontal="left" vertical="top"/>
    </xf>
    <xf numFmtId="0" fontId="74" fillId="0" borderId="0" xfId="0" applyFont="1" applyAlignment="1">
      <alignment horizontal="left" vertical="center"/>
    </xf>
    <xf numFmtId="0" fontId="39" fillId="0" borderId="0" xfId="0" applyFont="1" applyAlignment="1">
      <alignment horizontal="left"/>
    </xf>
    <xf numFmtId="0" fontId="72" fillId="0" borderId="0" xfId="238" applyFont="1" applyAlignment="1">
      <alignment horizontal="center" vertical="top"/>
    </xf>
    <xf numFmtId="0" fontId="181" fillId="0" borderId="0" xfId="238" applyFont="1" applyAlignment="1">
      <alignment horizontal="left" vertical="center"/>
    </xf>
    <xf numFmtId="0" fontId="179" fillId="0" borderId="0" xfId="456" applyFont="1" applyAlignment="1">
      <alignment horizontal="center" vertical="center"/>
    </xf>
    <xf numFmtId="0" fontId="179" fillId="0" borderId="0" xfId="456" applyFont="1" applyAlignment="1">
      <alignment vertical="center"/>
    </xf>
    <xf numFmtId="0" fontId="31" fillId="0" borderId="0" xfId="456" applyFont="1" applyAlignment="1">
      <alignment horizontal="center" vertical="center"/>
    </xf>
    <xf numFmtId="0" fontId="31" fillId="0" borderId="0" xfId="456" applyFont="1" applyAlignment="1">
      <alignment vertical="center"/>
    </xf>
    <xf numFmtId="0" fontId="98" fillId="0" borderId="16" xfId="238" applyFont="1" applyBorder="1" applyAlignment="1">
      <alignment horizontal="center" vertical="center"/>
    </xf>
    <xf numFmtId="0" fontId="98" fillId="0" borderId="16" xfId="799" applyFont="1" applyBorder="1" applyAlignment="1">
      <alignment horizontal="center" vertical="center"/>
    </xf>
    <xf numFmtId="0" fontId="98" fillId="0" borderId="16" xfId="799" applyFont="1" applyBorder="1" applyAlignment="1">
      <alignment horizontal="center" vertical="center" wrapText="1"/>
    </xf>
    <xf numFmtId="0" fontId="96" fillId="0" borderId="16" xfId="0" applyFont="1" applyBorder="1" applyAlignment="1">
      <alignment vertical="center"/>
    </xf>
    <xf numFmtId="0" fontId="96" fillId="21" borderId="16" xfId="0" applyFont="1" applyFill="1" applyBorder="1" applyAlignment="1">
      <alignment horizontal="center" vertical="center" wrapText="1"/>
    </xf>
    <xf numFmtId="0" fontId="175" fillId="0" borderId="98" xfId="144" applyFont="1" applyBorder="1" applyAlignment="1">
      <alignment horizontal="center" vertical="center"/>
    </xf>
    <xf numFmtId="0" fontId="175" fillId="0" borderId="98" xfId="144" applyFont="1" applyBorder="1" applyAlignment="1">
      <alignment horizontal="center" vertical="center" wrapText="1"/>
    </xf>
    <xf numFmtId="0" fontId="175" fillId="0" borderId="98" xfId="144" applyFont="1" applyBorder="1" applyAlignment="1">
      <alignment vertical="center" wrapText="1"/>
    </xf>
    <xf numFmtId="0" fontId="73" fillId="0" borderId="0" xfId="457" applyFont="1" applyAlignment="1">
      <alignment horizontal="center" vertical="center"/>
    </xf>
    <xf numFmtId="0" fontId="73" fillId="0" borderId="0" xfId="457" applyFont="1" applyAlignment="1">
      <alignment horizontal="left" vertical="center"/>
    </xf>
    <xf numFmtId="185" fontId="73" fillId="0" borderId="0" xfId="457" applyNumberFormat="1" applyFont="1" applyAlignment="1">
      <alignment horizontal="center" vertical="center"/>
    </xf>
    <xf numFmtId="182" fontId="73" fillId="0" borderId="0" xfId="457" applyNumberFormat="1" applyFont="1" applyAlignment="1">
      <alignment horizontal="center" vertical="center"/>
    </xf>
    <xf numFmtId="0" fontId="73" fillId="0" borderId="0" xfId="799" applyFont="1" applyAlignment="1">
      <alignment horizontal="center" vertical="center"/>
    </xf>
    <xf numFmtId="0" fontId="73" fillId="0" borderId="0" xfId="799" applyFont="1" applyAlignment="1">
      <alignment horizontal="left" vertical="top"/>
    </xf>
    <xf numFmtId="185" fontId="73" fillId="0" borderId="0" xfId="799" applyNumberFormat="1" applyFont="1" applyAlignment="1">
      <alignment horizontal="center" vertical="center"/>
    </xf>
    <xf numFmtId="182" fontId="73" fillId="0" borderId="0" xfId="799" applyNumberFormat="1" applyFont="1" applyAlignment="1">
      <alignment horizontal="center" vertical="center"/>
    </xf>
    <xf numFmtId="185" fontId="73" fillId="0" borderId="0" xfId="799" applyNumberFormat="1" applyFont="1" applyAlignment="1">
      <alignment horizontal="center" vertical="top"/>
    </xf>
    <xf numFmtId="185" fontId="73" fillId="21" borderId="0" xfId="799" applyNumberFormat="1" applyFont="1" applyFill="1" applyAlignment="1">
      <alignment horizontal="center" vertical="center"/>
    </xf>
    <xf numFmtId="0" fontId="60" fillId="0" borderId="0" xfId="144" applyFont="1" applyAlignment="1">
      <alignment vertical="center"/>
    </xf>
    <xf numFmtId="0" fontId="60" fillId="0" borderId="0" xfId="144" applyFont="1" applyAlignment="1">
      <alignment horizontal="center" vertical="center"/>
    </xf>
    <xf numFmtId="2" fontId="60" fillId="0" borderId="0" xfId="144" applyNumberFormat="1" applyFont="1" applyAlignment="1">
      <alignment vertical="center"/>
    </xf>
    <xf numFmtId="1" fontId="60" fillId="0" borderId="0" xfId="144" applyNumberFormat="1" applyFont="1" applyAlignment="1">
      <alignment horizontal="center" vertical="center"/>
    </xf>
    <xf numFmtId="0" fontId="98" fillId="0" borderId="0" xfId="457" applyFont="1" applyAlignment="1">
      <alignment horizontal="left" vertical="center"/>
    </xf>
    <xf numFmtId="185" fontId="98" fillId="0" borderId="0" xfId="457" applyNumberFormat="1" applyFont="1" applyAlignment="1">
      <alignment horizontal="center" vertical="center"/>
    </xf>
    <xf numFmtId="182" fontId="98" fillId="0" borderId="0" xfId="457" applyNumberFormat="1" applyFont="1" applyAlignment="1">
      <alignment horizontal="center" vertical="center"/>
    </xf>
    <xf numFmtId="185" fontId="98" fillId="0" borderId="0" xfId="799" applyNumberFormat="1" applyFont="1" applyAlignment="1">
      <alignment horizontal="center" vertical="center"/>
    </xf>
    <xf numFmtId="0" fontId="98" fillId="0" borderId="0" xfId="799" applyFont="1" applyAlignment="1">
      <alignment horizontal="left" vertical="top"/>
    </xf>
    <xf numFmtId="182" fontId="98" fillId="0" borderId="0" xfId="799" applyNumberFormat="1" applyFont="1" applyAlignment="1">
      <alignment horizontal="center" vertical="center"/>
    </xf>
    <xf numFmtId="185" fontId="98" fillId="0" borderId="0" xfId="799" applyNumberFormat="1" applyFont="1" applyAlignment="1">
      <alignment horizontal="center" vertical="top"/>
    </xf>
    <xf numFmtId="185" fontId="98" fillId="21" borderId="0" xfId="799" applyNumberFormat="1" applyFont="1" applyFill="1" applyAlignment="1">
      <alignment horizontal="center" vertical="center"/>
    </xf>
    <xf numFmtId="0" fontId="96" fillId="0" borderId="0" xfId="0" applyFont="1" applyAlignment="1">
      <alignment vertical="center"/>
    </xf>
    <xf numFmtId="2" fontId="96" fillId="0" borderId="0" xfId="0" applyNumberFormat="1" applyFont="1" applyAlignment="1">
      <alignment horizontal="center" vertical="center"/>
    </xf>
    <xf numFmtId="2" fontId="96" fillId="0" borderId="0" xfId="0" applyNumberFormat="1" applyFont="1" applyAlignment="1">
      <alignment vertical="center"/>
    </xf>
    <xf numFmtId="2" fontId="175" fillId="0" borderId="0" xfId="144" applyNumberFormat="1" applyFont="1" applyAlignment="1">
      <alignment vertical="center"/>
    </xf>
    <xf numFmtId="0" fontId="98" fillId="0" borderId="98" xfId="457" applyFont="1" applyBorder="1" applyAlignment="1">
      <alignment horizontal="left" vertical="center"/>
    </xf>
    <xf numFmtId="185" fontId="98" fillId="0" borderId="98" xfId="457" applyNumberFormat="1" applyFont="1" applyBorder="1" applyAlignment="1">
      <alignment horizontal="center" vertical="center"/>
    </xf>
    <xf numFmtId="182" fontId="98" fillId="0" borderId="98" xfId="457" applyNumberFormat="1" applyFont="1" applyBorder="1" applyAlignment="1">
      <alignment horizontal="center" vertical="center"/>
    </xf>
    <xf numFmtId="185" fontId="98" fillId="0" borderId="98" xfId="799" applyNumberFormat="1" applyFont="1" applyBorder="1" applyAlignment="1">
      <alignment horizontal="center" vertical="center"/>
    </xf>
    <xf numFmtId="0" fontId="73" fillId="0" borderId="98" xfId="799" applyFont="1" applyBorder="1" applyAlignment="1">
      <alignment horizontal="center" vertical="center"/>
    </xf>
    <xf numFmtId="0" fontId="50" fillId="0" borderId="98" xfId="0" applyFont="1" applyBorder="1"/>
    <xf numFmtId="0" fontId="50" fillId="0" borderId="98" xfId="0" applyFont="1" applyBorder="1" applyAlignment="1">
      <alignment vertical="center"/>
    </xf>
    <xf numFmtId="0" fontId="96" fillId="0" borderId="98" xfId="0" applyFont="1" applyBorder="1" applyAlignment="1">
      <alignment vertical="center"/>
    </xf>
    <xf numFmtId="0" fontId="96" fillId="0" borderId="98" xfId="0" applyFont="1" applyBorder="1" applyAlignment="1">
      <alignment horizontal="center" vertical="center"/>
    </xf>
    <xf numFmtId="2" fontId="96" fillId="0" borderId="98" xfId="0" applyNumberFormat="1" applyFont="1" applyBorder="1" applyAlignment="1">
      <alignment horizontal="center" vertical="center"/>
    </xf>
    <xf numFmtId="0" fontId="175" fillId="0" borderId="0" xfId="144" applyFont="1" applyAlignment="1">
      <alignment vertical="center"/>
    </xf>
    <xf numFmtId="0" fontId="175" fillId="0" borderId="0" xfId="144" applyFont="1" applyAlignment="1">
      <alignment horizontal="center" vertical="center"/>
    </xf>
    <xf numFmtId="0" fontId="73" fillId="0" borderId="16" xfId="238" applyFont="1" applyBorder="1" applyAlignment="1">
      <alignment horizontal="center" vertical="top"/>
    </xf>
    <xf numFmtId="185" fontId="98" fillId="0" borderId="16" xfId="799" applyNumberFormat="1" applyFont="1" applyBorder="1" applyAlignment="1">
      <alignment horizontal="center" vertical="center"/>
    </xf>
    <xf numFmtId="0" fontId="73" fillId="0" borderId="16" xfId="799" applyFont="1" applyBorder="1" applyAlignment="1">
      <alignment horizontal="center" vertical="center"/>
    </xf>
    <xf numFmtId="0" fontId="98" fillId="0" borderId="16" xfId="799" applyFont="1" applyBorder="1" applyAlignment="1">
      <alignment horizontal="left" vertical="top"/>
    </xf>
    <xf numFmtId="182" fontId="98" fillId="0" borderId="16" xfId="799" applyNumberFormat="1" applyFont="1" applyBorder="1" applyAlignment="1">
      <alignment horizontal="center" vertical="center"/>
    </xf>
    <xf numFmtId="185" fontId="98" fillId="0" borderId="16" xfId="799" applyNumberFormat="1" applyFont="1" applyBorder="1" applyAlignment="1">
      <alignment horizontal="center" vertical="top"/>
    </xf>
    <xf numFmtId="185" fontId="98" fillId="21" borderId="16" xfId="799" applyNumberFormat="1" applyFont="1" applyFill="1" applyBorder="1" applyAlignment="1">
      <alignment horizontal="center" vertical="center"/>
    </xf>
    <xf numFmtId="0" fontId="50" fillId="0" borderId="16" xfId="0" applyFont="1" applyBorder="1" applyAlignment="1">
      <alignment vertical="center"/>
    </xf>
    <xf numFmtId="2" fontId="96" fillId="0" borderId="16" xfId="0" applyNumberFormat="1" applyFont="1" applyBorder="1" applyAlignment="1">
      <alignment horizontal="center" vertical="center"/>
    </xf>
    <xf numFmtId="0" fontId="73" fillId="0" borderId="0" xfId="799" applyFont="1" applyAlignment="1">
      <alignment vertical="top"/>
    </xf>
    <xf numFmtId="0" fontId="60" fillId="0" borderId="0" xfId="799" applyFont="1"/>
    <xf numFmtId="0" fontId="175" fillId="0" borderId="98" xfId="144" applyFont="1" applyBorder="1" applyAlignment="1">
      <alignment vertical="center"/>
    </xf>
    <xf numFmtId="2" fontId="175" fillId="0" borderId="98" xfId="144" applyNumberFormat="1" applyFont="1" applyBorder="1" applyAlignment="1">
      <alignment vertical="center"/>
    </xf>
    <xf numFmtId="1" fontId="60" fillId="0" borderId="98" xfId="144" applyNumberFormat="1" applyFont="1" applyBorder="1" applyAlignment="1">
      <alignment horizontal="center" vertical="center"/>
    </xf>
    <xf numFmtId="171" fontId="175" fillId="21" borderId="98" xfId="144" applyNumberFormat="1" applyFont="1" applyFill="1" applyBorder="1" applyAlignment="1">
      <alignment vertical="center"/>
    </xf>
    <xf numFmtId="0" fontId="73" fillId="0" borderId="16" xfId="457" applyFont="1" applyBorder="1" applyAlignment="1">
      <alignment horizontal="center" vertical="center"/>
    </xf>
    <xf numFmtId="0" fontId="98" fillId="0" borderId="16" xfId="457" applyFont="1" applyBorder="1" applyAlignment="1">
      <alignment horizontal="left" vertical="center"/>
    </xf>
    <xf numFmtId="185" fontId="98" fillId="0" borderId="16" xfId="457" applyNumberFormat="1" applyFont="1" applyBorder="1" applyAlignment="1">
      <alignment horizontal="center" vertical="center"/>
    </xf>
    <xf numFmtId="182" fontId="98" fillId="0" borderId="16" xfId="457" applyNumberFormat="1" applyFont="1" applyBorder="1" applyAlignment="1">
      <alignment horizontal="center" vertical="center"/>
    </xf>
    <xf numFmtId="0" fontId="37" fillId="0" borderId="0" xfId="0" applyFont="1" applyAlignment="1">
      <alignment horizontal="center"/>
    </xf>
    <xf numFmtId="185" fontId="98" fillId="43" borderId="16" xfId="799" applyNumberFormat="1" applyFont="1" applyFill="1" applyBorder="1" applyAlignment="1">
      <alignment horizontal="center" vertical="top"/>
    </xf>
    <xf numFmtId="185" fontId="98" fillId="21" borderId="16" xfId="799" applyNumberFormat="1" applyFont="1" applyFill="1" applyBorder="1" applyAlignment="1">
      <alignment horizontal="center" vertical="top"/>
    </xf>
    <xf numFmtId="182" fontId="98" fillId="0" borderId="16" xfId="799" applyNumberFormat="1" applyFont="1" applyBorder="1" applyAlignment="1">
      <alignment horizontal="center" vertical="top"/>
    </xf>
    <xf numFmtId="2" fontId="50" fillId="0" borderId="0" xfId="0" applyNumberFormat="1" applyFont="1" applyAlignment="1">
      <alignment vertical="center"/>
    </xf>
    <xf numFmtId="2" fontId="96" fillId="21" borderId="16" xfId="0" applyNumberFormat="1" applyFont="1" applyFill="1" applyBorder="1" applyAlignment="1">
      <alignment horizontal="center" vertical="center"/>
    </xf>
    <xf numFmtId="0" fontId="60" fillId="0" borderId="0" xfId="211" applyFont="1" applyAlignment="1">
      <alignment vertical="center"/>
    </xf>
    <xf numFmtId="0" fontId="59" fillId="0" borderId="0" xfId="0" applyFont="1"/>
    <xf numFmtId="0" fontId="170" fillId="0" borderId="0" xfId="0" applyFont="1" applyAlignment="1">
      <alignment horizontal="center" vertical="top"/>
    </xf>
    <xf numFmtId="0" fontId="183" fillId="0" borderId="0" xfId="0" applyFont="1" applyAlignment="1">
      <alignment horizontal="center" vertical="center" wrapText="1"/>
    </xf>
    <xf numFmtId="0" fontId="61" fillId="0" borderId="0" xfId="0" applyFont="1" applyAlignment="1">
      <alignment horizontal="left" vertical="center"/>
    </xf>
    <xf numFmtId="0" fontId="28" fillId="0" borderId="0" xfId="455" applyFont="1" applyAlignment="1">
      <alignment vertical="center"/>
    </xf>
    <xf numFmtId="0" fontId="6" fillId="0" borderId="0" xfId="455" applyFont="1"/>
    <xf numFmtId="0" fontId="47" fillId="0" borderId="0" xfId="0" applyFont="1" applyAlignment="1">
      <alignment horizontal="left"/>
    </xf>
    <xf numFmtId="0" fontId="43" fillId="0" borderId="98" xfId="0" applyFont="1" applyBorder="1" applyAlignment="1">
      <alignment horizontal="center" vertical="center"/>
    </xf>
    <xf numFmtId="171" fontId="130" fillId="0" borderId="95" xfId="0" applyNumberFormat="1" applyFont="1" applyBorder="1" applyAlignment="1">
      <alignment horizontal="center" vertical="center" wrapText="1"/>
    </xf>
    <xf numFmtId="1" fontId="130" fillId="0" borderId="78" xfId="0" applyNumberFormat="1" applyFont="1" applyBorder="1" applyAlignment="1">
      <alignment horizontal="center" vertical="center" wrapText="1"/>
    </xf>
    <xf numFmtId="0" fontId="130" fillId="0" borderId="106" xfId="0" applyFont="1" applyBorder="1" applyAlignment="1">
      <alignment horizontal="center" vertical="center" wrapText="1"/>
    </xf>
    <xf numFmtId="0" fontId="130" fillId="0" borderId="78" xfId="0" applyFont="1" applyBorder="1" applyAlignment="1">
      <alignment horizontal="center" vertical="center" wrapText="1"/>
    </xf>
    <xf numFmtId="3" fontId="130" fillId="0" borderId="78" xfId="0" applyNumberFormat="1" applyFont="1" applyBorder="1" applyAlignment="1">
      <alignment horizontal="center" vertical="center" wrapText="1"/>
    </xf>
    <xf numFmtId="0" fontId="130" fillId="0" borderId="95" xfId="0" applyFont="1" applyBorder="1" applyAlignment="1">
      <alignment horizontal="center" vertical="center" wrapText="1"/>
    </xf>
    <xf numFmtId="9" fontId="130" fillId="0" borderId="95" xfId="0" applyNumberFormat="1" applyFont="1" applyBorder="1" applyAlignment="1">
      <alignment horizontal="center" vertical="center" wrapText="1"/>
    </xf>
    <xf numFmtId="0" fontId="184" fillId="0" borderId="0" xfId="0" applyFont="1"/>
    <xf numFmtId="0" fontId="61" fillId="0" borderId="0" xfId="0" applyFont="1" applyAlignment="1">
      <alignment horizontal="left" vertical="center" wrapText="1"/>
    </xf>
    <xf numFmtId="0" fontId="130" fillId="0" borderId="99" xfId="0" applyFont="1" applyBorder="1" applyAlignment="1">
      <alignment horizontal="left" vertical="center" wrapText="1"/>
    </xf>
    <xf numFmtId="0" fontId="59" fillId="0" borderId="83" xfId="0" applyFont="1" applyBorder="1" applyAlignment="1">
      <alignment horizontal="center" vertical="center" wrapText="1"/>
    </xf>
    <xf numFmtId="0" fontId="43" fillId="0" borderId="0" xfId="0" applyFont="1" applyAlignment="1">
      <alignment horizontal="right" vertical="center" wrapText="1"/>
    </xf>
    <xf numFmtId="0" fontId="43" fillId="0" borderId="0" xfId="0" applyFont="1" applyAlignment="1">
      <alignment horizontal="left" vertical="center" wrapText="1"/>
    </xf>
    <xf numFmtId="0" fontId="43" fillId="0" borderId="0" xfId="0" applyFont="1" applyAlignment="1">
      <alignment horizontal="left"/>
    </xf>
    <xf numFmtId="0" fontId="43" fillId="0" borderId="98" xfId="0" applyFont="1" applyBorder="1" applyAlignment="1">
      <alignment wrapText="1"/>
    </xf>
    <xf numFmtId="0" fontId="130" fillId="0" borderId="0" xfId="0" applyFont="1" applyAlignment="1">
      <alignment horizontal="center"/>
    </xf>
    <xf numFmtId="0" fontId="99" fillId="0" borderId="83" xfId="377" applyBorder="1" applyAlignment="1">
      <alignment horizontal="center" vertical="center" wrapText="1"/>
    </xf>
    <xf numFmtId="0" fontId="130" fillId="0" borderId="0" xfId="0" applyFont="1" applyAlignment="1">
      <alignment horizontal="center" vertical="center" wrapText="1"/>
    </xf>
    <xf numFmtId="0" fontId="131" fillId="0" borderId="102" xfId="0" applyFont="1" applyBorder="1" applyAlignment="1">
      <alignment horizontal="center" vertical="center" wrapText="1"/>
    </xf>
    <xf numFmtId="0" fontId="51" fillId="0" borderId="0" xfId="0" applyFont="1" applyAlignment="1">
      <alignment horizontal="center"/>
    </xf>
    <xf numFmtId="0" fontId="59" fillId="0" borderId="94" xfId="0" applyFont="1" applyBorder="1" applyAlignment="1">
      <alignment horizontal="center" vertical="center" wrapText="1"/>
    </xf>
    <xf numFmtId="0" fontId="99" fillId="0" borderId="99" xfId="377" applyBorder="1" applyAlignment="1">
      <alignment horizontal="center" vertical="center" wrapText="1"/>
    </xf>
    <xf numFmtId="0" fontId="99" fillId="22" borderId="99" xfId="377" applyFill="1" applyBorder="1" applyAlignment="1">
      <alignment horizontal="center" vertical="center" wrapText="1"/>
    </xf>
    <xf numFmtId="0" fontId="48" fillId="0" borderId="0" xfId="0" applyFont="1" applyAlignment="1">
      <alignment horizontal="left" vertical="center"/>
    </xf>
    <xf numFmtId="0" fontId="73" fillId="0" borderId="0" xfId="454" applyFont="1" applyAlignment="1">
      <alignment horizontal="center" vertical="center"/>
    </xf>
    <xf numFmtId="0" fontId="73" fillId="0" borderId="0" xfId="454" applyFont="1" applyAlignment="1">
      <alignment vertical="center"/>
    </xf>
    <xf numFmtId="0" fontId="60" fillId="0" borderId="0" xfId="454" applyFont="1" applyAlignment="1">
      <alignment horizontal="center" vertical="center"/>
    </xf>
    <xf numFmtId="0" fontId="60" fillId="0" borderId="0" xfId="454" applyFont="1" applyAlignment="1">
      <alignment vertical="center"/>
    </xf>
    <xf numFmtId="0" fontId="98" fillId="0" borderId="0" xfId="454" applyFont="1" applyAlignment="1">
      <alignment horizontal="center" vertical="center"/>
    </xf>
    <xf numFmtId="0" fontId="98" fillId="0" borderId="0" xfId="454" applyFont="1" applyAlignment="1">
      <alignment vertical="center"/>
    </xf>
    <xf numFmtId="0" fontId="98" fillId="0" borderId="0" xfId="238" applyFont="1" applyAlignment="1">
      <alignment vertical="center"/>
    </xf>
    <xf numFmtId="0" fontId="98" fillId="0" borderId="16" xfId="454" applyFont="1" applyBorder="1" applyAlignment="1">
      <alignment vertical="center"/>
    </xf>
    <xf numFmtId="0" fontId="98" fillId="21" borderId="16" xfId="238" applyFont="1" applyFill="1" applyBorder="1" applyAlignment="1">
      <alignment horizontal="center" vertical="center" wrapText="1"/>
    </xf>
    <xf numFmtId="0" fontId="169" fillId="0" borderId="16" xfId="227" applyFont="1" applyBorder="1" applyAlignment="1">
      <alignment horizontal="center" vertical="center" wrapText="1"/>
    </xf>
    <xf numFmtId="0" fontId="73" fillId="0" borderId="0" xfId="454" applyFont="1" applyAlignment="1">
      <alignment horizontal="left" vertical="center"/>
    </xf>
    <xf numFmtId="182" fontId="73" fillId="0" borderId="0" xfId="454" applyNumberFormat="1" applyFont="1" applyAlignment="1">
      <alignment horizontal="center" vertical="center"/>
    </xf>
    <xf numFmtId="0" fontId="73" fillId="0" borderId="0" xfId="173" applyFont="1" applyAlignment="1">
      <alignment horizontal="left" vertical="center"/>
    </xf>
    <xf numFmtId="182" fontId="73" fillId="0" borderId="0" xfId="173" applyNumberFormat="1" applyFont="1" applyAlignment="1">
      <alignment horizontal="center" vertical="center"/>
    </xf>
    <xf numFmtId="0" fontId="73" fillId="0" borderId="0" xfId="238" applyFont="1" applyAlignment="1">
      <alignment horizontal="left" vertical="center"/>
    </xf>
    <xf numFmtId="3" fontId="73" fillId="0" borderId="0" xfId="238" applyNumberFormat="1" applyFont="1" applyAlignment="1">
      <alignment horizontal="center" vertical="center"/>
    </xf>
    <xf numFmtId="10" fontId="50" fillId="21" borderId="0" xfId="176" applyNumberFormat="1" applyFont="1" applyFill="1" applyAlignment="1">
      <alignment horizontal="center" vertical="center"/>
    </xf>
    <xf numFmtId="10" fontId="50" fillId="0" borderId="0" xfId="176" applyNumberFormat="1" applyFont="1" applyAlignment="1">
      <alignment vertical="center"/>
    </xf>
    <xf numFmtId="3" fontId="31" fillId="0" borderId="0" xfId="227" applyNumberFormat="1" applyFont="1" applyAlignment="1">
      <alignment vertical="center"/>
    </xf>
    <xf numFmtId="10" fontId="50" fillId="0" borderId="0" xfId="228" applyNumberFormat="1" applyFont="1" applyAlignment="1">
      <alignment vertical="center"/>
    </xf>
    <xf numFmtId="0" fontId="98" fillId="20" borderId="0" xfId="454" applyFont="1" applyFill="1" applyAlignment="1">
      <alignment vertical="center"/>
    </xf>
    <xf numFmtId="182" fontId="98" fillId="20" borderId="0" xfId="454" applyNumberFormat="1" applyFont="1" applyFill="1" applyAlignment="1">
      <alignment horizontal="center" vertical="center"/>
    </xf>
    <xf numFmtId="0" fontId="98" fillId="20" borderId="0" xfId="454" applyFont="1" applyFill="1" applyAlignment="1">
      <alignment horizontal="center" vertical="center"/>
    </xf>
    <xf numFmtId="10" fontId="98" fillId="20" borderId="0" xfId="176" applyNumberFormat="1" applyFont="1" applyFill="1" applyAlignment="1">
      <alignment horizontal="center" vertical="center"/>
    </xf>
    <xf numFmtId="182" fontId="98" fillId="0" borderId="0" xfId="173" applyNumberFormat="1" applyFont="1" applyAlignment="1">
      <alignment horizontal="center" vertical="center"/>
    </xf>
    <xf numFmtId="3" fontId="98" fillId="0" borderId="0" xfId="238" applyNumberFormat="1" applyFont="1" applyAlignment="1">
      <alignment horizontal="center" vertical="center"/>
    </xf>
    <xf numFmtId="10" fontId="96" fillId="21" borderId="0" xfId="176" applyNumberFormat="1" applyFont="1" applyFill="1" applyAlignment="1">
      <alignment horizontal="center" vertical="center"/>
    </xf>
    <xf numFmtId="0" fontId="169" fillId="0" borderId="0" xfId="227" applyFont="1" applyAlignment="1">
      <alignment vertical="center"/>
    </xf>
    <xf numFmtId="3" fontId="169" fillId="0" borderId="0" xfId="227" applyNumberFormat="1" applyFont="1" applyAlignment="1">
      <alignment vertical="center"/>
    </xf>
    <xf numFmtId="10" fontId="169" fillId="0" borderId="0" xfId="228" applyNumberFormat="1" applyFont="1" applyAlignment="1">
      <alignment vertical="center"/>
    </xf>
    <xf numFmtId="0" fontId="73" fillId="0" borderId="98" xfId="238" applyFont="1" applyBorder="1" applyAlignment="1">
      <alignment horizontal="center" vertical="center"/>
    </xf>
    <xf numFmtId="0" fontId="98" fillId="0" borderId="98" xfId="238" applyFont="1" applyBorder="1" applyAlignment="1">
      <alignment vertical="center"/>
    </xf>
    <xf numFmtId="3" fontId="98" fillId="0" borderId="98" xfId="238" applyNumberFormat="1" applyFont="1" applyBorder="1" applyAlignment="1">
      <alignment horizontal="center" vertical="center"/>
    </xf>
    <xf numFmtId="10" fontId="96" fillId="21" borderId="98" xfId="176" applyNumberFormat="1" applyFont="1" applyFill="1" applyBorder="1" applyAlignment="1">
      <alignment horizontal="center" vertical="center"/>
    </xf>
    <xf numFmtId="0" fontId="98" fillId="0" borderId="98" xfId="454" applyFont="1" applyBorder="1" applyAlignment="1">
      <alignment vertical="center"/>
    </xf>
    <xf numFmtId="182" fontId="98" fillId="0" borderId="98" xfId="454" applyNumberFormat="1" applyFont="1" applyBorder="1" applyAlignment="1">
      <alignment horizontal="center" vertical="center"/>
    </xf>
    <xf numFmtId="10" fontId="98" fillId="0" borderId="98" xfId="176" applyNumberFormat="1" applyFont="1" applyBorder="1" applyAlignment="1">
      <alignment horizontal="center" vertical="center"/>
    </xf>
    <xf numFmtId="0" fontId="60" fillId="0" borderId="0" xfId="238" applyFont="1" applyAlignment="1">
      <alignment horizontal="left" vertical="center"/>
    </xf>
    <xf numFmtId="3" fontId="60" fillId="0" borderId="0" xfId="238" applyNumberFormat="1" applyFont="1" applyAlignment="1">
      <alignment horizontal="center" vertical="center"/>
    </xf>
    <xf numFmtId="10" fontId="60" fillId="21" borderId="0" xfId="176" applyNumberFormat="1" applyFont="1" applyFill="1" applyAlignment="1">
      <alignment horizontal="center" vertical="center"/>
    </xf>
    <xf numFmtId="0" fontId="31" fillId="0" borderId="16" xfId="227" applyFont="1" applyBorder="1" applyAlignment="1">
      <alignment vertical="center"/>
    </xf>
    <xf numFmtId="0" fontId="169" fillId="0" borderId="16" xfId="227" applyFont="1" applyBorder="1" applyAlignment="1">
      <alignment vertical="center"/>
    </xf>
    <xf numFmtId="3" fontId="169" fillId="0" borderId="16" xfId="227" applyNumberFormat="1" applyFont="1" applyBorder="1" applyAlignment="1">
      <alignment vertical="center"/>
    </xf>
    <xf numFmtId="10" fontId="169" fillId="0" borderId="16" xfId="228" applyNumberFormat="1" applyFont="1" applyBorder="1" applyAlignment="1">
      <alignment vertical="center"/>
    </xf>
    <xf numFmtId="0" fontId="73" fillId="0" borderId="16" xfId="238" applyFont="1" applyBorder="1" applyAlignment="1">
      <alignment horizontal="center" vertical="center"/>
    </xf>
    <xf numFmtId="0" fontId="98" fillId="0" borderId="16" xfId="238" applyFont="1" applyBorder="1" applyAlignment="1">
      <alignment vertical="center"/>
    </xf>
    <xf numFmtId="3" fontId="98" fillId="0" borderId="16" xfId="238" applyNumberFormat="1" applyFont="1" applyBorder="1" applyAlignment="1">
      <alignment horizontal="center" vertical="center"/>
    </xf>
    <xf numFmtId="10" fontId="96" fillId="21" borderId="16" xfId="176" applyNumberFormat="1" applyFont="1" applyFill="1" applyBorder="1" applyAlignment="1">
      <alignment horizontal="center" vertical="center"/>
    </xf>
    <xf numFmtId="0" fontId="50" fillId="0" borderId="16" xfId="0" applyFont="1" applyBorder="1" applyAlignment="1">
      <alignment horizontal="center" vertical="center"/>
    </xf>
    <xf numFmtId="10" fontId="50" fillId="0" borderId="16" xfId="176" applyNumberFormat="1" applyFont="1" applyBorder="1" applyAlignment="1">
      <alignment vertical="center"/>
    </xf>
    <xf numFmtId="0" fontId="169" fillId="0" borderId="16" xfId="227" applyFont="1" applyBorder="1" applyAlignment="1">
      <alignment horizontal="right" vertical="center"/>
    </xf>
    <xf numFmtId="0" fontId="73" fillId="0" borderId="16" xfId="454" applyFont="1" applyBorder="1" applyAlignment="1">
      <alignment horizontal="center" vertical="center"/>
    </xf>
    <xf numFmtId="182" fontId="98" fillId="0" borderId="16" xfId="454" applyNumberFormat="1" applyFont="1" applyBorder="1" applyAlignment="1">
      <alignment horizontal="center" vertical="center"/>
    </xf>
    <xf numFmtId="0" fontId="98" fillId="0" borderId="16" xfId="173" applyFont="1" applyBorder="1" applyAlignment="1">
      <alignment vertical="center"/>
    </xf>
    <xf numFmtId="182" fontId="98" fillId="0" borderId="16" xfId="173" applyNumberFormat="1" applyFont="1" applyBorder="1" applyAlignment="1">
      <alignment horizontal="center" vertical="center"/>
    </xf>
    <xf numFmtId="10" fontId="98" fillId="0" borderId="16" xfId="176" applyNumberFormat="1" applyFont="1" applyBorder="1" applyAlignment="1">
      <alignment horizontal="center" vertical="center"/>
    </xf>
    <xf numFmtId="168" fontId="50" fillId="0" borderId="0" xfId="228" applyNumberFormat="1" applyFont="1" applyAlignment="1">
      <alignment vertical="center"/>
    </xf>
    <xf numFmtId="0" fontId="73" fillId="0" borderId="0" xfId="173" applyFont="1" applyAlignment="1">
      <alignment vertical="center"/>
    </xf>
    <xf numFmtId="0" fontId="60" fillId="0" borderId="0" xfId="173" applyFont="1" applyAlignment="1">
      <alignment vertical="center"/>
    </xf>
    <xf numFmtId="10" fontId="96" fillId="21" borderId="16" xfId="176" applyNumberFormat="1" applyFont="1" applyFill="1" applyBorder="1" applyAlignment="1">
      <alignment vertical="center"/>
    </xf>
    <xf numFmtId="168" fontId="169" fillId="21" borderId="16" xfId="228" applyNumberFormat="1" applyFont="1" applyFill="1" applyBorder="1" applyAlignment="1">
      <alignment vertical="center"/>
    </xf>
    <xf numFmtId="0" fontId="88" fillId="0" borderId="0" xfId="173" applyFont="1" applyAlignment="1">
      <alignment vertical="center"/>
    </xf>
    <xf numFmtId="0" fontId="170" fillId="0" borderId="0" xfId="0" applyFont="1" applyAlignment="1">
      <alignment vertical="center"/>
    </xf>
    <xf numFmtId="171" fontId="130" fillId="0" borderId="83" xfId="0" applyNumberFormat="1" applyFont="1" applyBorder="1" applyAlignment="1">
      <alignment horizontal="center" vertical="center"/>
    </xf>
    <xf numFmtId="0" fontId="99" fillId="22" borderId="83" xfId="377" applyFill="1" applyBorder="1" applyAlignment="1">
      <alignment horizontal="center" vertical="center" wrapText="1"/>
    </xf>
    <xf numFmtId="0" fontId="77" fillId="20" borderId="83" xfId="0" applyFont="1" applyFill="1" applyBorder="1" applyAlignment="1">
      <alignment horizontal="center" vertical="center"/>
    </xf>
    <xf numFmtId="9" fontId="151" fillId="0" borderId="93" xfId="176" applyFont="1" applyBorder="1" applyAlignment="1">
      <alignment horizontal="center" vertical="center" wrapText="1"/>
    </xf>
    <xf numFmtId="9" fontId="151" fillId="0" borderId="83" xfId="176" applyFont="1" applyBorder="1" applyAlignment="1">
      <alignment horizontal="center" vertical="center" wrapText="1"/>
    </xf>
    <xf numFmtId="168" fontId="47" fillId="0" borderId="0" xfId="176" applyNumberFormat="1" applyFont="1"/>
    <xf numFmtId="168" fontId="151" fillId="0" borderId="83" xfId="176" applyNumberFormat="1" applyFont="1" applyBorder="1" applyAlignment="1">
      <alignment horizontal="center" vertical="center" wrapText="1"/>
    </xf>
    <xf numFmtId="0" fontId="7" fillId="0" borderId="97" xfId="173" applyFont="1" applyBorder="1" applyAlignment="1">
      <alignment vertical="center" wrapText="1"/>
    </xf>
    <xf numFmtId="0" fontId="7" fillId="0" borderId="110" xfId="173" applyFont="1" applyBorder="1" applyAlignment="1">
      <alignment vertical="center" wrapText="1"/>
    </xf>
    <xf numFmtId="0" fontId="7" fillId="0" borderId="111" xfId="173" applyFont="1" applyBorder="1" applyAlignment="1">
      <alignment vertical="center" wrapText="1"/>
    </xf>
    <xf numFmtId="167" fontId="23" fillId="20" borderId="22" xfId="109" applyNumberFormat="1" applyFont="1" applyFill="1" applyBorder="1" applyAlignment="1">
      <alignment horizontal="right" vertical="center" wrapText="1" indent="1"/>
    </xf>
    <xf numFmtId="0" fontId="37" fillId="0" borderId="0" xfId="0" applyFont="1" applyAlignment="1">
      <alignment vertical="center"/>
    </xf>
    <xf numFmtId="0" fontId="101" fillId="0" borderId="0" xfId="0" applyFont="1" applyAlignment="1">
      <alignment vertical="center"/>
    </xf>
    <xf numFmtId="0" fontId="54" fillId="0" borderId="80" xfId="173" applyFont="1" applyBorder="1" applyAlignment="1">
      <alignment horizontal="center" vertical="center" wrapText="1"/>
    </xf>
    <xf numFmtId="0" fontId="54" fillId="0" borderId="22" xfId="173" applyFont="1" applyBorder="1" applyAlignment="1">
      <alignment horizontal="center" vertical="center" wrapText="1"/>
    </xf>
    <xf numFmtId="0" fontId="79" fillId="20" borderId="22" xfId="173" applyFont="1" applyFill="1" applyBorder="1" applyAlignment="1">
      <alignment horizontal="center" vertical="center" wrapText="1"/>
    </xf>
    <xf numFmtId="0" fontId="79" fillId="20" borderId="25" xfId="173" applyFont="1" applyFill="1" applyBorder="1" applyAlignment="1">
      <alignment horizontal="center" vertical="center" wrapText="1"/>
    </xf>
    <xf numFmtId="0" fontId="54" fillId="0" borderId="28" xfId="173" applyFont="1" applyBorder="1" applyAlignment="1">
      <alignment horizontal="center" vertical="center" wrapText="1"/>
    </xf>
    <xf numFmtId="0" fontId="54" fillId="0" borderId="22" xfId="173" applyFont="1" applyBorder="1" applyAlignment="1">
      <alignment horizontal="center" vertical="center"/>
    </xf>
    <xf numFmtId="0" fontId="54" fillId="0" borderId="80" xfId="173" applyFont="1" applyBorder="1" applyAlignment="1">
      <alignment horizontal="center" vertical="center"/>
    </xf>
    <xf numFmtId="0" fontId="79" fillId="20" borderId="22" xfId="173" applyFont="1" applyFill="1" applyBorder="1" applyAlignment="1">
      <alignment horizontal="center" vertical="center"/>
    </xf>
    <xf numFmtId="0" fontId="79" fillId="20" borderId="25" xfId="173" applyFont="1" applyFill="1" applyBorder="1" applyAlignment="1">
      <alignment horizontal="center" vertical="center"/>
    </xf>
    <xf numFmtId="0" fontId="54" fillId="0" borderId="80" xfId="173" applyFont="1" applyBorder="1" applyAlignment="1">
      <alignment horizontal="right" vertical="center" wrapText="1" indent="1"/>
    </xf>
    <xf numFmtId="0" fontId="54" fillId="0" borderId="22" xfId="173" applyFont="1" applyBorder="1" applyAlignment="1">
      <alignment horizontal="right" vertical="center" indent="1"/>
    </xf>
    <xf numFmtId="0" fontId="79" fillId="20" borderId="22" xfId="173" applyFont="1" applyFill="1" applyBorder="1" applyAlignment="1">
      <alignment horizontal="right" vertical="center" wrapText="1" indent="1"/>
    </xf>
    <xf numFmtId="0" fontId="54" fillId="0" borderId="22" xfId="173" applyFont="1" applyBorder="1" applyAlignment="1">
      <alignment horizontal="right" vertical="center" wrapText="1" indent="1"/>
    </xf>
    <xf numFmtId="0" fontId="54" fillId="0" borderId="80" xfId="173" applyFont="1" applyBorder="1" applyAlignment="1">
      <alignment horizontal="right" vertical="center" indent="1"/>
    </xf>
    <xf numFmtId="0" fontId="79" fillId="20" borderId="22" xfId="173" applyFont="1" applyFill="1" applyBorder="1" applyAlignment="1">
      <alignment horizontal="right" vertical="center" indent="1"/>
    </xf>
    <xf numFmtId="0" fontId="79" fillId="20" borderId="25" xfId="173" applyFont="1" applyFill="1" applyBorder="1" applyAlignment="1">
      <alignment horizontal="right" vertical="center" wrapText="1" indent="1"/>
    </xf>
    <xf numFmtId="0" fontId="54" fillId="0" borderId="28" xfId="173" applyFont="1" applyBorder="1" applyAlignment="1">
      <alignment horizontal="right" vertical="center" wrapText="1" indent="1"/>
    </xf>
    <xf numFmtId="0" fontId="79" fillId="20" borderId="25" xfId="173" applyFont="1" applyFill="1" applyBorder="1" applyAlignment="1">
      <alignment horizontal="right" vertical="center" indent="1"/>
    </xf>
    <xf numFmtId="0" fontId="81" fillId="0" borderId="0" xfId="0" applyFont="1" applyAlignment="1">
      <alignment horizontal="center" vertical="center" wrapText="1"/>
    </xf>
    <xf numFmtId="0" fontId="97" fillId="0" borderId="0" xfId="0" applyFont="1"/>
    <xf numFmtId="0" fontId="99" fillId="0" borderId="114" xfId="377" applyBorder="1" applyAlignment="1">
      <alignment horizontal="center" vertical="center" wrapText="1"/>
    </xf>
    <xf numFmtId="9" fontId="130" fillId="0" borderId="114" xfId="0" applyNumberFormat="1" applyFont="1" applyBorder="1" applyAlignment="1">
      <alignment horizontal="center" vertical="center" wrapText="1"/>
    </xf>
    <xf numFmtId="9" fontId="151" fillId="0" borderId="117" xfId="0" applyNumberFormat="1" applyFont="1" applyBorder="1" applyAlignment="1">
      <alignment horizontal="center" vertical="center" wrapText="1"/>
    </xf>
    <xf numFmtId="9" fontId="130" fillId="0" borderId="118" xfId="0" applyNumberFormat="1" applyFont="1" applyBorder="1" applyAlignment="1">
      <alignment horizontal="center" vertical="center" wrapText="1"/>
    </xf>
    <xf numFmtId="0" fontId="130" fillId="0" borderId="118" xfId="0" applyFont="1" applyBorder="1" applyAlignment="1">
      <alignment vertical="center" wrapText="1"/>
    </xf>
    <xf numFmtId="0" fontId="99" fillId="0" borderId="118" xfId="377" applyBorder="1" applyAlignment="1">
      <alignment horizontal="center" vertical="center" wrapText="1"/>
    </xf>
    <xf numFmtId="0" fontId="130" fillId="0" borderId="114" xfId="0" applyFont="1" applyBorder="1" applyAlignment="1">
      <alignment vertical="center" wrapText="1"/>
    </xf>
    <xf numFmtId="0" fontId="120" fillId="0" borderId="0" xfId="822" applyFont="1" applyAlignment="1">
      <alignment horizontal="left" vertical="center"/>
    </xf>
    <xf numFmtId="0" fontId="44" fillId="20" borderId="114" xfId="0" applyFont="1" applyFill="1" applyBorder="1" applyAlignment="1">
      <alignment horizontal="center" vertical="center" wrapText="1"/>
    </xf>
    <xf numFmtId="0" fontId="81" fillId="20" borderId="114" xfId="0" applyFont="1" applyFill="1" applyBorder="1" applyAlignment="1">
      <alignment horizontal="center" vertical="center" wrapText="1"/>
    </xf>
    <xf numFmtId="2" fontId="81" fillId="20" borderId="114" xfId="0" applyNumberFormat="1" applyFont="1" applyFill="1" applyBorder="1" applyAlignment="1">
      <alignment horizontal="center" vertical="center" wrapText="1"/>
    </xf>
    <xf numFmtId="0" fontId="63" fillId="34" borderId="114" xfId="0" applyFont="1" applyFill="1" applyBorder="1" applyAlignment="1">
      <alignment horizontal="center" vertical="center" wrapText="1"/>
    </xf>
    <xf numFmtId="2" fontId="63" fillId="34" borderId="114" xfId="176" applyNumberFormat="1" applyFont="1" applyFill="1" applyBorder="1" applyAlignment="1">
      <alignment horizontal="center" vertical="center" wrapText="1"/>
    </xf>
    <xf numFmtId="168" fontId="63" fillId="43" borderId="114" xfId="176" applyNumberFormat="1" applyFont="1" applyFill="1" applyBorder="1" applyAlignment="1">
      <alignment horizontal="center" vertical="center" wrapText="1"/>
    </xf>
    <xf numFmtId="168" fontId="63" fillId="0" borderId="114" xfId="176" applyNumberFormat="1" applyFont="1" applyBorder="1" applyAlignment="1">
      <alignment horizontal="center" vertical="center" wrapText="1"/>
    </xf>
    <xf numFmtId="0" fontId="31" fillId="0" borderId="0" xfId="246" applyFont="1" applyAlignment="1">
      <alignment horizontal="center" vertical="center"/>
    </xf>
    <xf numFmtId="0" fontId="31" fillId="0" borderId="0" xfId="246" applyFont="1"/>
    <xf numFmtId="0" fontId="41" fillId="0" borderId="0" xfId="246" applyFont="1" applyAlignment="1">
      <alignment horizontal="center" wrapText="1"/>
    </xf>
    <xf numFmtId="0" fontId="87" fillId="0" borderId="0" xfId="0" applyFont="1" applyAlignment="1">
      <alignment horizontal="center" vertical="center"/>
    </xf>
    <xf numFmtId="0" fontId="154" fillId="0" borderId="0" xfId="246" applyFont="1" applyAlignment="1">
      <alignment horizontal="center" vertical="center"/>
    </xf>
    <xf numFmtId="0" fontId="42" fillId="20" borderId="118" xfId="246" applyFont="1" applyFill="1" applyBorder="1" applyAlignment="1">
      <alignment horizontal="center" vertical="center" wrapText="1"/>
    </xf>
    <xf numFmtId="0" fontId="154" fillId="0" borderId="0" xfId="246" applyFont="1"/>
    <xf numFmtId="0" fontId="86" fillId="0" borderId="0" xfId="246" applyFont="1" applyAlignment="1">
      <alignment horizontal="center" vertical="center"/>
    </xf>
    <xf numFmtId="14" fontId="135" fillId="0" borderId="0" xfId="246" applyNumberFormat="1" applyFont="1" applyAlignment="1">
      <alignment vertical="center"/>
    </xf>
    <xf numFmtId="14" fontId="135" fillId="0" borderId="0" xfId="246" applyNumberFormat="1" applyFont="1" applyAlignment="1">
      <alignment horizontal="center" vertical="center"/>
    </xf>
    <xf numFmtId="14" fontId="42" fillId="0" borderId="0" xfId="246" applyNumberFormat="1" applyFont="1" applyAlignment="1">
      <alignment wrapText="1"/>
    </xf>
    <xf numFmtId="0" fontId="31" fillId="0" borderId="0" xfId="246" applyFont="1" applyAlignment="1">
      <alignment wrapText="1"/>
    </xf>
    <xf numFmtId="0" fontId="31" fillId="0" borderId="0" xfId="246" applyFont="1" applyAlignment="1">
      <alignment horizontal="center" wrapText="1"/>
    </xf>
    <xf numFmtId="0" fontId="31" fillId="0" borderId="0" xfId="246" applyFont="1" applyAlignment="1">
      <alignment horizontal="left"/>
    </xf>
    <xf numFmtId="0" fontId="41" fillId="50" borderId="0" xfId="246" applyFont="1" applyFill="1" applyAlignment="1">
      <alignment horizontal="center" vertical="center" wrapText="1"/>
    </xf>
    <xf numFmtId="0" fontId="60" fillId="0" borderId="0" xfId="246" applyFont="1" applyAlignment="1">
      <alignment horizontal="left" vertical="center" wrapText="1"/>
    </xf>
    <xf numFmtId="0" fontId="60" fillId="0" borderId="0" xfId="0" applyFont="1" applyAlignment="1">
      <alignment horizontal="left" vertical="center" wrapText="1"/>
    </xf>
    <xf numFmtId="0" fontId="86" fillId="0" borderId="0" xfId="246" applyFont="1" applyAlignment="1">
      <alignment vertical="center" wrapText="1"/>
    </xf>
    <xf numFmtId="0" fontId="130" fillId="0" borderId="125" xfId="0" applyFont="1" applyBorder="1" applyAlignment="1">
      <alignment vertical="center" wrapText="1"/>
    </xf>
    <xf numFmtId="0" fontId="50" fillId="0" borderId="0" xfId="0" applyFont="1" applyAlignment="1">
      <alignment vertical="top"/>
    </xf>
    <xf numFmtId="0" fontId="99" fillId="0" borderId="0" xfId="377" applyAlignment="1">
      <alignment horizontal="center" vertical="center" wrapText="1"/>
    </xf>
    <xf numFmtId="0" fontId="0" fillId="0" borderId="126" xfId="0" applyBorder="1" applyAlignment="1">
      <alignment horizontal="center"/>
    </xf>
    <xf numFmtId="0" fontId="0" fillId="0" borderId="126" xfId="0" applyBorder="1" applyAlignment="1">
      <alignment horizontal="center" vertical="center" wrapText="1"/>
    </xf>
    <xf numFmtId="0" fontId="39" fillId="24" borderId="126" xfId="0" applyFont="1" applyFill="1" applyBorder="1" applyAlignment="1">
      <alignment horizontal="center" vertical="center" wrapText="1"/>
    </xf>
    <xf numFmtId="0" fontId="0" fillId="0" borderId="126" xfId="0" applyBorder="1" applyAlignment="1">
      <alignment horizontal="left" vertical="center" wrapText="1"/>
    </xf>
    <xf numFmtId="0" fontId="39" fillId="43" borderId="126" xfId="0" applyFont="1" applyFill="1" applyBorder="1" applyAlignment="1">
      <alignment horizontal="center" vertical="center" wrapText="1"/>
    </xf>
    <xf numFmtId="0" fontId="0" fillId="0" borderId="129" xfId="0" applyBorder="1" applyAlignment="1">
      <alignment horizontal="center" vertical="center" wrapText="1"/>
    </xf>
    <xf numFmtId="171" fontId="57" fillId="0" borderId="129" xfId="0" applyNumberFormat="1" applyFont="1" applyBorder="1" applyAlignment="1">
      <alignment horizontal="center" vertical="center" wrapText="1"/>
    </xf>
    <xf numFmtId="171" fontId="57" fillId="0" borderId="126" xfId="0" applyNumberFormat="1" applyFont="1" applyBorder="1" applyAlignment="1">
      <alignment horizontal="center" vertical="center" wrapText="1"/>
    </xf>
    <xf numFmtId="171" fontId="58" fillId="43" borderId="126" xfId="0" applyNumberFormat="1" applyFont="1" applyFill="1" applyBorder="1" applyAlignment="1">
      <alignment horizontal="center" vertical="center" wrapText="1"/>
    </xf>
    <xf numFmtId="171" fontId="0" fillId="0" borderId="126" xfId="0" applyNumberFormat="1" applyBorder="1" applyAlignment="1">
      <alignment horizontal="center"/>
    </xf>
    <xf numFmtId="171" fontId="57" fillId="0" borderId="13" xfId="0" applyNumberFormat="1" applyFont="1" applyBorder="1" applyAlignment="1">
      <alignment horizontal="center" vertical="center" wrapText="1"/>
    </xf>
    <xf numFmtId="0" fontId="191" fillId="0" borderId="0" xfId="377" applyFont="1"/>
    <xf numFmtId="171" fontId="57" fillId="0" borderId="0" xfId="0" applyNumberFormat="1" applyFont="1" applyAlignment="1">
      <alignment horizontal="center" vertical="center" wrapText="1"/>
    </xf>
    <xf numFmtId="0" fontId="192" fillId="20" borderId="126" xfId="0" applyFont="1" applyFill="1" applyBorder="1" applyAlignment="1">
      <alignment horizontal="center" vertical="center" wrapText="1"/>
    </xf>
    <xf numFmtId="0" fontId="42" fillId="20" borderId="126" xfId="0" applyFont="1" applyFill="1" applyBorder="1" applyAlignment="1">
      <alignment horizontal="center" vertical="center" wrapText="1"/>
    </xf>
    <xf numFmtId="0" fontId="41" fillId="34" borderId="126" xfId="377" applyFont="1" applyFill="1" applyBorder="1" applyAlignment="1">
      <alignment horizontal="left" vertical="center" wrapText="1"/>
    </xf>
    <xf numFmtId="0" fontId="192" fillId="0" borderId="126" xfId="0" applyFont="1" applyBorder="1" applyAlignment="1">
      <alignment horizontal="center" vertical="center" wrapText="1"/>
    </xf>
    <xf numFmtId="0" fontId="41" fillId="0" borderId="126" xfId="0" applyFont="1" applyBorder="1" applyAlignment="1">
      <alignment horizontal="left"/>
    </xf>
    <xf numFmtId="0" fontId="39" fillId="43" borderId="126" xfId="0" applyFont="1" applyFill="1" applyBorder="1" applyAlignment="1">
      <alignment horizontal="center"/>
    </xf>
    <xf numFmtId="0" fontId="39" fillId="43" borderId="126" xfId="0" applyFont="1" applyFill="1" applyBorder="1" applyAlignment="1">
      <alignment horizontal="left"/>
    </xf>
    <xf numFmtId="0" fontId="0" fillId="0" borderId="126" xfId="0" applyBorder="1" applyAlignment="1">
      <alignment horizontal="left"/>
    </xf>
    <xf numFmtId="0" fontId="53" fillId="20" borderId="126" xfId="0" applyFont="1" applyFill="1" applyBorder="1" applyAlignment="1">
      <alignment horizontal="center" vertical="center" wrapText="1" readingOrder="1"/>
    </xf>
    <xf numFmtId="3" fontId="53" fillId="20" borderId="127" xfId="0" applyNumberFormat="1" applyFont="1" applyFill="1" applyBorder="1" applyAlignment="1">
      <alignment horizontal="center" vertical="center" wrapText="1" readingOrder="1"/>
    </xf>
    <xf numFmtId="1" fontId="39" fillId="20" borderId="130" xfId="0" applyNumberFormat="1" applyFont="1" applyFill="1" applyBorder="1" applyAlignment="1">
      <alignment horizontal="center" vertical="center" readingOrder="1"/>
    </xf>
    <xf numFmtId="168" fontId="39" fillId="43" borderId="128" xfId="176" applyNumberFormat="1" applyFont="1" applyFill="1" applyBorder="1" applyAlignment="1">
      <alignment horizontal="center" vertical="center" readingOrder="1"/>
    </xf>
    <xf numFmtId="0" fontId="68" fillId="0" borderId="0" xfId="0" applyFont="1" applyAlignment="1">
      <alignment vertical="justify"/>
    </xf>
    <xf numFmtId="0" fontId="112" fillId="0" borderId="0" xfId="167" applyFont="1" applyAlignment="1">
      <alignment vertical="center"/>
    </xf>
    <xf numFmtId="171" fontId="151" fillId="0" borderId="114" xfId="0" applyNumberFormat="1" applyFont="1" applyBorder="1" applyAlignment="1">
      <alignment horizontal="center" vertical="center" wrapText="1"/>
    </xf>
    <xf numFmtId="9" fontId="151" fillId="0" borderId="114" xfId="0" applyNumberFormat="1" applyFont="1" applyBorder="1" applyAlignment="1">
      <alignment horizontal="center" vertical="center" wrapText="1"/>
    </xf>
    <xf numFmtId="168" fontId="151" fillId="0" borderId="114" xfId="0" applyNumberFormat="1" applyFont="1" applyBorder="1" applyAlignment="1">
      <alignment horizontal="center" vertical="center" wrapText="1"/>
    </xf>
    <xf numFmtId="9" fontId="130" fillId="0" borderId="115" xfId="0" applyNumberFormat="1" applyFont="1" applyBorder="1" applyAlignment="1">
      <alignment horizontal="center" vertical="center" wrapText="1"/>
    </xf>
    <xf numFmtId="0" fontId="151" fillId="0" borderId="114" xfId="0" applyFont="1" applyBorder="1" applyAlignment="1">
      <alignment horizontal="center" vertical="center" wrapText="1"/>
    </xf>
    <xf numFmtId="9" fontId="151" fillId="0" borderId="84" xfId="0" applyNumberFormat="1" applyFont="1" applyBorder="1" applyAlignment="1">
      <alignment horizontal="center" vertical="center" wrapText="1"/>
    </xf>
    <xf numFmtId="3" fontId="151" fillId="0" borderId="115" xfId="0" applyNumberFormat="1" applyFont="1" applyBorder="1" applyAlignment="1">
      <alignment horizontal="center" vertical="center" wrapText="1"/>
    </xf>
    <xf numFmtId="180" fontId="151" fillId="0" borderId="118" xfId="0" applyNumberFormat="1" applyFont="1" applyBorder="1" applyAlignment="1">
      <alignment horizontal="center" vertical="center" wrapText="1"/>
    </xf>
    <xf numFmtId="3" fontId="151" fillId="0" borderId="114" xfId="0" applyNumberFormat="1" applyFont="1" applyBorder="1" applyAlignment="1">
      <alignment horizontal="center" vertical="center" wrapText="1"/>
    </xf>
    <xf numFmtId="0" fontId="151" fillId="0" borderId="118" xfId="0" applyFont="1" applyBorder="1" applyAlignment="1">
      <alignment horizontal="center" vertical="center" wrapText="1"/>
    </xf>
    <xf numFmtId="168" fontId="151" fillId="0" borderId="114" xfId="176" applyNumberFormat="1" applyFont="1" applyBorder="1" applyAlignment="1">
      <alignment horizontal="center" vertical="center" wrapText="1"/>
    </xf>
    <xf numFmtId="0" fontId="54" fillId="0" borderId="132" xfId="173" applyFont="1" applyBorder="1" applyAlignment="1">
      <alignment horizontal="right" vertical="center" wrapText="1" indent="1"/>
    </xf>
    <xf numFmtId="0" fontId="54" fillId="0" borderId="133" xfId="173" applyFont="1" applyBorder="1" applyAlignment="1">
      <alignment horizontal="right" vertical="center" indent="1"/>
    </xf>
    <xf numFmtId="0" fontId="7" fillId="0" borderId="134" xfId="803" applyFont="1" applyBorder="1" applyAlignment="1">
      <alignment horizontal="right" vertical="center" wrapText="1" indent="1"/>
    </xf>
    <xf numFmtId="0" fontId="79" fillId="20" borderId="133" xfId="173" applyFont="1" applyFill="1" applyBorder="1" applyAlignment="1">
      <alignment horizontal="right" vertical="center" wrapText="1" indent="1"/>
    </xf>
    <xf numFmtId="167" fontId="23" fillId="20" borderId="135" xfId="109" applyNumberFormat="1" applyFont="1" applyFill="1" applyBorder="1" applyAlignment="1">
      <alignment horizontal="right" vertical="center" wrapText="1" indent="1"/>
    </xf>
    <xf numFmtId="0" fontId="54" fillId="0" borderId="133" xfId="173" applyFont="1" applyBorder="1" applyAlignment="1">
      <alignment horizontal="right" vertical="center" wrapText="1" indent="1"/>
    </xf>
    <xf numFmtId="0" fontId="7" fillId="22" borderId="134" xfId="173" applyFont="1" applyFill="1" applyBorder="1" applyAlignment="1">
      <alignment horizontal="right" vertical="center" wrapText="1" indent="1"/>
    </xf>
    <xf numFmtId="0" fontId="54" fillId="0" borderId="132" xfId="173" applyFont="1" applyBorder="1" applyAlignment="1">
      <alignment horizontal="right" vertical="center" indent="1"/>
    </xf>
    <xf numFmtId="0" fontId="79" fillId="20" borderId="133" xfId="173" applyFont="1" applyFill="1" applyBorder="1" applyAlignment="1">
      <alignment horizontal="right" vertical="center" indent="1"/>
    </xf>
    <xf numFmtId="0" fontId="79" fillId="20" borderId="139" xfId="173" applyFont="1" applyFill="1" applyBorder="1" applyAlignment="1">
      <alignment horizontal="right" vertical="center" wrapText="1" indent="1"/>
    </xf>
    <xf numFmtId="0" fontId="54" fillId="0" borderId="140" xfId="173" applyFont="1" applyBorder="1" applyAlignment="1">
      <alignment horizontal="right" vertical="center" wrapText="1" indent="1"/>
    </xf>
    <xf numFmtId="0" fontId="79" fillId="20" borderId="139" xfId="173" applyFont="1" applyFill="1" applyBorder="1" applyAlignment="1">
      <alignment horizontal="right" vertical="center" indent="1"/>
    </xf>
    <xf numFmtId="0" fontId="129" fillId="0" borderId="0" xfId="0" applyFont="1" applyAlignment="1">
      <alignment horizontal="center" vertical="center" wrapText="1"/>
    </xf>
    <xf numFmtId="0" fontId="40" fillId="0" borderId="146" xfId="149" applyFont="1" applyBorder="1" applyAlignment="1">
      <alignment horizontal="center" vertical="center"/>
    </xf>
    <xf numFmtId="3" fontId="40" fillId="0" borderId="146" xfId="149" applyNumberFormat="1" applyFont="1" applyBorder="1" applyAlignment="1">
      <alignment horizontal="center" vertical="center"/>
    </xf>
    <xf numFmtId="3" fontId="40" fillId="0" borderId="146" xfId="0" applyNumberFormat="1" applyFont="1" applyBorder="1" applyAlignment="1">
      <alignment horizontal="center" vertical="center"/>
    </xf>
    <xf numFmtId="0" fontId="89" fillId="20" borderId="146" xfId="149" applyFont="1" applyFill="1" applyBorder="1" applyAlignment="1">
      <alignment horizontal="center" vertical="center"/>
    </xf>
    <xf numFmtId="3" fontId="89" fillId="20" borderId="146" xfId="149" applyNumberFormat="1" applyFont="1" applyFill="1" applyBorder="1" applyAlignment="1">
      <alignment horizontal="center" vertical="center"/>
    </xf>
    <xf numFmtId="0" fontId="41" fillId="0" borderId="146" xfId="149" applyFont="1" applyBorder="1" applyAlignment="1">
      <alignment horizontal="center" vertical="center"/>
    </xf>
    <xf numFmtId="3" fontId="41" fillId="0" borderId="146" xfId="149" applyNumberFormat="1" applyFont="1" applyBorder="1" applyAlignment="1">
      <alignment horizontal="center" vertical="center"/>
    </xf>
    <xf numFmtId="3" fontId="41" fillId="0" borderId="146" xfId="0" applyNumberFormat="1" applyFont="1" applyBorder="1" applyAlignment="1">
      <alignment horizontal="center" vertical="center"/>
    </xf>
    <xf numFmtId="3" fontId="42" fillId="43" borderId="146" xfId="149" applyNumberFormat="1" applyFont="1" applyFill="1" applyBorder="1" applyAlignment="1">
      <alignment horizontal="center" vertical="center"/>
    </xf>
    <xf numFmtId="3" fontId="42" fillId="20" borderId="146" xfId="149" applyNumberFormat="1" applyFont="1" applyFill="1" applyBorder="1" applyAlignment="1">
      <alignment horizontal="center" vertical="center"/>
    </xf>
    <xf numFmtId="173" fontId="40" fillId="0" borderId="146" xfId="0" applyNumberFormat="1" applyFont="1" applyBorder="1" applyAlignment="1">
      <alignment horizontal="center" vertical="center" wrapText="1"/>
    </xf>
    <xf numFmtId="3" fontId="40" fillId="0" borderId="146" xfId="0" applyNumberFormat="1" applyFont="1" applyBorder="1" applyAlignment="1">
      <alignment horizontal="center"/>
    </xf>
    <xf numFmtId="173" fontId="40" fillId="0" borderId="146" xfId="0" applyNumberFormat="1" applyFont="1" applyBorder="1" applyAlignment="1">
      <alignment horizontal="center" vertical="center"/>
    </xf>
    <xf numFmtId="173" fontId="40" fillId="0" borderId="146" xfId="149" applyNumberFormat="1" applyFont="1" applyBorder="1" applyAlignment="1">
      <alignment horizontal="center" vertical="center"/>
    </xf>
    <xf numFmtId="0" fontId="0" fillId="0" borderId="146" xfId="0" applyBorder="1" applyAlignment="1">
      <alignment horizontal="center" vertical="center"/>
    </xf>
    <xf numFmtId="0" fontId="0" fillId="0" borderId="146" xfId="616" applyFont="1" applyBorder="1" applyAlignment="1">
      <alignment horizontal="center" vertical="center"/>
    </xf>
    <xf numFmtId="173" fontId="41" fillId="0" borderId="146" xfId="0" applyNumberFormat="1" applyFont="1" applyBorder="1" applyAlignment="1">
      <alignment horizontal="center" vertical="center" wrapText="1"/>
    </xf>
    <xf numFmtId="0" fontId="41" fillId="0" borderId="146" xfId="0" applyFont="1" applyBorder="1" applyAlignment="1">
      <alignment horizontal="center"/>
    </xf>
    <xf numFmtId="3" fontId="41" fillId="0" borderId="146" xfId="0" applyNumberFormat="1" applyFont="1" applyBorder="1" applyAlignment="1">
      <alignment horizontal="center"/>
    </xf>
    <xf numFmtId="173" fontId="41" fillId="0" borderId="146" xfId="0" applyNumberFormat="1" applyFont="1" applyBorder="1" applyAlignment="1">
      <alignment horizontal="center" vertical="center"/>
    </xf>
    <xf numFmtId="0" fontId="0" fillId="0" borderId="146" xfId="616" applyFont="1" applyBorder="1" applyAlignment="1">
      <alignment horizontal="center" vertical="center" wrapText="1"/>
    </xf>
    <xf numFmtId="3" fontId="0" fillId="0" borderId="146" xfId="616" applyNumberFormat="1" applyFont="1" applyBorder="1" applyAlignment="1">
      <alignment horizontal="center" vertical="center"/>
    </xf>
    <xf numFmtId="173" fontId="41" fillId="0" borderId="146" xfId="149" applyNumberFormat="1" applyFont="1" applyBorder="1" applyAlignment="1">
      <alignment horizontal="center" vertical="center"/>
    </xf>
    <xf numFmtId="0" fontId="74" fillId="20" borderId="146" xfId="0" applyFont="1" applyFill="1" applyBorder="1" applyAlignment="1">
      <alignment horizontal="center"/>
    </xf>
    <xf numFmtId="3" fontId="40" fillId="0" borderId="146" xfId="149" applyNumberFormat="1" applyFont="1" applyBorder="1" applyAlignment="1">
      <alignment horizontal="center"/>
    </xf>
    <xf numFmtId="3" fontId="40" fillId="0" borderId="147" xfId="0" applyNumberFormat="1" applyFont="1" applyBorder="1" applyAlignment="1">
      <alignment horizontal="center"/>
    </xf>
    <xf numFmtId="0" fontId="39" fillId="0" borderId="146" xfId="616" applyFont="1" applyBorder="1" applyAlignment="1">
      <alignment horizontal="center" vertical="center"/>
    </xf>
    <xf numFmtId="0" fontId="98" fillId="43" borderId="16" xfId="821" applyFont="1" applyFill="1" applyBorder="1" applyAlignment="1">
      <alignment horizontal="center" vertical="center" wrapText="1"/>
    </xf>
    <xf numFmtId="10" fontId="98" fillId="0" borderId="0" xfId="176" applyNumberFormat="1" applyFont="1" applyAlignment="1">
      <alignment horizontal="center"/>
    </xf>
    <xf numFmtId="0" fontId="98" fillId="0" borderId="0" xfId="821" applyFont="1" applyAlignment="1">
      <alignment vertical="center"/>
    </xf>
    <xf numFmtId="182" fontId="98" fillId="0" borderId="0" xfId="821" applyNumberFormat="1" applyFont="1" applyAlignment="1">
      <alignment horizontal="center" vertical="center"/>
    </xf>
    <xf numFmtId="0" fontId="98" fillId="0" borderId="0" xfId="821" applyFont="1" applyAlignment="1">
      <alignment horizontal="center" vertical="center"/>
    </xf>
    <xf numFmtId="10" fontId="98" fillId="43" borderId="16" xfId="176" applyNumberFormat="1" applyFont="1" applyFill="1" applyBorder="1" applyAlignment="1">
      <alignment horizontal="center"/>
    </xf>
    <xf numFmtId="0" fontId="167" fillId="0" borderId="0" xfId="0" applyFont="1"/>
    <xf numFmtId="0" fontId="179" fillId="0" borderId="0" xfId="3783" applyFont="1"/>
    <xf numFmtId="0" fontId="1" fillId="0" borderId="0" xfId="3783"/>
    <xf numFmtId="0" fontId="98" fillId="0" borderId="0" xfId="3783" applyFont="1"/>
    <xf numFmtId="0" fontId="60" fillId="0" borderId="0" xfId="3783" applyFont="1"/>
    <xf numFmtId="0" fontId="98" fillId="0" borderId="16" xfId="3783" applyFont="1" applyBorder="1" applyAlignment="1">
      <alignment horizontal="center" vertical="center"/>
    </xf>
    <xf numFmtId="0" fontId="98" fillId="0" borderId="149" xfId="3783" applyFont="1" applyBorder="1" applyAlignment="1">
      <alignment horizontal="center" vertical="center"/>
    </xf>
    <xf numFmtId="0" fontId="98" fillId="43" borderId="16" xfId="821" applyFont="1" applyFill="1" applyBorder="1" applyAlignment="1">
      <alignment horizontal="center" wrapText="1"/>
    </xf>
    <xf numFmtId="0" fontId="73" fillId="0" borderId="0" xfId="3783" applyFont="1"/>
    <xf numFmtId="0" fontId="73" fillId="0" borderId="0" xfId="3783" applyFont="1" applyAlignment="1">
      <alignment horizontal="left"/>
    </xf>
    <xf numFmtId="0" fontId="73" fillId="40" borderId="0" xfId="3783" applyFont="1" applyFill="1" applyAlignment="1">
      <alignment horizontal="center"/>
    </xf>
    <xf numFmtId="182" fontId="73" fillId="40" borderId="0" xfId="3783" applyNumberFormat="1" applyFont="1" applyFill="1" applyAlignment="1">
      <alignment horizontal="center"/>
    </xf>
    <xf numFmtId="0" fontId="73" fillId="0" borderId="0" xfId="3783" applyFont="1" applyAlignment="1">
      <alignment horizontal="center"/>
    </xf>
    <xf numFmtId="182" fontId="73" fillId="0" borderId="0" xfId="3783" applyNumberFormat="1" applyFont="1" applyAlignment="1">
      <alignment horizontal="center"/>
    </xf>
    <xf numFmtId="0" fontId="98" fillId="40" borderId="0" xfId="3783" applyFont="1" applyFill="1" applyAlignment="1">
      <alignment horizontal="center"/>
    </xf>
    <xf numFmtId="182" fontId="98" fillId="40" borderId="0" xfId="3783" applyNumberFormat="1" applyFont="1" applyFill="1" applyAlignment="1">
      <alignment horizontal="center"/>
    </xf>
    <xf numFmtId="0" fontId="98" fillId="0" borderId="0" xfId="3783" applyFont="1" applyAlignment="1">
      <alignment horizontal="center"/>
    </xf>
    <xf numFmtId="182" fontId="98" fillId="0" borderId="0" xfId="3783" applyNumberFormat="1" applyFont="1" applyAlignment="1">
      <alignment horizontal="center"/>
    </xf>
    <xf numFmtId="0" fontId="73" fillId="0" borderId="16" xfId="3783" applyFont="1" applyBorder="1"/>
    <xf numFmtId="0" fontId="98" fillId="0" borderId="16" xfId="3783" applyFont="1" applyBorder="1"/>
    <xf numFmtId="182" fontId="98" fillId="40" borderId="16" xfId="3783" applyNumberFormat="1" applyFont="1" applyFill="1" applyBorder="1" applyAlignment="1">
      <alignment horizontal="center"/>
    </xf>
    <xf numFmtId="182" fontId="98" fillId="0" borderId="16" xfId="3783" applyNumberFormat="1" applyFont="1" applyBorder="1" applyAlignment="1">
      <alignment horizontal="center"/>
    </xf>
    <xf numFmtId="0" fontId="179" fillId="0" borderId="0" xfId="428" applyFont="1"/>
    <xf numFmtId="0" fontId="1" fillId="0" borderId="0" xfId="428"/>
    <xf numFmtId="0" fontId="98" fillId="0" borderId="0" xfId="428" applyFont="1" applyAlignment="1">
      <alignment horizontal="center" vertical="center"/>
    </xf>
    <xf numFmtId="0" fontId="98" fillId="0" borderId="149" xfId="428" applyFont="1" applyBorder="1" applyAlignment="1">
      <alignment horizontal="center" vertical="center"/>
    </xf>
    <xf numFmtId="0" fontId="73" fillId="0" borderId="0" xfId="428" applyFont="1" applyAlignment="1">
      <alignment horizontal="center" vertical="center"/>
    </xf>
    <xf numFmtId="0" fontId="73" fillId="0" borderId="0" xfId="428" applyFont="1"/>
    <xf numFmtId="0" fontId="73" fillId="0" borderId="0" xfId="428" applyFont="1" applyAlignment="1">
      <alignment horizontal="left"/>
    </xf>
    <xf numFmtId="0" fontId="73" fillId="42" borderId="0" xfId="428" applyFont="1" applyFill="1" applyAlignment="1">
      <alignment horizontal="center"/>
    </xf>
    <xf numFmtId="182" fontId="73" fillId="42" borderId="0" xfId="428" applyNumberFormat="1" applyFont="1" applyFill="1" applyAlignment="1">
      <alignment horizontal="center"/>
    </xf>
    <xf numFmtId="0" fontId="98" fillId="42" borderId="0" xfId="428" applyFont="1" applyFill="1" applyAlignment="1">
      <alignment horizontal="center"/>
    </xf>
    <xf numFmtId="182" fontId="98" fillId="42" borderId="0" xfId="428" applyNumberFormat="1" applyFont="1" applyFill="1" applyAlignment="1">
      <alignment horizontal="center"/>
    </xf>
    <xf numFmtId="0" fontId="73" fillId="0" borderId="16" xfId="428" applyFont="1" applyBorder="1" applyAlignment="1">
      <alignment horizontal="center" vertical="center"/>
    </xf>
    <xf numFmtId="0" fontId="73" fillId="0" borderId="16" xfId="428" applyFont="1" applyBorder="1"/>
    <xf numFmtId="0" fontId="98" fillId="0" borderId="16" xfId="428" applyFont="1" applyBorder="1"/>
    <xf numFmtId="182" fontId="98" fillId="42" borderId="16" xfId="428" applyNumberFormat="1" applyFont="1" applyFill="1" applyBorder="1" applyAlignment="1">
      <alignment horizontal="center"/>
    </xf>
    <xf numFmtId="0" fontId="73" fillId="0" borderId="0" xfId="3784" applyFont="1"/>
    <xf numFmtId="0" fontId="60" fillId="0" borderId="0" xfId="3784" applyFont="1"/>
    <xf numFmtId="0" fontId="98" fillId="0" borderId="0" xfId="3784" applyFont="1"/>
    <xf numFmtId="0" fontId="98" fillId="0" borderId="16" xfId="3784" applyFont="1" applyBorder="1" applyAlignment="1">
      <alignment horizontal="center" vertical="center"/>
    </xf>
    <xf numFmtId="0" fontId="98" fillId="0" borderId="149" xfId="3784" applyFont="1" applyBorder="1" applyAlignment="1">
      <alignment horizontal="center" vertical="center"/>
    </xf>
    <xf numFmtId="0" fontId="73" fillId="0" borderId="0" xfId="3784" applyFont="1" applyAlignment="1">
      <alignment horizontal="center" vertical="center"/>
    </xf>
    <xf numFmtId="0" fontId="73" fillId="0" borderId="0" xfId="3784" applyFont="1" applyAlignment="1">
      <alignment horizontal="left"/>
    </xf>
    <xf numFmtId="0" fontId="73" fillId="49" borderId="0" xfId="3784" applyFont="1" applyFill="1" applyAlignment="1">
      <alignment horizontal="center"/>
    </xf>
    <xf numFmtId="182" fontId="73" fillId="49" borderId="0" xfId="3784" applyNumberFormat="1" applyFont="1" applyFill="1" applyAlignment="1">
      <alignment horizontal="center"/>
    </xf>
    <xf numFmtId="0" fontId="73" fillId="0" borderId="0" xfId="3784" applyFont="1" applyAlignment="1">
      <alignment horizontal="center"/>
    </xf>
    <xf numFmtId="182" fontId="73" fillId="0" borderId="0" xfId="3784" applyNumberFormat="1" applyFont="1" applyAlignment="1">
      <alignment horizontal="center"/>
    </xf>
    <xf numFmtId="0" fontId="98" fillId="49" borderId="0" xfId="3784" applyFont="1" applyFill="1" applyAlignment="1">
      <alignment horizontal="center"/>
    </xf>
    <xf numFmtId="182" fontId="98" fillId="49" borderId="0" xfId="3784" applyNumberFormat="1" applyFont="1" applyFill="1" applyAlignment="1">
      <alignment horizontal="center"/>
    </xf>
    <xf numFmtId="0" fontId="98" fillId="0" borderId="0" xfId="3784" applyFont="1" applyAlignment="1">
      <alignment horizontal="center"/>
    </xf>
    <xf numFmtId="182" fontId="98" fillId="0" borderId="0" xfId="3784" applyNumberFormat="1" applyFont="1" applyAlignment="1">
      <alignment horizontal="center"/>
    </xf>
    <xf numFmtId="0" fontId="73" fillId="0" borderId="16" xfId="3784" applyFont="1" applyBorder="1" applyAlignment="1">
      <alignment horizontal="center" vertical="center"/>
    </xf>
    <xf numFmtId="0" fontId="98" fillId="0" borderId="16" xfId="3784" applyFont="1" applyBorder="1"/>
    <xf numFmtId="182" fontId="98" fillId="49" borderId="16" xfId="3784" applyNumberFormat="1" applyFont="1" applyFill="1" applyBorder="1" applyAlignment="1">
      <alignment horizontal="center"/>
    </xf>
    <xf numFmtId="182" fontId="98" fillId="0" borderId="16" xfId="3784" applyNumberFormat="1" applyFont="1" applyBorder="1" applyAlignment="1">
      <alignment horizontal="center"/>
    </xf>
    <xf numFmtId="0" fontId="194" fillId="0" borderId="0" xfId="0" applyFont="1"/>
    <xf numFmtId="0" fontId="195" fillId="0" borderId="0" xfId="0" applyFont="1"/>
    <xf numFmtId="185" fontId="73" fillId="0" borderId="0" xfId="238" applyNumberFormat="1" applyFont="1" applyAlignment="1">
      <alignment horizontal="center" vertical="center"/>
    </xf>
    <xf numFmtId="182" fontId="73" fillId="0" borderId="0" xfId="238" applyNumberFormat="1" applyFont="1" applyAlignment="1">
      <alignment horizontal="center" vertical="center"/>
    </xf>
    <xf numFmtId="2" fontId="73" fillId="0" borderId="0" xfId="238" applyNumberFormat="1" applyFont="1" applyAlignment="1">
      <alignment horizontal="center" vertical="center"/>
    </xf>
    <xf numFmtId="0" fontId="98" fillId="0" borderId="0" xfId="238" applyFont="1" applyAlignment="1">
      <alignment horizontal="left" vertical="center"/>
    </xf>
    <xf numFmtId="185" fontId="98" fillId="0" borderId="0" xfId="238" applyNumberFormat="1" applyFont="1" applyAlignment="1">
      <alignment horizontal="center" vertical="center"/>
    </xf>
    <xf numFmtId="182" fontId="98" fillId="0" borderId="0" xfId="238" applyNumberFormat="1" applyFont="1" applyAlignment="1">
      <alignment horizontal="center" vertical="center"/>
    </xf>
    <xf numFmtId="2" fontId="98" fillId="0" borderId="0" xfId="238" applyNumberFormat="1" applyFont="1" applyAlignment="1">
      <alignment horizontal="center" vertical="center"/>
    </xf>
    <xf numFmtId="0" fontId="73" fillId="0" borderId="142" xfId="238" applyFont="1" applyBorder="1" applyAlignment="1">
      <alignment horizontal="center" vertical="center"/>
    </xf>
    <xf numFmtId="0" fontId="98" fillId="0" borderId="142" xfId="238" applyFont="1" applyBorder="1" applyAlignment="1">
      <alignment horizontal="left" vertical="center"/>
    </xf>
    <xf numFmtId="185" fontId="98" fillId="0" borderId="142" xfId="238" applyNumberFormat="1" applyFont="1" applyBorder="1" applyAlignment="1">
      <alignment horizontal="center" vertical="center"/>
    </xf>
    <xf numFmtId="182" fontId="98" fillId="0" borderId="142" xfId="238" applyNumberFormat="1" applyFont="1" applyBorder="1" applyAlignment="1">
      <alignment horizontal="center" vertical="center"/>
    </xf>
    <xf numFmtId="2" fontId="98" fillId="0" borderId="142" xfId="238" applyNumberFormat="1" applyFont="1" applyBorder="1" applyAlignment="1">
      <alignment horizontal="center" vertical="center"/>
    </xf>
    <xf numFmtId="185" fontId="98" fillId="0" borderId="142" xfId="455" applyNumberFormat="1" applyFont="1" applyBorder="1" applyAlignment="1">
      <alignment horizontal="center" vertical="center"/>
    </xf>
    <xf numFmtId="0" fontId="73" fillId="0" borderId="106" xfId="238" applyFont="1" applyBorder="1" applyAlignment="1">
      <alignment horizontal="center" vertical="center"/>
    </xf>
    <xf numFmtId="0" fontId="73" fillId="0" borderId="106" xfId="238" applyFont="1" applyBorder="1" applyAlignment="1">
      <alignment horizontal="left" vertical="center"/>
    </xf>
    <xf numFmtId="185" fontId="73" fillId="0" borderId="106" xfId="238" applyNumberFormat="1" applyFont="1" applyBorder="1" applyAlignment="1">
      <alignment horizontal="center" vertical="center"/>
    </xf>
    <xf numFmtId="182" fontId="73" fillId="0" borderId="106" xfId="238" applyNumberFormat="1" applyFont="1" applyBorder="1" applyAlignment="1">
      <alignment horizontal="center" vertical="center"/>
    </xf>
    <xf numFmtId="2" fontId="73" fillId="0" borderId="106" xfId="238" applyNumberFormat="1" applyFont="1" applyBorder="1" applyAlignment="1">
      <alignment horizontal="center" vertical="center"/>
    </xf>
    <xf numFmtId="2" fontId="73" fillId="0" borderId="142" xfId="238" applyNumberFormat="1" applyFont="1" applyBorder="1" applyAlignment="1">
      <alignment horizontal="center" vertical="center"/>
    </xf>
    <xf numFmtId="0" fontId="98" fillId="0" borderId="16" xfId="238" applyFont="1" applyBorder="1" applyAlignment="1">
      <alignment horizontal="left" vertical="center"/>
    </xf>
    <xf numFmtId="185" fontId="98" fillId="0" borderId="16" xfId="238" applyNumberFormat="1" applyFont="1" applyBorder="1" applyAlignment="1">
      <alignment horizontal="center" vertical="center"/>
    </xf>
    <xf numFmtId="182" fontId="98" fillId="0" borderId="16" xfId="238" applyNumberFormat="1" applyFont="1" applyBorder="1" applyAlignment="1">
      <alignment horizontal="center" vertical="center"/>
    </xf>
    <xf numFmtId="0" fontId="37" fillId="0" borderId="0" xfId="0" applyFont="1" applyAlignment="1">
      <alignment horizontal="center" vertical="center"/>
    </xf>
    <xf numFmtId="0" fontId="73" fillId="0" borderId="0" xfId="238" applyFont="1" applyAlignment="1">
      <alignment horizontal="center"/>
    </xf>
    <xf numFmtId="185" fontId="73" fillId="0" borderId="0" xfId="238" applyNumberFormat="1" applyFont="1" applyAlignment="1">
      <alignment horizontal="center"/>
    </xf>
    <xf numFmtId="182" fontId="73" fillId="0" borderId="0" xfId="238" applyNumberFormat="1" applyFont="1" applyAlignment="1">
      <alignment horizontal="center"/>
    </xf>
    <xf numFmtId="185" fontId="73" fillId="0" borderId="0" xfId="173" applyNumberFormat="1" applyFont="1" applyAlignment="1">
      <alignment horizontal="center"/>
    </xf>
    <xf numFmtId="185" fontId="73" fillId="0" borderId="0" xfId="173" applyNumberFormat="1" applyFont="1" applyAlignment="1">
      <alignment horizontal="center" vertical="center"/>
    </xf>
    <xf numFmtId="182" fontId="98" fillId="0" borderId="16" xfId="238" applyNumberFormat="1" applyFont="1" applyBorder="1" applyAlignment="1">
      <alignment horizontal="center"/>
    </xf>
    <xf numFmtId="0" fontId="196" fillId="0" borderId="0" xfId="0" applyFont="1" applyAlignment="1">
      <alignment horizontal="left"/>
    </xf>
    <xf numFmtId="0" fontId="98" fillId="0" borderId="16" xfId="430" applyFont="1" applyBorder="1" applyAlignment="1">
      <alignment horizontal="center" vertical="center"/>
    </xf>
    <xf numFmtId="0" fontId="98" fillId="0" borderId="16" xfId="430" applyFont="1" applyBorder="1"/>
    <xf numFmtId="0" fontId="98" fillId="0" borderId="16" xfId="430" applyFont="1" applyBorder="1" applyAlignment="1">
      <alignment horizontal="center"/>
    </xf>
    <xf numFmtId="0" fontId="73" fillId="0" borderId="0" xfId="430" applyFont="1" applyAlignment="1">
      <alignment horizontal="center" vertical="center"/>
    </xf>
    <xf numFmtId="0" fontId="73" fillId="0" borderId="0" xfId="430" applyFont="1" applyAlignment="1">
      <alignment horizontal="left"/>
    </xf>
    <xf numFmtId="185" fontId="73" fillId="0" borderId="0" xfId="430" applyNumberFormat="1" applyFont="1" applyAlignment="1">
      <alignment horizontal="center"/>
    </xf>
    <xf numFmtId="182" fontId="73" fillId="0" borderId="0" xfId="430" applyNumberFormat="1" applyFont="1" applyAlignment="1">
      <alignment horizontal="center"/>
    </xf>
    <xf numFmtId="0" fontId="98" fillId="0" borderId="0" xfId="430" applyFont="1" applyAlignment="1">
      <alignment horizontal="left"/>
    </xf>
    <xf numFmtId="185" fontId="98" fillId="0" borderId="0" xfId="430" applyNumberFormat="1" applyFont="1" applyAlignment="1">
      <alignment horizontal="center"/>
    </xf>
    <xf numFmtId="182" fontId="98" fillId="0" borderId="0" xfId="430" applyNumberFormat="1" applyFont="1" applyAlignment="1">
      <alignment horizontal="center"/>
    </xf>
    <xf numFmtId="171" fontId="50" fillId="0" borderId="0" xfId="0" applyNumberFormat="1" applyFont="1" applyAlignment="1">
      <alignment horizontal="center" vertical="center"/>
    </xf>
    <xf numFmtId="0" fontId="73" fillId="0" borderId="106" xfId="430" applyFont="1" applyBorder="1" applyAlignment="1">
      <alignment horizontal="center" vertical="center"/>
    </xf>
    <xf numFmtId="0" fontId="73" fillId="0" borderId="106" xfId="430" applyFont="1" applyBorder="1" applyAlignment="1">
      <alignment horizontal="left"/>
    </xf>
    <xf numFmtId="185" fontId="73" fillId="0" borderId="106" xfId="430" applyNumberFormat="1" applyFont="1" applyBorder="1" applyAlignment="1">
      <alignment horizontal="center"/>
    </xf>
    <xf numFmtId="182" fontId="73" fillId="0" borderId="106" xfId="430" applyNumberFormat="1" applyFont="1" applyBorder="1" applyAlignment="1">
      <alignment horizontal="center"/>
    </xf>
    <xf numFmtId="2" fontId="50" fillId="0" borderId="106" xfId="0" applyNumberFormat="1" applyFont="1" applyBorder="1" applyAlignment="1">
      <alignment horizontal="center" vertical="center"/>
    </xf>
    <xf numFmtId="185" fontId="96" fillId="0" borderId="142" xfId="0" applyNumberFormat="1" applyFont="1" applyBorder="1" applyAlignment="1">
      <alignment horizontal="center" vertical="center"/>
    </xf>
    <xf numFmtId="0" fontId="98" fillId="0" borderId="0" xfId="430" applyFont="1" applyAlignment="1">
      <alignment horizontal="left" vertical="center"/>
    </xf>
    <xf numFmtId="185" fontId="98" fillId="0" borderId="0" xfId="430" applyNumberFormat="1" applyFont="1" applyAlignment="1">
      <alignment horizontal="center" vertical="center"/>
    </xf>
    <xf numFmtId="182" fontId="98" fillId="0" borderId="0" xfId="430" applyNumberFormat="1" applyFont="1" applyAlignment="1">
      <alignment horizontal="center" vertical="center"/>
    </xf>
    <xf numFmtId="0" fontId="73" fillId="0" borderId="16" xfId="430" applyFont="1" applyBorder="1" applyAlignment="1">
      <alignment horizontal="center" vertical="center"/>
    </xf>
    <xf numFmtId="0" fontId="98" fillId="0" borderId="105" xfId="430" applyFont="1" applyBorder="1" applyAlignment="1">
      <alignment horizontal="left" vertical="center"/>
    </xf>
    <xf numFmtId="185" fontId="98" fillId="0" borderId="105" xfId="430" applyNumberFormat="1" applyFont="1" applyBorder="1" applyAlignment="1">
      <alignment horizontal="center" vertical="center"/>
    </xf>
    <xf numFmtId="182" fontId="98" fillId="0" borderId="105" xfId="430" applyNumberFormat="1" applyFont="1" applyBorder="1" applyAlignment="1">
      <alignment horizontal="center" vertical="center"/>
    </xf>
    <xf numFmtId="0" fontId="72" fillId="0" borderId="0" xfId="430" applyFont="1"/>
    <xf numFmtId="0" fontId="72" fillId="0" borderId="0" xfId="430" applyFont="1" applyAlignment="1">
      <alignment horizontal="left"/>
    </xf>
    <xf numFmtId="185" fontId="72" fillId="0" borderId="0" xfId="430" applyNumberFormat="1" applyFont="1" applyAlignment="1">
      <alignment horizontal="center"/>
    </xf>
    <xf numFmtId="182" fontId="72" fillId="0" borderId="0" xfId="430" applyNumberFormat="1" applyFont="1" applyAlignment="1">
      <alignment horizontal="center"/>
    </xf>
    <xf numFmtId="185" fontId="73" fillId="0" borderId="0" xfId="430" applyNumberFormat="1" applyFont="1" applyAlignment="1">
      <alignment horizontal="center" vertical="center"/>
    </xf>
    <xf numFmtId="182" fontId="73" fillId="0" borderId="0" xfId="430" applyNumberFormat="1" applyFont="1" applyAlignment="1">
      <alignment horizontal="center" vertical="center"/>
    </xf>
    <xf numFmtId="185" fontId="98" fillId="0" borderId="16" xfId="430" applyNumberFormat="1" applyFont="1" applyBorder="1" applyAlignment="1">
      <alignment horizontal="center" vertical="center"/>
    </xf>
    <xf numFmtId="182" fontId="98" fillId="0" borderId="16" xfId="430" applyNumberFormat="1" applyFont="1" applyBorder="1" applyAlignment="1">
      <alignment horizontal="center" vertical="center"/>
    </xf>
    <xf numFmtId="0" fontId="87" fillId="0" borderId="0" xfId="0" applyFont="1" applyAlignment="1">
      <alignment vertical="center"/>
    </xf>
    <xf numFmtId="0" fontId="98" fillId="0" borderId="16" xfId="428" applyFont="1" applyBorder="1" applyAlignment="1">
      <alignment vertical="center"/>
    </xf>
    <xf numFmtId="0" fontId="73" fillId="0" borderId="0" xfId="428" applyFont="1" applyAlignment="1">
      <alignment horizontal="left" vertical="center"/>
    </xf>
    <xf numFmtId="185" fontId="73" fillId="0" borderId="0" xfId="428" applyNumberFormat="1" applyFont="1" applyAlignment="1">
      <alignment horizontal="center" vertical="center"/>
    </xf>
    <xf numFmtId="182" fontId="73" fillId="0" borderId="0" xfId="428" applyNumberFormat="1" applyFont="1" applyAlignment="1">
      <alignment horizontal="center" vertical="center"/>
    </xf>
    <xf numFmtId="0" fontId="98" fillId="0" borderId="0" xfId="428" applyFont="1" applyAlignment="1">
      <alignment horizontal="left" vertical="center"/>
    </xf>
    <xf numFmtId="185" fontId="98" fillId="0" borderId="0" xfId="428" applyNumberFormat="1" applyFont="1" applyAlignment="1">
      <alignment horizontal="center" vertical="center"/>
    </xf>
    <xf numFmtId="182" fontId="98" fillId="0" borderId="0" xfId="428" applyNumberFormat="1" applyFont="1" applyAlignment="1">
      <alignment horizontal="center" vertical="center"/>
    </xf>
    <xf numFmtId="0" fontId="73" fillId="0" borderId="106" xfId="428" applyFont="1" applyBorder="1" applyAlignment="1">
      <alignment horizontal="center" vertical="center"/>
    </xf>
    <xf numFmtId="0" fontId="73" fillId="0" borderId="106" xfId="428" applyFont="1" applyBorder="1" applyAlignment="1">
      <alignment horizontal="left" vertical="center"/>
    </xf>
    <xf numFmtId="185" fontId="73" fillId="0" borderId="106" xfId="428" applyNumberFormat="1" applyFont="1" applyBorder="1" applyAlignment="1">
      <alignment horizontal="center" vertical="center"/>
    </xf>
    <xf numFmtId="182" fontId="73" fillId="0" borderId="106" xfId="428" applyNumberFormat="1" applyFont="1" applyBorder="1" applyAlignment="1">
      <alignment horizontal="center" vertical="center"/>
    </xf>
    <xf numFmtId="0" fontId="73" fillId="0" borderId="16" xfId="428" applyFont="1" applyBorder="1" applyAlignment="1">
      <alignment vertical="center"/>
    </xf>
    <xf numFmtId="0" fontId="98" fillId="0" borderId="105" xfId="428" applyFont="1" applyBorder="1" applyAlignment="1">
      <alignment horizontal="left" vertical="center"/>
    </xf>
    <xf numFmtId="185" fontId="98" fillId="0" borderId="105" xfId="428" applyNumberFormat="1" applyFont="1" applyBorder="1" applyAlignment="1">
      <alignment horizontal="center" vertical="center"/>
    </xf>
    <xf numFmtId="182" fontId="98" fillId="0" borderId="105" xfId="428" applyNumberFormat="1" applyFont="1" applyBorder="1" applyAlignment="1">
      <alignment horizontal="center" vertical="center"/>
    </xf>
    <xf numFmtId="185" fontId="96" fillId="43" borderId="105" xfId="0" applyNumberFormat="1" applyFont="1" applyFill="1" applyBorder="1" applyAlignment="1">
      <alignment horizontal="center" vertical="center"/>
    </xf>
    <xf numFmtId="0" fontId="196" fillId="0" borderId="0" xfId="0" applyFont="1" applyAlignment="1">
      <alignment horizontal="left" vertical="center"/>
    </xf>
    <xf numFmtId="0" fontId="193" fillId="0" borderId="0" xfId="0" applyFont="1" applyAlignment="1">
      <alignment horizontal="left" vertical="center"/>
    </xf>
    <xf numFmtId="0" fontId="87" fillId="0" borderId="0" xfId="0" applyFont="1" applyAlignment="1">
      <alignment horizontal="left"/>
    </xf>
    <xf numFmtId="0" fontId="102" fillId="0" borderId="0" xfId="0" applyFont="1" applyAlignment="1">
      <alignment horizontal="left" vertical="center"/>
    </xf>
    <xf numFmtId="0" fontId="102" fillId="0" borderId="0" xfId="0" applyFont="1" applyAlignment="1">
      <alignment vertical="center"/>
    </xf>
    <xf numFmtId="0" fontId="197" fillId="0" borderId="0" xfId="0" applyFont="1"/>
    <xf numFmtId="0" fontId="198" fillId="0" borderId="0" xfId="0" applyFont="1"/>
    <xf numFmtId="0" fontId="46" fillId="0" borderId="0" xfId="144" applyFont="1"/>
    <xf numFmtId="0" fontId="173" fillId="0" borderId="0" xfId="211" applyFont="1" applyAlignment="1">
      <alignment horizontal="center"/>
    </xf>
    <xf numFmtId="0" fontId="173" fillId="0" borderId="0" xfId="211" applyFont="1"/>
    <xf numFmtId="0" fontId="174" fillId="43" borderId="16" xfId="0" applyFont="1" applyFill="1" applyBorder="1" applyAlignment="1">
      <alignment horizontal="center" vertical="center"/>
    </xf>
    <xf numFmtId="0" fontId="175" fillId="0" borderId="142" xfId="211" applyFont="1" applyBorder="1" applyAlignment="1">
      <alignment horizontal="center" vertical="center"/>
    </xf>
    <xf numFmtId="0" fontId="175" fillId="0" borderId="142" xfId="211" applyFont="1" applyBorder="1" applyAlignment="1">
      <alignment horizontal="center" vertical="center" wrapText="1"/>
    </xf>
    <xf numFmtId="0" fontId="175" fillId="21" borderId="142" xfId="211" applyFont="1" applyFill="1" applyBorder="1" applyAlignment="1">
      <alignment horizontal="center" vertical="center" wrapText="1"/>
    </xf>
    <xf numFmtId="0" fontId="73" fillId="0" borderId="0" xfId="238" applyFont="1" applyAlignment="1">
      <alignment horizontal="left"/>
    </xf>
    <xf numFmtId="183" fontId="73" fillId="0" borderId="0" xfId="238" applyNumberFormat="1" applyFont="1" applyAlignment="1">
      <alignment horizontal="center"/>
    </xf>
    <xf numFmtId="0" fontId="73" fillId="0" borderId="0" xfId="441" applyFont="1" applyAlignment="1">
      <alignment vertical="top"/>
    </xf>
    <xf numFmtId="0" fontId="73" fillId="0" borderId="0" xfId="441" applyFont="1" applyAlignment="1">
      <alignment horizontal="left" vertical="top"/>
    </xf>
    <xf numFmtId="182" fontId="73" fillId="0" borderId="0" xfId="441" applyNumberFormat="1" applyFont="1" applyAlignment="1">
      <alignment horizontal="center" vertical="center"/>
    </xf>
    <xf numFmtId="185" fontId="73" fillId="0" borderId="0" xfId="441" applyNumberFormat="1" applyFont="1" applyAlignment="1">
      <alignment horizontal="center" vertical="center"/>
    </xf>
    <xf numFmtId="0" fontId="73" fillId="0" borderId="0" xfId="796" applyFont="1" applyAlignment="1">
      <alignment horizontal="center" vertical="center"/>
    </xf>
    <xf numFmtId="171" fontId="73" fillId="0" borderId="0" xfId="796" applyNumberFormat="1" applyFont="1" applyAlignment="1">
      <alignment horizontal="center" vertical="top"/>
    </xf>
    <xf numFmtId="0" fontId="73" fillId="0" borderId="0" xfId="796" applyFont="1" applyAlignment="1">
      <alignment horizontal="left" vertical="top"/>
    </xf>
    <xf numFmtId="3" fontId="73" fillId="0" borderId="0" xfId="796" applyNumberFormat="1" applyFont="1" applyAlignment="1">
      <alignment horizontal="center" vertical="top"/>
    </xf>
    <xf numFmtId="2" fontId="73" fillId="0" borderId="0" xfId="796" applyNumberFormat="1" applyFont="1" applyAlignment="1">
      <alignment horizontal="center" vertical="top"/>
    </xf>
    <xf numFmtId="2" fontId="50" fillId="0" borderId="0" xfId="0" applyNumberFormat="1" applyFont="1" applyAlignment="1">
      <alignment horizontal="center"/>
    </xf>
    <xf numFmtId="171" fontId="50" fillId="0" borderId="0" xfId="0" applyNumberFormat="1" applyFont="1" applyAlignment="1">
      <alignment horizontal="center"/>
    </xf>
    <xf numFmtId="0" fontId="60" fillId="0" borderId="0" xfId="211" applyFont="1" applyAlignment="1">
      <alignment horizontal="center"/>
    </xf>
    <xf numFmtId="2" fontId="60" fillId="0" borderId="0" xfId="211" applyNumberFormat="1" applyFont="1" applyAlignment="1">
      <alignment horizontal="center"/>
    </xf>
    <xf numFmtId="1" fontId="60" fillId="0" borderId="0" xfId="211" applyNumberFormat="1" applyFont="1" applyAlignment="1">
      <alignment horizontal="center"/>
    </xf>
    <xf numFmtId="0" fontId="98" fillId="0" borderId="0" xfId="238" applyFont="1" applyAlignment="1">
      <alignment horizontal="left"/>
    </xf>
    <xf numFmtId="185" fontId="98" fillId="0" borderId="0" xfId="238" applyNumberFormat="1" applyFont="1" applyAlignment="1">
      <alignment horizontal="center"/>
    </xf>
    <xf numFmtId="182" fontId="98" fillId="0" borderId="0" xfId="238" applyNumberFormat="1" applyFont="1" applyAlignment="1">
      <alignment horizontal="center"/>
    </xf>
    <xf numFmtId="0" fontId="98" fillId="0" borderId="0" xfId="441" applyFont="1" applyAlignment="1">
      <alignment horizontal="left" vertical="top"/>
    </xf>
    <xf numFmtId="182" fontId="98" fillId="0" borderId="0" xfId="441" applyNumberFormat="1" applyFont="1" applyAlignment="1">
      <alignment horizontal="center" vertical="center"/>
    </xf>
    <xf numFmtId="185" fontId="98" fillId="0" borderId="0" xfId="441" applyNumberFormat="1" applyFont="1" applyAlignment="1">
      <alignment horizontal="center" vertical="center"/>
    </xf>
    <xf numFmtId="0" fontId="98" fillId="0" borderId="0" xfId="796" applyFont="1" applyAlignment="1">
      <alignment horizontal="left" vertical="top"/>
    </xf>
    <xf numFmtId="3" fontId="98" fillId="0" borderId="0" xfId="796" applyNumberFormat="1" applyFont="1" applyAlignment="1">
      <alignment horizontal="center" vertical="top"/>
    </xf>
    <xf numFmtId="2" fontId="98" fillId="0" borderId="0" xfId="796" applyNumberFormat="1" applyFont="1" applyAlignment="1">
      <alignment horizontal="center" vertical="top"/>
    </xf>
    <xf numFmtId="171" fontId="98" fillId="0" borderId="0" xfId="796" applyNumberFormat="1" applyFont="1" applyAlignment="1">
      <alignment horizontal="center" vertical="top"/>
    </xf>
    <xf numFmtId="2" fontId="96" fillId="0" borderId="0" xfId="0" applyNumberFormat="1" applyFont="1" applyAlignment="1">
      <alignment horizontal="center"/>
    </xf>
    <xf numFmtId="171" fontId="96" fillId="0" borderId="0" xfId="0" applyNumberFormat="1" applyFont="1" applyAlignment="1">
      <alignment horizontal="center"/>
    </xf>
    <xf numFmtId="0" fontId="175" fillId="0" borderId="0" xfId="211" applyFont="1"/>
    <xf numFmtId="0" fontId="175" fillId="0" borderId="0" xfId="211" applyFont="1" applyAlignment="1">
      <alignment horizontal="center"/>
    </xf>
    <xf numFmtId="2" fontId="175" fillId="0" borderId="0" xfId="211" applyNumberFormat="1" applyFont="1" applyAlignment="1">
      <alignment horizontal="center"/>
    </xf>
    <xf numFmtId="183" fontId="73" fillId="0" borderId="142" xfId="238" applyNumberFormat="1" applyFont="1" applyBorder="1" applyAlignment="1">
      <alignment horizontal="center"/>
    </xf>
    <xf numFmtId="0" fontId="73" fillId="0" borderId="142" xfId="441" applyFont="1" applyBorder="1" applyAlignment="1">
      <alignment vertical="top"/>
    </xf>
    <xf numFmtId="0" fontId="98" fillId="0" borderId="142" xfId="441" applyFont="1" applyBorder="1" applyAlignment="1">
      <alignment horizontal="left" vertical="top"/>
    </xf>
    <xf numFmtId="182" fontId="98" fillId="0" borderId="142" xfId="441" applyNumberFormat="1" applyFont="1" applyBorder="1" applyAlignment="1">
      <alignment horizontal="center" vertical="center"/>
    </xf>
    <xf numFmtId="185" fontId="98" fillId="0" borderId="142" xfId="441" applyNumberFormat="1" applyFont="1" applyBorder="1" applyAlignment="1">
      <alignment horizontal="center" vertical="center"/>
    </xf>
    <xf numFmtId="171" fontId="50" fillId="0" borderId="142" xfId="0" applyNumberFormat="1" applyFont="1" applyBorder="1" applyAlignment="1">
      <alignment horizontal="center" vertical="center"/>
    </xf>
    <xf numFmtId="0" fontId="50" fillId="0" borderId="142" xfId="0" applyFont="1" applyBorder="1" applyAlignment="1">
      <alignment horizontal="center"/>
    </xf>
    <xf numFmtId="0" fontId="96" fillId="0" borderId="142" xfId="0" applyFont="1" applyBorder="1"/>
    <xf numFmtId="0" fontId="96" fillId="0" borderId="142" xfId="0" applyFont="1" applyBorder="1" applyAlignment="1">
      <alignment horizontal="center"/>
    </xf>
    <xf numFmtId="2" fontId="96" fillId="0" borderId="142" xfId="0" applyNumberFormat="1" applyFont="1" applyBorder="1" applyAlignment="1">
      <alignment horizontal="center"/>
    </xf>
    <xf numFmtId="171" fontId="96" fillId="0" borderId="142" xfId="0" applyNumberFormat="1" applyFont="1" applyBorder="1" applyAlignment="1">
      <alignment horizontal="center"/>
    </xf>
    <xf numFmtId="0" fontId="60" fillId="0" borderId="142" xfId="211" applyFont="1" applyBorder="1" applyAlignment="1">
      <alignment horizontal="center"/>
    </xf>
    <xf numFmtId="0" fontId="175" fillId="0" borderId="142" xfId="211" applyFont="1" applyBorder="1"/>
    <xf numFmtId="0" fontId="175" fillId="0" borderId="142" xfId="211" applyFont="1" applyBorder="1" applyAlignment="1">
      <alignment horizontal="center"/>
    </xf>
    <xf numFmtId="2" fontId="175" fillId="0" borderId="142" xfId="211" applyNumberFormat="1" applyFont="1" applyBorder="1" applyAlignment="1">
      <alignment horizontal="center"/>
    </xf>
    <xf numFmtId="1" fontId="60" fillId="0" borderId="142" xfId="211" applyNumberFormat="1" applyFont="1" applyBorder="1" applyAlignment="1">
      <alignment horizontal="center"/>
    </xf>
    <xf numFmtId="0" fontId="73" fillId="0" borderId="106" xfId="238" applyFont="1" applyBorder="1" applyAlignment="1">
      <alignment horizontal="left"/>
    </xf>
    <xf numFmtId="185" fontId="73" fillId="0" borderId="106" xfId="238" applyNumberFormat="1" applyFont="1" applyBorder="1" applyAlignment="1">
      <alignment horizontal="center"/>
    </xf>
    <xf numFmtId="182" fontId="73" fillId="0" borderId="106" xfId="238" applyNumberFormat="1" applyFont="1" applyBorder="1" applyAlignment="1">
      <alignment horizontal="center"/>
    </xf>
    <xf numFmtId="0" fontId="73" fillId="0" borderId="106" xfId="796" applyFont="1" applyBorder="1" applyAlignment="1">
      <alignment horizontal="center" vertical="center"/>
    </xf>
    <xf numFmtId="0" fontId="73" fillId="0" borderId="106" xfId="796" applyFont="1" applyBorder="1" applyAlignment="1">
      <alignment horizontal="left" vertical="top"/>
    </xf>
    <xf numFmtId="3" fontId="73" fillId="0" borderId="106" xfId="796" applyNumberFormat="1" applyFont="1" applyBorder="1" applyAlignment="1">
      <alignment horizontal="center" vertical="top"/>
    </xf>
    <xf numFmtId="2" fontId="73" fillId="0" borderId="106" xfId="796" applyNumberFormat="1" applyFont="1" applyBorder="1" applyAlignment="1">
      <alignment horizontal="center" vertical="top"/>
    </xf>
    <xf numFmtId="171" fontId="73" fillId="0" borderId="106" xfId="796" applyNumberFormat="1" applyFont="1" applyBorder="1" applyAlignment="1">
      <alignment horizontal="center" vertical="top"/>
    </xf>
    <xf numFmtId="3" fontId="98" fillId="0" borderId="142" xfId="796" applyNumberFormat="1" applyFont="1" applyBorder="1" applyAlignment="1">
      <alignment horizontal="center" vertical="top"/>
    </xf>
    <xf numFmtId="2" fontId="98" fillId="0" borderId="142" xfId="796" applyNumberFormat="1" applyFont="1" applyBorder="1" applyAlignment="1">
      <alignment horizontal="center" vertical="top"/>
    </xf>
    <xf numFmtId="2" fontId="96" fillId="0" borderId="16" xfId="0" applyNumberFormat="1" applyFont="1" applyBorder="1" applyAlignment="1">
      <alignment horizontal="center"/>
    </xf>
    <xf numFmtId="171" fontId="96" fillId="0" borderId="16" xfId="0" applyNumberFormat="1" applyFont="1" applyBorder="1" applyAlignment="1">
      <alignment horizontal="center"/>
    </xf>
    <xf numFmtId="0" fontId="73" fillId="0" borderId="16" xfId="796" applyFont="1" applyBorder="1" applyAlignment="1">
      <alignment horizontal="center" vertical="center"/>
    </xf>
    <xf numFmtId="0" fontId="98" fillId="0" borderId="16" xfId="796" applyFont="1" applyBorder="1" applyAlignment="1">
      <alignment horizontal="left" vertical="top"/>
    </xf>
    <xf numFmtId="171" fontId="98" fillId="0" borderId="16" xfId="796" applyNumberFormat="1" applyFont="1" applyBorder="1" applyAlignment="1">
      <alignment horizontal="center" vertical="top"/>
    </xf>
    <xf numFmtId="3" fontId="98" fillId="0" borderId="16" xfId="796" applyNumberFormat="1" applyFont="1" applyBorder="1" applyAlignment="1">
      <alignment horizontal="center" vertical="top"/>
    </xf>
    <xf numFmtId="2" fontId="98" fillId="0" borderId="16" xfId="796" applyNumberFormat="1" applyFont="1" applyBorder="1" applyAlignment="1">
      <alignment horizontal="center" vertical="top"/>
    </xf>
    <xf numFmtId="2" fontId="60" fillId="0" borderId="0" xfId="211" applyNumberFormat="1" applyFont="1"/>
    <xf numFmtId="0" fontId="73" fillId="0" borderId="16" xfId="441" applyFont="1" applyBorder="1" applyAlignment="1">
      <alignment vertical="top"/>
    </xf>
    <xf numFmtId="0" fontId="98" fillId="0" borderId="16" xfId="441" applyFont="1" applyBorder="1" applyAlignment="1">
      <alignment horizontal="left" vertical="top"/>
    </xf>
    <xf numFmtId="182" fontId="98" fillId="0" borderId="16" xfId="441" applyNumberFormat="1" applyFont="1" applyBorder="1" applyAlignment="1">
      <alignment horizontal="center" vertical="center"/>
    </xf>
    <xf numFmtId="185" fontId="98" fillId="0" borderId="16" xfId="441" applyNumberFormat="1" applyFont="1" applyBorder="1" applyAlignment="1">
      <alignment horizontal="center" vertical="center"/>
    </xf>
    <xf numFmtId="171" fontId="50" fillId="0" borderId="16" xfId="0" applyNumberFormat="1" applyFont="1" applyBorder="1" applyAlignment="1">
      <alignment horizontal="center" vertical="center"/>
    </xf>
    <xf numFmtId="171" fontId="50" fillId="0" borderId="0" xfId="0" applyNumberFormat="1" applyFont="1"/>
    <xf numFmtId="0" fontId="50" fillId="0" borderId="106" xfId="0" applyFont="1" applyBorder="1" applyAlignment="1">
      <alignment horizontal="center"/>
    </xf>
    <xf numFmtId="3" fontId="50" fillId="0" borderId="106" xfId="0" applyNumberFormat="1" applyFont="1" applyBorder="1" applyAlignment="1">
      <alignment horizontal="center" vertical="center"/>
    </xf>
    <xf numFmtId="185" fontId="73" fillId="0" borderId="106" xfId="173" applyNumberFormat="1" applyFont="1" applyBorder="1" applyAlignment="1">
      <alignment horizontal="center" vertical="center"/>
    </xf>
    <xf numFmtId="0" fontId="50" fillId="0" borderId="106" xfId="0" applyFont="1" applyBorder="1" applyAlignment="1">
      <alignment horizontal="center" vertical="center"/>
    </xf>
    <xf numFmtId="2" fontId="50" fillId="0" borderId="106" xfId="0" applyNumberFormat="1" applyFont="1" applyBorder="1" applyAlignment="1">
      <alignment horizontal="center"/>
    </xf>
    <xf numFmtId="171" fontId="50" fillId="0" borderId="106" xfId="0" applyNumberFormat="1" applyFont="1" applyBorder="1" applyAlignment="1">
      <alignment horizontal="center"/>
    </xf>
    <xf numFmtId="0" fontId="60" fillId="0" borderId="106" xfId="211" applyFont="1" applyBorder="1" applyAlignment="1">
      <alignment horizontal="center"/>
    </xf>
    <xf numFmtId="2" fontId="60" fillId="0" borderId="106" xfId="211" applyNumberFormat="1" applyFont="1" applyBorder="1" applyAlignment="1">
      <alignment horizontal="center"/>
    </xf>
    <xf numFmtId="1" fontId="60" fillId="0" borderId="106" xfId="211" applyNumberFormat="1" applyFont="1" applyBorder="1" applyAlignment="1">
      <alignment horizontal="center"/>
    </xf>
    <xf numFmtId="3" fontId="50" fillId="0" borderId="0" xfId="0" applyNumberFormat="1" applyFont="1" applyAlignment="1">
      <alignment horizontal="center" vertical="center"/>
    </xf>
    <xf numFmtId="0" fontId="98" fillId="0" borderId="16" xfId="238" applyFont="1" applyBorder="1" applyAlignment="1">
      <alignment horizontal="left"/>
    </xf>
    <xf numFmtId="171" fontId="96" fillId="43" borderId="16" xfId="0" applyNumberFormat="1" applyFont="1" applyFill="1" applyBorder="1" applyAlignment="1">
      <alignment horizontal="center" vertical="center"/>
    </xf>
    <xf numFmtId="0" fontId="60" fillId="0" borderId="0" xfId="211" applyFont="1" applyAlignment="1">
      <alignment horizontal="left"/>
    </xf>
    <xf numFmtId="0" fontId="73" fillId="0" borderId="0" xfId="3785" applyFont="1" applyAlignment="1">
      <alignment horizontal="center" vertical="center"/>
    </xf>
    <xf numFmtId="185" fontId="73" fillId="0" borderId="0" xfId="3785" applyNumberFormat="1" applyFont="1" applyAlignment="1">
      <alignment horizontal="center"/>
    </xf>
    <xf numFmtId="182" fontId="73" fillId="0" borderId="0" xfId="3785" applyNumberFormat="1" applyFont="1" applyAlignment="1">
      <alignment horizontal="center"/>
    </xf>
    <xf numFmtId="183" fontId="73" fillId="0" borderId="0" xfId="3785" applyNumberFormat="1" applyFont="1" applyAlignment="1">
      <alignment horizontal="center"/>
    </xf>
    <xf numFmtId="0" fontId="54" fillId="0" borderId="0" xfId="142" applyFont="1" applyAlignment="1">
      <alignment horizontal="center"/>
    </xf>
    <xf numFmtId="0" fontId="79" fillId="0" borderId="0" xfId="142" applyFont="1" applyAlignment="1">
      <alignment horizontal="center"/>
    </xf>
    <xf numFmtId="0" fontId="39" fillId="24" borderId="146" xfId="0" applyFont="1" applyFill="1" applyBorder="1" applyAlignment="1">
      <alignment horizontal="center" vertical="center" wrapText="1"/>
    </xf>
    <xf numFmtId="0" fontId="0" fillId="0" borderId="146" xfId="0" applyBorder="1" applyAlignment="1">
      <alignment horizontal="center" vertical="center" wrapText="1"/>
    </xf>
    <xf numFmtId="0" fontId="0" fillId="0" borderId="147" xfId="0" applyBorder="1" applyAlignment="1">
      <alignment horizontal="center" vertical="center" wrapText="1"/>
    </xf>
    <xf numFmtId="171" fontId="57" fillId="0" borderId="147" xfId="0" applyNumberFormat="1" applyFont="1" applyBorder="1" applyAlignment="1">
      <alignment horizontal="center" vertical="center" wrapText="1"/>
    </xf>
    <xf numFmtId="171" fontId="57" fillId="0" borderId="146" xfId="0" applyNumberFormat="1" applyFont="1" applyBorder="1" applyAlignment="1">
      <alignment horizontal="center" vertical="center" wrapText="1"/>
    </xf>
    <xf numFmtId="0" fontId="41" fillId="43" borderId="146" xfId="0" applyFont="1" applyFill="1" applyBorder="1" applyAlignment="1">
      <alignment horizontal="center" vertical="center" wrapText="1"/>
    </xf>
    <xf numFmtId="171" fontId="41" fillId="43" borderId="146" xfId="0" applyNumberFormat="1" applyFont="1" applyFill="1" applyBorder="1" applyAlignment="1">
      <alignment horizontal="center" vertical="center" wrapText="1"/>
    </xf>
    <xf numFmtId="171" fontId="0" fillId="0" borderId="146" xfId="0" applyNumberFormat="1" applyBorder="1" applyAlignment="1">
      <alignment horizontal="center" vertical="center"/>
    </xf>
    <xf numFmtId="0" fontId="0" fillId="0" borderId="13" xfId="0" applyBorder="1" applyAlignment="1">
      <alignment horizontal="center" vertical="center" wrapText="1"/>
    </xf>
    <xf numFmtId="0" fontId="0" fillId="0" borderId="149" xfId="0" applyBorder="1" applyAlignment="1">
      <alignment horizontal="center" vertical="center" wrapText="1"/>
    </xf>
    <xf numFmtId="171" fontId="57" fillId="0" borderId="149" xfId="0" applyNumberFormat="1" applyFont="1" applyBorder="1" applyAlignment="1">
      <alignment horizontal="center" vertical="center" wrapText="1"/>
    </xf>
    <xf numFmtId="0" fontId="0" fillId="0" borderId="143" xfId="0" applyBorder="1" applyAlignment="1">
      <alignment vertical="center" wrapText="1"/>
    </xf>
    <xf numFmtId="0" fontId="0" fillId="0" borderId="153" xfId="0" applyBorder="1" applyAlignment="1">
      <alignment vertical="center" wrapText="1"/>
    </xf>
    <xf numFmtId="0" fontId="41" fillId="43" borderId="153" xfId="0" applyFont="1" applyFill="1" applyBorder="1" applyAlignment="1">
      <alignment vertical="center" wrapText="1"/>
    </xf>
    <xf numFmtId="0" fontId="0" fillId="0" borderId="153" xfId="0" applyBorder="1" applyAlignment="1">
      <alignment vertical="center"/>
    </xf>
    <xf numFmtId="0" fontId="0" fillId="0" borderId="141" xfId="0" applyBorder="1" applyAlignment="1">
      <alignment vertical="center" wrapText="1"/>
    </xf>
    <xf numFmtId="0" fontId="192" fillId="20" borderId="154" xfId="0" applyFont="1" applyFill="1" applyBorder="1" applyAlignment="1">
      <alignment horizontal="center" vertical="center" wrapText="1"/>
    </xf>
    <xf numFmtId="0" fontId="42" fillId="20" borderId="154" xfId="0" applyFont="1" applyFill="1" applyBorder="1" applyAlignment="1">
      <alignment horizontal="center" vertical="center" wrapText="1"/>
    </xf>
    <xf numFmtId="0" fontId="0" fillId="0" borderId="154" xfId="0" applyBorder="1" applyAlignment="1">
      <alignment horizontal="center"/>
    </xf>
    <xf numFmtId="0" fontId="41" fillId="34" borderId="154" xfId="377" applyFont="1" applyFill="1" applyBorder="1" applyAlignment="1">
      <alignment horizontal="left" vertical="center" wrapText="1"/>
    </xf>
    <xf numFmtId="0" fontId="192" fillId="0" borderId="154" xfId="0" applyFont="1" applyBorder="1" applyAlignment="1">
      <alignment horizontal="center" vertical="center" wrapText="1"/>
    </xf>
    <xf numFmtId="0" fontId="41" fillId="0" borderId="154" xfId="0" applyFont="1" applyBorder="1" applyAlignment="1">
      <alignment horizontal="left"/>
    </xf>
    <xf numFmtId="0" fontId="0" fillId="0" borderId="154" xfId="0" applyBorder="1" applyAlignment="1">
      <alignment horizontal="left"/>
    </xf>
    <xf numFmtId="3" fontId="7" fillId="0" borderId="134" xfId="803" applyNumberFormat="1" applyFont="1" applyBorder="1" applyAlignment="1">
      <alignment horizontal="right" vertical="center" wrapText="1" indent="1"/>
    </xf>
    <xf numFmtId="3" fontId="23" fillId="20" borderId="135" xfId="109" applyNumberFormat="1" applyFont="1" applyFill="1" applyBorder="1" applyAlignment="1">
      <alignment horizontal="right" vertical="center" wrapText="1" indent="1"/>
    </xf>
    <xf numFmtId="3" fontId="7" fillId="22" borderId="134" xfId="173" applyNumberFormat="1" applyFont="1" applyFill="1" applyBorder="1" applyAlignment="1">
      <alignment horizontal="right" vertical="center" wrapText="1" indent="1"/>
    </xf>
    <xf numFmtId="0" fontId="174" fillId="0" borderId="0" xfId="211" applyFont="1" applyAlignment="1">
      <alignment horizontal="left"/>
    </xf>
    <xf numFmtId="0" fontId="202" fillId="0" borderId="0" xfId="211" applyFont="1" applyAlignment="1">
      <alignment horizontal="left"/>
    </xf>
    <xf numFmtId="0" fontId="202" fillId="0" borderId="0" xfId="211" applyFont="1" applyAlignment="1">
      <alignment vertical="top"/>
    </xf>
    <xf numFmtId="0" fontId="42" fillId="20" borderId="147" xfId="246" applyFont="1" applyFill="1" applyBorder="1" applyAlignment="1">
      <alignment horizontal="center" vertical="center"/>
    </xf>
    <xf numFmtId="0" fontId="135" fillId="20" borderId="147" xfId="246" applyFont="1" applyFill="1" applyBorder="1" applyAlignment="1">
      <alignment horizontal="center" vertical="center"/>
    </xf>
    <xf numFmtId="0" fontId="42" fillId="43" borderId="147" xfId="246" applyFont="1" applyFill="1" applyBorder="1" applyAlignment="1">
      <alignment horizontal="center" vertical="center"/>
    </xf>
    <xf numFmtId="0" fontId="82" fillId="35" borderId="153" xfId="246" applyFont="1" applyFill="1" applyBorder="1" applyAlignment="1">
      <alignment horizontal="center" vertical="center" wrapText="1"/>
    </xf>
    <xf numFmtId="0" fontId="133" fillId="35" borderId="144" xfId="246" applyFont="1" applyFill="1" applyBorder="1" applyAlignment="1">
      <alignment vertical="center"/>
    </xf>
    <xf numFmtId="0" fontId="133" fillId="35" borderId="144" xfId="246" applyFont="1" applyFill="1" applyBorder="1" applyAlignment="1">
      <alignment horizontal="left" vertical="center"/>
    </xf>
    <xf numFmtId="0" fontId="133" fillId="35" borderId="144" xfId="246" applyFont="1" applyFill="1" applyBorder="1" applyAlignment="1">
      <alignment horizontal="center" vertical="center"/>
    </xf>
    <xf numFmtId="0" fontId="82" fillId="35" borderId="144" xfId="583" applyFont="1" applyFill="1" applyBorder="1" applyAlignment="1">
      <alignment vertical="center"/>
    </xf>
    <xf numFmtId="0" fontId="41" fillId="52" borderId="0" xfId="246" applyFont="1" applyFill="1" applyAlignment="1">
      <alignment horizontal="center" vertical="center" wrapText="1"/>
    </xf>
    <xf numFmtId="0" fontId="133" fillId="52" borderId="0" xfId="0" applyFont="1" applyFill="1" applyAlignment="1">
      <alignment horizontal="center" vertical="center" wrapText="1"/>
    </xf>
    <xf numFmtId="0" fontId="133" fillId="52" borderId="0" xfId="246" applyFont="1" applyFill="1" applyAlignment="1">
      <alignment horizontal="center" vertical="center" wrapText="1"/>
    </xf>
    <xf numFmtId="0" fontId="133" fillId="52" borderId="0" xfId="246" applyFont="1" applyFill="1" applyAlignment="1">
      <alignment wrapText="1"/>
    </xf>
    <xf numFmtId="0" fontId="0" fillId="0" borderId="154" xfId="0" applyBorder="1" applyAlignment="1">
      <alignment vertical="center" wrapText="1"/>
    </xf>
    <xf numFmtId="0" fontId="41" fillId="0" borderId="154" xfId="0" applyFont="1" applyBorder="1" applyAlignment="1">
      <alignment horizontal="center" vertical="center" wrapText="1"/>
    </xf>
    <xf numFmtId="0" fontId="41" fillId="0" borderId="154" xfId="0" applyFont="1" applyBorder="1" applyAlignment="1">
      <alignment vertical="center" wrapText="1"/>
    </xf>
    <xf numFmtId="0" fontId="59" fillId="0" borderId="0" xfId="0" applyFont="1" applyAlignment="1">
      <alignment horizontal="center"/>
    </xf>
    <xf numFmtId="0" fontId="96" fillId="0" borderId="16" xfId="0" applyFont="1" applyBorder="1" applyAlignment="1">
      <alignment horizontal="center" wrapText="1"/>
    </xf>
    <xf numFmtId="10" fontId="96" fillId="0" borderId="16" xfId="176" applyNumberFormat="1" applyFont="1" applyBorder="1" applyAlignment="1">
      <alignment horizontal="center"/>
    </xf>
    <xf numFmtId="0" fontId="96" fillId="0" borderId="160" xfId="0" applyFont="1" applyBorder="1" applyAlignment="1">
      <alignment horizontal="center"/>
    </xf>
    <xf numFmtId="0" fontId="190" fillId="0" borderId="16" xfId="0" applyFont="1" applyBorder="1" applyAlignment="1">
      <alignment horizontal="center"/>
    </xf>
    <xf numFmtId="0" fontId="190" fillId="0" borderId="16" xfId="0" applyFont="1" applyBorder="1" applyAlignment="1">
      <alignment horizontal="center" wrapText="1"/>
    </xf>
    <xf numFmtId="0" fontId="196" fillId="0" borderId="0" xfId="0" applyFont="1" applyAlignment="1">
      <alignment horizontal="center"/>
    </xf>
    <xf numFmtId="0" fontId="174" fillId="43" borderId="16" xfId="0" applyFont="1" applyFill="1" applyBorder="1" applyAlignment="1">
      <alignment horizontal="center"/>
    </xf>
    <xf numFmtId="183" fontId="98" fillId="0" borderId="16" xfId="238" applyNumberFormat="1" applyFont="1" applyBorder="1" applyAlignment="1">
      <alignment horizontal="center"/>
    </xf>
    <xf numFmtId="0" fontId="96" fillId="0" borderId="150" xfId="0" applyFont="1" applyBorder="1"/>
    <xf numFmtId="2" fontId="96" fillId="0" borderId="150" xfId="0" applyNumberFormat="1" applyFont="1" applyBorder="1" applyAlignment="1">
      <alignment horizontal="center"/>
    </xf>
    <xf numFmtId="0" fontId="96" fillId="0" borderId="150" xfId="0" applyFont="1" applyBorder="1" applyAlignment="1">
      <alignment horizontal="center"/>
    </xf>
    <xf numFmtId="183" fontId="98" fillId="0" borderId="0" xfId="238" applyNumberFormat="1" applyFont="1" applyAlignment="1">
      <alignment horizontal="center"/>
    </xf>
    <xf numFmtId="183" fontId="98" fillId="0" borderId="150" xfId="238" applyNumberFormat="1" applyFont="1" applyBorder="1" applyAlignment="1">
      <alignment horizontal="center"/>
    </xf>
    <xf numFmtId="0" fontId="50" fillId="0" borderId="150" xfId="0" applyFont="1" applyBorder="1" applyAlignment="1">
      <alignment horizontal="center"/>
    </xf>
    <xf numFmtId="0" fontId="96" fillId="49" borderId="16" xfId="0" applyFont="1" applyFill="1" applyBorder="1" applyAlignment="1">
      <alignment horizontal="center"/>
    </xf>
    <xf numFmtId="0" fontId="50" fillId="49" borderId="0" xfId="0" applyFont="1" applyFill="1" applyAlignment="1">
      <alignment horizontal="center"/>
    </xf>
    <xf numFmtId="0" fontId="96" fillId="49" borderId="0" xfId="0" applyFont="1" applyFill="1" applyAlignment="1">
      <alignment horizontal="center"/>
    </xf>
    <xf numFmtId="0" fontId="96" fillId="43" borderId="16" xfId="0" applyFont="1" applyFill="1" applyBorder="1" applyAlignment="1">
      <alignment horizontal="center" wrapText="1"/>
    </xf>
    <xf numFmtId="0" fontId="50" fillId="0" borderId="0" xfId="0" applyFont="1" applyAlignment="1">
      <alignment horizontal="left"/>
    </xf>
    <xf numFmtId="0" fontId="96" fillId="0" borderId="0" xfId="0" applyFont="1" applyAlignment="1">
      <alignment horizontal="left"/>
    </xf>
    <xf numFmtId="0" fontId="96" fillId="43" borderId="16" xfId="0" applyFont="1" applyFill="1" applyBorder="1" applyAlignment="1">
      <alignment horizontal="center" vertical="center" wrapText="1"/>
    </xf>
    <xf numFmtId="0" fontId="50" fillId="49" borderId="0" xfId="0" applyFont="1" applyFill="1"/>
    <xf numFmtId="0" fontId="96" fillId="49" borderId="0" xfId="0" applyFont="1" applyFill="1"/>
    <xf numFmtId="0" fontId="96" fillId="49" borderId="16" xfId="0" applyFont="1" applyFill="1" applyBorder="1"/>
    <xf numFmtId="1" fontId="96" fillId="0" borderId="0" xfId="0" applyNumberFormat="1" applyFont="1" applyAlignment="1">
      <alignment horizontal="center"/>
    </xf>
    <xf numFmtId="1" fontId="96" fillId="0" borderId="16" xfId="0" applyNumberFormat="1" applyFont="1" applyBorder="1" applyAlignment="1">
      <alignment horizontal="center"/>
    </xf>
    <xf numFmtId="0" fontId="66" fillId="0" borderId="0" xfId="0" applyFont="1" applyAlignment="1">
      <alignment horizontal="left" vertical="center"/>
    </xf>
    <xf numFmtId="2" fontId="98" fillId="0" borderId="150" xfId="238" applyNumberFormat="1" applyFont="1" applyBorder="1" applyAlignment="1">
      <alignment horizontal="center" vertical="center"/>
    </xf>
    <xf numFmtId="185" fontId="98" fillId="0" borderId="150" xfId="455" applyNumberFormat="1" applyFont="1" applyBorder="1" applyAlignment="1">
      <alignment horizontal="center" vertical="center"/>
    </xf>
    <xf numFmtId="0" fontId="96" fillId="0" borderId="150" xfId="0" applyFont="1" applyBorder="1" applyAlignment="1">
      <alignment vertical="center"/>
    </xf>
    <xf numFmtId="2" fontId="96" fillId="0" borderId="150" xfId="0" applyNumberFormat="1" applyFont="1" applyBorder="1" applyAlignment="1">
      <alignment horizontal="center" vertical="center"/>
    </xf>
    <xf numFmtId="0" fontId="96" fillId="0" borderId="150" xfId="0" applyFont="1" applyBorder="1" applyAlignment="1">
      <alignment horizontal="center" vertical="center"/>
    </xf>
    <xf numFmtId="0" fontId="50" fillId="0" borderId="150" xfId="0" applyFont="1" applyBorder="1" applyAlignment="1">
      <alignment horizontal="center" vertical="center"/>
    </xf>
    <xf numFmtId="185" fontId="96" fillId="0" borderId="150" xfId="0" applyNumberFormat="1" applyFont="1" applyBorder="1" applyAlignment="1">
      <alignment horizontal="center" vertical="center"/>
    </xf>
    <xf numFmtId="2" fontId="96" fillId="43" borderId="16" xfId="0" applyNumberFormat="1" applyFont="1" applyFill="1" applyBorder="1" applyAlignment="1">
      <alignment horizontal="center" vertical="center"/>
    </xf>
    <xf numFmtId="0" fontId="62" fillId="0" borderId="0" xfId="0" applyFont="1"/>
    <xf numFmtId="0" fontId="0" fillId="0" borderId="154" xfId="0" applyBorder="1" applyAlignment="1">
      <alignment horizontal="center" vertical="center"/>
    </xf>
    <xf numFmtId="0" fontId="139" fillId="0" borderId="0" xfId="0" applyFont="1" applyAlignment="1">
      <alignment horizontal="left" vertical="top"/>
    </xf>
    <xf numFmtId="0" fontId="206" fillId="0" borderId="0" xfId="0" applyFont="1" applyAlignment="1">
      <alignment horizontal="left" vertical="top"/>
    </xf>
    <xf numFmtId="0" fontId="128" fillId="0" borderId="0" xfId="0" applyFont="1"/>
    <xf numFmtId="0" fontId="207" fillId="0" borderId="0" xfId="0" applyFont="1" applyAlignment="1">
      <alignment vertical="center" readingOrder="1"/>
    </xf>
    <xf numFmtId="0" fontId="39" fillId="20" borderId="154" xfId="0" applyFont="1" applyFill="1" applyBorder="1" applyAlignment="1">
      <alignment horizontal="center"/>
    </xf>
    <xf numFmtId="0" fontId="39" fillId="0" borderId="154" xfId="0" applyFont="1" applyBorder="1" applyAlignment="1">
      <alignment horizontal="center"/>
    </xf>
    <xf numFmtId="0" fontId="0" fillId="0" borderId="154" xfId="0" applyBorder="1"/>
    <xf numFmtId="0" fontId="92" fillId="0" borderId="14" xfId="0" applyFont="1" applyBorder="1" applyAlignment="1">
      <alignment horizontal="center" vertical="center"/>
    </xf>
    <xf numFmtId="0" fontId="81" fillId="20" borderId="154" xfId="0" applyFont="1" applyFill="1" applyBorder="1" applyAlignment="1">
      <alignment horizontal="center" vertical="center" wrapText="1"/>
    </xf>
    <xf numFmtId="0" fontId="39" fillId="20" borderId="154" xfId="0" applyFont="1" applyFill="1" applyBorder="1" applyAlignment="1">
      <alignment horizontal="center" vertical="center"/>
    </xf>
    <xf numFmtId="10" fontId="0" fillId="0" borderId="154" xfId="0" applyNumberFormat="1" applyBorder="1" applyAlignment="1">
      <alignment horizontal="center"/>
    </xf>
    <xf numFmtId="0" fontId="63" fillId="0" borderId="0" xfId="0" applyFont="1" applyAlignment="1">
      <alignment horizontal="center" vertical="center" wrapText="1"/>
    </xf>
    <xf numFmtId="0" fontId="66" fillId="0" borderId="0" xfId="0" applyFont="1" applyAlignment="1">
      <alignment horizontal="center"/>
    </xf>
    <xf numFmtId="10" fontId="63" fillId="43" borderId="154" xfId="0" applyNumberFormat="1" applyFont="1" applyFill="1" applyBorder="1" applyAlignment="1">
      <alignment horizontal="center" vertical="center"/>
    </xf>
    <xf numFmtId="0" fontId="120" fillId="0" borderId="0" xfId="0" applyFont="1"/>
    <xf numFmtId="0" fontId="66" fillId="20" borderId="114" xfId="639" applyFont="1" applyFill="1" applyBorder="1" applyAlignment="1">
      <alignment horizontal="center" vertical="center"/>
    </xf>
    <xf numFmtId="0" fontId="66" fillId="20" borderId="109" xfId="639" applyFont="1" applyFill="1" applyBorder="1" applyAlignment="1">
      <alignment horizontal="center"/>
    </xf>
    <xf numFmtId="2" fontId="66" fillId="20" borderId="109" xfId="639" applyNumberFormat="1" applyFont="1" applyFill="1" applyBorder="1" applyAlignment="1">
      <alignment horizontal="center"/>
    </xf>
    <xf numFmtId="0" fontId="43" fillId="0" borderId="0" xfId="822" applyFont="1"/>
    <xf numFmtId="0" fontId="44" fillId="0" borderId="0" xfId="822" applyFont="1" applyAlignment="1">
      <alignment horizontal="center"/>
    </xf>
    <xf numFmtId="0" fontId="43" fillId="0" borderId="0" xfId="822" applyFont="1" applyAlignment="1">
      <alignment horizontal="left"/>
    </xf>
    <xf numFmtId="2" fontId="43" fillId="0" borderId="0" xfId="822" applyNumberFormat="1" applyFont="1"/>
    <xf numFmtId="0" fontId="0" fillId="0" borderId="0" xfId="822" applyFont="1" applyAlignment="1">
      <alignment horizontal="left"/>
    </xf>
    <xf numFmtId="0" fontId="43" fillId="0" borderId="0" xfId="822" applyFont="1" applyAlignment="1">
      <alignment horizontal="center"/>
    </xf>
    <xf numFmtId="0" fontId="43" fillId="0" borderId="0" xfId="815" applyFont="1" applyAlignment="1">
      <alignment horizontal="center"/>
    </xf>
    <xf numFmtId="171" fontId="43" fillId="0" borderId="0" xfId="816" applyNumberFormat="1" applyFont="1" applyAlignment="1">
      <alignment horizontal="center"/>
    </xf>
    <xf numFmtId="0" fontId="43" fillId="0" borderId="0" xfId="822" applyFont="1" applyAlignment="1">
      <alignment vertical="center"/>
    </xf>
    <xf numFmtId="2" fontId="81" fillId="20" borderId="154" xfId="0" applyNumberFormat="1" applyFont="1" applyFill="1" applyBorder="1" applyAlignment="1">
      <alignment horizontal="center" vertical="center" wrapText="1"/>
    </xf>
    <xf numFmtId="2" fontId="43" fillId="0" borderId="0" xfId="822" applyNumberFormat="1" applyFont="1" applyAlignment="1">
      <alignment horizontal="center"/>
    </xf>
    <xf numFmtId="0" fontId="63" fillId="0" borderId="0" xfId="0" applyFont="1" applyAlignment="1">
      <alignment vertical="center" wrapText="1"/>
    </xf>
    <xf numFmtId="0" fontId="63" fillId="34" borderId="154" xfId="0" applyFont="1" applyFill="1" applyBorder="1" applyAlignment="1">
      <alignment horizontal="center" vertical="center" wrapText="1"/>
    </xf>
    <xf numFmtId="2" fontId="63" fillId="0" borderId="154" xfId="176" applyNumberFormat="1" applyFont="1" applyBorder="1" applyAlignment="1">
      <alignment horizontal="center" vertical="center" wrapText="1"/>
    </xf>
    <xf numFmtId="0" fontId="24" fillId="0" borderId="154" xfId="452" applyFont="1" applyBorder="1" applyAlignment="1">
      <alignment horizontal="center" vertical="center" wrapText="1"/>
    </xf>
    <xf numFmtId="10" fontId="43" fillId="0" borderId="154" xfId="0" applyNumberFormat="1" applyFont="1" applyBorder="1" applyAlignment="1">
      <alignment horizontal="center"/>
    </xf>
    <xf numFmtId="10" fontId="43" fillId="0" borderId="154" xfId="822" applyNumberFormat="1" applyFont="1" applyBorder="1" applyAlignment="1">
      <alignment horizontal="center"/>
    </xf>
    <xf numFmtId="171" fontId="63" fillId="0" borderId="0" xfId="176" applyNumberFormat="1" applyFont="1" applyAlignment="1">
      <alignment horizontal="center" vertical="center" wrapText="1"/>
    </xf>
    <xf numFmtId="2" fontId="147" fillId="20" borderId="154" xfId="822" applyNumberFormat="1" applyFont="1" applyFill="1" applyBorder="1" applyAlignment="1">
      <alignment horizontal="center"/>
    </xf>
    <xf numFmtId="0" fontId="147" fillId="0" borderId="153" xfId="822" applyFont="1" applyBorder="1" applyAlignment="1">
      <alignment vertical="center"/>
    </xf>
    <xf numFmtId="0" fontId="147" fillId="0" borderId="144" xfId="822" applyFont="1" applyBorder="1" applyAlignment="1">
      <alignment vertical="center"/>
    </xf>
    <xf numFmtId="0" fontId="45" fillId="0" borderId="0" xfId="822" applyFont="1"/>
    <xf numFmtId="0" fontId="147" fillId="0" borderId="153" xfId="0" applyFont="1" applyBorder="1"/>
    <xf numFmtId="0" fontId="45" fillId="0" borderId="0" xfId="822" applyFont="1" applyAlignment="1">
      <alignment horizontal="center"/>
    </xf>
    <xf numFmtId="0" fontId="43" fillId="0" borderId="0" xfId="822" applyFont="1" applyAlignment="1">
      <alignment vertical="center" wrapText="1"/>
    </xf>
    <xf numFmtId="2" fontId="63" fillId="43" borderId="154" xfId="176" applyNumberFormat="1" applyFont="1" applyFill="1" applyBorder="1" applyAlignment="1">
      <alignment horizontal="center" vertical="center" wrapText="1"/>
    </xf>
    <xf numFmtId="0" fontId="44" fillId="43" borderId="154" xfId="0" applyFont="1" applyFill="1" applyBorder="1" applyAlignment="1">
      <alignment horizontal="center" vertical="center" wrapText="1"/>
    </xf>
    <xf numFmtId="0" fontId="63" fillId="43" borderId="154" xfId="0" applyFont="1" applyFill="1" applyBorder="1" applyAlignment="1">
      <alignment horizontal="center" vertical="center" wrapText="1"/>
    </xf>
    <xf numFmtId="0" fontId="81" fillId="43" borderId="161" xfId="0" applyFont="1" applyFill="1" applyBorder="1" applyAlignment="1">
      <alignment horizontal="center" vertical="center" wrapText="1"/>
    </xf>
    <xf numFmtId="0" fontId="147" fillId="0" borderId="154" xfId="822" applyFont="1" applyBorder="1" applyAlignment="1">
      <alignment horizontal="center"/>
    </xf>
    <xf numFmtId="0" fontId="39" fillId="24" borderId="154" xfId="0" applyFont="1" applyFill="1" applyBorder="1" applyAlignment="1">
      <alignment horizontal="center" vertical="center" wrapText="1"/>
    </xf>
    <xf numFmtId="0" fontId="48" fillId="0" borderId="0" xfId="0" applyFont="1" applyAlignment="1">
      <alignment vertical="center"/>
    </xf>
    <xf numFmtId="0" fontId="189" fillId="0" borderId="0" xfId="0" applyFont="1" applyAlignment="1">
      <alignment vertical="center" wrapText="1"/>
    </xf>
    <xf numFmtId="2" fontId="48" fillId="0" borderId="0" xfId="0" applyNumberFormat="1" applyFont="1" applyAlignment="1">
      <alignment horizontal="center" vertical="center"/>
    </xf>
    <xf numFmtId="9" fontId="130" fillId="44" borderId="129" xfId="0" applyNumberFormat="1" applyFont="1" applyFill="1" applyBorder="1" applyAlignment="1">
      <alignment horizontal="center" vertical="center" wrapText="1"/>
    </xf>
    <xf numFmtId="0" fontId="0" fillId="0" borderId="161" xfId="0" applyBorder="1" applyAlignment="1">
      <alignment horizontal="center" vertical="center" wrapText="1"/>
    </xf>
    <xf numFmtId="0" fontId="39" fillId="24" borderId="153" xfId="0" applyFont="1" applyFill="1" applyBorder="1" applyAlignment="1">
      <alignment horizontal="center" vertical="center" wrapText="1"/>
    </xf>
    <xf numFmtId="0" fontId="39" fillId="24" borderId="127" xfId="0" applyFont="1" applyFill="1" applyBorder="1" applyAlignment="1">
      <alignment horizontal="center" vertical="center" wrapText="1"/>
    </xf>
    <xf numFmtId="0" fontId="39" fillId="43" borderId="126" xfId="0" applyFont="1" applyFill="1" applyBorder="1" applyAlignment="1">
      <alignment horizontal="left" vertical="center" wrapText="1"/>
    </xf>
    <xf numFmtId="0" fontId="0" fillId="0" borderId="154" xfId="0" applyBorder="1" applyAlignment="1">
      <alignment horizontal="center" vertical="center" wrapText="1"/>
    </xf>
    <xf numFmtId="171" fontId="57" fillId="0" borderId="154" xfId="0" applyNumberFormat="1" applyFont="1" applyBorder="1" applyAlignment="1">
      <alignment horizontal="center" vertical="center" wrapText="1"/>
    </xf>
    <xf numFmtId="171" fontId="0" fillId="0" borderId="154" xfId="0" applyNumberFormat="1" applyBorder="1" applyAlignment="1">
      <alignment horizontal="center"/>
    </xf>
    <xf numFmtId="0" fontId="39" fillId="43" borderId="154" xfId="0" applyFont="1" applyFill="1" applyBorder="1" applyAlignment="1">
      <alignment horizontal="center" vertical="center" wrapText="1"/>
    </xf>
    <xf numFmtId="0" fontId="39" fillId="43" borderId="154" xfId="0" applyFont="1" applyFill="1" applyBorder="1" applyAlignment="1">
      <alignment vertical="center" wrapText="1"/>
    </xf>
    <xf numFmtId="171" fontId="58" fillId="43" borderId="154" xfId="0" applyNumberFormat="1" applyFont="1" applyFill="1" applyBorder="1" applyAlignment="1">
      <alignment horizontal="center" vertical="center" wrapText="1"/>
    </xf>
    <xf numFmtId="0" fontId="0" fillId="0" borderId="161" xfId="0" applyBorder="1" applyAlignment="1">
      <alignment vertical="center" wrapText="1"/>
    </xf>
    <xf numFmtId="0" fontId="57" fillId="0" borderId="161" xfId="0" applyFont="1" applyBorder="1" applyAlignment="1">
      <alignment horizontal="center" vertical="center" wrapText="1"/>
    </xf>
    <xf numFmtId="0" fontId="57" fillId="0" borderId="154" xfId="0" applyFont="1" applyBorder="1" applyAlignment="1">
      <alignment horizontal="center" vertical="center" wrapText="1"/>
    </xf>
    <xf numFmtId="0" fontId="58" fillId="43" borderId="154" xfId="0" applyFont="1" applyFill="1" applyBorder="1" applyAlignment="1">
      <alignment horizontal="center" vertical="center" wrapText="1"/>
    </xf>
    <xf numFmtId="0" fontId="39" fillId="43" borderId="154" xfId="0" applyFont="1" applyFill="1" applyBorder="1" applyAlignment="1">
      <alignment horizontal="center" vertical="center"/>
    </xf>
    <xf numFmtId="0" fontId="39" fillId="43" borderId="154" xfId="0" applyFont="1" applyFill="1" applyBorder="1" applyAlignment="1">
      <alignment horizontal="center"/>
    </xf>
    <xf numFmtId="0" fontId="39" fillId="43" borderId="154" xfId="0" applyFont="1" applyFill="1" applyBorder="1" applyAlignment="1">
      <alignment horizontal="left"/>
    </xf>
    <xf numFmtId="0" fontId="213" fillId="0" borderId="154" xfId="0" applyFont="1" applyBorder="1" applyAlignment="1">
      <alignment horizontal="center" vertical="center" wrapText="1"/>
    </xf>
    <xf numFmtId="0" fontId="41" fillId="0" borderId="154" xfId="377" applyFont="1" applyBorder="1" applyAlignment="1">
      <alignment vertical="center" wrapText="1"/>
    </xf>
    <xf numFmtId="0" fontId="213" fillId="0" borderId="162" xfId="0" applyFont="1" applyBorder="1" applyAlignment="1">
      <alignment horizontal="center" vertical="center" wrapText="1"/>
    </xf>
    <xf numFmtId="0" fontId="41" fillId="0" borderId="154" xfId="377" applyFont="1" applyBorder="1" applyAlignment="1">
      <alignment horizontal="left" vertical="center" wrapText="1"/>
    </xf>
    <xf numFmtId="0" fontId="192" fillId="43" borderId="154" xfId="0" applyFont="1" applyFill="1" applyBorder="1" applyAlignment="1">
      <alignment horizontal="center" vertical="center" wrapText="1"/>
    </xf>
    <xf numFmtId="0" fontId="42" fillId="43" borderId="154" xfId="377" applyFont="1" applyFill="1" applyBorder="1" applyAlignment="1">
      <alignment vertical="center" wrapText="1"/>
    </xf>
    <xf numFmtId="0" fontId="41" fillId="0" borderId="162" xfId="377" applyFont="1" applyBorder="1" applyAlignment="1">
      <alignment vertical="center" wrapText="1"/>
    </xf>
    <xf numFmtId="0" fontId="213" fillId="43" borderId="154" xfId="0" applyFont="1" applyFill="1" applyBorder="1" applyAlignment="1">
      <alignment horizontal="center" vertical="center" wrapText="1"/>
    </xf>
    <xf numFmtId="0" fontId="41" fillId="43" borderId="154" xfId="377" applyFont="1" applyFill="1" applyBorder="1" applyAlignment="1">
      <alignment vertical="center" wrapText="1"/>
    </xf>
    <xf numFmtId="0" fontId="191" fillId="0" borderId="120" xfId="377" applyFont="1" applyBorder="1" applyAlignment="1">
      <alignment wrapText="1"/>
    </xf>
    <xf numFmtId="0" fontId="39" fillId="43" borderId="83" xfId="0" applyFont="1" applyFill="1" applyBorder="1" applyAlignment="1">
      <alignment vertical="center"/>
    </xf>
    <xf numFmtId="0" fontId="192" fillId="20" borderId="162" xfId="0" applyFont="1" applyFill="1" applyBorder="1" applyAlignment="1">
      <alignment horizontal="center" vertical="center" wrapText="1"/>
    </xf>
    <xf numFmtId="0" fontId="42" fillId="20" borderId="162" xfId="0" applyFont="1" applyFill="1" applyBorder="1" applyAlignment="1">
      <alignment horizontal="center" vertical="center" wrapText="1"/>
    </xf>
    <xf numFmtId="0" fontId="100" fillId="0" borderId="0" xfId="0" applyFont="1"/>
    <xf numFmtId="0" fontId="37" fillId="0" borderId="22" xfId="0" applyFont="1" applyBorder="1"/>
    <xf numFmtId="9" fontId="130" fillId="44" borderId="161" xfId="0" applyNumberFormat="1" applyFont="1" applyFill="1" applyBorder="1" applyAlignment="1">
      <alignment horizontal="center" vertical="center" wrapText="1"/>
    </xf>
    <xf numFmtId="9" fontId="130" fillId="0" borderId="157" xfId="0" applyNumberFormat="1" applyFont="1" applyBorder="1" applyAlignment="1">
      <alignment horizontal="center" vertical="center" wrapText="1"/>
    </xf>
    <xf numFmtId="171" fontId="151" fillId="0" borderId="126" xfId="0" applyNumberFormat="1" applyFont="1" applyBorder="1" applyAlignment="1">
      <alignment horizontal="center" vertical="center" wrapText="1"/>
    </xf>
    <xf numFmtId="9" fontId="151" fillId="0" borderId="128" xfId="0" applyNumberFormat="1" applyFont="1" applyBorder="1" applyAlignment="1">
      <alignment horizontal="center" vertical="center" wrapText="1"/>
    </xf>
    <xf numFmtId="9" fontId="151" fillId="0" borderId="126" xfId="0" applyNumberFormat="1" applyFont="1" applyBorder="1" applyAlignment="1">
      <alignment horizontal="center" vertical="center" wrapText="1"/>
    </xf>
    <xf numFmtId="9" fontId="151" fillId="0" borderId="127" xfId="0" applyNumberFormat="1" applyFont="1" applyBorder="1" applyAlignment="1">
      <alignment horizontal="center" vertical="center" wrapText="1"/>
    </xf>
    <xf numFmtId="3" fontId="151" fillId="0" borderId="127" xfId="0" applyNumberFormat="1" applyFont="1" applyBorder="1" applyAlignment="1">
      <alignment horizontal="center" vertical="center" wrapText="1"/>
    </xf>
    <xf numFmtId="168" fontId="151" fillId="0" borderId="126" xfId="0" applyNumberFormat="1" applyFont="1" applyBorder="1" applyAlignment="1">
      <alignment horizontal="center" vertical="center" wrapText="1"/>
    </xf>
    <xf numFmtId="171" fontId="151" fillId="0" borderId="83" xfId="0" applyNumberFormat="1" applyFont="1" applyBorder="1" applyAlignment="1">
      <alignment horizontal="center" vertical="center"/>
    </xf>
    <xf numFmtId="3" fontId="151" fillId="0" borderId="126" xfId="0" applyNumberFormat="1" applyFont="1" applyBorder="1" applyAlignment="1">
      <alignment horizontal="center" vertical="center" wrapText="1"/>
    </xf>
    <xf numFmtId="180" fontId="151" fillId="0" borderId="129" xfId="0" applyNumberFormat="1" applyFont="1" applyBorder="1" applyAlignment="1">
      <alignment horizontal="center" vertical="center" wrapText="1"/>
    </xf>
    <xf numFmtId="0" fontId="151" fillId="0" borderId="131" xfId="0" applyFont="1" applyBorder="1" applyAlignment="1">
      <alignment horizontal="center" vertical="center" wrapText="1"/>
    </xf>
    <xf numFmtId="0" fontId="151" fillId="0" borderId="126" xfId="0" applyFont="1" applyBorder="1" applyAlignment="1">
      <alignment horizontal="center" vertical="center" wrapText="1"/>
    </xf>
    <xf numFmtId="0" fontId="151" fillId="0" borderId="129" xfId="0" applyFont="1" applyBorder="1" applyAlignment="1">
      <alignment horizontal="center" vertical="center" wrapText="1"/>
    </xf>
    <xf numFmtId="168" fontId="151" fillId="0" borderId="126" xfId="176" applyNumberFormat="1" applyFont="1" applyBorder="1" applyAlignment="1">
      <alignment horizontal="center" vertical="center" wrapText="1"/>
    </xf>
    <xf numFmtId="168" fontId="151" fillId="0" borderId="99" xfId="0" applyNumberFormat="1" applyFont="1" applyBorder="1" applyAlignment="1">
      <alignment horizontal="center" vertical="center" wrapText="1"/>
    </xf>
    <xf numFmtId="0" fontId="151" fillId="22" borderId="83" xfId="0" applyFont="1" applyFill="1" applyBorder="1" applyAlignment="1">
      <alignment horizontal="center" vertical="center" wrapText="1"/>
    </xf>
    <xf numFmtId="3" fontId="151" fillId="22" borderId="99" xfId="0" applyNumberFormat="1" applyFont="1" applyFill="1" applyBorder="1" applyAlignment="1">
      <alignment horizontal="center" vertical="center" wrapText="1"/>
    </xf>
    <xf numFmtId="0" fontId="151" fillId="0" borderId="13" xfId="0" applyFont="1" applyBorder="1" applyAlignment="1">
      <alignment horizontal="center" vertical="center" wrapText="1"/>
    </xf>
    <xf numFmtId="0" fontId="151" fillId="0" borderId="99" xfId="0" applyFont="1" applyBorder="1" applyAlignment="1">
      <alignment horizontal="center" vertical="center" wrapText="1"/>
    </xf>
    <xf numFmtId="0" fontId="2" fillId="0" borderId="0" xfId="142" applyFont="1" applyAlignment="1">
      <alignment horizontal="center"/>
    </xf>
    <xf numFmtId="0" fontId="2" fillId="0" borderId="0" xfId="142" applyFont="1"/>
    <xf numFmtId="0" fontId="60" fillId="0" borderId="0" xfId="3786" applyFont="1" applyAlignment="1">
      <alignment vertical="center"/>
    </xf>
    <xf numFmtId="0" fontId="35" fillId="0" borderId="0" xfId="0" applyFont="1" applyAlignment="1">
      <alignment horizontal="center" vertical="center"/>
    </xf>
    <xf numFmtId="0" fontId="86" fillId="0" borderId="0" xfId="0" applyFont="1" applyAlignment="1">
      <alignment horizontal="left" vertical="center"/>
    </xf>
    <xf numFmtId="0" fontId="35" fillId="0" borderId="0" xfId="0" applyFont="1" applyAlignment="1">
      <alignment horizontal="left" vertical="center"/>
    </xf>
    <xf numFmtId="0" fontId="29" fillId="0" borderId="0" xfId="0" applyFont="1" applyAlignment="1">
      <alignment vertical="center"/>
    </xf>
    <xf numFmtId="0" fontId="223" fillId="0" borderId="0" xfId="0" applyFont="1" applyAlignment="1">
      <alignment horizontal="left" vertical="center"/>
    </xf>
    <xf numFmtId="0" fontId="44" fillId="0" borderId="0" xfId="0" applyFont="1" applyAlignment="1">
      <alignment horizontal="left" vertical="center" wrapText="1"/>
    </xf>
    <xf numFmtId="0" fontId="0" fillId="0" borderId="164" xfId="0" applyBorder="1" applyAlignment="1">
      <alignment vertical="center" wrapText="1"/>
    </xf>
    <xf numFmtId="0" fontId="0" fillId="0" borderId="157" xfId="0" applyBorder="1" applyAlignment="1">
      <alignment vertical="center" wrapText="1"/>
    </xf>
    <xf numFmtId="0" fontId="0" fillId="0" borderId="154" xfId="0" applyBorder="1" applyAlignment="1">
      <alignment horizontal="left" vertical="center" wrapText="1"/>
    </xf>
    <xf numFmtId="0" fontId="0" fillId="0" borderId="162" xfId="0" applyBorder="1" applyAlignment="1">
      <alignment vertical="center" wrapText="1"/>
    </xf>
    <xf numFmtId="0" fontId="0" fillId="0" borderId="164" xfId="0" applyBorder="1" applyAlignment="1">
      <alignment horizontal="center" vertical="center" wrapText="1"/>
    </xf>
    <xf numFmtId="0" fontId="0" fillId="0" borderId="157" xfId="0" applyBorder="1" applyAlignment="1">
      <alignment horizontal="center" vertical="center" wrapText="1"/>
    </xf>
    <xf numFmtId="0" fontId="0" fillId="0" borderId="162" xfId="0" applyBorder="1" applyAlignment="1">
      <alignment horizontal="center" vertical="center" wrapText="1"/>
    </xf>
    <xf numFmtId="171" fontId="57" fillId="0" borderId="164" xfId="0" applyNumberFormat="1" applyFont="1" applyBorder="1" applyAlignment="1">
      <alignment horizontal="center" vertical="center" wrapText="1"/>
    </xf>
    <xf numFmtId="171" fontId="57" fillId="0" borderId="157" xfId="0" applyNumberFormat="1" applyFont="1" applyBorder="1" applyAlignment="1">
      <alignment horizontal="center" vertical="center" wrapText="1"/>
    </xf>
    <xf numFmtId="171" fontId="57" fillId="0" borderId="162" xfId="0" applyNumberFormat="1" applyFont="1" applyBorder="1" applyAlignment="1">
      <alignment horizontal="center" vertical="center" wrapText="1"/>
    </xf>
    <xf numFmtId="0" fontId="6" fillId="0" borderId="0" xfId="0" applyFont="1" applyAlignment="1">
      <alignment horizontal="left"/>
    </xf>
    <xf numFmtId="0" fontId="91" fillId="0" borderId="0" xfId="0" applyFont="1" applyAlignment="1">
      <alignment horizontal="left"/>
    </xf>
    <xf numFmtId="0" fontId="226" fillId="20" borderId="154" xfId="0" applyFont="1" applyFill="1" applyBorder="1" applyAlignment="1">
      <alignment horizontal="center" vertical="center"/>
    </xf>
    <xf numFmtId="0" fontId="226" fillId="20" borderId="153" xfId="0" applyFont="1" applyFill="1" applyBorder="1" applyAlignment="1">
      <alignment horizontal="center" vertical="center" wrapText="1"/>
    </xf>
    <xf numFmtId="0" fontId="74" fillId="20" borderId="154" xfId="0" applyFont="1" applyFill="1" applyBorder="1" applyAlignment="1">
      <alignment horizontal="center" vertical="center"/>
    </xf>
    <xf numFmtId="0" fontId="44" fillId="20" borderId="154" xfId="0" applyFont="1" applyFill="1" applyBorder="1" applyAlignment="1">
      <alignment horizontal="center" vertical="center"/>
    </xf>
    <xf numFmtId="0" fontId="51" fillId="0" borderId="0" xfId="822"/>
    <xf numFmtId="2" fontId="51" fillId="0" borderId="0" xfId="822" applyNumberFormat="1"/>
    <xf numFmtId="0" fontId="51" fillId="0" borderId="0" xfId="822" applyAlignment="1">
      <alignment horizontal="center"/>
    </xf>
    <xf numFmtId="0" fontId="51" fillId="0" borderId="0" xfId="822" applyAlignment="1">
      <alignment vertical="center" wrapText="1"/>
    </xf>
    <xf numFmtId="0" fontId="51" fillId="0" borderId="0" xfId="822" applyAlignment="1">
      <alignment horizontal="left" vertical="center"/>
    </xf>
    <xf numFmtId="0" fontId="51" fillId="0" borderId="0" xfId="822" applyAlignment="1">
      <alignment horizontal="left" vertical="center" wrapText="1"/>
    </xf>
    <xf numFmtId="0" fontId="181" fillId="0" borderId="0" xfId="3787" applyFont="1" applyAlignment="1">
      <alignment vertical="center" wrapText="1"/>
    </xf>
    <xf numFmtId="0" fontId="72" fillId="0" borderId="0" xfId="3787" applyFont="1" applyAlignment="1">
      <alignment horizontal="center" wrapText="1"/>
    </xf>
    <xf numFmtId="182" fontId="72" fillId="0" borderId="0" xfId="3787" applyNumberFormat="1" applyFont="1" applyAlignment="1">
      <alignment horizontal="right" vertical="center"/>
    </xf>
    <xf numFmtId="183" fontId="72" fillId="0" borderId="0" xfId="3787" applyNumberFormat="1" applyFont="1" applyAlignment="1">
      <alignment horizontal="right" vertical="center"/>
    </xf>
    <xf numFmtId="0" fontId="72" fillId="0" borderId="0" xfId="3787" applyFont="1" applyAlignment="1">
      <alignment vertical="top" wrapText="1"/>
    </xf>
    <xf numFmtId="0" fontId="72" fillId="0" borderId="0" xfId="3787" applyFont="1" applyAlignment="1">
      <alignment horizontal="left" vertical="top" wrapText="1"/>
    </xf>
    <xf numFmtId="0" fontId="51" fillId="0" borderId="0" xfId="822" applyAlignment="1">
      <alignment horizontal="left"/>
    </xf>
    <xf numFmtId="0" fontId="81" fillId="20" borderId="166" xfId="0" applyFont="1" applyFill="1" applyBorder="1" applyAlignment="1">
      <alignment horizontal="center" vertical="center" wrapText="1"/>
    </xf>
    <xf numFmtId="0" fontId="147" fillId="20" borderId="167" xfId="822" applyFont="1" applyFill="1" applyBorder="1" applyAlignment="1">
      <alignment horizontal="center" vertical="center"/>
    </xf>
    <xf numFmtId="0" fontId="147" fillId="20" borderId="162" xfId="822" applyFont="1" applyFill="1" applyBorder="1" applyAlignment="1">
      <alignment horizontal="center" vertical="center"/>
    </xf>
    <xf numFmtId="0" fontId="147" fillId="0" borderId="168" xfId="822" applyFont="1" applyBorder="1" applyAlignment="1">
      <alignment vertical="center"/>
    </xf>
    <xf numFmtId="168" fontId="63" fillId="0" borderId="0" xfId="176" applyNumberFormat="1" applyFont="1" applyAlignment="1">
      <alignment horizontal="center" vertical="center" wrapText="1"/>
    </xf>
    <xf numFmtId="2" fontId="63" fillId="0" borderId="0" xfId="176" applyNumberFormat="1" applyFont="1" applyAlignment="1">
      <alignment horizontal="center" vertical="center" wrapText="1"/>
    </xf>
    <xf numFmtId="0" fontId="66" fillId="20" borderId="166" xfId="639" applyFont="1" applyFill="1" applyBorder="1" applyAlignment="1">
      <alignment horizontal="center" vertical="center"/>
    </xf>
    <xf numFmtId="9" fontId="43" fillId="34" borderId="0" xfId="176" applyFont="1" applyFill="1" applyAlignment="1">
      <alignment horizontal="center" vertical="center" wrapText="1"/>
    </xf>
    <xf numFmtId="9" fontId="44" fillId="34" borderId="0" xfId="176" applyFont="1" applyFill="1" applyAlignment="1">
      <alignment horizontal="center" vertical="center" wrapText="1"/>
    </xf>
    <xf numFmtId="0" fontId="225" fillId="20" borderId="154" xfId="0" applyFont="1" applyFill="1" applyBorder="1" applyAlignment="1">
      <alignment horizontal="center" vertical="center" wrapText="1"/>
    </xf>
    <xf numFmtId="0" fontId="24" fillId="20" borderId="154" xfId="452" applyFont="1" applyFill="1" applyBorder="1" applyAlignment="1">
      <alignment horizontal="center" vertical="center" wrapText="1"/>
    </xf>
    <xf numFmtId="0" fontId="24" fillId="20" borderId="154" xfId="452" applyFont="1" applyFill="1" applyBorder="1" applyAlignment="1">
      <alignment horizontal="center" vertical="center"/>
    </xf>
    <xf numFmtId="0" fontId="181" fillId="20" borderId="154" xfId="3787" applyFont="1" applyFill="1" applyBorder="1" applyAlignment="1">
      <alignment horizontal="center" vertical="center" wrapText="1"/>
    </xf>
    <xf numFmtId="0" fontId="167" fillId="20" borderId="154" xfId="0" applyFont="1" applyFill="1" applyBorder="1" applyAlignment="1">
      <alignment horizontal="center"/>
    </xf>
    <xf numFmtId="0" fontId="39" fillId="0" borderId="166" xfId="0" applyFont="1" applyBorder="1" applyAlignment="1">
      <alignment horizontal="center"/>
    </xf>
    <xf numFmtId="10" fontId="0" fillId="0" borderId="0" xfId="176" applyNumberFormat="1" applyFont="1" applyAlignment="1">
      <alignment horizontal="center"/>
    </xf>
    <xf numFmtId="10" fontId="39" fillId="0" borderId="0" xfId="176" applyNumberFormat="1" applyFont="1" applyAlignment="1">
      <alignment horizontal="center"/>
    </xf>
    <xf numFmtId="1" fontId="60" fillId="0" borderId="150" xfId="211" applyNumberFormat="1" applyFont="1" applyBorder="1" applyAlignment="1">
      <alignment horizontal="center"/>
    </xf>
    <xf numFmtId="181" fontId="60" fillId="0" borderId="0" xfId="107" applyNumberFormat="1" applyFont="1" applyAlignment="1">
      <alignment horizontal="center" vertical="center"/>
    </xf>
    <xf numFmtId="181" fontId="175" fillId="0" borderId="0" xfId="107" applyNumberFormat="1" applyFont="1" applyAlignment="1">
      <alignment horizontal="center" vertical="center"/>
    </xf>
    <xf numFmtId="181" fontId="175" fillId="0" borderId="142" xfId="107" applyNumberFormat="1" applyFont="1" applyBorder="1" applyAlignment="1">
      <alignment horizontal="center" vertical="center"/>
    </xf>
    <xf numFmtId="181" fontId="175" fillId="0" borderId="150" xfId="107" applyNumberFormat="1" applyFont="1" applyBorder="1" applyAlignment="1">
      <alignment horizontal="center" vertical="center"/>
    </xf>
    <xf numFmtId="43" fontId="60" fillId="0" borderId="0" xfId="107" applyFont="1" applyAlignment="1">
      <alignment horizontal="center" vertical="center"/>
    </xf>
    <xf numFmtId="181" fontId="60" fillId="0" borderId="106" xfId="107" applyNumberFormat="1" applyFont="1" applyBorder="1" applyAlignment="1">
      <alignment horizontal="center" vertical="center"/>
    </xf>
    <xf numFmtId="0" fontId="60" fillId="0" borderId="0" xfId="211" applyFont="1" applyAlignment="1">
      <alignment horizontal="center" vertical="center"/>
    </xf>
    <xf numFmtId="171" fontId="96" fillId="0" borderId="16" xfId="0" applyNumberFormat="1" applyFont="1" applyBorder="1" applyAlignment="1">
      <alignment horizontal="center" vertical="center"/>
    </xf>
    <xf numFmtId="171" fontId="96" fillId="0" borderId="0" xfId="0" applyNumberFormat="1" applyFont="1" applyAlignment="1">
      <alignment horizontal="center" vertical="center"/>
    </xf>
    <xf numFmtId="171" fontId="96" fillId="0" borderId="150" xfId="0" applyNumberFormat="1" applyFont="1" applyBorder="1" applyAlignment="1">
      <alignment horizontal="center" vertical="center"/>
    </xf>
    <xf numFmtId="0" fontId="74" fillId="21" borderId="16" xfId="0" applyFont="1" applyFill="1" applyBorder="1" applyAlignment="1">
      <alignment horizontal="center"/>
    </xf>
    <xf numFmtId="0" fontId="49" fillId="21" borderId="0" xfId="0" applyFont="1" applyFill="1" applyAlignment="1">
      <alignment horizontal="center"/>
    </xf>
    <xf numFmtId="0" fontId="74" fillId="21" borderId="0" xfId="0" applyFont="1" applyFill="1" applyAlignment="1">
      <alignment horizontal="center"/>
    </xf>
    <xf numFmtId="0" fontId="96" fillId="21" borderId="16" xfId="0" applyFont="1" applyFill="1" applyBorder="1" applyAlignment="1">
      <alignment horizontal="center"/>
    </xf>
    <xf numFmtId="0" fontId="50" fillId="21" borderId="0" xfId="0" applyFont="1" applyFill="1" applyAlignment="1">
      <alignment horizontal="center"/>
    </xf>
    <xf numFmtId="0" fontId="96" fillId="21" borderId="0" xfId="0" applyFont="1" applyFill="1" applyAlignment="1">
      <alignment horizontal="center"/>
    </xf>
    <xf numFmtId="0" fontId="74" fillId="0" borderId="0" xfId="0" applyFont="1" applyAlignment="1">
      <alignment horizontal="left" vertical="center" wrapText="1"/>
    </xf>
    <xf numFmtId="0" fontId="49" fillId="0" borderId="150" xfId="0" applyFont="1" applyBorder="1"/>
    <xf numFmtId="0" fontId="74" fillId="0" borderId="150" xfId="0" applyFont="1" applyBorder="1"/>
    <xf numFmtId="2" fontId="74" fillId="0" borderId="150" xfId="0" applyNumberFormat="1" applyFont="1" applyBorder="1" applyAlignment="1">
      <alignment horizontal="center"/>
    </xf>
    <xf numFmtId="0" fontId="74" fillId="0" borderId="150" xfId="0" applyFont="1" applyBorder="1" applyAlignment="1">
      <alignment horizontal="center"/>
    </xf>
    <xf numFmtId="0" fontId="49" fillId="0" borderId="150" xfId="0" applyFont="1" applyBorder="1" applyAlignment="1">
      <alignment horizontal="center" vertical="center"/>
    </xf>
    <xf numFmtId="0" fontId="74" fillId="0" borderId="0" xfId="0" applyFont="1" applyAlignment="1">
      <alignment vertical="center"/>
    </xf>
    <xf numFmtId="2" fontId="74" fillId="0" borderId="0" xfId="0" applyNumberFormat="1" applyFont="1" applyAlignment="1">
      <alignment horizontal="center" vertical="center"/>
    </xf>
    <xf numFmtId="0" fontId="74" fillId="0" borderId="0" xfId="0" applyFont="1" applyAlignment="1">
      <alignment horizontal="center" vertical="center"/>
    </xf>
    <xf numFmtId="0" fontId="49" fillId="0" borderId="150" xfId="0" applyFont="1" applyBorder="1" applyAlignment="1">
      <alignment vertical="center"/>
    </xf>
    <xf numFmtId="0" fontId="74" fillId="0" borderId="150" xfId="0" applyFont="1" applyBorder="1" applyAlignment="1">
      <alignment vertical="center"/>
    </xf>
    <xf numFmtId="2" fontId="74" fillId="0" borderId="150" xfId="0" applyNumberFormat="1" applyFont="1" applyBorder="1" applyAlignment="1">
      <alignment horizontal="center" vertical="center"/>
    </xf>
    <xf numFmtId="0" fontId="74" fillId="0" borderId="150" xfId="0" applyFont="1" applyBorder="1" applyAlignment="1">
      <alignment horizontal="center" vertical="center"/>
    </xf>
    <xf numFmtId="0" fontId="49" fillId="29" borderId="0" xfId="0" applyFont="1" applyFill="1" applyAlignment="1">
      <alignment vertical="center"/>
    </xf>
    <xf numFmtId="2" fontId="49" fillId="29" borderId="0" xfId="0" applyNumberFormat="1" applyFont="1" applyFill="1" applyAlignment="1">
      <alignment horizontal="center" vertical="center"/>
    </xf>
    <xf numFmtId="0" fontId="49" fillId="29" borderId="0" xfId="0" applyFont="1" applyFill="1" applyAlignment="1">
      <alignment horizontal="center" vertical="center"/>
    </xf>
    <xf numFmtId="0" fontId="49" fillId="0" borderId="16" xfId="0" applyFont="1" applyBorder="1" applyAlignment="1">
      <alignment vertical="center"/>
    </xf>
    <xf numFmtId="0" fontId="74" fillId="0" borderId="16" xfId="0" applyFont="1" applyBorder="1" applyAlignment="1">
      <alignment vertical="center"/>
    </xf>
    <xf numFmtId="1" fontId="50" fillId="0" borderId="0" xfId="0" applyNumberFormat="1" applyFont="1" applyAlignment="1">
      <alignment horizontal="center" vertical="center"/>
    </xf>
    <xf numFmtId="1" fontId="96" fillId="0" borderId="0" xfId="0" applyNumberFormat="1" applyFont="1" applyAlignment="1">
      <alignment horizontal="center" vertical="center"/>
    </xf>
    <xf numFmtId="1" fontId="96" fillId="0" borderId="150" xfId="0" applyNumberFormat="1" applyFont="1" applyBorder="1" applyAlignment="1">
      <alignment horizontal="center" vertical="center"/>
    </xf>
    <xf numFmtId="1" fontId="96" fillId="0" borderId="16" xfId="0" applyNumberFormat="1" applyFont="1" applyBorder="1" applyAlignment="1">
      <alignment horizontal="center" vertical="center"/>
    </xf>
    <xf numFmtId="185" fontId="98" fillId="43" borderId="105" xfId="455" applyNumberFormat="1" applyFont="1" applyFill="1" applyBorder="1" applyAlignment="1">
      <alignment horizontal="center" vertical="center"/>
    </xf>
    <xf numFmtId="0" fontId="42" fillId="0" borderId="0" xfId="0" applyFont="1" applyAlignment="1">
      <alignment horizontal="left" vertical="center"/>
    </xf>
    <xf numFmtId="185" fontId="96" fillId="43" borderId="142" xfId="0" applyNumberFormat="1" applyFont="1" applyFill="1" applyBorder="1" applyAlignment="1">
      <alignment horizontal="center" vertical="center"/>
    </xf>
    <xf numFmtId="0" fontId="65" fillId="0" borderId="0" xfId="0" applyFont="1"/>
    <xf numFmtId="0" fontId="39" fillId="20" borderId="170" xfId="801" applyFont="1" applyFill="1" applyBorder="1" applyAlignment="1">
      <alignment horizontal="center" vertical="center"/>
    </xf>
    <xf numFmtId="0" fontId="79" fillId="20" borderId="170" xfId="801" applyFont="1" applyFill="1" applyBorder="1" applyAlignment="1">
      <alignment horizontal="center" vertical="center"/>
    </xf>
    <xf numFmtId="0" fontId="214" fillId="0" borderId="0" xfId="377" applyFont="1"/>
    <xf numFmtId="0" fontId="214" fillId="0" borderId="0" xfId="377" applyFont="1" applyAlignment="1">
      <alignment vertical="center"/>
    </xf>
    <xf numFmtId="0" fontId="39" fillId="24" borderId="172" xfId="0" applyFont="1" applyFill="1" applyBorder="1" applyAlignment="1">
      <alignment horizontal="center" vertical="center" wrapText="1"/>
    </xf>
    <xf numFmtId="0" fontId="0" fillId="0" borderId="170" xfId="0" applyBorder="1" applyAlignment="1">
      <alignment horizontal="right" vertical="center" wrapText="1"/>
    </xf>
    <xf numFmtId="3" fontId="0" fillId="0" borderId="171" xfId="0" applyNumberFormat="1" applyBorder="1" applyAlignment="1">
      <alignment horizontal="right" vertical="center" wrapText="1"/>
    </xf>
    <xf numFmtId="0" fontId="41" fillId="0" borderId="170" xfId="377" applyFont="1" applyBorder="1" applyAlignment="1">
      <alignment vertical="center" wrapText="1"/>
    </xf>
    <xf numFmtId="0" fontId="0" fillId="0" borderId="162" xfId="0" applyBorder="1" applyAlignment="1">
      <alignment horizontal="right" vertical="center" wrapText="1"/>
    </xf>
    <xf numFmtId="0" fontId="214" fillId="0" borderId="0" xfId="377" applyFont="1" applyAlignment="1">
      <alignment horizontal="left"/>
    </xf>
    <xf numFmtId="0" fontId="39" fillId="0" borderId="150" xfId="0" applyFont="1" applyBorder="1" applyAlignment="1">
      <alignment vertical="center"/>
    </xf>
    <xf numFmtId="0" fontId="55" fillId="0" borderId="150" xfId="0" applyFont="1" applyBorder="1" applyAlignment="1">
      <alignment horizontal="center" vertical="center" wrapText="1"/>
    </xf>
    <xf numFmtId="0" fontId="0" fillId="0" borderId="150" xfId="0" applyBorder="1"/>
    <xf numFmtId="0" fontId="48" fillId="0" borderId="150" xfId="0" applyFont="1" applyBorder="1" applyAlignment="1">
      <alignment horizontal="center" vertical="center"/>
    </xf>
    <xf numFmtId="0" fontId="102" fillId="20" borderId="171" xfId="801" applyFont="1" applyFill="1" applyBorder="1" applyAlignment="1">
      <alignment horizontal="center" vertical="center"/>
    </xf>
    <xf numFmtId="0" fontId="39" fillId="20" borderId="16" xfId="0" applyFont="1" applyFill="1" applyBorder="1" applyAlignment="1">
      <alignment horizontal="center" vertical="center"/>
    </xf>
    <xf numFmtId="3" fontId="79" fillId="20" borderId="16" xfId="452" applyNumberFormat="1" applyFont="1" applyFill="1" applyBorder="1" applyAlignment="1">
      <alignment horizontal="right"/>
    </xf>
    <xf numFmtId="168" fontId="79" fillId="20" borderId="83" xfId="176" applyNumberFormat="1" applyFont="1" applyFill="1" applyBorder="1" applyAlignment="1">
      <alignment horizontal="right" vertical="center"/>
    </xf>
    <xf numFmtId="0" fontId="130" fillId="0" borderId="157" xfId="0" applyFont="1" applyBorder="1" applyAlignment="1">
      <alignment horizontal="center" vertical="center" wrapText="1"/>
    </xf>
    <xf numFmtId="0" fontId="151" fillId="0" borderId="157" xfId="0" applyFont="1" applyBorder="1" applyAlignment="1">
      <alignment horizontal="center" vertical="center" wrapText="1"/>
    </xf>
    <xf numFmtId="0" fontId="166" fillId="28" borderId="157" xfId="0" applyFont="1" applyFill="1" applyBorder="1" applyAlignment="1">
      <alignment horizontal="center" vertical="center" wrapText="1"/>
    </xf>
    <xf numFmtId="168" fontId="130" fillId="0" borderId="170" xfId="176" applyNumberFormat="1" applyFont="1" applyBorder="1" applyAlignment="1">
      <alignment horizontal="center" vertical="center"/>
    </xf>
    <xf numFmtId="9" fontId="130" fillId="0" borderId="83" xfId="176" applyFont="1" applyBorder="1" applyAlignment="1">
      <alignment horizontal="center" vertical="center"/>
    </xf>
    <xf numFmtId="9" fontId="151" fillId="0" borderId="83" xfId="176" applyFont="1" applyBorder="1" applyAlignment="1">
      <alignment horizontal="center" vertical="center"/>
    </xf>
    <xf numFmtId="9" fontId="0" fillId="0" borderId="0" xfId="176" applyFont="1" applyAlignment="1">
      <alignment horizontal="centerContinuous" vertical="center"/>
    </xf>
    <xf numFmtId="0" fontId="60" fillId="0" borderId="0" xfId="0" applyFont="1" applyAlignment="1">
      <alignment vertical="center"/>
    </xf>
    <xf numFmtId="0" fontId="60" fillId="0" borderId="112" xfId="0" applyFont="1" applyBorder="1" applyAlignment="1">
      <alignment vertical="center"/>
    </xf>
    <xf numFmtId="0" fontId="99" fillId="0" borderId="0" xfId="377"/>
    <xf numFmtId="0" fontId="0" fillId="0" borderId="22" xfId="0" applyBorder="1"/>
    <xf numFmtId="9" fontId="130" fillId="44" borderId="174" xfId="0" applyNumberFormat="1" applyFont="1" applyFill="1" applyBorder="1" applyAlignment="1">
      <alignment horizontal="center" vertical="center" wrapText="1"/>
    </xf>
    <xf numFmtId="3" fontId="151" fillId="0" borderId="154" xfId="0" applyNumberFormat="1" applyFont="1" applyBorder="1" applyAlignment="1">
      <alignment horizontal="center" vertical="center" wrapText="1"/>
    </xf>
    <xf numFmtId="9" fontId="151" fillId="0" borderId="154" xfId="0" applyNumberFormat="1" applyFont="1" applyBorder="1" applyAlignment="1">
      <alignment horizontal="center" vertical="center" wrapText="1"/>
    </xf>
    <xf numFmtId="171" fontId="151" fillId="0" borderId="154" xfId="0" applyNumberFormat="1" applyFont="1" applyBorder="1" applyAlignment="1">
      <alignment horizontal="center" vertical="center" wrapText="1"/>
    </xf>
    <xf numFmtId="168" fontId="151" fillId="0" borderId="154" xfId="0" applyNumberFormat="1" applyFont="1" applyBorder="1" applyAlignment="1">
      <alignment horizontal="center" vertical="center" wrapText="1"/>
    </xf>
    <xf numFmtId="9" fontId="151" fillId="0" borderId="153" xfId="0" applyNumberFormat="1" applyFont="1" applyBorder="1" applyAlignment="1">
      <alignment horizontal="center" vertical="center" wrapText="1"/>
    </xf>
    <xf numFmtId="3" fontId="151" fillId="0" borderId="153" xfId="0" applyNumberFormat="1" applyFont="1" applyBorder="1" applyAlignment="1">
      <alignment horizontal="center" vertical="center" wrapText="1"/>
    </xf>
    <xf numFmtId="171" fontId="151" fillId="0" borderId="154" xfId="0" applyNumberFormat="1" applyFont="1" applyBorder="1" applyAlignment="1">
      <alignment horizontal="center" vertical="center"/>
    </xf>
    <xf numFmtId="9" fontId="151" fillId="0" borderId="154" xfId="176" applyFont="1" applyBorder="1" applyAlignment="1">
      <alignment horizontal="center" vertical="center"/>
    </xf>
    <xf numFmtId="171" fontId="151" fillId="0" borderId="151" xfId="0" applyNumberFormat="1" applyFont="1" applyBorder="1" applyAlignment="1">
      <alignment horizontal="center" vertical="center" wrapText="1"/>
    </xf>
    <xf numFmtId="0" fontId="151" fillId="0" borderId="151" xfId="0" applyFont="1" applyBorder="1" applyAlignment="1">
      <alignment horizontal="center" vertical="center" wrapText="1"/>
    </xf>
    <xf numFmtId="0" fontId="151" fillId="0" borderId="154" xfId="0" applyFont="1" applyBorder="1" applyAlignment="1">
      <alignment horizontal="center" vertical="center" wrapText="1"/>
    </xf>
    <xf numFmtId="180" fontId="151" fillId="0" borderId="161" xfId="0" applyNumberFormat="1" applyFont="1" applyBorder="1" applyAlignment="1">
      <alignment horizontal="center" vertical="center" wrapText="1"/>
    </xf>
    <xf numFmtId="0" fontId="151" fillId="0" borderId="161" xfId="0" applyFont="1" applyBorder="1" applyAlignment="1">
      <alignment horizontal="center" vertical="center" wrapText="1"/>
    </xf>
    <xf numFmtId="168" fontId="151" fillId="0" borderId="154" xfId="176" applyNumberFormat="1" applyFont="1" applyBorder="1" applyAlignment="1">
      <alignment horizontal="center" vertical="center" wrapText="1"/>
    </xf>
    <xf numFmtId="0" fontId="23" fillId="0" borderId="16" xfId="0" applyFont="1" applyBorder="1" applyAlignment="1">
      <alignment horizontal="center" vertical="center" wrapText="1"/>
    </xf>
    <xf numFmtId="0" fontId="79" fillId="0" borderId="16" xfId="0" applyFont="1" applyBorder="1" applyAlignment="1">
      <alignment horizontal="center" vertical="center" wrapText="1"/>
    </xf>
    <xf numFmtId="0" fontId="54" fillId="0" borderId="0" xfId="0" applyFont="1" applyAlignment="1">
      <alignment horizontal="center"/>
    </xf>
    <xf numFmtId="0" fontId="54" fillId="0" borderId="0" xfId="0" applyFont="1"/>
    <xf numFmtId="0" fontId="54" fillId="0" borderId="140" xfId="0" applyFont="1" applyBorder="1" applyAlignment="1">
      <alignment horizontal="center" vertical="center"/>
    </xf>
    <xf numFmtId="43" fontId="54" fillId="0" borderId="178" xfId="128" applyFont="1" applyBorder="1" applyAlignment="1">
      <alignment horizontal="right" vertical="center"/>
    </xf>
    <xf numFmtId="2" fontId="54" fillId="0" borderId="178" xfId="0" applyNumberFormat="1" applyFont="1" applyBorder="1" applyAlignment="1">
      <alignment horizontal="right" vertical="center"/>
    </xf>
    <xf numFmtId="43" fontId="54" fillId="0" borderId="179" xfId="128" applyFont="1" applyBorder="1" applyAlignment="1">
      <alignment horizontal="right" vertical="center"/>
    </xf>
    <xf numFmtId="0" fontId="54" fillId="0" borderId="133" xfId="0" applyFont="1" applyBorder="1" applyAlignment="1">
      <alignment horizontal="center" vertical="center"/>
    </xf>
    <xf numFmtId="43" fontId="54" fillId="0" borderId="135" xfId="128" applyFont="1" applyBorder="1" applyAlignment="1">
      <alignment horizontal="right" vertical="center"/>
    </xf>
    <xf numFmtId="10" fontId="54" fillId="0" borderId="135" xfId="180" applyNumberFormat="1" applyFont="1" applyBorder="1" applyAlignment="1">
      <alignment horizontal="right" vertical="center"/>
    </xf>
    <xf numFmtId="2" fontId="54" fillId="0" borderId="135" xfId="0" applyNumberFormat="1" applyFont="1" applyBorder="1" applyAlignment="1">
      <alignment horizontal="right" vertical="center"/>
    </xf>
    <xf numFmtId="168" fontId="54" fillId="0" borderId="180" xfId="180" applyNumberFormat="1" applyFont="1" applyBorder="1" applyAlignment="1">
      <alignment horizontal="right" vertical="center"/>
    </xf>
    <xf numFmtId="0" fontId="54" fillId="22" borderId="133" xfId="0" applyFont="1" applyFill="1" applyBorder="1" applyAlignment="1">
      <alignment horizontal="center" vertical="center"/>
    </xf>
    <xf numFmtId="168" fontId="54" fillId="22" borderId="180" xfId="176" applyNumberFormat="1" applyFont="1" applyFill="1" applyBorder="1" applyAlignment="1">
      <alignment horizontal="right" vertical="center"/>
    </xf>
    <xf numFmtId="168" fontId="54" fillId="0" borderId="180" xfId="176" applyNumberFormat="1" applyFont="1" applyBorder="1" applyAlignment="1">
      <alignment horizontal="right" vertical="center"/>
    </xf>
    <xf numFmtId="43" fontId="54" fillId="0" borderId="181" xfId="128" applyFont="1" applyBorder="1" applyAlignment="1">
      <alignment horizontal="right" vertical="center"/>
    </xf>
    <xf numFmtId="0" fontId="230" fillId="0" borderId="16" xfId="0" applyFont="1" applyBorder="1" applyAlignment="1">
      <alignment horizontal="center" vertical="center" wrapText="1"/>
    </xf>
    <xf numFmtId="0" fontId="51" fillId="0" borderId="140" xfId="0" applyFont="1" applyBorder="1" applyAlignment="1">
      <alignment horizontal="center" vertical="center"/>
    </xf>
    <xf numFmtId="43" fontId="51" fillId="0" borderId="178" xfId="107" applyFont="1" applyBorder="1" applyAlignment="1">
      <alignment horizontal="right" vertical="center"/>
    </xf>
    <xf numFmtId="43" fontId="51" fillId="0" borderId="179" xfId="107" applyFont="1" applyBorder="1" applyAlignment="1">
      <alignment horizontal="right" vertical="center"/>
    </xf>
    <xf numFmtId="0" fontId="51" fillId="0" borderId="133" xfId="0" applyFont="1" applyBorder="1" applyAlignment="1">
      <alignment horizontal="center" vertical="center" wrapText="1"/>
    </xf>
    <xf numFmtId="43" fontId="51" fillId="0" borderId="135" xfId="107" applyFont="1" applyBorder="1" applyAlignment="1">
      <alignment horizontal="right" vertical="center"/>
    </xf>
    <xf numFmtId="43" fontId="51" fillId="0" borderId="180" xfId="107" applyFont="1" applyBorder="1" applyAlignment="1">
      <alignment horizontal="right" vertical="center"/>
    </xf>
    <xf numFmtId="0" fontId="51" fillId="0" borderId="136" xfId="0" applyFont="1" applyBorder="1" applyAlignment="1">
      <alignment horizontal="center" vertical="center"/>
    </xf>
    <xf numFmtId="168" fontId="48" fillId="0" borderId="181" xfId="176" applyNumberFormat="1" applyFont="1" applyBorder="1" applyAlignment="1">
      <alignment horizontal="center" vertical="center"/>
    </xf>
    <xf numFmtId="168" fontId="48" fillId="0" borderId="182" xfId="176" applyNumberFormat="1" applyFont="1" applyBorder="1" applyAlignment="1">
      <alignment horizontal="center" vertical="center"/>
    </xf>
    <xf numFmtId="0" fontId="39" fillId="0" borderId="16" xfId="0" applyFont="1" applyBorder="1" applyAlignment="1">
      <alignment horizontal="center" vertical="center" wrapText="1"/>
    </xf>
    <xf numFmtId="0" fontId="101" fillId="0" borderId="150" xfId="0" applyFont="1" applyBorder="1" applyAlignment="1">
      <alignment horizontal="center" vertical="center"/>
    </xf>
    <xf numFmtId="169" fontId="41" fillId="0" borderId="178" xfId="108" applyNumberFormat="1" applyFont="1" applyBorder="1"/>
    <xf numFmtId="169" fontId="41" fillId="0" borderId="135" xfId="108" applyNumberFormat="1" applyFont="1" applyBorder="1"/>
    <xf numFmtId="169" fontId="41" fillId="0" borderId="140" xfId="108" applyNumberFormat="1" applyFont="1" applyBorder="1"/>
    <xf numFmtId="169" fontId="41" fillId="0" borderId="133" xfId="108" applyNumberFormat="1" applyFont="1" applyBorder="1"/>
    <xf numFmtId="169" fontId="39" fillId="20" borderId="136" xfId="0" applyNumberFormat="1" applyFont="1" applyFill="1" applyBorder="1" applyAlignment="1">
      <alignment horizontal="center"/>
    </xf>
    <xf numFmtId="169" fontId="41" fillId="20" borderId="136" xfId="0" applyNumberFormat="1" applyFont="1" applyFill="1" applyBorder="1" applyAlignment="1">
      <alignment horizontal="center"/>
    </xf>
    <xf numFmtId="169" fontId="41" fillId="20" borderId="181" xfId="0" applyNumberFormat="1" applyFont="1" applyFill="1" applyBorder="1" applyAlignment="1">
      <alignment horizontal="center"/>
    </xf>
    <xf numFmtId="169" fontId="0" fillId="20" borderId="136" xfId="0" applyNumberFormat="1" applyFill="1" applyBorder="1" applyAlignment="1">
      <alignment horizontal="center"/>
    </xf>
    <xf numFmtId="169" fontId="0" fillId="20" borderId="181" xfId="0" applyNumberFormat="1" applyFill="1" applyBorder="1" applyAlignment="1">
      <alignment horizontal="center"/>
    </xf>
    <xf numFmtId="0" fontId="0" fillId="0" borderId="138" xfId="0" applyBorder="1" applyAlignment="1">
      <alignment horizontal="center" vertical="center"/>
    </xf>
    <xf numFmtId="0" fontId="39" fillId="20" borderId="138" xfId="0" applyFont="1" applyFill="1" applyBorder="1" applyAlignment="1">
      <alignment horizontal="center" vertical="center"/>
    </xf>
    <xf numFmtId="0" fontId="61" fillId="0" borderId="0" xfId="0" applyFont="1" applyAlignment="1">
      <alignment vertical="center" wrapText="1"/>
    </xf>
    <xf numFmtId="0" fontId="37" fillId="0" borderId="16" xfId="0" applyFont="1" applyBorder="1" applyAlignment="1">
      <alignment horizontal="center" vertical="center" wrapText="1"/>
    </xf>
    <xf numFmtId="0" fontId="42" fillId="0" borderId="16" xfId="0" applyFont="1" applyBorder="1" applyAlignment="1">
      <alignment horizontal="center" vertical="center" wrapText="1"/>
    </xf>
    <xf numFmtId="0" fontId="41" fillId="0" borderId="178" xfId="0" applyFont="1" applyBorder="1" applyAlignment="1">
      <alignment horizontal="left" vertical="center" indent="1"/>
    </xf>
    <xf numFmtId="0" fontId="41" fillId="0" borderId="135" xfId="0" applyFont="1" applyBorder="1" applyAlignment="1">
      <alignment horizontal="left" vertical="center" indent="1"/>
    </xf>
    <xf numFmtId="0" fontId="41" fillId="22" borderId="181" xfId="0" applyFont="1" applyFill="1" applyBorder="1" applyAlignment="1">
      <alignment horizontal="left" vertical="center" indent="1"/>
    </xf>
    <xf numFmtId="0" fontId="41" fillId="22" borderId="181" xfId="0" applyFont="1" applyFill="1" applyBorder="1" applyAlignment="1">
      <alignment horizontal="center" vertical="center"/>
    </xf>
    <xf numFmtId="190" fontId="214" fillId="22" borderId="182" xfId="0" applyNumberFormat="1" applyFont="1" applyFill="1" applyBorder="1" applyAlignment="1">
      <alignment horizontal="center" vertical="center"/>
    </xf>
    <xf numFmtId="0" fontId="41" fillId="0" borderId="181" xfId="0" applyFont="1" applyBorder="1" applyAlignment="1">
      <alignment horizontal="left" vertical="center" indent="1"/>
    </xf>
    <xf numFmtId="190" fontId="214" fillId="0" borderId="182" xfId="0" applyNumberFormat="1" applyFont="1" applyBorder="1" applyAlignment="1">
      <alignment horizontal="center" vertical="center"/>
    </xf>
    <xf numFmtId="0" fontId="86" fillId="0" borderId="0" xfId="0" applyFont="1" applyAlignment="1">
      <alignment vertical="center" wrapText="1"/>
    </xf>
    <xf numFmtId="0" fontId="41" fillId="0" borderId="178" xfId="0" applyFont="1" applyBorder="1" applyAlignment="1">
      <alignment horizontal="center"/>
    </xf>
    <xf numFmtId="190" fontId="41" fillId="0" borderId="178" xfId="0" applyNumberFormat="1" applyFont="1" applyBorder="1" applyAlignment="1">
      <alignment horizontal="center"/>
    </xf>
    <xf numFmtId="190" fontId="219" fillId="0" borderId="179" xfId="0" applyNumberFormat="1" applyFont="1" applyBorder="1" applyAlignment="1">
      <alignment horizontal="center" vertical="center"/>
    </xf>
    <xf numFmtId="0" fontId="41" fillId="0" borderId="135" xfId="0" applyFont="1" applyBorder="1" applyAlignment="1">
      <alignment horizontal="center"/>
    </xf>
    <xf numFmtId="190" fontId="41" fillId="0" borderId="135" xfId="0" applyNumberFormat="1" applyFont="1" applyBorder="1" applyAlignment="1">
      <alignment horizontal="center"/>
    </xf>
    <xf numFmtId="190" fontId="219" fillId="0" borderId="180" xfId="0" applyNumberFormat="1" applyFont="1" applyBorder="1" applyAlignment="1">
      <alignment horizontal="center" vertical="center"/>
    </xf>
    <xf numFmtId="0" fontId="41" fillId="0" borderId="181" xfId="0" applyFont="1" applyBorder="1" applyAlignment="1">
      <alignment horizontal="center"/>
    </xf>
    <xf numFmtId="190" fontId="41" fillId="0" borderId="181" xfId="0" applyNumberFormat="1" applyFont="1" applyBorder="1" applyAlignment="1">
      <alignment horizontal="center"/>
    </xf>
    <xf numFmtId="0" fontId="41" fillId="0" borderId="186" xfId="0" applyFont="1" applyBorder="1" applyAlignment="1">
      <alignment horizontal="center"/>
    </xf>
    <xf numFmtId="190" fontId="41" fillId="0" borderId="186" xfId="0" applyNumberFormat="1" applyFont="1" applyBorder="1" applyAlignment="1">
      <alignment horizontal="center"/>
    </xf>
    <xf numFmtId="0" fontId="221" fillId="0" borderId="0" xfId="142" applyFont="1" applyAlignment="1">
      <alignment horizontal="right" indent="1"/>
    </xf>
    <xf numFmtId="168" fontId="241" fillId="0" borderId="0" xfId="180" applyNumberFormat="1" applyFont="1" applyAlignment="1">
      <alignment horizontal="right" vertical="center" indent="1"/>
    </xf>
    <xf numFmtId="0" fontId="41" fillId="33" borderId="135" xfId="3786" applyFont="1" applyFill="1" applyBorder="1" applyAlignment="1">
      <alignment horizontal="left" vertical="center" indent="1"/>
    </xf>
    <xf numFmtId="0" fontId="41" fillId="33" borderId="135" xfId="3786" applyFont="1" applyFill="1" applyBorder="1" applyAlignment="1">
      <alignment horizontal="center" vertical="center"/>
    </xf>
    <xf numFmtId="0" fontId="41" fillId="33" borderId="180" xfId="3786" applyFont="1" applyFill="1" applyBorder="1" applyAlignment="1">
      <alignment horizontal="center" vertical="center"/>
    </xf>
    <xf numFmtId="0" fontId="41" fillId="33" borderId="180" xfId="3786" applyFont="1" applyFill="1" applyBorder="1" applyAlignment="1">
      <alignment horizontal="center" vertical="center" wrapText="1"/>
    </xf>
    <xf numFmtId="0" fontId="41" fillId="33" borderId="181" xfId="3786" applyFont="1" applyFill="1" applyBorder="1" applyAlignment="1">
      <alignment horizontal="left" vertical="center" indent="1"/>
    </xf>
    <xf numFmtId="0" fontId="41" fillId="33" borderId="181" xfId="3786" applyFont="1" applyFill="1" applyBorder="1" applyAlignment="1">
      <alignment horizontal="center" vertical="center"/>
    </xf>
    <xf numFmtId="0" fontId="41" fillId="33" borderId="135" xfId="149" applyFont="1" applyFill="1" applyBorder="1" applyAlignment="1">
      <alignment horizontal="left" wrapText="1" indent="1"/>
    </xf>
    <xf numFmtId="0" fontId="54" fillId="33" borderId="135" xfId="3786" applyFont="1" applyFill="1" applyBorder="1" applyAlignment="1">
      <alignment horizontal="left" vertical="center" indent="1"/>
    </xf>
    <xf numFmtId="0" fontId="220" fillId="33" borderId="180" xfId="3786" applyFont="1" applyFill="1" applyBorder="1" applyAlignment="1">
      <alignment horizontal="center" vertical="center" wrapText="1"/>
    </xf>
    <xf numFmtId="0" fontId="220" fillId="33" borderId="180" xfId="3786" applyFont="1" applyFill="1" applyBorder="1" applyAlignment="1">
      <alignment horizontal="center" vertical="center"/>
    </xf>
    <xf numFmtId="0" fontId="216" fillId="33" borderId="180" xfId="3786" applyFont="1" applyFill="1" applyBorder="1" applyAlignment="1">
      <alignment horizontal="center" vertical="center" wrapText="1"/>
    </xf>
    <xf numFmtId="0" fontId="41" fillId="33" borderId="135" xfId="3786" applyFont="1" applyFill="1" applyBorder="1" applyAlignment="1">
      <alignment horizontal="left" vertical="center" wrapText="1" indent="1"/>
    </xf>
    <xf numFmtId="0" fontId="41" fillId="33" borderId="186" xfId="3786" applyFont="1" applyFill="1" applyBorder="1" applyAlignment="1">
      <alignment horizontal="left" vertical="center" indent="1"/>
    </xf>
    <xf numFmtId="0" fontId="41" fillId="33" borderId="186" xfId="3786" applyFont="1" applyFill="1" applyBorder="1" applyAlignment="1">
      <alignment horizontal="center" vertical="center"/>
    </xf>
    <xf numFmtId="15" fontId="42" fillId="22" borderId="199" xfId="3786" applyNumberFormat="1" applyFont="1" applyFill="1" applyBorder="1" applyAlignment="1">
      <alignment horizontal="center" vertical="center"/>
    </xf>
    <xf numFmtId="0" fontId="42" fillId="22" borderId="199" xfId="3786" applyFont="1" applyFill="1" applyBorder="1" applyAlignment="1">
      <alignment horizontal="center" vertical="center"/>
    </xf>
    <xf numFmtId="0" fontId="42" fillId="22" borderId="199" xfId="3786" applyFont="1" applyFill="1" applyBorder="1" applyAlignment="1">
      <alignment horizontal="center" vertical="center" wrapText="1"/>
    </xf>
    <xf numFmtId="0" fontId="41" fillId="33" borderId="182" xfId="3786" applyFont="1" applyFill="1" applyBorder="1" applyAlignment="1">
      <alignment horizontal="center" vertical="center" wrapText="1"/>
    </xf>
    <xf numFmtId="0" fontId="31" fillId="0" borderId="0" xfId="0" applyFont="1"/>
    <xf numFmtId="168" fontId="154" fillId="43" borderId="175" xfId="0" applyNumberFormat="1" applyFont="1" applyFill="1" applyBorder="1" applyAlignment="1">
      <alignment horizontal="center"/>
    </xf>
    <xf numFmtId="0" fontId="154" fillId="43" borderId="175" xfId="0" applyFont="1" applyFill="1" applyBorder="1" applyAlignment="1">
      <alignment horizontal="center" vertical="center"/>
    </xf>
    <xf numFmtId="0" fontId="31" fillId="0" borderId="0" xfId="0" applyFont="1" applyAlignment="1">
      <alignment horizontal="center" vertical="center" wrapText="1"/>
    </xf>
    <xf numFmtId="0" fontId="154" fillId="0" borderId="175" xfId="0" applyFont="1" applyBorder="1"/>
    <xf numFmtId="0" fontId="44" fillId="43" borderId="175" xfId="0" applyFont="1" applyFill="1" applyBorder="1" applyAlignment="1">
      <alignment horizontal="center" vertical="center"/>
    </xf>
    <xf numFmtId="168" fontId="225" fillId="43" borderId="175" xfId="0" applyNumberFormat="1" applyFont="1" applyFill="1" applyBorder="1" applyAlignment="1">
      <alignment horizontal="center" vertical="center" wrapText="1"/>
    </xf>
    <xf numFmtId="9" fontId="201" fillId="41" borderId="114" xfId="0" applyNumberFormat="1" applyFont="1" applyFill="1" applyBorder="1" applyAlignment="1">
      <alignment horizontal="center" vertical="center" wrapText="1"/>
    </xf>
    <xf numFmtId="9" fontId="201" fillId="41" borderId="114" xfId="176" applyFont="1" applyFill="1" applyBorder="1" applyAlignment="1">
      <alignment horizontal="center" vertical="center" wrapText="1"/>
    </xf>
    <xf numFmtId="9" fontId="201" fillId="41" borderId="115" xfId="0" applyNumberFormat="1" applyFont="1" applyFill="1" applyBorder="1" applyAlignment="1">
      <alignment horizontal="center" vertical="center" wrapText="1"/>
    </xf>
    <xf numFmtId="0" fontId="201" fillId="41" borderId="115" xfId="0" applyFont="1" applyFill="1" applyBorder="1" applyAlignment="1">
      <alignment horizontal="center" vertical="center" wrapText="1"/>
    </xf>
    <xf numFmtId="9" fontId="201" fillId="0" borderId="114" xfId="0" applyNumberFormat="1" applyFont="1" applyBorder="1" applyAlignment="1">
      <alignment horizontal="center" vertical="center" wrapText="1"/>
    </xf>
    <xf numFmtId="168" fontId="201" fillId="0" borderId="83" xfId="0" applyNumberFormat="1" applyFont="1" applyBorder="1" applyAlignment="1">
      <alignment horizontal="center" vertical="center" wrapText="1"/>
    </xf>
    <xf numFmtId="0" fontId="201" fillId="0" borderId="114" xfId="0" applyFont="1" applyBorder="1" applyAlignment="1">
      <alignment horizontal="center" vertical="center" wrapText="1"/>
    </xf>
    <xf numFmtId="0" fontId="201" fillId="0" borderId="83" xfId="0" applyFont="1" applyBorder="1" applyAlignment="1">
      <alignment horizontal="center" vertical="center" wrapText="1"/>
    </xf>
    <xf numFmtId="9" fontId="201" fillId="0" borderId="83" xfId="0" applyNumberFormat="1" applyFont="1" applyBorder="1" applyAlignment="1">
      <alignment horizontal="center" vertical="center" wrapText="1"/>
    </xf>
    <xf numFmtId="168" fontId="201" fillId="0" borderId="114" xfId="0" applyNumberFormat="1" applyFont="1" applyBorder="1" applyAlignment="1">
      <alignment horizontal="center" vertical="center" wrapText="1"/>
    </xf>
    <xf numFmtId="9" fontId="201" fillId="0" borderId="84" xfId="0" applyNumberFormat="1" applyFont="1" applyBorder="1" applyAlignment="1">
      <alignment horizontal="center" vertical="center" wrapText="1"/>
    </xf>
    <xf numFmtId="3" fontId="201" fillId="0" borderId="115" xfId="0" applyNumberFormat="1" applyFont="1" applyBorder="1" applyAlignment="1">
      <alignment horizontal="center" vertical="center" wrapText="1"/>
    </xf>
    <xf numFmtId="3" fontId="201" fillId="0" borderId="84" xfId="0" applyNumberFormat="1" applyFont="1" applyBorder="1" applyAlignment="1">
      <alignment horizontal="center" vertical="center" wrapText="1"/>
    </xf>
    <xf numFmtId="9" fontId="201" fillId="0" borderId="117" xfId="0" applyNumberFormat="1" applyFont="1" applyBorder="1" applyAlignment="1">
      <alignment horizontal="center" vertical="center" wrapText="1"/>
    </xf>
    <xf numFmtId="9" fontId="201" fillId="0" borderId="78" xfId="0" applyNumberFormat="1" applyFont="1" applyBorder="1" applyAlignment="1">
      <alignment horizontal="center" vertical="center" wrapText="1"/>
    </xf>
    <xf numFmtId="171" fontId="201" fillId="0" borderId="83" xfId="0" applyNumberFormat="1" applyFont="1" applyBorder="1" applyAlignment="1">
      <alignment horizontal="center" vertical="center"/>
    </xf>
    <xf numFmtId="9" fontId="201" fillId="0" borderId="83" xfId="176" applyFont="1" applyBorder="1" applyAlignment="1">
      <alignment horizontal="center" vertical="center"/>
    </xf>
    <xf numFmtId="9" fontId="201" fillId="0" borderId="93" xfId="176" applyFont="1" applyBorder="1" applyAlignment="1">
      <alignment horizontal="center" vertical="center" wrapText="1"/>
    </xf>
    <xf numFmtId="9" fontId="201" fillId="0" borderId="118" xfId="0" applyNumberFormat="1" applyFont="1" applyBorder="1" applyAlignment="1">
      <alignment horizontal="center" vertical="center" wrapText="1"/>
    </xf>
    <xf numFmtId="9" fontId="201" fillId="22" borderId="91" xfId="0" applyNumberFormat="1" applyFont="1" applyFill="1" applyBorder="1" applyAlignment="1">
      <alignment horizontal="center" vertical="center" wrapText="1"/>
    </xf>
    <xf numFmtId="0" fontId="201" fillId="22" borderId="83" xfId="0" applyFont="1" applyFill="1" applyBorder="1" applyAlignment="1">
      <alignment horizontal="center" vertical="center" wrapText="1"/>
    </xf>
    <xf numFmtId="168" fontId="201" fillId="0" borderId="93" xfId="176" applyNumberFormat="1" applyFont="1" applyBorder="1" applyAlignment="1">
      <alignment horizontal="center" vertical="center" wrapText="1"/>
    </xf>
    <xf numFmtId="9" fontId="201" fillId="0" borderId="13" xfId="0" applyNumberFormat="1" applyFont="1" applyBorder="1" applyAlignment="1">
      <alignment horizontal="center" vertical="center" wrapText="1"/>
    </xf>
    <xf numFmtId="3" fontId="201" fillId="0" borderId="99" xfId="0" applyNumberFormat="1" applyFont="1" applyBorder="1" applyAlignment="1">
      <alignment horizontal="center" vertical="center" wrapText="1"/>
    </xf>
    <xf numFmtId="0" fontId="201" fillId="0" borderId="13" xfId="0" applyFont="1" applyBorder="1" applyAlignment="1">
      <alignment horizontal="center" vertical="center" wrapText="1"/>
    </xf>
    <xf numFmtId="3" fontId="201" fillId="0" borderId="83" xfId="0" applyNumberFormat="1" applyFont="1" applyBorder="1" applyAlignment="1">
      <alignment horizontal="center" vertical="center" wrapText="1"/>
    </xf>
    <xf numFmtId="0" fontId="201" fillId="0" borderId="91" xfId="0" applyFont="1" applyBorder="1" applyAlignment="1">
      <alignment horizontal="center" vertical="center" wrapText="1"/>
    </xf>
    <xf numFmtId="0" fontId="0" fillId="0" borderId="200" xfId="0" applyBorder="1" applyAlignment="1">
      <alignment horizontal="center" vertical="center" wrapText="1"/>
    </xf>
    <xf numFmtId="0" fontId="0" fillId="0" borderId="200" xfId="0" applyBorder="1" applyAlignment="1">
      <alignment vertical="center" wrapText="1"/>
    </xf>
    <xf numFmtId="0" fontId="0" fillId="0" borderId="22" xfId="0" applyBorder="1" applyAlignment="1">
      <alignment horizontal="center" vertical="center" wrapText="1"/>
    </xf>
    <xf numFmtId="0" fontId="0" fillId="0" borderId="22" xfId="0" applyBorder="1" applyAlignment="1">
      <alignment vertical="center" wrapText="1"/>
    </xf>
    <xf numFmtId="0" fontId="39" fillId="43" borderId="22" xfId="0" applyFont="1" applyFill="1" applyBorder="1" applyAlignment="1">
      <alignment horizontal="center" vertical="center" wrapText="1"/>
    </xf>
    <xf numFmtId="0" fontId="39" fillId="43" borderId="22" xfId="0" applyFont="1" applyFill="1" applyBorder="1" applyAlignment="1">
      <alignment vertical="center" wrapText="1"/>
    </xf>
    <xf numFmtId="0" fontId="0" fillId="0" borderId="22" xfId="0" applyBorder="1" applyAlignment="1">
      <alignment horizontal="center"/>
    </xf>
    <xf numFmtId="0" fontId="0" fillId="0" borderId="22" xfId="0" applyBorder="1" applyAlignment="1">
      <alignment horizontal="left" vertical="center" wrapText="1"/>
    </xf>
    <xf numFmtId="0" fontId="0" fillId="0" borderId="23" xfId="0" applyBorder="1" applyAlignment="1">
      <alignment horizontal="center" vertical="center" wrapText="1"/>
    </xf>
    <xf numFmtId="0" fontId="0" fillId="0" borderId="23" xfId="0" applyBorder="1" applyAlignment="1">
      <alignment vertical="center" wrapText="1"/>
    </xf>
    <xf numFmtId="0" fontId="42" fillId="0" borderId="16" xfId="0" applyFont="1" applyBorder="1" applyAlignment="1">
      <alignment horizontal="left" vertical="center" wrapText="1"/>
    </xf>
    <xf numFmtId="0" fontId="213" fillId="0" borderId="22" xfId="0" applyFont="1" applyBorder="1" applyAlignment="1">
      <alignment horizontal="center" vertical="center" wrapText="1"/>
    </xf>
    <xf numFmtId="0" fontId="0" fillId="0" borderId="20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00"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246" fillId="0" borderId="0" xfId="0" applyFont="1" applyAlignment="1">
      <alignment vertical="center"/>
    </xf>
    <xf numFmtId="0" fontId="0" fillId="0" borderId="16" xfId="0" applyBorder="1" applyAlignment="1">
      <alignment horizontal="center" vertical="center" wrapText="1"/>
    </xf>
    <xf numFmtId="1" fontId="0" fillId="0" borderId="200" xfId="0" applyNumberFormat="1" applyBorder="1" applyAlignment="1">
      <alignment horizontal="center" vertical="center" wrapText="1"/>
    </xf>
    <xf numFmtId="1" fontId="0" fillId="0" borderId="22" xfId="0" applyNumberFormat="1" applyBorder="1" applyAlignment="1">
      <alignment horizontal="center" vertical="center" wrapText="1"/>
    </xf>
    <xf numFmtId="1" fontId="0" fillId="0" borderId="23" xfId="0" applyNumberFormat="1" applyBorder="1" applyAlignment="1">
      <alignment horizontal="center" vertical="center" wrapText="1"/>
    </xf>
    <xf numFmtId="1" fontId="39" fillId="43" borderId="22" xfId="0" applyNumberFormat="1" applyFont="1" applyFill="1" applyBorder="1" applyAlignment="1">
      <alignment horizontal="center" vertical="center" wrapText="1"/>
    </xf>
    <xf numFmtId="168" fontId="151" fillId="0" borderId="115" xfId="0" applyNumberFormat="1" applyFont="1" applyBorder="1" applyAlignment="1">
      <alignment horizontal="center" vertical="center" wrapText="1"/>
    </xf>
    <xf numFmtId="168" fontId="151" fillId="0" borderId="127" xfId="0" applyNumberFormat="1" applyFont="1" applyBorder="1" applyAlignment="1">
      <alignment horizontal="center" vertical="center" wrapText="1"/>
    </xf>
    <xf numFmtId="168" fontId="151" fillId="0" borderId="153" xfId="0" applyNumberFormat="1" applyFont="1" applyBorder="1" applyAlignment="1">
      <alignment horizontal="center" vertical="center" wrapText="1"/>
    </xf>
    <xf numFmtId="9" fontId="201" fillId="0" borderId="162" xfId="0" applyNumberFormat="1" applyFont="1" applyBorder="1" applyAlignment="1">
      <alignment horizontal="center" vertical="center" wrapText="1"/>
    </xf>
    <xf numFmtId="168" fontId="201" fillId="0" borderId="162" xfId="0" applyNumberFormat="1" applyFont="1" applyBorder="1" applyAlignment="1">
      <alignment horizontal="center" vertical="center" wrapText="1"/>
    </xf>
    <xf numFmtId="168" fontId="151" fillId="0" borderId="162" xfId="0" applyNumberFormat="1" applyFont="1" applyBorder="1" applyAlignment="1">
      <alignment horizontal="center" vertical="center" wrapText="1"/>
    </xf>
    <xf numFmtId="0" fontId="247" fillId="0" borderId="201" xfId="0" applyFont="1" applyBorder="1" applyAlignment="1">
      <alignment horizontal="center" vertical="center" wrapText="1"/>
    </xf>
    <xf numFmtId="0" fontId="61" fillId="0" borderId="191" xfId="0" applyFont="1" applyBorder="1" applyAlignment="1">
      <alignment horizontal="center" vertical="center" wrapText="1"/>
    </xf>
    <xf numFmtId="0" fontId="55" fillId="0" borderId="16" xfId="0" applyFont="1" applyBorder="1" applyAlignment="1">
      <alignment horizontal="center" vertical="center" wrapText="1"/>
    </xf>
    <xf numFmtId="0" fontId="247" fillId="0" borderId="202" xfId="0" applyFont="1" applyBorder="1" applyAlignment="1">
      <alignment horizontal="center" vertical="center" wrapText="1"/>
    </xf>
    <xf numFmtId="0" fontId="39" fillId="0" borderId="150" xfId="0" applyFont="1" applyBorder="1" applyAlignment="1">
      <alignment horizontal="center" vertical="center"/>
    </xf>
    <xf numFmtId="0" fontId="66" fillId="0" borderId="0" xfId="167" applyFont="1" applyAlignment="1">
      <alignment horizontal="right" vertical="center"/>
    </xf>
    <xf numFmtId="0" fontId="39" fillId="0" borderId="16" xfId="0" applyFont="1" applyBorder="1" applyAlignment="1">
      <alignment horizontal="center" vertical="center"/>
    </xf>
    <xf numFmtId="3" fontId="0" fillId="0" borderId="22" xfId="0" applyNumberFormat="1" applyBorder="1" applyAlignment="1">
      <alignment horizontal="center" vertical="center"/>
    </xf>
    <xf numFmtId="0" fontId="39" fillId="20" borderId="150" xfId="0" applyFont="1" applyFill="1" applyBorder="1" applyAlignment="1">
      <alignment horizontal="center" vertical="center"/>
    </xf>
    <xf numFmtId="0" fontId="0" fillId="0" borderId="28" xfId="0" applyBorder="1" applyAlignment="1">
      <alignment horizontal="center" vertical="center"/>
    </xf>
    <xf numFmtId="3" fontId="0" fillId="0" borderId="28" xfId="0" applyNumberFormat="1" applyBorder="1" applyAlignment="1">
      <alignment horizontal="center" vertical="center"/>
    </xf>
    <xf numFmtId="3" fontId="0" fillId="0" borderId="203" xfId="0" applyNumberFormat="1" applyBorder="1" applyAlignment="1">
      <alignment horizontal="center" vertical="center"/>
    </xf>
    <xf numFmtId="3" fontId="0" fillId="0" borderId="135" xfId="0" applyNumberFormat="1" applyBorder="1" applyAlignment="1">
      <alignment horizontal="center" vertical="center"/>
    </xf>
    <xf numFmtId="3" fontId="0" fillId="0" borderId="178" xfId="0" applyNumberFormat="1" applyBorder="1" applyAlignment="1">
      <alignment horizontal="center" vertical="center"/>
    </xf>
    <xf numFmtId="3" fontId="39" fillId="20" borderId="183" xfId="0" applyNumberFormat="1" applyFont="1" applyFill="1" applyBorder="1" applyAlignment="1">
      <alignment horizontal="center" vertical="center"/>
    </xf>
    <xf numFmtId="0" fontId="106" fillId="0" borderId="23" xfId="0" applyFont="1" applyBorder="1" applyAlignment="1">
      <alignment horizontal="center" vertical="center"/>
    </xf>
    <xf numFmtId="3" fontId="106" fillId="0" borderId="181" xfId="0" applyNumberFormat="1" applyFont="1" applyBorder="1" applyAlignment="1">
      <alignment horizontal="center" vertical="center"/>
    </xf>
    <xf numFmtId="3" fontId="106" fillId="0" borderId="23" xfId="0" applyNumberFormat="1" applyFont="1" applyBorder="1" applyAlignment="1">
      <alignment horizontal="center" vertical="center"/>
    </xf>
    <xf numFmtId="0" fontId="110" fillId="0" borderId="23" xfId="0" applyFont="1" applyBorder="1" applyAlignment="1">
      <alignment horizontal="center" vertical="center"/>
    </xf>
    <xf numFmtId="3" fontId="110" fillId="0" borderId="181" xfId="0" applyNumberFormat="1" applyFont="1" applyBorder="1" applyAlignment="1">
      <alignment horizontal="center" vertical="center"/>
    </xf>
    <xf numFmtId="3" fontId="110" fillId="0" borderId="23" xfId="0" applyNumberFormat="1" applyFont="1" applyBorder="1" applyAlignment="1">
      <alignment horizontal="center" vertical="center"/>
    </xf>
    <xf numFmtId="0" fontId="105" fillId="0" borderId="23" xfId="0" applyFont="1" applyBorder="1" applyAlignment="1">
      <alignment horizontal="center" vertical="center"/>
    </xf>
    <xf numFmtId="3" fontId="105" fillId="0" borderId="181" xfId="0" applyNumberFormat="1" applyFont="1" applyBorder="1" applyAlignment="1">
      <alignment horizontal="center" vertical="center"/>
    </xf>
    <xf numFmtId="0" fontId="113" fillId="0" borderId="23" xfId="0" applyFont="1" applyBorder="1" applyAlignment="1">
      <alignment horizontal="center" vertical="center"/>
    </xf>
    <xf numFmtId="3" fontId="113" fillId="0" borderId="181" xfId="0" applyNumberFormat="1" applyFont="1" applyBorder="1" applyAlignment="1">
      <alignment horizontal="center" vertical="center"/>
    </xf>
    <xf numFmtId="3" fontId="113" fillId="0" borderId="23" xfId="0" applyNumberFormat="1" applyFont="1" applyBorder="1" applyAlignment="1">
      <alignment horizontal="center" vertical="center"/>
    </xf>
    <xf numFmtId="0" fontId="108" fillId="0" borderId="23" xfId="0" applyFont="1" applyBorder="1" applyAlignment="1">
      <alignment horizontal="center" vertical="center"/>
    </xf>
    <xf numFmtId="0" fontId="108" fillId="0" borderId="181" xfId="0" applyFont="1" applyBorder="1" applyAlignment="1">
      <alignment horizontal="center" vertical="center"/>
    </xf>
    <xf numFmtId="3" fontId="108" fillId="0" borderId="181" xfId="0" applyNumberFormat="1" applyFont="1" applyBorder="1" applyAlignment="1">
      <alignment horizontal="center" vertical="center"/>
    </xf>
    <xf numFmtId="3" fontId="108" fillId="0" borderId="23" xfId="0" applyNumberFormat="1" applyFont="1" applyBorder="1" applyAlignment="1">
      <alignment horizontal="center" vertical="center"/>
    </xf>
    <xf numFmtId="0" fontId="39" fillId="0" borderId="183" xfId="0" applyFont="1" applyBorder="1" applyAlignment="1">
      <alignment horizontal="center" vertical="center"/>
    </xf>
    <xf numFmtId="0" fontId="23" fillId="20" borderId="22" xfId="173" applyFont="1" applyFill="1" applyBorder="1" applyAlignment="1">
      <alignment horizontal="center" vertical="center" wrapText="1"/>
    </xf>
    <xf numFmtId="168" fontId="0" fillId="0" borderId="179" xfId="176" applyNumberFormat="1" applyFont="1" applyBorder="1" applyAlignment="1">
      <alignment horizontal="right" vertical="center" indent="1"/>
    </xf>
    <xf numFmtId="168" fontId="0" fillId="20" borderId="182" xfId="176" applyNumberFormat="1" applyFont="1" applyFill="1" applyBorder="1" applyAlignment="1">
      <alignment horizontal="right" vertical="center" indent="1"/>
    </xf>
    <xf numFmtId="168" fontId="0" fillId="0" borderId="0" xfId="176" applyNumberFormat="1" applyFont="1" applyAlignment="1">
      <alignment horizontal="right" vertical="center" indent="1"/>
    </xf>
    <xf numFmtId="3" fontId="0" fillId="0" borderId="140" xfId="0" applyNumberFormat="1" applyBorder="1" applyAlignment="1">
      <alignment horizontal="right" indent="1"/>
    </xf>
    <xf numFmtId="3" fontId="0" fillId="0" borderId="178" xfId="0" applyNumberFormat="1" applyBorder="1" applyAlignment="1">
      <alignment horizontal="right" indent="1"/>
    </xf>
    <xf numFmtId="3" fontId="0" fillId="0" borderId="133" xfId="0" applyNumberFormat="1" applyBorder="1" applyAlignment="1">
      <alignment horizontal="right" indent="1"/>
    </xf>
    <xf numFmtId="3" fontId="0" fillId="0" borderId="135" xfId="0" applyNumberFormat="1" applyBorder="1" applyAlignment="1">
      <alignment horizontal="right" indent="1"/>
    </xf>
    <xf numFmtId="3" fontId="0" fillId="20" borderId="136" xfId="0" applyNumberFormat="1" applyFill="1" applyBorder="1" applyAlignment="1">
      <alignment horizontal="right" indent="1"/>
    </xf>
    <xf numFmtId="3" fontId="0" fillId="20" borderId="181" xfId="0" applyNumberFormat="1" applyFill="1" applyBorder="1" applyAlignment="1">
      <alignment horizontal="right" indent="1"/>
    </xf>
    <xf numFmtId="3" fontId="0" fillId="0" borderId="0" xfId="0" applyNumberFormat="1" applyAlignment="1">
      <alignment horizontal="right" indent="1"/>
    </xf>
    <xf numFmtId="3" fontId="0" fillId="20" borderId="138" xfId="0" applyNumberFormat="1" applyFill="1" applyBorder="1" applyAlignment="1">
      <alignment horizontal="right" indent="1"/>
    </xf>
    <xf numFmtId="3" fontId="0" fillId="20" borderId="183" xfId="0" applyNumberFormat="1" applyFill="1" applyBorder="1" applyAlignment="1">
      <alignment horizontal="right" indent="1"/>
    </xf>
    <xf numFmtId="0" fontId="0" fillId="0" borderId="28" xfId="0" applyBorder="1" applyAlignment="1">
      <alignment horizontal="center"/>
    </xf>
    <xf numFmtId="0" fontId="0" fillId="20" borderId="23" xfId="0" applyFill="1" applyBorder="1" applyAlignment="1">
      <alignment horizontal="center"/>
    </xf>
    <xf numFmtId="168" fontId="39" fillId="43" borderId="182" xfId="176" applyNumberFormat="1" applyFont="1" applyFill="1" applyBorder="1" applyAlignment="1">
      <alignment horizontal="right" vertical="center" indent="1"/>
    </xf>
    <xf numFmtId="169" fontId="41" fillId="0" borderId="179" xfId="108" applyNumberFormat="1" applyFont="1" applyBorder="1"/>
    <xf numFmtId="169" fontId="41" fillId="0" borderId="180" xfId="108" applyNumberFormat="1" applyFont="1" applyBorder="1"/>
    <xf numFmtId="169" fontId="0" fillId="20" borderId="182" xfId="0" applyNumberFormat="1" applyFill="1" applyBorder="1" applyAlignment="1">
      <alignment horizontal="center"/>
    </xf>
    <xf numFmtId="169" fontId="41" fillId="20" borderId="182" xfId="0" applyNumberFormat="1" applyFont="1" applyFill="1" applyBorder="1" applyAlignment="1">
      <alignment horizontal="center"/>
    </xf>
    <xf numFmtId="168" fontId="37" fillId="0" borderId="28" xfId="182" applyNumberFormat="1" applyBorder="1" applyAlignment="1">
      <alignment horizontal="right" indent="1"/>
    </xf>
    <xf numFmtId="168" fontId="37" fillId="0" borderId="22" xfId="182" applyNumberFormat="1" applyBorder="1" applyAlignment="1">
      <alignment horizontal="right" indent="1"/>
    </xf>
    <xf numFmtId="10" fontId="37" fillId="0" borderId="22" xfId="182" applyNumberFormat="1" applyBorder="1" applyAlignment="1">
      <alignment horizontal="right" indent="1"/>
    </xf>
    <xf numFmtId="168" fontId="42" fillId="20" borderId="25" xfId="182" applyNumberFormat="1" applyFont="1" applyFill="1" applyBorder="1" applyAlignment="1">
      <alignment horizontal="right" indent="1"/>
    </xf>
    <xf numFmtId="0" fontId="0" fillId="0" borderId="120" xfId="0" applyBorder="1"/>
    <xf numFmtId="168" fontId="0" fillId="0" borderId="120" xfId="0" applyNumberFormat="1" applyBorder="1" applyAlignment="1">
      <alignment horizontal="right" indent="1"/>
    </xf>
    <xf numFmtId="168" fontId="0" fillId="0" borderId="28" xfId="0" applyNumberFormat="1" applyBorder="1" applyAlignment="1">
      <alignment horizontal="right" indent="1"/>
    </xf>
    <xf numFmtId="168" fontId="42" fillId="20" borderId="23" xfId="182" applyNumberFormat="1" applyFont="1" applyFill="1" applyBorder="1" applyAlignment="1">
      <alignment horizontal="right" indent="1"/>
    </xf>
    <xf numFmtId="168" fontId="39" fillId="43" borderId="182" xfId="182" applyNumberFormat="1" applyFont="1" applyFill="1" applyBorder="1" applyAlignment="1">
      <alignment horizontal="right" indent="1"/>
    </xf>
    <xf numFmtId="0" fontId="248" fillId="0" borderId="0" xfId="0" applyFont="1" applyAlignment="1">
      <alignment horizontal="center" vertical="center"/>
    </xf>
    <xf numFmtId="0" fontId="7" fillId="0" borderId="0" xfId="173" applyFont="1" applyAlignment="1">
      <alignment horizontal="left"/>
    </xf>
    <xf numFmtId="0" fontId="85" fillId="0" borderId="0" xfId="0" applyFont="1" applyAlignment="1">
      <alignment vertical="center" wrapText="1"/>
    </xf>
    <xf numFmtId="0" fontId="23" fillId="20" borderId="25" xfId="173" applyFont="1" applyFill="1" applyBorder="1" applyAlignment="1">
      <alignment horizontal="center" vertical="center" wrapText="1"/>
    </xf>
    <xf numFmtId="167" fontId="23" fillId="20" borderId="25" xfId="109" applyNumberFormat="1" applyFont="1" applyFill="1" applyBorder="1" applyAlignment="1">
      <alignment horizontal="right" vertical="center" wrapText="1" indent="1"/>
    </xf>
    <xf numFmtId="0" fontId="156" fillId="0" borderId="150" xfId="173" applyFont="1" applyBorder="1" applyAlignment="1">
      <alignment horizontal="center" vertical="center" wrapText="1"/>
    </xf>
    <xf numFmtId="0" fontId="157" fillId="0" borderId="150" xfId="173" applyFont="1" applyBorder="1" applyAlignment="1">
      <alignment horizontal="center" vertical="center" wrapText="1"/>
    </xf>
    <xf numFmtId="0" fontId="158" fillId="0" borderId="150" xfId="173" applyFont="1" applyBorder="1" applyAlignment="1">
      <alignment horizontal="center" vertical="center" wrapText="1"/>
    </xf>
    <xf numFmtId="0" fontId="159" fillId="0" borderId="150" xfId="173" applyFont="1" applyBorder="1" applyAlignment="1">
      <alignment horizontal="center" vertical="center" wrapText="1"/>
    </xf>
    <xf numFmtId="0" fontId="7" fillId="0" borderId="97" xfId="173" applyFont="1" applyBorder="1" applyAlignment="1">
      <alignment horizontal="left" vertical="center" wrapText="1"/>
    </xf>
    <xf numFmtId="0" fontId="7" fillId="0" borderId="110" xfId="173" applyFont="1" applyBorder="1" applyAlignment="1">
      <alignment horizontal="left" vertical="center" wrapText="1"/>
    </xf>
    <xf numFmtId="0" fontId="7" fillId="0" borderId="111" xfId="173" applyFont="1" applyBorder="1" applyAlignment="1">
      <alignment horizontal="left" vertical="center" wrapText="1"/>
    </xf>
    <xf numFmtId="167" fontId="23" fillId="20" borderId="188" xfId="109" applyNumberFormat="1" applyFont="1" applyFill="1" applyBorder="1" applyAlignment="1">
      <alignment horizontal="right" vertical="center" wrapText="1" indent="1"/>
    </xf>
    <xf numFmtId="0" fontId="155" fillId="0" borderId="150" xfId="173" applyFont="1" applyBorder="1" applyAlignment="1">
      <alignment horizontal="center" vertical="center" wrapText="1"/>
    </xf>
    <xf numFmtId="0" fontId="7" fillId="0" borderId="204" xfId="173" applyFont="1" applyBorder="1" applyAlignment="1">
      <alignment horizontal="left" vertical="center" wrapText="1"/>
    </xf>
    <xf numFmtId="0" fontId="7" fillId="0" borderId="205" xfId="803" applyFont="1" applyBorder="1" applyAlignment="1">
      <alignment horizontal="right" vertical="center" wrapText="1" indent="1"/>
    </xf>
    <xf numFmtId="0" fontId="7" fillId="0" borderId="204" xfId="173" applyFont="1" applyBorder="1" applyAlignment="1">
      <alignment vertical="center" wrapText="1"/>
    </xf>
    <xf numFmtId="0" fontId="63" fillId="0" borderId="0" xfId="0" applyFont="1" applyAlignment="1">
      <alignment horizontal="left"/>
    </xf>
    <xf numFmtId="3" fontId="23" fillId="20" borderId="188" xfId="109" applyNumberFormat="1" applyFont="1" applyFill="1" applyBorder="1" applyAlignment="1">
      <alignment horizontal="right" vertical="center" wrapText="1" indent="1"/>
    </xf>
    <xf numFmtId="0" fontId="155" fillId="0" borderId="208" xfId="173" applyFont="1" applyBorder="1" applyAlignment="1">
      <alignment horizontal="center" vertical="center" wrapText="1"/>
    </xf>
    <xf numFmtId="0" fontId="156" fillId="0" borderId="208" xfId="173" applyFont="1" applyBorder="1" applyAlignment="1">
      <alignment horizontal="center" vertical="center" wrapText="1"/>
    </xf>
    <xf numFmtId="3" fontId="156" fillId="0" borderId="210" xfId="109" applyNumberFormat="1" applyFont="1" applyBorder="1" applyAlignment="1">
      <alignment horizontal="right" vertical="center" wrapText="1" indent="1"/>
    </xf>
    <xf numFmtId="0" fontId="157" fillId="0" borderId="208" xfId="173" applyFont="1" applyBorder="1" applyAlignment="1">
      <alignment horizontal="center" vertical="center" wrapText="1"/>
    </xf>
    <xf numFmtId="3" fontId="157" fillId="0" borderId="210" xfId="109" applyNumberFormat="1" applyFont="1" applyBorder="1" applyAlignment="1">
      <alignment horizontal="right" vertical="center" wrapText="1" indent="1"/>
    </xf>
    <xf numFmtId="0" fontId="158" fillId="0" borderId="208" xfId="173" applyFont="1" applyBorder="1" applyAlignment="1">
      <alignment horizontal="center" vertical="center" wrapText="1"/>
    </xf>
    <xf numFmtId="0" fontId="7" fillId="0" borderId="211" xfId="173" applyFont="1" applyBorder="1" applyAlignment="1">
      <alignment vertical="center" wrapText="1"/>
    </xf>
    <xf numFmtId="0" fontId="23" fillId="20" borderId="0" xfId="173" applyFont="1" applyFill="1" applyAlignment="1">
      <alignment horizontal="center" vertical="center" wrapText="1"/>
    </xf>
    <xf numFmtId="3" fontId="23" fillId="20" borderId="134" xfId="109" applyNumberFormat="1" applyFont="1" applyFill="1" applyBorder="1" applyAlignment="1">
      <alignment horizontal="right" vertical="center" wrapText="1" indent="1"/>
    </xf>
    <xf numFmtId="0" fontId="159" fillId="0" borderId="208" xfId="173" applyFont="1" applyBorder="1" applyAlignment="1">
      <alignment horizontal="center" vertical="center" wrapText="1"/>
    </xf>
    <xf numFmtId="0" fontId="2" fillId="0" borderId="0" xfId="149" applyFont="1" applyAlignment="1">
      <alignment vertical="center" wrapText="1"/>
    </xf>
    <xf numFmtId="0" fontId="79" fillId="0" borderId="16" xfId="173" applyFont="1" applyBorder="1" applyAlignment="1">
      <alignment horizontal="center" vertical="center"/>
    </xf>
    <xf numFmtId="3" fontId="0" fillId="0" borderId="140" xfId="0" applyNumberFormat="1" applyBorder="1"/>
    <xf numFmtId="3" fontId="0" fillId="0" borderId="133" xfId="0" applyNumberFormat="1" applyBorder="1"/>
    <xf numFmtId="3" fontId="39" fillId="20" borderId="136" xfId="0" applyNumberFormat="1" applyFont="1" applyFill="1" applyBorder="1"/>
    <xf numFmtId="3" fontId="39" fillId="20" borderId="138" xfId="0" applyNumberFormat="1" applyFont="1" applyFill="1" applyBorder="1"/>
    <xf numFmtId="3" fontId="0" fillId="0" borderId="178" xfId="0" applyNumberFormat="1" applyBorder="1"/>
    <xf numFmtId="3" fontId="0" fillId="0" borderId="135" xfId="0" applyNumberFormat="1" applyBorder="1"/>
    <xf numFmtId="3" fontId="39" fillId="20" borderId="181" xfId="0" applyNumberFormat="1" applyFont="1" applyFill="1" applyBorder="1"/>
    <xf numFmtId="3" fontId="39" fillId="20" borderId="183" xfId="0" applyNumberFormat="1" applyFont="1" applyFill="1" applyBorder="1"/>
    <xf numFmtId="168" fontId="0" fillId="0" borderId="179" xfId="176" applyNumberFormat="1" applyFont="1" applyBorder="1" applyAlignment="1">
      <alignment horizontal="center" vertical="center"/>
    </xf>
    <xf numFmtId="168" fontId="39" fillId="20" borderId="182" xfId="176" applyNumberFormat="1" applyFont="1" applyFill="1" applyBorder="1" applyAlignment="1">
      <alignment horizontal="center" vertical="center"/>
    </xf>
    <xf numFmtId="168" fontId="0" fillId="0" borderId="0" xfId="176" applyNumberFormat="1" applyFont="1" applyAlignment="1">
      <alignment horizontal="center" vertical="center"/>
    </xf>
    <xf numFmtId="0" fontId="58" fillId="0" borderId="16" xfId="0" applyFont="1" applyBorder="1" applyAlignment="1">
      <alignment horizontal="center" vertical="center" wrapText="1"/>
    </xf>
    <xf numFmtId="0" fontId="60" fillId="0" borderId="0" xfId="0" applyFont="1" applyAlignment="1">
      <alignment horizontal="right"/>
    </xf>
    <xf numFmtId="0" fontId="84" fillId="0" borderId="0" xfId="0" applyFont="1" applyAlignment="1">
      <alignment horizontal="center"/>
    </xf>
    <xf numFmtId="0" fontId="130" fillId="0" borderId="83" xfId="0" applyFont="1" applyFill="1" applyBorder="1" applyAlignment="1">
      <alignment horizontal="center" vertical="center" wrapText="1"/>
    </xf>
    <xf numFmtId="0" fontId="130" fillId="0" borderId="93" xfId="0" applyFont="1" applyFill="1" applyBorder="1" applyAlignment="1">
      <alignment vertical="center" wrapText="1"/>
    </xf>
    <xf numFmtId="0" fontId="99" fillId="0" borderId="83" xfId="377" applyFill="1" applyBorder="1" applyAlignment="1">
      <alignment horizontal="center" vertical="center" wrapText="1"/>
    </xf>
    <xf numFmtId="0" fontId="130" fillId="0" borderId="94" xfId="0" applyFont="1" applyFill="1" applyBorder="1" applyAlignment="1">
      <alignment horizontal="left" vertical="center" wrapText="1"/>
    </xf>
    <xf numFmtId="0" fontId="99" fillId="0" borderId="162" xfId="377" applyFill="1" applyBorder="1" applyAlignment="1">
      <alignment horizontal="center" vertical="center" wrapText="1"/>
    </xf>
    <xf numFmtId="0" fontId="43" fillId="0" borderId="156" xfId="0" applyFont="1" applyFill="1" applyBorder="1" applyAlignment="1">
      <alignment horizontal="left" vertical="center" wrapText="1"/>
    </xf>
    <xf numFmtId="0" fontId="99" fillId="0" borderId="99" xfId="377" applyFill="1" applyBorder="1" applyAlignment="1">
      <alignment horizontal="center" vertical="center" wrapText="1"/>
    </xf>
    <xf numFmtId="0" fontId="151" fillId="0" borderId="83" xfId="0" applyFont="1" applyFill="1" applyBorder="1" applyAlignment="1">
      <alignment horizontal="left" vertical="center" wrapText="1"/>
    </xf>
    <xf numFmtId="0" fontId="130" fillId="0" borderId="83" xfId="0" applyFont="1" applyFill="1" applyBorder="1" applyAlignment="1">
      <alignment vertical="center" wrapText="1"/>
    </xf>
    <xf numFmtId="0" fontId="130" fillId="0" borderId="83" xfId="0" applyFont="1" applyFill="1" applyBorder="1" applyAlignment="1">
      <alignment horizontal="center" vertical="center"/>
    </xf>
    <xf numFmtId="0" fontId="130" fillId="0" borderId="94" xfId="0" applyFont="1" applyFill="1" applyBorder="1" applyAlignment="1">
      <alignment vertical="center" wrapText="1"/>
    </xf>
    <xf numFmtId="0" fontId="39" fillId="0" borderId="214" xfId="0" applyFont="1" applyFill="1" applyBorder="1" applyAlignment="1">
      <alignment horizontal="center"/>
    </xf>
    <xf numFmtId="0" fontId="96" fillId="0" borderId="0" xfId="0" applyFont="1" applyAlignment="1">
      <alignment horizontal="center"/>
    </xf>
    <xf numFmtId="0" fontId="0" fillId="0" borderId="0" xfId="0"/>
    <xf numFmtId="181" fontId="39" fillId="0" borderId="0" xfId="107" applyNumberFormat="1" applyFont="1" applyFill="1" applyBorder="1" applyAlignment="1">
      <alignment horizontal="right" vertical="center" indent="2"/>
    </xf>
    <xf numFmtId="181" fontId="39" fillId="20" borderId="208" xfId="107" applyNumberFormat="1" applyFont="1" applyFill="1" applyBorder="1" applyAlignment="1">
      <alignment horizontal="right" vertical="center" indent="2"/>
    </xf>
    <xf numFmtId="0" fontId="96" fillId="0" borderId="0" xfId="0" applyFont="1" applyBorder="1"/>
    <xf numFmtId="2" fontId="96" fillId="0" borderId="0" xfId="0" applyNumberFormat="1" applyFont="1" applyBorder="1" applyAlignment="1">
      <alignment horizontal="center"/>
    </xf>
    <xf numFmtId="0" fontId="96" fillId="0" borderId="0" xfId="0" applyFont="1" applyBorder="1" applyAlignment="1">
      <alignment horizontal="center"/>
    </xf>
    <xf numFmtId="0" fontId="50" fillId="0" borderId="208" xfId="0" applyFont="1" applyBorder="1"/>
    <xf numFmtId="0" fontId="96" fillId="0" borderId="208" xfId="0" applyFont="1" applyBorder="1"/>
    <xf numFmtId="2" fontId="96" fillId="0" borderId="208" xfId="0" applyNumberFormat="1" applyFont="1" applyBorder="1" applyAlignment="1">
      <alignment horizontal="center"/>
    </xf>
    <xf numFmtId="0" fontId="96" fillId="0" borderId="208" xfId="0" applyFont="1" applyBorder="1" applyAlignment="1">
      <alignment horizontal="center"/>
    </xf>
    <xf numFmtId="0" fontId="0" fillId="0" borderId="0" xfId="0" applyFont="1"/>
    <xf numFmtId="0" fontId="0" fillId="0" borderId="0" xfId="0" applyFont="1" applyAlignment="1">
      <alignment horizontal="center" vertical="center"/>
    </xf>
    <xf numFmtId="171" fontId="39" fillId="20" borderId="162" xfId="0" applyNumberFormat="1" applyFont="1" applyFill="1" applyBorder="1" applyAlignment="1">
      <alignment horizontal="center" vertical="center"/>
    </xf>
    <xf numFmtId="1" fontId="60" fillId="0" borderId="0" xfId="211" applyNumberFormat="1" applyFont="1" applyBorder="1" applyAlignment="1">
      <alignment horizontal="center"/>
    </xf>
    <xf numFmtId="1" fontId="60" fillId="0" borderId="208" xfId="211" applyNumberFormat="1" applyFont="1" applyBorder="1" applyAlignment="1">
      <alignment horizontal="center"/>
    </xf>
    <xf numFmtId="1" fontId="60" fillId="0" borderId="105" xfId="211" applyNumberFormat="1" applyFont="1" applyBorder="1" applyAlignment="1">
      <alignment horizontal="center"/>
    </xf>
    <xf numFmtId="0" fontId="135" fillId="0" borderId="175" xfId="211" applyFont="1" applyFill="1" applyBorder="1" applyAlignment="1">
      <alignment horizontal="center" vertical="center" wrapText="1"/>
    </xf>
    <xf numFmtId="2" fontId="50" fillId="0" borderId="16" xfId="0" applyNumberFormat="1" applyFont="1" applyBorder="1" applyAlignment="1">
      <alignment horizontal="center"/>
    </xf>
    <xf numFmtId="1" fontId="175" fillId="0" borderId="16" xfId="211" applyNumberFormat="1" applyFont="1" applyBorder="1" applyAlignment="1">
      <alignment horizontal="center"/>
    </xf>
    <xf numFmtId="0" fontId="130" fillId="22" borderId="157" xfId="0" applyFont="1" applyFill="1" applyBorder="1" applyAlignment="1">
      <alignment vertical="center" wrapText="1"/>
    </xf>
    <xf numFmtId="0" fontId="130" fillId="22" borderId="91" xfId="0" applyFont="1" applyFill="1" applyBorder="1" applyAlignment="1">
      <alignment vertical="center" wrapText="1"/>
    </xf>
    <xf numFmtId="0" fontId="130" fillId="22" borderId="93" xfId="0" applyFont="1" applyFill="1" applyBorder="1" applyAlignment="1">
      <alignment vertical="center" wrapText="1"/>
    </xf>
    <xf numFmtId="0" fontId="130" fillId="22" borderId="13" xfId="0" applyFont="1" applyFill="1" applyBorder="1" applyAlignment="1">
      <alignment vertical="center" wrapText="1"/>
    </xf>
    <xf numFmtId="0" fontId="130" fillId="22" borderId="83" xfId="0" applyFont="1" applyFill="1" applyBorder="1" applyAlignment="1">
      <alignment vertical="center" wrapText="1"/>
    </xf>
    <xf numFmtId="0" fontId="74" fillId="0" borderId="0" xfId="0" applyFont="1" applyAlignment="1">
      <alignment horizontal="center"/>
    </xf>
    <xf numFmtId="0" fontId="96" fillId="0" borderId="0" xfId="0" applyFont="1" applyAlignment="1">
      <alignment horizontal="center"/>
    </xf>
    <xf numFmtId="0" fontId="0" fillId="0" borderId="0" xfId="0"/>
    <xf numFmtId="0" fontId="49" fillId="0" borderId="0" xfId="0" applyFont="1" applyAlignment="1">
      <alignment horizontal="center" vertical="center"/>
    </xf>
    <xf numFmtId="0" fontId="0" fillId="0" borderId="0" xfId="0" applyAlignment="1">
      <alignment horizontal="center"/>
    </xf>
    <xf numFmtId="10" fontId="74" fillId="0" borderId="0" xfId="176" applyNumberFormat="1" applyFont="1" applyAlignment="1">
      <alignment horizontal="center"/>
    </xf>
    <xf numFmtId="0" fontId="39" fillId="0" borderId="0" xfId="0" applyFont="1" applyBorder="1"/>
    <xf numFmtId="10" fontId="39" fillId="0" borderId="0" xfId="176" applyNumberFormat="1" applyFont="1" applyBorder="1" applyAlignment="1">
      <alignment horizontal="center"/>
    </xf>
    <xf numFmtId="0" fontId="74" fillId="0" borderId="0" xfId="0" applyFont="1" applyBorder="1" applyAlignment="1">
      <alignment horizontal="center"/>
    </xf>
    <xf numFmtId="0" fontId="96" fillId="21" borderId="0" xfId="0" applyFont="1" applyFill="1"/>
    <xf numFmtId="0" fontId="96" fillId="21" borderId="16" xfId="0" applyFont="1" applyFill="1" applyBorder="1"/>
    <xf numFmtId="0" fontId="251" fillId="43" borderId="16" xfId="238" applyFont="1" applyFill="1" applyBorder="1" applyAlignment="1">
      <alignment horizontal="center" vertical="center"/>
    </xf>
    <xf numFmtId="0" fontId="40" fillId="0" borderId="0" xfId="0" applyFont="1" applyAlignment="1">
      <alignment horizontal="center"/>
    </xf>
    <xf numFmtId="0" fontId="74" fillId="0" borderId="0" xfId="0" applyFont="1" applyBorder="1"/>
    <xf numFmtId="2" fontId="74" fillId="0" borderId="0" xfId="0" applyNumberFormat="1" applyFont="1" applyBorder="1" applyAlignment="1">
      <alignment horizontal="center"/>
    </xf>
    <xf numFmtId="0" fontId="49" fillId="0" borderId="0" xfId="0" applyFont="1" applyBorder="1"/>
    <xf numFmtId="185" fontId="98" fillId="0" borderId="0" xfId="455" applyNumberFormat="1" applyFont="1" applyBorder="1" applyAlignment="1">
      <alignment horizontal="center" vertical="center"/>
    </xf>
    <xf numFmtId="0" fontId="49" fillId="0" borderId="0" xfId="0" applyFont="1" applyBorder="1" applyAlignment="1">
      <alignment horizontal="center"/>
    </xf>
    <xf numFmtId="0" fontId="49" fillId="0" borderId="208" xfId="0" applyFont="1" applyBorder="1"/>
    <xf numFmtId="0" fontId="74" fillId="0" borderId="208" xfId="0" applyFont="1" applyBorder="1"/>
    <xf numFmtId="2" fontId="74" fillId="0" borderId="208" xfId="0" applyNumberFormat="1" applyFont="1" applyBorder="1" applyAlignment="1">
      <alignment horizontal="center"/>
    </xf>
    <xf numFmtId="0" fontId="74" fillId="0" borderId="208" xfId="0" applyFont="1" applyBorder="1" applyAlignment="1">
      <alignment horizontal="center"/>
    </xf>
    <xf numFmtId="2" fontId="98" fillId="0" borderId="208" xfId="238" applyNumberFormat="1" applyFont="1" applyBorder="1" applyAlignment="1">
      <alignment horizontal="center" vertical="center"/>
    </xf>
    <xf numFmtId="0" fontId="49" fillId="0" borderId="208" xfId="0" applyFont="1" applyBorder="1" applyAlignment="1">
      <alignment horizontal="center"/>
    </xf>
    <xf numFmtId="0" fontId="48" fillId="0" borderId="0" xfId="0" applyFont="1" applyAlignment="1">
      <alignment vertical="center" wrapText="1"/>
    </xf>
    <xf numFmtId="185" fontId="96" fillId="0" borderId="208" xfId="0" applyNumberFormat="1" applyFont="1" applyBorder="1" applyAlignment="1">
      <alignment horizontal="center" vertical="center"/>
    </xf>
    <xf numFmtId="0" fontId="50" fillId="0" borderId="208" xfId="0" applyFont="1" applyBorder="1" applyAlignment="1">
      <alignment horizontal="center" vertical="center"/>
    </xf>
    <xf numFmtId="0" fontId="174" fillId="43" borderId="16" xfId="238" applyFont="1" applyFill="1" applyBorder="1" applyAlignment="1">
      <alignment horizontal="center"/>
    </xf>
    <xf numFmtId="185" fontId="73" fillId="0" borderId="98" xfId="455" applyNumberFormat="1" applyFont="1" applyBorder="1" applyAlignment="1">
      <alignment horizontal="center" vertical="center"/>
    </xf>
    <xf numFmtId="0" fontId="85" fillId="0" borderId="0" xfId="0" applyFont="1" applyAlignment="1">
      <alignment vertical="center"/>
    </xf>
    <xf numFmtId="0" fontId="248" fillId="0" borderId="0" xfId="0" applyFont="1" applyAlignment="1">
      <alignment vertical="center"/>
    </xf>
    <xf numFmtId="0" fontId="0" fillId="0" borderId="0" xfId="0"/>
    <xf numFmtId="0" fontId="129" fillId="0" borderId="0" xfId="0" applyFont="1" applyAlignment="1">
      <alignment horizontal="center" vertical="center" wrapText="1"/>
    </xf>
    <xf numFmtId="0" fontId="2" fillId="0" borderId="0" xfId="0" applyFont="1" applyBorder="1" applyAlignment="1">
      <alignment horizontal="center" wrapText="1"/>
    </xf>
    <xf numFmtId="0" fontId="42" fillId="0" borderId="0" xfId="0" applyFont="1" applyBorder="1"/>
    <xf numFmtId="0" fontId="42" fillId="0" borderId="0" xfId="0" applyFont="1" applyBorder="1" applyAlignment="1">
      <alignment horizontal="center" vertical="center"/>
    </xf>
    <xf numFmtId="0" fontId="2" fillId="0" borderId="0" xfId="0" applyFont="1" applyBorder="1"/>
    <xf numFmtId="0" fontId="55" fillId="0" borderId="0" xfId="0" applyFont="1" applyBorder="1"/>
    <xf numFmtId="0" fontId="41" fillId="0" borderId="0" xfId="0" applyFont="1" applyBorder="1"/>
    <xf numFmtId="0" fontId="55" fillId="0" borderId="0" xfId="0" applyFont="1" applyFill="1" applyBorder="1"/>
    <xf numFmtId="0" fontId="41" fillId="0" borderId="28" xfId="149" applyFont="1" applyBorder="1" applyAlignment="1">
      <alignment horizontal="center" vertical="center"/>
    </xf>
    <xf numFmtId="0" fontId="41" fillId="0" borderId="22" xfId="149" applyFont="1" applyBorder="1" applyAlignment="1">
      <alignment horizontal="center" vertical="center"/>
    </xf>
    <xf numFmtId="3" fontId="41" fillId="0" borderId="28" xfId="149" applyNumberFormat="1" applyFont="1" applyBorder="1" applyAlignment="1">
      <alignment horizontal="right" vertical="center" indent="1"/>
    </xf>
    <xf numFmtId="168" fontId="41" fillId="0" borderId="28" xfId="176" applyNumberFormat="1" applyFont="1" applyBorder="1" applyAlignment="1">
      <alignment horizontal="right" vertical="center" indent="1"/>
    </xf>
    <xf numFmtId="3" fontId="41" fillId="0" borderId="22" xfId="149" applyNumberFormat="1" applyFont="1" applyBorder="1" applyAlignment="1">
      <alignment horizontal="right" vertical="center" indent="1"/>
    </xf>
    <xf numFmtId="168" fontId="41" fillId="0" borderId="22" xfId="176" applyNumberFormat="1" applyFont="1" applyBorder="1" applyAlignment="1">
      <alignment horizontal="right" vertical="center" indent="1"/>
    </xf>
    <xf numFmtId="172" fontId="0" fillId="0" borderId="22" xfId="107" applyNumberFormat="1" applyFont="1" applyBorder="1" applyAlignment="1">
      <alignment horizontal="center" vertical="center"/>
    </xf>
    <xf numFmtId="10" fontId="0" fillId="0" borderId="22" xfId="176" applyNumberFormat="1" applyFont="1" applyBorder="1" applyAlignment="1">
      <alignment horizontal="center" vertical="center"/>
    </xf>
    <xf numFmtId="172" fontId="0" fillId="0" borderId="23" xfId="107" applyNumberFormat="1" applyFont="1" applyBorder="1" applyAlignment="1">
      <alignment horizontal="center" vertical="center"/>
    </xf>
    <xf numFmtId="10" fontId="0" fillId="0" borderId="23" xfId="176" applyNumberFormat="1" applyFont="1" applyBorder="1" applyAlignment="1">
      <alignment horizontal="center" vertical="center"/>
    </xf>
    <xf numFmtId="172" fontId="0" fillId="0" borderId="28" xfId="107" applyNumberFormat="1" applyFont="1" applyBorder="1" applyAlignment="1">
      <alignment horizontal="center" vertical="center"/>
    </xf>
    <xf numFmtId="0" fontId="39" fillId="0" borderId="16" xfId="0" applyFont="1" applyFill="1" applyBorder="1" applyAlignment="1">
      <alignment horizontal="center" vertical="center"/>
    </xf>
    <xf numFmtId="0" fontId="39" fillId="0" borderId="16" xfId="0" applyFont="1" applyFill="1" applyBorder="1" applyAlignment="1">
      <alignment horizontal="center" vertical="center" wrapText="1"/>
    </xf>
    <xf numFmtId="0" fontId="58" fillId="0" borderId="16" xfId="0" applyFont="1" applyFill="1" applyBorder="1" applyAlignment="1">
      <alignment horizontal="center" vertical="center"/>
    </xf>
    <xf numFmtId="0" fontId="57" fillId="0" borderId="22" xfId="0" applyFont="1" applyFill="1" applyBorder="1" applyAlignment="1">
      <alignment horizontal="center" vertical="center"/>
    </xf>
    <xf numFmtId="3" fontId="57" fillId="0" borderId="22" xfId="0" applyNumberFormat="1" applyFont="1" applyFill="1" applyBorder="1" applyAlignment="1">
      <alignment horizontal="center" vertical="center"/>
    </xf>
    <xf numFmtId="3" fontId="66" fillId="0" borderId="0" xfId="0" applyNumberFormat="1" applyFont="1" applyBorder="1"/>
    <xf numFmtId="0" fontId="74" fillId="0" borderId="16" xfId="0" applyFont="1" applyFill="1" applyBorder="1" applyAlignment="1">
      <alignment horizontal="center" vertical="center" wrapText="1"/>
    </xf>
    <xf numFmtId="0" fontId="120" fillId="0" borderId="16" xfId="0" applyFont="1" applyFill="1" applyBorder="1" applyAlignment="1">
      <alignment horizontal="center" vertical="center" wrapText="1"/>
    </xf>
    <xf numFmtId="9" fontId="106" fillId="0" borderId="16" xfId="0" applyNumberFormat="1" applyFont="1" applyFill="1" applyBorder="1" applyAlignment="1">
      <alignment horizontal="center" vertical="center" wrapText="1"/>
    </xf>
    <xf numFmtId="0" fontId="0" fillId="0" borderId="200" xfId="0" applyFill="1" applyBorder="1" applyAlignment="1">
      <alignment horizontal="center" vertical="center"/>
    </xf>
    <xf numFmtId="3" fontId="0" fillId="0" borderId="200" xfId="0" applyNumberFormat="1" applyFill="1" applyBorder="1" applyAlignment="1">
      <alignment horizontal="center" vertical="center"/>
    </xf>
    <xf numFmtId="168" fontId="0" fillId="0" borderId="200" xfId="176" applyNumberFormat="1" applyFont="1" applyFill="1" applyBorder="1" applyAlignment="1">
      <alignment horizontal="center" vertical="center"/>
    </xf>
    <xf numFmtId="0" fontId="0" fillId="0" borderId="22" xfId="0" applyFill="1" applyBorder="1" applyAlignment="1">
      <alignment horizontal="center" vertical="center"/>
    </xf>
    <xf numFmtId="3" fontId="0" fillId="0" borderId="22" xfId="0" applyNumberFormat="1" applyFill="1" applyBorder="1" applyAlignment="1">
      <alignment horizontal="center" vertical="center"/>
    </xf>
    <xf numFmtId="168" fontId="0" fillId="0" borderId="22" xfId="176" applyNumberFormat="1" applyFont="1" applyFill="1" applyBorder="1" applyAlignment="1">
      <alignment horizontal="center" vertical="center"/>
    </xf>
    <xf numFmtId="0" fontId="0" fillId="0" borderId="0" xfId="0"/>
    <xf numFmtId="0" fontId="0" fillId="0" borderId="0" xfId="0"/>
    <xf numFmtId="1" fontId="42" fillId="0" borderId="0" xfId="173" applyNumberFormat="1" applyFont="1" applyFill="1" applyBorder="1" applyAlignment="1">
      <alignment horizontal="center" vertical="center" wrapText="1"/>
    </xf>
    <xf numFmtId="0" fontId="39" fillId="0" borderId="16" xfId="0" applyFont="1" applyBorder="1" applyAlignment="1">
      <alignment horizontal="center" vertical="center" wrapText="1"/>
    </xf>
    <xf numFmtId="0" fontId="0" fillId="0" borderId="0" xfId="0" applyAlignment="1">
      <alignment horizontal="center"/>
    </xf>
    <xf numFmtId="0" fontId="79" fillId="0" borderId="0" xfId="736" applyFont="1" applyAlignment="1">
      <alignment horizontal="center" vertical="center"/>
    </xf>
    <xf numFmtId="0" fontId="0" fillId="0" borderId="0" xfId="0"/>
    <xf numFmtId="0" fontId="23" fillId="0" borderId="16" xfId="0" applyFont="1" applyBorder="1" applyAlignment="1">
      <alignment horizontal="center" vertical="center" wrapText="1"/>
    </xf>
    <xf numFmtId="0" fontId="42" fillId="0" borderId="16" xfId="0" applyFont="1" applyFill="1" applyBorder="1" applyAlignment="1">
      <alignment horizontal="center" vertical="center"/>
    </xf>
    <xf numFmtId="171" fontId="39" fillId="20" borderId="207" xfId="0" applyNumberFormat="1" applyFont="1" applyFill="1" applyBorder="1" applyAlignment="1">
      <alignment horizontal="center" vertical="center"/>
    </xf>
    <xf numFmtId="171" fontId="79" fillId="20" borderId="207" xfId="441" applyNumberFormat="1" applyFont="1" applyFill="1" applyBorder="1" applyAlignment="1">
      <alignment horizontal="center" vertical="center"/>
    </xf>
    <xf numFmtId="0" fontId="0" fillId="0" borderId="0" xfId="0" applyBorder="1"/>
    <xf numFmtId="0" fontId="79" fillId="0" borderId="16" xfId="797" applyFont="1" applyFill="1" applyBorder="1" applyAlignment="1">
      <alignment horizontal="center" vertical="center"/>
    </xf>
    <xf numFmtId="0" fontId="79" fillId="0" borderId="16" xfId="452" applyFont="1" applyFill="1" applyBorder="1" applyAlignment="1">
      <alignment horizontal="center" vertical="center" wrapText="1"/>
    </xf>
    <xf numFmtId="168" fontId="42" fillId="20" borderId="162" xfId="228" applyNumberFormat="1" applyFont="1" applyFill="1" applyBorder="1" applyAlignment="1">
      <alignment horizontal="center" vertical="center"/>
    </xf>
    <xf numFmtId="168" fontId="39" fillId="20" borderId="208" xfId="176" applyNumberFormat="1" applyFont="1" applyFill="1" applyBorder="1" applyAlignment="1">
      <alignment horizontal="center" vertical="center"/>
    </xf>
    <xf numFmtId="168" fontId="42" fillId="20" borderId="162" xfId="176" applyNumberFormat="1" applyFont="1" applyFill="1" applyBorder="1" applyAlignment="1">
      <alignment horizontal="center" vertical="center"/>
    </xf>
    <xf numFmtId="168" fontId="79" fillId="20" borderId="208" xfId="176" applyNumberFormat="1" applyFont="1" applyFill="1" applyBorder="1" applyAlignment="1">
      <alignment horizontal="center" vertical="center"/>
    </xf>
    <xf numFmtId="168" fontId="79" fillId="20" borderId="162" xfId="176" applyNumberFormat="1" applyFont="1" applyFill="1" applyBorder="1" applyAlignment="1">
      <alignment horizontal="center" vertical="center"/>
    </xf>
    <xf numFmtId="168" fontId="79" fillId="20" borderId="209" xfId="176" applyNumberFormat="1" applyFont="1" applyFill="1" applyBorder="1" applyAlignment="1">
      <alignment horizontal="center" vertical="center"/>
    </xf>
    <xf numFmtId="168" fontId="42" fillId="20" borderId="208" xfId="176" applyNumberFormat="1" applyFont="1" applyFill="1" applyBorder="1" applyAlignment="1">
      <alignment horizontal="center" vertical="center"/>
    </xf>
    <xf numFmtId="0" fontId="79" fillId="20" borderId="208" xfId="736" applyFont="1" applyFill="1" applyBorder="1" applyAlignment="1">
      <alignment horizontal="center" vertical="center"/>
    </xf>
    <xf numFmtId="171" fontId="79" fillId="20" borderId="162" xfId="441" applyNumberFormat="1" applyFont="1" applyFill="1" applyBorder="1" applyAlignment="1">
      <alignment horizontal="center" vertical="center"/>
    </xf>
    <xf numFmtId="171" fontId="79" fillId="20" borderId="209" xfId="441" applyNumberFormat="1" applyFont="1" applyFill="1" applyBorder="1" applyAlignment="1">
      <alignment horizontal="center" vertical="center"/>
    </xf>
    <xf numFmtId="0" fontId="79" fillId="20" borderId="208" xfId="441" applyFont="1" applyFill="1" applyBorder="1" applyAlignment="1">
      <alignment horizontal="center" vertical="center"/>
    </xf>
    <xf numFmtId="168" fontId="0" fillId="0" borderId="0" xfId="176" applyNumberFormat="1" applyFont="1" applyBorder="1" applyAlignment="1">
      <alignment horizontal="right" indent="1"/>
    </xf>
    <xf numFmtId="0" fontId="0" fillId="0" borderId="0" xfId="0" applyBorder="1" applyAlignment="1">
      <alignment vertical="center"/>
    </xf>
    <xf numFmtId="168" fontId="0" fillId="0" borderId="28" xfId="176" applyNumberFormat="1" applyFont="1" applyBorder="1" applyAlignment="1">
      <alignment horizontal="right" indent="1"/>
    </xf>
    <xf numFmtId="168" fontId="0" fillId="0" borderId="22" xfId="176" applyNumberFormat="1" applyFont="1" applyBorder="1" applyAlignment="1">
      <alignment horizontal="right" indent="1"/>
    </xf>
    <xf numFmtId="168" fontId="0" fillId="0" borderId="25" xfId="176" applyNumberFormat="1" applyFont="1" applyBorder="1" applyAlignment="1">
      <alignment horizontal="right" indent="1"/>
    </xf>
    <xf numFmtId="0" fontId="0" fillId="0" borderId="0" xfId="0" applyBorder="1" applyAlignment="1">
      <alignment horizontal="center"/>
    </xf>
    <xf numFmtId="0" fontId="0" fillId="0" borderId="0" xfId="0" applyBorder="1" applyAlignment="1">
      <alignment horizontal="center" vertical="center"/>
    </xf>
    <xf numFmtId="0" fontId="79" fillId="0" borderId="16" xfId="173" applyFont="1" applyFill="1" applyBorder="1" applyAlignment="1">
      <alignment horizontal="center" vertical="center"/>
    </xf>
    <xf numFmtId="1" fontId="41" fillId="0" borderId="16" xfId="173" applyNumberFormat="1" applyFont="1" applyFill="1" applyBorder="1" applyAlignment="1">
      <alignment horizontal="center" vertical="center" wrapText="1"/>
    </xf>
    <xf numFmtId="0" fontId="41" fillId="0" borderId="0" xfId="149" applyFont="1" applyBorder="1" applyAlignment="1">
      <alignment horizontal="center" vertical="center"/>
    </xf>
    <xf numFmtId="0" fontId="106" fillId="0" borderId="225" xfId="173" applyFont="1" applyBorder="1" applyAlignment="1">
      <alignment horizontal="center" vertical="center"/>
    </xf>
    <xf numFmtId="0" fontId="105" fillId="0" borderId="225" xfId="173" applyFont="1" applyBorder="1" applyAlignment="1">
      <alignment horizontal="center" vertical="center"/>
    </xf>
    <xf numFmtId="0" fontId="110" fillId="0" borderId="225" xfId="173" applyFont="1" applyBorder="1" applyAlignment="1">
      <alignment horizontal="center" vertical="center" wrapText="1"/>
    </xf>
    <xf numFmtId="0" fontId="108" fillId="0" borderId="225" xfId="173" applyFont="1" applyBorder="1" applyAlignment="1">
      <alignment horizontal="center" vertical="center" wrapText="1"/>
    </xf>
    <xf numFmtId="0" fontId="113" fillId="0" borderId="225" xfId="0" applyFont="1" applyBorder="1" applyAlignment="1">
      <alignment horizontal="center" vertical="center"/>
    </xf>
    <xf numFmtId="0" fontId="0" fillId="0" borderId="225" xfId="0" applyBorder="1" applyAlignment="1">
      <alignment horizontal="center" vertical="center"/>
    </xf>
    <xf numFmtId="0" fontId="25" fillId="0" borderId="16" xfId="173" applyFont="1" applyFill="1" applyBorder="1" applyAlignment="1">
      <alignment horizontal="center" vertical="center"/>
    </xf>
    <xf numFmtId="0" fontId="7" fillId="0" borderId="16" xfId="173" applyFont="1" applyFill="1" applyBorder="1" applyAlignment="1">
      <alignment horizontal="center" vertical="center" wrapText="1"/>
    </xf>
    <xf numFmtId="0" fontId="159" fillId="0" borderId="225" xfId="173" applyFont="1" applyBorder="1" applyAlignment="1">
      <alignment horizontal="center" vertical="center" wrapText="1"/>
    </xf>
    <xf numFmtId="0" fontId="23" fillId="20" borderId="225" xfId="173" applyFont="1" applyFill="1" applyBorder="1" applyAlignment="1">
      <alignment horizontal="center" vertical="center" wrapText="1"/>
    </xf>
    <xf numFmtId="167" fontId="23" fillId="20" borderId="225" xfId="109" applyNumberFormat="1" applyFont="1" applyFill="1" applyBorder="1" applyAlignment="1">
      <alignment horizontal="right" vertical="center" wrapText="1" indent="1"/>
    </xf>
    <xf numFmtId="3" fontId="39" fillId="20" borderId="225" xfId="0" applyNumberFormat="1" applyFont="1" applyFill="1" applyBorder="1" applyAlignment="1">
      <alignment horizontal="center" vertical="center"/>
    </xf>
    <xf numFmtId="0" fontId="113" fillId="0" borderId="225" xfId="0" applyFont="1" applyBorder="1" applyAlignment="1">
      <alignment horizontal="right" vertical="center" indent="1"/>
    </xf>
    <xf numFmtId="3" fontId="39" fillId="20" borderId="225" xfId="0" applyNumberFormat="1" applyFont="1" applyFill="1" applyBorder="1" applyAlignment="1">
      <alignment horizontal="right" vertical="center" indent="1"/>
    </xf>
    <xf numFmtId="0" fontId="113" fillId="0" borderId="226" xfId="0" applyFont="1" applyBorder="1" applyAlignment="1">
      <alignment horizontal="right" vertical="center" indent="1"/>
    </xf>
    <xf numFmtId="167" fontId="159" fillId="0" borderId="227" xfId="109" applyNumberFormat="1" applyFont="1" applyBorder="1" applyAlignment="1">
      <alignment horizontal="right" vertical="center" wrapText="1" indent="1"/>
    </xf>
    <xf numFmtId="3" fontId="39" fillId="20" borderId="226" xfId="0" applyNumberFormat="1" applyFont="1" applyFill="1" applyBorder="1" applyAlignment="1">
      <alignment horizontal="right" vertical="center" indent="1"/>
    </xf>
    <xf numFmtId="167" fontId="23" fillId="20" borderId="227" xfId="109" applyNumberFormat="1" applyFont="1" applyFill="1" applyBorder="1" applyAlignment="1">
      <alignment horizontal="right" vertical="center" wrapText="1" indent="1"/>
    </xf>
    <xf numFmtId="0" fontId="26" fillId="33" borderId="16" xfId="173" applyFont="1" applyFill="1" applyBorder="1" applyAlignment="1">
      <alignment horizontal="center" vertical="center" wrapText="1"/>
    </xf>
    <xf numFmtId="0" fontId="54" fillId="33" borderId="16" xfId="173" applyFont="1" applyFill="1" applyBorder="1" applyAlignment="1">
      <alignment horizontal="center" vertical="center"/>
    </xf>
    <xf numFmtId="1" fontId="40" fillId="33" borderId="16" xfId="173" applyNumberFormat="1" applyFont="1" applyFill="1" applyBorder="1" applyAlignment="1">
      <alignment horizontal="center" vertical="center" wrapText="1"/>
    </xf>
    <xf numFmtId="9" fontId="7" fillId="0" borderId="0" xfId="176" applyFont="1" applyBorder="1" applyAlignment="1">
      <alignment horizontal="center" vertical="center" wrapText="1"/>
    </xf>
    <xf numFmtId="9" fontId="7" fillId="0" borderId="16" xfId="176" applyFont="1" applyFill="1" applyBorder="1" applyAlignment="1">
      <alignment horizontal="center" vertical="center" wrapText="1"/>
    </xf>
    <xf numFmtId="1" fontId="159" fillId="0" borderId="225" xfId="109" applyNumberFormat="1" applyFont="1" applyBorder="1" applyAlignment="1">
      <alignment horizontal="right" vertical="center" wrapText="1" indent="1"/>
    </xf>
    <xf numFmtId="167" fontId="159" fillId="0" borderId="225" xfId="109" applyNumberFormat="1" applyFont="1" applyBorder="1" applyAlignment="1">
      <alignment horizontal="right" vertical="center" wrapText="1" indent="1"/>
    </xf>
    <xf numFmtId="0" fontId="106" fillId="20" borderId="225" xfId="149" applyFont="1" applyFill="1" applyBorder="1" applyAlignment="1">
      <alignment horizontal="center" vertical="center"/>
    </xf>
    <xf numFmtId="0" fontId="105" fillId="20" borderId="225" xfId="149" applyFont="1" applyFill="1" applyBorder="1" applyAlignment="1">
      <alignment horizontal="center" vertical="center"/>
    </xf>
    <xf numFmtId="0" fontId="110" fillId="20" borderId="225" xfId="149" applyFont="1" applyFill="1" applyBorder="1" applyAlignment="1">
      <alignment horizontal="center" vertical="center"/>
    </xf>
    <xf numFmtId="0" fontId="37" fillId="0" borderId="0" xfId="167" applyBorder="1" applyAlignment="1">
      <alignment vertical="center"/>
    </xf>
    <xf numFmtId="0" fontId="108" fillId="20" borderId="225" xfId="149" applyFont="1" applyFill="1" applyBorder="1" applyAlignment="1">
      <alignment horizontal="center" vertical="center"/>
    </xf>
    <xf numFmtId="0" fontId="37" fillId="0" borderId="0" xfId="167" applyBorder="1" applyAlignment="1">
      <alignment horizontal="center" vertical="center"/>
    </xf>
    <xf numFmtId="0" fontId="113" fillId="20" borderId="225" xfId="149" applyFont="1" applyFill="1" applyBorder="1" applyAlignment="1">
      <alignment horizontal="center" vertical="center"/>
    </xf>
    <xf numFmtId="0" fontId="42" fillId="20" borderId="225" xfId="149" applyFont="1" applyFill="1" applyBorder="1" applyAlignment="1">
      <alignment horizontal="center" vertical="center"/>
    </xf>
    <xf numFmtId="0" fontId="37" fillId="0" borderId="0" xfId="167" applyFill="1" applyBorder="1" applyAlignment="1">
      <alignment vertical="center"/>
    </xf>
    <xf numFmtId="9" fontId="41" fillId="0" borderId="22" xfId="176" applyFont="1" applyBorder="1" applyAlignment="1">
      <alignment horizontal="right" vertical="center" indent="1"/>
    </xf>
    <xf numFmtId="0" fontId="106" fillId="20" borderId="225" xfId="167" applyFont="1" applyFill="1" applyBorder="1" applyAlignment="1">
      <alignment horizontal="right" vertical="center" indent="1"/>
    </xf>
    <xf numFmtId="9" fontId="106" fillId="0" borderId="225" xfId="176" applyFont="1" applyBorder="1" applyAlignment="1">
      <alignment horizontal="right" vertical="center" indent="1"/>
    </xf>
    <xf numFmtId="0" fontId="105" fillId="20" borderId="225" xfId="167" applyFont="1" applyFill="1" applyBorder="1" applyAlignment="1">
      <alignment horizontal="right" vertical="center" indent="1"/>
    </xf>
    <xf numFmtId="9" fontId="105" fillId="0" borderId="225" xfId="176" applyFont="1" applyBorder="1" applyAlignment="1">
      <alignment horizontal="right" vertical="center" indent="1"/>
    </xf>
    <xf numFmtId="0" fontId="110" fillId="20" borderId="225" xfId="167" applyFont="1" applyFill="1" applyBorder="1" applyAlignment="1">
      <alignment horizontal="right" vertical="center" indent="1"/>
    </xf>
    <xf numFmtId="9" fontId="110" fillId="0" borderId="225" xfId="176" applyFont="1" applyBorder="1" applyAlignment="1">
      <alignment horizontal="right" vertical="center" indent="1"/>
    </xf>
    <xf numFmtId="0" fontId="108" fillId="20" borderId="225" xfId="167" applyFont="1" applyFill="1" applyBorder="1" applyAlignment="1">
      <alignment horizontal="right" vertical="center" indent="1"/>
    </xf>
    <xf numFmtId="9" fontId="108" fillId="0" borderId="225" xfId="176" applyFont="1" applyBorder="1" applyAlignment="1">
      <alignment horizontal="right" vertical="center" indent="1"/>
    </xf>
    <xf numFmtId="0" fontId="113" fillId="20" borderId="225" xfId="167" applyFont="1" applyFill="1" applyBorder="1" applyAlignment="1">
      <alignment horizontal="right" vertical="center" indent="1"/>
    </xf>
    <xf numFmtId="9" fontId="113" fillId="0" borderId="225" xfId="176" applyFont="1" applyBorder="1" applyAlignment="1">
      <alignment horizontal="right" vertical="center" indent="1"/>
    </xf>
    <xf numFmtId="0" fontId="42" fillId="20" borderId="225" xfId="167" applyFont="1" applyFill="1" applyBorder="1" applyAlignment="1">
      <alignment horizontal="right" vertical="center" indent="1"/>
    </xf>
    <xf numFmtId="9" fontId="42" fillId="0" borderId="225" xfId="176" applyFont="1" applyBorder="1" applyAlignment="1">
      <alignment horizontal="right" vertical="center" indent="1"/>
    </xf>
    <xf numFmtId="0" fontId="42" fillId="0" borderId="22" xfId="167" applyFont="1" applyBorder="1" applyAlignment="1">
      <alignment horizontal="right" vertical="center" indent="1"/>
    </xf>
    <xf numFmtId="0" fontId="106" fillId="0" borderId="225" xfId="167" applyFont="1" applyBorder="1" applyAlignment="1">
      <alignment horizontal="right" vertical="center" indent="1"/>
    </xf>
    <xf numFmtId="0" fontId="105" fillId="0" borderId="225" xfId="167" applyFont="1" applyBorder="1" applyAlignment="1">
      <alignment horizontal="right" vertical="center" indent="1"/>
    </xf>
    <xf numFmtId="0" fontId="110" fillId="0" borderId="225" xfId="167" applyFont="1" applyBorder="1" applyAlignment="1">
      <alignment horizontal="right" vertical="center" indent="1"/>
    </xf>
    <xf numFmtId="0" fontId="108" fillId="0" borderId="225" xfId="167" applyFont="1" applyBorder="1" applyAlignment="1">
      <alignment horizontal="right" vertical="center" indent="1"/>
    </xf>
    <xf numFmtId="0" fontId="113" fillId="0" borderId="225" xfId="167" applyFont="1" applyBorder="1" applyAlignment="1">
      <alignment horizontal="right" vertical="center" indent="1"/>
    </xf>
    <xf numFmtId="0" fontId="42" fillId="0" borderId="225" xfId="167" applyFont="1" applyBorder="1" applyAlignment="1">
      <alignment horizontal="right" vertical="center" indent="1"/>
    </xf>
    <xf numFmtId="0" fontId="41" fillId="0" borderId="133" xfId="167" applyFont="1" applyBorder="1" applyAlignment="1">
      <alignment horizontal="right" vertical="center" indent="1"/>
    </xf>
    <xf numFmtId="0" fontId="106" fillId="20" borderId="226" xfId="167" applyFont="1" applyFill="1" applyBorder="1" applyAlignment="1">
      <alignment horizontal="right" vertical="center" indent="1"/>
    </xf>
    <xf numFmtId="0" fontId="105" fillId="20" borderId="226" xfId="167" applyFont="1" applyFill="1" applyBorder="1" applyAlignment="1">
      <alignment horizontal="right" vertical="center" indent="1"/>
    </xf>
    <xf numFmtId="0" fontId="110" fillId="20" borderId="226" xfId="167" applyFont="1" applyFill="1" applyBorder="1" applyAlignment="1">
      <alignment horizontal="right" vertical="center" indent="1"/>
    </xf>
    <xf numFmtId="0" fontId="108" fillId="20" borderId="226" xfId="167" applyFont="1" applyFill="1" applyBorder="1" applyAlignment="1">
      <alignment horizontal="right" vertical="center" indent="1"/>
    </xf>
    <xf numFmtId="0" fontId="113" fillId="20" borderId="226" xfId="167" applyFont="1" applyFill="1" applyBorder="1" applyAlignment="1">
      <alignment horizontal="right" vertical="center" indent="1"/>
    </xf>
    <xf numFmtId="0" fontId="42" fillId="20" borderId="226" xfId="167" applyFont="1" applyFill="1" applyBorder="1" applyAlignment="1">
      <alignment horizontal="right" vertical="center" indent="1"/>
    </xf>
    <xf numFmtId="0" fontId="149" fillId="0" borderId="0" xfId="167" applyFont="1" applyBorder="1" applyAlignment="1">
      <alignment horizontal="center" vertical="center"/>
    </xf>
    <xf numFmtId="0" fontId="41" fillId="0" borderId="28" xfId="167" applyFont="1" applyBorder="1" applyAlignment="1">
      <alignment horizontal="right" vertical="center" indent="1"/>
    </xf>
    <xf numFmtId="0" fontId="41" fillId="0" borderId="140" xfId="167" applyFont="1" applyBorder="1" applyAlignment="1">
      <alignment horizontal="right" vertical="center" indent="1"/>
    </xf>
    <xf numFmtId="0" fontId="42" fillId="0" borderId="28" xfId="167" applyFont="1" applyBorder="1" applyAlignment="1">
      <alignment horizontal="right" vertical="center" indent="1"/>
    </xf>
    <xf numFmtId="9" fontId="41" fillId="0" borderId="28" xfId="176" applyFont="1" applyBorder="1" applyAlignment="1">
      <alignment horizontal="right" vertical="center" indent="1"/>
    </xf>
    <xf numFmtId="0" fontId="42" fillId="0" borderId="0" xfId="149" applyFont="1" applyBorder="1" applyAlignment="1">
      <alignment horizontal="center" vertical="center"/>
    </xf>
    <xf numFmtId="168" fontId="41" fillId="0" borderId="0" xfId="176" applyNumberFormat="1" applyFont="1" applyBorder="1" applyAlignment="1">
      <alignment horizontal="right" vertical="center" indent="1"/>
    </xf>
    <xf numFmtId="168" fontId="41" fillId="0" borderId="25" xfId="176" applyNumberFormat="1" applyFont="1" applyBorder="1" applyAlignment="1">
      <alignment horizontal="right" vertical="center" indent="1"/>
    </xf>
    <xf numFmtId="168" fontId="42" fillId="20" borderId="25" xfId="176" applyNumberFormat="1" applyFont="1" applyFill="1" applyBorder="1" applyAlignment="1">
      <alignment horizontal="right" vertical="center" indent="1"/>
    </xf>
    <xf numFmtId="168" fontId="106" fillId="0" borderId="225" xfId="176" applyNumberFormat="1" applyFont="1" applyBorder="1" applyAlignment="1">
      <alignment horizontal="right" vertical="center" indent="1"/>
    </xf>
    <xf numFmtId="168" fontId="105" fillId="0" borderId="225" xfId="176" applyNumberFormat="1" applyFont="1" applyBorder="1" applyAlignment="1">
      <alignment horizontal="right" vertical="center" indent="1"/>
    </xf>
    <xf numFmtId="168" fontId="110" fillId="0" borderId="225" xfId="176" applyNumberFormat="1" applyFont="1" applyBorder="1" applyAlignment="1">
      <alignment horizontal="right" vertical="center" indent="1"/>
    </xf>
    <xf numFmtId="168" fontId="108" fillId="0" borderId="225" xfId="176" applyNumberFormat="1" applyFont="1" applyBorder="1" applyAlignment="1">
      <alignment horizontal="right" vertical="center" indent="1"/>
    </xf>
    <xf numFmtId="168" fontId="113" fillId="0" borderId="225" xfId="176" applyNumberFormat="1" applyFont="1" applyBorder="1" applyAlignment="1">
      <alignment horizontal="right" vertical="center" indent="1"/>
    </xf>
    <xf numFmtId="168" fontId="42" fillId="20" borderId="225" xfId="176" applyNumberFormat="1" applyFont="1" applyFill="1" applyBorder="1" applyAlignment="1">
      <alignment horizontal="right" vertical="center" indent="1"/>
    </xf>
    <xf numFmtId="0" fontId="54" fillId="0" borderId="200" xfId="173" applyFont="1" applyBorder="1" applyAlignment="1">
      <alignment horizontal="right" vertical="center" wrapText="1" indent="1"/>
    </xf>
    <xf numFmtId="168" fontId="41" fillId="0" borderId="108" xfId="176" applyNumberFormat="1" applyFont="1" applyBorder="1" applyAlignment="1">
      <alignment horizontal="right" vertical="center" indent="1"/>
    </xf>
    <xf numFmtId="0" fontId="106" fillId="0" borderId="225" xfId="173" applyFont="1" applyBorder="1" applyAlignment="1">
      <alignment horizontal="right" vertical="center" indent="1"/>
    </xf>
    <xf numFmtId="0" fontId="105" fillId="0" borderId="225" xfId="173" applyFont="1" applyBorder="1" applyAlignment="1">
      <alignment horizontal="right" vertical="center" indent="1"/>
    </xf>
    <xf numFmtId="0" fontId="110" fillId="0" borderId="225" xfId="173" applyFont="1" applyBorder="1" applyAlignment="1">
      <alignment horizontal="right" vertical="center" wrapText="1" indent="1"/>
    </xf>
    <xf numFmtId="0" fontId="108" fillId="0" borderId="225" xfId="173" applyFont="1" applyBorder="1" applyAlignment="1">
      <alignment horizontal="right" vertical="center" wrapText="1" indent="1"/>
    </xf>
    <xf numFmtId="0" fontId="1" fillId="0" borderId="0" xfId="149" applyBorder="1" applyAlignment="1">
      <alignment vertical="center"/>
    </xf>
    <xf numFmtId="168" fontId="42" fillId="43" borderId="225" xfId="176" applyNumberFormat="1" applyFont="1" applyFill="1" applyBorder="1" applyAlignment="1">
      <alignment horizontal="right" vertical="center" indent="1"/>
    </xf>
    <xf numFmtId="0" fontId="54" fillId="0" borderId="219" xfId="173" applyFont="1" applyBorder="1" applyAlignment="1">
      <alignment horizontal="right" vertical="center" wrapText="1" indent="1"/>
    </xf>
    <xf numFmtId="0" fontId="7" fillId="0" borderId="233" xfId="803" applyFont="1" applyBorder="1" applyAlignment="1">
      <alignment horizontal="right" vertical="center" wrapText="1" indent="1"/>
    </xf>
    <xf numFmtId="168" fontId="41" fillId="0" borderId="234" xfId="176" applyNumberFormat="1" applyFont="1" applyBorder="1" applyAlignment="1">
      <alignment horizontal="right" vertical="center" indent="1"/>
    </xf>
    <xf numFmtId="0" fontId="7" fillId="0" borderId="235" xfId="803" applyFont="1" applyBorder="1" applyAlignment="1">
      <alignment horizontal="right" vertical="center" wrapText="1" indent="1"/>
    </xf>
    <xf numFmtId="168" fontId="41" fillId="0" borderId="190" xfId="176" applyNumberFormat="1" applyFont="1" applyBorder="1" applyAlignment="1">
      <alignment horizontal="right" vertical="center" indent="1"/>
    </xf>
    <xf numFmtId="168" fontId="42" fillId="20" borderId="190" xfId="176" applyNumberFormat="1" applyFont="1" applyFill="1" applyBorder="1" applyAlignment="1">
      <alignment horizontal="right" vertical="center" indent="1"/>
    </xf>
    <xf numFmtId="0" fontId="7" fillId="22" borderId="235" xfId="173" applyFont="1" applyFill="1" applyBorder="1" applyAlignment="1">
      <alignment horizontal="right" vertical="center" wrapText="1" indent="1"/>
    </xf>
    <xf numFmtId="0" fontId="106" fillId="0" borderId="226" xfId="173" applyFont="1" applyBorder="1" applyAlignment="1">
      <alignment horizontal="right" vertical="center" indent="1"/>
    </xf>
    <xf numFmtId="167" fontId="155" fillId="0" borderId="227" xfId="109" applyNumberFormat="1" applyFont="1" applyBorder="1" applyAlignment="1">
      <alignment horizontal="right" vertical="center" wrapText="1" indent="1"/>
    </xf>
    <xf numFmtId="168" fontId="106" fillId="0" borderId="236" xfId="176" applyNumberFormat="1" applyFont="1" applyBorder="1" applyAlignment="1">
      <alignment horizontal="right" vertical="center" indent="1"/>
    </xf>
    <xf numFmtId="168" fontId="41" fillId="0" borderId="189" xfId="176" applyNumberFormat="1" applyFont="1" applyBorder="1" applyAlignment="1">
      <alignment horizontal="right" vertical="center" indent="1"/>
    </xf>
    <xf numFmtId="0" fontId="105" fillId="0" borderId="226" xfId="173" applyFont="1" applyBorder="1" applyAlignment="1">
      <alignment horizontal="right" vertical="center" indent="1"/>
    </xf>
    <xf numFmtId="167" fontId="156" fillId="0" borderId="227" xfId="109" applyNumberFormat="1" applyFont="1" applyBorder="1" applyAlignment="1">
      <alignment horizontal="right" vertical="center" wrapText="1" indent="1"/>
    </xf>
    <xf numFmtId="168" fontId="105" fillId="0" borderId="236" xfId="176" applyNumberFormat="1" applyFont="1" applyBorder="1" applyAlignment="1">
      <alignment horizontal="right" vertical="center" indent="1"/>
    </xf>
    <xf numFmtId="0" fontId="110" fillId="0" borderId="226" xfId="173" applyFont="1" applyBorder="1" applyAlignment="1">
      <alignment horizontal="right" vertical="center" wrapText="1" indent="1"/>
    </xf>
    <xf numFmtId="167" fontId="157" fillId="0" borderId="227" xfId="109" applyNumberFormat="1" applyFont="1" applyBorder="1" applyAlignment="1">
      <alignment horizontal="right" vertical="center" wrapText="1" indent="1"/>
    </xf>
    <xf numFmtId="168" fontId="110" fillId="0" borderId="236" xfId="176" applyNumberFormat="1" applyFont="1" applyBorder="1" applyAlignment="1">
      <alignment horizontal="right" vertical="center" indent="1"/>
    </xf>
    <xf numFmtId="0" fontId="7" fillId="0" borderId="237" xfId="173" applyFont="1" applyBorder="1" applyAlignment="1">
      <alignment horizontal="right" vertical="center" wrapText="1" indent="1"/>
    </xf>
    <xf numFmtId="0" fontId="108" fillId="0" borderId="226" xfId="173" applyFont="1" applyBorder="1" applyAlignment="1">
      <alignment horizontal="right" vertical="center" wrapText="1" indent="1"/>
    </xf>
    <xf numFmtId="167" fontId="158" fillId="0" borderId="227" xfId="109" applyNumberFormat="1" applyFont="1" applyBorder="1" applyAlignment="1">
      <alignment horizontal="right" vertical="center" wrapText="1" indent="1"/>
    </xf>
    <xf numFmtId="168" fontId="108" fillId="0" borderId="236" xfId="176" applyNumberFormat="1" applyFont="1" applyBorder="1" applyAlignment="1">
      <alignment horizontal="right" vertical="center" indent="1"/>
    </xf>
    <xf numFmtId="168" fontId="113" fillId="0" borderId="236" xfId="176" applyNumberFormat="1" applyFont="1" applyBorder="1" applyAlignment="1">
      <alignment horizontal="right" vertical="center" indent="1"/>
    </xf>
    <xf numFmtId="168" fontId="42" fillId="20" borderId="236" xfId="176" applyNumberFormat="1" applyFont="1" applyFill="1" applyBorder="1" applyAlignment="1">
      <alignment horizontal="right" vertical="center" indent="1"/>
    </xf>
    <xf numFmtId="0" fontId="54" fillId="0" borderId="238" xfId="173" applyFont="1" applyBorder="1" applyAlignment="1">
      <alignment horizontal="center" vertical="center" wrapText="1"/>
    </xf>
    <xf numFmtId="168" fontId="41" fillId="0" borderId="220" xfId="176" applyNumberFormat="1" applyFont="1" applyBorder="1" applyAlignment="1">
      <alignment horizontal="right" vertical="center" indent="1"/>
    </xf>
    <xf numFmtId="0" fontId="54" fillId="0" borderId="239" xfId="173" applyFont="1" applyBorder="1" applyAlignment="1">
      <alignment horizontal="center" vertical="center"/>
    </xf>
    <xf numFmtId="168" fontId="41" fillId="0" borderId="240" xfId="176" applyNumberFormat="1" applyFont="1" applyBorder="1" applyAlignment="1">
      <alignment horizontal="right" vertical="center" indent="1"/>
    </xf>
    <xf numFmtId="0" fontId="79" fillId="20" borderId="239" xfId="173" applyFont="1" applyFill="1" applyBorder="1" applyAlignment="1">
      <alignment horizontal="center" vertical="center" wrapText="1"/>
    </xf>
    <xf numFmtId="168" fontId="42" fillId="20" borderId="240" xfId="176" applyNumberFormat="1" applyFont="1" applyFill="1" applyBorder="1" applyAlignment="1">
      <alignment horizontal="right" vertical="center" indent="1"/>
    </xf>
    <xf numFmtId="0" fontId="54" fillId="0" borderId="239" xfId="173" applyFont="1" applyBorder="1" applyAlignment="1">
      <alignment horizontal="center" vertical="center" wrapText="1"/>
    </xf>
    <xf numFmtId="0" fontId="79" fillId="20" borderId="241" xfId="173" applyFont="1" applyFill="1" applyBorder="1" applyAlignment="1">
      <alignment horizontal="center" vertical="center"/>
    </xf>
    <xf numFmtId="0" fontId="106" fillId="0" borderId="242" xfId="173" applyFont="1" applyBorder="1" applyAlignment="1">
      <alignment horizontal="center" vertical="center"/>
    </xf>
    <xf numFmtId="168" fontId="106" fillId="0" borderId="243" xfId="176" applyNumberFormat="1" applyFont="1" applyBorder="1" applyAlignment="1">
      <alignment horizontal="right" vertical="center" indent="1"/>
    </xf>
    <xf numFmtId="0" fontId="54" fillId="0" borderId="244" xfId="173" applyFont="1" applyBorder="1" applyAlignment="1">
      <alignment horizontal="center" vertical="center"/>
    </xf>
    <xf numFmtId="168" fontId="41" fillId="0" borderId="185" xfId="176" applyNumberFormat="1" applyFont="1" applyBorder="1" applyAlignment="1">
      <alignment horizontal="right" vertical="center" indent="1"/>
    </xf>
    <xf numFmtId="0" fontId="79" fillId="20" borderId="239" xfId="173" applyFont="1" applyFill="1" applyBorder="1" applyAlignment="1">
      <alignment horizontal="center" vertical="center"/>
    </xf>
    <xf numFmtId="0" fontId="79" fillId="20" borderId="241" xfId="173" applyFont="1" applyFill="1" applyBorder="1" applyAlignment="1">
      <alignment horizontal="center" vertical="center" wrapText="1"/>
    </xf>
    <xf numFmtId="0" fontId="105" fillId="0" borderId="242" xfId="173" applyFont="1" applyBorder="1" applyAlignment="1">
      <alignment horizontal="center" vertical="center"/>
    </xf>
    <xf numFmtId="168" fontId="105" fillId="0" borderId="243" xfId="176" applyNumberFormat="1" applyFont="1" applyBorder="1" applyAlignment="1">
      <alignment horizontal="right" vertical="center" indent="1"/>
    </xf>
    <xf numFmtId="0" fontId="54" fillId="0" borderId="244" xfId="173" applyFont="1" applyBorder="1" applyAlignment="1">
      <alignment horizontal="center" vertical="center" wrapText="1"/>
    </xf>
    <xf numFmtId="0" fontId="110" fillId="0" borderId="242" xfId="173" applyFont="1" applyBorder="1" applyAlignment="1">
      <alignment horizontal="center" vertical="center" wrapText="1"/>
    </xf>
    <xf numFmtId="168" fontId="110" fillId="0" borderId="243" xfId="176" applyNumberFormat="1" applyFont="1" applyBorder="1" applyAlignment="1">
      <alignment horizontal="right" vertical="center" indent="1"/>
    </xf>
    <xf numFmtId="0" fontId="54" fillId="0" borderId="245" xfId="173" applyFont="1" applyBorder="1" applyAlignment="1">
      <alignment horizontal="center" vertical="center" wrapText="1"/>
    </xf>
    <xf numFmtId="0" fontId="108" fillId="0" borderId="242" xfId="173" applyFont="1" applyBorder="1" applyAlignment="1">
      <alignment horizontal="center" vertical="center" wrapText="1"/>
    </xf>
    <xf numFmtId="168" fontId="108" fillId="0" borderId="243" xfId="176" applyNumberFormat="1" applyFont="1" applyBorder="1" applyAlignment="1">
      <alignment horizontal="right" vertical="center" indent="1"/>
    </xf>
    <xf numFmtId="0" fontId="113" fillId="0" borderId="242" xfId="0" applyFont="1" applyBorder="1" applyAlignment="1">
      <alignment horizontal="center" vertical="center"/>
    </xf>
    <xf numFmtId="168" fontId="113" fillId="0" borderId="243" xfId="176" applyNumberFormat="1" applyFont="1" applyBorder="1" applyAlignment="1">
      <alignment horizontal="right" vertical="center" indent="1"/>
    </xf>
    <xf numFmtId="0" fontId="1" fillId="0" borderId="184" xfId="149" applyBorder="1" applyAlignment="1">
      <alignment vertical="center"/>
    </xf>
    <xf numFmtId="0" fontId="1" fillId="0" borderId="185" xfId="149" applyBorder="1" applyAlignment="1">
      <alignment vertical="center"/>
    </xf>
    <xf numFmtId="3" fontId="39" fillId="20" borderId="242" xfId="0" applyNumberFormat="1" applyFont="1" applyFill="1" applyBorder="1" applyAlignment="1">
      <alignment horizontal="center" vertical="center"/>
    </xf>
    <xf numFmtId="168" fontId="42" fillId="20" borderId="243" xfId="176" applyNumberFormat="1" applyFont="1" applyFill="1" applyBorder="1" applyAlignment="1">
      <alignment horizontal="right" vertical="center" indent="1"/>
    </xf>
    <xf numFmtId="171" fontId="7" fillId="0" borderId="230" xfId="176" applyNumberFormat="1" applyFont="1" applyBorder="1" applyAlignment="1">
      <alignment horizontal="center" vertical="center" wrapText="1"/>
    </xf>
    <xf numFmtId="171" fontId="7" fillId="0" borderId="0" xfId="176" applyNumberFormat="1" applyFont="1" applyBorder="1" applyAlignment="1">
      <alignment horizontal="center" vertical="center" wrapText="1"/>
    </xf>
    <xf numFmtId="171" fontId="23" fillId="20" borderId="22" xfId="176" applyNumberFormat="1" applyFont="1" applyFill="1" applyBorder="1" applyAlignment="1">
      <alignment horizontal="center" vertical="center" wrapText="1"/>
    </xf>
    <xf numFmtId="171" fontId="7" fillId="22" borderId="230" xfId="176" applyNumberFormat="1" applyFont="1" applyFill="1" applyBorder="1" applyAlignment="1">
      <alignment horizontal="center" vertical="center" wrapText="1"/>
    </xf>
    <xf numFmtId="171" fontId="7" fillId="22" borderId="0" xfId="176" applyNumberFormat="1" applyFont="1" applyFill="1" applyBorder="1" applyAlignment="1">
      <alignment horizontal="center" vertical="center" wrapText="1"/>
    </xf>
    <xf numFmtId="171" fontId="23" fillId="20" borderId="25" xfId="176" applyNumberFormat="1" applyFont="1" applyFill="1" applyBorder="1" applyAlignment="1">
      <alignment horizontal="center" vertical="center" wrapText="1"/>
    </xf>
    <xf numFmtId="171" fontId="155" fillId="0" borderId="208" xfId="176" applyNumberFormat="1" applyFont="1" applyBorder="1" applyAlignment="1">
      <alignment horizontal="center" vertical="center" wrapText="1"/>
    </xf>
    <xf numFmtId="171" fontId="156" fillId="0" borderId="208" xfId="176" applyNumberFormat="1" applyFont="1" applyBorder="1" applyAlignment="1">
      <alignment horizontal="center" vertical="center" wrapText="1"/>
    </xf>
    <xf numFmtId="171" fontId="157" fillId="0" borderId="208" xfId="176" applyNumberFormat="1" applyFont="1" applyBorder="1" applyAlignment="1">
      <alignment horizontal="center" vertical="center" wrapText="1"/>
    </xf>
    <xf numFmtId="171" fontId="7" fillId="0" borderId="231" xfId="176" applyNumberFormat="1" applyFont="1" applyBorder="1" applyAlignment="1">
      <alignment horizontal="center" vertical="center" wrapText="1"/>
    </xf>
    <xf numFmtId="171" fontId="158" fillId="0" borderId="208" xfId="176" applyNumberFormat="1" applyFont="1" applyBorder="1" applyAlignment="1">
      <alignment horizontal="center" vertical="center" wrapText="1"/>
    </xf>
    <xf numFmtId="171" fontId="23" fillId="20" borderId="0" xfId="176" applyNumberFormat="1" applyFont="1" applyFill="1" applyBorder="1" applyAlignment="1">
      <alignment horizontal="center" vertical="center" wrapText="1"/>
    </xf>
    <xf numFmtId="171" fontId="159" fillId="0" borderId="208" xfId="176" applyNumberFormat="1" applyFont="1" applyBorder="1" applyAlignment="1">
      <alignment horizontal="center" vertical="center" wrapText="1"/>
    </xf>
    <xf numFmtId="171" fontId="23" fillId="20" borderId="208" xfId="176" applyNumberFormat="1" applyFont="1" applyFill="1" applyBorder="1" applyAlignment="1">
      <alignment horizontal="center" vertical="center" wrapText="1"/>
    </xf>
    <xf numFmtId="3" fontId="7" fillId="0" borderId="230" xfId="803" applyNumberFormat="1" applyFont="1" applyBorder="1" applyAlignment="1">
      <alignment horizontal="right" vertical="center" wrapText="1" indent="1"/>
    </xf>
    <xf numFmtId="3" fontId="7" fillId="0" borderId="235" xfId="803" applyNumberFormat="1" applyFont="1" applyBorder="1" applyAlignment="1">
      <alignment horizontal="right" vertical="center" wrapText="1" indent="1"/>
    </xf>
    <xf numFmtId="3" fontId="7" fillId="0" borderId="0" xfId="803" applyNumberFormat="1" applyFont="1" applyBorder="1" applyAlignment="1">
      <alignment horizontal="right" vertical="center" wrapText="1" indent="1"/>
    </xf>
    <xf numFmtId="3" fontId="23" fillId="20" borderId="22" xfId="109" applyNumberFormat="1" applyFont="1" applyFill="1" applyBorder="1" applyAlignment="1">
      <alignment horizontal="right" vertical="center" wrapText="1" indent="1"/>
    </xf>
    <xf numFmtId="3" fontId="7" fillId="22" borderId="230" xfId="173" applyNumberFormat="1" applyFont="1" applyFill="1" applyBorder="1" applyAlignment="1">
      <alignment horizontal="right" vertical="center" wrapText="1" indent="1"/>
    </xf>
    <xf numFmtId="3" fontId="7" fillId="22" borderId="235" xfId="173" applyNumberFormat="1" applyFont="1" applyFill="1" applyBorder="1" applyAlignment="1">
      <alignment horizontal="right" vertical="center" wrapText="1" indent="1"/>
    </xf>
    <xf numFmtId="3" fontId="7" fillId="22" borderId="0" xfId="173" applyNumberFormat="1" applyFont="1" applyFill="1" applyBorder="1" applyAlignment="1">
      <alignment horizontal="right" vertical="center" wrapText="1" indent="1"/>
    </xf>
    <xf numFmtId="3" fontId="23" fillId="20" borderId="25" xfId="109" applyNumberFormat="1" applyFont="1" applyFill="1" applyBorder="1" applyAlignment="1">
      <alignment horizontal="right" vertical="center" wrapText="1" indent="1"/>
    </xf>
    <xf numFmtId="3" fontId="155" fillId="0" borderId="208" xfId="109" applyNumberFormat="1" applyFont="1" applyBorder="1" applyAlignment="1">
      <alignment horizontal="right" vertical="center" wrapText="1" indent="1"/>
    </xf>
    <xf numFmtId="3" fontId="155" fillId="0" borderId="218" xfId="109" applyNumberFormat="1" applyFont="1" applyBorder="1" applyAlignment="1">
      <alignment horizontal="right" vertical="center" wrapText="1" indent="1"/>
    </xf>
    <xf numFmtId="3" fontId="7" fillId="22" borderId="205" xfId="173" applyNumberFormat="1" applyFont="1" applyFill="1" applyBorder="1" applyAlignment="1">
      <alignment horizontal="right" vertical="center" wrapText="1" indent="1"/>
    </xf>
    <xf numFmtId="3" fontId="7" fillId="22" borderId="206" xfId="173" applyNumberFormat="1" applyFont="1" applyFill="1" applyBorder="1" applyAlignment="1">
      <alignment horizontal="right" vertical="center" wrapText="1" indent="1"/>
    </xf>
    <xf numFmtId="171" fontId="7" fillId="22" borderId="205" xfId="176" applyNumberFormat="1" applyFont="1" applyFill="1" applyBorder="1" applyAlignment="1">
      <alignment horizontal="center" vertical="center" wrapText="1"/>
    </xf>
    <xf numFmtId="3" fontId="156" fillId="0" borderId="208" xfId="109" applyNumberFormat="1" applyFont="1" applyBorder="1" applyAlignment="1">
      <alignment horizontal="right" vertical="center" wrapText="1" indent="1"/>
    </xf>
    <xf numFmtId="3" fontId="157" fillId="0" borderId="208" xfId="109" applyNumberFormat="1" applyFont="1" applyBorder="1" applyAlignment="1">
      <alignment horizontal="right" vertical="center" wrapText="1" indent="1"/>
    </xf>
    <xf numFmtId="3" fontId="7" fillId="0" borderId="231" xfId="173" applyNumberFormat="1" applyFont="1" applyBorder="1" applyAlignment="1">
      <alignment horizontal="right" vertical="center" wrapText="1" indent="1"/>
    </xf>
    <xf numFmtId="3" fontId="7" fillId="0" borderId="237" xfId="173" applyNumberFormat="1" applyFont="1" applyBorder="1" applyAlignment="1">
      <alignment horizontal="right" vertical="center" wrapText="1" indent="1"/>
    </xf>
    <xf numFmtId="3" fontId="158" fillId="0" borderId="208" xfId="109" applyNumberFormat="1" applyFont="1" applyBorder="1" applyAlignment="1">
      <alignment horizontal="right" vertical="center" wrapText="1" indent="1"/>
    </xf>
    <xf numFmtId="3" fontId="158" fillId="0" borderId="210" xfId="109" applyNumberFormat="1" applyFont="1" applyBorder="1" applyAlignment="1">
      <alignment horizontal="right" vertical="center" wrapText="1" indent="1"/>
    </xf>
    <xf numFmtId="3" fontId="23" fillId="20" borderId="0" xfId="109" applyNumberFormat="1" applyFont="1" applyFill="1" applyBorder="1" applyAlignment="1">
      <alignment horizontal="right" vertical="center" wrapText="1" indent="1"/>
    </xf>
    <xf numFmtId="3" fontId="159" fillId="0" borderId="208" xfId="109" applyNumberFormat="1" applyFont="1" applyBorder="1" applyAlignment="1">
      <alignment horizontal="right" vertical="center" wrapText="1" indent="1"/>
    </xf>
    <xf numFmtId="3" fontId="113" fillId="0" borderId="227" xfId="0" applyNumberFormat="1" applyFont="1" applyBorder="1" applyAlignment="1">
      <alignment horizontal="right" vertical="center" indent="1"/>
    </xf>
    <xf numFmtId="167" fontId="23" fillId="20" borderId="208" xfId="109" applyNumberFormat="1" applyFont="1" applyFill="1" applyBorder="1" applyAlignment="1">
      <alignment horizontal="right" vertical="center" wrapText="1" indent="1"/>
    </xf>
    <xf numFmtId="9" fontId="7" fillId="0" borderId="205" xfId="176" applyFont="1" applyBorder="1" applyAlignment="1">
      <alignment horizontal="center" vertical="center" wrapText="1"/>
    </xf>
    <xf numFmtId="9" fontId="23" fillId="20" borderId="22" xfId="176" applyFont="1" applyFill="1" applyBorder="1" applyAlignment="1">
      <alignment horizontal="center" vertical="center" wrapText="1"/>
    </xf>
    <xf numFmtId="9" fontId="7" fillId="22" borderId="205" xfId="176" applyFont="1" applyFill="1" applyBorder="1" applyAlignment="1">
      <alignment horizontal="center" vertical="center" wrapText="1"/>
    </xf>
    <xf numFmtId="9" fontId="7" fillId="22" borderId="0" xfId="176" applyFont="1" applyFill="1" applyBorder="1" applyAlignment="1">
      <alignment horizontal="center" vertical="center" wrapText="1"/>
    </xf>
    <xf numFmtId="9" fontId="23" fillId="20" borderId="25" xfId="176" applyFont="1" applyFill="1" applyBorder="1" applyAlignment="1">
      <alignment horizontal="center" vertical="center" wrapText="1"/>
    </xf>
    <xf numFmtId="9" fontId="155" fillId="0" borderId="225" xfId="176" applyFont="1" applyBorder="1" applyAlignment="1">
      <alignment horizontal="center" vertical="center" wrapText="1"/>
    </xf>
    <xf numFmtId="9" fontId="156" fillId="0" borderId="225" xfId="176" applyFont="1" applyBorder="1" applyAlignment="1">
      <alignment horizontal="center" vertical="center" wrapText="1"/>
    </xf>
    <xf numFmtId="9" fontId="157" fillId="0" borderId="225" xfId="176" applyFont="1" applyBorder="1" applyAlignment="1">
      <alignment horizontal="center" vertical="center" wrapText="1"/>
    </xf>
    <xf numFmtId="9" fontId="7" fillId="0" borderId="231" xfId="176" applyFont="1" applyBorder="1" applyAlignment="1">
      <alignment horizontal="center" vertical="center" wrapText="1"/>
    </xf>
    <xf numFmtId="9" fontId="158" fillId="0" borderId="225" xfId="176" applyFont="1" applyBorder="1" applyAlignment="1">
      <alignment horizontal="center" vertical="center" wrapText="1"/>
    </xf>
    <xf numFmtId="9" fontId="159" fillId="0" borderId="225" xfId="176" applyFont="1" applyBorder="1" applyAlignment="1">
      <alignment horizontal="center" vertical="center" wrapText="1"/>
    </xf>
    <xf numFmtId="9" fontId="23" fillId="20" borderId="225" xfId="176" applyFont="1" applyFill="1" applyBorder="1" applyAlignment="1">
      <alignment horizontal="center" vertical="center" wrapText="1"/>
    </xf>
    <xf numFmtId="1" fontId="7" fillId="0" borderId="205" xfId="803" applyNumberFormat="1" applyFont="1" applyBorder="1" applyAlignment="1">
      <alignment horizontal="right" vertical="center" wrapText="1" indent="1"/>
    </xf>
    <xf numFmtId="1" fontId="7" fillId="0" borderId="0" xfId="803" applyNumberFormat="1" applyFont="1" applyBorder="1" applyAlignment="1">
      <alignment horizontal="right" vertical="center" wrapText="1" indent="1"/>
    </xf>
    <xf numFmtId="0" fontId="7" fillId="0" borderId="0" xfId="803" applyFont="1" applyBorder="1" applyAlignment="1">
      <alignment horizontal="right" vertical="center" wrapText="1" indent="1"/>
    </xf>
    <xf numFmtId="1" fontId="23" fillId="20" borderId="22" xfId="109" applyNumberFormat="1" applyFont="1" applyFill="1" applyBorder="1" applyAlignment="1">
      <alignment horizontal="right" vertical="center" wrapText="1" indent="1"/>
    </xf>
    <xf numFmtId="1" fontId="7" fillId="22" borderId="205" xfId="173" applyNumberFormat="1" applyFont="1" applyFill="1" applyBorder="1" applyAlignment="1">
      <alignment horizontal="right" vertical="center" wrapText="1" indent="1"/>
    </xf>
    <xf numFmtId="0" fontId="7" fillId="22" borderId="205" xfId="173" applyFont="1" applyFill="1" applyBorder="1" applyAlignment="1">
      <alignment horizontal="right" vertical="center" wrapText="1" indent="1"/>
    </xf>
    <xf numFmtId="1" fontId="7" fillId="22" borderId="0" xfId="173" applyNumberFormat="1" applyFont="1" applyFill="1" applyBorder="1" applyAlignment="1">
      <alignment horizontal="right" vertical="center" wrapText="1" indent="1"/>
    </xf>
    <xf numFmtId="0" fontId="7" fillId="22" borderId="0" xfId="173" applyFont="1" applyFill="1" applyBorder="1" applyAlignment="1">
      <alignment horizontal="right" vertical="center" wrapText="1" indent="1"/>
    </xf>
    <xf numFmtId="1" fontId="23" fillId="20" borderId="25" xfId="109" applyNumberFormat="1" applyFont="1" applyFill="1" applyBorder="1" applyAlignment="1">
      <alignment horizontal="right" vertical="center" wrapText="1" indent="1"/>
    </xf>
    <xf numFmtId="1" fontId="155" fillId="0" borderId="225" xfId="109" applyNumberFormat="1" applyFont="1" applyBorder="1" applyAlignment="1">
      <alignment horizontal="right" vertical="center" wrapText="1" indent="1"/>
    </xf>
    <xf numFmtId="167" fontId="155" fillId="0" borderId="225" xfId="109" applyNumberFormat="1" applyFont="1" applyBorder="1" applyAlignment="1">
      <alignment horizontal="right" vertical="center" wrapText="1" indent="1"/>
    </xf>
    <xf numFmtId="1" fontId="156" fillId="0" borderId="225" xfId="109" applyNumberFormat="1" applyFont="1" applyBorder="1" applyAlignment="1">
      <alignment horizontal="right" vertical="center" wrapText="1" indent="1"/>
    </xf>
    <xf numFmtId="167" fontId="156" fillId="0" borderId="225" xfId="109" applyNumberFormat="1" applyFont="1" applyBorder="1" applyAlignment="1">
      <alignment horizontal="right" vertical="center" wrapText="1" indent="1"/>
    </xf>
    <xf numFmtId="1" fontId="157" fillId="0" borderId="225" xfId="109" applyNumberFormat="1" applyFont="1" applyBorder="1" applyAlignment="1">
      <alignment horizontal="right" vertical="center" wrapText="1" indent="1"/>
    </xf>
    <xf numFmtId="167" fontId="157" fillId="0" borderId="225" xfId="109" applyNumberFormat="1" applyFont="1" applyBorder="1" applyAlignment="1">
      <alignment horizontal="right" vertical="center" wrapText="1" indent="1"/>
    </xf>
    <xf numFmtId="1" fontId="7" fillId="0" borderId="231" xfId="173" applyNumberFormat="1" applyFont="1" applyBorder="1" applyAlignment="1">
      <alignment horizontal="right" vertical="center" wrapText="1" indent="1"/>
    </xf>
    <xf numFmtId="0" fontId="7" fillId="0" borderId="231" xfId="173" applyFont="1" applyBorder="1" applyAlignment="1">
      <alignment horizontal="right" vertical="center" wrapText="1" indent="1"/>
    </xf>
    <xf numFmtId="1" fontId="158" fillId="0" borderId="225" xfId="109" applyNumberFormat="1" applyFont="1" applyBorder="1" applyAlignment="1">
      <alignment horizontal="right" vertical="center" wrapText="1" indent="1"/>
    </xf>
    <xf numFmtId="167" fontId="158" fillId="0" borderId="225" xfId="109" applyNumberFormat="1" applyFont="1" applyBorder="1" applyAlignment="1">
      <alignment horizontal="right" vertical="center" wrapText="1" indent="1"/>
    </xf>
    <xf numFmtId="168" fontId="7" fillId="0" borderId="205" xfId="176" applyNumberFormat="1" applyFont="1" applyBorder="1" applyAlignment="1">
      <alignment horizontal="center" vertical="center" wrapText="1"/>
    </xf>
    <xf numFmtId="168" fontId="7" fillId="0" borderId="0" xfId="176" applyNumberFormat="1" applyFont="1" applyBorder="1" applyAlignment="1">
      <alignment horizontal="center" vertical="center" wrapText="1"/>
    </xf>
    <xf numFmtId="168" fontId="23" fillId="20" borderId="22" xfId="176" applyNumberFormat="1" applyFont="1" applyFill="1" applyBorder="1" applyAlignment="1">
      <alignment horizontal="center" vertical="center" wrapText="1"/>
    </xf>
    <xf numFmtId="168" fontId="7" fillId="22" borderId="205" xfId="176" applyNumberFormat="1" applyFont="1" applyFill="1" applyBorder="1" applyAlignment="1">
      <alignment horizontal="center" vertical="center" wrapText="1"/>
    </xf>
    <xf numFmtId="168" fontId="7" fillId="22" borderId="0" xfId="176" applyNumberFormat="1" applyFont="1" applyFill="1" applyBorder="1" applyAlignment="1">
      <alignment horizontal="center" vertical="center" wrapText="1"/>
    </xf>
    <xf numFmtId="168" fontId="23" fillId="20" borderId="25" xfId="176" applyNumberFormat="1" applyFont="1" applyFill="1" applyBorder="1" applyAlignment="1">
      <alignment horizontal="center" vertical="center" wrapText="1"/>
    </xf>
    <xf numFmtId="168" fontId="155" fillId="0" borderId="225" xfId="176" applyNumberFormat="1" applyFont="1" applyBorder="1" applyAlignment="1">
      <alignment horizontal="center" vertical="center" wrapText="1"/>
    </xf>
    <xf numFmtId="168" fontId="156" fillId="0" borderId="225" xfId="176" applyNumberFormat="1" applyFont="1" applyBorder="1" applyAlignment="1">
      <alignment horizontal="center" vertical="center" wrapText="1"/>
    </xf>
    <xf numFmtId="168" fontId="157" fillId="0" borderId="225" xfId="176" applyNumberFormat="1" applyFont="1" applyBorder="1" applyAlignment="1">
      <alignment horizontal="center" vertical="center" wrapText="1"/>
    </xf>
    <xf numFmtId="168" fontId="158" fillId="0" borderId="225" xfId="176" applyNumberFormat="1" applyFont="1" applyBorder="1" applyAlignment="1">
      <alignment horizontal="center" vertical="center" wrapText="1"/>
    </xf>
    <xf numFmtId="168" fontId="159" fillId="0" borderId="225" xfId="176" applyNumberFormat="1" applyFont="1" applyBorder="1" applyAlignment="1">
      <alignment horizontal="center" vertical="center" wrapText="1"/>
    </xf>
    <xf numFmtId="0" fontId="7" fillId="0" borderId="228" xfId="173" applyFont="1" applyBorder="1" applyAlignment="1">
      <alignment vertical="center" wrapText="1"/>
    </xf>
    <xf numFmtId="0" fontId="7" fillId="0" borderId="229" xfId="173" applyFont="1" applyBorder="1" applyAlignment="1">
      <alignment vertical="center" wrapText="1"/>
    </xf>
    <xf numFmtId="0" fontId="155" fillId="0" borderId="225" xfId="173" applyFont="1" applyBorder="1" applyAlignment="1">
      <alignment horizontal="center" vertical="center" wrapText="1"/>
    </xf>
    <xf numFmtId="0" fontId="156" fillId="0" borderId="225" xfId="173" applyFont="1" applyBorder="1" applyAlignment="1">
      <alignment horizontal="center" vertical="center" wrapText="1"/>
    </xf>
    <xf numFmtId="0" fontId="157" fillId="0" borderId="225" xfId="173" applyFont="1" applyBorder="1" applyAlignment="1">
      <alignment horizontal="center" vertical="center" wrapText="1"/>
    </xf>
    <xf numFmtId="0" fontId="158" fillId="0" borderId="225" xfId="173" applyFont="1" applyBorder="1" applyAlignment="1">
      <alignment horizontal="center" vertical="center" wrapText="1"/>
    </xf>
    <xf numFmtId="1" fontId="7" fillId="0" borderId="246" xfId="173" applyNumberFormat="1" applyFont="1" applyBorder="1" applyAlignment="1">
      <alignment horizontal="right" vertical="center" wrapText="1" indent="1"/>
    </xf>
    <xf numFmtId="0" fontId="7" fillId="0" borderId="246" xfId="173" applyFont="1" applyBorder="1" applyAlignment="1">
      <alignment horizontal="right" vertical="center" wrapText="1" indent="1"/>
    </xf>
    <xf numFmtId="168" fontId="7" fillId="0" borderId="246" xfId="176" applyNumberFormat="1" applyFont="1" applyBorder="1" applyAlignment="1">
      <alignment horizontal="center" vertical="center" wrapText="1"/>
    </xf>
    <xf numFmtId="0" fontId="159" fillId="0" borderId="0" xfId="173" applyFont="1" applyBorder="1" applyAlignment="1">
      <alignment horizontal="center" vertical="center" wrapText="1"/>
    </xf>
    <xf numFmtId="1" fontId="23" fillId="20" borderId="225" xfId="109" applyNumberFormat="1" applyFont="1" applyFill="1" applyBorder="1" applyAlignment="1">
      <alignment horizontal="right" vertical="center" wrapText="1" indent="1"/>
    </xf>
    <xf numFmtId="168" fontId="23" fillId="20" borderId="225" xfId="176" applyNumberFormat="1" applyFont="1" applyFill="1" applyBorder="1" applyAlignment="1">
      <alignment horizontal="center" vertical="center" wrapText="1"/>
    </xf>
    <xf numFmtId="0" fontId="37" fillId="0" borderId="0" xfId="0" applyFont="1" applyBorder="1"/>
    <xf numFmtId="0" fontId="79" fillId="33" borderId="16" xfId="452" applyFont="1" applyFill="1" applyBorder="1" applyAlignment="1">
      <alignment horizontal="center" vertical="center"/>
    </xf>
    <xf numFmtId="0" fontId="54" fillId="0" borderId="28" xfId="452" applyFont="1" applyBorder="1" applyAlignment="1">
      <alignment horizontal="left" vertical="top"/>
    </xf>
    <xf numFmtId="3" fontId="54" fillId="0" borderId="28" xfId="804" applyNumberFormat="1" applyFont="1" applyBorder="1" applyAlignment="1">
      <alignment horizontal="right" vertical="center"/>
    </xf>
    <xf numFmtId="0" fontId="54" fillId="0" borderId="22" xfId="452" applyFont="1" applyBorder="1" applyAlignment="1">
      <alignment horizontal="left" vertical="top"/>
    </xf>
    <xf numFmtId="3" fontId="54" fillId="0" borderId="22" xfId="804" applyNumberFormat="1" applyFont="1" applyBorder="1" applyAlignment="1">
      <alignment horizontal="right" vertical="center"/>
    </xf>
    <xf numFmtId="3" fontId="54" fillId="0" borderId="22" xfId="452" applyNumberFormat="1" applyFont="1" applyBorder="1" applyAlignment="1">
      <alignment horizontal="right" vertical="center"/>
    </xf>
    <xf numFmtId="0" fontId="54" fillId="0" borderId="22" xfId="452" applyFont="1" applyBorder="1" applyAlignment="1">
      <alignment horizontal="left" vertical="top" wrapText="1"/>
    </xf>
    <xf numFmtId="3" fontId="54" fillId="0" borderId="28" xfId="452" applyNumberFormat="1" applyFont="1" applyBorder="1" applyAlignment="1">
      <alignment horizontal="right" vertical="center"/>
    </xf>
    <xf numFmtId="0" fontId="54" fillId="0" borderId="28" xfId="452" applyFont="1" applyBorder="1" applyAlignment="1">
      <alignment horizontal="left" vertical="center"/>
    </xf>
    <xf numFmtId="3" fontId="79" fillId="0" borderId="28" xfId="452" applyNumberFormat="1" applyFont="1" applyBorder="1" applyAlignment="1">
      <alignment horizontal="right"/>
    </xf>
    <xf numFmtId="0" fontId="50" fillId="0" borderId="150" xfId="0" applyFont="1" applyBorder="1"/>
    <xf numFmtId="0" fontId="0" fillId="0" borderId="225" xfId="0" applyBorder="1"/>
    <xf numFmtId="0" fontId="0" fillId="0" borderId="225" xfId="0" applyBorder="1" applyAlignment="1">
      <alignment horizontal="right"/>
    </xf>
    <xf numFmtId="0" fontId="0" fillId="0" borderId="0" xfId="0"/>
    <xf numFmtId="0" fontId="129" fillId="0" borderId="0" xfId="0" applyFont="1" applyAlignment="1">
      <alignment horizontal="center" vertical="center" wrapText="1"/>
    </xf>
    <xf numFmtId="9" fontId="130" fillId="44" borderId="251" xfId="0" applyNumberFormat="1" applyFont="1" applyFill="1" applyBorder="1" applyAlignment="1">
      <alignment horizontal="center" vertical="center" wrapText="1"/>
    </xf>
    <xf numFmtId="168" fontId="209" fillId="44" borderId="247" xfId="176" applyNumberFormat="1" applyFont="1" applyFill="1" applyBorder="1" applyAlignment="1">
      <alignment horizontal="center" vertical="center" wrapText="1"/>
    </xf>
    <xf numFmtId="168" fontId="151" fillId="37" borderId="247" xfId="0" applyNumberFormat="1" applyFont="1" applyFill="1" applyBorder="1" applyAlignment="1">
      <alignment horizontal="center" vertical="center" wrapText="1"/>
    </xf>
    <xf numFmtId="0" fontId="47" fillId="0" borderId="16" xfId="0" applyFont="1" applyBorder="1" applyAlignment="1">
      <alignment horizontal="center" vertical="center" wrapText="1"/>
    </xf>
    <xf numFmtId="0" fontId="64" fillId="0" borderId="16" xfId="0" applyFont="1" applyBorder="1" applyAlignment="1">
      <alignment horizontal="center" vertical="center" wrapText="1"/>
    </xf>
    <xf numFmtId="171" fontId="151" fillId="0" borderId="175" xfId="0" applyNumberFormat="1" applyFont="1" applyFill="1" applyBorder="1" applyAlignment="1">
      <alignment horizontal="center" vertical="center" wrapText="1"/>
    </xf>
    <xf numFmtId="9" fontId="151" fillId="0" borderId="175" xfId="0" applyNumberFormat="1" applyFont="1" applyFill="1" applyBorder="1" applyAlignment="1">
      <alignment horizontal="center" vertical="center" wrapText="1"/>
    </xf>
    <xf numFmtId="9" fontId="151" fillId="0" borderId="176" xfId="0" applyNumberFormat="1" applyFont="1" applyFill="1" applyBorder="1" applyAlignment="1">
      <alignment horizontal="center" vertical="center" wrapText="1"/>
    </xf>
    <xf numFmtId="3" fontId="151" fillId="0" borderId="176" xfId="0" applyNumberFormat="1" applyFont="1" applyFill="1" applyBorder="1" applyAlignment="1">
      <alignment horizontal="center" vertical="center" wrapText="1"/>
    </xf>
    <xf numFmtId="168" fontId="151" fillId="0" borderId="175" xfId="0" applyNumberFormat="1" applyFont="1" applyFill="1" applyBorder="1" applyAlignment="1">
      <alignment horizontal="center" vertical="center" wrapText="1"/>
    </xf>
    <xf numFmtId="9" fontId="151" fillId="0" borderId="177" xfId="0" applyNumberFormat="1" applyFont="1" applyFill="1" applyBorder="1" applyAlignment="1">
      <alignment horizontal="center" vertical="center" wrapText="1"/>
    </xf>
    <xf numFmtId="171" fontId="151" fillId="0" borderId="175" xfId="0" applyNumberFormat="1" applyFont="1" applyFill="1" applyBorder="1" applyAlignment="1">
      <alignment horizontal="center" vertical="center"/>
    </xf>
    <xf numFmtId="3" fontId="151" fillId="0" borderId="175" xfId="0" applyNumberFormat="1" applyFont="1" applyFill="1" applyBorder="1" applyAlignment="1">
      <alignment horizontal="center" vertical="center" wrapText="1"/>
    </xf>
    <xf numFmtId="168" fontId="151" fillId="0" borderId="176" xfId="0" applyNumberFormat="1" applyFont="1" applyFill="1" applyBorder="1" applyAlignment="1">
      <alignment horizontal="center" vertical="center" wrapText="1"/>
    </xf>
    <xf numFmtId="171" fontId="151" fillId="0" borderId="173" xfId="0" applyNumberFormat="1" applyFont="1" applyFill="1" applyBorder="1" applyAlignment="1">
      <alignment horizontal="center" vertical="center" wrapText="1"/>
    </xf>
    <xf numFmtId="0" fontId="151" fillId="0" borderId="174" xfId="0" applyFont="1" applyFill="1" applyBorder="1" applyAlignment="1">
      <alignment horizontal="center" vertical="center" wrapText="1"/>
    </xf>
    <xf numFmtId="0" fontId="151" fillId="0" borderId="175" xfId="0" applyFont="1" applyFill="1" applyBorder="1" applyAlignment="1">
      <alignment horizontal="center" vertical="center" wrapText="1"/>
    </xf>
    <xf numFmtId="168" fontId="151" fillId="0" borderId="175" xfId="176" applyNumberFormat="1" applyFont="1" applyFill="1" applyBorder="1" applyAlignment="1">
      <alignment horizontal="center" vertical="center" wrapText="1"/>
    </xf>
    <xf numFmtId="0" fontId="0" fillId="0" borderId="0" xfId="0"/>
    <xf numFmtId="0" fontId="0" fillId="0" borderId="0" xfId="0"/>
    <xf numFmtId="3" fontId="0" fillId="0" borderId="260" xfId="0" applyNumberFormat="1" applyBorder="1" applyAlignment="1">
      <alignment horizontal="center" vertical="center"/>
    </xf>
    <xf numFmtId="3" fontId="0" fillId="0" borderId="180" xfId="0" applyNumberFormat="1" applyBorder="1" applyAlignment="1">
      <alignment horizontal="center" vertical="center"/>
    </xf>
    <xf numFmtId="3" fontId="106" fillId="0" borderId="182" xfId="0" applyNumberFormat="1" applyFont="1" applyBorder="1" applyAlignment="1">
      <alignment horizontal="center" vertical="center"/>
    </xf>
    <xf numFmtId="3" fontId="0" fillId="0" borderId="179" xfId="0" applyNumberFormat="1" applyBorder="1" applyAlignment="1">
      <alignment horizontal="center" vertical="center"/>
    </xf>
    <xf numFmtId="3" fontId="105" fillId="0" borderId="182" xfId="0" applyNumberFormat="1" applyFont="1" applyBorder="1" applyAlignment="1">
      <alignment horizontal="center" vertical="center"/>
    </xf>
    <xf numFmtId="3" fontId="110" fillId="0" borderId="182" xfId="0" applyNumberFormat="1" applyFont="1" applyBorder="1" applyAlignment="1">
      <alignment horizontal="center" vertical="center"/>
    </xf>
    <xf numFmtId="3" fontId="108" fillId="0" borderId="182" xfId="0" applyNumberFormat="1" applyFont="1" applyBorder="1" applyAlignment="1">
      <alignment horizontal="center" vertical="center"/>
    </xf>
    <xf numFmtId="3" fontId="113" fillId="0" borderId="182" xfId="0" applyNumberFormat="1" applyFont="1" applyBorder="1" applyAlignment="1">
      <alignment horizontal="center" vertical="center"/>
    </xf>
    <xf numFmtId="0" fontId="79" fillId="20" borderId="208" xfId="451" applyFont="1" applyFill="1" applyBorder="1" applyAlignment="1">
      <alignment horizontal="center" vertical="center"/>
    </xf>
    <xf numFmtId="0" fontId="79" fillId="20" borderId="207" xfId="451" applyFont="1" applyFill="1" applyBorder="1" applyAlignment="1">
      <alignment horizontal="center" vertical="center"/>
    </xf>
    <xf numFmtId="0" fontId="0" fillId="0" borderId="0" xfId="0"/>
    <xf numFmtId="0" fontId="81" fillId="20" borderId="92" xfId="0" applyFont="1" applyFill="1" applyBorder="1" applyAlignment="1">
      <alignment horizontal="center" vertical="center" wrapText="1"/>
    </xf>
    <xf numFmtId="0" fontId="44" fillId="0" borderId="0" xfId="0" applyFont="1" applyAlignment="1">
      <alignment horizontal="left" vertical="center" wrapText="1"/>
    </xf>
    <xf numFmtId="0" fontId="249" fillId="0" borderId="0" xfId="0" applyFont="1" applyAlignment="1">
      <alignment vertical="center"/>
    </xf>
    <xf numFmtId="0" fontId="0" fillId="0" borderId="0" xfId="0"/>
    <xf numFmtId="0" fontId="42" fillId="20" borderId="113" xfId="173" applyFont="1" applyFill="1" applyBorder="1" applyAlignment="1">
      <alignment horizontal="center" vertical="center" wrapText="1"/>
    </xf>
    <xf numFmtId="0" fontId="42" fillId="20" borderId="223" xfId="173" applyFont="1" applyFill="1" applyBorder="1" applyAlignment="1">
      <alignment horizontal="center" vertical="center" wrapText="1"/>
    </xf>
    <xf numFmtId="0" fontId="84" fillId="0" borderId="0" xfId="0" applyFont="1" applyAlignment="1">
      <alignment horizontal="center" vertical="center" wrapText="1"/>
    </xf>
    <xf numFmtId="0" fontId="61" fillId="0" borderId="0" xfId="0" applyFont="1" applyAlignment="1">
      <alignment horizontal="center"/>
    </xf>
    <xf numFmtId="0" fontId="54" fillId="0" borderId="200" xfId="736" applyFont="1" applyFill="1" applyBorder="1" applyAlignment="1">
      <alignment horizontal="left" vertical="center"/>
    </xf>
    <xf numFmtId="0" fontId="54" fillId="0" borderId="22" xfId="736" applyFont="1" applyFill="1" applyBorder="1" applyAlignment="1">
      <alignment horizontal="left" vertical="center"/>
    </xf>
    <xf numFmtId="0" fontId="79" fillId="0" borderId="22" xfId="736" applyFont="1" applyFill="1" applyBorder="1" applyAlignment="1">
      <alignment horizontal="center" vertical="center"/>
    </xf>
    <xf numFmtId="0" fontId="54" fillId="0" borderId="22" xfId="452" applyFont="1" applyFill="1" applyBorder="1" applyAlignment="1">
      <alignment horizontal="left" vertical="center"/>
    </xf>
    <xf numFmtId="0" fontId="79" fillId="0" borderId="25" xfId="736" applyFont="1" applyFill="1" applyBorder="1" applyAlignment="1">
      <alignment horizontal="center" vertical="center"/>
    </xf>
    <xf numFmtId="0" fontId="54" fillId="0" borderId="28" xfId="736" applyFont="1" applyFill="1" applyBorder="1" applyAlignment="1">
      <alignment horizontal="left" vertical="center"/>
    </xf>
    <xf numFmtId="0" fontId="79" fillId="20" borderId="23" xfId="736" applyFont="1" applyFill="1" applyBorder="1" applyAlignment="1">
      <alignment horizontal="center" vertical="center"/>
    </xf>
    <xf numFmtId="0" fontId="54" fillId="0" borderId="261" xfId="441" applyFont="1" applyBorder="1" applyAlignment="1">
      <alignment horizontal="left" vertical="top"/>
    </xf>
    <xf numFmtId="171" fontId="0" fillId="0" borderId="261" xfId="0" applyNumberFormat="1" applyFont="1" applyBorder="1" applyAlignment="1">
      <alignment horizontal="center" vertical="center"/>
    </xf>
    <xf numFmtId="171" fontId="54" fillId="0" borderId="261" xfId="796" applyNumberFormat="1" applyFont="1" applyBorder="1" applyAlignment="1">
      <alignment horizontal="center" vertical="center"/>
    </xf>
    <xf numFmtId="171" fontId="54" fillId="0" borderId="261" xfId="441" applyNumberFormat="1" applyFont="1" applyBorder="1" applyAlignment="1">
      <alignment horizontal="center" vertical="center"/>
    </xf>
    <xf numFmtId="171" fontId="54" fillId="0" borderId="200" xfId="441" applyNumberFormat="1" applyFont="1" applyBorder="1" applyAlignment="1">
      <alignment horizontal="center" vertical="center"/>
    </xf>
    <xf numFmtId="0" fontId="54" fillId="0" borderId="19" xfId="441" applyFont="1" applyBorder="1" applyAlignment="1">
      <alignment horizontal="left" vertical="top"/>
    </xf>
    <xf numFmtId="171" fontId="0" fillId="0" borderId="19" xfId="0" applyNumberFormat="1" applyFont="1" applyBorder="1" applyAlignment="1">
      <alignment horizontal="center" vertical="center"/>
    </xf>
    <xf numFmtId="171" fontId="54" fillId="0" borderId="19" xfId="796" applyNumberFormat="1" applyFont="1" applyBorder="1" applyAlignment="1">
      <alignment horizontal="center" vertical="center"/>
    </xf>
    <xf numFmtId="171" fontId="54" fillId="0" borderId="19" xfId="441" applyNumberFormat="1" applyFont="1" applyBorder="1" applyAlignment="1">
      <alignment horizontal="center" vertical="center"/>
    </xf>
    <xf numFmtId="171" fontId="54" fillId="0" borderId="22" xfId="441" applyNumberFormat="1" applyFont="1" applyBorder="1" applyAlignment="1">
      <alignment horizontal="center" vertical="center"/>
    </xf>
    <xf numFmtId="0" fontId="79" fillId="0" borderId="19" xfId="441" applyFont="1" applyBorder="1" applyAlignment="1">
      <alignment horizontal="center" vertical="top"/>
    </xf>
    <xf numFmtId="171" fontId="39" fillId="0" borderId="19" xfId="0" applyNumberFormat="1" applyFont="1" applyBorder="1" applyAlignment="1">
      <alignment horizontal="center" vertical="center"/>
    </xf>
    <xf numFmtId="171" fontId="79" fillId="0" borderId="19" xfId="796" applyNumberFormat="1" applyFont="1" applyBorder="1" applyAlignment="1">
      <alignment horizontal="center" vertical="center"/>
    </xf>
    <xf numFmtId="171" fontId="79" fillId="0" borderId="19" xfId="441" applyNumberFormat="1" applyFont="1" applyBorder="1" applyAlignment="1">
      <alignment horizontal="center" vertical="center"/>
    </xf>
    <xf numFmtId="171" fontId="79" fillId="0" borderId="22" xfId="441" applyNumberFormat="1" applyFont="1" applyBorder="1" applyAlignment="1">
      <alignment horizontal="center" vertical="center"/>
    </xf>
    <xf numFmtId="0" fontId="54" fillId="0" borderId="22" xfId="238" applyFont="1" applyBorder="1" applyAlignment="1">
      <alignment horizontal="left"/>
    </xf>
    <xf numFmtId="171" fontId="39" fillId="0" borderId="17" xfId="0" applyNumberFormat="1" applyFont="1" applyBorder="1" applyAlignment="1">
      <alignment horizontal="center" vertical="center"/>
    </xf>
    <xf numFmtId="171" fontId="79" fillId="0" borderId="17" xfId="796" applyNumberFormat="1" applyFont="1" applyBorder="1" applyAlignment="1">
      <alignment horizontal="center" vertical="center"/>
    </xf>
    <xf numFmtId="171" fontId="0" fillId="0" borderId="17" xfId="0" applyNumberFormat="1" applyFont="1" applyBorder="1" applyAlignment="1">
      <alignment horizontal="center" vertical="center"/>
    </xf>
    <xf numFmtId="171" fontId="0" fillId="0" borderId="22" xfId="0" applyNumberFormat="1" applyFont="1" applyBorder="1" applyAlignment="1">
      <alignment horizontal="center" vertical="center"/>
    </xf>
    <xf numFmtId="171" fontId="39" fillId="0" borderId="22" xfId="0" applyNumberFormat="1" applyFont="1" applyBorder="1" applyAlignment="1">
      <alignment horizontal="center" vertical="center"/>
    </xf>
    <xf numFmtId="0" fontId="79" fillId="20" borderId="23" xfId="238" applyFont="1" applyFill="1" applyBorder="1" applyAlignment="1">
      <alignment horizontal="center" vertical="center"/>
    </xf>
    <xf numFmtId="171" fontId="39" fillId="20" borderId="20" xfId="0" applyNumberFormat="1" applyFont="1" applyFill="1" applyBorder="1" applyAlignment="1">
      <alignment horizontal="center" vertical="center"/>
    </xf>
    <xf numFmtId="171" fontId="79" fillId="20" borderId="20" xfId="796" applyNumberFormat="1" applyFont="1" applyFill="1" applyBorder="1" applyAlignment="1">
      <alignment horizontal="center" vertical="center"/>
    </xf>
    <xf numFmtId="171" fontId="0" fillId="20" borderId="20" xfId="0" applyNumberFormat="1" applyFont="1" applyFill="1" applyBorder="1" applyAlignment="1">
      <alignment horizontal="center" vertical="center"/>
    </xf>
    <xf numFmtId="171" fontId="39" fillId="20" borderId="21" xfId="0" applyNumberFormat="1" applyFont="1" applyFill="1" applyBorder="1" applyAlignment="1">
      <alignment horizontal="center" vertical="center"/>
    </xf>
    <xf numFmtId="171" fontId="39" fillId="20" borderId="23" xfId="0" applyNumberFormat="1" applyFont="1" applyFill="1" applyBorder="1" applyAlignment="1">
      <alignment horizontal="center" vertical="center"/>
    </xf>
    <xf numFmtId="0" fontId="54" fillId="0" borderId="28" xfId="238" applyFont="1" applyBorder="1" applyAlignment="1">
      <alignment horizontal="left"/>
    </xf>
    <xf numFmtId="171" fontId="39" fillId="0" borderId="30" xfId="0" applyNumberFormat="1" applyFont="1" applyBorder="1" applyAlignment="1">
      <alignment horizontal="center" vertical="center"/>
    </xf>
    <xf numFmtId="171" fontId="79" fillId="0" borderId="30" xfId="796" applyNumberFormat="1" applyFont="1" applyBorder="1" applyAlignment="1">
      <alignment horizontal="center" vertical="center"/>
    </xf>
    <xf numFmtId="171" fontId="0" fillId="0" borderId="30" xfId="0" applyNumberFormat="1" applyFont="1" applyBorder="1" applyAlignment="1">
      <alignment horizontal="center" vertical="center"/>
    </xf>
    <xf numFmtId="171" fontId="0" fillId="0" borderId="29" xfId="0" applyNumberFormat="1" applyFont="1" applyBorder="1" applyAlignment="1">
      <alignment horizontal="center" vertical="center"/>
    </xf>
    <xf numFmtId="171" fontId="0" fillId="0" borderId="28" xfId="0" applyNumberFormat="1" applyFont="1" applyBorder="1" applyAlignment="1">
      <alignment horizontal="center" vertical="center"/>
    </xf>
    <xf numFmtId="0" fontId="79" fillId="20" borderId="23" xfId="441" applyFont="1" applyFill="1" applyBorder="1" applyAlignment="1">
      <alignment horizontal="center" vertical="center"/>
    </xf>
    <xf numFmtId="171" fontId="79" fillId="20" borderId="21" xfId="796" applyNumberFormat="1" applyFont="1" applyFill="1" applyBorder="1" applyAlignment="1">
      <alignment horizontal="center" vertical="center"/>
    </xf>
    <xf numFmtId="171" fontId="0" fillId="20" borderId="21" xfId="0" applyNumberFormat="1" applyFont="1" applyFill="1" applyBorder="1" applyAlignment="1">
      <alignment horizontal="center" vertical="center"/>
    </xf>
    <xf numFmtId="171" fontId="79" fillId="20" borderId="21" xfId="441" applyNumberFormat="1" applyFont="1" applyFill="1" applyBorder="1" applyAlignment="1">
      <alignment horizontal="center" vertical="center"/>
    </xf>
    <xf numFmtId="171" fontId="79" fillId="20" borderId="23" xfId="441" applyNumberFormat="1" applyFont="1" applyFill="1" applyBorder="1" applyAlignment="1">
      <alignment horizontal="center" vertical="center"/>
    </xf>
    <xf numFmtId="0" fontId="54" fillId="0" borderId="29" xfId="441" applyFont="1" applyBorder="1" applyAlignment="1">
      <alignment horizontal="left" vertical="top"/>
    </xf>
    <xf numFmtId="171" fontId="54" fillId="0" borderId="29" xfId="796" applyNumberFormat="1" applyFont="1" applyBorder="1" applyAlignment="1">
      <alignment horizontal="center" vertical="center"/>
    </xf>
    <xf numFmtId="171" fontId="54" fillId="0" borderId="29" xfId="441" applyNumberFormat="1" applyFont="1" applyBorder="1" applyAlignment="1">
      <alignment horizontal="center" vertical="center"/>
    </xf>
    <xf numFmtId="171" fontId="54" fillId="0" borderId="28" xfId="441" applyNumberFormat="1" applyFont="1" applyBorder="1" applyAlignment="1">
      <alignment horizontal="center" vertical="center"/>
    </xf>
    <xf numFmtId="168" fontId="41" fillId="0" borderId="262" xfId="228" applyNumberFormat="1" applyFont="1" applyBorder="1" applyAlignment="1">
      <alignment horizontal="center" vertical="center"/>
    </xf>
    <xf numFmtId="168" fontId="37" fillId="0" borderId="200" xfId="176" applyNumberFormat="1" applyBorder="1" applyAlignment="1">
      <alignment horizontal="center" vertical="center"/>
    </xf>
    <xf numFmtId="168" fontId="42" fillId="0" borderId="262" xfId="176" applyNumberFormat="1" applyFont="1" applyBorder="1" applyAlignment="1">
      <alignment horizontal="center" vertical="center"/>
    </xf>
    <xf numFmtId="168" fontId="42" fillId="0" borderId="200" xfId="176" applyNumberFormat="1" applyFont="1" applyBorder="1" applyAlignment="1">
      <alignment horizontal="center" vertical="center"/>
    </xf>
    <xf numFmtId="168" fontId="54" fillId="0" borderId="262" xfId="176" applyNumberFormat="1" applyFont="1" applyBorder="1" applyAlignment="1">
      <alignment horizontal="center" vertical="center"/>
    </xf>
    <xf numFmtId="168" fontId="54" fillId="0" borderId="263" xfId="176" applyNumberFormat="1" applyFont="1" applyBorder="1" applyAlignment="1">
      <alignment horizontal="center" vertical="center"/>
    </xf>
    <xf numFmtId="168" fontId="0" fillId="0" borderId="17" xfId="0" applyNumberFormat="1" applyBorder="1" applyAlignment="1">
      <alignment horizontal="center" vertical="center"/>
    </xf>
    <xf numFmtId="168" fontId="37" fillId="0" borderId="22" xfId="176" applyNumberFormat="1" applyBorder="1" applyAlignment="1">
      <alignment horizontal="center" vertical="center"/>
    </xf>
    <xf numFmtId="168" fontId="42" fillId="0" borderId="17" xfId="176" applyNumberFormat="1" applyFont="1" applyBorder="1" applyAlignment="1">
      <alignment horizontal="center" vertical="center"/>
    </xf>
    <xf numFmtId="168" fontId="54" fillId="0" borderId="22" xfId="176" applyNumberFormat="1" applyFont="1" applyBorder="1" applyAlignment="1">
      <alignment horizontal="center" vertical="center"/>
    </xf>
    <xf numFmtId="168" fontId="54" fillId="0" borderId="17" xfId="176" applyNumberFormat="1" applyFont="1" applyBorder="1" applyAlignment="1">
      <alignment horizontal="center" vertical="center"/>
    </xf>
    <xf numFmtId="168" fontId="54" fillId="0" borderId="18" xfId="176" applyNumberFormat="1" applyFont="1" applyBorder="1" applyAlignment="1">
      <alignment horizontal="center" vertical="center"/>
    </xf>
    <xf numFmtId="168" fontId="0" fillId="0" borderId="22" xfId="0" applyNumberFormat="1" applyBorder="1" applyAlignment="1">
      <alignment horizontal="center" vertical="center"/>
    </xf>
    <xf numFmtId="168" fontId="79" fillId="0" borderId="17" xfId="176" applyNumberFormat="1" applyFont="1" applyBorder="1" applyAlignment="1">
      <alignment horizontal="center" vertical="center"/>
    </xf>
    <xf numFmtId="168" fontId="79" fillId="0" borderId="18" xfId="176" applyNumberFormat="1" applyFont="1" applyBorder="1" applyAlignment="1">
      <alignment horizontal="center" vertical="center"/>
    </xf>
    <xf numFmtId="168" fontId="42" fillId="0" borderId="17" xfId="228" applyNumberFormat="1" applyFont="1" applyBorder="1" applyAlignment="1">
      <alignment horizontal="center" vertical="center"/>
    </xf>
    <xf numFmtId="168" fontId="39" fillId="0" borderId="22" xfId="176" applyNumberFormat="1" applyFont="1" applyBorder="1" applyAlignment="1">
      <alignment horizontal="center" vertical="center"/>
    </xf>
    <xf numFmtId="168" fontId="79" fillId="0" borderId="22" xfId="176" applyNumberFormat="1" applyFont="1" applyBorder="1" applyAlignment="1">
      <alignment horizontal="center" vertical="center"/>
    </xf>
    <xf numFmtId="168" fontId="41" fillId="0" borderId="17" xfId="228" applyNumberFormat="1" applyFont="1" applyBorder="1" applyAlignment="1">
      <alignment horizontal="center" vertical="center"/>
    </xf>
    <xf numFmtId="168" fontId="42" fillId="0" borderId="22" xfId="176" applyNumberFormat="1" applyFont="1" applyBorder="1" applyAlignment="1">
      <alignment horizontal="center" vertical="center"/>
    </xf>
    <xf numFmtId="168" fontId="0" fillId="0" borderId="18" xfId="0" applyNumberFormat="1" applyBorder="1" applyAlignment="1">
      <alignment horizontal="center" vertical="center"/>
    </xf>
    <xf numFmtId="168" fontId="41" fillId="0" borderId="17" xfId="176" applyNumberFormat="1" applyFont="1" applyBorder="1" applyAlignment="1">
      <alignment horizontal="center" vertical="center"/>
    </xf>
    <xf numFmtId="168" fontId="41" fillId="0" borderId="22" xfId="176" applyNumberFormat="1" applyFont="1" applyBorder="1" applyAlignment="1">
      <alignment horizontal="center" vertical="center"/>
    </xf>
    <xf numFmtId="168" fontId="42" fillId="0" borderId="31" xfId="228" applyNumberFormat="1" applyFont="1" applyBorder="1" applyAlignment="1">
      <alignment horizontal="center" vertical="center"/>
    </xf>
    <xf numFmtId="168" fontId="39" fillId="0" borderId="25" xfId="176" applyNumberFormat="1" applyFont="1" applyBorder="1" applyAlignment="1">
      <alignment horizontal="center" vertical="center"/>
    </xf>
    <xf numFmtId="168" fontId="42" fillId="0" borderId="31" xfId="176" applyNumberFormat="1" applyFont="1" applyBorder="1" applyAlignment="1">
      <alignment horizontal="center" vertical="center"/>
    </xf>
    <xf numFmtId="168" fontId="79" fillId="0" borderId="25" xfId="176" applyNumberFormat="1" applyFont="1" applyBorder="1" applyAlignment="1">
      <alignment horizontal="center" vertical="center"/>
    </xf>
    <xf numFmtId="168" fontId="79" fillId="0" borderId="31" xfId="176" applyNumberFormat="1" applyFont="1" applyBorder="1" applyAlignment="1">
      <alignment horizontal="center" vertical="center"/>
    </xf>
    <xf numFmtId="168" fontId="79" fillId="0" borderId="24" xfId="176" applyNumberFormat="1" applyFont="1" applyBorder="1" applyAlignment="1">
      <alignment horizontal="center" vertical="center"/>
    </xf>
    <xf numFmtId="0" fontId="54" fillId="0" borderId="261" xfId="451" applyFont="1" applyBorder="1" applyAlignment="1">
      <alignment vertical="center"/>
    </xf>
    <xf numFmtId="0" fontId="54" fillId="0" borderId="19" xfId="451" applyFont="1" applyBorder="1" applyAlignment="1">
      <alignment vertical="center"/>
    </xf>
    <xf numFmtId="0" fontId="54" fillId="0" borderId="19" xfId="797" applyFont="1" applyBorder="1" applyAlignment="1">
      <alignment vertical="top"/>
    </xf>
    <xf numFmtId="0" fontId="79" fillId="0" borderId="19" xfId="451" applyFont="1" applyBorder="1" applyAlignment="1">
      <alignment horizontal="center" vertical="center"/>
    </xf>
    <xf numFmtId="0" fontId="54" fillId="0" borderId="19" xfId="797" applyFont="1" applyBorder="1" applyAlignment="1">
      <alignment vertical="top" wrapText="1"/>
    </xf>
    <xf numFmtId="0" fontId="79" fillId="0" borderId="26" xfId="451" applyFont="1" applyBorder="1" applyAlignment="1">
      <alignment horizontal="center" vertical="center"/>
    </xf>
    <xf numFmtId="0" fontId="54" fillId="0" borderId="29" xfId="451" applyFont="1" applyBorder="1" applyAlignment="1">
      <alignment vertical="center"/>
    </xf>
    <xf numFmtId="168" fontId="41" fillId="0" borderId="30" xfId="228" applyNumberFormat="1" applyFont="1" applyBorder="1" applyAlignment="1">
      <alignment horizontal="center" vertical="center"/>
    </xf>
    <xf numFmtId="168" fontId="37" fillId="0" borderId="28" xfId="176" applyNumberFormat="1" applyBorder="1" applyAlignment="1">
      <alignment horizontal="center" vertical="center"/>
    </xf>
    <xf numFmtId="168" fontId="41" fillId="0" borderId="30" xfId="176" applyNumberFormat="1" applyFont="1" applyBorder="1" applyAlignment="1">
      <alignment horizontal="center" vertical="center"/>
    </xf>
    <xf numFmtId="168" fontId="41" fillId="0" borderId="28" xfId="176" applyNumberFormat="1" applyFont="1" applyBorder="1" applyAlignment="1">
      <alignment horizontal="center" vertical="center"/>
    </xf>
    <xf numFmtId="168" fontId="54" fillId="0" borderId="30" xfId="176" applyNumberFormat="1" applyFont="1" applyBorder="1" applyAlignment="1">
      <alignment horizontal="center" vertical="center"/>
    </xf>
    <xf numFmtId="168" fontId="54" fillId="0" borderId="27" xfId="176" applyNumberFormat="1" applyFont="1" applyBorder="1" applyAlignment="1">
      <alignment horizontal="center" vertical="center"/>
    </xf>
    <xf numFmtId="0" fontId="79" fillId="20" borderId="21" xfId="451" applyFont="1" applyFill="1" applyBorder="1" applyAlignment="1">
      <alignment horizontal="center" vertical="center"/>
    </xf>
    <xf numFmtId="168" fontId="42" fillId="20" borderId="20" xfId="228" applyNumberFormat="1" applyFont="1" applyFill="1" applyBorder="1" applyAlignment="1">
      <alignment horizontal="center" vertical="center"/>
    </xf>
    <xf numFmtId="168" fontId="39" fillId="20" borderId="23" xfId="176" applyNumberFormat="1" applyFont="1" applyFill="1" applyBorder="1" applyAlignment="1">
      <alignment horizontal="center" vertical="center"/>
    </xf>
    <xf numFmtId="168" fontId="42" fillId="20" borderId="20" xfId="176" applyNumberFormat="1" applyFont="1" applyFill="1" applyBorder="1" applyAlignment="1">
      <alignment horizontal="center" vertical="center"/>
    </xf>
    <xf numFmtId="168" fontId="79" fillId="20" borderId="23" xfId="176" applyNumberFormat="1" applyFont="1" applyFill="1" applyBorder="1" applyAlignment="1">
      <alignment horizontal="center" vertical="center"/>
    </xf>
    <xf numFmtId="168" fontId="79" fillId="20" borderId="20" xfId="176" applyNumberFormat="1" applyFont="1" applyFill="1" applyBorder="1" applyAlignment="1">
      <alignment horizontal="center" vertical="center"/>
    </xf>
    <xf numFmtId="168" fontId="79" fillId="20" borderId="255" xfId="176" applyNumberFormat="1" applyFont="1" applyFill="1" applyBorder="1" applyAlignment="1">
      <alignment horizontal="center" vertical="center"/>
    </xf>
    <xf numFmtId="0" fontId="0" fillId="0" borderId="29" xfId="0" applyBorder="1"/>
    <xf numFmtId="168" fontId="0" fillId="0" borderId="30" xfId="0" applyNumberFormat="1" applyBorder="1" applyAlignment="1">
      <alignment horizontal="center" vertical="center"/>
    </xf>
    <xf numFmtId="168" fontId="54" fillId="0" borderId="28" xfId="176" applyNumberFormat="1" applyFont="1" applyBorder="1" applyAlignment="1">
      <alignment horizontal="center" vertical="center"/>
    </xf>
    <xf numFmtId="168" fontId="42" fillId="20" borderId="23" xfId="176" applyNumberFormat="1" applyFont="1" applyFill="1" applyBorder="1" applyAlignment="1">
      <alignment horizontal="center" vertical="center"/>
    </xf>
    <xf numFmtId="0" fontId="154" fillId="20" borderId="176" xfId="0" applyFont="1" applyFill="1" applyBorder="1" applyAlignment="1">
      <alignment horizontal="center" vertical="center" wrapText="1"/>
    </xf>
    <xf numFmtId="0" fontId="154" fillId="20" borderId="175" xfId="0" applyFont="1" applyFill="1" applyBorder="1" applyAlignment="1">
      <alignment horizontal="center" vertical="center"/>
    </xf>
    <xf numFmtId="0" fontId="154" fillId="20" borderId="175" xfId="0" applyFont="1" applyFill="1" applyBorder="1" applyAlignment="1">
      <alignment vertical="center"/>
    </xf>
    <xf numFmtId="0" fontId="154" fillId="20" borderId="175" xfId="0" applyFont="1" applyFill="1" applyBorder="1" applyAlignment="1">
      <alignment horizontal="center"/>
    </xf>
    <xf numFmtId="171" fontId="154" fillId="20" borderId="176" xfId="0" applyNumberFormat="1" applyFont="1" applyFill="1" applyBorder="1" applyAlignment="1">
      <alignment horizontal="center" vertical="center"/>
    </xf>
    <xf numFmtId="168" fontId="154" fillId="20" borderId="175" xfId="0" applyNumberFormat="1" applyFont="1" applyFill="1" applyBorder="1" applyAlignment="1">
      <alignment horizontal="center"/>
    </xf>
    <xf numFmtId="0" fontId="31" fillId="0" borderId="79" xfId="0" applyFont="1" applyBorder="1" applyAlignment="1">
      <alignment vertical="center"/>
    </xf>
    <xf numFmtId="0" fontId="31" fillId="0" borderId="79" xfId="0" applyFont="1" applyBorder="1" applyAlignment="1">
      <alignment horizontal="center" vertical="center"/>
    </xf>
    <xf numFmtId="0" fontId="31" fillId="0" borderId="79" xfId="0" applyFont="1" applyBorder="1" applyAlignment="1">
      <alignment horizontal="center"/>
    </xf>
    <xf numFmtId="171" fontId="31" fillId="0" borderId="254" xfId="0" applyNumberFormat="1" applyFont="1" applyBorder="1" applyAlignment="1">
      <alignment horizontal="center" vertical="center"/>
    </xf>
    <xf numFmtId="168" fontId="31" fillId="0" borderId="79" xfId="0" applyNumberFormat="1" applyFont="1" applyBorder="1" applyAlignment="1">
      <alignment horizontal="center"/>
    </xf>
    <xf numFmtId="0" fontId="31" fillId="0" borderId="17" xfId="0" applyFont="1" applyBorder="1" applyAlignment="1">
      <alignment vertical="center"/>
    </xf>
    <xf numFmtId="0" fontId="31" fillId="0" borderId="17" xfId="0" applyFont="1" applyBorder="1" applyAlignment="1">
      <alignment horizontal="center" vertical="center"/>
    </xf>
    <xf numFmtId="0" fontId="31" fillId="0" borderId="17" xfId="0" applyFont="1" applyBorder="1" applyAlignment="1">
      <alignment horizontal="center"/>
    </xf>
    <xf numFmtId="171" fontId="31" fillId="0" borderId="18" xfId="0" applyNumberFormat="1" applyFont="1" applyBorder="1" applyAlignment="1">
      <alignment horizontal="center" vertical="center"/>
    </xf>
    <xf numFmtId="168" fontId="31" fillId="0" borderId="17" xfId="0" applyNumberFormat="1" applyFont="1" applyBorder="1" applyAlignment="1">
      <alignment horizontal="center"/>
    </xf>
    <xf numFmtId="0" fontId="31" fillId="0" borderId="20" xfId="0" applyFont="1" applyBorder="1" applyAlignment="1">
      <alignment vertical="center"/>
    </xf>
    <xf numFmtId="0" fontId="31" fillId="0" borderId="20" xfId="0" applyFont="1" applyBorder="1" applyAlignment="1">
      <alignment horizontal="center" vertical="center"/>
    </xf>
    <xf numFmtId="0" fontId="31" fillId="0" borderId="20" xfId="0" applyFont="1" applyBorder="1" applyAlignment="1">
      <alignment horizontal="center"/>
    </xf>
    <xf numFmtId="171" fontId="31" fillId="0" borderId="255" xfId="0" applyNumberFormat="1" applyFont="1" applyBorder="1" applyAlignment="1">
      <alignment horizontal="center" vertical="center"/>
    </xf>
    <xf numFmtId="191" fontId="31" fillId="0" borderId="20" xfId="818" applyNumberFormat="1" applyFont="1" applyBorder="1" applyAlignment="1">
      <alignment horizontal="center"/>
    </xf>
    <xf numFmtId="0" fontId="31" fillId="0" borderId="247" xfId="0" applyFont="1" applyBorder="1" applyAlignment="1">
      <alignment horizontal="center" vertical="center"/>
    </xf>
    <xf numFmtId="0" fontId="143" fillId="0" borderId="0" xfId="0" applyFont="1" applyAlignment="1">
      <alignment horizontal="center" vertical="center"/>
    </xf>
    <xf numFmtId="0" fontId="225" fillId="20" borderId="154" xfId="0" applyFont="1" applyFill="1" applyBorder="1" applyAlignment="1">
      <alignment horizontal="center" vertical="center"/>
    </xf>
    <xf numFmtId="0" fontId="225" fillId="20" borderId="153" xfId="0" applyFont="1" applyFill="1" applyBorder="1" applyAlignment="1">
      <alignment horizontal="center" vertical="center"/>
    </xf>
    <xf numFmtId="0" fontId="148" fillId="0" borderId="79" xfId="0" applyFont="1" applyBorder="1" applyAlignment="1">
      <alignment horizontal="center" vertical="center"/>
    </xf>
    <xf numFmtId="0" fontId="59" fillId="0" borderId="79" xfId="0" applyFont="1" applyBorder="1" applyAlignment="1">
      <alignment horizontal="center"/>
    </xf>
    <xf numFmtId="171" fontId="148" fillId="0" borderId="254" xfId="0" applyNumberFormat="1" applyFont="1" applyBorder="1" applyAlignment="1">
      <alignment horizontal="center" vertical="center"/>
    </xf>
    <xf numFmtId="0" fontId="0" fillId="0" borderId="79" xfId="0" applyBorder="1" applyAlignment="1">
      <alignment horizontal="center"/>
    </xf>
    <xf numFmtId="0" fontId="148" fillId="0" borderId="17" xfId="0" applyFont="1" applyBorder="1" applyAlignment="1">
      <alignment horizontal="center" vertical="center"/>
    </xf>
    <xf numFmtId="0" fontId="59" fillId="0" borderId="17" xfId="0" applyFont="1" applyBorder="1" applyAlignment="1">
      <alignment horizontal="center"/>
    </xf>
    <xf numFmtId="171" fontId="148" fillId="0" borderId="18" xfId="0" applyNumberFormat="1" applyFont="1" applyBorder="1" applyAlignment="1">
      <alignment horizontal="center" vertical="center"/>
    </xf>
    <xf numFmtId="0" fontId="0" fillId="0" borderId="17" xfId="0" applyBorder="1" applyAlignment="1">
      <alignment horizontal="center"/>
    </xf>
    <xf numFmtId="0" fontId="148" fillId="0" borderId="20" xfId="0" applyFont="1" applyBorder="1" applyAlignment="1">
      <alignment horizontal="center" vertical="center"/>
    </xf>
    <xf numFmtId="0" fontId="59" fillId="0" borderId="20" xfId="0" applyFont="1" applyBorder="1" applyAlignment="1">
      <alignment horizontal="center"/>
    </xf>
    <xf numFmtId="171" fontId="148" fillId="0" borderId="255" xfId="0" applyNumberFormat="1" applyFont="1" applyBorder="1" applyAlignment="1">
      <alignment horizontal="center" vertical="center"/>
    </xf>
    <xf numFmtId="0" fontId="0" fillId="0" borderId="20" xfId="0" applyBorder="1" applyAlignment="1">
      <alignment horizontal="center"/>
    </xf>
    <xf numFmtId="0" fontId="225" fillId="20" borderId="175" xfId="0" applyFont="1" applyFill="1" applyBorder="1" applyAlignment="1">
      <alignment horizontal="center" vertical="center" wrapText="1"/>
    </xf>
    <xf numFmtId="0" fontId="44" fillId="20" borderId="175" xfId="0" applyFont="1" applyFill="1" applyBorder="1" applyAlignment="1">
      <alignment horizontal="center" vertical="center"/>
    </xf>
    <xf numFmtId="0" fontId="24" fillId="20" borderId="175" xfId="452" applyFont="1" applyFill="1" applyBorder="1" applyAlignment="1">
      <alignment horizontal="center" vertical="center" wrapText="1"/>
    </xf>
    <xf numFmtId="0" fontId="24" fillId="20" borderId="175" xfId="452" applyFont="1" applyFill="1" applyBorder="1" applyAlignment="1">
      <alignment horizontal="center" vertical="center"/>
    </xf>
    <xf numFmtId="0" fontId="181" fillId="20" borderId="175" xfId="3787" applyFont="1" applyFill="1" applyBorder="1" applyAlignment="1">
      <alignment horizontal="center" vertical="center" wrapText="1"/>
    </xf>
    <xf numFmtId="182" fontId="225" fillId="20" borderId="175" xfId="0" applyNumberFormat="1" applyFont="1" applyFill="1" applyBorder="1" applyAlignment="1">
      <alignment horizontal="center" vertical="center" wrapText="1"/>
    </xf>
    <xf numFmtId="171" fontId="225" fillId="20" borderId="175" xfId="0" applyNumberFormat="1" applyFont="1" applyFill="1" applyBorder="1" applyAlignment="1">
      <alignment horizontal="center" vertical="center" wrapText="1"/>
    </xf>
    <xf numFmtId="168" fontId="225" fillId="20" borderId="175" xfId="0" applyNumberFormat="1" applyFont="1" applyFill="1" applyBorder="1" applyAlignment="1">
      <alignment horizontal="center" vertical="center" wrapText="1"/>
    </xf>
    <xf numFmtId="168" fontId="167" fillId="20" borderId="175" xfId="822" applyNumberFormat="1" applyFont="1" applyFill="1" applyBorder="1" applyAlignment="1">
      <alignment horizontal="center"/>
    </xf>
    <xf numFmtId="168" fontId="132" fillId="20" borderId="175" xfId="3787" applyNumberFormat="1" applyFont="1" applyFill="1" applyBorder="1" applyAlignment="1">
      <alignment horizontal="center" vertical="top" wrapText="1"/>
    </xf>
    <xf numFmtId="0" fontId="148" fillId="0" borderId="79" xfId="0" applyFont="1" applyBorder="1" applyAlignment="1">
      <alignment horizontal="center" vertical="center" wrapText="1"/>
    </xf>
    <xf numFmtId="182" fontId="148" fillId="0" borderId="79" xfId="0" applyNumberFormat="1" applyFont="1" applyBorder="1" applyAlignment="1">
      <alignment horizontal="center" vertical="center" wrapText="1"/>
    </xf>
    <xf numFmtId="171" fontId="148" fillId="0" borderId="79" xfId="0" applyNumberFormat="1" applyFont="1" applyBorder="1" applyAlignment="1">
      <alignment horizontal="center" vertical="center" wrapText="1"/>
    </xf>
    <xf numFmtId="168" fontId="148" fillId="0" borderId="79" xfId="0" applyNumberFormat="1" applyFont="1" applyBorder="1" applyAlignment="1">
      <alignment horizontal="center" vertical="center" wrapText="1"/>
    </xf>
    <xf numFmtId="168" fontId="59" fillId="0" borderId="79" xfId="822" applyNumberFormat="1" applyFont="1" applyBorder="1" applyAlignment="1">
      <alignment horizontal="center"/>
    </xf>
    <xf numFmtId="168" fontId="72" fillId="0" borderId="79" xfId="3787" applyNumberFormat="1" applyFont="1" applyBorder="1" applyAlignment="1">
      <alignment horizontal="center" wrapText="1"/>
    </xf>
    <xf numFmtId="0" fontId="148" fillId="0" borderId="17" xfId="0" applyFont="1" applyBorder="1" applyAlignment="1">
      <alignment horizontal="center" vertical="center" wrapText="1"/>
    </xf>
    <xf numFmtId="182" fontId="148" fillId="0" borderId="17" xfId="0" applyNumberFormat="1" applyFont="1" applyBorder="1" applyAlignment="1">
      <alignment horizontal="center" vertical="center" wrapText="1"/>
    </xf>
    <xf numFmtId="171" fontId="148" fillId="0" borderId="17" xfId="0" applyNumberFormat="1" applyFont="1" applyBorder="1" applyAlignment="1">
      <alignment horizontal="center" vertical="center" wrapText="1"/>
    </xf>
    <xf numFmtId="168" fontId="148" fillId="0" borderId="17" xfId="0" applyNumberFormat="1" applyFont="1" applyBorder="1" applyAlignment="1">
      <alignment horizontal="center" vertical="center" wrapText="1"/>
    </xf>
    <xf numFmtId="168" fontId="59" fillId="0" borderId="17" xfId="822" applyNumberFormat="1" applyFont="1" applyBorder="1" applyAlignment="1">
      <alignment horizontal="center"/>
    </xf>
    <xf numFmtId="168" fontId="72" fillId="0" borderId="17" xfId="3787" applyNumberFormat="1" applyFont="1" applyBorder="1" applyAlignment="1">
      <alignment horizontal="center" vertical="top" wrapText="1"/>
    </xf>
    <xf numFmtId="0" fontId="148" fillId="0" borderId="20" xfId="0" applyFont="1" applyBorder="1" applyAlignment="1">
      <alignment horizontal="center" vertical="center" wrapText="1"/>
    </xf>
    <xf numFmtId="182" fontId="148" fillId="0" borderId="20" xfId="0" applyNumberFormat="1" applyFont="1" applyBorder="1" applyAlignment="1">
      <alignment horizontal="center" vertical="center" wrapText="1"/>
    </xf>
    <xf numFmtId="171" fontId="148" fillId="0" borderId="20" xfId="0" applyNumberFormat="1" applyFont="1" applyBorder="1" applyAlignment="1">
      <alignment horizontal="center" vertical="center" wrapText="1"/>
    </xf>
    <xf numFmtId="168" fontId="148" fillId="0" borderId="20" xfId="0" applyNumberFormat="1" applyFont="1" applyBorder="1" applyAlignment="1">
      <alignment horizontal="center" vertical="center" wrapText="1"/>
    </xf>
    <xf numFmtId="168" fontId="59" fillId="0" borderId="20" xfId="822" applyNumberFormat="1" applyFont="1" applyBorder="1" applyAlignment="1">
      <alignment horizontal="center"/>
    </xf>
    <xf numFmtId="168" fontId="72" fillId="0" borderId="20" xfId="3787" applyNumberFormat="1" applyFont="1" applyBorder="1" applyAlignment="1">
      <alignment horizontal="center" vertical="top" wrapText="1"/>
    </xf>
    <xf numFmtId="0" fontId="63" fillId="0" borderId="79" xfId="0" applyFont="1" applyBorder="1" applyAlignment="1">
      <alignment horizontal="center" vertical="center" wrapText="1"/>
    </xf>
    <xf numFmtId="2" fontId="63" fillId="0" borderId="79" xfId="0" applyNumberFormat="1" applyFont="1" applyBorder="1" applyAlignment="1">
      <alignment horizontal="center" vertical="center" wrapText="1"/>
    </xf>
    <xf numFmtId="0" fontId="63" fillId="0" borderId="17" xfId="0" applyFont="1" applyBorder="1" applyAlignment="1">
      <alignment horizontal="center" vertical="center" wrapText="1"/>
    </xf>
    <xf numFmtId="2" fontId="63" fillId="0" borderId="17" xfId="0" applyNumberFormat="1" applyFont="1" applyBorder="1" applyAlignment="1">
      <alignment horizontal="center" vertical="center" wrapText="1"/>
    </xf>
    <xf numFmtId="0" fontId="63" fillId="0" borderId="20" xfId="0" applyFont="1" applyBorder="1" applyAlignment="1">
      <alignment horizontal="center" vertical="center" wrapText="1"/>
    </xf>
    <xf numFmtId="2" fontId="63" fillId="0" borderId="20" xfId="0" applyNumberFormat="1" applyFont="1" applyBorder="1" applyAlignment="1">
      <alignment horizontal="center" vertical="center" wrapText="1"/>
    </xf>
    <xf numFmtId="0" fontId="45" fillId="0" borderId="79" xfId="822" applyFont="1" applyBorder="1" applyAlignment="1">
      <alignment horizontal="center"/>
    </xf>
    <xf numFmtId="0" fontId="210" fillId="0" borderId="79" xfId="822" applyFont="1" applyBorder="1" applyAlignment="1">
      <alignment vertical="center"/>
    </xf>
    <xf numFmtId="0" fontId="45" fillId="0" borderId="79" xfId="822" applyFont="1" applyBorder="1"/>
    <xf numFmtId="2" fontId="45" fillId="0" borderId="79" xfId="822" applyNumberFormat="1" applyFont="1" applyBorder="1" applyAlignment="1">
      <alignment horizontal="center"/>
    </xf>
    <xf numFmtId="2" fontId="45" fillId="0" borderId="79" xfId="815" applyNumberFormat="1" applyFont="1" applyBorder="1" applyAlignment="1">
      <alignment horizontal="center"/>
    </xf>
    <xf numFmtId="0" fontId="45" fillId="0" borderId="17" xfId="0" applyFont="1" applyBorder="1" applyAlignment="1">
      <alignment horizontal="center"/>
    </xf>
    <xf numFmtId="0" fontId="45" fillId="0" borderId="17" xfId="0" applyFont="1" applyBorder="1"/>
    <xf numFmtId="2" fontId="45" fillId="0" borderId="17" xfId="822" applyNumberFormat="1" applyFont="1" applyBorder="1" applyAlignment="1">
      <alignment horizontal="center"/>
    </xf>
    <xf numFmtId="2" fontId="45" fillId="0" borderId="17" xfId="815" applyNumberFormat="1" applyFont="1" applyBorder="1" applyAlignment="1">
      <alignment horizontal="center"/>
    </xf>
    <xf numFmtId="2" fontId="45" fillId="0" borderId="17" xfId="0" applyNumberFormat="1" applyFont="1" applyBorder="1" applyAlignment="1">
      <alignment horizontal="center"/>
    </xf>
    <xf numFmtId="0" fontId="45" fillId="0" borderId="18" xfId="0" applyFont="1" applyBorder="1"/>
    <xf numFmtId="0" fontId="45" fillId="0" borderId="18" xfId="0" applyFont="1" applyBorder="1" applyAlignment="1">
      <alignment horizontal="center"/>
    </xf>
    <xf numFmtId="0" fontId="45" fillId="0" borderId="20" xfId="0" applyFont="1" applyBorder="1" applyAlignment="1">
      <alignment horizontal="center"/>
    </xf>
    <xf numFmtId="0" fontId="45" fillId="0" borderId="20" xfId="0" applyFont="1" applyBorder="1"/>
    <xf numFmtId="0" fontId="45" fillId="0" borderId="255" xfId="0" applyFont="1" applyBorder="1"/>
    <xf numFmtId="0" fontId="45" fillId="0" borderId="255" xfId="0" applyFont="1" applyBorder="1" applyAlignment="1">
      <alignment horizontal="center"/>
    </xf>
    <xf numFmtId="2" fontId="45" fillId="0" borderId="20" xfId="0" applyNumberFormat="1" applyFont="1" applyBorder="1" applyAlignment="1">
      <alignment horizontal="center"/>
    </xf>
    <xf numFmtId="0" fontId="45" fillId="0" borderId="31" xfId="0" applyFont="1" applyBorder="1" applyAlignment="1">
      <alignment horizontal="center"/>
    </xf>
    <xf numFmtId="0" fontId="45" fillId="0" borderId="31" xfId="0" applyFont="1" applyBorder="1"/>
    <xf numFmtId="2" fontId="45" fillId="0" borderId="31" xfId="822" applyNumberFormat="1" applyFont="1" applyBorder="1" applyAlignment="1">
      <alignment horizontal="center"/>
    </xf>
    <xf numFmtId="2" fontId="45" fillId="0" borderId="31" xfId="815" applyNumberFormat="1" applyFont="1" applyBorder="1" applyAlignment="1">
      <alignment horizontal="center"/>
    </xf>
    <xf numFmtId="0" fontId="45" fillId="0" borderId="79" xfId="0" applyFont="1" applyBorder="1" applyAlignment="1">
      <alignment horizontal="center"/>
    </xf>
    <xf numFmtId="0" fontId="45" fillId="0" borderId="79" xfId="0" applyFont="1" applyBorder="1"/>
    <xf numFmtId="0" fontId="45" fillId="0" borderId="30" xfId="0" applyFont="1" applyBorder="1" applyAlignment="1">
      <alignment horizontal="center"/>
    </xf>
    <xf numFmtId="0" fontId="45" fillId="0" borderId="30" xfId="0" applyFont="1" applyBorder="1"/>
    <xf numFmtId="2" fontId="45" fillId="0" borderId="30" xfId="822" applyNumberFormat="1" applyFont="1" applyBorder="1" applyAlignment="1">
      <alignment horizontal="center"/>
    </xf>
    <xf numFmtId="2" fontId="45" fillId="0" borderId="30" xfId="815" applyNumberFormat="1" applyFont="1" applyBorder="1" applyAlignment="1">
      <alignment horizontal="center"/>
    </xf>
    <xf numFmtId="2" fontId="45" fillId="0" borderId="20" xfId="822" applyNumberFormat="1" applyFont="1" applyBorder="1" applyAlignment="1">
      <alignment horizontal="center"/>
    </xf>
    <xf numFmtId="2" fontId="45" fillId="0" borderId="20" xfId="815" applyNumberFormat="1" applyFont="1" applyBorder="1" applyAlignment="1">
      <alignment horizontal="center"/>
    </xf>
    <xf numFmtId="0" fontId="45" fillId="0" borderId="28" xfId="822" applyFont="1" applyBorder="1"/>
    <xf numFmtId="0" fontId="147" fillId="0" borderId="0" xfId="0" applyFont="1" applyBorder="1"/>
    <xf numFmtId="0" fontId="45" fillId="0" borderId="0" xfId="822" applyFont="1" applyBorder="1"/>
    <xf numFmtId="2" fontId="45" fillId="0" borderId="79" xfId="0" applyNumberFormat="1" applyFont="1" applyBorder="1" applyAlignment="1">
      <alignment horizontal="center"/>
    </xf>
    <xf numFmtId="2" fontId="45" fillId="0" borderId="30" xfId="0" applyNumberFormat="1" applyFont="1" applyBorder="1" applyAlignment="1">
      <alignment horizontal="center"/>
    </xf>
    <xf numFmtId="2" fontId="45" fillId="0" borderId="31" xfId="0" applyNumberFormat="1" applyFont="1" applyBorder="1" applyAlignment="1">
      <alignment horizontal="center"/>
    </xf>
    <xf numFmtId="0" fontId="45" fillId="0" borderId="79" xfId="0" applyFont="1" applyBorder="1" applyAlignment="1">
      <alignment horizontal="left"/>
    </xf>
    <xf numFmtId="0" fontId="45" fillId="0" borderId="28" xfId="822" applyFont="1" applyBorder="1" applyAlignment="1">
      <alignment horizontal="center"/>
    </xf>
    <xf numFmtId="2" fontId="45" fillId="0" borderId="28" xfId="822" applyNumberFormat="1" applyFont="1" applyBorder="1"/>
    <xf numFmtId="0" fontId="45" fillId="0" borderId="25" xfId="822" applyFont="1" applyBorder="1" applyAlignment="1">
      <alignment horizontal="center"/>
    </xf>
    <xf numFmtId="0" fontId="45" fillId="0" borderId="25" xfId="822" applyFont="1" applyBorder="1"/>
    <xf numFmtId="2" fontId="45" fillId="0" borderId="25" xfId="822" applyNumberFormat="1" applyFont="1" applyBorder="1"/>
    <xf numFmtId="0" fontId="45" fillId="0" borderId="27" xfId="0" applyFont="1" applyBorder="1"/>
    <xf numFmtId="0" fontId="45" fillId="0" borderId="27" xfId="0" applyFont="1" applyBorder="1" applyAlignment="1">
      <alignment horizontal="center"/>
    </xf>
    <xf numFmtId="2" fontId="147" fillId="20" borderId="247" xfId="822" applyNumberFormat="1" applyFont="1" applyFill="1" applyBorder="1" applyAlignment="1">
      <alignment horizontal="center"/>
    </xf>
    <xf numFmtId="0" fontId="45" fillId="0" borderId="254" xfId="0" applyFont="1" applyBorder="1"/>
    <xf numFmtId="0" fontId="45" fillId="0" borderId="254" xfId="0" applyFont="1" applyBorder="1" applyAlignment="1">
      <alignment horizontal="center"/>
    </xf>
    <xf numFmtId="2" fontId="63" fillId="20" borderId="114" xfId="176" applyNumberFormat="1" applyFont="1" applyFill="1" applyBorder="1" applyAlignment="1">
      <alignment horizontal="center" vertical="center" wrapText="1"/>
    </xf>
    <xf numFmtId="171" fontId="63" fillId="20" borderId="114" xfId="176" applyNumberFormat="1" applyFont="1" applyFill="1" applyBorder="1" applyAlignment="1">
      <alignment horizontal="center" vertical="center" wrapText="1"/>
    </xf>
    <xf numFmtId="2" fontId="63" fillId="20" borderId="92" xfId="176" applyNumberFormat="1" applyFont="1" applyFill="1" applyBorder="1" applyAlignment="1">
      <alignment horizontal="center" vertical="center" wrapText="1"/>
    </xf>
    <xf numFmtId="0" fontId="118" fillId="0" borderId="79" xfId="639" applyFont="1" applyBorder="1" applyAlignment="1">
      <alignment vertical="center"/>
    </xf>
    <xf numFmtId="0" fontId="66" fillId="0" borderId="253" xfId="639" applyFont="1" applyBorder="1" applyAlignment="1">
      <alignment horizontal="center" vertical="center"/>
    </xf>
    <xf numFmtId="0" fontId="66" fillId="0" borderId="79" xfId="815" applyFont="1" applyBorder="1" applyAlignment="1">
      <alignment horizontal="center"/>
    </xf>
    <xf numFmtId="171" fontId="66" fillId="0" borderId="79" xfId="816" applyNumberFormat="1" applyFont="1" applyBorder="1" applyAlignment="1">
      <alignment horizontal="center"/>
    </xf>
    <xf numFmtId="0" fontId="118" fillId="0" borderId="17" xfId="639" applyFont="1" applyBorder="1" applyAlignment="1">
      <alignment vertical="center"/>
    </xf>
    <xf numFmtId="0" fontId="66" fillId="0" borderId="19" xfId="639" applyFont="1" applyBorder="1" applyAlignment="1">
      <alignment horizontal="center" vertical="center"/>
    </xf>
    <xf numFmtId="0" fontId="66" fillId="0" borderId="17" xfId="815" applyFont="1" applyBorder="1" applyAlignment="1">
      <alignment horizontal="center"/>
    </xf>
    <xf numFmtId="171" fontId="66" fillId="0" borderId="17" xfId="816" applyNumberFormat="1" applyFont="1" applyBorder="1" applyAlignment="1">
      <alignment horizontal="center"/>
    </xf>
    <xf numFmtId="0" fontId="118" fillId="0" borderId="20" xfId="639" applyFont="1" applyBorder="1" applyAlignment="1">
      <alignment vertical="center"/>
    </xf>
    <xf numFmtId="0" fontId="66" fillId="0" borderId="21" xfId="639" applyFont="1" applyBorder="1" applyAlignment="1">
      <alignment horizontal="center" vertical="center"/>
    </xf>
    <xf numFmtId="0" fontId="66" fillId="0" borderId="20" xfId="815" applyFont="1" applyBorder="1" applyAlignment="1">
      <alignment horizontal="center"/>
    </xf>
    <xf numFmtId="171" fontId="66" fillId="0" borderId="20" xfId="816" applyNumberFormat="1" applyFont="1" applyBorder="1" applyAlignment="1">
      <alignment horizontal="center"/>
    </xf>
    <xf numFmtId="0" fontId="118" fillId="0" borderId="30" xfId="639" applyFont="1" applyBorder="1" applyAlignment="1">
      <alignment vertical="center"/>
    </xf>
    <xf numFmtId="0" fontId="66" fillId="0" borderId="29" xfId="639" applyFont="1" applyBorder="1" applyAlignment="1">
      <alignment horizontal="center" vertical="center"/>
    </xf>
    <xf numFmtId="0" fontId="66" fillId="0" borderId="30" xfId="815" applyFont="1" applyBorder="1" applyAlignment="1">
      <alignment horizontal="center"/>
    </xf>
    <xf numFmtId="171" fontId="66" fillId="0" borderId="30" xfId="816" applyNumberFormat="1" applyFont="1" applyBorder="1" applyAlignment="1">
      <alignment horizontal="center"/>
    </xf>
    <xf numFmtId="0" fontId="118" fillId="0" borderId="31" xfId="639" applyFont="1" applyBorder="1" applyAlignment="1">
      <alignment vertical="center"/>
    </xf>
    <xf numFmtId="0" fontId="66" fillId="0" borderId="26" xfId="639" applyFont="1" applyBorder="1" applyAlignment="1">
      <alignment horizontal="center" vertical="center"/>
    </xf>
    <xf numFmtId="0" fontId="66" fillId="0" borderId="31" xfId="815" applyFont="1" applyBorder="1" applyAlignment="1">
      <alignment horizontal="center"/>
    </xf>
    <xf numFmtId="171" fontId="66" fillId="0" borderId="31" xfId="816" applyNumberFormat="1" applyFont="1" applyBorder="1" applyAlignment="1">
      <alignment horizontal="center"/>
    </xf>
    <xf numFmtId="0" fontId="66" fillId="0" borderId="247" xfId="639" applyFont="1" applyBorder="1" applyAlignment="1">
      <alignment horizontal="center"/>
    </xf>
    <xf numFmtId="0" fontId="118" fillId="0" borderId="247" xfId="639" applyFont="1" applyBorder="1" applyAlignment="1">
      <alignment vertical="center"/>
    </xf>
    <xf numFmtId="0" fontId="66" fillId="0" borderId="249" xfId="639" applyFont="1" applyBorder="1" applyAlignment="1">
      <alignment horizontal="center" vertical="center"/>
    </xf>
    <xf numFmtId="0" fontId="66" fillId="0" borderId="247" xfId="815" applyFont="1" applyBorder="1" applyAlignment="1">
      <alignment horizontal="center"/>
    </xf>
    <xf numFmtId="171" fontId="66" fillId="0" borderId="247" xfId="816" applyNumberFormat="1" applyFont="1" applyBorder="1" applyAlignment="1">
      <alignment horizontal="center"/>
    </xf>
    <xf numFmtId="0" fontId="66" fillId="0" borderId="248" xfId="639" applyFont="1" applyBorder="1" applyAlignment="1">
      <alignment horizontal="center" vertical="center"/>
    </xf>
    <xf numFmtId="0" fontId="81" fillId="20" borderId="93" xfId="0" applyFont="1" applyFill="1" applyBorder="1" applyAlignment="1">
      <alignment horizontal="center" vertical="center" wrapText="1"/>
    </xf>
    <xf numFmtId="182" fontId="72" fillId="20" borderId="92" xfId="802" applyNumberFormat="1" applyFont="1" applyFill="1" applyBorder="1" applyAlignment="1">
      <alignment horizontal="center" vertical="center"/>
    </xf>
    <xf numFmtId="183" fontId="72" fillId="20" borderId="92" xfId="802" applyNumberFormat="1" applyFont="1" applyFill="1" applyBorder="1" applyAlignment="1">
      <alignment horizontal="center" vertical="center"/>
    </xf>
    <xf numFmtId="10" fontId="81" fillId="20" borderId="92" xfId="176" applyNumberFormat="1" applyFont="1" applyFill="1" applyBorder="1" applyAlignment="1">
      <alignment horizontal="center" vertical="center" wrapText="1"/>
    </xf>
    <xf numFmtId="9" fontId="81" fillId="20" borderId="92" xfId="176" applyFont="1" applyFill="1" applyBorder="1" applyAlignment="1">
      <alignment horizontal="center" vertical="center" wrapText="1"/>
    </xf>
    <xf numFmtId="0" fontId="5" fillId="0" borderId="79" xfId="0" applyFont="1" applyBorder="1" applyAlignment="1">
      <alignment horizontal="center" vertical="center" wrapText="1"/>
    </xf>
    <xf numFmtId="171" fontId="1" fillId="0" borderId="79" xfId="0" applyNumberFormat="1" applyFont="1" applyBorder="1" applyAlignment="1">
      <alignment horizontal="center" vertical="center" wrapText="1"/>
    </xf>
    <xf numFmtId="0" fontId="1" fillId="0" borderId="17" xfId="0" applyFont="1" applyBorder="1" applyAlignment="1">
      <alignment horizontal="center" vertical="center" wrapText="1"/>
    </xf>
    <xf numFmtId="171" fontId="1" fillId="0" borderId="17" xfId="0" applyNumberFormat="1" applyFont="1" applyBorder="1" applyAlignment="1">
      <alignment horizontal="center" vertical="center" wrapText="1"/>
    </xf>
    <xf numFmtId="0" fontId="1" fillId="0" borderId="20" xfId="0" applyFont="1" applyBorder="1" applyAlignment="1">
      <alignment horizontal="center" vertical="center" wrapText="1"/>
    </xf>
    <xf numFmtId="171" fontId="1" fillId="0" borderId="20" xfId="0" applyNumberFormat="1" applyFont="1" applyBorder="1" applyAlignment="1">
      <alignment horizontal="center" vertical="center" wrapText="1"/>
    </xf>
    <xf numFmtId="0" fontId="5" fillId="0" borderId="30" xfId="0" applyFont="1" applyBorder="1" applyAlignment="1">
      <alignment horizontal="center" vertical="center" wrapText="1"/>
    </xf>
    <xf numFmtId="171" fontId="1" fillId="0" borderId="30" xfId="0" applyNumberFormat="1" applyFont="1" applyBorder="1" applyAlignment="1">
      <alignment horizontal="center" vertical="center" wrapText="1"/>
    </xf>
    <xf numFmtId="0" fontId="81" fillId="0" borderId="92" xfId="0" applyFont="1" applyFill="1" applyBorder="1" applyAlignment="1">
      <alignment horizontal="center" vertical="center" wrapText="1"/>
    </xf>
    <xf numFmtId="2" fontId="63" fillId="0" borderId="92" xfId="176" applyNumberFormat="1" applyFont="1" applyFill="1" applyBorder="1" applyAlignment="1">
      <alignment horizontal="center" vertical="center" wrapText="1"/>
    </xf>
    <xf numFmtId="0" fontId="0" fillId="0" borderId="79" xfId="0" applyBorder="1" applyAlignment="1">
      <alignment vertical="center" wrapText="1"/>
    </xf>
    <xf numFmtId="0" fontId="60" fillId="0" borderId="79" xfId="246" applyFont="1" applyBorder="1" applyAlignment="1">
      <alignment horizontal="center" vertical="center"/>
    </xf>
    <xf numFmtId="0" fontId="60" fillId="25" borderId="79" xfId="246" applyFont="1" applyFill="1" applyBorder="1" applyAlignment="1">
      <alignment horizontal="center" vertical="center"/>
    </xf>
    <xf numFmtId="0" fontId="60" fillId="0" borderId="79" xfId="0" applyFont="1" applyBorder="1" applyAlignment="1">
      <alignment horizontal="center" vertical="center"/>
    </xf>
    <xf numFmtId="0" fontId="50" fillId="0" borderId="79" xfId="0" applyFont="1" applyBorder="1" applyAlignment="1">
      <alignment horizontal="center" vertical="center"/>
    </xf>
    <xf numFmtId="0" fontId="60" fillId="23" borderId="79" xfId="246" applyFont="1" applyFill="1" applyBorder="1" applyAlignment="1">
      <alignment horizontal="center" vertical="center"/>
    </xf>
    <xf numFmtId="0" fontId="60" fillId="25" borderId="254" xfId="246" applyFont="1" applyFill="1" applyBorder="1" applyAlignment="1">
      <alignment horizontal="center" vertical="center"/>
    </xf>
    <xf numFmtId="0" fontId="41" fillId="0" borderId="264" xfId="0" applyFont="1" applyBorder="1" applyAlignment="1">
      <alignment horizontal="center" vertical="center"/>
    </xf>
    <xf numFmtId="0" fontId="41" fillId="0" borderId="264" xfId="246" applyFont="1" applyBorder="1" applyAlignment="1">
      <alignment horizontal="center" vertical="center"/>
    </xf>
    <xf numFmtId="0" fontId="0" fillId="0" borderId="17" xfId="0" applyBorder="1" applyAlignment="1">
      <alignment vertical="center" wrapText="1"/>
    </xf>
    <xf numFmtId="0" fontId="60" fillId="25" borderId="17" xfId="246" applyFont="1" applyFill="1" applyBorder="1" applyAlignment="1">
      <alignment horizontal="center" vertical="center"/>
    </xf>
    <xf numFmtId="0" fontId="60" fillId="0" borderId="17" xfId="246" applyFont="1" applyBorder="1" applyAlignment="1">
      <alignment horizontal="center" vertical="center"/>
    </xf>
    <xf numFmtId="0" fontId="60" fillId="0" borderId="17" xfId="0" applyFont="1" applyBorder="1" applyAlignment="1">
      <alignment horizontal="center" vertical="center"/>
    </xf>
    <xf numFmtId="0" fontId="50" fillId="0" borderId="17" xfId="0" applyFont="1" applyBorder="1" applyAlignment="1">
      <alignment horizontal="center" vertical="center"/>
    </xf>
    <xf numFmtId="0" fontId="60" fillId="23" borderId="17" xfId="246" applyFont="1" applyFill="1" applyBorder="1" applyAlignment="1">
      <alignment horizontal="center" vertical="center"/>
    </xf>
    <xf numFmtId="0" fontId="60" fillId="25" borderId="18" xfId="246" applyFont="1" applyFill="1" applyBorder="1" applyAlignment="1">
      <alignment horizontal="center" vertical="center"/>
    </xf>
    <xf numFmtId="0" fontId="41" fillId="0" borderId="22" xfId="0" applyFont="1" applyBorder="1" applyAlignment="1">
      <alignment horizontal="center" vertical="center"/>
    </xf>
    <xf numFmtId="0" fontId="41" fillId="0" borderId="22" xfId="246" applyFont="1" applyBorder="1" applyAlignment="1">
      <alignment horizontal="center" vertical="center"/>
    </xf>
    <xf numFmtId="0" fontId="60" fillId="0" borderId="22" xfId="246" applyFont="1" applyBorder="1" applyAlignment="1">
      <alignment horizontal="center" vertical="center"/>
    </xf>
    <xf numFmtId="0" fontId="60" fillId="26" borderId="17" xfId="246" applyFont="1" applyFill="1" applyBorder="1" applyAlignment="1">
      <alignment horizontal="center" vertical="center"/>
    </xf>
    <xf numFmtId="0" fontId="82" fillId="35" borderId="18" xfId="246" applyFont="1" applyFill="1" applyBorder="1" applyAlignment="1">
      <alignment horizontal="center" vertical="center" wrapText="1"/>
    </xf>
    <xf numFmtId="0" fontId="82" fillId="35" borderId="22" xfId="246" applyFont="1" applyFill="1" applyBorder="1" applyAlignment="1">
      <alignment horizontal="center" vertical="center" wrapText="1"/>
    </xf>
    <xf numFmtId="0" fontId="133" fillId="35" borderId="22" xfId="246" applyFont="1" applyFill="1" applyBorder="1" applyAlignment="1">
      <alignment vertical="center"/>
    </xf>
    <xf numFmtId="0" fontId="133" fillId="35" borderId="22" xfId="246" applyFont="1" applyFill="1" applyBorder="1" applyAlignment="1">
      <alignment horizontal="left" vertical="center"/>
    </xf>
    <xf numFmtId="0" fontId="82" fillId="35" borderId="22" xfId="583" applyFont="1" applyFill="1" applyBorder="1" applyAlignment="1">
      <alignment vertical="center"/>
    </xf>
    <xf numFmtId="0" fontId="133" fillId="35" borderId="22" xfId="246" applyFont="1" applyFill="1" applyBorder="1" applyAlignment="1">
      <alignment horizontal="center" vertical="center"/>
    </xf>
    <xf numFmtId="0" fontId="50" fillId="0" borderId="22" xfId="0" applyFont="1" applyBorder="1" applyAlignment="1">
      <alignment horizontal="center" vertical="center"/>
    </xf>
    <xf numFmtId="0" fontId="60" fillId="25" borderId="17" xfId="0" applyFont="1" applyFill="1" applyBorder="1" applyAlignment="1">
      <alignment horizontal="center" vertical="center" wrapText="1"/>
    </xf>
    <xf numFmtId="0" fontId="60" fillId="0" borderId="17" xfId="0" applyFont="1" applyBorder="1" applyAlignment="1">
      <alignment horizontal="center" vertical="center" wrapText="1"/>
    </xf>
    <xf numFmtId="0" fontId="60" fillId="0" borderId="18" xfId="0" applyFont="1" applyBorder="1" applyAlignment="1">
      <alignment horizontal="center" vertical="center" wrapText="1"/>
    </xf>
    <xf numFmtId="0" fontId="60" fillId="25" borderId="17" xfId="246" applyFont="1" applyFill="1" applyBorder="1" applyAlignment="1">
      <alignment horizontal="center" vertical="center" wrapText="1"/>
    </xf>
    <xf numFmtId="0" fontId="60" fillId="0" borderId="18" xfId="0" applyFont="1" applyBorder="1" applyAlignment="1">
      <alignment horizontal="center" vertical="center"/>
    </xf>
    <xf numFmtId="0" fontId="82" fillId="37" borderId="18" xfId="0" applyFont="1" applyFill="1" applyBorder="1" applyAlignment="1">
      <alignment horizontal="center" vertical="center" wrapText="1"/>
    </xf>
    <xf numFmtId="0" fontId="82" fillId="37" borderId="22" xfId="246" applyFont="1" applyFill="1" applyBorder="1" applyAlignment="1">
      <alignment horizontal="center" vertical="center" wrapText="1"/>
    </xf>
    <xf numFmtId="0" fontId="204" fillId="37" borderId="22" xfId="246" applyFont="1" applyFill="1" applyBorder="1" applyAlignment="1">
      <alignment horizontal="center" vertical="center"/>
    </xf>
    <xf numFmtId="0" fontId="82" fillId="37" borderId="22" xfId="583" applyFont="1" applyFill="1" applyBorder="1" applyAlignment="1">
      <alignment vertical="center"/>
    </xf>
    <xf numFmtId="0" fontId="133" fillId="37" borderId="22" xfId="246" applyFont="1" applyFill="1" applyBorder="1" applyAlignment="1">
      <alignment horizontal="center" vertical="center"/>
    </xf>
    <xf numFmtId="0" fontId="82" fillId="37" borderId="22" xfId="583" applyFont="1" applyFill="1" applyBorder="1" applyAlignment="1">
      <alignment horizontal="center" vertical="center"/>
    </xf>
    <xf numFmtId="0" fontId="60" fillId="45" borderId="17" xfId="0" applyFont="1" applyFill="1" applyBorder="1" applyAlignment="1">
      <alignment horizontal="center" vertical="center"/>
    </xf>
    <xf numFmtId="0" fontId="60" fillId="23" borderId="17" xfId="0" applyFont="1" applyFill="1" applyBorder="1" applyAlignment="1">
      <alignment horizontal="center" vertical="center"/>
    </xf>
    <xf numFmtId="0" fontId="86" fillId="25" borderId="17" xfId="246" applyFont="1" applyFill="1" applyBorder="1" applyAlignment="1">
      <alignment horizontal="center" vertical="center" wrapText="1"/>
    </xf>
    <xf numFmtId="0" fontId="196" fillId="25" borderId="17" xfId="246" applyFont="1" applyFill="1" applyBorder="1" applyAlignment="1">
      <alignment horizontal="center" vertical="center"/>
    </xf>
    <xf numFmtId="0" fontId="41" fillId="0" borderId="17" xfId="0" applyFont="1" applyBorder="1" applyAlignment="1">
      <alignment vertical="center" wrapText="1"/>
    </xf>
    <xf numFmtId="0" fontId="196" fillId="26" borderId="17" xfId="246" applyFont="1" applyFill="1" applyBorder="1" applyAlignment="1">
      <alignment vertical="center" wrapText="1"/>
    </xf>
    <xf numFmtId="0" fontId="50" fillId="0" borderId="18" xfId="0" applyFont="1" applyBorder="1" applyAlignment="1">
      <alignment horizontal="center" vertical="center"/>
    </xf>
    <xf numFmtId="0" fontId="31" fillId="0" borderId="17" xfId="246" applyFont="1" applyBorder="1"/>
    <xf numFmtId="14" fontId="60" fillId="0" borderId="17" xfId="246" applyNumberFormat="1" applyFont="1" applyBorder="1" applyAlignment="1">
      <alignment horizontal="center" vertical="center"/>
    </xf>
    <xf numFmtId="0" fontId="82" fillId="39" borderId="18" xfId="0" applyFont="1" applyFill="1" applyBorder="1" applyAlignment="1">
      <alignment horizontal="center" vertical="center" wrapText="1"/>
    </xf>
    <xf numFmtId="0" fontId="82" fillId="39" borderId="22" xfId="246" applyFont="1" applyFill="1" applyBorder="1" applyAlignment="1">
      <alignment horizontal="center" vertical="center" wrapText="1"/>
    </xf>
    <xf numFmtId="0" fontId="204" fillId="39" borderId="22" xfId="246" applyFont="1" applyFill="1" applyBorder="1" applyAlignment="1">
      <alignment horizontal="center" vertical="center"/>
    </xf>
    <xf numFmtId="0" fontId="82" fillId="39" borderId="22" xfId="583" applyFont="1" applyFill="1" applyBorder="1" applyAlignment="1">
      <alignment vertical="center"/>
    </xf>
    <xf numFmtId="0" fontId="133" fillId="39" borderId="22" xfId="246" applyFont="1" applyFill="1" applyBorder="1" applyAlignment="1">
      <alignment horizontal="center" vertical="center"/>
    </xf>
    <xf numFmtId="0" fontId="82" fillId="39" borderId="22" xfId="583" applyFont="1" applyFill="1" applyBorder="1" applyAlignment="1">
      <alignment horizontal="center" vertical="center"/>
    </xf>
    <xf numFmtId="0" fontId="60" fillId="25" borderId="18" xfId="0" applyFont="1" applyFill="1" applyBorder="1" applyAlignment="1">
      <alignment horizontal="center" vertical="center" wrapText="1"/>
    </xf>
    <xf numFmtId="0" fontId="31" fillId="0" borderId="22" xfId="246" applyFont="1" applyBorder="1"/>
    <xf numFmtId="0" fontId="60" fillId="0" borderId="18" xfId="246" applyFont="1" applyBorder="1" applyAlignment="1">
      <alignment horizontal="center" vertical="center"/>
    </xf>
    <xf numFmtId="0" fontId="60" fillId="25" borderId="17" xfId="0" applyFont="1" applyFill="1" applyBorder="1" applyAlignment="1">
      <alignment horizontal="center" vertical="center"/>
    </xf>
    <xf numFmtId="0" fontId="39" fillId="36" borderId="18" xfId="0" applyFont="1" applyFill="1" applyBorder="1" applyAlignment="1">
      <alignment horizontal="center" vertical="center" wrapText="1"/>
    </xf>
    <xf numFmtId="0" fontId="42" fillId="36" borderId="22" xfId="246" applyFont="1" applyFill="1" applyBorder="1" applyAlignment="1">
      <alignment horizontal="center" vertical="center" wrapText="1"/>
    </xf>
    <xf numFmtId="0" fontId="60" fillId="36" borderId="22" xfId="246" applyFont="1" applyFill="1" applyBorder="1" applyAlignment="1">
      <alignment horizontal="center" vertical="center"/>
    </xf>
    <xf numFmtId="0" fontId="82" fillId="36" borderId="22" xfId="583" applyFont="1" applyFill="1" applyBorder="1" applyAlignment="1">
      <alignment vertical="center"/>
    </xf>
    <xf numFmtId="0" fontId="41" fillId="36" borderId="22" xfId="246" applyFont="1" applyFill="1" applyBorder="1" applyAlignment="1">
      <alignment horizontal="center" vertical="center"/>
    </xf>
    <xf numFmtId="0" fontId="82" fillId="36" borderId="22" xfId="583" applyFont="1" applyFill="1" applyBorder="1" applyAlignment="1">
      <alignment horizontal="center" vertical="center"/>
    </xf>
    <xf numFmtId="0" fontId="60" fillId="46" borderId="17" xfId="246" applyFont="1" applyFill="1" applyBorder="1" applyAlignment="1">
      <alignment horizontal="center" vertical="center"/>
    </xf>
    <xf numFmtId="0" fontId="60" fillId="46" borderId="17" xfId="246" applyFont="1" applyFill="1" applyBorder="1" applyAlignment="1">
      <alignment horizontal="center" vertical="center" wrapText="1"/>
    </xf>
    <xf numFmtId="0" fontId="82" fillId="38" borderId="18" xfId="0" applyFont="1" applyFill="1" applyBorder="1" applyAlignment="1">
      <alignment horizontal="center" vertical="center" wrapText="1"/>
    </xf>
    <xf numFmtId="0" fontId="82" fillId="38" borderId="22" xfId="246" applyFont="1" applyFill="1" applyBorder="1" applyAlignment="1">
      <alignment horizontal="center" vertical="center" wrapText="1"/>
    </xf>
    <xf numFmtId="0" fontId="205" fillId="38" borderId="22" xfId="246" applyFont="1" applyFill="1" applyBorder="1" applyAlignment="1">
      <alignment horizontal="center" vertical="center"/>
    </xf>
    <xf numFmtId="0" fontId="82" fillId="38" borderId="22" xfId="583" applyFont="1" applyFill="1" applyBorder="1" applyAlignment="1">
      <alignment vertical="center"/>
    </xf>
    <xf numFmtId="0" fontId="82" fillId="38" borderId="22" xfId="246" applyFont="1" applyFill="1" applyBorder="1" applyAlignment="1">
      <alignment horizontal="center" vertical="center"/>
    </xf>
    <xf numFmtId="0" fontId="82" fillId="38" borderId="22" xfId="583" applyFont="1" applyFill="1" applyBorder="1" applyAlignment="1">
      <alignment horizontal="center" vertical="center"/>
    </xf>
    <xf numFmtId="0" fontId="60" fillId="45" borderId="17" xfId="0" applyFont="1" applyFill="1" applyBorder="1" applyAlignment="1">
      <alignment horizontal="center" vertical="center" wrapText="1"/>
    </xf>
    <xf numFmtId="0" fontId="60" fillId="26" borderId="18" xfId="246" applyFont="1" applyFill="1" applyBorder="1" applyAlignment="1">
      <alignment horizontal="center" vertical="center"/>
    </xf>
    <xf numFmtId="0" fontId="41" fillId="0" borderId="17" xfId="246" applyFont="1" applyBorder="1"/>
    <xf numFmtId="0" fontId="60" fillId="26" borderId="17" xfId="0" applyFont="1" applyFill="1" applyBorder="1" applyAlignment="1">
      <alignment horizontal="center" vertical="center" wrapText="1"/>
    </xf>
    <xf numFmtId="0" fontId="60" fillId="26" borderId="17" xfId="0" applyFont="1" applyFill="1" applyBorder="1" applyAlignment="1">
      <alignment horizontal="center" vertical="center"/>
    </xf>
    <xf numFmtId="0" fontId="42" fillId="0" borderId="17" xfId="0" applyFont="1" applyBorder="1" applyAlignment="1">
      <alignment vertical="center"/>
    </xf>
    <xf numFmtId="0" fontId="0" fillId="0" borderId="20" xfId="0" applyBorder="1" applyAlignment="1">
      <alignment vertical="center" wrapText="1"/>
    </xf>
    <xf numFmtId="0" fontId="60" fillId="0" borderId="20" xfId="246" applyFont="1" applyBorder="1" applyAlignment="1">
      <alignment horizontal="center" vertical="center"/>
    </xf>
    <xf numFmtId="0" fontId="60" fillId="0" borderId="20" xfId="0" applyFont="1" applyBorder="1" applyAlignment="1">
      <alignment horizontal="center" vertical="center"/>
    </xf>
    <xf numFmtId="0" fontId="42" fillId="0" borderId="265" xfId="0" applyFont="1" applyBorder="1" applyAlignment="1">
      <alignment vertical="center"/>
    </xf>
    <xf numFmtId="0" fontId="42" fillId="0" borderId="20" xfId="0" applyFont="1" applyBorder="1" applyAlignment="1">
      <alignment vertical="center"/>
    </xf>
    <xf numFmtId="0" fontId="60" fillId="26" borderId="20" xfId="246" applyFont="1" applyFill="1" applyBorder="1" applyAlignment="1">
      <alignment horizontal="center" vertical="center"/>
    </xf>
    <xf numFmtId="0" fontId="41" fillId="0" borderId="25" xfId="246" applyFont="1" applyBorder="1" applyAlignment="1">
      <alignment horizontal="center" vertical="center"/>
    </xf>
    <xf numFmtId="0" fontId="60" fillId="0" borderId="30" xfId="246" applyFont="1" applyBorder="1" applyAlignment="1">
      <alignment horizontal="center" vertical="center" wrapText="1"/>
    </xf>
    <xf numFmtId="0" fontId="60" fillId="25" borderId="30" xfId="246" applyFont="1" applyFill="1" applyBorder="1" applyAlignment="1">
      <alignment horizontal="center" vertical="center" wrapText="1"/>
    </xf>
    <xf numFmtId="0" fontId="60" fillId="0" borderId="79" xfId="246" applyFont="1" applyBorder="1" applyAlignment="1">
      <alignment horizontal="center" vertical="center" wrapText="1"/>
    </xf>
    <xf numFmtId="0" fontId="60" fillId="0" borderId="28" xfId="246" applyFont="1" applyBorder="1" applyAlignment="1">
      <alignment horizontal="center" vertical="center" wrapText="1"/>
    </xf>
    <xf numFmtId="0" fontId="60" fillId="0" borderId="79" xfId="0" applyFont="1" applyBorder="1" applyAlignment="1">
      <alignment horizontal="center" vertical="center" wrapText="1"/>
    </xf>
    <xf numFmtId="0" fontId="60" fillId="25" borderId="79" xfId="246" applyFont="1" applyFill="1" applyBorder="1" applyAlignment="1">
      <alignment horizontal="center" vertical="center" wrapText="1"/>
    </xf>
    <xf numFmtId="0" fontId="60" fillId="0" borderId="254" xfId="0" applyFont="1" applyBorder="1" applyAlignment="1">
      <alignment horizontal="center" vertical="center" wrapText="1"/>
    </xf>
    <xf numFmtId="0" fontId="60" fillId="25" borderId="254" xfId="246" applyFont="1" applyFill="1" applyBorder="1" applyAlignment="1">
      <alignment horizontal="center" vertical="center" wrapText="1"/>
    </xf>
    <xf numFmtId="0" fontId="41" fillId="0" borderId="28" xfId="246" applyFont="1" applyBorder="1" applyAlignment="1">
      <alignment horizontal="center" vertical="center" wrapText="1"/>
    </xf>
    <xf numFmtId="0" fontId="60" fillId="0" borderId="17" xfId="246" applyFont="1" applyBorder="1" applyAlignment="1">
      <alignment horizontal="center" vertical="center" wrapText="1"/>
    </xf>
    <xf numFmtId="0" fontId="60" fillId="25" borderId="18" xfId="246" applyFont="1" applyFill="1" applyBorder="1" applyAlignment="1">
      <alignment horizontal="center" vertical="center" wrapText="1"/>
    </xf>
    <xf numFmtId="0" fontId="41" fillId="0" borderId="22" xfId="246" applyFont="1" applyBorder="1" applyAlignment="1">
      <alignment horizontal="center" vertical="center" wrapText="1"/>
    </xf>
    <xf numFmtId="0" fontId="60" fillId="0" borderId="22" xfId="246" applyFont="1" applyBorder="1" applyAlignment="1">
      <alignment horizontal="center" vertical="center" wrapText="1"/>
    </xf>
    <xf numFmtId="0" fontId="60" fillId="23" borderId="17" xfId="246" applyFont="1" applyFill="1" applyBorder="1" applyAlignment="1">
      <alignment horizontal="center" vertical="center" wrapText="1"/>
    </xf>
    <xf numFmtId="0" fontId="60" fillId="26" borderId="17" xfId="246" applyFont="1" applyFill="1" applyBorder="1" applyAlignment="1">
      <alignment horizontal="center" vertical="center" wrapText="1"/>
    </xf>
    <xf numFmtId="0" fontId="60" fillId="0" borderId="18" xfId="246" applyFont="1" applyBorder="1" applyAlignment="1">
      <alignment horizontal="center" vertical="center" wrapText="1"/>
    </xf>
    <xf numFmtId="0" fontId="82" fillId="52" borderId="18" xfId="246" applyFont="1" applyFill="1" applyBorder="1" applyAlignment="1">
      <alignment horizontal="center" vertical="center" wrapText="1"/>
    </xf>
    <xf numFmtId="0" fontId="133" fillId="52" borderId="22" xfId="246" applyFont="1" applyFill="1" applyBorder="1" applyAlignment="1">
      <alignment horizontal="center" vertical="center" wrapText="1"/>
    </xf>
    <xf numFmtId="0" fontId="133" fillId="52" borderId="22" xfId="246" applyFont="1" applyFill="1" applyBorder="1" applyAlignment="1">
      <alignment wrapText="1"/>
    </xf>
    <xf numFmtId="0" fontId="41" fillId="52" borderId="22" xfId="246" applyFont="1" applyFill="1" applyBorder="1" applyAlignment="1">
      <alignment horizontal="center" vertical="center" wrapText="1"/>
    </xf>
    <xf numFmtId="0" fontId="41" fillId="20" borderId="17" xfId="0" applyFont="1" applyFill="1" applyBorder="1" applyAlignment="1">
      <alignment vertical="center" wrapText="1"/>
    </xf>
    <xf numFmtId="0" fontId="87" fillId="20" borderId="19" xfId="246" applyFont="1" applyFill="1" applyBorder="1" applyAlignment="1">
      <alignment horizontal="center" vertical="center" wrapText="1"/>
    </xf>
    <xf numFmtId="0" fontId="60" fillId="20" borderId="17" xfId="246" applyFont="1" applyFill="1" applyBorder="1" applyAlignment="1">
      <alignment horizontal="center" vertical="center" wrapText="1"/>
    </xf>
    <xf numFmtId="0" fontId="60" fillId="20" borderId="17" xfId="0" applyFont="1" applyFill="1" applyBorder="1" applyAlignment="1">
      <alignment horizontal="center" vertical="center" wrapText="1"/>
    </xf>
    <xf numFmtId="168" fontId="41" fillId="0" borderId="22" xfId="176" applyNumberFormat="1" applyFont="1" applyBorder="1" applyAlignment="1">
      <alignment horizontal="center" vertical="center" wrapText="1"/>
    </xf>
    <xf numFmtId="0" fontId="82" fillId="37" borderId="18" xfId="246" applyFont="1" applyFill="1" applyBorder="1" applyAlignment="1">
      <alignment horizontal="center" vertical="center" wrapText="1"/>
    </xf>
    <xf numFmtId="0" fontId="204" fillId="37" borderId="22" xfId="246" applyFont="1" applyFill="1" applyBorder="1" applyAlignment="1">
      <alignment horizontal="center" vertical="center" wrapText="1"/>
    </xf>
    <xf numFmtId="0" fontId="204" fillId="37" borderId="22" xfId="0" applyFont="1" applyFill="1" applyBorder="1" applyAlignment="1">
      <alignment horizontal="center" vertical="center" wrapText="1"/>
    </xf>
    <xf numFmtId="0" fontId="133" fillId="37" borderId="22" xfId="246" applyFont="1" applyFill="1" applyBorder="1" applyAlignment="1">
      <alignment horizontal="center" vertical="center" wrapText="1"/>
    </xf>
    <xf numFmtId="0" fontId="41" fillId="0" borderId="22" xfId="246" applyFont="1" applyBorder="1" applyAlignment="1">
      <alignment wrapText="1"/>
    </xf>
    <xf numFmtId="0" fontId="41" fillId="0" borderId="17" xfId="0" applyFont="1" applyBorder="1" applyAlignment="1">
      <alignment horizontal="left" vertical="center" wrapText="1"/>
    </xf>
    <xf numFmtId="0" fontId="50" fillId="0" borderId="17" xfId="0" applyFont="1" applyBorder="1"/>
    <xf numFmtId="0" fontId="87" fillId="24" borderId="17" xfId="0" applyFont="1" applyFill="1" applyBorder="1" applyAlignment="1">
      <alignment vertical="center" wrapText="1"/>
    </xf>
    <xf numFmtId="0" fontId="57" fillId="0" borderId="17" xfId="0" applyFont="1" applyBorder="1" applyAlignment="1">
      <alignment vertical="center" wrapText="1"/>
    </xf>
    <xf numFmtId="0" fontId="82" fillId="39" borderId="18" xfId="246" applyFont="1" applyFill="1" applyBorder="1" applyAlignment="1">
      <alignment horizontal="center" vertical="center" wrapText="1"/>
    </xf>
    <xf numFmtId="0" fontId="133" fillId="39" borderId="22" xfId="246" applyFont="1" applyFill="1" applyBorder="1" applyAlignment="1">
      <alignment horizontal="center" vertical="center" wrapText="1"/>
    </xf>
    <xf numFmtId="0" fontId="60" fillId="23" borderId="17" xfId="0" applyFont="1" applyFill="1" applyBorder="1" applyAlignment="1">
      <alignment horizontal="center" vertical="center" wrapText="1"/>
    </xf>
    <xf numFmtId="0" fontId="60" fillId="28" borderId="17" xfId="0" applyFont="1" applyFill="1" applyBorder="1" applyAlignment="1">
      <alignment horizontal="center" vertical="center" wrapText="1"/>
    </xf>
    <xf numFmtId="0" fontId="222" fillId="0" borderId="17" xfId="0" applyFont="1" applyBorder="1" applyAlignment="1">
      <alignment vertical="center" wrapText="1"/>
    </xf>
    <xf numFmtId="0" fontId="50" fillId="0" borderId="22" xfId="0" applyFont="1" applyBorder="1"/>
    <xf numFmtId="0" fontId="87" fillId="43" borderId="17" xfId="0" applyFont="1" applyFill="1" applyBorder="1" applyAlignment="1">
      <alignment vertical="center" wrapText="1"/>
    </xf>
    <xf numFmtId="0" fontId="82" fillId="36" borderId="18" xfId="246" applyFont="1" applyFill="1" applyBorder="1" applyAlignment="1">
      <alignment horizontal="center" vertical="center" wrapText="1"/>
    </xf>
    <xf numFmtId="0" fontId="133" fillId="36" borderId="22" xfId="246" applyFont="1" applyFill="1" applyBorder="1" applyAlignment="1">
      <alignment horizontal="center" vertical="center" wrapText="1"/>
    </xf>
    <xf numFmtId="0" fontId="102" fillId="0" borderId="22" xfId="246" applyFont="1" applyBorder="1" applyAlignment="1">
      <alignment horizontal="center" vertical="center" wrapText="1"/>
    </xf>
    <xf numFmtId="0" fontId="50" fillId="0" borderId="17" xfId="0" applyFont="1" applyBorder="1" applyAlignment="1">
      <alignment horizontal="center" vertical="center" wrapText="1"/>
    </xf>
    <xf numFmtId="0" fontId="82" fillId="51" borderId="17" xfId="0" applyFont="1" applyFill="1" applyBorder="1" applyAlignment="1">
      <alignment horizontal="center" vertical="center" wrapText="1"/>
    </xf>
    <xf numFmtId="0" fontId="133" fillId="51" borderId="22" xfId="246" applyFont="1" applyFill="1" applyBorder="1" applyAlignment="1">
      <alignment horizontal="center" vertical="center" wrapText="1"/>
    </xf>
    <xf numFmtId="0" fontId="60" fillId="0" borderId="20" xfId="246" applyFont="1" applyBorder="1" applyAlignment="1">
      <alignment horizontal="center" vertical="center" wrapText="1"/>
    </xf>
    <xf numFmtId="0" fontId="60" fillId="0" borderId="20" xfId="0" applyFont="1" applyBorder="1" applyAlignment="1">
      <alignment horizontal="center" vertical="center" wrapText="1"/>
    </xf>
    <xf numFmtId="0" fontId="60" fillId="26" borderId="20" xfId="246" applyFont="1" applyFill="1" applyBorder="1" applyAlignment="1">
      <alignment horizontal="center" vertical="center" wrapText="1"/>
    </xf>
    <xf numFmtId="0" fontId="60" fillId="0" borderId="255" xfId="246" applyFont="1" applyBorder="1" applyAlignment="1">
      <alignment horizontal="center" vertical="center" wrapText="1"/>
    </xf>
    <xf numFmtId="0" fontId="41" fillId="0" borderId="23" xfId="246" applyFont="1" applyBorder="1" applyAlignment="1">
      <alignment horizontal="center" vertical="center" wrapText="1"/>
    </xf>
    <xf numFmtId="0" fontId="0" fillId="0" borderId="0" xfId="0"/>
    <xf numFmtId="0" fontId="101" fillId="0" borderId="0" xfId="0" applyFont="1" applyBorder="1" applyAlignment="1">
      <alignment horizontal="center" vertical="center"/>
    </xf>
    <xf numFmtId="0" fontId="0" fillId="0" borderId="133" xfId="0" applyBorder="1" applyAlignment="1">
      <alignment horizontal="center" vertical="center"/>
    </xf>
    <xf numFmtId="0" fontId="0" fillId="0" borderId="136" xfId="0" applyBorder="1" applyAlignment="1">
      <alignment horizontal="center" vertical="center"/>
    </xf>
    <xf numFmtId="3" fontId="57" fillId="0" borderId="203" xfId="0" applyNumberFormat="1" applyFont="1" applyBorder="1" applyAlignment="1">
      <alignment horizontal="center" vertical="center" wrapText="1"/>
    </xf>
    <xf numFmtId="3" fontId="57" fillId="0" borderId="181" xfId="0" applyNumberFormat="1" applyFont="1" applyBorder="1" applyAlignment="1">
      <alignment horizontal="center" vertical="center" wrapText="1"/>
    </xf>
    <xf numFmtId="3" fontId="0" fillId="0" borderId="263" xfId="0" applyNumberFormat="1" applyBorder="1" applyAlignment="1">
      <alignment horizontal="center" vertical="center"/>
    </xf>
    <xf numFmtId="9" fontId="0" fillId="0" borderId="261" xfId="176" applyFont="1" applyBorder="1" applyAlignment="1">
      <alignment horizontal="center" vertical="center"/>
    </xf>
    <xf numFmtId="3" fontId="57" fillId="0" borderId="263" xfId="0" applyNumberFormat="1" applyFont="1" applyBorder="1" applyAlignment="1">
      <alignment horizontal="center" vertical="center" wrapText="1" readingOrder="1"/>
    </xf>
    <xf numFmtId="171" fontId="57" fillId="0" borderId="200" xfId="0" applyNumberFormat="1" applyFont="1" applyBorder="1" applyAlignment="1">
      <alignment horizontal="center" vertical="center" wrapText="1" readingOrder="1"/>
    </xf>
    <xf numFmtId="168" fontId="0" fillId="0" borderId="261" xfId="176" applyNumberFormat="1" applyFont="1" applyBorder="1" applyAlignment="1">
      <alignment vertical="center"/>
    </xf>
    <xf numFmtId="3" fontId="41" fillId="0" borderId="263" xfId="0" applyNumberFormat="1" applyFont="1" applyBorder="1" applyAlignment="1">
      <alignment horizontal="center" vertical="center"/>
    </xf>
    <xf numFmtId="171" fontId="41" fillId="0" borderId="200" xfId="0" applyNumberFormat="1" applyFont="1" applyBorder="1" applyAlignment="1">
      <alignment horizontal="center" vertical="center"/>
    </xf>
    <xf numFmtId="3" fontId="41" fillId="0" borderId="263" xfId="2647" applyNumberFormat="1" applyFont="1" applyBorder="1" applyAlignment="1">
      <alignment horizontal="center" vertical="center"/>
    </xf>
    <xf numFmtId="171" fontId="41" fillId="0" borderId="200" xfId="2647" applyNumberFormat="1" applyFont="1" applyBorder="1" applyAlignment="1">
      <alignment horizontal="center" vertical="center"/>
    </xf>
    <xf numFmtId="168" fontId="0" fillId="0" borderId="261" xfId="3383" applyNumberFormat="1" applyFont="1" applyBorder="1" applyAlignment="1">
      <alignment vertical="center"/>
    </xf>
    <xf numFmtId="3" fontId="0" fillId="0" borderId="18" xfId="0" applyNumberFormat="1" applyBorder="1" applyAlignment="1">
      <alignment horizontal="center" vertical="center"/>
    </xf>
    <xf numFmtId="9" fontId="0" fillId="0" borderId="19" xfId="176" applyFont="1" applyBorder="1" applyAlignment="1">
      <alignment horizontal="center" vertical="center"/>
    </xf>
    <xf numFmtId="3" fontId="57" fillId="0" borderId="18" xfId="0" applyNumberFormat="1" applyFont="1" applyBorder="1" applyAlignment="1">
      <alignment horizontal="center" vertical="center" wrapText="1" readingOrder="1"/>
    </xf>
    <xf numFmtId="171" fontId="57" fillId="0" borderId="22" xfId="0" applyNumberFormat="1" applyFont="1" applyBorder="1" applyAlignment="1">
      <alignment horizontal="center" vertical="center" wrapText="1" readingOrder="1"/>
    </xf>
    <xf numFmtId="168" fontId="0" fillId="0" borderId="19" xfId="176" applyNumberFormat="1" applyFont="1" applyBorder="1" applyAlignment="1">
      <alignment vertical="center"/>
    </xf>
    <xf numFmtId="3" fontId="41" fillId="0" borderId="18" xfId="0" applyNumberFormat="1" applyFont="1" applyBorder="1" applyAlignment="1">
      <alignment horizontal="center" vertical="center"/>
    </xf>
    <xf numFmtId="171" fontId="41" fillId="0" borderId="22" xfId="0" applyNumberFormat="1" applyFont="1" applyBorder="1" applyAlignment="1">
      <alignment horizontal="center" vertical="center"/>
    </xf>
    <xf numFmtId="3" fontId="41" fillId="0" borderId="18" xfId="2647" applyNumberFormat="1" applyFont="1" applyBorder="1" applyAlignment="1">
      <alignment horizontal="center" vertical="center"/>
    </xf>
    <xf numFmtId="171" fontId="41" fillId="0" borderId="22" xfId="2647" applyNumberFormat="1" applyFont="1" applyBorder="1" applyAlignment="1">
      <alignment horizontal="center" vertical="center"/>
    </xf>
    <xf numFmtId="168" fontId="0" fillId="0" borderId="19" xfId="3383" applyNumberFormat="1" applyFont="1" applyBorder="1" applyAlignment="1">
      <alignment vertical="center"/>
    </xf>
    <xf numFmtId="0" fontId="41" fillId="0" borderId="18" xfId="0" applyFont="1" applyBorder="1" applyAlignment="1">
      <alignment horizontal="left" vertical="center"/>
    </xf>
    <xf numFmtId="0" fontId="41" fillId="0" borderId="19" xfId="0" applyFont="1" applyBorder="1" applyAlignment="1">
      <alignment horizontal="left" vertical="center"/>
    </xf>
    <xf numFmtId="0" fontId="0" fillId="0" borderId="18" xfId="0" applyBorder="1"/>
    <xf numFmtId="0" fontId="0" fillId="0" borderId="19" xfId="0" applyBorder="1"/>
    <xf numFmtId="0" fontId="41" fillId="0" borderId="19" xfId="0" applyFont="1" applyBorder="1" applyAlignment="1">
      <alignment horizontal="left" vertical="center" wrapText="1"/>
    </xf>
    <xf numFmtId="0" fontId="41" fillId="0" borderId="21" xfId="0" applyFont="1" applyBorder="1" applyAlignment="1">
      <alignment horizontal="left" vertical="center" wrapText="1"/>
    </xf>
    <xf numFmtId="3" fontId="0" fillId="0" borderId="255" xfId="0" applyNumberFormat="1" applyBorder="1" applyAlignment="1">
      <alignment horizontal="center" vertical="center"/>
    </xf>
    <xf numFmtId="9" fontId="0" fillId="0" borderId="21" xfId="176" applyFont="1" applyBorder="1" applyAlignment="1">
      <alignment horizontal="center" vertical="center"/>
    </xf>
    <xf numFmtId="3" fontId="57" fillId="0" borderId="255" xfId="0" applyNumberFormat="1" applyFont="1" applyBorder="1" applyAlignment="1">
      <alignment horizontal="center" vertical="center" wrapText="1" readingOrder="1"/>
    </xf>
    <xf numFmtId="171" fontId="57" fillId="0" borderId="23" xfId="0" applyNumberFormat="1" applyFont="1" applyBorder="1" applyAlignment="1">
      <alignment horizontal="center" vertical="center" wrapText="1" readingOrder="1"/>
    </xf>
    <xf numFmtId="168" fontId="0" fillId="0" borderId="21" xfId="176" applyNumberFormat="1" applyFont="1" applyBorder="1" applyAlignment="1">
      <alignment vertical="center"/>
    </xf>
    <xf numFmtId="3" fontId="41" fillId="0" borderId="255" xfId="0" applyNumberFormat="1" applyFont="1" applyBorder="1" applyAlignment="1">
      <alignment horizontal="center" vertical="center"/>
    </xf>
    <xf numFmtId="171" fontId="41" fillId="0" borderId="23" xfId="0" applyNumberFormat="1" applyFont="1" applyBorder="1" applyAlignment="1">
      <alignment horizontal="center" vertical="center"/>
    </xf>
    <xf numFmtId="3" fontId="41" fillId="0" borderId="255" xfId="2647" applyNumberFormat="1" applyFont="1" applyBorder="1" applyAlignment="1">
      <alignment horizontal="center" vertical="center"/>
    </xf>
    <xf numFmtId="171" fontId="41" fillId="0" borderId="23" xfId="2647" applyNumberFormat="1" applyFont="1" applyBorder="1" applyAlignment="1">
      <alignment horizontal="center" vertical="center"/>
    </xf>
    <xf numFmtId="168" fontId="0" fillId="0" borderId="21" xfId="3383" applyNumberFormat="1" applyFont="1" applyBorder="1" applyAlignment="1">
      <alignment vertical="center"/>
    </xf>
    <xf numFmtId="3" fontId="42" fillId="20" borderId="208" xfId="0" applyNumberFormat="1" applyFont="1" applyFill="1" applyBorder="1" applyAlignment="1">
      <alignment horizontal="center" vertical="center"/>
    </xf>
    <xf numFmtId="9" fontId="42" fillId="20" borderId="208" xfId="176" applyFont="1" applyFill="1" applyBorder="1" applyAlignment="1">
      <alignment horizontal="center" vertical="center"/>
    </xf>
    <xf numFmtId="0" fontId="58" fillId="20" borderId="208" xfId="0" applyFont="1" applyFill="1" applyBorder="1" applyAlignment="1">
      <alignment horizontal="center" vertical="center" wrapText="1" readingOrder="1"/>
    </xf>
    <xf numFmtId="168" fontId="39" fillId="20" borderId="208" xfId="176" applyNumberFormat="1" applyFont="1" applyFill="1" applyBorder="1" applyAlignment="1">
      <alignment vertical="center"/>
    </xf>
    <xf numFmtId="171" fontId="42" fillId="20" borderId="208" xfId="0" applyNumberFormat="1" applyFont="1" applyFill="1" applyBorder="1" applyAlignment="1">
      <alignment horizontal="center" vertical="center"/>
    </xf>
    <xf numFmtId="3" fontId="42" fillId="20" borderId="208" xfId="2647" applyNumberFormat="1" applyFont="1" applyFill="1" applyBorder="1" applyAlignment="1">
      <alignment horizontal="center" vertical="center"/>
    </xf>
    <xf numFmtId="168" fontId="39" fillId="20" borderId="208" xfId="3383" applyNumberFormat="1" applyFont="1" applyFill="1" applyBorder="1" applyAlignment="1">
      <alignment vertical="center"/>
    </xf>
    <xf numFmtId="3" fontId="42" fillId="20" borderId="224" xfId="2647" applyNumberFormat="1" applyFont="1" applyFill="1" applyBorder="1" applyAlignment="1">
      <alignment horizontal="center" vertical="center"/>
    </xf>
    <xf numFmtId="3" fontId="42" fillId="20" borderId="224" xfId="0" applyNumberFormat="1" applyFont="1" applyFill="1" applyBorder="1" applyAlignment="1">
      <alignment horizontal="center" vertical="center"/>
    </xf>
    <xf numFmtId="3" fontId="58" fillId="20" borderId="224" xfId="0" applyNumberFormat="1" applyFont="1" applyFill="1" applyBorder="1" applyAlignment="1">
      <alignment horizontal="center" vertical="center" wrapText="1" readingOrder="1"/>
    </xf>
    <xf numFmtId="0" fontId="41" fillId="0" borderId="16" xfId="0" applyFont="1" applyFill="1" applyBorder="1" applyAlignment="1">
      <alignment horizontal="center" vertical="center"/>
    </xf>
    <xf numFmtId="0" fontId="41" fillId="0" borderId="16" xfId="0" applyFont="1" applyFill="1" applyBorder="1" applyAlignment="1">
      <alignment horizontal="center" vertical="center" wrapText="1"/>
    </xf>
    <xf numFmtId="10" fontId="41" fillId="0" borderId="16" xfId="0" applyNumberFormat="1" applyFont="1" applyFill="1" applyBorder="1" applyAlignment="1">
      <alignment horizontal="center" vertical="center"/>
    </xf>
    <xf numFmtId="0" fontId="41" fillId="0" borderId="268" xfId="0" applyFont="1" applyFill="1" applyBorder="1" applyAlignment="1">
      <alignment horizontal="center" vertical="center" wrapText="1"/>
    </xf>
    <xf numFmtId="10" fontId="41" fillId="0" borderId="16" xfId="0" applyNumberFormat="1" applyFont="1" applyFill="1" applyBorder="1" applyAlignment="1">
      <alignment horizontal="center" vertical="center" wrapText="1"/>
    </xf>
    <xf numFmtId="10" fontId="41" fillId="0" borderId="268" xfId="0" applyNumberFormat="1" applyFont="1" applyFill="1" applyBorder="1" applyAlignment="1">
      <alignment horizontal="center" vertical="center" wrapText="1"/>
    </xf>
    <xf numFmtId="10" fontId="41" fillId="0" borderId="268" xfId="2647" applyNumberFormat="1" applyFont="1" applyFill="1" applyBorder="1" applyAlignment="1">
      <alignment horizontal="center" vertical="center" wrapText="1"/>
    </xf>
    <xf numFmtId="10" fontId="41" fillId="0" borderId="16" xfId="2647" applyNumberFormat="1" applyFont="1" applyFill="1" applyBorder="1" applyAlignment="1">
      <alignment horizontal="center" vertical="center"/>
    </xf>
    <xf numFmtId="10" fontId="41" fillId="0" borderId="16" xfId="2647" applyNumberFormat="1" applyFont="1" applyFill="1" applyBorder="1" applyAlignment="1">
      <alignment horizontal="center" vertical="center" wrapText="1"/>
    </xf>
    <xf numFmtId="0" fontId="41" fillId="23" borderId="252" xfId="0" applyFont="1" applyFill="1" applyBorder="1" applyAlignment="1">
      <alignment horizontal="center" vertical="center" wrapText="1"/>
    </xf>
    <xf numFmtId="0" fontId="41" fillId="23" borderId="267" xfId="0" applyFont="1" applyFill="1" applyBorder="1" applyAlignment="1">
      <alignment horizontal="center" vertical="center" wrapText="1"/>
    </xf>
    <xf numFmtId="0" fontId="41" fillId="23" borderId="269" xfId="0" applyFont="1" applyFill="1" applyBorder="1" applyAlignment="1">
      <alignment horizontal="center" vertical="center" wrapText="1"/>
    </xf>
    <xf numFmtId="0" fontId="41" fillId="0" borderId="16" xfId="0" applyFont="1" applyBorder="1" applyAlignment="1">
      <alignment horizontal="center" vertical="center" wrapText="1"/>
    </xf>
    <xf numFmtId="0" fontId="41" fillId="0" borderId="16" xfId="0" applyFont="1" applyBorder="1" applyAlignment="1">
      <alignment horizontal="center" vertical="center"/>
    </xf>
    <xf numFmtId="0" fontId="0" fillId="0" borderId="16" xfId="0" applyBorder="1" applyAlignment="1">
      <alignment horizontal="center" vertical="center"/>
    </xf>
    <xf numFmtId="0" fontId="41" fillId="0" borderId="262" xfId="0" applyFont="1" applyBorder="1" applyAlignment="1">
      <alignment horizontal="justify" vertical="justify"/>
    </xf>
    <xf numFmtId="3" fontId="0" fillId="0" borderId="200" xfId="0" applyNumberFormat="1" applyBorder="1" applyAlignment="1">
      <alignment horizontal="center" vertical="center"/>
    </xf>
    <xf numFmtId="10" fontId="0" fillId="0" borderId="200" xfId="176" applyNumberFormat="1" applyFont="1" applyBorder="1" applyAlignment="1">
      <alignment horizontal="center" vertical="center"/>
    </xf>
    <xf numFmtId="171" fontId="0" fillId="0" borderId="261" xfId="0" applyNumberFormat="1" applyBorder="1" applyAlignment="1">
      <alignment horizontal="center" vertical="center"/>
    </xf>
    <xf numFmtId="0" fontId="41" fillId="0" borderId="17" xfId="0" applyFont="1" applyBorder="1" applyAlignment="1">
      <alignment horizontal="justify" vertical="justify"/>
    </xf>
    <xf numFmtId="3" fontId="41" fillId="0" borderId="22" xfId="0" applyNumberFormat="1" applyFont="1" applyBorder="1" applyAlignment="1">
      <alignment horizontal="center" vertical="center"/>
    </xf>
    <xf numFmtId="171" fontId="0" fillId="0" borderId="19" xfId="0" applyNumberFormat="1" applyBorder="1" applyAlignment="1">
      <alignment horizontal="center" vertical="center"/>
    </xf>
    <xf numFmtId="0" fontId="41" fillId="0" borderId="20" xfId="0" applyFont="1" applyBorder="1" applyAlignment="1">
      <alignment horizontal="justify" vertical="justify"/>
    </xf>
    <xf numFmtId="3" fontId="41" fillId="0" borderId="23" xfId="0" applyNumberFormat="1" applyFont="1" applyBorder="1" applyAlignment="1">
      <alignment horizontal="center" vertical="center"/>
    </xf>
    <xf numFmtId="171" fontId="0" fillId="0" borderId="21" xfId="0" applyNumberFormat="1" applyBorder="1" applyAlignment="1">
      <alignment horizontal="center" vertical="center"/>
    </xf>
    <xf numFmtId="0" fontId="41" fillId="0" borderId="79" xfId="0" applyFont="1" applyBorder="1" applyAlignment="1">
      <alignment horizontal="justify" vertical="justify"/>
    </xf>
    <xf numFmtId="3" fontId="41" fillId="0" borderId="254" xfId="0" applyNumberFormat="1" applyFont="1" applyBorder="1" applyAlignment="1">
      <alignment horizontal="center" vertical="center"/>
    </xf>
    <xf numFmtId="3" fontId="0" fillId="0" borderId="264" xfId="0" applyNumberFormat="1" applyBorder="1" applyAlignment="1">
      <alignment horizontal="center" vertical="center"/>
    </xf>
    <xf numFmtId="10" fontId="0" fillId="0" borderId="264" xfId="176" applyNumberFormat="1" applyFont="1" applyBorder="1" applyAlignment="1">
      <alignment horizontal="center" vertical="center"/>
    </xf>
    <xf numFmtId="171" fontId="0" fillId="0" borderId="253" xfId="0" applyNumberFormat="1" applyBorder="1" applyAlignment="1">
      <alignment horizontal="center" vertical="center"/>
    </xf>
    <xf numFmtId="0" fontId="50" fillId="0" borderId="0" xfId="0" applyFont="1" applyAlignment="1">
      <alignment horizontal="left" vertical="center"/>
    </xf>
    <xf numFmtId="0" fontId="58" fillId="20" borderId="23" xfId="0" applyFont="1" applyFill="1" applyBorder="1" applyAlignment="1">
      <alignment horizontal="center" vertical="center"/>
    </xf>
    <xf numFmtId="3" fontId="58" fillId="20" borderId="23" xfId="0" applyNumberFormat="1" applyFont="1" applyFill="1" applyBorder="1" applyAlignment="1">
      <alignment horizontal="center" vertical="center"/>
    </xf>
    <xf numFmtId="0" fontId="41" fillId="0" borderId="261" xfId="0" applyFont="1" applyBorder="1" applyAlignment="1">
      <alignment horizontal="left" vertical="center" wrapText="1"/>
    </xf>
    <xf numFmtId="0" fontId="62" fillId="0" borderId="19" xfId="0" applyFont="1" applyBorder="1" applyAlignment="1">
      <alignment horizontal="left" vertical="center" wrapText="1"/>
    </xf>
    <xf numFmtId="0" fontId="215" fillId="0" borderId="0" xfId="0" applyFont="1" applyBorder="1" applyAlignment="1">
      <alignment horizontal="center" vertical="center"/>
    </xf>
    <xf numFmtId="168" fontId="37" fillId="0" borderId="219" xfId="176" applyNumberFormat="1" applyFill="1" applyBorder="1" applyAlignment="1">
      <alignment horizontal="center" vertical="center"/>
    </xf>
    <xf numFmtId="168" fontId="37" fillId="0" borderId="270" xfId="176" applyNumberFormat="1" applyFill="1" applyBorder="1" applyAlignment="1">
      <alignment horizontal="center" vertical="center"/>
    </xf>
    <xf numFmtId="168" fontId="37" fillId="0" borderId="133" xfId="176" applyNumberFormat="1" applyFill="1" applyBorder="1" applyAlignment="1">
      <alignment horizontal="center" vertical="center"/>
    </xf>
    <xf numFmtId="168" fontId="37" fillId="0" borderId="271" xfId="176" applyNumberFormat="1" applyFill="1" applyBorder="1" applyAlignment="1">
      <alignment horizontal="center" vertical="center"/>
    </xf>
    <xf numFmtId="168" fontId="39" fillId="0" borderId="133" xfId="176" applyNumberFormat="1" applyFont="1" applyFill="1" applyBorder="1" applyAlignment="1">
      <alignment horizontal="center" vertical="center"/>
    </xf>
    <xf numFmtId="168" fontId="39" fillId="0" borderId="271" xfId="176" applyNumberFormat="1" applyFont="1" applyFill="1" applyBorder="1" applyAlignment="1">
      <alignment horizontal="center" vertical="center"/>
    </xf>
    <xf numFmtId="168" fontId="39" fillId="20" borderId="272" xfId="176" applyNumberFormat="1" applyFont="1" applyFill="1" applyBorder="1" applyAlignment="1">
      <alignment horizontal="center" vertical="center"/>
    </xf>
    <xf numFmtId="168" fontId="39" fillId="20" borderId="273" xfId="176" applyNumberFormat="1" applyFont="1" applyFill="1" applyBorder="1" applyAlignment="1">
      <alignment horizontal="center" vertical="center"/>
    </xf>
    <xf numFmtId="168" fontId="37" fillId="0" borderId="140" xfId="176" applyNumberFormat="1" applyFill="1" applyBorder="1" applyAlignment="1">
      <alignment horizontal="center" vertical="center"/>
    </xf>
    <xf numFmtId="168" fontId="37" fillId="0" borderId="274" xfId="176" applyNumberFormat="1" applyFill="1" applyBorder="1" applyAlignment="1">
      <alignment horizontal="center" vertical="center"/>
    </xf>
    <xf numFmtId="168" fontId="37" fillId="0" borderId="133" xfId="0" applyNumberFormat="1" applyFont="1" applyFill="1" applyBorder="1" applyAlignment="1">
      <alignment horizontal="center" vertical="center"/>
    </xf>
    <xf numFmtId="168" fontId="37" fillId="0" borderId="140" xfId="0" applyNumberFormat="1" applyFont="1" applyFill="1" applyBorder="1" applyAlignment="1">
      <alignment horizontal="center" vertical="center"/>
    </xf>
    <xf numFmtId="168" fontId="39" fillId="0" borderId="275" xfId="176" applyNumberFormat="1" applyFont="1" applyFill="1" applyBorder="1" applyAlignment="1">
      <alignment horizontal="center" vertical="center"/>
    </xf>
    <xf numFmtId="168" fontId="39" fillId="0" borderId="274" xfId="176" applyNumberFormat="1" applyFont="1" applyFill="1" applyBorder="1" applyAlignment="1">
      <alignment horizontal="center" vertical="center"/>
    </xf>
    <xf numFmtId="168" fontId="39" fillId="0" borderId="276" xfId="176" applyNumberFormat="1" applyFont="1" applyFill="1" applyBorder="1" applyAlignment="1">
      <alignment horizontal="center" vertical="center"/>
    </xf>
    <xf numFmtId="168" fontId="39" fillId="0" borderId="277" xfId="176" applyNumberFormat="1" applyFont="1" applyFill="1" applyBorder="1" applyAlignment="1">
      <alignment horizontal="center" vertical="center"/>
    </xf>
    <xf numFmtId="168" fontId="39" fillId="0" borderId="278" xfId="176" applyNumberFormat="1" applyFont="1" applyFill="1" applyBorder="1" applyAlignment="1">
      <alignment horizontal="center" vertical="center"/>
    </xf>
    <xf numFmtId="168" fontId="39" fillId="20" borderId="279" xfId="176" applyNumberFormat="1" applyFont="1" applyFill="1" applyBorder="1" applyAlignment="1">
      <alignment horizontal="center" vertical="center"/>
    </xf>
    <xf numFmtId="168" fontId="39" fillId="20" borderId="280" xfId="176" applyNumberFormat="1" applyFont="1" applyFill="1" applyBorder="1" applyAlignment="1">
      <alignment horizontal="center" vertical="center"/>
    </xf>
    <xf numFmtId="0" fontId="55" fillId="0" borderId="0" xfId="0" applyFont="1" applyAlignment="1"/>
    <xf numFmtId="0" fontId="37" fillId="0" borderId="0" xfId="0" applyFont="1" applyBorder="1" applyAlignment="1">
      <alignment horizontal="center" vertical="center" wrapText="1"/>
    </xf>
    <xf numFmtId="0" fontId="37" fillId="0" borderId="0" xfId="0" applyFont="1" applyBorder="1" applyAlignment="1">
      <alignment horizontal="center" vertical="center"/>
    </xf>
    <xf numFmtId="0" fontId="39" fillId="0" borderId="0" xfId="0" applyFont="1" applyBorder="1" applyAlignment="1">
      <alignment horizontal="center" vertical="center"/>
    </xf>
    <xf numFmtId="167" fontId="41" fillId="0" borderId="179" xfId="197" applyNumberFormat="1" applyFont="1" applyBorder="1" applyAlignment="1">
      <alignment horizontal="center" vertical="center"/>
    </xf>
    <xf numFmtId="169" fontId="41" fillId="0" borderId="29" xfId="235" applyNumberFormat="1" applyFont="1" applyBorder="1" applyAlignment="1">
      <alignment horizontal="right" vertical="center" indent="1"/>
    </xf>
    <xf numFmtId="169" fontId="41" fillId="0" borderId="30" xfId="235" applyNumberFormat="1" applyFont="1" applyBorder="1" applyAlignment="1">
      <alignment horizontal="right" vertical="center" indent="1"/>
    </xf>
    <xf numFmtId="169" fontId="41" fillId="0" borderId="27" xfId="235" applyNumberFormat="1" applyFont="1" applyBorder="1" applyAlignment="1">
      <alignment horizontal="right" vertical="center" indent="1"/>
    </xf>
    <xf numFmtId="167" fontId="41" fillId="0" borderId="180" xfId="197" applyNumberFormat="1" applyFont="1" applyBorder="1" applyAlignment="1">
      <alignment horizontal="center" vertical="center"/>
    </xf>
    <xf numFmtId="169" fontId="41" fillId="0" borderId="19" xfId="235" applyNumberFormat="1" applyFont="1" applyBorder="1" applyAlignment="1">
      <alignment horizontal="right" vertical="center" indent="1"/>
    </xf>
    <xf numFmtId="169" fontId="41" fillId="0" borderId="17" xfId="235" applyNumberFormat="1" applyFont="1" applyBorder="1" applyAlignment="1">
      <alignment horizontal="right" vertical="center" indent="1"/>
    </xf>
    <xf numFmtId="169" fontId="41" fillId="0" borderId="18" xfId="235" applyNumberFormat="1" applyFont="1" applyBorder="1" applyAlignment="1">
      <alignment horizontal="right" vertical="center" indent="1"/>
    </xf>
    <xf numFmtId="167" fontId="41" fillId="0" borderId="190" xfId="197" applyNumberFormat="1" applyFont="1" applyBorder="1" applyAlignment="1">
      <alignment horizontal="center" vertical="center"/>
    </xf>
    <xf numFmtId="169" fontId="41" fillId="0" borderId="26" xfId="235" applyNumberFormat="1" applyFont="1" applyBorder="1" applyAlignment="1">
      <alignment horizontal="right" vertical="center" indent="1"/>
    </xf>
    <xf numFmtId="169" fontId="41" fillId="0" borderId="31" xfId="235" applyNumberFormat="1" applyFont="1" applyBorder="1" applyAlignment="1">
      <alignment horizontal="right" vertical="center" indent="1"/>
    </xf>
    <xf numFmtId="169" fontId="41" fillId="0" borderId="24" xfId="235" applyNumberFormat="1" applyFont="1" applyBorder="1" applyAlignment="1">
      <alignment horizontal="right" vertical="center" indent="1"/>
    </xf>
    <xf numFmtId="0" fontId="41" fillId="0" borderId="137" xfId="229" applyFont="1" applyBorder="1" applyAlignment="1">
      <alignment horizontal="left" vertical="center"/>
    </xf>
    <xf numFmtId="0" fontId="41" fillId="0" borderId="189" xfId="229" applyFont="1" applyBorder="1" applyAlignment="1">
      <alignment horizontal="left" vertical="center"/>
    </xf>
    <xf numFmtId="0" fontId="41" fillId="0" borderId="0" xfId="229" applyFont="1" applyAlignment="1">
      <alignment horizontal="left" vertical="center"/>
    </xf>
    <xf numFmtId="0" fontId="87" fillId="0" borderId="0" xfId="229" applyFont="1" applyBorder="1" applyAlignment="1">
      <alignment horizontal="left" vertical="center"/>
    </xf>
    <xf numFmtId="0" fontId="41" fillId="0" borderId="0" xfId="229" applyFont="1" applyBorder="1" applyAlignment="1">
      <alignment horizontal="left" vertical="center"/>
    </xf>
    <xf numFmtId="3" fontId="105" fillId="20" borderId="21" xfId="229" applyNumberFormat="1" applyFont="1" applyFill="1" applyBorder="1" applyAlignment="1">
      <alignment horizontal="right" vertical="center" indent="1"/>
    </xf>
    <xf numFmtId="3" fontId="105" fillId="20" borderId="20" xfId="229" applyNumberFormat="1" applyFont="1" applyFill="1" applyBorder="1" applyAlignment="1">
      <alignment horizontal="right" vertical="center" indent="1"/>
    </xf>
    <xf numFmtId="3" fontId="105" fillId="20" borderId="255" xfId="229" applyNumberFormat="1" applyFont="1" applyFill="1" applyBorder="1" applyAlignment="1">
      <alignment horizontal="right" vertical="center" indent="1"/>
    </xf>
    <xf numFmtId="3" fontId="41" fillId="0" borderId="29" xfId="229" applyNumberFormat="1" applyFont="1" applyBorder="1" applyAlignment="1">
      <alignment horizontal="center" vertical="center"/>
    </xf>
    <xf numFmtId="3" fontId="41" fillId="0" borderId="30" xfId="229" applyNumberFormat="1" applyFont="1" applyBorder="1" applyAlignment="1">
      <alignment horizontal="center" vertical="center"/>
    </xf>
    <xf numFmtId="3" fontId="41" fillId="0" borderId="27" xfId="229" applyNumberFormat="1" applyFont="1" applyBorder="1" applyAlignment="1">
      <alignment horizontal="center" vertical="center"/>
    </xf>
    <xf numFmtId="3" fontId="41" fillId="0" borderId="19" xfId="229" applyNumberFormat="1" applyFont="1" applyBorder="1" applyAlignment="1">
      <alignment horizontal="center" vertical="center"/>
    </xf>
    <xf numFmtId="3" fontId="41" fillId="0" borderId="17" xfId="229" applyNumberFormat="1" applyFont="1" applyBorder="1" applyAlignment="1">
      <alignment horizontal="center" vertical="center"/>
    </xf>
    <xf numFmtId="3" fontId="41" fillId="0" borderId="18" xfId="229" applyNumberFormat="1" applyFont="1" applyBorder="1" applyAlignment="1">
      <alignment horizontal="center" vertical="center"/>
    </xf>
    <xf numFmtId="3" fontId="41" fillId="0" borderId="26" xfId="229" applyNumberFormat="1" applyFont="1" applyBorder="1" applyAlignment="1">
      <alignment horizontal="center" vertical="center"/>
    </xf>
    <xf numFmtId="3" fontId="41" fillId="0" borderId="31" xfId="229" applyNumberFormat="1" applyFont="1" applyBorder="1" applyAlignment="1">
      <alignment horizontal="center" vertical="center"/>
    </xf>
    <xf numFmtId="3" fontId="41" fillId="0" borderId="24" xfId="229" applyNumberFormat="1" applyFont="1" applyBorder="1" applyAlignment="1">
      <alignment horizontal="center" vertical="center"/>
    </xf>
    <xf numFmtId="3" fontId="110" fillId="20" borderId="207" xfId="0" applyNumberFormat="1" applyFont="1" applyFill="1" applyBorder="1" applyAlignment="1">
      <alignment horizontal="center" vertical="center" wrapText="1"/>
    </xf>
    <xf numFmtId="3" fontId="110" fillId="20" borderId="162" xfId="0" applyNumberFormat="1" applyFont="1" applyFill="1" applyBorder="1" applyAlignment="1">
      <alignment horizontal="center" vertical="center" wrapText="1"/>
    </xf>
    <xf numFmtId="3" fontId="110" fillId="20" borderId="209" xfId="0" applyNumberFormat="1" applyFont="1" applyFill="1" applyBorder="1" applyAlignment="1">
      <alignment horizontal="center" vertical="center" wrapText="1"/>
    </xf>
    <xf numFmtId="0" fontId="37" fillId="0" borderId="137" xfId="0" applyFont="1" applyBorder="1" applyAlignment="1">
      <alignment vertical="center"/>
    </xf>
    <xf numFmtId="0" fontId="37" fillId="0" borderId="189" xfId="0" applyFont="1" applyBorder="1"/>
    <xf numFmtId="0" fontId="37" fillId="0" borderId="0" xfId="0" applyFont="1" applyBorder="1" applyAlignment="1">
      <alignment vertical="center"/>
    </xf>
    <xf numFmtId="3" fontId="108" fillId="20" borderId="207" xfId="0" applyNumberFormat="1" applyFont="1" applyFill="1" applyBorder="1" applyAlignment="1">
      <alignment horizontal="center" wrapText="1"/>
    </xf>
    <xf numFmtId="3" fontId="108" fillId="20" borderId="162" xfId="0" applyNumberFormat="1" applyFont="1" applyFill="1" applyBorder="1" applyAlignment="1">
      <alignment horizontal="center" wrapText="1"/>
    </xf>
    <xf numFmtId="3" fontId="108" fillId="20" borderId="209" xfId="0" applyNumberFormat="1" applyFont="1" applyFill="1" applyBorder="1" applyAlignment="1">
      <alignment horizontal="center" wrapText="1"/>
    </xf>
    <xf numFmtId="0" fontId="254" fillId="0" borderId="0" xfId="229" applyFont="1" applyBorder="1" applyAlignment="1">
      <alignment horizontal="left" vertical="center"/>
    </xf>
    <xf numFmtId="0" fontId="41" fillId="0" borderId="0" xfId="229" applyFont="1"/>
    <xf numFmtId="167" fontId="41" fillId="0" borderId="182" xfId="197" applyNumberFormat="1" applyFont="1" applyBorder="1" applyAlignment="1">
      <alignment horizontal="center" vertical="center"/>
    </xf>
    <xf numFmtId="3" fontId="41" fillId="0" borderId="21" xfId="229" applyNumberFormat="1" applyFont="1" applyBorder="1" applyAlignment="1">
      <alignment horizontal="center" vertical="center"/>
    </xf>
    <xf numFmtId="3" fontId="41" fillId="0" borderId="20" xfId="229" applyNumberFormat="1" applyFont="1" applyBorder="1" applyAlignment="1">
      <alignment horizontal="center" vertical="center"/>
    </xf>
    <xf numFmtId="3" fontId="41" fillId="0" borderId="255" xfId="229" applyNumberFormat="1" applyFont="1" applyBorder="1" applyAlignment="1">
      <alignment horizontal="center" vertical="center"/>
    </xf>
    <xf numFmtId="167" fontId="41" fillId="0" borderId="187" xfId="197" applyNumberFormat="1" applyFont="1" applyBorder="1" applyAlignment="1">
      <alignment horizontal="center" vertical="center"/>
    </xf>
    <xf numFmtId="3" fontId="41" fillId="0" borderId="253" xfId="229" applyNumberFormat="1" applyFont="1" applyBorder="1" applyAlignment="1">
      <alignment horizontal="center" vertical="center"/>
    </xf>
    <xf numFmtId="3" fontId="41" fillId="0" borderId="79" xfId="229" applyNumberFormat="1" applyFont="1" applyBorder="1" applyAlignment="1">
      <alignment horizontal="center" vertical="center"/>
    </xf>
    <xf numFmtId="3" fontId="41" fillId="0" borderId="254" xfId="229" applyNumberFormat="1" applyFont="1" applyBorder="1" applyAlignment="1">
      <alignment horizontal="center" vertical="center"/>
    </xf>
    <xf numFmtId="3" fontId="113" fillId="20" borderId="207" xfId="229" applyNumberFormat="1" applyFont="1" applyFill="1" applyBorder="1" applyAlignment="1">
      <alignment horizontal="center" vertical="center"/>
    </xf>
    <xf numFmtId="3" fontId="113" fillId="20" borderId="162" xfId="229" applyNumberFormat="1" applyFont="1" applyFill="1" applyBorder="1" applyAlignment="1">
      <alignment horizontal="center" vertical="center"/>
    </xf>
    <xf numFmtId="3" fontId="113" fillId="20" borderId="209" xfId="229" applyNumberFormat="1" applyFont="1" applyFill="1" applyBorder="1" applyAlignment="1">
      <alignment horizontal="center" vertical="center"/>
    </xf>
    <xf numFmtId="0" fontId="255" fillId="0" borderId="0" xfId="229" applyFont="1" applyBorder="1" applyAlignment="1">
      <alignment horizontal="left" vertical="center"/>
    </xf>
    <xf numFmtId="0" fontId="37" fillId="0" borderId="0" xfId="0" applyFont="1" applyBorder="1" applyAlignment="1">
      <alignment horizontal="center"/>
    </xf>
    <xf numFmtId="3" fontId="41" fillId="0" borderId="29" xfId="229" applyNumberFormat="1" applyFont="1" applyBorder="1" applyAlignment="1">
      <alignment horizontal="right" vertical="center" indent="1"/>
    </xf>
    <xf numFmtId="3" fontId="41" fillId="0" borderId="30" xfId="229" applyNumberFormat="1" applyFont="1" applyBorder="1" applyAlignment="1">
      <alignment horizontal="right" vertical="center" indent="1"/>
    </xf>
    <xf numFmtId="3" fontId="41" fillId="0" borderId="27" xfId="229" applyNumberFormat="1" applyFont="1" applyBorder="1" applyAlignment="1">
      <alignment horizontal="right" vertical="center" indent="1"/>
    </xf>
    <xf numFmtId="3" fontId="41" fillId="0" borderId="19" xfId="229" applyNumberFormat="1" applyFont="1" applyBorder="1" applyAlignment="1">
      <alignment horizontal="right" vertical="center" indent="1"/>
    </xf>
    <xf numFmtId="3" fontId="41" fillId="0" borderId="17" xfId="229" applyNumberFormat="1" applyFont="1" applyBorder="1" applyAlignment="1">
      <alignment horizontal="right" vertical="center" indent="1"/>
    </xf>
    <xf numFmtId="3" fontId="41" fillId="0" borderId="18" xfId="229" applyNumberFormat="1" applyFont="1" applyBorder="1" applyAlignment="1">
      <alignment horizontal="right" vertical="center" indent="1"/>
    </xf>
    <xf numFmtId="3" fontId="42" fillId="20" borderId="21" xfId="229" applyNumberFormat="1" applyFont="1" applyFill="1" applyBorder="1" applyAlignment="1">
      <alignment horizontal="right" vertical="center" indent="1"/>
    </xf>
    <xf numFmtId="3" fontId="42" fillId="20" borderId="20" xfId="229" applyNumberFormat="1" applyFont="1" applyFill="1" applyBorder="1" applyAlignment="1">
      <alignment horizontal="right" vertical="center" indent="1"/>
    </xf>
    <xf numFmtId="3" fontId="42" fillId="20" borderId="255" xfId="229" applyNumberFormat="1" applyFont="1" applyFill="1" applyBorder="1" applyAlignment="1">
      <alignment horizontal="right" vertical="center" indent="1"/>
    </xf>
    <xf numFmtId="0" fontId="42" fillId="0" borderId="0" xfId="229" applyFont="1" applyAlignment="1">
      <alignment horizontal="center" vertical="center"/>
    </xf>
    <xf numFmtId="3" fontId="41" fillId="0" borderId="0" xfId="229" applyNumberFormat="1" applyFont="1" applyBorder="1" applyAlignment="1">
      <alignment horizontal="right" vertical="center" indent="1"/>
    </xf>
    <xf numFmtId="3" fontId="41" fillId="0" borderId="208" xfId="229" applyNumberFormat="1" applyFont="1" applyBorder="1" applyAlignment="1">
      <alignment horizontal="right" vertical="center" indent="1"/>
    </xf>
    <xf numFmtId="0" fontId="87" fillId="0" borderId="0" xfId="0" applyFont="1" applyBorder="1" applyAlignment="1">
      <alignment vertical="center"/>
    </xf>
    <xf numFmtId="168" fontId="42" fillId="20" borderId="120" xfId="176" applyNumberFormat="1" applyFont="1" applyFill="1" applyBorder="1" applyAlignment="1">
      <alignment horizontal="right" vertical="center" indent="1"/>
    </xf>
    <xf numFmtId="0" fontId="54" fillId="0" borderId="281" xfId="173" applyFont="1" applyBorder="1" applyAlignment="1">
      <alignment vertical="center" wrapText="1"/>
    </xf>
    <xf numFmtId="0" fontId="54" fillId="0" borderId="246" xfId="173" applyFont="1" applyBorder="1" applyAlignment="1">
      <alignment vertical="center" wrapText="1"/>
    </xf>
    <xf numFmtId="0" fontId="54" fillId="0" borderId="282" xfId="173" applyFont="1" applyBorder="1" applyAlignment="1">
      <alignment vertical="center" wrapText="1"/>
    </xf>
    <xf numFmtId="0" fontId="54" fillId="0" borderId="283" xfId="173" applyFont="1" applyBorder="1" applyAlignment="1">
      <alignment vertical="center" wrapText="1"/>
    </xf>
    <xf numFmtId="0" fontId="54" fillId="0" borderId="232" xfId="173" applyFont="1" applyBorder="1" applyAlignment="1">
      <alignment vertical="center" wrapText="1"/>
    </xf>
    <xf numFmtId="0" fontId="54" fillId="0" borderId="246" xfId="817" applyFont="1" applyBorder="1" applyAlignment="1">
      <alignment vertical="center" wrapText="1"/>
    </xf>
    <xf numFmtId="0" fontId="106" fillId="22" borderId="284" xfId="173" applyFont="1" applyFill="1" applyBorder="1" applyAlignment="1">
      <alignment horizontal="center" vertical="center" wrapText="1"/>
    </xf>
    <xf numFmtId="0" fontId="54" fillId="0" borderId="285" xfId="173" applyFont="1" applyBorder="1" applyAlignment="1">
      <alignment vertical="center" wrapText="1"/>
    </xf>
    <xf numFmtId="0" fontId="54" fillId="0" borderId="286" xfId="173" applyFont="1" applyBorder="1" applyAlignment="1">
      <alignment vertical="center" wrapText="1"/>
    </xf>
    <xf numFmtId="0" fontId="54" fillId="0" borderId="287" xfId="173" applyFont="1" applyBorder="1" applyAlignment="1">
      <alignment vertical="center" wrapText="1"/>
    </xf>
    <xf numFmtId="0" fontId="105" fillId="22" borderId="284" xfId="173" applyFont="1" applyFill="1" applyBorder="1" applyAlignment="1">
      <alignment horizontal="center" vertical="center" wrapText="1"/>
    </xf>
    <xf numFmtId="0" fontId="110" fillId="22" borderId="284" xfId="173" applyFont="1" applyFill="1" applyBorder="1" applyAlignment="1">
      <alignment horizontal="center" vertical="center" wrapText="1"/>
    </xf>
    <xf numFmtId="0" fontId="54" fillId="0" borderId="283" xfId="818" applyFont="1" applyBorder="1" applyAlignment="1">
      <alignment vertical="center" wrapText="1"/>
    </xf>
    <xf numFmtId="0" fontId="54" fillId="0" borderId="286" xfId="818" applyFont="1" applyBorder="1" applyAlignment="1">
      <alignment vertical="center" wrapText="1"/>
    </xf>
    <xf numFmtId="0" fontId="54" fillId="0" borderId="287" xfId="818" applyFont="1" applyBorder="1" applyAlignment="1">
      <alignment vertical="center" wrapText="1"/>
    </xf>
    <xf numFmtId="0" fontId="108" fillId="22" borderId="284" xfId="173" applyFont="1" applyFill="1" applyBorder="1" applyAlignment="1">
      <alignment horizontal="center" vertical="center" wrapText="1"/>
    </xf>
    <xf numFmtId="0" fontId="113" fillId="22" borderId="284" xfId="173" applyFont="1" applyFill="1" applyBorder="1" applyAlignment="1">
      <alignment horizontal="center" vertical="center" wrapText="1"/>
    </xf>
    <xf numFmtId="0" fontId="79" fillId="20" borderId="284" xfId="173" applyFont="1" applyFill="1" applyBorder="1" applyAlignment="1">
      <alignment horizontal="center" vertical="center" wrapText="1"/>
    </xf>
    <xf numFmtId="0" fontId="54" fillId="0" borderId="288" xfId="173" applyFont="1" applyBorder="1" applyAlignment="1">
      <alignment vertical="center" wrapText="1"/>
    </xf>
    <xf numFmtId="0" fontId="54" fillId="0" borderId="286" xfId="817" applyFont="1" applyBorder="1" applyAlignment="1">
      <alignment vertical="center" wrapText="1"/>
    </xf>
    <xf numFmtId="0" fontId="54" fillId="0" borderId="287" xfId="173" applyFont="1" applyBorder="1" applyAlignment="1">
      <alignment horizontal="left" vertical="center" wrapText="1"/>
    </xf>
    <xf numFmtId="0" fontId="2" fillId="0" borderId="0" xfId="0" applyFont="1" applyAlignment="1">
      <alignment horizontal="center" vertical="center" wrapText="1"/>
    </xf>
    <xf numFmtId="0" fontId="200" fillId="0" borderId="0" xfId="142" applyFont="1" applyAlignment="1"/>
    <xf numFmtId="0" fontId="2" fillId="0" borderId="0" xfId="142" applyFont="1" applyAlignment="1"/>
    <xf numFmtId="0" fontId="0" fillId="0" borderId="0" xfId="0"/>
    <xf numFmtId="0" fontId="39" fillId="0" borderId="16" xfId="0" applyFont="1" applyBorder="1" applyAlignment="1">
      <alignment horizontal="center" vertical="center" wrapText="1"/>
    </xf>
    <xf numFmtId="0" fontId="42" fillId="0" borderId="16" xfId="167" applyFont="1" applyFill="1" applyBorder="1" applyAlignment="1">
      <alignment horizontal="center" vertical="center" wrapText="1"/>
    </xf>
    <xf numFmtId="0" fontId="23" fillId="0" borderId="16" xfId="0" applyFont="1" applyBorder="1" applyAlignment="1">
      <alignment horizontal="center" vertical="center" wrapText="1"/>
    </xf>
    <xf numFmtId="0" fontId="37" fillId="0" borderId="16"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37" fillId="0" borderId="268" xfId="0" applyFont="1" applyFill="1" applyBorder="1" applyAlignment="1">
      <alignment horizontal="center" vertical="center" wrapText="1"/>
    </xf>
    <xf numFmtId="0" fontId="0" fillId="0" borderId="268" xfId="0" applyFont="1" applyFill="1" applyBorder="1" applyAlignment="1">
      <alignment horizontal="center" vertical="center" wrapText="1"/>
    </xf>
    <xf numFmtId="0" fontId="3" fillId="0" borderId="0" xfId="0" applyFont="1" applyAlignment="1">
      <alignment vertical="center" wrapText="1"/>
    </xf>
    <xf numFmtId="0" fontId="55" fillId="0" borderId="0" xfId="0" applyFont="1" applyAlignment="1">
      <alignment horizontal="center" vertical="center"/>
    </xf>
    <xf numFmtId="0" fontId="17" fillId="0" borderId="0" xfId="0" applyFont="1" applyAlignment="1"/>
    <xf numFmtId="0" fontId="129" fillId="0" borderId="0" xfId="0" applyFont="1" applyAlignment="1">
      <alignment vertical="center"/>
    </xf>
    <xf numFmtId="0" fontId="39" fillId="20" borderId="23" xfId="0" applyFont="1" applyFill="1" applyBorder="1" applyAlignment="1">
      <alignment horizontal="center" vertical="center"/>
    </xf>
    <xf numFmtId="3" fontId="39" fillId="20" borderId="23" xfId="0" applyNumberFormat="1" applyFont="1" applyFill="1" applyBorder="1" applyAlignment="1">
      <alignment horizontal="center" vertical="center"/>
    </xf>
    <xf numFmtId="168" fontId="37" fillId="0" borderId="275" xfId="176" applyNumberFormat="1" applyFont="1" applyFill="1" applyBorder="1" applyAlignment="1">
      <alignment horizontal="center" vertical="center"/>
    </xf>
    <xf numFmtId="168" fontId="37" fillId="0" borderId="274" xfId="176" applyNumberFormat="1" applyFont="1" applyFill="1" applyBorder="1" applyAlignment="1">
      <alignment horizontal="center" vertical="center"/>
    </xf>
    <xf numFmtId="168" fontId="37" fillId="0" borderId="276" xfId="176" applyNumberFormat="1" applyFont="1" applyFill="1" applyBorder="1" applyAlignment="1">
      <alignment horizontal="center" vertical="center"/>
    </xf>
    <xf numFmtId="168" fontId="37" fillId="0" borderId="271" xfId="176" applyNumberFormat="1" applyFont="1" applyFill="1" applyBorder="1" applyAlignment="1">
      <alignment horizontal="center" vertical="center"/>
    </xf>
    <xf numFmtId="168" fontId="37" fillId="0" borderId="260" xfId="176" applyNumberFormat="1" applyFill="1" applyBorder="1" applyAlignment="1">
      <alignment horizontal="center" vertical="center"/>
    </xf>
    <xf numFmtId="168" fontId="37" fillId="0" borderId="180" xfId="176" applyNumberFormat="1" applyFill="1" applyBorder="1" applyAlignment="1">
      <alignment horizontal="center" vertical="center"/>
    </xf>
    <xf numFmtId="168" fontId="39" fillId="0" borderId="180" xfId="176" applyNumberFormat="1" applyFont="1" applyFill="1" applyBorder="1" applyAlignment="1">
      <alignment horizontal="center" vertical="center"/>
    </xf>
    <xf numFmtId="168" fontId="37" fillId="0" borderId="179" xfId="176" applyNumberFormat="1" applyFill="1" applyBorder="1" applyAlignment="1">
      <alignment horizontal="center" vertical="center"/>
    </xf>
    <xf numFmtId="168" fontId="37" fillId="0" borderId="179" xfId="176" applyNumberFormat="1" applyFont="1" applyFill="1" applyBorder="1" applyAlignment="1">
      <alignment horizontal="center" vertical="center"/>
    </xf>
    <xf numFmtId="168" fontId="37" fillId="0" borderId="180" xfId="176" applyNumberFormat="1" applyFont="1" applyFill="1" applyBorder="1" applyAlignment="1">
      <alignment horizontal="center" vertical="center"/>
    </xf>
    <xf numFmtId="168" fontId="39" fillId="0" borderId="190" xfId="176" applyNumberFormat="1" applyFont="1" applyFill="1" applyBorder="1" applyAlignment="1">
      <alignment horizontal="center" vertical="center"/>
    </xf>
    <xf numFmtId="168" fontId="39" fillId="20" borderId="289" xfId="176" applyNumberFormat="1" applyFont="1" applyFill="1" applyBorder="1" applyAlignment="1">
      <alignment horizontal="center" vertical="center"/>
    </xf>
    <xf numFmtId="171" fontId="54" fillId="0" borderId="263" xfId="441" applyNumberFormat="1" applyFont="1" applyBorder="1" applyAlignment="1">
      <alignment horizontal="center" vertical="center"/>
    </xf>
    <xf numFmtId="171" fontId="54" fillId="0" borderId="18" xfId="441" applyNumberFormat="1" applyFont="1" applyBorder="1" applyAlignment="1">
      <alignment horizontal="center" vertical="center"/>
    </xf>
    <xf numFmtId="171" fontId="79" fillId="0" borderId="18" xfId="441" applyNumberFormat="1" applyFont="1" applyBorder="1" applyAlignment="1">
      <alignment horizontal="center" vertical="center"/>
    </xf>
    <xf numFmtId="171" fontId="79" fillId="20" borderId="255" xfId="441" applyNumberFormat="1" applyFont="1" applyFill="1" applyBorder="1" applyAlignment="1">
      <alignment horizontal="center" vertical="center"/>
    </xf>
    <xf numFmtId="171" fontId="54" fillId="0" borderId="27" xfId="441" applyNumberFormat="1" applyFont="1" applyBorder="1" applyAlignment="1">
      <alignment horizontal="center" vertical="center"/>
    </xf>
    <xf numFmtId="171" fontId="0" fillId="0" borderId="27" xfId="0" applyNumberFormat="1" applyFont="1" applyBorder="1" applyAlignment="1">
      <alignment horizontal="center" vertical="center"/>
    </xf>
    <xf numFmtId="171" fontId="39" fillId="0" borderId="18" xfId="0" applyNumberFormat="1" applyFont="1" applyBorder="1" applyAlignment="1">
      <alignment horizontal="center" vertical="center"/>
    </xf>
    <xf numFmtId="171" fontId="0" fillId="0" borderId="18" xfId="0" applyNumberFormat="1" applyFont="1" applyBorder="1" applyAlignment="1">
      <alignment horizontal="center" vertical="center"/>
    </xf>
    <xf numFmtId="171" fontId="39" fillId="20" borderId="255" xfId="0" applyNumberFormat="1" applyFont="1" applyFill="1" applyBorder="1" applyAlignment="1">
      <alignment horizontal="center" vertical="center"/>
    </xf>
    <xf numFmtId="0" fontId="37" fillId="0" borderId="17" xfId="0" applyFont="1" applyBorder="1" applyAlignment="1">
      <alignment vertical="center"/>
    </xf>
    <xf numFmtId="0" fontId="54" fillId="0" borderId="200" xfId="239" applyFont="1" applyBorder="1" applyAlignment="1">
      <alignment vertical="center"/>
    </xf>
    <xf numFmtId="168" fontId="37" fillId="0" borderId="262" xfId="176" applyNumberFormat="1" applyFont="1" applyBorder="1" applyAlignment="1">
      <alignment horizontal="center" vertical="center"/>
    </xf>
    <xf numFmtId="168" fontId="54" fillId="0" borderId="200" xfId="453" applyNumberFormat="1" applyFont="1" applyBorder="1" applyAlignment="1">
      <alignment vertical="center"/>
    </xf>
    <xf numFmtId="168" fontId="37" fillId="0" borderId="263" xfId="176" applyNumberFormat="1" applyFont="1" applyBorder="1" applyAlignment="1">
      <alignment horizontal="center" vertical="center"/>
    </xf>
    <xf numFmtId="0" fontId="54" fillId="0" borderId="22" xfId="453" applyFont="1" applyBorder="1" applyAlignment="1">
      <alignment vertical="center"/>
    </xf>
    <xf numFmtId="168" fontId="54" fillId="0" borderId="17" xfId="453" applyNumberFormat="1" applyFont="1" applyBorder="1" applyAlignment="1">
      <alignment vertical="center"/>
    </xf>
    <xf numFmtId="168" fontId="37" fillId="0" borderId="17" xfId="176" applyNumberFormat="1" applyFont="1" applyBorder="1" applyAlignment="1">
      <alignment horizontal="center" vertical="center"/>
    </xf>
    <xf numFmtId="168" fontId="54" fillId="0" borderId="22" xfId="453" applyNumberFormat="1" applyFont="1" applyBorder="1" applyAlignment="1">
      <alignment vertical="center"/>
    </xf>
    <xf numFmtId="168" fontId="37" fillId="0" borderId="18" xfId="176" applyNumberFormat="1" applyFont="1" applyBorder="1" applyAlignment="1">
      <alignment horizontal="center" vertical="center"/>
    </xf>
    <xf numFmtId="168" fontId="54" fillId="0" borderId="17" xfId="453" applyNumberFormat="1" applyFont="1" applyBorder="1" applyAlignment="1">
      <alignment horizontal="center" vertical="center"/>
    </xf>
    <xf numFmtId="168" fontId="39" fillId="0" borderId="17" xfId="176" applyNumberFormat="1" applyFont="1" applyBorder="1" applyAlignment="1">
      <alignment horizontal="center" vertical="center"/>
    </xf>
    <xf numFmtId="0" fontId="79" fillId="0" borderId="22" xfId="453" applyFont="1" applyBorder="1" applyAlignment="1">
      <alignment horizontal="center" vertical="center"/>
    </xf>
    <xf numFmtId="168" fontId="39" fillId="0" borderId="18" xfId="176" applyNumberFormat="1" applyFont="1" applyBorder="1" applyAlignment="1">
      <alignment horizontal="center" vertical="center"/>
    </xf>
    <xf numFmtId="0" fontId="54" fillId="0" borderId="22" xfId="239" applyFont="1" applyBorder="1" applyAlignment="1">
      <alignment vertical="center"/>
    </xf>
    <xf numFmtId="168" fontId="37" fillId="0" borderId="17" xfId="0" applyNumberFormat="1" applyFont="1" applyBorder="1" applyAlignment="1">
      <alignment vertical="center"/>
    </xf>
    <xf numFmtId="0" fontId="54" fillId="0" borderId="22" xfId="453" applyFont="1" applyBorder="1" applyAlignment="1">
      <alignment vertical="center" wrapText="1"/>
    </xf>
    <xf numFmtId="0" fontId="37" fillId="0" borderId="22" xfId="0" applyFont="1" applyBorder="1" applyAlignment="1">
      <alignment vertical="center" wrapText="1"/>
    </xf>
    <xf numFmtId="0" fontId="79" fillId="20" borderId="21" xfId="453" applyFont="1" applyFill="1" applyBorder="1" applyAlignment="1">
      <alignment horizontal="center" vertical="center"/>
    </xf>
    <xf numFmtId="168" fontId="42" fillId="20" borderId="23" xfId="228" applyNumberFormat="1" applyFont="1" applyFill="1" applyBorder="1" applyAlignment="1">
      <alignment horizontal="center" vertical="center"/>
    </xf>
    <xf numFmtId="168" fontId="39" fillId="20" borderId="20" xfId="176" applyNumberFormat="1" applyFont="1" applyFill="1" applyBorder="1" applyAlignment="1">
      <alignment horizontal="center" vertical="center"/>
    </xf>
    <xf numFmtId="168" fontId="39" fillId="20" borderId="255" xfId="176" applyNumberFormat="1" applyFont="1" applyFill="1" applyBorder="1" applyAlignment="1">
      <alignment horizontal="center" vertical="center"/>
    </xf>
    <xf numFmtId="0" fontId="54" fillId="0" borderId="29" xfId="453" applyFont="1" applyBorder="1" applyAlignment="1">
      <alignment vertical="center"/>
    </xf>
    <xf numFmtId="168" fontId="41" fillId="0" borderId="28" xfId="228" applyNumberFormat="1" applyFont="1" applyBorder="1" applyAlignment="1">
      <alignment horizontal="center" vertical="center"/>
    </xf>
    <xf numFmtId="168" fontId="37" fillId="0" borderId="30" xfId="176" applyNumberFormat="1" applyFont="1" applyBorder="1" applyAlignment="1">
      <alignment horizontal="center" vertical="center"/>
    </xf>
    <xf numFmtId="168" fontId="37" fillId="0" borderId="27" xfId="176" applyNumberFormat="1" applyFont="1" applyBorder="1" applyAlignment="1">
      <alignment horizontal="center" vertical="center"/>
    </xf>
    <xf numFmtId="0" fontId="54" fillId="0" borderId="19" xfId="453" applyFont="1" applyBorder="1" applyAlignment="1">
      <alignment vertical="center"/>
    </xf>
    <xf numFmtId="168" fontId="41" fillId="0" borderId="22" xfId="228" applyNumberFormat="1" applyFont="1" applyBorder="1" applyAlignment="1">
      <alignment horizontal="center" vertical="center"/>
    </xf>
    <xf numFmtId="0" fontId="41" fillId="0" borderId="19" xfId="227" applyFont="1" applyBorder="1" applyAlignment="1">
      <alignment vertical="center"/>
    </xf>
    <xf numFmtId="0" fontId="79" fillId="0" borderId="19" xfId="453" applyFont="1" applyBorder="1" applyAlignment="1">
      <alignment horizontal="center" vertical="center"/>
    </xf>
    <xf numFmtId="168" fontId="42" fillId="0" borderId="22" xfId="228" applyNumberFormat="1" applyFont="1" applyBorder="1" applyAlignment="1">
      <alignment horizontal="center" vertical="center"/>
    </xf>
    <xf numFmtId="0" fontId="54" fillId="0" borderId="19" xfId="173" applyFont="1" applyBorder="1" applyAlignment="1">
      <alignment vertical="center"/>
    </xf>
    <xf numFmtId="0" fontId="54" fillId="0" borderId="19" xfId="239" applyFont="1" applyBorder="1" applyAlignment="1">
      <alignment vertical="center"/>
    </xf>
    <xf numFmtId="168" fontId="37" fillId="0" borderId="22" xfId="0" applyNumberFormat="1" applyFont="1" applyBorder="1" applyAlignment="1">
      <alignment vertical="center"/>
    </xf>
    <xf numFmtId="0" fontId="54" fillId="0" borderId="29" xfId="239" applyFont="1" applyBorder="1" applyAlignment="1">
      <alignment vertical="center"/>
    </xf>
    <xf numFmtId="168" fontId="54" fillId="0" borderId="28" xfId="453" applyNumberFormat="1" applyFont="1" applyBorder="1" applyAlignment="1">
      <alignment vertical="center"/>
    </xf>
    <xf numFmtId="168" fontId="37" fillId="0" borderId="30" xfId="0" applyNumberFormat="1" applyFont="1" applyBorder="1" applyAlignment="1">
      <alignment horizontal="center" vertical="center"/>
    </xf>
    <xf numFmtId="168" fontId="37" fillId="0" borderId="17" xfId="0" applyNumberFormat="1" applyFont="1" applyBorder="1" applyAlignment="1">
      <alignment horizontal="center" vertical="center"/>
    </xf>
    <xf numFmtId="0" fontId="79" fillId="0" borderId="26" xfId="453" applyFont="1" applyBorder="1" applyAlignment="1">
      <alignment horizontal="center" vertical="center"/>
    </xf>
    <xf numFmtId="168" fontId="54" fillId="0" borderId="25" xfId="453" applyNumberFormat="1" applyFont="1" applyBorder="1" applyAlignment="1">
      <alignment vertical="center"/>
    </xf>
    <xf numFmtId="168" fontId="54" fillId="0" borderId="31" xfId="453" applyNumberFormat="1" applyFont="1" applyBorder="1" applyAlignment="1">
      <alignment horizontal="center" vertical="center"/>
    </xf>
    <xf numFmtId="168" fontId="54" fillId="0" borderId="31" xfId="453" applyNumberFormat="1" applyFont="1" applyBorder="1" applyAlignment="1">
      <alignment vertical="center"/>
    </xf>
    <xf numFmtId="168" fontId="39" fillId="0" borderId="31" xfId="176" applyNumberFormat="1" applyFont="1" applyBorder="1" applyAlignment="1">
      <alignment horizontal="center" vertical="center"/>
    </xf>
    <xf numFmtId="168" fontId="39" fillId="0" borderId="24" xfId="176" applyNumberFormat="1" applyFont="1" applyBorder="1" applyAlignment="1">
      <alignment horizontal="center" vertical="center"/>
    </xf>
    <xf numFmtId="0" fontId="79" fillId="20" borderId="207" xfId="453" applyFont="1" applyFill="1" applyBorder="1" applyAlignment="1">
      <alignment horizontal="center" vertical="center"/>
    </xf>
    <xf numFmtId="168" fontId="42" fillId="20" borderId="208" xfId="228" applyNumberFormat="1" applyFont="1" applyFill="1" applyBorder="1" applyAlignment="1">
      <alignment horizontal="center" vertical="center"/>
    </xf>
    <xf numFmtId="168" fontId="39" fillId="20" borderId="162" xfId="176" applyNumberFormat="1" applyFont="1" applyFill="1" applyBorder="1" applyAlignment="1">
      <alignment horizontal="center" vertical="center"/>
    </xf>
    <xf numFmtId="168" fontId="39" fillId="20" borderId="209" xfId="176" applyNumberFormat="1" applyFont="1" applyFill="1" applyBorder="1" applyAlignment="1">
      <alignment horizontal="center" vertical="center"/>
    </xf>
    <xf numFmtId="0" fontId="79" fillId="20" borderId="208" xfId="453" applyFont="1" applyFill="1" applyBorder="1" applyAlignment="1">
      <alignment horizontal="center" vertical="center"/>
    </xf>
    <xf numFmtId="0" fontId="54" fillId="0" borderId="200" xfId="452" applyFont="1" applyBorder="1" applyAlignment="1">
      <alignment vertical="center"/>
    </xf>
    <xf numFmtId="168" fontId="37" fillId="0" borderId="200" xfId="176" applyNumberFormat="1" applyFont="1" applyBorder="1" applyAlignment="1">
      <alignment horizontal="center" vertical="center"/>
    </xf>
    <xf numFmtId="0" fontId="54" fillId="0" borderId="22" xfId="428" applyFont="1" applyBorder="1" applyAlignment="1">
      <alignment vertical="center"/>
    </xf>
    <xf numFmtId="168" fontId="37" fillId="0" borderId="19" xfId="176" applyNumberFormat="1" applyFont="1" applyBorder="1" applyAlignment="1">
      <alignment horizontal="center" vertical="center"/>
    </xf>
    <xf numFmtId="168" fontId="37" fillId="0" borderId="22" xfId="176" applyNumberFormat="1" applyFont="1" applyBorder="1" applyAlignment="1">
      <alignment horizontal="center" vertical="center"/>
    </xf>
    <xf numFmtId="0" fontId="79" fillId="0" borderId="22" xfId="452" applyFont="1" applyBorder="1" applyAlignment="1">
      <alignment horizontal="center" vertical="center"/>
    </xf>
    <xf numFmtId="0" fontId="37" fillId="0" borderId="22" xfId="0" applyFont="1" applyBorder="1" applyAlignment="1">
      <alignment vertical="center"/>
    </xf>
    <xf numFmtId="168" fontId="39" fillId="0" borderId="19" xfId="176" applyNumberFormat="1" applyFont="1" applyBorder="1" applyAlignment="1">
      <alignment horizontal="center" vertical="center"/>
    </xf>
    <xf numFmtId="0" fontId="54" fillId="0" borderId="22" xfId="452" applyFont="1" applyBorder="1" applyAlignment="1">
      <alignment vertical="center"/>
    </xf>
    <xf numFmtId="0" fontId="79" fillId="20" borderId="23" xfId="452" applyFont="1" applyFill="1" applyBorder="1" applyAlignment="1">
      <alignment horizontal="center" vertical="center"/>
    </xf>
    <xf numFmtId="0" fontId="54" fillId="0" borderId="28" xfId="452" applyFont="1" applyBorder="1" applyAlignment="1">
      <alignment vertical="center"/>
    </xf>
    <xf numFmtId="168" fontId="37" fillId="0" borderId="28" xfId="176" applyNumberFormat="1" applyFont="1" applyBorder="1" applyAlignment="1">
      <alignment horizontal="center" vertical="center"/>
    </xf>
    <xf numFmtId="0" fontId="54" fillId="0" borderId="19" xfId="452" applyFont="1" applyBorder="1" applyAlignment="1">
      <alignment vertical="center"/>
    </xf>
    <xf numFmtId="168" fontId="41" fillId="0" borderId="19" xfId="228" applyNumberFormat="1" applyFont="1" applyBorder="1" applyAlignment="1">
      <alignment horizontal="center" vertical="center"/>
    </xf>
    <xf numFmtId="0" fontId="79" fillId="0" borderId="19" xfId="452" applyFont="1" applyBorder="1" applyAlignment="1">
      <alignment horizontal="center" vertical="center"/>
    </xf>
    <xf numFmtId="0" fontId="37" fillId="0" borderId="19" xfId="0" applyFont="1" applyBorder="1" applyAlignment="1">
      <alignment vertical="center"/>
    </xf>
    <xf numFmtId="0" fontId="54" fillId="0" borderId="28" xfId="428" applyFont="1" applyBorder="1" applyAlignment="1">
      <alignment vertical="center"/>
    </xf>
    <xf numFmtId="168" fontId="37" fillId="0" borderId="30" xfId="0" applyNumberFormat="1" applyFont="1" applyBorder="1" applyAlignment="1">
      <alignment vertical="center"/>
    </xf>
    <xf numFmtId="168" fontId="37" fillId="0" borderId="29" xfId="176" applyNumberFormat="1" applyFont="1" applyBorder="1" applyAlignment="1">
      <alignment horizontal="center" vertical="center"/>
    </xf>
    <xf numFmtId="168" fontId="39" fillId="0" borderId="30" xfId="176" applyNumberFormat="1" applyFont="1" applyBorder="1" applyAlignment="1">
      <alignment horizontal="center" vertical="center"/>
    </xf>
    <xf numFmtId="0" fontId="79" fillId="0" borderId="22" xfId="428" applyFont="1" applyBorder="1" applyAlignment="1">
      <alignment horizontal="center" vertical="center"/>
    </xf>
    <xf numFmtId="0" fontId="54" fillId="0" borderId="28" xfId="451" applyFont="1" applyBorder="1" applyAlignment="1">
      <alignment vertical="center"/>
    </xf>
    <xf numFmtId="0" fontId="79" fillId="0" borderId="22" xfId="451" applyFont="1" applyBorder="1" applyAlignment="1">
      <alignment horizontal="center" vertical="center"/>
    </xf>
    <xf numFmtId="0" fontId="54" fillId="0" borderId="22" xfId="451" applyFont="1" applyBorder="1" applyAlignment="1">
      <alignment vertical="center"/>
    </xf>
    <xf numFmtId="0" fontId="79" fillId="0" borderId="25" xfId="451" applyFont="1" applyBorder="1" applyAlignment="1">
      <alignment horizontal="center" vertical="center"/>
    </xf>
    <xf numFmtId="0" fontId="79" fillId="20" borderId="208" xfId="452" applyFont="1" applyFill="1" applyBorder="1" applyAlignment="1">
      <alignment horizontal="center" vertical="center"/>
    </xf>
    <xf numFmtId="0" fontId="42" fillId="0" borderId="16" xfId="238" applyFont="1" applyFill="1" applyBorder="1" applyAlignment="1">
      <alignment horizontal="center" vertical="center"/>
    </xf>
    <xf numFmtId="0" fontId="54" fillId="0" borderId="200" xfId="455" applyFont="1" applyBorder="1" applyAlignment="1">
      <alignment horizontal="left" vertical="center"/>
    </xf>
    <xf numFmtId="171" fontId="37" fillId="0" borderId="262" xfId="0" applyNumberFormat="1" applyFont="1" applyBorder="1" applyAlignment="1">
      <alignment horizontal="center"/>
    </xf>
    <xf numFmtId="171" fontId="37" fillId="0" borderId="200" xfId="0" applyNumberFormat="1" applyFont="1" applyBorder="1" applyAlignment="1">
      <alignment horizontal="center"/>
    </xf>
    <xf numFmtId="171" fontId="54" fillId="0" borderId="262" xfId="0" applyNumberFormat="1" applyFont="1" applyBorder="1" applyAlignment="1">
      <alignment horizontal="center" vertical="top"/>
    </xf>
    <xf numFmtId="171" fontId="54" fillId="0" borderId="200" xfId="238" applyNumberFormat="1" applyFont="1" applyBorder="1" applyAlignment="1">
      <alignment horizontal="center" vertical="top"/>
    </xf>
    <xf numFmtId="171" fontId="54" fillId="0" borderId="262" xfId="455" applyNumberFormat="1" applyFont="1" applyBorder="1" applyAlignment="1">
      <alignment horizontal="center" vertical="center"/>
    </xf>
    <xf numFmtId="171" fontId="37" fillId="0" borderId="261" xfId="0" applyNumberFormat="1" applyFont="1" applyBorder="1" applyAlignment="1">
      <alignment horizontal="center" vertical="center"/>
    </xf>
    <xf numFmtId="171" fontId="37" fillId="0" borderId="200" xfId="0" applyNumberFormat="1" applyFont="1" applyBorder="1" applyAlignment="1">
      <alignment horizontal="center" vertical="center"/>
    </xf>
    <xf numFmtId="0" fontId="54" fillId="0" borderId="22" xfId="455" applyFont="1" applyBorder="1" applyAlignment="1">
      <alignment horizontal="left" vertical="center"/>
    </xf>
    <xf numFmtId="171" fontId="37" fillId="0" borderId="17" xfId="0" applyNumberFormat="1" applyFont="1" applyBorder="1" applyAlignment="1">
      <alignment horizontal="center"/>
    </xf>
    <xf numFmtId="171" fontId="37" fillId="0" borderId="22" xfId="0" applyNumberFormat="1" applyFont="1" applyBorder="1" applyAlignment="1">
      <alignment horizontal="center"/>
    </xf>
    <xf numFmtId="171" fontId="54" fillId="0" borderId="17" xfId="0" applyNumberFormat="1" applyFont="1" applyBorder="1" applyAlignment="1">
      <alignment horizontal="center" vertical="top"/>
    </xf>
    <xf numFmtId="171" fontId="54" fillId="0" borderId="22" xfId="238" applyNumberFormat="1" applyFont="1" applyBorder="1" applyAlignment="1">
      <alignment horizontal="center" vertical="top"/>
    </xf>
    <xf numFmtId="171" fontId="54" fillId="0" borderId="17" xfId="455" applyNumberFormat="1" applyFont="1" applyBorder="1" applyAlignment="1">
      <alignment horizontal="center" vertical="center"/>
    </xf>
    <xf numFmtId="171" fontId="37" fillId="0" borderId="19" xfId="0" applyNumberFormat="1" applyFont="1" applyBorder="1"/>
    <xf numFmtId="171" fontId="54" fillId="0" borderId="18" xfId="455" applyNumberFormat="1" applyFont="1" applyBorder="1" applyAlignment="1">
      <alignment horizontal="center" vertical="center"/>
    </xf>
    <xf numFmtId="0" fontId="79" fillId="0" borderId="22" xfId="455" applyFont="1" applyBorder="1" applyAlignment="1">
      <alignment horizontal="center" vertical="center"/>
    </xf>
    <xf numFmtId="171" fontId="39" fillId="0" borderId="17" xfId="0" applyNumberFormat="1" applyFont="1" applyBorder="1" applyAlignment="1">
      <alignment horizontal="center"/>
    </xf>
    <xf numFmtId="171" fontId="39" fillId="0" borderId="22" xfId="0" applyNumberFormat="1" applyFont="1" applyBorder="1" applyAlignment="1">
      <alignment horizontal="center"/>
    </xf>
    <xf numFmtId="171" fontId="79" fillId="0" borderId="17" xfId="0" applyNumberFormat="1" applyFont="1" applyBorder="1" applyAlignment="1">
      <alignment horizontal="center" vertical="top"/>
    </xf>
    <xf numFmtId="171" fontId="79" fillId="0" borderId="22" xfId="238" applyNumberFormat="1" applyFont="1" applyBorder="1" applyAlignment="1">
      <alignment horizontal="center" vertical="top"/>
    </xf>
    <xf numFmtId="171" fontId="79" fillId="0" borderId="17" xfId="455" applyNumberFormat="1" applyFont="1" applyBorder="1" applyAlignment="1">
      <alignment horizontal="center" vertical="center"/>
    </xf>
    <xf numFmtId="171" fontId="37" fillId="0" borderId="19" xfId="0" applyNumberFormat="1" applyFont="1" applyBorder="1" applyAlignment="1">
      <alignment horizontal="center" vertical="center"/>
    </xf>
    <xf numFmtId="171" fontId="37" fillId="0" borderId="22" xfId="0" applyNumberFormat="1" applyFont="1" applyBorder="1" applyAlignment="1">
      <alignment horizontal="center" vertical="center"/>
    </xf>
    <xf numFmtId="0" fontId="37" fillId="0" borderId="22" xfId="0" applyFont="1" applyBorder="1" applyAlignment="1">
      <alignment horizontal="left" vertical="center" wrapText="1"/>
    </xf>
    <xf numFmtId="0" fontId="79" fillId="20" borderId="23" xfId="455" applyFont="1" applyFill="1" applyBorder="1" applyAlignment="1">
      <alignment horizontal="center" vertical="center"/>
    </xf>
    <xf numFmtId="171" fontId="39" fillId="20" borderId="20" xfId="0" applyNumberFormat="1" applyFont="1" applyFill="1" applyBorder="1" applyAlignment="1">
      <alignment horizontal="center"/>
    </xf>
    <xf numFmtId="171" fontId="39" fillId="20" borderId="23" xfId="0" applyNumberFormat="1" applyFont="1" applyFill="1" applyBorder="1" applyAlignment="1">
      <alignment horizontal="center"/>
    </xf>
    <xf numFmtId="171" fontId="79" fillId="20" borderId="20" xfId="173" applyNumberFormat="1" applyFont="1" applyFill="1" applyBorder="1" applyAlignment="1">
      <alignment horizontal="center" vertical="top"/>
    </xf>
    <xf numFmtId="171" fontId="79" fillId="20" borderId="23" xfId="173" applyNumberFormat="1" applyFont="1" applyFill="1" applyBorder="1" applyAlignment="1">
      <alignment horizontal="center" vertical="top"/>
    </xf>
    <xf numFmtId="171" fontId="79" fillId="20" borderId="20" xfId="455" applyNumberFormat="1" applyFont="1" applyFill="1" applyBorder="1" applyAlignment="1">
      <alignment horizontal="center" vertical="center"/>
    </xf>
    <xf numFmtId="0" fontId="54" fillId="0" borderId="28" xfId="455" applyFont="1" applyBorder="1" applyAlignment="1">
      <alignment horizontal="left" vertical="center"/>
    </xf>
    <xf numFmtId="171" fontId="37" fillId="0" borderId="30" xfId="0" applyNumberFormat="1" applyFont="1" applyBorder="1" applyAlignment="1">
      <alignment horizontal="center"/>
    </xf>
    <xf numFmtId="171" fontId="37" fillId="0" borderId="28" xfId="0" applyNumberFormat="1" applyFont="1" applyBorder="1" applyAlignment="1">
      <alignment horizontal="center"/>
    </xf>
    <xf numFmtId="171" fontId="54" fillId="0" borderId="30" xfId="0" applyNumberFormat="1" applyFont="1" applyBorder="1" applyAlignment="1">
      <alignment horizontal="center" vertical="top"/>
    </xf>
    <xf numFmtId="171" fontId="54" fillId="0" borderId="28" xfId="238" applyNumberFormat="1" applyFont="1" applyBorder="1" applyAlignment="1">
      <alignment horizontal="center" vertical="top"/>
    </xf>
    <xf numFmtId="171" fontId="54" fillId="0" borderId="30" xfId="455" applyNumberFormat="1" applyFont="1" applyBorder="1" applyAlignment="1">
      <alignment horizontal="center" vertical="center"/>
    </xf>
    <xf numFmtId="171" fontId="37" fillId="0" borderId="29" xfId="0" applyNumberFormat="1" applyFont="1" applyBorder="1" applyAlignment="1">
      <alignment horizontal="center" vertical="center"/>
    </xf>
    <xf numFmtId="171" fontId="37" fillId="0" borderId="28" xfId="0" applyNumberFormat="1" applyFont="1" applyBorder="1" applyAlignment="1">
      <alignment horizontal="center" vertical="center"/>
    </xf>
    <xf numFmtId="171" fontId="79" fillId="0" borderId="17" xfId="173" applyNumberFormat="1" applyFont="1" applyBorder="1" applyAlignment="1">
      <alignment horizontal="center" vertical="top"/>
    </xf>
    <xf numFmtId="171" fontId="79" fillId="0" borderId="22" xfId="173" applyNumberFormat="1" applyFont="1" applyBorder="1" applyAlignment="1">
      <alignment horizontal="center" vertical="top"/>
    </xf>
    <xf numFmtId="0" fontId="54" fillId="0" borderId="22" xfId="173" applyFont="1" applyBorder="1" applyAlignment="1">
      <alignment horizontal="left" vertical="center"/>
    </xf>
    <xf numFmtId="171" fontId="54" fillId="0" borderId="22" xfId="455" applyNumberFormat="1" applyFont="1" applyBorder="1" applyAlignment="1">
      <alignment horizontal="center" vertical="center"/>
    </xf>
    <xf numFmtId="171" fontId="79" fillId="0" borderId="17" xfId="238" applyNumberFormat="1" applyFont="1" applyBorder="1" applyAlignment="1">
      <alignment horizontal="center" vertical="top"/>
    </xf>
    <xf numFmtId="171" fontId="79" fillId="0" borderId="22" xfId="455" applyNumberFormat="1" applyFont="1" applyBorder="1" applyAlignment="1">
      <alignment horizontal="center" vertical="center"/>
    </xf>
    <xf numFmtId="171" fontId="79" fillId="20" borderId="20" xfId="238" applyNumberFormat="1" applyFont="1" applyFill="1" applyBorder="1" applyAlignment="1">
      <alignment horizontal="center" vertical="top"/>
    </xf>
    <xf numFmtId="171" fontId="37" fillId="0" borderId="30" xfId="0" applyNumberFormat="1" applyFont="1" applyBorder="1"/>
    <xf numFmtId="171" fontId="54" fillId="0" borderId="28" xfId="455" applyNumberFormat="1" applyFont="1" applyBorder="1" applyAlignment="1">
      <alignment horizontal="center" vertical="center"/>
    </xf>
    <xf numFmtId="0" fontId="79" fillId="0" borderId="25" xfId="455" applyFont="1" applyBorder="1" applyAlignment="1">
      <alignment horizontal="center" vertical="center"/>
    </xf>
    <xf numFmtId="171" fontId="37" fillId="0" borderId="31" xfId="0" applyNumberFormat="1" applyFont="1" applyBorder="1"/>
    <xf numFmtId="171" fontId="79" fillId="0" borderId="25" xfId="455" applyNumberFormat="1" applyFont="1" applyBorder="1" applyAlignment="1">
      <alignment horizontal="center" vertical="center"/>
    </xf>
    <xf numFmtId="171" fontId="79" fillId="0" borderId="31" xfId="455" applyNumberFormat="1" applyFont="1" applyBorder="1" applyAlignment="1">
      <alignment horizontal="center" vertical="center"/>
    </xf>
    <xf numFmtId="171" fontId="54" fillId="0" borderId="25" xfId="238" applyNumberFormat="1" applyFont="1" applyBorder="1" applyAlignment="1">
      <alignment horizontal="center" vertical="top"/>
    </xf>
    <xf numFmtId="171" fontId="39" fillId="0" borderId="26" xfId="0" applyNumberFormat="1" applyFont="1" applyBorder="1" applyAlignment="1">
      <alignment horizontal="center" vertical="center"/>
    </xf>
    <xf numFmtId="171" fontId="39" fillId="0" borderId="25" xfId="0" applyNumberFormat="1" applyFont="1" applyBorder="1" applyAlignment="1">
      <alignment horizontal="center" vertical="center"/>
    </xf>
    <xf numFmtId="0" fontId="79" fillId="20" borderId="208" xfId="455" applyFont="1" applyFill="1" applyBorder="1" applyAlignment="1">
      <alignment horizontal="center" vertical="center"/>
    </xf>
    <xf numFmtId="171" fontId="37" fillId="20" borderId="162" xfId="0" applyNumberFormat="1" applyFont="1" applyFill="1" applyBorder="1"/>
    <xf numFmtId="171" fontId="79" fillId="20" borderId="208" xfId="455" applyNumberFormat="1" applyFont="1" applyFill="1" applyBorder="1" applyAlignment="1">
      <alignment horizontal="center" vertical="center"/>
    </xf>
    <xf numFmtId="171" fontId="79" fillId="20" borderId="162" xfId="455" applyNumberFormat="1" applyFont="1" applyFill="1" applyBorder="1" applyAlignment="1">
      <alignment horizontal="center" vertical="center"/>
    </xf>
    <xf numFmtId="171" fontId="79" fillId="20" borderId="208" xfId="173" applyNumberFormat="1" applyFont="1" applyFill="1" applyBorder="1" applyAlignment="1">
      <alignment horizontal="center" vertical="top"/>
    </xf>
    <xf numFmtId="171" fontId="39" fillId="20" borderId="208" xfId="0" applyNumberFormat="1" applyFont="1" applyFill="1" applyBorder="1" applyAlignment="1">
      <alignment horizontal="center" vertical="center"/>
    </xf>
    <xf numFmtId="171" fontId="135" fillId="20" borderId="162" xfId="144" applyNumberFormat="1" applyFont="1" applyFill="1" applyBorder="1" applyAlignment="1">
      <alignment horizontal="center" vertical="center"/>
    </xf>
    <xf numFmtId="171" fontId="79" fillId="20" borderId="162" xfId="173" applyNumberFormat="1" applyFont="1" applyFill="1" applyBorder="1" applyAlignment="1">
      <alignment horizontal="center" vertical="center"/>
    </xf>
    <xf numFmtId="171" fontId="79" fillId="20" borderId="208" xfId="173" applyNumberFormat="1" applyFont="1" applyFill="1" applyBorder="1" applyAlignment="1">
      <alignment horizontal="center" vertical="center"/>
    </xf>
    <xf numFmtId="171" fontId="39" fillId="20" borderId="162" xfId="455" applyNumberFormat="1" applyFont="1" applyFill="1" applyBorder="1" applyAlignment="1">
      <alignment horizontal="center" vertical="center"/>
    </xf>
    <xf numFmtId="171" fontId="37" fillId="0" borderId="263" xfId="0" applyNumberFormat="1" applyFont="1" applyBorder="1" applyAlignment="1">
      <alignment horizontal="center" vertical="center"/>
    </xf>
    <xf numFmtId="171" fontId="37" fillId="0" borderId="18" xfId="0" applyNumberFormat="1" applyFont="1" applyBorder="1" applyAlignment="1">
      <alignment horizontal="center" vertical="center"/>
    </xf>
    <xf numFmtId="171" fontId="37" fillId="0" borderId="27" xfId="0" applyNumberFormat="1" applyFont="1" applyBorder="1" applyAlignment="1">
      <alignment horizontal="center" vertical="center"/>
    </xf>
    <xf numFmtId="171" fontId="39" fillId="0" borderId="24" xfId="0" applyNumberFormat="1" applyFont="1" applyBorder="1" applyAlignment="1">
      <alignment horizontal="center" vertical="center"/>
    </xf>
    <xf numFmtId="171" fontId="39" fillId="20" borderId="290" xfId="0" applyNumberFormat="1" applyFont="1" applyFill="1" applyBorder="1" applyAlignment="1">
      <alignment horizontal="center" vertical="center"/>
    </xf>
    <xf numFmtId="0" fontId="37" fillId="0" borderId="17" xfId="0" applyFont="1" applyBorder="1"/>
    <xf numFmtId="171" fontId="37" fillId="0" borderId="18" xfId="0" applyNumberFormat="1" applyFont="1" applyBorder="1" applyAlignment="1">
      <alignment horizontal="center"/>
    </xf>
    <xf numFmtId="0" fontId="54" fillId="0" borderId="200" xfId="456" applyFont="1" applyBorder="1" applyAlignment="1">
      <alignment horizontal="left" vertical="center"/>
    </xf>
    <xf numFmtId="171" fontId="41" fillId="0" borderId="262" xfId="144" applyNumberFormat="1" applyFont="1" applyBorder="1" applyAlignment="1">
      <alignment horizontal="center"/>
    </xf>
    <xf numFmtId="171" fontId="87" fillId="0" borderId="200" xfId="0" applyNumberFormat="1" applyFont="1" applyBorder="1" applyAlignment="1">
      <alignment horizontal="center"/>
    </xf>
    <xf numFmtId="171" fontId="54" fillId="0" borderId="262" xfId="798" applyNumberFormat="1" applyFont="1" applyBorder="1" applyAlignment="1">
      <alignment horizontal="center" vertical="top"/>
    </xf>
    <xf numFmtId="171" fontId="37" fillId="0" borderId="262" xfId="0" applyNumberFormat="1" applyFont="1" applyBorder="1" applyAlignment="1">
      <alignment horizontal="center" vertical="center"/>
    </xf>
    <xf numFmtId="0" fontId="54" fillId="0" borderId="22" xfId="456" applyFont="1" applyBorder="1" applyAlignment="1">
      <alignment horizontal="left" vertical="center"/>
    </xf>
    <xf numFmtId="171" fontId="54" fillId="0" borderId="17" xfId="456" applyNumberFormat="1" applyFont="1" applyBorder="1" applyAlignment="1">
      <alignment horizontal="center" vertical="center"/>
    </xf>
    <xf numFmtId="171" fontId="37" fillId="0" borderId="17" xfId="0" applyNumberFormat="1" applyFont="1" applyBorder="1" applyAlignment="1">
      <alignment horizontal="center" vertical="center"/>
    </xf>
    <xf numFmtId="171" fontId="54" fillId="0" borderId="22" xfId="456" applyNumberFormat="1" applyFont="1" applyBorder="1" applyAlignment="1">
      <alignment horizontal="center" vertical="center"/>
    </xf>
    <xf numFmtId="0" fontId="79" fillId="0" borderId="22" xfId="456" applyFont="1" applyBorder="1" applyAlignment="1">
      <alignment horizontal="center" vertical="center"/>
    </xf>
    <xf numFmtId="171" fontId="42" fillId="0" borderId="17" xfId="144" applyNumberFormat="1" applyFont="1" applyBorder="1" applyAlignment="1">
      <alignment horizontal="center"/>
    </xf>
    <xf numFmtId="171" fontId="79" fillId="0" borderId="17" xfId="798" applyNumberFormat="1" applyFont="1" applyBorder="1" applyAlignment="1">
      <alignment horizontal="center" vertical="top"/>
    </xf>
    <xf numFmtId="171" fontId="79" fillId="0" borderId="22" xfId="798" applyNumberFormat="1" applyFont="1" applyBorder="1" applyAlignment="1">
      <alignment horizontal="center" vertical="top"/>
    </xf>
    <xf numFmtId="171" fontId="41" fillId="0" borderId="17" xfId="144" applyNumberFormat="1" applyFont="1" applyBorder="1" applyAlignment="1">
      <alignment horizontal="center"/>
    </xf>
    <xf numFmtId="171" fontId="54" fillId="0" borderId="17" xfId="798" applyNumberFormat="1" applyFont="1" applyBorder="1" applyAlignment="1">
      <alignment horizontal="center" vertical="top"/>
    </xf>
    <xf numFmtId="0" fontId="54" fillId="0" borderId="22" xfId="456" applyFont="1" applyBorder="1" applyAlignment="1">
      <alignment horizontal="left" vertical="center" wrapText="1"/>
    </xf>
    <xf numFmtId="0" fontId="79" fillId="20" borderId="21" xfId="456" applyFont="1" applyFill="1" applyBorder="1" applyAlignment="1">
      <alignment horizontal="center" vertical="center"/>
    </xf>
    <xf numFmtId="171" fontId="42" fillId="20" borderId="20" xfId="144" applyNumberFormat="1" applyFont="1" applyFill="1" applyBorder="1" applyAlignment="1">
      <alignment horizontal="center"/>
    </xf>
    <xf numFmtId="171" fontId="54" fillId="20" borderId="20" xfId="798" applyNumberFormat="1" applyFont="1" applyFill="1" applyBorder="1" applyAlignment="1">
      <alignment horizontal="center" vertical="top"/>
    </xf>
    <xf numFmtId="171" fontId="79" fillId="20" borderId="20" xfId="798" applyNumberFormat="1" applyFont="1" applyFill="1" applyBorder="1" applyAlignment="1">
      <alignment horizontal="center" vertical="top"/>
    </xf>
    <xf numFmtId="0" fontId="54" fillId="0" borderId="29" xfId="456" applyFont="1" applyBorder="1" applyAlignment="1">
      <alignment horizontal="left" vertical="center"/>
    </xf>
    <xf numFmtId="171" fontId="41" fillId="0" borderId="30" xfId="144" applyNumberFormat="1" applyFont="1" applyBorder="1" applyAlignment="1">
      <alignment horizontal="center"/>
    </xf>
    <xf numFmtId="171" fontId="54" fillId="0" borderId="30" xfId="456" applyNumberFormat="1" applyFont="1" applyBorder="1" applyAlignment="1">
      <alignment horizontal="center" vertical="center"/>
    </xf>
    <xf numFmtId="171" fontId="54" fillId="0" borderId="30" xfId="238" applyNumberFormat="1" applyFont="1" applyBorder="1" applyAlignment="1">
      <alignment horizontal="center" vertical="top"/>
    </xf>
    <xf numFmtId="171" fontId="37" fillId="0" borderId="30" xfId="0" applyNumberFormat="1" applyFont="1" applyBorder="1" applyAlignment="1">
      <alignment horizontal="center" vertical="center"/>
    </xf>
    <xf numFmtId="0" fontId="54" fillId="0" borderId="19" xfId="456" applyFont="1" applyBorder="1" applyAlignment="1">
      <alignment horizontal="left" vertical="center"/>
    </xf>
    <xf numFmtId="171" fontId="54" fillId="0" borderId="17" xfId="238" applyNumberFormat="1" applyFont="1" applyBorder="1" applyAlignment="1">
      <alignment horizontal="center" vertical="top"/>
    </xf>
    <xf numFmtId="0" fontId="79" fillId="0" borderId="19" xfId="456" applyFont="1" applyBorder="1" applyAlignment="1">
      <alignment horizontal="center" vertical="center"/>
    </xf>
    <xf numFmtId="171" fontId="54" fillId="0" borderId="30" xfId="798" applyNumberFormat="1" applyFont="1" applyBorder="1" applyAlignment="1">
      <alignment horizontal="center" vertical="top"/>
    </xf>
    <xf numFmtId="0" fontId="54" fillId="0" borderId="19" xfId="238" applyFont="1" applyBorder="1" applyAlignment="1">
      <alignment horizontal="left" vertical="top"/>
    </xf>
    <xf numFmtId="0" fontId="54" fillId="0" borderId="19" xfId="238" applyFont="1" applyBorder="1" applyAlignment="1">
      <alignment horizontal="left" vertical="center"/>
    </xf>
    <xf numFmtId="0" fontId="79" fillId="0" borderId="19" xfId="238" applyFont="1" applyBorder="1" applyAlignment="1">
      <alignment horizontal="center" vertical="top"/>
    </xf>
    <xf numFmtId="171" fontId="79" fillId="0" borderId="17" xfId="456" applyNumberFormat="1" applyFont="1" applyBorder="1" applyAlignment="1">
      <alignment horizontal="center" vertical="center"/>
    </xf>
    <xf numFmtId="171" fontId="79" fillId="20" borderId="20" xfId="456" applyNumberFormat="1" applyFont="1" applyFill="1" applyBorder="1" applyAlignment="1">
      <alignment horizontal="center" vertical="center"/>
    </xf>
    <xf numFmtId="0" fontId="79" fillId="20" borderId="208" xfId="456" applyFont="1" applyFill="1" applyBorder="1" applyAlignment="1">
      <alignment horizontal="center" vertical="center"/>
    </xf>
    <xf numFmtId="171" fontId="42" fillId="20" borderId="162" xfId="144" applyNumberFormat="1" applyFont="1" applyFill="1" applyBorder="1" applyAlignment="1">
      <alignment horizontal="center" vertical="center"/>
    </xf>
    <xf numFmtId="171" fontId="42" fillId="20" borderId="162" xfId="0" applyNumberFormat="1" applyFont="1" applyFill="1" applyBorder="1" applyAlignment="1">
      <alignment horizontal="center" vertical="center"/>
    </xf>
    <xf numFmtId="185" fontId="39" fillId="20" borderId="162" xfId="0" applyNumberFormat="1" applyFont="1" applyFill="1" applyBorder="1" applyAlignment="1">
      <alignment horizontal="center" vertical="center"/>
    </xf>
    <xf numFmtId="0" fontId="54" fillId="0" borderId="261" xfId="457" applyFont="1" applyBorder="1" applyAlignment="1">
      <alignment horizontal="left" vertical="center"/>
    </xf>
    <xf numFmtId="171" fontId="41" fillId="0" borderId="262" xfId="144" applyNumberFormat="1" applyFont="1" applyBorder="1" applyAlignment="1">
      <alignment horizontal="center" vertical="center"/>
    </xf>
    <xf numFmtId="171" fontId="54" fillId="0" borderId="262" xfId="799" applyNumberFormat="1" applyFont="1" applyBorder="1" applyAlignment="1">
      <alignment horizontal="center" vertical="center"/>
    </xf>
    <xf numFmtId="171" fontId="54" fillId="0" borderId="262" xfId="238" applyNumberFormat="1" applyFont="1" applyBorder="1" applyAlignment="1">
      <alignment horizontal="center" vertical="top"/>
    </xf>
    <xf numFmtId="171" fontId="41" fillId="0" borderId="17" xfId="144" applyNumberFormat="1" applyFont="1" applyBorder="1" applyAlignment="1">
      <alignment horizontal="center" vertical="center"/>
    </xf>
    <xf numFmtId="171" fontId="54" fillId="0" borderId="17" xfId="799" applyNumberFormat="1" applyFont="1" applyBorder="1" applyAlignment="1">
      <alignment horizontal="center" vertical="center"/>
    </xf>
    <xf numFmtId="0" fontId="79" fillId="0" borderId="19" xfId="457" applyFont="1" applyBorder="1" applyAlignment="1">
      <alignment horizontal="center" vertical="center"/>
    </xf>
    <xf numFmtId="171" fontId="42" fillId="0" borderId="17" xfId="144" applyNumberFormat="1" applyFont="1" applyBorder="1" applyAlignment="1">
      <alignment horizontal="center" vertical="center"/>
    </xf>
    <xf numFmtId="171" fontId="79" fillId="0" borderId="17" xfId="799" applyNumberFormat="1" applyFont="1" applyBorder="1" applyAlignment="1">
      <alignment horizontal="center" vertical="center"/>
    </xf>
    <xf numFmtId="0" fontId="41" fillId="0" borderId="19" xfId="144" applyFont="1" applyBorder="1" applyAlignment="1">
      <alignment vertical="center"/>
    </xf>
    <xf numFmtId="0" fontId="54" fillId="0" borderId="19" xfId="457" applyFont="1" applyBorder="1" applyAlignment="1">
      <alignment horizontal="left" vertical="center"/>
    </xf>
    <xf numFmtId="0" fontId="79" fillId="20" borderId="21" xfId="457" applyFont="1" applyFill="1" applyBorder="1" applyAlignment="1">
      <alignment horizontal="center" vertical="center"/>
    </xf>
    <xf numFmtId="171" fontId="42" fillId="20" borderId="20" xfId="144" applyNumberFormat="1" applyFont="1" applyFill="1" applyBorder="1" applyAlignment="1">
      <alignment horizontal="center" vertical="center"/>
    </xf>
    <xf numFmtId="171" fontId="79" fillId="20" borderId="20" xfId="799" applyNumberFormat="1" applyFont="1" applyFill="1" applyBorder="1" applyAlignment="1">
      <alignment horizontal="center" vertical="center"/>
    </xf>
    <xf numFmtId="0" fontId="54" fillId="0" borderId="29" xfId="457" applyFont="1" applyBorder="1" applyAlignment="1">
      <alignment horizontal="left" vertical="center"/>
    </xf>
    <xf numFmtId="171" fontId="41" fillId="0" borderId="30" xfId="144" applyNumberFormat="1" applyFont="1" applyBorder="1" applyAlignment="1">
      <alignment horizontal="center" vertical="center"/>
    </xf>
    <xf numFmtId="171" fontId="54" fillId="0" borderId="30" xfId="799" applyNumberFormat="1" applyFont="1" applyBorder="1" applyAlignment="1">
      <alignment horizontal="center" vertical="center"/>
    </xf>
    <xf numFmtId="0" fontId="79" fillId="0" borderId="22" xfId="457" applyFont="1" applyBorder="1" applyAlignment="1">
      <alignment horizontal="center" vertical="center"/>
    </xf>
    <xf numFmtId="0" fontId="79" fillId="20" borderId="23" xfId="457" applyFont="1" applyFill="1" applyBorder="1" applyAlignment="1">
      <alignment horizontal="center" vertical="center"/>
    </xf>
    <xf numFmtId="171" fontId="37" fillId="20" borderId="20" xfId="0" applyNumberFormat="1" applyFont="1" applyFill="1" applyBorder="1" applyAlignment="1">
      <alignment horizontal="center" vertical="center"/>
    </xf>
    <xf numFmtId="0" fontId="79" fillId="20" borderId="208" xfId="457" applyFont="1" applyFill="1" applyBorder="1" applyAlignment="1">
      <alignment horizontal="center" vertical="center"/>
    </xf>
    <xf numFmtId="171" fontId="79" fillId="20" borderId="162" xfId="799" applyNumberFormat="1" applyFont="1" applyFill="1" applyBorder="1" applyAlignment="1">
      <alignment horizontal="center" vertical="top"/>
    </xf>
    <xf numFmtId="171" fontId="79" fillId="20" borderId="162" xfId="799" applyNumberFormat="1" applyFont="1" applyFill="1" applyBorder="1" applyAlignment="1">
      <alignment horizontal="center" vertical="center"/>
    </xf>
    <xf numFmtId="171" fontId="39" fillId="20" borderId="209" xfId="0" applyNumberFormat="1" applyFont="1" applyFill="1" applyBorder="1" applyAlignment="1">
      <alignment horizontal="center" vertical="center"/>
    </xf>
    <xf numFmtId="0" fontId="42" fillId="0" borderId="14" xfId="0" applyFont="1" applyBorder="1" applyAlignment="1">
      <alignment horizontal="center" vertical="center"/>
    </xf>
    <xf numFmtId="0" fontId="42" fillId="0" borderId="14" xfId="144" applyFont="1" applyBorder="1" applyAlignment="1">
      <alignment horizontal="center" vertical="center"/>
    </xf>
    <xf numFmtId="0" fontId="39" fillId="0" borderId="14" xfId="0" applyFont="1" applyBorder="1" applyAlignment="1">
      <alignment horizontal="center" vertical="center"/>
    </xf>
    <xf numFmtId="0" fontId="41" fillId="0" borderId="16" xfId="227" applyFont="1" applyBorder="1" applyAlignment="1">
      <alignment horizontal="center" vertical="center" wrapText="1"/>
    </xf>
    <xf numFmtId="0" fontId="54" fillId="0" borderId="16" xfId="238" applyFont="1" applyBorder="1" applyAlignment="1">
      <alignment horizontal="center" vertical="center" wrapText="1"/>
    </xf>
    <xf numFmtId="0" fontId="54" fillId="0" borderId="16" xfId="452" applyFont="1" applyBorder="1" applyAlignment="1">
      <alignment horizontal="center" vertical="center" wrapText="1"/>
    </xf>
    <xf numFmtId="0" fontId="54" fillId="0" borderId="261" xfId="454" applyFont="1" applyFill="1" applyBorder="1" applyAlignment="1">
      <alignment horizontal="left" vertical="center"/>
    </xf>
    <xf numFmtId="168" fontId="54" fillId="0" borderId="262" xfId="176" applyNumberFormat="1" applyFont="1" applyFill="1" applyBorder="1" applyAlignment="1">
      <alignment horizontal="center" vertical="center"/>
    </xf>
    <xf numFmtId="168" fontId="54" fillId="0" borderId="263" xfId="176" applyNumberFormat="1" applyFont="1" applyFill="1" applyBorder="1" applyAlignment="1">
      <alignment horizontal="center" vertical="center"/>
    </xf>
    <xf numFmtId="0" fontId="54" fillId="0" borderId="19" xfId="454" applyFont="1" applyFill="1" applyBorder="1" applyAlignment="1">
      <alignment horizontal="left" vertical="center"/>
    </xf>
    <xf numFmtId="168" fontId="54" fillId="0" borderId="17" xfId="176" applyNumberFormat="1" applyFont="1" applyFill="1" applyBorder="1" applyAlignment="1">
      <alignment horizontal="center" vertical="center"/>
    </xf>
    <xf numFmtId="168" fontId="54" fillId="0" borderId="18" xfId="176" applyNumberFormat="1" applyFont="1" applyFill="1" applyBorder="1" applyAlignment="1">
      <alignment horizontal="center" vertical="center"/>
    </xf>
    <xf numFmtId="0" fontId="79" fillId="0" borderId="19" xfId="454" applyFont="1" applyFill="1" applyBorder="1" applyAlignment="1">
      <alignment horizontal="center" vertical="center"/>
    </xf>
    <xf numFmtId="168" fontId="79" fillId="0" borderId="17" xfId="176" applyNumberFormat="1" applyFont="1" applyFill="1" applyBorder="1" applyAlignment="1">
      <alignment horizontal="center" vertical="center"/>
    </xf>
    <xf numFmtId="168" fontId="79" fillId="0" borderId="18" xfId="176" applyNumberFormat="1" applyFont="1" applyFill="1" applyBorder="1" applyAlignment="1">
      <alignment horizontal="center" vertical="center"/>
    </xf>
    <xf numFmtId="0" fontId="79" fillId="20" borderId="23" xfId="821" applyFont="1" applyFill="1" applyBorder="1" applyAlignment="1">
      <alignment horizontal="center" vertical="center"/>
    </xf>
    <xf numFmtId="0" fontId="54" fillId="0" borderId="29" xfId="454" applyFont="1" applyFill="1" applyBorder="1" applyAlignment="1">
      <alignment horizontal="left" vertical="center"/>
    </xf>
    <xf numFmtId="168" fontId="54" fillId="0" borderId="30" xfId="176" applyNumberFormat="1" applyFont="1" applyFill="1" applyBorder="1" applyAlignment="1">
      <alignment horizontal="center" vertical="center"/>
    </xf>
    <xf numFmtId="168" fontId="54" fillId="0" borderId="27" xfId="176" applyNumberFormat="1" applyFont="1" applyFill="1" applyBorder="1" applyAlignment="1">
      <alignment horizontal="center" vertical="center"/>
    </xf>
    <xf numFmtId="0" fontId="54" fillId="0" borderId="28" xfId="821" applyFont="1" applyFill="1" applyBorder="1" applyAlignment="1">
      <alignment horizontal="left"/>
    </xf>
    <xf numFmtId="168" fontId="79" fillId="0" borderId="30" xfId="176" applyNumberFormat="1" applyFont="1" applyFill="1" applyBorder="1" applyAlignment="1">
      <alignment horizontal="center" vertical="center"/>
    </xf>
    <xf numFmtId="0" fontId="54" fillId="0" borderId="22" xfId="821" applyFont="1" applyFill="1" applyBorder="1" applyAlignment="1">
      <alignment horizontal="left"/>
    </xf>
    <xf numFmtId="0" fontId="79" fillId="0" borderId="26" xfId="454" applyFont="1" applyFill="1" applyBorder="1" applyAlignment="1">
      <alignment horizontal="center" vertical="center"/>
    </xf>
    <xf numFmtId="168" fontId="79" fillId="0" borderId="31" xfId="176" applyNumberFormat="1" applyFont="1" applyFill="1" applyBorder="1" applyAlignment="1">
      <alignment horizontal="center" vertical="center"/>
    </xf>
    <xf numFmtId="168" fontId="79" fillId="0" borderId="24" xfId="176" applyNumberFormat="1" applyFont="1" applyFill="1" applyBorder="1" applyAlignment="1">
      <alignment horizontal="center" vertical="center"/>
    </xf>
    <xf numFmtId="0" fontId="79" fillId="20" borderId="208" xfId="821" applyFont="1" applyFill="1" applyBorder="1" applyAlignment="1">
      <alignment horizontal="center" vertical="center"/>
    </xf>
    <xf numFmtId="0" fontId="0" fillId="0" borderId="0" xfId="0" applyFont="1" applyFill="1" applyBorder="1"/>
    <xf numFmtId="0" fontId="0" fillId="0" borderId="0" xfId="0" applyFont="1" applyBorder="1"/>
    <xf numFmtId="0" fontId="0" fillId="0" borderId="25" xfId="0" applyFont="1" applyBorder="1"/>
    <xf numFmtId="170" fontId="39" fillId="0" borderId="16" xfId="217" applyNumberFormat="1" applyFont="1" applyFill="1" applyBorder="1" applyAlignment="1">
      <alignment horizontal="center" vertical="center"/>
    </xf>
    <xf numFmtId="0" fontId="41" fillId="0" borderId="0" xfId="0" applyFont="1" applyBorder="1" applyAlignment="1">
      <alignment vertical="center"/>
    </xf>
    <xf numFmtId="0" fontId="54" fillId="0" borderId="28" xfId="0" applyFont="1" applyBorder="1" applyAlignment="1">
      <alignment horizontal="center" vertical="center"/>
    </xf>
    <xf numFmtId="167" fontId="0" fillId="0" borderId="28" xfId="217" applyNumberFormat="1" applyFont="1" applyBorder="1" applyAlignment="1">
      <alignment vertical="center"/>
    </xf>
    <xf numFmtId="167" fontId="39" fillId="0" borderId="28" xfId="217" applyNumberFormat="1" applyFont="1" applyBorder="1" applyAlignment="1">
      <alignment vertical="center"/>
    </xf>
    <xf numFmtId="0" fontId="54" fillId="0" borderId="22" xfId="0" applyFont="1" applyBorder="1" applyAlignment="1">
      <alignment horizontal="center" vertical="center"/>
    </xf>
    <xf numFmtId="167" fontId="0" fillId="0" borderId="22" xfId="217" applyNumberFormat="1" applyFont="1" applyBorder="1" applyAlignment="1">
      <alignment vertical="center"/>
    </xf>
    <xf numFmtId="167" fontId="39" fillId="0" borderId="22" xfId="217" applyNumberFormat="1" applyFont="1" applyBorder="1" applyAlignment="1">
      <alignment vertical="center"/>
    </xf>
    <xf numFmtId="167" fontId="41" fillId="0" borderId="0" xfId="0" applyNumberFormat="1" applyFont="1" applyBorder="1" applyAlignment="1">
      <alignment vertical="center"/>
    </xf>
    <xf numFmtId="167" fontId="41" fillId="0" borderId="25" xfId="0" applyNumberFormat="1" applyFont="1" applyBorder="1" applyAlignment="1">
      <alignment vertical="center"/>
    </xf>
    <xf numFmtId="0" fontId="79" fillId="20" borderId="208" xfId="0" applyFont="1" applyFill="1" applyBorder="1" applyAlignment="1">
      <alignment horizontal="center" vertical="center"/>
    </xf>
    <xf numFmtId="0" fontId="79" fillId="0" borderId="16" xfId="0" applyFont="1" applyFill="1" applyBorder="1" applyAlignment="1">
      <alignment horizontal="center" vertical="center" wrapText="1"/>
    </xf>
    <xf numFmtId="0" fontId="54" fillId="0" borderId="0" xfId="0" applyFont="1" applyFill="1" applyBorder="1" applyAlignment="1">
      <alignment horizontal="center" vertical="center"/>
    </xf>
    <xf numFmtId="3" fontId="54"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xf>
    <xf numFmtId="3" fontId="79" fillId="20" borderId="208" xfId="0" applyNumberFormat="1" applyFont="1" applyFill="1" applyBorder="1" applyAlignment="1">
      <alignment horizontal="center" vertical="center"/>
    </xf>
    <xf numFmtId="0" fontId="54" fillId="0" borderId="0" xfId="0" applyFont="1" applyAlignment="1">
      <alignment horizontal="left"/>
    </xf>
    <xf numFmtId="181" fontId="79" fillId="0" borderId="0" xfId="107" applyNumberFormat="1" applyFont="1" applyAlignment="1">
      <alignment horizontal="center" vertical="center"/>
    </xf>
    <xf numFmtId="0" fontId="101" fillId="0" borderId="0" xfId="0" applyFont="1" applyBorder="1" applyAlignment="1">
      <alignment vertical="center"/>
    </xf>
    <xf numFmtId="0" fontId="102" fillId="0" borderId="0" xfId="0" applyFont="1" applyBorder="1" applyAlignment="1">
      <alignment vertical="center"/>
    </xf>
    <xf numFmtId="0" fontId="0" fillId="0" borderId="0" xfId="0" applyFont="1" applyBorder="1" applyAlignment="1">
      <alignment horizontal="center" vertical="center"/>
    </xf>
    <xf numFmtId="0" fontId="221" fillId="0" borderId="0" xfId="0" applyFont="1" applyAlignment="1">
      <alignment horizontal="center" vertical="center" wrapText="1"/>
    </xf>
    <xf numFmtId="0" fontId="106" fillId="0" borderId="0" xfId="0" applyFont="1" applyAlignment="1">
      <alignment vertical="center"/>
    </xf>
    <xf numFmtId="0" fontId="79" fillId="0" borderId="28" xfId="173" applyFont="1" applyFill="1" applyBorder="1" applyAlignment="1">
      <alignment horizontal="center" vertical="center" wrapText="1"/>
    </xf>
    <xf numFmtId="172" fontId="54" fillId="0" borderId="28" xfId="107" applyNumberFormat="1" applyFont="1" applyFill="1" applyBorder="1" applyAlignment="1">
      <alignment horizontal="center" vertical="center" wrapText="1"/>
    </xf>
    <xf numFmtId="172" fontId="79" fillId="0" borderId="28" xfId="107" applyNumberFormat="1" applyFont="1" applyFill="1" applyBorder="1" applyAlignment="1">
      <alignment horizontal="center" vertical="center" wrapText="1"/>
    </xf>
    <xf numFmtId="172" fontId="0" fillId="0" borderId="0" xfId="107" applyNumberFormat="1" applyFont="1" applyFill="1" applyBorder="1"/>
    <xf numFmtId="0" fontId="79" fillId="0" borderId="16" xfId="173" applyFont="1" applyFill="1" applyBorder="1" applyAlignment="1">
      <alignment horizontal="center" vertical="center" wrapText="1"/>
    </xf>
    <xf numFmtId="172" fontId="79" fillId="0" borderId="16" xfId="107" applyNumberFormat="1" applyFont="1" applyFill="1" applyBorder="1" applyAlignment="1">
      <alignment horizontal="center" vertical="center" wrapText="1"/>
    </xf>
    <xf numFmtId="0" fontId="49" fillId="0" borderId="0" xfId="0" applyFont="1" applyAlignment="1">
      <alignment horizontal="center" wrapText="1"/>
    </xf>
    <xf numFmtId="0" fontId="49" fillId="0" borderId="0" xfId="0" applyFont="1" applyAlignment="1">
      <alignment wrapText="1"/>
    </xf>
    <xf numFmtId="0" fontId="45" fillId="0" borderId="0" xfId="0" applyFont="1" applyAlignment="1">
      <alignment vertical="center" wrapText="1"/>
    </xf>
    <xf numFmtId="0" fontId="66" fillId="0" borderId="0" xfId="0" applyFont="1" applyAlignment="1">
      <alignment horizontal="left"/>
    </xf>
    <xf numFmtId="0" fontId="41" fillId="20" borderId="16" xfId="167" applyFont="1" applyFill="1" applyBorder="1" applyAlignment="1">
      <alignment horizontal="center" vertical="center" wrapText="1"/>
    </xf>
    <xf numFmtId="171" fontId="79" fillId="0" borderId="28" xfId="176" applyNumberFormat="1" applyFont="1" applyFill="1" applyBorder="1" applyAlignment="1">
      <alignment horizontal="center" vertical="center" wrapText="1"/>
    </xf>
    <xf numFmtId="171" fontId="0" fillId="0" borderId="0" xfId="176" applyNumberFormat="1" applyFont="1" applyFill="1" applyBorder="1"/>
    <xf numFmtId="171" fontId="79" fillId="0" borderId="16" xfId="176" applyNumberFormat="1" applyFont="1" applyFill="1" applyBorder="1" applyAlignment="1">
      <alignment horizontal="center" vertical="center" wrapText="1"/>
    </xf>
    <xf numFmtId="0" fontId="42" fillId="0" borderId="0" xfId="246" applyFont="1" applyFill="1" applyAlignment="1">
      <alignment horizontal="center" vertical="center" wrapText="1"/>
    </xf>
    <xf numFmtId="0" fontId="42" fillId="20" borderId="114" xfId="246" applyFont="1" applyFill="1" applyBorder="1" applyAlignment="1">
      <alignment horizontal="center" vertical="center"/>
    </xf>
    <xf numFmtId="0" fontId="42" fillId="20" borderId="153" xfId="246" applyFont="1" applyFill="1" applyBorder="1" applyAlignment="1">
      <alignment horizontal="center" vertical="center"/>
    </xf>
    <xf numFmtId="0" fontId="42" fillId="20" borderId="154" xfId="246" applyFont="1" applyFill="1" applyBorder="1" applyAlignment="1">
      <alignment horizontal="center" vertical="center"/>
    </xf>
    <xf numFmtId="0" fontId="60" fillId="0" borderId="17" xfId="246" applyFont="1" applyFill="1" applyBorder="1" applyAlignment="1">
      <alignment horizontal="center" vertical="center" wrapText="1"/>
    </xf>
    <xf numFmtId="0" fontId="60" fillId="0" borderId="17" xfId="0" applyFont="1" applyFill="1" applyBorder="1" applyAlignment="1">
      <alignment horizontal="center" vertical="center" wrapText="1"/>
    </xf>
    <xf numFmtId="0" fontId="196" fillId="25" borderId="17" xfId="0" applyFont="1" applyFill="1" applyBorder="1" applyAlignment="1">
      <alignment horizontal="center" vertical="center" wrapText="1"/>
    </xf>
    <xf numFmtId="168" fontId="42" fillId="0" borderId="150" xfId="176" applyNumberFormat="1" applyFont="1" applyBorder="1" applyAlignment="1">
      <alignment horizontal="center" vertical="center"/>
    </xf>
    <xf numFmtId="168" fontId="42" fillId="0" borderId="150" xfId="176" applyNumberFormat="1" applyFont="1" applyBorder="1" applyAlignment="1">
      <alignment horizontal="right"/>
    </xf>
    <xf numFmtId="168" fontId="42" fillId="0" borderId="150" xfId="176" applyNumberFormat="1" applyFont="1" applyFill="1" applyBorder="1" applyAlignment="1">
      <alignment horizontal="right"/>
    </xf>
    <xf numFmtId="181" fontId="151" fillId="0" borderId="174" xfId="107" applyNumberFormat="1" applyFont="1" applyFill="1" applyBorder="1" applyAlignment="1">
      <alignment horizontal="center" vertical="center" wrapText="1"/>
    </xf>
    <xf numFmtId="0" fontId="0" fillId="0" borderId="0" xfId="0"/>
    <xf numFmtId="14" fontId="60" fillId="0" borderId="17" xfId="246" applyNumberFormat="1" applyFont="1" applyBorder="1" applyAlignment="1">
      <alignment horizontal="center" vertical="center" wrapText="1"/>
    </xf>
    <xf numFmtId="0" fontId="204" fillId="52" borderId="22" xfId="246" applyFont="1" applyFill="1" applyBorder="1" applyAlignment="1">
      <alignment horizontal="center" vertical="center" wrapText="1"/>
    </xf>
    <xf numFmtId="0" fontId="204" fillId="52" borderId="22" xfId="0" applyFont="1" applyFill="1" applyBorder="1" applyAlignment="1">
      <alignment horizontal="center" vertical="center" wrapText="1"/>
    </xf>
    <xf numFmtId="0" fontId="205" fillId="39" borderId="22" xfId="246" applyFont="1" applyFill="1" applyBorder="1" applyAlignment="1">
      <alignment horizontal="center" vertical="center" wrapText="1"/>
    </xf>
    <xf numFmtId="0" fontId="204" fillId="36" borderId="22" xfId="246" applyFont="1" applyFill="1" applyBorder="1" applyAlignment="1">
      <alignment horizontal="center" vertical="center" wrapText="1"/>
    </xf>
    <xf numFmtId="0" fontId="205" fillId="36" borderId="22" xfId="246" applyFont="1" applyFill="1" applyBorder="1" applyAlignment="1">
      <alignment horizontal="center" vertical="center" wrapText="1"/>
    </xf>
    <xf numFmtId="0" fontId="60" fillId="0" borderId="17" xfId="246" applyFont="1" applyBorder="1" applyAlignment="1">
      <alignment wrapText="1"/>
    </xf>
    <xf numFmtId="0" fontId="205" fillId="51" borderId="22" xfId="0" applyFont="1" applyFill="1" applyBorder="1" applyAlignment="1">
      <alignment horizontal="center" wrapText="1"/>
    </xf>
    <xf numFmtId="0" fontId="54" fillId="0" borderId="16" xfId="576" applyFont="1" applyFill="1" applyBorder="1" applyAlignment="1">
      <alignment horizontal="center" vertical="center" wrapText="1"/>
    </xf>
    <xf numFmtId="0" fontId="106" fillId="0" borderId="136" xfId="142" applyFont="1" applyFill="1" applyBorder="1" applyAlignment="1">
      <alignment horizontal="center"/>
    </xf>
    <xf numFmtId="168" fontId="37" fillId="0" borderId="0" xfId="142" applyNumberFormat="1" applyFont="1"/>
    <xf numFmtId="168" fontId="37" fillId="0" borderId="0" xfId="142" applyNumberFormat="1" applyFont="1" applyBorder="1"/>
    <xf numFmtId="0" fontId="105" fillId="0" borderId="136" xfId="142" applyFont="1" applyFill="1" applyBorder="1" applyAlignment="1">
      <alignment horizontal="center"/>
    </xf>
    <xf numFmtId="0" fontId="37" fillId="0" borderId="0" xfId="142" applyFont="1" applyBorder="1"/>
    <xf numFmtId="0" fontId="110" fillId="0" borderId="136" xfId="142" applyFont="1" applyFill="1" applyBorder="1" applyAlignment="1">
      <alignment horizontal="center"/>
    </xf>
    <xf numFmtId="168" fontId="37" fillId="0" borderId="0" xfId="142" applyNumberFormat="1" applyBorder="1"/>
    <xf numFmtId="0" fontId="37" fillId="0" borderId="0" xfId="142" applyFont="1"/>
    <xf numFmtId="0" fontId="113" fillId="0" borderId="136" xfId="142" applyFont="1" applyFill="1" applyBorder="1" applyAlignment="1">
      <alignment horizontal="center"/>
    </xf>
    <xf numFmtId="0" fontId="42" fillId="0" borderId="16" xfId="0" applyFont="1" applyFill="1" applyBorder="1" applyAlignment="1">
      <alignment horizontal="center" vertical="center" wrapText="1"/>
    </xf>
    <xf numFmtId="0" fontId="41" fillId="0" borderId="178" xfId="0" applyFont="1" applyFill="1" applyBorder="1" applyAlignment="1">
      <alignment horizontal="left" vertical="center" indent="1"/>
    </xf>
    <xf numFmtId="0" fontId="54" fillId="0" borderId="178" xfId="0" applyFont="1" applyFill="1" applyBorder="1" applyAlignment="1">
      <alignment horizontal="center" vertical="center"/>
    </xf>
    <xf numFmtId="190" fontId="54" fillId="0" borderId="178" xfId="0" applyNumberFormat="1" applyFont="1" applyFill="1" applyBorder="1" applyAlignment="1">
      <alignment horizontal="center" vertical="center"/>
    </xf>
    <xf numFmtId="190" fontId="214" fillId="0" borderId="179" xfId="0" applyNumberFormat="1" applyFont="1" applyFill="1" applyBorder="1" applyAlignment="1">
      <alignment horizontal="center" vertical="center"/>
    </xf>
    <xf numFmtId="0" fontId="41" fillId="0" borderId="135" xfId="0" applyFont="1" applyFill="1" applyBorder="1" applyAlignment="1">
      <alignment horizontal="left" vertical="center" indent="1"/>
    </xf>
    <xf numFmtId="0" fontId="54" fillId="0" borderId="135" xfId="0" applyFont="1" applyFill="1" applyBorder="1" applyAlignment="1">
      <alignment horizontal="center" vertical="center"/>
    </xf>
    <xf numFmtId="190" fontId="37" fillId="0" borderId="135" xfId="0" applyNumberFormat="1" applyFont="1" applyFill="1" applyBorder="1" applyAlignment="1">
      <alignment horizontal="center" vertical="center"/>
    </xf>
    <xf numFmtId="190" fontId="214" fillId="0" borderId="180" xfId="0" applyNumberFormat="1" applyFont="1" applyFill="1" applyBorder="1" applyAlignment="1">
      <alignment horizontal="center" vertical="center"/>
    </xf>
    <xf numFmtId="190" fontId="54" fillId="0" borderId="181" xfId="0" applyNumberFormat="1" applyFont="1" applyFill="1" applyBorder="1" applyAlignment="1">
      <alignment horizontal="center" vertical="center"/>
    </xf>
    <xf numFmtId="0" fontId="41" fillId="0" borderId="186" xfId="0" applyFont="1" applyFill="1" applyBorder="1" applyAlignment="1">
      <alignment horizontal="left" vertical="center" indent="1"/>
    </xf>
    <xf numFmtId="0" fontId="41" fillId="0" borderId="186" xfId="0" applyFont="1" applyFill="1" applyBorder="1" applyAlignment="1">
      <alignment horizontal="center" vertical="center"/>
    </xf>
    <xf numFmtId="190" fontId="41" fillId="0" borderId="186" xfId="0" applyNumberFormat="1" applyFont="1" applyFill="1" applyBorder="1" applyAlignment="1">
      <alignment horizontal="center" vertical="center"/>
    </xf>
    <xf numFmtId="190" fontId="214" fillId="0" borderId="187" xfId="0" applyNumberFormat="1" applyFont="1" applyFill="1" applyBorder="1" applyAlignment="1">
      <alignment horizontal="center" vertical="center"/>
    </xf>
    <xf numFmtId="0" fontId="41" fillId="0" borderId="135" xfId="0" applyFont="1" applyFill="1" applyBorder="1" applyAlignment="1">
      <alignment horizontal="center" vertical="center"/>
    </xf>
    <xf numFmtId="190" fontId="41" fillId="0" borderId="135" xfId="0" applyNumberFormat="1" applyFont="1" applyFill="1" applyBorder="1" applyAlignment="1">
      <alignment horizontal="center" vertical="center"/>
    </xf>
    <xf numFmtId="190" fontId="233" fillId="0" borderId="180" xfId="0" applyNumberFormat="1" applyFont="1" applyFill="1" applyBorder="1" applyAlignment="1">
      <alignment horizontal="center" vertical="center"/>
    </xf>
    <xf numFmtId="0" fontId="41" fillId="0" borderId="181" xfId="0" applyFont="1" applyFill="1" applyBorder="1" applyAlignment="1">
      <alignment horizontal="left" vertical="center" indent="1"/>
    </xf>
    <xf numFmtId="0" fontId="41" fillId="0" borderId="181" xfId="0" applyFont="1" applyFill="1" applyBorder="1" applyAlignment="1">
      <alignment horizontal="center" vertical="center"/>
    </xf>
    <xf numFmtId="190" fontId="214" fillId="0" borderId="182" xfId="0" applyNumberFormat="1" applyFont="1" applyFill="1" applyBorder="1" applyAlignment="1">
      <alignment horizontal="center" vertical="center"/>
    </xf>
    <xf numFmtId="190" fontId="54" fillId="0" borderId="186" xfId="0" applyNumberFormat="1" applyFont="1" applyFill="1" applyBorder="1" applyAlignment="1">
      <alignment horizontal="center" vertical="center"/>
    </xf>
    <xf numFmtId="190" fontId="41" fillId="0" borderId="188" xfId="0" applyNumberFormat="1" applyFont="1" applyFill="1" applyBorder="1" applyAlignment="1">
      <alignment horizontal="center" vertical="center"/>
    </xf>
    <xf numFmtId="190" fontId="41" fillId="0" borderId="181" xfId="0" applyNumberFormat="1" applyFont="1" applyFill="1" applyBorder="1" applyAlignment="1">
      <alignment horizontal="center" vertical="center"/>
    </xf>
    <xf numFmtId="0" fontId="86" fillId="0" borderId="0" xfId="0" applyFont="1" applyBorder="1" applyAlignment="1">
      <alignment vertical="center"/>
    </xf>
    <xf numFmtId="0" fontId="218" fillId="0" borderId="0" xfId="0" applyFont="1" applyBorder="1" applyAlignment="1">
      <alignment vertical="center" wrapText="1"/>
    </xf>
    <xf numFmtId="0" fontId="86" fillId="0" borderId="0" xfId="0" applyFont="1" applyBorder="1" applyAlignment="1">
      <alignment vertical="center" wrapText="1"/>
    </xf>
    <xf numFmtId="0" fontId="41" fillId="0" borderId="135" xfId="0" applyFont="1" applyFill="1" applyBorder="1" applyAlignment="1">
      <alignment horizontal="center"/>
    </xf>
    <xf numFmtId="190" fontId="41" fillId="0" borderId="135" xfId="0" applyNumberFormat="1" applyFont="1" applyFill="1" applyBorder="1" applyAlignment="1">
      <alignment horizontal="center"/>
    </xf>
    <xf numFmtId="190" fontId="220" fillId="0" borderId="180" xfId="0" applyNumberFormat="1" applyFont="1" applyFill="1" applyBorder="1" applyAlignment="1">
      <alignment horizontal="center" vertical="center"/>
    </xf>
    <xf numFmtId="190" fontId="41" fillId="0" borderId="181" xfId="0" applyNumberFormat="1" applyFont="1" applyFill="1" applyBorder="1" applyAlignment="1">
      <alignment horizontal="center"/>
    </xf>
    <xf numFmtId="0" fontId="37" fillId="0" borderId="181" xfId="0" applyFont="1" applyFill="1" applyBorder="1" applyAlignment="1">
      <alignment horizontal="left" vertical="center" indent="1"/>
    </xf>
    <xf numFmtId="190" fontId="41" fillId="0" borderId="180" xfId="0" applyNumberFormat="1" applyFont="1" applyFill="1" applyBorder="1" applyAlignment="1">
      <alignment horizontal="center" vertical="center"/>
    </xf>
    <xf numFmtId="190" fontId="40" fillId="0" borderId="180" xfId="0" applyNumberFormat="1" applyFont="1" applyFill="1" applyBorder="1" applyAlignment="1">
      <alignment horizontal="center" vertical="center"/>
    </xf>
    <xf numFmtId="0" fontId="199" fillId="0" borderId="135" xfId="0" applyFont="1" applyFill="1" applyBorder="1" applyAlignment="1">
      <alignment horizontal="center" vertical="center"/>
    </xf>
    <xf numFmtId="190" fontId="60" fillId="0" borderId="180" xfId="0" applyNumberFormat="1" applyFont="1" applyFill="1" applyBorder="1" applyAlignment="1">
      <alignment horizontal="center" vertical="center"/>
    </xf>
    <xf numFmtId="0" fontId="199" fillId="0" borderId="181" xfId="0" applyFont="1" applyFill="1" applyBorder="1" applyAlignment="1">
      <alignment horizontal="center" vertical="center"/>
    </xf>
    <xf numFmtId="0" fontId="199" fillId="0" borderId="178" xfId="0" applyFont="1" applyFill="1" applyBorder="1" applyAlignment="1">
      <alignment horizontal="center" vertical="center"/>
    </xf>
    <xf numFmtId="190" fontId="37" fillId="0" borderId="178" xfId="0" applyNumberFormat="1" applyFont="1" applyFill="1" applyBorder="1" applyAlignment="1">
      <alignment horizontal="center" vertical="center"/>
    </xf>
    <xf numFmtId="190" fontId="40" fillId="0" borderId="179" xfId="0" applyNumberFormat="1" applyFont="1" applyFill="1" applyBorder="1" applyAlignment="1">
      <alignment horizontal="center" vertical="center"/>
    </xf>
    <xf numFmtId="190" fontId="41" fillId="0" borderId="182" xfId="0" applyNumberFormat="1" applyFont="1" applyFill="1" applyBorder="1" applyAlignment="1">
      <alignment horizontal="center" vertical="center"/>
    </xf>
    <xf numFmtId="0" fontId="199" fillId="0" borderId="186" xfId="0" applyFont="1" applyFill="1" applyBorder="1" applyAlignment="1">
      <alignment horizontal="center" vertical="center"/>
    </xf>
    <xf numFmtId="190" fontId="41" fillId="0" borderId="187" xfId="0" applyNumberFormat="1" applyFont="1" applyFill="1" applyBorder="1" applyAlignment="1">
      <alignment horizontal="center" vertical="center"/>
    </xf>
    <xf numFmtId="0" fontId="88" fillId="0" borderId="16" xfId="0" applyFont="1" applyFill="1" applyBorder="1" applyAlignment="1">
      <alignment horizontal="center" vertical="center" wrapText="1"/>
    </xf>
    <xf numFmtId="0" fontId="41" fillId="0" borderId="178" xfId="0" applyFont="1" applyFill="1" applyBorder="1" applyAlignment="1">
      <alignment horizontal="center" vertical="center"/>
    </xf>
    <xf numFmtId="0" fontId="41" fillId="0" borderId="135" xfId="0" applyFont="1" applyFill="1" applyBorder="1" applyAlignment="1">
      <alignment horizontal="left" vertical="center" wrapText="1" indent="1"/>
    </xf>
    <xf numFmtId="0" fontId="41" fillId="0" borderId="135" xfId="0" applyFont="1" applyFill="1" applyBorder="1" applyAlignment="1">
      <alignment horizontal="left" vertical="center"/>
    </xf>
    <xf numFmtId="190" fontId="41" fillId="0" borderId="135" xfId="0" applyNumberFormat="1" applyFont="1" applyFill="1" applyBorder="1" applyAlignment="1">
      <alignment horizontal="left" vertical="center"/>
    </xf>
    <xf numFmtId="0" fontId="41" fillId="0" borderId="181" xfId="0" applyFont="1" applyFill="1" applyBorder="1" applyAlignment="1">
      <alignment horizontal="left" vertical="center" wrapText="1" indent="1"/>
    </xf>
    <xf numFmtId="0" fontId="41" fillId="0" borderId="181" xfId="0" applyFont="1" applyFill="1" applyBorder="1" applyAlignment="1">
      <alignment horizontal="left" vertical="center"/>
    </xf>
    <xf numFmtId="190" fontId="41" fillId="0" borderId="181" xfId="0" applyNumberFormat="1" applyFont="1" applyFill="1" applyBorder="1" applyAlignment="1">
      <alignment horizontal="left" vertical="center"/>
    </xf>
    <xf numFmtId="0" fontId="41" fillId="0" borderId="186" xfId="0" applyFont="1" applyFill="1" applyBorder="1" applyAlignment="1">
      <alignment horizontal="left" vertical="center"/>
    </xf>
    <xf numFmtId="190" fontId="41" fillId="0" borderId="186" xfId="0" applyNumberFormat="1" applyFont="1" applyFill="1" applyBorder="1" applyAlignment="1">
      <alignment horizontal="left" vertical="center"/>
    </xf>
    <xf numFmtId="0" fontId="41" fillId="0" borderId="134" xfId="0" applyFont="1" applyFill="1" applyBorder="1" applyAlignment="1">
      <alignment horizontal="left" vertical="center" indent="1"/>
    </xf>
    <xf numFmtId="190" fontId="215" fillId="0" borderId="180" xfId="0" applyNumberFormat="1" applyFont="1" applyFill="1" applyBorder="1" applyAlignment="1">
      <alignment horizontal="center" vertical="center"/>
    </xf>
    <xf numFmtId="190" fontId="94" fillId="0" borderId="187" xfId="0" applyNumberFormat="1" applyFont="1" applyFill="1" applyBorder="1" applyAlignment="1">
      <alignment horizontal="center" vertical="center"/>
    </xf>
    <xf numFmtId="0" fontId="86" fillId="0" borderId="0" xfId="0" applyFont="1" applyBorder="1" applyAlignment="1">
      <alignment vertical="top" wrapText="1"/>
    </xf>
    <xf numFmtId="0" fontId="1" fillId="0" borderId="0" xfId="3786" applyFont="1" applyAlignment="1">
      <alignment vertical="center"/>
    </xf>
    <xf numFmtId="0" fontId="115" fillId="0" borderId="0" xfId="3786" applyFont="1" applyFill="1" applyBorder="1" applyAlignment="1">
      <alignment vertical="center"/>
    </xf>
    <xf numFmtId="0" fontId="42" fillId="0" borderId="192" xfId="3786" applyFont="1" applyFill="1" applyBorder="1" applyAlignment="1">
      <alignment horizontal="center" vertical="center"/>
    </xf>
    <xf numFmtId="0" fontId="42" fillId="0" borderId="192" xfId="3786" applyFont="1" applyFill="1" applyBorder="1" applyAlignment="1">
      <alignment horizontal="center" vertical="center" wrapText="1"/>
    </xf>
    <xf numFmtId="0" fontId="41" fillId="0" borderId="178" xfId="3786" applyFont="1" applyFill="1" applyBorder="1" applyAlignment="1">
      <alignment horizontal="left" vertical="center" indent="1"/>
    </xf>
    <xf numFmtId="0" fontId="41" fillId="0" borderId="179" xfId="3786" applyFont="1" applyFill="1" applyBorder="1" applyAlignment="1">
      <alignment horizontal="center" vertical="center"/>
    </xf>
    <xf numFmtId="0" fontId="41" fillId="0" borderId="135" xfId="3786" applyFont="1" applyFill="1" applyBorder="1" applyAlignment="1">
      <alignment horizontal="left" vertical="center" indent="1"/>
    </xf>
    <xf numFmtId="0" fontId="41" fillId="0" borderId="135" xfId="3786" applyFont="1" applyFill="1" applyBorder="1" applyAlignment="1">
      <alignment horizontal="center" vertical="center"/>
    </xf>
    <xf numFmtId="0" fontId="41" fillId="0" borderId="180" xfId="3786" applyFont="1" applyFill="1" applyBorder="1" applyAlignment="1">
      <alignment horizontal="center" vertical="center"/>
    </xf>
    <xf numFmtId="0" fontId="41" fillId="0" borderId="180" xfId="3786" applyFont="1" applyFill="1" applyBorder="1" applyAlignment="1">
      <alignment horizontal="center" vertical="center" wrapText="1"/>
    </xf>
    <xf numFmtId="0" fontId="257" fillId="0" borderId="180" xfId="3786" applyFont="1" applyFill="1" applyBorder="1" applyAlignment="1">
      <alignment horizontal="center" vertical="center"/>
    </xf>
    <xf numFmtId="0" fontId="41" fillId="0" borderId="178" xfId="3786" applyFont="1" applyFill="1" applyBorder="1" applyAlignment="1">
      <alignment horizontal="center" vertical="center"/>
    </xf>
    <xf numFmtId="0" fontId="41" fillId="0" borderId="179" xfId="3786" applyFont="1" applyFill="1" applyBorder="1" applyAlignment="1">
      <alignment horizontal="center" vertical="center" wrapText="1"/>
    </xf>
    <xf numFmtId="0" fontId="41" fillId="0" borderId="181" xfId="3786" applyFont="1" applyFill="1" applyBorder="1" applyAlignment="1">
      <alignment horizontal="left" vertical="center" indent="1"/>
    </xf>
    <xf numFmtId="0" fontId="41" fillId="0" borderId="181" xfId="3786" applyFont="1" applyFill="1" applyBorder="1" applyAlignment="1">
      <alignment horizontal="center" vertical="center"/>
    </xf>
    <xf numFmtId="0" fontId="41" fillId="0" borderId="182" xfId="3786" applyFont="1" applyFill="1" applyBorder="1" applyAlignment="1">
      <alignment horizontal="center" vertical="center" wrapText="1"/>
    </xf>
    <xf numFmtId="0" fontId="41" fillId="0" borderId="178" xfId="149" applyFont="1" applyFill="1" applyBorder="1" applyAlignment="1">
      <alignment horizontal="left" wrapText="1" indent="1"/>
    </xf>
    <xf numFmtId="0" fontId="41" fillId="0" borderId="135" xfId="149" applyFont="1" applyFill="1" applyBorder="1" applyAlignment="1">
      <alignment horizontal="left" wrapText="1" indent="1"/>
    </xf>
    <xf numFmtId="0" fontId="60" fillId="0" borderId="0" xfId="3786" applyFont="1" applyBorder="1" applyAlignment="1">
      <alignment vertical="center"/>
    </xf>
    <xf numFmtId="0" fontId="1" fillId="0" borderId="0" xfId="3786" applyFont="1" applyFill="1" applyBorder="1" applyAlignment="1">
      <alignment vertical="center"/>
    </xf>
    <xf numFmtId="0" fontId="243" fillId="0" borderId="0" xfId="3786" applyFont="1" applyFill="1" applyBorder="1" applyAlignment="1">
      <alignment vertical="center"/>
    </xf>
    <xf numFmtId="15" fontId="42" fillId="0" borderId="194" xfId="3786" applyNumberFormat="1" applyFont="1" applyFill="1" applyBorder="1" applyAlignment="1">
      <alignment horizontal="center" vertical="center"/>
    </xf>
    <xf numFmtId="0" fontId="42" fillId="0" borderId="194" xfId="3786" applyFont="1" applyFill="1" applyBorder="1" applyAlignment="1">
      <alignment horizontal="center" vertical="center"/>
    </xf>
    <xf numFmtId="0" fontId="42" fillId="0" borderId="194" xfId="3786" applyFont="1" applyFill="1" applyBorder="1" applyAlignment="1">
      <alignment horizontal="center" vertical="center" wrapText="1"/>
    </xf>
    <xf numFmtId="0" fontId="41" fillId="0" borderId="195" xfId="3786" applyFont="1" applyFill="1" applyBorder="1" applyAlignment="1">
      <alignment horizontal="center" vertical="center" wrapText="1"/>
    </xf>
    <xf numFmtId="0" fontId="41" fillId="0" borderId="186" xfId="3786" applyFont="1" applyFill="1" applyBorder="1" applyAlignment="1">
      <alignment horizontal="left" vertical="center" indent="1"/>
    </xf>
    <xf numFmtId="0" fontId="41" fillId="0" borderId="186" xfId="3786" applyFont="1" applyFill="1" applyBorder="1" applyAlignment="1">
      <alignment horizontal="center" vertical="center"/>
    </xf>
    <xf numFmtId="0" fontId="41" fillId="0" borderId="187" xfId="3786" applyFont="1" applyFill="1" applyBorder="1" applyAlignment="1">
      <alignment horizontal="center" vertical="center"/>
    </xf>
    <xf numFmtId="0" fontId="244" fillId="0" borderId="0" xfId="3786" applyFont="1" applyFill="1" applyBorder="1" applyAlignment="1">
      <alignment vertical="center"/>
    </xf>
    <xf numFmtId="0" fontId="42" fillId="0" borderId="196" xfId="3786" applyFont="1" applyFill="1" applyBorder="1" applyAlignment="1">
      <alignment horizontal="center" vertical="center"/>
    </xf>
    <xf numFmtId="0" fontId="42" fillId="0" borderId="196" xfId="3786" applyFont="1" applyFill="1" applyBorder="1" applyAlignment="1">
      <alignment horizontal="center" vertical="center" wrapText="1"/>
    </xf>
    <xf numFmtId="0" fontId="220" fillId="0" borderId="179" xfId="3786" applyFont="1" applyFill="1" applyBorder="1" applyAlignment="1">
      <alignment horizontal="center" vertical="center"/>
    </xf>
    <xf numFmtId="0" fontId="94" fillId="0" borderId="180" xfId="3786" applyFont="1" applyFill="1" applyBorder="1" applyAlignment="1">
      <alignment horizontal="center" vertical="center" wrapText="1"/>
    </xf>
    <xf numFmtId="0" fontId="54" fillId="0" borderId="181" xfId="3786" applyFont="1" applyFill="1" applyBorder="1" applyAlignment="1">
      <alignment horizontal="left" vertical="center" indent="1"/>
    </xf>
    <xf numFmtId="0" fontId="220" fillId="0" borderId="180" xfId="3786" applyFont="1" applyFill="1" applyBorder="1" applyAlignment="1">
      <alignment horizontal="center" vertical="center"/>
    </xf>
    <xf numFmtId="0" fontId="42" fillId="0" borderId="198" xfId="3786" applyFont="1" applyFill="1" applyBorder="1" applyAlignment="1">
      <alignment horizontal="center" vertical="center"/>
    </xf>
    <xf numFmtId="0" fontId="42" fillId="0" borderId="198" xfId="3786" applyFont="1" applyFill="1" applyBorder="1" applyAlignment="1">
      <alignment horizontal="center" vertical="center" wrapText="1"/>
    </xf>
    <xf numFmtId="0" fontId="216" fillId="0" borderId="180" xfId="3786" applyFont="1" applyFill="1" applyBorder="1" applyAlignment="1">
      <alignment horizontal="center" vertical="center" wrapText="1"/>
    </xf>
    <xf numFmtId="0" fontId="1" fillId="22" borderId="0" xfId="3786" applyFont="1" applyFill="1" applyBorder="1" applyAlignment="1">
      <alignment vertical="center"/>
    </xf>
    <xf numFmtId="0" fontId="176" fillId="22" borderId="0" xfId="3786" applyFont="1" applyFill="1" applyBorder="1" applyAlignment="1">
      <alignment vertical="center"/>
    </xf>
    <xf numFmtId="0" fontId="54" fillId="0" borderId="16" xfId="142" applyFont="1" applyFill="1" applyBorder="1" applyAlignment="1">
      <alignment horizontal="center" vertical="center" wrapText="1"/>
    </xf>
    <xf numFmtId="0" fontId="54" fillId="0" borderId="140" xfId="142" applyFont="1" applyFill="1" applyBorder="1" applyAlignment="1">
      <alignment horizontal="center"/>
    </xf>
    <xf numFmtId="0" fontId="54" fillId="0" borderId="133" xfId="142" applyFont="1" applyFill="1" applyBorder="1" applyAlignment="1">
      <alignment horizontal="center"/>
    </xf>
    <xf numFmtId="0" fontId="93" fillId="0" borderId="0" xfId="142" applyFont="1" applyBorder="1" applyAlignment="1">
      <alignment horizontal="center" vertical="center"/>
    </xf>
    <xf numFmtId="0" fontId="54" fillId="0" borderId="139" xfId="142" applyFont="1" applyFill="1" applyBorder="1" applyAlignment="1">
      <alignment horizontal="center"/>
    </xf>
    <xf numFmtId="0" fontId="242" fillId="0" borderId="0" xfId="142" applyFont="1" applyBorder="1" applyAlignment="1">
      <alignment horizontal="right" vertical="center" indent="1"/>
    </xf>
    <xf numFmtId="0" fontId="79" fillId="0" borderId="136" xfId="142" applyFont="1" applyFill="1" applyBorder="1" applyAlignment="1">
      <alignment horizontal="center"/>
    </xf>
    <xf numFmtId="0" fontId="239" fillId="0" borderId="0" xfId="0" applyFont="1" applyFill="1" applyBorder="1" applyAlignment="1">
      <alignment vertical="center"/>
    </xf>
    <xf numFmtId="0" fontId="0" fillId="0" borderId="0" xfId="0"/>
    <xf numFmtId="0" fontId="0" fillId="0" borderId="0" xfId="0"/>
    <xf numFmtId="0" fontId="0" fillId="0" borderId="0" xfId="0"/>
    <xf numFmtId="0" fontId="39" fillId="0" borderId="284" xfId="0" applyFont="1" applyBorder="1" applyAlignment="1">
      <alignment horizontal="center" vertical="center"/>
    </xf>
    <xf numFmtId="3" fontId="39" fillId="20" borderId="284" xfId="0" applyNumberFormat="1" applyFont="1" applyFill="1" applyBorder="1" applyAlignment="1">
      <alignment horizontal="center" vertical="center"/>
    </xf>
    <xf numFmtId="3" fontId="0" fillId="0" borderId="187" xfId="0" applyNumberFormat="1" applyBorder="1" applyAlignment="1">
      <alignment horizontal="center" vertical="center"/>
    </xf>
    <xf numFmtId="0" fontId="39" fillId="0" borderId="289" xfId="0" applyFont="1" applyBorder="1" applyAlignment="1">
      <alignment horizontal="center" vertical="center"/>
    </xf>
    <xf numFmtId="3" fontId="39" fillId="20" borderId="289" xfId="0" applyNumberFormat="1" applyFont="1" applyFill="1" applyBorder="1" applyAlignment="1">
      <alignment horizontal="center" vertical="center"/>
    </xf>
    <xf numFmtId="0" fontId="174" fillId="0" borderId="0" xfId="0" applyFont="1" applyAlignment="1">
      <alignment vertical="center"/>
    </xf>
    <xf numFmtId="0" fontId="39" fillId="0" borderId="247" xfId="0" applyFont="1" applyFill="1" applyBorder="1" applyAlignment="1">
      <alignment horizontal="center"/>
    </xf>
    <xf numFmtId="0" fontId="0" fillId="0" borderId="0" xfId="0"/>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2" fillId="0" borderId="0" xfId="0" applyFont="1" applyAlignment="1">
      <alignment horizontal="center" vertical="center" wrapText="1"/>
    </xf>
    <xf numFmtId="0" fontId="43" fillId="0" borderId="0" xfId="0" applyFont="1" applyAlignment="1">
      <alignment horizontal="center" vertical="center" wrapText="1"/>
    </xf>
    <xf numFmtId="0" fontId="39" fillId="0" borderId="16" xfId="0" applyFont="1" applyFill="1" applyBorder="1" applyAlignment="1">
      <alignment horizontal="center" vertical="center" wrapText="1"/>
    </xf>
    <xf numFmtId="0" fontId="0" fillId="0" borderId="200" xfId="0" applyFont="1" applyFill="1" applyBorder="1" applyAlignment="1">
      <alignment horizontal="left" vertical="center"/>
    </xf>
    <xf numFmtId="0" fontId="0" fillId="0" borderId="22" xfId="0" applyBorder="1" applyAlignment="1">
      <alignment horizontal="left" vertical="center"/>
    </xf>
    <xf numFmtId="0" fontId="42" fillId="43" borderId="22" xfId="377" applyFont="1" applyFill="1" applyBorder="1" applyAlignment="1">
      <alignment horizontal="left" vertical="center"/>
    </xf>
    <xf numFmtId="0" fontId="41" fillId="0" borderId="22" xfId="0" applyFont="1" applyBorder="1" applyAlignment="1">
      <alignment horizontal="left" vertical="center" wrapText="1"/>
    </xf>
    <xf numFmtId="0" fontId="0" fillId="0" borderId="22" xfId="0" applyFill="1" applyBorder="1" applyAlignment="1">
      <alignment horizontal="left" vertical="center" wrapText="1"/>
    </xf>
    <xf numFmtId="0" fontId="0" fillId="0" borderId="22" xfId="0" applyFill="1" applyBorder="1" applyAlignment="1">
      <alignment horizontal="center" vertical="center" wrapText="1"/>
    </xf>
    <xf numFmtId="0" fontId="41" fillId="0" borderId="22" xfId="0" applyFont="1" applyFill="1" applyBorder="1" applyAlignment="1">
      <alignment horizontal="left" vertical="center" wrapText="1"/>
    </xf>
    <xf numFmtId="0" fontId="0" fillId="0" borderId="23" xfId="0" applyFill="1" applyBorder="1" applyAlignment="1">
      <alignment horizontal="center" vertical="center" wrapText="1"/>
    </xf>
    <xf numFmtId="0" fontId="41" fillId="0" borderId="23" xfId="0" applyFont="1" applyBorder="1" applyAlignment="1">
      <alignment horizontal="left" vertical="center" wrapText="1"/>
    </xf>
    <xf numFmtId="0" fontId="192" fillId="0" borderId="16" xfId="0" applyFont="1" applyBorder="1" applyAlignment="1">
      <alignment horizontal="center" vertical="center" wrapText="1"/>
    </xf>
    <xf numFmtId="0" fontId="41" fillId="34" borderId="200" xfId="377" applyFont="1" applyFill="1" applyBorder="1" applyAlignment="1">
      <alignment horizontal="left" vertical="center" wrapText="1"/>
    </xf>
    <xf numFmtId="0" fontId="41" fillId="34" borderId="22" xfId="377" applyFont="1" applyFill="1" applyBorder="1" applyAlignment="1">
      <alignment horizontal="left" vertical="center" wrapText="1"/>
    </xf>
    <xf numFmtId="0" fontId="213" fillId="0" borderId="22" xfId="0" applyFont="1" applyFill="1" applyBorder="1" applyAlignment="1">
      <alignment horizontal="center" vertical="center" wrapText="1"/>
    </xf>
    <xf numFmtId="0" fontId="41" fillId="34" borderId="23" xfId="377" applyFont="1" applyFill="1" applyBorder="1" applyAlignment="1">
      <alignment horizontal="left" vertical="center" wrapText="1"/>
    </xf>
    <xf numFmtId="0" fontId="0" fillId="0" borderId="22" xfId="0" applyFont="1" applyFill="1" applyBorder="1" applyAlignment="1">
      <alignment horizontal="center" vertical="center"/>
    </xf>
    <xf numFmtId="0" fontId="0" fillId="0" borderId="22" xfId="0" applyFont="1" applyBorder="1" applyAlignment="1">
      <alignment horizontal="center" vertical="center"/>
    </xf>
    <xf numFmtId="0" fontId="41" fillId="0" borderId="22" xfId="0" applyFont="1" applyBorder="1" applyAlignment="1">
      <alignment horizontal="left" vertical="center"/>
    </xf>
    <xf numFmtId="0" fontId="39" fillId="43" borderId="22" xfId="0" applyFont="1" applyFill="1" applyBorder="1" applyAlignment="1">
      <alignment horizontal="left" vertical="center"/>
    </xf>
    <xf numFmtId="0" fontId="0" fillId="0" borderId="23" xfId="0" applyFont="1" applyBorder="1" applyAlignment="1">
      <alignment horizontal="center" vertical="center"/>
    </xf>
    <xf numFmtId="0" fontId="0" fillId="0" borderId="200" xfId="0" applyFill="1" applyBorder="1" applyAlignment="1">
      <alignment horizontal="center" vertical="center" wrapText="1"/>
    </xf>
    <xf numFmtId="0" fontId="0" fillId="0" borderId="22" xfId="0" applyFont="1" applyBorder="1" applyAlignment="1">
      <alignment horizontal="center" vertical="center" wrapText="1"/>
    </xf>
    <xf numFmtId="0" fontId="0" fillId="0" borderId="22" xfId="0"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00" xfId="0" applyFont="1" applyFill="1" applyBorder="1" applyAlignment="1">
      <alignment vertical="center" wrapText="1"/>
    </xf>
    <xf numFmtId="0" fontId="0" fillId="0" borderId="200" xfId="0" applyFont="1" applyFill="1" applyBorder="1" applyAlignment="1">
      <alignment horizontal="center" vertical="center" wrapText="1"/>
    </xf>
    <xf numFmtId="0" fontId="0" fillId="0" borderId="22" xfId="0" applyFont="1" applyFill="1" applyBorder="1" applyAlignment="1">
      <alignment vertical="center" wrapText="1"/>
    </xf>
    <xf numFmtId="0" fontId="0" fillId="0" borderId="22" xfId="0" applyFont="1" applyBorder="1" applyAlignment="1">
      <alignment vertical="center" wrapText="1"/>
    </xf>
    <xf numFmtId="1" fontId="0" fillId="0" borderId="22" xfId="0" applyNumberFormat="1" applyFont="1" applyFill="1" applyBorder="1" applyAlignment="1">
      <alignment horizontal="center" vertical="center" wrapText="1"/>
    </xf>
    <xf numFmtId="0" fontId="0" fillId="0" borderId="22" xfId="0" applyFill="1" applyBorder="1" applyAlignment="1">
      <alignment vertical="center" wrapText="1"/>
    </xf>
    <xf numFmtId="0" fontId="0" fillId="0" borderId="23" xfId="0" applyFill="1" applyBorder="1" applyAlignment="1">
      <alignment vertical="center" wrapText="1"/>
    </xf>
    <xf numFmtId="0" fontId="0" fillId="0" borderId="23" xfId="0" applyFont="1" applyFill="1" applyBorder="1" applyAlignment="1">
      <alignment horizontal="center" vertical="center" wrapText="1"/>
    </xf>
    <xf numFmtId="0" fontId="79" fillId="0" borderId="284" xfId="173" applyFont="1" applyFill="1" applyBorder="1" applyAlignment="1">
      <alignment horizontal="center" vertical="center" wrapText="1"/>
    </xf>
    <xf numFmtId="172" fontId="79" fillId="0" borderId="284" xfId="107" applyNumberFormat="1" applyFont="1" applyFill="1" applyBorder="1" applyAlignment="1">
      <alignment horizontal="center" vertical="center" wrapText="1"/>
    </xf>
    <xf numFmtId="171" fontId="79" fillId="0" borderId="284" xfId="176" applyNumberFormat="1" applyFont="1" applyFill="1" applyBorder="1" applyAlignment="1">
      <alignment horizontal="center" vertical="center" wrapText="1"/>
    </xf>
    <xf numFmtId="0" fontId="66" fillId="0" borderId="0" xfId="0" applyFont="1" applyAlignment="1">
      <alignment horizontal="center" vertical="center"/>
    </xf>
    <xf numFmtId="0" fontId="0" fillId="0" borderId="0" xfId="0"/>
    <xf numFmtId="0" fontId="44" fillId="0" borderId="0" xfId="0" applyFont="1" applyAlignment="1">
      <alignment horizontal="center" vertical="center" wrapText="1"/>
    </xf>
    <xf numFmtId="0" fontId="61" fillId="0" borderId="0" xfId="0" applyFont="1" applyAlignment="1">
      <alignment horizontal="center" vertical="center" wrapText="1"/>
    </xf>
    <xf numFmtId="0" fontId="39" fillId="20" borderId="284" xfId="0" applyFont="1" applyFill="1" applyBorder="1" applyAlignment="1">
      <alignment horizontal="center" vertical="center"/>
    </xf>
    <xf numFmtId="3" fontId="39" fillId="20" borderId="292" xfId="0" applyNumberFormat="1" applyFont="1" applyFill="1" applyBorder="1"/>
    <xf numFmtId="3" fontId="39" fillId="20" borderId="227" xfId="0" applyNumberFormat="1" applyFont="1" applyFill="1" applyBorder="1"/>
    <xf numFmtId="168" fontId="39" fillId="43" borderId="289" xfId="176" applyNumberFormat="1" applyFont="1" applyFill="1" applyBorder="1" applyAlignment="1">
      <alignment horizontal="center" vertical="center"/>
    </xf>
    <xf numFmtId="0" fontId="6" fillId="0" borderId="0" xfId="0" applyFont="1" applyAlignment="1">
      <alignment horizontal="center"/>
    </xf>
    <xf numFmtId="0" fontId="0" fillId="0" borderId="0" xfId="0"/>
    <xf numFmtId="0" fontId="147" fillId="20" borderId="247" xfId="822" applyFont="1" applyFill="1" applyBorder="1" applyAlignment="1">
      <alignment horizontal="center" vertical="center"/>
    </xf>
    <xf numFmtId="0" fontId="51" fillId="0" borderId="0" xfId="822" applyAlignment="1">
      <alignment horizontal="left" vertical="center" wrapText="1"/>
    </xf>
    <xf numFmtId="0" fontId="147" fillId="20" borderId="247" xfId="822" applyFont="1" applyFill="1" applyBorder="1" applyAlignment="1">
      <alignment horizontal="center"/>
    </xf>
    <xf numFmtId="0" fontId="147" fillId="20" borderId="154" xfId="822" applyFont="1" applyFill="1" applyBorder="1" applyAlignment="1">
      <alignment horizontal="center"/>
    </xf>
    <xf numFmtId="0" fontId="45" fillId="0" borderId="247" xfId="0" applyFont="1" applyBorder="1" applyAlignment="1">
      <alignment horizontal="center" vertical="center"/>
    </xf>
    <xf numFmtId="0" fontId="31" fillId="0" borderId="247" xfId="0" applyFont="1" applyBorder="1" applyAlignment="1">
      <alignment vertical="center"/>
    </xf>
    <xf numFmtId="0" fontId="31" fillId="0" borderId="247" xfId="0" applyFont="1" applyBorder="1" applyAlignment="1">
      <alignment horizontal="center"/>
    </xf>
    <xf numFmtId="171" fontId="31" fillId="0" borderId="297" xfId="0" applyNumberFormat="1" applyFont="1" applyBorder="1" applyAlignment="1">
      <alignment horizontal="center" vertical="center"/>
    </xf>
    <xf numFmtId="168" fontId="31" fillId="0" borderId="247" xfId="0" applyNumberFormat="1" applyFont="1" applyBorder="1" applyAlignment="1">
      <alignment horizontal="center"/>
    </xf>
    <xf numFmtId="191" fontId="31" fillId="0" borderId="247" xfId="818" applyNumberFormat="1" applyFont="1" applyBorder="1" applyAlignment="1">
      <alignment horizontal="center"/>
    </xf>
    <xf numFmtId="0" fontId="35" fillId="0" borderId="247" xfId="0" applyFont="1" applyBorder="1" applyAlignment="1">
      <alignment horizontal="center" vertical="center"/>
    </xf>
    <xf numFmtId="191" fontId="29" fillId="0" borderId="247" xfId="452" applyNumberFormat="1" applyFont="1" applyBorder="1" applyAlignment="1">
      <alignment horizontal="center" vertical="center"/>
    </xf>
    <xf numFmtId="168" fontId="154" fillId="43" borderId="247" xfId="0" applyNumberFormat="1" applyFont="1" applyFill="1" applyBorder="1" applyAlignment="1">
      <alignment horizontal="center"/>
    </xf>
    <xf numFmtId="0" fontId="35" fillId="20" borderId="175" xfId="0" applyFont="1" applyFill="1" applyBorder="1" applyAlignment="1">
      <alignment horizontal="center" vertical="center"/>
    </xf>
    <xf numFmtId="0" fontId="35" fillId="20" borderId="175" xfId="0" applyFont="1" applyFill="1" applyBorder="1" applyAlignment="1">
      <alignment horizontal="center" vertical="center" wrapText="1"/>
    </xf>
    <xf numFmtId="0" fontId="35" fillId="20" borderId="175" xfId="0" applyFont="1" applyFill="1" applyBorder="1" applyAlignment="1">
      <alignment horizontal="center"/>
    </xf>
    <xf numFmtId="0" fontId="35" fillId="20" borderId="175" xfId="452" applyFont="1" applyFill="1" applyBorder="1" applyAlignment="1">
      <alignment horizontal="center" vertical="center" wrapText="1"/>
    </xf>
    <xf numFmtId="0" fontId="35" fillId="20" borderId="175" xfId="452" applyFont="1" applyFill="1" applyBorder="1" applyAlignment="1">
      <alignment horizontal="center" vertical="center"/>
    </xf>
    <xf numFmtId="0" fontId="35" fillId="20" borderId="175" xfId="3787" applyFont="1" applyFill="1" applyBorder="1" applyAlignment="1">
      <alignment horizontal="center" vertical="center" wrapText="1"/>
    </xf>
    <xf numFmtId="0" fontId="29" fillId="0" borderId="79" xfId="239" applyFont="1" applyBorder="1" applyAlignment="1">
      <alignment horizontal="left" vertical="top"/>
    </xf>
    <xf numFmtId="182" fontId="29" fillId="0" borderId="79" xfId="239" applyNumberFormat="1" applyFont="1" applyBorder="1" applyAlignment="1">
      <alignment horizontal="center" vertical="center"/>
    </xf>
    <xf numFmtId="171" fontId="29" fillId="0" borderId="79" xfId="239" applyNumberFormat="1" applyFont="1" applyBorder="1" applyAlignment="1">
      <alignment horizontal="center" vertical="center"/>
    </xf>
    <xf numFmtId="191" fontId="29" fillId="0" borderId="79" xfId="452" applyNumberFormat="1" applyFont="1" applyBorder="1" applyAlignment="1">
      <alignment horizontal="center" vertical="center"/>
    </xf>
    <xf numFmtId="9" fontId="29" fillId="0" borderId="79" xfId="452" applyNumberFormat="1" applyFont="1" applyBorder="1" applyAlignment="1">
      <alignment horizontal="center" vertical="center"/>
    </xf>
    <xf numFmtId="0" fontId="29" fillId="0" borderId="17" xfId="239" applyFont="1" applyBorder="1" applyAlignment="1">
      <alignment horizontal="left" vertical="top"/>
    </xf>
    <xf numFmtId="182" fontId="29" fillId="0" borderId="17" xfId="239" applyNumberFormat="1" applyFont="1" applyBorder="1" applyAlignment="1">
      <alignment horizontal="center" vertical="center"/>
    </xf>
    <xf numFmtId="171" fontId="29" fillId="0" borderId="17" xfId="239" applyNumberFormat="1" applyFont="1" applyBorder="1" applyAlignment="1">
      <alignment horizontal="center" vertical="center"/>
    </xf>
    <xf numFmtId="191" fontId="29" fillId="0" borderId="17" xfId="452" applyNumberFormat="1" applyFont="1" applyBorder="1" applyAlignment="1">
      <alignment horizontal="center" vertical="center"/>
    </xf>
    <xf numFmtId="9" fontId="29" fillId="0" borderId="17" xfId="452" applyNumberFormat="1" applyFont="1" applyBorder="1" applyAlignment="1">
      <alignment horizontal="center" vertical="center"/>
    </xf>
    <xf numFmtId="0" fontId="29" fillId="0" borderId="17" xfId="239" applyFont="1" applyBorder="1" applyAlignment="1">
      <alignment horizontal="center" vertical="center"/>
    </xf>
    <xf numFmtId="0" fontId="29" fillId="0" borderId="17" xfId="0" applyFont="1" applyBorder="1" applyAlignment="1">
      <alignment horizontal="center" vertical="center"/>
    </xf>
    <xf numFmtId="0" fontId="29" fillId="0" borderId="20" xfId="239" applyFont="1" applyBorder="1" applyAlignment="1">
      <alignment horizontal="left" vertical="top"/>
    </xf>
    <xf numFmtId="182" fontId="29" fillId="0" borderId="20" xfId="239" applyNumberFormat="1" applyFont="1" applyBorder="1" applyAlignment="1">
      <alignment horizontal="center" vertical="center"/>
    </xf>
    <xf numFmtId="171" fontId="29" fillId="0" borderId="20" xfId="239" applyNumberFormat="1" applyFont="1" applyBorder="1" applyAlignment="1">
      <alignment horizontal="center" vertical="center"/>
    </xf>
    <xf numFmtId="0" fontId="29" fillId="0" borderId="20" xfId="239" applyFont="1" applyBorder="1" applyAlignment="1">
      <alignment horizontal="center" vertical="center"/>
    </xf>
    <xf numFmtId="0" fontId="29" fillId="0" borderId="20" xfId="0" applyFont="1" applyBorder="1" applyAlignment="1">
      <alignment horizontal="center" vertical="center"/>
    </xf>
    <xf numFmtId="0" fontId="29" fillId="0" borderId="30" xfId="239" applyFont="1" applyBorder="1" applyAlignment="1">
      <alignment horizontal="left" vertical="top"/>
    </xf>
    <xf numFmtId="182" fontId="29" fillId="0" borderId="30" xfId="239" applyNumberFormat="1" applyFont="1" applyBorder="1" applyAlignment="1">
      <alignment horizontal="center" vertical="center"/>
    </xf>
    <xf numFmtId="171" fontId="29" fillId="0" borderId="30" xfId="239" applyNumberFormat="1" applyFont="1" applyBorder="1" applyAlignment="1">
      <alignment horizontal="center" vertical="center"/>
    </xf>
    <xf numFmtId="191" fontId="29" fillId="0" borderId="30" xfId="452" applyNumberFormat="1" applyFont="1" applyBorder="1" applyAlignment="1">
      <alignment horizontal="center" vertical="center"/>
    </xf>
    <xf numFmtId="191" fontId="29" fillId="0" borderId="20" xfId="452" applyNumberFormat="1" applyFont="1" applyBorder="1" applyAlignment="1">
      <alignment horizontal="center" vertical="center"/>
    </xf>
    <xf numFmtId="9" fontId="29" fillId="0" borderId="20" xfId="452" applyNumberFormat="1" applyFont="1" applyBorder="1" applyAlignment="1">
      <alignment horizontal="center" vertical="center"/>
    </xf>
    <xf numFmtId="9" fontId="29" fillId="0" borderId="30" xfId="452" applyNumberFormat="1" applyFont="1" applyBorder="1" applyAlignment="1">
      <alignment horizontal="center" vertical="center"/>
    </xf>
    <xf numFmtId="0" fontId="29" fillId="0" borderId="17" xfId="452" applyFont="1" applyBorder="1" applyAlignment="1">
      <alignment horizontal="center" vertical="center"/>
    </xf>
    <xf numFmtId="0" fontId="29" fillId="0" borderId="30" xfId="0" applyFont="1" applyBorder="1" applyAlignment="1">
      <alignment horizontal="center" vertical="center"/>
    </xf>
    <xf numFmtId="0" fontId="29" fillId="0" borderId="30" xfId="239" applyFont="1" applyBorder="1" applyAlignment="1">
      <alignment horizontal="center" vertical="center"/>
    </xf>
    <xf numFmtId="0" fontId="29" fillId="0" borderId="31" xfId="239" applyFont="1" applyBorder="1" applyAlignment="1">
      <alignment horizontal="left" vertical="top"/>
    </xf>
    <xf numFmtId="182" fontId="29" fillId="0" borderId="31" xfId="239" applyNumberFormat="1" applyFont="1" applyBorder="1" applyAlignment="1">
      <alignment horizontal="center" vertical="center"/>
    </xf>
    <xf numFmtId="171" fontId="29" fillId="0" borderId="31" xfId="239" applyNumberFormat="1" applyFont="1" applyBorder="1" applyAlignment="1">
      <alignment horizontal="center" vertical="center"/>
    </xf>
    <xf numFmtId="191" fontId="29" fillId="0" borderId="31" xfId="452" applyNumberFormat="1" applyFont="1" applyBorder="1" applyAlignment="1">
      <alignment horizontal="center" vertical="center"/>
    </xf>
    <xf numFmtId="9" fontId="29" fillId="0" borderId="31" xfId="452" applyNumberFormat="1" applyFont="1" applyBorder="1" applyAlignment="1">
      <alignment horizontal="center" vertical="center"/>
    </xf>
    <xf numFmtId="0" fontId="29" fillId="0" borderId="31" xfId="239" applyFont="1" applyBorder="1" applyAlignment="1">
      <alignment horizontal="center" vertical="center"/>
    </xf>
    <xf numFmtId="0" fontId="29" fillId="0" borderId="79" xfId="239" applyFont="1" applyBorder="1" applyAlignment="1">
      <alignment horizontal="center" vertical="center"/>
    </xf>
    <xf numFmtId="0" fontId="29" fillId="0" borderId="175" xfId="239" applyFont="1" applyBorder="1" applyAlignment="1">
      <alignment horizontal="center" vertical="center" wrapText="1"/>
    </xf>
    <xf numFmtId="0" fontId="29" fillId="0" borderId="247" xfId="239" applyFont="1" applyBorder="1" applyAlignment="1">
      <alignment horizontal="left" vertical="center"/>
    </xf>
    <xf numFmtId="0" fontId="29" fillId="0" borderId="247" xfId="239" applyFont="1" applyBorder="1" applyAlignment="1">
      <alignment horizontal="center" vertical="center"/>
    </xf>
    <xf numFmtId="182" fontId="29" fillId="0" borderId="247" xfId="239" applyNumberFormat="1" applyFont="1" applyBorder="1" applyAlignment="1">
      <alignment horizontal="center" vertical="center"/>
    </xf>
    <xf numFmtId="171" fontId="29" fillId="0" borderId="247" xfId="239" applyNumberFormat="1" applyFont="1" applyBorder="1" applyAlignment="1">
      <alignment horizontal="center" vertical="center"/>
    </xf>
    <xf numFmtId="9" fontId="29" fillId="0" borderId="247" xfId="452" applyNumberFormat="1" applyFont="1" applyBorder="1" applyAlignment="1">
      <alignment horizontal="center" vertical="center"/>
    </xf>
    <xf numFmtId="182" fontId="35" fillId="20" borderId="175" xfId="0" applyNumberFormat="1" applyFont="1" applyFill="1" applyBorder="1" applyAlignment="1">
      <alignment horizontal="center" vertical="center"/>
    </xf>
    <xf numFmtId="171" fontId="35" fillId="20" borderId="175" xfId="239" applyNumberFormat="1" applyFont="1" applyFill="1" applyBorder="1" applyAlignment="1">
      <alignment horizontal="center" vertical="center"/>
    </xf>
    <xf numFmtId="191" fontId="35" fillId="20" borderId="175" xfId="452" applyNumberFormat="1" applyFont="1" applyFill="1" applyBorder="1" applyAlignment="1">
      <alignment horizontal="center" vertical="center"/>
    </xf>
    <xf numFmtId="0" fontId="37" fillId="0" borderId="0" xfId="822" applyFont="1" applyAlignment="1">
      <alignment horizontal="left" vertical="center"/>
    </xf>
    <xf numFmtId="0" fontId="225" fillId="0" borderId="247" xfId="0" applyFont="1" applyBorder="1" applyAlignment="1">
      <alignment horizontal="center" vertical="center" wrapText="1"/>
    </xf>
    <xf numFmtId="0" fontId="167" fillId="0" borderId="247" xfId="0" applyFont="1" applyBorder="1" applyAlignment="1">
      <alignment horizontal="center" vertical="center"/>
    </xf>
    <xf numFmtId="0" fontId="59" fillId="0" borderId="0" xfId="0" applyFont="1" applyAlignment="1">
      <alignment horizontal="center" vertical="center"/>
    </xf>
    <xf numFmtId="0" fontId="148" fillId="0" borderId="247" xfId="0" applyFont="1" applyBorder="1" applyAlignment="1">
      <alignment horizontal="center" vertical="center" wrapText="1"/>
    </xf>
    <xf numFmtId="182" fontId="148" fillId="0" borderId="247" xfId="0" applyNumberFormat="1" applyFont="1" applyBorder="1" applyAlignment="1">
      <alignment horizontal="center" vertical="center" wrapText="1"/>
    </xf>
    <xf numFmtId="171" fontId="148" fillId="0" borderId="247" xfId="0" applyNumberFormat="1" applyFont="1" applyBorder="1" applyAlignment="1">
      <alignment horizontal="center" vertical="center" wrapText="1"/>
    </xf>
    <xf numFmtId="0" fontId="59" fillId="0" borderId="247" xfId="0" applyFont="1" applyBorder="1" applyAlignment="1">
      <alignment horizontal="center" vertical="center"/>
    </xf>
    <xf numFmtId="182" fontId="225" fillId="0" borderId="247" xfId="0" applyNumberFormat="1" applyFont="1" applyBorder="1" applyAlignment="1">
      <alignment horizontal="center" vertical="center" wrapText="1"/>
    </xf>
    <xf numFmtId="171" fontId="225" fillId="0" borderId="247" xfId="0" applyNumberFormat="1" applyFont="1" applyBorder="1" applyAlignment="1">
      <alignment horizontal="center" vertical="center" wrapText="1"/>
    </xf>
    <xf numFmtId="0" fontId="167" fillId="0" borderId="247" xfId="0" applyFont="1" applyFill="1" applyBorder="1" applyAlignment="1">
      <alignment horizontal="center" vertical="center"/>
    </xf>
    <xf numFmtId="0" fontId="167" fillId="20" borderId="247" xfId="0" applyFont="1" applyFill="1" applyBorder="1" applyAlignment="1">
      <alignment horizontal="center" vertical="center"/>
    </xf>
    <xf numFmtId="0" fontId="167" fillId="43" borderId="247" xfId="0" applyFont="1" applyFill="1" applyBorder="1" applyAlignment="1">
      <alignment horizontal="center" vertical="center"/>
    </xf>
    <xf numFmtId="0" fontId="225" fillId="20" borderId="247" xfId="0" applyFont="1" applyFill="1" applyBorder="1" applyAlignment="1">
      <alignment horizontal="center" vertical="center" wrapText="1"/>
    </xf>
    <xf numFmtId="0" fontId="132" fillId="20" borderId="247" xfId="452" applyFont="1" applyFill="1" applyBorder="1" applyAlignment="1">
      <alignment horizontal="center" vertical="center" wrapText="1"/>
    </xf>
    <xf numFmtId="0" fontId="132" fillId="20" borderId="247" xfId="452" applyFont="1" applyFill="1" applyBorder="1" applyAlignment="1">
      <alignment horizontal="center" vertical="center"/>
    </xf>
    <xf numFmtId="0" fontId="132" fillId="20" borderId="247" xfId="3787" applyFont="1" applyFill="1" applyBorder="1" applyAlignment="1">
      <alignment horizontal="center" vertical="center" wrapText="1"/>
    </xf>
    <xf numFmtId="0" fontId="154" fillId="20" borderId="247" xfId="0" applyFont="1" applyFill="1" applyBorder="1" applyAlignment="1">
      <alignment horizontal="center" vertical="center"/>
    </xf>
    <xf numFmtId="0" fontId="35" fillId="0" borderId="297" xfId="0" applyFont="1" applyBorder="1" applyAlignment="1">
      <alignment horizontal="left" vertical="center"/>
    </xf>
    <xf numFmtId="0" fontId="35" fillId="20" borderId="247" xfId="3792" applyFont="1" applyFill="1" applyBorder="1" applyAlignment="1">
      <alignment horizontal="center" vertical="center"/>
    </xf>
    <xf numFmtId="0" fontId="35" fillId="20" borderId="247" xfId="3792" applyFont="1" applyFill="1" applyBorder="1" applyAlignment="1">
      <alignment horizontal="center" vertical="center" wrapText="1"/>
    </xf>
    <xf numFmtId="0" fontId="35" fillId="20" borderId="247" xfId="3792" applyFont="1" applyFill="1" applyBorder="1" applyAlignment="1"/>
    <xf numFmtId="0" fontId="35" fillId="43" borderId="247" xfId="0" applyFont="1" applyFill="1" applyBorder="1" applyAlignment="1">
      <alignment horizontal="center" vertical="center"/>
    </xf>
    <xf numFmtId="0" fontId="35" fillId="20" borderId="247" xfId="0" applyFont="1" applyFill="1" applyBorder="1" applyAlignment="1">
      <alignment horizontal="center" vertical="center"/>
    </xf>
    <xf numFmtId="0" fontId="35" fillId="20" borderId="247" xfId="452" applyFont="1" applyFill="1" applyBorder="1" applyAlignment="1">
      <alignment horizontal="center" vertical="center" wrapText="1"/>
    </xf>
    <xf numFmtId="0" fontId="35" fillId="20" borderId="247" xfId="452" applyFont="1" applyFill="1" applyBorder="1" applyAlignment="1">
      <alignment horizontal="center" vertical="center"/>
    </xf>
    <xf numFmtId="0" fontId="29" fillId="0" borderId="247" xfId="3792" applyFont="1" applyFill="1" applyBorder="1" applyAlignment="1">
      <alignment horizontal="left" vertical="top"/>
    </xf>
    <xf numFmtId="182" fontId="29" fillId="0" borderId="247" xfId="3792" applyNumberFormat="1" applyFont="1" applyFill="1" applyBorder="1" applyAlignment="1">
      <alignment horizontal="center" vertical="center"/>
    </xf>
    <xf numFmtId="0" fontId="45" fillId="0" borderId="247" xfId="0" applyFont="1" applyBorder="1" applyAlignment="1">
      <alignment horizontal="center"/>
    </xf>
    <xf numFmtId="171" fontId="45" fillId="0" borderId="247" xfId="0" applyNumberFormat="1" applyFont="1" applyBorder="1" applyAlignment="1">
      <alignment horizontal="center"/>
    </xf>
    <xf numFmtId="0" fontId="45" fillId="0" borderId="247" xfId="0" applyNumberFormat="1" applyFont="1" applyBorder="1" applyAlignment="1">
      <alignment horizontal="center"/>
    </xf>
    <xf numFmtId="0" fontId="45" fillId="0" borderId="247" xfId="0" applyFont="1" applyFill="1" applyBorder="1" applyAlignment="1">
      <alignment horizontal="center" vertical="center"/>
    </xf>
    <xf numFmtId="0" fontId="29" fillId="0" borderId="247" xfId="3792" applyFont="1" applyFill="1" applyBorder="1" applyAlignment="1">
      <alignment horizontal="center" vertical="center"/>
    </xf>
    <xf numFmtId="0" fontId="45" fillId="0" borderId="247" xfId="0" applyFont="1" applyFill="1" applyBorder="1" applyAlignment="1">
      <alignment horizontal="center"/>
    </xf>
    <xf numFmtId="171" fontId="45" fillId="0" borderId="247" xfId="0" applyNumberFormat="1" applyFont="1" applyFill="1" applyBorder="1" applyAlignment="1">
      <alignment horizontal="center"/>
    </xf>
    <xf numFmtId="0" fontId="29" fillId="0" borderId="247" xfId="3792" applyFont="1" applyFill="1" applyBorder="1" applyAlignment="1">
      <alignment horizontal="center" vertical="center" wrapText="1"/>
    </xf>
    <xf numFmtId="0" fontId="29" fillId="0" borderId="247" xfId="3792" applyFont="1" applyFill="1" applyBorder="1" applyAlignment="1">
      <alignment horizontal="left" vertical="center"/>
    </xf>
    <xf numFmtId="182" fontId="147" fillId="20" borderId="247" xfId="0" applyNumberFormat="1" applyFont="1" applyFill="1" applyBorder="1" applyAlignment="1">
      <alignment horizontal="center" vertical="center"/>
    </xf>
    <xf numFmtId="0" fontId="147" fillId="20" borderId="247" xfId="0" applyFont="1" applyFill="1" applyBorder="1" applyAlignment="1">
      <alignment horizontal="center"/>
    </xf>
    <xf numFmtId="171" fontId="147" fillId="20" borderId="247" xfId="0" applyNumberFormat="1" applyFont="1" applyFill="1" applyBorder="1" applyAlignment="1">
      <alignment horizontal="center"/>
    </xf>
    <xf numFmtId="0" fontId="147" fillId="43" borderId="247" xfId="0" applyFont="1" applyFill="1" applyBorder="1" applyAlignment="1">
      <alignment horizontal="center"/>
    </xf>
    <xf numFmtId="0" fontId="147" fillId="20" borderId="247" xfId="0" applyFont="1" applyFill="1" applyBorder="1" applyAlignment="1">
      <alignment horizontal="center" vertical="center"/>
    </xf>
    <xf numFmtId="0" fontId="154" fillId="20" borderId="297" xfId="0" applyFont="1" applyFill="1" applyBorder="1" applyAlignment="1">
      <alignment horizontal="center" vertical="center" wrapText="1"/>
    </xf>
    <xf numFmtId="0" fontId="154" fillId="20" borderId="247" xfId="0" applyFont="1" applyFill="1" applyBorder="1" applyAlignment="1">
      <alignment vertical="center"/>
    </xf>
    <xf numFmtId="0" fontId="154" fillId="20" borderId="247" xfId="0" applyFont="1" applyFill="1" applyBorder="1" applyAlignment="1">
      <alignment horizontal="center"/>
    </xf>
    <xf numFmtId="171" fontId="154" fillId="20" borderId="297" xfId="0" applyNumberFormat="1" applyFont="1" applyFill="1" applyBorder="1" applyAlignment="1">
      <alignment horizontal="center" vertical="center"/>
    </xf>
    <xf numFmtId="168" fontId="154" fillId="20" borderId="247" xfId="0" applyNumberFormat="1" applyFont="1" applyFill="1" applyBorder="1" applyAlignment="1">
      <alignment horizontal="center"/>
    </xf>
    <xf numFmtId="0" fontId="2" fillId="0" borderId="0" xfId="0" applyFont="1" applyAlignment="1">
      <alignment horizontal="left"/>
    </xf>
    <xf numFmtId="171" fontId="27" fillId="0" borderId="17" xfId="238" applyNumberFormat="1" applyFont="1" applyBorder="1" applyAlignment="1">
      <alignment horizontal="center" vertical="center"/>
    </xf>
    <xf numFmtId="171" fontId="27" fillId="0" borderId="30" xfId="238" applyNumberFormat="1" applyFont="1" applyBorder="1" applyAlignment="1">
      <alignment horizontal="center" vertical="center"/>
    </xf>
    <xf numFmtId="171" fontId="27" fillId="0" borderId="20" xfId="238" applyNumberFormat="1" applyFont="1" applyBorder="1" applyAlignment="1">
      <alignment horizontal="center" vertical="center"/>
    </xf>
    <xf numFmtId="0" fontId="56" fillId="20" borderId="154" xfId="238" applyFont="1" applyFill="1" applyBorder="1" applyAlignment="1">
      <alignment horizontal="center"/>
    </xf>
    <xf numFmtId="0" fontId="147" fillId="20" borderId="154" xfId="0" applyFont="1" applyFill="1" applyBorder="1" applyAlignment="1">
      <alignment horizontal="center"/>
    </xf>
    <xf numFmtId="0" fontId="27" fillId="0" borderId="254" xfId="238" applyFont="1" applyBorder="1" applyAlignment="1">
      <alignment horizontal="left" vertical="top"/>
    </xf>
    <xf numFmtId="0" fontId="27" fillId="0" borderId="254" xfId="238" applyFont="1" applyBorder="1" applyAlignment="1">
      <alignment horizontal="center" vertical="top"/>
    </xf>
    <xf numFmtId="182" fontId="27" fillId="0" borderId="79" xfId="238" applyNumberFormat="1" applyFont="1" applyBorder="1" applyAlignment="1">
      <alignment horizontal="center" vertical="center"/>
    </xf>
    <xf numFmtId="171" fontId="27" fillId="0" borderId="79" xfId="238" applyNumberFormat="1" applyFont="1" applyBorder="1" applyAlignment="1">
      <alignment horizontal="center" vertical="center"/>
    </xf>
    <xf numFmtId="191" fontId="27" fillId="0" borderId="79" xfId="238" applyNumberFormat="1" applyFont="1" applyBorder="1" applyAlignment="1">
      <alignment horizontal="center" vertical="center"/>
    </xf>
    <xf numFmtId="9" fontId="27" fillId="0" borderId="79" xfId="430" applyNumberFormat="1" applyFont="1" applyBorder="1" applyAlignment="1">
      <alignment horizontal="center" vertical="center"/>
    </xf>
    <xf numFmtId="191" fontId="27" fillId="0" borderId="79" xfId="430" applyNumberFormat="1" applyFont="1" applyBorder="1" applyAlignment="1">
      <alignment horizontal="center" vertical="center"/>
    </xf>
    <xf numFmtId="0" fontId="27" fillId="0" borderId="18" xfId="238" applyFont="1" applyBorder="1" applyAlignment="1">
      <alignment horizontal="left" vertical="top"/>
    </xf>
    <xf numFmtId="0" fontId="27" fillId="0" borderId="18" xfId="238" applyFont="1" applyBorder="1" applyAlignment="1">
      <alignment horizontal="center" vertical="top"/>
    </xf>
    <xf numFmtId="182" fontId="27" fillId="0" borderId="17" xfId="238" applyNumberFormat="1" applyFont="1" applyBorder="1" applyAlignment="1">
      <alignment horizontal="center" vertical="center"/>
    </xf>
    <xf numFmtId="191" fontId="27" fillId="0" borderId="17" xfId="238" applyNumberFormat="1" applyFont="1" applyBorder="1" applyAlignment="1">
      <alignment horizontal="center" vertical="center"/>
    </xf>
    <xf numFmtId="191" fontId="27" fillId="0" borderId="17" xfId="430" applyNumberFormat="1" applyFont="1" applyBorder="1" applyAlignment="1">
      <alignment horizontal="center" vertical="center"/>
    </xf>
    <xf numFmtId="9" fontId="27" fillId="0" borderId="17" xfId="430" applyNumberFormat="1" applyFont="1" applyBorder="1" applyAlignment="1">
      <alignment horizontal="center" vertical="center"/>
    </xf>
    <xf numFmtId="0" fontId="27" fillId="0" borderId="24" xfId="238" applyFont="1" applyBorder="1" applyAlignment="1">
      <alignment horizontal="left" vertical="top"/>
    </xf>
    <xf numFmtId="0" fontId="27" fillId="0" borderId="24" xfId="238" applyFont="1" applyBorder="1" applyAlignment="1">
      <alignment horizontal="center" vertical="top"/>
    </xf>
    <xf numFmtId="182" fontId="27" fillId="0" borderId="31" xfId="238" applyNumberFormat="1" applyFont="1" applyBorder="1" applyAlignment="1">
      <alignment horizontal="center" vertical="center"/>
    </xf>
    <xf numFmtId="171" fontId="27" fillId="0" borderId="31" xfId="238" applyNumberFormat="1" applyFont="1" applyBorder="1" applyAlignment="1">
      <alignment horizontal="center" vertical="center"/>
    </xf>
    <xf numFmtId="191" fontId="27" fillId="0" borderId="31" xfId="238" applyNumberFormat="1" applyFont="1" applyBorder="1" applyAlignment="1">
      <alignment horizontal="center" vertical="center"/>
    </xf>
    <xf numFmtId="9" fontId="27" fillId="0" borderId="31" xfId="238" applyNumberFormat="1" applyFont="1" applyBorder="1" applyAlignment="1">
      <alignment horizontal="center" vertical="center"/>
    </xf>
    <xf numFmtId="9" fontId="27" fillId="0" borderId="31" xfId="430" applyNumberFormat="1" applyFont="1" applyBorder="1" applyAlignment="1">
      <alignment horizontal="center" vertical="center"/>
    </xf>
    <xf numFmtId="191" fontId="27" fillId="0" borderId="31" xfId="430" applyNumberFormat="1" applyFont="1" applyBorder="1" applyAlignment="1">
      <alignment horizontal="center" vertical="center"/>
    </xf>
    <xf numFmtId="168" fontId="27" fillId="0" borderId="17" xfId="430" applyNumberFormat="1" applyFont="1" applyBorder="1" applyAlignment="1">
      <alignment horizontal="center" vertical="center"/>
    </xf>
    <xf numFmtId="9" fontId="27" fillId="0" borderId="17" xfId="238" applyNumberFormat="1" applyFont="1" applyBorder="1" applyAlignment="1">
      <alignment horizontal="center" vertical="center"/>
    </xf>
    <xf numFmtId="0" fontId="27" fillId="0" borderId="255" xfId="238" applyFont="1" applyBorder="1" applyAlignment="1">
      <alignment horizontal="left" vertical="top"/>
    </xf>
    <xf numFmtId="0" fontId="27" fillId="0" borderId="255" xfId="238" applyFont="1" applyBorder="1" applyAlignment="1">
      <alignment horizontal="center" vertical="top"/>
    </xf>
    <xf numFmtId="182" fontId="27" fillId="0" borderId="20" xfId="238" applyNumberFormat="1" applyFont="1" applyBorder="1" applyAlignment="1">
      <alignment horizontal="center" vertical="center"/>
    </xf>
    <xf numFmtId="191" fontId="27" fillId="0" borderId="20" xfId="238" applyNumberFormat="1" applyFont="1" applyBorder="1" applyAlignment="1">
      <alignment horizontal="center" vertical="center"/>
    </xf>
    <xf numFmtId="9" fontId="27" fillId="0" borderId="20" xfId="430" applyNumberFormat="1" applyFont="1" applyBorder="1" applyAlignment="1">
      <alignment horizontal="center" vertical="center"/>
    </xf>
    <xf numFmtId="191" fontId="27" fillId="0" borderId="20" xfId="430" applyNumberFormat="1" applyFont="1" applyBorder="1" applyAlignment="1">
      <alignment horizontal="center" vertical="center"/>
    </xf>
    <xf numFmtId="0" fontId="27" fillId="0" borderId="27" xfId="238" applyFont="1" applyBorder="1" applyAlignment="1">
      <alignment horizontal="left" vertical="top"/>
    </xf>
    <xf numFmtId="0" fontId="27" fillId="0" borderId="27" xfId="238" applyFont="1" applyBorder="1" applyAlignment="1">
      <alignment horizontal="center" vertical="top"/>
    </xf>
    <xf numFmtId="182" fontId="27" fillId="0" borderId="30" xfId="238" applyNumberFormat="1" applyFont="1" applyBorder="1" applyAlignment="1">
      <alignment horizontal="center" vertical="center"/>
    </xf>
    <xf numFmtId="191" fontId="27" fillId="0" borderId="30" xfId="238" applyNumberFormat="1" applyFont="1" applyBorder="1" applyAlignment="1">
      <alignment horizontal="center" vertical="center"/>
    </xf>
    <xf numFmtId="9" fontId="27" fillId="0" borderId="30" xfId="430" applyNumberFormat="1" applyFont="1" applyBorder="1" applyAlignment="1">
      <alignment horizontal="center" vertical="center"/>
    </xf>
    <xf numFmtId="191" fontId="27" fillId="0" borderId="30" xfId="430" applyNumberFormat="1" applyFont="1" applyBorder="1" applyAlignment="1">
      <alignment horizontal="center" vertical="center"/>
    </xf>
    <xf numFmtId="168" fontId="27" fillId="0" borderId="17" xfId="238" applyNumberFormat="1" applyFont="1" applyBorder="1" applyAlignment="1">
      <alignment horizontal="center" vertical="center"/>
    </xf>
    <xf numFmtId="9" fontId="27" fillId="0" borderId="20" xfId="238" applyNumberFormat="1" applyFont="1" applyBorder="1" applyAlignment="1">
      <alignment horizontal="center" vertical="center"/>
    </xf>
    <xf numFmtId="0" fontId="27" fillId="0" borderId="30" xfId="238" applyFont="1" applyBorder="1" applyAlignment="1">
      <alignment horizontal="center" vertical="center"/>
    </xf>
    <xf numFmtId="192" fontId="27" fillId="0" borderId="17" xfId="430" applyNumberFormat="1" applyFont="1" applyBorder="1" applyAlignment="1">
      <alignment horizontal="center" vertical="center"/>
    </xf>
    <xf numFmtId="168" fontId="27" fillId="0" borderId="20" xfId="430" applyNumberFormat="1" applyFont="1" applyBorder="1" applyAlignment="1">
      <alignment horizontal="center" vertical="center"/>
    </xf>
    <xf numFmtId="0" fontId="27" fillId="0" borderId="31" xfId="238" applyFont="1" applyBorder="1" applyAlignment="1">
      <alignment horizontal="center" vertical="center"/>
    </xf>
    <xf numFmtId="0" fontId="27" fillId="0" borderId="79" xfId="238" applyFont="1" applyBorder="1" applyAlignment="1">
      <alignment horizontal="center" vertical="center"/>
    </xf>
    <xf numFmtId="0" fontId="27" fillId="0" borderId="20" xfId="238" applyFont="1" applyBorder="1" applyAlignment="1">
      <alignment horizontal="center" vertical="center"/>
    </xf>
    <xf numFmtId="0" fontId="66" fillId="0" borderId="0" xfId="822" applyFont="1" applyAlignment="1">
      <alignment horizontal="center"/>
    </xf>
    <xf numFmtId="0" fontId="147" fillId="20" borderId="153" xfId="822" applyFont="1" applyFill="1" applyBorder="1" applyAlignment="1">
      <alignment horizontal="right"/>
    </xf>
    <xf numFmtId="0" fontId="147" fillId="20" borderId="165" xfId="822" applyFont="1" applyFill="1" applyBorder="1" applyAlignment="1">
      <alignment horizontal="right"/>
    </xf>
    <xf numFmtId="0" fontId="147" fillId="20" borderId="153" xfId="822" applyFont="1" applyFill="1" applyBorder="1" applyAlignment="1">
      <alignment horizontal="center"/>
    </xf>
    <xf numFmtId="182" fontId="147" fillId="20" borderId="154" xfId="822" applyNumberFormat="1" applyFont="1" applyFill="1" applyBorder="1" applyAlignment="1">
      <alignment horizontal="center"/>
    </xf>
    <xf numFmtId="171" fontId="56" fillId="20" borderId="154" xfId="238" applyNumberFormat="1" applyFont="1" applyFill="1" applyBorder="1" applyAlignment="1">
      <alignment horizontal="center" vertical="center"/>
    </xf>
    <xf numFmtId="168" fontId="147" fillId="20" borderId="154" xfId="822" applyNumberFormat="1" applyFont="1" applyFill="1" applyBorder="1" applyAlignment="1">
      <alignment horizontal="center"/>
    </xf>
    <xf numFmtId="0" fontId="147" fillId="0" borderId="0" xfId="822" applyFont="1" applyAlignment="1">
      <alignment horizontal="left"/>
    </xf>
    <xf numFmtId="0" fontId="39" fillId="0" borderId="0" xfId="0" applyFont="1" applyAlignment="1">
      <alignment horizontal="left" vertical="center" wrapText="1"/>
    </xf>
    <xf numFmtId="0" fontId="0" fillId="0" borderId="0" xfId="0"/>
    <xf numFmtId="0" fontId="54" fillId="0" borderId="25" xfId="821" applyFont="1" applyFill="1" applyBorder="1" applyAlignment="1">
      <alignment horizontal="left"/>
    </xf>
    <xf numFmtId="168" fontId="54" fillId="0" borderId="31" xfId="176" applyNumberFormat="1" applyFont="1" applyFill="1" applyBorder="1" applyAlignment="1">
      <alignment horizontal="center" vertical="center"/>
    </xf>
    <xf numFmtId="168" fontId="54" fillId="0" borderId="24" xfId="176" applyNumberFormat="1" applyFont="1" applyFill="1" applyBorder="1" applyAlignment="1">
      <alignment horizontal="center" vertical="center"/>
    </xf>
    <xf numFmtId="0" fontId="39" fillId="0" borderId="16" xfId="0" applyFont="1" applyBorder="1"/>
    <xf numFmtId="0" fontId="39" fillId="0" borderId="16" xfId="0" applyFont="1" applyBorder="1" applyAlignment="1">
      <alignment horizontal="center"/>
    </xf>
    <xf numFmtId="0" fontId="39" fillId="0" borderId="0" xfId="0" applyFont="1" applyAlignment="1">
      <alignment horizontal="center"/>
    </xf>
    <xf numFmtId="0" fontId="96" fillId="0" borderId="284" xfId="0" applyFont="1" applyBorder="1"/>
    <xf numFmtId="171" fontId="96" fillId="0" borderId="0" xfId="0" applyNumberFormat="1" applyFont="1" applyBorder="1" applyAlignment="1">
      <alignment horizontal="center" vertical="center"/>
    </xf>
    <xf numFmtId="171" fontId="96" fillId="0" borderId="284" xfId="0" applyNumberFormat="1" applyFont="1" applyBorder="1" applyAlignment="1">
      <alignment horizontal="center" vertical="center"/>
    </xf>
    <xf numFmtId="0" fontId="175" fillId="0" borderId="175" xfId="211" applyFont="1" applyFill="1" applyBorder="1" applyAlignment="1">
      <alignment horizontal="center" vertical="center" wrapText="1"/>
    </xf>
    <xf numFmtId="1" fontId="60" fillId="0" borderId="0" xfId="211" applyNumberFormat="1" applyFont="1" applyAlignment="1">
      <alignment horizontal="center" vertical="center"/>
    </xf>
    <xf numFmtId="0" fontId="96" fillId="0" borderId="284" xfId="0" applyFont="1" applyBorder="1" applyAlignment="1">
      <alignment vertical="center"/>
    </xf>
    <xf numFmtId="0" fontId="96" fillId="0" borderId="284" xfId="0" applyFont="1" applyBorder="1" applyAlignment="1">
      <alignment horizontal="center" vertical="center"/>
    </xf>
    <xf numFmtId="1" fontId="60" fillId="0" borderId="142" xfId="211" applyNumberFormat="1" applyFont="1" applyBorder="1" applyAlignment="1">
      <alignment horizontal="center" vertical="center"/>
    </xf>
    <xf numFmtId="1" fontId="60" fillId="0" borderId="0" xfId="211" applyNumberFormat="1" applyFont="1" applyBorder="1" applyAlignment="1">
      <alignment horizontal="center" vertical="center"/>
    </xf>
    <xf numFmtId="1" fontId="88" fillId="0" borderId="0" xfId="211" applyNumberFormat="1" applyFont="1" applyBorder="1" applyAlignment="1">
      <alignment horizontal="center" vertical="center"/>
    </xf>
    <xf numFmtId="1" fontId="88" fillId="0" borderId="284" xfId="211" applyNumberFormat="1" applyFont="1" applyBorder="1" applyAlignment="1">
      <alignment horizontal="center" vertical="center"/>
    </xf>
    <xf numFmtId="0" fontId="96" fillId="0" borderId="0" xfId="0" applyFont="1" applyBorder="1" applyAlignment="1">
      <alignment vertical="center"/>
    </xf>
    <xf numFmtId="0" fontId="96" fillId="0" borderId="0" xfId="0" applyFont="1" applyBorder="1" applyAlignment="1">
      <alignment horizontal="center" vertical="center"/>
    </xf>
    <xf numFmtId="1" fontId="60" fillId="0" borderId="208" xfId="211" applyNumberFormat="1" applyFont="1" applyBorder="1" applyAlignment="1">
      <alignment horizontal="center" vertical="center"/>
    </xf>
    <xf numFmtId="1" fontId="60" fillId="0" borderId="105" xfId="211" applyNumberFormat="1" applyFont="1" applyBorder="1" applyAlignment="1">
      <alignment horizontal="center" vertical="center"/>
    </xf>
    <xf numFmtId="1" fontId="88" fillId="0" borderId="16" xfId="211" applyNumberFormat="1" applyFont="1" applyBorder="1" applyAlignment="1">
      <alignment horizontal="center" vertical="center"/>
    </xf>
    <xf numFmtId="0" fontId="175" fillId="0" borderId="16" xfId="211" applyFont="1" applyFill="1" applyBorder="1" applyAlignment="1">
      <alignment horizontal="center" vertical="center" wrapText="1"/>
    </xf>
    <xf numFmtId="0" fontId="50" fillId="30" borderId="0" xfId="0" applyFont="1" applyFill="1" applyAlignment="1">
      <alignment vertical="center"/>
    </xf>
    <xf numFmtId="0" fontId="39" fillId="21" borderId="16" xfId="0" applyFont="1" applyFill="1" applyBorder="1" applyAlignment="1">
      <alignment horizontal="center"/>
    </xf>
    <xf numFmtId="0" fontId="0" fillId="21" borderId="0" xfId="0" applyFill="1" applyAlignment="1">
      <alignment horizontal="center"/>
    </xf>
    <xf numFmtId="0" fontId="39" fillId="21" borderId="0" xfId="0" applyFont="1" applyFill="1" applyAlignment="1">
      <alignment horizontal="center"/>
    </xf>
    <xf numFmtId="0" fontId="54" fillId="0" borderId="22" xfId="452" applyFont="1" applyBorder="1" applyAlignment="1">
      <alignment horizontal="left" vertical="center"/>
    </xf>
    <xf numFmtId="10" fontId="41" fillId="0" borderId="252" xfId="2647" applyNumberFormat="1" applyFont="1" applyFill="1" applyBorder="1" applyAlignment="1">
      <alignment horizontal="center" vertical="center" wrapText="1"/>
    </xf>
    <xf numFmtId="168" fontId="39" fillId="20" borderId="296" xfId="3383" applyNumberFormat="1" applyFont="1" applyFill="1" applyBorder="1" applyAlignment="1">
      <alignment vertical="center"/>
    </xf>
    <xf numFmtId="0" fontId="41" fillId="0" borderId="0" xfId="0" applyFont="1" applyFill="1" applyBorder="1" applyAlignment="1">
      <alignment vertical="center" wrapText="1"/>
    </xf>
    <xf numFmtId="0" fontId="221" fillId="0" borderId="0" xfId="0" applyFont="1" applyFill="1" applyBorder="1" applyAlignment="1">
      <alignment horizontal="center"/>
    </xf>
    <xf numFmtId="0" fontId="39" fillId="0" borderId="16" xfId="0" applyFont="1" applyFill="1" applyBorder="1" applyAlignment="1">
      <alignment horizontal="center"/>
    </xf>
    <xf numFmtId="0" fontId="0" fillId="0" borderId="200" xfId="0" applyFont="1" applyFill="1" applyBorder="1"/>
    <xf numFmtId="3" fontId="0" fillId="0" borderId="200" xfId="0" applyNumberFormat="1" applyFont="1" applyFill="1" applyBorder="1"/>
    <xf numFmtId="2" fontId="0" fillId="0" borderId="200" xfId="0" applyNumberFormat="1" applyFont="1" applyFill="1" applyBorder="1"/>
    <xf numFmtId="0" fontId="0" fillId="0" borderId="22" xfId="0" applyFont="1" applyFill="1" applyBorder="1"/>
    <xf numFmtId="3" fontId="0" fillId="0" borderId="22" xfId="0" applyNumberFormat="1" applyFont="1" applyFill="1" applyBorder="1"/>
    <xf numFmtId="2" fontId="0" fillId="0" borderId="22" xfId="0" applyNumberFormat="1" applyFont="1" applyFill="1" applyBorder="1"/>
    <xf numFmtId="0" fontId="0" fillId="0" borderId="25" xfId="0" applyFont="1" applyFill="1" applyBorder="1"/>
    <xf numFmtId="3" fontId="0" fillId="0" borderId="25" xfId="0" applyNumberFormat="1" applyFont="1" applyFill="1" applyBorder="1"/>
    <xf numFmtId="2" fontId="0" fillId="0" borderId="25" xfId="0" applyNumberFormat="1" applyFont="1" applyFill="1" applyBorder="1"/>
    <xf numFmtId="0" fontId="39" fillId="20" borderId="225" xfId="0" applyFont="1" applyFill="1" applyBorder="1" applyAlignment="1">
      <alignment horizontal="center"/>
    </xf>
    <xf numFmtId="3" fontId="39" fillId="20" borderId="225" xfId="0" applyNumberFormat="1" applyFont="1" applyFill="1" applyBorder="1"/>
    <xf numFmtId="2" fontId="0" fillId="20" borderId="225" xfId="0" applyNumberFormat="1" applyFont="1" applyFill="1" applyBorder="1"/>
    <xf numFmtId="0" fontId="130" fillId="0" borderId="13" xfId="0" applyFont="1" applyBorder="1" applyAlignment="1">
      <alignment vertical="center" wrapText="1"/>
    </xf>
    <xf numFmtId="0" fontId="130" fillId="0" borderId="102" xfId="0" applyFont="1" applyBorder="1" applyAlignment="1">
      <alignment vertical="center" wrapText="1"/>
    </xf>
    <xf numFmtId="0" fontId="39" fillId="0" borderId="0" xfId="0" applyFont="1" applyAlignment="1">
      <alignment vertical="center" wrapText="1"/>
    </xf>
    <xf numFmtId="0" fontId="88" fillId="0" borderId="0" xfId="0" applyFont="1" applyAlignment="1">
      <alignment vertical="center"/>
    </xf>
    <xf numFmtId="0" fontId="5" fillId="0" borderId="0" xfId="0" applyFont="1" applyAlignment="1">
      <alignment vertical="center"/>
    </xf>
    <xf numFmtId="0" fontId="96" fillId="0" borderId="225" xfId="0" applyFont="1" applyBorder="1" applyAlignment="1">
      <alignment horizontal="center"/>
    </xf>
    <xf numFmtId="0" fontId="50" fillId="0" borderId="225" xfId="0" applyFont="1" applyBorder="1"/>
    <xf numFmtId="0" fontId="96" fillId="0" borderId="225" xfId="0" applyFont="1" applyBorder="1"/>
    <xf numFmtId="0" fontId="50" fillId="0" borderId="225" xfId="0" applyFont="1" applyBorder="1" applyAlignment="1">
      <alignment horizontal="center" vertical="center"/>
    </xf>
    <xf numFmtId="0" fontId="50" fillId="0" borderId="0" xfId="0" applyFont="1" applyBorder="1" applyAlignment="1">
      <alignment horizontal="center" vertical="center"/>
    </xf>
    <xf numFmtId="0" fontId="96" fillId="0" borderId="225" xfId="0" applyFont="1" applyBorder="1" applyAlignment="1">
      <alignment horizontal="center" vertical="center"/>
    </xf>
    <xf numFmtId="0" fontId="113" fillId="0" borderId="16" xfId="229" applyFont="1" applyFill="1" applyBorder="1" applyAlignment="1">
      <alignment horizontal="center" vertical="center"/>
    </xf>
    <xf numFmtId="0" fontId="42" fillId="0" borderId="16" xfId="229" applyFont="1" applyFill="1" applyBorder="1" applyAlignment="1">
      <alignment horizontal="center" vertical="center"/>
    </xf>
    <xf numFmtId="0" fontId="41" fillId="0" borderId="0" xfId="0" applyFont="1" applyBorder="1" applyAlignment="1">
      <alignment horizontal="center" vertical="center"/>
    </xf>
    <xf numFmtId="0" fontId="108" fillId="0" borderId="16" xfId="229" applyFont="1" applyFill="1" applyBorder="1" applyAlignment="1">
      <alignment horizontal="center" vertical="center"/>
    </xf>
    <xf numFmtId="0" fontId="112" fillId="0" borderId="0" xfId="0" applyFont="1" applyBorder="1"/>
    <xf numFmtId="0" fontId="106" fillId="0" borderId="16" xfId="229" applyFont="1" applyFill="1" applyBorder="1" applyAlignment="1">
      <alignment horizontal="center" vertical="center"/>
    </xf>
    <xf numFmtId="0" fontId="107" fillId="0" borderId="0" xfId="0" applyFont="1" applyBorder="1"/>
    <xf numFmtId="0" fontId="107" fillId="0" borderId="0" xfId="0" applyFont="1" applyBorder="1" applyAlignment="1">
      <alignment horizontal="center" vertical="center"/>
    </xf>
    <xf numFmtId="0" fontId="105" fillId="0" borderId="16" xfId="229" applyFont="1" applyFill="1" applyBorder="1" applyAlignment="1">
      <alignment horizontal="center" vertical="center"/>
    </xf>
    <xf numFmtId="0" fontId="109" fillId="0" borderId="0" xfId="0" applyFont="1" applyBorder="1"/>
    <xf numFmtId="0" fontId="109" fillId="0" borderId="0" xfId="0" applyFont="1" applyBorder="1" applyAlignment="1">
      <alignment horizontal="center" vertical="center"/>
    </xf>
    <xf numFmtId="0" fontId="110" fillId="0" borderId="16" xfId="229" applyFont="1" applyFill="1" applyBorder="1" applyAlignment="1">
      <alignment horizontal="center" vertical="center"/>
    </xf>
    <xf numFmtId="0" fontId="111" fillId="0" borderId="0" xfId="0" applyFont="1" applyBorder="1"/>
    <xf numFmtId="0" fontId="111" fillId="0" borderId="0" xfId="0" applyFont="1" applyBorder="1" applyAlignment="1">
      <alignment horizontal="center" vertical="center"/>
    </xf>
    <xf numFmtId="169" fontId="106" fillId="20" borderId="207" xfId="235" applyNumberFormat="1" applyFont="1" applyFill="1" applyBorder="1" applyAlignment="1">
      <alignment horizontal="right" vertical="center" indent="1"/>
    </xf>
    <xf numFmtId="169" fontId="106" fillId="20" borderId="162" xfId="235" applyNumberFormat="1" applyFont="1" applyFill="1" applyBorder="1" applyAlignment="1">
      <alignment horizontal="right" vertical="center" indent="1"/>
    </xf>
    <xf numFmtId="169" fontId="106" fillId="20" borderId="209" xfId="235" applyNumberFormat="1" applyFont="1" applyFill="1" applyBorder="1" applyAlignment="1">
      <alignment horizontal="right" vertical="center" indent="1"/>
    </xf>
    <xf numFmtId="0" fontId="196" fillId="0" borderId="0" xfId="0" applyFont="1" applyAlignment="1">
      <alignment vertical="center"/>
    </xf>
    <xf numFmtId="0" fontId="258" fillId="0" borderId="0" xfId="229" applyFont="1" applyBorder="1" applyAlignment="1">
      <alignment horizontal="left" vertical="center"/>
    </xf>
    <xf numFmtId="0" fontId="259" fillId="0" borderId="0" xfId="229" applyFont="1" applyBorder="1" applyAlignment="1">
      <alignment horizontal="left" vertical="center"/>
    </xf>
    <xf numFmtId="0" fontId="260" fillId="0" borderId="0" xfId="229" applyFont="1" applyBorder="1" applyAlignment="1">
      <alignment horizontal="left" vertical="center"/>
    </xf>
    <xf numFmtId="0" fontId="0" fillId="0" borderId="0" xfId="0"/>
    <xf numFmtId="168" fontId="0" fillId="0" borderId="22" xfId="176" applyNumberFormat="1" applyFont="1" applyBorder="1" applyAlignment="1">
      <alignment horizontal="center" vertical="center"/>
    </xf>
    <xf numFmtId="168" fontId="0" fillId="0" borderId="23" xfId="176" applyNumberFormat="1" applyFont="1" applyBorder="1" applyAlignment="1">
      <alignment horizontal="center" vertical="center"/>
    </xf>
    <xf numFmtId="0" fontId="39" fillId="0" borderId="16" xfId="0"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300" xfId="0" applyBorder="1" applyAlignment="1">
      <alignment vertical="center" wrapText="1"/>
    </xf>
    <xf numFmtId="0" fontId="0" fillId="0" borderId="300" xfId="0" applyBorder="1" applyAlignment="1">
      <alignment horizontal="center" vertical="center" wrapText="1"/>
    </xf>
    <xf numFmtId="1" fontId="0" fillId="0" borderId="300" xfId="0" applyNumberFormat="1" applyBorder="1" applyAlignment="1">
      <alignment horizontal="center" vertical="center" wrapText="1"/>
    </xf>
    <xf numFmtId="0" fontId="0" fillId="0" borderId="301" xfId="0" applyBorder="1" applyAlignment="1">
      <alignment vertical="center" wrapText="1"/>
    </xf>
    <xf numFmtId="0" fontId="0" fillId="0" borderId="301" xfId="0" applyBorder="1" applyAlignment="1">
      <alignment horizontal="center" vertical="center" wrapText="1"/>
    </xf>
    <xf numFmtId="1" fontId="0" fillId="0" borderId="301" xfId="0" applyNumberFormat="1" applyBorder="1" applyAlignment="1">
      <alignment horizontal="center" vertical="center" wrapText="1"/>
    </xf>
    <xf numFmtId="0" fontId="39" fillId="43" borderId="301" xfId="0" applyFont="1" applyFill="1" applyBorder="1" applyAlignment="1">
      <alignment vertical="center" wrapText="1"/>
    </xf>
    <xf numFmtId="0" fontId="39" fillId="43" borderId="301" xfId="0" applyFont="1" applyFill="1" applyBorder="1" applyAlignment="1">
      <alignment horizontal="center" vertical="center" wrapText="1"/>
    </xf>
    <xf numFmtId="1" fontId="39" fillId="43" borderId="301" xfId="0" applyNumberFormat="1" applyFont="1" applyFill="1" applyBorder="1" applyAlignment="1">
      <alignment horizontal="center" vertical="center" wrapText="1"/>
    </xf>
    <xf numFmtId="0" fontId="0" fillId="0" borderId="301" xfId="0" applyBorder="1" applyAlignment="1">
      <alignment wrapText="1"/>
    </xf>
    <xf numFmtId="0" fontId="0" fillId="0" borderId="302" xfId="0" applyBorder="1" applyAlignment="1">
      <alignment vertical="center" wrapText="1"/>
    </xf>
    <xf numFmtId="0" fontId="0" fillId="0" borderId="302" xfId="0" applyBorder="1" applyAlignment="1">
      <alignment horizontal="center" vertical="center" wrapText="1"/>
    </xf>
    <xf numFmtId="1" fontId="0" fillId="0" borderId="302" xfId="0" applyNumberFormat="1" applyBorder="1" applyAlignment="1">
      <alignment horizontal="center" vertical="center" wrapText="1"/>
    </xf>
    <xf numFmtId="0" fontId="0" fillId="0" borderId="301" xfId="0" applyFont="1" applyFill="1" applyBorder="1" applyAlignment="1">
      <alignment vertical="center" wrapText="1"/>
    </xf>
    <xf numFmtId="0" fontId="0" fillId="0" borderId="301" xfId="0" applyFont="1" applyFill="1" applyBorder="1" applyAlignment="1">
      <alignment horizontal="center" vertical="center" wrapText="1"/>
    </xf>
    <xf numFmtId="1" fontId="0" fillId="0" borderId="301" xfId="0" applyNumberFormat="1" applyFont="1" applyFill="1" applyBorder="1" applyAlignment="1">
      <alignment horizontal="center" vertical="center" wrapText="1"/>
    </xf>
    <xf numFmtId="0" fontId="96" fillId="0" borderId="0" xfId="0" applyFont="1" applyAlignment="1">
      <alignment horizontal="center"/>
    </xf>
    <xf numFmtId="0" fontId="74" fillId="0" borderId="0" xfId="0" applyFont="1" applyAlignment="1">
      <alignment horizontal="center"/>
    </xf>
    <xf numFmtId="0" fontId="96" fillId="0" borderId="150" xfId="0" applyFont="1" applyBorder="1" applyAlignment="1">
      <alignment horizontal="center"/>
    </xf>
    <xf numFmtId="0" fontId="0" fillId="0" borderId="0" xfId="0"/>
    <xf numFmtId="0" fontId="50" fillId="59" borderId="16" xfId="0" applyFont="1" applyFill="1" applyBorder="1" applyAlignment="1">
      <alignment horizontal="center" wrapText="1"/>
    </xf>
    <xf numFmtId="0" fontId="50" fillId="0" borderId="0" xfId="0" applyFont="1" applyAlignment="1">
      <alignment horizontal="center" vertical="center" wrapText="1"/>
    </xf>
    <xf numFmtId="0" fontId="50" fillId="0" borderId="284" xfId="0" applyFont="1" applyBorder="1" applyAlignment="1">
      <alignment horizontal="center" vertical="center"/>
    </xf>
    <xf numFmtId="0" fontId="50" fillId="0" borderId="284" xfId="0" applyFont="1" applyBorder="1"/>
    <xf numFmtId="0" fontId="120" fillId="0" borderId="0" xfId="0" applyFont="1" applyBorder="1"/>
    <xf numFmtId="0" fontId="120" fillId="0" borderId="16" xfId="0" applyFont="1" applyBorder="1" applyAlignment="1">
      <alignment horizontal="center"/>
    </xf>
    <xf numFmtId="0" fontId="120" fillId="0" borderId="16" xfId="0" applyFont="1" applyBorder="1"/>
    <xf numFmtId="0" fontId="120" fillId="0" borderId="16" xfId="0" applyFont="1" applyBorder="1" applyAlignment="1">
      <alignment horizontal="center" wrapText="1"/>
    </xf>
    <xf numFmtId="0" fontId="120" fillId="0" borderId="0" xfId="0" applyFont="1" applyAlignment="1">
      <alignment horizontal="center"/>
    </xf>
    <xf numFmtId="10" fontId="120" fillId="0" borderId="0" xfId="176" applyNumberFormat="1" applyFont="1" applyAlignment="1">
      <alignment horizontal="center"/>
    </xf>
    <xf numFmtId="0" fontId="120" fillId="0" borderId="0" xfId="0" applyFont="1" applyBorder="1" applyAlignment="1">
      <alignment horizontal="center"/>
    </xf>
    <xf numFmtId="10" fontId="120" fillId="0" borderId="16" xfId="176" applyNumberFormat="1" applyFont="1" applyBorder="1" applyAlignment="1">
      <alignment horizontal="center"/>
    </xf>
    <xf numFmtId="0" fontId="91" fillId="0" borderId="0" xfId="0" applyFont="1"/>
    <xf numFmtId="0" fontId="96" fillId="0" borderId="16" xfId="0" applyFont="1" applyBorder="1" applyAlignment="1">
      <alignment horizontal="right" vertical="center"/>
    </xf>
    <xf numFmtId="168" fontId="96" fillId="0" borderId="16" xfId="176" applyNumberFormat="1" applyFont="1" applyBorder="1" applyAlignment="1">
      <alignment horizontal="right" vertical="center"/>
    </xf>
    <xf numFmtId="0" fontId="0" fillId="0" borderId="0" xfId="0" applyFont="1" applyAlignment="1">
      <alignment horizontal="left" vertical="center"/>
    </xf>
    <xf numFmtId="0" fontId="120" fillId="0" borderId="0" xfId="0" applyFont="1" applyAlignment="1">
      <alignment vertical="center"/>
    </xf>
    <xf numFmtId="0" fontId="120" fillId="0" borderId="16" xfId="0" applyFont="1" applyBorder="1" applyAlignment="1">
      <alignment horizontal="center" vertical="center"/>
    </xf>
    <xf numFmtId="0" fontId="120" fillId="0" borderId="0" xfId="0" applyFont="1" applyAlignment="1">
      <alignment horizontal="center" vertical="center"/>
    </xf>
    <xf numFmtId="0" fontId="120" fillId="0" borderId="0" xfId="0" applyFont="1" applyBorder="1" applyAlignment="1">
      <alignment horizontal="center" vertical="center"/>
    </xf>
    <xf numFmtId="0" fontId="66" fillId="0" borderId="16" xfId="0" applyFont="1" applyBorder="1" applyAlignment="1">
      <alignment horizontal="center" vertical="center"/>
    </xf>
    <xf numFmtId="0" fontId="120" fillId="0" borderId="16" xfId="0" applyFont="1" applyBorder="1" applyAlignment="1">
      <alignment vertical="center"/>
    </xf>
    <xf numFmtId="2" fontId="66" fillId="0" borderId="0" xfId="0" applyNumberFormat="1" applyFont="1" applyAlignment="1">
      <alignment horizontal="center" vertical="center"/>
    </xf>
    <xf numFmtId="0" fontId="89" fillId="0" borderId="0" xfId="0" applyFont="1" applyAlignment="1">
      <alignment vertical="center"/>
    </xf>
    <xf numFmtId="171" fontId="50" fillId="0" borderId="0" xfId="0" applyNumberFormat="1" applyFont="1" applyBorder="1" applyAlignment="1">
      <alignment horizontal="center" vertical="center"/>
    </xf>
    <xf numFmtId="0" fontId="263" fillId="43" borderId="16" xfId="238" applyFont="1" applyFill="1" applyBorder="1" applyAlignment="1">
      <alignment horizontal="center" vertical="center"/>
    </xf>
    <xf numFmtId="0" fontId="120" fillId="0" borderId="16" xfId="0" applyFont="1" applyBorder="1" applyAlignment="1">
      <alignment horizontal="center" vertical="center" wrapText="1"/>
    </xf>
    <xf numFmtId="2" fontId="124" fillId="0" borderId="0" xfId="238" applyNumberFormat="1" applyFont="1" applyAlignment="1">
      <alignment horizontal="center" vertical="center"/>
    </xf>
    <xf numFmtId="0" fontId="66" fillId="0" borderId="0" xfId="0" applyFont="1" applyBorder="1" applyAlignment="1">
      <alignment horizontal="center"/>
    </xf>
    <xf numFmtId="0" fontId="66" fillId="0" borderId="225" xfId="0" applyFont="1" applyBorder="1"/>
    <xf numFmtId="0" fontId="120" fillId="0" borderId="225" xfId="0" applyFont="1" applyBorder="1"/>
    <xf numFmtId="0" fontId="120" fillId="0" borderId="225" xfId="0" applyFont="1" applyBorder="1" applyAlignment="1">
      <alignment horizontal="center"/>
    </xf>
    <xf numFmtId="2" fontId="264" fillId="0" borderId="225" xfId="238" applyNumberFormat="1" applyFont="1" applyBorder="1" applyAlignment="1">
      <alignment horizontal="center" vertical="center"/>
    </xf>
    <xf numFmtId="0" fontId="66" fillId="0" borderId="208" xfId="0" applyFont="1" applyBorder="1" applyAlignment="1">
      <alignment horizontal="center"/>
    </xf>
    <xf numFmtId="0" fontId="66" fillId="0" borderId="225" xfId="0" applyFont="1" applyBorder="1" applyAlignment="1">
      <alignment horizontal="center"/>
    </xf>
    <xf numFmtId="0" fontId="66" fillId="0" borderId="16" xfId="0" applyFont="1" applyBorder="1"/>
    <xf numFmtId="2" fontId="264" fillId="43" borderId="105" xfId="238" applyNumberFormat="1" applyFont="1" applyFill="1" applyBorder="1" applyAlignment="1">
      <alignment horizontal="center" vertical="center"/>
    </xf>
    <xf numFmtId="0" fontId="49" fillId="0" borderId="225" xfId="0" applyFont="1" applyBorder="1"/>
    <xf numFmtId="0" fontId="74" fillId="0" borderId="225" xfId="0" applyFont="1" applyBorder="1"/>
    <xf numFmtId="0" fontId="74" fillId="0" borderId="225" xfId="0" applyFont="1" applyBorder="1" applyAlignment="1">
      <alignment horizontal="center"/>
    </xf>
    <xf numFmtId="0" fontId="49" fillId="0" borderId="225" xfId="0" applyFont="1" applyBorder="1" applyAlignment="1">
      <alignment horizontal="center"/>
    </xf>
    <xf numFmtId="171" fontId="95" fillId="0" borderId="0" xfId="238" applyNumberFormat="1" applyFont="1" applyAlignment="1">
      <alignment horizontal="center" vertical="center"/>
    </xf>
    <xf numFmtId="171" fontId="227" fillId="0" borderId="0" xfId="238" applyNumberFormat="1" applyFont="1" applyAlignment="1">
      <alignment horizontal="center" vertical="center"/>
    </xf>
    <xf numFmtId="171" fontId="227" fillId="0" borderId="225" xfId="238" applyNumberFormat="1" applyFont="1" applyBorder="1" applyAlignment="1">
      <alignment horizontal="center" vertical="center"/>
    </xf>
    <xf numFmtId="171" fontId="227" fillId="43" borderId="105" xfId="238" applyNumberFormat="1" applyFont="1" applyFill="1" applyBorder="1" applyAlignment="1">
      <alignment horizontal="center" vertical="center"/>
    </xf>
    <xf numFmtId="0" fontId="203" fillId="43" borderId="16" xfId="238" applyFont="1" applyFill="1" applyBorder="1" applyAlignment="1">
      <alignment horizontal="center" vertical="center"/>
    </xf>
    <xf numFmtId="185" fontId="120" fillId="0" borderId="0" xfId="0" applyNumberFormat="1" applyFont="1" applyAlignment="1">
      <alignment horizontal="center" vertical="center"/>
    </xf>
    <xf numFmtId="185" fontId="120" fillId="0" borderId="0" xfId="0" applyNumberFormat="1" applyFont="1" applyBorder="1" applyAlignment="1">
      <alignment horizontal="center" vertical="center"/>
    </xf>
    <xf numFmtId="0" fontId="66" fillId="0" borderId="225" xfId="0" applyFont="1" applyBorder="1" applyAlignment="1">
      <alignment vertical="center"/>
    </xf>
    <xf numFmtId="0" fontId="120" fillId="0" borderId="225" xfId="0" applyFont="1" applyBorder="1" applyAlignment="1">
      <alignment vertical="center"/>
    </xf>
    <xf numFmtId="0" fontId="120" fillId="0" borderId="225" xfId="0" applyFont="1" applyBorder="1" applyAlignment="1">
      <alignment horizontal="center" vertical="center"/>
    </xf>
    <xf numFmtId="185" fontId="120" fillId="0" borderId="225" xfId="0" applyNumberFormat="1" applyFont="1" applyBorder="1" applyAlignment="1">
      <alignment horizontal="center" vertical="center"/>
    </xf>
    <xf numFmtId="0" fontId="66" fillId="0" borderId="225" xfId="0" applyFont="1" applyBorder="1" applyAlignment="1">
      <alignment horizontal="center" vertical="center"/>
    </xf>
    <xf numFmtId="2" fontId="66" fillId="0" borderId="0" xfId="0" applyNumberFormat="1" applyFont="1" applyFill="1" applyBorder="1" applyAlignment="1">
      <alignment horizontal="center" vertical="center"/>
    </xf>
    <xf numFmtId="0" fontId="66" fillId="0" borderId="0" xfId="0" applyFont="1" applyBorder="1" applyAlignment="1">
      <alignment horizontal="center" vertical="center"/>
    </xf>
    <xf numFmtId="185" fontId="66" fillId="0" borderId="0" xfId="0" applyNumberFormat="1" applyFont="1" applyFill="1" applyBorder="1" applyAlignment="1">
      <alignment horizontal="center" vertical="center"/>
    </xf>
    <xf numFmtId="0" fontId="66" fillId="0" borderId="16" xfId="0" applyFont="1" applyBorder="1" applyAlignment="1">
      <alignment vertical="center"/>
    </xf>
    <xf numFmtId="185" fontId="120" fillId="43" borderId="16" xfId="0" applyNumberFormat="1" applyFont="1" applyFill="1" applyBorder="1" applyAlignment="1">
      <alignment horizontal="center" vertical="center"/>
    </xf>
    <xf numFmtId="185" fontId="120" fillId="0" borderId="0" xfId="0" applyNumberFormat="1" applyFont="1" applyFill="1" applyBorder="1" applyAlignment="1">
      <alignment horizontal="center" vertical="center"/>
    </xf>
    <xf numFmtId="171" fontId="96" fillId="0" borderId="150" xfId="0" applyNumberFormat="1" applyFont="1" applyBorder="1" applyAlignment="1">
      <alignment horizontal="center"/>
    </xf>
    <xf numFmtId="171" fontId="0" fillId="0" borderId="0" xfId="0" applyNumberFormat="1"/>
    <xf numFmtId="183" fontId="39" fillId="20" borderId="290" xfId="0" applyNumberFormat="1" applyFont="1" applyFill="1" applyBorder="1" applyAlignment="1">
      <alignment horizontal="center" vertical="center"/>
    </xf>
    <xf numFmtId="171" fontId="96" fillId="0" borderId="142" xfId="0" applyNumberFormat="1" applyFont="1" applyBorder="1" applyAlignment="1">
      <alignment horizontal="center" vertical="center"/>
    </xf>
    <xf numFmtId="171" fontId="96" fillId="43" borderId="142" xfId="0" applyNumberFormat="1" applyFont="1" applyFill="1" applyBorder="1" applyAlignment="1">
      <alignment horizontal="center" vertical="center"/>
    </xf>
    <xf numFmtId="0" fontId="167" fillId="0" borderId="0" xfId="0" applyFont="1" applyAlignment="1">
      <alignment vertical="center" wrapText="1"/>
    </xf>
    <xf numFmtId="171" fontId="96" fillId="0" borderId="208" xfId="0" applyNumberFormat="1" applyFont="1" applyBorder="1" applyAlignment="1">
      <alignment horizontal="center" vertical="center"/>
    </xf>
    <xf numFmtId="171" fontId="98" fillId="0" borderId="0" xfId="428" applyNumberFormat="1" applyFont="1" applyAlignment="1">
      <alignment horizontal="center" vertical="center"/>
    </xf>
    <xf numFmtId="171" fontId="96" fillId="0" borderId="225" xfId="0" applyNumberFormat="1" applyFont="1" applyBorder="1" applyAlignment="1">
      <alignment horizontal="center"/>
    </xf>
    <xf numFmtId="0" fontId="39" fillId="0" borderId="0" xfId="0" applyFont="1" applyBorder="1" applyAlignment="1">
      <alignment horizontal="center"/>
    </xf>
    <xf numFmtId="0" fontId="0" fillId="0" borderId="0" xfId="0"/>
    <xf numFmtId="0" fontId="0" fillId="0" borderId="0" xfId="0"/>
    <xf numFmtId="0" fontId="39" fillId="0" borderId="16" xfId="0" applyFont="1" applyBorder="1" applyAlignment="1">
      <alignment horizontal="center" vertical="center" wrapText="1"/>
    </xf>
    <xf numFmtId="0" fontId="120" fillId="21" borderId="16" xfId="0" applyFont="1" applyFill="1" applyBorder="1" applyAlignment="1">
      <alignment horizontal="center"/>
    </xf>
    <xf numFmtId="0" fontId="66" fillId="21" borderId="0" xfId="0" applyFont="1" applyFill="1" applyAlignment="1">
      <alignment horizontal="center"/>
    </xf>
    <xf numFmtId="0" fontId="120" fillId="21" borderId="0" xfId="0" applyFont="1" applyFill="1" applyAlignment="1">
      <alignment horizontal="center"/>
    </xf>
    <xf numFmtId="0" fontId="0" fillId="0" borderId="0" xfId="0"/>
    <xf numFmtId="0" fontId="79" fillId="0" borderId="16" xfId="173" applyFont="1" applyFill="1" applyBorder="1" applyAlignment="1">
      <alignment horizontal="center" vertical="center"/>
    </xf>
    <xf numFmtId="0" fontId="129" fillId="0" borderId="0" xfId="0" applyFont="1" applyAlignment="1">
      <alignment horizontal="center" vertical="center" wrapText="1"/>
    </xf>
    <xf numFmtId="9" fontId="130" fillId="44" borderId="259" xfId="0" applyNumberFormat="1" applyFont="1" applyFill="1" applyBorder="1" applyAlignment="1">
      <alignment horizontal="center" vertical="center" wrapText="1"/>
    </xf>
    <xf numFmtId="9" fontId="130" fillId="0" borderId="247" xfId="0" applyNumberFormat="1" applyFont="1" applyFill="1" applyBorder="1" applyAlignment="1">
      <alignment horizontal="center" vertical="center" wrapText="1"/>
    </xf>
    <xf numFmtId="171" fontId="130" fillId="0" borderId="247" xfId="0" applyNumberFormat="1" applyFont="1" applyFill="1" applyBorder="1" applyAlignment="1">
      <alignment horizontal="center" vertical="center" wrapText="1"/>
    </xf>
    <xf numFmtId="9" fontId="130" fillId="0" borderId="248" xfId="0" applyNumberFormat="1" applyFont="1" applyFill="1" applyBorder="1" applyAlignment="1">
      <alignment horizontal="center" vertical="center" wrapText="1"/>
    </xf>
    <xf numFmtId="3" fontId="130" fillId="0" borderId="248" xfId="0" applyNumberFormat="1" applyFont="1" applyFill="1" applyBorder="1" applyAlignment="1">
      <alignment horizontal="center" vertical="center" wrapText="1"/>
    </xf>
    <xf numFmtId="168" fontId="130" fillId="0" borderId="247" xfId="0" applyNumberFormat="1" applyFont="1" applyFill="1" applyBorder="1" applyAlignment="1">
      <alignment horizontal="center" vertical="center" wrapText="1"/>
    </xf>
    <xf numFmtId="9" fontId="130" fillId="0" borderId="249" xfId="0" applyNumberFormat="1" applyFont="1" applyFill="1" applyBorder="1" applyAlignment="1">
      <alignment horizontal="center" vertical="center" wrapText="1"/>
    </xf>
    <xf numFmtId="171" fontId="130" fillId="0" borderId="247" xfId="0" applyNumberFormat="1" applyFont="1" applyFill="1" applyBorder="1" applyAlignment="1">
      <alignment horizontal="center" vertical="center"/>
    </xf>
    <xf numFmtId="168" fontId="130" fillId="0" borderId="248" xfId="0" applyNumberFormat="1" applyFont="1" applyFill="1" applyBorder="1" applyAlignment="1">
      <alignment horizontal="center" vertical="center" wrapText="1"/>
    </xf>
    <xf numFmtId="3" fontId="130" fillId="0" borderId="247" xfId="0" applyNumberFormat="1" applyFont="1" applyFill="1" applyBorder="1" applyAlignment="1">
      <alignment horizontal="center" vertical="center" wrapText="1"/>
    </xf>
    <xf numFmtId="180" fontId="130" fillId="0" borderId="251" xfId="0" applyNumberFormat="1" applyFont="1" applyFill="1" applyBorder="1" applyAlignment="1">
      <alignment horizontal="center" vertical="center" wrapText="1"/>
    </xf>
    <xf numFmtId="0" fontId="130" fillId="0" borderId="251" xfId="0" applyFont="1" applyFill="1" applyBorder="1" applyAlignment="1">
      <alignment horizontal="center" vertical="center" wrapText="1"/>
    </xf>
    <xf numFmtId="0" fontId="130" fillId="0" borderId="247" xfId="0" applyFont="1" applyFill="1" applyBorder="1" applyAlignment="1">
      <alignment horizontal="center" vertical="center" wrapText="1"/>
    </xf>
    <xf numFmtId="0" fontId="6" fillId="0" borderId="0" xfId="0" applyFont="1" applyAlignment="1">
      <alignment horizontal="center"/>
    </xf>
    <xf numFmtId="0" fontId="0" fillId="0" borderId="0" xfId="0"/>
    <xf numFmtId="0" fontId="147" fillId="20" borderId="299" xfId="0" applyFont="1" applyFill="1" applyBorder="1" applyAlignment="1">
      <alignment horizontal="center" vertical="center"/>
    </xf>
    <xf numFmtId="0" fontId="29" fillId="0" borderId="259" xfId="3792" applyFont="1" applyFill="1" applyBorder="1" applyAlignment="1">
      <alignment horizontal="center" vertical="center"/>
    </xf>
    <xf numFmtId="0" fontId="29" fillId="0" borderId="157" xfId="3792" applyFont="1" applyFill="1" applyBorder="1" applyAlignment="1">
      <alignment horizontal="center" vertical="center"/>
    </xf>
    <xf numFmtId="0" fontId="51" fillId="0" borderId="0" xfId="822" applyAlignment="1">
      <alignment horizontal="left" vertical="center" wrapText="1"/>
    </xf>
    <xf numFmtId="0" fontId="29" fillId="0" borderId="79" xfId="239" applyFont="1" applyBorder="1" applyAlignment="1">
      <alignment horizontal="center" vertical="center"/>
    </xf>
    <xf numFmtId="0" fontId="29" fillId="0" borderId="17" xfId="239" applyFont="1" applyBorder="1" applyAlignment="1">
      <alignment horizontal="center" vertical="center"/>
    </xf>
    <xf numFmtId="0" fontId="29" fillId="0" borderId="30" xfId="239" applyFont="1" applyBorder="1" applyAlignment="1">
      <alignment horizontal="center" vertical="center"/>
    </xf>
    <xf numFmtId="0" fontId="29" fillId="0" borderId="31" xfId="239" applyFont="1" applyBorder="1" applyAlignment="1">
      <alignment horizontal="center" vertical="center"/>
    </xf>
    <xf numFmtId="0" fontId="44" fillId="0" borderId="0" xfId="0" applyFont="1" applyAlignment="1">
      <alignment horizontal="left" vertical="center" wrapText="1"/>
    </xf>
    <xf numFmtId="0" fontId="29" fillId="0" borderId="20" xfId="239" applyFont="1" applyBorder="1" applyAlignment="1">
      <alignment horizontal="center" vertical="center"/>
    </xf>
    <xf numFmtId="1" fontId="40" fillId="0" borderId="0" xfId="173" applyNumberFormat="1" applyFont="1" applyFill="1" applyBorder="1" applyAlignment="1">
      <alignment horizontal="center" vertical="center" wrapText="1"/>
    </xf>
    <xf numFmtId="0" fontId="55" fillId="0" borderId="0" xfId="0" applyFont="1" applyAlignment="1">
      <alignment horizontal="center"/>
    </xf>
    <xf numFmtId="0" fontId="50" fillId="0" borderId="30" xfId="0" applyFont="1" applyBorder="1"/>
    <xf numFmtId="0" fontId="60" fillId="0" borderId="19" xfId="0" applyFont="1" applyBorder="1" applyAlignment="1">
      <alignment horizontal="center" vertical="center" wrapText="1"/>
    </xf>
    <xf numFmtId="0" fontId="60" fillId="0" borderId="19" xfId="246" applyFont="1" applyFill="1" applyBorder="1" applyAlignment="1">
      <alignment horizontal="center" vertical="center" wrapText="1"/>
    </xf>
    <xf numFmtId="0" fontId="60" fillId="0" borderId="19" xfId="0" applyFont="1" applyFill="1" applyBorder="1" applyAlignment="1">
      <alignment horizontal="center" vertical="center" wrapText="1"/>
    </xf>
    <xf numFmtId="0" fontId="60" fillId="0" borderId="19" xfId="246" applyFont="1" applyBorder="1" applyAlignment="1">
      <alignment horizontal="center" vertical="center" wrapText="1"/>
    </xf>
    <xf numFmtId="0" fontId="60" fillId="0" borderId="19" xfId="246" applyFont="1" applyBorder="1" applyAlignment="1">
      <alignment wrapText="1"/>
    </xf>
    <xf numFmtId="0" fontId="60" fillId="0" borderId="21" xfId="246" applyFont="1" applyBorder="1" applyAlignment="1">
      <alignment horizontal="center" vertical="center" wrapText="1"/>
    </xf>
    <xf numFmtId="0" fontId="60" fillId="0" borderId="19" xfId="246" applyFont="1" applyBorder="1" applyAlignment="1">
      <alignment horizontal="center" vertical="center"/>
    </xf>
    <xf numFmtId="0" fontId="82" fillId="37" borderId="19" xfId="583" applyFont="1" applyFill="1" applyBorder="1" applyAlignment="1">
      <alignment vertical="center"/>
    </xf>
    <xf numFmtId="0" fontId="82" fillId="37" borderId="17" xfId="583" applyFont="1" applyFill="1" applyBorder="1" applyAlignment="1">
      <alignment vertical="center"/>
    </xf>
    <xf numFmtId="0" fontId="60" fillId="0" borderId="19" xfId="0" applyFont="1" applyBorder="1" applyAlignment="1">
      <alignment horizontal="center" vertical="center"/>
    </xf>
    <xf numFmtId="0" fontId="50" fillId="0" borderId="19" xfId="0" applyFont="1" applyBorder="1" applyAlignment="1">
      <alignment horizontal="center" vertical="center"/>
    </xf>
    <xf numFmtId="0" fontId="82" fillId="39" borderId="19" xfId="583" applyFont="1" applyFill="1" applyBorder="1" applyAlignment="1">
      <alignment vertical="center"/>
    </xf>
    <xf numFmtId="0" fontId="82" fillId="39" borderId="17" xfId="583" applyFont="1" applyFill="1" applyBorder="1" applyAlignment="1">
      <alignment vertical="center"/>
    </xf>
    <xf numFmtId="0" fontId="82" fillId="36" borderId="19" xfId="583" applyFont="1" applyFill="1" applyBorder="1" applyAlignment="1">
      <alignment vertical="center"/>
    </xf>
    <xf numFmtId="0" fontId="82" fillId="36" borderId="17" xfId="583" applyFont="1" applyFill="1" applyBorder="1" applyAlignment="1">
      <alignment vertical="center"/>
    </xf>
    <xf numFmtId="0" fontId="82" fillId="38" borderId="19" xfId="583" applyFont="1" applyFill="1" applyBorder="1" applyAlignment="1">
      <alignment vertical="center"/>
    </xf>
    <xf numFmtId="0" fontId="82" fillId="38" borderId="17" xfId="583" applyFont="1" applyFill="1" applyBorder="1" applyAlignment="1">
      <alignment vertical="center"/>
    </xf>
    <xf numFmtId="0" fontId="42" fillId="0" borderId="19" xfId="0" applyFont="1" applyBorder="1" applyAlignment="1">
      <alignment vertical="center"/>
    </xf>
    <xf numFmtId="0" fontId="133" fillId="35" borderId="0" xfId="246" applyFont="1" applyFill="1" applyBorder="1" applyAlignment="1">
      <alignment horizontal="center" vertical="center"/>
    </xf>
    <xf numFmtId="0" fontId="54" fillId="0" borderId="252" xfId="576" applyFont="1" applyFill="1" applyBorder="1" applyAlignment="1">
      <alignment horizontal="center" vertical="center" wrapText="1"/>
    </xf>
    <xf numFmtId="0" fontId="54" fillId="0" borderId="29" xfId="142" applyFont="1" applyBorder="1" applyAlignment="1">
      <alignment horizontal="center"/>
    </xf>
    <xf numFmtId="168" fontId="54" fillId="0" borderId="29" xfId="180" applyNumberFormat="1" applyFont="1" applyBorder="1" applyAlignment="1">
      <alignment horizontal="center"/>
    </xf>
    <xf numFmtId="168" fontId="54" fillId="0" borderId="28" xfId="180" applyNumberFormat="1" applyFont="1" applyBorder="1" applyAlignment="1">
      <alignment horizontal="right" indent="1"/>
    </xf>
    <xf numFmtId="0" fontId="54" fillId="0" borderId="19" xfId="142" applyFont="1" applyBorder="1" applyAlignment="1">
      <alignment horizontal="center"/>
    </xf>
    <xf numFmtId="168" fontId="54" fillId="0" borderId="19" xfId="180" applyNumberFormat="1" applyFont="1" applyBorder="1" applyAlignment="1">
      <alignment horizontal="center"/>
    </xf>
    <xf numFmtId="168" fontId="54" fillId="0" borderId="22" xfId="180" applyNumberFormat="1" applyFont="1" applyBorder="1" applyAlignment="1">
      <alignment horizontal="right" indent="1"/>
    </xf>
    <xf numFmtId="0" fontId="106" fillId="0" borderId="21" xfId="142" applyFont="1" applyFill="1" applyBorder="1" applyAlignment="1">
      <alignment horizontal="center"/>
    </xf>
    <xf numFmtId="168" fontId="106" fillId="0" borderId="21" xfId="180" applyNumberFormat="1" applyFont="1" applyFill="1" applyBorder="1" applyAlignment="1">
      <alignment horizontal="center"/>
    </xf>
    <xf numFmtId="168" fontId="106" fillId="0" borderId="23" xfId="180" applyNumberFormat="1" applyFont="1" applyFill="1" applyBorder="1" applyAlignment="1">
      <alignment horizontal="right" indent="1"/>
    </xf>
    <xf numFmtId="168" fontId="37" fillId="0" borderId="0" xfId="142" applyNumberFormat="1" applyAlignment="1">
      <alignment horizontal="right" indent="1"/>
    </xf>
    <xf numFmtId="0" fontId="105" fillId="0" borderId="21" xfId="142" applyFont="1" applyFill="1" applyBorder="1" applyAlignment="1">
      <alignment horizontal="center"/>
    </xf>
    <xf numFmtId="168" fontId="105" fillId="0" borderId="21" xfId="180" applyNumberFormat="1" applyFont="1" applyFill="1" applyBorder="1" applyAlignment="1">
      <alignment horizontal="center"/>
    </xf>
    <xf numFmtId="168" fontId="105" fillId="0" borderId="23" xfId="180" applyNumberFormat="1" applyFont="1" applyFill="1" applyBorder="1" applyAlignment="1">
      <alignment horizontal="right" indent="1"/>
    </xf>
    <xf numFmtId="0" fontId="37" fillId="0" borderId="0" xfId="142" applyFont="1" applyBorder="1" applyAlignment="1">
      <alignment horizontal="right" indent="1"/>
    </xf>
    <xf numFmtId="0" fontId="110" fillId="0" borderId="21" xfId="142" applyFont="1" applyFill="1" applyBorder="1" applyAlignment="1">
      <alignment horizontal="center"/>
    </xf>
    <xf numFmtId="168" fontId="110" fillId="0" borderId="21" xfId="180" applyNumberFormat="1" applyFont="1" applyFill="1" applyBorder="1" applyAlignment="1">
      <alignment horizontal="center"/>
    </xf>
    <xf numFmtId="168" fontId="110" fillId="0" borderId="23" xfId="180" applyNumberFormat="1" applyFont="1" applyFill="1" applyBorder="1" applyAlignment="1">
      <alignment horizontal="right" indent="1"/>
    </xf>
    <xf numFmtId="168" fontId="37" fillId="0" borderId="0" xfId="142" applyNumberFormat="1" applyBorder="1" applyAlignment="1">
      <alignment horizontal="right" indent="1"/>
    </xf>
    <xf numFmtId="0" fontId="108" fillId="0" borderId="21" xfId="142" applyFont="1" applyFill="1" applyBorder="1" applyAlignment="1">
      <alignment horizontal="center"/>
    </xf>
    <xf numFmtId="168" fontId="108" fillId="0" borderId="21" xfId="180" applyNumberFormat="1" applyFont="1" applyFill="1" applyBorder="1" applyAlignment="1">
      <alignment horizontal="center"/>
    </xf>
    <xf numFmtId="168" fontId="108" fillId="0" borderId="23" xfId="180" applyNumberFormat="1" applyFont="1" applyFill="1" applyBorder="1" applyAlignment="1">
      <alignment horizontal="right" indent="1"/>
    </xf>
    <xf numFmtId="0" fontId="113" fillId="0" borderId="21" xfId="142" applyFont="1" applyFill="1" applyBorder="1" applyAlignment="1">
      <alignment horizontal="center"/>
    </xf>
    <xf numFmtId="168" fontId="113" fillId="0" borderId="21" xfId="180" applyNumberFormat="1" applyFont="1" applyFill="1" applyBorder="1" applyAlignment="1">
      <alignment horizontal="center"/>
    </xf>
    <xf numFmtId="168" fontId="113" fillId="0" borderId="23" xfId="180" applyNumberFormat="1" applyFont="1" applyFill="1" applyBorder="1" applyAlignment="1">
      <alignment horizontal="right" indent="1"/>
    </xf>
    <xf numFmtId="0" fontId="1" fillId="0" borderId="0" xfId="0" applyFont="1" applyFill="1" applyBorder="1" applyAlignment="1">
      <alignment vertical="center"/>
    </xf>
    <xf numFmtId="0" fontId="234" fillId="0" borderId="0" xfId="0" applyFont="1" applyFill="1" applyBorder="1" applyAlignment="1">
      <alignment vertical="center"/>
    </xf>
    <xf numFmtId="0" fontId="236" fillId="0" borderId="0" xfId="0" applyFont="1" applyFill="1" applyBorder="1" applyAlignment="1">
      <alignment vertical="center"/>
    </xf>
    <xf numFmtId="0" fontId="52" fillId="0" borderId="0" xfId="146" applyFont="1" applyBorder="1" applyAlignment="1">
      <alignment horizontal="center" vertical="center"/>
    </xf>
    <xf numFmtId="0" fontId="1" fillId="0" borderId="0" xfId="0" applyFont="1" applyBorder="1" applyAlignment="1">
      <alignment vertical="center"/>
    </xf>
    <xf numFmtId="0" fontId="241" fillId="0" borderId="0" xfId="142" applyFont="1"/>
    <xf numFmtId="0" fontId="41" fillId="0" borderId="305" xfId="3786" applyFont="1" applyFill="1" applyBorder="1" applyAlignment="1">
      <alignment horizontal="center" vertical="center" wrapText="1"/>
    </xf>
    <xf numFmtId="0" fontId="41" fillId="0" borderId="305" xfId="3786" applyFont="1" applyFill="1" applyBorder="1" applyAlignment="1">
      <alignment horizontal="left" vertical="center" indent="1"/>
    </xf>
    <xf numFmtId="0" fontId="41" fillId="0" borderId="305" xfId="3786" applyFont="1" applyFill="1" applyBorder="1" applyAlignment="1">
      <alignment horizontal="center" vertical="center"/>
    </xf>
    <xf numFmtId="0" fontId="41" fillId="0" borderId="306" xfId="3786" applyFont="1" applyFill="1" applyBorder="1" applyAlignment="1">
      <alignment horizontal="center" vertical="center" wrapText="1"/>
    </xf>
    <xf numFmtId="0" fontId="42" fillId="0" borderId="16" xfId="167" applyFont="1" applyFill="1" applyBorder="1" applyAlignment="1">
      <alignment horizontal="center" vertical="center" wrapText="1"/>
    </xf>
    <xf numFmtId="0" fontId="154" fillId="20" borderId="307" xfId="0" applyFont="1" applyFill="1" applyBorder="1" applyAlignment="1">
      <alignment horizontal="center" vertical="center"/>
    </xf>
    <xf numFmtId="0" fontId="154" fillId="43" borderId="307" xfId="0" applyFont="1" applyFill="1" applyBorder="1" applyAlignment="1">
      <alignment horizontal="center" vertical="center"/>
    </xf>
    <xf numFmtId="0" fontId="154" fillId="20" borderId="307" xfId="452" applyFont="1" applyFill="1" applyBorder="1" applyAlignment="1">
      <alignment horizontal="center" vertical="center" wrapText="1"/>
    </xf>
    <xf numFmtId="0" fontId="154" fillId="20" borderId="307" xfId="452" applyFont="1" applyFill="1" applyBorder="1" applyAlignment="1">
      <alignment horizontal="center" vertical="center"/>
    </xf>
    <xf numFmtId="0" fontId="31" fillId="0" borderId="307" xfId="0" applyFont="1" applyBorder="1" applyAlignment="1">
      <alignment horizontal="center"/>
    </xf>
    <xf numFmtId="168" fontId="31" fillId="0" borderId="307" xfId="0" applyNumberFormat="1" applyFont="1" applyBorder="1" applyAlignment="1">
      <alignment horizontal="center"/>
    </xf>
    <xf numFmtId="191" fontId="31" fillId="0" borderId="307" xfId="818" applyNumberFormat="1" applyFont="1" applyBorder="1" applyAlignment="1">
      <alignment horizontal="center"/>
    </xf>
    <xf numFmtId="0" fontId="154" fillId="20" borderId="307" xfId="0" applyFont="1" applyFill="1" applyBorder="1" applyAlignment="1">
      <alignment horizontal="center"/>
    </xf>
    <xf numFmtId="168" fontId="154" fillId="43" borderId="307" xfId="0" applyNumberFormat="1" applyFont="1" applyFill="1" applyBorder="1" applyAlignment="1">
      <alignment horizontal="center"/>
    </xf>
    <xf numFmtId="168" fontId="154" fillId="20" borderId="307" xfId="0" applyNumberFormat="1" applyFont="1" applyFill="1" applyBorder="1" applyAlignment="1">
      <alignment horizontal="center"/>
    </xf>
    <xf numFmtId="0" fontId="154" fillId="20" borderId="307" xfId="0" applyFont="1" applyFill="1" applyBorder="1" applyAlignment="1">
      <alignment horizontal="center" vertical="center" wrapText="1"/>
    </xf>
    <xf numFmtId="0" fontId="31" fillId="0" borderId="307" xfId="0" applyFont="1" applyBorder="1" applyAlignment="1">
      <alignment horizontal="center" vertical="center" wrapText="1"/>
    </xf>
    <xf numFmtId="0" fontId="265" fillId="0" borderId="0" xfId="822" applyFont="1" applyAlignment="1">
      <alignment horizontal="center"/>
    </xf>
    <xf numFmtId="0" fontId="266" fillId="0" borderId="0" xfId="0" applyFont="1" applyAlignment="1">
      <alignment horizontal="center" vertical="center"/>
    </xf>
    <xf numFmtId="0" fontId="265" fillId="0" borderId="0" xfId="822" applyFont="1"/>
    <xf numFmtId="0" fontId="265" fillId="0" borderId="0" xfId="822" applyFont="1" applyAlignment="1">
      <alignment horizontal="left" vertical="center" wrapText="1"/>
    </xf>
    <xf numFmtId="0" fontId="41" fillId="0" borderId="0" xfId="822" applyFont="1" applyAlignment="1">
      <alignment horizontal="left" vertical="center"/>
    </xf>
    <xf numFmtId="0" fontId="31" fillId="0" borderId="0" xfId="0" applyFont="1" applyAlignment="1">
      <alignment horizontal="center" vertical="center"/>
    </xf>
    <xf numFmtId="0" fontId="31" fillId="0" borderId="0" xfId="0" applyFont="1" applyFill="1"/>
    <xf numFmtId="171" fontId="31" fillId="0" borderId="0" xfId="0" applyNumberFormat="1" applyFont="1"/>
    <xf numFmtId="0" fontId="31" fillId="0" borderId="0" xfId="822" applyFont="1" applyAlignment="1">
      <alignment horizontal="center"/>
    </xf>
    <xf numFmtId="0" fontId="31" fillId="0" borderId="0" xfId="822" applyFont="1"/>
    <xf numFmtId="0" fontId="31" fillId="0" borderId="0" xfId="797" applyFont="1"/>
    <xf numFmtId="0" fontId="154" fillId="20" borderId="307" xfId="3787" applyFont="1" applyFill="1" applyBorder="1" applyAlignment="1">
      <alignment horizontal="center" vertical="center" wrapText="1"/>
    </xf>
    <xf numFmtId="0" fontId="31" fillId="55" borderId="0" xfId="797" applyFont="1" applyFill="1"/>
    <xf numFmtId="182" fontId="31" fillId="0" borderId="307" xfId="0" applyNumberFormat="1" applyFont="1" applyBorder="1" applyAlignment="1">
      <alignment horizontal="center" vertical="center" wrapText="1"/>
    </xf>
    <xf numFmtId="171" fontId="31" fillId="0" borderId="307" xfId="0" applyNumberFormat="1" applyFont="1" applyBorder="1" applyAlignment="1">
      <alignment horizontal="center" vertical="center" wrapText="1"/>
    </xf>
    <xf numFmtId="191" fontId="31" fillId="0" borderId="307" xfId="797" applyNumberFormat="1" applyFont="1" applyBorder="1" applyAlignment="1">
      <alignment horizontal="center" vertical="center"/>
    </xf>
    <xf numFmtId="0" fontId="31" fillId="0" borderId="0" xfId="797" applyFont="1" applyBorder="1" applyAlignment="1">
      <alignment horizontal="left" wrapText="1"/>
    </xf>
    <xf numFmtId="0" fontId="31" fillId="0" borderId="310" xfId="797" applyFont="1" applyBorder="1" applyAlignment="1">
      <alignment horizontal="center" wrapText="1"/>
    </xf>
    <xf numFmtId="0" fontId="31" fillId="0" borderId="311" xfId="797" applyFont="1" applyBorder="1" applyAlignment="1">
      <alignment horizontal="left" wrapText="1"/>
    </xf>
    <xf numFmtId="0" fontId="31" fillId="0" borderId="312" xfId="797" applyFont="1" applyBorder="1" applyAlignment="1">
      <alignment horizontal="center" wrapText="1"/>
    </xf>
    <xf numFmtId="0" fontId="31" fillId="0" borderId="313" xfId="797" applyFont="1" applyBorder="1" applyAlignment="1">
      <alignment horizontal="center" wrapText="1"/>
    </xf>
    <xf numFmtId="0" fontId="31" fillId="0" borderId="314" xfId="797" applyFont="1" applyBorder="1" applyAlignment="1">
      <alignment horizontal="center" wrapText="1"/>
    </xf>
    <xf numFmtId="0" fontId="31" fillId="60" borderId="315" xfId="797" applyFont="1" applyFill="1" applyBorder="1" applyAlignment="1">
      <alignment horizontal="left" vertical="top" wrapText="1"/>
    </xf>
    <xf numFmtId="191" fontId="31" fillId="0" borderId="316" xfId="797" applyNumberFormat="1" applyFont="1" applyBorder="1" applyAlignment="1">
      <alignment horizontal="right" vertical="top"/>
    </xf>
    <xf numFmtId="191" fontId="31" fillId="0" borderId="317" xfId="797" applyNumberFormat="1" applyFont="1" applyBorder="1" applyAlignment="1">
      <alignment horizontal="right" vertical="top"/>
    </xf>
    <xf numFmtId="191" fontId="31" fillId="0" borderId="318" xfId="797" applyNumberFormat="1" applyFont="1" applyBorder="1" applyAlignment="1">
      <alignment horizontal="right" vertical="top"/>
    </xf>
    <xf numFmtId="0" fontId="31" fillId="60" borderId="319" xfId="797" applyFont="1" applyFill="1" applyBorder="1" applyAlignment="1">
      <alignment horizontal="left" vertical="top" wrapText="1"/>
    </xf>
    <xf numFmtId="191" fontId="31" fillId="0" borderId="320" xfId="797" applyNumberFormat="1" applyFont="1" applyBorder="1" applyAlignment="1">
      <alignment horizontal="right" vertical="top"/>
    </xf>
    <xf numFmtId="191" fontId="31" fillId="0" borderId="321" xfId="797" applyNumberFormat="1" applyFont="1" applyBorder="1" applyAlignment="1">
      <alignment horizontal="right" vertical="top"/>
    </xf>
    <xf numFmtId="191" fontId="31" fillId="0" borderId="322" xfId="797" applyNumberFormat="1" applyFont="1" applyBorder="1" applyAlignment="1">
      <alignment horizontal="right" vertical="top"/>
    </xf>
    <xf numFmtId="0" fontId="154" fillId="0" borderId="307" xfId="0" applyFont="1" applyBorder="1" applyAlignment="1">
      <alignment horizontal="center" vertical="center" wrapText="1"/>
    </xf>
    <xf numFmtId="182" fontId="154" fillId="0" borderId="307" xfId="0" applyNumberFormat="1" applyFont="1" applyBorder="1" applyAlignment="1">
      <alignment horizontal="center" vertical="center" wrapText="1"/>
    </xf>
    <xf numFmtId="171" fontId="154" fillId="0" borderId="307" xfId="0" applyNumberFormat="1" applyFont="1" applyBorder="1" applyAlignment="1">
      <alignment horizontal="center" vertical="center" wrapText="1"/>
    </xf>
    <xf numFmtId="191" fontId="31" fillId="61" borderId="307" xfId="797" applyNumberFormat="1" applyFont="1" applyFill="1" applyBorder="1" applyAlignment="1">
      <alignment horizontal="center" vertical="center"/>
    </xf>
    <xf numFmtId="0" fontId="31" fillId="0" borderId="0" xfId="3792" applyFont="1" applyFill="1" applyBorder="1" applyAlignment="1">
      <alignment horizontal="left"/>
    </xf>
    <xf numFmtId="0" fontId="31" fillId="0" borderId="0" xfId="3792" applyFont="1" applyFill="1" applyBorder="1" applyAlignment="1">
      <alignment horizontal="center" vertical="center"/>
    </xf>
    <xf numFmtId="0" fontId="31" fillId="0" borderId="0" xfId="3792" applyFont="1" applyFill="1" applyBorder="1" applyAlignment="1"/>
    <xf numFmtId="0" fontId="31" fillId="0" borderId="0" xfId="3792" applyFont="1" applyFill="1" applyBorder="1" applyAlignment="1">
      <alignment horizontal="center"/>
    </xf>
    <xf numFmtId="171" fontId="31" fillId="0" borderId="0" xfId="3792" applyNumberFormat="1" applyFont="1" applyFill="1" applyBorder="1" applyAlignment="1">
      <alignment horizontal="center"/>
    </xf>
    <xf numFmtId="0" fontId="154" fillId="0" borderId="307" xfId="3792" applyFont="1" applyFill="1" applyBorder="1" applyAlignment="1">
      <alignment horizontal="center"/>
    </xf>
    <xf numFmtId="0" fontId="154" fillId="0" borderId="307" xfId="3792" applyFont="1" applyFill="1" applyBorder="1" applyAlignment="1">
      <alignment horizontal="center" vertical="center"/>
    </xf>
    <xf numFmtId="171" fontId="154" fillId="0" borderId="307" xfId="3792" applyNumberFormat="1" applyFont="1" applyFill="1" applyBorder="1" applyAlignment="1">
      <alignment horizontal="center"/>
    </xf>
    <xf numFmtId="0" fontId="154" fillId="61" borderId="307" xfId="3792" applyFont="1" applyFill="1" applyBorder="1" applyAlignment="1">
      <alignment horizontal="center"/>
    </xf>
    <xf numFmtId="0" fontId="31" fillId="0" borderId="307" xfId="3792" applyFont="1" applyFill="1" applyBorder="1" applyAlignment="1">
      <alignment vertical="top"/>
    </xf>
    <xf numFmtId="0" fontId="31" fillId="0" borderId="307" xfId="3792" applyFont="1" applyFill="1" applyBorder="1" applyAlignment="1">
      <alignment horizontal="center" vertical="top"/>
    </xf>
    <xf numFmtId="182" fontId="31" fillId="0" borderId="307" xfId="3792" applyNumberFormat="1" applyFont="1" applyFill="1" applyBorder="1" applyAlignment="1">
      <alignment horizontal="center" vertical="top"/>
    </xf>
    <xf numFmtId="171" fontId="31" fillId="0" borderId="307" xfId="3792" applyNumberFormat="1" applyFont="1" applyFill="1" applyBorder="1" applyAlignment="1">
      <alignment horizontal="center" vertical="top"/>
    </xf>
    <xf numFmtId="191" fontId="31" fillId="0" borderId="307" xfId="3792" applyNumberFormat="1" applyFont="1" applyFill="1" applyBorder="1" applyAlignment="1">
      <alignment horizontal="center" vertical="top"/>
    </xf>
    <xf numFmtId="0" fontId="31" fillId="0" borderId="307" xfId="3792" applyFont="1" applyFill="1" applyBorder="1" applyAlignment="1">
      <alignment horizontal="left" vertical="top"/>
    </xf>
    <xf numFmtId="9" fontId="31" fillId="0" borderId="307" xfId="3792" applyNumberFormat="1" applyFont="1" applyFill="1" applyBorder="1" applyAlignment="1">
      <alignment horizontal="center" vertical="top"/>
    </xf>
    <xf numFmtId="0" fontId="31" fillId="0" borderId="307" xfId="3792" applyFont="1" applyFill="1" applyBorder="1" applyAlignment="1">
      <alignment horizontal="center" vertical="center"/>
    </xf>
    <xf numFmtId="0" fontId="31" fillId="0" borderId="307" xfId="3793" applyFont="1" applyFill="1" applyBorder="1" applyAlignment="1">
      <alignment horizontal="left" vertical="top"/>
    </xf>
    <xf numFmtId="0" fontId="31" fillId="0" borderId="307" xfId="3793" applyFont="1" applyFill="1" applyBorder="1" applyAlignment="1">
      <alignment horizontal="center" vertical="top"/>
    </xf>
    <xf numFmtId="182" fontId="31" fillId="0" borderId="307" xfId="3793" applyNumberFormat="1" applyFont="1" applyFill="1" applyBorder="1" applyAlignment="1">
      <alignment horizontal="center" vertical="top"/>
    </xf>
    <xf numFmtId="191" fontId="31" fillId="0" borderId="307" xfId="3793" applyNumberFormat="1" applyFont="1" applyFill="1" applyBorder="1" applyAlignment="1">
      <alignment horizontal="center" vertical="top"/>
    </xf>
    <xf numFmtId="191" fontId="31" fillId="0" borderId="319" xfId="3793" applyNumberFormat="1" applyFont="1" applyBorder="1" applyAlignment="1">
      <alignment horizontal="right" vertical="top"/>
    </xf>
    <xf numFmtId="191" fontId="31" fillId="0" borderId="323" xfId="3793" applyNumberFormat="1" applyFont="1" applyBorder="1" applyAlignment="1">
      <alignment horizontal="right" vertical="top"/>
    </xf>
    <xf numFmtId="0" fontId="31" fillId="0" borderId="307" xfId="3793" applyFont="1" applyFill="1" applyBorder="1" applyAlignment="1">
      <alignment horizontal="center" vertical="center"/>
    </xf>
    <xf numFmtId="0" fontId="31" fillId="0" borderId="0" xfId="3792" applyFont="1" applyFill="1" applyBorder="1" applyAlignment="1">
      <alignment horizontal="left" vertical="top"/>
    </xf>
    <xf numFmtId="0" fontId="154" fillId="0" borderId="307" xfId="3792" applyFont="1" applyFill="1" applyBorder="1" applyAlignment="1">
      <alignment horizontal="center" vertical="top"/>
    </xf>
    <xf numFmtId="182" fontId="154" fillId="0" borderId="307" xfId="3792" applyNumberFormat="1" applyFont="1" applyFill="1" applyBorder="1" applyAlignment="1">
      <alignment horizontal="center" vertical="top"/>
    </xf>
    <xf numFmtId="171" fontId="154" fillId="0" borderId="307" xfId="3792" applyNumberFormat="1" applyFont="1" applyFill="1" applyBorder="1" applyAlignment="1">
      <alignment horizontal="center" vertical="top"/>
    </xf>
    <xf numFmtId="191" fontId="154" fillId="61" borderId="307" xfId="3792" applyNumberFormat="1" applyFont="1" applyFill="1" applyBorder="1" applyAlignment="1">
      <alignment horizontal="center" vertical="top"/>
    </xf>
    <xf numFmtId="191" fontId="154" fillId="0" borderId="307" xfId="3792" applyNumberFormat="1" applyFont="1" applyFill="1" applyBorder="1" applyAlignment="1">
      <alignment horizontal="center" vertical="top"/>
    </xf>
    <xf numFmtId="0" fontId="225" fillId="20" borderId="307" xfId="0" applyFont="1" applyFill="1" applyBorder="1" applyAlignment="1">
      <alignment horizontal="center" vertical="center" wrapText="1"/>
    </xf>
    <xf numFmtId="171" fontId="148" fillId="0" borderId="307" xfId="0" applyNumberFormat="1" applyFont="1" applyBorder="1" applyAlignment="1">
      <alignment horizontal="center" vertical="center" wrapText="1"/>
    </xf>
    <xf numFmtId="171" fontId="225" fillId="0" borderId="307" xfId="0" applyNumberFormat="1" applyFont="1" applyBorder="1" applyAlignment="1">
      <alignment horizontal="center" vertical="center" wrapText="1"/>
    </xf>
    <xf numFmtId="0" fontId="35" fillId="20" borderId="307" xfId="3792" applyFont="1" applyFill="1" applyBorder="1" applyAlignment="1">
      <alignment horizontal="center" vertical="center"/>
    </xf>
    <xf numFmtId="0" fontId="29" fillId="0" borderId="307" xfId="3792" applyFont="1" applyFill="1" applyBorder="1" applyAlignment="1">
      <alignment horizontal="center" vertical="center"/>
    </xf>
    <xf numFmtId="171" fontId="225" fillId="20" borderId="307" xfId="0" applyNumberFormat="1" applyFont="1" applyFill="1" applyBorder="1" applyAlignment="1">
      <alignment horizontal="center" vertical="center" wrapText="1"/>
    </xf>
    <xf numFmtId="0" fontId="35" fillId="20" borderId="307" xfId="0" applyFont="1" applyFill="1" applyBorder="1" applyAlignment="1">
      <alignment horizontal="center" vertical="center"/>
    </xf>
    <xf numFmtId="0" fontId="29" fillId="0" borderId="307" xfId="239" applyFont="1" applyBorder="1" applyAlignment="1">
      <alignment horizontal="center" vertical="center"/>
    </xf>
    <xf numFmtId="0" fontId="35" fillId="20" borderId="299" xfId="0" applyFont="1" applyFill="1" applyBorder="1" applyAlignment="1">
      <alignment horizontal="center"/>
    </xf>
    <xf numFmtId="0" fontId="56" fillId="20" borderId="259" xfId="238" applyFont="1" applyFill="1" applyBorder="1" applyAlignment="1">
      <alignment horizontal="center" vertical="center"/>
    </xf>
    <xf numFmtId="0" fontId="56" fillId="20" borderId="104" xfId="238" applyFont="1" applyFill="1" applyBorder="1" applyAlignment="1">
      <alignment horizontal="center" vertical="center"/>
    </xf>
    <xf numFmtId="0" fontId="27" fillId="0" borderId="254" xfId="238" applyFont="1" applyBorder="1" applyAlignment="1">
      <alignment horizontal="center" vertical="center"/>
    </xf>
    <xf numFmtId="0" fontId="27" fillId="0" borderId="18" xfId="238" applyFont="1" applyBorder="1" applyAlignment="1">
      <alignment horizontal="center" vertical="center"/>
    </xf>
    <xf numFmtId="0" fontId="27" fillId="0" borderId="24" xfId="238" applyFont="1" applyBorder="1" applyAlignment="1">
      <alignment horizontal="center" vertical="center"/>
    </xf>
    <xf numFmtId="0" fontId="27" fillId="0" borderId="255" xfId="238" applyFont="1" applyBorder="1" applyAlignment="1">
      <alignment horizontal="center" vertical="center"/>
    </xf>
    <xf numFmtId="0" fontId="27" fillId="0" borderId="27" xfId="238" applyFont="1" applyBorder="1" applyAlignment="1">
      <alignment horizontal="center" vertical="center"/>
    </xf>
    <xf numFmtId="0" fontId="147" fillId="20" borderId="297" xfId="822" applyFont="1" applyFill="1" applyBorder="1" applyAlignment="1">
      <alignment horizontal="right"/>
    </xf>
    <xf numFmtId="0" fontId="81" fillId="20" borderId="307" xfId="0" applyFont="1" applyFill="1" applyBorder="1" applyAlignment="1">
      <alignment horizontal="center" vertical="center" wrapText="1"/>
    </xf>
    <xf numFmtId="0" fontId="147" fillId="20" borderId="259" xfId="822" applyFont="1" applyFill="1" applyBorder="1" applyAlignment="1">
      <alignment horizontal="center" vertical="center"/>
    </xf>
    <xf numFmtId="0" fontId="147" fillId="20" borderId="104" xfId="822" applyFont="1" applyFill="1" applyBorder="1" applyAlignment="1">
      <alignment horizontal="center" vertical="center"/>
    </xf>
    <xf numFmtId="0" fontId="147" fillId="0" borderId="303" xfId="822" applyFont="1" applyBorder="1" applyAlignment="1">
      <alignment vertical="center"/>
    </xf>
    <xf numFmtId="0" fontId="147" fillId="20" borderId="307" xfId="822" applyFont="1" applyFill="1" applyBorder="1" applyAlignment="1">
      <alignment horizontal="center" vertical="center"/>
    </xf>
    <xf numFmtId="2" fontId="81" fillId="20" borderId="0" xfId="0" applyNumberFormat="1" applyFont="1" applyFill="1" applyBorder="1" applyAlignment="1">
      <alignment horizontal="center" vertical="center" wrapText="1"/>
    </xf>
    <xf numFmtId="168" fontId="63" fillId="43" borderId="0" xfId="176" applyNumberFormat="1" applyFont="1" applyFill="1" applyBorder="1" applyAlignment="1">
      <alignment horizontal="center" vertical="center" wrapText="1"/>
    </xf>
    <xf numFmtId="168" fontId="63" fillId="0" borderId="0" xfId="176" applyNumberFormat="1" applyFont="1" applyBorder="1" applyAlignment="1">
      <alignment horizontal="center" vertical="center" wrapText="1"/>
    </xf>
    <xf numFmtId="171" fontId="63" fillId="20" borderId="0" xfId="176" applyNumberFormat="1" applyFont="1" applyFill="1" applyBorder="1" applyAlignment="1">
      <alignment horizontal="center" vertical="center" wrapText="1"/>
    </xf>
    <xf numFmtId="2" fontId="63" fillId="43" borderId="0" xfId="176" applyNumberFormat="1" applyFont="1" applyFill="1" applyBorder="1" applyAlignment="1">
      <alignment horizontal="center" vertical="center" wrapText="1"/>
    </xf>
    <xf numFmtId="2" fontId="63" fillId="0" borderId="0" xfId="176" applyNumberFormat="1" applyFont="1" applyBorder="1" applyAlignment="1">
      <alignment horizontal="center" vertical="center" wrapText="1"/>
    </xf>
    <xf numFmtId="2" fontId="63" fillId="20" borderId="0" xfId="176" applyNumberFormat="1" applyFont="1" applyFill="1" applyBorder="1" applyAlignment="1">
      <alignment horizontal="center" vertical="center" wrapText="1"/>
    </xf>
    <xf numFmtId="2" fontId="63" fillId="0" borderId="0" xfId="176" applyNumberFormat="1" applyFont="1" applyFill="1" applyBorder="1" applyAlignment="1">
      <alignment horizontal="center" vertical="center" wrapText="1"/>
    </xf>
    <xf numFmtId="0" fontId="66" fillId="20" borderId="307" xfId="639" applyFont="1" applyFill="1" applyBorder="1" applyAlignment="1">
      <alignment horizontal="center" vertical="center"/>
    </xf>
    <xf numFmtId="0" fontId="66" fillId="0" borderId="299" xfId="639" applyFont="1" applyBorder="1" applyAlignment="1">
      <alignment horizontal="center" vertical="center"/>
    </xf>
    <xf numFmtId="0" fontId="81" fillId="20" borderId="0" xfId="0" applyFont="1" applyFill="1" applyBorder="1" applyAlignment="1">
      <alignment horizontal="center" vertical="center" wrapText="1"/>
    </xf>
    <xf numFmtId="168" fontId="150" fillId="43" borderId="0" xfId="176" applyNumberFormat="1" applyFont="1" applyFill="1" applyBorder="1" applyAlignment="1">
      <alignment horizontal="center" vertical="center"/>
    </xf>
    <xf numFmtId="183" fontId="72" fillId="43" borderId="0" xfId="802" applyNumberFormat="1" applyFont="1" applyFill="1" applyBorder="1" applyAlignment="1">
      <alignment horizontal="center" vertical="center"/>
    </xf>
    <xf numFmtId="183" fontId="72" fillId="20" borderId="0" xfId="802" applyNumberFormat="1" applyFont="1" applyFill="1" applyBorder="1" applyAlignment="1">
      <alignment horizontal="center" vertical="center"/>
    </xf>
    <xf numFmtId="9" fontId="43" fillId="34" borderId="0" xfId="176" applyFont="1" applyFill="1" applyBorder="1" applyAlignment="1">
      <alignment horizontal="center" vertical="center" wrapText="1"/>
    </xf>
    <xf numFmtId="9" fontId="44" fillId="34" borderId="0" xfId="176" applyFont="1" applyFill="1" applyBorder="1" applyAlignment="1">
      <alignment horizontal="center" vertical="center" wrapText="1"/>
    </xf>
    <xf numFmtId="168" fontId="81" fillId="21" borderId="0" xfId="176" applyNumberFormat="1" applyFont="1" applyFill="1" applyBorder="1" applyAlignment="1">
      <alignment horizontal="center" vertical="center" wrapText="1"/>
    </xf>
    <xf numFmtId="171" fontId="63" fillId="34" borderId="0" xfId="176" applyNumberFormat="1" applyFont="1" applyFill="1" applyBorder="1" applyAlignment="1">
      <alignment horizontal="center" vertical="center" wrapText="1"/>
    </xf>
    <xf numFmtId="9" fontId="81" fillId="20" borderId="0" xfId="176" applyFont="1" applyFill="1" applyBorder="1" applyAlignment="1">
      <alignment horizontal="center" vertical="center" wrapText="1"/>
    </xf>
    <xf numFmtId="10" fontId="63" fillId="21" borderId="0" xfId="176" applyNumberFormat="1" applyFont="1" applyFill="1" applyBorder="1" applyAlignment="1">
      <alignment horizontal="center" vertical="center" wrapText="1"/>
    </xf>
    <xf numFmtId="10" fontId="63" fillId="34" borderId="0" xfId="176" applyNumberFormat="1" applyFont="1" applyFill="1" applyBorder="1" applyAlignment="1">
      <alignment horizontal="center" vertical="center" wrapText="1"/>
    </xf>
    <xf numFmtId="0" fontId="0" fillId="0" borderId="0" xfId="0" applyFill="1"/>
    <xf numFmtId="0" fontId="79" fillId="0" borderId="208" xfId="0" applyFont="1" applyFill="1" applyBorder="1" applyAlignment="1">
      <alignment horizontal="centerContinuous" vertical="center"/>
    </xf>
    <xf numFmtId="167" fontId="39" fillId="0" borderId="208" xfId="217" applyNumberFormat="1" applyFont="1" applyFill="1" applyBorder="1" applyAlignment="1">
      <alignment vertical="center"/>
    </xf>
    <xf numFmtId="168" fontId="39" fillId="0" borderId="208" xfId="176" applyNumberFormat="1" applyFont="1" applyFill="1" applyBorder="1" applyAlignment="1">
      <alignment horizontal="right" indent="1"/>
    </xf>
    <xf numFmtId="0" fontId="41" fillId="0" borderId="28" xfId="0" applyFont="1" applyFill="1" applyBorder="1" applyAlignment="1">
      <alignment vertical="center"/>
    </xf>
    <xf numFmtId="0" fontId="0" fillId="0" borderId="0" xfId="0" applyFont="1" applyFill="1"/>
    <xf numFmtId="0" fontId="79" fillId="0" borderId="208" xfId="0" applyFont="1" applyFill="1" applyBorder="1" applyAlignment="1">
      <alignment horizontal="center" vertical="center"/>
    </xf>
    <xf numFmtId="0" fontId="0" fillId="0" borderId="0" xfId="0" applyFont="1" applyFill="1" applyBorder="1" applyAlignment="1">
      <alignment vertical="center"/>
    </xf>
    <xf numFmtId="168" fontId="39" fillId="0" borderId="208" xfId="176" applyNumberFormat="1" applyFont="1" applyFill="1" applyBorder="1" applyAlignment="1">
      <alignment horizontal="right" vertical="center" indent="1"/>
    </xf>
    <xf numFmtId="0" fontId="0" fillId="0" borderId="0" xfId="0" applyFill="1" applyAlignment="1">
      <alignment vertical="center"/>
    </xf>
    <xf numFmtId="0" fontId="42" fillId="0" borderId="23" xfId="149" applyFont="1" applyFill="1" applyBorder="1" applyAlignment="1">
      <alignment horizontal="center" vertical="center"/>
    </xf>
    <xf numFmtId="0" fontId="55" fillId="0" borderId="0" xfId="0" applyFont="1" applyFill="1"/>
    <xf numFmtId="3" fontId="42" fillId="0" borderId="23" xfId="149" applyNumberFormat="1" applyFont="1" applyFill="1" applyBorder="1" applyAlignment="1">
      <alignment horizontal="right" vertical="center" indent="1"/>
    </xf>
    <xf numFmtId="168" fontId="42" fillId="0" borderId="23" xfId="176" applyNumberFormat="1" applyFont="1" applyFill="1" applyBorder="1" applyAlignment="1">
      <alignment horizontal="right" vertical="center" indent="1"/>
    </xf>
    <xf numFmtId="0" fontId="55" fillId="0" borderId="0" xfId="0" applyFont="1" applyFill="1" applyAlignment="1">
      <alignment horizontal="center" wrapText="1"/>
    </xf>
    <xf numFmtId="0" fontId="87" fillId="0" borderId="0" xfId="0" applyFont="1" applyFill="1"/>
    <xf numFmtId="0" fontId="6" fillId="0" borderId="0" xfId="149" applyFont="1" applyFill="1"/>
    <xf numFmtId="0" fontId="102" fillId="0" borderId="0" xfId="0" applyFont="1" applyFill="1" applyAlignment="1">
      <alignment horizontal="center" vertical="center"/>
    </xf>
    <xf numFmtId="0" fontId="64" fillId="0" borderId="0" xfId="149" applyFont="1" applyFill="1"/>
    <xf numFmtId="0" fontId="42" fillId="0" borderId="208" xfId="149" applyFont="1" applyFill="1" applyBorder="1" applyAlignment="1">
      <alignment horizontal="center" vertical="center"/>
    </xf>
    <xf numFmtId="3" fontId="42" fillId="0" borderId="208" xfId="149" applyNumberFormat="1" applyFont="1" applyFill="1" applyBorder="1" applyAlignment="1">
      <alignment horizontal="right" vertical="center" indent="1"/>
    </xf>
    <xf numFmtId="168" fontId="42" fillId="0" borderId="0" xfId="176" applyNumberFormat="1" applyFont="1" applyFill="1" applyBorder="1" applyAlignment="1">
      <alignment horizontal="right" vertical="center" indent="1"/>
    </xf>
    <xf numFmtId="168" fontId="39" fillId="0" borderId="0" xfId="176" applyNumberFormat="1" applyFont="1" applyFill="1" applyBorder="1" applyAlignment="1">
      <alignment horizontal="right" indent="1"/>
    </xf>
    <xf numFmtId="0" fontId="0" fillId="0" borderId="0" xfId="0"/>
    <xf numFmtId="0" fontId="0" fillId="0" borderId="28" xfId="0" applyFont="1" applyFill="1" applyBorder="1" applyAlignment="1">
      <alignment horizontal="center" vertical="center" wrapText="1"/>
    </xf>
    <xf numFmtId="0" fontId="0" fillId="0" borderId="0" xfId="0"/>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2" fillId="0" borderId="0" xfId="0" applyFont="1" applyAlignment="1">
      <alignment horizontal="center" vertical="center" wrapText="1"/>
    </xf>
    <xf numFmtId="0" fontId="192" fillId="0" borderId="16" xfId="0" applyFont="1" applyFill="1" applyBorder="1" applyAlignment="1">
      <alignment horizontal="center" vertical="center" wrapText="1"/>
    </xf>
    <xf numFmtId="0" fontId="0" fillId="0" borderId="324" xfId="0" applyFill="1" applyBorder="1" applyAlignment="1">
      <alignment horizontal="center"/>
    </xf>
    <xf numFmtId="0" fontId="41" fillId="0" borderId="324" xfId="377" applyFont="1" applyFill="1" applyBorder="1" applyAlignment="1">
      <alignment horizontal="left" vertical="center" wrapText="1"/>
    </xf>
    <xf numFmtId="0" fontId="0" fillId="0" borderId="325" xfId="0" applyFill="1" applyBorder="1" applyAlignment="1">
      <alignment horizontal="center"/>
    </xf>
    <xf numFmtId="0" fontId="41" fillId="0" borderId="325" xfId="377" applyFont="1" applyFill="1" applyBorder="1" applyAlignment="1">
      <alignment horizontal="left" vertical="center" wrapText="1"/>
    </xf>
    <xf numFmtId="0" fontId="213" fillId="0" borderId="325" xfId="0" applyFont="1" applyFill="1" applyBorder="1" applyAlignment="1">
      <alignment horizontal="center" vertical="center" wrapText="1"/>
    </xf>
    <xf numFmtId="0" fontId="0" fillId="0" borderId="325" xfId="0" applyFill="1" applyBorder="1"/>
    <xf numFmtId="0" fontId="0" fillId="0" borderId="325" xfId="0" applyFont="1" applyFill="1" applyBorder="1" applyAlignment="1">
      <alignment horizontal="center"/>
    </xf>
    <xf numFmtId="0" fontId="41" fillId="0" borderId="325" xfId="0" applyFont="1" applyFill="1" applyBorder="1" applyAlignment="1">
      <alignment horizontal="left"/>
    </xf>
    <xf numFmtId="0" fontId="39" fillId="43" borderId="325" xfId="0" applyFont="1" applyFill="1" applyBorder="1" applyAlignment="1">
      <alignment horizontal="center"/>
    </xf>
    <xf numFmtId="0" fontId="39" fillId="43" borderId="325" xfId="0" applyFont="1" applyFill="1" applyBorder="1" applyAlignment="1">
      <alignment horizontal="left"/>
    </xf>
    <xf numFmtId="0" fontId="0" fillId="0" borderId="208" xfId="0" applyFont="1" applyFill="1" applyBorder="1" applyAlignment="1">
      <alignment horizontal="center"/>
    </xf>
    <xf numFmtId="0" fontId="0" fillId="0" borderId="208" xfId="0" applyFill="1" applyBorder="1" applyAlignment="1">
      <alignment horizontal="center"/>
    </xf>
    <xf numFmtId="0" fontId="0" fillId="0" borderId="208" xfId="0" applyFill="1" applyBorder="1" applyAlignment="1">
      <alignment horizontal="left"/>
    </xf>
    <xf numFmtId="0" fontId="42" fillId="0" borderId="0" xfId="0" applyFont="1" applyAlignment="1">
      <alignment horizontal="center" vertical="center" wrapText="1"/>
    </xf>
    <xf numFmtId="0" fontId="0" fillId="0" borderId="22" xfId="0" applyFill="1" applyBorder="1" applyAlignment="1">
      <alignment horizontal="left" vertical="center"/>
    </xf>
    <xf numFmtId="0" fontId="41" fillId="0" borderId="23" xfId="0" applyFont="1" applyFill="1" applyBorder="1" applyAlignment="1">
      <alignment horizontal="left" vertical="center" wrapText="1"/>
    </xf>
    <xf numFmtId="0" fontId="0" fillId="0" borderId="0" xfId="0"/>
    <xf numFmtId="0" fontId="79" fillId="0" borderId="16" xfId="0" applyFont="1" applyFill="1" applyBorder="1" applyAlignment="1">
      <alignment horizontal="center" vertical="center" wrapText="1"/>
    </xf>
    <xf numFmtId="3" fontId="66" fillId="0" borderId="0" xfId="0" applyNumberFormat="1" applyFont="1" applyBorder="1" applyAlignment="1">
      <alignment horizontal="right" vertical="center"/>
    </xf>
    <xf numFmtId="0" fontId="0" fillId="0" borderId="0" xfId="0"/>
    <xf numFmtId="0" fontId="39" fillId="0" borderId="307" xfId="0" applyFont="1" applyFill="1" applyBorder="1" applyAlignment="1">
      <alignment horizontal="center"/>
    </xf>
    <xf numFmtId="0" fontId="41" fillId="0" borderId="28" xfId="149" applyFont="1" applyBorder="1" applyAlignment="1">
      <alignment horizontal="right" vertical="center" indent="1"/>
    </xf>
    <xf numFmtId="0" fontId="0" fillId="0" borderId="0" xfId="0"/>
    <xf numFmtId="0" fontId="0" fillId="0" borderId="0" xfId="0"/>
    <xf numFmtId="0" fontId="195" fillId="0" borderId="0" xfId="0" applyFont="1" applyAlignment="1">
      <alignment horizontal="left" vertical="center"/>
    </xf>
    <xf numFmtId="0" fontId="195" fillId="0" borderId="0" xfId="0" applyFont="1" applyAlignment="1">
      <alignment vertical="center"/>
    </xf>
    <xf numFmtId="0" fontId="0" fillId="0" borderId="0" xfId="0"/>
    <xf numFmtId="0" fontId="0" fillId="0" borderId="0" xfId="0"/>
    <xf numFmtId="0" fontId="39" fillId="0" borderId="16" xfId="0" applyFont="1" applyBorder="1" applyAlignment="1">
      <alignment horizontal="center" vertical="center" wrapText="1"/>
    </xf>
    <xf numFmtId="0" fontId="0" fillId="0" borderId="0" xfId="0"/>
    <xf numFmtId="0" fontId="43" fillId="0" borderId="0" xfId="0" applyFont="1" applyAlignment="1">
      <alignment horizontal="center" vertical="center" wrapText="1"/>
    </xf>
    <xf numFmtId="0" fontId="0" fillId="0" borderId="0" xfId="0"/>
    <xf numFmtId="0" fontId="212" fillId="0" borderId="0" xfId="0" applyFont="1" applyAlignment="1">
      <alignment horizontal="left" vertical="center"/>
    </xf>
    <xf numFmtId="0" fontId="0" fillId="0" borderId="0" xfId="0"/>
    <xf numFmtId="168" fontId="39" fillId="20" borderId="136" xfId="176" applyNumberFormat="1" applyFont="1" applyFill="1" applyBorder="1" applyAlignment="1">
      <alignment horizontal="center" vertical="center"/>
    </xf>
    <xf numFmtId="168" fontId="37" fillId="0" borderId="140" xfId="176" applyNumberFormat="1" applyFont="1" applyFill="1" applyBorder="1" applyAlignment="1">
      <alignment horizontal="center" vertical="center"/>
    </xf>
    <xf numFmtId="168" fontId="37" fillId="0" borderId="133" xfId="176" applyNumberFormat="1" applyFont="1" applyFill="1" applyBorder="1" applyAlignment="1">
      <alignment horizontal="center" vertical="center"/>
    </xf>
    <xf numFmtId="168" fontId="39" fillId="0" borderId="139" xfId="176" applyNumberFormat="1" applyFont="1" applyFill="1" applyBorder="1" applyAlignment="1">
      <alignment horizontal="center" vertical="center"/>
    </xf>
    <xf numFmtId="168" fontId="39" fillId="20" borderId="304" xfId="176" applyNumberFormat="1" applyFont="1" applyFill="1" applyBorder="1" applyAlignment="1">
      <alignment horizontal="center" vertical="center"/>
    </xf>
    <xf numFmtId="168" fontId="39" fillId="20" borderId="334" xfId="176" applyNumberFormat="1" applyFont="1" applyFill="1" applyBorder="1" applyAlignment="1">
      <alignment horizontal="center" vertical="center"/>
    </xf>
    <xf numFmtId="168" fontId="39" fillId="0" borderId="133" xfId="0" applyNumberFormat="1" applyFont="1" applyFill="1" applyBorder="1" applyAlignment="1">
      <alignment horizontal="center" vertical="center"/>
    </xf>
    <xf numFmtId="168" fontId="37" fillId="0" borderId="277" xfId="176" applyNumberFormat="1" applyFont="1" applyFill="1" applyBorder="1" applyAlignment="1">
      <alignment horizontal="center" vertical="center"/>
    </xf>
    <xf numFmtId="168" fontId="37" fillId="0" borderId="278" xfId="176" applyNumberFormat="1" applyFont="1" applyFill="1" applyBorder="1" applyAlignment="1">
      <alignment horizontal="center" vertical="center"/>
    </xf>
    <xf numFmtId="168" fontId="37" fillId="0" borderId="139" xfId="176" applyNumberFormat="1" applyFont="1" applyFill="1" applyBorder="1" applyAlignment="1">
      <alignment horizontal="center" vertical="center"/>
    </xf>
    <xf numFmtId="168" fontId="37" fillId="0" borderId="190" xfId="176" applyNumberFormat="1" applyFont="1" applyFill="1" applyBorder="1" applyAlignment="1">
      <alignment horizontal="center" vertical="center"/>
    </xf>
    <xf numFmtId="0" fontId="54" fillId="0" borderId="336" xfId="0" applyFont="1" applyBorder="1" applyAlignment="1">
      <alignment horizontal="center" vertical="center"/>
    </xf>
    <xf numFmtId="0" fontId="0" fillId="0" borderId="335" xfId="0" applyFont="1" applyBorder="1"/>
    <xf numFmtId="167" fontId="0" fillId="0" borderId="336" xfId="217" applyNumberFormat="1" applyFont="1" applyBorder="1" applyAlignment="1">
      <alignment vertical="center"/>
    </xf>
    <xf numFmtId="167" fontId="39" fillId="0" borderId="336" xfId="217" applyNumberFormat="1" applyFont="1" applyBorder="1" applyAlignment="1">
      <alignment vertical="center"/>
    </xf>
    <xf numFmtId="168" fontId="0" fillId="0" borderId="336" xfId="176" applyNumberFormat="1" applyFont="1" applyBorder="1" applyAlignment="1">
      <alignment horizontal="right" indent="1"/>
    </xf>
    <xf numFmtId="0" fontId="0" fillId="0" borderId="335" xfId="0" applyBorder="1"/>
    <xf numFmtId="0" fontId="268" fillId="0" borderId="0" xfId="0" applyFont="1" applyAlignment="1">
      <alignment horizontal="left" vertical="center"/>
    </xf>
    <xf numFmtId="0" fontId="268" fillId="0" borderId="0" xfId="0" applyFont="1" applyAlignment="1">
      <alignment horizontal="center" vertical="center" wrapText="1"/>
    </xf>
    <xf numFmtId="0" fontId="268" fillId="0" borderId="0" xfId="0" applyFont="1" applyAlignment="1">
      <alignment vertical="center"/>
    </xf>
    <xf numFmtId="3" fontId="0" fillId="0" borderId="0" xfId="0" applyNumberFormat="1" applyBorder="1" applyAlignment="1">
      <alignment vertical="center"/>
    </xf>
    <xf numFmtId="0" fontId="0" fillId="0" borderId="0" xfId="0"/>
    <xf numFmtId="0" fontId="39"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96" fillId="0" borderId="333" xfId="0" applyFont="1" applyBorder="1"/>
    <xf numFmtId="0" fontId="96" fillId="0" borderId="333" xfId="0" applyFont="1" applyBorder="1" applyAlignment="1">
      <alignment horizontal="center"/>
    </xf>
    <xf numFmtId="171" fontId="96" fillId="0" borderId="333" xfId="0" applyNumberFormat="1" applyFont="1" applyBorder="1" applyAlignment="1">
      <alignment horizontal="center" vertical="center"/>
    </xf>
    <xf numFmtId="3" fontId="39" fillId="20" borderId="138" xfId="0" applyNumberFormat="1" applyFont="1" applyFill="1" applyBorder="1" applyAlignment="1">
      <alignment horizontal="right" indent="1"/>
    </xf>
    <xf numFmtId="0" fontId="96" fillId="0" borderId="0" xfId="0" applyFont="1" applyAlignment="1">
      <alignment horizontal="center"/>
    </xf>
    <xf numFmtId="0" fontId="96" fillId="0" borderId="0" xfId="0" applyFont="1" applyBorder="1" applyAlignment="1">
      <alignment horizontal="center"/>
    </xf>
    <xf numFmtId="0" fontId="0" fillId="0" borderId="0" xfId="0"/>
    <xf numFmtId="0" fontId="37" fillId="0" borderId="22" xfId="2318" applyBorder="1"/>
    <xf numFmtId="0" fontId="37" fillId="0" borderId="0" xfId="2318"/>
    <xf numFmtId="171" fontId="54" fillId="0" borderId="19" xfId="455" applyNumberFormat="1" applyFont="1" applyBorder="1" applyAlignment="1">
      <alignment horizontal="center" vertical="center"/>
    </xf>
    <xf numFmtId="171" fontId="96" fillId="0" borderId="0" xfId="0" applyNumberFormat="1" applyFont="1" applyBorder="1" applyAlignment="1">
      <alignment horizontal="center"/>
    </xf>
    <xf numFmtId="0" fontId="50" fillId="0" borderId="333" xfId="0" applyFont="1" applyBorder="1"/>
    <xf numFmtId="171" fontId="96" fillId="0" borderId="333" xfId="0" applyNumberFormat="1" applyFont="1" applyBorder="1" applyAlignment="1">
      <alignment horizontal="center"/>
    </xf>
    <xf numFmtId="0" fontId="50" fillId="0" borderId="333" xfId="0" applyFont="1" applyBorder="1" applyAlignment="1">
      <alignment horizontal="center" vertical="center"/>
    </xf>
    <xf numFmtId="0" fontId="73" fillId="0" borderId="16" xfId="238" applyFont="1" applyBorder="1" applyAlignment="1">
      <alignment vertical="center"/>
    </xf>
    <xf numFmtId="0" fontId="73" fillId="0" borderId="0" xfId="798" applyFont="1" applyAlignment="1">
      <alignment vertical="center"/>
    </xf>
    <xf numFmtId="2" fontId="74" fillId="0" borderId="0" xfId="0" applyNumberFormat="1" applyFont="1" applyAlignment="1">
      <alignment vertical="center"/>
    </xf>
    <xf numFmtId="15" fontId="216" fillId="0" borderId="180" xfId="3786" applyNumberFormat="1" applyFont="1" applyFill="1" applyBorder="1" applyAlignment="1">
      <alignment horizontal="center" vertical="center"/>
    </xf>
    <xf numFmtId="0" fontId="0" fillId="0" borderId="0" xfId="0"/>
    <xf numFmtId="0" fontId="31" fillId="0" borderId="307" xfId="0" applyFont="1" applyBorder="1" applyAlignment="1">
      <alignment horizontal="center" vertical="center"/>
    </xf>
    <xf numFmtId="0" fontId="31" fillId="0" borderId="307" xfId="0" applyFont="1" applyBorder="1" applyAlignment="1">
      <alignment horizontal="center" vertical="center" wrapText="1"/>
    </xf>
    <xf numFmtId="0" fontId="154" fillId="43" borderId="307" xfId="0" applyFont="1" applyFill="1" applyBorder="1" applyAlignment="1">
      <alignment horizontal="center" vertical="center"/>
    </xf>
    <xf numFmtId="0" fontId="154" fillId="43" borderId="247" xfId="0" applyFont="1" applyFill="1" applyBorder="1" applyAlignment="1">
      <alignment horizontal="center" vertical="center"/>
    </xf>
    <xf numFmtId="0" fontId="0" fillId="0" borderId="0" xfId="0"/>
    <xf numFmtId="0" fontId="39" fillId="43" borderId="154" xfId="0" applyFont="1" applyFill="1" applyBorder="1" applyAlignment="1">
      <alignment horizontal="center"/>
    </xf>
    <xf numFmtId="168" fontId="37" fillId="0" borderId="338" xfId="176" applyNumberFormat="1" applyFill="1" applyBorder="1" applyAlignment="1">
      <alignment horizontal="center" vertical="center"/>
    </xf>
    <xf numFmtId="168" fontId="37" fillId="0" borderId="276" xfId="176" applyNumberFormat="1" applyFill="1" applyBorder="1" applyAlignment="1">
      <alignment horizontal="center" vertical="center"/>
    </xf>
    <xf numFmtId="168" fontId="37" fillId="0" borderId="275" xfId="176" applyNumberFormat="1" applyFill="1" applyBorder="1" applyAlignment="1">
      <alignment horizontal="center" vertical="center"/>
    </xf>
    <xf numFmtId="168" fontId="37" fillId="0" borderId="276" xfId="0" applyNumberFormat="1" applyFont="1" applyFill="1" applyBorder="1" applyAlignment="1">
      <alignment horizontal="center" vertical="center"/>
    </xf>
    <xf numFmtId="168" fontId="37" fillId="0" borderId="275" xfId="0" applyNumberFormat="1" applyFont="1" applyFill="1" applyBorder="1" applyAlignment="1">
      <alignment horizontal="center" vertical="center"/>
    </xf>
    <xf numFmtId="168" fontId="39" fillId="20" borderId="339" xfId="176" applyNumberFormat="1" applyFont="1" applyFill="1" applyBorder="1" applyAlignment="1">
      <alignment horizontal="center" vertical="center"/>
    </xf>
    <xf numFmtId="0" fontId="31" fillId="0" borderId="0" xfId="0" applyFont="1" applyAlignment="1">
      <alignment vertical="center"/>
    </xf>
    <xf numFmtId="0" fontId="35" fillId="0" borderId="0" xfId="0" applyFont="1" applyAlignment="1">
      <alignment vertical="center"/>
    </xf>
    <xf numFmtId="0" fontId="35" fillId="0" borderId="0" xfId="0" applyFont="1"/>
    <xf numFmtId="0" fontId="120" fillId="20" borderId="291" xfId="0" applyFont="1" applyFill="1" applyBorder="1" applyAlignment="1">
      <alignment horizontal="center" vertical="center"/>
    </xf>
    <xf numFmtId="0" fontId="77" fillId="34" borderId="337" xfId="0" applyFont="1" applyFill="1" applyBorder="1" applyAlignment="1">
      <alignment horizontal="center" vertical="center" wrapText="1"/>
    </xf>
    <xf numFmtId="10" fontId="63" fillId="0" borderId="307" xfId="0" applyNumberFormat="1" applyFont="1" applyBorder="1" applyAlignment="1">
      <alignment horizontal="center" vertical="center"/>
    </xf>
    <xf numFmtId="0" fontId="91" fillId="0" borderId="0" xfId="822" applyFont="1" applyAlignment="1">
      <alignment horizontal="center" vertical="center"/>
    </xf>
    <xf numFmtId="191" fontId="154" fillId="43" borderId="307" xfId="797" applyNumberFormat="1" applyFont="1" applyFill="1" applyBorder="1" applyAlignment="1">
      <alignment horizontal="center" vertical="center"/>
    </xf>
    <xf numFmtId="0" fontId="31" fillId="0" borderId="307" xfId="3792" applyFont="1" applyFill="1" applyBorder="1" applyAlignment="1">
      <alignment horizontal="left" vertical="top" wrapText="1"/>
    </xf>
    <xf numFmtId="0" fontId="60" fillId="0" borderId="0" xfId="0" applyFont="1" applyBorder="1" applyAlignment="1">
      <alignment vertical="center"/>
    </xf>
    <xf numFmtId="0" fontId="0" fillId="0" borderId="0" xfId="0"/>
    <xf numFmtId="0" fontId="54" fillId="0" borderId="22" xfId="452" applyFont="1" applyBorder="1" applyAlignment="1">
      <alignment vertical="center" wrapText="1"/>
    </xf>
    <xf numFmtId="0" fontId="0" fillId="0" borderId="0" xfId="0" applyFont="1" applyAlignment="1">
      <alignment wrapText="1"/>
    </xf>
    <xf numFmtId="0" fontId="129" fillId="0" borderId="0" xfId="0" applyFont="1" applyAlignment="1">
      <alignment horizontal="center" vertical="center"/>
    </xf>
    <xf numFmtId="0" fontId="0" fillId="0" borderId="0" xfId="0"/>
    <xf numFmtId="0" fontId="96" fillId="0" borderId="0" xfId="0" applyFont="1" applyAlignment="1">
      <alignment horizontal="center"/>
    </xf>
    <xf numFmtId="0" fontId="0" fillId="0" borderId="0" xfId="0"/>
    <xf numFmtId="0" fontId="96" fillId="33" borderId="0" xfId="0" applyFont="1" applyFill="1"/>
    <xf numFmtId="0" fontId="66" fillId="33" borderId="0" xfId="0" applyFont="1" applyFill="1"/>
    <xf numFmtId="0" fontId="102" fillId="33" borderId="0" xfId="0" applyFont="1" applyFill="1"/>
    <xf numFmtId="0" fontId="120" fillId="33" borderId="0" xfId="0" applyFont="1" applyFill="1" applyBorder="1"/>
    <xf numFmtId="0" fontId="120" fillId="33" borderId="16" xfId="0" applyFont="1" applyFill="1" applyBorder="1" applyAlignment="1">
      <alignment horizontal="center"/>
    </xf>
    <xf numFmtId="0" fontId="120" fillId="33" borderId="16" xfId="0" applyFont="1" applyFill="1" applyBorder="1"/>
    <xf numFmtId="0" fontId="120" fillId="33" borderId="16" xfId="0" applyFont="1" applyFill="1" applyBorder="1" applyAlignment="1">
      <alignment horizontal="center" wrapText="1"/>
    </xf>
    <xf numFmtId="0" fontId="66" fillId="33" borderId="0" xfId="0" applyFont="1" applyFill="1" applyAlignment="1">
      <alignment horizontal="center"/>
    </xf>
    <xf numFmtId="0" fontId="120" fillId="33" borderId="0" xfId="0" applyFont="1" applyFill="1"/>
    <xf numFmtId="0" fontId="120" fillId="33" borderId="0" xfId="0" applyFont="1" applyFill="1" applyAlignment="1">
      <alignment horizontal="center"/>
    </xf>
    <xf numFmtId="10" fontId="120" fillId="33" borderId="0" xfId="176" applyNumberFormat="1" applyFont="1" applyFill="1" applyAlignment="1">
      <alignment horizontal="center"/>
    </xf>
    <xf numFmtId="0" fontId="120" fillId="33" borderId="284" xfId="0" applyFont="1" applyFill="1" applyBorder="1"/>
    <xf numFmtId="0" fontId="120" fillId="33" borderId="284" xfId="0" applyFont="1" applyFill="1" applyBorder="1" applyAlignment="1">
      <alignment horizontal="center"/>
    </xf>
    <xf numFmtId="10" fontId="120" fillId="33" borderId="284" xfId="176" applyNumberFormat="1" applyFont="1" applyFill="1" applyBorder="1" applyAlignment="1">
      <alignment horizontal="center"/>
    </xf>
    <xf numFmtId="0" fontId="120" fillId="33" borderId="0" xfId="0" applyFont="1" applyFill="1" applyBorder="1" applyAlignment="1">
      <alignment horizontal="center"/>
    </xf>
    <xf numFmtId="10" fontId="120" fillId="33" borderId="16" xfId="176" applyNumberFormat="1" applyFont="1" applyFill="1" applyBorder="1" applyAlignment="1">
      <alignment horizontal="center"/>
    </xf>
    <xf numFmtId="0" fontId="0" fillId="33" borderId="0" xfId="0" applyFill="1" applyAlignment="1">
      <alignment vertical="center"/>
    </xf>
    <xf numFmtId="0" fontId="50" fillId="33" borderId="0" xfId="0" applyFont="1" applyFill="1" applyAlignment="1">
      <alignment horizontal="center" vertical="center"/>
    </xf>
    <xf numFmtId="0" fontId="96" fillId="33" borderId="0" xfId="0" applyFont="1" applyFill="1" applyBorder="1"/>
    <xf numFmtId="0" fontId="96" fillId="33" borderId="16" xfId="0" applyFont="1" applyFill="1" applyBorder="1"/>
    <xf numFmtId="0" fontId="96" fillId="33" borderId="16" xfId="0" applyFont="1" applyFill="1" applyBorder="1" applyAlignment="1">
      <alignment horizontal="center" wrapText="1"/>
    </xf>
    <xf numFmtId="0" fontId="270" fillId="33" borderId="333" xfId="3794" applyFont="1" applyFill="1" applyBorder="1" applyAlignment="1">
      <alignment horizontal="center" wrapText="1"/>
    </xf>
    <xf numFmtId="0" fontId="50" fillId="33" borderId="0" xfId="0" applyFont="1" applyFill="1"/>
    <xf numFmtId="0" fontId="50" fillId="33" borderId="0" xfId="0" applyFont="1" applyFill="1" applyAlignment="1">
      <alignment horizontal="center"/>
    </xf>
    <xf numFmtId="0" fontId="196" fillId="33" borderId="0" xfId="0" applyFont="1" applyFill="1" applyAlignment="1">
      <alignment horizontal="center" vertical="center"/>
    </xf>
    <xf numFmtId="0" fontId="96" fillId="33" borderId="0" xfId="0" applyFont="1" applyFill="1" applyAlignment="1">
      <alignment horizontal="center"/>
    </xf>
    <xf numFmtId="0" fontId="50" fillId="33" borderId="0" xfId="0" applyFont="1" applyFill="1" applyBorder="1" applyAlignment="1">
      <alignment horizontal="center" vertical="center"/>
    </xf>
    <xf numFmtId="0" fontId="50" fillId="33" borderId="16" xfId="0" applyFont="1" applyFill="1" applyBorder="1"/>
    <xf numFmtId="0" fontId="96" fillId="33" borderId="16" xfId="0" applyFont="1" applyFill="1" applyBorder="1" applyAlignment="1">
      <alignment horizontal="center"/>
    </xf>
    <xf numFmtId="10" fontId="96" fillId="33" borderId="0" xfId="176" applyNumberFormat="1" applyFont="1" applyFill="1" applyAlignment="1">
      <alignment horizontal="center"/>
    </xf>
    <xf numFmtId="0" fontId="270" fillId="0" borderId="16" xfId="3795" applyFont="1" applyFill="1" applyBorder="1" applyAlignment="1">
      <alignment horizontal="center" wrapText="1"/>
    </xf>
    <xf numFmtId="0" fontId="50" fillId="0" borderId="0" xfId="0" applyFont="1" applyFill="1"/>
    <xf numFmtId="0" fontId="96" fillId="0" borderId="0" xfId="0" applyFont="1" applyFill="1"/>
    <xf numFmtId="0" fontId="96" fillId="0" borderId="16" xfId="0" applyFont="1" applyFill="1" applyBorder="1"/>
    <xf numFmtId="0" fontId="272" fillId="0" borderId="16" xfId="3795" applyFont="1" applyFill="1" applyBorder="1" applyAlignment="1">
      <alignment horizontal="center" wrapText="1"/>
    </xf>
    <xf numFmtId="0" fontId="273" fillId="0" borderId="16" xfId="3795" applyFont="1" applyFill="1" applyBorder="1" applyAlignment="1">
      <alignment horizontal="center" wrapText="1"/>
    </xf>
    <xf numFmtId="0" fontId="96" fillId="59" borderId="16" xfId="0" applyFont="1" applyFill="1" applyBorder="1" applyAlignment="1">
      <alignment horizontal="center" wrapText="1"/>
    </xf>
    <xf numFmtId="168" fontId="96" fillId="0" borderId="0" xfId="176" applyNumberFormat="1" applyFont="1"/>
    <xf numFmtId="0" fontId="96" fillId="0" borderId="343" xfId="0" applyFont="1" applyFill="1" applyBorder="1"/>
    <xf numFmtId="0" fontId="96" fillId="0" borderId="333" xfId="0" applyFont="1" applyFill="1" applyBorder="1"/>
    <xf numFmtId="0" fontId="50" fillId="0" borderId="333" xfId="0" applyFont="1" applyFill="1" applyBorder="1" applyAlignment="1">
      <alignment vertical="center"/>
    </xf>
    <xf numFmtId="0" fontId="0" fillId="0" borderId="333" xfId="0" applyBorder="1" applyAlignment="1">
      <alignment vertical="center"/>
    </xf>
    <xf numFmtId="0" fontId="96" fillId="0" borderId="0" xfId="0" applyFont="1" applyFill="1" applyBorder="1"/>
    <xf numFmtId="0" fontId="120" fillId="33" borderId="0" xfId="0" applyFont="1" applyFill="1" applyAlignment="1">
      <alignment vertical="center"/>
    </xf>
    <xf numFmtId="0" fontId="66" fillId="33" borderId="0" xfId="0" applyFont="1" applyFill="1" applyAlignment="1">
      <alignment vertical="center"/>
    </xf>
    <xf numFmtId="0" fontId="203" fillId="33" borderId="0" xfId="0" applyFont="1" applyFill="1" applyAlignment="1">
      <alignment vertical="center"/>
    </xf>
    <xf numFmtId="0" fontId="120" fillId="33" borderId="16" xfId="0" applyFont="1" applyFill="1" applyBorder="1" applyAlignment="1">
      <alignment horizontal="center" vertical="center"/>
    </xf>
    <xf numFmtId="0" fontId="203" fillId="33" borderId="16" xfId="0" applyFont="1" applyFill="1" applyBorder="1" applyAlignment="1">
      <alignment horizontal="center" vertical="center"/>
    </xf>
    <xf numFmtId="0" fontId="262" fillId="33" borderId="16" xfId="211" applyFont="1" applyFill="1" applyBorder="1" applyAlignment="1">
      <alignment horizontal="center" vertical="center" wrapText="1"/>
    </xf>
    <xf numFmtId="0" fontId="66" fillId="33" borderId="0" xfId="0" applyFont="1" applyFill="1" applyAlignment="1">
      <alignment horizontal="center" vertical="center"/>
    </xf>
    <xf numFmtId="171" fontId="66" fillId="33" borderId="0" xfId="0" applyNumberFormat="1" applyFont="1" applyFill="1" applyAlignment="1">
      <alignment horizontal="center" vertical="center"/>
    </xf>
    <xf numFmtId="1" fontId="86" fillId="33" borderId="0" xfId="211" applyNumberFormat="1" applyFont="1" applyFill="1" applyAlignment="1">
      <alignment horizontal="center" vertical="center"/>
    </xf>
    <xf numFmtId="0" fontId="120" fillId="33" borderId="0" xfId="0" applyFont="1" applyFill="1" applyAlignment="1">
      <alignment horizontal="center" vertical="center"/>
    </xf>
    <xf numFmtId="171" fontId="120" fillId="33" borderId="0" xfId="0" applyNumberFormat="1" applyFont="1" applyFill="1" applyAlignment="1">
      <alignment horizontal="center" vertical="center"/>
    </xf>
    <xf numFmtId="0" fontId="120" fillId="33" borderId="284" xfId="0" applyFont="1" applyFill="1" applyBorder="1" applyAlignment="1">
      <alignment vertical="center"/>
    </xf>
    <xf numFmtId="0" fontId="120" fillId="33" borderId="284" xfId="0" applyFont="1" applyFill="1" applyBorder="1" applyAlignment="1">
      <alignment horizontal="center" vertical="center"/>
    </xf>
    <xf numFmtId="171" fontId="120" fillId="33" borderId="150" xfId="0" applyNumberFormat="1" applyFont="1" applyFill="1" applyBorder="1" applyAlignment="1">
      <alignment horizontal="center" vertical="center"/>
    </xf>
    <xf numFmtId="1" fontId="86" fillId="33" borderId="142" xfId="211" applyNumberFormat="1" applyFont="1" applyFill="1" applyBorder="1" applyAlignment="1">
      <alignment horizontal="center" vertical="center"/>
    </xf>
    <xf numFmtId="1" fontId="86" fillId="33" borderId="0" xfId="211" applyNumberFormat="1" applyFont="1" applyFill="1" applyBorder="1" applyAlignment="1">
      <alignment horizontal="center" vertical="center"/>
    </xf>
    <xf numFmtId="171" fontId="120" fillId="33" borderId="0" xfId="0" applyNumberFormat="1" applyFont="1" applyFill="1" applyBorder="1" applyAlignment="1">
      <alignment horizontal="center" vertical="center"/>
    </xf>
    <xf numFmtId="1" fontId="103" fillId="33" borderId="0" xfId="211" applyNumberFormat="1" applyFont="1" applyFill="1" applyBorder="1" applyAlignment="1">
      <alignment horizontal="center" vertical="center"/>
    </xf>
    <xf numFmtId="171" fontId="120" fillId="33" borderId="284" xfId="0" applyNumberFormat="1" applyFont="1" applyFill="1" applyBorder="1" applyAlignment="1">
      <alignment horizontal="center" vertical="center"/>
    </xf>
    <xf numFmtId="1" fontId="103" fillId="33" borderId="284" xfId="211" applyNumberFormat="1" applyFont="1" applyFill="1" applyBorder="1" applyAlignment="1">
      <alignment horizontal="center" vertical="center"/>
    </xf>
    <xf numFmtId="0" fontId="120" fillId="33" borderId="0" xfId="0" applyFont="1" applyFill="1" applyBorder="1" applyAlignment="1">
      <alignment vertical="center"/>
    </xf>
    <xf numFmtId="0" fontId="120" fillId="33" borderId="0" xfId="0" applyFont="1" applyFill="1" applyBorder="1" applyAlignment="1">
      <alignment horizontal="center" vertical="center"/>
    </xf>
    <xf numFmtId="1" fontId="86" fillId="33" borderId="208" xfId="211" applyNumberFormat="1" applyFont="1" applyFill="1" applyBorder="1" applyAlignment="1">
      <alignment horizontal="center" vertical="center"/>
    </xf>
    <xf numFmtId="0" fontId="66" fillId="33" borderId="16" xfId="0" applyFont="1" applyFill="1" applyBorder="1" applyAlignment="1">
      <alignment horizontal="center" vertical="center"/>
    </xf>
    <xf numFmtId="0" fontId="120" fillId="33" borderId="16" xfId="0" applyFont="1" applyFill="1" applyBorder="1" applyAlignment="1">
      <alignment vertical="center"/>
    </xf>
    <xf numFmtId="171" fontId="120" fillId="33" borderId="16" xfId="0" applyNumberFormat="1" applyFont="1" applyFill="1" applyBorder="1" applyAlignment="1">
      <alignment horizontal="center" vertical="center"/>
    </xf>
    <xf numFmtId="1" fontId="86" fillId="33" borderId="105" xfId="211" applyNumberFormat="1" applyFont="1" applyFill="1" applyBorder="1" applyAlignment="1">
      <alignment horizontal="center" vertical="center"/>
    </xf>
    <xf numFmtId="0" fontId="262" fillId="33" borderId="175" xfId="211" applyFont="1" applyFill="1" applyBorder="1" applyAlignment="1">
      <alignment horizontal="center" vertical="center" wrapText="1"/>
    </xf>
    <xf numFmtId="2" fontId="66" fillId="33" borderId="0" xfId="0" applyNumberFormat="1" applyFont="1" applyFill="1" applyBorder="1" applyAlignment="1">
      <alignment horizontal="center" vertical="center"/>
    </xf>
    <xf numFmtId="2" fontId="120" fillId="33" borderId="16" xfId="0" applyNumberFormat="1" applyFont="1" applyFill="1" applyBorder="1" applyAlignment="1">
      <alignment horizontal="center" vertical="center"/>
    </xf>
    <xf numFmtId="1" fontId="103" fillId="33" borderId="16" xfId="211" applyNumberFormat="1" applyFont="1" applyFill="1" applyBorder="1" applyAlignment="1">
      <alignment horizontal="center" vertical="center"/>
    </xf>
    <xf numFmtId="0" fontId="0" fillId="33" borderId="0" xfId="0" applyFill="1" applyAlignment="1">
      <alignment horizontal="center"/>
    </xf>
    <xf numFmtId="0" fontId="0" fillId="33" borderId="0" xfId="0" applyFill="1"/>
    <xf numFmtId="0" fontId="96" fillId="33" borderId="16" xfId="0" applyFont="1" applyFill="1" applyBorder="1" applyAlignment="1">
      <alignment horizontal="center" vertical="center"/>
    </xf>
    <xf numFmtId="0" fontId="96" fillId="33" borderId="16" xfId="0" applyFont="1" applyFill="1" applyBorder="1" applyAlignment="1">
      <alignment horizontal="center" vertical="center" wrapText="1"/>
    </xf>
    <xf numFmtId="0" fontId="174" fillId="33" borderId="16" xfId="0" applyFont="1" applyFill="1" applyBorder="1" applyAlignment="1">
      <alignment horizontal="center" vertical="center"/>
    </xf>
    <xf numFmtId="0" fontId="175" fillId="33" borderId="16" xfId="211" applyFont="1" applyFill="1" applyBorder="1" applyAlignment="1">
      <alignment horizontal="center" vertical="center" wrapText="1"/>
    </xf>
    <xf numFmtId="171" fontId="50" fillId="33" borderId="0" xfId="0" applyNumberFormat="1" applyFont="1" applyFill="1" applyAlignment="1">
      <alignment horizontal="center" vertical="center"/>
    </xf>
    <xf numFmtId="1" fontId="60" fillId="33" borderId="0" xfId="211" applyNumberFormat="1" applyFont="1" applyFill="1" applyAlignment="1">
      <alignment horizontal="center" vertical="center"/>
    </xf>
    <xf numFmtId="171" fontId="96" fillId="33" borderId="0" xfId="0" applyNumberFormat="1" applyFont="1" applyFill="1" applyAlignment="1">
      <alignment horizontal="center" vertical="center"/>
    </xf>
    <xf numFmtId="0" fontId="96" fillId="33" borderId="333" xfId="0" applyFont="1" applyFill="1" applyBorder="1"/>
    <xf numFmtId="0" fontId="96" fillId="33" borderId="333" xfId="0" applyFont="1" applyFill="1" applyBorder="1" applyAlignment="1">
      <alignment horizontal="center"/>
    </xf>
    <xf numFmtId="171" fontId="96" fillId="33" borderId="150" xfId="0" applyNumberFormat="1" applyFont="1" applyFill="1" applyBorder="1" applyAlignment="1">
      <alignment horizontal="center" vertical="center"/>
    </xf>
    <xf numFmtId="1" fontId="60" fillId="33" borderId="142" xfId="211" applyNumberFormat="1" applyFont="1" applyFill="1" applyBorder="1" applyAlignment="1">
      <alignment horizontal="center" vertical="center"/>
    </xf>
    <xf numFmtId="1" fontId="60" fillId="33" borderId="0" xfId="211" applyNumberFormat="1" applyFont="1" applyFill="1" applyBorder="1" applyAlignment="1">
      <alignment horizontal="center" vertical="center"/>
    </xf>
    <xf numFmtId="171" fontId="96" fillId="33" borderId="333" xfId="0" applyNumberFormat="1" applyFont="1" applyFill="1" applyBorder="1" applyAlignment="1">
      <alignment horizontal="center" vertical="center"/>
    </xf>
    <xf numFmtId="1" fontId="88" fillId="33" borderId="333" xfId="211" applyNumberFormat="1" applyFont="1" applyFill="1" applyBorder="1" applyAlignment="1">
      <alignment horizontal="center" vertical="center"/>
    </xf>
    <xf numFmtId="171" fontId="96" fillId="33" borderId="0" xfId="0" applyNumberFormat="1" applyFont="1" applyFill="1" applyBorder="1" applyAlignment="1">
      <alignment horizontal="center" vertical="center"/>
    </xf>
    <xf numFmtId="1" fontId="88" fillId="33" borderId="0" xfId="211" applyNumberFormat="1" applyFont="1" applyFill="1" applyBorder="1" applyAlignment="1">
      <alignment horizontal="center" vertical="center"/>
    </xf>
    <xf numFmtId="171" fontId="50" fillId="33" borderId="0" xfId="0" applyNumberFormat="1" applyFont="1" applyFill="1" applyBorder="1" applyAlignment="1">
      <alignment horizontal="center" vertical="center"/>
    </xf>
    <xf numFmtId="1" fontId="60" fillId="33" borderId="333" xfId="211" applyNumberFormat="1" applyFont="1" applyFill="1" applyBorder="1" applyAlignment="1">
      <alignment horizontal="center" vertical="center"/>
    </xf>
    <xf numFmtId="0" fontId="50" fillId="33" borderId="16" xfId="0" applyFont="1" applyFill="1" applyBorder="1" applyAlignment="1">
      <alignment horizontal="center"/>
    </xf>
    <xf numFmtId="171" fontId="96" fillId="33" borderId="105" xfId="0" applyNumberFormat="1" applyFont="1" applyFill="1" applyBorder="1" applyAlignment="1">
      <alignment horizontal="center" vertical="center"/>
    </xf>
    <xf numFmtId="1" fontId="60" fillId="33" borderId="105" xfId="211" applyNumberFormat="1" applyFont="1" applyFill="1" applyBorder="1" applyAlignment="1">
      <alignment horizontal="center" vertical="center"/>
    </xf>
    <xf numFmtId="0" fontId="50" fillId="33" borderId="0" xfId="0" applyFont="1" applyFill="1" applyBorder="1" applyAlignment="1">
      <alignment horizontal="center"/>
    </xf>
    <xf numFmtId="171" fontId="96" fillId="33" borderId="16" xfId="0" applyNumberFormat="1" applyFont="1" applyFill="1" applyBorder="1" applyAlignment="1">
      <alignment horizontal="center" vertical="center"/>
    </xf>
    <xf numFmtId="1" fontId="88" fillId="33" borderId="16" xfId="211" applyNumberFormat="1" applyFont="1" applyFill="1" applyBorder="1" applyAlignment="1">
      <alignment horizontal="center" vertical="center"/>
    </xf>
    <xf numFmtId="0" fontId="102" fillId="33" borderId="0" xfId="0" applyFont="1" applyFill="1" applyAlignment="1">
      <alignment horizontal="left"/>
    </xf>
    <xf numFmtId="0" fontId="96" fillId="0" borderId="16" xfId="0" applyFont="1" applyFill="1" applyBorder="1" applyAlignment="1">
      <alignment horizontal="center" vertical="center"/>
    </xf>
    <xf numFmtId="0" fontId="269" fillId="0" borderId="341" xfId="3796" applyFont="1" applyFill="1" applyBorder="1" applyAlignment="1">
      <alignment horizontal="right" wrapText="1"/>
    </xf>
    <xf numFmtId="2" fontId="269" fillId="0" borderId="341" xfId="3796" applyNumberFormat="1" applyFont="1" applyFill="1" applyBorder="1" applyAlignment="1">
      <alignment horizontal="right" wrapText="1"/>
    </xf>
    <xf numFmtId="1" fontId="60" fillId="0" borderId="0" xfId="211" applyNumberFormat="1" applyFont="1" applyFill="1" applyAlignment="1">
      <alignment horizontal="center" vertical="center"/>
    </xf>
    <xf numFmtId="1" fontId="88" fillId="0" borderId="0" xfId="211" applyNumberFormat="1" applyFont="1" applyFill="1" applyAlignment="1">
      <alignment horizontal="center" vertical="center"/>
    </xf>
    <xf numFmtId="1" fontId="88" fillId="0" borderId="142" xfId="211" applyNumberFormat="1" applyFont="1" applyFill="1" applyBorder="1" applyAlignment="1">
      <alignment horizontal="center" vertical="center"/>
    </xf>
    <xf numFmtId="1" fontId="60" fillId="0" borderId="0" xfId="211" applyNumberFormat="1" applyFont="1" applyFill="1" applyBorder="1" applyAlignment="1">
      <alignment horizontal="center" vertical="center"/>
    </xf>
    <xf numFmtId="1" fontId="88" fillId="0" borderId="333" xfId="211" applyNumberFormat="1" applyFont="1" applyFill="1" applyBorder="1" applyAlignment="1">
      <alignment horizontal="center" vertical="center"/>
    </xf>
    <xf numFmtId="1" fontId="88" fillId="0" borderId="0" xfId="211" applyNumberFormat="1" applyFont="1" applyFill="1" applyBorder="1" applyAlignment="1">
      <alignment horizontal="center" vertical="center"/>
    </xf>
    <xf numFmtId="171" fontId="96" fillId="0" borderId="16" xfId="0" applyNumberFormat="1" applyFont="1" applyFill="1" applyBorder="1" applyAlignment="1">
      <alignment horizontal="center" vertical="center" wrapText="1"/>
    </xf>
    <xf numFmtId="171" fontId="174" fillId="0" borderId="16" xfId="0" applyNumberFormat="1" applyFont="1" applyFill="1" applyBorder="1" applyAlignment="1">
      <alignment horizontal="center" vertical="center"/>
    </xf>
    <xf numFmtId="0" fontId="50" fillId="0" borderId="0" xfId="0" applyFont="1" applyFill="1" applyAlignment="1">
      <alignment horizontal="center"/>
    </xf>
    <xf numFmtId="171" fontId="269" fillId="0" borderId="341" xfId="3796" applyNumberFormat="1" applyFont="1" applyFill="1" applyBorder="1" applyAlignment="1">
      <alignment horizontal="center" wrapText="1"/>
    </xf>
    <xf numFmtId="171" fontId="270" fillId="0" borderId="341" xfId="107" applyNumberFormat="1" applyFont="1" applyFill="1" applyBorder="1" applyAlignment="1">
      <alignment horizontal="center" wrapText="1"/>
    </xf>
    <xf numFmtId="171" fontId="270" fillId="0" borderId="344" xfId="3796" applyNumberFormat="1" applyFont="1" applyFill="1" applyBorder="1" applyAlignment="1">
      <alignment horizontal="center" wrapText="1"/>
    </xf>
    <xf numFmtId="171" fontId="50" fillId="0" borderId="343" xfId="0" applyNumberFormat="1" applyFont="1" applyBorder="1" applyAlignment="1">
      <alignment horizontal="center"/>
    </xf>
    <xf numFmtId="171" fontId="269" fillId="0" borderId="221" xfId="3796" applyNumberFormat="1" applyFont="1" applyFill="1" applyBorder="1" applyAlignment="1">
      <alignment horizontal="center" wrapText="1"/>
    </xf>
    <xf numFmtId="171" fontId="270" fillId="0" borderId="0" xfId="3796" applyNumberFormat="1" applyFont="1" applyFill="1" applyBorder="1" applyAlignment="1">
      <alignment horizontal="center" wrapText="1"/>
    </xf>
    <xf numFmtId="171" fontId="50" fillId="0" borderId="345" xfId="0" applyNumberFormat="1" applyFont="1" applyBorder="1" applyAlignment="1">
      <alignment horizontal="center"/>
    </xf>
    <xf numFmtId="1" fontId="88" fillId="0" borderId="345" xfId="211" applyNumberFormat="1" applyFont="1" applyFill="1" applyBorder="1" applyAlignment="1">
      <alignment horizontal="center" vertical="center"/>
    </xf>
    <xf numFmtId="171" fontId="50" fillId="0" borderId="16" xfId="0" applyNumberFormat="1" applyFont="1" applyBorder="1" applyAlignment="1">
      <alignment horizontal="center"/>
    </xf>
    <xf numFmtId="1" fontId="88" fillId="0" borderId="16" xfId="211" applyNumberFormat="1" applyFont="1" applyFill="1" applyBorder="1" applyAlignment="1">
      <alignment horizontal="center" vertical="center"/>
    </xf>
    <xf numFmtId="0" fontId="45" fillId="33" borderId="0" xfId="0" applyFont="1" applyFill="1"/>
    <xf numFmtId="0" fontId="66" fillId="33" borderId="284" xfId="0" applyFont="1" applyFill="1" applyBorder="1"/>
    <xf numFmtId="0" fontId="86" fillId="33" borderId="0" xfId="0" applyFont="1" applyFill="1"/>
    <xf numFmtId="0" fontId="86" fillId="33" borderId="0" xfId="0" applyFont="1" applyFill="1" applyAlignment="1">
      <alignment horizontal="center"/>
    </xf>
    <xf numFmtId="0" fontId="103" fillId="33" borderId="0" xfId="0" applyFont="1" applyFill="1"/>
    <xf numFmtId="0" fontId="103" fillId="33" borderId="0" xfId="0" applyFont="1" applyFill="1" applyAlignment="1">
      <alignment horizontal="center"/>
    </xf>
    <xf numFmtId="0" fontId="103" fillId="33" borderId="284" xfId="0" applyFont="1" applyFill="1" applyBorder="1"/>
    <xf numFmtId="0" fontId="103" fillId="33" borderId="284" xfId="0" applyFont="1" applyFill="1" applyBorder="1" applyAlignment="1">
      <alignment horizontal="center"/>
    </xf>
    <xf numFmtId="0" fontId="66" fillId="33" borderId="16" xfId="0" applyFont="1" applyFill="1" applyBorder="1"/>
    <xf numFmtId="0" fontId="103" fillId="33" borderId="16" xfId="0" applyFont="1" applyFill="1" applyBorder="1" applyAlignment="1">
      <alignment horizontal="center"/>
    </xf>
    <xf numFmtId="0" fontId="96" fillId="21" borderId="284" xfId="0" applyFont="1" applyFill="1" applyBorder="1" applyAlignment="1">
      <alignment horizontal="center"/>
    </xf>
    <xf numFmtId="0" fontId="96" fillId="0" borderId="284" xfId="0" applyFont="1" applyBorder="1" applyAlignment="1">
      <alignment horizontal="center"/>
    </xf>
    <xf numFmtId="10" fontId="96" fillId="0" borderId="284" xfId="176" applyNumberFormat="1" applyFont="1" applyBorder="1" applyAlignment="1">
      <alignment horizontal="center"/>
    </xf>
    <xf numFmtId="0" fontId="50" fillId="21" borderId="284" xfId="0" applyFont="1" applyFill="1" applyBorder="1" applyAlignment="1">
      <alignment horizontal="center"/>
    </xf>
    <xf numFmtId="0" fontId="50" fillId="0" borderId="284" xfId="0" applyFont="1" applyFill="1" applyBorder="1" applyAlignment="1">
      <alignment horizontal="center"/>
    </xf>
    <xf numFmtId="0" fontId="50" fillId="0" borderId="284" xfId="0" applyFont="1" applyBorder="1" applyAlignment="1">
      <alignment horizontal="center"/>
    </xf>
    <xf numFmtId="0" fontId="96" fillId="0" borderId="0" xfId="0" applyFont="1" applyFill="1" applyAlignment="1">
      <alignment horizontal="center"/>
    </xf>
    <xf numFmtId="0" fontId="96" fillId="0" borderId="16" xfId="0" applyFont="1" applyFill="1" applyBorder="1" applyAlignment="1">
      <alignment horizontal="center"/>
    </xf>
    <xf numFmtId="0" fontId="169" fillId="0" borderId="0" xfId="0" applyFont="1"/>
    <xf numFmtId="0" fontId="175" fillId="21" borderId="107" xfId="227" applyFont="1" applyFill="1" applyBorder="1" applyAlignment="1">
      <alignment horizontal="center" wrapText="1"/>
    </xf>
    <xf numFmtId="0" fontId="60" fillId="0" borderId="0" xfId="227" applyFont="1" applyAlignment="1">
      <alignment horizontal="center" vertical="center"/>
    </xf>
    <xf numFmtId="0" fontId="175" fillId="0" borderId="16" xfId="227" applyFont="1" applyBorder="1" applyAlignment="1">
      <alignment horizontal="center" vertical="center"/>
    </xf>
    <xf numFmtId="0" fontId="175" fillId="0" borderId="16" xfId="227" applyFont="1" applyBorder="1" applyAlignment="1">
      <alignment vertical="center" wrapText="1"/>
    </xf>
    <xf numFmtId="0" fontId="175" fillId="0" borderId="107" xfId="227" applyFont="1" applyBorder="1" applyAlignment="1">
      <alignment vertical="center" wrapText="1"/>
    </xf>
    <xf numFmtId="0" fontId="175" fillId="0" borderId="0" xfId="227" applyFont="1" applyAlignment="1">
      <alignment horizontal="center" vertical="center"/>
    </xf>
    <xf numFmtId="0" fontId="175" fillId="0" borderId="107" xfId="227" applyFont="1" applyBorder="1"/>
    <xf numFmtId="0" fontId="175" fillId="0" borderId="16" xfId="227" applyFont="1" applyBorder="1" applyAlignment="1">
      <alignment horizontal="right"/>
    </xf>
    <xf numFmtId="0" fontId="50" fillId="57" borderId="0" xfId="0" applyFont="1" applyFill="1"/>
    <xf numFmtId="0" fontId="50" fillId="57" borderId="0" xfId="0" applyFont="1" applyFill="1" applyAlignment="1">
      <alignment horizontal="center"/>
    </xf>
    <xf numFmtId="0" fontId="96" fillId="57" borderId="0" xfId="0" applyFont="1" applyFill="1"/>
    <xf numFmtId="0" fontId="96" fillId="57" borderId="0" xfId="0" applyFont="1" applyFill="1" applyAlignment="1">
      <alignment horizontal="center"/>
    </xf>
    <xf numFmtId="0" fontId="196" fillId="0" borderId="0" xfId="0" applyFont="1"/>
    <xf numFmtId="10" fontId="96" fillId="0" borderId="0" xfId="0" applyNumberFormat="1" applyFont="1"/>
    <xf numFmtId="10" fontId="96" fillId="0" borderId="16" xfId="0" applyNumberFormat="1" applyFont="1" applyBorder="1"/>
    <xf numFmtId="0" fontId="88" fillId="0" borderId="0" xfId="211" applyFont="1"/>
    <xf numFmtId="0" fontId="168" fillId="0" borderId="0" xfId="144" applyFont="1" applyAlignment="1"/>
    <xf numFmtId="0" fontId="169" fillId="0" borderId="0" xfId="144" applyFont="1" applyAlignment="1"/>
    <xf numFmtId="0" fontId="154" fillId="0" borderId="0" xfId="0" applyFont="1" applyAlignment="1"/>
    <xf numFmtId="0" fontId="269" fillId="0" borderId="341" xfId="3797" applyFont="1" applyFill="1" applyBorder="1" applyAlignment="1">
      <alignment horizontal="center" vertical="center"/>
    </xf>
    <xf numFmtId="0" fontId="0" fillId="0" borderId="0" xfId="0" applyAlignment="1">
      <alignment horizontal="left" vertical="center"/>
    </xf>
    <xf numFmtId="0" fontId="270" fillId="0" borderId="341" xfId="3797" applyFont="1" applyFill="1" applyBorder="1" applyAlignment="1">
      <alignment horizontal="left" vertical="center"/>
    </xf>
    <xf numFmtId="0" fontId="270" fillId="0" borderId="341" xfId="3797" applyFont="1" applyFill="1" applyBorder="1" applyAlignment="1">
      <alignment horizontal="center" vertical="center"/>
    </xf>
    <xf numFmtId="0" fontId="269" fillId="0" borderId="346" xfId="3797" applyFont="1" applyFill="1" applyBorder="1" applyAlignment="1">
      <alignment horizontal="center" vertical="center"/>
    </xf>
    <xf numFmtId="0" fontId="269" fillId="0" borderId="346" xfId="3797" applyFont="1" applyFill="1" applyBorder="1" applyAlignment="1">
      <alignment horizontal="left" vertical="center"/>
    </xf>
    <xf numFmtId="0" fontId="50" fillId="0" borderId="347" xfId="0" applyFont="1" applyBorder="1" applyAlignment="1">
      <alignment horizontal="center" vertical="center"/>
    </xf>
    <xf numFmtId="0" fontId="269" fillId="0" borderId="344" xfId="3797" applyFont="1" applyFill="1" applyBorder="1" applyAlignment="1">
      <alignment horizontal="center" vertical="center"/>
    </xf>
    <xf numFmtId="0" fontId="96" fillId="33" borderId="333" xfId="0" applyFont="1" applyFill="1" applyBorder="1" applyAlignment="1">
      <alignment horizontal="center"/>
    </xf>
    <xf numFmtId="0" fontId="0" fillId="0" borderId="0" xfId="0"/>
    <xf numFmtId="0" fontId="39" fillId="0" borderId="0" xfId="0" applyFont="1" applyAlignment="1">
      <alignment horizontal="left" vertical="center"/>
    </xf>
    <xf numFmtId="0" fontId="96" fillId="0" borderId="0" xfId="0" applyFont="1" applyAlignment="1">
      <alignment horizontal="center"/>
    </xf>
    <xf numFmtId="0" fontId="0" fillId="0" borderId="0" xfId="0"/>
    <xf numFmtId="0" fontId="50" fillId="33" borderId="0" xfId="0" applyFont="1" applyFill="1" applyAlignment="1">
      <alignment vertical="center"/>
    </xf>
    <xf numFmtId="0" fontId="182" fillId="33" borderId="16" xfId="238" applyFont="1" applyFill="1" applyBorder="1" applyAlignment="1">
      <alignment horizontal="center" vertical="center"/>
    </xf>
    <xf numFmtId="171" fontId="73" fillId="33" borderId="0" xfId="238" applyNumberFormat="1" applyFont="1" applyFill="1" applyAlignment="1">
      <alignment horizontal="center" vertical="center"/>
    </xf>
    <xf numFmtId="171" fontId="98" fillId="33" borderId="0" xfId="238" applyNumberFormat="1" applyFont="1" applyFill="1" applyAlignment="1">
      <alignment horizontal="center" vertical="center"/>
    </xf>
    <xf numFmtId="0" fontId="96" fillId="33" borderId="0" xfId="0" applyFont="1" applyFill="1" applyBorder="1" applyAlignment="1">
      <alignment horizontal="center"/>
    </xf>
    <xf numFmtId="0" fontId="50" fillId="33" borderId="333" xfId="0" applyFont="1" applyFill="1" applyBorder="1"/>
    <xf numFmtId="171" fontId="98" fillId="33" borderId="225" xfId="238" applyNumberFormat="1" applyFont="1" applyFill="1" applyBorder="1" applyAlignment="1">
      <alignment horizontal="center" vertical="center"/>
    </xf>
    <xf numFmtId="0" fontId="96" fillId="33" borderId="208" xfId="0" applyFont="1" applyFill="1" applyBorder="1" applyAlignment="1">
      <alignment horizontal="center"/>
    </xf>
    <xf numFmtId="0" fontId="196" fillId="33" borderId="0" xfId="0" applyFont="1" applyFill="1"/>
    <xf numFmtId="0" fontId="196" fillId="33" borderId="0" xfId="0" applyFont="1" applyFill="1" applyAlignment="1">
      <alignment horizontal="center"/>
    </xf>
    <xf numFmtId="0" fontId="174" fillId="33" borderId="0" xfId="0" applyFont="1" applyFill="1"/>
    <xf numFmtId="0" fontId="174" fillId="33" borderId="0" xfId="0" applyFont="1" applyFill="1" applyAlignment="1">
      <alignment horizontal="center"/>
    </xf>
    <xf numFmtId="0" fontId="96" fillId="33" borderId="105" xfId="0" applyFont="1" applyFill="1" applyBorder="1"/>
    <xf numFmtId="0" fontId="96" fillId="33" borderId="105" xfId="0" applyFont="1" applyFill="1" applyBorder="1" applyAlignment="1">
      <alignment horizontal="center"/>
    </xf>
    <xf numFmtId="171" fontId="98" fillId="33" borderId="105" xfId="238" applyNumberFormat="1" applyFont="1" applyFill="1" applyBorder="1" applyAlignment="1">
      <alignment horizontal="center" vertical="center"/>
    </xf>
    <xf numFmtId="0" fontId="50" fillId="33" borderId="0" xfId="0" applyFont="1" applyFill="1" applyBorder="1"/>
    <xf numFmtId="0" fontId="39" fillId="0" borderId="0" xfId="0" applyFont="1" applyFill="1"/>
    <xf numFmtId="0" fontId="50" fillId="0" borderId="0" xfId="0" applyFont="1" applyFill="1" applyAlignment="1">
      <alignment vertical="center"/>
    </xf>
    <xf numFmtId="0" fontId="196" fillId="0" borderId="0" xfId="0" applyFont="1" applyFill="1" applyAlignment="1">
      <alignment horizontal="right"/>
    </xf>
    <xf numFmtId="0" fontId="96" fillId="0" borderId="16" xfId="0" applyFont="1" applyFill="1" applyBorder="1" applyAlignment="1">
      <alignment horizontal="center" wrapText="1"/>
    </xf>
    <xf numFmtId="0" fontId="182" fillId="0" borderId="16" xfId="238" applyFont="1" applyFill="1" applyBorder="1" applyAlignment="1">
      <alignment horizontal="center" vertical="center"/>
    </xf>
    <xf numFmtId="0" fontId="96" fillId="0" borderId="16" xfId="0" applyFont="1" applyFill="1" applyBorder="1" applyAlignment="1">
      <alignment horizontal="center" vertical="center" wrapText="1"/>
    </xf>
    <xf numFmtId="171" fontId="73" fillId="0" borderId="0" xfId="238" applyNumberFormat="1" applyFont="1" applyFill="1" applyAlignment="1">
      <alignment horizontal="center" vertical="center"/>
    </xf>
    <xf numFmtId="171" fontId="98" fillId="0" borderId="0" xfId="238" applyNumberFormat="1" applyFont="1" applyFill="1" applyAlignment="1">
      <alignment horizontal="center" vertical="center"/>
    </xf>
    <xf numFmtId="0" fontId="96" fillId="0" borderId="0" xfId="0" applyFont="1" applyFill="1" applyBorder="1" applyAlignment="1">
      <alignment horizontal="center"/>
    </xf>
    <xf numFmtId="0" fontId="50" fillId="0" borderId="333" xfId="0" applyFont="1" applyFill="1" applyBorder="1"/>
    <xf numFmtId="0" fontId="96" fillId="0" borderId="333" xfId="0" applyFont="1" applyFill="1" applyBorder="1" applyAlignment="1">
      <alignment horizontal="center"/>
    </xf>
    <xf numFmtId="0" fontId="96" fillId="0" borderId="208" xfId="0" applyFont="1" applyFill="1" applyBorder="1" applyAlignment="1">
      <alignment horizontal="center"/>
    </xf>
    <xf numFmtId="0" fontId="50" fillId="0" borderId="0" xfId="0" applyFont="1" applyFill="1" applyBorder="1" applyAlignment="1">
      <alignment horizontal="center"/>
    </xf>
    <xf numFmtId="0" fontId="50" fillId="0" borderId="16" xfId="0" applyFont="1" applyFill="1" applyBorder="1"/>
    <xf numFmtId="0" fontId="96" fillId="0" borderId="105" xfId="0" applyFont="1" applyFill="1" applyBorder="1"/>
    <xf numFmtId="171" fontId="98" fillId="0" borderId="105" xfId="238" applyNumberFormat="1" applyFont="1" applyFill="1" applyBorder="1" applyAlignment="1">
      <alignment horizontal="center" vertical="center"/>
    </xf>
    <xf numFmtId="0" fontId="269" fillId="62" borderId="340" xfId="3798" applyFont="1" applyFill="1" applyBorder="1" applyAlignment="1">
      <alignment horizontal="center"/>
    </xf>
    <xf numFmtId="0" fontId="269" fillId="0" borderId="341" xfId="3798" applyFont="1" applyFill="1" applyBorder="1" applyAlignment="1">
      <alignment horizontal="right" wrapText="1"/>
    </xf>
    <xf numFmtId="0" fontId="269" fillId="0" borderId="341" xfId="3798" applyFont="1" applyFill="1" applyBorder="1" applyAlignment="1">
      <alignment wrapText="1"/>
    </xf>
    <xf numFmtId="171" fontId="269" fillId="0" borderId="341" xfId="3798" applyNumberFormat="1" applyFont="1" applyFill="1" applyBorder="1" applyAlignment="1">
      <alignment horizontal="right" wrapText="1"/>
    </xf>
    <xf numFmtId="0" fontId="96" fillId="0" borderId="0" xfId="0" applyFont="1" applyFill="1" applyAlignment="1">
      <alignment horizontal="center" vertical="center"/>
    </xf>
    <xf numFmtId="0" fontId="96" fillId="0" borderId="333" xfId="0" applyFont="1" applyFill="1" applyBorder="1" applyAlignment="1">
      <alignment horizontal="center" vertical="center"/>
    </xf>
    <xf numFmtId="0" fontId="96" fillId="0" borderId="0" xfId="0" applyFont="1" applyFill="1" applyBorder="1" applyAlignment="1">
      <alignment horizontal="center" vertical="center"/>
    </xf>
    <xf numFmtId="0" fontId="96" fillId="0" borderId="105" xfId="0" applyFont="1" applyFill="1" applyBorder="1" applyAlignment="1">
      <alignment horizontal="center" vertical="center"/>
    </xf>
    <xf numFmtId="171" fontId="269" fillId="0" borderId="341" xfId="3798" applyNumberFormat="1" applyFont="1" applyFill="1" applyBorder="1" applyAlignment="1">
      <alignment horizontal="center" vertical="center" wrapText="1"/>
    </xf>
    <xf numFmtId="0" fontId="269" fillId="0" borderId="341" xfId="3798" applyFont="1" applyFill="1" applyBorder="1" applyAlignment="1">
      <alignment horizontal="center" vertical="center" wrapText="1"/>
    </xf>
    <xf numFmtId="0" fontId="88" fillId="0" borderId="0" xfId="0" applyFont="1" applyFill="1" applyAlignment="1">
      <alignment horizontal="center" vertical="center"/>
    </xf>
    <xf numFmtId="0" fontId="88" fillId="0" borderId="0" xfId="0" applyFont="1" applyFill="1"/>
    <xf numFmtId="171" fontId="88" fillId="0" borderId="0" xfId="238" applyNumberFormat="1" applyFont="1" applyFill="1" applyAlignment="1">
      <alignment horizontal="center" vertical="center"/>
    </xf>
    <xf numFmtId="0" fontId="50" fillId="33" borderId="0" xfId="0" applyFont="1" applyFill="1" applyAlignment="1">
      <alignment horizontal="left" vertical="center"/>
    </xf>
    <xf numFmtId="0" fontId="0" fillId="33" borderId="0" xfId="0" applyFill="1" applyAlignment="1">
      <alignment horizontal="center" vertical="center"/>
    </xf>
    <xf numFmtId="0" fontId="203" fillId="33" borderId="16" xfId="238" applyFont="1" applyFill="1" applyBorder="1" applyAlignment="1">
      <alignment horizontal="center" vertical="center"/>
    </xf>
    <xf numFmtId="0" fontId="120" fillId="33" borderId="16" xfId="0" applyFont="1" applyFill="1" applyBorder="1" applyAlignment="1">
      <alignment horizontal="center" vertical="center" wrapText="1"/>
    </xf>
    <xf numFmtId="185" fontId="120" fillId="33" borderId="0" xfId="0" applyNumberFormat="1" applyFont="1" applyFill="1" applyAlignment="1">
      <alignment horizontal="center" vertical="center"/>
    </xf>
    <xf numFmtId="0" fontId="66" fillId="33" borderId="225" xfId="0" applyFont="1" applyFill="1" applyBorder="1"/>
    <xf numFmtId="0" fontId="120" fillId="33" borderId="225" xfId="0" applyFont="1" applyFill="1" applyBorder="1"/>
    <xf numFmtId="0" fontId="120" fillId="33" borderId="225" xfId="0" applyFont="1" applyFill="1" applyBorder="1" applyAlignment="1">
      <alignment horizontal="center"/>
    </xf>
    <xf numFmtId="185" fontId="120" fillId="33" borderId="150" xfId="0" applyNumberFormat="1" applyFont="1" applyFill="1" applyBorder="1" applyAlignment="1">
      <alignment horizontal="center" vertical="center"/>
    </xf>
    <xf numFmtId="0" fontId="66" fillId="33" borderId="225" xfId="0" applyFont="1" applyFill="1" applyBorder="1" applyAlignment="1">
      <alignment horizontal="center" vertical="center"/>
    </xf>
    <xf numFmtId="185" fontId="120" fillId="33" borderId="208" xfId="0" applyNumberFormat="1" applyFont="1" applyFill="1" applyBorder="1" applyAlignment="1">
      <alignment horizontal="center" vertical="center"/>
    </xf>
    <xf numFmtId="185" fontId="264" fillId="33" borderId="0" xfId="428" applyNumberFormat="1" applyFont="1" applyFill="1" applyAlignment="1">
      <alignment horizontal="center" vertical="center"/>
    </xf>
    <xf numFmtId="185" fontId="120" fillId="33" borderId="16" xfId="0" applyNumberFormat="1" applyFont="1" applyFill="1" applyBorder="1" applyAlignment="1">
      <alignment horizontal="center" vertical="center"/>
    </xf>
    <xf numFmtId="0" fontId="269" fillId="0" borderId="341" xfId="3799" applyFont="1" applyFill="1" applyBorder="1" applyAlignment="1">
      <alignment horizontal="right"/>
    </xf>
    <xf numFmtId="0" fontId="269" fillId="0" borderId="346" xfId="3799" applyFont="1" applyFill="1" applyBorder="1" applyAlignment="1">
      <alignment horizontal="right"/>
    </xf>
    <xf numFmtId="0" fontId="0" fillId="0" borderId="347" xfId="0" applyBorder="1"/>
    <xf numFmtId="0" fontId="269" fillId="0" borderId="0" xfId="3799" applyFont="1" applyFill="1" applyBorder="1" applyAlignment="1">
      <alignment horizontal="right"/>
    </xf>
    <xf numFmtId="0" fontId="277" fillId="0" borderId="0" xfId="0" applyFont="1"/>
    <xf numFmtId="168" fontId="39" fillId="0" borderId="347" xfId="176" applyNumberFormat="1" applyFont="1" applyBorder="1" applyAlignment="1">
      <alignment horizontal="center"/>
    </xf>
    <xf numFmtId="168" fontId="39" fillId="0" borderId="0" xfId="176" applyNumberFormat="1" applyFont="1" applyBorder="1" applyAlignment="1">
      <alignment horizontal="center"/>
    </xf>
    <xf numFmtId="168" fontId="106" fillId="0" borderId="347" xfId="176" applyNumberFormat="1" applyFont="1" applyBorder="1" applyAlignment="1">
      <alignment horizontal="center"/>
    </xf>
    <xf numFmtId="168" fontId="110" fillId="0" borderId="347" xfId="176" applyNumberFormat="1" applyFont="1" applyBorder="1" applyAlignment="1">
      <alignment horizontal="center"/>
    </xf>
    <xf numFmtId="0" fontId="96" fillId="0" borderId="0" xfId="0" applyFont="1" applyAlignment="1">
      <alignment horizontal="center"/>
    </xf>
    <xf numFmtId="0" fontId="0" fillId="0" borderId="0" xfId="0"/>
    <xf numFmtId="0" fontId="0" fillId="0" borderId="0" xfId="0"/>
    <xf numFmtId="0" fontId="269" fillId="0" borderId="341" xfId="3800" applyFont="1" applyFill="1" applyBorder="1" applyAlignment="1">
      <alignment horizontal="right"/>
    </xf>
    <xf numFmtId="0" fontId="269" fillId="0" borderId="341" xfId="3800" applyFont="1" applyFill="1" applyBorder="1" applyAlignment="1"/>
    <xf numFmtId="0" fontId="39" fillId="0" borderId="16" xfId="0" applyFont="1" applyBorder="1" applyAlignment="1">
      <alignment horizontal="center" wrapText="1"/>
    </xf>
    <xf numFmtId="0" fontId="281" fillId="0" borderId="341" xfId="3800" applyFont="1" applyFill="1" applyBorder="1" applyAlignment="1"/>
    <xf numFmtId="0" fontId="96" fillId="0" borderId="284" xfId="0" applyFont="1" applyBorder="1" applyAlignment="1">
      <alignment horizontal="center" wrapText="1"/>
    </xf>
    <xf numFmtId="0" fontId="270" fillId="0" borderId="341" xfId="3800" applyFont="1" applyFill="1" applyBorder="1" applyAlignment="1"/>
    <xf numFmtId="0" fontId="282" fillId="0" borderId="341" xfId="3800" applyFont="1" applyFill="1" applyBorder="1" applyAlignment="1"/>
    <xf numFmtId="0" fontId="270" fillId="0" borderId="341" xfId="3800" applyFont="1" applyFill="1" applyBorder="1" applyAlignment="1">
      <alignment horizontal="right"/>
    </xf>
    <xf numFmtId="0" fontId="96" fillId="0" borderId="347" xfId="0" applyFont="1" applyBorder="1" applyAlignment="1">
      <alignment horizontal="center" wrapText="1"/>
    </xf>
    <xf numFmtId="0" fontId="269" fillId="0" borderId="0" xfId="3800" applyFont="1" applyFill="1" applyBorder="1" applyAlignment="1">
      <alignment horizontal="center"/>
    </xf>
    <xf numFmtId="0" fontId="283" fillId="0" borderId="347" xfId="0" applyFont="1" applyBorder="1" applyAlignment="1">
      <alignment horizontal="center" wrapText="1"/>
    </xf>
    <xf numFmtId="0" fontId="269" fillId="0" borderId="346" xfId="3800" applyFont="1" applyFill="1" applyBorder="1" applyAlignment="1"/>
    <xf numFmtId="0" fontId="269" fillId="0" borderId="346" xfId="3800" applyFont="1" applyFill="1" applyBorder="1" applyAlignment="1">
      <alignment horizontal="right"/>
    </xf>
    <xf numFmtId="0" fontId="270" fillId="0" borderId="344" xfId="3800" applyFont="1" applyFill="1" applyBorder="1" applyAlignment="1">
      <alignment horizontal="right"/>
    </xf>
    <xf numFmtId="0" fontId="282" fillId="0" borderId="344" xfId="3800" applyFont="1" applyFill="1" applyBorder="1" applyAlignment="1"/>
    <xf numFmtId="0" fontId="269" fillId="0" borderId="344" xfId="3800" applyFont="1" applyFill="1" applyBorder="1" applyAlignment="1"/>
    <xf numFmtId="0" fontId="269" fillId="0" borderId="344" xfId="3800" applyFont="1" applyFill="1" applyBorder="1" applyAlignment="1">
      <alignment horizontal="right"/>
    </xf>
    <xf numFmtId="0" fontId="281" fillId="0" borderId="344" xfId="3800" applyFont="1" applyFill="1" applyBorder="1" applyAlignment="1"/>
    <xf numFmtId="168" fontId="39" fillId="0" borderId="0" xfId="176" applyNumberFormat="1" applyFont="1" applyAlignment="1">
      <alignment horizontal="center"/>
    </xf>
    <xf numFmtId="0" fontId="269" fillId="0" borderId="341" xfId="3800" applyFont="1" applyFill="1" applyBorder="1" applyAlignment="1">
      <alignment horizontal="left"/>
    </xf>
    <xf numFmtId="0" fontId="96" fillId="33" borderId="284" xfId="0" applyFont="1" applyFill="1" applyBorder="1" applyAlignment="1">
      <alignment horizontal="center"/>
    </xf>
    <xf numFmtId="0" fontId="269" fillId="33" borderId="341" xfId="3800" applyFont="1" applyFill="1" applyBorder="1" applyAlignment="1">
      <alignment horizontal="right"/>
    </xf>
    <xf numFmtId="0" fontId="270" fillId="33" borderId="341" xfId="3800" applyFont="1" applyFill="1" applyBorder="1" applyAlignment="1">
      <alignment horizontal="right"/>
    </xf>
    <xf numFmtId="0" fontId="282" fillId="33" borderId="341" xfId="3800" applyFont="1" applyFill="1" applyBorder="1" applyAlignment="1">
      <alignment horizontal="right"/>
    </xf>
    <xf numFmtId="0" fontId="270" fillId="33" borderId="353" xfId="3800" applyFont="1" applyFill="1" applyBorder="1" applyAlignment="1">
      <alignment horizontal="right"/>
    </xf>
    <xf numFmtId="0" fontId="269" fillId="33" borderId="354" xfId="3800" applyFont="1" applyFill="1" applyBorder="1" applyAlignment="1">
      <alignment horizontal="right"/>
    </xf>
    <xf numFmtId="0" fontId="269" fillId="33" borderId="351" xfId="3800" applyFont="1" applyFill="1" applyBorder="1" applyAlignment="1">
      <alignment horizontal="right"/>
    </xf>
    <xf numFmtId="0" fontId="270" fillId="33" borderId="351" xfId="3800" applyFont="1" applyFill="1" applyBorder="1" applyAlignment="1">
      <alignment horizontal="right"/>
    </xf>
    <xf numFmtId="0" fontId="282" fillId="33" borderId="351" xfId="3800" applyFont="1" applyFill="1" applyBorder="1" applyAlignment="1">
      <alignment horizontal="right"/>
    </xf>
    <xf numFmtId="0" fontId="270" fillId="33" borderId="344" xfId="3800" applyFont="1" applyFill="1" applyBorder="1" applyAlignment="1">
      <alignment horizontal="right"/>
    </xf>
    <xf numFmtId="0" fontId="269" fillId="33" borderId="346" xfId="3800" applyFont="1" applyFill="1" applyBorder="1" applyAlignment="1">
      <alignment horizontal="right"/>
    </xf>
    <xf numFmtId="0" fontId="270" fillId="33" borderId="346" xfId="3800" applyFont="1" applyFill="1" applyBorder="1" applyAlignment="1">
      <alignment horizontal="right"/>
    </xf>
    <xf numFmtId="0" fontId="282" fillId="33" borderId="346" xfId="3800" applyFont="1" applyFill="1" applyBorder="1" applyAlignment="1">
      <alignment horizontal="right"/>
    </xf>
    <xf numFmtId="0" fontId="269" fillId="33" borderId="0" xfId="3800" applyFont="1" applyFill="1" applyBorder="1" applyAlignment="1">
      <alignment horizontal="right"/>
    </xf>
    <xf numFmtId="0" fontId="284" fillId="0" borderId="344" xfId="3800" applyFont="1" applyFill="1" applyBorder="1" applyAlignment="1">
      <alignment horizontal="right"/>
    </xf>
    <xf numFmtId="0" fontId="285" fillId="0" borderId="344" xfId="3800" applyFont="1" applyFill="1" applyBorder="1" applyAlignment="1"/>
    <xf numFmtId="0" fontId="285" fillId="0" borderId="344" xfId="3800" applyFont="1" applyFill="1" applyBorder="1" applyAlignment="1">
      <alignment horizontal="right"/>
    </xf>
    <xf numFmtId="0" fontId="284" fillId="33" borderId="344" xfId="3800" applyFont="1" applyFill="1" applyBorder="1" applyAlignment="1">
      <alignment horizontal="right"/>
    </xf>
    <xf numFmtId="0" fontId="286" fillId="0" borderId="344" xfId="3800" applyFont="1" applyFill="1" applyBorder="1" applyAlignment="1">
      <alignment horizontal="right"/>
    </xf>
    <xf numFmtId="0" fontId="287" fillId="0" borderId="344" xfId="3800" applyFont="1" applyFill="1" applyBorder="1" applyAlignment="1"/>
    <xf numFmtId="0" fontId="287" fillId="0" borderId="344" xfId="3800" applyFont="1" applyFill="1" applyBorder="1" applyAlignment="1">
      <alignment horizontal="right"/>
    </xf>
    <xf numFmtId="0" fontId="286" fillId="33" borderId="344" xfId="3800" applyFont="1" applyFill="1" applyBorder="1" applyAlignment="1">
      <alignment horizontal="right"/>
    </xf>
    <xf numFmtId="0" fontId="272" fillId="0" borderId="344" xfId="3800" applyFont="1" applyFill="1" applyBorder="1" applyAlignment="1">
      <alignment horizontal="right"/>
    </xf>
    <xf numFmtId="0" fontId="288" fillId="0" borderId="344" xfId="3800" applyFont="1" applyFill="1" applyBorder="1" applyAlignment="1"/>
    <xf numFmtId="0" fontId="288" fillId="0" borderId="344" xfId="3800" applyFont="1" applyFill="1" applyBorder="1" applyAlignment="1">
      <alignment horizontal="right"/>
    </xf>
    <xf numFmtId="0" fontId="231" fillId="33" borderId="344" xfId="3800" applyFont="1" applyFill="1" applyBorder="1" applyAlignment="1">
      <alignment horizontal="right"/>
    </xf>
    <xf numFmtId="0" fontId="276" fillId="0" borderId="344" xfId="3800" applyFont="1" applyFill="1" applyBorder="1" applyAlignment="1">
      <alignment horizontal="right"/>
    </xf>
    <xf numFmtId="0" fontId="289" fillId="0" borderId="344" xfId="3800" applyFont="1" applyFill="1" applyBorder="1" applyAlignment="1">
      <alignment horizontal="right"/>
    </xf>
    <xf numFmtId="0" fontId="290" fillId="0" borderId="344" xfId="3800" applyFont="1" applyFill="1" applyBorder="1" applyAlignment="1"/>
    <xf numFmtId="0" fontId="290" fillId="0" borderId="344" xfId="3800" applyFont="1" applyFill="1" applyBorder="1" applyAlignment="1">
      <alignment horizontal="right"/>
    </xf>
    <xf numFmtId="0" fontId="231" fillId="33" borderId="347" xfId="3800" applyFont="1" applyFill="1" applyBorder="1" applyAlignment="1">
      <alignment horizontal="right"/>
    </xf>
    <xf numFmtId="0" fontId="231" fillId="33" borderId="350" xfId="3800" applyFont="1" applyFill="1" applyBorder="1" applyAlignment="1">
      <alignment horizontal="right"/>
    </xf>
    <xf numFmtId="168" fontId="23" fillId="0" borderId="0" xfId="176" applyNumberFormat="1" applyFont="1" applyFill="1" applyBorder="1" applyAlignment="1">
      <alignment horizontal="center"/>
    </xf>
    <xf numFmtId="168" fontId="39" fillId="0" borderId="343" xfId="176" applyNumberFormat="1" applyFont="1" applyBorder="1" applyAlignment="1">
      <alignment horizontal="center"/>
    </xf>
    <xf numFmtId="168" fontId="291" fillId="0" borderId="347" xfId="176" applyNumberFormat="1" applyFont="1" applyBorder="1" applyAlignment="1">
      <alignment horizontal="center"/>
    </xf>
    <xf numFmtId="168" fontId="42" fillId="0" borderId="0" xfId="176" applyNumberFormat="1" applyFont="1" applyBorder="1" applyAlignment="1">
      <alignment horizontal="center"/>
    </xf>
    <xf numFmtId="168" fontId="253" fillId="0" borderId="347" xfId="176" applyNumberFormat="1" applyFont="1" applyBorder="1" applyAlignment="1">
      <alignment horizontal="center"/>
    </xf>
    <xf numFmtId="168" fontId="158" fillId="0" borderId="347" xfId="176" applyNumberFormat="1" applyFont="1" applyFill="1" applyBorder="1" applyAlignment="1">
      <alignment horizontal="center"/>
    </xf>
    <xf numFmtId="0" fontId="269" fillId="0" borderId="344" xfId="3797" applyFont="1" applyFill="1" applyBorder="1" applyAlignment="1">
      <alignment horizontal="right"/>
    </xf>
    <xf numFmtId="0" fontId="270" fillId="0" borderId="344" xfId="3797" applyFont="1" applyFill="1" applyBorder="1" applyAlignment="1">
      <alignment horizontal="right"/>
    </xf>
    <xf numFmtId="0" fontId="269" fillId="0" borderId="344" xfId="3797" applyFont="1" applyFill="1" applyBorder="1" applyAlignment="1"/>
    <xf numFmtId="0" fontId="269" fillId="0" borderId="344" xfId="3797" applyFont="1" applyFill="1" applyBorder="1" applyAlignment="1">
      <alignment horizontal="left" vertical="center"/>
    </xf>
    <xf numFmtId="0" fontId="96" fillId="0" borderId="0" xfId="0" applyFont="1" applyAlignment="1">
      <alignment horizontal="center"/>
    </xf>
    <xf numFmtId="0" fontId="96" fillId="0" borderId="0" xfId="0" applyFont="1" applyBorder="1" applyAlignment="1">
      <alignment horizontal="center"/>
    </xf>
    <xf numFmtId="0" fontId="0" fillId="0" borderId="0" xfId="0"/>
    <xf numFmtId="168" fontId="42" fillId="0" borderId="347" xfId="176" applyNumberFormat="1" applyFont="1" applyBorder="1" applyAlignment="1">
      <alignment horizontal="center"/>
    </xf>
    <xf numFmtId="0" fontId="292" fillId="0" borderId="344" xfId="3800" applyFont="1" applyFill="1" applyBorder="1" applyAlignment="1">
      <alignment horizontal="right"/>
    </xf>
    <xf numFmtId="0" fontId="7" fillId="0" borderId="344" xfId="3800" applyFont="1" applyFill="1" applyBorder="1" applyAlignment="1">
      <alignment horizontal="right"/>
    </xf>
    <xf numFmtId="0" fontId="281" fillId="0" borderId="341" xfId="3800" applyFont="1" applyFill="1" applyBorder="1" applyAlignment="1">
      <alignment horizontal="right"/>
    </xf>
    <xf numFmtId="0" fontId="7" fillId="0" borderId="341" xfId="3797" applyFont="1" applyFill="1" applyBorder="1" applyAlignment="1">
      <alignment wrapText="1"/>
    </xf>
    <xf numFmtId="0" fontId="7" fillId="0" borderId="341" xfId="3797" applyFont="1" applyFill="1" applyBorder="1" applyAlignment="1">
      <alignment horizontal="right" wrapText="1"/>
    </xf>
    <xf numFmtId="1" fontId="269" fillId="0" borderId="341" xfId="3797" applyNumberFormat="1" applyFont="1" applyFill="1" applyBorder="1" applyAlignment="1">
      <alignment horizontal="right" wrapText="1"/>
    </xf>
    <xf numFmtId="0" fontId="269" fillId="0" borderId="341" xfId="3797" applyFont="1" applyFill="1" applyBorder="1" applyAlignment="1">
      <alignment wrapText="1"/>
    </xf>
    <xf numFmtId="0" fontId="269" fillId="0" borderId="341" xfId="3797" applyFont="1" applyFill="1" applyBorder="1" applyAlignment="1">
      <alignment horizontal="right" wrapText="1"/>
    </xf>
    <xf numFmtId="0" fontId="96" fillId="0" borderId="0" xfId="0" applyFont="1" applyBorder="1" applyAlignment="1">
      <alignment horizontal="center" wrapText="1"/>
    </xf>
    <xf numFmtId="10" fontId="39" fillId="0" borderId="0" xfId="176" applyNumberFormat="1" applyFont="1" applyFill="1" applyAlignment="1">
      <alignment horizontal="center"/>
    </xf>
    <xf numFmtId="0" fontId="134" fillId="0" borderId="0" xfId="0" applyFont="1" applyAlignment="1">
      <alignment horizontal="right"/>
    </xf>
    <xf numFmtId="10" fontId="39" fillId="0" borderId="0" xfId="176" applyNumberFormat="1" applyFont="1" applyFill="1" applyBorder="1" applyAlignment="1">
      <alignment horizontal="center"/>
    </xf>
    <xf numFmtId="10" fontId="96" fillId="0" borderId="0" xfId="176" applyNumberFormat="1" applyFont="1" applyFill="1" applyAlignment="1">
      <alignment horizontal="center"/>
    </xf>
    <xf numFmtId="0" fontId="196" fillId="21" borderId="0" xfId="0" applyFont="1" applyFill="1" applyAlignment="1">
      <alignment horizontal="center"/>
    </xf>
    <xf numFmtId="0" fontId="50" fillId="21" borderId="16" xfId="0" applyFont="1" applyFill="1" applyBorder="1" applyAlignment="1">
      <alignment horizontal="center"/>
    </xf>
    <xf numFmtId="0" fontId="293" fillId="0" borderId="0" xfId="0" applyFont="1" applyAlignment="1">
      <alignment horizontal="right"/>
    </xf>
    <xf numFmtId="0" fontId="39" fillId="0" borderId="0" xfId="0" applyFont="1" applyBorder="1" applyAlignment="1">
      <alignment horizontal="center" wrapText="1"/>
    </xf>
    <xf numFmtId="168" fontId="106" fillId="0" borderId="0" xfId="176" applyNumberFormat="1" applyFont="1" applyBorder="1" applyAlignment="1">
      <alignment horizontal="center"/>
    </xf>
    <xf numFmtId="168" fontId="110" fillId="0" borderId="0" xfId="176" applyNumberFormat="1" applyFont="1" applyBorder="1" applyAlignment="1">
      <alignment horizontal="center"/>
    </xf>
    <xf numFmtId="168" fontId="113" fillId="0" borderId="0" xfId="176" applyNumberFormat="1" applyFont="1" applyBorder="1" applyAlignment="1">
      <alignment horizontal="center"/>
    </xf>
    <xf numFmtId="168" fontId="278" fillId="0" borderId="0" xfId="176" applyNumberFormat="1" applyFont="1" applyBorder="1" applyAlignment="1">
      <alignment horizontal="center"/>
    </xf>
    <xf numFmtId="9" fontId="96" fillId="0" borderId="0" xfId="176" applyFont="1" applyAlignment="1">
      <alignment horizontal="center"/>
    </xf>
    <xf numFmtId="0" fontId="283" fillId="0" borderId="0" xfId="0" applyFont="1" applyBorder="1" applyAlignment="1">
      <alignment horizontal="center" wrapText="1"/>
    </xf>
    <xf numFmtId="0" fontId="50" fillId="0" borderId="347" xfId="0" applyFont="1" applyBorder="1"/>
    <xf numFmtId="0" fontId="50" fillId="33" borderId="347" xfId="0" applyFont="1" applyFill="1" applyBorder="1"/>
    <xf numFmtId="10" fontId="96" fillId="33" borderId="347" xfId="176" applyNumberFormat="1" applyFont="1" applyFill="1" applyBorder="1" applyAlignment="1">
      <alignment horizontal="center"/>
    </xf>
    <xf numFmtId="0" fontId="269" fillId="0" borderId="0" xfId="3798" applyFont="1" applyFill="1" applyBorder="1" applyAlignment="1">
      <alignment wrapText="1"/>
    </xf>
    <xf numFmtId="171" fontId="269" fillId="0" borderId="0" xfId="3798" applyNumberFormat="1" applyFont="1" applyFill="1" applyBorder="1" applyAlignment="1">
      <alignment horizontal="center" vertical="center" wrapText="1"/>
    </xf>
    <xf numFmtId="0" fontId="269" fillId="0" borderId="0" xfId="3798" applyFont="1" applyFill="1" applyBorder="1" applyAlignment="1">
      <alignment horizontal="center" vertical="center" wrapText="1"/>
    </xf>
    <xf numFmtId="171" fontId="96" fillId="0" borderId="0" xfId="0" applyNumberFormat="1" applyFont="1" applyFill="1" applyAlignment="1">
      <alignment horizontal="center" vertical="center"/>
    </xf>
    <xf numFmtId="171" fontId="269" fillId="0" borderId="346" xfId="3798" applyNumberFormat="1" applyFont="1" applyFill="1" applyBorder="1" applyAlignment="1">
      <alignment horizontal="center" vertical="center" wrapText="1"/>
    </xf>
    <xf numFmtId="171" fontId="96" fillId="0" borderId="347" xfId="0" applyNumberFormat="1" applyFont="1" applyFill="1" applyBorder="1" applyAlignment="1">
      <alignment horizontal="center" vertical="center"/>
    </xf>
    <xf numFmtId="171" fontId="88" fillId="0" borderId="0" xfId="0" applyNumberFormat="1" applyFont="1" applyFill="1" applyAlignment="1">
      <alignment horizontal="center" vertical="center"/>
    </xf>
    <xf numFmtId="171" fontId="96" fillId="0" borderId="0" xfId="0" applyNumberFormat="1" applyFont="1" applyFill="1" applyBorder="1" applyAlignment="1">
      <alignment horizontal="center" vertical="center"/>
    </xf>
    <xf numFmtId="171" fontId="98" fillId="0" borderId="347" xfId="238" applyNumberFormat="1" applyFont="1" applyBorder="1" applyAlignment="1">
      <alignment horizontal="center" vertical="center"/>
    </xf>
    <xf numFmtId="0" fontId="167" fillId="0" borderId="106" xfId="0" applyFont="1" applyBorder="1" applyAlignment="1">
      <alignment vertical="center" wrapText="1"/>
    </xf>
    <xf numFmtId="0" fontId="167" fillId="0" borderId="0" xfId="0" applyFont="1" applyBorder="1" applyAlignment="1">
      <alignment vertical="center" wrapText="1"/>
    </xf>
    <xf numFmtId="0" fontId="269" fillId="0" borderId="341" xfId="3801" applyFont="1" applyFill="1" applyBorder="1" applyAlignment="1">
      <alignment horizontal="right" wrapText="1"/>
    </xf>
    <xf numFmtId="0" fontId="269" fillId="0" borderId="341" xfId="3801" applyFont="1" applyFill="1" applyBorder="1" applyAlignment="1">
      <alignment wrapText="1"/>
    </xf>
    <xf numFmtId="171" fontId="269" fillId="0" borderId="341" xfId="3801" applyNumberFormat="1" applyFont="1" applyFill="1" applyBorder="1" applyAlignment="1">
      <alignment horizontal="center" vertical="center" wrapText="1"/>
    </xf>
    <xf numFmtId="0" fontId="269" fillId="0" borderId="341" xfId="3802" applyFont="1" applyFill="1" applyBorder="1" applyAlignment="1">
      <alignment horizontal="center" vertical="center" wrapText="1"/>
    </xf>
    <xf numFmtId="0" fontId="269" fillId="0" borderId="355" xfId="3802" applyFont="1" applyFill="1" applyBorder="1" applyAlignment="1">
      <alignment horizontal="center" vertical="center" wrapText="1"/>
    </xf>
    <xf numFmtId="0" fontId="269" fillId="0" borderId="0" xfId="3802" applyFont="1" applyFill="1" applyBorder="1" applyAlignment="1">
      <alignment horizontal="center" vertical="center" wrapText="1"/>
    </xf>
    <xf numFmtId="171" fontId="0" fillId="0" borderId="0" xfId="0" applyNumberFormat="1" applyAlignment="1">
      <alignment horizontal="center" vertical="center"/>
    </xf>
    <xf numFmtId="0" fontId="270" fillId="0" borderId="341" xfId="3802" applyFont="1" applyFill="1" applyBorder="1" applyAlignment="1">
      <alignment horizontal="center" vertical="center" wrapText="1"/>
    </xf>
    <xf numFmtId="171" fontId="270" fillId="0" borderId="341" xfId="3801" applyNumberFormat="1" applyFont="1" applyFill="1" applyBorder="1" applyAlignment="1">
      <alignment horizontal="center" vertical="center" wrapText="1"/>
    </xf>
    <xf numFmtId="0" fontId="269" fillId="0" borderId="346" xfId="3801" applyFont="1" applyFill="1" applyBorder="1" applyAlignment="1">
      <alignment horizontal="right" wrapText="1"/>
    </xf>
    <xf numFmtId="0" fontId="269" fillId="0" borderId="346" xfId="3801" applyFont="1" applyFill="1" applyBorder="1" applyAlignment="1">
      <alignment wrapText="1"/>
    </xf>
    <xf numFmtId="171" fontId="269" fillId="0" borderId="346" xfId="3801" applyNumberFormat="1" applyFont="1" applyFill="1" applyBorder="1" applyAlignment="1">
      <alignment horizontal="center" vertical="center" wrapText="1"/>
    </xf>
    <xf numFmtId="0" fontId="269" fillId="0" borderId="346" xfId="3802" applyFont="1" applyFill="1" applyBorder="1" applyAlignment="1">
      <alignment horizontal="center" vertical="center" wrapText="1"/>
    </xf>
    <xf numFmtId="0" fontId="269" fillId="0" borderId="344" xfId="3801" applyFont="1" applyFill="1" applyBorder="1" applyAlignment="1">
      <alignment horizontal="right" wrapText="1"/>
    </xf>
    <xf numFmtId="0" fontId="96" fillId="0" borderId="347" xfId="0" applyFont="1" applyBorder="1" applyAlignment="1">
      <alignment horizontal="center"/>
    </xf>
    <xf numFmtId="171" fontId="270" fillId="0" borderId="344" xfId="3801" applyNumberFormat="1" applyFont="1" applyFill="1" applyBorder="1" applyAlignment="1">
      <alignment horizontal="center" vertical="center" wrapText="1"/>
    </xf>
    <xf numFmtId="0" fontId="270" fillId="0" borderId="344" xfId="3802" applyFont="1" applyFill="1" applyBorder="1" applyAlignment="1">
      <alignment horizontal="center" vertical="center" wrapText="1"/>
    </xf>
    <xf numFmtId="171" fontId="269" fillId="0" borderId="344" xfId="3801" applyNumberFormat="1" applyFont="1" applyFill="1" applyBorder="1" applyAlignment="1">
      <alignment horizontal="center" vertical="center" wrapText="1"/>
    </xf>
    <xf numFmtId="171" fontId="50" fillId="0" borderId="347" xfId="0" applyNumberFormat="1" applyFont="1" applyBorder="1" applyAlignment="1">
      <alignment horizontal="center" vertical="center"/>
    </xf>
    <xf numFmtId="0" fontId="269" fillId="0" borderId="346" xfId="3801" applyFont="1" applyFill="1" applyBorder="1" applyAlignment="1">
      <alignment horizontal="center" wrapText="1"/>
    </xf>
    <xf numFmtId="0" fontId="0" fillId="0" borderId="105" xfId="0" applyBorder="1" applyAlignment="1">
      <alignment vertical="center"/>
    </xf>
    <xf numFmtId="0" fontId="96" fillId="0" borderId="105" xfId="0" applyFont="1" applyBorder="1" applyAlignment="1">
      <alignment horizontal="center"/>
    </xf>
    <xf numFmtId="171" fontId="0" fillId="0" borderId="105" xfId="0" applyNumberFormat="1" applyBorder="1" applyAlignment="1">
      <alignment horizontal="center" vertical="center"/>
    </xf>
    <xf numFmtId="0" fontId="269" fillId="0" borderId="0" xfId="3801" applyFont="1" applyFill="1" applyBorder="1" applyAlignment="1">
      <alignment horizontal="right" wrapText="1"/>
    </xf>
    <xf numFmtId="0" fontId="269" fillId="0" borderId="0" xfId="3801" applyFont="1" applyFill="1" applyBorder="1" applyAlignment="1">
      <alignment horizontal="center" wrapText="1"/>
    </xf>
    <xf numFmtId="171" fontId="269" fillId="0" borderId="0" xfId="3801" applyNumberFormat="1" applyFont="1" applyFill="1" applyBorder="1" applyAlignment="1">
      <alignment horizontal="center" vertical="center" wrapText="1"/>
    </xf>
    <xf numFmtId="0" fontId="96" fillId="0" borderId="303" xfId="0" applyFont="1" applyBorder="1" applyAlignment="1">
      <alignment horizontal="center" vertical="center"/>
    </xf>
    <xf numFmtId="171" fontId="96" fillId="0" borderId="303" xfId="0" applyNumberFormat="1" applyFont="1" applyBorder="1" applyAlignment="1">
      <alignment horizontal="center" vertical="center"/>
    </xf>
    <xf numFmtId="0" fontId="269" fillId="0" borderId="356" xfId="3801" applyFont="1" applyFill="1" applyBorder="1" applyAlignment="1">
      <alignment horizontal="right" wrapText="1"/>
    </xf>
    <xf numFmtId="0" fontId="269" fillId="0" borderId="356" xfId="3801" applyFont="1" applyFill="1" applyBorder="1" applyAlignment="1">
      <alignment horizontal="center" wrapText="1"/>
    </xf>
    <xf numFmtId="0" fontId="269" fillId="0" borderId="356" xfId="3801" applyFont="1" applyFill="1" applyBorder="1" applyAlignment="1">
      <alignment wrapText="1"/>
    </xf>
    <xf numFmtId="171" fontId="269" fillId="0" borderId="356" xfId="3801" applyNumberFormat="1" applyFont="1" applyFill="1" applyBorder="1" applyAlignment="1">
      <alignment horizontal="center" vertical="center" wrapText="1"/>
    </xf>
    <xf numFmtId="0" fontId="269" fillId="0" borderId="356" xfId="3802" applyFont="1" applyFill="1" applyBorder="1" applyAlignment="1">
      <alignment horizontal="center" vertical="center" wrapText="1"/>
    </xf>
    <xf numFmtId="0" fontId="269" fillId="0" borderId="350" xfId="3801" applyFont="1" applyFill="1" applyBorder="1" applyAlignment="1">
      <alignment horizontal="right" wrapText="1"/>
    </xf>
    <xf numFmtId="0" fontId="269" fillId="0" borderId="350" xfId="3801" applyFont="1" applyFill="1" applyBorder="1" applyAlignment="1">
      <alignment horizontal="center" wrapText="1"/>
    </xf>
    <xf numFmtId="0" fontId="269" fillId="0" borderId="350" xfId="3801" applyFont="1" applyFill="1" applyBorder="1" applyAlignment="1">
      <alignment wrapText="1"/>
    </xf>
    <xf numFmtId="171" fontId="269" fillId="0" borderId="350" xfId="3801" applyNumberFormat="1" applyFont="1" applyFill="1" applyBorder="1" applyAlignment="1">
      <alignment horizontal="center" vertical="center" wrapText="1"/>
    </xf>
    <xf numFmtId="0" fontId="269" fillId="0" borderId="350" xfId="3802" applyFont="1" applyFill="1" applyBorder="1" applyAlignment="1">
      <alignment horizontal="center" vertical="center" wrapText="1"/>
    </xf>
    <xf numFmtId="0" fontId="96" fillId="0" borderId="357" xfId="0" applyFont="1" applyBorder="1" applyAlignment="1">
      <alignment horizontal="center" vertical="center"/>
    </xf>
    <xf numFmtId="0" fontId="0" fillId="0" borderId="303" xfId="0" applyBorder="1"/>
    <xf numFmtId="0" fontId="42" fillId="0" borderId="0" xfId="0" applyFont="1" applyAlignment="1">
      <alignment vertical="center" wrapText="1"/>
    </xf>
    <xf numFmtId="0" fontId="269" fillId="0" borderId="122" xfId="3803" applyFont="1" applyFill="1" applyBorder="1" applyAlignment="1"/>
    <xf numFmtId="171" fontId="269" fillId="0" borderId="122" xfId="3803" applyNumberFormat="1" applyFont="1" applyFill="1" applyBorder="1" applyAlignment="1">
      <alignment horizontal="center"/>
    </xf>
    <xf numFmtId="0" fontId="269" fillId="0" borderId="122" xfId="3803" applyFont="1" applyFill="1" applyBorder="1" applyAlignment="1">
      <alignment horizontal="center" wrapText="1"/>
    </xf>
    <xf numFmtId="0" fontId="42" fillId="0" borderId="0" xfId="0" applyFont="1" applyAlignment="1">
      <alignment vertical="center"/>
    </xf>
    <xf numFmtId="0" fontId="269" fillId="0" borderId="346" xfId="3803" applyFont="1" applyFill="1" applyBorder="1" applyAlignment="1"/>
    <xf numFmtId="171" fontId="269" fillId="0" borderId="346" xfId="3803" applyNumberFormat="1" applyFont="1" applyFill="1" applyBorder="1" applyAlignment="1">
      <alignment horizontal="center"/>
    </xf>
    <xf numFmtId="0" fontId="269" fillId="0" borderId="346" xfId="3803" applyFont="1" applyFill="1" applyBorder="1" applyAlignment="1">
      <alignment horizontal="center" wrapText="1"/>
    </xf>
    <xf numFmtId="0" fontId="96" fillId="0" borderId="343" xfId="0" applyFont="1" applyBorder="1" applyAlignment="1">
      <alignment horizontal="center"/>
    </xf>
    <xf numFmtId="171" fontId="269" fillId="0" borderId="358" xfId="3803" applyNumberFormat="1" applyFont="1" applyFill="1" applyBorder="1" applyAlignment="1">
      <alignment horizontal="center"/>
    </xf>
    <xf numFmtId="171" fontId="50" fillId="0" borderId="347" xfId="0" applyNumberFormat="1" applyFont="1" applyBorder="1" applyAlignment="1">
      <alignment horizontal="center"/>
    </xf>
    <xf numFmtId="0" fontId="50" fillId="0" borderId="347" xfId="0" applyFont="1" applyBorder="1" applyAlignment="1">
      <alignment horizontal="center"/>
    </xf>
    <xf numFmtId="0" fontId="270" fillId="0" borderId="122" xfId="3803" applyFont="1" applyFill="1" applyBorder="1" applyAlignment="1">
      <alignment horizontal="center" wrapText="1"/>
    </xf>
    <xf numFmtId="0" fontId="270" fillId="0" borderId="358" xfId="3803" applyFont="1" applyFill="1" applyBorder="1" applyAlignment="1">
      <alignment horizontal="center" wrapText="1"/>
    </xf>
    <xf numFmtId="0" fontId="269" fillId="0" borderId="122" xfId="3803" applyFont="1" applyFill="1" applyBorder="1" applyAlignment="1">
      <alignment horizontal="center" vertical="center"/>
    </xf>
    <xf numFmtId="0" fontId="269" fillId="0" borderId="358" xfId="3803" applyFont="1" applyFill="1" applyBorder="1" applyAlignment="1">
      <alignment horizontal="center" vertical="center"/>
    </xf>
    <xf numFmtId="0" fontId="269" fillId="0" borderId="346" xfId="3803" applyFont="1" applyFill="1" applyBorder="1" applyAlignment="1">
      <alignment horizontal="center" vertical="center"/>
    </xf>
    <xf numFmtId="0" fontId="0" fillId="0" borderId="347" xfId="0" applyBorder="1" applyAlignment="1">
      <alignment horizontal="center" vertical="center"/>
    </xf>
    <xf numFmtId="0" fontId="167" fillId="0" borderId="106" xfId="0" applyFont="1" applyBorder="1" applyAlignment="1">
      <alignment vertical="center"/>
    </xf>
    <xf numFmtId="0" fontId="167" fillId="0" borderId="0" xfId="0" applyFont="1" applyAlignment="1">
      <alignment vertical="center"/>
    </xf>
    <xf numFmtId="0" fontId="270" fillId="0" borderId="346" xfId="3803" applyFont="1" applyFill="1" applyBorder="1" applyAlignment="1">
      <alignment horizontal="center" wrapText="1"/>
    </xf>
    <xf numFmtId="0" fontId="0" fillId="0" borderId="0" xfId="0"/>
    <xf numFmtId="0" fontId="88" fillId="0" borderId="16" xfId="211" applyFont="1" applyFill="1" applyBorder="1" applyAlignment="1">
      <alignment horizontal="center" vertical="center" wrapText="1"/>
    </xf>
    <xf numFmtId="0" fontId="269" fillId="0" borderId="341" xfId="3796" applyFont="1" applyFill="1" applyBorder="1" applyAlignment="1">
      <alignment horizontal="center" wrapText="1"/>
    </xf>
    <xf numFmtId="1" fontId="50" fillId="0" borderId="0" xfId="0" applyNumberFormat="1" applyFont="1" applyAlignment="1">
      <alignment horizontal="center"/>
    </xf>
    <xf numFmtId="1" fontId="269" fillId="0" borderId="341" xfId="3796" applyNumberFormat="1" applyFont="1" applyFill="1" applyBorder="1" applyAlignment="1">
      <alignment horizontal="center" wrapText="1"/>
    </xf>
    <xf numFmtId="1" fontId="270" fillId="0" borderId="0" xfId="107" applyNumberFormat="1" applyFont="1" applyFill="1" applyBorder="1" applyAlignment="1">
      <alignment horizontal="center" wrapText="1"/>
    </xf>
    <xf numFmtId="1" fontId="269" fillId="0" borderId="0" xfId="3796" applyNumberFormat="1" applyFont="1" applyFill="1" applyBorder="1" applyAlignment="1">
      <alignment horizontal="center" wrapText="1"/>
    </xf>
    <xf numFmtId="1" fontId="270" fillId="0" borderId="343" xfId="3796" applyNumberFormat="1" applyFont="1" applyFill="1" applyBorder="1" applyAlignment="1">
      <alignment horizontal="center" wrapText="1"/>
    </xf>
    <xf numFmtId="1" fontId="270" fillId="0" borderId="0" xfId="3796" applyNumberFormat="1" applyFont="1" applyFill="1" applyBorder="1" applyAlignment="1">
      <alignment horizontal="center" wrapText="1"/>
    </xf>
    <xf numFmtId="1" fontId="269" fillId="0" borderId="0" xfId="107" applyNumberFormat="1" applyFont="1" applyFill="1" applyBorder="1" applyAlignment="1">
      <alignment horizontal="center" wrapText="1"/>
    </xf>
    <xf numFmtId="171" fontId="96" fillId="0" borderId="343" xfId="0" applyNumberFormat="1" applyFont="1" applyBorder="1" applyAlignment="1">
      <alignment horizontal="center"/>
    </xf>
    <xf numFmtId="1" fontId="96" fillId="0" borderId="16" xfId="0" applyNumberFormat="1" applyFont="1" applyFill="1" applyBorder="1" applyAlignment="1">
      <alignment horizontal="center" vertical="center" wrapText="1"/>
    </xf>
    <xf numFmtId="0" fontId="0" fillId="0" borderId="0" xfId="0"/>
    <xf numFmtId="0" fontId="269" fillId="62" borderId="340" xfId="3797" applyFont="1" applyFill="1" applyBorder="1" applyAlignment="1">
      <alignment horizontal="center"/>
    </xf>
    <xf numFmtId="0" fontId="267" fillId="0" borderId="341" xfId="3797" applyFont="1" applyFill="1" applyBorder="1" applyAlignment="1">
      <alignment horizontal="right" wrapText="1"/>
    </xf>
    <xf numFmtId="0" fontId="267" fillId="0" borderId="341" xfId="3797" applyFont="1" applyFill="1" applyBorder="1" applyAlignment="1">
      <alignment wrapText="1"/>
    </xf>
    <xf numFmtId="0" fontId="294" fillId="0" borderId="341" xfId="3797" applyFont="1" applyFill="1" applyBorder="1" applyAlignment="1">
      <alignment wrapText="1"/>
    </xf>
    <xf numFmtId="0" fontId="7" fillId="0" borderId="348" xfId="3797" applyFont="1" applyFill="1" applyBorder="1" applyAlignment="1">
      <alignment horizontal="right" wrapText="1"/>
    </xf>
    <xf numFmtId="0" fontId="109" fillId="0" borderId="0" xfId="0" applyFont="1"/>
    <xf numFmtId="0" fontId="267" fillId="0" borderId="341" xfId="3797" applyFont="1" applyFill="1" applyBorder="1" applyAlignment="1">
      <alignment horizontal="center" wrapText="1"/>
    </xf>
    <xf numFmtId="0" fontId="295" fillId="0" borderId="341" xfId="3797" applyFont="1" applyFill="1" applyBorder="1" applyAlignment="1">
      <alignment wrapText="1"/>
    </xf>
    <xf numFmtId="0" fontId="269" fillId="0" borderId="0" xfId="3797" applyFont="1" applyFill="1" applyBorder="1" applyAlignment="1">
      <alignment horizontal="right" wrapText="1"/>
    </xf>
    <xf numFmtId="10" fontId="50" fillId="43" borderId="0" xfId="176" applyNumberFormat="1" applyFont="1" applyFill="1"/>
    <xf numFmtId="168" fontId="0" fillId="43" borderId="0" xfId="176" applyNumberFormat="1" applyFont="1" applyFill="1"/>
    <xf numFmtId="0" fontId="294" fillId="0" borderId="341" xfId="3797" applyFont="1" applyFill="1" applyBorder="1" applyAlignment="1">
      <alignment horizontal="center" wrapText="1"/>
    </xf>
    <xf numFmtId="0" fontId="270" fillId="0" borderId="344" xfId="3797" applyFont="1" applyFill="1" applyBorder="1" applyAlignment="1">
      <alignment horizontal="center"/>
    </xf>
    <xf numFmtId="0" fontId="7" fillId="0" borderId="341" xfId="3797" applyFont="1" applyFill="1" applyBorder="1" applyAlignment="1">
      <alignment horizontal="center" wrapText="1"/>
    </xf>
    <xf numFmtId="0" fontId="269" fillId="0" borderId="356" xfId="3797" applyFont="1" applyFill="1" applyBorder="1" applyAlignment="1">
      <alignment horizontal="right" wrapText="1"/>
    </xf>
    <xf numFmtId="0" fontId="270" fillId="0" borderId="341" xfId="3797" applyFont="1" applyFill="1" applyBorder="1" applyAlignment="1">
      <alignment horizontal="center" wrapText="1"/>
    </xf>
    <xf numFmtId="0" fontId="270" fillId="0" borderId="358" xfId="3797" applyFont="1" applyFill="1" applyBorder="1" applyAlignment="1">
      <alignment horizontal="center" wrapText="1"/>
    </xf>
    <xf numFmtId="168" fontId="74" fillId="0" borderId="0" xfId="176" applyNumberFormat="1" applyFont="1" applyAlignment="1">
      <alignment horizontal="center"/>
    </xf>
    <xf numFmtId="168" fontId="74" fillId="0" borderId="347" xfId="176" applyNumberFormat="1" applyFont="1" applyBorder="1" applyAlignment="1">
      <alignment horizontal="center"/>
    </xf>
    <xf numFmtId="0" fontId="270" fillId="0" borderId="351" xfId="3797" applyFont="1" applyFill="1" applyBorder="1" applyAlignment="1">
      <alignment horizontal="center" wrapText="1"/>
    </xf>
    <xf numFmtId="168" fontId="74" fillId="0" borderId="0" xfId="176" applyNumberFormat="1" applyFont="1" applyBorder="1" applyAlignment="1">
      <alignment horizontal="center"/>
    </xf>
    <xf numFmtId="0" fontId="270" fillId="0" borderId="356" xfId="3797" applyFont="1" applyFill="1" applyBorder="1" applyAlignment="1">
      <alignment horizontal="center" wrapText="1"/>
    </xf>
    <xf numFmtId="0" fontId="297" fillId="0" borderId="356" xfId="3797" applyFont="1" applyFill="1" applyBorder="1" applyAlignment="1">
      <alignment horizontal="center" wrapText="1"/>
    </xf>
    <xf numFmtId="0" fontId="275" fillId="0" borderId="349" xfId="3799" applyFont="1" applyFill="1" applyBorder="1" applyAlignment="1">
      <alignment horizontal="right"/>
    </xf>
    <xf numFmtId="168" fontId="74" fillId="0" borderId="343" xfId="176" applyNumberFormat="1" applyFont="1" applyBorder="1" applyAlignment="1">
      <alignment horizontal="center"/>
    </xf>
    <xf numFmtId="0" fontId="267" fillId="0" borderId="356" xfId="3797" applyFont="1" applyFill="1" applyBorder="1" applyAlignment="1">
      <alignment horizontal="right" wrapText="1"/>
    </xf>
    <xf numFmtId="0" fontId="267" fillId="0" borderId="356" xfId="3797" applyFont="1" applyFill="1" applyBorder="1" applyAlignment="1">
      <alignment wrapText="1"/>
    </xf>
    <xf numFmtId="0" fontId="298" fillId="0" borderId="341" xfId="3797" applyFont="1" applyFill="1" applyBorder="1" applyAlignment="1">
      <alignment horizontal="center" wrapText="1"/>
    </xf>
    <xf numFmtId="0" fontId="298" fillId="0" borderId="356" xfId="3797" applyFont="1" applyFill="1" applyBorder="1" applyAlignment="1">
      <alignment horizontal="center" wrapText="1"/>
    </xf>
    <xf numFmtId="0" fontId="295" fillId="0" borderId="344" xfId="3797" applyFont="1" applyFill="1" applyBorder="1" applyAlignment="1"/>
    <xf numFmtId="0" fontId="295" fillId="0" borderId="344" xfId="3797" applyFont="1" applyFill="1" applyBorder="1" applyAlignment="1">
      <alignment horizontal="center"/>
    </xf>
    <xf numFmtId="0" fontId="270" fillId="0" borderId="350" xfId="3797" applyFont="1" applyFill="1" applyBorder="1" applyAlignment="1">
      <alignment horizontal="right"/>
    </xf>
    <xf numFmtId="0" fontId="267" fillId="0" borderId="0" xfId="3797" applyFont="1" applyFill="1" applyBorder="1" applyAlignment="1">
      <alignment wrapText="1"/>
    </xf>
    <xf numFmtId="0" fontId="298" fillId="0" borderId="359" xfId="3797" applyFont="1" applyFill="1" applyBorder="1" applyAlignment="1">
      <alignment horizontal="center" wrapText="1"/>
    </xf>
    <xf numFmtId="0" fontId="267" fillId="0" borderId="359" xfId="3797" applyFont="1" applyFill="1" applyBorder="1" applyAlignment="1">
      <alignment horizontal="center" wrapText="1"/>
    </xf>
    <xf numFmtId="0" fontId="231" fillId="0" borderId="358" xfId="3797" applyFont="1" applyFill="1" applyBorder="1" applyAlignment="1">
      <alignment horizontal="center"/>
    </xf>
    <xf numFmtId="0" fontId="269" fillId="0" borderId="0" xfId="3797" applyFont="1" applyFill="1" applyBorder="1" applyAlignment="1"/>
    <xf numFmtId="0" fontId="269" fillId="0" borderId="348" xfId="3797" applyFont="1" applyFill="1" applyBorder="1" applyAlignment="1"/>
    <xf numFmtId="0" fontId="269" fillId="0" borderId="355" xfId="3797" applyFont="1" applyFill="1" applyBorder="1" applyAlignment="1"/>
    <xf numFmtId="0" fontId="270" fillId="0" borderId="360" xfId="3797" applyFont="1" applyFill="1" applyBorder="1" applyAlignment="1">
      <alignment horizontal="center" wrapText="1"/>
    </xf>
    <xf numFmtId="0" fontId="298" fillId="0" borderId="348" xfId="3797" applyFont="1" applyFill="1" applyBorder="1" applyAlignment="1">
      <alignment horizontal="center" wrapText="1"/>
    </xf>
    <xf numFmtId="0" fontId="269" fillId="0" borderId="350" xfId="3797" applyFont="1" applyFill="1" applyBorder="1" applyAlignment="1"/>
    <xf numFmtId="0" fontId="269" fillId="0" borderId="343" xfId="3797" applyFont="1" applyFill="1" applyBorder="1" applyAlignment="1"/>
    <xf numFmtId="0" fontId="270" fillId="0" borderId="347" xfId="3797" applyFont="1" applyFill="1" applyBorder="1" applyAlignment="1">
      <alignment horizontal="center"/>
    </xf>
    <xf numFmtId="0" fontId="270" fillId="0" borderId="352" xfId="3797" applyFont="1" applyFill="1" applyBorder="1" applyAlignment="1">
      <alignment horizontal="center" wrapText="1"/>
    </xf>
    <xf numFmtId="0" fontId="298" fillId="0" borderId="358" xfId="3797" applyFont="1" applyFill="1" applyBorder="1" applyAlignment="1">
      <alignment horizontal="center" wrapText="1"/>
    </xf>
    <xf numFmtId="0" fontId="299" fillId="0" borderId="356" xfId="3797" applyFont="1" applyFill="1" applyBorder="1" applyAlignment="1">
      <alignment horizontal="center" wrapText="1"/>
    </xf>
    <xf numFmtId="0" fontId="0" fillId="0" borderId="343" xfId="0" applyBorder="1" applyAlignment="1">
      <alignment horizontal="center" vertical="center"/>
    </xf>
    <xf numFmtId="0" fontId="267" fillId="28" borderId="341" xfId="3797" applyFont="1" applyFill="1" applyBorder="1" applyAlignment="1">
      <alignment horizontal="center" wrapText="1"/>
    </xf>
    <xf numFmtId="168" fontId="74" fillId="43" borderId="343" xfId="176" applyNumberFormat="1" applyFont="1" applyFill="1" applyBorder="1" applyAlignment="1">
      <alignment horizontal="center"/>
    </xf>
    <xf numFmtId="0" fontId="267" fillId="0" borderId="348" xfId="3797" applyFont="1" applyFill="1" applyBorder="1" applyAlignment="1">
      <alignment horizontal="right" wrapText="1"/>
    </xf>
    <xf numFmtId="0" fontId="267" fillId="0" borderId="355" xfId="3797" applyFont="1" applyFill="1" applyBorder="1" applyAlignment="1">
      <alignment horizontal="right" wrapText="1"/>
    </xf>
    <xf numFmtId="0" fontId="275" fillId="0" borderId="348" xfId="3799" applyFont="1" applyFill="1" applyBorder="1" applyAlignment="1">
      <alignment horizontal="right"/>
    </xf>
    <xf numFmtId="0" fontId="297" fillId="0" borderId="348" xfId="3797" applyFont="1" applyFill="1" applyBorder="1" applyAlignment="1">
      <alignment horizontal="center" wrapText="1"/>
    </xf>
    <xf numFmtId="0" fontId="267" fillId="0" borderId="358" xfId="3797" applyFont="1" applyFill="1" applyBorder="1" applyAlignment="1">
      <alignment horizontal="right" wrapText="1"/>
    </xf>
    <xf numFmtId="0" fontId="267" fillId="0" borderId="353" xfId="3797" applyFont="1" applyFill="1" applyBorder="1" applyAlignment="1">
      <alignment horizontal="right" wrapText="1"/>
    </xf>
    <xf numFmtId="0" fontId="269" fillId="0" borderId="348" xfId="3797" applyFont="1" applyFill="1" applyBorder="1" applyAlignment="1">
      <alignment horizontal="right" wrapText="1"/>
    </xf>
    <xf numFmtId="0" fontId="270" fillId="0" borderId="348" xfId="3797" applyFont="1" applyFill="1" applyBorder="1" applyAlignment="1">
      <alignment horizontal="center" wrapText="1"/>
    </xf>
    <xf numFmtId="0" fontId="269" fillId="0" borderId="358" xfId="3797" applyFont="1" applyFill="1" applyBorder="1" applyAlignment="1">
      <alignment horizontal="right" wrapText="1"/>
    </xf>
    <xf numFmtId="1" fontId="269" fillId="0" borderId="341" xfId="3804" applyNumberFormat="1" applyFont="1" applyFill="1" applyBorder="1" applyAlignment="1">
      <alignment horizontal="right" wrapText="1"/>
    </xf>
    <xf numFmtId="0" fontId="269" fillId="0" borderId="341" xfId="3804" applyFont="1" applyFill="1" applyBorder="1" applyAlignment="1">
      <alignment wrapText="1"/>
    </xf>
    <xf numFmtId="0" fontId="269" fillId="0" borderId="341" xfId="3804" applyFont="1" applyFill="1" applyBorder="1" applyAlignment="1">
      <alignment horizontal="right" wrapText="1"/>
    </xf>
    <xf numFmtId="0" fontId="295" fillId="0" borderId="341" xfId="3804" applyFont="1" applyFill="1" applyBorder="1" applyAlignment="1">
      <alignment wrapText="1"/>
    </xf>
    <xf numFmtId="0" fontId="295" fillId="0" borderId="0" xfId="3804" applyFont="1" applyFill="1" applyBorder="1" applyAlignment="1">
      <alignment horizontal="right" wrapText="1"/>
    </xf>
    <xf numFmtId="1" fontId="269" fillId="0" borderId="346" xfId="3804" applyNumberFormat="1" applyFont="1" applyFill="1" applyBorder="1" applyAlignment="1">
      <alignment horizontal="right" wrapText="1"/>
    </xf>
    <xf numFmtId="0" fontId="269" fillId="0" borderId="346" xfId="3804" applyFont="1" applyFill="1" applyBorder="1" applyAlignment="1">
      <alignment wrapText="1"/>
    </xf>
    <xf numFmtId="0" fontId="269" fillId="0" borderId="346" xfId="3804" applyFont="1" applyFill="1" applyBorder="1" applyAlignment="1">
      <alignment horizontal="right" wrapText="1"/>
    </xf>
    <xf numFmtId="0" fontId="270" fillId="0" borderId="16" xfId="3804" applyFont="1" applyFill="1" applyBorder="1" applyAlignment="1">
      <alignment horizontal="center"/>
    </xf>
    <xf numFmtId="1" fontId="269" fillId="0" borderId="341" xfId="3804" applyNumberFormat="1" applyFont="1" applyFill="1" applyBorder="1" applyAlignment="1">
      <alignment horizontal="center" vertical="center" wrapText="1"/>
    </xf>
    <xf numFmtId="0" fontId="269" fillId="0" borderId="341" xfId="3804" applyFont="1" applyFill="1" applyBorder="1" applyAlignment="1">
      <alignment horizontal="center" vertical="center" wrapText="1"/>
    </xf>
    <xf numFmtId="0" fontId="269" fillId="0" borderId="341" xfId="3799" applyFont="1" applyFill="1" applyBorder="1" applyAlignment="1">
      <alignment horizontal="right" wrapText="1"/>
    </xf>
    <xf numFmtId="0" fontId="269" fillId="0" borderId="341" xfId="3799" applyFont="1" applyFill="1" applyBorder="1" applyAlignment="1">
      <alignment wrapText="1"/>
    </xf>
    <xf numFmtId="0" fontId="269" fillId="0" borderId="341" xfId="3799" applyFont="1" applyFill="1" applyBorder="1" applyAlignment="1">
      <alignment horizontal="center" wrapText="1"/>
    </xf>
    <xf numFmtId="0" fontId="295" fillId="0" borderId="341" xfId="3799" applyFont="1" applyFill="1" applyBorder="1" applyAlignment="1">
      <alignment wrapText="1"/>
    </xf>
    <xf numFmtId="0" fontId="295" fillId="0" borderId="341" xfId="3799" applyFont="1" applyFill="1" applyBorder="1" applyAlignment="1">
      <alignment horizontal="center" wrapText="1"/>
    </xf>
    <xf numFmtId="0" fontId="105" fillId="0" borderId="0" xfId="0" applyFont="1"/>
    <xf numFmtId="168" fontId="0" fillId="36" borderId="0" xfId="176" applyNumberFormat="1" applyFont="1" applyFill="1"/>
    <xf numFmtId="10" fontId="96" fillId="36" borderId="16" xfId="176" applyNumberFormat="1" applyFont="1" applyFill="1" applyBorder="1" applyAlignment="1">
      <alignment horizontal="center"/>
    </xf>
    <xf numFmtId="0" fontId="269" fillId="0" borderId="346" xfId="3799" applyFont="1" applyFill="1" applyBorder="1" applyAlignment="1">
      <alignment horizontal="right" wrapText="1"/>
    </xf>
    <xf numFmtId="0" fontId="269" fillId="0" borderId="346" xfId="3799" applyFont="1" applyFill="1" applyBorder="1" applyAlignment="1">
      <alignment wrapText="1"/>
    </xf>
    <xf numFmtId="0" fontId="270" fillId="0" borderId="16" xfId="3799" applyFont="1" applyFill="1" applyBorder="1" applyAlignment="1">
      <alignment horizontal="center"/>
    </xf>
    <xf numFmtId="0" fontId="295" fillId="0" borderId="341" xfId="3799" applyFont="1" applyFill="1" applyBorder="1" applyAlignment="1">
      <alignment horizontal="right" wrapText="1"/>
    </xf>
    <xf numFmtId="0" fontId="296" fillId="0" borderId="0" xfId="0" applyFont="1"/>
    <xf numFmtId="0" fontId="301" fillId="0" borderId="0" xfId="0" applyFont="1"/>
    <xf numFmtId="0" fontId="270" fillId="0" borderId="0" xfId="3804" applyFont="1" applyFill="1" applyBorder="1" applyAlignment="1">
      <alignment horizontal="right" wrapText="1"/>
    </xf>
    <xf numFmtId="0" fontId="302" fillId="0" borderId="0" xfId="0" applyFont="1"/>
    <xf numFmtId="0" fontId="303" fillId="0" borderId="0" xfId="3799" applyFont="1" applyFill="1" applyBorder="1" applyAlignment="1">
      <alignment horizontal="right" wrapText="1"/>
    </xf>
    <xf numFmtId="168" fontId="39" fillId="0" borderId="0" xfId="176" applyNumberFormat="1" applyFont="1"/>
    <xf numFmtId="0" fontId="269" fillId="62" borderId="340" xfId="3805" applyFont="1" applyFill="1" applyBorder="1" applyAlignment="1">
      <alignment horizontal="center"/>
    </xf>
    <xf numFmtId="1" fontId="269" fillId="0" borderId="341" xfId="3805" applyNumberFormat="1" applyFont="1" applyFill="1" applyBorder="1" applyAlignment="1">
      <alignment horizontal="right"/>
    </xf>
    <xf numFmtId="0" fontId="269" fillId="0" borderId="341" xfId="3805" applyFont="1" applyFill="1" applyBorder="1" applyAlignment="1"/>
    <xf numFmtId="0" fontId="269" fillId="0" borderId="341" xfId="3805" applyFont="1" applyFill="1" applyBorder="1" applyAlignment="1">
      <alignment horizontal="right"/>
    </xf>
    <xf numFmtId="0" fontId="295" fillId="0" borderId="341" xfId="3805" applyFont="1" applyFill="1" applyBorder="1" applyAlignment="1"/>
    <xf numFmtId="0" fontId="295" fillId="0" borderId="341" xfId="3805" applyFont="1" applyFill="1" applyBorder="1" applyAlignment="1">
      <alignment horizontal="right"/>
    </xf>
    <xf numFmtId="1" fontId="295" fillId="0" borderId="341" xfId="3805" applyNumberFormat="1" applyFont="1" applyFill="1" applyBorder="1" applyAlignment="1">
      <alignment horizontal="right"/>
    </xf>
    <xf numFmtId="0" fontId="167" fillId="0" borderId="0" xfId="0" applyFont="1" applyBorder="1" applyAlignment="1">
      <alignment vertical="center"/>
    </xf>
    <xf numFmtId="0" fontId="304" fillId="28" borderId="341" xfId="3799" applyFont="1" applyFill="1" applyBorder="1" applyAlignment="1">
      <alignment horizontal="center" wrapText="1"/>
    </xf>
    <xf numFmtId="0" fontId="269" fillId="0" borderId="346" xfId="3799" applyFont="1" applyFill="1" applyBorder="1" applyAlignment="1">
      <alignment horizontal="center" wrapText="1"/>
    </xf>
    <xf numFmtId="0" fontId="270" fillId="0" borderId="346" xfId="3799" applyFont="1" applyFill="1" applyBorder="1" applyAlignment="1">
      <alignment horizontal="center" wrapText="1"/>
    </xf>
    <xf numFmtId="0" fontId="269" fillId="0" borderId="361" xfId="3799" applyFont="1" applyFill="1" applyBorder="1" applyAlignment="1">
      <alignment wrapText="1"/>
    </xf>
    <xf numFmtId="0" fontId="269" fillId="0" borderId="361" xfId="3799" applyFont="1" applyFill="1" applyBorder="1" applyAlignment="1">
      <alignment horizontal="center" wrapText="1"/>
    </xf>
    <xf numFmtId="0" fontId="269" fillId="0" borderId="358" xfId="3799" applyFont="1" applyFill="1" applyBorder="1" applyAlignment="1">
      <alignment horizontal="right"/>
    </xf>
    <xf numFmtId="0" fontId="269" fillId="0" borderId="358" xfId="3799" applyFont="1" applyFill="1" applyBorder="1" applyAlignment="1">
      <alignment wrapText="1"/>
    </xf>
    <xf numFmtId="0" fontId="295" fillId="0" borderId="358" xfId="3799" applyFont="1" applyFill="1" applyBorder="1" applyAlignment="1">
      <alignment wrapText="1"/>
    </xf>
    <xf numFmtId="0" fontId="231" fillId="0" borderId="358" xfId="3799" applyFont="1" applyFill="1" applyBorder="1" applyAlignment="1">
      <alignment horizontal="center" wrapText="1"/>
    </xf>
    <xf numFmtId="0" fontId="270" fillId="0" borderId="358" xfId="3799" applyFont="1" applyFill="1" applyBorder="1" applyAlignment="1">
      <alignment horizontal="center" wrapText="1"/>
    </xf>
    <xf numFmtId="0" fontId="270" fillId="0" borderId="341" xfId="3799" applyFont="1" applyFill="1" applyBorder="1" applyAlignment="1">
      <alignment horizontal="center" wrapText="1"/>
    </xf>
    <xf numFmtId="0" fontId="270" fillId="0" borderId="341" xfId="3799" applyFont="1" applyFill="1" applyBorder="1" applyAlignment="1">
      <alignment wrapText="1"/>
    </xf>
    <xf numFmtId="0" fontId="270" fillId="0" borderId="346" xfId="3799" applyFont="1" applyFill="1" applyBorder="1" applyAlignment="1">
      <alignment wrapText="1"/>
    </xf>
    <xf numFmtId="0" fontId="269" fillId="0" borderId="358" xfId="3799" applyFont="1" applyFill="1" applyBorder="1" applyAlignment="1">
      <alignment horizontal="right" wrapText="1"/>
    </xf>
    <xf numFmtId="0" fontId="270" fillId="0" borderId="358" xfId="3799" applyFont="1" applyFill="1" applyBorder="1" applyAlignment="1">
      <alignment wrapText="1"/>
    </xf>
    <xf numFmtId="0" fontId="295" fillId="0" borderId="346" xfId="3799" applyFont="1" applyFill="1" applyBorder="1" applyAlignment="1">
      <alignment wrapText="1"/>
    </xf>
    <xf numFmtId="0" fontId="295" fillId="0" borderId="346" xfId="3799" applyFont="1" applyFill="1" applyBorder="1" applyAlignment="1">
      <alignment horizontal="center" wrapText="1"/>
    </xf>
    <xf numFmtId="0" fontId="297" fillId="0" borderId="346" xfId="3799" applyFont="1" applyFill="1" applyBorder="1" applyAlignment="1">
      <alignment horizontal="center" wrapText="1"/>
    </xf>
    <xf numFmtId="0" fontId="23" fillId="0" borderId="358" xfId="3799" applyFont="1" applyFill="1" applyBorder="1" applyAlignment="1">
      <alignment horizontal="center" wrapText="1"/>
    </xf>
    <xf numFmtId="168" fontId="39" fillId="0" borderId="343" xfId="176" applyNumberFormat="1" applyFont="1" applyBorder="1"/>
    <xf numFmtId="0" fontId="269" fillId="0" borderId="358" xfId="3799" applyFont="1" applyFill="1" applyBorder="1" applyAlignment="1">
      <alignment horizontal="center" wrapText="1"/>
    </xf>
    <xf numFmtId="168" fontId="39" fillId="0" borderId="347" xfId="176" applyNumberFormat="1" applyFont="1" applyBorder="1"/>
    <xf numFmtId="168" fontId="39" fillId="0" borderId="362" xfId="176" applyNumberFormat="1" applyFont="1" applyBorder="1"/>
    <xf numFmtId="0" fontId="23" fillId="0" borderId="361" xfId="3799" applyFont="1" applyFill="1" applyBorder="1" applyAlignment="1">
      <alignment horizontal="center" wrapText="1"/>
    </xf>
    <xf numFmtId="0" fontId="0" fillId="0" borderId="343" xfId="0" applyBorder="1"/>
    <xf numFmtId="0" fontId="269" fillId="0" borderId="361" xfId="3799" applyFont="1" applyFill="1" applyBorder="1" applyAlignment="1">
      <alignment horizontal="right" wrapText="1"/>
    </xf>
    <xf numFmtId="168" fontId="39" fillId="0" borderId="0" xfId="176" applyNumberFormat="1" applyFont="1" applyBorder="1"/>
    <xf numFmtId="0" fontId="297" fillId="0" borderId="348" xfId="3799" applyFont="1" applyFill="1" applyBorder="1" applyAlignment="1">
      <alignment horizontal="center" wrapText="1"/>
    </xf>
    <xf numFmtId="0" fontId="297" fillId="0" borderId="358" xfId="3799" applyFont="1" applyFill="1" applyBorder="1" applyAlignment="1">
      <alignment horizontal="center" wrapText="1"/>
    </xf>
    <xf numFmtId="0" fontId="155" fillId="0" borderId="358" xfId="3799" applyFont="1" applyFill="1" applyBorder="1" applyAlignment="1">
      <alignment horizontal="center" wrapText="1"/>
    </xf>
    <xf numFmtId="0" fontId="285" fillId="0" borderId="358" xfId="3799" applyFont="1" applyFill="1" applyBorder="1" applyAlignment="1">
      <alignment wrapText="1"/>
    </xf>
    <xf numFmtId="0" fontId="284" fillId="0" borderId="358" xfId="3799" applyFont="1" applyFill="1" applyBorder="1" applyAlignment="1">
      <alignment horizontal="center" wrapText="1"/>
    </xf>
    <xf numFmtId="0" fontId="285" fillId="0" borderId="358" xfId="3799" applyFont="1" applyFill="1" applyBorder="1" applyAlignment="1">
      <alignment horizontal="center" wrapText="1"/>
    </xf>
    <xf numFmtId="168" fontId="106" fillId="0" borderId="362" xfId="176" applyNumberFormat="1" applyFont="1" applyBorder="1"/>
    <xf numFmtId="0" fontId="231" fillId="0" borderId="346" xfId="3799" applyFont="1" applyFill="1" applyBorder="1" applyAlignment="1">
      <alignment horizontal="center" wrapText="1"/>
    </xf>
    <xf numFmtId="168" fontId="42" fillId="0" borderId="0" xfId="176" applyNumberFormat="1" applyFont="1"/>
    <xf numFmtId="0" fontId="231" fillId="0" borderId="350" xfId="3799" applyFont="1" applyFill="1" applyBorder="1" applyAlignment="1">
      <alignment horizontal="center" wrapText="1"/>
    </xf>
    <xf numFmtId="0" fontId="157" fillId="0" borderId="358" xfId="3799" applyFont="1" applyFill="1" applyBorder="1" applyAlignment="1">
      <alignment horizontal="center" wrapText="1"/>
    </xf>
    <xf numFmtId="0" fontId="287" fillId="0" borderId="358" xfId="3799" applyFont="1" applyFill="1" applyBorder="1" applyAlignment="1">
      <alignment wrapText="1"/>
    </xf>
    <xf numFmtId="0" fontId="286" fillId="0" borderId="358" xfId="3799" applyFont="1" applyFill="1" applyBorder="1" applyAlignment="1">
      <alignment horizontal="center" wrapText="1"/>
    </xf>
    <xf numFmtId="0" fontId="287" fillId="0" borderId="358" xfId="3799" applyFont="1" applyFill="1" applyBorder="1" applyAlignment="1">
      <alignment horizontal="center" wrapText="1"/>
    </xf>
    <xf numFmtId="168" fontId="110" fillId="0" borderId="347" xfId="176" applyNumberFormat="1" applyFont="1" applyBorder="1"/>
    <xf numFmtId="0" fontId="159" fillId="0" borderId="358" xfId="3799" applyFont="1" applyFill="1" applyBorder="1" applyAlignment="1">
      <alignment horizontal="center" wrapText="1"/>
    </xf>
    <xf numFmtId="0" fontId="305" fillId="0" borderId="358" xfId="3799" applyFont="1" applyFill="1" applyBorder="1" applyAlignment="1">
      <alignment horizontal="center" wrapText="1"/>
    </xf>
    <xf numFmtId="0" fontId="306" fillId="0" borderId="358" xfId="3799" applyFont="1" applyFill="1" applyBorder="1" applyAlignment="1">
      <alignment horizontal="center" wrapText="1"/>
    </xf>
    <xf numFmtId="168" fontId="113" fillId="0" borderId="347" xfId="176" applyNumberFormat="1" applyFont="1" applyBorder="1"/>
    <xf numFmtId="0" fontId="270" fillId="0" borderId="358" xfId="3799" applyFont="1" applyFill="1" applyBorder="1" applyAlignment="1">
      <alignment horizontal="right" wrapText="1"/>
    </xf>
    <xf numFmtId="0" fontId="275" fillId="0" borderId="358" xfId="3799" applyFont="1" applyFill="1" applyBorder="1" applyAlignment="1"/>
    <xf numFmtId="0" fontId="156" fillId="0" borderId="358" xfId="3799" applyFont="1" applyFill="1" applyBorder="1" applyAlignment="1">
      <alignment horizontal="center" wrapText="1"/>
    </xf>
    <xf numFmtId="0" fontId="295" fillId="0" borderId="358" xfId="3799" applyFont="1" applyFill="1" applyBorder="1" applyAlignment="1">
      <alignment horizontal="center" wrapText="1"/>
    </xf>
    <xf numFmtId="168" fontId="105" fillId="0" borderId="343" xfId="176" applyNumberFormat="1" applyFont="1" applyBorder="1"/>
    <xf numFmtId="0" fontId="42" fillId="0" borderId="16" xfId="167" applyFont="1" applyFill="1" applyBorder="1" applyAlignment="1">
      <alignment horizontal="center" vertical="center" wrapText="1"/>
    </xf>
    <xf numFmtId="0" fontId="0" fillId="0" borderId="0" xfId="0"/>
    <xf numFmtId="1" fontId="40" fillId="0" borderId="0" xfId="173" applyNumberFormat="1" applyFont="1" applyFill="1" applyBorder="1" applyAlignment="1">
      <alignment horizontal="center" vertical="center" wrapText="1"/>
    </xf>
    <xf numFmtId="1" fontId="60" fillId="0" borderId="16" xfId="173" applyNumberFormat="1" applyFont="1" applyFill="1" applyBorder="1" applyAlignment="1">
      <alignment horizontal="center" wrapText="1"/>
    </xf>
    <xf numFmtId="9" fontId="130" fillId="44" borderId="368" xfId="0" applyNumberFormat="1" applyFont="1" applyFill="1" applyBorder="1" applyAlignment="1">
      <alignment horizontal="center" vertical="center" wrapText="1"/>
    </xf>
    <xf numFmtId="168" fontId="209" fillId="44" borderId="364" xfId="176" applyNumberFormat="1" applyFont="1" applyFill="1" applyBorder="1" applyAlignment="1">
      <alignment horizontal="center" vertical="center" wrapText="1"/>
    </xf>
    <xf numFmtId="168" fontId="151" fillId="37" borderId="364" xfId="0" applyNumberFormat="1" applyFont="1" applyFill="1" applyBorder="1" applyAlignment="1">
      <alignment horizontal="center" vertical="center" wrapText="1"/>
    </xf>
    <xf numFmtId="9" fontId="151" fillId="0" borderId="247" xfId="0" applyNumberFormat="1" applyFont="1" applyFill="1" applyBorder="1" applyAlignment="1">
      <alignment horizontal="center" vertical="center" wrapText="1"/>
    </xf>
    <xf numFmtId="171" fontId="151" fillId="0" borderId="247" xfId="0" applyNumberFormat="1" applyFont="1" applyFill="1" applyBorder="1" applyAlignment="1">
      <alignment horizontal="center" vertical="center" wrapText="1"/>
    </xf>
    <xf numFmtId="9" fontId="151" fillId="0" borderId="297" xfId="0" applyNumberFormat="1" applyFont="1" applyFill="1" applyBorder="1" applyAlignment="1">
      <alignment horizontal="center" vertical="center" wrapText="1"/>
    </xf>
    <xf numFmtId="3" fontId="151" fillId="0" borderId="297" xfId="0" applyNumberFormat="1" applyFont="1" applyFill="1" applyBorder="1" applyAlignment="1">
      <alignment horizontal="center" vertical="center" wrapText="1"/>
    </xf>
    <xf numFmtId="168" fontId="151" fillId="0" borderId="247" xfId="0" applyNumberFormat="1" applyFont="1" applyFill="1" applyBorder="1" applyAlignment="1">
      <alignment horizontal="center" vertical="center" wrapText="1"/>
    </xf>
    <xf numFmtId="9" fontId="151" fillId="0" borderId="299" xfId="0" applyNumberFormat="1" applyFont="1" applyFill="1" applyBorder="1" applyAlignment="1">
      <alignment horizontal="center" vertical="center" wrapText="1"/>
    </xf>
    <xf numFmtId="171" fontId="151" fillId="0" borderId="247" xfId="0" applyNumberFormat="1" applyFont="1" applyFill="1" applyBorder="1" applyAlignment="1">
      <alignment horizontal="center" vertical="center"/>
    </xf>
    <xf numFmtId="168" fontId="151" fillId="0" borderId="297" xfId="0" applyNumberFormat="1" applyFont="1" applyFill="1" applyBorder="1" applyAlignment="1">
      <alignment horizontal="center" vertical="center" wrapText="1"/>
    </xf>
    <xf numFmtId="3" fontId="151" fillId="0" borderId="247" xfId="0" applyNumberFormat="1" applyFont="1" applyFill="1" applyBorder="1" applyAlignment="1">
      <alignment horizontal="center" vertical="center" wrapText="1"/>
    </xf>
    <xf numFmtId="180" fontId="151" fillId="0" borderId="259" xfId="0" applyNumberFormat="1" applyFont="1" applyFill="1" applyBorder="1" applyAlignment="1">
      <alignment horizontal="center" vertical="center" wrapText="1"/>
    </xf>
    <xf numFmtId="0" fontId="151" fillId="0" borderId="259" xfId="0" applyFont="1" applyFill="1" applyBorder="1" applyAlignment="1">
      <alignment horizontal="center" vertical="center" wrapText="1"/>
    </xf>
    <xf numFmtId="0" fontId="151" fillId="0" borderId="247" xfId="0" applyFont="1" applyFill="1" applyBorder="1" applyAlignment="1">
      <alignment horizontal="center" vertical="center" wrapText="1"/>
    </xf>
    <xf numFmtId="0" fontId="47" fillId="0" borderId="10" xfId="0" applyFont="1" applyBorder="1"/>
    <xf numFmtId="168" fontId="39" fillId="0" borderId="276" xfId="0" applyNumberFormat="1" applyFont="1" applyFill="1" applyBorder="1" applyAlignment="1">
      <alignment horizontal="center" vertical="center"/>
    </xf>
    <xf numFmtId="168" fontId="39" fillId="20" borderId="369" xfId="176" applyNumberFormat="1" applyFont="1" applyFill="1" applyBorder="1" applyAlignment="1">
      <alignment horizontal="center" vertical="center"/>
    </xf>
    <xf numFmtId="0" fontId="0" fillId="0" borderId="0" xfId="0"/>
    <xf numFmtId="0" fontId="79" fillId="0" borderId="16" xfId="0" applyFont="1" applyFill="1" applyBorder="1" applyAlignment="1">
      <alignment horizontal="center" vertical="center" wrapText="1"/>
    </xf>
    <xf numFmtId="0" fontId="79" fillId="0" borderId="16" xfId="173" applyFont="1" applyFill="1" applyBorder="1" applyAlignment="1">
      <alignment horizontal="center" vertical="center"/>
    </xf>
    <xf numFmtId="0" fontId="129" fillId="0" borderId="0" xfId="0" applyFont="1" applyAlignment="1">
      <alignment horizontal="center" vertical="center" wrapText="1"/>
    </xf>
    <xf numFmtId="0" fontId="55" fillId="0" borderId="0" xfId="0" applyFont="1" applyAlignment="1">
      <alignment horizontal="center"/>
    </xf>
    <xf numFmtId="0" fontId="41" fillId="0" borderId="0" xfId="149" applyFont="1"/>
    <xf numFmtId="0" fontId="42" fillId="0" borderId="0" xfId="149" applyFont="1"/>
    <xf numFmtId="0" fontId="5" fillId="0" borderId="16" xfId="149" applyFont="1" applyBorder="1" applyAlignment="1">
      <alignment horizontal="center" vertical="center"/>
    </xf>
    <xf numFmtId="0" fontId="5" fillId="0" borderId="0" xfId="149" applyFont="1" applyBorder="1" applyAlignment="1">
      <alignment horizontal="center" vertical="center"/>
    </xf>
    <xf numFmtId="3" fontId="66" fillId="0" borderId="106" xfId="0" applyNumberFormat="1" applyFont="1" applyBorder="1" applyAlignment="1">
      <alignment horizontal="right"/>
    </xf>
    <xf numFmtId="0" fontId="0" fillId="0" borderId="0" xfId="0"/>
    <xf numFmtId="0" fontId="0" fillId="0" borderId="0" xfId="0"/>
    <xf numFmtId="0" fontId="0" fillId="0" borderId="0" xfId="0"/>
    <xf numFmtId="0" fontId="0" fillId="0" borderId="0" xfId="0"/>
    <xf numFmtId="0" fontId="55" fillId="0" borderId="0" xfId="0" applyFont="1" applyAlignment="1">
      <alignment horizontal="left" vertical="center" wrapText="1"/>
    </xf>
    <xf numFmtId="0" fontId="231" fillId="0" borderId="16" xfId="3795" applyFont="1" applyFill="1" applyBorder="1" applyAlignment="1">
      <alignment horizontal="center" wrapText="1"/>
    </xf>
    <xf numFmtId="0" fontId="231" fillId="21" borderId="16" xfId="3795" applyFont="1" applyFill="1" applyBorder="1" applyAlignment="1">
      <alignment horizontal="center" wrapText="1"/>
    </xf>
    <xf numFmtId="0" fontId="270" fillId="20" borderId="16" xfId="3795" applyFont="1" applyFill="1" applyBorder="1" applyAlignment="1">
      <alignment horizontal="center" wrapText="1"/>
    </xf>
    <xf numFmtId="0" fontId="96" fillId="20" borderId="0" xfId="0" applyFont="1" applyFill="1" applyAlignment="1">
      <alignment vertical="center"/>
    </xf>
    <xf numFmtId="0" fontId="50" fillId="0" borderId="0" xfId="0" applyFont="1" applyFill="1" applyBorder="1" applyAlignment="1">
      <alignment vertical="center"/>
    </xf>
    <xf numFmtId="0" fontId="50" fillId="0" borderId="0" xfId="0" applyFont="1" applyFill="1" applyBorder="1" applyAlignment="1">
      <alignment horizontal="left" vertical="center"/>
    </xf>
    <xf numFmtId="0" fontId="125" fillId="0" borderId="0" xfId="0" applyFont="1" applyBorder="1" applyAlignment="1">
      <alignment horizontal="right" vertical="center"/>
    </xf>
    <xf numFmtId="0" fontId="125" fillId="0" borderId="0" xfId="0" applyFont="1" applyBorder="1" applyAlignment="1">
      <alignment vertical="center"/>
    </xf>
    <xf numFmtId="0" fontId="269" fillId="0" borderId="0" xfId="3796" applyFont="1" applyFill="1" applyBorder="1" applyAlignment="1">
      <alignment horizontal="right" wrapText="1"/>
    </xf>
    <xf numFmtId="2" fontId="270" fillId="0" borderId="341" xfId="3796" applyNumberFormat="1" applyFont="1" applyFill="1" applyBorder="1" applyAlignment="1">
      <alignment horizontal="right" wrapText="1"/>
    </xf>
    <xf numFmtId="1" fontId="96" fillId="0" borderId="0" xfId="0" applyNumberFormat="1" applyFont="1" applyBorder="1" applyAlignment="1">
      <alignment horizontal="center"/>
    </xf>
    <xf numFmtId="171" fontId="50" fillId="0" borderId="0" xfId="0" applyNumberFormat="1" applyFont="1" applyBorder="1" applyAlignment="1">
      <alignment horizontal="center"/>
    </xf>
    <xf numFmtId="0" fontId="193" fillId="0" borderId="0" xfId="0" applyFont="1" applyAlignment="1">
      <alignment vertical="center"/>
    </xf>
    <xf numFmtId="0" fontId="0" fillId="0" borderId="0" xfId="0"/>
    <xf numFmtId="0" fontId="41" fillId="0" borderId="80" xfId="246" applyFont="1" applyBorder="1" applyAlignment="1">
      <alignment horizontal="center" vertical="center"/>
    </xf>
    <xf numFmtId="0" fontId="42" fillId="43" borderId="364" xfId="246" applyFont="1" applyFill="1" applyBorder="1" applyAlignment="1">
      <alignment horizontal="center" vertical="center"/>
    </xf>
    <xf numFmtId="0" fontId="60" fillId="25" borderId="79" xfId="0" applyFont="1" applyFill="1" applyBorder="1" applyAlignment="1">
      <alignment horizontal="center" vertical="center" wrapText="1"/>
    </xf>
    <xf numFmtId="0" fontId="60" fillId="25" borderId="20" xfId="0" applyFont="1" applyFill="1" applyBorder="1" applyAlignment="1">
      <alignment horizontal="center" vertical="center" wrapText="1"/>
    </xf>
    <xf numFmtId="0" fontId="82" fillId="35" borderId="347" xfId="583" applyFont="1" applyFill="1" applyBorder="1" applyAlignment="1">
      <alignment vertical="center"/>
    </xf>
    <xf numFmtId="0" fontId="60" fillId="0" borderId="31" xfId="0" applyFont="1" applyBorder="1" applyAlignment="1">
      <alignment horizontal="center" vertical="center"/>
    </xf>
    <xf numFmtId="0" fontId="60" fillId="0" borderId="30" xfId="0" applyFont="1" applyBorder="1" applyAlignment="1">
      <alignment horizontal="center" vertical="center" wrapText="1"/>
    </xf>
    <xf numFmtId="0" fontId="82" fillId="36" borderId="31" xfId="583" applyFont="1" applyFill="1" applyBorder="1" applyAlignment="1">
      <alignment vertical="center"/>
    </xf>
    <xf numFmtId="0" fontId="60" fillId="0" borderId="30" xfId="246" applyFont="1" applyBorder="1" applyAlignment="1">
      <alignment horizontal="center" vertical="center"/>
    </xf>
    <xf numFmtId="0" fontId="82" fillId="38" borderId="31" xfId="583" applyFont="1" applyFill="1" applyBorder="1" applyAlignment="1">
      <alignment vertical="center"/>
    </xf>
    <xf numFmtId="0" fontId="310" fillId="0" borderId="17" xfId="0" applyFont="1" applyBorder="1" applyAlignment="1">
      <alignment horizontal="center" vertical="center"/>
    </xf>
    <xf numFmtId="0" fontId="310" fillId="0" borderId="17" xfId="246" applyFont="1" applyFill="1" applyBorder="1" applyAlignment="1">
      <alignment horizontal="center" vertical="center"/>
    </xf>
    <xf numFmtId="0" fontId="82" fillId="38" borderId="30" xfId="583" applyFont="1" applyFill="1" applyBorder="1" applyAlignment="1">
      <alignment vertical="center"/>
    </xf>
    <xf numFmtId="0" fontId="42" fillId="20" borderId="365" xfId="246" applyFont="1" applyFill="1" applyBorder="1" applyAlignment="1">
      <alignment horizontal="center" vertical="center"/>
    </xf>
    <xf numFmtId="0" fontId="82" fillId="35" borderId="370" xfId="583" applyFont="1" applyFill="1" applyBorder="1" applyAlignment="1">
      <alignment vertical="center"/>
    </xf>
    <xf numFmtId="0" fontId="60" fillId="0" borderId="254" xfId="246" applyFont="1" applyBorder="1" applyAlignment="1">
      <alignment horizontal="center" vertical="center"/>
    </xf>
    <xf numFmtId="0" fontId="42" fillId="0" borderId="18" xfId="0" applyFont="1" applyBorder="1" applyAlignment="1">
      <alignment vertical="center"/>
    </xf>
    <xf numFmtId="0" fontId="42" fillId="0" borderId="255" xfId="0" applyFont="1" applyBorder="1" applyAlignment="1">
      <alignment vertical="center"/>
    </xf>
    <xf numFmtId="0" fontId="82" fillId="35" borderId="18" xfId="583" applyFont="1" applyFill="1" applyBorder="1" applyAlignment="1">
      <alignment vertical="center"/>
    </xf>
    <xf numFmtId="0" fontId="82" fillId="37" borderId="18" xfId="583" applyFont="1" applyFill="1" applyBorder="1" applyAlignment="1">
      <alignment vertical="center"/>
    </xf>
    <xf numFmtId="0" fontId="82" fillId="39" borderId="18" xfId="583" applyFont="1" applyFill="1" applyBorder="1" applyAlignment="1">
      <alignment vertical="center"/>
    </xf>
    <xf numFmtId="0" fontId="82" fillId="36" borderId="18" xfId="583" applyFont="1" applyFill="1" applyBorder="1" applyAlignment="1">
      <alignment vertical="center"/>
    </xf>
    <xf numFmtId="0" fontId="82" fillId="36" borderId="27" xfId="583" applyFont="1" applyFill="1" applyBorder="1" applyAlignment="1">
      <alignment vertical="center"/>
    </xf>
    <xf numFmtId="0" fontId="82" fillId="38" borderId="18" xfId="583" applyFont="1" applyFill="1" applyBorder="1" applyAlignment="1">
      <alignment vertical="center"/>
    </xf>
    <xf numFmtId="0" fontId="82" fillId="35" borderId="367" xfId="246" applyFont="1" applyFill="1" applyBorder="1" applyAlignment="1">
      <alignment horizontal="center" vertical="center" wrapText="1"/>
    </xf>
    <xf numFmtId="14" fontId="60" fillId="0" borderId="364" xfId="246" applyNumberFormat="1" applyFont="1" applyFill="1" applyBorder="1" applyAlignment="1">
      <alignment horizontal="center" vertical="center"/>
    </xf>
    <xf numFmtId="14" fontId="60" fillId="0" borderId="364" xfId="0" applyNumberFormat="1" applyFont="1" applyFill="1" applyBorder="1" applyAlignment="1">
      <alignment horizontal="center" vertical="center" wrapText="1"/>
    </xf>
    <xf numFmtId="14" fontId="60" fillId="0" borderId="364" xfId="0" applyNumberFormat="1" applyFont="1" applyFill="1" applyBorder="1" applyAlignment="1">
      <alignment horizontal="center" vertical="center"/>
    </xf>
    <xf numFmtId="14" fontId="196" fillId="0" borderId="364" xfId="0" applyNumberFormat="1" applyFont="1" applyFill="1" applyBorder="1" applyAlignment="1">
      <alignment horizontal="center" vertical="center" wrapText="1"/>
    </xf>
    <xf numFmtId="14" fontId="50" fillId="0" borderId="364" xfId="0" applyNumberFormat="1" applyFont="1" applyBorder="1" applyAlignment="1">
      <alignment horizontal="center" vertical="center"/>
    </xf>
    <xf numFmtId="14" fontId="60" fillId="0" borderId="364" xfId="246" applyNumberFormat="1" applyFont="1" applyBorder="1" applyAlignment="1">
      <alignment horizontal="center" vertical="center"/>
    </xf>
    <xf numFmtId="0" fontId="42" fillId="0" borderId="158" xfId="246" applyFont="1" applyFill="1" applyBorder="1" applyAlignment="1">
      <alignment horizontal="center" vertical="center" wrapText="1"/>
    </xf>
    <xf numFmtId="0" fontId="31" fillId="0" borderId="364" xfId="246" applyFont="1" applyBorder="1" applyAlignment="1">
      <alignment horizontal="center"/>
    </xf>
    <xf numFmtId="0" fontId="60" fillId="0" borderId="364" xfId="0" applyFont="1" applyBorder="1" applyAlignment="1">
      <alignment horizontal="center" vertical="center" wrapText="1"/>
    </xf>
    <xf numFmtId="0" fontId="60" fillId="0" borderId="364" xfId="0" applyFont="1" applyBorder="1" applyAlignment="1">
      <alignment vertical="center"/>
    </xf>
    <xf numFmtId="0" fontId="60" fillId="0" borderId="364" xfId="246" applyFont="1" applyFill="1" applyBorder="1" applyAlignment="1">
      <alignment horizontal="center" vertical="center" wrapText="1"/>
    </xf>
    <xf numFmtId="0" fontId="205" fillId="35" borderId="22" xfId="246" applyFont="1" applyFill="1" applyBorder="1" applyAlignment="1">
      <alignment horizontal="center" vertical="center" wrapText="1"/>
    </xf>
    <xf numFmtId="0" fontId="205" fillId="37" borderId="22" xfId="246" applyFont="1" applyFill="1" applyBorder="1" applyAlignment="1">
      <alignment horizontal="center" vertical="center" wrapText="1"/>
    </xf>
    <xf numFmtId="0" fontId="88" fillId="36" borderId="22" xfId="246" applyFont="1" applyFill="1" applyBorder="1" applyAlignment="1">
      <alignment horizontal="center" vertical="center" wrapText="1"/>
    </xf>
    <xf numFmtId="0" fontId="205" fillId="38" borderId="22" xfId="246" applyFont="1" applyFill="1" applyBorder="1" applyAlignment="1">
      <alignment horizontal="center" vertical="center" wrapText="1"/>
    </xf>
    <xf numFmtId="0" fontId="50" fillId="0" borderId="364" xfId="0" applyFont="1" applyFill="1" applyBorder="1" applyAlignment="1">
      <alignment horizontal="center" vertical="center" wrapText="1"/>
    </xf>
    <xf numFmtId="0" fontId="133" fillId="52" borderId="0" xfId="0" applyFont="1" applyFill="1" applyBorder="1" applyAlignment="1">
      <alignment horizontal="center" vertical="center" wrapText="1"/>
    </xf>
    <xf numFmtId="0" fontId="60" fillId="0" borderId="30" xfId="0" applyFont="1" applyBorder="1"/>
    <xf numFmtId="0" fontId="60" fillId="0" borderId="17" xfId="0" applyFont="1" applyBorder="1"/>
    <xf numFmtId="0" fontId="88" fillId="35" borderId="22" xfId="583" applyFont="1" applyFill="1" applyBorder="1" applyAlignment="1">
      <alignment vertical="center"/>
    </xf>
    <xf numFmtId="0" fontId="60" fillId="0" borderId="31" xfId="0" applyFont="1" applyFill="1" applyBorder="1" applyAlignment="1">
      <alignment horizontal="center" vertical="center" wrapText="1"/>
    </xf>
    <xf numFmtId="0" fontId="60" fillId="37" borderId="22" xfId="0" applyFont="1" applyFill="1" applyBorder="1" applyAlignment="1">
      <alignment horizontal="center" vertical="center" wrapText="1"/>
    </xf>
    <xf numFmtId="0" fontId="88" fillId="0" borderId="17" xfId="246" applyFont="1" applyFill="1" applyBorder="1" applyAlignment="1">
      <alignment horizontal="center" vertical="center" wrapText="1"/>
    </xf>
    <xf numFmtId="0" fontId="60" fillId="0" borderId="17" xfId="0" applyFont="1" applyFill="1" applyBorder="1"/>
    <xf numFmtId="0" fontId="88" fillId="51" borderId="22" xfId="0" applyFont="1" applyFill="1" applyBorder="1" applyAlignment="1">
      <alignment horizontal="center" wrapText="1"/>
    </xf>
    <xf numFmtId="0" fontId="96" fillId="0" borderId="0" xfId="0" applyFont="1" applyAlignment="1">
      <alignment horizontal="center" vertical="center" wrapText="1"/>
    </xf>
    <xf numFmtId="0" fontId="96" fillId="0" borderId="0" xfId="0" applyFont="1" applyAlignment="1">
      <alignment horizontal="center"/>
    </xf>
    <xf numFmtId="0" fontId="96" fillId="0" borderId="0" xfId="0" applyFont="1" applyBorder="1" applyAlignment="1">
      <alignment horizontal="center"/>
    </xf>
    <xf numFmtId="0" fontId="0" fillId="0" borderId="0" xfId="0"/>
    <xf numFmtId="0" fontId="269" fillId="0" borderId="341" xfId="3797" applyFont="1" applyFill="1" applyBorder="1" applyAlignment="1">
      <alignment horizontal="right"/>
    </xf>
    <xf numFmtId="0" fontId="269" fillId="0" borderId="341" xfId="3797" applyFont="1" applyFill="1" applyBorder="1" applyAlignment="1">
      <alignment vertical="center"/>
    </xf>
    <xf numFmtId="0" fontId="312" fillId="0" borderId="341" xfId="3797" applyFont="1" applyFill="1" applyBorder="1" applyAlignment="1">
      <alignment vertical="center"/>
    </xf>
    <xf numFmtId="0" fontId="312" fillId="0" borderId="341" xfId="3797" applyFont="1" applyFill="1" applyBorder="1" applyAlignment="1">
      <alignment horizontal="center" vertical="center"/>
    </xf>
    <xf numFmtId="168" fontId="74" fillId="0" borderId="0" xfId="176" applyNumberFormat="1" applyFont="1" applyBorder="1" applyAlignment="1">
      <alignment horizontal="center" vertical="center"/>
    </xf>
    <xf numFmtId="0" fontId="312" fillId="0" borderId="348" xfId="3799" applyFont="1" applyFill="1" applyBorder="1" applyAlignment="1">
      <alignment horizontal="right"/>
    </xf>
    <xf numFmtId="0" fontId="269" fillId="0" borderId="346" xfId="3797" applyFont="1" applyFill="1" applyBorder="1" applyAlignment="1">
      <alignment vertical="center"/>
    </xf>
    <xf numFmtId="0" fontId="312" fillId="0" borderId="346" xfId="3797" applyFont="1" applyFill="1" applyBorder="1" applyAlignment="1">
      <alignment vertical="center"/>
    </xf>
    <xf numFmtId="0" fontId="312" fillId="0" borderId="346" xfId="3797" applyFont="1" applyFill="1" applyBorder="1" applyAlignment="1">
      <alignment horizontal="center" vertical="center"/>
    </xf>
    <xf numFmtId="0" fontId="269" fillId="0" borderId="358" xfId="3797" applyFont="1" applyFill="1" applyBorder="1" applyAlignment="1">
      <alignment vertical="center"/>
    </xf>
    <xf numFmtId="0" fontId="270" fillId="0" borderId="358" xfId="3797" applyFont="1" applyFill="1" applyBorder="1" applyAlignment="1">
      <alignment horizontal="center" vertical="center"/>
    </xf>
    <xf numFmtId="0" fontId="269" fillId="0" borderId="358" xfId="3797" applyFont="1" applyFill="1" applyBorder="1" applyAlignment="1">
      <alignment horizontal="center" vertical="center"/>
    </xf>
    <xf numFmtId="0" fontId="269" fillId="0" borderId="350" xfId="3797" applyFont="1" applyFill="1" applyBorder="1" applyAlignment="1">
      <alignment vertical="center"/>
    </xf>
    <xf numFmtId="0" fontId="270" fillId="0" borderId="346" xfId="3797" applyFont="1" applyFill="1" applyBorder="1" applyAlignment="1">
      <alignment horizontal="center" vertical="center"/>
    </xf>
    <xf numFmtId="0" fontId="269" fillId="0" borderId="371" xfId="3797" applyFont="1" applyFill="1" applyBorder="1" applyAlignment="1">
      <alignment vertical="center"/>
    </xf>
    <xf numFmtId="0" fontId="270" fillId="0" borderId="350" xfId="3797" applyFont="1" applyFill="1" applyBorder="1" applyAlignment="1">
      <alignment horizontal="center"/>
    </xf>
    <xf numFmtId="0" fontId="270" fillId="0" borderId="350" xfId="3797" applyFont="1" applyFill="1" applyBorder="1" applyAlignment="1">
      <alignment horizontal="center" vertical="center"/>
    </xf>
    <xf numFmtId="168" fontId="74" fillId="0" borderId="347" xfId="176" applyNumberFormat="1" applyFont="1" applyBorder="1" applyAlignment="1">
      <alignment horizontal="center" vertical="center"/>
    </xf>
    <xf numFmtId="0" fontId="273" fillId="0" borderId="341" xfId="3797" applyFont="1" applyFill="1" applyBorder="1" applyAlignment="1">
      <alignment horizontal="center" vertical="center"/>
    </xf>
    <xf numFmtId="0" fontId="269" fillId="0" borderId="358" xfId="3797" applyFont="1" applyFill="1" applyBorder="1" applyAlignment="1">
      <alignment horizontal="right"/>
    </xf>
    <xf numFmtId="0" fontId="174" fillId="0" borderId="0" xfId="0" applyFont="1" applyAlignment="1">
      <alignment horizontal="center" vertical="center"/>
    </xf>
    <xf numFmtId="0" fontId="269" fillId="0" borderId="0" xfId="3797" applyFont="1" applyFill="1" applyBorder="1" applyAlignment="1">
      <alignment horizontal="right"/>
    </xf>
    <xf numFmtId="0" fontId="270" fillId="0" borderId="0" xfId="3797" applyFont="1" applyFill="1" applyBorder="1" applyAlignment="1">
      <alignment horizontal="center"/>
    </xf>
    <xf numFmtId="0" fontId="270" fillId="0" borderId="0" xfId="3797" applyFont="1" applyFill="1" applyBorder="1" applyAlignment="1">
      <alignment horizontal="center" vertical="center"/>
    </xf>
    <xf numFmtId="0" fontId="96" fillId="0" borderId="347" xfId="0" applyFont="1" applyBorder="1" applyAlignment="1">
      <alignment horizontal="center" vertical="center"/>
    </xf>
    <xf numFmtId="0" fontId="221" fillId="0" borderId="0" xfId="0" applyFont="1" applyAlignment="1">
      <alignment horizontal="left" vertical="center"/>
    </xf>
    <xf numFmtId="0" fontId="220" fillId="0" borderId="0" xfId="0" applyFont="1" applyBorder="1" applyAlignment="1">
      <alignment horizontal="right" vertical="center"/>
    </xf>
    <xf numFmtId="0" fontId="82" fillId="28" borderId="0" xfId="0" applyFont="1" applyFill="1" applyAlignment="1">
      <alignment horizontal="center" vertical="center"/>
    </xf>
    <xf numFmtId="0" fontId="269" fillId="0" borderId="341" xfId="3799" applyFont="1" applyFill="1" applyBorder="1" applyAlignment="1">
      <alignment horizontal="center" vertical="center" wrapText="1"/>
    </xf>
    <xf numFmtId="0" fontId="269" fillId="0" borderId="341" xfId="3799" applyFont="1" applyFill="1" applyBorder="1" applyAlignment="1">
      <alignment horizontal="left" vertical="center" wrapText="1"/>
    </xf>
    <xf numFmtId="0" fontId="313" fillId="0" borderId="341" xfId="3799" applyFont="1" applyFill="1" applyBorder="1" applyAlignment="1">
      <alignment horizontal="left" vertical="center" wrapText="1"/>
    </xf>
    <xf numFmtId="0" fontId="312" fillId="0" borderId="341" xfId="3799" applyFont="1" applyFill="1" applyBorder="1" applyAlignment="1">
      <alignment horizontal="left" vertical="center" wrapText="1"/>
    </xf>
    <xf numFmtId="0" fontId="312" fillId="0" borderId="341" xfId="3799" applyFont="1" applyFill="1" applyBorder="1" applyAlignment="1">
      <alignment horizontal="center" vertical="center" wrapText="1"/>
    </xf>
    <xf numFmtId="0" fontId="270" fillId="0" borderId="341" xfId="3799" applyFont="1" applyFill="1" applyBorder="1" applyAlignment="1">
      <alignment horizontal="center" vertical="center" wrapText="1"/>
    </xf>
    <xf numFmtId="168" fontId="39" fillId="0" borderId="0" xfId="176" applyNumberFormat="1" applyFont="1" applyAlignment="1">
      <alignment horizontal="right" vertical="center"/>
    </xf>
    <xf numFmtId="0" fontId="313" fillId="0" borderId="341" xfId="3799" applyFont="1" applyFill="1" applyBorder="1" applyAlignment="1">
      <alignment horizontal="center" vertical="center" wrapText="1"/>
    </xf>
    <xf numFmtId="0" fontId="269" fillId="0" borderId="346" xfId="3799" applyFont="1" applyFill="1" applyBorder="1" applyAlignment="1">
      <alignment horizontal="center" vertical="center" wrapText="1"/>
    </xf>
    <xf numFmtId="0" fontId="269" fillId="0" borderId="346" xfId="3799" applyFont="1" applyFill="1" applyBorder="1" applyAlignment="1">
      <alignment horizontal="left" vertical="center" wrapText="1"/>
    </xf>
    <xf numFmtId="0" fontId="269" fillId="0" borderId="358" xfId="3799" applyFont="1" applyFill="1" applyBorder="1" applyAlignment="1">
      <alignment horizontal="center" vertical="center" wrapText="1"/>
    </xf>
    <xf numFmtId="0" fontId="269" fillId="0" borderId="358" xfId="3799" applyFont="1" applyFill="1" applyBorder="1" applyAlignment="1">
      <alignment horizontal="left" vertical="center" wrapText="1"/>
    </xf>
    <xf numFmtId="0" fontId="313" fillId="0" borderId="358" xfId="3799" applyFont="1" applyFill="1" applyBorder="1" applyAlignment="1">
      <alignment horizontal="left" vertical="center" wrapText="1"/>
    </xf>
    <xf numFmtId="0" fontId="270" fillId="0" borderId="358" xfId="3799" applyFont="1" applyFill="1" applyBorder="1" applyAlignment="1">
      <alignment horizontal="left" vertical="center" wrapText="1"/>
    </xf>
    <xf numFmtId="0" fontId="270" fillId="0" borderId="358" xfId="3799" applyFont="1" applyFill="1" applyBorder="1" applyAlignment="1">
      <alignment horizontal="center" vertical="center" wrapText="1"/>
    </xf>
    <xf numFmtId="0" fontId="269" fillId="0" borderId="361" xfId="3799" applyFont="1" applyFill="1" applyBorder="1" applyAlignment="1">
      <alignment horizontal="center" vertical="center" wrapText="1"/>
    </xf>
    <xf numFmtId="0" fontId="313" fillId="0" borderId="361" xfId="3799" applyFont="1" applyFill="1" applyBorder="1" applyAlignment="1">
      <alignment horizontal="left" vertical="center" wrapText="1"/>
    </xf>
    <xf numFmtId="0" fontId="313" fillId="0" borderId="361" xfId="3799" applyFont="1" applyFill="1" applyBorder="1" applyAlignment="1">
      <alignment horizontal="right" vertical="center" wrapText="1"/>
    </xf>
    <xf numFmtId="0" fontId="314" fillId="0" borderId="361" xfId="3799" applyFont="1" applyFill="1" applyBorder="1" applyAlignment="1">
      <alignment horizontal="center" vertical="center" wrapText="1"/>
    </xf>
    <xf numFmtId="168" fontId="39" fillId="0" borderId="343" xfId="176" applyNumberFormat="1" applyFont="1" applyBorder="1" applyAlignment="1">
      <alignment horizontal="right" vertical="center"/>
    </xf>
    <xf numFmtId="0" fontId="270" fillId="0" borderId="346" xfId="3799" applyFont="1" applyFill="1" applyBorder="1" applyAlignment="1">
      <alignment horizontal="center" vertical="center" wrapText="1"/>
    </xf>
    <xf numFmtId="0" fontId="314" fillId="0" borderId="341" xfId="3799" applyFont="1" applyFill="1" applyBorder="1" applyAlignment="1">
      <alignment horizontal="center" vertical="center" wrapText="1"/>
    </xf>
    <xf numFmtId="0" fontId="269" fillId="20" borderId="341" xfId="3799" applyFont="1" applyFill="1" applyBorder="1" applyAlignment="1">
      <alignment horizontal="center" vertical="center" wrapText="1"/>
    </xf>
    <xf numFmtId="0" fontId="269" fillId="0" borderId="348" xfId="3799" applyFont="1" applyFill="1" applyBorder="1" applyAlignment="1">
      <alignment horizontal="left" vertical="center" wrapText="1"/>
    </xf>
    <xf numFmtId="0" fontId="269" fillId="0" borderId="348" xfId="3799" applyFont="1" applyFill="1" applyBorder="1" applyAlignment="1">
      <alignment horizontal="center" vertical="center" wrapText="1"/>
    </xf>
    <xf numFmtId="168" fontId="39" fillId="0" borderId="0" xfId="176" applyNumberFormat="1" applyFont="1" applyBorder="1" applyAlignment="1">
      <alignment horizontal="right" vertical="center"/>
    </xf>
    <xf numFmtId="0" fontId="314" fillId="0" borderId="348" xfId="3799" applyFont="1" applyFill="1" applyBorder="1" applyAlignment="1">
      <alignment horizontal="center" vertical="center" wrapText="1"/>
    </xf>
    <xf numFmtId="168" fontId="39" fillId="20" borderId="0" xfId="176" applyNumberFormat="1" applyFont="1" applyFill="1" applyBorder="1" applyAlignment="1">
      <alignment horizontal="right" vertical="center"/>
    </xf>
    <xf numFmtId="0" fontId="231" fillId="20" borderId="346" xfId="3799" applyFont="1" applyFill="1" applyBorder="1" applyAlignment="1">
      <alignment horizontal="center" vertical="center" wrapText="1"/>
    </xf>
    <xf numFmtId="0" fontId="231" fillId="20" borderId="348" xfId="3799" applyFont="1" applyFill="1" applyBorder="1" applyAlignment="1">
      <alignment horizontal="center" vertical="center" wrapText="1"/>
    </xf>
    <xf numFmtId="0" fontId="231" fillId="20" borderId="354" xfId="3799" applyFont="1" applyFill="1" applyBorder="1" applyAlignment="1">
      <alignment horizontal="center" vertical="center" wrapText="1"/>
    </xf>
    <xf numFmtId="168" fontId="42" fillId="20" borderId="0" xfId="176" applyNumberFormat="1" applyFont="1" applyFill="1" applyBorder="1" applyAlignment="1">
      <alignment horizontal="right" vertical="center"/>
    </xf>
    <xf numFmtId="0" fontId="313" fillId="0" borderId="346" xfId="3799" applyFont="1" applyFill="1" applyBorder="1" applyAlignment="1">
      <alignment horizontal="left" vertical="center" wrapText="1"/>
    </xf>
    <xf numFmtId="0" fontId="313" fillId="0" borderId="346" xfId="3799" applyFont="1" applyFill="1" applyBorder="1" applyAlignment="1">
      <alignment horizontal="center" vertical="center" wrapText="1"/>
    </xf>
    <xf numFmtId="0" fontId="231" fillId="0" borderId="341" xfId="3799" applyFont="1" applyFill="1" applyBorder="1" applyAlignment="1">
      <alignment horizontal="center" vertical="center" wrapText="1"/>
    </xf>
    <xf numFmtId="0" fontId="269" fillId="20" borderId="0" xfId="3799" applyFont="1" applyFill="1" applyBorder="1" applyAlignment="1">
      <alignment horizontal="center" vertical="center" wrapText="1"/>
    </xf>
    <xf numFmtId="0" fontId="231" fillId="20" borderId="0" xfId="3799" applyFont="1" applyFill="1" applyBorder="1" applyAlignment="1">
      <alignment horizontal="center" vertical="center" wrapText="1"/>
    </xf>
    <xf numFmtId="0" fontId="303" fillId="20" borderId="0" xfId="3799" applyFont="1" applyFill="1" applyBorder="1" applyAlignment="1">
      <alignment horizontal="left" vertical="center" wrapText="1"/>
    </xf>
    <xf numFmtId="0" fontId="303" fillId="20" borderId="0" xfId="3799" applyFont="1" applyFill="1" applyBorder="1" applyAlignment="1">
      <alignment horizontal="center" vertical="center" wrapText="1"/>
    </xf>
    <xf numFmtId="0" fontId="39" fillId="0" borderId="347" xfId="0" applyFont="1" applyBorder="1" applyAlignment="1">
      <alignment horizontal="center" vertical="center"/>
    </xf>
    <xf numFmtId="168" fontId="39" fillId="0" borderId="347" xfId="176" applyNumberFormat="1" applyFont="1" applyBorder="1" applyAlignment="1">
      <alignment horizontal="right" vertical="center"/>
    </xf>
    <xf numFmtId="0" fontId="270" fillId="20" borderId="341" xfId="3799" applyFont="1" applyFill="1" applyBorder="1" applyAlignment="1">
      <alignment horizontal="center" vertical="center" wrapText="1"/>
    </xf>
    <xf numFmtId="0" fontId="270" fillId="20" borderId="341" xfId="3799" applyFont="1" applyFill="1" applyBorder="1" applyAlignment="1">
      <alignment horizontal="left" vertical="center" wrapText="1"/>
    </xf>
    <xf numFmtId="0" fontId="270" fillId="20" borderId="351" xfId="3799" applyFont="1" applyFill="1" applyBorder="1" applyAlignment="1">
      <alignment horizontal="center" vertical="center" wrapText="1"/>
    </xf>
    <xf numFmtId="0" fontId="50" fillId="20" borderId="0" xfId="0" applyFont="1" applyFill="1"/>
    <xf numFmtId="0" fontId="96" fillId="20" borderId="0" xfId="0" applyFont="1" applyFill="1" applyAlignment="1">
      <alignment horizontal="center" vertical="center"/>
    </xf>
    <xf numFmtId="168" fontId="39" fillId="20" borderId="347" xfId="176" applyNumberFormat="1" applyFont="1" applyFill="1" applyBorder="1" applyAlignment="1">
      <alignment horizontal="center" vertical="center"/>
    </xf>
    <xf numFmtId="0" fontId="310" fillId="0" borderId="0" xfId="0" applyFont="1" applyAlignment="1">
      <alignment horizontal="center" vertical="center"/>
    </xf>
    <xf numFmtId="0" fontId="315" fillId="0" borderId="341" xfId="3805" applyFont="1" applyFill="1" applyBorder="1" applyAlignment="1"/>
    <xf numFmtId="0" fontId="315" fillId="0" borderId="341" xfId="3805" applyFont="1" applyFill="1" applyBorder="1" applyAlignment="1">
      <alignment horizontal="right"/>
    </xf>
    <xf numFmtId="0" fontId="312" fillId="0" borderId="341" xfId="3805" applyFont="1" applyFill="1" applyBorder="1" applyAlignment="1"/>
    <xf numFmtId="0" fontId="312" fillId="0" borderId="341" xfId="3805" applyFont="1" applyFill="1" applyBorder="1" applyAlignment="1">
      <alignment horizontal="right"/>
    </xf>
    <xf numFmtId="0" fontId="315" fillId="0" borderId="0" xfId="3805" applyFont="1" applyFill="1" applyBorder="1" applyAlignment="1">
      <alignment horizontal="right"/>
    </xf>
    <xf numFmtId="0" fontId="270" fillId="0" borderId="341" xfId="3805" applyFont="1" applyFill="1" applyBorder="1" applyAlignment="1">
      <alignment horizontal="right"/>
    </xf>
    <xf numFmtId="0" fontId="269" fillId="0" borderId="346" xfId="3805" applyFont="1" applyFill="1" applyBorder="1" applyAlignment="1"/>
    <xf numFmtId="0" fontId="269" fillId="0" borderId="346" xfId="3805" applyFont="1" applyFill="1" applyBorder="1" applyAlignment="1">
      <alignment horizontal="right"/>
    </xf>
    <xf numFmtId="0" fontId="23" fillId="0" borderId="358" xfId="3805" applyFont="1" applyFill="1" applyBorder="1" applyAlignment="1">
      <alignment horizontal="center" vertical="center"/>
    </xf>
    <xf numFmtId="0" fontId="269" fillId="0" borderId="358" xfId="3805" applyFont="1" applyFill="1" applyBorder="1" applyAlignment="1"/>
    <xf numFmtId="0" fontId="269" fillId="0" borderId="358" xfId="3805" applyFont="1" applyFill="1" applyBorder="1" applyAlignment="1">
      <alignment horizontal="right"/>
    </xf>
    <xf numFmtId="0" fontId="23" fillId="0" borderId="358" xfId="3805" applyFont="1" applyFill="1" applyBorder="1" applyAlignment="1">
      <alignment horizontal="right"/>
    </xf>
    <xf numFmtId="0" fontId="23" fillId="0" borderId="341" xfId="3805" applyFont="1" applyFill="1" applyBorder="1" applyAlignment="1">
      <alignment horizontal="right"/>
    </xf>
    <xf numFmtId="0" fontId="159" fillId="0" borderId="341" xfId="3805" applyFont="1" applyFill="1" applyBorder="1" applyAlignment="1">
      <alignment horizontal="right"/>
    </xf>
    <xf numFmtId="0" fontId="23" fillId="0" borderId="361" xfId="3805" applyFont="1" applyFill="1" applyBorder="1" applyAlignment="1">
      <alignment horizontal="center" vertical="center"/>
    </xf>
    <xf numFmtId="0" fontId="269" fillId="0" borderId="361" xfId="3805" applyFont="1" applyFill="1" applyBorder="1" applyAlignment="1"/>
    <xf numFmtId="0" fontId="269" fillId="0" borderId="361" xfId="3805" applyFont="1" applyFill="1" applyBorder="1" applyAlignment="1">
      <alignment horizontal="right"/>
    </xf>
    <xf numFmtId="0" fontId="159" fillId="0" borderId="361" xfId="3805" applyFont="1" applyFill="1" applyBorder="1" applyAlignment="1">
      <alignment horizontal="right"/>
    </xf>
    <xf numFmtId="0" fontId="269" fillId="20" borderId="0" xfId="3805" applyFont="1" applyFill="1" applyBorder="1" applyAlignment="1">
      <alignment horizontal="right"/>
    </xf>
    <xf numFmtId="0" fontId="23" fillId="20" borderId="0" xfId="3805" applyFont="1" applyFill="1" applyBorder="1" applyAlignment="1">
      <alignment horizontal="center" vertical="center"/>
    </xf>
    <xf numFmtId="0" fontId="269" fillId="20" borderId="0" xfId="3805" applyFont="1" applyFill="1" applyBorder="1" applyAlignment="1"/>
    <xf numFmtId="0" fontId="23" fillId="20" borderId="0" xfId="3805" applyFont="1" applyFill="1" applyBorder="1" applyAlignment="1">
      <alignment horizontal="right"/>
    </xf>
    <xf numFmtId="168" fontId="39" fillId="20" borderId="0" xfId="176" applyNumberFormat="1" applyFont="1" applyFill="1" applyBorder="1" applyAlignment="1">
      <alignment horizontal="center"/>
    </xf>
    <xf numFmtId="0" fontId="316" fillId="0" borderId="341" xfId="3805" applyFont="1" applyFill="1" applyBorder="1" applyAlignment="1">
      <alignment horizontal="right"/>
    </xf>
    <xf numFmtId="0" fontId="292" fillId="0" borderId="341" xfId="3805" applyFont="1" applyFill="1" applyBorder="1" applyAlignment="1">
      <alignment horizontal="right"/>
    </xf>
    <xf numFmtId="0" fontId="315" fillId="0" borderId="346" xfId="3805" applyFont="1" applyFill="1" applyBorder="1" applyAlignment="1"/>
    <xf numFmtId="0" fontId="315" fillId="0" borderId="346" xfId="3805" applyFont="1" applyFill="1" applyBorder="1" applyAlignment="1">
      <alignment horizontal="right"/>
    </xf>
    <xf numFmtId="0" fontId="315" fillId="0" borderId="358" xfId="3805" applyFont="1" applyFill="1" applyBorder="1" applyAlignment="1"/>
    <xf numFmtId="0" fontId="292" fillId="0" borderId="358" xfId="3805" applyFont="1" applyFill="1" applyBorder="1" applyAlignment="1">
      <alignment horizontal="right"/>
    </xf>
    <xf numFmtId="0" fontId="269" fillId="20" borderId="341" xfId="3805" applyFont="1" applyFill="1" applyBorder="1" applyAlignment="1">
      <alignment horizontal="right"/>
    </xf>
    <xf numFmtId="0" fontId="269" fillId="20" borderId="351" xfId="3805" applyFont="1" applyFill="1" applyBorder="1" applyAlignment="1">
      <alignment horizontal="right"/>
    </xf>
    <xf numFmtId="0" fontId="315" fillId="20" borderId="0" xfId="3805" applyFont="1" applyFill="1" applyBorder="1" applyAlignment="1"/>
    <xf numFmtId="0" fontId="292" fillId="20" borderId="0" xfId="3805" applyFont="1" applyFill="1" applyBorder="1" applyAlignment="1">
      <alignment horizontal="right"/>
    </xf>
    <xf numFmtId="0" fontId="113" fillId="0" borderId="0" xfId="0" applyFont="1"/>
    <xf numFmtId="0" fontId="39" fillId="0" borderId="347" xfId="0" applyFont="1" applyBorder="1"/>
    <xf numFmtId="168" fontId="39" fillId="0" borderId="347" xfId="176" applyNumberFormat="1" applyFont="1" applyFill="1" applyBorder="1" applyAlignment="1">
      <alignment horizontal="center"/>
    </xf>
    <xf numFmtId="0" fontId="42" fillId="0" borderId="252" xfId="142" applyFont="1" applyFill="1" applyBorder="1" applyAlignment="1">
      <alignment horizontal="center" vertical="center" wrapText="1"/>
    </xf>
    <xf numFmtId="0" fontId="60" fillId="0" borderId="0" xfId="3786" applyFont="1" applyBorder="1" applyAlignment="1">
      <alignment horizontal="right" vertical="center"/>
    </xf>
    <xf numFmtId="0" fontId="60" fillId="0" borderId="0" xfId="3786" applyFont="1" applyBorder="1" applyAlignment="1">
      <alignment vertical="center" wrapText="1"/>
    </xf>
    <xf numFmtId="15" fontId="42" fillId="0" borderId="197" xfId="3786" applyNumberFormat="1" applyFont="1" applyFill="1" applyBorder="1" applyAlignment="1">
      <alignment horizontal="center" vertical="center"/>
    </xf>
    <xf numFmtId="0" fontId="42" fillId="0" borderId="197" xfId="3786" applyFont="1" applyFill="1" applyBorder="1" applyAlignment="1">
      <alignment horizontal="center" vertical="center"/>
    </xf>
    <xf numFmtId="0" fontId="42" fillId="0" borderId="197" xfId="3786" applyFont="1" applyFill="1" applyBorder="1" applyAlignment="1">
      <alignment horizontal="center" vertical="center" wrapText="1"/>
    </xf>
    <xf numFmtId="0" fontId="41" fillId="0" borderId="374" xfId="3786" applyFont="1" applyFill="1" applyBorder="1" applyAlignment="1">
      <alignment horizontal="center" vertical="center" wrapText="1"/>
    </xf>
    <xf numFmtId="0" fontId="41" fillId="0" borderId="374" xfId="3786" applyFont="1" applyFill="1" applyBorder="1" applyAlignment="1">
      <alignment horizontal="left" vertical="center" indent="1"/>
    </xf>
    <xf numFmtId="0" fontId="41" fillId="0" borderId="374" xfId="3786" applyFont="1" applyFill="1" applyBorder="1" applyAlignment="1">
      <alignment horizontal="center" vertical="center"/>
    </xf>
    <xf numFmtId="0" fontId="60" fillId="0" borderId="375" xfId="3786" applyFont="1" applyFill="1" applyBorder="1" applyAlignment="1">
      <alignment horizontal="center" vertical="center"/>
    </xf>
    <xf numFmtId="190" fontId="257" fillId="22" borderId="182" xfId="0" applyNumberFormat="1" applyFont="1" applyFill="1" applyBorder="1" applyAlignment="1">
      <alignment horizontal="center" vertical="center"/>
    </xf>
    <xf numFmtId="0" fontId="82" fillId="28" borderId="0" xfId="0" applyFont="1" applyFill="1" applyAlignment="1">
      <alignment horizontal="left"/>
    </xf>
    <xf numFmtId="0" fontId="205" fillId="28" borderId="0" xfId="0" applyFont="1" applyFill="1"/>
    <xf numFmtId="0" fontId="182" fillId="0" borderId="16" xfId="238" applyFont="1" applyFill="1" applyBorder="1" applyAlignment="1">
      <alignment horizontal="center"/>
    </xf>
    <xf numFmtId="0" fontId="7" fillId="62" borderId="376" xfId="3798" applyFont="1" applyFill="1" applyBorder="1" applyAlignment="1">
      <alignment horizontal="center"/>
    </xf>
    <xf numFmtId="0" fontId="269" fillId="0" borderId="341" xfId="3798" applyFont="1" applyFill="1" applyBorder="1" applyAlignment="1">
      <alignment horizontal="left"/>
    </xf>
    <xf numFmtId="0" fontId="269" fillId="0" borderId="377" xfId="3798" applyFont="1" applyFill="1" applyBorder="1" applyAlignment="1">
      <alignment vertical="center"/>
    </xf>
    <xf numFmtId="0" fontId="269" fillId="0" borderId="377" xfId="3798" applyFont="1" applyFill="1" applyBorder="1" applyAlignment="1">
      <alignment horizontal="center" vertical="center" wrapText="1"/>
    </xf>
    <xf numFmtId="0" fontId="269" fillId="0" borderId="346" xfId="3798" applyFont="1" applyFill="1" applyBorder="1" applyAlignment="1">
      <alignment horizontal="center" vertical="center" wrapText="1"/>
    </xf>
    <xf numFmtId="0" fontId="50" fillId="0" borderId="347" xfId="0" applyFont="1" applyBorder="1" applyAlignment="1">
      <alignment vertical="center"/>
    </xf>
    <xf numFmtId="0" fontId="50" fillId="0" borderId="105" xfId="0" applyFont="1" applyBorder="1" applyAlignment="1">
      <alignment vertical="center"/>
    </xf>
    <xf numFmtId="0" fontId="269" fillId="0" borderId="377" xfId="3798" applyFont="1" applyFill="1" applyBorder="1" applyAlignment="1">
      <alignment horizontal="center" vertical="center"/>
    </xf>
    <xf numFmtId="0" fontId="269" fillId="0" borderId="378" xfId="3798" applyFont="1" applyFill="1" applyBorder="1" applyAlignment="1">
      <alignment horizontal="center" vertical="center"/>
    </xf>
    <xf numFmtId="0" fontId="269" fillId="0" borderId="346" xfId="3798" applyFont="1" applyFill="1" applyBorder="1" applyAlignment="1">
      <alignment horizontal="center" vertical="center"/>
    </xf>
    <xf numFmtId="0" fontId="50" fillId="0" borderId="379" xfId="0" applyFont="1" applyBorder="1" applyAlignment="1">
      <alignment horizontal="center" vertical="center"/>
    </xf>
    <xf numFmtId="0" fontId="270" fillId="0" borderId="377" xfId="3798" applyFont="1" applyFill="1" applyBorder="1" applyAlignment="1">
      <alignment horizontal="center" vertical="center" wrapText="1"/>
    </xf>
    <xf numFmtId="0" fontId="270" fillId="0" borderId="378" xfId="3798" applyFont="1" applyFill="1" applyBorder="1" applyAlignment="1">
      <alignment horizontal="center" vertical="center" wrapText="1"/>
    </xf>
    <xf numFmtId="171" fontId="269" fillId="0" borderId="377" xfId="3798" applyNumberFormat="1" applyFont="1" applyFill="1" applyBorder="1" applyAlignment="1">
      <alignment horizontal="center" vertical="center"/>
    </xf>
    <xf numFmtId="171" fontId="269" fillId="0" borderId="378" xfId="3798" applyNumberFormat="1" applyFont="1" applyFill="1" applyBorder="1" applyAlignment="1">
      <alignment horizontal="center" vertical="center"/>
    </xf>
    <xf numFmtId="171" fontId="269" fillId="0" borderId="346" xfId="3798" applyNumberFormat="1" applyFont="1" applyFill="1" applyBorder="1" applyAlignment="1">
      <alignment horizontal="center" vertical="center"/>
    </xf>
    <xf numFmtId="0" fontId="50" fillId="0" borderId="105" xfId="0" applyFont="1" applyBorder="1" applyAlignment="1">
      <alignment horizontal="center" vertical="center"/>
    </xf>
    <xf numFmtId="0" fontId="96" fillId="0" borderId="105" xfId="0" applyFont="1" applyBorder="1" applyAlignment="1">
      <alignment horizontal="center" vertical="center"/>
    </xf>
    <xf numFmtId="0" fontId="133" fillId="28" borderId="0" xfId="0" applyFont="1" applyFill="1"/>
    <xf numFmtId="0" fontId="182" fillId="43" borderId="16" xfId="238" applyFont="1" applyFill="1" applyBorder="1" applyAlignment="1">
      <alignment horizontal="center"/>
    </xf>
    <xf numFmtId="0" fontId="221" fillId="0" borderId="0" xfId="0" applyFont="1"/>
    <xf numFmtId="0" fontId="269" fillId="0" borderId="377" xfId="3801" applyFont="1" applyFill="1" applyBorder="1" applyAlignment="1">
      <alignment horizontal="center" vertical="center" wrapText="1"/>
    </xf>
    <xf numFmtId="0" fontId="269" fillId="0" borderId="377" xfId="3801" applyFont="1" applyFill="1" applyBorder="1" applyAlignment="1">
      <alignment horizontal="left" vertical="center" wrapText="1"/>
    </xf>
    <xf numFmtId="171" fontId="269" fillId="0" borderId="377" xfId="3801" applyNumberFormat="1" applyFont="1" applyFill="1" applyBorder="1" applyAlignment="1">
      <alignment horizontal="center" vertical="center" wrapText="1"/>
    </xf>
    <xf numFmtId="0" fontId="270" fillId="0" borderId="377" xfId="3801" applyFont="1" applyFill="1" applyBorder="1" applyAlignment="1">
      <alignment horizontal="center" vertical="center" wrapText="1"/>
    </xf>
    <xf numFmtId="0" fontId="269" fillId="0" borderId="346" xfId="3801" applyFont="1" applyFill="1" applyBorder="1" applyAlignment="1">
      <alignment horizontal="center" vertical="center" wrapText="1"/>
    </xf>
    <xf numFmtId="171" fontId="269" fillId="0" borderId="378" xfId="3801" applyNumberFormat="1" applyFont="1" applyFill="1" applyBorder="1" applyAlignment="1">
      <alignment horizontal="center" vertical="center" wrapText="1"/>
    </xf>
    <xf numFmtId="0" fontId="269" fillId="0" borderId="378" xfId="3801" applyFont="1" applyFill="1" applyBorder="1" applyAlignment="1">
      <alignment horizontal="center" vertical="center" wrapText="1"/>
    </xf>
    <xf numFmtId="0" fontId="269" fillId="0" borderId="347" xfId="3802" applyFont="1" applyFill="1" applyBorder="1" applyAlignment="1">
      <alignment horizontal="center" vertical="center" wrapText="1"/>
    </xf>
    <xf numFmtId="0" fontId="270" fillId="0" borderId="378" xfId="3801" applyFont="1" applyFill="1" applyBorder="1" applyAlignment="1">
      <alignment horizontal="center" vertical="center" wrapText="1"/>
    </xf>
    <xf numFmtId="171" fontId="96" fillId="0" borderId="347" xfId="0" applyNumberFormat="1" applyFont="1" applyBorder="1" applyAlignment="1">
      <alignment horizontal="center" vertical="center"/>
    </xf>
    <xf numFmtId="0" fontId="269" fillId="0" borderId="346" xfId="3801" applyFont="1" applyFill="1" applyBorder="1" applyAlignment="1">
      <alignment horizontal="left" vertical="center" wrapText="1"/>
    </xf>
    <xf numFmtId="0" fontId="269" fillId="0" borderId="380" xfId="3801" applyFont="1" applyFill="1" applyBorder="1" applyAlignment="1">
      <alignment horizontal="center" vertical="center" wrapText="1"/>
    </xf>
    <xf numFmtId="0" fontId="7" fillId="0" borderId="377" xfId="3803" applyFont="1" applyFill="1" applyBorder="1" applyAlignment="1">
      <alignment horizontal="right" wrapText="1"/>
    </xf>
    <xf numFmtId="0" fontId="269" fillId="0" borderId="377" xfId="3803" applyFont="1" applyFill="1" applyBorder="1" applyAlignment="1">
      <alignment horizontal="center" vertical="center" wrapText="1"/>
    </xf>
    <xf numFmtId="0" fontId="269" fillId="0" borderId="377" xfId="3803" applyFont="1" applyFill="1" applyBorder="1" applyAlignment="1">
      <alignment horizontal="left" vertical="center" wrapText="1"/>
    </xf>
    <xf numFmtId="171" fontId="269" fillId="0" borderId="377" xfId="3803" applyNumberFormat="1" applyFont="1" applyFill="1" applyBorder="1" applyAlignment="1">
      <alignment horizontal="center" vertical="center" wrapText="1"/>
    </xf>
    <xf numFmtId="171" fontId="270" fillId="0" borderId="377" xfId="3803" applyNumberFormat="1" applyFont="1" applyFill="1" applyBorder="1" applyAlignment="1">
      <alignment horizontal="center" vertical="center" wrapText="1"/>
    </xf>
    <xf numFmtId="0" fontId="270" fillId="0" borderId="377" xfId="3803" applyFont="1" applyFill="1" applyBorder="1" applyAlignment="1">
      <alignment horizontal="center" vertical="center" wrapText="1"/>
    </xf>
    <xf numFmtId="0" fontId="269" fillId="0" borderId="346" xfId="3803" applyFont="1" applyFill="1" applyBorder="1" applyAlignment="1">
      <alignment horizontal="center" vertical="center" wrapText="1"/>
    </xf>
    <xf numFmtId="0" fontId="269" fillId="0" borderId="346" xfId="3803" applyFont="1" applyFill="1" applyBorder="1" applyAlignment="1">
      <alignment horizontal="left" vertical="center" wrapText="1"/>
    </xf>
    <xf numFmtId="171" fontId="269" fillId="0" borderId="346" xfId="3803" applyNumberFormat="1" applyFont="1" applyFill="1" applyBorder="1" applyAlignment="1">
      <alignment horizontal="center" vertical="center" wrapText="1"/>
    </xf>
    <xf numFmtId="0" fontId="269" fillId="0" borderId="378" xfId="3803" applyFont="1" applyFill="1" applyBorder="1" applyAlignment="1">
      <alignment horizontal="center" vertical="center" wrapText="1"/>
    </xf>
    <xf numFmtId="171" fontId="270" fillId="0" borderId="378" xfId="3803" applyNumberFormat="1" applyFont="1" applyFill="1" applyBorder="1" applyAlignment="1">
      <alignment horizontal="center" vertical="center" wrapText="1"/>
    </xf>
    <xf numFmtId="0" fontId="270" fillId="0" borderId="378" xfId="3803" applyFont="1" applyFill="1" applyBorder="1" applyAlignment="1">
      <alignment horizontal="center" vertical="center" wrapText="1"/>
    </xf>
    <xf numFmtId="171" fontId="269" fillId="0" borderId="378" xfId="3803" applyNumberFormat="1" applyFont="1" applyFill="1" applyBorder="1" applyAlignment="1">
      <alignment horizontal="center" vertical="center" wrapText="1"/>
    </xf>
    <xf numFmtId="0" fontId="50" fillId="0" borderId="0" xfId="0" applyFont="1" applyBorder="1" applyAlignment="1">
      <alignment horizontal="center"/>
    </xf>
    <xf numFmtId="0" fontId="269" fillId="0" borderId="0" xfId="3803" applyFont="1" applyFill="1" applyBorder="1" applyAlignment="1">
      <alignment horizontal="center" vertical="center" wrapText="1"/>
    </xf>
    <xf numFmtId="171" fontId="269" fillId="0" borderId="0" xfId="3803" applyNumberFormat="1" applyFont="1" applyFill="1" applyBorder="1" applyAlignment="1">
      <alignment horizontal="center" vertical="center" wrapText="1"/>
    </xf>
    <xf numFmtId="0" fontId="270" fillId="0" borderId="0" xfId="3803" applyFont="1" applyFill="1" applyBorder="1" applyAlignment="1">
      <alignment horizontal="center" vertical="center" wrapText="1"/>
    </xf>
    <xf numFmtId="0" fontId="270" fillId="0" borderId="346" xfId="3803" applyFont="1" applyFill="1" applyBorder="1" applyAlignment="1">
      <alignment horizontal="center" vertical="center" wrapText="1"/>
    </xf>
    <xf numFmtId="0" fontId="0" fillId="0" borderId="0" xfId="0"/>
    <xf numFmtId="0" fontId="0" fillId="0" borderId="0" xfId="0"/>
    <xf numFmtId="0" fontId="321" fillId="62" borderId="376" xfId="3807" applyFont="1" applyFill="1" applyBorder="1" applyAlignment="1">
      <alignment horizontal="center"/>
    </xf>
    <xf numFmtId="0" fontId="321" fillId="63" borderId="376" xfId="3807" applyFont="1" applyFill="1" applyBorder="1" applyAlignment="1">
      <alignment horizontal="center"/>
    </xf>
    <xf numFmtId="0" fontId="321" fillId="0" borderId="377" xfId="3807" applyNumberFormat="1" applyFont="1" applyFill="1" applyBorder="1" applyAlignment="1">
      <alignment horizontal="center" vertical="center" wrapText="1"/>
    </xf>
    <xf numFmtId="0" fontId="321" fillId="0" borderId="377" xfId="3807" applyFont="1" applyFill="1" applyBorder="1" applyAlignment="1">
      <alignment horizontal="right" wrapText="1"/>
    </xf>
    <xf numFmtId="0" fontId="320" fillId="0" borderId="0" xfId="3807"/>
    <xf numFmtId="0" fontId="321" fillId="0" borderId="377" xfId="3807" applyFont="1" applyFill="1" applyBorder="1" applyAlignment="1">
      <alignment horizontal="center" vertical="center" wrapText="1"/>
    </xf>
    <xf numFmtId="0" fontId="321" fillId="57" borderId="377" xfId="3807" applyFont="1" applyFill="1" applyBorder="1" applyAlignment="1">
      <alignment horizontal="right" wrapText="1"/>
    </xf>
    <xf numFmtId="0" fontId="23" fillId="0" borderId="377" xfId="3807" applyFont="1" applyFill="1" applyBorder="1" applyAlignment="1">
      <alignment horizontal="right" wrapText="1"/>
    </xf>
    <xf numFmtId="0" fontId="102" fillId="57" borderId="0" xfId="0" applyFont="1" applyFill="1"/>
    <xf numFmtId="0" fontId="0" fillId="0" borderId="0" xfId="0"/>
    <xf numFmtId="0" fontId="0" fillId="0" borderId="0" xfId="0"/>
    <xf numFmtId="0" fontId="0" fillId="0" borderId="25" xfId="0" applyBorder="1" applyAlignment="1">
      <alignment horizontal="center" vertical="center"/>
    </xf>
    <xf numFmtId="172" fontId="0" fillId="0" borderId="25" xfId="107" applyNumberFormat="1" applyFont="1" applyBorder="1" applyAlignment="1">
      <alignment horizontal="center" vertical="center"/>
    </xf>
    <xf numFmtId="168" fontId="79" fillId="20" borderId="307" xfId="739" applyNumberFormat="1" applyFont="1" applyFill="1" applyBorder="1" applyAlignment="1">
      <alignment horizontal="right" vertical="center"/>
    </xf>
    <xf numFmtId="0" fontId="323" fillId="0" borderId="16" xfId="0" applyFont="1" applyBorder="1" applyAlignment="1">
      <alignment horizontal="center" vertical="center" wrapText="1"/>
    </xf>
    <xf numFmtId="0" fontId="0" fillId="0" borderId="0" xfId="0"/>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39" fillId="0" borderId="16" xfId="0" applyFont="1" applyFill="1" applyBorder="1" applyAlignment="1">
      <alignment horizontal="center" vertical="center" wrapText="1"/>
    </xf>
    <xf numFmtId="0" fontId="2" fillId="0" borderId="0" xfId="0" applyFont="1" applyAlignment="1">
      <alignment horizontal="center" vertical="center" wrapText="1"/>
    </xf>
    <xf numFmtId="0" fontId="45" fillId="0" borderId="0" xfId="0" applyFont="1" applyAlignment="1">
      <alignment horizontal="center" vertical="center" wrapText="1"/>
    </xf>
    <xf numFmtId="3" fontId="57" fillId="0" borderId="260" xfId="0" applyNumberFormat="1" applyFont="1" applyBorder="1" applyAlignment="1">
      <alignment horizontal="center" vertical="center" wrapText="1"/>
    </xf>
    <xf numFmtId="3" fontId="57" fillId="0" borderId="219" xfId="0" applyNumberFormat="1" applyFont="1" applyBorder="1" applyAlignment="1">
      <alignment horizontal="center" vertical="center" wrapText="1"/>
    </xf>
    <xf numFmtId="3" fontId="57" fillId="0" borderId="182" xfId="0" applyNumberFormat="1" applyFont="1" applyBorder="1" applyAlignment="1">
      <alignment horizontal="center" vertical="center" wrapText="1"/>
    </xf>
    <xf numFmtId="3" fontId="57" fillId="0" borderId="136" xfId="0" applyNumberFormat="1" applyFont="1" applyBorder="1" applyAlignment="1">
      <alignment horizontal="center" vertical="center" wrapText="1"/>
    </xf>
    <xf numFmtId="0" fontId="42" fillId="20" borderId="146" xfId="149" applyFont="1" applyFill="1" applyBorder="1" applyAlignment="1">
      <alignment horizontal="center" vertical="center"/>
    </xf>
    <xf numFmtId="0" fontId="89" fillId="20" borderId="15" xfId="149" applyFont="1" applyFill="1" applyBorder="1" applyAlignment="1">
      <alignment horizontal="center" vertical="center"/>
    </xf>
    <xf numFmtId="0" fontId="0" fillId="0" borderId="0" xfId="0"/>
    <xf numFmtId="0" fontId="0" fillId="0" borderId="0" xfId="0" applyFont="1" applyAlignment="1"/>
    <xf numFmtId="0" fontId="0" fillId="0" borderId="0" xfId="0" applyFont="1" applyAlignment="1">
      <alignment horizontal="center"/>
    </xf>
    <xf numFmtId="0" fontId="48" fillId="0" borderId="0" xfId="0" applyFont="1" applyAlignment="1">
      <alignment horizontal="center"/>
    </xf>
    <xf numFmtId="3" fontId="0" fillId="0" borderId="383" xfId="0" applyNumberFormat="1" applyFont="1" applyBorder="1" applyAlignment="1">
      <alignment horizontal="center" vertical="center"/>
    </xf>
    <xf numFmtId="3" fontId="0" fillId="0" borderId="217" xfId="0" applyNumberFormat="1" applyFont="1" applyBorder="1" applyAlignment="1">
      <alignment horizontal="center" vertical="center"/>
    </xf>
    <xf numFmtId="3" fontId="74" fillId="64" borderId="217" xfId="0" applyNumberFormat="1" applyFont="1" applyFill="1" applyBorder="1" applyAlignment="1">
      <alignment horizontal="center" vertical="center"/>
    </xf>
    <xf numFmtId="0" fontId="0" fillId="0" borderId="217" xfId="0" applyFont="1" applyBorder="1" applyAlignment="1">
      <alignment horizontal="center"/>
    </xf>
    <xf numFmtId="0" fontId="89" fillId="0" borderId="291" xfId="149" applyFont="1" applyFill="1" applyBorder="1" applyAlignment="1">
      <alignment horizontal="center" vertical="center"/>
    </xf>
    <xf numFmtId="0" fontId="40" fillId="0" borderId="0" xfId="149" applyFont="1" applyBorder="1"/>
    <xf numFmtId="0" fontId="40" fillId="0" borderId="0" xfId="149" applyFont="1"/>
    <xf numFmtId="173" fontId="40" fillId="0" borderId="307" xfId="149" applyNumberFormat="1" applyFont="1" applyBorder="1" applyAlignment="1">
      <alignment horizontal="center" vertical="center"/>
    </xf>
    <xf numFmtId="49" fontId="40" fillId="0" borderId="307" xfId="149" applyNumberFormat="1" applyFont="1" applyBorder="1" applyAlignment="1">
      <alignment horizontal="center" vertical="center"/>
    </xf>
    <xf numFmtId="3" fontId="40" fillId="0" borderId="307" xfId="149" applyNumberFormat="1" applyFont="1" applyBorder="1" applyAlignment="1">
      <alignment horizontal="center"/>
    </xf>
    <xf numFmtId="173" fontId="40" fillId="0" borderId="330" xfId="0" applyNumberFormat="1" applyFont="1" applyBorder="1" applyAlignment="1">
      <alignment vertical="center" wrapText="1"/>
    </xf>
    <xf numFmtId="3" fontId="60" fillId="0" borderId="330" xfId="0" applyNumberFormat="1" applyFont="1" applyBorder="1" applyAlignment="1">
      <alignment vertical="center"/>
    </xf>
    <xf numFmtId="3" fontId="40" fillId="0" borderId="330" xfId="0" applyNumberFormat="1" applyFont="1" applyBorder="1" applyAlignment="1">
      <alignment horizontal="center" vertical="center"/>
    </xf>
    <xf numFmtId="3" fontId="0" fillId="0" borderId="330" xfId="0" applyNumberFormat="1" applyFont="1" applyBorder="1" applyAlignment="1">
      <alignment horizontal="center" vertical="center"/>
    </xf>
    <xf numFmtId="173" fontId="40" fillId="0" borderId="307" xfId="0" applyNumberFormat="1" applyFont="1" applyBorder="1" applyAlignment="1">
      <alignment horizontal="center" vertical="center"/>
    </xf>
    <xf numFmtId="3" fontId="60" fillId="0" borderId="330" xfId="0" applyNumberFormat="1" applyFont="1" applyBorder="1" applyAlignment="1">
      <alignment horizontal="center" vertical="center"/>
    </xf>
    <xf numFmtId="3" fontId="40" fillId="0" borderId="307" xfId="0" applyNumberFormat="1" applyFont="1" applyBorder="1" applyAlignment="1">
      <alignment horizontal="center" vertical="center"/>
    </xf>
    <xf numFmtId="3" fontId="0" fillId="0" borderId="307" xfId="0" applyNumberFormat="1" applyFont="1" applyBorder="1" applyAlignment="1">
      <alignment horizontal="center" vertical="center"/>
    </xf>
    <xf numFmtId="3" fontId="40" fillId="0" borderId="307" xfId="0" applyNumberFormat="1" applyFont="1" applyBorder="1" applyAlignment="1">
      <alignment horizontal="center"/>
    </xf>
    <xf numFmtId="173" fontId="40" fillId="0" borderId="307" xfId="0" applyNumberFormat="1" applyFont="1" applyBorder="1" applyAlignment="1">
      <alignment horizontal="center"/>
    </xf>
    <xf numFmtId="3" fontId="60" fillId="0" borderId="307" xfId="0" applyNumberFormat="1" applyFont="1" applyBorder="1" applyAlignment="1">
      <alignment horizontal="center" vertical="center"/>
    </xf>
    <xf numFmtId="3" fontId="0" fillId="0" borderId="307" xfId="0" applyNumberFormat="1" applyFont="1" applyBorder="1" applyAlignment="1">
      <alignment horizontal="center"/>
    </xf>
    <xf numFmtId="173" fontId="40" fillId="0" borderId="307" xfId="0" applyNumberFormat="1" applyFont="1" applyBorder="1" applyAlignment="1">
      <alignment horizontal="center" vertical="center" wrapText="1"/>
    </xf>
    <xf numFmtId="0" fontId="89" fillId="20" borderId="307" xfId="149" applyFont="1" applyFill="1" applyBorder="1" applyAlignment="1">
      <alignment horizontal="center" vertical="center"/>
    </xf>
    <xf numFmtId="3" fontId="89" fillId="20" borderId="307" xfId="149" applyNumberFormat="1" applyFont="1" applyFill="1" applyBorder="1" applyAlignment="1">
      <alignment horizontal="center" vertical="center"/>
    </xf>
    <xf numFmtId="3" fontId="40" fillId="0" borderId="0" xfId="0" applyNumberFormat="1" applyFont="1" applyBorder="1" applyAlignment="1">
      <alignment horizontal="center" vertical="center"/>
    </xf>
    <xf numFmtId="0" fontId="0" fillId="0" borderId="307" xfId="0" applyFont="1" applyBorder="1" applyAlignment="1">
      <alignment horizontal="center"/>
    </xf>
    <xf numFmtId="3" fontId="0" fillId="0" borderId="0" xfId="0" applyNumberFormat="1" applyFont="1" applyBorder="1" applyAlignment="1">
      <alignment horizontal="center" vertical="center"/>
    </xf>
    <xf numFmtId="3" fontId="0" fillId="0" borderId="0" xfId="0" applyNumberFormat="1" applyFont="1"/>
    <xf numFmtId="3" fontId="0" fillId="0" borderId="0" xfId="0" applyNumberFormat="1" applyFont="1" applyBorder="1"/>
    <xf numFmtId="173" fontId="60" fillId="0" borderId="307" xfId="0" applyNumberFormat="1" applyFont="1" applyBorder="1" applyAlignment="1">
      <alignment horizontal="center" vertical="center"/>
    </xf>
    <xf numFmtId="173" fontId="60" fillId="0" borderId="307" xfId="0" applyNumberFormat="1" applyFont="1" applyBorder="1" applyAlignment="1">
      <alignment horizontal="center" vertical="center" wrapText="1"/>
    </xf>
    <xf numFmtId="0" fontId="49" fillId="0" borderId="307" xfId="0" applyFont="1" applyBorder="1" applyAlignment="1">
      <alignment horizontal="center" vertical="center"/>
    </xf>
    <xf numFmtId="3" fontId="89" fillId="43" borderId="307" xfId="149" applyNumberFormat="1" applyFont="1" applyFill="1" applyBorder="1" applyAlignment="1">
      <alignment horizontal="center" vertical="center"/>
    </xf>
    <xf numFmtId="0" fontId="40" fillId="0" borderId="307" xfId="149" applyFont="1" applyBorder="1" applyAlignment="1">
      <alignment horizontal="center" vertical="center"/>
    </xf>
    <xf numFmtId="3" fontId="89" fillId="56" borderId="307" xfId="149" applyNumberFormat="1" applyFont="1" applyFill="1" applyBorder="1" applyAlignment="1">
      <alignment horizontal="center" vertical="center"/>
    </xf>
    <xf numFmtId="3" fontId="89" fillId="43" borderId="307" xfId="149" applyNumberFormat="1" applyFont="1" applyFill="1" applyBorder="1" applyAlignment="1">
      <alignment horizontal="center"/>
    </xf>
    <xf numFmtId="0" fontId="66" fillId="0" borderId="0" xfId="0" applyFont="1" applyAlignment="1"/>
    <xf numFmtId="3" fontId="0" fillId="0" borderId="0" xfId="0" applyNumberFormat="1" applyFont="1" applyAlignment="1">
      <alignment horizontal="center"/>
    </xf>
    <xf numFmtId="3" fontId="40" fillId="0" borderId="307" xfId="149" applyNumberFormat="1" applyFont="1" applyBorder="1" applyAlignment="1">
      <alignment horizontal="center" vertical="center"/>
    </xf>
    <xf numFmtId="3" fontId="49" fillId="0" borderId="307" xfId="0" applyNumberFormat="1" applyFont="1" applyBorder="1" applyAlignment="1">
      <alignment horizontal="center"/>
    </xf>
    <xf numFmtId="173" fontId="40" fillId="0" borderId="0" xfId="0" applyNumberFormat="1" applyFont="1" applyFill="1" applyBorder="1" applyAlignment="1">
      <alignment horizontal="left" vertical="center"/>
    </xf>
    <xf numFmtId="173" fontId="40" fillId="0" borderId="247" xfId="149" applyNumberFormat="1" applyFont="1" applyBorder="1" applyAlignment="1">
      <alignment horizontal="center" vertical="center"/>
    </xf>
    <xf numFmtId="49" fontId="40" fillId="0" borderId="247" xfId="149" applyNumberFormat="1" applyFont="1" applyBorder="1" applyAlignment="1">
      <alignment horizontal="center" vertical="center"/>
    </xf>
    <xf numFmtId="3" fontId="40" fillId="0" borderId="247" xfId="149" applyNumberFormat="1" applyFont="1" applyBorder="1" applyAlignment="1">
      <alignment horizontal="center"/>
    </xf>
    <xf numFmtId="0" fontId="60" fillId="0" borderId="247" xfId="149" applyFont="1" applyBorder="1" applyAlignment="1">
      <alignment horizontal="center"/>
    </xf>
    <xf numFmtId="3" fontId="0" fillId="0" borderId="247" xfId="0" applyNumberFormat="1" applyFont="1" applyBorder="1" applyAlignment="1">
      <alignment horizontal="center"/>
    </xf>
    <xf numFmtId="173" fontId="40" fillId="0" borderId="247" xfId="0" applyNumberFormat="1" applyFont="1" applyBorder="1" applyAlignment="1">
      <alignment horizontal="center" vertical="center"/>
    </xf>
    <xf numFmtId="3" fontId="40" fillId="0" borderId="247" xfId="0" applyNumberFormat="1" applyFont="1" applyBorder="1" applyAlignment="1">
      <alignment horizontal="center" vertical="center"/>
    </xf>
    <xf numFmtId="3" fontId="40" fillId="0" borderId="247" xfId="0" applyNumberFormat="1" applyFont="1" applyBorder="1" applyAlignment="1">
      <alignment horizontal="center"/>
    </xf>
    <xf numFmtId="173" fontId="40" fillId="0" borderId="295" xfId="0" applyNumberFormat="1" applyFont="1" applyBorder="1" applyAlignment="1">
      <alignment vertical="center" wrapText="1"/>
    </xf>
    <xf numFmtId="3" fontId="60" fillId="0" borderId="295" xfId="0" applyNumberFormat="1" applyFont="1" applyBorder="1" applyAlignment="1">
      <alignment vertical="center"/>
    </xf>
    <xf numFmtId="3" fontId="40" fillId="0" borderId="295" xfId="0" applyNumberFormat="1" applyFont="1" applyBorder="1" applyAlignment="1">
      <alignment horizontal="center" vertical="center"/>
    </xf>
    <xf numFmtId="3" fontId="0" fillId="0" borderId="295" xfId="0" applyNumberFormat="1" applyFont="1" applyBorder="1" applyAlignment="1">
      <alignment horizontal="center" vertical="center"/>
    </xf>
    <xf numFmtId="173" fontId="40" fillId="0" borderId="247" xfId="0" applyNumberFormat="1" applyFont="1" applyBorder="1" applyAlignment="1">
      <alignment horizontal="center" vertical="center" wrapText="1"/>
    </xf>
    <xf numFmtId="3" fontId="60" fillId="0" borderId="295" xfId="0" applyNumberFormat="1" applyFont="1" applyBorder="1" applyAlignment="1">
      <alignment horizontal="center" vertical="center"/>
    </xf>
    <xf numFmtId="3" fontId="0" fillId="0" borderId="247" xfId="0" applyNumberFormat="1" applyFont="1" applyBorder="1" applyAlignment="1">
      <alignment horizontal="center" vertical="center"/>
    </xf>
    <xf numFmtId="173" fontId="40" fillId="0" borderId="247" xfId="0" applyNumberFormat="1" applyFont="1" applyBorder="1" applyAlignment="1">
      <alignment horizontal="center"/>
    </xf>
    <xf numFmtId="3" fontId="60" fillId="0" borderId="247" xfId="0" applyNumberFormat="1" applyFont="1" applyBorder="1" applyAlignment="1">
      <alignment horizontal="center" vertical="center"/>
    </xf>
    <xf numFmtId="0" fontId="89" fillId="43" borderId="247" xfId="149" applyFont="1" applyFill="1" applyBorder="1" applyAlignment="1">
      <alignment horizontal="center" vertical="center"/>
    </xf>
    <xf numFmtId="3" fontId="89" fillId="20" borderId="247" xfId="149" applyNumberFormat="1" applyFont="1" applyFill="1" applyBorder="1" applyAlignment="1">
      <alignment horizontal="center" vertical="center"/>
    </xf>
    <xf numFmtId="0" fontId="0" fillId="0" borderId="247" xfId="0" applyFont="1" applyBorder="1" applyAlignment="1">
      <alignment horizontal="center"/>
    </xf>
    <xf numFmtId="173" fontId="60" fillId="0" borderId="247" xfId="0" applyNumberFormat="1" applyFont="1" applyBorder="1" applyAlignment="1">
      <alignment horizontal="center" vertical="center"/>
    </xf>
    <xf numFmtId="173" fontId="60" fillId="0" borderId="247" xfId="0" applyNumberFormat="1" applyFont="1" applyBorder="1" applyAlignment="1">
      <alignment horizontal="center" vertical="center" wrapText="1"/>
    </xf>
    <xf numFmtId="0" fontId="49" fillId="0" borderId="247" xfId="0" applyFont="1" applyBorder="1" applyAlignment="1">
      <alignment horizontal="center" vertical="center"/>
    </xf>
    <xf numFmtId="0" fontId="40" fillId="0" borderId="247" xfId="149" applyFont="1" applyBorder="1" applyAlignment="1">
      <alignment horizontal="center" vertical="center"/>
    </xf>
    <xf numFmtId="0" fontId="89" fillId="20" borderId="247" xfId="149" applyFont="1" applyFill="1" applyBorder="1" applyAlignment="1">
      <alignment horizontal="center" vertical="center"/>
    </xf>
    <xf numFmtId="3" fontId="89" fillId="43" borderId="247" xfId="149" applyNumberFormat="1" applyFont="1" applyFill="1" applyBorder="1" applyAlignment="1">
      <alignment horizontal="center" vertical="center"/>
    </xf>
    <xf numFmtId="3" fontId="89" fillId="0" borderId="247" xfId="149" applyNumberFormat="1" applyFont="1" applyFill="1" applyBorder="1" applyAlignment="1">
      <alignment horizontal="center"/>
    </xf>
    <xf numFmtId="3" fontId="40" fillId="0" borderId="247" xfId="149" applyNumberFormat="1" applyFont="1" applyBorder="1" applyAlignment="1">
      <alignment horizontal="center" vertical="center"/>
    </xf>
    <xf numFmtId="3" fontId="49" fillId="0" borderId="247" xfId="0" applyNumberFormat="1" applyFont="1" applyBorder="1" applyAlignment="1">
      <alignment horizontal="center"/>
    </xf>
    <xf numFmtId="3" fontId="89" fillId="20" borderId="247" xfId="149" applyNumberFormat="1" applyFont="1" applyFill="1" applyBorder="1" applyAlignment="1">
      <alignment horizontal="center"/>
    </xf>
    <xf numFmtId="0" fontId="92" fillId="0" borderId="0" xfId="0" applyFont="1" applyAlignment="1">
      <alignment horizontal="center"/>
    </xf>
    <xf numFmtId="0" fontId="89" fillId="0" borderId="162" xfId="149" applyFont="1" applyFill="1" applyBorder="1" applyAlignment="1">
      <alignment horizontal="center" vertical="center"/>
    </xf>
    <xf numFmtId="173" fontId="40" fillId="0" borderId="214" xfId="149" applyNumberFormat="1" applyFont="1" applyBorder="1" applyAlignment="1">
      <alignment horizontal="center" vertical="center"/>
    </xf>
    <xf numFmtId="49" fontId="40" fillId="0" borderId="214" xfId="149" applyNumberFormat="1" applyFont="1" applyBorder="1" applyAlignment="1">
      <alignment horizontal="center" vertical="center"/>
    </xf>
    <xf numFmtId="3" fontId="40" fillId="0" borderId="214" xfId="149" applyNumberFormat="1" applyFont="1" applyBorder="1" applyAlignment="1">
      <alignment horizontal="center"/>
    </xf>
    <xf numFmtId="0" fontId="40" fillId="0" borderId="214" xfId="149" applyFont="1" applyBorder="1" applyAlignment="1">
      <alignment horizontal="center"/>
    </xf>
    <xf numFmtId="3" fontId="0" fillId="0" borderId="214" xfId="0" applyNumberFormat="1" applyFont="1" applyBorder="1" applyAlignment="1">
      <alignment horizontal="center"/>
    </xf>
    <xf numFmtId="173" fontId="40" fillId="0" borderId="214" xfId="0" applyNumberFormat="1" applyFont="1" applyBorder="1" applyAlignment="1">
      <alignment horizontal="center" vertical="center"/>
    </xf>
    <xf numFmtId="3" fontId="40" fillId="0" borderId="214" xfId="0" applyNumberFormat="1" applyFont="1" applyBorder="1" applyAlignment="1">
      <alignment horizontal="center" vertical="center"/>
    </xf>
    <xf numFmtId="3" fontId="40" fillId="0" borderId="214" xfId="0" applyNumberFormat="1" applyFont="1" applyBorder="1" applyAlignment="1">
      <alignment horizontal="center"/>
    </xf>
    <xf numFmtId="173" fontId="40" fillId="0" borderId="216" xfId="0" applyNumberFormat="1" applyFont="1" applyBorder="1" applyAlignment="1">
      <alignment vertical="center" wrapText="1"/>
    </xf>
    <xf numFmtId="3" fontId="60" fillId="0" borderId="216" xfId="0" applyNumberFormat="1" applyFont="1" applyBorder="1" applyAlignment="1">
      <alignment vertical="center"/>
    </xf>
    <xf numFmtId="3" fontId="40" fillId="0" borderId="216" xfId="0" applyNumberFormat="1" applyFont="1" applyBorder="1" applyAlignment="1">
      <alignment horizontal="center" vertical="center"/>
    </xf>
    <xf numFmtId="3" fontId="0" fillId="0" borderId="216" xfId="0" applyNumberFormat="1" applyFont="1" applyBorder="1" applyAlignment="1">
      <alignment horizontal="center" vertical="center"/>
    </xf>
    <xf numFmtId="173" fontId="40" fillId="0" borderId="214" xfId="0" applyNumberFormat="1" applyFont="1" applyBorder="1" applyAlignment="1">
      <alignment horizontal="center" vertical="center" wrapText="1"/>
    </xf>
    <xf numFmtId="3" fontId="60" fillId="0" borderId="216" xfId="0" applyNumberFormat="1" applyFont="1" applyBorder="1" applyAlignment="1">
      <alignment horizontal="center" vertical="center"/>
    </xf>
    <xf numFmtId="3" fontId="0" fillId="0" borderId="214" xfId="0" applyNumberFormat="1" applyFont="1" applyBorder="1" applyAlignment="1">
      <alignment horizontal="center" vertical="center"/>
    </xf>
    <xf numFmtId="173" fontId="40" fillId="0" borderId="214" xfId="0" applyNumberFormat="1" applyFont="1" applyBorder="1" applyAlignment="1">
      <alignment horizontal="center"/>
    </xf>
    <xf numFmtId="3" fontId="60" fillId="0" borderId="214" xfId="0" applyNumberFormat="1" applyFont="1" applyBorder="1" applyAlignment="1">
      <alignment horizontal="center" vertical="center"/>
    </xf>
    <xf numFmtId="3" fontId="89" fillId="43" borderId="214" xfId="149" applyNumberFormat="1" applyFont="1" applyFill="1" applyBorder="1" applyAlignment="1">
      <alignment horizontal="center" vertical="center"/>
    </xf>
    <xf numFmtId="0" fontId="89" fillId="20" borderId="214" xfId="149" applyFont="1" applyFill="1" applyBorder="1" applyAlignment="1">
      <alignment horizontal="center" vertical="center"/>
    </xf>
    <xf numFmtId="3" fontId="89" fillId="20" borderId="214" xfId="149" applyNumberFormat="1" applyFont="1" applyFill="1" applyBorder="1" applyAlignment="1">
      <alignment horizontal="center" vertical="center"/>
    </xf>
    <xf numFmtId="0" fontId="0" fillId="0" borderId="214" xfId="0" applyFont="1" applyBorder="1" applyAlignment="1">
      <alignment horizontal="center"/>
    </xf>
    <xf numFmtId="173" fontId="60" fillId="0" borderId="214" xfId="0" applyNumberFormat="1" applyFont="1" applyBorder="1" applyAlignment="1">
      <alignment horizontal="center" vertical="center"/>
    </xf>
    <xf numFmtId="173" fontId="60" fillId="0" borderId="214" xfId="0" applyNumberFormat="1" applyFont="1" applyBorder="1" applyAlignment="1">
      <alignment horizontal="center" vertical="center" wrapText="1"/>
    </xf>
    <xf numFmtId="0" fontId="49" fillId="0" borderId="214" xfId="0" applyFont="1" applyBorder="1" applyAlignment="1">
      <alignment horizontal="center" vertical="center"/>
    </xf>
    <xf numFmtId="0" fontId="40" fillId="0" borderId="214" xfId="149" applyFont="1" applyBorder="1" applyAlignment="1">
      <alignment horizontal="center" vertical="center"/>
    </xf>
    <xf numFmtId="3" fontId="89" fillId="20" borderId="214" xfId="149" applyNumberFormat="1" applyFont="1" applyFill="1" applyBorder="1" applyAlignment="1">
      <alignment horizontal="center"/>
    </xf>
    <xf numFmtId="3" fontId="89" fillId="43" borderId="126" xfId="149" applyNumberFormat="1" applyFont="1" applyFill="1" applyBorder="1" applyAlignment="1">
      <alignment horizontal="center" vertical="center"/>
    </xf>
    <xf numFmtId="3" fontId="49" fillId="0" borderId="214" xfId="0" applyNumberFormat="1" applyFont="1" applyBorder="1" applyAlignment="1">
      <alignment horizontal="center"/>
    </xf>
    <xf numFmtId="173" fontId="40" fillId="0" borderId="214" xfId="0" applyNumberFormat="1" applyFont="1" applyFill="1" applyBorder="1" applyAlignment="1">
      <alignment horizontal="center" vertical="center"/>
    </xf>
    <xf numFmtId="3" fontId="89" fillId="58" borderId="214" xfId="149" applyNumberFormat="1" applyFont="1" applyFill="1" applyBorder="1" applyAlignment="1">
      <alignment horizontal="center" vertical="center"/>
    </xf>
    <xf numFmtId="3" fontId="89" fillId="41" borderId="214" xfId="149" applyNumberFormat="1" applyFont="1" applyFill="1" applyBorder="1" applyAlignment="1">
      <alignment horizontal="center"/>
    </xf>
    <xf numFmtId="0" fontId="89" fillId="0" borderId="162" xfId="149" applyFont="1" applyBorder="1" applyAlignment="1">
      <alignment horizontal="center" vertical="center"/>
    </xf>
    <xf numFmtId="173" fontId="40" fillId="0" borderId="166" xfId="149" applyNumberFormat="1" applyFont="1" applyBorder="1" applyAlignment="1">
      <alignment horizontal="center" vertical="center"/>
    </xf>
    <xf numFmtId="0" fontId="40" fillId="0" borderId="166" xfId="0" applyFont="1" applyBorder="1" applyAlignment="1">
      <alignment horizontal="center" vertical="center"/>
    </xf>
    <xf numFmtId="3" fontId="40" fillId="0" borderId="166" xfId="149" applyNumberFormat="1" applyFont="1" applyBorder="1" applyAlignment="1">
      <alignment horizontal="center"/>
    </xf>
    <xf numFmtId="173" fontId="40" fillId="0" borderId="167" xfId="0" applyNumberFormat="1" applyFont="1" applyBorder="1" applyAlignment="1">
      <alignment vertical="center" wrapText="1"/>
    </xf>
    <xf numFmtId="3" fontId="60" fillId="0" borderId="167" xfId="0" applyNumberFormat="1" applyFont="1" applyBorder="1" applyAlignment="1">
      <alignment vertical="center"/>
    </xf>
    <xf numFmtId="3" fontId="40" fillId="0" borderId="167" xfId="0" applyNumberFormat="1" applyFont="1" applyBorder="1" applyAlignment="1">
      <alignment horizontal="center" vertical="center"/>
    </xf>
    <xf numFmtId="173" fontId="40" fillId="0" borderId="166" xfId="0" applyNumberFormat="1" applyFont="1" applyBorder="1" applyAlignment="1">
      <alignment horizontal="center" vertical="center"/>
    </xf>
    <xf numFmtId="3" fontId="40" fillId="0" borderId="166" xfId="0" applyNumberFormat="1" applyFont="1" applyBorder="1" applyAlignment="1">
      <alignment horizontal="center" vertical="center"/>
    </xf>
    <xf numFmtId="3" fontId="40" fillId="0" borderId="166" xfId="0" applyNumberFormat="1" applyFont="1" applyBorder="1" applyAlignment="1">
      <alignment horizontal="center"/>
    </xf>
    <xf numFmtId="3" fontId="60" fillId="0" borderId="167" xfId="0" applyNumberFormat="1" applyFont="1" applyBorder="1" applyAlignment="1">
      <alignment horizontal="center" vertical="center"/>
    </xf>
    <xf numFmtId="173" fontId="40" fillId="0" borderId="166" xfId="0" applyNumberFormat="1" applyFont="1" applyBorder="1" applyAlignment="1">
      <alignment horizontal="center" vertical="center" wrapText="1"/>
    </xf>
    <xf numFmtId="173" fontId="40" fillId="0" borderId="166" xfId="0" applyNumberFormat="1" applyFont="1" applyBorder="1" applyAlignment="1">
      <alignment horizontal="center"/>
    </xf>
    <xf numFmtId="3" fontId="60" fillId="0" borderId="166" xfId="0" applyNumberFormat="1" applyFont="1" applyBorder="1" applyAlignment="1">
      <alignment horizontal="center" vertical="center"/>
    </xf>
    <xf numFmtId="3" fontId="0" fillId="0" borderId="166" xfId="0" applyNumberFormat="1" applyFont="1" applyBorder="1" applyAlignment="1">
      <alignment horizontal="center"/>
    </xf>
    <xf numFmtId="0" fontId="89" fillId="20" borderId="166" xfId="149" applyFont="1" applyFill="1" applyBorder="1" applyAlignment="1">
      <alignment horizontal="center" vertical="center"/>
    </xf>
    <xf numFmtId="3" fontId="89" fillId="20" borderId="166" xfId="149" applyNumberFormat="1" applyFont="1" applyFill="1" applyBorder="1" applyAlignment="1">
      <alignment horizontal="center" vertical="center"/>
    </xf>
    <xf numFmtId="173" fontId="60" fillId="0" borderId="166" xfId="0" applyNumberFormat="1" applyFont="1" applyBorder="1" applyAlignment="1">
      <alignment horizontal="center" vertical="center"/>
    </xf>
    <xf numFmtId="0" fontId="0" fillId="0" borderId="166" xfId="0" applyFont="1" applyBorder="1" applyAlignment="1">
      <alignment horizontal="center"/>
    </xf>
    <xf numFmtId="173" fontId="60" fillId="0" borderId="166" xfId="0" applyNumberFormat="1" applyFont="1" applyBorder="1" applyAlignment="1">
      <alignment horizontal="center" vertical="center" wrapText="1"/>
    </xf>
    <xf numFmtId="0" fontId="49" fillId="0" borderId="166" xfId="0" applyFont="1" applyBorder="1" applyAlignment="1">
      <alignment horizontal="center" vertical="center"/>
    </xf>
    <xf numFmtId="0" fontId="40" fillId="0" borderId="166" xfId="149" applyFont="1" applyBorder="1" applyAlignment="1">
      <alignment horizontal="center" vertical="center"/>
    </xf>
    <xf numFmtId="3" fontId="89" fillId="56" borderId="166" xfId="149" applyNumberFormat="1" applyFont="1" applyFill="1" applyBorder="1" applyAlignment="1">
      <alignment horizontal="center" vertical="center"/>
    </xf>
    <xf numFmtId="3" fontId="89" fillId="43" borderId="166" xfId="149" applyNumberFormat="1" applyFont="1" applyFill="1" applyBorder="1" applyAlignment="1">
      <alignment horizontal="center"/>
    </xf>
    <xf numFmtId="3" fontId="49" fillId="0" borderId="166" xfId="0" applyNumberFormat="1" applyFont="1" applyBorder="1" applyAlignment="1">
      <alignment horizontal="center"/>
    </xf>
    <xf numFmtId="0" fontId="0" fillId="0" borderId="0" xfId="616" applyFont="1"/>
    <xf numFmtId="0" fontId="89" fillId="0" borderId="0" xfId="149" applyFont="1" applyAlignment="1">
      <alignment horizontal="center" vertical="center"/>
    </xf>
    <xf numFmtId="0" fontId="66" fillId="0" borderId="0" xfId="0" applyFont="1" applyAlignment="1">
      <alignment horizontal="left" wrapText="1"/>
    </xf>
    <xf numFmtId="0" fontId="0" fillId="0" borderId="146" xfId="0" applyFont="1" applyBorder="1" applyAlignment="1">
      <alignment horizontal="center" vertical="center"/>
    </xf>
    <xf numFmtId="3" fontId="0" fillId="0" borderId="146" xfId="0" applyNumberFormat="1" applyFont="1" applyBorder="1" applyAlignment="1">
      <alignment horizontal="center" vertical="center"/>
    </xf>
    <xf numFmtId="0" fontId="89" fillId="20" borderId="162" xfId="149" applyFont="1" applyFill="1" applyBorder="1" applyAlignment="1">
      <alignment horizontal="center" vertical="center"/>
    </xf>
    <xf numFmtId="0" fontId="40" fillId="0" borderId="154" xfId="149" applyFont="1" applyBorder="1" applyAlignment="1">
      <alignment horizontal="center"/>
    </xf>
    <xf numFmtId="3" fontId="40" fillId="0" borderId="154" xfId="149" applyNumberFormat="1" applyFont="1" applyBorder="1" applyAlignment="1">
      <alignment horizontal="center"/>
    </xf>
    <xf numFmtId="3" fontId="0" fillId="0" borderId="161" xfId="0" applyNumberFormat="1" applyFont="1" applyBorder="1" applyAlignment="1">
      <alignment horizontal="center"/>
    </xf>
    <xf numFmtId="173" fontId="40" fillId="0" borderId="154" xfId="149" applyNumberFormat="1" applyFont="1" applyBorder="1" applyAlignment="1">
      <alignment horizontal="center" vertical="center"/>
    </xf>
    <xf numFmtId="0" fontId="40" fillId="0" borderId="154" xfId="149" applyFont="1" applyBorder="1" applyAlignment="1">
      <alignment horizontal="center" vertical="center"/>
    </xf>
    <xf numFmtId="3" fontId="40" fillId="0" borderId="154" xfId="149" applyNumberFormat="1" applyFont="1" applyBorder="1" applyAlignment="1">
      <alignment horizontal="center" vertical="center"/>
    </xf>
    <xf numFmtId="173" fontId="40" fillId="0" borderId="154" xfId="0" applyNumberFormat="1" applyFont="1" applyBorder="1" applyAlignment="1">
      <alignment horizontal="center" vertical="center"/>
    </xf>
    <xf numFmtId="3" fontId="40" fillId="0" borderId="154" xfId="0" applyNumberFormat="1" applyFont="1" applyBorder="1" applyAlignment="1">
      <alignment horizontal="center" vertical="center"/>
    </xf>
    <xf numFmtId="173" fontId="89" fillId="0" borderId="154" xfId="149" applyNumberFormat="1" applyFont="1" applyBorder="1" applyAlignment="1">
      <alignment horizontal="center" vertical="center"/>
    </xf>
    <xf numFmtId="0" fontId="89" fillId="43" borderId="153" xfId="149" applyFont="1" applyFill="1" applyBorder="1" applyAlignment="1">
      <alignment horizontal="center" vertical="center"/>
    </xf>
    <xf numFmtId="0" fontId="89" fillId="20" borderId="154" xfId="149" applyFont="1" applyFill="1" applyBorder="1" applyAlignment="1">
      <alignment horizontal="center" vertical="center"/>
    </xf>
    <xf numFmtId="3" fontId="89" fillId="20" borderId="154" xfId="149" applyNumberFormat="1" applyFont="1" applyFill="1" applyBorder="1" applyAlignment="1">
      <alignment horizontal="center" vertical="center"/>
    </xf>
    <xf numFmtId="173" fontId="60" fillId="0" borderId="154" xfId="0" applyNumberFormat="1" applyFont="1" applyBorder="1" applyAlignment="1">
      <alignment horizontal="center" vertical="center"/>
    </xf>
    <xf numFmtId="173" fontId="60" fillId="0" borderId="154" xfId="0" applyNumberFormat="1" applyFont="1" applyBorder="1" applyAlignment="1">
      <alignment horizontal="center" vertical="center" wrapText="1"/>
    </xf>
    <xf numFmtId="0" fontId="0" fillId="0" borderId="154" xfId="0" applyFont="1" applyBorder="1" applyAlignment="1">
      <alignment horizontal="center"/>
    </xf>
    <xf numFmtId="3" fontId="89" fillId="43" borderId="154" xfId="149" applyNumberFormat="1" applyFont="1" applyFill="1" applyBorder="1" applyAlignment="1">
      <alignment horizontal="center" vertical="center"/>
    </xf>
    <xf numFmtId="0" fontId="49" fillId="0" borderId="154" xfId="0" applyFont="1" applyBorder="1" applyAlignment="1">
      <alignment horizontal="center" vertical="center"/>
    </xf>
    <xf numFmtId="3" fontId="49" fillId="0" borderId="154" xfId="0" applyNumberFormat="1" applyFont="1" applyBorder="1" applyAlignment="1">
      <alignment horizontal="center" vertical="center"/>
    </xf>
    <xf numFmtId="0" fontId="89" fillId="0" borderId="154" xfId="149" applyFont="1" applyBorder="1" applyAlignment="1">
      <alignment horizontal="center" vertical="center"/>
    </xf>
    <xf numFmtId="0" fontId="66" fillId="0" borderId="150" xfId="0" applyFont="1" applyBorder="1" applyAlignment="1">
      <alignment horizontal="left" wrapText="1"/>
    </xf>
    <xf numFmtId="0" fontId="89" fillId="20" borderId="161" xfId="149" applyFont="1" applyFill="1" applyBorder="1" applyAlignment="1">
      <alignment horizontal="center" vertical="center"/>
    </xf>
    <xf numFmtId="0" fontId="89" fillId="20" borderId="161" xfId="149" applyFont="1" applyFill="1" applyBorder="1" applyAlignment="1">
      <alignment horizontal="center" vertical="center" wrapText="1"/>
    </xf>
    <xf numFmtId="0" fontId="74" fillId="20" borderId="154" xfId="0" applyFont="1" applyFill="1" applyBorder="1" applyAlignment="1">
      <alignment horizontal="center"/>
    </xf>
    <xf numFmtId="173" fontId="40" fillId="0" borderId="154" xfId="149" applyNumberFormat="1" applyFont="1" applyBorder="1" applyAlignment="1">
      <alignment vertical="center"/>
    </xf>
    <xf numFmtId="173" fontId="89" fillId="0" borderId="161" xfId="0" applyNumberFormat="1" applyFont="1" applyBorder="1" applyAlignment="1">
      <alignment vertical="center"/>
    </xf>
    <xf numFmtId="173" fontId="40" fillId="0" borderId="154" xfId="0" applyNumberFormat="1" applyFont="1" applyBorder="1" applyAlignment="1">
      <alignment horizontal="left"/>
    </xf>
    <xf numFmtId="3" fontId="40" fillId="0" borderId="154" xfId="0" applyNumberFormat="1" applyFont="1" applyBorder="1" applyAlignment="1">
      <alignment horizontal="center"/>
    </xf>
    <xf numFmtId="173" fontId="40" fillId="0" borderId="161" xfId="0" applyNumberFormat="1" applyFont="1" applyBorder="1" applyAlignment="1">
      <alignment vertical="center" wrapText="1"/>
    </xf>
    <xf numFmtId="3" fontId="40" fillId="0" borderId="161" xfId="0" applyNumberFormat="1" applyFont="1" applyBorder="1" applyAlignment="1">
      <alignment horizontal="center" vertical="center"/>
    </xf>
    <xf numFmtId="173" fontId="40" fillId="0" borderId="154" xfId="0" applyNumberFormat="1" applyFont="1" applyBorder="1"/>
    <xf numFmtId="3" fontId="40" fillId="0" borderId="161" xfId="0" applyNumberFormat="1" applyFont="1" applyBorder="1" applyAlignment="1">
      <alignment vertical="center"/>
    </xf>
    <xf numFmtId="3" fontId="40" fillId="0" borderId="157" xfId="0" applyNumberFormat="1" applyFont="1" applyBorder="1" applyAlignment="1">
      <alignment vertical="center"/>
    </xf>
    <xf numFmtId="3" fontId="60" fillId="0" borderId="157" xfId="0" applyNumberFormat="1" applyFont="1" applyBorder="1" applyAlignment="1">
      <alignment vertical="center"/>
    </xf>
    <xf numFmtId="3" fontId="40" fillId="0" borderId="162" xfId="0" applyNumberFormat="1" applyFont="1" applyBorder="1" applyAlignment="1">
      <alignment vertical="center"/>
    </xf>
    <xf numFmtId="0" fontId="89" fillId="43" borderId="154" xfId="149" applyFont="1" applyFill="1" applyBorder="1" applyAlignment="1">
      <alignment horizontal="center" vertical="center"/>
    </xf>
    <xf numFmtId="173" fontId="40" fillId="0" borderId="154" xfId="0" applyNumberFormat="1" applyFont="1" applyBorder="1" applyAlignment="1">
      <alignment vertical="center"/>
    </xf>
    <xf numFmtId="173" fontId="40" fillId="0" borderId="154" xfId="149" applyNumberFormat="1" applyFont="1" applyBorder="1" applyAlignment="1">
      <alignment horizontal="left" vertical="center"/>
    </xf>
    <xf numFmtId="0" fontId="0" fillId="0" borderId="154" xfId="0" applyFont="1" applyBorder="1"/>
    <xf numFmtId="0" fontId="0" fillId="0" borderId="154" xfId="0" applyFont="1" applyBorder="1" applyAlignment="1">
      <alignment horizontal="left" indent="2"/>
    </xf>
    <xf numFmtId="3" fontId="0" fillId="0" borderId="154" xfId="0" applyNumberFormat="1" applyFont="1" applyBorder="1" applyAlignment="1">
      <alignment horizontal="center"/>
    </xf>
    <xf numFmtId="0" fontId="51" fillId="0" borderId="154" xfId="0" applyFont="1" applyBorder="1" applyAlignment="1">
      <alignment vertical="center"/>
    </xf>
    <xf numFmtId="173" fontId="40" fillId="0" borderId="154" xfId="0" applyNumberFormat="1" applyFont="1" applyBorder="1" applyAlignment="1">
      <alignment horizontal="left" vertical="center"/>
    </xf>
    <xf numFmtId="173" fontId="86" fillId="0" borderId="154" xfId="0" applyNumberFormat="1" applyFont="1" applyBorder="1"/>
    <xf numFmtId="173" fontId="89" fillId="0" borderId="161" xfId="149" applyNumberFormat="1" applyFont="1" applyBorder="1" applyAlignment="1">
      <alignment horizontal="center" vertical="center"/>
    </xf>
    <xf numFmtId="0" fontId="40" fillId="0" borderId="154" xfId="149" applyFont="1" applyBorder="1" applyAlignment="1">
      <alignment horizontal="left" indent="2"/>
    </xf>
    <xf numFmtId="0" fontId="49" fillId="0" borderId="154" xfId="0" applyFont="1" applyBorder="1" applyAlignment="1">
      <alignment horizontal="left" indent="2"/>
    </xf>
    <xf numFmtId="3" fontId="49" fillId="0" borderId="154" xfId="0" applyNumberFormat="1" applyFont="1" applyBorder="1" applyAlignment="1">
      <alignment horizontal="center"/>
    </xf>
    <xf numFmtId="173" fontId="40" fillId="0" borderId="154" xfId="0" applyNumberFormat="1" applyFont="1" applyBorder="1" applyAlignment="1">
      <alignment horizontal="center" vertical="center" wrapText="1"/>
    </xf>
    <xf numFmtId="3" fontId="0" fillId="0" borderId="154" xfId="0" applyNumberFormat="1" applyFont="1" applyBorder="1" applyAlignment="1">
      <alignment horizontal="center" vertical="center"/>
    </xf>
    <xf numFmtId="0" fontId="89" fillId="43" borderId="152" xfId="149" applyFont="1" applyFill="1" applyBorder="1" applyAlignment="1">
      <alignment horizontal="center" vertical="center"/>
    </xf>
    <xf numFmtId="0" fontId="40" fillId="0" borderId="0" xfId="149" applyFont="1" applyAlignment="1">
      <alignment vertical="center"/>
    </xf>
    <xf numFmtId="0" fontId="89" fillId="20" borderId="157" xfId="149" applyFont="1" applyFill="1" applyBorder="1" applyAlignment="1">
      <alignment horizontal="center" vertical="center"/>
    </xf>
    <xf numFmtId="0" fontId="89" fillId="0" borderId="153" xfId="149" applyFont="1" applyBorder="1" applyAlignment="1">
      <alignment horizontal="center" vertical="center"/>
    </xf>
    <xf numFmtId="0" fontId="89" fillId="0" borderId="152" xfId="149" applyFont="1" applyBorder="1" applyAlignment="1">
      <alignment horizontal="center" vertical="center"/>
    </xf>
    <xf numFmtId="0" fontId="0" fillId="0" borderId="0" xfId="0" applyFont="1" applyAlignment="1">
      <alignment vertical="center"/>
    </xf>
    <xf numFmtId="0" fontId="49" fillId="0" borderId="154" xfId="0" applyFont="1" applyBorder="1" applyAlignment="1">
      <alignment vertical="center"/>
    </xf>
    <xf numFmtId="3" fontId="40" fillId="0" borderId="0" xfId="149" applyNumberFormat="1" applyFont="1" applyAlignment="1">
      <alignment vertical="center"/>
    </xf>
    <xf numFmtId="0" fontId="0" fillId="0" borderId="0" xfId="0" applyFont="1" applyAlignment="1">
      <alignment vertical="center" wrapText="1"/>
    </xf>
    <xf numFmtId="0" fontId="54" fillId="0" borderId="300" xfId="0" applyFont="1" applyFill="1" applyBorder="1" applyAlignment="1">
      <alignment horizontal="center" vertical="center"/>
    </xf>
    <xf numFmtId="3" fontId="54" fillId="0" borderId="300" xfId="0" applyNumberFormat="1" applyFont="1" applyFill="1" applyBorder="1" applyAlignment="1">
      <alignment horizontal="center" vertical="center"/>
    </xf>
    <xf numFmtId="181" fontId="39" fillId="0" borderId="300" xfId="107" applyNumberFormat="1" applyFont="1" applyFill="1" applyBorder="1" applyAlignment="1">
      <alignment horizontal="right" vertical="center" indent="2"/>
    </xf>
    <xf numFmtId="0" fontId="54" fillId="0" borderId="301" xfId="0" applyFont="1" applyFill="1" applyBorder="1" applyAlignment="1">
      <alignment horizontal="center" vertical="center"/>
    </xf>
    <xf numFmtId="3" fontId="54" fillId="0" borderId="301" xfId="0" applyNumberFormat="1" applyFont="1" applyFill="1" applyBorder="1" applyAlignment="1">
      <alignment horizontal="center" vertical="center"/>
    </xf>
    <xf numFmtId="181" fontId="39" fillId="0" borderId="301" xfId="107" applyNumberFormat="1" applyFont="1" applyFill="1" applyBorder="1" applyAlignment="1">
      <alignment horizontal="right" vertical="center" indent="2"/>
    </xf>
    <xf numFmtId="3" fontId="0" fillId="0" borderId="301" xfId="0" applyNumberFormat="1" applyFont="1" applyFill="1" applyBorder="1" applyAlignment="1">
      <alignment horizontal="center"/>
    </xf>
    <xf numFmtId="43" fontId="39" fillId="0" borderId="301" xfId="107" applyNumberFormat="1" applyFont="1" applyFill="1" applyBorder="1" applyAlignment="1">
      <alignment horizontal="right" vertical="center" indent="2"/>
    </xf>
    <xf numFmtId="0" fontId="54" fillId="0" borderId="386" xfId="0" applyFont="1" applyFill="1" applyBorder="1" applyAlignment="1">
      <alignment horizontal="center" vertical="center"/>
    </xf>
    <xf numFmtId="3" fontId="54" fillId="0" borderId="386" xfId="0" applyNumberFormat="1" applyFont="1" applyFill="1" applyBorder="1" applyAlignment="1">
      <alignment horizontal="center" vertical="center"/>
    </xf>
    <xf numFmtId="43" fontId="39" fillId="0" borderId="386" xfId="107" applyFont="1" applyFill="1" applyBorder="1" applyAlignment="1">
      <alignment horizontal="right" vertical="center" indent="2"/>
    </xf>
    <xf numFmtId="173" fontId="0" fillId="0" borderId="383" xfId="0" applyNumberFormat="1" applyFont="1" applyBorder="1" applyAlignment="1">
      <alignment horizontal="center" vertical="center" wrapText="1"/>
    </xf>
    <xf numFmtId="173" fontId="0" fillId="0" borderId="217" xfId="0" applyNumberFormat="1" applyFont="1" applyBorder="1" applyAlignment="1">
      <alignment horizontal="center" vertical="center"/>
    </xf>
    <xf numFmtId="49" fontId="0" fillId="0" borderId="217" xfId="0" applyNumberFormat="1" applyFont="1" applyBorder="1" applyAlignment="1">
      <alignment horizontal="center" vertical="center"/>
    </xf>
    <xf numFmtId="3" fontId="0" fillId="0" borderId="217" xfId="0" applyNumberFormat="1" applyFont="1" applyBorder="1" applyAlignment="1">
      <alignment horizontal="center"/>
    </xf>
    <xf numFmtId="3" fontId="0" fillId="0" borderId="385" xfId="0" applyNumberFormat="1" applyFont="1" applyBorder="1" applyAlignment="1">
      <alignment horizontal="center" vertical="center"/>
    </xf>
    <xf numFmtId="0" fontId="39" fillId="64" borderId="217" xfId="0" applyFont="1" applyFill="1" applyBorder="1" applyAlignment="1">
      <alignment horizontal="center" vertical="center"/>
    </xf>
    <xf numFmtId="3" fontId="39" fillId="64" borderId="217" xfId="0" applyNumberFormat="1" applyFont="1" applyFill="1" applyBorder="1" applyAlignment="1">
      <alignment horizontal="center" vertical="center"/>
    </xf>
    <xf numFmtId="3" fontId="0" fillId="65" borderId="217" xfId="0" applyNumberFormat="1" applyFont="1" applyFill="1" applyBorder="1" applyAlignment="1">
      <alignment horizontal="center" vertical="center"/>
    </xf>
    <xf numFmtId="3" fontId="0" fillId="65" borderId="217" xfId="0" applyNumberFormat="1" applyFont="1" applyFill="1" applyBorder="1" applyAlignment="1">
      <alignment horizontal="center"/>
    </xf>
    <xf numFmtId="0" fontId="0" fillId="0" borderId="217" xfId="0" applyFont="1" applyBorder="1" applyAlignment="1">
      <alignment horizontal="center" vertical="center"/>
    </xf>
    <xf numFmtId="173" fontId="0" fillId="0" borderId="217" xfId="0" applyNumberFormat="1" applyFont="1" applyBorder="1" applyAlignment="1">
      <alignment horizontal="center" vertical="center" wrapText="1"/>
    </xf>
    <xf numFmtId="3" fontId="39" fillId="66" borderId="217" xfId="0" applyNumberFormat="1" applyFont="1" applyFill="1" applyBorder="1" applyAlignment="1">
      <alignment horizontal="center" vertical="center"/>
    </xf>
    <xf numFmtId="0" fontId="0" fillId="0" borderId="0" xfId="0"/>
    <xf numFmtId="0" fontId="50" fillId="0" borderId="0" xfId="0" applyFont="1" applyAlignment="1">
      <alignment horizontal="right" vertical="center"/>
    </xf>
    <xf numFmtId="10" fontId="54" fillId="0" borderId="181" xfId="180" applyNumberFormat="1" applyFont="1" applyBorder="1" applyAlignment="1">
      <alignment horizontal="right" vertical="center"/>
    </xf>
    <xf numFmtId="0" fontId="0" fillId="0" borderId="0" xfId="0"/>
    <xf numFmtId="0" fontId="154" fillId="43" borderId="307" xfId="0" applyFont="1" applyFill="1" applyBorder="1" applyAlignment="1">
      <alignment horizontal="center" vertical="center"/>
    </xf>
    <xf numFmtId="2" fontId="120" fillId="0" borderId="115" xfId="639" applyNumberFormat="1" applyFont="1" applyBorder="1" applyAlignment="1">
      <alignment horizontal="center"/>
    </xf>
    <xf numFmtId="2" fontId="120" fillId="0" borderId="116" xfId="639" applyNumberFormat="1" applyFont="1" applyBorder="1" applyAlignment="1">
      <alignment horizontal="center"/>
    </xf>
    <xf numFmtId="2" fontId="120" fillId="0" borderId="117" xfId="639" applyNumberFormat="1" applyFont="1" applyBorder="1" applyAlignment="1">
      <alignment horizontal="center"/>
    </xf>
    <xf numFmtId="2" fontId="147" fillId="20" borderId="247" xfId="822" applyNumberFormat="1" applyFont="1" applyFill="1" applyBorder="1" applyAlignment="1">
      <alignment horizontal="left"/>
    </xf>
    <xf numFmtId="0" fontId="43" fillId="0" borderId="0" xfId="822" applyFont="1" applyAlignment="1">
      <alignment horizontal="center" vertical="center" wrapText="1"/>
    </xf>
    <xf numFmtId="2" fontId="147" fillId="20" borderId="153" xfId="822" applyNumberFormat="1" applyFont="1" applyFill="1" applyBorder="1" applyAlignment="1">
      <alignment horizontal="left"/>
    </xf>
    <xf numFmtId="2" fontId="147" fillId="20" borderId="144" xfId="822" applyNumberFormat="1" applyFont="1" applyFill="1" applyBorder="1" applyAlignment="1">
      <alignment horizontal="left"/>
    </xf>
    <xf numFmtId="2" fontId="147" fillId="20" borderId="152" xfId="822" applyNumberFormat="1" applyFont="1" applyFill="1" applyBorder="1" applyAlignment="1">
      <alignment horizontal="left"/>
    </xf>
    <xf numFmtId="2" fontId="147" fillId="0" borderId="165" xfId="822" applyNumberFormat="1" applyFont="1" applyBorder="1" applyAlignment="1">
      <alignment horizontal="center" vertical="center"/>
    </xf>
    <xf numFmtId="2" fontId="147" fillId="0" borderId="168" xfId="822" applyNumberFormat="1" applyFont="1" applyBorder="1" applyAlignment="1">
      <alignment horizontal="center" vertical="center"/>
    </xf>
    <xf numFmtId="2" fontId="147" fillId="0" borderId="169" xfId="822" applyNumberFormat="1" applyFont="1" applyBorder="1" applyAlignment="1">
      <alignment horizontal="center" vertical="center"/>
    </xf>
    <xf numFmtId="0" fontId="154" fillId="0" borderId="307" xfId="3792" applyFont="1" applyFill="1" applyBorder="1" applyAlignment="1">
      <alignment horizontal="center" vertical="center"/>
    </xf>
    <xf numFmtId="0" fontId="39"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60" fillId="0" borderId="0" xfId="452" applyFont="1" applyFill="1" applyBorder="1" applyAlignment="1">
      <alignment horizontal="center" vertical="center"/>
    </xf>
    <xf numFmtId="0" fontId="60" fillId="0" borderId="0" xfId="452" applyFont="1" applyFill="1" applyBorder="1" applyAlignment="1">
      <alignment vertical="center"/>
    </xf>
    <xf numFmtId="0" fontId="88" fillId="33" borderId="387" xfId="452" applyFont="1" applyFill="1" applyBorder="1" applyAlignment="1">
      <alignment horizontal="center" vertical="center"/>
    </xf>
    <xf numFmtId="0" fontId="88" fillId="33" borderId="387" xfId="452" applyFont="1" applyFill="1" applyBorder="1" applyAlignment="1">
      <alignment horizontal="center" vertical="center" wrapText="1"/>
    </xf>
    <xf numFmtId="0" fontId="88" fillId="67" borderId="387" xfId="0" applyFont="1" applyFill="1" applyBorder="1" applyAlignment="1">
      <alignment horizontal="center" vertical="center"/>
    </xf>
    <xf numFmtId="0" fontId="88" fillId="33" borderId="387" xfId="0" applyFont="1" applyFill="1" applyBorder="1" applyAlignment="1">
      <alignment horizontal="center" vertical="center" wrapText="1"/>
    </xf>
    <xf numFmtId="0" fontId="88" fillId="33" borderId="387" xfId="0" applyFont="1" applyFill="1" applyBorder="1" applyAlignment="1">
      <alignment horizontal="center" vertical="center"/>
    </xf>
    <xf numFmtId="0" fontId="60" fillId="0" borderId="387" xfId="452" applyFont="1" applyFill="1" applyBorder="1" applyAlignment="1">
      <alignment vertical="center"/>
    </xf>
    <xf numFmtId="0" fontId="60" fillId="0" borderId="387" xfId="452" applyFont="1" applyFill="1" applyBorder="1" applyAlignment="1">
      <alignment horizontal="center" vertical="center"/>
    </xf>
    <xf numFmtId="182" fontId="60" fillId="0" borderId="387" xfId="452" applyNumberFormat="1" applyFont="1" applyFill="1" applyBorder="1" applyAlignment="1">
      <alignment horizontal="center" vertical="center"/>
    </xf>
    <xf numFmtId="9" fontId="60" fillId="0" borderId="387" xfId="452" applyNumberFormat="1" applyFont="1" applyFill="1" applyBorder="1" applyAlignment="1">
      <alignment horizontal="center" vertical="center"/>
    </xf>
    <xf numFmtId="168" fontId="60" fillId="0" borderId="387" xfId="0" applyNumberFormat="1" applyFont="1" applyFill="1" applyBorder="1" applyAlignment="1">
      <alignment horizontal="center" vertical="center"/>
    </xf>
    <xf numFmtId="9" fontId="60" fillId="0" borderId="387" xfId="0" applyNumberFormat="1" applyFont="1" applyFill="1" applyBorder="1" applyAlignment="1">
      <alignment horizontal="center" vertical="center"/>
    </xf>
    <xf numFmtId="168" fontId="60" fillId="0" borderId="387" xfId="452" applyNumberFormat="1" applyFont="1" applyFill="1" applyBorder="1" applyAlignment="1">
      <alignment horizontal="center" vertical="center"/>
    </xf>
    <xf numFmtId="0" fontId="60" fillId="0" borderId="387" xfId="452" applyFont="1" applyFill="1" applyBorder="1" applyAlignment="1">
      <alignment horizontal="left" vertical="center"/>
    </xf>
    <xf numFmtId="0" fontId="88" fillId="33" borderId="387" xfId="452" applyFont="1" applyFill="1" applyBorder="1" applyAlignment="1">
      <alignment horizontal="left" vertical="center"/>
    </xf>
    <xf numFmtId="182" fontId="88" fillId="33" borderId="387" xfId="452" applyNumberFormat="1" applyFont="1" applyFill="1" applyBorder="1" applyAlignment="1">
      <alignment horizontal="center" vertical="center"/>
    </xf>
    <xf numFmtId="168" fontId="88" fillId="33" borderId="387" xfId="452" applyNumberFormat="1" applyFont="1" applyFill="1" applyBorder="1" applyAlignment="1">
      <alignment horizontal="center" vertical="center"/>
    </xf>
    <xf numFmtId="168" fontId="88" fillId="33" borderId="387" xfId="0" applyNumberFormat="1" applyFont="1" applyFill="1" applyBorder="1" applyAlignment="1">
      <alignment horizontal="center" vertical="center"/>
    </xf>
    <xf numFmtId="9" fontId="88" fillId="33" borderId="387" xfId="0" applyNumberFormat="1" applyFont="1" applyFill="1" applyBorder="1" applyAlignment="1">
      <alignment horizontal="center" vertical="center"/>
    </xf>
    <xf numFmtId="9" fontId="88" fillId="33" borderId="387" xfId="452" applyNumberFormat="1" applyFont="1" applyFill="1" applyBorder="1" applyAlignment="1">
      <alignment horizontal="center" vertical="center"/>
    </xf>
    <xf numFmtId="168" fontId="88" fillId="67" borderId="387" xfId="0" applyNumberFormat="1" applyFont="1" applyFill="1" applyBorder="1" applyAlignment="1">
      <alignment horizontal="center" vertical="center"/>
    </xf>
    <xf numFmtId="0" fontId="60" fillId="0" borderId="0" xfId="0" applyFont="1" applyAlignment="1">
      <alignment horizontal="center"/>
    </xf>
    <xf numFmtId="0" fontId="100" fillId="0" borderId="0" xfId="0" applyFont="1" applyAlignment="1">
      <alignment horizontal="center" vertical="center"/>
    </xf>
    <xf numFmtId="0" fontId="60" fillId="0" borderId="0" xfId="0" applyFont="1" applyAlignment="1">
      <alignment vertical="center" wrapText="1"/>
    </xf>
    <xf numFmtId="0" fontId="60" fillId="0" borderId="0" xfId="0" applyFont="1" applyAlignment="1">
      <alignment horizontal="center" vertical="center" wrapText="1"/>
    </xf>
    <xf numFmtId="0" fontId="88" fillId="34" borderId="307" xfId="0" applyFont="1" applyFill="1" applyBorder="1" applyAlignment="1">
      <alignment horizontal="center" vertical="center" wrapText="1"/>
    </xf>
    <xf numFmtId="0" fontId="88" fillId="34" borderId="307" xfId="0" applyFont="1" applyFill="1" applyBorder="1" applyAlignment="1">
      <alignment horizontal="center" vertical="center"/>
    </xf>
    <xf numFmtId="0" fontId="60" fillId="34" borderId="307" xfId="0" applyFont="1" applyFill="1" applyBorder="1" applyAlignment="1">
      <alignment horizontal="center" vertical="center" wrapText="1"/>
    </xf>
    <xf numFmtId="0" fontId="60" fillId="0" borderId="0" xfId="0" applyFont="1" applyAlignment="1">
      <alignment horizontal="left" vertical="center"/>
    </xf>
    <xf numFmtId="0" fontId="88" fillId="20" borderId="307" xfId="0" applyFont="1" applyFill="1" applyBorder="1" applyAlignment="1">
      <alignment horizontal="center" vertical="center"/>
    </xf>
    <xf numFmtId="0" fontId="88" fillId="43" borderId="307" xfId="0" applyFont="1" applyFill="1" applyBorder="1" applyAlignment="1">
      <alignment horizontal="center" vertical="center"/>
    </xf>
    <xf numFmtId="0" fontId="88" fillId="20" borderId="307" xfId="452" applyFont="1" applyFill="1" applyBorder="1" applyAlignment="1">
      <alignment horizontal="center" vertical="center" wrapText="1"/>
    </xf>
    <xf numFmtId="0" fontId="88" fillId="20" borderId="307" xfId="452" applyFont="1" applyFill="1" applyBorder="1" applyAlignment="1">
      <alignment horizontal="center" vertical="center"/>
    </xf>
    <xf numFmtId="0" fontId="60" fillId="0" borderId="307" xfId="0" applyFont="1" applyBorder="1" applyAlignment="1">
      <alignment horizontal="center" vertical="center"/>
    </xf>
    <xf numFmtId="0" fontId="88" fillId="20" borderId="307" xfId="0" applyFont="1" applyFill="1" applyBorder="1" applyAlignment="1">
      <alignment horizontal="center"/>
    </xf>
    <xf numFmtId="0" fontId="88" fillId="20" borderId="259" xfId="0" applyFont="1" applyFill="1" applyBorder="1" applyAlignment="1">
      <alignment horizontal="center" vertical="center" wrapText="1"/>
    </xf>
    <xf numFmtId="0" fontId="88" fillId="20" borderId="259" xfId="0" applyFont="1" applyFill="1" applyBorder="1" applyAlignment="1">
      <alignment horizontal="center" vertical="center"/>
    </xf>
    <xf numFmtId="0" fontId="88" fillId="20" borderId="259" xfId="144" applyFont="1" applyFill="1" applyBorder="1" applyAlignment="1">
      <alignment horizontal="center" vertical="center"/>
    </xf>
    <xf numFmtId="0" fontId="88" fillId="20" borderId="259" xfId="2459" applyFont="1" applyFill="1" applyBorder="1" applyAlignment="1">
      <alignment horizontal="center" vertical="center"/>
    </xf>
    <xf numFmtId="0" fontId="88" fillId="20" borderId="307" xfId="0" applyFont="1" applyFill="1" applyBorder="1" applyAlignment="1">
      <alignment horizontal="center" vertical="center" wrapText="1"/>
    </xf>
    <xf numFmtId="0" fontId="60" fillId="0" borderId="307" xfId="2459" applyFont="1" applyBorder="1"/>
    <xf numFmtId="171" fontId="60" fillId="0" borderId="307" xfId="0" applyNumberFormat="1" applyFont="1" applyBorder="1" applyAlignment="1">
      <alignment horizontal="center" vertical="center"/>
    </xf>
    <xf numFmtId="168" fontId="60" fillId="0" borderId="307" xfId="0" applyNumberFormat="1" applyFont="1" applyBorder="1" applyAlignment="1">
      <alignment horizontal="center" vertical="center"/>
    </xf>
    <xf numFmtId="182" fontId="60" fillId="0" borderId="307" xfId="3790" applyNumberFormat="1" applyFont="1" applyBorder="1" applyAlignment="1">
      <alignment horizontal="center" vertical="center"/>
    </xf>
    <xf numFmtId="191" fontId="60" fillId="0" borderId="307" xfId="452" applyNumberFormat="1" applyFont="1" applyBorder="1" applyAlignment="1">
      <alignment horizontal="center" vertical="center"/>
    </xf>
    <xf numFmtId="9" fontId="60" fillId="0" borderId="307" xfId="3791" applyNumberFormat="1" applyFont="1" applyBorder="1" applyAlignment="1">
      <alignment horizontal="center" vertical="center"/>
    </xf>
    <xf numFmtId="191" fontId="60" fillId="0" borderId="307" xfId="3791" applyNumberFormat="1" applyFont="1" applyBorder="1" applyAlignment="1">
      <alignment horizontal="center" vertical="center"/>
    </xf>
    <xf numFmtId="0" fontId="60" fillId="0" borderId="259" xfId="0" applyFont="1" applyBorder="1" applyAlignment="1">
      <alignment horizontal="center" vertical="center" wrapText="1"/>
    </xf>
    <xf numFmtId="0" fontId="60" fillId="0" borderId="307" xfId="238" applyFont="1" applyBorder="1" applyAlignment="1">
      <alignment vertical="center" wrapText="1"/>
    </xf>
    <xf numFmtId="0" fontId="60" fillId="0" borderId="299" xfId="0" applyFont="1" applyBorder="1" applyAlignment="1">
      <alignment horizontal="center" vertical="center"/>
    </xf>
    <xf numFmtId="0" fontId="60" fillId="0" borderId="307" xfId="0" applyFont="1" applyBorder="1" applyAlignment="1">
      <alignment horizontal="center" vertical="center" wrapText="1"/>
    </xf>
    <xf numFmtId="0" fontId="88" fillId="20" borderId="299" xfId="2459" applyFont="1" applyFill="1" applyBorder="1" applyAlignment="1">
      <alignment horizontal="center" vertical="center"/>
    </xf>
    <xf numFmtId="171" fontId="88" fillId="20" borderId="307" xfId="0" applyNumberFormat="1" applyFont="1" applyFill="1" applyBorder="1" applyAlignment="1">
      <alignment horizontal="center" vertical="center"/>
    </xf>
    <xf numFmtId="191" fontId="88" fillId="43" borderId="307" xfId="452" applyNumberFormat="1" applyFont="1" applyFill="1" applyBorder="1" applyAlignment="1">
      <alignment horizontal="center" vertical="center"/>
    </xf>
    <xf numFmtId="191" fontId="88" fillId="20" borderId="307" xfId="452" applyNumberFormat="1" applyFont="1" applyFill="1" applyBorder="1" applyAlignment="1">
      <alignment horizontal="center" vertical="center"/>
    </xf>
    <xf numFmtId="168" fontId="88" fillId="20" borderId="307" xfId="452" applyNumberFormat="1" applyFont="1" applyFill="1" applyBorder="1" applyAlignment="1">
      <alignment horizontal="center" vertical="center"/>
    </xf>
    <xf numFmtId="0" fontId="88" fillId="34" borderId="247" xfId="0" applyFont="1" applyFill="1" applyBorder="1" applyAlignment="1">
      <alignment horizontal="center" vertical="center" wrapText="1"/>
    </xf>
    <xf numFmtId="0" fontId="88" fillId="34" borderId="247" xfId="0" applyFont="1" applyFill="1" applyBorder="1" applyAlignment="1">
      <alignment horizontal="center" vertical="center"/>
    </xf>
    <xf numFmtId="0" fontId="60" fillId="34" borderId="247" xfId="0" applyFont="1" applyFill="1" applyBorder="1" applyAlignment="1">
      <alignment horizontal="center" vertical="center" wrapText="1"/>
    </xf>
    <xf numFmtId="0" fontId="88" fillId="20" borderId="247" xfId="0" applyFont="1" applyFill="1" applyBorder="1" applyAlignment="1">
      <alignment horizontal="center" vertical="center"/>
    </xf>
    <xf numFmtId="0" fontId="88" fillId="43" borderId="247" xfId="0" applyFont="1" applyFill="1" applyBorder="1" applyAlignment="1">
      <alignment horizontal="center" vertical="center"/>
    </xf>
    <xf numFmtId="0" fontId="88" fillId="20" borderId="247" xfId="452" applyFont="1" applyFill="1" applyBorder="1" applyAlignment="1">
      <alignment horizontal="center" vertical="center" wrapText="1"/>
    </xf>
    <xf numFmtId="0" fontId="88" fillId="20" borderId="247" xfId="452" applyFont="1" applyFill="1" applyBorder="1" applyAlignment="1">
      <alignment horizontal="center" vertical="center"/>
    </xf>
    <xf numFmtId="0" fontId="60" fillId="0" borderId="247" xfId="0" applyFont="1" applyBorder="1" applyAlignment="1">
      <alignment horizontal="center" vertical="center"/>
    </xf>
    <xf numFmtId="0" fontId="88" fillId="20" borderId="247" xfId="0" applyFont="1" applyFill="1" applyBorder="1" applyAlignment="1">
      <alignment horizontal="center"/>
    </xf>
    <xf numFmtId="0" fontId="88" fillId="0" borderId="0" xfId="0" applyFont="1" applyAlignment="1">
      <alignment vertical="center" wrapText="1"/>
    </xf>
    <xf numFmtId="0" fontId="88" fillId="20" borderId="175" xfId="0" applyFont="1" applyFill="1" applyBorder="1" applyAlignment="1">
      <alignment horizontal="center" vertical="center" wrapText="1"/>
    </xf>
    <xf numFmtId="0" fontId="60" fillId="20" borderId="175" xfId="0" applyFont="1" applyFill="1" applyBorder="1" applyAlignment="1">
      <alignment horizontal="center" vertical="center"/>
    </xf>
    <xf numFmtId="0" fontId="88" fillId="20" borderId="176" xfId="0" applyFont="1" applyFill="1" applyBorder="1" applyAlignment="1">
      <alignment horizontal="center" vertical="center" wrapText="1"/>
    </xf>
    <xf numFmtId="0" fontId="88" fillId="34" borderId="10" xfId="0" applyFont="1" applyFill="1" applyBorder="1" applyAlignment="1">
      <alignment horizontal="center" vertical="center" wrapText="1"/>
    </xf>
    <xf numFmtId="0" fontId="88" fillId="34" borderId="0" xfId="0" applyFont="1" applyFill="1" applyAlignment="1">
      <alignment horizontal="center" vertical="center" wrapText="1"/>
    </xf>
    <xf numFmtId="0" fontId="88" fillId="34" borderId="175" xfId="0" applyFont="1" applyFill="1" applyBorder="1" applyAlignment="1">
      <alignment horizontal="center" vertical="center" wrapText="1"/>
    </xf>
    <xf numFmtId="0" fontId="60" fillId="34" borderId="175" xfId="0" applyFont="1" applyFill="1" applyBorder="1" applyAlignment="1">
      <alignment horizontal="center" vertical="center" wrapText="1"/>
    </xf>
    <xf numFmtId="0" fontId="88" fillId="34" borderId="176" xfId="0" applyFont="1" applyFill="1" applyBorder="1" applyAlignment="1">
      <alignment horizontal="center" vertical="center" wrapText="1"/>
    </xf>
    <xf numFmtId="0" fontId="60" fillId="34" borderId="10" xfId="0" applyFont="1" applyFill="1" applyBorder="1" applyAlignment="1">
      <alignment horizontal="center" vertical="center" wrapText="1"/>
    </xf>
    <xf numFmtId="0" fontId="60" fillId="34" borderId="0" xfId="0" applyFont="1" applyFill="1" applyAlignment="1">
      <alignment horizontal="center" vertical="center" wrapText="1"/>
    </xf>
    <xf numFmtId="0" fontId="88" fillId="20" borderId="175" xfId="0" applyFont="1" applyFill="1" applyBorder="1" applyAlignment="1">
      <alignment horizontal="center" vertical="center"/>
    </xf>
    <xf numFmtId="0" fontId="88" fillId="20" borderId="175" xfId="452" applyFont="1" applyFill="1" applyBorder="1" applyAlignment="1">
      <alignment horizontal="center" vertical="center" wrapText="1"/>
    </xf>
    <xf numFmtId="0" fontId="88" fillId="20" borderId="175" xfId="452" applyFont="1" applyFill="1" applyBorder="1" applyAlignment="1">
      <alignment horizontal="center" vertical="center"/>
    </xf>
    <xf numFmtId="0" fontId="60" fillId="0" borderId="79" xfId="0" applyFont="1" applyBorder="1" applyAlignment="1">
      <alignment horizontal="center"/>
    </xf>
    <xf numFmtId="168" fontId="60" fillId="0" borderId="79" xfId="0" applyNumberFormat="1" applyFont="1" applyBorder="1" applyAlignment="1">
      <alignment horizontal="center"/>
    </xf>
    <xf numFmtId="0" fontId="60" fillId="0" borderId="17" xfId="0" applyFont="1" applyBorder="1" applyAlignment="1">
      <alignment horizontal="center"/>
    </xf>
    <xf numFmtId="168" fontId="60" fillId="0" borderId="17" xfId="0" applyNumberFormat="1" applyFont="1" applyBorder="1" applyAlignment="1">
      <alignment horizontal="center"/>
    </xf>
    <xf numFmtId="0" fontId="60" fillId="0" borderId="20" xfId="0" applyFont="1" applyBorder="1" applyAlignment="1">
      <alignment horizontal="center"/>
    </xf>
    <xf numFmtId="0" fontId="88" fillId="20" borderId="175" xfId="0" applyFont="1" applyFill="1" applyBorder="1" applyAlignment="1">
      <alignment horizontal="center"/>
    </xf>
    <xf numFmtId="0" fontId="50" fillId="0" borderId="79" xfId="0" applyFont="1" applyBorder="1" applyAlignment="1">
      <alignment horizontal="center"/>
    </xf>
    <xf numFmtId="0" fontId="50" fillId="0" borderId="17" xfId="0" applyFont="1" applyBorder="1" applyAlignment="1">
      <alignment horizontal="center"/>
    </xf>
    <xf numFmtId="0" fontId="50" fillId="0" borderId="20" xfId="0" applyFont="1" applyBorder="1" applyAlignment="1">
      <alignment horizontal="center"/>
    </xf>
    <xf numFmtId="0" fontId="100" fillId="0" borderId="0" xfId="0" applyFont="1" applyAlignment="1">
      <alignment horizontal="center"/>
    </xf>
    <xf numFmtId="1" fontId="73" fillId="0" borderId="154" xfId="819" applyNumberFormat="1" applyFont="1" applyBorder="1" applyAlignment="1">
      <alignment horizontal="center" vertical="center"/>
    </xf>
    <xf numFmtId="183" fontId="73" fillId="0" borderId="154" xfId="819" applyNumberFormat="1" applyFont="1" applyBorder="1" applyAlignment="1">
      <alignment horizontal="center" vertical="center"/>
    </xf>
    <xf numFmtId="183" fontId="73" fillId="0" borderId="0" xfId="819" applyNumberFormat="1" applyFont="1" applyAlignment="1">
      <alignment horizontal="center" vertical="center"/>
    </xf>
    <xf numFmtId="0" fontId="88" fillId="0" borderId="0" xfId="0" applyFont="1" applyAlignment="1">
      <alignment horizontal="left"/>
    </xf>
    <xf numFmtId="0" fontId="88" fillId="0" borderId="0" xfId="0" applyFont="1" applyAlignment="1">
      <alignment horizontal="center"/>
    </xf>
    <xf numFmtId="0" fontId="88" fillId="20" borderId="247" xfId="0" applyFont="1" applyFill="1" applyBorder="1" applyAlignment="1">
      <alignment horizontal="center" vertical="center" wrapText="1"/>
    </xf>
    <xf numFmtId="0" fontId="60" fillId="0" borderId="247" xfId="2459" applyFont="1" applyBorder="1"/>
    <xf numFmtId="171" fontId="60" fillId="0" borderId="247" xfId="0" applyNumberFormat="1" applyFont="1" applyBorder="1" applyAlignment="1">
      <alignment horizontal="center" vertical="center"/>
    </xf>
    <xf numFmtId="168" fontId="60" fillId="0" borderId="247" xfId="0" applyNumberFormat="1" applyFont="1" applyBorder="1" applyAlignment="1">
      <alignment horizontal="center" vertical="center"/>
    </xf>
    <xf numFmtId="182" fontId="60" fillId="0" borderId="247" xfId="3790" applyNumberFormat="1" applyFont="1" applyBorder="1" applyAlignment="1">
      <alignment horizontal="center" vertical="center"/>
    </xf>
    <xf numFmtId="191" fontId="60" fillId="0" borderId="247" xfId="452" applyNumberFormat="1" applyFont="1" applyBorder="1" applyAlignment="1">
      <alignment horizontal="center" vertical="center"/>
    </xf>
    <xf numFmtId="9" fontId="60" fillId="0" borderId="247" xfId="3791" applyNumberFormat="1" applyFont="1" applyBorder="1" applyAlignment="1">
      <alignment horizontal="center" vertical="center"/>
    </xf>
    <xf numFmtId="191" fontId="60" fillId="0" borderId="247" xfId="3791" applyNumberFormat="1" applyFont="1" applyBorder="1" applyAlignment="1">
      <alignment horizontal="center" vertical="center"/>
    </xf>
    <xf numFmtId="0" fontId="60" fillId="0" borderId="247" xfId="238" applyFont="1" applyBorder="1" applyAlignment="1">
      <alignment vertical="center" wrapText="1"/>
    </xf>
    <xf numFmtId="0" fontId="60" fillId="0" borderId="247" xfId="0" applyFont="1" applyBorder="1" applyAlignment="1">
      <alignment horizontal="center" vertical="center" wrapText="1"/>
    </xf>
    <xf numFmtId="171" fontId="88" fillId="20" borderId="247" xfId="0" applyNumberFormat="1" applyFont="1" applyFill="1" applyBorder="1" applyAlignment="1">
      <alignment horizontal="center" vertical="center"/>
    </xf>
    <xf numFmtId="191" fontId="88" fillId="43" borderId="247" xfId="452" applyNumberFormat="1" applyFont="1" applyFill="1" applyBorder="1" applyAlignment="1">
      <alignment horizontal="center" vertical="center"/>
    </xf>
    <xf numFmtId="191" fontId="88" fillId="20" borderId="247" xfId="452" applyNumberFormat="1" applyFont="1" applyFill="1" applyBorder="1" applyAlignment="1">
      <alignment horizontal="center" vertical="center"/>
    </xf>
    <xf numFmtId="168" fontId="88" fillId="20" borderId="247" xfId="452" applyNumberFormat="1" applyFont="1" applyFill="1" applyBorder="1" applyAlignment="1">
      <alignment horizontal="center" vertical="center"/>
    </xf>
    <xf numFmtId="0" fontId="174" fillId="0" borderId="0" xfId="0" applyFont="1" applyAlignment="1">
      <alignment horizontal="left"/>
    </xf>
    <xf numFmtId="0" fontId="88" fillId="20" borderId="174" xfId="0" applyFont="1" applyFill="1" applyBorder="1" applyAlignment="1">
      <alignment horizontal="center" vertical="center" wrapText="1"/>
    </xf>
    <xf numFmtId="0" fontId="88" fillId="20" borderId="174" xfId="0" applyFont="1" applyFill="1" applyBorder="1" applyAlignment="1">
      <alignment horizontal="center" vertical="center"/>
    </xf>
    <xf numFmtId="0" fontId="88" fillId="20" borderId="174" xfId="144" applyFont="1" applyFill="1" applyBorder="1" applyAlignment="1">
      <alignment horizontal="center" vertical="center"/>
    </xf>
    <xf numFmtId="0" fontId="88" fillId="20" borderId="174" xfId="2459" applyFont="1" applyFill="1" applyBorder="1" applyAlignment="1">
      <alignment horizontal="center" vertical="center"/>
    </xf>
    <xf numFmtId="0" fontId="60" fillId="0" borderId="79" xfId="2459" applyFont="1" applyBorder="1"/>
    <xf numFmtId="171" fontId="60" fillId="0" borderId="79" xfId="0" applyNumberFormat="1" applyFont="1" applyBorder="1" applyAlignment="1">
      <alignment horizontal="center" vertical="center"/>
    </xf>
    <xf numFmtId="168" fontId="60" fillId="0" borderId="79" xfId="0" applyNumberFormat="1" applyFont="1" applyBorder="1" applyAlignment="1">
      <alignment horizontal="center" vertical="center"/>
    </xf>
    <xf numFmtId="0" fontId="60" fillId="0" borderId="17" xfId="2459" applyFont="1" applyBorder="1"/>
    <xf numFmtId="171" fontId="60" fillId="0" borderId="17" xfId="0" applyNumberFormat="1" applyFont="1" applyBorder="1" applyAlignment="1">
      <alignment horizontal="center" vertical="center"/>
    </xf>
    <xf numFmtId="168" fontId="60" fillId="0" borderId="17" xfId="0" applyNumberFormat="1" applyFont="1" applyBorder="1" applyAlignment="1">
      <alignment horizontal="center" vertical="center"/>
    </xf>
    <xf numFmtId="0" fontId="60" fillId="0" borderId="20" xfId="2459" applyFont="1" applyBorder="1"/>
    <xf numFmtId="171" fontId="60" fillId="0" borderId="20" xfId="0" applyNumberFormat="1" applyFont="1" applyBorder="1" applyAlignment="1">
      <alignment horizontal="center" vertical="center"/>
    </xf>
    <xf numFmtId="168" fontId="60" fillId="0" borderId="20" xfId="0" applyNumberFormat="1" applyFont="1" applyBorder="1" applyAlignment="1">
      <alignment horizontal="center"/>
    </xf>
    <xf numFmtId="168" fontId="60" fillId="0" borderId="20" xfId="0" applyNumberFormat="1" applyFont="1" applyBorder="1" applyAlignment="1">
      <alignment horizontal="center" vertical="center"/>
    </xf>
    <xf numFmtId="0" fontId="60" fillId="0" borderId="30" xfId="2459" applyFont="1" applyBorder="1"/>
    <xf numFmtId="0" fontId="60" fillId="0" borderId="30" xfId="0" applyFont="1" applyBorder="1" applyAlignment="1">
      <alignment horizontal="center" vertical="center"/>
    </xf>
    <xf numFmtId="0" fontId="60" fillId="0" borderId="30" xfId="0" applyFont="1" applyBorder="1" applyAlignment="1">
      <alignment horizontal="center"/>
    </xf>
    <xf numFmtId="171" fontId="60" fillId="0" borderId="30" xfId="0" applyNumberFormat="1" applyFont="1" applyBorder="1" applyAlignment="1">
      <alignment horizontal="center" vertical="center"/>
    </xf>
    <xf numFmtId="168" fontId="60" fillId="0" borderId="30" xfId="0" applyNumberFormat="1" applyFont="1" applyBorder="1" applyAlignment="1">
      <alignment horizontal="center" vertical="center"/>
    </xf>
    <xf numFmtId="168" fontId="60" fillId="0" borderId="30" xfId="0" applyNumberFormat="1" applyFont="1" applyBorder="1" applyAlignment="1">
      <alignment horizontal="center"/>
    </xf>
    <xf numFmtId="168" fontId="60" fillId="0" borderId="30" xfId="452" applyNumberFormat="1" applyFont="1" applyBorder="1" applyAlignment="1">
      <alignment horizontal="center" vertical="center"/>
    </xf>
    <xf numFmtId="168" fontId="60" fillId="0" borderId="17" xfId="452" applyNumberFormat="1" applyFont="1" applyBorder="1" applyAlignment="1">
      <alignment horizontal="center" vertical="center" wrapText="1"/>
    </xf>
    <xf numFmtId="168" fontId="60" fillId="0" borderId="17" xfId="452" applyNumberFormat="1" applyFont="1" applyBorder="1" applyAlignment="1">
      <alignment horizontal="center" vertical="center"/>
    </xf>
    <xf numFmtId="168" fontId="60" fillId="0" borderId="20" xfId="452" applyNumberFormat="1" applyFont="1" applyBorder="1" applyAlignment="1">
      <alignment horizontal="center" vertical="center"/>
    </xf>
    <xf numFmtId="0" fontId="60" fillId="0" borderId="174" xfId="0" applyFont="1" applyBorder="1" applyAlignment="1">
      <alignment horizontal="center" vertical="center" wrapText="1"/>
    </xf>
    <xf numFmtId="0" fontId="60" fillId="0" borderId="247" xfId="238" applyFont="1" applyBorder="1" applyAlignment="1">
      <alignment vertical="center"/>
    </xf>
    <xf numFmtId="168" fontId="60" fillId="0" borderId="247" xfId="452" applyNumberFormat="1" applyFont="1" applyBorder="1" applyAlignment="1">
      <alignment horizontal="center" vertical="center" wrapText="1"/>
    </xf>
    <xf numFmtId="168" fontId="60" fillId="0" borderId="247" xfId="452" applyNumberFormat="1" applyFont="1" applyBorder="1" applyAlignment="1">
      <alignment horizontal="center" vertical="center"/>
    </xf>
    <xf numFmtId="0" fontId="60" fillId="0" borderId="175" xfId="0" applyFont="1" applyBorder="1" applyAlignment="1">
      <alignment horizontal="center" vertical="center" wrapText="1"/>
    </xf>
    <xf numFmtId="0" fontId="60" fillId="0" borderId="222" xfId="238" applyFont="1" applyBorder="1" applyAlignment="1">
      <alignment vertical="center"/>
    </xf>
    <xf numFmtId="0" fontId="60" fillId="0" borderId="222" xfId="0" applyFont="1" applyBorder="1" applyAlignment="1">
      <alignment horizontal="center" vertical="center"/>
    </xf>
    <xf numFmtId="171" fontId="60" fillId="0" borderId="222" xfId="0" applyNumberFormat="1" applyFont="1" applyBorder="1" applyAlignment="1">
      <alignment horizontal="center" vertical="center"/>
    </xf>
    <xf numFmtId="168" fontId="60" fillId="0" borderId="222" xfId="0" applyNumberFormat="1" applyFont="1" applyBorder="1" applyAlignment="1">
      <alignment horizontal="center" vertical="center"/>
    </xf>
    <xf numFmtId="168" fontId="60" fillId="0" borderId="222" xfId="452" applyNumberFormat="1" applyFont="1" applyBorder="1" applyAlignment="1">
      <alignment horizontal="center" vertical="center"/>
    </xf>
    <xf numFmtId="0" fontId="88" fillId="20" borderId="177" xfId="2459" applyFont="1" applyFill="1" applyBorder="1" applyAlignment="1">
      <alignment horizontal="center" vertical="center"/>
    </xf>
    <xf numFmtId="171" fontId="88" fillId="20" borderId="175" xfId="0" applyNumberFormat="1" applyFont="1" applyFill="1" applyBorder="1" applyAlignment="1">
      <alignment horizontal="center" vertical="center"/>
    </xf>
    <xf numFmtId="168" fontId="88" fillId="20" borderId="175" xfId="0" applyNumberFormat="1" applyFont="1" applyFill="1" applyBorder="1" applyAlignment="1">
      <alignment horizontal="center" vertical="center"/>
    </xf>
    <xf numFmtId="168" fontId="88" fillId="20" borderId="175" xfId="452" applyNumberFormat="1" applyFont="1" applyFill="1" applyBorder="1" applyAlignment="1">
      <alignment horizontal="center" vertical="center"/>
    </xf>
    <xf numFmtId="0" fontId="96" fillId="20" borderId="154" xfId="0" applyFont="1" applyFill="1" applyBorder="1" applyAlignment="1">
      <alignment horizontal="center" vertical="center"/>
    </xf>
    <xf numFmtId="0" fontId="96" fillId="0" borderId="153" xfId="0" applyFont="1" applyBorder="1" applyAlignment="1">
      <alignment vertical="center"/>
    </xf>
    <xf numFmtId="0" fontId="96" fillId="0" borderId="144" xfId="0" applyFont="1" applyBorder="1" applyAlignment="1">
      <alignment vertical="center"/>
    </xf>
    <xf numFmtId="0" fontId="96" fillId="0" borderId="152" xfId="0" applyFont="1" applyBorder="1" applyAlignment="1">
      <alignment vertical="center"/>
    </xf>
    <xf numFmtId="0" fontId="96" fillId="20" borderId="154" xfId="0" applyFont="1" applyFill="1" applyBorder="1" applyAlignment="1">
      <alignment horizontal="center" vertical="center" wrapText="1"/>
    </xf>
    <xf numFmtId="0" fontId="98" fillId="20" borderId="164" xfId="452" applyFont="1" applyFill="1" applyBorder="1" applyAlignment="1">
      <alignment horizontal="center" vertical="center" wrapText="1"/>
    </xf>
    <xf numFmtId="0" fontId="98" fillId="20" borderId="164" xfId="452" applyFont="1" applyFill="1" applyBorder="1" applyAlignment="1">
      <alignment horizontal="center" vertical="center"/>
    </xf>
    <xf numFmtId="0" fontId="50" fillId="0" borderId="79" xfId="816" applyFont="1" applyBorder="1"/>
    <xf numFmtId="0" fontId="50" fillId="0" borderId="79" xfId="816" applyFont="1" applyBorder="1" applyAlignment="1">
      <alignment horizontal="center"/>
    </xf>
    <xf numFmtId="180" fontId="50" fillId="0" borderId="79" xfId="816" applyNumberFormat="1" applyFont="1" applyBorder="1" applyAlignment="1">
      <alignment horizontal="center"/>
    </xf>
    <xf numFmtId="171" fontId="50" fillId="0" borderId="79" xfId="0" applyNumberFormat="1" applyFont="1" applyBorder="1" applyAlignment="1">
      <alignment horizontal="center" vertical="center"/>
    </xf>
    <xf numFmtId="171" fontId="73" fillId="0" borderId="79" xfId="818" applyNumberFormat="1" applyFont="1" applyBorder="1" applyAlignment="1">
      <alignment horizontal="center" vertical="center"/>
    </xf>
    <xf numFmtId="0" fontId="50" fillId="0" borderId="17" xfId="816" applyFont="1" applyBorder="1"/>
    <xf numFmtId="0" fontId="50" fillId="0" borderId="17" xfId="816" applyFont="1" applyBorder="1" applyAlignment="1">
      <alignment horizontal="center"/>
    </xf>
    <xf numFmtId="180" fontId="50" fillId="0" borderId="17" xfId="816" applyNumberFormat="1" applyFont="1" applyBorder="1" applyAlignment="1">
      <alignment horizontal="center"/>
    </xf>
    <xf numFmtId="171" fontId="50" fillId="0" borderId="17" xfId="0" applyNumberFormat="1" applyFont="1" applyBorder="1" applyAlignment="1">
      <alignment horizontal="center" vertical="center"/>
    </xf>
    <xf numFmtId="171" fontId="73" fillId="0" borderId="17" xfId="818" applyNumberFormat="1" applyFont="1" applyBorder="1" applyAlignment="1">
      <alignment horizontal="center" vertical="center"/>
    </xf>
    <xf numFmtId="171" fontId="73" fillId="0" borderId="17" xfId="238" applyNumberFormat="1" applyFont="1" applyBorder="1" applyAlignment="1">
      <alignment horizontal="center" vertical="center"/>
    </xf>
    <xf numFmtId="0" fontId="50" fillId="0" borderId="20" xfId="816" applyFont="1" applyBorder="1"/>
    <xf numFmtId="0" fontId="50" fillId="0" borderId="20" xfId="816" applyFont="1" applyBorder="1" applyAlignment="1">
      <alignment horizontal="center"/>
    </xf>
    <xf numFmtId="180" fontId="50" fillId="0" borderId="20" xfId="816" applyNumberFormat="1" applyFont="1" applyBorder="1" applyAlignment="1">
      <alignment horizontal="center"/>
    </xf>
    <xf numFmtId="171" fontId="50" fillId="0" borderId="20" xfId="0" applyNumberFormat="1" applyFont="1" applyBorder="1" applyAlignment="1">
      <alignment horizontal="center" vertical="center"/>
    </xf>
    <xf numFmtId="171" fontId="73" fillId="0" borderId="20" xfId="818" applyNumberFormat="1" applyFont="1" applyBorder="1" applyAlignment="1">
      <alignment horizontal="center" vertical="center"/>
    </xf>
    <xf numFmtId="0" fontId="50" fillId="0" borderId="30" xfId="816" applyFont="1" applyBorder="1"/>
    <xf numFmtId="0" fontId="50" fillId="0" borderId="30" xfId="816" applyFont="1" applyBorder="1" applyAlignment="1">
      <alignment horizontal="center"/>
    </xf>
    <xf numFmtId="180" fontId="50" fillId="0" borderId="30" xfId="816" applyNumberFormat="1" applyFont="1" applyBorder="1" applyAlignment="1">
      <alignment horizontal="center"/>
    </xf>
    <xf numFmtId="171" fontId="50" fillId="0" borderId="30" xfId="0" applyNumberFormat="1" applyFont="1" applyBorder="1" applyAlignment="1">
      <alignment horizontal="center"/>
    </xf>
    <xf numFmtId="171" fontId="73" fillId="0" borderId="30" xfId="238" applyNumberFormat="1" applyFont="1" applyBorder="1" applyAlignment="1">
      <alignment horizontal="center" vertical="center"/>
    </xf>
    <xf numFmtId="171" fontId="50" fillId="0" borderId="17" xfId="0" applyNumberFormat="1" applyFont="1" applyBorder="1" applyAlignment="1">
      <alignment horizontal="center"/>
    </xf>
    <xf numFmtId="171" fontId="50" fillId="0" borderId="20" xfId="0" applyNumberFormat="1" applyFont="1" applyBorder="1" applyAlignment="1">
      <alignment horizontal="center"/>
    </xf>
    <xf numFmtId="171" fontId="73" fillId="0" borderId="20" xfId="238" applyNumberFormat="1" applyFont="1" applyBorder="1" applyAlignment="1">
      <alignment horizontal="center" vertical="center"/>
    </xf>
    <xf numFmtId="0" fontId="50" fillId="0" borderId="30" xfId="2459" applyFont="1" applyBorder="1" applyAlignment="1">
      <alignment horizontal="center"/>
    </xf>
    <xf numFmtId="0" fontId="50" fillId="0" borderId="30" xfId="0" applyFont="1" applyBorder="1" applyAlignment="1">
      <alignment horizontal="center"/>
    </xf>
    <xf numFmtId="180" fontId="50" fillId="0" borderId="30" xfId="0" applyNumberFormat="1" applyFont="1" applyBorder="1" applyAlignment="1">
      <alignment horizontal="center"/>
    </xf>
    <xf numFmtId="0" fontId="50" fillId="0" borderId="17" xfId="2459" applyFont="1" applyBorder="1" applyAlignment="1">
      <alignment horizontal="center"/>
    </xf>
    <xf numFmtId="180" fontId="50" fillId="0" borderId="17" xfId="0" applyNumberFormat="1" applyFont="1" applyBorder="1" applyAlignment="1">
      <alignment horizontal="center"/>
    </xf>
    <xf numFmtId="0" fontId="50" fillId="0" borderId="20" xfId="0" applyFont="1" applyBorder="1"/>
    <xf numFmtId="0" fontId="50" fillId="0" borderId="20" xfId="2459" applyFont="1" applyBorder="1" applyAlignment="1">
      <alignment horizontal="center"/>
    </xf>
    <xf numFmtId="180" fontId="50" fillId="0" borderId="20" xfId="0" applyNumberFormat="1" applyFont="1" applyBorder="1" applyAlignment="1">
      <alignment horizontal="center"/>
    </xf>
    <xf numFmtId="171" fontId="73" fillId="0" borderId="30" xfId="818" applyNumberFormat="1" applyFont="1" applyBorder="1" applyAlignment="1">
      <alignment horizontal="center" vertical="center"/>
    </xf>
    <xf numFmtId="0" fontId="50" fillId="0" borderId="154" xfId="0" applyFont="1" applyBorder="1" applyAlignment="1">
      <alignment horizontal="center" vertical="center" wrapText="1"/>
    </xf>
    <xf numFmtId="0" fontId="73" fillId="0" borderId="222" xfId="239" applyFont="1" applyBorder="1" applyAlignment="1">
      <alignment horizontal="left" vertical="center" wrapText="1"/>
    </xf>
    <xf numFmtId="0" fontId="73" fillId="0" borderId="222" xfId="239" applyFont="1" applyBorder="1" applyAlignment="1">
      <alignment horizontal="center" vertical="center" wrapText="1"/>
    </xf>
    <xf numFmtId="0" fontId="50" fillId="0" borderId="222" xfId="0" applyFont="1" applyBorder="1" applyAlignment="1">
      <alignment horizontal="center" vertical="center"/>
    </xf>
    <xf numFmtId="1" fontId="73" fillId="0" borderId="222" xfId="239" applyNumberFormat="1" applyFont="1" applyBorder="1" applyAlignment="1">
      <alignment horizontal="center" vertical="center"/>
    </xf>
    <xf numFmtId="180" fontId="50" fillId="0" borderId="222" xfId="0" applyNumberFormat="1" applyFont="1" applyBorder="1" applyAlignment="1">
      <alignment horizontal="center" vertical="center"/>
    </xf>
    <xf numFmtId="171" fontId="50" fillId="0" borderId="222" xfId="0" applyNumberFormat="1" applyFont="1" applyBorder="1" applyAlignment="1">
      <alignment horizontal="center" vertical="center"/>
    </xf>
    <xf numFmtId="0" fontId="73" fillId="0" borderId="154" xfId="239" applyFont="1" applyBorder="1" applyAlignment="1">
      <alignment horizontal="center" vertical="center" wrapText="1"/>
    </xf>
    <xf numFmtId="180" fontId="96" fillId="20" borderId="154" xfId="0" applyNumberFormat="1" applyFont="1" applyFill="1" applyBorder="1" applyAlignment="1">
      <alignment horizontal="center" vertical="center"/>
    </xf>
    <xf numFmtId="10" fontId="226" fillId="20" borderId="154" xfId="0" applyNumberFormat="1" applyFont="1" applyFill="1" applyBorder="1" applyAlignment="1">
      <alignment horizontal="center" vertical="center"/>
    </xf>
    <xf numFmtId="10" fontId="226" fillId="20" borderId="153" xfId="0" applyNumberFormat="1" applyFont="1" applyFill="1" applyBorder="1" applyAlignment="1">
      <alignment horizontal="center" vertical="center"/>
    </xf>
    <xf numFmtId="10" fontId="96" fillId="20" borderId="154" xfId="0" applyNumberFormat="1" applyFont="1" applyFill="1" applyBorder="1" applyAlignment="1">
      <alignment horizontal="center"/>
    </xf>
    <xf numFmtId="0" fontId="174" fillId="0" borderId="0" xfId="0" applyFont="1" applyAlignment="1">
      <alignment horizontal="center"/>
    </xf>
    <xf numFmtId="0" fontId="96" fillId="0" borderId="0" xfId="0" applyFont="1" applyAlignment="1">
      <alignment horizontal="left" vertical="center"/>
    </xf>
    <xf numFmtId="0" fontId="50" fillId="0" borderId="0" xfId="0" applyFont="1" applyAlignment="1">
      <alignment wrapText="1"/>
    </xf>
    <xf numFmtId="0" fontId="50" fillId="0" borderId="0" xfId="0" applyFont="1" applyAlignment="1">
      <alignment horizontal="center" wrapText="1"/>
    </xf>
    <xf numFmtId="0" fontId="226" fillId="20" borderId="154" xfId="0" applyFont="1" applyFill="1" applyBorder="1" applyAlignment="1">
      <alignment horizontal="center" vertical="center" wrapText="1"/>
    </xf>
    <xf numFmtId="0" fontId="96" fillId="0" borderId="0" xfId="0" applyFont="1" applyAlignment="1">
      <alignment vertical="center" wrapText="1"/>
    </xf>
    <xf numFmtId="0" fontId="97" fillId="34" borderId="154" xfId="0" applyFont="1" applyFill="1" applyBorder="1" applyAlignment="1">
      <alignment horizontal="center" vertical="top" wrapText="1"/>
    </xf>
    <xf numFmtId="1" fontId="97" fillId="34" borderId="154" xfId="0" applyNumberFormat="1" applyFont="1" applyFill="1" applyBorder="1" applyAlignment="1">
      <alignment horizontal="center" vertical="top" wrapText="1"/>
    </xf>
    <xf numFmtId="0" fontId="98" fillId="0" borderId="0" xfId="452" applyFont="1" applyAlignment="1">
      <alignment horizontal="center" vertical="center" wrapText="1"/>
    </xf>
    <xf numFmtId="0" fontId="226" fillId="34" borderId="0" xfId="0" applyFont="1" applyFill="1" applyAlignment="1">
      <alignment horizontal="center" vertical="top" wrapText="1"/>
    </xf>
    <xf numFmtId="2" fontId="226" fillId="34" borderId="0" xfId="0" applyNumberFormat="1" applyFont="1" applyFill="1" applyAlignment="1">
      <alignment horizontal="center" vertical="top" wrapText="1"/>
    </xf>
    <xf numFmtId="0" fontId="226" fillId="0" borderId="0" xfId="0" applyFont="1" applyAlignment="1">
      <alignment horizontal="center" vertical="center" wrapText="1"/>
    </xf>
    <xf numFmtId="2" fontId="50" fillId="0" borderId="79" xfId="816" applyNumberFormat="1" applyFont="1" applyBorder="1" applyAlignment="1">
      <alignment horizontal="center"/>
    </xf>
    <xf numFmtId="2" fontId="50" fillId="0" borderId="79" xfId="0" applyNumberFormat="1" applyFont="1" applyBorder="1" applyAlignment="1">
      <alignment horizontal="center" vertical="center"/>
    </xf>
    <xf numFmtId="2" fontId="50" fillId="0" borderId="17" xfId="816" applyNumberFormat="1" applyFont="1" applyBorder="1" applyAlignment="1">
      <alignment horizontal="center"/>
    </xf>
    <xf numFmtId="2" fontId="50" fillId="0" borderId="17" xfId="0" applyNumberFormat="1" applyFont="1" applyBorder="1" applyAlignment="1">
      <alignment horizontal="center" vertical="center"/>
    </xf>
    <xf numFmtId="2" fontId="50" fillId="0" borderId="20" xfId="816" applyNumberFormat="1" applyFont="1" applyBorder="1" applyAlignment="1">
      <alignment horizontal="center"/>
    </xf>
    <xf numFmtId="2" fontId="50" fillId="0" borderId="20" xfId="0" applyNumberFormat="1" applyFont="1" applyBorder="1" applyAlignment="1">
      <alignment horizontal="center" vertical="center"/>
    </xf>
    <xf numFmtId="2" fontId="50" fillId="0" borderId="30" xfId="816" applyNumberFormat="1" applyFont="1" applyBorder="1" applyAlignment="1">
      <alignment horizontal="center"/>
    </xf>
    <xf numFmtId="2" fontId="50" fillId="0" borderId="30" xfId="0" applyNumberFormat="1" applyFont="1" applyBorder="1" applyAlignment="1">
      <alignment horizontal="center"/>
    </xf>
    <xf numFmtId="2" fontId="50" fillId="0" borderId="30" xfId="0" applyNumberFormat="1" applyFont="1" applyBorder="1" applyAlignment="1">
      <alignment horizontal="center" vertical="center"/>
    </xf>
    <xf numFmtId="2" fontId="50" fillId="0" borderId="17" xfId="0" applyNumberFormat="1" applyFont="1" applyBorder="1" applyAlignment="1">
      <alignment horizontal="center"/>
    </xf>
    <xf numFmtId="2" fontId="50" fillId="0" borderId="20" xfId="0" applyNumberFormat="1" applyFont="1" applyBorder="1" applyAlignment="1">
      <alignment horizontal="center"/>
    </xf>
    <xf numFmtId="0" fontId="50" fillId="0" borderId="79" xfId="0" applyFont="1" applyBorder="1"/>
    <xf numFmtId="2" fontId="50" fillId="0" borderId="79" xfId="0" applyNumberFormat="1" applyFont="1" applyBorder="1" applyAlignment="1">
      <alignment horizontal="center"/>
    </xf>
    <xf numFmtId="2" fontId="73" fillId="0" borderId="17" xfId="818" applyNumberFormat="1" applyFont="1" applyBorder="1" applyAlignment="1">
      <alignment horizontal="center" vertical="center"/>
    </xf>
    <xf numFmtId="2" fontId="73" fillId="0" borderId="20" xfId="818" applyNumberFormat="1" applyFont="1" applyBorder="1" applyAlignment="1">
      <alignment horizontal="center" vertical="center"/>
    </xf>
    <xf numFmtId="2" fontId="73" fillId="0" borderId="30" xfId="818" applyNumberFormat="1" applyFont="1" applyBorder="1" applyAlignment="1">
      <alignment horizontal="center" vertical="center"/>
    </xf>
    <xf numFmtId="0" fontId="50" fillId="0" borderId="79" xfId="0" applyFont="1" applyBorder="1" applyAlignment="1">
      <alignment vertical="center"/>
    </xf>
    <xf numFmtId="2" fontId="73" fillId="0" borderId="79" xfId="818" applyNumberFormat="1" applyFont="1" applyBorder="1" applyAlignment="1">
      <alignment horizontal="center" vertical="center"/>
    </xf>
    <xf numFmtId="0" fontId="50" fillId="0" borderId="17" xfId="0" applyFont="1" applyBorder="1" applyAlignment="1">
      <alignment vertical="center"/>
    </xf>
    <xf numFmtId="0" fontId="50" fillId="0" borderId="20" xfId="0" applyFont="1" applyBorder="1" applyAlignment="1">
      <alignment vertical="center"/>
    </xf>
    <xf numFmtId="0" fontId="50" fillId="0" borderId="20" xfId="0" applyFont="1" applyBorder="1" applyAlignment="1">
      <alignment horizontal="center" vertical="center"/>
    </xf>
    <xf numFmtId="2" fontId="96" fillId="20" borderId="154" xfId="0" applyNumberFormat="1" applyFont="1" applyFill="1" applyBorder="1" applyAlignment="1">
      <alignment horizontal="center" vertical="center"/>
    </xf>
    <xf numFmtId="0" fontId="96" fillId="20" borderId="114" xfId="0" applyFont="1" applyFill="1" applyBorder="1" applyAlignment="1">
      <alignment horizontal="center" vertical="center" wrapText="1"/>
    </xf>
    <xf numFmtId="0" fontId="226" fillId="20" borderId="114" xfId="0" applyFont="1" applyFill="1" applyBorder="1" applyAlignment="1">
      <alignment horizontal="center" vertical="center" wrapText="1"/>
    </xf>
    <xf numFmtId="0" fontId="97" fillId="34" borderId="79" xfId="0" applyFont="1" applyFill="1" applyBorder="1" applyAlignment="1">
      <alignment horizontal="center" vertical="top" wrapText="1"/>
    </xf>
    <xf numFmtId="2" fontId="97" fillId="34" borderId="79" xfId="0" applyNumberFormat="1" applyFont="1" applyFill="1" applyBorder="1" applyAlignment="1">
      <alignment horizontal="center" vertical="top" wrapText="1"/>
    </xf>
    <xf numFmtId="183" fontId="73" fillId="0" borderId="79" xfId="819" applyNumberFormat="1" applyFont="1" applyBorder="1" applyAlignment="1">
      <alignment horizontal="center" vertical="center"/>
    </xf>
    <xf numFmtId="0" fontId="97" fillId="34" borderId="20" xfId="0" applyFont="1" applyFill="1" applyBorder="1" applyAlignment="1">
      <alignment horizontal="center" vertical="top" wrapText="1"/>
    </xf>
    <xf numFmtId="2" fontId="97" fillId="34" borderId="20" xfId="0" applyNumberFormat="1" applyFont="1" applyFill="1" applyBorder="1" applyAlignment="1">
      <alignment horizontal="center" vertical="top" wrapText="1"/>
    </xf>
    <xf numFmtId="183" fontId="73" fillId="0" borderId="20" xfId="819" applyNumberFormat="1" applyFont="1" applyBorder="1" applyAlignment="1">
      <alignment horizontal="center" vertical="center"/>
    </xf>
    <xf numFmtId="0" fontId="226" fillId="20" borderId="114" xfId="0" applyFont="1" applyFill="1" applyBorder="1" applyAlignment="1">
      <alignment horizontal="center" vertical="top" wrapText="1"/>
    </xf>
    <xf numFmtId="2" fontId="226" fillId="20" borderId="114" xfId="0" applyNumberFormat="1" applyFont="1" applyFill="1" applyBorder="1" applyAlignment="1">
      <alignment horizontal="center" vertical="top" wrapText="1"/>
    </xf>
    <xf numFmtId="183" fontId="73" fillId="20" borderId="114" xfId="819" applyNumberFormat="1" applyFont="1" applyFill="1" applyBorder="1" applyAlignment="1">
      <alignment horizontal="center" vertical="center"/>
    </xf>
    <xf numFmtId="0" fontId="96" fillId="20" borderId="114" xfId="0" applyFont="1" applyFill="1" applyBorder="1" applyAlignment="1">
      <alignment horizontal="center" vertical="center"/>
    </xf>
    <xf numFmtId="0" fontId="98" fillId="20" borderId="114" xfId="452" applyFont="1" applyFill="1" applyBorder="1" applyAlignment="1">
      <alignment horizontal="center" vertical="center" wrapText="1"/>
    </xf>
    <xf numFmtId="0" fontId="73" fillId="0" borderId="79" xfId="818" applyFont="1" applyBorder="1" applyAlignment="1">
      <alignment horizontal="left" vertical="center" wrapText="1"/>
    </xf>
    <xf numFmtId="0" fontId="73" fillId="0" borderId="17" xfId="818" applyFont="1" applyBorder="1" applyAlignment="1">
      <alignment horizontal="left" vertical="center" wrapText="1"/>
    </xf>
    <xf numFmtId="0" fontId="73" fillId="0" borderId="20" xfId="818" applyFont="1" applyBorder="1" applyAlignment="1">
      <alignment horizontal="left" vertical="center" wrapText="1"/>
    </xf>
    <xf numFmtId="0" fontId="73" fillId="0" borderId="30" xfId="818" applyFont="1" applyBorder="1" applyAlignment="1">
      <alignment horizontal="left" vertical="center" wrapText="1"/>
    </xf>
    <xf numFmtId="2" fontId="96" fillId="43" borderId="114" xfId="0" applyNumberFormat="1" applyFont="1" applyFill="1" applyBorder="1" applyAlignment="1">
      <alignment horizontal="center" vertical="center"/>
    </xf>
    <xf numFmtId="2" fontId="96" fillId="20" borderId="114" xfId="0" applyNumberFormat="1" applyFont="1" applyFill="1" applyBorder="1" applyAlignment="1">
      <alignment horizontal="center" vertical="center"/>
    </xf>
    <xf numFmtId="2" fontId="96" fillId="20" borderId="114" xfId="0" applyNumberFormat="1" applyFont="1" applyFill="1" applyBorder="1" applyAlignment="1">
      <alignment horizontal="center"/>
    </xf>
    <xf numFmtId="0" fontId="98" fillId="0" borderId="0" xfId="820" applyFont="1" applyAlignment="1">
      <alignment horizontal="left" vertical="center" wrapText="1"/>
    </xf>
    <xf numFmtId="0" fontId="226" fillId="20" borderId="91" xfId="0" applyFont="1" applyFill="1" applyBorder="1" applyAlignment="1">
      <alignment horizontal="center" vertical="center" wrapText="1"/>
    </xf>
    <xf numFmtId="0" fontId="97" fillId="34" borderId="93" xfId="0" applyFont="1" applyFill="1" applyBorder="1" applyAlignment="1">
      <alignment horizontal="center" vertical="center" wrapText="1"/>
    </xf>
    <xf numFmtId="10" fontId="97" fillId="34" borderId="96" xfId="0" applyNumberFormat="1" applyFont="1" applyFill="1" applyBorder="1" applyAlignment="1">
      <alignment horizontal="center" vertical="center" wrapText="1"/>
    </xf>
    <xf numFmtId="10" fontId="97" fillId="43" borderId="91" xfId="0" applyNumberFormat="1" applyFont="1" applyFill="1" applyBorder="1" applyAlignment="1">
      <alignment horizontal="center" vertical="center" wrapText="1"/>
    </xf>
    <xf numFmtId="0" fontId="97" fillId="34" borderId="92" xfId="0" applyFont="1" applyFill="1" applyBorder="1" applyAlignment="1">
      <alignment horizontal="center" vertical="center" wrapText="1"/>
    </xf>
    <xf numFmtId="10" fontId="97" fillId="34" borderId="93" xfId="0" applyNumberFormat="1" applyFont="1" applyFill="1" applyBorder="1" applyAlignment="1">
      <alignment horizontal="center" vertical="center" wrapText="1"/>
    </xf>
    <xf numFmtId="10" fontId="97" fillId="34" borderId="92" xfId="0" applyNumberFormat="1" applyFont="1" applyFill="1" applyBorder="1" applyAlignment="1">
      <alignment horizontal="center" vertical="center" wrapText="1"/>
    </xf>
    <xf numFmtId="0" fontId="97" fillId="0" borderId="93" xfId="0" applyFont="1" applyBorder="1" applyAlignment="1">
      <alignment horizontal="center" vertical="center" wrapText="1"/>
    </xf>
    <xf numFmtId="10" fontId="97" fillId="0" borderId="92" xfId="0" applyNumberFormat="1" applyFont="1" applyBorder="1" applyAlignment="1">
      <alignment horizontal="center" vertical="center" wrapText="1"/>
    </xf>
    <xf numFmtId="10" fontId="324" fillId="43" borderId="92" xfId="0" applyNumberFormat="1" applyFont="1" applyFill="1" applyBorder="1" applyAlignment="1">
      <alignment horizontal="center" vertical="center" wrapText="1"/>
    </xf>
    <xf numFmtId="2" fontId="50" fillId="0" borderId="0" xfId="0" applyNumberFormat="1" applyFont="1"/>
    <xf numFmtId="0" fontId="97" fillId="34" borderId="96" xfId="0" applyFont="1" applyFill="1" applyBorder="1" applyAlignment="1">
      <alignment horizontal="center" vertical="center" wrapText="1"/>
    </xf>
    <xf numFmtId="0" fontId="97" fillId="34" borderId="91" xfId="0" applyFont="1" applyFill="1" applyBorder="1" applyAlignment="1">
      <alignment horizontal="center" vertical="center" wrapText="1"/>
    </xf>
    <xf numFmtId="168" fontId="97" fillId="34" borderId="82" xfId="0" applyNumberFormat="1" applyFont="1" applyFill="1" applyBorder="1" applyAlignment="1">
      <alignment horizontal="center" vertical="center" wrapText="1"/>
    </xf>
    <xf numFmtId="168" fontId="97" fillId="21" borderId="81" xfId="0" applyNumberFormat="1" applyFont="1" applyFill="1" applyBorder="1" applyAlignment="1">
      <alignment horizontal="center" vertical="center" wrapText="1"/>
    </xf>
    <xf numFmtId="168" fontId="97" fillId="34" borderId="81" xfId="0" applyNumberFormat="1" applyFont="1" applyFill="1" applyBorder="1" applyAlignment="1">
      <alignment horizontal="center" vertical="center" wrapText="1"/>
    </xf>
    <xf numFmtId="9" fontId="97" fillId="34" borderId="82" xfId="0" applyNumberFormat="1" applyFont="1" applyFill="1" applyBorder="1" applyAlignment="1">
      <alignment horizontal="center" vertical="center" wrapText="1"/>
    </xf>
    <xf numFmtId="10" fontId="97" fillId="21" borderId="81" xfId="0" applyNumberFormat="1" applyFont="1" applyFill="1" applyBorder="1" applyAlignment="1">
      <alignment horizontal="center" vertical="center" wrapText="1"/>
    </xf>
    <xf numFmtId="10" fontId="97" fillId="34" borderId="81" xfId="0" applyNumberFormat="1" applyFont="1" applyFill="1" applyBorder="1" applyAlignment="1">
      <alignment horizontal="center" vertical="center" wrapText="1"/>
    </xf>
    <xf numFmtId="0" fontId="98" fillId="20" borderId="92" xfId="0" applyFont="1" applyFill="1" applyBorder="1" applyAlignment="1">
      <alignment horizontal="center" vertical="center" wrapText="1"/>
    </xf>
    <xf numFmtId="0" fontId="98" fillId="20" borderId="92" xfId="0" applyFont="1" applyFill="1" applyBorder="1" applyAlignment="1">
      <alignment horizontal="center" vertical="center"/>
    </xf>
    <xf numFmtId="0" fontId="73" fillId="0" borderId="0" xfId="0" applyFont="1" applyAlignment="1">
      <alignment vertical="center"/>
    </xf>
    <xf numFmtId="0" fontId="50" fillId="0" borderId="92" xfId="0" applyFont="1" applyBorder="1" applyAlignment="1">
      <alignment horizontal="center" vertical="center" wrapText="1"/>
    </xf>
    <xf numFmtId="168" fontId="97" fillId="0" borderId="92" xfId="0" applyNumberFormat="1" applyFont="1" applyBorder="1" applyAlignment="1">
      <alignment horizontal="center"/>
    </xf>
    <xf numFmtId="168" fontId="97" fillId="21" borderId="92" xfId="0" applyNumberFormat="1" applyFont="1" applyFill="1" applyBorder="1" applyAlignment="1">
      <alignment horizontal="center"/>
    </xf>
    <xf numFmtId="0" fontId="73" fillId="0" borderId="0" xfId="0" applyFont="1" applyAlignment="1">
      <alignment horizontal="left" vertical="center" indent="1"/>
    </xf>
    <xf numFmtId="0" fontId="98" fillId="0" borderId="0" xfId="0" applyFont="1" applyAlignment="1">
      <alignment vertical="center"/>
    </xf>
    <xf numFmtId="0" fontId="100" fillId="0" borderId="0" xfId="0" applyFont="1" applyAlignment="1">
      <alignment horizontal="center" vertical="top"/>
    </xf>
    <xf numFmtId="193" fontId="154" fillId="43" borderId="307" xfId="797" applyNumberFormat="1" applyFont="1" applyFill="1" applyBorder="1" applyAlignment="1">
      <alignment horizontal="center" vertical="center"/>
    </xf>
    <xf numFmtId="0" fontId="59" fillId="0" borderId="307" xfId="0" applyFont="1" applyBorder="1" applyAlignment="1">
      <alignment horizontal="center" vertical="center" wrapText="1"/>
    </xf>
    <xf numFmtId="0" fontId="167" fillId="0" borderId="307" xfId="0" applyFont="1" applyBorder="1" applyAlignment="1">
      <alignment horizontal="center" vertical="center" wrapText="1"/>
    </xf>
    <xf numFmtId="193" fontId="167" fillId="0" borderId="307" xfId="0" applyNumberFormat="1" applyFont="1" applyBorder="1" applyAlignment="1">
      <alignment horizontal="center" vertical="center" wrapText="1"/>
    </xf>
    <xf numFmtId="0" fontId="50" fillId="0" borderId="0" xfId="0" applyFont="1"/>
    <xf numFmtId="0" fontId="60" fillId="0" borderId="0" xfId="0" applyFont="1" applyFill="1" applyBorder="1" applyAlignment="1">
      <alignment horizontal="left" vertical="center"/>
    </xf>
    <xf numFmtId="0" fontId="326" fillId="0" borderId="16" xfId="149" applyFont="1" applyFill="1" applyBorder="1" applyAlignment="1">
      <alignment horizontal="center" vertical="center" wrapText="1"/>
    </xf>
    <xf numFmtId="0" fontId="326" fillId="0" borderId="16" xfId="0" applyFont="1" applyFill="1" applyBorder="1" applyAlignment="1">
      <alignment horizontal="center" vertical="center" wrapText="1"/>
    </xf>
    <xf numFmtId="0" fontId="50" fillId="0" borderId="0" xfId="0" applyFont="1" applyBorder="1" applyAlignment="1">
      <alignment vertical="center"/>
    </xf>
    <xf numFmtId="0" fontId="73" fillId="0" borderId="0" xfId="0" applyFont="1" applyBorder="1" applyAlignment="1">
      <alignment horizontal="center" vertical="center" wrapText="1"/>
    </xf>
    <xf numFmtId="0" fontId="327" fillId="0" borderId="16" xfId="149" applyFont="1" applyFill="1" applyBorder="1" applyAlignment="1">
      <alignment horizontal="center" vertical="center" wrapText="1"/>
    </xf>
    <xf numFmtId="0" fontId="327" fillId="0" borderId="16" xfId="0" applyFont="1" applyFill="1" applyBorder="1" applyAlignment="1">
      <alignment horizontal="center" vertical="center" wrapText="1"/>
    </xf>
    <xf numFmtId="0" fontId="60" fillId="0" borderId="0" xfId="0" applyFont="1" applyBorder="1" applyAlignment="1">
      <alignment horizontal="left" vertical="center" wrapText="1"/>
    </xf>
    <xf numFmtId="0" fontId="60" fillId="0" borderId="0" xfId="0" applyFont="1" applyBorder="1" applyAlignment="1">
      <alignment horizontal="center" vertical="center" wrapText="1"/>
    </xf>
    <xf numFmtId="0" fontId="50" fillId="0" borderId="0" xfId="0" applyFont="1" applyBorder="1" applyAlignment="1">
      <alignment horizontal="left" vertical="center" wrapText="1"/>
    </xf>
    <xf numFmtId="0" fontId="50" fillId="0" borderId="0" xfId="0" applyFont="1" applyBorder="1" applyAlignment="1">
      <alignment horizontal="center" vertical="center" wrapText="1"/>
    </xf>
    <xf numFmtId="0" fontId="322" fillId="0" borderId="307" xfId="0" applyFont="1" applyFill="1" applyBorder="1" applyAlignment="1">
      <alignment horizontal="center" vertical="center" wrapText="1"/>
    </xf>
    <xf numFmtId="0" fontId="190" fillId="0" borderId="16" xfId="149" applyFont="1" applyFill="1" applyBorder="1" applyAlignment="1">
      <alignment horizontal="center" vertical="center" wrapText="1"/>
    </xf>
    <xf numFmtId="0" fontId="190" fillId="0" borderId="16" xfId="0" applyFont="1" applyFill="1" applyBorder="1" applyAlignment="1">
      <alignment horizontal="center" vertical="center" wrapText="1"/>
    </xf>
    <xf numFmtId="0" fontId="88" fillId="0" borderId="16" xfId="149" applyFont="1" applyFill="1" applyBorder="1" applyAlignment="1">
      <alignment horizontal="center" vertical="center" wrapText="1"/>
    </xf>
    <xf numFmtId="0" fontId="215" fillId="31" borderId="106" xfId="0" applyFont="1" applyFill="1" applyBorder="1" applyAlignment="1">
      <alignment vertical="center"/>
    </xf>
    <xf numFmtId="0" fontId="215" fillId="31" borderId="106" xfId="0" applyFont="1" applyFill="1" applyBorder="1" applyAlignment="1">
      <alignment horizontal="right" vertical="center"/>
    </xf>
    <xf numFmtId="3" fontId="57" fillId="0" borderId="203" xfId="0" applyNumberFormat="1" applyFont="1" applyFill="1" applyBorder="1" applyAlignment="1">
      <alignment horizontal="center" vertical="center" wrapText="1"/>
    </xf>
    <xf numFmtId="3" fontId="57" fillId="0" borderId="181" xfId="0" applyNumberFormat="1" applyFont="1" applyFill="1" applyBorder="1" applyAlignment="1">
      <alignment horizontal="center" vertical="center" wrapText="1"/>
    </xf>
    <xf numFmtId="0" fontId="48" fillId="0" borderId="0" xfId="0" applyFont="1" applyFill="1" applyAlignment="1">
      <alignment vertical="center"/>
    </xf>
    <xf numFmtId="0" fontId="0" fillId="0" borderId="373" xfId="0" applyBorder="1" applyAlignment="1">
      <alignment horizontal="center" vertical="center"/>
    </xf>
    <xf numFmtId="0" fontId="39" fillId="20" borderId="373" xfId="0" applyFont="1" applyFill="1" applyBorder="1" applyAlignment="1">
      <alignment horizontal="center" vertical="center"/>
    </xf>
    <xf numFmtId="0" fontId="269" fillId="0" borderId="377" xfId="3797" applyFont="1" applyFill="1" applyBorder="1" applyAlignment="1">
      <alignment vertical="center" wrapText="1"/>
    </xf>
    <xf numFmtId="0" fontId="269" fillId="0" borderId="377" xfId="3797" applyFont="1" applyFill="1" applyBorder="1" applyAlignment="1">
      <alignment horizontal="center" vertical="center" wrapText="1"/>
    </xf>
    <xf numFmtId="0" fontId="303" fillId="0" borderId="377" xfId="3797" applyFont="1" applyFill="1" applyBorder="1" applyAlignment="1">
      <alignment horizontal="center" vertical="center" wrapText="1"/>
    </xf>
    <xf numFmtId="0" fontId="303" fillId="0" borderId="377" xfId="3797" applyFont="1" applyFill="1" applyBorder="1" applyAlignment="1">
      <alignment vertical="center" wrapText="1"/>
    </xf>
    <xf numFmtId="0" fontId="331" fillId="0" borderId="377" xfId="3797" applyFont="1" applyFill="1" applyBorder="1" applyAlignment="1">
      <alignment horizontal="center" vertical="center" wrapText="1"/>
    </xf>
    <xf numFmtId="0" fontId="331" fillId="0" borderId="377" xfId="3797" applyFont="1" applyFill="1" applyBorder="1" applyAlignment="1">
      <alignment vertical="center" wrapText="1"/>
    </xf>
    <xf numFmtId="0" fontId="315" fillId="0" borderId="377" xfId="3797" applyFont="1" applyFill="1" applyBorder="1" applyAlignment="1">
      <alignment vertical="center" wrapText="1"/>
    </xf>
    <xf numFmtId="0" fontId="270" fillId="0" borderId="377" xfId="3797" applyFont="1" applyFill="1" applyBorder="1" applyAlignment="1">
      <alignment horizontal="center" vertical="center" wrapText="1"/>
    </xf>
    <xf numFmtId="0" fontId="269" fillId="0" borderId="400" xfId="3797" applyFont="1" applyFill="1" applyBorder="1" applyAlignment="1">
      <alignment horizontal="center" vertical="center" wrapText="1"/>
    </xf>
    <xf numFmtId="0" fontId="269" fillId="0" borderId="400" xfId="3797" applyFont="1" applyFill="1" applyBorder="1" applyAlignment="1">
      <alignment vertical="center" wrapText="1"/>
    </xf>
    <xf numFmtId="0" fontId="269" fillId="0" borderId="378" xfId="3797" applyFont="1" applyFill="1" applyBorder="1" applyAlignment="1">
      <alignment horizontal="center" vertical="center" wrapText="1"/>
    </xf>
    <xf numFmtId="0" fontId="0" fillId="0" borderId="401" xfId="0" applyBorder="1"/>
    <xf numFmtId="0" fontId="269" fillId="0" borderId="402" xfId="3797" applyFont="1" applyFill="1" applyBorder="1" applyAlignment="1">
      <alignment horizontal="center" vertical="center" wrapText="1"/>
    </xf>
    <xf numFmtId="0" fontId="269" fillId="0" borderId="348" xfId="3797" applyFont="1" applyFill="1" applyBorder="1" applyAlignment="1">
      <alignment horizontal="center" vertical="center" wrapText="1"/>
    </xf>
    <xf numFmtId="0" fontId="284" fillId="0" borderId="378" xfId="3797" applyFont="1" applyFill="1" applyBorder="1" applyAlignment="1">
      <alignment horizontal="center" vertical="center" wrapText="1"/>
    </xf>
    <xf numFmtId="0" fontId="285" fillId="0" borderId="378" xfId="3797" applyFont="1" applyFill="1" applyBorder="1" applyAlignment="1">
      <alignment vertical="center" wrapText="1"/>
    </xf>
    <xf numFmtId="0" fontId="285" fillId="0" borderId="378" xfId="3797" applyFont="1" applyFill="1" applyBorder="1" applyAlignment="1">
      <alignment horizontal="center" vertical="center" wrapText="1"/>
    </xf>
    <xf numFmtId="0" fontId="269" fillId="0" borderId="380" xfId="3797" applyFont="1" applyFill="1" applyBorder="1" applyAlignment="1">
      <alignment horizontal="center" vertical="center" wrapText="1"/>
    </xf>
    <xf numFmtId="0" fontId="270" fillId="0" borderId="380" xfId="3797" applyFont="1" applyFill="1" applyBorder="1" applyAlignment="1">
      <alignment horizontal="center" vertical="center" wrapText="1"/>
    </xf>
    <xf numFmtId="0" fontId="306" fillId="0" borderId="348" xfId="3799" applyFont="1" applyFill="1" applyBorder="1" applyAlignment="1">
      <alignment horizontal="right"/>
    </xf>
    <xf numFmtId="0" fontId="286" fillId="0" borderId="378" xfId="3797" applyFont="1" applyFill="1" applyBorder="1" applyAlignment="1">
      <alignment vertical="center" wrapText="1"/>
    </xf>
    <xf numFmtId="0" fontId="286" fillId="0" borderId="378" xfId="3797" applyFont="1" applyFill="1" applyBorder="1" applyAlignment="1">
      <alignment horizontal="center" vertical="center" wrapText="1"/>
    </xf>
    <xf numFmtId="168" fontId="332" fillId="0" borderId="347" xfId="176" applyNumberFormat="1" applyFont="1" applyBorder="1" applyAlignment="1">
      <alignment horizontal="center"/>
    </xf>
    <xf numFmtId="0" fontId="270" fillId="0" borderId="400" xfId="3797" applyFont="1" applyFill="1" applyBorder="1" applyAlignment="1">
      <alignment horizontal="center" vertical="center" wrapText="1"/>
    </xf>
    <xf numFmtId="0" fontId="269" fillId="0" borderId="348" xfId="3797" applyFont="1" applyFill="1" applyBorder="1" applyAlignment="1">
      <alignment vertical="center" wrapText="1"/>
    </xf>
    <xf numFmtId="0" fontId="303" fillId="0" borderId="400" xfId="3797" applyFont="1" applyFill="1" applyBorder="1" applyAlignment="1">
      <alignment horizontal="center" vertical="center" wrapText="1"/>
    </xf>
    <xf numFmtId="0" fontId="303" fillId="0" borderId="400" xfId="3797" applyFont="1" applyFill="1" applyBorder="1" applyAlignment="1">
      <alignment vertical="center" wrapText="1"/>
    </xf>
    <xf numFmtId="0" fontId="305" fillId="0" borderId="380" xfId="3797" applyFont="1" applyFill="1" applyBorder="1" applyAlignment="1">
      <alignment horizontal="center" vertical="center" wrapText="1"/>
    </xf>
    <xf numFmtId="168" fontId="333" fillId="0" borderId="347" xfId="176" applyNumberFormat="1" applyFont="1" applyBorder="1" applyAlignment="1">
      <alignment horizontal="center"/>
    </xf>
    <xf numFmtId="0" fontId="305" fillId="0" borderId="377" xfId="3797" applyFont="1" applyFill="1" applyBorder="1" applyAlignment="1">
      <alignment horizontal="center" vertical="center" wrapText="1"/>
    </xf>
    <xf numFmtId="0" fontId="269" fillId="0" borderId="378" xfId="3797" applyFont="1" applyFill="1" applyBorder="1" applyAlignment="1">
      <alignment horizontal="right" vertical="center" wrapText="1"/>
    </xf>
    <xf numFmtId="0" fontId="297" fillId="0" borderId="378" xfId="3797" applyFont="1" applyFill="1" applyBorder="1" applyAlignment="1">
      <alignment horizontal="center" vertical="center" wrapText="1"/>
    </xf>
    <xf numFmtId="0" fontId="297" fillId="0" borderId="378" xfId="3797" applyFont="1" applyFill="1" applyBorder="1" applyAlignment="1">
      <alignment horizontal="right" vertical="center" wrapText="1"/>
    </xf>
    <xf numFmtId="168" fontId="334" fillId="0" borderId="401" xfId="176" applyNumberFormat="1" applyFont="1" applyBorder="1" applyAlignment="1">
      <alignment horizontal="center" vertical="center"/>
    </xf>
    <xf numFmtId="0" fontId="114" fillId="0" borderId="0" xfId="0" applyFont="1"/>
    <xf numFmtId="0" fontId="39" fillId="0" borderId="401" xfId="0" applyFont="1" applyBorder="1" applyAlignment="1">
      <alignment horizontal="center"/>
    </xf>
    <xf numFmtId="168" fontId="89" fillId="0" borderId="401" xfId="176" applyNumberFormat="1" applyFont="1" applyBorder="1" applyAlignment="1">
      <alignment horizontal="center"/>
    </xf>
    <xf numFmtId="0" fontId="82" fillId="54" borderId="0" xfId="0" applyFont="1" applyFill="1" applyAlignment="1">
      <alignment horizontal="center" vertical="center"/>
    </xf>
    <xf numFmtId="0" fontId="269" fillId="0" borderId="377" xfId="3799" applyFont="1" applyFill="1" applyBorder="1" applyAlignment="1">
      <alignment horizontal="right" wrapText="1"/>
    </xf>
    <xf numFmtId="0" fontId="269" fillId="0" borderId="377" xfId="3799" applyFont="1" applyFill="1" applyBorder="1" applyAlignment="1">
      <alignment horizontal="center" vertical="center" wrapText="1"/>
    </xf>
    <xf numFmtId="0" fontId="269" fillId="0" borderId="377" xfId="3799" applyFont="1" applyFill="1" applyBorder="1" applyAlignment="1">
      <alignment vertical="center" wrapText="1"/>
    </xf>
    <xf numFmtId="0" fontId="303" fillId="0" borderId="377" xfId="3799" applyFont="1" applyFill="1" applyBorder="1" applyAlignment="1">
      <alignment vertical="center" wrapText="1"/>
    </xf>
    <xf numFmtId="0" fontId="290" fillId="0" borderId="377" xfId="3799" applyFont="1" applyFill="1" applyBorder="1" applyAlignment="1">
      <alignment vertical="center" wrapText="1"/>
    </xf>
    <xf numFmtId="0" fontId="270" fillId="0" borderId="377" xfId="3799" applyFont="1" applyFill="1" applyBorder="1" applyAlignment="1">
      <alignment horizontal="center" vertical="center" wrapText="1"/>
    </xf>
    <xf numFmtId="0" fontId="312" fillId="0" borderId="377" xfId="3799" applyFont="1" applyFill="1" applyBorder="1" applyAlignment="1">
      <alignment horizontal="center" vertical="center" wrapText="1"/>
    </xf>
    <xf numFmtId="0" fontId="312" fillId="0" borderId="377" xfId="3799" applyFont="1" applyFill="1" applyBorder="1" applyAlignment="1">
      <alignment vertical="center" wrapText="1"/>
    </xf>
    <xf numFmtId="0" fontId="303" fillId="0" borderId="377" xfId="3799" applyFont="1" applyFill="1" applyBorder="1" applyAlignment="1">
      <alignment horizontal="center" vertical="center" wrapText="1"/>
    </xf>
    <xf numFmtId="0" fontId="290" fillId="0" borderId="361" xfId="3799" applyFont="1" applyFill="1" applyBorder="1" applyAlignment="1">
      <alignment horizontal="right" vertical="center"/>
    </xf>
    <xf numFmtId="0" fontId="269" fillId="0" borderId="402" xfId="3799" applyFont="1" applyFill="1" applyBorder="1" applyAlignment="1">
      <alignment horizontal="center" vertical="center" wrapText="1"/>
    </xf>
    <xf numFmtId="168" fontId="39" fillId="0" borderId="307" xfId="176" applyNumberFormat="1" applyFont="1" applyBorder="1" applyAlignment="1">
      <alignment horizontal="right" vertical="center"/>
    </xf>
    <xf numFmtId="0" fontId="289" fillId="0" borderId="377" xfId="3799" applyFont="1" applyFill="1" applyBorder="1" applyAlignment="1">
      <alignment horizontal="center" vertical="center" wrapText="1"/>
    </xf>
    <xf numFmtId="0" fontId="269" fillId="0" borderId="400" xfId="3799" applyFont="1" applyFill="1" applyBorder="1" applyAlignment="1">
      <alignment horizontal="center" vertical="center" wrapText="1"/>
    </xf>
    <xf numFmtId="0" fontId="269" fillId="0" borderId="400" xfId="3799" applyFont="1" applyFill="1" applyBorder="1" applyAlignment="1">
      <alignment vertical="center" wrapText="1"/>
    </xf>
    <xf numFmtId="0" fontId="269" fillId="0" borderId="378" xfId="3799" applyFont="1" applyFill="1" applyBorder="1" applyAlignment="1">
      <alignment horizontal="center" vertical="center" wrapText="1"/>
    </xf>
    <xf numFmtId="0" fontId="335" fillId="0" borderId="378" xfId="3799" applyFont="1" applyFill="1" applyBorder="1" applyAlignment="1">
      <alignment horizontal="center" vertical="center" wrapText="1"/>
    </xf>
    <xf numFmtId="0" fontId="284" fillId="0" borderId="378" xfId="3799" applyFont="1" applyFill="1" applyBorder="1" applyAlignment="1">
      <alignment vertical="center" wrapText="1"/>
    </xf>
    <xf numFmtId="0" fontId="284" fillId="0" borderId="378" xfId="3799" applyFont="1" applyFill="1" applyBorder="1" applyAlignment="1">
      <alignment horizontal="center" vertical="center" wrapText="1"/>
    </xf>
    <xf numFmtId="168" fontId="106" fillId="0" borderId="307" xfId="176" applyNumberFormat="1" applyFont="1" applyBorder="1" applyAlignment="1">
      <alignment horizontal="right" vertical="center"/>
    </xf>
    <xf numFmtId="0" fontId="290" fillId="0" borderId="400" xfId="3799" applyFont="1" applyFill="1" applyBorder="1" applyAlignment="1">
      <alignment vertical="center" wrapText="1"/>
    </xf>
    <xf numFmtId="0" fontId="305" fillId="0" borderId="378" xfId="3799" applyFont="1" applyFill="1" applyBorder="1" applyAlignment="1">
      <alignment horizontal="center" vertical="center" wrapText="1"/>
    </xf>
    <xf numFmtId="168" fontId="113" fillId="0" borderId="307" xfId="176" applyNumberFormat="1" applyFont="1" applyBorder="1" applyAlignment="1">
      <alignment horizontal="right" vertical="center"/>
    </xf>
    <xf numFmtId="0" fontId="286" fillId="0" borderId="378" xfId="3799" applyFont="1" applyFill="1" applyBorder="1" applyAlignment="1">
      <alignment horizontal="center" vertical="center" wrapText="1"/>
    </xf>
    <xf numFmtId="0" fontId="287" fillId="0" borderId="378" xfId="3799" applyFont="1" applyFill="1" applyBorder="1" applyAlignment="1">
      <alignment vertical="center" wrapText="1"/>
    </xf>
    <xf numFmtId="0" fontId="287" fillId="0" borderId="403" xfId="3799" applyFont="1" applyFill="1" applyBorder="1" applyAlignment="1">
      <alignment horizontal="center" vertical="center" wrapText="1"/>
    </xf>
    <xf numFmtId="168" fontId="110" fillId="0" borderId="307" xfId="176" applyNumberFormat="1" applyFont="1" applyBorder="1" applyAlignment="1">
      <alignment horizontal="right" vertical="center"/>
    </xf>
    <xf numFmtId="0" fontId="306" fillId="0" borderId="378" xfId="3799" applyFont="1" applyFill="1" applyBorder="1" applyAlignment="1">
      <alignment horizontal="center" vertical="center" wrapText="1"/>
    </xf>
    <xf numFmtId="0" fontId="305" fillId="0" borderId="403" xfId="3799" applyFont="1" applyFill="1" applyBorder="1" applyAlignment="1">
      <alignment horizontal="center" vertical="center" wrapText="1"/>
    </xf>
    <xf numFmtId="0" fontId="330" fillId="0" borderId="0" xfId="0" applyFont="1"/>
    <xf numFmtId="0" fontId="336" fillId="0" borderId="378" xfId="3799" applyFont="1" applyFill="1" applyBorder="1" applyAlignment="1">
      <alignment horizontal="center" vertical="center" wrapText="1"/>
    </xf>
    <xf numFmtId="0" fontId="338" fillId="0" borderId="0" xfId="0" applyFont="1"/>
    <xf numFmtId="0" fontId="0" fillId="0" borderId="404" xfId="0" applyBorder="1"/>
    <xf numFmtId="0" fontId="329" fillId="0" borderId="0" xfId="0" applyFont="1" applyAlignment="1">
      <alignment horizontal="center" vertical="center"/>
    </xf>
    <xf numFmtId="0" fontId="269" fillId="0" borderId="341" xfId="3799" applyFont="1" applyFill="1" applyBorder="1" applyAlignment="1">
      <alignment horizontal="center" vertical="center"/>
    </xf>
    <xf numFmtId="0" fontId="0" fillId="21" borderId="0" xfId="0" applyFill="1" applyAlignment="1">
      <alignment horizontal="center" vertical="center"/>
    </xf>
    <xf numFmtId="10" fontId="39" fillId="0" borderId="0" xfId="176" applyNumberFormat="1" applyFont="1" applyAlignment="1">
      <alignment horizontal="center" vertical="center"/>
    </xf>
    <xf numFmtId="0" fontId="120" fillId="21" borderId="0" xfId="0" applyFont="1" applyFill="1" applyAlignment="1">
      <alignment horizontal="center" vertical="center"/>
    </xf>
    <xf numFmtId="0" fontId="96" fillId="21" borderId="0" xfId="0" applyFont="1" applyFill="1" applyAlignment="1">
      <alignment horizontal="center" vertical="center"/>
    </xf>
    <xf numFmtId="0" fontId="74" fillId="21" borderId="0" xfId="0" applyFont="1" applyFill="1" applyAlignment="1">
      <alignment horizontal="center" vertical="center"/>
    </xf>
    <xf numFmtId="10" fontId="74" fillId="0" borderId="0" xfId="176" applyNumberFormat="1" applyFont="1" applyAlignment="1">
      <alignment horizontal="center" vertical="center"/>
    </xf>
    <xf numFmtId="0" fontId="96" fillId="49" borderId="0" xfId="0" applyFont="1" applyFill="1" applyAlignment="1">
      <alignment horizontal="center" vertical="center"/>
    </xf>
    <xf numFmtId="10" fontId="96" fillId="0" borderId="0" xfId="176" applyNumberFormat="1" applyFont="1" applyAlignment="1">
      <alignment horizontal="center" vertical="center"/>
    </xf>
    <xf numFmtId="182" fontId="73" fillId="42" borderId="0" xfId="428" applyNumberFormat="1" applyFont="1" applyFill="1" applyAlignment="1">
      <alignment horizontal="center" vertical="center"/>
    </xf>
    <xf numFmtId="0" fontId="0" fillId="0" borderId="401" xfId="0" applyBorder="1" applyAlignment="1">
      <alignment horizontal="center" vertical="center"/>
    </xf>
    <xf numFmtId="0" fontId="88" fillId="0" borderId="401" xfId="0" applyFont="1" applyBorder="1" applyAlignment="1">
      <alignment horizontal="center" vertical="center"/>
    </xf>
    <xf numFmtId="168" fontId="39" fillId="0" borderId="401" xfId="176" applyNumberFormat="1" applyFont="1" applyBorder="1" applyAlignment="1">
      <alignment horizontal="right" vertical="center"/>
    </xf>
    <xf numFmtId="0" fontId="39" fillId="0" borderId="401" xfId="0" applyFont="1" applyBorder="1" applyAlignment="1">
      <alignment horizontal="center" vertical="center"/>
    </xf>
    <xf numFmtId="0" fontId="337" fillId="0" borderId="0" xfId="0" applyFont="1" applyAlignment="1">
      <alignment horizontal="center" vertical="center"/>
    </xf>
    <xf numFmtId="168" fontId="339" fillId="0" borderId="307" xfId="176" applyNumberFormat="1" applyFont="1" applyBorder="1" applyAlignment="1">
      <alignment horizontal="right" vertical="center"/>
    </xf>
    <xf numFmtId="0" fontId="0" fillId="0" borderId="405" xfId="0" applyBorder="1"/>
    <xf numFmtId="0" fontId="269" fillId="42" borderId="377" xfId="3799" applyFont="1" applyFill="1" applyBorder="1" applyAlignment="1">
      <alignment horizontal="center" vertical="center" wrapText="1"/>
    </xf>
    <xf numFmtId="0" fontId="269" fillId="42" borderId="377" xfId="3799" applyFont="1" applyFill="1" applyBorder="1" applyAlignment="1">
      <alignment vertical="center" wrapText="1"/>
    </xf>
    <xf numFmtId="0" fontId="66" fillId="42" borderId="0" xfId="0" applyFont="1" applyFill="1" applyAlignment="1">
      <alignment horizontal="center" vertical="center"/>
    </xf>
    <xf numFmtId="0" fontId="269" fillId="0" borderId="377" xfId="3805" applyFont="1" applyFill="1" applyBorder="1" applyAlignment="1">
      <alignment horizontal="right" vertical="center" wrapText="1"/>
    </xf>
    <xf numFmtId="0" fontId="269" fillId="0" borderId="377" xfId="3805" applyFont="1" applyFill="1" applyBorder="1" applyAlignment="1">
      <alignment vertical="center" wrapText="1"/>
    </xf>
    <xf numFmtId="0" fontId="269" fillId="0" borderId="377" xfId="3805" applyFont="1" applyFill="1" applyBorder="1" applyAlignment="1">
      <alignment horizontal="center" vertical="center" wrapText="1"/>
    </xf>
    <xf numFmtId="0" fontId="281" fillId="0" borderId="361" xfId="3799" applyFont="1" applyFill="1" applyBorder="1" applyAlignment="1">
      <alignment horizontal="right" vertical="center"/>
    </xf>
    <xf numFmtId="0" fontId="281" fillId="0" borderId="377" xfId="3805" applyFont="1" applyFill="1" applyBorder="1" applyAlignment="1">
      <alignment vertical="center" wrapText="1"/>
    </xf>
    <xf numFmtId="0" fontId="312" fillId="0" borderId="377" xfId="3805" applyFont="1" applyFill="1" applyBorder="1" applyAlignment="1">
      <alignment horizontal="center" vertical="center" wrapText="1"/>
    </xf>
    <xf numFmtId="0" fontId="312" fillId="0" borderId="377" xfId="3805" applyFont="1" applyFill="1" applyBorder="1" applyAlignment="1">
      <alignment vertical="center" wrapText="1"/>
    </xf>
    <xf numFmtId="0" fontId="270" fillId="0" borderId="377" xfId="3805" applyFont="1" applyFill="1" applyBorder="1" applyAlignment="1">
      <alignment horizontal="center" vertical="center" wrapText="1"/>
    </xf>
    <xf numFmtId="0" fontId="269" fillId="0" borderId="400" xfId="3805" applyFont="1" applyFill="1" applyBorder="1" applyAlignment="1">
      <alignment horizontal="center" vertical="center" wrapText="1"/>
    </xf>
    <xf numFmtId="0" fontId="269" fillId="0" borderId="400" xfId="3805" applyFont="1" applyFill="1" applyBorder="1" applyAlignment="1">
      <alignment vertical="center" wrapText="1"/>
    </xf>
    <xf numFmtId="0" fontId="269" fillId="0" borderId="378" xfId="3805" applyFont="1" applyFill="1" applyBorder="1" applyAlignment="1">
      <alignment horizontal="center" vertical="center" wrapText="1"/>
    </xf>
    <xf numFmtId="0" fontId="269" fillId="0" borderId="380" xfId="3805" applyFont="1" applyFill="1" applyBorder="1" applyAlignment="1">
      <alignment horizontal="center" vertical="center" wrapText="1"/>
    </xf>
    <xf numFmtId="0" fontId="270" fillId="0" borderId="380" xfId="3805" applyFont="1" applyFill="1" applyBorder="1" applyAlignment="1">
      <alignment horizontal="center" vertical="center" wrapText="1"/>
    </xf>
    <xf numFmtId="0" fontId="285" fillId="0" borderId="378" xfId="3805" applyFont="1" applyFill="1" applyBorder="1" applyAlignment="1">
      <alignment vertical="center" wrapText="1"/>
    </xf>
    <xf numFmtId="0" fontId="284" fillId="0" borderId="378" xfId="3805" applyFont="1" applyFill="1" applyBorder="1" applyAlignment="1">
      <alignment horizontal="center" vertical="center" wrapText="1"/>
    </xf>
    <xf numFmtId="0" fontId="231" fillId="0" borderId="377" xfId="3805" applyFont="1" applyFill="1" applyBorder="1" applyAlignment="1">
      <alignment horizontal="center" vertical="center" wrapText="1"/>
    </xf>
    <xf numFmtId="0" fontId="282" fillId="0" borderId="377" xfId="3805" applyFont="1" applyFill="1" applyBorder="1" applyAlignment="1">
      <alignment horizontal="center" vertical="center" wrapText="1"/>
    </xf>
    <xf numFmtId="0" fontId="340" fillId="0" borderId="0" xfId="0" applyFont="1" applyAlignment="1">
      <alignment horizontal="center" vertical="center"/>
    </xf>
    <xf numFmtId="0" fontId="309" fillId="0" borderId="378" xfId="3805" applyFont="1" applyFill="1" applyBorder="1" applyAlignment="1">
      <alignment horizontal="center" vertical="center" wrapText="1"/>
    </xf>
    <xf numFmtId="0" fontId="0" fillId="0" borderId="401" xfId="0" applyBorder="1" applyAlignment="1">
      <alignment horizontal="center"/>
    </xf>
    <xf numFmtId="0" fontId="336" fillId="0" borderId="405" xfId="3805" applyFont="1" applyFill="1" applyBorder="1" applyAlignment="1">
      <alignment horizontal="center" vertical="center" wrapText="1"/>
    </xf>
    <xf numFmtId="0" fontId="339" fillId="0" borderId="401" xfId="0" applyFont="1" applyBorder="1" applyAlignment="1">
      <alignment horizontal="center"/>
    </xf>
    <xf numFmtId="0" fontId="96" fillId="0" borderId="347" xfId="0" applyFont="1" applyBorder="1" applyAlignment="1">
      <alignment horizontal="center" vertical="center" wrapText="1"/>
    </xf>
    <xf numFmtId="168" fontId="42" fillId="0" borderId="0" xfId="176" applyNumberFormat="1" applyFont="1" applyBorder="1" applyAlignment="1">
      <alignment horizontal="center" vertical="center"/>
    </xf>
    <xf numFmtId="168" fontId="138" fillId="0" borderId="401" xfId="176" applyNumberFormat="1" applyFont="1" applyBorder="1" applyAlignment="1">
      <alignment horizontal="center" vertical="center"/>
    </xf>
    <xf numFmtId="0" fontId="39" fillId="0" borderId="401" xfId="0" applyFont="1" applyBorder="1"/>
    <xf numFmtId="168" fontId="39" fillId="0" borderId="307" xfId="176" applyNumberFormat="1" applyFont="1" applyBorder="1" applyAlignment="1">
      <alignment horizontal="center" vertical="center"/>
    </xf>
    <xf numFmtId="0" fontId="285" fillId="0" borderId="406" xfId="3805" applyFont="1" applyFill="1" applyBorder="1" applyAlignment="1">
      <alignment horizontal="center" vertical="center" wrapText="1"/>
    </xf>
    <xf numFmtId="0" fontId="286" fillId="0" borderId="378" xfId="3805" applyFont="1" applyFill="1" applyBorder="1" applyAlignment="1">
      <alignment horizontal="center" vertical="center" wrapText="1"/>
    </xf>
    <xf numFmtId="0" fontId="305" fillId="0" borderId="378" xfId="3805" applyFont="1" applyFill="1" applyBorder="1" applyAlignment="1">
      <alignment horizontal="center" vertical="center" wrapText="1"/>
    </xf>
    <xf numFmtId="168" fontId="113" fillId="0" borderId="307" xfId="176" applyNumberFormat="1" applyFont="1" applyBorder="1" applyAlignment="1">
      <alignment horizontal="center"/>
    </xf>
    <xf numFmtId="168" fontId="106" fillId="0" borderId="307" xfId="176" applyNumberFormat="1" applyFont="1" applyBorder="1" applyAlignment="1">
      <alignment horizontal="center"/>
    </xf>
    <xf numFmtId="168" fontId="110" fillId="0" borderId="307" xfId="176" applyNumberFormat="1" applyFont="1" applyBorder="1" applyAlignment="1">
      <alignment horizontal="center"/>
    </xf>
    <xf numFmtId="0" fontId="269" fillId="0" borderId="402" xfId="3805" applyFont="1" applyFill="1" applyBorder="1" applyAlignment="1">
      <alignment horizontal="center" vertical="center" wrapText="1"/>
    </xf>
    <xf numFmtId="168" fontId="39" fillId="0" borderId="0" xfId="176" applyNumberFormat="1" applyFont="1" applyBorder="1" applyAlignment="1">
      <alignment horizontal="center" vertical="center"/>
    </xf>
    <xf numFmtId="0" fontId="269" fillId="0" borderId="407" xfId="3805" applyFont="1" applyFill="1" applyBorder="1" applyAlignment="1">
      <alignment horizontal="center" vertical="center" wrapText="1"/>
    </xf>
    <xf numFmtId="0" fontId="269" fillId="0" borderId="407" xfId="3805" applyFont="1" applyFill="1" applyBorder="1" applyAlignment="1">
      <alignment vertical="center" wrapText="1"/>
    </xf>
    <xf numFmtId="0" fontId="281" fillId="0" borderId="407" xfId="3805" applyFont="1" applyFill="1" applyBorder="1" applyAlignment="1">
      <alignment vertical="center" wrapText="1"/>
    </xf>
    <xf numFmtId="0" fontId="270" fillId="0" borderId="407" xfId="3805" applyFont="1" applyFill="1" applyBorder="1" applyAlignment="1">
      <alignment horizontal="center" vertical="center" wrapText="1"/>
    </xf>
    <xf numFmtId="0" fontId="269" fillId="0" borderId="407" xfId="3798" applyFont="1" applyFill="1" applyBorder="1" applyAlignment="1">
      <alignment horizontal="right" vertical="center" wrapText="1"/>
    </xf>
    <xf numFmtId="171" fontId="269" fillId="0" borderId="407" xfId="3798" applyNumberFormat="1" applyFont="1" applyFill="1" applyBorder="1" applyAlignment="1">
      <alignment horizontal="right" vertical="center" wrapText="1"/>
    </xf>
    <xf numFmtId="171" fontId="269" fillId="0" borderId="407" xfId="3798" applyNumberFormat="1" applyFont="1" applyFill="1" applyBorder="1" applyAlignment="1">
      <alignment horizontal="center" vertical="center" wrapText="1"/>
    </xf>
    <xf numFmtId="0" fontId="269" fillId="0" borderId="407" xfId="3798" applyFont="1" applyFill="1" applyBorder="1" applyAlignment="1">
      <alignment horizontal="center" vertical="center" wrapText="1"/>
    </xf>
    <xf numFmtId="0" fontId="269" fillId="0" borderId="407" xfId="3798" applyFont="1" applyFill="1" applyBorder="1" applyAlignment="1">
      <alignment horizontal="left" vertical="center" wrapText="1"/>
    </xf>
    <xf numFmtId="0" fontId="270" fillId="0" borderId="407" xfId="3798" applyFont="1" applyFill="1" applyBorder="1" applyAlignment="1">
      <alignment horizontal="center" vertical="center" wrapText="1"/>
    </xf>
    <xf numFmtId="0" fontId="269" fillId="0" borderId="400" xfId="3798" applyFont="1" applyFill="1" applyBorder="1" applyAlignment="1">
      <alignment horizontal="right" vertical="center" wrapText="1"/>
    </xf>
    <xf numFmtId="171" fontId="269" fillId="0" borderId="400" xfId="3798" applyNumberFormat="1" applyFont="1" applyFill="1" applyBorder="1" applyAlignment="1">
      <alignment horizontal="right" vertical="center" wrapText="1"/>
    </xf>
    <xf numFmtId="0" fontId="269" fillId="0" borderId="408" xfId="3798" applyFont="1" applyFill="1" applyBorder="1" applyAlignment="1">
      <alignment horizontal="right" vertical="center" wrapText="1"/>
    </xf>
    <xf numFmtId="0" fontId="270" fillId="0" borderId="408" xfId="3798" applyFont="1" applyFill="1" applyBorder="1" applyAlignment="1">
      <alignment horizontal="center" vertical="center" wrapText="1"/>
    </xf>
    <xf numFmtId="171" fontId="269" fillId="0" borderId="408" xfId="3798" applyNumberFormat="1" applyFont="1" applyFill="1" applyBorder="1" applyAlignment="1">
      <alignment horizontal="right" vertical="center" wrapText="1"/>
    </xf>
    <xf numFmtId="0" fontId="269" fillId="0" borderId="400" xfId="3798" applyFont="1" applyFill="1" applyBorder="1" applyAlignment="1">
      <alignment horizontal="center" vertical="center" wrapText="1"/>
    </xf>
    <xf numFmtId="0" fontId="269" fillId="0" borderId="400" xfId="3798" applyFont="1" applyFill="1" applyBorder="1" applyAlignment="1">
      <alignment horizontal="left" vertical="center" wrapText="1"/>
    </xf>
    <xf numFmtId="171" fontId="269" fillId="0" borderId="400" xfId="3798" applyNumberFormat="1" applyFont="1" applyFill="1" applyBorder="1" applyAlignment="1">
      <alignment horizontal="center" vertical="center" wrapText="1"/>
    </xf>
    <xf numFmtId="0" fontId="269" fillId="0" borderId="408" xfId="3798" applyFont="1" applyFill="1" applyBorder="1" applyAlignment="1">
      <alignment horizontal="center" vertical="center" wrapText="1"/>
    </xf>
    <xf numFmtId="171" fontId="269" fillId="0" borderId="408" xfId="3798" applyNumberFormat="1" applyFont="1" applyFill="1" applyBorder="1" applyAlignment="1">
      <alignment horizontal="center" vertical="center" wrapText="1"/>
    </xf>
    <xf numFmtId="0" fontId="50" fillId="0" borderId="401" xfId="0" applyFont="1" applyBorder="1" applyAlignment="1">
      <alignment horizontal="center" vertical="center"/>
    </xf>
    <xf numFmtId="0" fontId="269" fillId="0" borderId="400" xfId="3798" applyFont="1" applyFill="1" applyBorder="1" applyAlignment="1">
      <alignment vertical="center" wrapText="1"/>
    </xf>
    <xf numFmtId="0" fontId="270" fillId="0" borderId="409" xfId="3798" applyFont="1" applyFill="1" applyBorder="1" applyAlignment="1">
      <alignment horizontal="center" vertical="center" wrapText="1"/>
    </xf>
    <xf numFmtId="171" fontId="269" fillId="0" borderId="409" xfId="3798" applyNumberFormat="1" applyFont="1" applyFill="1" applyBorder="1" applyAlignment="1">
      <alignment horizontal="right" vertical="center" wrapText="1"/>
    </xf>
    <xf numFmtId="0" fontId="0" fillId="0" borderId="105" xfId="0" applyBorder="1"/>
    <xf numFmtId="0" fontId="270" fillId="0" borderId="410" xfId="3798" applyFont="1" applyFill="1" applyBorder="1" applyAlignment="1">
      <alignment horizontal="center" vertical="center" wrapText="1"/>
    </xf>
    <xf numFmtId="0" fontId="269" fillId="0" borderId="407" xfId="3801" applyFont="1" applyFill="1" applyBorder="1" applyAlignment="1">
      <alignment vertical="center" wrapText="1"/>
    </xf>
    <xf numFmtId="0" fontId="269" fillId="0" borderId="407" xfId="3801" applyFont="1" applyFill="1" applyBorder="1" applyAlignment="1">
      <alignment horizontal="center" vertical="center" wrapText="1"/>
    </xf>
    <xf numFmtId="171" fontId="269" fillId="0" borderId="407" xfId="3801" applyNumberFormat="1" applyFont="1" applyFill="1" applyBorder="1" applyAlignment="1">
      <alignment horizontal="center" vertical="center" wrapText="1"/>
    </xf>
    <xf numFmtId="0" fontId="270" fillId="0" borderId="407" xfId="3801" applyFont="1" applyFill="1" applyBorder="1" applyAlignment="1">
      <alignment horizontal="center" vertical="center" wrapText="1"/>
    </xf>
    <xf numFmtId="0" fontId="269" fillId="0" borderId="400" xfId="3801" applyFont="1" applyFill="1" applyBorder="1" applyAlignment="1">
      <alignment horizontal="center" vertical="center" wrapText="1"/>
    </xf>
    <xf numFmtId="0" fontId="269" fillId="0" borderId="400" xfId="3801" applyFont="1" applyFill="1" applyBorder="1" applyAlignment="1">
      <alignment vertical="center" wrapText="1"/>
    </xf>
    <xf numFmtId="171" fontId="269" fillId="0" borderId="400" xfId="3801" applyNumberFormat="1" applyFont="1" applyFill="1" applyBorder="1" applyAlignment="1">
      <alignment horizontal="center" vertical="center" wrapText="1"/>
    </xf>
    <xf numFmtId="0" fontId="269" fillId="0" borderId="408" xfId="3801" applyFont="1" applyFill="1" applyBorder="1" applyAlignment="1">
      <alignment horizontal="center" vertical="center" wrapText="1"/>
    </xf>
    <xf numFmtId="0" fontId="270" fillId="0" borderId="408" xfId="3801" applyFont="1" applyFill="1" applyBorder="1" applyAlignment="1">
      <alignment horizontal="center" vertical="center" wrapText="1"/>
    </xf>
    <xf numFmtId="171" fontId="269" fillId="0" borderId="408" xfId="3801" applyNumberFormat="1" applyFont="1" applyFill="1" applyBorder="1" applyAlignment="1">
      <alignment horizontal="center" vertical="center" wrapText="1"/>
    </xf>
    <xf numFmtId="0" fontId="0" fillId="0" borderId="401" xfId="0" applyBorder="1" applyAlignment="1">
      <alignment vertical="center"/>
    </xf>
    <xf numFmtId="0" fontId="270" fillId="0" borderId="409" xfId="3801" applyFont="1" applyFill="1" applyBorder="1" applyAlignment="1">
      <alignment horizontal="center" vertical="center" wrapText="1"/>
    </xf>
    <xf numFmtId="171" fontId="269" fillId="0" borderId="409" xfId="3801" applyNumberFormat="1" applyFont="1" applyFill="1" applyBorder="1" applyAlignment="1">
      <alignment horizontal="center" vertical="center" wrapText="1"/>
    </xf>
    <xf numFmtId="171" fontId="96" fillId="43" borderId="105" xfId="0" applyNumberFormat="1" applyFont="1" applyFill="1" applyBorder="1" applyAlignment="1">
      <alignment horizontal="center" vertical="center"/>
    </xf>
    <xf numFmtId="183" fontId="39" fillId="20" borderId="162" xfId="0" applyNumberFormat="1" applyFont="1" applyFill="1" applyBorder="1" applyAlignment="1">
      <alignment horizontal="center" vertical="center"/>
    </xf>
    <xf numFmtId="0" fontId="269" fillId="0" borderId="407" xfId="3803" applyFont="1" applyFill="1" applyBorder="1" applyAlignment="1">
      <alignment vertical="center" wrapText="1"/>
    </xf>
    <xf numFmtId="0" fontId="269" fillId="0" borderId="407" xfId="3803" applyFont="1" applyFill="1" applyBorder="1" applyAlignment="1">
      <alignment horizontal="center" vertical="center" wrapText="1"/>
    </xf>
    <xf numFmtId="171" fontId="269" fillId="0" borderId="407" xfId="3803" applyNumberFormat="1" applyFont="1" applyFill="1" applyBorder="1" applyAlignment="1">
      <alignment horizontal="center" vertical="center" wrapText="1"/>
    </xf>
    <xf numFmtId="0" fontId="269" fillId="0" borderId="400" xfId="3803" applyFont="1" applyFill="1" applyBorder="1" applyAlignment="1">
      <alignment horizontal="center" vertical="center" wrapText="1"/>
    </xf>
    <xf numFmtId="0" fontId="269" fillId="0" borderId="400" xfId="3803" applyFont="1" applyFill="1" applyBorder="1" applyAlignment="1">
      <alignment vertical="center" wrapText="1"/>
    </xf>
    <xf numFmtId="171" fontId="269" fillId="0" borderId="400" xfId="3803" applyNumberFormat="1" applyFont="1" applyFill="1" applyBorder="1" applyAlignment="1">
      <alignment horizontal="center" vertical="center" wrapText="1"/>
    </xf>
    <xf numFmtId="0" fontId="269" fillId="0" borderId="408" xfId="3803" applyFont="1" applyFill="1" applyBorder="1" applyAlignment="1">
      <alignment horizontal="center" vertical="center" wrapText="1"/>
    </xf>
    <xf numFmtId="0" fontId="96" fillId="0" borderId="401" xfId="0" applyFont="1" applyBorder="1" applyAlignment="1">
      <alignment horizontal="center" vertical="center"/>
    </xf>
    <xf numFmtId="171" fontId="270" fillId="0" borderId="408" xfId="3803" applyNumberFormat="1" applyFont="1" applyFill="1" applyBorder="1" applyAlignment="1">
      <alignment horizontal="center" vertical="center" wrapText="1"/>
    </xf>
    <xf numFmtId="0" fontId="270" fillId="0" borderId="408" xfId="3803" applyFont="1" applyFill="1" applyBorder="1" applyAlignment="1">
      <alignment horizontal="center" vertical="center" wrapText="1"/>
    </xf>
    <xf numFmtId="171" fontId="270" fillId="0" borderId="409" xfId="3803" applyNumberFormat="1" applyFont="1" applyFill="1" applyBorder="1" applyAlignment="1">
      <alignment horizontal="center" vertical="center" wrapText="1"/>
    </xf>
    <xf numFmtId="1" fontId="270" fillId="0" borderId="409" xfId="3803" applyNumberFormat="1" applyFont="1" applyFill="1" applyBorder="1" applyAlignment="1">
      <alignment horizontal="center" vertical="center" wrapText="1"/>
    </xf>
    <xf numFmtId="1" fontId="270" fillId="0" borderId="408" xfId="3803" applyNumberFormat="1" applyFont="1" applyFill="1" applyBorder="1" applyAlignment="1">
      <alignment horizontal="center" vertical="center" wrapText="1"/>
    </xf>
    <xf numFmtId="1" fontId="270" fillId="0" borderId="377" xfId="3803" applyNumberFormat="1" applyFont="1" applyFill="1" applyBorder="1" applyAlignment="1">
      <alignment horizontal="center" vertical="center" wrapText="1"/>
    </xf>
    <xf numFmtId="0" fontId="50" fillId="0" borderId="0" xfId="0" applyFont="1"/>
    <xf numFmtId="0" fontId="96" fillId="0" borderId="401" xfId="0" applyFont="1" applyFill="1" applyBorder="1" applyAlignment="1">
      <alignment vertical="center" wrapText="1"/>
    </xf>
    <xf numFmtId="0" fontId="308" fillId="54" borderId="0" xfId="0" applyFont="1" applyFill="1" applyAlignment="1">
      <alignment vertical="center"/>
    </xf>
    <xf numFmtId="0" fontId="39" fillId="0" borderId="401" xfId="0" applyFont="1" applyBorder="1" applyAlignment="1">
      <alignment vertical="center"/>
    </xf>
    <xf numFmtId="0" fontId="42" fillId="41" borderId="401" xfId="0" applyFont="1" applyFill="1" applyBorder="1" applyAlignment="1">
      <alignment horizontal="center" vertical="center"/>
    </xf>
    <xf numFmtId="0" fontId="42" fillId="41" borderId="401" xfId="0" applyFont="1" applyFill="1" applyBorder="1" applyAlignment="1">
      <alignment vertical="center"/>
    </xf>
    <xf numFmtId="0" fontId="39" fillId="21" borderId="401" xfId="0" applyFont="1" applyFill="1" applyBorder="1" applyAlignment="1">
      <alignment vertical="center"/>
    </xf>
    <xf numFmtId="0" fontId="269" fillId="0" borderId="412" xfId="3796" applyFont="1" applyFill="1" applyBorder="1" applyAlignment="1">
      <alignment horizontal="right" wrapText="1"/>
    </xf>
    <xf numFmtId="171" fontId="269" fillId="0" borderId="412" xfId="3796" applyNumberFormat="1" applyFont="1" applyFill="1" applyBorder="1" applyAlignment="1">
      <alignment horizontal="right" wrapText="1"/>
    </xf>
    <xf numFmtId="0" fontId="269" fillId="0" borderId="400" xfId="3796" applyFont="1" applyFill="1" applyBorder="1" applyAlignment="1">
      <alignment horizontal="right" wrapText="1"/>
    </xf>
    <xf numFmtId="171" fontId="269" fillId="0" borderId="400" xfId="3796" applyNumberFormat="1" applyFont="1" applyFill="1" applyBorder="1" applyAlignment="1">
      <alignment horizontal="right" wrapText="1"/>
    </xf>
    <xf numFmtId="0" fontId="269" fillId="0" borderId="413" xfId="3796" applyFont="1" applyFill="1" applyBorder="1" applyAlignment="1">
      <alignment horizontal="right" wrapText="1"/>
    </xf>
    <xf numFmtId="171" fontId="50" fillId="0" borderId="401" xfId="0" applyNumberFormat="1" applyFont="1" applyBorder="1" applyAlignment="1">
      <alignment horizontal="center"/>
    </xf>
    <xf numFmtId="0" fontId="270" fillId="0" borderId="412" xfId="3796" applyFont="1" applyFill="1" applyBorder="1" applyAlignment="1">
      <alignment horizontal="right" wrapText="1"/>
    </xf>
    <xf numFmtId="0" fontId="270" fillId="0" borderId="413" xfId="3796" applyFont="1" applyFill="1" applyBorder="1" applyAlignment="1">
      <alignment horizontal="right" wrapText="1"/>
    </xf>
    <xf numFmtId="0" fontId="269" fillId="0" borderId="412" xfId="3796" applyFont="1" applyFill="1" applyBorder="1" applyAlignment="1">
      <alignment horizontal="center" vertical="center" wrapText="1"/>
    </xf>
    <xf numFmtId="0" fontId="96" fillId="0" borderId="401" xfId="0" applyFont="1" applyFill="1" applyBorder="1" applyAlignment="1">
      <alignment horizontal="center" vertical="center"/>
    </xf>
    <xf numFmtId="0" fontId="269" fillId="0" borderId="400" xfId="3796" applyFont="1" applyFill="1" applyBorder="1" applyAlignment="1">
      <alignment horizontal="center" vertical="center" wrapText="1"/>
    </xf>
    <xf numFmtId="171" fontId="270" fillId="0" borderId="412" xfId="3796" applyNumberFormat="1" applyFont="1" applyFill="1" applyBorder="1" applyAlignment="1">
      <alignment horizontal="right" wrapText="1"/>
    </xf>
    <xf numFmtId="171" fontId="96" fillId="0" borderId="401" xfId="0" applyNumberFormat="1" applyFont="1" applyBorder="1" applyAlignment="1">
      <alignment horizontal="center"/>
    </xf>
    <xf numFmtId="171" fontId="270" fillId="0" borderId="413" xfId="3796" applyNumberFormat="1" applyFont="1" applyFill="1" applyBorder="1" applyAlignment="1">
      <alignment horizontal="right" wrapText="1"/>
    </xf>
    <xf numFmtId="171" fontId="50" fillId="0" borderId="415" xfId="0" applyNumberFormat="1" applyFont="1" applyBorder="1" applyAlignment="1">
      <alignment horizontal="center"/>
    </xf>
    <xf numFmtId="0" fontId="270" fillId="0" borderId="412" xfId="3796" applyFont="1" applyFill="1" applyBorder="1" applyAlignment="1">
      <alignment horizontal="center" vertical="center" wrapText="1"/>
    </xf>
    <xf numFmtId="0" fontId="270" fillId="0" borderId="413" xfId="3796" applyFont="1" applyFill="1" applyBorder="1" applyAlignment="1">
      <alignment horizontal="center" vertical="center" wrapText="1"/>
    </xf>
    <xf numFmtId="1" fontId="88" fillId="0" borderId="401" xfId="211" applyNumberFormat="1" applyFont="1" applyFill="1" applyBorder="1" applyAlignment="1">
      <alignment horizontal="center" vertical="center"/>
    </xf>
    <xf numFmtId="171" fontId="88" fillId="43" borderId="16" xfId="0" applyNumberFormat="1" applyFont="1" applyFill="1" applyBorder="1" applyAlignment="1">
      <alignment horizontal="center" vertical="center"/>
    </xf>
    <xf numFmtId="171" fontId="88" fillId="43" borderId="401" xfId="0" applyNumberFormat="1" applyFont="1" applyFill="1" applyBorder="1" applyAlignment="1">
      <alignment horizontal="center"/>
    </xf>
    <xf numFmtId="0" fontId="51" fillId="0" borderId="0" xfId="0" applyFont="1" applyAlignment="1">
      <alignment horizontal="center" vertical="center"/>
    </xf>
    <xf numFmtId="0" fontId="66" fillId="41" borderId="307" xfId="0" applyFont="1" applyFill="1" applyBorder="1" applyAlignment="1">
      <alignment horizontal="center" vertical="center" wrapText="1"/>
    </xf>
    <xf numFmtId="0" fontId="243" fillId="28" borderId="307" xfId="0" applyFont="1" applyFill="1" applyBorder="1" applyAlignment="1">
      <alignment horizontal="center" vertical="center" wrapText="1"/>
    </xf>
    <xf numFmtId="0" fontId="51" fillId="43" borderId="307" xfId="0" applyFont="1" applyFill="1" applyBorder="1" applyAlignment="1">
      <alignment horizontal="center" vertical="center" wrapText="1"/>
    </xf>
    <xf numFmtId="0" fontId="50" fillId="0" borderId="0" xfId="0" applyFont="1"/>
    <xf numFmtId="9" fontId="130" fillId="44" borderId="395" xfId="0" applyNumberFormat="1" applyFont="1" applyFill="1" applyBorder="1" applyAlignment="1">
      <alignment horizontal="center" vertical="center" wrapText="1"/>
    </xf>
    <xf numFmtId="168" fontId="209" fillId="44" borderId="417" xfId="176" applyNumberFormat="1" applyFont="1" applyFill="1" applyBorder="1" applyAlignment="1">
      <alignment horizontal="center" vertical="center" wrapText="1"/>
    </xf>
    <xf numFmtId="168" fontId="151" fillId="37" borderId="417" xfId="0" applyNumberFormat="1" applyFont="1" applyFill="1" applyBorder="1" applyAlignment="1">
      <alignment horizontal="center" vertical="center" wrapText="1"/>
    </xf>
    <xf numFmtId="171" fontId="151" fillId="0" borderId="364" xfId="0" applyNumberFormat="1" applyFont="1" applyFill="1" applyBorder="1" applyAlignment="1">
      <alignment horizontal="center" vertical="center" wrapText="1"/>
    </xf>
    <xf numFmtId="9" fontId="151" fillId="0" borderId="364" xfId="0" applyNumberFormat="1" applyFont="1" applyFill="1" applyBorder="1" applyAlignment="1">
      <alignment horizontal="center" vertical="center" wrapText="1"/>
    </xf>
    <xf numFmtId="9" fontId="151" fillId="0" borderId="366" xfId="0" applyNumberFormat="1" applyFont="1" applyFill="1" applyBorder="1" applyAlignment="1">
      <alignment horizontal="center" vertical="center" wrapText="1"/>
    </xf>
    <xf numFmtId="9" fontId="151" fillId="0" borderId="365" xfId="0" applyNumberFormat="1" applyFont="1" applyFill="1" applyBorder="1" applyAlignment="1">
      <alignment horizontal="center" vertical="center" wrapText="1"/>
    </xf>
    <xf numFmtId="3" fontId="151" fillId="0" borderId="365" xfId="0" applyNumberFormat="1" applyFont="1" applyFill="1" applyBorder="1" applyAlignment="1">
      <alignment horizontal="center" vertical="center" wrapText="1"/>
    </xf>
    <xf numFmtId="168" fontId="151" fillId="0" borderId="364" xfId="0" applyNumberFormat="1" applyFont="1" applyFill="1" applyBorder="1" applyAlignment="1">
      <alignment horizontal="center" vertical="center" wrapText="1"/>
    </xf>
    <xf numFmtId="171" fontId="151" fillId="0" borderId="364" xfId="0" applyNumberFormat="1" applyFont="1" applyFill="1" applyBorder="1" applyAlignment="1">
      <alignment horizontal="center" vertical="center"/>
    </xf>
    <xf numFmtId="168" fontId="151" fillId="0" borderId="365" xfId="0" applyNumberFormat="1" applyFont="1" applyFill="1" applyBorder="1" applyAlignment="1">
      <alignment horizontal="center" vertical="center" wrapText="1"/>
    </xf>
    <xf numFmtId="3" fontId="151" fillId="0" borderId="364" xfId="0" applyNumberFormat="1" applyFont="1" applyFill="1" applyBorder="1" applyAlignment="1">
      <alignment horizontal="center" vertical="center" wrapText="1"/>
    </xf>
    <xf numFmtId="171" fontId="151" fillId="0" borderId="157" xfId="0" applyNumberFormat="1" applyFont="1" applyFill="1" applyBorder="1" applyAlignment="1">
      <alignment horizontal="center" vertical="center" wrapText="1"/>
    </xf>
    <xf numFmtId="180" fontId="151" fillId="0" borderId="368" xfId="0" applyNumberFormat="1" applyFont="1" applyFill="1" applyBorder="1" applyAlignment="1">
      <alignment horizontal="center" vertical="center" wrapText="1"/>
    </xf>
    <xf numFmtId="0" fontId="151" fillId="0" borderId="368" xfId="0" applyFont="1" applyFill="1" applyBorder="1" applyAlignment="1">
      <alignment horizontal="center" vertical="center" wrapText="1"/>
    </xf>
    <xf numFmtId="0" fontId="151" fillId="0" borderId="364" xfId="0" applyFont="1" applyFill="1" applyBorder="1" applyAlignment="1">
      <alignment horizontal="center" vertical="center" wrapText="1"/>
    </xf>
    <xf numFmtId="0" fontId="60" fillId="23" borderId="18" xfId="246" applyFont="1" applyFill="1" applyBorder="1" applyAlignment="1">
      <alignment horizontal="center" vertical="center" wrapText="1"/>
    </xf>
    <xf numFmtId="0" fontId="60" fillId="23" borderId="255" xfId="246" applyFont="1" applyFill="1" applyBorder="1" applyAlignment="1">
      <alignment horizontal="center" vertical="center" wrapText="1"/>
    </xf>
    <xf numFmtId="0" fontId="39" fillId="0" borderId="16" xfId="0" applyFont="1" applyFill="1" applyBorder="1" applyAlignment="1">
      <alignment horizontal="center" vertical="center" wrapText="1"/>
    </xf>
    <xf numFmtId="0" fontId="45" fillId="0" borderId="0" xfId="0" applyFont="1" applyAlignment="1">
      <alignment horizontal="center" vertical="center" wrapText="1"/>
    </xf>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wrapText="1"/>
    </xf>
    <xf numFmtId="0" fontId="39" fillId="24" borderId="307" xfId="0" applyFont="1" applyFill="1" applyBorder="1" applyAlignment="1">
      <alignment horizontal="center" vertical="center" wrapText="1"/>
    </xf>
    <xf numFmtId="0" fontId="0" fillId="0" borderId="307" xfId="0" applyBorder="1" applyAlignment="1">
      <alignment horizontal="center" vertical="center" wrapText="1"/>
    </xf>
    <xf numFmtId="0" fontId="0" fillId="0" borderId="307" xfId="0" applyBorder="1" applyAlignment="1">
      <alignment vertical="center" wrapText="1"/>
    </xf>
    <xf numFmtId="0" fontId="0" fillId="0" borderId="395" xfId="0" applyBorder="1" applyAlignment="1">
      <alignment vertical="center" wrapText="1"/>
    </xf>
    <xf numFmtId="0" fontId="39" fillId="43" borderId="307" xfId="0" applyFont="1" applyFill="1" applyBorder="1" applyAlignment="1">
      <alignment vertical="center" wrapText="1"/>
    </xf>
    <xf numFmtId="0" fontId="57" fillId="0" borderId="395" xfId="0" applyFont="1" applyBorder="1" applyAlignment="1">
      <alignment horizontal="center" vertical="center" wrapText="1"/>
    </xf>
    <xf numFmtId="0" fontId="58" fillId="43" borderId="307" xfId="0" applyFont="1" applyFill="1" applyBorder="1" applyAlignment="1">
      <alignment horizontal="center" vertical="center" wrapText="1"/>
    </xf>
    <xf numFmtId="0" fontId="57" fillId="0" borderId="307" xfId="0" applyFont="1" applyBorder="1" applyAlignment="1">
      <alignment horizontal="center" vertical="center" wrapText="1"/>
    </xf>
    <xf numFmtId="0" fontId="0" fillId="0" borderId="395" xfId="0" applyBorder="1" applyAlignment="1">
      <alignment horizontal="center" vertical="center" wrapText="1"/>
    </xf>
    <xf numFmtId="0" fontId="39" fillId="43" borderId="307" xfId="0" applyFont="1" applyFill="1" applyBorder="1" applyAlignment="1">
      <alignment horizontal="center" vertical="center" wrapText="1"/>
    </xf>
    <xf numFmtId="0" fontId="42" fillId="43" borderId="325" xfId="377" applyFont="1" applyFill="1" applyBorder="1" applyAlignment="1">
      <alignment horizontal="left" vertical="center" wrapText="1"/>
    </xf>
    <xf numFmtId="0" fontId="0"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left"/>
    </xf>
    <xf numFmtId="0" fontId="191" fillId="0" borderId="0" xfId="377" applyFont="1" applyBorder="1" applyAlignment="1">
      <alignment vertical="center"/>
    </xf>
    <xf numFmtId="14" fontId="66" fillId="0" borderId="0" xfId="0" applyNumberFormat="1" applyFont="1" applyBorder="1" applyAlignment="1">
      <alignment horizontal="left"/>
    </xf>
    <xf numFmtId="14" fontId="66" fillId="0" borderId="0" xfId="0" applyNumberFormat="1" applyFont="1" applyAlignment="1">
      <alignment horizontal="left"/>
    </xf>
    <xf numFmtId="0" fontId="176" fillId="0" borderId="0" xfId="149" applyFont="1" applyFill="1" applyBorder="1" applyAlignment="1">
      <alignment horizontal="center" vertical="center"/>
    </xf>
    <xf numFmtId="0" fontId="176" fillId="0" borderId="0" xfId="149" applyFont="1" applyFill="1" applyBorder="1" applyAlignment="1">
      <alignment horizontal="left" vertical="center"/>
    </xf>
    <xf numFmtId="0" fontId="176" fillId="0" borderId="0" xfId="149" applyFont="1" applyFill="1" applyBorder="1" applyAlignment="1">
      <alignment vertical="center"/>
    </xf>
    <xf numFmtId="1" fontId="176" fillId="0" borderId="0" xfId="173" applyNumberFormat="1" applyFont="1" applyFill="1" applyBorder="1" applyAlignment="1">
      <alignment horizontal="center" vertical="center" wrapText="1"/>
    </xf>
    <xf numFmtId="0" fontId="50" fillId="0" borderId="0" xfId="0" applyFont="1"/>
    <xf numFmtId="1" fontId="40" fillId="0" borderId="0" xfId="173" applyNumberFormat="1" applyFont="1" applyFill="1" applyBorder="1" applyAlignment="1">
      <alignment horizontal="center" vertical="center" wrapText="1"/>
    </xf>
    <xf numFmtId="0" fontId="42" fillId="0" borderId="16" xfId="167" applyFont="1" applyFill="1" applyBorder="1" applyAlignment="1">
      <alignment horizontal="center" vertical="center" wrapText="1"/>
    </xf>
    <xf numFmtId="0" fontId="79" fillId="0" borderId="16" xfId="173" applyFont="1" applyFill="1" applyBorder="1" applyAlignment="1">
      <alignment horizontal="center" vertical="center"/>
    </xf>
    <xf numFmtId="0" fontId="129" fillId="0" borderId="0" xfId="0" applyFont="1" applyAlignment="1">
      <alignment horizontal="center" vertical="center" wrapText="1"/>
    </xf>
    <xf numFmtId="0" fontId="55" fillId="0" borderId="0" xfId="0" applyFont="1" applyAlignment="1">
      <alignment horizontal="center"/>
    </xf>
    <xf numFmtId="0" fontId="51" fillId="0" borderId="0" xfId="0" applyFont="1" applyFill="1" applyBorder="1"/>
    <xf numFmtId="0" fontId="51" fillId="0" borderId="0" xfId="0" applyFont="1" applyAlignment="1">
      <alignment horizontal="centerContinuous" vertical="center"/>
    </xf>
    <xf numFmtId="0" fontId="265" fillId="0" borderId="0" xfId="149" applyFont="1" applyAlignment="1">
      <alignment horizontal="center" vertical="center"/>
    </xf>
    <xf numFmtId="0" fontId="265" fillId="0" borderId="0" xfId="149" applyFont="1" applyAlignment="1">
      <alignment vertical="center"/>
    </xf>
    <xf numFmtId="0" fontId="265" fillId="0" borderId="0" xfId="149" applyFont="1" applyBorder="1" applyAlignment="1">
      <alignment vertical="center"/>
    </xf>
    <xf numFmtId="0" fontId="176" fillId="0" borderId="0" xfId="149" applyFont="1" applyBorder="1" applyAlignment="1">
      <alignment horizontal="center" vertical="center"/>
    </xf>
    <xf numFmtId="0" fontId="51" fillId="0" borderId="0" xfId="0" applyFont="1" applyFill="1" applyBorder="1" applyAlignment="1">
      <alignment vertical="center"/>
    </xf>
    <xf numFmtId="9" fontId="51" fillId="0" borderId="0" xfId="176" applyFont="1" applyAlignment="1">
      <alignment horizontal="centerContinuous" vertical="center"/>
    </xf>
    <xf numFmtId="0" fontId="51" fillId="0" borderId="0" xfId="0" applyFont="1" applyAlignment="1">
      <alignment vertical="center"/>
    </xf>
    <xf numFmtId="10" fontId="51" fillId="0" borderId="0" xfId="176" applyNumberFormat="1" applyFont="1"/>
    <xf numFmtId="0" fontId="176" fillId="0" borderId="0" xfId="167" applyFont="1" applyAlignment="1">
      <alignment horizontal="center" vertical="center"/>
    </xf>
    <xf numFmtId="0" fontId="51" fillId="0" borderId="0" xfId="167" applyFont="1" applyFill="1" applyBorder="1" applyAlignment="1">
      <alignment vertical="center"/>
    </xf>
    <xf numFmtId="0" fontId="51" fillId="0" borderId="0" xfId="167" applyFont="1" applyAlignment="1">
      <alignment vertical="center"/>
    </xf>
    <xf numFmtId="0" fontId="48" fillId="0" borderId="16" xfId="0" applyFont="1" applyBorder="1" applyAlignment="1">
      <alignment horizontal="center" vertical="center" wrapText="1"/>
    </xf>
    <xf numFmtId="0" fontId="176" fillId="0" borderId="16" xfId="0" applyFont="1" applyBorder="1" applyAlignment="1">
      <alignment horizontal="center" vertical="center"/>
    </xf>
    <xf numFmtId="0" fontId="48" fillId="0" borderId="16" xfId="0" applyFont="1" applyBorder="1" applyAlignment="1">
      <alignment horizontal="center" vertical="center"/>
    </xf>
    <xf numFmtId="0" fontId="176" fillId="0" borderId="0" xfId="0" applyFont="1" applyBorder="1"/>
    <xf numFmtId="0" fontId="176" fillId="0" borderId="0" xfId="0" applyFont="1" applyBorder="1" applyAlignment="1">
      <alignment horizontal="center" vertical="center"/>
    </xf>
    <xf numFmtId="0" fontId="265" fillId="0" borderId="0" xfId="0" applyFont="1" applyBorder="1"/>
    <xf numFmtId="3" fontId="41" fillId="0" borderId="0" xfId="149" applyNumberFormat="1" applyFont="1" applyBorder="1"/>
    <xf numFmtId="0" fontId="60" fillId="0" borderId="0" xfId="0" applyFont="1" applyAlignment="1">
      <alignment horizontal="left" vertical="center" wrapText="1"/>
    </xf>
    <xf numFmtId="0" fontId="86" fillId="0" borderId="0" xfId="246" applyFont="1" applyAlignment="1">
      <alignment horizontal="center" vertical="center" wrapText="1"/>
    </xf>
    <xf numFmtId="0" fontId="41" fillId="0" borderId="186" xfId="3786" applyFont="1" applyFill="1" applyBorder="1" applyAlignment="1">
      <alignment horizontal="center" vertical="center" wrapText="1"/>
    </xf>
    <xf numFmtId="0" fontId="41" fillId="0" borderId="132" xfId="3786" applyFont="1" applyFill="1" applyBorder="1" applyAlignment="1">
      <alignment horizontal="center" vertical="center" wrapText="1"/>
    </xf>
    <xf numFmtId="0" fontId="82" fillId="35" borderId="401" xfId="583" applyFont="1" applyFill="1" applyBorder="1" applyAlignment="1">
      <alignment vertical="center"/>
    </xf>
    <xf numFmtId="0" fontId="60" fillId="0" borderId="17" xfId="0" applyFont="1" applyFill="1" applyBorder="1" applyAlignment="1">
      <alignment horizontal="center" vertical="center"/>
    </xf>
    <xf numFmtId="0" fontId="60" fillId="0" borderId="17" xfId="246" applyFont="1" applyFill="1" applyBorder="1" applyAlignment="1">
      <alignment horizontal="center" vertical="center"/>
    </xf>
    <xf numFmtId="0" fontId="42" fillId="0" borderId="20" xfId="0" applyFont="1" applyFill="1" applyBorder="1" applyAlignment="1">
      <alignment vertical="center"/>
    </xf>
    <xf numFmtId="0" fontId="41" fillId="0" borderId="420" xfId="246" applyFont="1" applyBorder="1" applyAlignment="1">
      <alignment horizontal="center" vertical="center"/>
    </xf>
    <xf numFmtId="168" fontId="42" fillId="43" borderId="401" xfId="176" applyNumberFormat="1" applyFont="1" applyFill="1" applyBorder="1" applyAlignment="1">
      <alignment horizontal="right"/>
    </xf>
    <xf numFmtId="0" fontId="42" fillId="43" borderId="417" xfId="246" applyFont="1" applyFill="1" applyBorder="1" applyAlignment="1">
      <alignment horizontal="center" vertical="center"/>
    </xf>
    <xf numFmtId="0" fontId="88" fillId="52" borderId="28" xfId="246" applyFont="1" applyFill="1" applyBorder="1" applyAlignment="1">
      <alignment horizontal="center" vertical="center" wrapText="1"/>
    </xf>
    <xf numFmtId="0" fontId="88" fillId="39" borderId="22" xfId="246" applyFont="1" applyFill="1" applyBorder="1" applyAlignment="1">
      <alignment horizontal="center" vertical="center" wrapText="1"/>
    </xf>
    <xf numFmtId="0" fontId="60" fillId="36" borderId="22" xfId="246" applyFont="1" applyFill="1" applyBorder="1" applyAlignment="1">
      <alignment horizontal="center" vertical="center" wrapText="1"/>
    </xf>
    <xf numFmtId="0" fontId="60" fillId="38" borderId="22" xfId="246" applyFont="1" applyFill="1" applyBorder="1" applyAlignment="1">
      <alignment wrapText="1"/>
    </xf>
    <xf numFmtId="0" fontId="60" fillId="26" borderId="31" xfId="246" applyFont="1" applyFill="1" applyBorder="1" applyAlignment="1">
      <alignment horizontal="center" vertical="center" wrapText="1"/>
    </xf>
    <xf numFmtId="0" fontId="88" fillId="51" borderId="28" xfId="0" applyFont="1" applyFill="1" applyBorder="1" applyAlignment="1">
      <alignment horizontal="center" wrapText="1"/>
    </xf>
    <xf numFmtId="0" fontId="42" fillId="20" borderId="395" xfId="246" applyFont="1" applyFill="1" applyBorder="1" applyAlignment="1">
      <alignment horizontal="center" vertical="center" wrapText="1"/>
    </xf>
    <xf numFmtId="0" fontId="42" fillId="20" borderId="417" xfId="246" applyFont="1" applyFill="1" applyBorder="1" applyAlignment="1">
      <alignment horizontal="center" vertical="center"/>
    </xf>
    <xf numFmtId="0" fontId="42" fillId="20" borderId="158" xfId="246" applyFont="1" applyFill="1" applyBorder="1" applyAlignment="1">
      <alignment horizontal="center" vertical="center"/>
    </xf>
    <xf numFmtId="0" fontId="42" fillId="20" borderId="159" xfId="246" applyFont="1" applyFill="1" applyBorder="1" applyAlignment="1">
      <alignment horizontal="center" vertical="center" wrapText="1"/>
    </xf>
    <xf numFmtId="0" fontId="42" fillId="20" borderId="421" xfId="246" applyFont="1" applyFill="1" applyBorder="1" applyAlignment="1">
      <alignment horizontal="center" vertical="center"/>
    </xf>
    <xf numFmtId="0" fontId="42" fillId="43" borderId="395" xfId="246" applyFont="1" applyFill="1" applyBorder="1" applyAlignment="1">
      <alignment horizontal="center" vertical="center" wrapText="1"/>
    </xf>
    <xf numFmtId="0" fontId="82" fillId="52" borderId="418" xfId="246" applyFont="1" applyFill="1" applyBorder="1" applyAlignment="1">
      <alignment horizontal="center" vertical="center" wrapText="1"/>
    </xf>
    <xf numFmtId="0" fontId="82" fillId="52" borderId="392" xfId="246" applyFont="1" applyFill="1" applyBorder="1" applyAlignment="1">
      <alignment horizontal="center" vertical="center" wrapText="1"/>
    </xf>
    <xf numFmtId="0" fontId="133" fillId="52" borderId="392" xfId="246" applyFont="1" applyFill="1" applyBorder="1" applyAlignment="1">
      <alignment horizontal="center" vertical="center" wrapText="1"/>
    </xf>
    <xf numFmtId="0" fontId="133" fillId="52" borderId="392" xfId="0" applyFont="1" applyFill="1" applyBorder="1" applyAlignment="1">
      <alignment horizontal="center" vertical="center" wrapText="1"/>
    </xf>
    <xf numFmtId="0" fontId="133" fillId="52" borderId="10" xfId="0" applyFont="1" applyFill="1" applyBorder="1" applyAlignment="1">
      <alignment horizontal="center" vertical="center" wrapText="1"/>
    </xf>
    <xf numFmtId="0" fontId="41" fillId="0" borderId="253" xfId="246" applyFont="1" applyFill="1" applyBorder="1" applyAlignment="1">
      <alignment horizontal="center" vertical="center" wrapText="1"/>
    </xf>
    <xf numFmtId="14" fontId="41" fillId="0" borderId="79" xfId="246" applyNumberFormat="1" applyFont="1" applyFill="1" applyBorder="1" applyAlignment="1">
      <alignment horizontal="center" vertical="center" wrapText="1"/>
    </xf>
    <xf numFmtId="0" fontId="60" fillId="0" borderId="29" xfId="0" applyFont="1" applyBorder="1"/>
    <xf numFmtId="0" fontId="41" fillId="0" borderId="19" xfId="246" applyFont="1" applyFill="1" applyBorder="1" applyAlignment="1">
      <alignment horizontal="center" vertical="center" wrapText="1"/>
    </xf>
    <xf numFmtId="14" fontId="41" fillId="0" borderId="17" xfId="246" applyNumberFormat="1" applyFont="1" applyFill="1" applyBorder="1" applyAlignment="1">
      <alignment horizontal="center" vertical="center" wrapText="1"/>
    </xf>
    <xf numFmtId="0" fontId="60" fillId="0" borderId="19" xfId="0" applyFont="1" applyBorder="1"/>
    <xf numFmtId="0" fontId="60" fillId="26" borderId="18" xfId="0" applyFont="1" applyFill="1" applyBorder="1" applyAlignment="1">
      <alignment horizontal="center" vertical="center"/>
    </xf>
    <xf numFmtId="0" fontId="82" fillId="52" borderId="19" xfId="246" applyFont="1" applyFill="1" applyBorder="1" applyAlignment="1">
      <alignment horizontal="center" vertical="center" wrapText="1"/>
    </xf>
    <xf numFmtId="0" fontId="88" fillId="35" borderId="18" xfId="583" applyFont="1" applyFill="1" applyBorder="1" applyAlignment="1">
      <alignment vertical="center"/>
    </xf>
    <xf numFmtId="0" fontId="204" fillId="28" borderId="17" xfId="0" applyFont="1" applyFill="1" applyBorder="1" applyAlignment="1">
      <alignment horizontal="center" vertical="center" wrapText="1"/>
    </xf>
    <xf numFmtId="0" fontId="41" fillId="0" borderId="17" xfId="246" applyFont="1" applyFill="1" applyBorder="1" applyAlignment="1">
      <alignment horizontal="center" vertical="center" wrapText="1"/>
    </xf>
    <xf numFmtId="14" fontId="60" fillId="0" borderId="31" xfId="246" applyNumberFormat="1" applyFont="1" applyBorder="1" applyAlignment="1">
      <alignment horizontal="center" vertical="center" wrapText="1"/>
    </xf>
    <xf numFmtId="0" fontId="60" fillId="0" borderId="31" xfId="246" applyFont="1" applyBorder="1" applyAlignment="1">
      <alignment horizontal="center" vertical="center" wrapText="1"/>
    </xf>
    <xf numFmtId="0" fontId="60" fillId="0" borderId="31" xfId="246" applyFont="1" applyFill="1" applyBorder="1" applyAlignment="1">
      <alignment horizontal="center" vertical="center" wrapText="1"/>
    </xf>
    <xf numFmtId="0" fontId="60" fillId="0" borderId="31" xfId="0" applyFont="1" applyBorder="1" applyAlignment="1">
      <alignment horizontal="center" vertical="center" wrapText="1"/>
    </xf>
    <xf numFmtId="0" fontId="342" fillId="0" borderId="17" xfId="246" applyFont="1" applyFill="1" applyBorder="1" applyAlignment="1">
      <alignment horizontal="center" vertical="center" wrapText="1"/>
    </xf>
    <xf numFmtId="14" fontId="60" fillId="0" borderId="417" xfId="246" applyNumberFormat="1" applyFont="1" applyBorder="1" applyAlignment="1">
      <alignment horizontal="center" vertical="center" wrapText="1"/>
    </xf>
    <xf numFmtId="0" fontId="60" fillId="0" borderId="417" xfId="246" applyFont="1" applyBorder="1" applyAlignment="1">
      <alignment horizontal="center" vertical="center" wrapText="1"/>
    </xf>
    <xf numFmtId="0" fontId="60" fillId="0" borderId="417" xfId="246" applyFont="1" applyFill="1" applyBorder="1" applyAlignment="1">
      <alignment horizontal="center" vertical="center" wrapText="1"/>
    </xf>
    <xf numFmtId="0" fontId="60" fillId="0" borderId="417" xfId="0" applyFont="1" applyBorder="1" applyAlignment="1">
      <alignment horizontal="center" vertical="center" wrapText="1"/>
    </xf>
    <xf numFmtId="0" fontId="41" fillId="0" borderId="416" xfId="246" applyFont="1" applyBorder="1" applyAlignment="1">
      <alignment wrapText="1"/>
    </xf>
    <xf numFmtId="0" fontId="60" fillId="26" borderId="157" xfId="246" applyFont="1" applyFill="1" applyBorder="1" applyAlignment="1">
      <alignment horizontal="center" vertical="center" wrapText="1"/>
    </xf>
    <xf numFmtId="0" fontId="82" fillId="52" borderId="27" xfId="246" applyFont="1" applyFill="1" applyBorder="1" applyAlignment="1">
      <alignment horizontal="center" vertical="center" wrapText="1"/>
    </xf>
    <xf numFmtId="0" fontId="205" fillId="52" borderId="28" xfId="246" applyFont="1" applyFill="1" applyBorder="1" applyAlignment="1">
      <alignment horizontal="center" vertical="center" wrapText="1"/>
    </xf>
    <xf numFmtId="0" fontId="88" fillId="52" borderId="27" xfId="246" applyFont="1" applyFill="1" applyBorder="1" applyAlignment="1">
      <alignment horizontal="center" vertical="center" wrapText="1"/>
    </xf>
    <xf numFmtId="0" fontId="87" fillId="20" borderId="17" xfId="246" applyFont="1" applyFill="1" applyBorder="1" applyAlignment="1">
      <alignment horizontal="center" vertical="center" wrapText="1"/>
    </xf>
    <xf numFmtId="0" fontId="41" fillId="0" borderId="17" xfId="0" applyFont="1" applyFill="1" applyBorder="1" applyAlignment="1">
      <alignment vertical="center" wrapText="1"/>
    </xf>
    <xf numFmtId="0" fontId="41" fillId="0" borderId="0" xfId="246" applyFont="1" applyAlignment="1">
      <alignment vertical="center" wrapText="1"/>
    </xf>
    <xf numFmtId="0" fontId="41" fillId="0" borderId="18" xfId="0" applyFont="1" applyBorder="1" applyAlignment="1">
      <alignment vertical="center" wrapText="1"/>
    </xf>
    <xf numFmtId="0" fontId="82" fillId="37" borderId="19" xfId="246" applyFont="1" applyFill="1" applyBorder="1" applyAlignment="1">
      <alignment horizontal="center" vertical="center" wrapText="1"/>
    </xf>
    <xf numFmtId="0" fontId="60" fillId="37" borderId="18" xfId="0" applyFont="1" applyFill="1" applyBorder="1" applyAlignment="1">
      <alignment horizontal="center" vertical="center" wrapText="1"/>
    </xf>
    <xf numFmtId="0" fontId="41" fillId="0" borderId="19" xfId="0" applyFont="1" applyFill="1" applyBorder="1" applyAlignment="1">
      <alignment horizontal="center" vertical="center" wrapText="1"/>
    </xf>
    <xf numFmtId="14" fontId="41" fillId="0" borderId="17" xfId="0" applyNumberFormat="1" applyFont="1" applyFill="1" applyBorder="1" applyAlignment="1">
      <alignment horizontal="center" vertical="center" wrapText="1"/>
    </xf>
    <xf numFmtId="0" fontId="60" fillId="26" borderId="18" xfId="246" applyFont="1" applyFill="1" applyBorder="1" applyAlignment="1">
      <alignment horizontal="center" vertical="center" wrapText="1"/>
    </xf>
    <xf numFmtId="0" fontId="60" fillId="20" borderId="18" xfId="0" applyFont="1" applyFill="1" applyBorder="1" applyAlignment="1">
      <alignment horizontal="center" vertical="center" wrapText="1"/>
    </xf>
    <xf numFmtId="0" fontId="88" fillId="25" borderId="17" xfId="246" applyFont="1" applyFill="1" applyBorder="1" applyAlignment="1">
      <alignment horizontal="center" vertical="center" wrapText="1"/>
    </xf>
    <xf numFmtId="0" fontId="88" fillId="0" borderId="19" xfId="246" applyFont="1" applyFill="1" applyBorder="1" applyAlignment="1">
      <alignment horizontal="center" vertical="center" wrapText="1"/>
    </xf>
    <xf numFmtId="0" fontId="0" fillId="0" borderId="19" xfId="246" applyFont="1" applyFill="1" applyBorder="1" applyAlignment="1">
      <alignment horizontal="center" vertical="center" wrapText="1"/>
    </xf>
    <xf numFmtId="14" fontId="37" fillId="0" borderId="17" xfId="246" applyNumberFormat="1" applyFont="1" applyFill="1" applyBorder="1" applyAlignment="1">
      <alignment horizontal="center" vertical="center" wrapText="1"/>
    </xf>
    <xf numFmtId="14" fontId="41" fillId="0" borderId="18" xfId="0" applyNumberFormat="1" applyFont="1" applyFill="1" applyBorder="1" applyAlignment="1">
      <alignment horizontal="center" vertical="center" wrapText="1"/>
    </xf>
    <xf numFmtId="0" fontId="343" fillId="0" borderId="422" xfId="246" applyFont="1" applyFill="1" applyBorder="1" applyAlignment="1">
      <alignment horizontal="center" vertical="center" wrapText="1"/>
    </xf>
    <xf numFmtId="0" fontId="60" fillId="0" borderId="30" xfId="0" applyFont="1" applyFill="1" applyBorder="1" applyAlignment="1">
      <alignment horizontal="center" vertical="center" wrapText="1"/>
    </xf>
    <xf numFmtId="0" fontId="82" fillId="39" borderId="19" xfId="246" applyFont="1" applyFill="1" applyBorder="1" applyAlignment="1">
      <alignment horizontal="center" vertical="center" wrapText="1"/>
    </xf>
    <xf numFmtId="0" fontId="205" fillId="39" borderId="28" xfId="246" applyFont="1" applyFill="1" applyBorder="1" applyAlignment="1">
      <alignment horizontal="center" vertical="center" wrapText="1"/>
    </xf>
    <xf numFmtId="0" fontId="88" fillId="39" borderId="18" xfId="246" applyFont="1" applyFill="1" applyBorder="1" applyAlignment="1">
      <alignment horizontal="center" vertical="center" wrapText="1"/>
    </xf>
    <xf numFmtId="14" fontId="41" fillId="0" borderId="17" xfId="246" applyNumberFormat="1" applyFont="1" applyBorder="1" applyAlignment="1">
      <alignment horizontal="center" vertical="center" wrapText="1"/>
    </xf>
    <xf numFmtId="14" fontId="41" fillId="20" borderId="17" xfId="246" applyNumberFormat="1" applyFont="1" applyFill="1" applyBorder="1" applyAlignment="1">
      <alignment horizontal="center" vertical="center" wrapText="1"/>
    </xf>
    <xf numFmtId="14" fontId="41" fillId="0" borderId="18" xfId="246" applyNumberFormat="1" applyFont="1" applyFill="1" applyBorder="1" applyAlignment="1">
      <alignment horizontal="center" vertical="center" wrapText="1"/>
    </xf>
    <xf numFmtId="0" fontId="60" fillId="0" borderId="19" xfId="0" applyFont="1" applyFill="1" applyBorder="1"/>
    <xf numFmtId="0" fontId="41" fillId="0" borderId="255" xfId="246" applyFont="1" applyFill="1" applyBorder="1" applyAlignment="1">
      <alignment horizontal="left" vertical="center" wrapText="1"/>
    </xf>
    <xf numFmtId="0" fontId="133" fillId="36" borderId="19" xfId="246" applyFont="1" applyFill="1" applyBorder="1" applyAlignment="1">
      <alignment horizontal="center" vertical="center" wrapText="1"/>
    </xf>
    <xf numFmtId="0" fontId="60" fillId="36" borderId="18" xfId="246" applyFont="1" applyFill="1" applyBorder="1" applyAlignment="1">
      <alignment horizontal="center" vertical="center" wrapText="1"/>
    </xf>
    <xf numFmtId="0" fontId="82" fillId="36" borderId="19" xfId="246" applyFont="1" applyFill="1" applyBorder="1" applyAlignment="1">
      <alignment horizontal="center" vertical="center" wrapText="1"/>
    </xf>
    <xf numFmtId="0" fontId="88" fillId="36" borderId="18" xfId="246" applyFont="1" applyFill="1" applyBorder="1" applyAlignment="1">
      <alignment horizontal="center" vertical="center" wrapText="1"/>
    </xf>
    <xf numFmtId="14" fontId="41" fillId="0" borderId="17" xfId="0" applyNumberFormat="1" applyFont="1" applyBorder="1" applyAlignment="1">
      <alignment horizontal="center" vertical="center" wrapText="1"/>
    </xf>
    <xf numFmtId="0" fontId="88" fillId="0" borderId="418" xfId="246" applyFont="1" applyFill="1" applyBorder="1" applyAlignment="1">
      <alignment horizontal="center" vertical="center" wrapText="1"/>
    </xf>
    <xf numFmtId="0" fontId="82" fillId="38" borderId="17" xfId="0" applyFont="1" applyFill="1" applyBorder="1" applyAlignment="1">
      <alignment horizontal="center" vertical="center" wrapText="1"/>
    </xf>
    <xf numFmtId="0" fontId="41" fillId="38" borderId="19" xfId="0" applyFont="1" applyFill="1" applyBorder="1" applyAlignment="1">
      <alignment horizontal="center" vertical="center" wrapText="1"/>
    </xf>
    <xf numFmtId="14" fontId="41" fillId="38" borderId="19" xfId="0" applyNumberFormat="1" applyFont="1" applyFill="1" applyBorder="1" applyAlignment="1">
      <alignment horizontal="center" vertical="center" wrapText="1"/>
    </xf>
    <xf numFmtId="0" fontId="50" fillId="38" borderId="22" xfId="0" applyFont="1" applyFill="1" applyBorder="1" applyAlignment="1">
      <alignment horizontal="center" vertical="center" wrapText="1"/>
    </xf>
    <xf numFmtId="0" fontId="60" fillId="38" borderId="22" xfId="246" applyFont="1" applyFill="1" applyBorder="1" applyAlignment="1">
      <alignment horizontal="center" vertical="center" wrapText="1"/>
    </xf>
    <xf numFmtId="0" fontId="60" fillId="38" borderId="18" xfId="246" applyFont="1" applyFill="1" applyBorder="1" applyAlignment="1">
      <alignment horizontal="center" vertical="center" wrapText="1"/>
    </xf>
    <xf numFmtId="0" fontId="60" fillId="38" borderId="22" xfId="0" applyFont="1" applyFill="1" applyBorder="1" applyAlignment="1">
      <alignment horizontal="center" vertical="center" wrapText="1"/>
    </xf>
    <xf numFmtId="0" fontId="88" fillId="38" borderId="0" xfId="246" applyFont="1" applyFill="1" applyBorder="1" applyAlignment="1">
      <alignment horizontal="center" vertical="center" wrapText="1"/>
    </xf>
    <xf numFmtId="0" fontId="41" fillId="38" borderId="22" xfId="246" applyFont="1" applyFill="1" applyBorder="1" applyAlignment="1">
      <alignment horizontal="center" vertical="center" wrapText="1"/>
    </xf>
    <xf numFmtId="0" fontId="82" fillId="51" borderId="19" xfId="0" applyFont="1" applyFill="1" applyBorder="1" applyAlignment="1">
      <alignment horizontal="center" vertical="center" wrapText="1"/>
    </xf>
    <xf numFmtId="0" fontId="88" fillId="51" borderId="18" xfId="0" applyFont="1" applyFill="1" applyBorder="1" applyAlignment="1">
      <alignment horizontal="center" wrapText="1"/>
    </xf>
    <xf numFmtId="0" fontId="41" fillId="0" borderId="21" xfId="246" applyFont="1" applyFill="1" applyBorder="1" applyAlignment="1">
      <alignment horizontal="center" vertical="center" wrapText="1"/>
    </xf>
    <xf numFmtId="14" fontId="41" fillId="0" borderId="20" xfId="246" applyNumberFormat="1" applyFont="1" applyBorder="1" applyAlignment="1">
      <alignment horizontal="center" vertical="center" wrapText="1"/>
    </xf>
    <xf numFmtId="0" fontId="42" fillId="20" borderId="417" xfId="246" applyFont="1" applyFill="1" applyBorder="1" applyAlignment="1">
      <alignment horizontal="center" vertical="center" wrapText="1"/>
    </xf>
    <xf numFmtId="0" fontId="41" fillId="0" borderId="0" xfId="0" applyFont="1" applyAlignment="1">
      <alignment vertical="center" wrapText="1"/>
    </xf>
    <xf numFmtId="0" fontId="42" fillId="31" borderId="0" xfId="0" applyFont="1" applyFill="1" applyBorder="1" applyAlignment="1">
      <alignment horizontal="right" vertical="center"/>
    </xf>
    <xf numFmtId="168" fontId="42" fillId="0" borderId="401" xfId="176" applyNumberFormat="1" applyFont="1" applyBorder="1" applyAlignment="1">
      <alignment horizontal="center" vertical="center" wrapText="1"/>
    </xf>
    <xf numFmtId="168" fontId="39" fillId="0" borderId="401" xfId="176" applyNumberFormat="1" applyFont="1" applyBorder="1" applyAlignment="1">
      <alignment horizontal="center" wrapText="1"/>
    </xf>
    <xf numFmtId="168" fontId="39" fillId="0" borderId="401" xfId="176" applyNumberFormat="1" applyFont="1" applyFill="1" applyBorder="1" applyAlignment="1">
      <alignment horizontal="center" wrapText="1"/>
    </xf>
    <xf numFmtId="168" fontId="39" fillId="43" borderId="401" xfId="176" applyNumberFormat="1" applyFont="1" applyFill="1" applyBorder="1" applyAlignment="1">
      <alignment horizontal="center" wrapText="1"/>
    </xf>
    <xf numFmtId="0" fontId="344" fillId="0" borderId="0" xfId="246" applyFont="1" applyBorder="1" applyAlignment="1">
      <alignment horizontal="left" vertical="center" wrapText="1"/>
    </xf>
    <xf numFmtId="0" fontId="42" fillId="20" borderId="417" xfId="246" applyFont="1" applyFill="1" applyBorder="1" applyAlignment="1">
      <alignment vertical="center" wrapText="1"/>
    </xf>
    <xf numFmtId="0" fontId="122" fillId="0" borderId="417" xfId="246" applyFont="1" applyBorder="1" applyAlignment="1">
      <alignment horizontal="center" vertical="center" wrapText="1"/>
    </xf>
    <xf numFmtId="0" fontId="345" fillId="0" borderId="417" xfId="246" applyFont="1" applyBorder="1" applyAlignment="1">
      <alignment vertical="center" wrapText="1"/>
    </xf>
    <xf numFmtId="0" fontId="42" fillId="43" borderId="417" xfId="246" applyFont="1" applyFill="1" applyBorder="1" applyAlignment="1">
      <alignment horizontal="center" vertical="center" wrapText="1"/>
    </xf>
    <xf numFmtId="0" fontId="31" fillId="31" borderId="0" xfId="246" applyFont="1" applyFill="1"/>
    <xf numFmtId="0" fontId="41" fillId="31" borderId="0" xfId="246" applyFont="1" applyFill="1" applyAlignment="1">
      <alignment wrapText="1"/>
    </xf>
    <xf numFmtId="0" fontId="0" fillId="0" borderId="17" xfId="0" applyFont="1" applyBorder="1" applyAlignment="1">
      <alignment vertical="center" wrapText="1"/>
    </xf>
    <xf numFmtId="0" fontId="88" fillId="27" borderId="159" xfId="246" applyFont="1" applyFill="1" applyBorder="1" applyAlignment="1">
      <alignment horizontal="center" vertical="center" wrapText="1"/>
    </xf>
    <xf numFmtId="14" fontId="41" fillId="0" borderId="19" xfId="0" applyNumberFormat="1" applyFont="1" applyBorder="1" applyAlignment="1">
      <alignment horizontal="center" vertical="center" wrapText="1"/>
    </xf>
    <xf numFmtId="3" fontId="79" fillId="20" borderId="404" xfId="142" applyNumberFormat="1" applyFont="1" applyFill="1" applyBorder="1" applyAlignment="1">
      <alignment horizontal="center" vertical="center"/>
    </xf>
    <xf numFmtId="168" fontId="79" fillId="20" borderId="404" xfId="180" applyNumberFormat="1" applyFont="1" applyFill="1" applyBorder="1" applyAlignment="1">
      <alignment horizontal="center"/>
    </xf>
    <xf numFmtId="190" fontId="235" fillId="0" borderId="187" xfId="0" applyNumberFormat="1" applyFont="1" applyFill="1" applyBorder="1" applyAlignment="1">
      <alignment horizontal="center" vertical="center"/>
    </xf>
    <xf numFmtId="190" fontId="317" fillId="0" borderId="180" xfId="0" applyNumberFormat="1" applyFont="1" applyFill="1" applyBorder="1" applyAlignment="1">
      <alignment horizontal="center" vertical="center"/>
    </xf>
    <xf numFmtId="0" fontId="41" fillId="0" borderId="134" xfId="0" applyFont="1" applyFill="1" applyBorder="1" applyAlignment="1">
      <alignment horizontal="center" vertical="center"/>
    </xf>
    <xf numFmtId="190" fontId="41" fillId="0" borderId="134" xfId="0" applyNumberFormat="1" applyFont="1" applyFill="1" applyBorder="1" applyAlignment="1">
      <alignment horizontal="center" vertical="center"/>
    </xf>
    <xf numFmtId="190" fontId="318" fillId="0" borderId="189" xfId="0" applyNumberFormat="1" applyFont="1" applyFill="1" applyBorder="1" applyAlignment="1">
      <alignment horizontal="center" vertical="center"/>
    </xf>
    <xf numFmtId="190" fontId="216" fillId="0" borderId="180" xfId="0" applyNumberFormat="1" applyFont="1" applyFill="1" applyBorder="1" applyAlignment="1">
      <alignment horizontal="center" vertical="center"/>
    </xf>
    <xf numFmtId="190" fontId="217" fillId="0" borderId="180" xfId="0" applyNumberFormat="1" applyFont="1" applyFill="1" applyBorder="1" applyAlignment="1">
      <alignment horizontal="center" vertical="center"/>
    </xf>
    <xf numFmtId="0" fontId="37" fillId="0" borderId="16" xfId="142" applyFont="1" applyFill="1" applyBorder="1" applyAlignment="1">
      <alignment horizontal="center" vertical="center"/>
    </xf>
    <xf numFmtId="0" fontId="42" fillId="0" borderId="16" xfId="142" applyFont="1" applyFill="1" applyBorder="1" applyAlignment="1">
      <alignment horizontal="center" vertical="center" wrapText="1"/>
    </xf>
    <xf numFmtId="0" fontId="221" fillId="0" borderId="252" xfId="142" applyFont="1" applyFill="1" applyBorder="1" applyAlignment="1">
      <alignment horizontal="center" vertical="center"/>
    </xf>
    <xf numFmtId="0" fontId="41" fillId="0" borderId="188" xfId="3786" applyFont="1" applyFill="1" applyBorder="1" applyAlignment="1">
      <alignment horizontal="left" vertical="center" indent="1"/>
    </xf>
    <xf numFmtId="0" fontId="348" fillId="0" borderId="135" xfId="3786" applyFont="1" applyFill="1" applyBorder="1" applyAlignment="1">
      <alignment horizontal="center" vertical="center"/>
    </xf>
    <xf numFmtId="0" fontId="41" fillId="33" borderId="188" xfId="3786" applyFont="1" applyFill="1" applyBorder="1" applyAlignment="1">
      <alignment horizontal="left" vertical="center" indent="1"/>
    </xf>
    <xf numFmtId="0" fontId="41" fillId="33" borderId="135" xfId="149" applyFont="1" applyFill="1" applyBorder="1" applyAlignment="1">
      <alignment horizontal="left" vertical="center" wrapText="1" indent="1"/>
    </xf>
    <xf numFmtId="0" fontId="41" fillId="0" borderId="186" xfId="149" applyFont="1" applyFill="1" applyBorder="1" applyAlignment="1">
      <alignment horizontal="left" wrapText="1" indent="1"/>
    </xf>
    <xf numFmtId="0" fontId="41" fillId="0" borderId="181" xfId="149" applyFont="1" applyFill="1" applyBorder="1" applyAlignment="1">
      <alignment horizontal="left" vertical="center" wrapText="1" indent="1"/>
    </xf>
    <xf numFmtId="0" fontId="217" fillId="0" borderId="180" xfId="3786" applyFont="1" applyFill="1" applyBorder="1" applyAlignment="1">
      <alignment horizontal="center" vertical="center"/>
    </xf>
    <xf numFmtId="0" fontId="216" fillId="33" borderId="180" xfId="3786" applyFont="1" applyFill="1" applyBorder="1" applyAlignment="1">
      <alignment horizontal="center" vertical="center"/>
    </xf>
    <xf numFmtId="0" fontId="41" fillId="21" borderId="0" xfId="246" applyFont="1" applyFill="1" applyAlignment="1">
      <alignment vertical="center" wrapText="1"/>
    </xf>
    <xf numFmtId="0" fontId="243" fillId="37" borderId="307" xfId="0" applyFont="1" applyFill="1" applyBorder="1" applyAlignment="1">
      <alignment horizontal="center" vertical="center" wrapText="1"/>
    </xf>
    <xf numFmtId="0" fontId="82" fillId="28" borderId="0" xfId="0" applyFont="1" applyFill="1" applyAlignment="1">
      <alignment horizontal="center" vertical="center"/>
    </xf>
    <xf numFmtId="0" fontId="50" fillId="0" borderId="0" xfId="0" applyFont="1"/>
    <xf numFmtId="168" fontId="209" fillId="28" borderId="416" xfId="0" applyNumberFormat="1" applyFont="1" applyFill="1" applyBorder="1" applyAlignment="1">
      <alignment horizontal="center" vertical="center" wrapText="1"/>
    </xf>
    <xf numFmtId="168" fontId="130" fillId="0" borderId="155" xfId="0" applyNumberFormat="1" applyFont="1" applyBorder="1" applyAlignment="1">
      <alignment horizontal="center" vertical="center" wrapText="1"/>
    </xf>
    <xf numFmtId="168" fontId="151" fillId="0" borderId="155" xfId="0" applyNumberFormat="1" applyFont="1" applyBorder="1" applyAlignment="1">
      <alignment horizontal="center" vertical="center" wrapText="1"/>
    </xf>
    <xf numFmtId="168" fontId="151" fillId="0" borderId="162" xfId="0" applyNumberFormat="1" applyFont="1" applyFill="1" applyBorder="1" applyAlignment="1">
      <alignment horizontal="center" vertical="center" wrapText="1"/>
    </xf>
    <xf numFmtId="168" fontId="130" fillId="0" borderId="222" xfId="0" applyNumberFormat="1" applyFont="1" applyFill="1" applyBorder="1" applyAlignment="1">
      <alignment horizontal="center" vertical="center" wrapText="1"/>
    </xf>
    <xf numFmtId="168" fontId="151" fillId="0" borderId="291" xfId="0" applyNumberFormat="1" applyFont="1" applyFill="1" applyBorder="1" applyAlignment="1">
      <alignment horizontal="center" vertical="center" wrapText="1"/>
    </xf>
    <xf numFmtId="168" fontId="151" fillId="0" borderId="363" xfId="0" applyNumberFormat="1" applyFont="1" applyFill="1" applyBorder="1" applyAlignment="1">
      <alignment horizontal="center" vertical="center" wrapText="1"/>
    </xf>
    <xf numFmtId="0" fontId="269" fillId="0" borderId="435" xfId="3796" applyFont="1" applyFill="1" applyBorder="1" applyAlignment="1">
      <alignment horizontal="right" wrapText="1"/>
    </xf>
    <xf numFmtId="0" fontId="269" fillId="0" borderId="435" xfId="3796" applyFont="1" applyFill="1" applyBorder="1" applyAlignment="1">
      <alignment horizontal="center" vertical="center" wrapText="1"/>
    </xf>
    <xf numFmtId="171" fontId="269" fillId="0" borderId="435" xfId="3796" applyNumberFormat="1" applyFont="1" applyFill="1" applyBorder="1" applyAlignment="1">
      <alignment horizontal="right" wrapText="1"/>
    </xf>
    <xf numFmtId="171" fontId="50" fillId="0" borderId="0" xfId="0" applyNumberFormat="1" applyFont="1" applyFill="1" applyAlignment="1">
      <alignment horizontal="center"/>
    </xf>
    <xf numFmtId="0" fontId="270" fillId="0" borderId="435" xfId="3796" applyFont="1" applyFill="1" applyBorder="1" applyAlignment="1">
      <alignment horizontal="right" wrapText="1"/>
    </xf>
    <xf numFmtId="0" fontId="269" fillId="0" borderId="436" xfId="3796" applyFont="1" applyFill="1" applyBorder="1" applyAlignment="1">
      <alignment horizontal="right" wrapText="1"/>
    </xf>
    <xf numFmtId="0" fontId="270" fillId="0" borderId="436" xfId="3796" applyFont="1" applyFill="1" applyBorder="1" applyAlignment="1">
      <alignment horizontal="right" wrapText="1"/>
    </xf>
    <xf numFmtId="171" fontId="50" fillId="0" borderId="415" xfId="0" applyNumberFormat="1" applyFont="1" applyFill="1" applyBorder="1" applyAlignment="1">
      <alignment horizontal="center"/>
    </xf>
    <xf numFmtId="0" fontId="269" fillId="0" borderId="437" xfId="3796" applyFont="1" applyFill="1" applyBorder="1" applyAlignment="1">
      <alignment horizontal="right" wrapText="1"/>
    </xf>
    <xf numFmtId="0" fontId="269" fillId="0" borderId="437" xfId="3796" applyFont="1" applyFill="1" applyBorder="1" applyAlignment="1">
      <alignment horizontal="center" vertical="center" wrapText="1"/>
    </xf>
    <xf numFmtId="0" fontId="270" fillId="0" borderId="435" xfId="3796" applyFont="1" applyFill="1" applyBorder="1" applyAlignment="1">
      <alignment horizontal="center" vertical="center" wrapText="1"/>
    </xf>
    <xf numFmtId="171" fontId="96" fillId="0" borderId="0" xfId="0" applyNumberFormat="1" applyFont="1" applyFill="1" applyAlignment="1">
      <alignment horizontal="center"/>
    </xf>
    <xf numFmtId="0" fontId="270" fillId="0" borderId="436" xfId="3796" applyFont="1" applyFill="1" applyBorder="1" applyAlignment="1">
      <alignment horizontal="center" vertical="center" wrapText="1"/>
    </xf>
    <xf numFmtId="171" fontId="96" fillId="0" borderId="333" xfId="0" applyNumberFormat="1" applyFont="1" applyFill="1" applyBorder="1" applyAlignment="1">
      <alignment horizontal="center"/>
    </xf>
    <xf numFmtId="0" fontId="0" fillId="0" borderId="333" xfId="0" applyFill="1" applyBorder="1"/>
    <xf numFmtId="171" fontId="270" fillId="0" borderId="436" xfId="3796" applyNumberFormat="1" applyFont="1" applyFill="1" applyBorder="1" applyAlignment="1">
      <alignment horizontal="right" wrapText="1"/>
    </xf>
    <xf numFmtId="171" fontId="50" fillId="0" borderId="333" xfId="0" applyNumberFormat="1" applyFont="1" applyFill="1" applyBorder="1" applyAlignment="1">
      <alignment horizontal="center"/>
    </xf>
    <xf numFmtId="1" fontId="88" fillId="0" borderId="438" xfId="211" applyNumberFormat="1" applyFont="1" applyFill="1" applyBorder="1" applyAlignment="1">
      <alignment horizontal="center" vertical="center"/>
    </xf>
    <xf numFmtId="0" fontId="269" fillId="0" borderId="435" xfId="3797" applyFont="1" applyFill="1" applyBorder="1" applyAlignment="1">
      <alignment horizontal="center" vertical="center"/>
    </xf>
    <xf numFmtId="0" fontId="269" fillId="0" borderId="435" xfId="3797" applyFont="1" applyFill="1" applyBorder="1" applyAlignment="1">
      <alignment vertical="center"/>
    </xf>
    <xf numFmtId="0" fontId="269" fillId="0" borderId="437" xfId="3797" applyFont="1" applyFill="1" applyBorder="1" applyAlignment="1">
      <alignment vertical="center"/>
    </xf>
    <xf numFmtId="0" fontId="269" fillId="0" borderId="437" xfId="3797" applyFont="1" applyFill="1" applyBorder="1" applyAlignment="1">
      <alignment horizontal="center" vertical="center"/>
    </xf>
    <xf numFmtId="0" fontId="269" fillId="0" borderId="435" xfId="3797" applyFont="1" applyFill="1" applyBorder="1" applyAlignment="1">
      <alignment vertical="center" wrapText="1"/>
    </xf>
    <xf numFmtId="0" fontId="269" fillId="0" borderId="435" xfId="3797" applyFont="1" applyFill="1" applyBorder="1" applyAlignment="1">
      <alignment horizontal="center" vertical="center" wrapText="1"/>
    </xf>
    <xf numFmtId="0" fontId="269" fillId="0" borderId="0" xfId="3797" applyFont="1" applyFill="1" applyBorder="1" applyAlignment="1">
      <alignment horizontal="center" vertical="center"/>
    </xf>
    <xf numFmtId="0" fontId="313" fillId="0" borderId="435" xfId="3797" applyFont="1" applyFill="1" applyBorder="1" applyAlignment="1">
      <alignment vertical="center" wrapText="1"/>
    </xf>
    <xf numFmtId="0" fontId="303" fillId="0" borderId="437" xfId="3797" applyFont="1" applyFill="1" applyBorder="1" applyAlignment="1">
      <alignment vertical="center"/>
    </xf>
    <xf numFmtId="0" fontId="303" fillId="0" borderId="341" xfId="3797" applyFont="1" applyFill="1" applyBorder="1" applyAlignment="1">
      <alignment vertical="center"/>
    </xf>
    <xf numFmtId="0" fontId="270" fillId="0" borderId="436" xfId="3797" applyFont="1" applyFill="1" applyBorder="1" applyAlignment="1">
      <alignment horizontal="center" wrapText="1"/>
    </xf>
    <xf numFmtId="0" fontId="270" fillId="0" borderId="436" xfId="3797" applyFont="1" applyFill="1" applyBorder="1" applyAlignment="1">
      <alignment horizontal="center" vertical="center"/>
    </xf>
    <xf numFmtId="0" fontId="269" fillId="0" borderId="436" xfId="3797" applyFont="1" applyFill="1" applyBorder="1" applyAlignment="1">
      <alignment horizontal="center" vertical="center"/>
    </xf>
    <xf numFmtId="168" fontId="74" fillId="0" borderId="333" xfId="176" applyNumberFormat="1" applyFont="1" applyBorder="1" applyAlignment="1">
      <alignment horizontal="center" vertical="center"/>
    </xf>
    <xf numFmtId="0" fontId="303" fillId="0" borderId="341" xfId="3797" applyFont="1" applyFill="1" applyBorder="1" applyAlignment="1">
      <alignment horizontal="center" vertical="center"/>
    </xf>
    <xf numFmtId="0" fontId="313" fillId="0" borderId="341" xfId="3797" applyFont="1" applyFill="1" applyBorder="1" applyAlignment="1">
      <alignment vertical="center"/>
    </xf>
    <xf numFmtId="0" fontId="313" fillId="0" borderId="341" xfId="3797" applyFont="1" applyFill="1" applyBorder="1" applyAlignment="1">
      <alignment horizontal="center" vertical="center"/>
    </xf>
    <xf numFmtId="0" fontId="137" fillId="0" borderId="0" xfId="0" applyFont="1"/>
    <xf numFmtId="0" fontId="313" fillId="0" borderId="348" xfId="3799" applyFont="1" applyFill="1" applyBorder="1" applyAlignment="1">
      <alignment horizontal="right"/>
    </xf>
    <xf numFmtId="0" fontId="313" fillId="0" borderId="437" xfId="3797" applyFont="1" applyFill="1" applyBorder="1" applyAlignment="1">
      <alignment vertical="center"/>
    </xf>
    <xf numFmtId="0" fontId="314" fillId="0" borderId="437" xfId="3797" applyFont="1" applyFill="1" applyBorder="1" applyAlignment="1">
      <alignment horizontal="center" vertical="center"/>
    </xf>
    <xf numFmtId="0" fontId="313" fillId="0" borderId="371" xfId="3797" applyFont="1" applyFill="1" applyBorder="1" applyAlignment="1">
      <alignment vertical="center"/>
    </xf>
    <xf numFmtId="0" fontId="313" fillId="0" borderId="435" xfId="3797" applyFont="1" applyFill="1" applyBorder="1" applyAlignment="1">
      <alignment horizontal="center" vertical="center" wrapText="1"/>
    </xf>
    <xf numFmtId="0" fontId="313" fillId="0" borderId="346" xfId="3797" applyFont="1" applyFill="1" applyBorder="1" applyAlignment="1">
      <alignment vertical="center"/>
    </xf>
    <xf numFmtId="0" fontId="313" fillId="0" borderId="346" xfId="3797" applyFont="1" applyFill="1" applyBorder="1" applyAlignment="1">
      <alignment horizontal="center" vertical="center"/>
    </xf>
    <xf numFmtId="0" fontId="313" fillId="0" borderId="437" xfId="3797" applyFont="1" applyFill="1" applyBorder="1" applyAlignment="1">
      <alignment horizontal="center" vertical="center"/>
    </xf>
    <xf numFmtId="0" fontId="303" fillId="0" borderId="437" xfId="3797" applyFont="1" applyFill="1" applyBorder="1" applyAlignment="1">
      <alignment horizontal="center" vertical="center"/>
    </xf>
    <xf numFmtId="0" fontId="0" fillId="0" borderId="0" xfId="0" applyFont="1" applyAlignment="1">
      <alignment horizontal="right" vertical="center"/>
    </xf>
    <xf numFmtId="168" fontId="0" fillId="0" borderId="0" xfId="0" applyNumberFormat="1"/>
    <xf numFmtId="0" fontId="41" fillId="0" borderId="0" xfId="0" applyFont="1" applyFill="1" applyBorder="1"/>
    <xf numFmtId="0" fontId="7" fillId="62" borderId="439" xfId="3809" applyFont="1" applyFill="1" applyBorder="1" applyAlignment="1">
      <alignment horizontal="center"/>
    </xf>
    <xf numFmtId="0" fontId="7" fillId="0" borderId="435" xfId="3809" applyFont="1" applyFill="1" applyBorder="1" applyAlignment="1">
      <alignment horizontal="right" wrapText="1"/>
    </xf>
    <xf numFmtId="0" fontId="17" fillId="0" borderId="0" xfId="3809"/>
    <xf numFmtId="0" fontId="7" fillId="63" borderId="439" xfId="3809" applyFont="1" applyFill="1" applyBorder="1" applyAlignment="1">
      <alignment horizontal="center"/>
    </xf>
    <xf numFmtId="0" fontId="7" fillId="0" borderId="435" xfId="3809" applyFont="1" applyFill="1" applyBorder="1" applyAlignment="1">
      <alignment horizontal="center" vertical="center" wrapText="1"/>
    </xf>
    <xf numFmtId="0" fontId="7" fillId="57" borderId="435" xfId="3809" applyFont="1" applyFill="1" applyBorder="1" applyAlignment="1">
      <alignment horizontal="right" wrapText="1"/>
    </xf>
    <xf numFmtId="0" fontId="0" fillId="57" borderId="0" xfId="0" applyFill="1"/>
    <xf numFmtId="0" fontId="154" fillId="43" borderId="307" xfId="0" applyFont="1" applyFill="1" applyBorder="1" applyAlignment="1">
      <alignment horizontal="center" vertical="center"/>
    </xf>
    <xf numFmtId="0" fontId="50" fillId="0" borderId="0" xfId="0" applyFont="1"/>
    <xf numFmtId="0" fontId="79" fillId="0" borderId="16" xfId="0" applyFont="1" applyFill="1" applyBorder="1" applyAlignment="1">
      <alignment horizontal="center" vertical="center" wrapText="1"/>
    </xf>
    <xf numFmtId="0" fontId="31" fillId="0" borderId="307" xfId="0" applyFont="1" applyFill="1" applyBorder="1" applyAlignment="1">
      <alignment horizontal="center" vertical="center"/>
    </xf>
    <xf numFmtId="0" fontId="31" fillId="0" borderId="307" xfId="0" applyFont="1" applyFill="1" applyBorder="1" applyAlignment="1">
      <alignment horizontal="center"/>
    </xf>
    <xf numFmtId="1" fontId="31" fillId="0" borderId="307" xfId="0" applyNumberFormat="1" applyFont="1" applyFill="1" applyBorder="1" applyAlignment="1">
      <alignment horizontal="center" vertical="center"/>
    </xf>
    <xf numFmtId="171" fontId="31" fillId="0" borderId="307" xfId="0" applyNumberFormat="1" applyFont="1" applyFill="1" applyBorder="1" applyAlignment="1">
      <alignment horizontal="center" vertical="center"/>
    </xf>
    <xf numFmtId="168" fontId="31" fillId="0" borderId="307" xfId="0" applyNumberFormat="1" applyFont="1" applyFill="1" applyBorder="1" applyAlignment="1">
      <alignment horizontal="center"/>
    </xf>
    <xf numFmtId="191" fontId="31" fillId="0" borderId="307" xfId="818" applyNumberFormat="1" applyFont="1" applyFill="1" applyBorder="1" applyAlignment="1">
      <alignment horizontal="center"/>
    </xf>
    <xf numFmtId="1" fontId="154" fillId="20" borderId="307" xfId="0" applyNumberFormat="1" applyFont="1" applyFill="1" applyBorder="1" applyAlignment="1">
      <alignment horizontal="center" vertical="center"/>
    </xf>
    <xf numFmtId="171" fontId="154" fillId="20" borderId="307" xfId="0" applyNumberFormat="1" applyFont="1" applyFill="1" applyBorder="1" applyAlignment="1">
      <alignment horizontal="center" vertical="center"/>
    </xf>
    <xf numFmtId="191" fontId="31" fillId="0" borderId="307" xfId="428" applyNumberFormat="1" applyFont="1" applyBorder="1" applyAlignment="1">
      <alignment horizontal="center" vertical="center"/>
    </xf>
    <xf numFmtId="1" fontId="31" fillId="0" borderId="307" xfId="0" applyNumberFormat="1" applyFont="1" applyBorder="1" applyAlignment="1">
      <alignment horizontal="center" vertical="center" wrapText="1"/>
    </xf>
    <xf numFmtId="0" fontId="31" fillId="0" borderId="307" xfId="0" applyFont="1" applyFill="1" applyBorder="1" applyAlignment="1">
      <alignment horizontal="center" vertical="center" wrapText="1"/>
    </xf>
    <xf numFmtId="171" fontId="154" fillId="20" borderId="307" xfId="0" applyNumberFormat="1" applyFont="1" applyFill="1" applyBorder="1" applyAlignment="1">
      <alignment horizontal="center" vertical="center" wrapText="1"/>
    </xf>
    <xf numFmtId="191" fontId="154" fillId="20" borderId="307" xfId="428" applyNumberFormat="1" applyFont="1" applyFill="1" applyBorder="1" applyAlignment="1">
      <alignment horizontal="center" vertical="center"/>
    </xf>
    <xf numFmtId="191" fontId="154" fillId="43" borderId="307" xfId="428" applyNumberFormat="1" applyFont="1" applyFill="1" applyBorder="1" applyAlignment="1">
      <alignment horizontal="center" vertical="center"/>
    </xf>
    <xf numFmtId="181" fontId="39" fillId="0" borderId="300" xfId="107" applyNumberFormat="1" applyFont="1" applyFill="1" applyBorder="1" applyAlignment="1">
      <alignment horizontal="center" vertical="center"/>
    </xf>
    <xf numFmtId="181" fontId="39" fillId="0" borderId="301" xfId="107" applyNumberFormat="1" applyFont="1" applyFill="1" applyBorder="1" applyAlignment="1">
      <alignment horizontal="center" vertical="center"/>
    </xf>
    <xf numFmtId="43" fontId="39" fillId="0" borderId="301" xfId="107" applyNumberFormat="1" applyFont="1" applyFill="1" applyBorder="1" applyAlignment="1">
      <alignment horizontal="center" vertical="center"/>
    </xf>
    <xf numFmtId="43" fontId="39" fillId="0" borderId="386" xfId="107" applyFont="1" applyFill="1" applyBorder="1" applyAlignment="1">
      <alignment horizontal="center" vertical="center"/>
    </xf>
    <xf numFmtId="181" fontId="39" fillId="20" borderId="208" xfId="107" applyNumberFormat="1" applyFont="1" applyFill="1" applyBorder="1" applyAlignment="1">
      <alignment horizontal="center" vertical="center"/>
    </xf>
    <xf numFmtId="0" fontId="39" fillId="0" borderId="16" xfId="0" applyFont="1" applyBorder="1" applyAlignment="1">
      <alignment horizontal="center" vertical="center" wrapText="1"/>
    </xf>
    <xf numFmtId="0" fontId="100" fillId="0" borderId="10" xfId="0" applyFont="1" applyBorder="1" applyAlignment="1">
      <alignment horizontal="center" vertical="center" wrapText="1"/>
    </xf>
    <xf numFmtId="3" fontId="54" fillId="22" borderId="28" xfId="804" applyNumberFormat="1" applyFont="1" applyFill="1" applyBorder="1" applyAlignment="1">
      <alignment horizontal="right" vertical="center"/>
    </xf>
    <xf numFmtId="3" fontId="54" fillId="22" borderId="22" xfId="804" applyNumberFormat="1" applyFont="1" applyFill="1" applyBorder="1" applyAlignment="1">
      <alignment horizontal="right" vertical="center"/>
    </xf>
    <xf numFmtId="3" fontId="54" fillId="22" borderId="28" xfId="452" applyNumberFormat="1" applyFont="1" applyFill="1" applyBorder="1" applyAlignment="1">
      <alignment horizontal="right" vertical="center"/>
    </xf>
    <xf numFmtId="3" fontId="54" fillId="22" borderId="22" xfId="452" applyNumberFormat="1" applyFont="1" applyFill="1" applyBorder="1" applyAlignment="1">
      <alignment horizontal="right" vertical="center"/>
    </xf>
    <xf numFmtId="0" fontId="37" fillId="22" borderId="22" xfId="2318" applyFill="1" applyBorder="1"/>
    <xf numFmtId="0" fontId="106" fillId="0" borderId="23" xfId="452" applyFont="1" applyFill="1" applyBorder="1" applyAlignment="1">
      <alignment horizontal="center"/>
    </xf>
    <xf numFmtId="3" fontId="106" fillId="0" borderId="23" xfId="452" applyNumberFormat="1" applyFont="1" applyFill="1" applyBorder="1" applyAlignment="1">
      <alignment horizontal="right"/>
    </xf>
    <xf numFmtId="0" fontId="79" fillId="20" borderId="22" xfId="452" applyFont="1" applyFill="1" applyBorder="1" applyAlignment="1">
      <alignment horizontal="left"/>
    </xf>
    <xf numFmtId="3" fontId="79" fillId="20" borderId="22" xfId="452" applyNumberFormat="1" applyFont="1" applyFill="1" applyBorder="1" applyAlignment="1">
      <alignment horizontal="right"/>
    </xf>
    <xf numFmtId="0" fontId="113" fillId="0" borderId="225" xfId="452" applyFont="1" applyFill="1" applyBorder="1" applyAlignment="1">
      <alignment horizontal="center" vertical="top"/>
    </xf>
    <xf numFmtId="3" fontId="113" fillId="0" borderId="225" xfId="452" applyNumberFormat="1" applyFont="1" applyFill="1" applyBorder="1" applyAlignment="1">
      <alignment horizontal="right"/>
    </xf>
    <xf numFmtId="3" fontId="113" fillId="0" borderId="333" xfId="452" applyNumberFormat="1" applyFont="1" applyFill="1" applyBorder="1" applyAlignment="1">
      <alignment horizontal="right"/>
    </xf>
    <xf numFmtId="3" fontId="113" fillId="0" borderId="347" xfId="452" applyNumberFormat="1" applyFont="1" applyFill="1" applyBorder="1" applyAlignment="1">
      <alignment horizontal="right"/>
    </xf>
    <xf numFmtId="0" fontId="108" fillId="0" borderId="23" xfId="452" applyFont="1" applyFill="1" applyBorder="1" applyAlignment="1">
      <alignment horizontal="center"/>
    </xf>
    <xf numFmtId="3" fontId="108" fillId="0" borderId="23" xfId="452" applyNumberFormat="1" applyFont="1" applyFill="1" applyBorder="1" applyAlignment="1">
      <alignment horizontal="right"/>
    </xf>
    <xf numFmtId="0" fontId="110" fillId="0" borderId="23" xfId="452" applyFont="1" applyFill="1" applyBorder="1" applyAlignment="1">
      <alignment horizontal="center"/>
    </xf>
    <xf numFmtId="3" fontId="110" fillId="0" borderId="23" xfId="452" applyNumberFormat="1" applyFont="1" applyFill="1" applyBorder="1" applyAlignment="1">
      <alignment horizontal="right"/>
    </xf>
    <xf numFmtId="0" fontId="105" fillId="0" borderId="23" xfId="452" applyFont="1" applyFill="1" applyBorder="1" applyAlignment="1">
      <alignment horizontal="center"/>
    </xf>
    <xf numFmtId="3" fontId="105" fillId="0" borderId="23" xfId="452" applyNumberFormat="1" applyFont="1" applyFill="1" applyBorder="1" applyAlignment="1">
      <alignment horizontal="right"/>
    </xf>
    <xf numFmtId="0" fontId="39" fillId="0" borderId="250" xfId="0" applyFont="1" applyBorder="1" applyAlignment="1">
      <alignment horizontal="center" vertical="center"/>
    </xf>
    <xf numFmtId="0" fontId="268" fillId="0" borderId="0" xfId="0" applyFont="1"/>
    <xf numFmtId="0" fontId="39" fillId="0" borderId="16" xfId="0" applyFont="1" applyBorder="1" applyAlignment="1">
      <alignment horizontal="center" vertical="center" wrapText="1"/>
    </xf>
    <xf numFmtId="0" fontId="23" fillId="0" borderId="16" xfId="0" applyFont="1" applyBorder="1" applyAlignment="1">
      <alignment horizontal="center" vertical="center" wrapText="1"/>
    </xf>
    <xf numFmtId="3" fontId="349" fillId="0" borderId="430" xfId="0" applyNumberFormat="1" applyFont="1" applyBorder="1" applyAlignment="1">
      <alignment horizontal="center" vertical="center" wrapText="1"/>
    </xf>
    <xf numFmtId="0" fontId="349" fillId="0" borderId="418" xfId="0" applyFont="1" applyBorder="1" applyAlignment="1">
      <alignment horizontal="center" vertical="center" wrapText="1"/>
    </xf>
    <xf numFmtId="1" fontId="50" fillId="0" borderId="418" xfId="0" applyNumberFormat="1" applyFont="1" applyBorder="1" applyAlignment="1">
      <alignment horizontal="center" vertical="center" wrapText="1"/>
    </xf>
    <xf numFmtId="3" fontId="349" fillId="0" borderId="418" xfId="0" applyNumberFormat="1" applyFont="1" applyBorder="1" applyAlignment="1">
      <alignment horizontal="center" vertical="center" wrapText="1"/>
    </xf>
    <xf numFmtId="1" fontId="196" fillId="0" borderId="418" xfId="0" applyNumberFormat="1" applyFont="1" applyBorder="1" applyAlignment="1">
      <alignment horizontal="center" vertical="center" wrapText="1"/>
    </xf>
    <xf numFmtId="1" fontId="60" fillId="0" borderId="418" xfId="0" applyNumberFormat="1" applyFont="1" applyBorder="1" applyAlignment="1">
      <alignment horizontal="center" vertical="center" wrapText="1"/>
    </xf>
    <xf numFmtId="1" fontId="60" fillId="0" borderId="307" xfId="0" applyNumberFormat="1" applyFont="1" applyBorder="1" applyAlignment="1">
      <alignment horizontal="center" vertical="center" wrapText="1"/>
    </xf>
    <xf numFmtId="1" fontId="50" fillId="0" borderId="307" xfId="0" applyNumberFormat="1" applyFont="1" applyBorder="1" applyAlignment="1">
      <alignment horizontal="center" vertical="center" wrapText="1"/>
    </xf>
    <xf numFmtId="0" fontId="73" fillId="0" borderId="0" xfId="0" applyFont="1" applyAlignment="1">
      <alignment horizontal="left" vertical="center"/>
    </xf>
    <xf numFmtId="0" fontId="327" fillId="0" borderId="0" xfId="0" applyFont="1" applyFill="1" applyBorder="1" applyAlignment="1">
      <alignment horizontal="center" vertical="center" wrapText="1"/>
    </xf>
    <xf numFmtId="0" fontId="296" fillId="0" borderId="396" xfId="0" applyFont="1" applyBorder="1" applyAlignment="1">
      <alignment horizontal="center" vertical="center"/>
    </xf>
    <xf numFmtId="0" fontId="196" fillId="0" borderId="396" xfId="0" applyFont="1" applyBorder="1" applyAlignment="1">
      <alignment horizontal="center" vertical="center"/>
    </xf>
    <xf numFmtId="0" fontId="296" fillId="0" borderId="397" xfId="0" applyFont="1" applyBorder="1" applyAlignment="1">
      <alignment horizontal="center" vertical="center"/>
    </xf>
    <xf numFmtId="0" fontId="196" fillId="0" borderId="397" xfId="0" applyFont="1" applyBorder="1" applyAlignment="1">
      <alignment horizontal="center" vertical="center"/>
    </xf>
    <xf numFmtId="0" fontId="328" fillId="0" borderId="0" xfId="0" applyFont="1" applyFill="1" applyBorder="1" applyAlignment="1">
      <alignment horizontal="center" vertical="center" wrapText="1"/>
    </xf>
    <xf numFmtId="0" fontId="322" fillId="0" borderId="307" xfId="0" applyFont="1" applyBorder="1" applyAlignment="1">
      <alignment horizontal="center" vertical="center" wrapText="1"/>
    </xf>
    <xf numFmtId="3" fontId="322" fillId="0" borderId="307" xfId="0" applyNumberFormat="1" applyFont="1" applyFill="1" applyBorder="1" applyAlignment="1">
      <alignment horizontal="center" vertical="center" wrapText="1"/>
    </xf>
    <xf numFmtId="3" fontId="322" fillId="0" borderId="307" xfId="0" applyNumberFormat="1" applyFont="1" applyBorder="1" applyAlignment="1">
      <alignment horizontal="center" vertical="center"/>
    </xf>
    <xf numFmtId="0" fontId="73" fillId="0" borderId="0" xfId="0" applyFont="1" applyBorder="1" applyAlignment="1">
      <alignment horizontal="left" vertical="center"/>
    </xf>
    <xf numFmtId="0" fontId="50" fillId="0" borderId="0" xfId="0" quotePrefix="1" applyFont="1" applyBorder="1" applyAlignment="1">
      <alignment vertical="center" wrapText="1"/>
    </xf>
    <xf numFmtId="3" fontId="50" fillId="0" borderId="0" xfId="0" applyNumberFormat="1" applyFont="1" applyBorder="1" applyAlignment="1">
      <alignment horizontal="center" vertical="center" wrapText="1"/>
    </xf>
    <xf numFmtId="0" fontId="196" fillId="0" borderId="418" xfId="0" applyFont="1" applyBorder="1" applyAlignment="1">
      <alignment horizontal="center" vertical="center" wrapText="1"/>
    </xf>
    <xf numFmtId="1" fontId="60" fillId="0" borderId="440" xfId="0" applyNumberFormat="1" applyFont="1" applyBorder="1" applyAlignment="1">
      <alignment horizontal="center" vertical="center" wrapText="1"/>
    </xf>
    <xf numFmtId="0" fontId="60" fillId="0" borderId="0" xfId="0" applyFont="1" applyBorder="1" applyAlignment="1">
      <alignment vertical="center" wrapText="1"/>
    </xf>
    <xf numFmtId="0" fontId="330" fillId="0" borderId="418" xfId="0" applyFont="1" applyBorder="1" applyAlignment="1">
      <alignment horizontal="center" vertical="center"/>
    </xf>
    <xf numFmtId="1" fontId="50" fillId="0" borderId="441" xfId="0" applyNumberFormat="1" applyFont="1" applyBorder="1" applyAlignment="1">
      <alignment horizontal="center" vertical="center" wrapText="1"/>
    </xf>
    <xf numFmtId="1" fontId="60" fillId="0" borderId="441" xfId="0" applyNumberFormat="1" applyFont="1" applyBorder="1" applyAlignment="1">
      <alignment horizontal="center" vertical="center" wrapText="1"/>
    </xf>
    <xf numFmtId="0" fontId="330" fillId="0" borderId="441" xfId="0" applyFont="1" applyBorder="1" applyAlignment="1">
      <alignment horizontal="center" vertical="center"/>
    </xf>
    <xf numFmtId="1" fontId="60" fillId="0" borderId="443" xfId="0" applyNumberFormat="1" applyFont="1" applyBorder="1" applyAlignment="1">
      <alignment horizontal="center" vertical="center" wrapText="1"/>
    </xf>
    <xf numFmtId="1" fontId="50" fillId="0" borderId="440" xfId="0" applyNumberFormat="1" applyFont="1" applyBorder="1" applyAlignment="1">
      <alignment horizontal="center" vertical="center" wrapText="1"/>
    </xf>
    <xf numFmtId="3" fontId="58" fillId="20" borderId="333" xfId="0" applyNumberFormat="1" applyFont="1" applyFill="1" applyBorder="1" applyAlignment="1">
      <alignment horizontal="center" vertical="center"/>
    </xf>
    <xf numFmtId="180" fontId="57" fillId="0" borderId="22" xfId="0" applyNumberFormat="1" applyFont="1" applyFill="1" applyBorder="1" applyAlignment="1">
      <alignment horizontal="center" vertical="center"/>
    </xf>
    <xf numFmtId="180" fontId="58" fillId="20" borderId="23" xfId="0" applyNumberFormat="1" applyFont="1" applyFill="1" applyBorder="1" applyAlignment="1">
      <alignment horizontal="center" vertical="center"/>
    </xf>
    <xf numFmtId="180" fontId="58" fillId="20" borderId="333" xfId="0" applyNumberFormat="1" applyFont="1" applyFill="1" applyBorder="1" applyAlignment="1">
      <alignment horizontal="center" vertical="center"/>
    </xf>
    <xf numFmtId="0" fontId="66" fillId="0" borderId="0" xfId="0" applyFont="1" applyAlignment="1">
      <alignment horizontal="right" vertical="center"/>
    </xf>
    <xf numFmtId="0" fontId="39" fillId="0" borderId="16" xfId="0" applyFont="1" applyFill="1" applyBorder="1" applyAlignment="1">
      <alignment horizontal="center" vertical="center" wrapText="1"/>
    </xf>
    <xf numFmtId="0" fontId="39" fillId="64" borderId="383" xfId="0" applyFont="1" applyFill="1" applyBorder="1" applyAlignment="1">
      <alignment horizontal="center" vertical="center"/>
    </xf>
    <xf numFmtId="0" fontId="39" fillId="64" borderId="383" xfId="0" applyFont="1" applyFill="1" applyBorder="1" applyAlignment="1">
      <alignment horizontal="center" vertical="center" wrapText="1"/>
    </xf>
    <xf numFmtId="17" fontId="2" fillId="0" borderId="0" xfId="0" applyNumberFormat="1" applyFont="1" applyAlignment="1">
      <alignment horizontal="center" vertical="center" wrapText="1"/>
    </xf>
    <xf numFmtId="0" fontId="48" fillId="0" borderId="0" xfId="0" applyFont="1" applyAlignment="1"/>
    <xf numFmtId="0" fontId="265" fillId="0" borderId="382" xfId="0" applyFont="1" applyBorder="1" applyAlignment="1"/>
    <xf numFmtId="0" fontId="265" fillId="0" borderId="331" xfId="0" applyFont="1" applyBorder="1" applyAlignment="1"/>
    <xf numFmtId="0" fontId="48" fillId="0" borderId="332" xfId="0" applyFont="1" applyBorder="1" applyAlignment="1">
      <alignment vertical="center"/>
    </xf>
    <xf numFmtId="0" fontId="42" fillId="20" borderId="307" xfId="149" applyFont="1" applyFill="1" applyBorder="1" applyAlignment="1">
      <alignment horizontal="center" vertical="center"/>
    </xf>
    <xf numFmtId="173" fontId="41" fillId="0" borderId="396" xfId="149" applyNumberFormat="1" applyFont="1" applyBorder="1" applyAlignment="1">
      <alignment horizontal="center" vertical="center"/>
    </xf>
    <xf numFmtId="0" fontId="41" fillId="0" borderId="396" xfId="149" applyFont="1" applyBorder="1" applyAlignment="1">
      <alignment horizontal="center"/>
    </xf>
    <xf numFmtId="0" fontId="41" fillId="0" borderId="396" xfId="149" applyFont="1" applyBorder="1" applyAlignment="1">
      <alignment horizontal="center" vertical="center"/>
    </xf>
    <xf numFmtId="3" fontId="41" fillId="0" borderId="396" xfId="149" applyNumberFormat="1" applyFont="1" applyBorder="1" applyAlignment="1">
      <alignment horizontal="center" vertical="center"/>
    </xf>
    <xf numFmtId="173" fontId="41" fillId="0" borderId="397" xfId="0" applyNumberFormat="1" applyFont="1" applyBorder="1" applyAlignment="1">
      <alignment horizontal="center" vertical="center" wrapText="1"/>
    </xf>
    <xf numFmtId="3" fontId="41" fillId="0" borderId="397" xfId="0" applyNumberFormat="1" applyFont="1" applyBorder="1" applyAlignment="1">
      <alignment horizontal="center" vertical="center"/>
    </xf>
    <xf numFmtId="3" fontId="41" fillId="0" borderId="451" xfId="0" applyNumberFormat="1" applyFont="1" applyBorder="1" applyAlignment="1">
      <alignment horizontal="center" vertical="center"/>
    </xf>
    <xf numFmtId="173" fontId="41" fillId="0" borderId="397" xfId="0" applyNumberFormat="1" applyFont="1" applyBorder="1" applyAlignment="1">
      <alignment horizontal="center" vertical="center"/>
    </xf>
    <xf numFmtId="173" fontId="41" fillId="0" borderId="442" xfId="0" applyNumberFormat="1" applyFont="1" applyBorder="1" applyAlignment="1">
      <alignment horizontal="center"/>
    </xf>
    <xf numFmtId="3" fontId="41" fillId="0" borderId="442" xfId="0" applyNumberFormat="1" applyFont="1" applyBorder="1" applyAlignment="1">
      <alignment horizontal="center"/>
    </xf>
    <xf numFmtId="0" fontId="42" fillId="0" borderId="0" xfId="149" applyFont="1" applyFill="1" applyBorder="1" applyAlignment="1">
      <alignment horizontal="center" vertical="center"/>
    </xf>
    <xf numFmtId="173" fontId="41" fillId="0" borderId="444" xfId="0" applyNumberFormat="1" applyFont="1" applyBorder="1" applyAlignment="1">
      <alignment horizontal="center" vertical="center"/>
    </xf>
    <xf numFmtId="3" fontId="41" fillId="0" borderId="444" xfId="0" applyNumberFormat="1" applyFont="1" applyBorder="1" applyAlignment="1">
      <alignment horizontal="center" vertical="center"/>
    </xf>
    <xf numFmtId="0" fontId="41" fillId="0" borderId="442" xfId="149" applyFont="1" applyBorder="1" applyAlignment="1">
      <alignment horizontal="center" vertical="center"/>
    </xf>
    <xf numFmtId="3" fontId="41" fillId="0" borderId="442" xfId="0" applyNumberFormat="1" applyFont="1" applyBorder="1" applyAlignment="1">
      <alignment horizontal="center" vertical="center"/>
    </xf>
    <xf numFmtId="3" fontId="42" fillId="43" borderId="307" xfId="149" applyNumberFormat="1" applyFont="1" applyFill="1" applyBorder="1" applyAlignment="1">
      <alignment horizontal="center" vertical="center"/>
    </xf>
    <xf numFmtId="3" fontId="42" fillId="20" borderId="307" xfId="149" applyNumberFormat="1" applyFont="1" applyFill="1" applyBorder="1" applyAlignment="1">
      <alignment horizontal="center" vertical="center"/>
    </xf>
    <xf numFmtId="173" fontId="41" fillId="0" borderId="445" xfId="149" applyNumberFormat="1" applyFont="1" applyBorder="1" applyAlignment="1">
      <alignment horizontal="center" vertical="center" wrapText="1"/>
    </xf>
    <xf numFmtId="0" fontId="41" fillId="0" borderId="446" xfId="149" applyFont="1" applyBorder="1" applyAlignment="1">
      <alignment horizontal="center" vertical="center"/>
    </xf>
    <xf numFmtId="3" fontId="41" fillId="0" borderId="447" xfId="149" applyNumberFormat="1" applyFont="1" applyBorder="1" applyAlignment="1">
      <alignment horizontal="center" vertical="center"/>
    </xf>
    <xf numFmtId="173" fontId="41" fillId="0" borderId="448" xfId="149" applyNumberFormat="1" applyFont="1" applyBorder="1" applyAlignment="1">
      <alignment horizontal="center" vertical="center"/>
    </xf>
    <xf numFmtId="0" fontId="41" fillId="0" borderId="449" xfId="149" applyFont="1" applyBorder="1" applyAlignment="1">
      <alignment horizontal="center" vertical="center"/>
    </xf>
    <xf numFmtId="3" fontId="41" fillId="0" borderId="450" xfId="149" applyNumberFormat="1" applyFont="1" applyBorder="1" applyAlignment="1">
      <alignment horizontal="center" vertical="center"/>
    </xf>
    <xf numFmtId="173" fontId="41" fillId="0" borderId="441" xfId="0" applyNumberFormat="1" applyFont="1" applyBorder="1" applyAlignment="1">
      <alignment horizontal="center" vertical="center"/>
    </xf>
    <xf numFmtId="3" fontId="41" fillId="0" borderId="452" xfId="0" applyNumberFormat="1" applyFont="1" applyBorder="1" applyAlignment="1">
      <alignment horizontal="center" vertical="center"/>
    </xf>
    <xf numFmtId="173" fontId="41" fillId="0" borderId="441" xfId="0" applyNumberFormat="1" applyFont="1" applyBorder="1" applyAlignment="1">
      <alignment horizontal="center" vertical="center" wrapText="1"/>
    </xf>
    <xf numFmtId="173" fontId="41" fillId="0" borderId="453" xfId="0" applyNumberFormat="1" applyFont="1" applyBorder="1" applyAlignment="1">
      <alignment horizontal="center" vertical="center"/>
    </xf>
    <xf numFmtId="3" fontId="41" fillId="0" borderId="454" xfId="0" applyNumberFormat="1" applyFont="1" applyBorder="1" applyAlignment="1">
      <alignment horizontal="center" vertical="center"/>
    </xf>
    <xf numFmtId="3" fontId="41" fillId="0" borderId="455" xfId="0" applyNumberFormat="1" applyFont="1" applyBorder="1" applyAlignment="1">
      <alignment horizontal="center" vertical="center"/>
    </xf>
    <xf numFmtId="173" fontId="41" fillId="0" borderId="443" xfId="0" applyNumberFormat="1" applyFont="1" applyBorder="1" applyAlignment="1">
      <alignment horizontal="center" vertical="center"/>
    </xf>
    <xf numFmtId="3" fontId="41" fillId="0" borderId="456" xfId="0" applyNumberFormat="1" applyFont="1" applyBorder="1" applyAlignment="1">
      <alignment horizontal="center" vertical="center"/>
    </xf>
    <xf numFmtId="3" fontId="41" fillId="0" borderId="457" xfId="0" applyNumberFormat="1" applyFont="1" applyBorder="1" applyAlignment="1">
      <alignment horizontal="center" vertical="center"/>
    </xf>
    <xf numFmtId="0" fontId="265" fillId="0" borderId="382" xfId="0" applyFont="1" applyBorder="1" applyAlignment="1">
      <alignment horizontal="center" vertical="center"/>
    </xf>
    <xf numFmtId="0" fontId="39" fillId="20" borderId="384" xfId="0" applyFont="1" applyFill="1" applyBorder="1" applyAlignment="1">
      <alignment horizontal="center" vertical="center"/>
    </xf>
    <xf numFmtId="0" fontId="39" fillId="20" borderId="307" xfId="0" applyFont="1" applyFill="1" applyBorder="1" applyAlignment="1">
      <alignment horizontal="center" vertical="center"/>
    </xf>
    <xf numFmtId="0" fontId="39" fillId="0" borderId="0" xfId="0" applyFont="1" applyAlignment="1">
      <alignment horizontal="right"/>
    </xf>
    <xf numFmtId="3" fontId="39" fillId="43" borderId="0" xfId="0" applyNumberFormat="1" applyFont="1" applyFill="1" applyAlignment="1">
      <alignment horizontal="center"/>
    </xf>
    <xf numFmtId="3" fontId="42" fillId="37" borderId="307" xfId="149" applyNumberFormat="1" applyFont="1" applyFill="1" applyBorder="1" applyAlignment="1">
      <alignment horizontal="center" vertical="center"/>
    </xf>
    <xf numFmtId="3" fontId="41" fillId="0" borderId="396" xfId="149" applyNumberFormat="1" applyFont="1" applyBorder="1" applyAlignment="1">
      <alignment horizontal="center"/>
    </xf>
    <xf numFmtId="0" fontId="39" fillId="43" borderId="307" xfId="0" applyFont="1" applyFill="1" applyBorder="1" applyAlignment="1">
      <alignment horizontal="center" vertical="center"/>
    </xf>
    <xf numFmtId="3" fontId="39" fillId="20" borderId="307" xfId="0" applyNumberFormat="1" applyFont="1" applyFill="1" applyBorder="1" applyAlignment="1">
      <alignment horizontal="center" vertical="center"/>
    </xf>
    <xf numFmtId="168" fontId="39" fillId="20" borderId="458" xfId="176" applyNumberFormat="1" applyFont="1" applyFill="1" applyBorder="1" applyAlignment="1">
      <alignment horizontal="center" vertical="center"/>
    </xf>
    <xf numFmtId="0" fontId="98" fillId="0" borderId="0" xfId="173" applyFont="1" applyAlignment="1">
      <alignment horizontal="center" vertical="center"/>
    </xf>
    <xf numFmtId="0" fontId="98" fillId="0" borderId="98" xfId="454" applyFont="1" applyBorder="1" applyAlignment="1">
      <alignment horizontal="center" vertical="center"/>
    </xf>
    <xf numFmtId="0" fontId="39" fillId="0" borderId="0" xfId="0" applyFont="1" applyFill="1" applyAlignment="1">
      <alignment horizontal="left" vertical="center" wrapText="1"/>
    </xf>
    <xf numFmtId="0" fontId="50" fillId="0" borderId="0" xfId="0" applyFont="1"/>
    <xf numFmtId="0" fontId="98" fillId="0" borderId="16" xfId="821" applyFont="1" applyBorder="1" applyAlignment="1">
      <alignment horizontal="center"/>
    </xf>
    <xf numFmtId="0" fontId="98" fillId="0" borderId="16" xfId="821" applyFont="1" applyBorder="1" applyAlignment="1">
      <alignment horizontal="center" wrapText="1"/>
    </xf>
    <xf numFmtId="0" fontId="98" fillId="0" borderId="149" xfId="821" applyFont="1" applyBorder="1" applyAlignment="1">
      <alignment horizontal="center"/>
    </xf>
    <xf numFmtId="0" fontId="98" fillId="0" borderId="16" xfId="454" applyFont="1" applyBorder="1" applyAlignment="1">
      <alignment horizontal="center"/>
    </xf>
    <xf numFmtId="0" fontId="98" fillId="0" borderId="16" xfId="454" applyFont="1" applyBorder="1" applyAlignment="1">
      <alignment horizontal="center" wrapText="1"/>
    </xf>
    <xf numFmtId="0" fontId="98" fillId="0" borderId="16" xfId="173" applyFont="1" applyBorder="1" applyAlignment="1">
      <alignment horizontal="center" wrapText="1"/>
    </xf>
    <xf numFmtId="0" fontId="182" fillId="43" borderId="16" xfId="0" applyFont="1" applyFill="1" applyBorder="1" applyAlignment="1">
      <alignment horizontal="center" wrapText="1"/>
    </xf>
    <xf numFmtId="0" fontId="98" fillId="0" borderId="16" xfId="238" applyFont="1" applyBorder="1" applyAlignment="1">
      <alignment horizontal="center" wrapText="1"/>
    </xf>
    <xf numFmtId="0" fontId="98" fillId="21" borderId="16" xfId="238" applyFont="1" applyFill="1" applyBorder="1" applyAlignment="1">
      <alignment horizontal="center" wrapText="1"/>
    </xf>
    <xf numFmtId="0" fontId="169" fillId="0" borderId="16" xfId="227" applyFont="1" applyBorder="1" applyAlignment="1">
      <alignment horizontal="center" wrapText="1"/>
    </xf>
    <xf numFmtId="0" fontId="39" fillId="33" borderId="0" xfId="0" applyFont="1" applyFill="1" applyAlignment="1">
      <alignment vertical="center"/>
    </xf>
    <xf numFmtId="0" fontId="96" fillId="33" borderId="0" xfId="0" applyFont="1" applyFill="1" applyAlignment="1">
      <alignment vertical="center"/>
    </xf>
    <xf numFmtId="0" fontId="61" fillId="0" borderId="0" xfId="0" applyFont="1" applyAlignment="1">
      <alignment vertical="center"/>
    </xf>
    <xf numFmtId="0" fontId="91" fillId="0" borderId="0" xfId="0" applyFont="1" applyAlignment="1">
      <alignment vertical="center"/>
    </xf>
    <xf numFmtId="0" fontId="229" fillId="0" borderId="0" xfId="0" applyFont="1" applyAlignment="1">
      <alignment vertical="center"/>
    </xf>
    <xf numFmtId="0" fontId="73" fillId="0" borderId="0" xfId="821" applyFont="1" applyAlignment="1">
      <alignment vertical="center"/>
    </xf>
    <xf numFmtId="0" fontId="102" fillId="33" borderId="0" xfId="0" applyFont="1" applyFill="1" applyAlignment="1">
      <alignment vertical="center"/>
    </xf>
    <xf numFmtId="0" fontId="40" fillId="0" borderId="0" xfId="821" applyFont="1" applyAlignment="1">
      <alignment vertical="center"/>
    </xf>
    <xf numFmtId="0" fontId="96" fillId="33" borderId="0" xfId="0" applyFont="1" applyFill="1" applyBorder="1" applyAlignment="1">
      <alignment vertical="center"/>
    </xf>
    <xf numFmtId="0" fontId="39" fillId="0" borderId="148" xfId="0" applyFont="1" applyBorder="1" applyAlignment="1">
      <alignment vertical="center"/>
    </xf>
    <xf numFmtId="0" fontId="270" fillId="0" borderId="16" xfId="3795" applyFont="1" applyFill="1" applyBorder="1" applyAlignment="1">
      <alignment horizontal="center" vertical="center" wrapText="1"/>
    </xf>
    <xf numFmtId="0" fontId="270" fillId="20" borderId="16" xfId="3795" applyFont="1" applyFill="1" applyBorder="1" applyAlignment="1">
      <alignment horizontal="center" vertical="center" wrapText="1"/>
    </xf>
    <xf numFmtId="0" fontId="231" fillId="0" borderId="16" xfId="3795" applyFont="1" applyFill="1" applyBorder="1" applyAlignment="1">
      <alignment horizontal="center" vertical="center" wrapText="1"/>
    </xf>
    <xf numFmtId="0" fontId="231" fillId="21" borderId="16" xfId="3795" applyFont="1" applyFill="1" applyBorder="1" applyAlignment="1">
      <alignment horizontal="center" vertical="center" wrapText="1"/>
    </xf>
    <xf numFmtId="0" fontId="96" fillId="59" borderId="16" xfId="0" applyFont="1" applyFill="1" applyBorder="1" applyAlignment="1">
      <alignment horizontal="center" vertical="center" wrapText="1"/>
    </xf>
    <xf numFmtId="0" fontId="96" fillId="33" borderId="16" xfId="0" applyFont="1" applyFill="1" applyBorder="1" applyAlignment="1">
      <alignment vertical="center"/>
    </xf>
    <xf numFmtId="0" fontId="351" fillId="0" borderId="435" xfId="3810" applyFont="1" applyFill="1" applyBorder="1" applyAlignment="1">
      <alignment horizontal="right" vertical="center" wrapText="1"/>
    </xf>
    <xf numFmtId="0" fontId="351" fillId="20" borderId="435" xfId="3810" applyFont="1" applyFill="1" applyBorder="1" applyAlignment="1">
      <alignment horizontal="right" vertical="center" wrapText="1"/>
    </xf>
    <xf numFmtId="0" fontId="350" fillId="0" borderId="0" xfId="3810" applyAlignment="1">
      <alignment vertical="center"/>
    </xf>
    <xf numFmtId="168" fontId="39" fillId="0" borderId="0" xfId="176" applyNumberFormat="1" applyFont="1" applyAlignment="1">
      <alignment vertical="center"/>
    </xf>
    <xf numFmtId="0" fontId="7" fillId="0" borderId="412" xfId="3794" applyFont="1" applyFill="1" applyBorder="1" applyAlignment="1">
      <alignment horizontal="right" vertical="center" wrapText="1"/>
    </xf>
    <xf numFmtId="0" fontId="17" fillId="0" borderId="0" xfId="3794" applyAlignment="1">
      <alignment vertical="center"/>
    </xf>
    <xf numFmtId="0" fontId="269" fillId="0" borderId="341" xfId="3806" applyFont="1" applyFill="1" applyBorder="1" applyAlignment="1">
      <alignment horizontal="right" vertical="center" wrapText="1"/>
    </xf>
    <xf numFmtId="0" fontId="270" fillId="20" borderId="341" xfId="3806" applyFont="1" applyFill="1" applyBorder="1" applyAlignment="1">
      <alignment horizontal="right" vertical="center" wrapText="1"/>
    </xf>
    <xf numFmtId="0" fontId="72" fillId="0" borderId="0" xfId="3806" applyFont="1" applyAlignment="1">
      <alignment vertical="center"/>
    </xf>
    <xf numFmtId="168" fontId="96" fillId="0" borderId="0" xfId="176" applyNumberFormat="1" applyFont="1" applyAlignment="1">
      <alignment vertical="center"/>
    </xf>
    <xf numFmtId="0" fontId="269" fillId="0" borderId="342" xfId="3795" applyFont="1" applyFill="1" applyBorder="1" applyAlignment="1">
      <alignment horizontal="right" vertical="center" wrapText="1"/>
    </xf>
    <xf numFmtId="0" fontId="270" fillId="0" borderId="342" xfId="3795" applyFont="1" applyFill="1" applyBorder="1" applyAlignment="1">
      <alignment horizontal="right" vertical="center" wrapText="1"/>
    </xf>
    <xf numFmtId="0" fontId="72" fillId="0" borderId="0" xfId="3795" applyFont="1" applyAlignment="1">
      <alignment vertical="center"/>
    </xf>
    <xf numFmtId="10" fontId="96" fillId="33" borderId="0" xfId="176" applyNumberFormat="1" applyFont="1" applyFill="1" applyAlignment="1">
      <alignment vertical="center"/>
    </xf>
    <xf numFmtId="0" fontId="269" fillId="33" borderId="0" xfId="3794" applyFont="1" applyFill="1" applyBorder="1" applyAlignment="1">
      <alignment horizontal="center" vertical="center" wrapText="1"/>
    </xf>
    <xf numFmtId="168" fontId="50" fillId="0" borderId="0" xfId="176" applyNumberFormat="1" applyFont="1" applyAlignment="1">
      <alignment vertical="center"/>
    </xf>
    <xf numFmtId="10" fontId="66" fillId="33" borderId="0" xfId="176" applyNumberFormat="1" applyFont="1" applyFill="1" applyAlignment="1">
      <alignment horizontal="center" vertical="center"/>
    </xf>
    <xf numFmtId="10" fontId="50" fillId="0" borderId="0" xfId="176" applyNumberFormat="1" applyFont="1" applyAlignment="1">
      <alignment horizontal="center" vertical="center"/>
    </xf>
    <xf numFmtId="0" fontId="196" fillId="0" borderId="0" xfId="0" applyFont="1" applyAlignment="1">
      <alignment horizontal="center" vertical="center"/>
    </xf>
    <xf numFmtId="0" fontId="73" fillId="0" borderId="0" xfId="821" applyFont="1" applyAlignment="1">
      <alignment horizontal="left" vertical="center"/>
    </xf>
    <xf numFmtId="182" fontId="73" fillId="0" borderId="0" xfId="821" applyNumberFormat="1" applyFont="1" applyAlignment="1">
      <alignment horizontal="center" vertical="center"/>
    </xf>
    <xf numFmtId="0" fontId="73" fillId="0" borderId="0" xfId="821" applyFont="1" applyAlignment="1">
      <alignment horizontal="center" vertical="center"/>
    </xf>
    <xf numFmtId="0" fontId="269" fillId="0" borderId="341" xfId="3795" applyFont="1" applyFill="1" applyBorder="1" applyAlignment="1">
      <alignment horizontal="right" vertical="center" wrapText="1"/>
    </xf>
    <xf numFmtId="0" fontId="270" fillId="0" borderId="341" xfId="3795" applyFont="1" applyFill="1" applyBorder="1" applyAlignment="1">
      <alignment horizontal="right" vertical="center" wrapText="1"/>
    </xf>
    <xf numFmtId="10" fontId="96" fillId="0" borderId="0" xfId="176" applyNumberFormat="1" applyFont="1" applyBorder="1" applyAlignment="1">
      <alignment horizontal="center" vertical="center"/>
    </xf>
    <xf numFmtId="10" fontId="96" fillId="0" borderId="0" xfId="176" applyNumberFormat="1" applyFont="1" applyAlignment="1">
      <alignment vertical="center"/>
    </xf>
    <xf numFmtId="0" fontId="23" fillId="0" borderId="412" xfId="3794" applyFont="1" applyFill="1" applyBorder="1" applyAlignment="1">
      <alignment horizontal="right" vertical="center" wrapText="1"/>
    </xf>
    <xf numFmtId="168" fontId="96" fillId="20" borderId="0" xfId="176" applyNumberFormat="1" applyFont="1" applyFill="1" applyAlignment="1">
      <alignment vertical="center"/>
    </xf>
    <xf numFmtId="0" fontId="96" fillId="0" borderId="0" xfId="0" applyFont="1" applyFill="1" applyAlignment="1">
      <alignment vertical="center"/>
    </xf>
    <xf numFmtId="0" fontId="96" fillId="33" borderId="0" xfId="0" applyFont="1" applyFill="1" applyAlignment="1">
      <alignment horizontal="center" vertical="center"/>
    </xf>
    <xf numFmtId="10" fontId="120" fillId="33" borderId="0" xfId="176" applyNumberFormat="1" applyFont="1" applyFill="1" applyAlignment="1">
      <alignment horizontal="center" vertical="center"/>
    </xf>
    <xf numFmtId="10" fontId="0" fillId="0" borderId="0" xfId="176" applyNumberFormat="1" applyFont="1" applyAlignment="1">
      <alignment horizontal="center" vertical="center"/>
    </xf>
    <xf numFmtId="168" fontId="96" fillId="20" borderId="0" xfId="176" applyNumberFormat="1" applyFont="1" applyFill="1" applyBorder="1" applyAlignment="1">
      <alignment vertical="center"/>
    </xf>
    <xf numFmtId="0" fontId="23" fillId="0" borderId="413" xfId="3794" applyFont="1" applyFill="1" applyBorder="1" applyAlignment="1">
      <alignment horizontal="right" vertical="center" wrapText="1"/>
    </xf>
    <xf numFmtId="0" fontId="155" fillId="0" borderId="413" xfId="3794" applyFont="1" applyFill="1" applyBorder="1" applyAlignment="1">
      <alignment horizontal="right" vertical="center" wrapText="1"/>
    </xf>
    <xf numFmtId="168" fontId="106" fillId="0" borderId="405" xfId="176" applyNumberFormat="1" applyFont="1" applyBorder="1" applyAlignment="1">
      <alignment vertical="center"/>
    </xf>
    <xf numFmtId="0" fontId="270" fillId="20" borderId="358" xfId="3806" applyFont="1" applyFill="1" applyBorder="1" applyAlignment="1">
      <alignment horizontal="right" vertical="center" wrapText="1"/>
    </xf>
    <xf numFmtId="168" fontId="96" fillId="20" borderId="347" xfId="176" applyNumberFormat="1" applyFont="1" applyFill="1" applyBorder="1" applyAlignment="1">
      <alignment vertical="center"/>
    </xf>
    <xf numFmtId="0" fontId="96" fillId="0" borderId="343" xfId="0" applyFont="1" applyFill="1" applyBorder="1" applyAlignment="1">
      <alignment vertical="center"/>
    </xf>
    <xf numFmtId="0" fontId="270" fillId="0" borderId="344" xfId="3795" applyFont="1" applyFill="1" applyBorder="1" applyAlignment="1">
      <alignment horizontal="right" vertical="center" wrapText="1"/>
    </xf>
    <xf numFmtId="168" fontId="96" fillId="0" borderId="333" xfId="176" applyNumberFormat="1" applyFont="1" applyBorder="1" applyAlignment="1">
      <alignment vertical="center"/>
    </xf>
    <xf numFmtId="0" fontId="50" fillId="0" borderId="284" xfId="0" applyFont="1" applyBorder="1" applyAlignment="1">
      <alignment vertical="center"/>
    </xf>
    <xf numFmtId="168" fontId="50" fillId="0" borderId="284" xfId="176" applyNumberFormat="1" applyFont="1" applyBorder="1" applyAlignment="1">
      <alignment vertical="center"/>
    </xf>
    <xf numFmtId="10" fontId="120" fillId="33" borderId="284" xfId="176" applyNumberFormat="1" applyFont="1" applyFill="1" applyBorder="1" applyAlignment="1">
      <alignment horizontal="center" vertical="center"/>
    </xf>
    <xf numFmtId="0" fontId="7" fillId="0" borderId="400" xfId="3794" applyFont="1" applyFill="1" applyBorder="1" applyAlignment="1">
      <alignment horizontal="right" vertical="center" wrapText="1"/>
    </xf>
    <xf numFmtId="0" fontId="270" fillId="20" borderId="346" xfId="3806" applyFont="1" applyFill="1" applyBorder="1" applyAlignment="1">
      <alignment horizontal="right" vertical="center" wrapText="1"/>
    </xf>
    <xf numFmtId="0" fontId="270" fillId="0" borderId="221" xfId="3795" applyFont="1" applyFill="1" applyBorder="1" applyAlignment="1">
      <alignment horizontal="right" vertical="center" wrapText="1"/>
    </xf>
    <xf numFmtId="0" fontId="269" fillId="0" borderId="221" xfId="3795" applyFont="1" applyFill="1" applyBorder="1" applyAlignment="1">
      <alignment horizontal="right" vertical="center" wrapText="1"/>
    </xf>
    <xf numFmtId="10" fontId="120" fillId="33" borderId="0" xfId="176" applyNumberFormat="1" applyFont="1" applyFill="1" applyBorder="1" applyAlignment="1">
      <alignment horizontal="center" vertical="center"/>
    </xf>
    <xf numFmtId="0" fontId="7" fillId="0" borderId="413" xfId="3794" applyFont="1" applyFill="1" applyBorder="1" applyAlignment="1">
      <alignment horizontal="right" vertical="center" wrapText="1"/>
    </xf>
    <xf numFmtId="0" fontId="157" fillId="0" borderId="413" xfId="3794" applyFont="1" applyFill="1" applyBorder="1" applyAlignment="1">
      <alignment horizontal="right" vertical="center" wrapText="1"/>
    </xf>
    <xf numFmtId="168" fontId="110" fillId="0" borderId="414" xfId="176" applyNumberFormat="1" applyFont="1" applyBorder="1" applyAlignment="1">
      <alignment vertical="center"/>
    </xf>
    <xf numFmtId="0" fontId="309" fillId="0" borderId="341" xfId="3806" applyFont="1" applyFill="1" applyBorder="1" applyAlignment="1">
      <alignment horizontal="right" vertical="center" wrapText="1"/>
    </xf>
    <xf numFmtId="0" fontId="270" fillId="20" borderId="0" xfId="3794" applyFont="1" applyFill="1" applyBorder="1" applyAlignment="1">
      <alignment horizontal="right" vertical="center" wrapText="1"/>
    </xf>
    <xf numFmtId="0" fontId="269" fillId="0" borderId="0" xfId="3794" applyFont="1" applyFill="1" applyBorder="1" applyAlignment="1">
      <alignment horizontal="right" vertical="center" wrapText="1"/>
    </xf>
    <xf numFmtId="0" fontId="270" fillId="0" borderId="0" xfId="3794" applyFont="1" applyFill="1" applyBorder="1" applyAlignment="1">
      <alignment horizontal="right" vertical="center" wrapText="1"/>
    </xf>
    <xf numFmtId="0" fontId="159" fillId="0" borderId="413" xfId="3794" applyFont="1" applyFill="1" applyBorder="1" applyAlignment="1">
      <alignment horizontal="right" vertical="center" wrapText="1"/>
    </xf>
    <xf numFmtId="168" fontId="113" fillId="0" borderId="414" xfId="176" applyNumberFormat="1" applyFont="1" applyBorder="1" applyAlignment="1">
      <alignment vertical="center"/>
    </xf>
    <xf numFmtId="0" fontId="261" fillId="33" borderId="0" xfId="0" applyFont="1" applyFill="1" applyAlignment="1">
      <alignment vertical="center"/>
    </xf>
    <xf numFmtId="0" fontId="7" fillId="62" borderId="411" xfId="3794" applyFont="1" applyFill="1" applyBorder="1" applyAlignment="1">
      <alignment horizontal="center" vertical="center"/>
    </xf>
    <xf numFmtId="0" fontId="341" fillId="0" borderId="413" xfId="3794" applyFont="1" applyFill="1" applyBorder="1" applyAlignment="1">
      <alignment horizontal="right" vertical="center" wrapText="1"/>
    </xf>
    <xf numFmtId="168" fontId="339" fillId="0" borderId="415" xfId="176" applyNumberFormat="1" applyFont="1" applyBorder="1" applyAlignment="1">
      <alignment vertical="center"/>
    </xf>
    <xf numFmtId="10" fontId="96" fillId="43" borderId="16" xfId="176" applyNumberFormat="1" applyFont="1" applyFill="1" applyBorder="1" applyAlignment="1">
      <alignment horizontal="center" vertical="center"/>
    </xf>
    <xf numFmtId="10" fontId="96" fillId="0" borderId="16" xfId="176" applyNumberFormat="1" applyFont="1" applyBorder="1" applyAlignment="1">
      <alignment horizontal="center" vertical="center"/>
    </xf>
    <xf numFmtId="0" fontId="73" fillId="0" borderId="16" xfId="821" applyFont="1" applyBorder="1" applyAlignment="1">
      <alignment vertical="center"/>
    </xf>
    <xf numFmtId="0" fontId="98" fillId="0" borderId="16" xfId="821" applyFont="1" applyBorder="1" applyAlignment="1">
      <alignment vertical="center"/>
    </xf>
    <xf numFmtId="182" fontId="98" fillId="0" borderId="16" xfId="821" applyNumberFormat="1" applyFont="1" applyBorder="1" applyAlignment="1">
      <alignment horizontal="center" vertical="center"/>
    </xf>
    <xf numFmtId="10" fontId="120" fillId="33" borderId="16" xfId="176" applyNumberFormat="1" applyFont="1" applyFill="1" applyBorder="1" applyAlignment="1">
      <alignment horizontal="center" vertical="center"/>
    </xf>
    <xf numFmtId="0" fontId="269" fillId="0" borderId="0" xfId="3795" applyFont="1" applyFill="1" applyBorder="1" applyAlignment="1">
      <alignment horizontal="right" vertical="center" wrapText="1"/>
    </xf>
    <xf numFmtId="0" fontId="270" fillId="0" borderId="0" xfId="3795" applyFont="1" applyFill="1" applyBorder="1" applyAlignment="1">
      <alignment horizontal="right" vertical="center" wrapText="1"/>
    </xf>
    <xf numFmtId="10" fontId="96" fillId="33" borderId="0" xfId="176" applyNumberFormat="1" applyFont="1" applyFill="1" applyBorder="1" applyAlignment="1">
      <alignment horizontal="center" vertical="center"/>
    </xf>
    <xf numFmtId="0" fontId="7" fillId="0" borderId="0" xfId="3794" applyFont="1" applyFill="1" applyBorder="1" applyAlignment="1">
      <alignment horizontal="right" vertical="center" wrapText="1"/>
    </xf>
    <xf numFmtId="0" fontId="23" fillId="0" borderId="0" xfId="3794" applyFont="1" applyFill="1" applyBorder="1" applyAlignment="1">
      <alignment horizontal="right" vertical="center" wrapText="1"/>
    </xf>
    <xf numFmtId="0" fontId="269" fillId="0" borderId="0" xfId="3806" applyFont="1" applyFill="1" applyBorder="1" applyAlignment="1">
      <alignment horizontal="right" vertical="center" wrapText="1"/>
    </xf>
    <xf numFmtId="0" fontId="270" fillId="20" borderId="0" xfId="3806" applyFont="1" applyFill="1" applyBorder="1" applyAlignment="1">
      <alignment horizontal="right" vertical="center" wrapText="1"/>
    </xf>
    <xf numFmtId="0" fontId="96" fillId="0" borderId="333" xfId="0" applyFont="1" applyFill="1" applyBorder="1" applyAlignment="1">
      <alignment vertical="center"/>
    </xf>
    <xf numFmtId="0" fontId="270" fillId="0" borderId="333" xfId="3795" applyFont="1" applyFill="1" applyBorder="1" applyAlignment="1">
      <alignment horizontal="right" vertical="center" wrapText="1"/>
    </xf>
    <xf numFmtId="0" fontId="50" fillId="33" borderId="16" xfId="0" applyFont="1" applyFill="1" applyBorder="1" applyAlignment="1">
      <alignment vertical="center"/>
    </xf>
    <xf numFmtId="10" fontId="96" fillId="33" borderId="16" xfId="176" applyNumberFormat="1" applyFont="1" applyFill="1" applyBorder="1" applyAlignment="1">
      <alignment vertical="center"/>
    </xf>
    <xf numFmtId="10" fontId="96" fillId="0" borderId="0" xfId="176" applyNumberFormat="1" applyFont="1" applyBorder="1" applyAlignment="1">
      <alignment vertical="center"/>
    </xf>
    <xf numFmtId="0" fontId="7" fillId="0" borderId="401" xfId="3794" applyFont="1" applyFill="1" applyBorder="1" applyAlignment="1">
      <alignment horizontal="right" vertical="center" wrapText="1"/>
    </xf>
    <xf numFmtId="0" fontId="158" fillId="0" borderId="401" xfId="3794" applyFont="1" applyFill="1" applyBorder="1" applyAlignment="1">
      <alignment horizontal="right" vertical="center" wrapText="1"/>
    </xf>
    <xf numFmtId="168" fontId="108" fillId="0" borderId="401" xfId="176" applyNumberFormat="1" applyFont="1" applyBorder="1" applyAlignment="1">
      <alignment vertical="center"/>
    </xf>
    <xf numFmtId="0" fontId="270" fillId="20" borderId="347" xfId="3806" applyFont="1" applyFill="1" applyBorder="1" applyAlignment="1">
      <alignment horizontal="right" vertical="center" wrapText="1"/>
    </xf>
    <xf numFmtId="0" fontId="96" fillId="0" borderId="0" xfId="0" applyFont="1" applyFill="1" applyBorder="1" applyAlignment="1">
      <alignment vertical="center"/>
    </xf>
    <xf numFmtId="10" fontId="96" fillId="33" borderId="0" xfId="176" applyNumberFormat="1" applyFont="1" applyFill="1" applyAlignment="1">
      <alignment horizontal="center" vertical="center"/>
    </xf>
    <xf numFmtId="0" fontId="96" fillId="0" borderId="16" xfId="0" applyFont="1" applyFill="1" applyBorder="1" applyAlignment="1">
      <alignment vertical="center"/>
    </xf>
    <xf numFmtId="168" fontId="96" fillId="0" borderId="16" xfId="176" applyNumberFormat="1" applyFont="1" applyBorder="1" applyAlignment="1">
      <alignment vertical="center"/>
    </xf>
    <xf numFmtId="168" fontId="42" fillId="43" borderId="401" xfId="176" applyNumberFormat="1" applyFont="1" applyFill="1" applyBorder="1" applyAlignment="1">
      <alignment vertical="center"/>
    </xf>
    <xf numFmtId="168" fontId="96" fillId="0" borderId="0" xfId="176" applyNumberFormat="1" applyFont="1" applyBorder="1" applyAlignment="1">
      <alignment vertical="center"/>
    </xf>
    <xf numFmtId="0" fontId="269" fillId="0" borderId="333" xfId="3794" applyFont="1" applyFill="1" applyBorder="1" applyAlignment="1">
      <alignment horizontal="center" vertical="center"/>
    </xf>
    <xf numFmtId="0" fontId="270" fillId="0" borderId="333" xfId="3794" applyFont="1" applyFill="1" applyBorder="1" applyAlignment="1">
      <alignment horizontal="center" vertical="center"/>
    </xf>
    <xf numFmtId="0" fontId="270" fillId="0" borderId="401" xfId="3794" applyFont="1" applyFill="1" applyBorder="1" applyAlignment="1">
      <alignment horizontal="center" vertical="center" wrapText="1"/>
    </xf>
    <xf numFmtId="0" fontId="269" fillId="0" borderId="347" xfId="3794" applyFont="1" applyFill="1" applyBorder="1" applyAlignment="1">
      <alignment horizontal="center" vertical="center" wrapText="1"/>
    </xf>
    <xf numFmtId="0" fontId="50" fillId="33" borderId="0" xfId="0" applyFont="1" applyFill="1" applyAlignment="1">
      <alignment horizontal="right" vertical="center"/>
    </xf>
    <xf numFmtId="0" fontId="269" fillId="0" borderId="400" xfId="3794" applyFont="1" applyFill="1" applyBorder="1" applyAlignment="1">
      <alignment horizontal="right" vertical="center" wrapText="1"/>
    </xf>
    <xf numFmtId="0" fontId="270" fillId="0" borderId="400" xfId="3794" applyFont="1" applyFill="1" applyBorder="1" applyAlignment="1">
      <alignment horizontal="right" vertical="center" wrapText="1"/>
    </xf>
    <xf numFmtId="0" fontId="96" fillId="33" borderId="16" xfId="0" applyFont="1" applyFill="1" applyBorder="1" applyAlignment="1">
      <alignment horizontal="right" vertical="center"/>
    </xf>
    <xf numFmtId="10" fontId="96" fillId="33" borderId="0" xfId="176" applyNumberFormat="1" applyFont="1" applyFill="1" applyBorder="1" applyAlignment="1">
      <alignment vertical="center"/>
    </xf>
    <xf numFmtId="0" fontId="23" fillId="0" borderId="435" xfId="3810" applyFont="1" applyFill="1" applyBorder="1" applyAlignment="1">
      <alignment horizontal="right" vertical="center" wrapText="1"/>
    </xf>
    <xf numFmtId="0" fontId="269" fillId="0" borderId="435" xfId="3811" applyFont="1" applyFill="1" applyBorder="1" applyAlignment="1">
      <alignment horizontal="right" wrapText="1"/>
    </xf>
    <xf numFmtId="171" fontId="269" fillId="0" borderId="435" xfId="3811" applyNumberFormat="1" applyFont="1" applyFill="1" applyBorder="1" applyAlignment="1">
      <alignment horizontal="right" wrapText="1"/>
    </xf>
    <xf numFmtId="171" fontId="270" fillId="0" borderId="435" xfId="3796" applyNumberFormat="1" applyFont="1" applyFill="1" applyBorder="1" applyAlignment="1">
      <alignment horizontal="right" wrapText="1"/>
    </xf>
    <xf numFmtId="0" fontId="96" fillId="0" borderId="0" xfId="0" applyFont="1" applyAlignment="1">
      <alignment horizontal="right"/>
    </xf>
    <xf numFmtId="0" fontId="0" fillId="0" borderId="22" xfId="0" applyFont="1" applyBorder="1"/>
    <xf numFmtId="0" fontId="0" fillId="0" borderId="0" xfId="0" applyFill="1" applyBorder="1"/>
    <xf numFmtId="0" fontId="134" fillId="0" borderId="0" xfId="0" applyFont="1" applyFill="1" applyBorder="1" applyAlignment="1">
      <alignment horizontal="right"/>
    </xf>
    <xf numFmtId="0" fontId="221" fillId="0" borderId="0" xfId="0" applyFont="1" applyFill="1" applyBorder="1" applyAlignment="1">
      <alignment horizontal="center" vertical="center"/>
    </xf>
    <xf numFmtId="0" fontId="220" fillId="0" borderId="0" xfId="0" applyFont="1" applyFill="1" applyBorder="1" applyAlignment="1">
      <alignment horizontal="right"/>
    </xf>
    <xf numFmtId="0" fontId="221" fillId="20" borderId="0" xfId="0" applyFont="1" applyFill="1"/>
    <xf numFmtId="0" fontId="220" fillId="20" borderId="0" xfId="0" applyFont="1" applyFill="1" applyBorder="1" applyAlignment="1">
      <alignment horizontal="right"/>
    </xf>
    <xf numFmtId="168" fontId="117" fillId="20" borderId="0" xfId="176" applyNumberFormat="1" applyFont="1" applyFill="1" applyBorder="1" applyAlignment="1">
      <alignment horizontal="center" vertical="center"/>
    </xf>
    <xf numFmtId="0" fontId="49" fillId="0" borderId="0" xfId="0" applyFont="1" applyAlignment="1">
      <alignment horizontal="left"/>
    </xf>
    <xf numFmtId="168" fontId="130" fillId="43" borderId="459" xfId="0" applyNumberFormat="1" applyFont="1" applyFill="1" applyBorder="1" applyAlignment="1">
      <alignment horizontal="center" vertical="center" wrapText="1"/>
    </xf>
    <xf numFmtId="171" fontId="209" fillId="28" borderId="459" xfId="0" applyNumberFormat="1" applyFont="1" applyFill="1" applyBorder="1" applyAlignment="1">
      <alignment horizontal="center" vertical="center" wrapText="1"/>
    </xf>
    <xf numFmtId="9" fontId="209" fillId="28" borderId="459" xfId="0" applyNumberFormat="1" applyFont="1" applyFill="1" applyBorder="1" applyAlignment="1">
      <alignment horizontal="center" vertical="center" wrapText="1"/>
    </xf>
    <xf numFmtId="171" fontId="151" fillId="43" borderId="459" xfId="0" applyNumberFormat="1" applyFont="1" applyFill="1" applyBorder="1" applyAlignment="1">
      <alignment horizontal="center" vertical="center" wrapText="1"/>
    </xf>
    <xf numFmtId="9" fontId="151" fillId="43" borderId="459" xfId="0" applyNumberFormat="1" applyFont="1" applyFill="1" applyBorder="1" applyAlignment="1">
      <alignment horizontal="center" vertical="center" wrapText="1"/>
    </xf>
    <xf numFmtId="9" fontId="130" fillId="43" borderId="460" xfId="0" applyNumberFormat="1" applyFont="1" applyFill="1" applyBorder="1" applyAlignment="1">
      <alignment horizontal="center" vertical="center" wrapText="1"/>
    </xf>
    <xf numFmtId="3" fontId="130" fillId="43" borderId="460" xfId="0" applyNumberFormat="1" applyFont="1" applyFill="1" applyBorder="1" applyAlignment="1">
      <alignment horizontal="center" vertical="center" wrapText="1"/>
    </xf>
    <xf numFmtId="168" fontId="209" fillId="28" borderId="459" xfId="0" applyNumberFormat="1" applyFont="1" applyFill="1" applyBorder="1" applyAlignment="1">
      <alignment horizontal="center" vertical="center" wrapText="1"/>
    </xf>
    <xf numFmtId="9" fontId="130" fillId="43" borderId="459" xfId="0" applyNumberFormat="1" applyFont="1" applyFill="1" applyBorder="1" applyAlignment="1">
      <alignment horizontal="center" vertical="center" wrapText="1"/>
    </xf>
    <xf numFmtId="171" fontId="209" fillId="37" borderId="459" xfId="0" applyNumberFormat="1" applyFont="1" applyFill="1" applyBorder="1" applyAlignment="1">
      <alignment horizontal="center" vertical="center" wrapText="1"/>
    </xf>
    <xf numFmtId="171" fontId="151" fillId="43" borderId="459" xfId="0" applyNumberFormat="1" applyFont="1" applyFill="1" applyBorder="1" applyAlignment="1">
      <alignment horizontal="center" vertical="center"/>
    </xf>
    <xf numFmtId="9" fontId="151" fillId="43" borderId="460" xfId="0" applyNumberFormat="1" applyFont="1" applyFill="1" applyBorder="1" applyAlignment="1">
      <alignment horizontal="center" vertical="center" wrapText="1"/>
    </xf>
    <xf numFmtId="168" fontId="151" fillId="43" borderId="460" xfId="0" applyNumberFormat="1" applyFont="1" applyFill="1" applyBorder="1" applyAlignment="1">
      <alignment horizontal="center" vertical="center" wrapText="1"/>
    </xf>
    <xf numFmtId="9" fontId="130" fillId="44" borderId="462" xfId="0" applyNumberFormat="1" applyFont="1" applyFill="1" applyBorder="1" applyAlignment="1">
      <alignment horizontal="center" vertical="center" wrapText="1"/>
    </xf>
    <xf numFmtId="3" fontId="151" fillId="43" borderId="459" xfId="0" applyNumberFormat="1" applyFont="1" applyFill="1" applyBorder="1" applyAlignment="1">
      <alignment horizontal="center" vertical="center" wrapText="1"/>
    </xf>
    <xf numFmtId="168" fontId="209" fillId="37" borderId="460" xfId="0" applyNumberFormat="1" applyFont="1" applyFill="1" applyBorder="1" applyAlignment="1">
      <alignment horizontal="center" vertical="center" wrapText="1"/>
    </xf>
    <xf numFmtId="168" fontId="209" fillId="37" borderId="459" xfId="0" applyNumberFormat="1" applyFont="1" applyFill="1" applyBorder="1" applyAlignment="1">
      <alignment horizontal="center" vertical="center" wrapText="1"/>
    </xf>
    <xf numFmtId="3" fontId="209" fillId="28" borderId="459" xfId="0" applyNumberFormat="1" applyFont="1" applyFill="1" applyBorder="1" applyAlignment="1">
      <alignment horizontal="center" vertical="center" wrapText="1"/>
    </xf>
    <xf numFmtId="0" fontId="209" fillId="28" borderId="462" xfId="0" applyFont="1" applyFill="1" applyBorder="1" applyAlignment="1">
      <alignment horizontal="center" vertical="center" wrapText="1"/>
    </xf>
    <xf numFmtId="0" fontId="209" fillId="28" borderId="459" xfId="0" applyFont="1" applyFill="1" applyBorder="1" applyAlignment="1">
      <alignment horizontal="center" vertical="center" wrapText="1"/>
    </xf>
    <xf numFmtId="168" fontId="209" fillId="44" borderId="459" xfId="176" applyNumberFormat="1" applyFont="1" applyFill="1" applyBorder="1" applyAlignment="1">
      <alignment horizontal="center" vertical="center" wrapText="1"/>
    </xf>
    <xf numFmtId="168" fontId="151" fillId="37" borderId="459" xfId="0" applyNumberFormat="1" applyFont="1" applyFill="1" applyBorder="1" applyAlignment="1">
      <alignment horizontal="center" vertical="center" wrapText="1"/>
    </xf>
    <xf numFmtId="0" fontId="82" fillId="35" borderId="464" xfId="583" applyFont="1" applyFill="1" applyBorder="1" applyAlignment="1">
      <alignment vertical="center"/>
    </xf>
    <xf numFmtId="0" fontId="82" fillId="35" borderId="465" xfId="583" applyFont="1" applyFill="1" applyBorder="1" applyAlignment="1">
      <alignment vertical="center"/>
    </xf>
    <xf numFmtId="0" fontId="82" fillId="35" borderId="461" xfId="583" applyFont="1" applyFill="1" applyBorder="1" applyAlignment="1">
      <alignment vertical="center"/>
    </xf>
    <xf numFmtId="0" fontId="42" fillId="43" borderId="459" xfId="246" applyFont="1" applyFill="1" applyBorder="1" applyAlignment="1">
      <alignment horizontal="center" vertical="center"/>
    </xf>
    <xf numFmtId="0" fontId="42" fillId="20" borderId="364" xfId="246" applyFont="1" applyFill="1" applyBorder="1" applyAlignment="1">
      <alignment horizontal="center" vertical="center"/>
    </xf>
    <xf numFmtId="0" fontId="42" fillId="43" borderId="459" xfId="246" applyFont="1" applyFill="1" applyBorder="1" applyAlignment="1">
      <alignment horizontal="center" vertical="center" wrapText="1"/>
    </xf>
    <xf numFmtId="168" fontId="39" fillId="43" borderId="464" xfId="176" applyNumberFormat="1" applyFont="1" applyFill="1" applyBorder="1" applyAlignment="1">
      <alignment horizontal="center" wrapText="1"/>
    </xf>
    <xf numFmtId="168" fontId="42" fillId="43" borderId="464" xfId="176" applyNumberFormat="1" applyFont="1" applyFill="1" applyBorder="1" applyAlignment="1">
      <alignment horizontal="right"/>
    </xf>
    <xf numFmtId="168" fontId="151" fillId="0" borderId="416" xfId="0" applyNumberFormat="1" applyFont="1" applyFill="1" applyBorder="1" applyAlignment="1">
      <alignment horizontal="center" vertical="center" wrapText="1"/>
    </xf>
    <xf numFmtId="168" fontId="151" fillId="0" borderId="417" xfId="0" applyNumberFormat="1" applyFont="1" applyFill="1" applyBorder="1" applyAlignment="1">
      <alignment horizontal="center" vertical="center" wrapText="1"/>
    </xf>
    <xf numFmtId="171" fontId="151" fillId="0" borderId="417" xfId="0" applyNumberFormat="1" applyFont="1" applyFill="1" applyBorder="1" applyAlignment="1">
      <alignment horizontal="center" vertical="center" wrapText="1"/>
    </xf>
    <xf numFmtId="9" fontId="151" fillId="0" borderId="417" xfId="0" applyNumberFormat="1" applyFont="1" applyFill="1" applyBorder="1" applyAlignment="1">
      <alignment horizontal="center" vertical="center" wrapText="1"/>
    </xf>
    <xf numFmtId="9" fontId="151" fillId="0" borderId="418" xfId="0" applyNumberFormat="1" applyFont="1" applyFill="1" applyBorder="1" applyAlignment="1">
      <alignment horizontal="center" vertical="center" wrapText="1"/>
    </xf>
    <xf numFmtId="3" fontId="151" fillId="0" borderId="418" xfId="0" applyNumberFormat="1" applyFont="1" applyFill="1" applyBorder="1" applyAlignment="1">
      <alignment horizontal="center" vertical="center" wrapText="1"/>
    </xf>
    <xf numFmtId="9" fontId="151" fillId="0" borderId="393" xfId="0" applyNumberFormat="1" applyFont="1" applyFill="1" applyBorder="1" applyAlignment="1">
      <alignment horizontal="center" vertical="center" wrapText="1"/>
    </xf>
    <xf numFmtId="171" fontId="151" fillId="0" borderId="417" xfId="0" applyNumberFormat="1" applyFont="1" applyFill="1" applyBorder="1" applyAlignment="1">
      <alignment horizontal="center" vertical="center"/>
    </xf>
    <xf numFmtId="168" fontId="151" fillId="0" borderId="418" xfId="0" applyNumberFormat="1" applyFont="1" applyFill="1" applyBorder="1" applyAlignment="1">
      <alignment horizontal="center" vertical="center" wrapText="1"/>
    </xf>
    <xf numFmtId="3" fontId="151" fillId="0" borderId="417" xfId="0" applyNumberFormat="1" applyFont="1" applyFill="1" applyBorder="1" applyAlignment="1">
      <alignment horizontal="center" vertical="center" wrapText="1"/>
    </xf>
    <xf numFmtId="180" fontId="151" fillId="0" borderId="395" xfId="0" applyNumberFormat="1" applyFont="1" applyFill="1" applyBorder="1" applyAlignment="1">
      <alignment horizontal="center" vertical="center" wrapText="1"/>
    </xf>
    <xf numFmtId="0" fontId="151" fillId="0" borderId="395" xfId="0" applyFont="1" applyFill="1" applyBorder="1" applyAlignment="1">
      <alignment horizontal="center" vertical="center" wrapText="1"/>
    </xf>
    <xf numFmtId="0" fontId="151" fillId="0" borderId="417" xfId="0" applyFont="1" applyFill="1" applyBorder="1" applyAlignment="1">
      <alignment horizontal="center" vertical="center" wrapText="1"/>
    </xf>
    <xf numFmtId="0" fontId="50" fillId="0" borderId="0" xfId="0" applyFont="1"/>
    <xf numFmtId="1" fontId="40" fillId="0" borderId="0" xfId="173" applyNumberFormat="1" applyFont="1" applyFill="1" applyBorder="1" applyAlignment="1">
      <alignment horizontal="center" vertical="center" wrapText="1"/>
    </xf>
    <xf numFmtId="0" fontId="42" fillId="20" borderId="137" xfId="229" applyFont="1" applyFill="1" applyBorder="1" applyAlignment="1">
      <alignment horizontal="center" vertical="center"/>
    </xf>
    <xf numFmtId="0" fontId="42" fillId="20" borderId="189" xfId="229" applyFont="1" applyFill="1" applyBorder="1" applyAlignment="1">
      <alignment horizontal="center" vertical="center" wrapText="1"/>
    </xf>
    <xf numFmtId="0" fontId="113" fillId="20" borderId="137" xfId="229" applyFont="1" applyFill="1" applyBorder="1" applyAlignment="1">
      <alignment horizontal="center" vertical="center"/>
    </xf>
    <xf numFmtId="0" fontId="113" fillId="20" borderId="189" xfId="229" applyFont="1" applyFill="1" applyBorder="1" applyAlignment="1">
      <alignment horizontal="center" vertical="center" wrapText="1"/>
    </xf>
    <xf numFmtId="0" fontId="108" fillId="20" borderId="137" xfId="229" applyFont="1" applyFill="1" applyBorder="1" applyAlignment="1">
      <alignment horizontal="center" vertical="center"/>
    </xf>
    <xf numFmtId="0" fontId="108" fillId="20" borderId="189" xfId="229" applyFont="1" applyFill="1" applyBorder="1" applyAlignment="1">
      <alignment horizontal="center" vertical="center" wrapText="1"/>
    </xf>
    <xf numFmtId="0" fontId="110" fillId="20" borderId="137" xfId="229" applyFont="1" applyFill="1" applyBorder="1" applyAlignment="1">
      <alignment horizontal="center" vertical="center"/>
    </xf>
    <xf numFmtId="0" fontId="110" fillId="20" borderId="189" xfId="229" applyFont="1" applyFill="1" applyBorder="1" applyAlignment="1">
      <alignment horizontal="center" vertical="center" wrapText="1"/>
    </xf>
    <xf numFmtId="0" fontId="106" fillId="20" borderId="137" xfId="229" applyFont="1" applyFill="1" applyBorder="1" applyAlignment="1">
      <alignment horizontal="center" vertical="center"/>
    </xf>
    <xf numFmtId="0" fontId="106" fillId="20" borderId="189" xfId="229" applyFont="1" applyFill="1" applyBorder="1" applyAlignment="1">
      <alignment horizontal="center" vertical="center" wrapText="1"/>
    </xf>
    <xf numFmtId="0" fontId="105" fillId="20" borderId="137" xfId="229" applyFont="1" applyFill="1" applyBorder="1" applyAlignment="1">
      <alignment horizontal="center" vertical="center"/>
    </xf>
    <xf numFmtId="0" fontId="105" fillId="20" borderId="189" xfId="229" applyFont="1" applyFill="1" applyBorder="1" applyAlignment="1">
      <alignment horizontal="center" vertical="center" wrapText="1"/>
    </xf>
    <xf numFmtId="0" fontId="43" fillId="0" borderId="0" xfId="0" applyFont="1" applyAlignment="1">
      <alignment vertical="center"/>
    </xf>
    <xf numFmtId="0" fontId="48" fillId="0" borderId="0" xfId="0" applyFont="1" applyBorder="1" applyAlignment="1">
      <alignment horizontal="center" vertical="center" wrapText="1"/>
    </xf>
    <xf numFmtId="0" fontId="176" fillId="0" borderId="0" xfId="229" applyFont="1" applyBorder="1" applyAlignment="1">
      <alignment horizontal="center" vertical="center"/>
    </xf>
    <xf numFmtId="0" fontId="176" fillId="0" borderId="0" xfId="229" applyFont="1" applyBorder="1" applyAlignment="1">
      <alignment vertical="center"/>
    </xf>
    <xf numFmtId="0" fontId="48" fillId="0" borderId="0" xfId="0" applyFont="1" applyBorder="1"/>
    <xf numFmtId="0" fontId="48" fillId="0" borderId="0" xfId="0" applyFont="1" applyBorder="1" applyAlignment="1">
      <alignment horizontal="center" vertical="center"/>
    </xf>
    <xf numFmtId="0" fontId="58" fillId="20" borderId="16" xfId="0" applyFont="1" applyFill="1" applyBorder="1" applyAlignment="1">
      <alignment horizontal="center" vertical="center" wrapText="1"/>
    </xf>
    <xf numFmtId="0" fontId="60" fillId="0" borderId="0" xfId="0" applyFont="1" applyAlignment="1">
      <alignment horizontal="right" vertical="center"/>
    </xf>
    <xf numFmtId="0" fontId="55" fillId="0" borderId="0" xfId="0" applyFont="1" applyAlignment="1">
      <alignment horizontal="right"/>
    </xf>
    <xf numFmtId="0" fontId="50" fillId="0" borderId="0" xfId="0" applyFont="1"/>
    <xf numFmtId="0" fontId="154" fillId="43" borderId="307" xfId="0" applyFont="1" applyFill="1" applyBorder="1" applyAlignment="1">
      <alignment horizontal="center" vertical="center"/>
    </xf>
    <xf numFmtId="0" fontId="39" fillId="0" borderId="16" xfId="0" applyFont="1" applyBorder="1" applyAlignment="1">
      <alignment horizontal="center" vertical="center" wrapText="1"/>
    </xf>
    <xf numFmtId="0" fontId="42" fillId="0" borderId="16" xfId="167" applyFont="1" applyFill="1" applyBorder="1" applyAlignment="1">
      <alignment horizontal="center" vertical="center" wrapText="1"/>
    </xf>
    <xf numFmtId="0" fontId="79" fillId="0" borderId="16" xfId="0" applyFont="1" applyFill="1" applyBorder="1" applyAlignment="1">
      <alignment horizontal="center" vertical="center" wrapText="1"/>
    </xf>
    <xf numFmtId="0" fontId="55" fillId="0" borderId="0" xfId="0" applyFont="1" applyAlignment="1">
      <alignment horizontal="right"/>
    </xf>
    <xf numFmtId="0" fontId="79" fillId="0" borderId="16" xfId="173" applyFont="1" applyFill="1" applyBorder="1" applyAlignment="1">
      <alignment horizontal="center" vertical="center"/>
    </xf>
    <xf numFmtId="0" fontId="39" fillId="0" borderId="16" xfId="0" applyFont="1" applyFill="1" applyBorder="1" applyAlignment="1">
      <alignment horizontal="center" vertical="center" wrapText="1"/>
    </xf>
    <xf numFmtId="0" fontId="129" fillId="0" borderId="0" xfId="0" applyFont="1" applyAlignment="1">
      <alignment horizontal="center" vertical="center" wrapText="1"/>
    </xf>
    <xf numFmtId="0" fontId="23" fillId="0" borderId="16" xfId="0" applyFont="1" applyBorder="1" applyAlignment="1">
      <alignment horizontal="center" vertical="center" wrapText="1"/>
    </xf>
    <xf numFmtId="0" fontId="39" fillId="0" borderId="250" xfId="0" applyFont="1" applyBorder="1" applyAlignment="1">
      <alignment horizontal="center" vertical="center"/>
    </xf>
    <xf numFmtId="17" fontId="2" fillId="0" borderId="0" xfId="0" applyNumberFormat="1" applyFont="1" applyAlignment="1">
      <alignment horizontal="center" vertical="center" wrapText="1"/>
    </xf>
    <xf numFmtId="0" fontId="43" fillId="0" borderId="0" xfId="0" applyFont="1" applyAlignment="1">
      <alignment horizontal="right" vertical="center"/>
    </xf>
    <xf numFmtId="0" fontId="55" fillId="0" borderId="0" xfId="0" applyFont="1" applyAlignment="1">
      <alignment horizontal="right" vertical="center" wrapText="1"/>
    </xf>
    <xf numFmtId="168" fontId="39" fillId="20" borderId="466" xfId="176" applyNumberFormat="1" applyFont="1" applyFill="1" applyBorder="1" applyAlignment="1">
      <alignment horizontal="center" vertical="center"/>
    </xf>
    <xf numFmtId="168" fontId="39" fillId="20" borderId="467" xfId="176" applyNumberFormat="1" applyFont="1" applyFill="1" applyBorder="1" applyAlignment="1">
      <alignment horizontal="center" vertical="center"/>
    </xf>
    <xf numFmtId="0" fontId="59" fillId="0" borderId="0" xfId="0" applyFont="1" applyAlignment="1">
      <alignment horizontal="right" vertical="center"/>
    </xf>
    <xf numFmtId="0" fontId="2" fillId="0" borderId="0" xfId="0" applyFont="1" applyAlignment="1">
      <alignment horizontal="right" vertical="center" wrapText="1"/>
    </xf>
    <xf numFmtId="0" fontId="59" fillId="0" borderId="0" xfId="0" applyFont="1" applyAlignment="1">
      <alignment horizontal="right"/>
    </xf>
    <xf numFmtId="0" fontId="2" fillId="0" borderId="0" xfId="0" applyFont="1" applyAlignment="1">
      <alignment horizontal="right"/>
    </xf>
    <xf numFmtId="0" fontId="2" fillId="0" borderId="0" xfId="142" applyFont="1" applyAlignment="1">
      <alignment horizontal="right"/>
    </xf>
    <xf numFmtId="0" fontId="3" fillId="0" borderId="0" xfId="142" applyFont="1" applyAlignment="1">
      <alignment horizontal="right"/>
    </xf>
    <xf numFmtId="0" fontId="0" fillId="0" borderId="0" xfId="0" applyAlignment="1"/>
    <xf numFmtId="0" fontId="3" fillId="0" borderId="0" xfId="0" applyFont="1" applyAlignment="1">
      <alignment horizontal="center" vertical="center" wrapText="1"/>
    </xf>
    <xf numFmtId="0" fontId="207" fillId="0" borderId="0" xfId="0" applyFont="1" applyAlignment="1">
      <alignment vertical="top" wrapText="1"/>
    </xf>
    <xf numFmtId="0" fontId="61" fillId="0" borderId="0" xfId="0" applyFont="1" applyAlignment="1">
      <alignment horizontal="right" vertical="center" wrapText="1"/>
    </xf>
    <xf numFmtId="0" fontId="55" fillId="0" borderId="0" xfId="0" applyFont="1" applyAlignment="1">
      <alignment horizontal="right" vertical="center"/>
    </xf>
    <xf numFmtId="0" fontId="2" fillId="0" borderId="0" xfId="149" applyFont="1" applyAlignment="1">
      <alignment horizontal="right" vertical="center" wrapText="1"/>
    </xf>
    <xf numFmtId="0" fontId="17" fillId="0" borderId="0" xfId="0" applyFont="1" applyAlignment="1">
      <alignment horizontal="right"/>
    </xf>
    <xf numFmtId="0" fontId="17" fillId="0" borderId="0" xfId="0" applyFont="1" applyAlignment="1">
      <alignment horizontal="right" vertical="center"/>
    </xf>
    <xf numFmtId="0" fontId="129" fillId="0" borderId="0" xfId="0" applyFont="1" applyAlignment="1">
      <alignment horizontal="right" vertical="center"/>
    </xf>
    <xf numFmtId="0" fontId="129" fillId="0" borderId="0" xfId="0" applyFont="1" applyAlignment="1">
      <alignment vertical="center" wrapText="1"/>
    </xf>
    <xf numFmtId="0" fontId="3" fillId="0" borderId="0" xfId="0" applyFont="1" applyAlignment="1">
      <alignment horizontal="right" vertical="center"/>
    </xf>
    <xf numFmtId="0" fontId="2" fillId="0" borderId="0" xfId="0" applyFont="1" applyAlignment="1">
      <alignment vertical="center"/>
    </xf>
    <xf numFmtId="0" fontId="2" fillId="0" borderId="0" xfId="0" applyFont="1" applyAlignment="1">
      <alignment horizontal="right" vertical="center"/>
    </xf>
    <xf numFmtId="0" fontId="215" fillId="0" borderId="0" xfId="0" applyFont="1" applyAlignment="1">
      <alignment vertical="center"/>
    </xf>
    <xf numFmtId="0" fontId="215" fillId="0" borderId="0" xfId="0" applyFont="1" applyAlignment="1">
      <alignment horizontal="right" vertical="center"/>
    </xf>
    <xf numFmtId="0" fontId="39" fillId="20" borderId="217" xfId="0" applyFont="1" applyFill="1" applyBorder="1" applyAlignment="1">
      <alignment horizontal="center" vertical="center"/>
    </xf>
    <xf numFmtId="0" fontId="85" fillId="0" borderId="0" xfId="0" applyFont="1" applyAlignment="1"/>
    <xf numFmtId="0" fontId="85" fillId="0" borderId="0" xfId="0" applyFont="1" applyAlignment="1">
      <alignment horizontal="right"/>
    </xf>
    <xf numFmtId="0" fontId="2" fillId="0" borderId="0" xfId="0" applyFont="1" applyAlignment="1">
      <alignment vertical="center" wrapText="1"/>
    </xf>
    <xf numFmtId="0" fontId="23" fillId="20" borderId="464" xfId="173" applyFont="1" applyFill="1" applyBorder="1" applyAlignment="1">
      <alignment horizontal="center" vertical="center" wrapText="1"/>
    </xf>
    <xf numFmtId="0" fontId="117" fillId="20" borderId="83" xfId="0" applyFont="1" applyFill="1" applyBorder="1" applyAlignment="1">
      <alignment horizontal="right" vertical="center"/>
    </xf>
    <xf numFmtId="0" fontId="2" fillId="0" borderId="0" xfId="167" applyFont="1" applyAlignment="1">
      <alignment vertical="center"/>
    </xf>
    <xf numFmtId="0" fontId="2" fillId="0" borderId="0" xfId="167" applyFont="1" applyAlignment="1">
      <alignment horizontal="right" vertical="center"/>
    </xf>
    <xf numFmtId="0" fontId="54" fillId="0" borderId="470" xfId="173" applyFont="1" applyBorder="1" applyAlignment="1">
      <alignment horizontal="center" vertical="center" wrapText="1"/>
    </xf>
    <xf numFmtId="0" fontId="54" fillId="0" borderId="400" xfId="173" applyFont="1" applyBorder="1" applyAlignment="1">
      <alignment horizontal="center" vertical="center" wrapText="1"/>
    </xf>
    <xf numFmtId="0" fontId="54" fillId="0" borderId="471" xfId="173" applyFont="1" applyBorder="1" applyAlignment="1">
      <alignment vertical="center" wrapText="1"/>
    </xf>
    <xf numFmtId="0" fontId="54" fillId="0" borderId="472" xfId="173" applyFont="1" applyBorder="1" applyAlignment="1">
      <alignment horizontal="center" vertical="center" wrapText="1"/>
    </xf>
    <xf numFmtId="0" fontId="54" fillId="0" borderId="473" xfId="173" applyFont="1" applyBorder="1" applyAlignment="1">
      <alignment horizontal="center" vertical="center" wrapText="1"/>
    </xf>
    <xf numFmtId="0" fontId="54" fillId="0" borderId="474" xfId="173" applyFont="1" applyBorder="1" applyAlignment="1">
      <alignment vertical="center" wrapText="1"/>
    </xf>
    <xf numFmtId="0" fontId="54" fillId="0" borderId="475" xfId="173" applyFont="1" applyBorder="1" applyAlignment="1">
      <alignment horizontal="center" vertical="center" wrapText="1"/>
    </xf>
    <xf numFmtId="0" fontId="54" fillId="0" borderId="476" xfId="173" applyFont="1" applyBorder="1" applyAlignment="1">
      <alignment horizontal="center" vertical="center" wrapText="1"/>
    </xf>
    <xf numFmtId="0" fontId="54" fillId="0" borderId="477" xfId="173" applyFont="1" applyBorder="1" applyAlignment="1">
      <alignment vertical="center" wrapText="1"/>
    </xf>
    <xf numFmtId="0" fontId="54" fillId="0" borderId="478" xfId="173" applyFont="1" applyBorder="1" applyAlignment="1">
      <alignment horizontal="center" vertical="center" wrapText="1"/>
    </xf>
    <xf numFmtId="0" fontId="54" fillId="0" borderId="479" xfId="173" applyFont="1" applyBorder="1" applyAlignment="1">
      <alignment horizontal="center" vertical="center" wrapText="1"/>
    </xf>
    <xf numFmtId="0" fontId="54" fillId="0" borderId="480" xfId="173" applyFont="1" applyBorder="1" applyAlignment="1">
      <alignment vertical="center" wrapText="1"/>
    </xf>
    <xf numFmtId="0" fontId="54" fillId="0" borderId="474" xfId="817" applyFont="1" applyBorder="1" applyAlignment="1">
      <alignment vertical="center" wrapText="1"/>
    </xf>
    <xf numFmtId="0" fontId="54" fillId="0" borderId="481" xfId="173" applyFont="1" applyBorder="1" applyAlignment="1">
      <alignment horizontal="center" vertical="center" wrapText="1"/>
    </xf>
    <xf numFmtId="0" fontId="54" fillId="0" borderId="482" xfId="173" applyFont="1" applyBorder="1" applyAlignment="1">
      <alignment horizontal="center" vertical="center" wrapText="1"/>
    </xf>
    <xf numFmtId="0" fontId="54" fillId="0" borderId="483" xfId="173" applyFont="1" applyBorder="1" applyAlignment="1">
      <alignment vertical="center" wrapText="1"/>
    </xf>
    <xf numFmtId="0" fontId="54" fillId="0" borderId="405" xfId="173" applyFont="1" applyBorder="1" applyAlignment="1">
      <alignment horizontal="center" vertical="center" wrapText="1"/>
    </xf>
    <xf numFmtId="0" fontId="54" fillId="0" borderId="468" xfId="818" applyFont="1" applyBorder="1" applyAlignment="1">
      <alignment vertical="center" wrapText="1"/>
    </xf>
    <xf numFmtId="0" fontId="54" fillId="0" borderId="469" xfId="818" applyFont="1" applyBorder="1" applyAlignment="1">
      <alignment vertical="center" wrapText="1"/>
    </xf>
    <xf numFmtId="0" fontId="54" fillId="0" borderId="484" xfId="818" applyFont="1" applyBorder="1" applyAlignment="1">
      <alignment vertical="center" wrapText="1"/>
    </xf>
    <xf numFmtId="0" fontId="75" fillId="0" borderId="485" xfId="0" applyFont="1" applyBorder="1" applyAlignment="1">
      <alignment horizontal="left"/>
    </xf>
    <xf numFmtId="0" fontId="0" fillId="0" borderId="485" xfId="0" applyBorder="1"/>
    <xf numFmtId="0" fontId="45" fillId="0" borderId="0" xfId="0" applyFont="1" applyAlignment="1">
      <alignment horizontal="right" vertical="center" wrapText="1"/>
    </xf>
    <xf numFmtId="0" fontId="0" fillId="0" borderId="0" xfId="0" applyFill="1" applyBorder="1" applyAlignment="1">
      <alignment horizontal="center" vertical="center" wrapText="1"/>
    </xf>
    <xf numFmtId="0" fontId="41" fillId="0" borderId="0" xfId="0" applyFont="1" applyFill="1" applyBorder="1" applyAlignment="1">
      <alignment horizontal="left" vertical="center" wrapText="1"/>
    </xf>
    <xf numFmtId="168" fontId="130" fillId="0" borderId="0" xfId="176" applyNumberFormat="1" applyFont="1" applyAlignment="1">
      <alignment horizontal="center" vertical="center"/>
    </xf>
    <xf numFmtId="168" fontId="352" fillId="0" borderId="0" xfId="176" applyNumberFormat="1" applyFont="1" applyAlignment="1">
      <alignment vertical="center"/>
    </xf>
    <xf numFmtId="168" fontId="84" fillId="0" borderId="0" xfId="176" applyNumberFormat="1" applyFont="1" applyAlignment="1">
      <alignment vertical="center"/>
    </xf>
    <xf numFmtId="0" fontId="54" fillId="0" borderId="25" xfId="736" applyFont="1" applyFill="1" applyBorder="1" applyAlignment="1">
      <alignment horizontal="left" vertical="center"/>
    </xf>
    <xf numFmtId="168" fontId="39" fillId="20" borderId="486" xfId="176" applyNumberFormat="1" applyFont="1" applyFill="1" applyBorder="1" applyAlignment="1">
      <alignment horizontal="center" vertical="center"/>
    </xf>
    <xf numFmtId="168" fontId="79" fillId="0" borderId="22" xfId="176" applyNumberFormat="1" applyFont="1" applyFill="1" applyBorder="1" applyAlignment="1">
      <alignment horizontal="center" vertical="center"/>
    </xf>
    <xf numFmtId="168" fontId="54" fillId="0" borderId="200" xfId="176" applyNumberFormat="1" applyFont="1" applyFill="1" applyBorder="1" applyAlignment="1">
      <alignment horizontal="center" vertical="center"/>
    </xf>
    <xf numFmtId="168" fontId="54" fillId="0" borderId="22" xfId="176" applyNumberFormat="1" applyFont="1" applyFill="1" applyBorder="1" applyAlignment="1">
      <alignment horizontal="center" vertical="center"/>
    </xf>
    <xf numFmtId="168" fontId="353" fillId="0" borderId="0" xfId="176" applyNumberFormat="1" applyFont="1" applyAlignment="1">
      <alignment horizontal="center" vertical="center"/>
    </xf>
    <xf numFmtId="0" fontId="31" fillId="0" borderId="0" xfId="246" applyFont="1" applyAlignment="1">
      <alignment horizontal="right"/>
    </xf>
    <xf numFmtId="0" fontId="0" fillId="0" borderId="17" xfId="0" applyBorder="1" applyAlignment="1">
      <alignment horizontal="left" vertical="center" wrapText="1"/>
    </xf>
    <xf numFmtId="0" fontId="39" fillId="43" borderId="154" xfId="0" applyFont="1" applyFill="1" applyBorder="1" applyAlignment="1">
      <alignment horizontal="center"/>
    </xf>
    <xf numFmtId="0" fontId="39" fillId="43" borderId="22" xfId="0" applyFont="1" applyFill="1" applyBorder="1" applyAlignment="1">
      <alignment horizontal="center" vertical="center"/>
    </xf>
    <xf numFmtId="0" fontId="42" fillId="43" borderId="325" xfId="0" applyFont="1" applyFill="1" applyBorder="1" applyAlignment="1">
      <alignment horizontal="center" vertical="center" wrapText="1"/>
    </xf>
    <xf numFmtId="0" fontId="39" fillId="43" borderId="22" xfId="0" applyFont="1" applyFill="1" applyBorder="1" applyAlignment="1">
      <alignment vertical="center"/>
    </xf>
    <xf numFmtId="14" fontId="0" fillId="0" borderId="0" xfId="0" applyNumberFormat="1"/>
    <xf numFmtId="14" fontId="66" fillId="0" borderId="0" xfId="0" applyNumberFormat="1" applyFont="1"/>
    <xf numFmtId="194" fontId="66" fillId="0" borderId="0" xfId="0" applyNumberFormat="1" applyFont="1"/>
    <xf numFmtId="0" fontId="191" fillId="0" borderId="0" xfId="377" applyFont="1" applyFill="1" applyBorder="1" applyAlignment="1">
      <alignment horizontal="left"/>
    </xf>
    <xf numFmtId="14" fontId="66" fillId="0" borderId="0" xfId="0" applyNumberFormat="1" applyFont="1" applyBorder="1" applyAlignment="1">
      <alignment horizontal="right" wrapText="1"/>
    </xf>
    <xf numFmtId="0" fontId="354" fillId="0" borderId="0" xfId="0" applyFont="1" applyAlignment="1">
      <alignment horizontal="right" vertical="center"/>
    </xf>
    <xf numFmtId="3" fontId="41" fillId="0" borderId="11" xfId="149" applyNumberFormat="1" applyFont="1" applyBorder="1"/>
    <xf numFmtId="3" fontId="42" fillId="0" borderId="404" xfId="149" applyNumberFormat="1" applyFont="1" applyBorder="1"/>
    <xf numFmtId="0" fontId="41" fillId="0" borderId="0" xfId="149" applyFont="1" applyFill="1"/>
    <xf numFmtId="3" fontId="37" fillId="0" borderId="0" xfId="0" applyNumberFormat="1" applyFont="1" applyBorder="1"/>
    <xf numFmtId="3" fontId="39" fillId="0" borderId="333" xfId="0" applyNumberFormat="1" applyFont="1" applyBorder="1"/>
    <xf numFmtId="3" fontId="42" fillId="0" borderId="337" xfId="149" applyNumberFormat="1" applyFont="1" applyBorder="1"/>
    <xf numFmtId="3" fontId="64" fillId="0" borderId="0" xfId="149" applyNumberFormat="1" applyFont="1"/>
    <xf numFmtId="3" fontId="64" fillId="0" borderId="0" xfId="176" applyNumberFormat="1" applyFont="1" applyAlignment="1">
      <alignment horizontal="right" indent="1"/>
    </xf>
    <xf numFmtId="0" fontId="50" fillId="0" borderId="0" xfId="0" applyFont="1"/>
    <xf numFmtId="0" fontId="86" fillId="0" borderId="0" xfId="0" applyFont="1" applyBorder="1" applyAlignment="1">
      <alignment horizontal="right" vertical="center" wrapText="1"/>
    </xf>
    <xf numFmtId="0" fontId="41" fillId="0" borderId="178" xfId="3786" applyFont="1" applyFill="1" applyBorder="1" applyAlignment="1">
      <alignment horizontal="center" vertical="center" wrapText="1"/>
    </xf>
    <xf numFmtId="0" fontId="41" fillId="0" borderId="423" xfId="3786" applyFont="1" applyFill="1" applyBorder="1" applyAlignment="1">
      <alignment horizontal="center" vertical="center" wrapText="1"/>
    </xf>
    <xf numFmtId="0" fontId="41" fillId="0" borderId="424" xfId="3786" applyFont="1" applyFill="1" applyBorder="1" applyAlignment="1">
      <alignment horizontal="center" vertical="center" wrapText="1"/>
    </xf>
    <xf numFmtId="0" fontId="41" fillId="0" borderId="135" xfId="3786" applyFont="1" applyFill="1" applyBorder="1" applyAlignment="1">
      <alignment horizontal="center" vertical="center" wrapText="1"/>
    </xf>
    <xf numFmtId="0" fontId="41" fillId="0" borderId="181" xfId="3786" applyFont="1" applyFill="1" applyBorder="1" applyAlignment="1">
      <alignment horizontal="center" vertical="center" wrapText="1"/>
    </xf>
    <xf numFmtId="0" fontId="41" fillId="0" borderId="431" xfId="3786" applyFont="1" applyFill="1" applyBorder="1" applyAlignment="1">
      <alignment horizontal="center" vertical="center" wrapText="1"/>
    </xf>
    <xf numFmtId="0" fontId="79" fillId="0" borderId="16" xfId="142" applyFont="1" applyFill="1" applyBorder="1" applyAlignment="1">
      <alignment horizontal="center" vertical="center" wrapText="1"/>
    </xf>
    <xf numFmtId="0" fontId="41" fillId="33" borderId="135" xfId="3786" applyFont="1" applyFill="1" applyBorder="1" applyAlignment="1">
      <alignment horizontal="center" vertical="center" wrapText="1"/>
    </xf>
    <xf numFmtId="0" fontId="41" fillId="33" borderId="181" xfId="3786" applyFont="1" applyFill="1" applyBorder="1" applyAlignment="1">
      <alignment horizontal="center" vertical="center" wrapText="1"/>
    </xf>
    <xf numFmtId="0" fontId="49" fillId="0" borderId="0" xfId="0" applyFont="1" applyAlignment="1">
      <alignment horizontal="right" vertical="center"/>
    </xf>
    <xf numFmtId="0" fontId="49" fillId="0" borderId="0" xfId="0" applyFont="1" applyAlignment="1">
      <alignment horizontal="right" vertical="top"/>
    </xf>
    <xf numFmtId="0" fontId="54" fillId="0" borderId="0" xfId="453" applyFont="1" applyBorder="1" applyAlignment="1">
      <alignment vertical="center"/>
    </xf>
    <xf numFmtId="0" fontId="0" fillId="0" borderId="22" xfId="0" applyFont="1" applyBorder="1" applyAlignment="1">
      <alignment vertical="center"/>
    </xf>
    <xf numFmtId="168" fontId="79" fillId="20" borderId="487" xfId="176" applyNumberFormat="1" applyFont="1" applyFill="1" applyBorder="1" applyAlignment="1">
      <alignment horizontal="center" vertical="center"/>
    </xf>
    <xf numFmtId="0" fontId="54" fillId="0" borderId="0" xfId="455" applyFont="1" applyBorder="1" applyAlignment="1">
      <alignment horizontal="left" vertical="center"/>
    </xf>
    <xf numFmtId="0" fontId="220" fillId="0" borderId="0" xfId="0" applyFont="1" applyAlignment="1">
      <alignment vertical="center" wrapText="1"/>
    </xf>
    <xf numFmtId="0" fontId="220" fillId="0" borderId="0" xfId="0" applyFont="1" applyAlignment="1">
      <alignment wrapText="1"/>
    </xf>
    <xf numFmtId="167" fontId="54" fillId="0" borderId="28" xfId="142" applyNumberFormat="1" applyFont="1" applyBorder="1" applyAlignment="1">
      <alignment horizontal="center"/>
    </xf>
    <xf numFmtId="167" fontId="54" fillId="0" borderId="29" xfId="142" applyNumberFormat="1" applyFont="1" applyBorder="1" applyAlignment="1">
      <alignment horizontal="center"/>
    </xf>
    <xf numFmtId="167" fontId="54" fillId="0" borderId="22" xfId="142" applyNumberFormat="1" applyFont="1" applyBorder="1" applyAlignment="1">
      <alignment horizontal="center"/>
    </xf>
    <xf numFmtId="167" fontId="54" fillId="0" borderId="19" xfId="142" applyNumberFormat="1" applyFont="1" applyBorder="1" applyAlignment="1">
      <alignment horizontal="center"/>
    </xf>
    <xf numFmtId="167" fontId="106" fillId="0" borderId="23" xfId="142" applyNumberFormat="1" applyFont="1" applyFill="1" applyBorder="1" applyAlignment="1">
      <alignment horizontal="center"/>
    </xf>
    <xf numFmtId="167" fontId="106" fillId="0" borderId="21" xfId="142" applyNumberFormat="1" applyFont="1" applyFill="1" applyBorder="1" applyAlignment="1">
      <alignment horizontal="center"/>
    </xf>
    <xf numFmtId="167" fontId="37" fillId="0" borderId="0" xfId="142" applyNumberFormat="1" applyFont="1" applyBorder="1" applyAlignment="1">
      <alignment horizontal="center"/>
    </xf>
    <xf numFmtId="167" fontId="37" fillId="0" borderId="0" xfId="142" applyNumberFormat="1"/>
    <xf numFmtId="167" fontId="105" fillId="0" borderId="23" xfId="142" applyNumberFormat="1" applyFont="1" applyFill="1" applyBorder="1" applyAlignment="1">
      <alignment horizontal="center"/>
    </xf>
    <xf numFmtId="167" fontId="105" fillId="0" borderId="21" xfId="142" applyNumberFormat="1" applyFont="1" applyFill="1" applyBorder="1" applyAlignment="1">
      <alignment horizontal="center"/>
    </xf>
    <xf numFmtId="167" fontId="54" fillId="0" borderId="0" xfId="142" applyNumberFormat="1" applyFont="1" applyBorder="1" applyAlignment="1">
      <alignment horizontal="center"/>
    </xf>
    <xf numFmtId="167" fontId="37" fillId="0" borderId="0" xfId="142" applyNumberFormat="1" applyFont="1" applyBorder="1"/>
    <xf numFmtId="167" fontId="110" fillId="0" borderId="23" xfId="142" applyNumberFormat="1" applyFont="1" applyFill="1" applyBorder="1" applyAlignment="1">
      <alignment horizontal="center"/>
    </xf>
    <xf numFmtId="167" fontId="110" fillId="0" borderId="21" xfId="142" applyNumberFormat="1" applyFont="1" applyFill="1" applyBorder="1" applyAlignment="1">
      <alignment horizontal="center"/>
    </xf>
    <xf numFmtId="167" fontId="37" fillId="0" borderId="0" xfId="142" applyNumberFormat="1" applyBorder="1"/>
    <xf numFmtId="167" fontId="108" fillId="0" borderId="23" xfId="142" applyNumberFormat="1" applyFont="1" applyFill="1" applyBorder="1" applyAlignment="1">
      <alignment horizontal="center"/>
    </xf>
    <xf numFmtId="167" fontId="108" fillId="0" borderId="21" xfId="142" applyNumberFormat="1" applyFont="1" applyFill="1" applyBorder="1" applyAlignment="1">
      <alignment horizontal="center"/>
    </xf>
    <xf numFmtId="167" fontId="113" fillId="0" borderId="23" xfId="142" applyNumberFormat="1" applyFont="1" applyFill="1" applyBorder="1" applyAlignment="1">
      <alignment horizontal="center"/>
    </xf>
    <xf numFmtId="167" fontId="113" fillId="0" borderId="21" xfId="142" applyNumberFormat="1" applyFont="1" applyFill="1" applyBorder="1" applyAlignment="1">
      <alignment horizontal="center"/>
    </xf>
    <xf numFmtId="167" fontId="79" fillId="20" borderId="464" xfId="142" applyNumberFormat="1" applyFont="1" applyFill="1" applyBorder="1" applyAlignment="1">
      <alignment horizontal="center"/>
    </xf>
    <xf numFmtId="167" fontId="79" fillId="20" borderId="404" xfId="142" applyNumberFormat="1" applyFont="1" applyFill="1" applyBorder="1" applyAlignment="1">
      <alignment horizontal="center"/>
    </xf>
    <xf numFmtId="167" fontId="79" fillId="20" borderId="464" xfId="142" applyNumberFormat="1" applyFont="1" applyFill="1" applyBorder="1" applyAlignment="1">
      <alignment horizontal="right"/>
    </xf>
    <xf numFmtId="168" fontId="79" fillId="20" borderId="464" xfId="180" applyNumberFormat="1" applyFont="1" applyFill="1" applyBorder="1" applyAlignment="1">
      <alignment horizontal="right" indent="1"/>
    </xf>
    <xf numFmtId="0" fontId="1" fillId="0" borderId="464" xfId="0" applyFont="1" applyBorder="1" applyAlignment="1">
      <alignment vertical="center"/>
    </xf>
    <xf numFmtId="0" fontId="232" fillId="0" borderId="464" xfId="0" applyFont="1" applyFill="1" applyBorder="1" applyAlignment="1">
      <alignment horizontal="right" vertical="center"/>
    </xf>
    <xf numFmtId="190" fontId="257" fillId="0" borderId="187" xfId="0" applyNumberFormat="1" applyFont="1" applyFill="1" applyBorder="1" applyAlignment="1">
      <alignment horizontal="center" vertical="center"/>
    </xf>
    <xf numFmtId="0" fontId="41" fillId="0" borderId="188" xfId="0" applyFont="1" applyFill="1" applyBorder="1" applyAlignment="1">
      <alignment horizontal="left" vertical="center" indent="1"/>
    </xf>
    <xf numFmtId="0" fontId="41" fillId="0" borderId="188" xfId="0" applyFont="1" applyFill="1" applyBorder="1" applyAlignment="1">
      <alignment horizontal="center" vertical="center"/>
    </xf>
    <xf numFmtId="190" fontId="355" fillId="0" borderId="189" xfId="0" applyNumberFormat="1" applyFont="1" applyFill="1" applyBorder="1" applyAlignment="1">
      <alignment horizontal="center" vertical="center"/>
    </xf>
    <xf numFmtId="0" fontId="234" fillId="0" borderId="464" xfId="0" applyFont="1" applyFill="1" applyBorder="1" applyAlignment="1">
      <alignment vertical="center"/>
    </xf>
    <xf numFmtId="0" fontId="234" fillId="0" borderId="464" xfId="0" applyFont="1" applyFill="1" applyBorder="1" applyAlignment="1">
      <alignment horizontal="right" vertical="center"/>
    </xf>
    <xf numFmtId="190" fontId="214" fillId="0" borderId="187" xfId="0" applyNumberFormat="1" applyFont="1" applyBorder="1" applyAlignment="1">
      <alignment horizontal="center" vertical="center"/>
    </xf>
    <xf numFmtId="190" fontId="214" fillId="0" borderId="180" xfId="0" applyNumberFormat="1" applyFont="1" applyBorder="1" applyAlignment="1">
      <alignment horizontal="center" vertical="center"/>
    </xf>
    <xf numFmtId="0" fontId="236" fillId="0" borderId="464" xfId="0" applyFont="1" applyFill="1" applyBorder="1" applyAlignment="1">
      <alignment vertical="center"/>
    </xf>
    <xf numFmtId="0" fontId="236" fillId="0" borderId="464" xfId="0" applyFont="1" applyFill="1" applyBorder="1" applyAlignment="1">
      <alignment horizontal="right" vertical="center"/>
    </xf>
    <xf numFmtId="190" fontId="94" fillId="0" borderId="182" xfId="0" applyNumberFormat="1" applyFont="1" applyFill="1" applyBorder="1" applyAlignment="1">
      <alignment horizontal="center" vertical="center"/>
    </xf>
    <xf numFmtId="0" fontId="237" fillId="0" borderId="464" xfId="0" applyFont="1" applyFill="1" applyBorder="1" applyAlignment="1">
      <alignment vertical="center"/>
    </xf>
    <xf numFmtId="0" fontId="238" fillId="0" borderId="464" xfId="0" applyFont="1" applyFill="1" applyBorder="1" applyAlignment="1">
      <alignment horizontal="right" vertical="center"/>
    </xf>
    <xf numFmtId="0" fontId="41" fillId="0" borderId="178" xfId="0" applyFont="1" applyFill="1" applyBorder="1" applyAlignment="1">
      <alignment horizontal="left" vertical="center" wrapText="1" indent="1"/>
    </xf>
    <xf numFmtId="0" fontId="239" fillId="0" borderId="464" xfId="0" applyFont="1" applyFill="1" applyBorder="1" applyAlignment="1">
      <alignment vertical="center"/>
    </xf>
    <xf numFmtId="0" fontId="239" fillId="0" borderId="464" xfId="0" applyFont="1" applyFill="1" applyBorder="1" applyAlignment="1">
      <alignment horizontal="right" vertical="center"/>
    </xf>
    <xf numFmtId="0" fontId="41" fillId="0" borderId="0" xfId="0" applyFont="1" applyFill="1" applyBorder="1" applyAlignment="1">
      <alignment horizontal="center" vertical="center"/>
    </xf>
    <xf numFmtId="190" fontId="356" fillId="0" borderId="180" xfId="0" applyNumberFormat="1" applyFont="1" applyFill="1" applyBorder="1" applyAlignment="1">
      <alignment horizontal="center" vertical="center"/>
    </xf>
    <xf numFmtId="0" fontId="240" fillId="0" borderId="135" xfId="146" applyFont="1" applyBorder="1" applyAlignment="1">
      <alignment horizontal="center" vertical="center"/>
    </xf>
    <xf numFmtId="190" fontId="356" fillId="0" borderId="182" xfId="0" applyNumberFormat="1" applyFont="1" applyFill="1" applyBorder="1" applyAlignment="1">
      <alignment horizontal="center" vertical="center"/>
    </xf>
    <xf numFmtId="0" fontId="40" fillId="0" borderId="0" xfId="142" applyFont="1" applyAlignment="1">
      <alignment horizontal="left"/>
    </xf>
    <xf numFmtId="41" fontId="37" fillId="0" borderId="179" xfId="142" applyNumberFormat="1" applyFont="1" applyFill="1" applyBorder="1" applyAlignment="1">
      <alignment horizontal="center"/>
    </xf>
    <xf numFmtId="41" fontId="37" fillId="0" borderId="28" xfId="142" applyNumberFormat="1" applyFont="1" applyFill="1" applyBorder="1" applyAlignment="1">
      <alignment horizontal="center"/>
    </xf>
    <xf numFmtId="41" fontId="79" fillId="0" borderId="179" xfId="142" applyNumberFormat="1" applyFont="1" applyFill="1" applyBorder="1" applyAlignment="1">
      <alignment horizontal="center" vertical="center"/>
    </xf>
    <xf numFmtId="41" fontId="37" fillId="0" borderId="27" xfId="142" applyNumberFormat="1" applyFont="1" applyFill="1" applyBorder="1" applyAlignment="1">
      <alignment horizontal="center"/>
    </xf>
    <xf numFmtId="41" fontId="37" fillId="0" borderId="140" xfId="142" applyNumberFormat="1" applyFont="1" applyFill="1" applyBorder="1" applyAlignment="1">
      <alignment horizontal="center"/>
    </xf>
    <xf numFmtId="41" fontId="79" fillId="0" borderId="28" xfId="142" applyNumberFormat="1" applyFont="1" applyFill="1" applyBorder="1" applyAlignment="1">
      <alignment horizontal="center" vertical="center"/>
    </xf>
    <xf numFmtId="41" fontId="54" fillId="0" borderId="28" xfId="142" applyNumberFormat="1" applyFont="1" applyFill="1" applyBorder="1" applyAlignment="1">
      <alignment horizontal="center" vertical="center"/>
    </xf>
    <xf numFmtId="41" fontId="37" fillId="0" borderId="180" xfId="142" applyNumberFormat="1" applyFont="1" applyFill="1" applyBorder="1" applyAlignment="1">
      <alignment horizontal="center"/>
    </xf>
    <xf numFmtId="41" fontId="37" fillId="0" borderId="22" xfId="142" applyNumberFormat="1" applyFont="1" applyFill="1" applyBorder="1" applyAlignment="1">
      <alignment horizontal="center"/>
    </xf>
    <xf numFmtId="41" fontId="37" fillId="0" borderId="18" xfId="142" applyNumberFormat="1" applyFont="1" applyFill="1" applyBorder="1" applyAlignment="1">
      <alignment horizontal="center"/>
    </xf>
    <xf numFmtId="41" fontId="37" fillId="0" borderId="133" xfId="142" applyNumberFormat="1" applyFont="1" applyFill="1" applyBorder="1" applyAlignment="1">
      <alignment horizontal="center"/>
    </xf>
    <xf numFmtId="41" fontId="79" fillId="0" borderId="182" xfId="142" applyNumberFormat="1" applyFont="1" applyFill="1" applyBorder="1" applyAlignment="1">
      <alignment horizontal="center"/>
    </xf>
    <xf numFmtId="41" fontId="79" fillId="0" borderId="23" xfId="142" applyNumberFormat="1" applyFont="1" applyFill="1" applyBorder="1" applyAlignment="1">
      <alignment horizontal="center"/>
    </xf>
    <xf numFmtId="41" fontId="79" fillId="0" borderId="182" xfId="142" applyNumberFormat="1" applyFont="1" applyFill="1" applyBorder="1" applyAlignment="1">
      <alignment horizontal="center" vertical="center"/>
    </xf>
    <xf numFmtId="41" fontId="79" fillId="0" borderId="255" xfId="142" applyNumberFormat="1" applyFont="1" applyFill="1" applyBorder="1" applyAlignment="1">
      <alignment horizontal="center"/>
    </xf>
    <xf numFmtId="41" fontId="79" fillId="0" borderId="136" xfId="142" applyNumberFormat="1" applyFont="1" applyFill="1" applyBorder="1" applyAlignment="1">
      <alignment horizontal="center"/>
    </xf>
    <xf numFmtId="41" fontId="79" fillId="0" borderId="23" xfId="142" applyNumberFormat="1" applyFont="1" applyFill="1" applyBorder="1" applyAlignment="1">
      <alignment horizontal="center" vertical="center"/>
    </xf>
    <xf numFmtId="41" fontId="93" fillId="0" borderId="0" xfId="142" applyNumberFormat="1" applyFont="1" applyBorder="1" applyAlignment="1">
      <alignment horizontal="center" vertical="center"/>
    </xf>
    <xf numFmtId="41" fontId="221" fillId="0" borderId="0" xfId="142" applyNumberFormat="1" applyFont="1" applyAlignment="1">
      <alignment horizontal="right" indent="1"/>
    </xf>
    <xf numFmtId="41" fontId="37" fillId="0" borderId="190" xfId="142" applyNumberFormat="1" applyFont="1" applyFill="1" applyBorder="1" applyAlignment="1">
      <alignment horizontal="center"/>
    </xf>
    <xf numFmtId="41" fontId="37" fillId="0" borderId="25" xfId="142" applyNumberFormat="1" applyFont="1" applyFill="1" applyBorder="1" applyAlignment="1">
      <alignment horizontal="center"/>
    </xf>
    <xf numFmtId="41" fontId="37" fillId="0" borderId="24" xfId="142" applyNumberFormat="1" applyFont="1" applyFill="1" applyBorder="1" applyAlignment="1">
      <alignment horizontal="center"/>
    </xf>
    <xf numFmtId="41" fontId="37" fillId="0" borderId="139" xfId="142" applyNumberFormat="1" applyFont="1" applyFill="1" applyBorder="1" applyAlignment="1">
      <alignment horizontal="center"/>
    </xf>
    <xf numFmtId="41" fontId="241" fillId="0" borderId="0" xfId="180" applyNumberFormat="1" applyFont="1" applyAlignment="1">
      <alignment horizontal="right" vertical="center" indent="1"/>
    </xf>
    <xf numFmtId="0" fontId="108" fillId="0" borderId="136" xfId="142" applyFont="1" applyFill="1" applyBorder="1" applyAlignment="1">
      <alignment horizontal="center"/>
    </xf>
    <xf numFmtId="41" fontId="242" fillId="0" borderId="0" xfId="142" applyNumberFormat="1" applyFont="1" applyBorder="1" applyAlignment="1">
      <alignment horizontal="right" vertical="center" indent="1"/>
    </xf>
    <xf numFmtId="41" fontId="39" fillId="0" borderId="182" xfId="142" applyNumberFormat="1" applyFont="1" applyFill="1" applyBorder="1" applyAlignment="1">
      <alignment horizontal="center"/>
    </xf>
    <xf numFmtId="41" fontId="39" fillId="0" borderId="23" xfId="142" applyNumberFormat="1" applyFont="1" applyFill="1" applyBorder="1" applyAlignment="1">
      <alignment horizontal="center"/>
    </xf>
    <xf numFmtId="41" fontId="39" fillId="0" borderId="255" xfId="142" applyNumberFormat="1" applyFont="1" applyFill="1" applyBorder="1" applyAlignment="1">
      <alignment horizontal="center"/>
    </xf>
    <xf numFmtId="41" fontId="39" fillId="0" borderId="136" xfId="142" applyNumberFormat="1" applyFont="1" applyFill="1" applyBorder="1" applyAlignment="1">
      <alignment horizontal="center"/>
    </xf>
    <xf numFmtId="41" fontId="79" fillId="20" borderId="0" xfId="142" applyNumberFormat="1" applyFont="1" applyFill="1" applyBorder="1" applyAlignment="1">
      <alignment horizontal="center"/>
    </xf>
    <xf numFmtId="41" fontId="79" fillId="20" borderId="426" xfId="142" applyNumberFormat="1" applyFont="1" applyFill="1" applyBorder="1" applyAlignment="1">
      <alignment horizontal="center"/>
    </xf>
    <xf numFmtId="41" fontId="79" fillId="20" borderId="427" xfId="142" applyNumberFormat="1" applyFont="1" applyFill="1" applyBorder="1" applyAlignment="1">
      <alignment horizontal="center"/>
    </xf>
    <xf numFmtId="41" fontId="79" fillId="20" borderId="428" xfId="142" applyNumberFormat="1" applyFont="1" applyFill="1" applyBorder="1" applyAlignment="1">
      <alignment horizontal="center"/>
    </xf>
    <xf numFmtId="41" fontId="79" fillId="20" borderId="488" xfId="142" applyNumberFormat="1" applyFont="1" applyFill="1" applyBorder="1" applyAlignment="1">
      <alignment horizontal="center"/>
    </xf>
    <xf numFmtId="0" fontId="79" fillId="0" borderId="464" xfId="142" applyFont="1" applyFill="1" applyBorder="1" applyAlignment="1">
      <alignment vertical="center"/>
    </xf>
    <xf numFmtId="0" fontId="79" fillId="0" borderId="0" xfId="142" applyFont="1" applyFill="1" applyBorder="1" applyAlignment="1">
      <alignment vertical="center"/>
    </xf>
    <xf numFmtId="0" fontId="42" fillId="0" borderId="0" xfId="142" applyFont="1" applyFill="1" applyBorder="1" applyAlignment="1">
      <alignment vertical="center"/>
    </xf>
    <xf numFmtId="0" fontId="50" fillId="0" borderId="120" xfId="142" applyFont="1" applyBorder="1" applyAlignment="1">
      <alignment vertical="center" wrapText="1"/>
    </xf>
    <xf numFmtId="0" fontId="50" fillId="0" borderId="0" xfId="142" applyFont="1" applyBorder="1" applyAlignment="1">
      <alignment vertical="center" wrapText="1"/>
    </xf>
    <xf numFmtId="41" fontId="357" fillId="0" borderId="108" xfId="142" applyNumberFormat="1" applyFont="1" applyFill="1" applyBorder="1" applyAlignment="1">
      <alignment horizontal="center"/>
    </xf>
    <xf numFmtId="168" fontId="54" fillId="0" borderId="29" xfId="180" applyNumberFormat="1" applyFont="1" applyFill="1" applyBorder="1" applyAlignment="1">
      <alignment horizontal="right" vertical="center" indent="1"/>
    </xf>
    <xf numFmtId="168" fontId="54" fillId="0" borderId="28" xfId="180" applyNumberFormat="1" applyFont="1" applyFill="1" applyBorder="1" applyAlignment="1">
      <alignment horizontal="right" vertical="center" indent="1"/>
    </xf>
    <xf numFmtId="168" fontId="54" fillId="0" borderId="19" xfId="180" applyNumberFormat="1" applyFont="1" applyFill="1" applyBorder="1" applyAlignment="1">
      <alignment horizontal="right" vertical="center" indent="1"/>
    </xf>
    <xf numFmtId="168" fontId="54" fillId="0" borderId="22" xfId="180" applyNumberFormat="1" applyFont="1" applyFill="1" applyBorder="1" applyAlignment="1">
      <alignment horizontal="right" vertical="center" indent="1"/>
    </xf>
    <xf numFmtId="168" fontId="79" fillId="0" borderId="21" xfId="180" applyNumberFormat="1" applyFont="1" applyFill="1" applyBorder="1" applyAlignment="1">
      <alignment horizontal="right" vertical="center" indent="1"/>
    </xf>
    <xf numFmtId="168" fontId="79" fillId="0" borderId="23" xfId="180" applyNumberFormat="1" applyFont="1" applyFill="1" applyBorder="1" applyAlignment="1">
      <alignment horizontal="right" vertical="center" indent="1"/>
    </xf>
    <xf numFmtId="41" fontId="37" fillId="0" borderId="0" xfId="142" applyNumberFormat="1" applyFont="1"/>
    <xf numFmtId="41" fontId="357" fillId="0" borderId="120" xfId="142" applyNumberFormat="1" applyFont="1" applyFill="1" applyBorder="1" applyAlignment="1">
      <alignment horizontal="center"/>
    </xf>
    <xf numFmtId="168" fontId="42" fillId="20" borderId="11" xfId="180" applyNumberFormat="1" applyFont="1" applyFill="1" applyBorder="1" applyAlignment="1">
      <alignment horizontal="right" vertical="center" indent="1"/>
    </xf>
    <xf numFmtId="168" fontId="42" fillId="20" borderId="0" xfId="180" applyNumberFormat="1" applyFont="1" applyFill="1" applyBorder="1" applyAlignment="1">
      <alignment horizontal="right" vertical="center" indent="1"/>
    </xf>
    <xf numFmtId="9" fontId="37" fillId="0" borderId="464" xfId="3359" applyNumberFormat="1" applyFont="1" applyBorder="1" applyAlignment="1">
      <alignment horizontal="right" vertical="center"/>
    </xf>
    <xf numFmtId="9" fontId="37" fillId="0" borderId="423" xfId="3359" applyNumberFormat="1" applyFont="1" applyBorder="1" applyAlignment="1">
      <alignment horizontal="right" vertical="center"/>
    </xf>
    <xf numFmtId="9" fontId="39" fillId="0" borderId="429" xfId="3359" applyNumberFormat="1" applyFont="1" applyBorder="1" applyAlignment="1">
      <alignment horizontal="right" vertical="center"/>
    </xf>
    <xf numFmtId="9" fontId="39" fillId="0" borderId="466" xfId="3359" applyNumberFormat="1" applyFont="1" applyBorder="1" applyAlignment="1">
      <alignment horizontal="right" vertical="center"/>
    </xf>
    <xf numFmtId="9" fontId="39" fillId="0" borderId="404" xfId="3359" applyNumberFormat="1" applyFont="1" applyBorder="1" applyAlignment="1">
      <alignment horizontal="right" vertical="center"/>
    </xf>
    <xf numFmtId="41" fontId="357" fillId="0" borderId="489" xfId="142" applyNumberFormat="1" applyFont="1" applyFill="1" applyBorder="1" applyAlignment="1">
      <alignment horizontal="center"/>
    </xf>
    <xf numFmtId="0" fontId="115" fillId="0" borderId="464" xfId="3786" applyFont="1" applyFill="1" applyBorder="1" applyAlignment="1">
      <alignment vertical="center"/>
    </xf>
    <xf numFmtId="0" fontId="232" fillId="0" borderId="464" xfId="3786" applyFont="1" applyFill="1" applyBorder="1" applyAlignment="1">
      <alignment horizontal="right" vertical="center"/>
    </xf>
    <xf numFmtId="0" fontId="37" fillId="0" borderId="178" xfId="3786" applyFont="1" applyFill="1" applyBorder="1" applyAlignment="1">
      <alignment horizontal="center" vertical="center"/>
    </xf>
    <xf numFmtId="0" fontId="358" fillId="0" borderId="180" xfId="3786" applyFont="1" applyFill="1" applyBorder="1" applyAlignment="1">
      <alignment horizontal="center" vertical="center"/>
    </xf>
    <xf numFmtId="0" fontId="257" fillId="0" borderId="180" xfId="3786" applyFont="1" applyFill="1" applyBorder="1" applyAlignment="1">
      <alignment horizontal="center" vertical="center" wrapText="1"/>
    </xf>
    <xf numFmtId="0" fontId="257" fillId="33" borderId="180" xfId="3786" applyFont="1" applyFill="1" applyBorder="1" applyAlignment="1">
      <alignment horizontal="center" vertical="center" wrapText="1"/>
    </xf>
    <xf numFmtId="0" fontId="41" fillId="33" borderId="188" xfId="3786" applyFont="1" applyFill="1" applyBorder="1" applyAlignment="1">
      <alignment horizontal="center" vertical="center"/>
    </xf>
    <xf numFmtId="0" fontId="257" fillId="33" borderId="180" xfId="3786" applyFont="1" applyFill="1" applyBorder="1" applyAlignment="1">
      <alignment horizontal="center" vertical="center"/>
    </xf>
    <xf numFmtId="0" fontId="257" fillId="33" borderId="182" xfId="3786" applyFont="1" applyFill="1" applyBorder="1" applyAlignment="1">
      <alignment horizontal="center" vertical="center" wrapText="1"/>
    </xf>
    <xf numFmtId="0" fontId="87" fillId="0" borderId="180" xfId="3786" applyFont="1" applyFill="1" applyBorder="1" applyAlignment="1">
      <alignment horizontal="center" vertical="center"/>
    </xf>
    <xf numFmtId="0" fontId="37" fillId="33" borderId="178" xfId="3786" applyFont="1" applyFill="1" applyBorder="1" applyAlignment="1">
      <alignment horizontal="center" vertical="center"/>
    </xf>
    <xf numFmtId="0" fontId="257" fillId="33" borderId="135" xfId="3786" applyFont="1" applyFill="1" applyBorder="1" applyAlignment="1">
      <alignment horizontal="center" vertical="center"/>
    </xf>
    <xf numFmtId="0" fontId="257" fillId="0" borderId="135" xfId="3786" applyFont="1" applyFill="1" applyBorder="1" applyAlignment="1">
      <alignment horizontal="center" vertical="center"/>
    </xf>
    <xf numFmtId="0" fontId="257" fillId="0" borderId="179" xfId="3786" applyFont="1" applyFill="1" applyBorder="1" applyAlignment="1">
      <alignment horizontal="center" vertical="center" wrapText="1"/>
    </xf>
    <xf numFmtId="0" fontId="257" fillId="0" borderId="179" xfId="3786" applyFont="1" applyFill="1" applyBorder="1" applyAlignment="1">
      <alignment horizontal="center" vertical="center"/>
    </xf>
    <xf numFmtId="0" fontId="359" fillId="33" borderId="180" xfId="3786" applyFont="1" applyFill="1" applyBorder="1" applyAlignment="1">
      <alignment horizontal="center" vertical="center"/>
    </xf>
    <xf numFmtId="0" fontId="41" fillId="0" borderId="188" xfId="149" applyFont="1" applyFill="1" applyBorder="1" applyAlignment="1">
      <alignment horizontal="left" wrapText="1" indent="1"/>
    </xf>
    <xf numFmtId="0" fontId="257" fillId="0" borderId="190" xfId="3786" applyFont="1" applyFill="1" applyBorder="1" applyAlignment="1">
      <alignment horizontal="center" vertical="center"/>
    </xf>
    <xf numFmtId="0" fontId="359" fillId="0" borderId="182" xfId="3786" applyFont="1" applyFill="1" applyBorder="1" applyAlignment="1">
      <alignment horizontal="center" vertical="center"/>
    </xf>
    <xf numFmtId="0" fontId="41" fillId="0" borderId="0" xfId="3786" applyFont="1" applyFill="1" applyBorder="1" applyAlignment="1">
      <alignment vertical="center" wrapText="1"/>
    </xf>
    <xf numFmtId="0" fontId="232" fillId="0" borderId="0" xfId="3786" applyFont="1" applyFill="1" applyBorder="1" applyAlignment="1">
      <alignment horizontal="right" vertical="center"/>
    </xf>
    <xf numFmtId="0" fontId="243" fillId="0" borderId="464" xfId="3786" applyFont="1" applyFill="1" applyBorder="1" applyAlignment="1">
      <alignment vertical="center"/>
    </xf>
    <xf numFmtId="0" fontId="234" fillId="0" borderId="464" xfId="3786" applyFont="1" applyFill="1" applyBorder="1" applyAlignment="1">
      <alignment horizontal="right" vertical="center"/>
    </xf>
    <xf numFmtId="0" fontId="235" fillId="0" borderId="179" xfId="3786" applyFont="1" applyFill="1" applyBorder="1" applyAlignment="1">
      <alignment horizontal="center" vertical="center"/>
    </xf>
    <xf numFmtId="0" fontId="235" fillId="33" borderId="182" xfId="3786" applyFont="1" applyFill="1" applyBorder="1" applyAlignment="1">
      <alignment horizontal="center" vertical="center"/>
    </xf>
    <xf numFmtId="0" fontId="235" fillId="0" borderId="306" xfId="3786" applyFont="1" applyFill="1" applyBorder="1" applyAlignment="1">
      <alignment horizontal="center" vertical="center"/>
    </xf>
    <xf numFmtId="0" fontId="235" fillId="33" borderId="180" xfId="3786" applyFont="1" applyFill="1" applyBorder="1" applyAlignment="1">
      <alignment horizontal="center" vertical="center"/>
    </xf>
    <xf numFmtId="0" fontId="235" fillId="0" borderId="135" xfId="3786" applyFont="1" applyFill="1" applyBorder="1" applyAlignment="1">
      <alignment horizontal="center" vertical="center"/>
    </xf>
    <xf numFmtId="0" fontId="235" fillId="0" borderId="182" xfId="3786" applyFont="1" applyFill="1" applyBorder="1" applyAlignment="1">
      <alignment horizontal="center" vertical="center"/>
    </xf>
    <xf numFmtId="0" fontId="244" fillId="0" borderId="464" xfId="3786" applyFont="1" applyFill="1" applyBorder="1" applyAlignment="1">
      <alignment vertical="center"/>
    </xf>
    <xf numFmtId="0" fontId="236" fillId="0" borderId="464" xfId="3786" applyFont="1" applyFill="1" applyBorder="1" applyAlignment="1">
      <alignment horizontal="right" vertical="center"/>
    </xf>
    <xf numFmtId="0" fontId="317" fillId="0" borderId="178" xfId="3786" applyFont="1" applyFill="1" applyBorder="1" applyAlignment="1">
      <alignment horizontal="center" vertical="center"/>
    </xf>
    <xf numFmtId="0" fontId="360" fillId="33" borderId="180" xfId="3786" applyFont="1" applyFill="1" applyBorder="1" applyAlignment="1">
      <alignment horizontal="center" vertical="center"/>
    </xf>
    <xf numFmtId="0" fontId="317" fillId="33" borderId="135" xfId="3786" applyFont="1" applyFill="1" applyBorder="1" applyAlignment="1">
      <alignment horizontal="center" vertical="center"/>
    </xf>
    <xf numFmtId="0" fontId="360" fillId="0" borderId="180" xfId="3786" applyFont="1" applyFill="1" applyBorder="1" applyAlignment="1">
      <alignment horizontal="center" vertical="center"/>
    </xf>
    <xf numFmtId="0" fontId="360" fillId="0" borderId="179" xfId="3786" applyFont="1" applyFill="1" applyBorder="1" applyAlignment="1">
      <alignment horizontal="center" vertical="center"/>
    </xf>
    <xf numFmtId="0" fontId="317" fillId="0" borderId="135" xfId="3786" applyFont="1" applyFill="1" applyBorder="1" applyAlignment="1">
      <alignment horizontal="center" vertical="center"/>
    </xf>
    <xf numFmtId="0" fontId="360" fillId="0" borderId="182" xfId="3786" applyFont="1" applyFill="1" applyBorder="1" applyAlignment="1">
      <alignment horizontal="center" vertical="center"/>
    </xf>
    <xf numFmtId="0" fontId="360" fillId="33" borderId="180" xfId="3786" applyFont="1" applyFill="1" applyBorder="1" applyAlignment="1">
      <alignment horizontal="center" vertical="center" wrapText="1"/>
    </xf>
    <xf numFmtId="0" fontId="238" fillId="0" borderId="464" xfId="3786" applyFont="1" applyFill="1" applyBorder="1" applyAlignment="1">
      <alignment horizontal="right" vertical="center"/>
    </xf>
    <xf numFmtId="0" fontId="359" fillId="33" borderId="187" xfId="3786" applyFont="1" applyFill="1" applyBorder="1" applyAlignment="1">
      <alignment horizontal="center" vertical="center" wrapText="1"/>
    </xf>
    <xf numFmtId="0" fontId="41" fillId="0" borderId="431" xfId="3786" applyFont="1" applyFill="1" applyBorder="1" applyAlignment="1">
      <alignment horizontal="left" vertical="center" indent="1"/>
    </xf>
    <xf numFmtId="0" fontId="318" fillId="0" borderId="431" xfId="3786" applyFont="1" applyFill="1" applyBorder="1" applyAlignment="1">
      <alignment horizontal="center" vertical="center"/>
    </xf>
    <xf numFmtId="0" fontId="41" fillId="0" borderId="466" xfId="3786" applyFont="1" applyFill="1" applyBorder="1" applyAlignment="1">
      <alignment horizontal="center" vertical="center" wrapText="1"/>
    </xf>
    <xf numFmtId="0" fontId="239" fillId="0" borderId="464" xfId="3786" applyFont="1" applyFill="1" applyBorder="1" applyAlignment="1">
      <alignment horizontal="right" vertical="center"/>
    </xf>
    <xf numFmtId="0" fontId="66" fillId="33" borderId="180" xfId="3786" applyFont="1" applyFill="1" applyBorder="1" applyAlignment="1">
      <alignment horizontal="center" vertical="center" wrapText="1"/>
    </xf>
    <xf numFmtId="0" fontId="37" fillId="33" borderId="135" xfId="3786" applyFont="1" applyFill="1" applyBorder="1" applyAlignment="1">
      <alignment horizontal="center" vertical="center"/>
    </xf>
    <xf numFmtId="0" fontId="216" fillId="33" borderId="135" xfId="3786" applyFont="1" applyFill="1" applyBorder="1" applyAlignment="1">
      <alignment horizontal="center" vertical="center"/>
    </xf>
    <xf numFmtId="0" fontId="216" fillId="0" borderId="135" xfId="3786" applyFont="1" applyFill="1" applyBorder="1" applyAlignment="1">
      <alignment horizontal="center" vertical="center"/>
    </xf>
    <xf numFmtId="0" fontId="66" fillId="33" borderId="180" xfId="3786" applyFont="1" applyFill="1" applyBorder="1" applyAlignment="1">
      <alignment horizontal="center" vertical="center"/>
    </xf>
    <xf numFmtId="0" fontId="37" fillId="0" borderId="135" xfId="3786" applyFont="1" applyFill="1" applyBorder="1" applyAlignment="1">
      <alignment horizontal="center" vertical="center"/>
    </xf>
    <xf numFmtId="15" fontId="216" fillId="0" borderId="190" xfId="3786" applyNumberFormat="1" applyFont="1" applyFill="1" applyBorder="1" applyAlignment="1">
      <alignment horizontal="center" vertical="center"/>
    </xf>
    <xf numFmtId="0" fontId="216" fillId="33" borderId="187" xfId="3786" applyFont="1" applyFill="1" applyBorder="1" applyAlignment="1">
      <alignment horizontal="center" vertical="center"/>
    </xf>
    <xf numFmtId="0" fontId="330" fillId="33" borderId="180" xfId="3786" applyFont="1" applyFill="1" applyBorder="1" applyAlignment="1">
      <alignment horizontal="center" vertical="center"/>
    </xf>
    <xf numFmtId="0" fontId="216" fillId="0" borderId="182" xfId="3786" applyFont="1" applyFill="1" applyBorder="1" applyAlignment="1">
      <alignment horizontal="center" vertical="center"/>
    </xf>
    <xf numFmtId="0" fontId="176" fillId="22" borderId="464" xfId="3786" applyFont="1" applyFill="1" applyBorder="1" applyAlignment="1">
      <alignment vertical="center"/>
    </xf>
    <xf numFmtId="0" fontId="245" fillId="22" borderId="464" xfId="3786" applyFont="1" applyFill="1" applyBorder="1" applyAlignment="1">
      <alignment horizontal="right" vertical="center"/>
    </xf>
    <xf numFmtId="0" fontId="361" fillId="0" borderId="135" xfId="3786" applyFont="1" applyFill="1" applyBorder="1" applyAlignment="1">
      <alignment horizontal="center" vertical="center"/>
    </xf>
    <xf numFmtId="0" fontId="361" fillId="33" borderId="181" xfId="3786" applyFont="1" applyFill="1" applyBorder="1" applyAlignment="1">
      <alignment horizontal="center" vertical="center"/>
    </xf>
    <xf numFmtId="180" fontId="209" fillId="28" borderId="462" xfId="0" applyNumberFormat="1" applyFont="1" applyFill="1" applyBorder="1" applyAlignment="1">
      <alignment horizontal="center" vertical="center" wrapText="1"/>
    </xf>
    <xf numFmtId="0" fontId="362" fillId="0" borderId="0" xfId="0" applyFont="1" applyAlignment="1">
      <alignment vertical="center"/>
    </xf>
    <xf numFmtId="0" fontId="87" fillId="0" borderId="0" xfId="0" applyFont="1" applyAlignment="1">
      <alignment horizontal="left" vertical="center"/>
    </xf>
    <xf numFmtId="0" fontId="50" fillId="0" borderId="0" xfId="0" applyFont="1"/>
    <xf numFmtId="0" fontId="60" fillId="0" borderId="329" xfId="0" applyFont="1" applyBorder="1" applyAlignment="1">
      <alignment horizontal="center" vertical="center" wrapText="1"/>
    </xf>
    <xf numFmtId="168" fontId="151" fillId="43" borderId="459" xfId="0" applyNumberFormat="1" applyFont="1" applyFill="1" applyBorder="1" applyAlignment="1">
      <alignment horizontal="center" vertical="center" wrapText="1"/>
    </xf>
    <xf numFmtId="43" fontId="54" fillId="0" borderId="188" xfId="128" applyFont="1" applyBorder="1" applyAlignment="1">
      <alignment horizontal="right" vertical="center"/>
    </xf>
    <xf numFmtId="0" fontId="54" fillId="0" borderId="490" xfId="0" applyFont="1" applyBorder="1" applyAlignment="1">
      <alignment horizontal="center" vertical="center"/>
    </xf>
    <xf numFmtId="0" fontId="40" fillId="0" borderId="0" xfId="377" applyFont="1" applyAlignment="1">
      <alignment horizontal="left" vertical="center"/>
    </xf>
    <xf numFmtId="171" fontId="209" fillId="37" borderId="157" xfId="0" applyNumberFormat="1" applyFont="1" applyFill="1" applyBorder="1" applyAlignment="1">
      <alignment horizontal="center" vertical="center" wrapText="1"/>
    </xf>
    <xf numFmtId="9" fontId="209" fillId="28" borderId="461" xfId="0" applyNumberFormat="1" applyFont="1" applyFill="1" applyBorder="1" applyAlignment="1">
      <alignment horizontal="center" vertical="center" wrapText="1"/>
    </xf>
    <xf numFmtId="0" fontId="73" fillId="0" borderId="207" xfId="0" applyFont="1" applyBorder="1" applyAlignment="1">
      <alignment horizontal="center" vertical="center" wrapText="1"/>
    </xf>
    <xf numFmtId="0" fontId="60" fillId="0" borderId="491" xfId="0" applyFont="1" applyBorder="1" applyAlignment="1">
      <alignment horizontal="center" vertical="center" wrapText="1"/>
    </xf>
    <xf numFmtId="0" fontId="60" fillId="0" borderId="491" xfId="0" applyFont="1" applyBorder="1" applyAlignment="1">
      <alignment vertical="center" wrapText="1"/>
    </xf>
    <xf numFmtId="1" fontId="60" fillId="0" borderId="492" xfId="0" applyNumberFormat="1" applyFont="1" applyBorder="1" applyAlignment="1">
      <alignment horizontal="center" vertical="center" wrapText="1"/>
    </xf>
    <xf numFmtId="0" fontId="73" fillId="0" borderId="461" xfId="0" applyFont="1" applyBorder="1" applyAlignment="1">
      <alignment horizontal="center" vertical="center" wrapText="1"/>
    </xf>
    <xf numFmtId="0" fontId="60" fillId="0" borderId="459" xfId="0" applyFont="1" applyBorder="1" applyAlignment="1">
      <alignment horizontal="center" vertical="center" wrapText="1"/>
    </xf>
    <xf numFmtId="0" fontId="60" fillId="0" borderId="459" xfId="0" applyFont="1" applyBorder="1" applyAlignment="1">
      <alignment horizontal="left" vertical="center" wrapText="1"/>
    </xf>
    <xf numFmtId="0" fontId="60" fillId="0" borderId="459" xfId="0" applyFont="1" applyBorder="1" applyAlignment="1">
      <alignment vertical="center" wrapText="1"/>
    </xf>
    <xf numFmtId="0" fontId="60" fillId="0" borderId="459" xfId="0" applyFont="1" applyBorder="1" applyAlignment="1">
      <alignment horizontal="center" vertical="center"/>
    </xf>
    <xf numFmtId="0" fontId="60" fillId="0" borderId="460" xfId="0" applyFont="1" applyBorder="1" applyAlignment="1">
      <alignment horizontal="center" vertical="center" wrapText="1"/>
    </xf>
    <xf numFmtId="1" fontId="60" fillId="0" borderId="460" xfId="0" applyNumberFormat="1" applyFont="1" applyBorder="1" applyAlignment="1">
      <alignment horizontal="center" vertical="center" wrapText="1"/>
    </xf>
    <xf numFmtId="0" fontId="60" fillId="0" borderId="459" xfId="0" applyFont="1" applyBorder="1" applyAlignment="1">
      <alignment vertical="center"/>
    </xf>
    <xf numFmtId="194" fontId="60" fillId="0" borderId="460" xfId="0" applyNumberFormat="1" applyFont="1" applyBorder="1" applyAlignment="1">
      <alignment horizontal="center" vertical="center" wrapText="1"/>
    </xf>
    <xf numFmtId="0" fontId="60" fillId="0" borderId="460" xfId="0" applyFont="1" applyBorder="1" applyAlignment="1">
      <alignment horizontal="center" vertical="center"/>
    </xf>
    <xf numFmtId="3" fontId="60" fillId="0" borderId="460" xfId="0" applyNumberFormat="1" applyFont="1" applyBorder="1" applyAlignment="1">
      <alignment horizontal="center" vertical="center" wrapText="1"/>
    </xf>
    <xf numFmtId="1" fontId="60" fillId="0" borderId="459" xfId="0" applyNumberFormat="1" applyFont="1" applyBorder="1" applyAlignment="1">
      <alignment horizontal="center" vertical="center" wrapText="1"/>
    </xf>
    <xf numFmtId="3" fontId="60" fillId="0" borderId="459" xfId="0" applyNumberFormat="1" applyFont="1" applyBorder="1" applyAlignment="1">
      <alignment horizontal="center" vertical="center" wrapText="1"/>
    </xf>
    <xf numFmtId="0" fontId="60" fillId="0" borderId="491" xfId="0" applyFont="1" applyBorder="1" applyAlignment="1">
      <alignment horizontal="center" vertical="center"/>
    </xf>
    <xf numFmtId="0" fontId="60" fillId="0" borderId="491" xfId="0" applyFont="1" applyBorder="1" applyAlignment="1">
      <alignment horizontal="left" vertical="center" wrapText="1"/>
    </xf>
    <xf numFmtId="0" fontId="60" fillId="0" borderId="491" xfId="0" applyFont="1" applyBorder="1" applyAlignment="1">
      <alignment vertical="center"/>
    </xf>
    <xf numFmtId="1" fontId="60" fillId="0" borderId="491" xfId="0" applyNumberFormat="1" applyFont="1" applyBorder="1" applyAlignment="1">
      <alignment horizontal="center" vertical="center" wrapText="1"/>
    </xf>
    <xf numFmtId="0" fontId="328" fillId="0" borderId="16" xfId="149" applyFont="1" applyFill="1" applyBorder="1" applyAlignment="1">
      <alignment horizontal="center" vertical="center" wrapText="1"/>
    </xf>
    <xf numFmtId="0" fontId="328" fillId="0" borderId="16" xfId="0" applyFont="1" applyFill="1" applyBorder="1" applyAlignment="1">
      <alignment horizontal="center" vertical="center" wrapText="1"/>
    </xf>
    <xf numFmtId="0" fontId="60" fillId="0" borderId="207" xfId="0" applyFont="1" applyBorder="1" applyAlignment="1">
      <alignment horizontal="center" vertical="center" wrapText="1"/>
    </xf>
    <xf numFmtId="0" fontId="60" fillId="0" borderId="329" xfId="149" applyFont="1" applyBorder="1" applyAlignment="1">
      <alignment horizontal="center" vertical="center" wrapText="1"/>
    </xf>
    <xf numFmtId="0" fontId="60" fillId="0" borderId="329" xfId="149" applyFont="1" applyBorder="1" applyAlignment="1">
      <alignment horizontal="left" vertical="center" wrapText="1"/>
    </xf>
    <xf numFmtId="0" fontId="60" fillId="0" borderId="329" xfId="149" applyFont="1" applyBorder="1" applyAlignment="1">
      <alignment vertical="center" wrapText="1"/>
    </xf>
    <xf numFmtId="1" fontId="60" fillId="0" borderId="329" xfId="0" applyNumberFormat="1" applyFont="1" applyBorder="1" applyAlignment="1">
      <alignment horizontal="center" vertical="center" wrapText="1"/>
    </xf>
    <xf numFmtId="0" fontId="60" fillId="0" borderId="461" xfId="0" applyFont="1" applyBorder="1" applyAlignment="1">
      <alignment horizontal="center" vertical="center" wrapText="1"/>
    </xf>
    <xf numFmtId="0" fontId="60" fillId="0" borderId="462" xfId="149" applyFont="1" applyBorder="1" applyAlignment="1">
      <alignment horizontal="center" vertical="center" wrapText="1"/>
    </xf>
    <xf numFmtId="0" fontId="60" fillId="0" borderId="462" xfId="149" applyFont="1" applyBorder="1" applyAlignment="1">
      <alignment horizontal="left" vertical="center" wrapText="1"/>
    </xf>
    <xf numFmtId="0" fontId="60" fillId="0" borderId="462" xfId="149" applyFont="1" applyBorder="1" applyAlignment="1">
      <alignment vertical="center" wrapText="1"/>
    </xf>
    <xf numFmtId="0" fontId="60" fillId="0" borderId="462" xfId="0" applyFont="1" applyBorder="1" applyAlignment="1">
      <alignment horizontal="center" vertical="center" wrapText="1"/>
    </xf>
    <xf numFmtId="1" fontId="60" fillId="0" borderId="462" xfId="0" applyNumberFormat="1" applyFont="1" applyBorder="1" applyAlignment="1">
      <alignment horizontal="center" vertical="center" wrapText="1"/>
    </xf>
    <xf numFmtId="0" fontId="60" fillId="0" borderId="462" xfId="0" applyFont="1" applyBorder="1" applyAlignment="1">
      <alignment horizontal="center" vertical="center"/>
    </xf>
    <xf numFmtId="0" fontId="60" fillId="0" borderId="462" xfId="0" applyFont="1" applyBorder="1" applyAlignment="1">
      <alignment vertical="top" wrapText="1"/>
    </xf>
    <xf numFmtId="0" fontId="60" fillId="0" borderId="462" xfId="0" applyFont="1" applyBorder="1" applyAlignment="1">
      <alignment horizontal="center" vertical="top" wrapText="1"/>
    </xf>
    <xf numFmtId="0" fontId="60" fillId="0" borderId="462" xfId="0" applyFont="1" applyFill="1" applyBorder="1" applyAlignment="1">
      <alignment vertical="center" wrapText="1"/>
    </xf>
    <xf numFmtId="0" fontId="60" fillId="0" borderId="462" xfId="0" applyFont="1" applyFill="1" applyBorder="1" applyAlignment="1">
      <alignment horizontal="center" vertical="center"/>
    </xf>
    <xf numFmtId="0" fontId="60" fillId="0" borderId="462" xfId="0" applyFont="1" applyBorder="1" applyAlignment="1">
      <alignment vertical="center" wrapText="1"/>
    </xf>
    <xf numFmtId="0" fontId="60" fillId="0" borderId="462" xfId="0" applyFont="1" applyBorder="1" applyAlignment="1">
      <alignment vertical="center"/>
    </xf>
    <xf numFmtId="0" fontId="60" fillId="0" borderId="462" xfId="0" applyFont="1" applyBorder="1" applyAlignment="1">
      <alignment horizontal="left" vertical="top" wrapText="1"/>
    </xf>
    <xf numFmtId="0" fontId="60" fillId="0" borderId="462" xfId="0" applyFont="1" applyFill="1" applyBorder="1" applyAlignment="1">
      <alignment vertical="distributed" wrapText="1"/>
    </xf>
    <xf numFmtId="0" fontId="60" fillId="0" borderId="462" xfId="0" applyFont="1" applyFill="1" applyBorder="1" applyAlignment="1">
      <alignment horizontal="center" vertical="center" wrapText="1"/>
    </xf>
    <xf numFmtId="3" fontId="60" fillId="0" borderId="462" xfId="0" applyNumberFormat="1" applyFont="1" applyBorder="1" applyAlignment="1">
      <alignment horizontal="center" vertical="top" wrapText="1"/>
    </xf>
    <xf numFmtId="0" fontId="60" fillId="0" borderId="493" xfId="0" applyFont="1" applyBorder="1" applyAlignment="1">
      <alignment horizontal="center" vertical="center"/>
    </xf>
    <xf numFmtId="0" fontId="60" fillId="0" borderId="494" xfId="0" applyFont="1" applyFill="1" applyBorder="1" applyAlignment="1">
      <alignment vertical="center" wrapText="1"/>
    </xf>
    <xf numFmtId="0" fontId="60" fillId="0" borderId="494" xfId="0" applyFont="1" applyFill="1" applyBorder="1" applyAlignment="1">
      <alignment horizontal="center" vertical="center"/>
    </xf>
    <xf numFmtId="0" fontId="60" fillId="0" borderId="495" xfId="0" applyFont="1" applyFill="1" applyBorder="1" applyAlignment="1">
      <alignment vertical="center" wrapText="1"/>
    </xf>
    <xf numFmtId="0" fontId="60" fillId="0" borderId="495" xfId="0" applyFont="1" applyFill="1" applyBorder="1" applyAlignment="1">
      <alignment horizontal="center" vertical="center"/>
    </xf>
    <xf numFmtId="0" fontId="60" fillId="0" borderId="493" xfId="149" applyFont="1" applyBorder="1" applyAlignment="1">
      <alignment horizontal="center" vertical="center" wrapText="1"/>
    </xf>
    <xf numFmtId="0" fontId="60" fillId="0" borderId="495" xfId="149" applyFont="1" applyBorder="1" applyAlignment="1">
      <alignment horizontal="left" vertical="center" wrapText="1"/>
    </xf>
    <xf numFmtId="0" fontId="60" fillId="0" borderId="495" xfId="149" applyFont="1" applyBorder="1" applyAlignment="1">
      <alignment vertical="center" wrapText="1"/>
    </xf>
    <xf numFmtId="0" fontId="60" fillId="0" borderId="495" xfId="0" applyFont="1" applyBorder="1" applyAlignment="1">
      <alignment horizontal="center" vertical="center" wrapText="1"/>
    </xf>
    <xf numFmtId="1" fontId="60" fillId="0" borderId="495" xfId="0" applyNumberFormat="1" applyFont="1" applyBorder="1" applyAlignment="1">
      <alignment horizontal="center" vertical="center" wrapText="1"/>
    </xf>
    <xf numFmtId="0" fontId="60" fillId="0" borderId="496" xfId="0" applyFont="1" applyBorder="1" applyAlignment="1">
      <alignment horizontal="center" vertical="center"/>
    </xf>
    <xf numFmtId="0" fontId="60" fillId="0" borderId="495" xfId="0" applyFont="1" applyBorder="1" applyAlignment="1">
      <alignment vertical="top" wrapText="1"/>
    </xf>
    <xf numFmtId="0" fontId="60" fillId="0" borderId="495" xfId="0" applyFont="1" applyBorder="1" applyAlignment="1">
      <alignment horizontal="center" vertical="top" wrapText="1"/>
    </xf>
    <xf numFmtId="0" fontId="60" fillId="0" borderId="459" xfId="0" applyFont="1" applyBorder="1" applyAlignment="1">
      <alignment vertical="top" wrapText="1"/>
    </xf>
    <xf numFmtId="0" fontId="60" fillId="0" borderId="459" xfId="0" applyFont="1" applyBorder="1" applyAlignment="1">
      <alignment horizontal="center" vertical="top" wrapText="1"/>
    </xf>
    <xf numFmtId="0" fontId="60" fillId="0" borderId="459" xfId="0" quotePrefix="1" applyFont="1" applyBorder="1" applyAlignment="1">
      <alignment horizontal="center" vertical="center"/>
    </xf>
    <xf numFmtId="0" fontId="60" fillId="0" borderId="459" xfId="149" applyFont="1" applyBorder="1" applyAlignment="1">
      <alignment horizontal="center" vertical="center" wrapText="1"/>
    </xf>
    <xf numFmtId="0" fontId="60" fillId="0" borderId="459" xfId="149" applyFont="1" applyBorder="1" applyAlignment="1">
      <alignment horizontal="left" vertical="center" wrapText="1"/>
    </xf>
    <xf numFmtId="0" fontId="60" fillId="0" borderId="459" xfId="149" applyFont="1" applyBorder="1" applyAlignment="1">
      <alignment vertical="center" wrapText="1"/>
    </xf>
    <xf numFmtId="0" fontId="60" fillId="0" borderId="459" xfId="0" applyFont="1" applyFill="1" applyBorder="1" applyAlignment="1">
      <alignment horizontal="left" vertical="center" wrapText="1"/>
    </xf>
    <xf numFmtId="0" fontId="60" fillId="0" borderId="459" xfId="0" applyFont="1" applyFill="1" applyBorder="1" applyAlignment="1">
      <alignment vertical="top" wrapText="1"/>
    </xf>
    <xf numFmtId="0" fontId="60" fillId="0" borderId="459" xfId="0" applyFont="1" applyFill="1" applyBorder="1" applyAlignment="1">
      <alignment horizontal="center" vertical="center"/>
    </xf>
    <xf numFmtId="3" fontId="60" fillId="0" borderId="459" xfId="0" applyNumberFormat="1" applyFont="1" applyFill="1" applyBorder="1" applyAlignment="1">
      <alignment horizontal="center" vertical="top" wrapText="1"/>
    </xf>
    <xf numFmtId="3" fontId="60" fillId="0" borderId="459" xfId="0" applyNumberFormat="1" applyFont="1" applyBorder="1" applyAlignment="1">
      <alignment horizontal="center" vertical="top" wrapText="1"/>
    </xf>
    <xf numFmtId="0" fontId="60" fillId="0" borderId="459" xfId="0" applyFont="1" applyFill="1" applyBorder="1" applyAlignment="1">
      <alignment vertical="center" wrapText="1"/>
    </xf>
    <xf numFmtId="0" fontId="60" fillId="0" borderId="461" xfId="0" applyFont="1" applyBorder="1" applyAlignment="1">
      <alignment horizontal="center" vertical="center"/>
    </xf>
    <xf numFmtId="1" fontId="50" fillId="0" borderId="492" xfId="0" applyNumberFormat="1" applyFont="1" applyBorder="1" applyAlignment="1">
      <alignment horizontal="center" vertical="center" wrapText="1"/>
    </xf>
    <xf numFmtId="0" fontId="190" fillId="0" borderId="16" xfId="149" applyFont="1" applyFill="1" applyBorder="1" applyAlignment="1">
      <alignment vertical="center" wrapText="1"/>
    </xf>
    <xf numFmtId="0" fontId="0" fillId="0" borderId="16" xfId="0" applyBorder="1"/>
    <xf numFmtId="0" fontId="60" fillId="0" borderId="207" xfId="0" applyFont="1" applyBorder="1" applyAlignment="1">
      <alignment horizontal="center" vertical="center"/>
    </xf>
    <xf numFmtId="0" fontId="60" fillId="0" borderId="329" xfId="0" applyFont="1" applyBorder="1" applyAlignment="1">
      <alignment vertical="center" wrapText="1"/>
    </xf>
    <xf numFmtId="0" fontId="196" fillId="0" borderId="492" xfId="0" applyFont="1" applyBorder="1" applyAlignment="1">
      <alignment horizontal="center" vertical="center" wrapText="1"/>
    </xf>
    <xf numFmtId="0" fontId="329" fillId="0" borderId="16" xfId="149" applyFont="1" applyFill="1" applyBorder="1" applyAlignment="1">
      <alignment horizontal="center" vertical="center" wrapText="1"/>
    </xf>
    <xf numFmtId="0" fontId="329" fillId="0" borderId="16" xfId="0" applyFont="1" applyFill="1" applyBorder="1" applyAlignment="1">
      <alignment horizontal="center" vertical="center" wrapText="1"/>
    </xf>
    <xf numFmtId="0" fontId="88" fillId="0" borderId="16" xfId="149" applyFont="1" applyFill="1" applyBorder="1" applyAlignment="1">
      <alignment vertical="center" wrapText="1"/>
    </xf>
    <xf numFmtId="0" fontId="50" fillId="0" borderId="462" xfId="0" applyFont="1" applyBorder="1" applyAlignment="1">
      <alignment horizontal="center" vertical="center" wrapText="1"/>
    </xf>
    <xf numFmtId="1" fontId="50" fillId="0" borderId="462" xfId="0" applyNumberFormat="1" applyFont="1" applyBorder="1" applyAlignment="1">
      <alignment horizontal="center" vertical="center" wrapText="1"/>
    </xf>
    <xf numFmtId="0" fontId="50" fillId="0" borderId="459" xfId="0" applyFont="1" applyBorder="1" applyAlignment="1">
      <alignment horizontal="center" vertical="center" wrapText="1"/>
    </xf>
    <xf numFmtId="1" fontId="50" fillId="0" borderId="459" xfId="0" applyNumberFormat="1" applyFont="1" applyBorder="1" applyAlignment="1">
      <alignment horizontal="center" vertical="center" wrapText="1"/>
    </xf>
    <xf numFmtId="0" fontId="61" fillId="0" borderId="0" xfId="616" applyFont="1"/>
    <xf numFmtId="0" fontId="39" fillId="0" borderId="25" xfId="0" applyFont="1" applyBorder="1" applyAlignment="1">
      <alignment vertical="center"/>
    </xf>
    <xf numFmtId="0" fontId="39" fillId="0" borderId="137" xfId="0" applyFont="1" applyFill="1" applyBorder="1" applyAlignment="1">
      <alignment horizontal="center" vertical="center"/>
    </xf>
    <xf numFmtId="0" fontId="39" fillId="0" borderId="134" xfId="0" applyFont="1" applyFill="1" applyBorder="1" applyAlignment="1">
      <alignment horizontal="center" vertical="center"/>
    </xf>
    <xf numFmtId="0" fontId="39" fillId="0" borderId="500" xfId="0" applyFont="1" applyFill="1" applyBorder="1" applyAlignment="1">
      <alignment horizontal="center" vertical="center"/>
    </xf>
    <xf numFmtId="0" fontId="39" fillId="0" borderId="201" xfId="0" applyFont="1" applyFill="1" applyBorder="1" applyAlignment="1">
      <alignment horizontal="center" vertical="center"/>
    </xf>
    <xf numFmtId="0" fontId="39" fillId="0" borderId="498" xfId="0" applyFont="1" applyBorder="1" applyAlignment="1">
      <alignment horizontal="center" vertical="center"/>
    </xf>
    <xf numFmtId="0" fontId="39" fillId="0" borderId="499" xfId="0" applyFont="1" applyBorder="1" applyAlignment="1">
      <alignment horizontal="center"/>
    </xf>
    <xf numFmtId="173" fontId="41" fillId="0" borderId="219" xfId="149" applyNumberFormat="1" applyFont="1" applyBorder="1" applyAlignment="1">
      <alignment horizontal="left" vertical="center"/>
    </xf>
    <xf numFmtId="0" fontId="41" fillId="0" borderId="203" xfId="149" applyFont="1" applyBorder="1" applyAlignment="1">
      <alignment horizontal="center" vertical="center"/>
    </xf>
    <xf numFmtId="3" fontId="41" fillId="0" borderId="260" xfId="149" applyNumberFormat="1" applyFont="1" applyBorder="1" applyAlignment="1">
      <alignment horizontal="center" vertical="center"/>
    </xf>
    <xf numFmtId="0" fontId="39" fillId="0" borderId="0" xfId="616" applyFont="1"/>
    <xf numFmtId="173" fontId="41" fillId="0" borderId="219" xfId="149" applyNumberFormat="1" applyFont="1" applyBorder="1" applyAlignment="1">
      <alignment horizontal="left" vertical="center" wrapText="1"/>
    </xf>
    <xf numFmtId="0" fontId="41" fillId="0" borderId="203" xfId="149" applyFont="1" applyBorder="1" applyAlignment="1">
      <alignment horizontal="center"/>
    </xf>
    <xf numFmtId="3" fontId="41" fillId="0" borderId="260" xfId="149" applyNumberFormat="1" applyFont="1" applyBorder="1" applyAlignment="1">
      <alignment horizontal="center"/>
    </xf>
    <xf numFmtId="173" fontId="41" fillId="0" borderId="133" xfId="0" applyNumberFormat="1" applyFont="1" applyBorder="1" applyAlignment="1">
      <alignment horizontal="left" vertical="center"/>
    </xf>
    <xf numFmtId="3" fontId="41" fillId="0" borderId="135" xfId="0" applyNumberFormat="1" applyFont="1" applyBorder="1" applyAlignment="1">
      <alignment horizontal="center" vertical="center"/>
    </xf>
    <xf numFmtId="3" fontId="41" fillId="0" borderId="180" xfId="0" applyNumberFormat="1" applyFont="1" applyBorder="1" applyAlignment="1">
      <alignment horizontal="center" vertical="center"/>
    </xf>
    <xf numFmtId="173" fontId="41" fillId="0" borderId="133" xfId="0" applyNumberFormat="1" applyFont="1" applyBorder="1" applyAlignment="1">
      <alignment horizontal="left" vertical="center" wrapText="1"/>
    </xf>
    <xf numFmtId="3" fontId="41" fillId="0" borderId="135" xfId="0" applyNumberFormat="1" applyFont="1" applyBorder="1" applyAlignment="1">
      <alignment horizontal="center"/>
    </xf>
    <xf numFmtId="3" fontId="41" fillId="0" borderId="180" xfId="0" applyNumberFormat="1" applyFont="1" applyBorder="1" applyAlignment="1">
      <alignment horizontal="center"/>
    </xf>
    <xf numFmtId="0" fontId="42" fillId="20" borderId="136" xfId="149" applyFont="1" applyFill="1" applyBorder="1" applyAlignment="1">
      <alignment horizontal="center" vertical="center"/>
    </xf>
    <xf numFmtId="3" fontId="42" fillId="43" borderId="181" xfId="149" applyNumberFormat="1" applyFont="1" applyFill="1" applyBorder="1" applyAlignment="1">
      <alignment horizontal="center" vertical="center"/>
    </xf>
    <xf numFmtId="3" fontId="42" fillId="20" borderId="182" xfId="149" applyNumberFormat="1" applyFont="1" applyFill="1" applyBorder="1" applyAlignment="1">
      <alignment horizontal="center" vertical="center"/>
    </xf>
    <xf numFmtId="0" fontId="37" fillId="0" borderId="0" xfId="616"/>
    <xf numFmtId="0" fontId="37" fillId="0" borderId="219" xfId="616" applyFont="1" applyBorder="1" applyAlignment="1">
      <alignment vertical="center" wrapText="1"/>
    </xf>
    <xf numFmtId="0" fontId="37" fillId="0" borderId="133" xfId="616" applyFont="1" applyBorder="1" applyAlignment="1">
      <alignment vertical="center" wrapText="1"/>
    </xf>
    <xf numFmtId="3" fontId="39" fillId="0" borderId="0" xfId="616" applyNumberFormat="1" applyFont="1" applyAlignment="1">
      <alignment horizontal="center" vertical="center"/>
    </xf>
    <xf numFmtId="0" fontId="39" fillId="0" borderId="16" xfId="616" applyFont="1" applyBorder="1" applyAlignment="1">
      <alignment horizontal="center" vertical="center"/>
    </xf>
    <xf numFmtId="171" fontId="151" fillId="37" borderId="459" xfId="0" applyNumberFormat="1" applyFont="1" applyFill="1" applyBorder="1" applyAlignment="1">
      <alignment horizontal="center" vertical="center" wrapText="1"/>
    </xf>
    <xf numFmtId="9" fontId="151" fillId="37" borderId="459" xfId="0" applyNumberFormat="1" applyFont="1" applyFill="1" applyBorder="1" applyAlignment="1">
      <alignment horizontal="center" vertical="center" wrapText="1"/>
    </xf>
    <xf numFmtId="1" fontId="31" fillId="0" borderId="307" xfId="0" applyNumberFormat="1" applyFont="1" applyFill="1" applyBorder="1" applyAlignment="1">
      <alignment horizontal="center"/>
    </xf>
    <xf numFmtId="0" fontId="220" fillId="33" borderId="135" xfId="3786" applyFont="1" applyFill="1" applyBorder="1" applyAlignment="1">
      <alignment horizontal="center" vertical="center"/>
    </xf>
    <xf numFmtId="0" fontId="220" fillId="0" borderId="135" xfId="3786" applyFont="1" applyFill="1" applyBorder="1" applyAlignment="1">
      <alignment horizontal="center" vertical="center"/>
    </xf>
    <xf numFmtId="0" fontId="214" fillId="0" borderId="135" xfId="3786" applyFont="1" applyFill="1" applyBorder="1" applyAlignment="1">
      <alignment horizontal="center" vertical="center"/>
    </xf>
    <xf numFmtId="0" fontId="214" fillId="33" borderId="135" xfId="3786" applyFont="1" applyFill="1" applyBorder="1" applyAlignment="1">
      <alignment horizontal="center" vertical="center"/>
    </xf>
    <xf numFmtId="0" fontId="107" fillId="33" borderId="135" xfId="3786" applyFont="1" applyFill="1" applyBorder="1" applyAlignment="1">
      <alignment horizontal="center" vertical="center"/>
    </xf>
    <xf numFmtId="0" fontId="41" fillId="0" borderId="181" xfId="3786" applyFont="1" applyFill="1" applyBorder="1" applyAlignment="1">
      <alignment horizontal="left" vertical="center"/>
    </xf>
    <xf numFmtId="0" fontId="107" fillId="33" borderId="181" xfId="3786" applyFont="1" applyFill="1" applyBorder="1" applyAlignment="1">
      <alignment horizontal="center" vertical="center"/>
    </xf>
    <xf numFmtId="0" fontId="359" fillId="0" borderId="182" xfId="3786" applyFont="1" applyFill="1" applyBorder="1" applyAlignment="1">
      <alignment horizontal="center" vertical="center" wrapText="1"/>
    </xf>
    <xf numFmtId="0" fontId="41" fillId="33" borderId="186" xfId="3786" applyFont="1" applyFill="1" applyBorder="1" applyAlignment="1">
      <alignment horizontal="center" vertical="center" wrapText="1"/>
    </xf>
    <xf numFmtId="168" fontId="41" fillId="20" borderId="25" xfId="176" applyNumberFormat="1" applyFont="1" applyFill="1" applyBorder="1" applyAlignment="1">
      <alignment horizontal="right" vertical="center" indent="1"/>
    </xf>
    <xf numFmtId="0" fontId="61" fillId="0" borderId="0" xfId="616" applyFont="1" applyBorder="1"/>
    <xf numFmtId="0" fontId="37" fillId="0" borderId="0" xfId="616" applyFont="1" applyBorder="1" applyAlignment="1">
      <alignment vertical="center" wrapText="1"/>
    </xf>
    <xf numFmtId="3" fontId="42" fillId="43" borderId="182" xfId="0" applyNumberFormat="1" applyFont="1" applyFill="1" applyBorder="1" applyAlignment="1">
      <alignment horizontal="center" vertical="center"/>
    </xf>
    <xf numFmtId="0" fontId="220" fillId="0" borderId="0" xfId="0" applyFont="1" applyBorder="1" applyAlignment="1">
      <alignment vertical="center" wrapText="1"/>
    </xf>
    <xf numFmtId="0" fontId="208" fillId="68" borderId="464" xfId="0" applyFont="1" applyFill="1" applyBorder="1" applyAlignment="1">
      <alignment horizontal="center" vertical="center" wrapText="1"/>
    </xf>
    <xf numFmtId="0" fontId="208" fillId="68" borderId="399" xfId="0" applyFont="1" applyFill="1" applyBorder="1" applyAlignment="1">
      <alignment horizontal="center" vertical="center" wrapText="1"/>
    </xf>
    <xf numFmtId="0" fontId="208" fillId="70" borderId="464" xfId="0" applyFont="1" applyFill="1" applyBorder="1" applyAlignment="1">
      <alignment horizontal="center" vertical="center" wrapText="1"/>
    </xf>
    <xf numFmtId="0" fontId="208" fillId="70" borderId="399" xfId="0" applyFont="1" applyFill="1" applyBorder="1" applyAlignment="1">
      <alignment horizontal="center" vertical="center" wrapText="1"/>
    </xf>
    <xf numFmtId="0" fontId="130" fillId="0" borderId="99" xfId="0" applyFont="1" applyBorder="1" applyAlignment="1">
      <alignment horizontal="center" vertical="center" wrapText="1"/>
    </xf>
    <xf numFmtId="0" fontId="130" fillId="0" borderId="13" xfId="0" applyFont="1" applyBorder="1" applyAlignment="1">
      <alignment horizontal="center" vertical="center" wrapText="1"/>
    </xf>
    <xf numFmtId="0" fontId="130" fillId="0" borderId="102" xfId="0" applyFont="1" applyBorder="1" applyAlignment="1">
      <alignment horizontal="center" vertical="center" wrapText="1"/>
    </xf>
    <xf numFmtId="0" fontId="130" fillId="0" borderId="129" xfId="0" applyFont="1" applyBorder="1" applyAlignment="1">
      <alignment horizontal="left" vertical="center" wrapText="1"/>
    </xf>
    <xf numFmtId="0" fontId="130" fillId="0" borderId="102" xfId="0" applyFont="1" applyBorder="1" applyAlignment="1">
      <alignment horizontal="left" vertical="center" wrapText="1"/>
    </xf>
    <xf numFmtId="0" fontId="130" fillId="0" borderId="129" xfId="0" applyFont="1" applyBorder="1" applyAlignment="1">
      <alignment horizontal="center" vertical="center" wrapText="1"/>
    </xf>
    <xf numFmtId="0" fontId="130" fillId="0" borderId="15" xfId="0" applyFont="1" applyBorder="1" applyAlignment="1">
      <alignment horizontal="center" vertical="center" wrapText="1"/>
    </xf>
    <xf numFmtId="0" fontId="130" fillId="0" borderId="99" xfId="0" applyFont="1" applyBorder="1" applyAlignment="1">
      <alignment horizontal="left" vertical="center" wrapText="1"/>
    </xf>
    <xf numFmtId="0" fontId="130" fillId="0" borderId="295" xfId="0" applyFont="1" applyBorder="1" applyAlignment="1">
      <alignment horizontal="center" vertical="center" wrapText="1"/>
    </xf>
    <xf numFmtId="0" fontId="130" fillId="0" borderId="157" xfId="0" applyFont="1" applyBorder="1" applyAlignment="1">
      <alignment horizontal="center" vertical="center" wrapText="1"/>
    </xf>
    <xf numFmtId="0" fontId="130" fillId="0" borderId="291" xfId="0" applyFont="1" applyBorder="1" applyAlignment="1">
      <alignment horizontal="center" vertical="center" wrapText="1"/>
    </xf>
    <xf numFmtId="0" fontId="130" fillId="0" borderId="83" xfId="0" applyFont="1" applyBorder="1" applyAlignment="1">
      <alignment vertical="center" wrapText="1"/>
    </xf>
    <xf numFmtId="0" fontId="43" fillId="0" borderId="0" xfId="0" applyFont="1" applyAlignment="1">
      <alignment horizontal="center" vertical="center"/>
    </xf>
    <xf numFmtId="0" fontId="209" fillId="68" borderId="398" xfId="0" applyFont="1" applyFill="1" applyBorder="1" applyAlignment="1">
      <alignment horizontal="center" vertical="center" wrapText="1"/>
    </xf>
    <xf numFmtId="0" fontId="209" fillId="68" borderId="208" xfId="0" applyFont="1" applyFill="1" applyBorder="1" applyAlignment="1">
      <alignment horizontal="center" vertical="center" wrapText="1"/>
    </xf>
    <xf numFmtId="0" fontId="209" fillId="68" borderId="399" xfId="0" applyFont="1" applyFill="1" applyBorder="1" applyAlignment="1">
      <alignment horizontal="center" vertical="center" wrapText="1"/>
    </xf>
    <xf numFmtId="0" fontId="209" fillId="70" borderId="398" xfId="0" applyFont="1" applyFill="1" applyBorder="1" applyAlignment="1">
      <alignment horizontal="center" vertical="center" wrapText="1"/>
    </xf>
    <xf numFmtId="0" fontId="209" fillId="70" borderId="208" xfId="0" applyFont="1" applyFill="1" applyBorder="1" applyAlignment="1">
      <alignment horizontal="center" vertical="center" wrapText="1"/>
    </xf>
    <xf numFmtId="0" fontId="209" fillId="70" borderId="399" xfId="0" applyFont="1" applyFill="1" applyBorder="1" applyAlignment="1">
      <alignment horizontal="center" vertical="center" wrapText="1"/>
    </xf>
    <xf numFmtId="0" fontId="209" fillId="68" borderId="463" xfId="0" applyFont="1" applyFill="1" applyBorder="1" applyAlignment="1">
      <alignment horizontal="center" vertical="center"/>
    </xf>
    <xf numFmtId="0" fontId="209" fillId="68" borderId="464" xfId="0" applyFont="1" applyFill="1" applyBorder="1" applyAlignment="1">
      <alignment horizontal="center" vertical="center"/>
    </xf>
    <xf numFmtId="0" fontId="209" fillId="68" borderId="419" xfId="0" applyFont="1" applyFill="1" applyBorder="1" applyAlignment="1">
      <alignment horizontal="center" vertical="center"/>
    </xf>
    <xf numFmtId="0" fontId="209" fillId="70" borderId="463" xfId="0" applyFont="1" applyFill="1" applyBorder="1" applyAlignment="1">
      <alignment horizontal="center" vertical="center"/>
    </xf>
    <xf numFmtId="0" fontId="209" fillId="70" borderId="464" xfId="0" applyFont="1" applyFill="1" applyBorder="1" applyAlignment="1">
      <alignment horizontal="center" vertical="center"/>
    </xf>
    <xf numFmtId="0" fontId="209" fillId="70" borderId="419" xfId="0" applyFont="1" applyFill="1" applyBorder="1" applyAlignment="1">
      <alignment horizontal="center" vertical="center"/>
    </xf>
    <xf numFmtId="0" fontId="209" fillId="69" borderId="398" xfId="0" applyFont="1" applyFill="1" applyBorder="1" applyAlignment="1">
      <alignment horizontal="center" vertical="center" wrapText="1"/>
    </xf>
    <xf numFmtId="0" fontId="209" fillId="69" borderId="208" xfId="0" applyFont="1" applyFill="1" applyBorder="1" applyAlignment="1">
      <alignment horizontal="center" vertical="center" wrapText="1"/>
    </xf>
    <xf numFmtId="0" fontId="209" fillId="69" borderId="399" xfId="0" applyFont="1" applyFill="1" applyBorder="1" applyAlignment="1">
      <alignment horizontal="center" vertical="center" wrapText="1"/>
    </xf>
    <xf numFmtId="0" fontId="209" fillId="71" borderId="398" xfId="0" applyFont="1" applyFill="1" applyBorder="1" applyAlignment="1">
      <alignment horizontal="center" vertical="center" wrapText="1"/>
    </xf>
    <xf numFmtId="0" fontId="209" fillId="71" borderId="208" xfId="0" applyFont="1" applyFill="1" applyBorder="1" applyAlignment="1">
      <alignment horizontal="center" vertical="center" wrapText="1"/>
    </xf>
    <xf numFmtId="0" fontId="209" fillId="71" borderId="399" xfId="0" applyFont="1" applyFill="1" applyBorder="1" applyAlignment="1">
      <alignment horizontal="center" vertical="center" wrapText="1"/>
    </xf>
    <xf numFmtId="0" fontId="130" fillId="0" borderId="99"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30" fillId="0" borderId="102" xfId="0" applyFont="1" applyFill="1" applyBorder="1" applyAlignment="1">
      <alignment horizontal="center" vertical="center" wrapText="1"/>
    </xf>
    <xf numFmtId="0" fontId="130" fillId="0" borderId="118" xfId="0" applyFont="1" applyBorder="1" applyAlignment="1">
      <alignment horizontal="center" vertical="center" wrapText="1"/>
    </xf>
    <xf numFmtId="0" fontId="208" fillId="69" borderId="464" xfId="0" applyFont="1" applyFill="1" applyBorder="1" applyAlignment="1">
      <alignment horizontal="center" vertical="center" wrapText="1"/>
    </xf>
    <xf numFmtId="0" fontId="208" fillId="69" borderId="399" xfId="0" applyFont="1" applyFill="1" applyBorder="1" applyAlignment="1">
      <alignment horizontal="center" vertical="center" wrapText="1"/>
    </xf>
    <xf numFmtId="0" fontId="208" fillId="71" borderId="464" xfId="0" applyFont="1" applyFill="1" applyBorder="1" applyAlignment="1">
      <alignment horizontal="center" vertical="center" wrapText="1"/>
    </xf>
    <xf numFmtId="0" fontId="208" fillId="71" borderId="399" xfId="0" applyFont="1" applyFill="1" applyBorder="1" applyAlignment="1">
      <alignment horizontal="center" vertical="center" wrapText="1"/>
    </xf>
    <xf numFmtId="0" fontId="130" fillId="0" borderId="157" xfId="0" applyFont="1" applyFill="1" applyBorder="1" applyAlignment="1">
      <alignment horizontal="center" vertical="center" wrapText="1"/>
    </xf>
    <xf numFmtId="0" fontId="209" fillId="69" borderId="463" xfId="0" applyFont="1" applyFill="1" applyBorder="1" applyAlignment="1">
      <alignment horizontal="center" vertical="center"/>
    </xf>
    <xf numFmtId="0" fontId="209" fillId="69" borderId="347" xfId="0" applyFont="1" applyFill="1" applyBorder="1" applyAlignment="1">
      <alignment horizontal="center" vertical="center"/>
    </xf>
    <xf numFmtId="0" fontId="209" fillId="69" borderId="419" xfId="0" applyFont="1" applyFill="1" applyBorder="1" applyAlignment="1">
      <alignment horizontal="center" vertical="center"/>
    </xf>
    <xf numFmtId="0" fontId="209" fillId="71" borderId="463" xfId="0" applyFont="1" applyFill="1" applyBorder="1" applyAlignment="1">
      <alignment horizontal="center" vertical="center"/>
    </xf>
    <xf numFmtId="0" fontId="209" fillId="71" borderId="464" xfId="0" applyFont="1" applyFill="1" applyBorder="1" applyAlignment="1">
      <alignment horizontal="center" vertical="center"/>
    </xf>
    <xf numFmtId="0" fontId="209" fillId="71" borderId="419" xfId="0" applyFont="1" applyFill="1" applyBorder="1" applyAlignment="1">
      <alignment horizontal="center" vertical="center"/>
    </xf>
    <xf numFmtId="0" fontId="170" fillId="0" borderId="0" xfId="0" applyFont="1" applyAlignment="1">
      <alignment horizontal="center" vertical="center"/>
    </xf>
    <xf numFmtId="0" fontId="43" fillId="0" borderId="0" xfId="0" applyFont="1" applyAlignment="1">
      <alignment horizontal="left" vertical="center"/>
    </xf>
    <xf numFmtId="0" fontId="171" fillId="0" borderId="0" xfId="0" applyFont="1" applyAlignment="1">
      <alignment horizontal="center" vertical="center"/>
    </xf>
    <xf numFmtId="0" fontId="43" fillId="0" borderId="0" xfId="0" applyFont="1" applyAlignment="1">
      <alignment vertical="center"/>
    </xf>
    <xf numFmtId="0" fontId="172" fillId="0" borderId="0" xfId="0" applyFont="1" applyAlignment="1">
      <alignment horizontal="center" vertical="center"/>
    </xf>
    <xf numFmtId="0" fontId="55" fillId="0" borderId="0" xfId="0" applyFont="1" applyAlignment="1">
      <alignment horizontal="right" vertical="center" wrapText="1"/>
    </xf>
    <xf numFmtId="0" fontId="169" fillId="0" borderId="0" xfId="227" applyFont="1" applyAlignment="1">
      <alignment horizontal="center" vertical="center"/>
    </xf>
    <xf numFmtId="0" fontId="173" fillId="0" borderId="93" xfId="227" applyFont="1" applyBorder="1" applyAlignment="1">
      <alignment horizontal="center" vertical="center"/>
    </xf>
    <xf numFmtId="0" fontId="173" fillId="0" borderId="95" xfId="227" applyFont="1" applyBorder="1" applyAlignment="1">
      <alignment horizontal="center" vertical="center"/>
    </xf>
    <xf numFmtId="0" fontId="173" fillId="0" borderId="94" xfId="227" applyFont="1" applyBorder="1" applyAlignment="1">
      <alignment horizontal="center" vertical="center"/>
    </xf>
    <xf numFmtId="0" fontId="39" fillId="0" borderId="150" xfId="0" applyFont="1" applyBorder="1" applyAlignment="1">
      <alignment horizontal="center" vertical="center"/>
    </xf>
    <xf numFmtId="0" fontId="98" fillId="0" borderId="143" xfId="821" applyFont="1" applyBorder="1" applyAlignment="1">
      <alignment horizontal="center" vertical="center"/>
    </xf>
    <xf numFmtId="0" fontId="98" fillId="0" borderId="144" xfId="821" applyFont="1" applyBorder="1" applyAlignment="1">
      <alignment horizontal="center" vertical="center"/>
    </xf>
    <xf numFmtId="0" fontId="48" fillId="0" borderId="93" xfId="0" applyFont="1" applyBorder="1" applyAlignment="1">
      <alignment horizontal="center" vertical="center"/>
    </xf>
    <xf numFmtId="0" fontId="48" fillId="0" borderId="95" xfId="0" applyFont="1" applyBorder="1" applyAlignment="1">
      <alignment horizontal="center" vertical="center"/>
    </xf>
    <xf numFmtId="0" fontId="48" fillId="0" borderId="94" xfId="0" applyFont="1" applyBorder="1" applyAlignment="1">
      <alignment horizontal="center" vertical="center"/>
    </xf>
    <xf numFmtId="0" fontId="98" fillId="0" borderId="93" xfId="238" applyFont="1" applyBorder="1" applyAlignment="1">
      <alignment horizontal="center" vertical="center"/>
    </xf>
    <xf numFmtId="0" fontId="98" fillId="0" borderId="95" xfId="238" applyFont="1" applyBorder="1" applyAlignment="1">
      <alignment horizontal="center" vertical="center"/>
    </xf>
    <xf numFmtId="0" fontId="98" fillId="0" borderId="94" xfId="238" applyFont="1" applyBorder="1" applyAlignment="1">
      <alignment horizontal="center" vertical="center"/>
    </xf>
    <xf numFmtId="0" fontId="96" fillId="0" borderId="93" xfId="0" applyFont="1" applyBorder="1" applyAlignment="1">
      <alignment horizontal="center" vertical="center"/>
    </xf>
    <xf numFmtId="0" fontId="96" fillId="0" borderId="95" xfId="0" applyFont="1" applyBorder="1" applyAlignment="1">
      <alignment horizontal="center" vertical="center"/>
    </xf>
    <xf numFmtId="0" fontId="96" fillId="0" borderId="94" xfId="0" applyFont="1" applyBorder="1" applyAlignment="1">
      <alignment horizontal="center" vertical="center"/>
    </xf>
    <xf numFmtId="0" fontId="79" fillId="0" borderId="93" xfId="238" applyFont="1" applyBorder="1" applyAlignment="1">
      <alignment horizontal="center" vertical="center"/>
    </xf>
    <xf numFmtId="0" fontId="79" fillId="0" borderId="95" xfId="238" applyFont="1" applyBorder="1" applyAlignment="1">
      <alignment horizontal="center" vertical="center"/>
    </xf>
    <xf numFmtId="0" fontId="79" fillId="0" borderId="94" xfId="238" applyFont="1" applyBorder="1" applyAlignment="1">
      <alignment horizontal="center" vertical="center"/>
    </xf>
    <xf numFmtId="0" fontId="96" fillId="33" borderId="333" xfId="0" applyFont="1" applyFill="1" applyBorder="1" applyAlignment="1">
      <alignment horizontal="center" vertical="center"/>
    </xf>
    <xf numFmtId="0" fontId="120" fillId="33" borderId="284" xfId="0" applyFont="1" applyFill="1" applyBorder="1" applyAlignment="1">
      <alignment horizontal="center" vertical="center"/>
    </xf>
    <xf numFmtId="0" fontId="96" fillId="0" borderId="0" xfId="0" applyFont="1" applyAlignment="1">
      <alignment horizontal="center" vertical="center"/>
    </xf>
    <xf numFmtId="0" fontId="308" fillId="28" borderId="0" xfId="0" applyFont="1" applyFill="1" applyAlignment="1">
      <alignment horizontal="center" vertical="center"/>
    </xf>
    <xf numFmtId="0" fontId="98" fillId="0" borderId="0" xfId="173" applyFont="1" applyAlignment="1">
      <alignment horizontal="center" vertical="center"/>
    </xf>
    <xf numFmtId="0" fontId="98" fillId="0" borderId="98" xfId="454" applyFont="1" applyBorder="1" applyAlignment="1">
      <alignment horizontal="center" vertical="center"/>
    </xf>
    <xf numFmtId="0" fontId="79" fillId="0" borderId="0" xfId="454" applyFont="1" applyAlignment="1">
      <alignment horizontal="left" vertical="center" wrapText="1"/>
    </xf>
    <xf numFmtId="0" fontId="79" fillId="0" borderId="16" xfId="454" applyFont="1" applyBorder="1" applyAlignment="1">
      <alignment horizontal="left" vertical="center"/>
    </xf>
    <xf numFmtId="0" fontId="60" fillId="0" borderId="0" xfId="0" applyFont="1" applyAlignment="1">
      <alignment horizontal="right" vertical="center" wrapText="1"/>
    </xf>
    <xf numFmtId="0" fontId="220" fillId="0" borderId="0" xfId="0" applyFont="1" applyBorder="1" applyAlignment="1">
      <alignment horizontal="right" vertical="center" wrapText="1"/>
    </xf>
    <xf numFmtId="0" fontId="39" fillId="0" borderId="0" xfId="0" applyFont="1" applyFill="1" applyAlignment="1">
      <alignment horizontal="left" vertical="center" wrapText="1"/>
    </xf>
    <xf numFmtId="0" fontId="308" fillId="54" borderId="0" xfId="0" applyFont="1" applyFill="1" applyAlignment="1">
      <alignment horizontal="center" vertical="center"/>
    </xf>
    <xf numFmtId="0" fontId="39" fillId="0" borderId="0" xfId="0" applyFont="1" applyAlignment="1">
      <alignment horizontal="left" vertical="center" wrapText="1"/>
    </xf>
    <xf numFmtId="0" fontId="74" fillId="33" borderId="0" xfId="0" applyFont="1" applyFill="1" applyAlignment="1">
      <alignment horizontal="left" wrapText="1"/>
    </xf>
    <xf numFmtId="0" fontId="101" fillId="0" borderId="16" xfId="0" applyFont="1" applyBorder="1" applyAlignment="1">
      <alignment horizontal="center" vertical="center"/>
    </xf>
    <xf numFmtId="0" fontId="174" fillId="0" borderId="16" xfId="0" applyFont="1" applyBorder="1" applyAlignment="1">
      <alignment horizontal="center" vertical="center"/>
    </xf>
    <xf numFmtId="0" fontId="203" fillId="33" borderId="16" xfId="0" applyFont="1" applyFill="1" applyBorder="1" applyAlignment="1">
      <alignment horizontal="center" vertical="center"/>
    </xf>
    <xf numFmtId="0" fontId="49" fillId="0" borderId="0" xfId="0" applyFont="1" applyAlignment="1">
      <alignment horizontal="center" vertical="center" wrapText="1"/>
    </xf>
    <xf numFmtId="0" fontId="39" fillId="0" borderId="0" xfId="0" applyFont="1" applyBorder="1" applyAlignment="1">
      <alignment horizontal="center"/>
    </xf>
    <xf numFmtId="0" fontId="169" fillId="0" borderId="0" xfId="227" applyFont="1" applyAlignment="1">
      <alignment horizontal="center"/>
    </xf>
    <xf numFmtId="0" fontId="132" fillId="0" borderId="0" xfId="451" applyFont="1" applyAlignment="1">
      <alignment horizontal="center" vertical="center"/>
    </xf>
    <xf numFmtId="0" fontId="132" fillId="0" borderId="0" xfId="797" applyFont="1" applyAlignment="1">
      <alignment horizontal="center"/>
    </xf>
    <xf numFmtId="0" fontId="98" fillId="0" borderId="98" xfId="428" applyFont="1" applyBorder="1" applyAlignment="1">
      <alignment horizontal="center"/>
    </xf>
    <xf numFmtId="0" fontId="96" fillId="0" borderId="98" xfId="0" applyFont="1" applyBorder="1" applyAlignment="1">
      <alignment horizontal="center"/>
    </xf>
    <xf numFmtId="0" fontId="175" fillId="0" borderId="98" xfId="227" applyFont="1" applyBorder="1" applyAlignment="1">
      <alignment horizontal="center" vertical="center"/>
    </xf>
    <xf numFmtId="0" fontId="120" fillId="33" borderId="0" xfId="0" applyFont="1" applyFill="1" applyBorder="1" applyAlignment="1">
      <alignment horizontal="center"/>
    </xf>
    <xf numFmtId="0" fontId="39" fillId="0" borderId="208" xfId="0" applyFont="1" applyBorder="1" applyAlignment="1">
      <alignment horizontal="center" vertical="center"/>
    </xf>
    <xf numFmtId="0" fontId="96" fillId="0" borderId="150" xfId="0" applyFont="1" applyBorder="1" applyAlignment="1">
      <alignment horizontal="center"/>
    </xf>
    <xf numFmtId="0" fontId="98" fillId="0" borderId="143" xfId="3783" applyFont="1" applyBorder="1" applyAlignment="1">
      <alignment horizontal="center"/>
    </xf>
    <xf numFmtId="0" fontId="98" fillId="0" borderId="144" xfId="3783" applyFont="1" applyBorder="1" applyAlignment="1">
      <alignment horizontal="center"/>
    </xf>
    <xf numFmtId="0" fontId="98" fillId="0" borderId="148" xfId="3783" applyFont="1" applyBorder="1" applyAlignment="1">
      <alignment horizontal="center"/>
    </xf>
    <xf numFmtId="0" fontId="222" fillId="0" borderId="0" xfId="3799" applyFont="1" applyFill="1" applyBorder="1" applyAlignment="1">
      <alignment horizontal="left" wrapText="1"/>
    </xf>
    <xf numFmtId="0" fontId="175" fillId="0" borderId="0" xfId="227" applyFont="1" applyAlignment="1">
      <alignment horizontal="center"/>
    </xf>
    <xf numFmtId="0" fontId="74" fillId="0" borderId="98" xfId="0" applyFont="1" applyBorder="1" applyAlignment="1">
      <alignment horizontal="center"/>
    </xf>
    <xf numFmtId="0" fontId="74" fillId="0" borderId="0" xfId="0" applyFont="1" applyAlignment="1">
      <alignment horizontal="center"/>
    </xf>
    <xf numFmtId="0" fontId="96" fillId="0" borderId="0" xfId="0" applyFont="1" applyAlignment="1">
      <alignment horizontal="center"/>
    </xf>
    <xf numFmtId="0" fontId="2" fillId="0" borderId="0" xfId="0" applyFont="1" applyAlignment="1">
      <alignment horizontal="right" vertical="center" wrapText="1"/>
    </xf>
    <xf numFmtId="0" fontId="220" fillId="0" borderId="0" xfId="0" applyFont="1" applyAlignment="1">
      <alignment horizontal="left" vertical="center" wrapText="1"/>
    </xf>
    <xf numFmtId="0" fontId="6" fillId="0" borderId="0" xfId="0" applyFont="1" applyAlignment="1">
      <alignment horizontal="center"/>
    </xf>
    <xf numFmtId="0" fontId="168" fillId="0" borderId="0" xfId="0" applyFont="1" applyAlignment="1">
      <alignment horizontal="center"/>
    </xf>
    <xf numFmtId="0" fontId="5" fillId="0" borderId="0" xfId="0" applyFont="1" applyAlignment="1">
      <alignment horizontal="center"/>
    </xf>
    <xf numFmtId="0" fontId="168" fillId="0" borderId="0" xfId="227" applyFont="1" applyAlignment="1">
      <alignment horizontal="center"/>
    </xf>
    <xf numFmtId="0" fontId="132" fillId="0" borderId="0" xfId="453" applyFont="1" applyAlignment="1">
      <alignment horizontal="center"/>
    </xf>
    <xf numFmtId="0" fontId="132" fillId="0" borderId="0" xfId="239" applyFont="1" applyAlignment="1">
      <alignment horizontal="center"/>
    </xf>
    <xf numFmtId="0" fontId="98" fillId="0" borderId="98" xfId="173" applyFont="1" applyBorder="1" applyAlignment="1">
      <alignment horizontal="center"/>
    </xf>
    <xf numFmtId="0" fontId="78" fillId="0" borderId="98" xfId="0" applyFont="1" applyBorder="1" applyAlignment="1">
      <alignment horizontal="center"/>
    </xf>
    <xf numFmtId="0" fontId="180" fillId="0" borderId="98" xfId="227" applyFont="1" applyBorder="1" applyAlignment="1">
      <alignment horizontal="center"/>
    </xf>
    <xf numFmtId="0" fontId="120" fillId="0" borderId="0" xfId="0" applyFont="1" applyBorder="1" applyAlignment="1">
      <alignment horizontal="center"/>
    </xf>
    <xf numFmtId="0" fontId="98" fillId="0" borderId="143" xfId="428" applyFont="1" applyBorder="1" applyAlignment="1">
      <alignment horizontal="center" vertical="center" wrapText="1"/>
    </xf>
    <xf numFmtId="0" fontId="98" fillId="0" borderId="144" xfId="428" applyFont="1" applyBorder="1" applyAlignment="1">
      <alignment horizontal="center" vertical="center" wrapText="1"/>
    </xf>
    <xf numFmtId="0" fontId="98" fillId="0" borderId="148" xfId="428" applyFont="1" applyBorder="1" applyAlignment="1">
      <alignment horizontal="center" vertical="center" wrapText="1"/>
    </xf>
    <xf numFmtId="0" fontId="82" fillId="28" borderId="0" xfId="0" applyFont="1" applyFill="1" applyAlignment="1">
      <alignment horizontal="center" vertical="center"/>
    </xf>
    <xf numFmtId="0" fontId="82" fillId="28" borderId="0" xfId="0" applyFont="1" applyFill="1" applyAlignment="1">
      <alignment horizontal="center"/>
    </xf>
    <xf numFmtId="0" fontId="96" fillId="0" borderId="0" xfId="0" applyFont="1" applyBorder="1" applyAlignment="1">
      <alignment horizontal="center"/>
    </xf>
    <xf numFmtId="0" fontId="74" fillId="0" borderId="150" xfId="0" applyFont="1" applyBorder="1" applyAlignment="1">
      <alignment horizontal="center"/>
    </xf>
    <xf numFmtId="0" fontId="2" fillId="0" borderId="0" xfId="0" applyFont="1" applyAlignment="1">
      <alignment horizontal="right" wrapText="1"/>
    </xf>
    <xf numFmtId="0" fontId="98" fillId="0" borderId="0" xfId="452" applyFont="1" applyAlignment="1">
      <alignment horizontal="center"/>
    </xf>
    <xf numFmtId="0" fontId="98" fillId="0" borderId="0" xfId="428" applyFont="1" applyAlignment="1">
      <alignment horizontal="center"/>
    </xf>
    <xf numFmtId="0" fontId="98" fillId="0" borderId="98" xfId="238" applyFont="1" applyBorder="1" applyAlignment="1">
      <alignment horizontal="center"/>
    </xf>
    <xf numFmtId="0" fontId="125" fillId="0" borderId="98" xfId="0" applyFont="1" applyBorder="1" applyAlignment="1">
      <alignment horizontal="center"/>
    </xf>
    <xf numFmtId="0" fontId="175" fillId="0" borderId="98" xfId="227" applyFont="1" applyBorder="1" applyAlignment="1">
      <alignment horizontal="center"/>
    </xf>
    <xf numFmtId="0" fontId="167" fillId="0" borderId="150" xfId="0" applyFont="1" applyBorder="1" applyAlignment="1">
      <alignment horizontal="center"/>
    </xf>
    <xf numFmtId="0" fontId="98" fillId="0" borderId="143" xfId="3784" applyFont="1" applyBorder="1" applyAlignment="1">
      <alignment horizontal="center"/>
    </xf>
    <xf numFmtId="0" fontId="98" fillId="0" borderId="144" xfId="3784" applyFont="1" applyBorder="1" applyAlignment="1">
      <alignment horizontal="center"/>
    </xf>
    <xf numFmtId="0" fontId="98" fillId="0" borderId="145" xfId="3784" applyFont="1" applyBorder="1" applyAlignment="1">
      <alignment horizontal="center"/>
    </xf>
    <xf numFmtId="0" fontId="39" fillId="0" borderId="208" xfId="0" applyFont="1" applyBorder="1" applyAlignment="1">
      <alignment horizontal="center"/>
    </xf>
    <xf numFmtId="0" fontId="101" fillId="0" borderId="98" xfId="173" applyFont="1" applyBorder="1" applyAlignment="1">
      <alignment horizontal="center" vertical="center"/>
    </xf>
    <xf numFmtId="0" fontId="98" fillId="0" borderId="84" xfId="173" applyFont="1" applyBorder="1" applyAlignment="1">
      <alignment horizontal="center" vertical="center"/>
    </xf>
    <xf numFmtId="0" fontId="98" fillId="0" borderId="78" xfId="173" applyFont="1" applyBorder="1" applyAlignment="1">
      <alignment horizontal="center" vertical="center"/>
    </xf>
    <xf numFmtId="0" fontId="101" fillId="0" borderId="142" xfId="0" applyFont="1" applyBorder="1" applyAlignment="1">
      <alignment horizontal="center" vertical="center"/>
    </xf>
    <xf numFmtId="0" fontId="82" fillId="54" borderId="0" xfId="0" applyFont="1" applyFill="1" applyAlignment="1">
      <alignment horizontal="center" vertical="center"/>
    </xf>
    <xf numFmtId="0" fontId="49" fillId="0" borderId="0" xfId="0" applyFont="1" applyAlignment="1">
      <alignment horizontal="left" vertical="center" wrapText="1"/>
    </xf>
    <xf numFmtId="0" fontId="101" fillId="0" borderId="98" xfId="0" applyFont="1" applyBorder="1" applyAlignment="1">
      <alignment horizontal="center" vertical="center"/>
    </xf>
    <xf numFmtId="0" fontId="119" fillId="0" borderId="16" xfId="238" applyFont="1" applyBorder="1" applyAlignment="1">
      <alignment horizontal="center" vertical="center"/>
    </xf>
    <xf numFmtId="0" fontId="48" fillId="0" borderId="0" xfId="0" applyFont="1" applyAlignment="1">
      <alignment horizontal="left" vertical="center" wrapText="1"/>
    </xf>
    <xf numFmtId="0" fontId="120" fillId="0" borderId="0" xfId="0" applyFont="1" applyAlignment="1">
      <alignment horizontal="left" vertical="center" wrapText="1"/>
    </xf>
    <xf numFmtId="0" fontId="49" fillId="0" borderId="0" xfId="0" applyFont="1" applyAlignment="1">
      <alignment horizontal="left" wrapText="1"/>
    </xf>
    <xf numFmtId="0" fontId="74" fillId="0" borderId="0" xfId="0" applyFont="1" applyAlignment="1">
      <alignment horizontal="left" vertical="center" wrapText="1"/>
    </xf>
    <xf numFmtId="0" fontId="82" fillId="54" borderId="0" xfId="0" applyFont="1" applyFill="1" applyAlignment="1">
      <alignment horizontal="center"/>
    </xf>
    <xf numFmtId="0" fontId="42" fillId="0" borderId="0" xfId="0" applyFont="1" applyAlignment="1">
      <alignment horizontal="center" vertical="center" wrapText="1"/>
    </xf>
    <xf numFmtId="0" fontId="42" fillId="0" borderId="0" xfId="0" applyFont="1" applyAlignment="1">
      <alignment horizontal="left" vertical="center" wrapText="1"/>
    </xf>
    <xf numFmtId="0" fontId="101" fillId="0" borderId="98" xfId="173" applyFont="1" applyBorder="1" applyAlignment="1">
      <alignment horizontal="center" vertical="center" wrapText="1"/>
    </xf>
    <xf numFmtId="0" fontId="101" fillId="0" borderId="142" xfId="173" applyFont="1" applyBorder="1" applyAlignment="1">
      <alignment horizontal="center" vertical="center" wrapText="1"/>
    </xf>
    <xf numFmtId="0" fontId="50" fillId="0" borderId="0" xfId="0" applyFont="1" applyAlignment="1">
      <alignment horizontal="left" vertical="center" wrapText="1"/>
    </xf>
    <xf numFmtId="0" fontId="88" fillId="67" borderId="387" xfId="0" applyFont="1" applyFill="1" applyBorder="1" applyAlignment="1">
      <alignment horizontal="center" vertical="center"/>
    </xf>
    <xf numFmtId="0" fontId="88" fillId="33" borderId="387" xfId="0" applyFont="1" applyFill="1" applyBorder="1" applyAlignment="1">
      <alignment horizontal="center" vertical="center"/>
    </xf>
    <xf numFmtId="0" fontId="60" fillId="0" borderId="387" xfId="452" applyFont="1" applyFill="1" applyBorder="1" applyAlignment="1">
      <alignment horizontal="center" vertical="center"/>
    </xf>
    <xf numFmtId="0" fontId="60" fillId="0" borderId="388" xfId="452" applyFont="1" applyFill="1" applyBorder="1" applyAlignment="1">
      <alignment horizontal="center" vertical="center" wrapText="1"/>
    </xf>
    <xf numFmtId="0" fontId="60" fillId="0" borderId="389" xfId="452" applyFont="1" applyFill="1" applyBorder="1" applyAlignment="1">
      <alignment horizontal="center" vertical="center" wrapText="1"/>
    </xf>
    <xf numFmtId="0" fontId="60" fillId="0" borderId="390" xfId="452" applyFont="1" applyFill="1" applyBorder="1" applyAlignment="1">
      <alignment horizontal="center" vertical="center" wrapText="1"/>
    </xf>
    <xf numFmtId="0" fontId="60" fillId="0" borderId="387" xfId="452" applyFont="1" applyFill="1" applyBorder="1" applyAlignment="1">
      <alignment horizontal="center" vertical="center" wrapText="1"/>
    </xf>
    <xf numFmtId="0" fontId="60" fillId="0" borderId="295" xfId="0" applyFont="1" applyBorder="1" applyAlignment="1">
      <alignment horizontal="center" vertical="center"/>
    </xf>
    <xf numFmtId="0" fontId="60" fillId="0" borderId="329" xfId="0" applyFont="1" applyBorder="1" applyAlignment="1">
      <alignment horizontal="center" vertical="center"/>
    </xf>
    <xf numFmtId="0" fontId="60" fillId="0" borderId="291" xfId="0" applyFont="1" applyBorder="1" applyAlignment="1">
      <alignment horizontal="center" vertical="center"/>
    </xf>
    <xf numFmtId="0" fontId="60" fillId="0" borderId="295" xfId="0" applyFont="1" applyBorder="1" applyAlignment="1">
      <alignment horizontal="center" vertical="center" wrapText="1"/>
    </xf>
    <xf numFmtId="0" fontId="60" fillId="0" borderId="291" xfId="0" applyFont="1" applyBorder="1" applyAlignment="1">
      <alignment horizontal="center" vertical="center" wrapText="1"/>
    </xf>
    <xf numFmtId="0" fontId="88" fillId="0" borderId="0" xfId="0" applyFont="1" applyAlignment="1">
      <alignment horizontal="left" vertical="center" wrapText="1"/>
    </xf>
    <xf numFmtId="0" fontId="60" fillId="0" borderId="0" xfId="0" applyFont="1" applyAlignment="1">
      <alignment horizontal="left" vertical="center" wrapText="1"/>
    </xf>
    <xf numFmtId="0" fontId="88" fillId="43" borderId="391" xfId="0" applyFont="1" applyFill="1" applyBorder="1" applyAlignment="1">
      <alignment horizontal="center"/>
    </xf>
    <xf numFmtId="0" fontId="88" fillId="43" borderId="393" xfId="0" applyFont="1" applyFill="1" applyBorder="1" applyAlignment="1">
      <alignment horizontal="center"/>
    </xf>
    <xf numFmtId="0" fontId="88" fillId="0" borderId="391" xfId="0" applyFont="1" applyBorder="1" applyAlignment="1">
      <alignment horizontal="left" wrapText="1"/>
    </xf>
    <xf numFmtId="0" fontId="88" fillId="0" borderId="392" xfId="0" applyFont="1" applyBorder="1" applyAlignment="1">
      <alignment horizontal="left" wrapText="1"/>
    </xf>
    <xf numFmtId="0" fontId="88" fillId="0" borderId="393" xfId="0" applyFont="1" applyBorder="1" applyAlignment="1">
      <alignment horizontal="left" wrapText="1"/>
    </xf>
    <xf numFmtId="0" fontId="60" fillId="0" borderId="329" xfId="0" applyFont="1" applyBorder="1" applyAlignment="1">
      <alignment horizontal="center" vertical="center" wrapText="1"/>
    </xf>
    <xf numFmtId="0" fontId="73" fillId="0" borderId="0" xfId="0" applyFont="1" applyAlignment="1">
      <alignment horizontal="left" vertical="center" wrapText="1"/>
    </xf>
    <xf numFmtId="0" fontId="97" fillId="34" borderId="93" xfId="0" applyFont="1" applyFill="1" applyBorder="1" applyAlignment="1">
      <alignment horizontal="center" vertical="center" wrapText="1"/>
    </xf>
    <xf numFmtId="0" fontId="226" fillId="20" borderId="92" xfId="0" applyFont="1" applyFill="1" applyBorder="1" applyAlignment="1">
      <alignment horizontal="center" vertical="center" wrapText="1"/>
    </xf>
    <xf numFmtId="0" fontId="50" fillId="0" borderId="164" xfId="0" applyFont="1" applyBorder="1" applyAlignment="1">
      <alignment horizontal="center" vertical="center" wrapText="1"/>
    </xf>
    <xf numFmtId="0" fontId="50" fillId="0" borderId="157" xfId="0" applyFont="1" applyBorder="1" applyAlignment="1">
      <alignment horizontal="center" vertical="center" wrapText="1"/>
    </xf>
    <xf numFmtId="0" fontId="50" fillId="0" borderId="162" xfId="0" applyFont="1" applyBorder="1" applyAlignment="1">
      <alignment horizontal="center" vertical="center" wrapText="1"/>
    </xf>
    <xf numFmtId="0" fontId="96" fillId="0" borderId="115" xfId="0" applyFont="1" applyBorder="1" applyAlignment="1">
      <alignment horizontal="center" vertical="center" wrapText="1"/>
    </xf>
    <xf numFmtId="0" fontId="96" fillId="0" borderId="116" xfId="0" applyFont="1" applyBorder="1" applyAlignment="1">
      <alignment horizontal="center" vertical="center" wrapText="1"/>
    </xf>
    <xf numFmtId="0" fontId="96" fillId="0" borderId="117" xfId="0" applyFont="1" applyBorder="1" applyAlignment="1">
      <alignment horizontal="center" vertical="center" wrapText="1"/>
    </xf>
    <xf numFmtId="0" fontId="98" fillId="0" borderId="0" xfId="0" applyFont="1" applyAlignment="1">
      <alignment horizontal="left" vertical="center" wrapText="1"/>
    </xf>
    <xf numFmtId="0" fontId="50" fillId="0" borderId="259" xfId="0" applyFont="1" applyBorder="1" applyAlignment="1">
      <alignment horizontal="center" vertical="center"/>
    </xf>
    <xf numFmtId="0" fontId="50" fillId="0" borderId="157" xfId="0" applyFont="1" applyBorder="1" applyAlignment="1">
      <alignment horizontal="center" vertical="center"/>
    </xf>
    <xf numFmtId="0" fontId="50" fillId="0" borderId="222" xfId="0" applyFont="1" applyBorder="1" applyAlignment="1">
      <alignment horizontal="center" vertical="center"/>
    </xf>
    <xf numFmtId="0" fontId="50" fillId="0" borderId="164" xfId="0" applyFont="1" applyBorder="1" applyAlignment="1">
      <alignment horizontal="center" vertical="center"/>
    </xf>
    <xf numFmtId="0" fontId="50" fillId="0" borderId="162" xfId="0" applyFont="1" applyBorder="1" applyAlignment="1">
      <alignment horizontal="center" vertical="center"/>
    </xf>
    <xf numFmtId="0" fontId="154" fillId="0" borderId="0" xfId="0" applyFont="1" applyFill="1" applyBorder="1" applyAlignment="1">
      <alignment horizontal="center" vertical="center"/>
    </xf>
    <xf numFmtId="0" fontId="154" fillId="43" borderId="307" xfId="0" applyFont="1" applyFill="1" applyBorder="1" applyAlignment="1">
      <alignment horizontal="center" vertical="center"/>
    </xf>
    <xf numFmtId="0" fontId="154" fillId="43" borderId="247" xfId="0" applyFont="1" applyFill="1" applyBorder="1" applyAlignment="1">
      <alignment horizontal="center" vertical="center"/>
    </xf>
    <xf numFmtId="0" fontId="154" fillId="43" borderId="175" xfId="0" applyFont="1" applyFill="1" applyBorder="1" applyAlignment="1">
      <alignment horizontal="center"/>
    </xf>
    <xf numFmtId="0" fontId="39" fillId="43" borderId="154" xfId="0" applyFont="1" applyFill="1" applyBorder="1" applyAlignment="1">
      <alignment horizontal="center"/>
    </xf>
    <xf numFmtId="0" fontId="81" fillId="43" borderId="303" xfId="0" applyFont="1" applyFill="1" applyBorder="1" applyAlignment="1">
      <alignment horizontal="center" vertical="center" wrapText="1"/>
    </xf>
    <xf numFmtId="0" fontId="81" fillId="43" borderId="152" xfId="0" applyFont="1" applyFill="1" applyBorder="1" applyAlignment="1">
      <alignment horizontal="center" vertical="center" wrapText="1"/>
    </xf>
    <xf numFmtId="0" fontId="60" fillId="0" borderId="175" xfId="0" applyFont="1" applyBorder="1" applyAlignment="1">
      <alignment horizontal="center" vertical="center" wrapText="1"/>
    </xf>
    <xf numFmtId="0" fontId="88" fillId="33" borderId="387" xfId="452" applyFont="1" applyFill="1" applyBorder="1" applyAlignment="1">
      <alignment horizontal="center" vertical="center"/>
    </xf>
    <xf numFmtId="0" fontId="60" fillId="0" borderId="247" xfId="0" applyFont="1" applyBorder="1" applyAlignment="1">
      <alignment horizontal="center" vertical="center"/>
    </xf>
    <xf numFmtId="0" fontId="60" fillId="0" borderId="247" xfId="0" applyFont="1" applyBorder="1" applyAlignment="1">
      <alignment horizontal="center" vertical="center" wrapText="1"/>
    </xf>
    <xf numFmtId="0" fontId="60" fillId="0" borderId="259" xfId="0" applyFont="1" applyBorder="1" applyAlignment="1">
      <alignment horizontal="center" vertical="center"/>
    </xf>
    <xf numFmtId="0" fontId="60" fillId="0" borderId="157" xfId="0" applyFont="1" applyBorder="1" applyAlignment="1">
      <alignment horizontal="center" vertical="center"/>
    </xf>
    <xf numFmtId="0" fontId="60" fillId="0" borderId="259" xfId="0" applyFont="1" applyBorder="1" applyAlignment="1">
      <alignment horizontal="center" vertical="center" wrapText="1"/>
    </xf>
    <xf numFmtId="0" fontId="60" fillId="0" borderId="157" xfId="0" applyFont="1" applyBorder="1" applyAlignment="1">
      <alignment horizontal="center" vertical="center" wrapText="1"/>
    </xf>
    <xf numFmtId="0" fontId="50" fillId="0" borderId="0" xfId="0" applyFont="1" applyAlignment="1">
      <alignment horizontal="left" vertical="top" wrapText="1"/>
    </xf>
    <xf numFmtId="0" fontId="96" fillId="0" borderId="153" xfId="0" applyFont="1" applyBorder="1" applyAlignment="1">
      <alignment horizontal="center" vertical="center"/>
    </xf>
    <xf numFmtId="0" fontId="96" fillId="0" borderId="144" xfId="0" applyFont="1" applyBorder="1" applyAlignment="1">
      <alignment horizontal="center" vertical="center"/>
    </xf>
    <xf numFmtId="0" fontId="96" fillId="0" borderId="152" xfId="0" applyFont="1" applyBorder="1" applyAlignment="1">
      <alignment horizontal="center" vertical="center"/>
    </xf>
    <xf numFmtId="0" fontId="96" fillId="0" borderId="153" xfId="0" applyFont="1" applyBorder="1" applyAlignment="1">
      <alignment horizontal="center"/>
    </xf>
    <xf numFmtId="0" fontId="96" fillId="0" borderId="152" xfId="0" applyFont="1" applyBorder="1" applyAlignment="1">
      <alignment horizontal="center"/>
    </xf>
    <xf numFmtId="0" fontId="96" fillId="0" borderId="0" xfId="0" applyFont="1" applyAlignment="1">
      <alignment horizontal="left" vertical="center" wrapText="1"/>
    </xf>
    <xf numFmtId="0" fontId="96" fillId="20" borderId="115" xfId="0" applyFont="1" applyFill="1" applyBorder="1" applyAlignment="1">
      <alignment horizontal="center" vertical="center"/>
    </xf>
    <xf numFmtId="0" fontId="96" fillId="20" borderId="116" xfId="0" applyFont="1" applyFill="1" applyBorder="1" applyAlignment="1">
      <alignment horizontal="center" vertical="center"/>
    </xf>
    <xf numFmtId="0" fontId="96" fillId="20" borderId="117" xfId="0" applyFont="1" applyFill="1" applyBorder="1" applyAlignment="1">
      <alignment horizontal="center" vertical="center"/>
    </xf>
    <xf numFmtId="0" fontId="96" fillId="0" borderId="115" xfId="0" applyFont="1" applyBorder="1" applyAlignment="1">
      <alignment horizontal="center" vertical="center"/>
    </xf>
    <xf numFmtId="0" fontId="96" fillId="0" borderId="116" xfId="0" applyFont="1" applyBorder="1" applyAlignment="1">
      <alignment horizontal="center" vertical="center"/>
    </xf>
    <xf numFmtId="0" fontId="96" fillId="0" borderId="117" xfId="0" applyFont="1" applyBorder="1" applyAlignment="1">
      <alignment horizontal="center" vertical="center"/>
    </xf>
    <xf numFmtId="0" fontId="60" fillId="0" borderId="299" xfId="0" applyFont="1" applyBorder="1" applyAlignment="1">
      <alignment horizontal="center" vertical="center" wrapText="1"/>
    </xf>
    <xf numFmtId="0" fontId="60" fillId="0" borderId="175" xfId="0" applyFont="1" applyBorder="1" applyAlignment="1">
      <alignment horizontal="center" vertical="center"/>
    </xf>
    <xf numFmtId="0" fontId="60" fillId="0" borderId="177" xfId="0" applyFont="1" applyBorder="1" applyAlignment="1">
      <alignment horizontal="center" vertical="center" wrapText="1"/>
    </xf>
    <xf numFmtId="0" fontId="88" fillId="20" borderId="175" xfId="2459" applyFont="1" applyFill="1" applyBorder="1" applyAlignment="1">
      <alignment horizontal="center"/>
    </xf>
    <xf numFmtId="0" fontId="88" fillId="43" borderId="247" xfId="0" applyFont="1" applyFill="1" applyBorder="1" applyAlignment="1">
      <alignment horizontal="center"/>
    </xf>
    <xf numFmtId="0" fontId="50" fillId="0" borderId="0" xfId="0" applyFont="1"/>
    <xf numFmtId="0" fontId="88" fillId="0" borderId="175" xfId="0" applyFont="1" applyBorder="1" applyAlignment="1">
      <alignment horizontal="center"/>
    </xf>
    <xf numFmtId="0" fontId="88" fillId="20" borderId="326" xfId="2459" applyFont="1" applyFill="1" applyBorder="1" applyAlignment="1">
      <alignment horizontal="center"/>
    </xf>
    <xf numFmtId="0" fontId="88" fillId="20" borderId="303" xfId="2459" applyFont="1" applyFill="1" applyBorder="1" applyAlignment="1">
      <alignment horizontal="center"/>
    </xf>
    <xf numFmtId="0" fontId="88" fillId="20" borderId="299" xfId="2459" applyFont="1" applyFill="1" applyBorder="1" applyAlignment="1">
      <alignment horizontal="center"/>
    </xf>
    <xf numFmtId="0" fontId="88" fillId="0" borderId="297" xfId="0" applyFont="1" applyBorder="1" applyAlignment="1">
      <alignment horizontal="left" wrapText="1"/>
    </xf>
    <xf numFmtId="0" fontId="88" fillId="0" borderId="298" xfId="0" applyFont="1" applyBorder="1" applyAlignment="1">
      <alignment horizontal="left" wrapText="1"/>
    </xf>
    <xf numFmtId="0" fontId="88" fillId="0" borderId="299" xfId="0" applyFont="1" applyBorder="1" applyAlignment="1">
      <alignment horizontal="left" wrapText="1"/>
    </xf>
    <xf numFmtId="0" fontId="88" fillId="20" borderId="247" xfId="2459" applyFont="1" applyFill="1" applyBorder="1" applyAlignment="1">
      <alignment horizontal="center"/>
    </xf>
    <xf numFmtId="0" fontId="154" fillId="43" borderId="391" xfId="0" applyFont="1" applyFill="1" applyBorder="1" applyAlignment="1">
      <alignment horizontal="center"/>
    </xf>
    <xf numFmtId="0" fontId="154" fillId="43" borderId="249" xfId="0" applyFont="1" applyFill="1" applyBorder="1" applyAlignment="1">
      <alignment horizontal="center"/>
    </xf>
    <xf numFmtId="0" fontId="154" fillId="43" borderId="326" xfId="0" applyFont="1" applyFill="1" applyBorder="1" applyAlignment="1">
      <alignment horizontal="center"/>
    </xf>
    <xf numFmtId="0" fontId="154" fillId="43" borderId="299" xfId="0" applyFont="1" applyFill="1" applyBorder="1" applyAlignment="1">
      <alignment horizontal="center"/>
    </xf>
    <xf numFmtId="0" fontId="74" fillId="43" borderId="326" xfId="0" applyFont="1" applyFill="1" applyBorder="1" applyAlignment="1">
      <alignment horizontal="center" vertical="center"/>
    </xf>
    <xf numFmtId="0" fontId="74" fillId="43" borderId="299" xfId="0" applyFont="1" applyFill="1" applyBorder="1" applyAlignment="1">
      <alignment horizontal="center" vertical="center"/>
    </xf>
    <xf numFmtId="0" fontId="31" fillId="0" borderId="307" xfId="3792" applyFont="1" applyFill="1" applyBorder="1" applyAlignment="1">
      <alignment horizontal="center" vertical="center"/>
    </xf>
    <xf numFmtId="0" fontId="31" fillId="0" borderId="307" xfId="3792" applyFont="1" applyFill="1" applyBorder="1" applyAlignment="1">
      <alignment horizontal="center" vertical="center" wrapText="1"/>
    </xf>
    <xf numFmtId="0" fontId="154" fillId="0" borderId="307" xfId="3792" applyFont="1" applyFill="1" applyBorder="1" applyAlignment="1">
      <alignment horizontal="center" vertical="center"/>
    </xf>
    <xf numFmtId="0" fontId="41" fillId="0" borderId="0" xfId="822" applyFont="1" applyAlignment="1">
      <alignment horizontal="left" vertical="center" wrapText="1"/>
    </xf>
    <xf numFmtId="0" fontId="154" fillId="0" borderId="297" xfId="0" applyFont="1" applyBorder="1" applyAlignment="1">
      <alignment horizontal="left"/>
    </xf>
    <xf numFmtId="0" fontId="154" fillId="0" borderId="303" xfId="0" applyFont="1" applyBorder="1" applyAlignment="1">
      <alignment horizontal="left"/>
    </xf>
    <xf numFmtId="0" fontId="154" fillId="0" borderId="299" xfId="0" applyFont="1" applyBorder="1" applyAlignment="1">
      <alignment horizontal="left"/>
    </xf>
    <xf numFmtId="0" fontId="154" fillId="43" borderId="394" xfId="0" applyFont="1" applyFill="1" applyBorder="1" applyAlignment="1">
      <alignment horizontal="center"/>
    </xf>
    <xf numFmtId="0" fontId="154" fillId="43" borderId="258" xfId="0" applyFont="1" applyFill="1" applyBorder="1" applyAlignment="1">
      <alignment horizontal="center"/>
    </xf>
    <xf numFmtId="0" fontId="154" fillId="0" borderId="0" xfId="797" applyFont="1" applyBorder="1" applyAlignment="1">
      <alignment horizontal="center" vertical="center" wrapText="1"/>
    </xf>
    <xf numFmtId="0" fontId="31" fillId="0" borderId="307" xfId="3793" applyFont="1" applyFill="1" applyBorder="1" applyAlignment="1">
      <alignment horizontal="center" vertical="center" wrapText="1"/>
    </xf>
    <xf numFmtId="0" fontId="31" fillId="0" borderId="307" xfId="3793" applyFont="1" applyFill="1" applyBorder="1" applyAlignment="1">
      <alignment horizontal="center" vertical="center"/>
    </xf>
    <xf numFmtId="0" fontId="154" fillId="43" borderId="297" xfId="0" applyFont="1" applyFill="1" applyBorder="1" applyAlignment="1">
      <alignment horizontal="left"/>
    </xf>
    <xf numFmtId="0" fontId="154" fillId="43" borderId="299" xfId="0" applyFont="1" applyFill="1" applyBorder="1" applyAlignment="1">
      <alignment horizontal="left"/>
    </xf>
    <xf numFmtId="0" fontId="31" fillId="0" borderId="308" xfId="797" applyFont="1" applyBorder="1" applyAlignment="1">
      <alignment horizontal="center" wrapText="1"/>
    </xf>
    <xf numFmtId="0" fontId="31" fillId="0" borderId="309" xfId="797" applyFont="1" applyBorder="1" applyAlignment="1">
      <alignment horizontal="center" wrapText="1"/>
    </xf>
    <xf numFmtId="0" fontId="154" fillId="61" borderId="307" xfId="3792" applyFont="1" applyFill="1" applyBorder="1" applyAlignment="1">
      <alignment horizontal="center" vertical="center"/>
    </xf>
    <xf numFmtId="0" fontId="147" fillId="20" borderId="297" xfId="0" applyFont="1" applyFill="1" applyBorder="1" applyAlignment="1">
      <alignment horizontal="center" vertical="center"/>
    </xf>
    <xf numFmtId="0" fontId="147" fillId="20" borderId="299" xfId="0" applyFont="1" applyFill="1" applyBorder="1" applyAlignment="1">
      <alignment horizontal="center" vertical="center"/>
    </xf>
    <xf numFmtId="0" fontId="29" fillId="0" borderId="259" xfId="3792" applyFont="1" applyFill="1" applyBorder="1" applyAlignment="1">
      <alignment horizontal="center" vertical="center"/>
    </xf>
    <xf numFmtId="0" fontId="29" fillId="0" borderId="157" xfId="3792" applyFont="1" applyFill="1" applyBorder="1" applyAlignment="1">
      <alignment horizontal="center" vertical="center"/>
    </xf>
    <xf numFmtId="0" fontId="29" fillId="0" borderId="291" xfId="3792" applyFont="1" applyFill="1" applyBorder="1" applyAlignment="1">
      <alignment horizontal="center" vertical="center"/>
    </xf>
    <xf numFmtId="0" fontId="29" fillId="0" borderId="247" xfId="3792" applyFont="1" applyFill="1" applyBorder="1" applyAlignment="1">
      <alignment horizontal="center" vertical="center" wrapText="1"/>
    </xf>
    <xf numFmtId="0" fontId="0" fillId="0" borderId="0" xfId="822" applyFont="1" applyAlignment="1">
      <alignment horizontal="left" vertical="center" wrapText="1"/>
    </xf>
    <xf numFmtId="0" fontId="37" fillId="0" borderId="0" xfId="822" applyFont="1" applyAlignment="1">
      <alignment horizontal="left" vertical="center" wrapText="1"/>
    </xf>
    <xf numFmtId="0" fontId="29" fillId="0" borderId="247" xfId="3792" applyFont="1" applyFill="1" applyBorder="1" applyAlignment="1">
      <alignment horizontal="center" vertical="center"/>
    </xf>
    <xf numFmtId="0" fontId="39" fillId="43" borderId="297" xfId="0" applyFont="1" applyFill="1" applyBorder="1" applyAlignment="1">
      <alignment horizontal="left"/>
    </xf>
    <xf numFmtId="0" fontId="39" fillId="43" borderId="299" xfId="0" applyFont="1" applyFill="1" applyBorder="1" applyAlignment="1">
      <alignment horizontal="left"/>
    </xf>
    <xf numFmtId="0" fontId="39" fillId="0" borderId="297" xfId="0" applyFont="1" applyBorder="1" applyAlignment="1">
      <alignment horizontal="left"/>
    </xf>
    <xf numFmtId="0" fontId="39" fillId="0" borderId="298" xfId="0" applyFont="1" applyBorder="1" applyAlignment="1">
      <alignment horizontal="left"/>
    </xf>
    <xf numFmtId="0" fontId="39" fillId="0" borderId="299" xfId="0" applyFont="1" applyBorder="1" applyAlignment="1">
      <alignment horizontal="left"/>
    </xf>
    <xf numFmtId="0" fontId="35" fillId="43" borderId="297" xfId="0" applyFont="1" applyFill="1" applyBorder="1" applyAlignment="1">
      <alignment horizontal="center"/>
    </xf>
    <xf numFmtId="0" fontId="35" fillId="43" borderId="299" xfId="0" applyFont="1" applyFill="1" applyBorder="1" applyAlignment="1">
      <alignment horizontal="center"/>
    </xf>
    <xf numFmtId="0" fontId="56" fillId="0" borderId="165" xfId="238" applyFont="1" applyBorder="1" applyAlignment="1">
      <alignment horizontal="center" vertical="center"/>
    </xf>
    <xf numFmtId="0" fontId="56" fillId="0" borderId="169" xfId="238" applyFont="1" applyBorder="1" applyAlignment="1">
      <alignment horizontal="center" vertical="center"/>
    </xf>
    <xf numFmtId="0" fontId="56" fillId="20" borderId="167" xfId="238" applyFont="1" applyFill="1" applyBorder="1" applyAlignment="1">
      <alignment horizontal="center" vertical="center"/>
    </xf>
    <xf numFmtId="0" fontId="56" fillId="20" borderId="162" xfId="238" applyFont="1" applyFill="1" applyBorder="1" applyAlignment="1">
      <alignment horizontal="center" vertical="center"/>
    </xf>
    <xf numFmtId="0" fontId="56" fillId="20" borderId="167" xfId="238" applyFont="1" applyFill="1" applyBorder="1" applyAlignment="1">
      <alignment horizontal="center" vertical="center" wrapText="1"/>
    </xf>
    <xf numFmtId="0" fontId="56" fillId="20" borderId="162" xfId="238" applyFont="1" applyFill="1" applyBorder="1" applyAlignment="1">
      <alignment horizontal="center" vertical="center" wrapText="1"/>
    </xf>
    <xf numFmtId="0" fontId="51" fillId="0" borderId="0" xfId="822" applyAlignment="1">
      <alignment horizontal="left" vertical="center" wrapText="1"/>
    </xf>
    <xf numFmtId="0" fontId="29" fillId="0" borderId="79" xfId="239" applyFont="1" applyBorder="1" applyAlignment="1">
      <alignment horizontal="center" vertical="center"/>
    </xf>
    <xf numFmtId="0" fontId="29" fillId="0" borderId="17" xfId="239" applyFont="1" applyBorder="1" applyAlignment="1">
      <alignment horizontal="center" vertical="center"/>
    </xf>
    <xf numFmtId="0" fontId="29" fillId="0" borderId="175" xfId="239" applyFont="1" applyBorder="1" applyAlignment="1">
      <alignment horizontal="center" vertical="center"/>
    </xf>
    <xf numFmtId="0" fontId="29" fillId="0" borderId="175" xfId="239" applyFont="1" applyBorder="1" applyAlignment="1">
      <alignment horizontal="center" vertical="center" wrapText="1"/>
    </xf>
    <xf numFmtId="0" fontId="29" fillId="0" borderId="30" xfId="239" applyFont="1" applyBorder="1" applyAlignment="1">
      <alignment horizontal="center" vertical="center"/>
    </xf>
    <xf numFmtId="0" fontId="29" fillId="0" borderId="31" xfId="239" applyFont="1" applyBorder="1" applyAlignment="1">
      <alignment horizontal="center" vertical="center"/>
    </xf>
    <xf numFmtId="0" fontId="56" fillId="0" borderId="167" xfId="238" applyFont="1" applyBorder="1" applyAlignment="1">
      <alignment horizontal="center" vertical="center"/>
    </xf>
    <xf numFmtId="0" fontId="56" fillId="0" borderId="157" xfId="238" applyFont="1" applyBorder="1" applyAlignment="1">
      <alignment horizontal="center" vertical="center"/>
    </xf>
    <xf numFmtId="0" fontId="56" fillId="0" borderId="162" xfId="238" applyFont="1" applyBorder="1" applyAlignment="1">
      <alignment horizontal="center" vertical="center"/>
    </xf>
    <xf numFmtId="0" fontId="27" fillId="0" borderId="167" xfId="238" applyFont="1" applyBorder="1" applyAlignment="1">
      <alignment horizontal="center" vertical="center" wrapText="1"/>
    </xf>
    <xf numFmtId="0" fontId="27" fillId="0" borderId="157" xfId="238" applyFont="1" applyBorder="1" applyAlignment="1">
      <alignment horizontal="center" vertical="center" wrapText="1"/>
    </xf>
    <xf numFmtId="0" fontId="27" fillId="0" borderId="162" xfId="238" applyFont="1" applyBorder="1" applyAlignment="1">
      <alignment horizontal="center" vertical="center" wrapText="1"/>
    </xf>
    <xf numFmtId="0" fontId="27" fillId="0" borderId="30" xfId="238" applyFont="1" applyBorder="1" applyAlignment="1">
      <alignment horizontal="center" vertical="center"/>
    </xf>
    <xf numFmtId="0" fontId="27" fillId="0" borderId="17" xfId="238" applyFont="1" applyBorder="1" applyAlignment="1">
      <alignment horizontal="center" vertical="center"/>
    </xf>
    <xf numFmtId="0" fontId="27" fillId="0" borderId="31" xfId="238" applyFont="1" applyBorder="1" applyAlignment="1">
      <alignment horizontal="center" vertical="center"/>
    </xf>
    <xf numFmtId="0" fontId="27" fillId="0" borderId="79" xfId="238" applyFont="1" applyBorder="1" applyAlignment="1">
      <alignment horizontal="center" vertical="center"/>
    </xf>
    <xf numFmtId="0" fontId="27" fillId="0" borderId="20" xfId="238" applyFont="1" applyBorder="1" applyAlignment="1">
      <alignment horizontal="center" vertical="center"/>
    </xf>
    <xf numFmtId="0" fontId="147" fillId="20" borderId="247" xfId="822" applyFont="1" applyFill="1" applyBorder="1" applyAlignment="1">
      <alignment horizontal="center" vertical="center" wrapText="1"/>
    </xf>
    <xf numFmtId="2" fontId="147" fillId="20" borderId="247" xfId="822" applyNumberFormat="1" applyFont="1" applyFill="1" applyBorder="1" applyAlignment="1">
      <alignment horizontal="center" vertical="center" wrapText="1"/>
    </xf>
    <xf numFmtId="0" fontId="147" fillId="20" borderId="247" xfId="822" applyFont="1" applyFill="1" applyBorder="1" applyAlignment="1">
      <alignment horizontal="center"/>
    </xf>
    <xf numFmtId="0" fontId="147" fillId="20" borderId="154" xfId="822" applyFont="1" applyFill="1" applyBorder="1" applyAlignment="1">
      <alignment horizontal="center"/>
    </xf>
    <xf numFmtId="0" fontId="147" fillId="0" borderId="154" xfId="0" applyFont="1" applyBorder="1" applyAlignment="1">
      <alignment horizontal="center" vertical="center"/>
    </xf>
    <xf numFmtId="0" fontId="147" fillId="20" borderId="154" xfId="822" applyFont="1" applyFill="1" applyBorder="1" applyAlignment="1">
      <alignment horizontal="center" vertical="center"/>
    </xf>
    <xf numFmtId="0" fontId="147" fillId="20" borderId="247" xfId="822" applyFont="1" applyFill="1" applyBorder="1" applyAlignment="1">
      <alignment horizontal="center" vertical="center"/>
    </xf>
    <xf numFmtId="0" fontId="147" fillId="0" borderId="161" xfId="0" applyFont="1" applyBorder="1" applyAlignment="1">
      <alignment horizontal="center" vertical="center"/>
    </xf>
    <xf numFmtId="0" fontId="147" fillId="0" borderId="157" xfId="0" applyFont="1" applyBorder="1" applyAlignment="1">
      <alignment horizontal="center" vertical="center"/>
    </xf>
    <xf numFmtId="0" fontId="147" fillId="0" borderId="162" xfId="0" applyFont="1" applyBorder="1" applyAlignment="1">
      <alignment horizontal="center" vertical="center"/>
    </xf>
    <xf numFmtId="0" fontId="45" fillId="0" borderId="247" xfId="0" applyFont="1" applyBorder="1" applyAlignment="1">
      <alignment horizontal="center" vertical="center"/>
    </xf>
    <xf numFmtId="0" fontId="29" fillId="0" borderId="20" xfId="239" applyFont="1" applyBorder="1" applyAlignment="1">
      <alignment horizontal="center" vertical="center"/>
    </xf>
    <xf numFmtId="0" fontId="44" fillId="0" borderId="0" xfId="0" applyFont="1" applyAlignment="1">
      <alignment horizontal="left" vertical="center" wrapText="1"/>
    </xf>
    <xf numFmtId="0" fontId="120" fillId="0" borderId="109" xfId="639" applyFont="1" applyBorder="1" applyAlignment="1">
      <alignment horizontal="center"/>
    </xf>
    <xf numFmtId="0" fontId="66" fillId="0" borderId="0" xfId="822" applyFont="1" applyAlignment="1">
      <alignment horizontal="left" vertical="center" wrapText="1"/>
    </xf>
    <xf numFmtId="0" fontId="44" fillId="20" borderId="154" xfId="0" applyFont="1" applyFill="1" applyBorder="1" applyAlignment="1">
      <alignment horizontal="center" vertical="center" wrapText="1"/>
    </xf>
    <xf numFmtId="0" fontId="147" fillId="20" borderId="161" xfId="822" applyFont="1" applyFill="1" applyBorder="1" applyAlignment="1">
      <alignment horizontal="center" vertical="center" wrapText="1"/>
    </xf>
    <xf numFmtId="0" fontId="147" fillId="20" borderId="162" xfId="822" applyFont="1" applyFill="1" applyBorder="1" applyAlignment="1">
      <alignment horizontal="center" vertical="center" wrapText="1"/>
    </xf>
    <xf numFmtId="2" fontId="147" fillId="20" borderId="161" xfId="822" applyNumberFormat="1" applyFont="1" applyFill="1" applyBorder="1" applyAlignment="1">
      <alignment horizontal="center" vertical="center" wrapText="1"/>
    </xf>
    <xf numFmtId="2" fontId="147" fillId="20" borderId="162" xfId="822" applyNumberFormat="1" applyFont="1" applyFill="1" applyBorder="1" applyAlignment="1">
      <alignment horizontal="center" vertical="center" wrapText="1"/>
    </xf>
    <xf numFmtId="0" fontId="147" fillId="0" borderId="154" xfId="822" applyFont="1" applyBorder="1" applyAlignment="1">
      <alignment horizontal="center" vertical="center"/>
    </xf>
    <xf numFmtId="0" fontId="45" fillId="0" borderId="259" xfId="0" applyFont="1" applyBorder="1" applyAlignment="1">
      <alignment horizontal="center" vertical="center"/>
    </xf>
    <xf numFmtId="0" fontId="45" fillId="0" borderId="157" xfId="0" applyFont="1" applyBorder="1" applyAlignment="1">
      <alignment horizontal="center" vertical="center"/>
    </xf>
    <xf numFmtId="0" fontId="45" fillId="0" borderId="222" xfId="0" applyFont="1" applyBorder="1" applyAlignment="1">
      <alignment horizontal="center" vertical="center"/>
    </xf>
    <xf numFmtId="0" fontId="120" fillId="0" borderId="259" xfId="639" applyFont="1" applyBorder="1" applyAlignment="1">
      <alignment horizontal="center" vertical="center"/>
    </xf>
    <xf numFmtId="0" fontId="120" fillId="0" borderId="157" xfId="639" applyFont="1" applyBorder="1" applyAlignment="1">
      <alignment horizontal="center" vertical="center"/>
    </xf>
    <xf numFmtId="0" fontId="120" fillId="0" borderId="222" xfId="639" applyFont="1" applyBorder="1" applyAlignment="1">
      <alignment horizontal="center" vertical="center"/>
    </xf>
    <xf numFmtId="0" fontId="66" fillId="0" borderId="259" xfId="639" applyFont="1" applyBorder="1" applyAlignment="1">
      <alignment horizontal="center" vertical="center"/>
    </xf>
    <xf numFmtId="0" fontId="66" fillId="0" borderId="157" xfId="639" applyFont="1" applyBorder="1" applyAlignment="1">
      <alignment horizontal="center" vertical="center"/>
    </xf>
    <xf numFmtId="0" fontId="66" fillId="0" borderId="222" xfId="639" applyFont="1" applyBorder="1" applyAlignment="1">
      <alignment horizontal="center" vertical="center"/>
    </xf>
    <xf numFmtId="0" fontId="35" fillId="20" borderId="176" xfId="0" applyFont="1" applyFill="1" applyBorder="1" applyAlignment="1">
      <alignment horizontal="center"/>
    </xf>
    <xf numFmtId="0" fontId="35" fillId="20" borderId="168" xfId="0" applyFont="1" applyFill="1" applyBorder="1" applyAlignment="1">
      <alignment horizontal="center"/>
    </xf>
    <xf numFmtId="0" fontId="35" fillId="20" borderId="177" xfId="0" applyFont="1" applyFill="1" applyBorder="1" applyAlignment="1">
      <alignment horizontal="center"/>
    </xf>
    <xf numFmtId="0" fontId="86" fillId="0" borderId="120" xfId="0" applyFont="1" applyBorder="1" applyAlignment="1">
      <alignment horizontal="right" vertical="center" wrapText="1"/>
    </xf>
    <xf numFmtId="0" fontId="86" fillId="0" borderId="0" xfId="0" applyFont="1" applyBorder="1" applyAlignment="1">
      <alignment horizontal="right" vertical="center" wrapText="1"/>
    </xf>
    <xf numFmtId="0" fontId="41" fillId="0" borderId="424" xfId="0" applyFont="1" applyFill="1" applyBorder="1" applyAlignment="1">
      <alignment horizontal="center" vertical="center" wrapText="1"/>
    </xf>
    <xf numFmtId="0" fontId="41" fillId="0" borderId="137" xfId="0" applyFont="1" applyBorder="1" applyAlignment="1">
      <alignment horizontal="center" vertical="center" wrapText="1"/>
    </xf>
    <xf numFmtId="0" fontId="41" fillId="0" borderId="423" xfId="0" applyFont="1" applyBorder="1" applyAlignment="1">
      <alignment horizontal="center" vertical="center" wrapText="1"/>
    </xf>
    <xf numFmtId="0" fontId="41" fillId="0" borderId="140" xfId="0" applyFont="1" applyBorder="1" applyAlignment="1">
      <alignment horizontal="center" vertical="center" wrapText="1"/>
    </xf>
    <xf numFmtId="0" fontId="41" fillId="0" borderId="133" xfId="0" applyFont="1" applyBorder="1" applyAlignment="1">
      <alignment horizontal="center" vertical="center" wrapText="1"/>
    </xf>
    <xf numFmtId="0" fontId="41" fillId="0" borderId="136" xfId="0" applyFont="1" applyBorder="1" applyAlignment="1">
      <alignment horizontal="center" vertical="center" wrapText="1"/>
    </xf>
    <xf numFmtId="0" fontId="41" fillId="0" borderId="132" xfId="0" applyFont="1" applyFill="1" applyBorder="1" applyAlignment="1">
      <alignment horizontal="center" vertical="center" wrapText="1"/>
    </xf>
    <xf numFmtId="0" fontId="41" fillId="0" borderId="133" xfId="0" applyFont="1" applyFill="1" applyBorder="1" applyAlignment="1">
      <alignment horizontal="center" vertical="center" wrapText="1"/>
    </xf>
    <xf numFmtId="0" fontId="41" fillId="0" borderId="136" xfId="0" applyFont="1" applyFill="1" applyBorder="1" applyAlignment="1">
      <alignment horizontal="center" vertical="center" wrapText="1"/>
    </xf>
    <xf numFmtId="0" fontId="41" fillId="0" borderId="132" xfId="0" applyFont="1" applyBorder="1" applyAlignment="1">
      <alignment horizontal="center" vertical="center" wrapText="1"/>
    </xf>
    <xf numFmtId="0" fontId="86" fillId="0" borderId="0" xfId="0" applyFont="1" applyAlignment="1">
      <alignment horizontal="left" vertical="center" wrapText="1"/>
    </xf>
    <xf numFmtId="0" fontId="41" fillId="55" borderId="137" xfId="0" applyFont="1" applyFill="1" applyBorder="1" applyAlignment="1">
      <alignment horizontal="center" vertical="center" wrapText="1"/>
    </xf>
    <xf numFmtId="0" fontId="41" fillId="55" borderId="423" xfId="0" applyFont="1" applyFill="1" applyBorder="1" applyAlignment="1">
      <alignment horizontal="center" vertical="center" wrapText="1"/>
    </xf>
    <xf numFmtId="0" fontId="41" fillId="0" borderId="425" xfId="0" applyFont="1" applyFill="1" applyBorder="1" applyAlignment="1">
      <alignment horizontal="center" vertical="center" wrapText="1"/>
    </xf>
    <xf numFmtId="0" fontId="41" fillId="0" borderId="137" xfId="0" applyFont="1" applyFill="1" applyBorder="1" applyAlignment="1">
      <alignment horizontal="center" vertical="center" wrapText="1"/>
    </xf>
    <xf numFmtId="0" fontId="41" fillId="0" borderId="423" xfId="0" applyFont="1" applyFill="1" applyBorder="1" applyAlignment="1">
      <alignment horizontal="center" vertical="center" wrapText="1"/>
    </xf>
    <xf numFmtId="0" fontId="41" fillId="55" borderId="425" xfId="0" applyFont="1" applyFill="1" applyBorder="1" applyAlignment="1">
      <alignment horizontal="center" vertical="center" wrapText="1"/>
    </xf>
    <xf numFmtId="0" fontId="41" fillId="55" borderId="424" xfId="0" applyFont="1" applyFill="1" applyBorder="1" applyAlignment="1">
      <alignment horizontal="center" vertical="center" wrapText="1"/>
    </xf>
    <xf numFmtId="0" fontId="5" fillId="0" borderId="0" xfId="576" applyFont="1" applyBorder="1" applyAlignment="1">
      <alignment horizontal="center" vertical="center"/>
    </xf>
    <xf numFmtId="0" fontId="79" fillId="0" borderId="0" xfId="576" applyFont="1" applyFill="1" applyBorder="1" applyAlignment="1">
      <alignment horizontal="center" vertical="center"/>
    </xf>
    <xf numFmtId="0" fontId="79" fillId="0" borderId="0" xfId="576" applyFont="1" applyFill="1" applyBorder="1" applyAlignment="1">
      <alignment horizontal="center" vertical="center" wrapText="1"/>
    </xf>
    <xf numFmtId="0" fontId="41" fillId="0" borderId="424" xfId="0" applyFont="1" applyBorder="1" applyAlignment="1">
      <alignment horizontal="center" vertical="center" wrapText="1"/>
    </xf>
    <xf numFmtId="0" fontId="41" fillId="0" borderId="140" xfId="3786" applyFont="1" applyFill="1" applyBorder="1" applyAlignment="1">
      <alignment horizontal="center" vertical="center" wrapText="1"/>
    </xf>
    <xf numFmtId="0" fontId="41" fillId="0" borderId="133" xfId="3786" applyFont="1" applyFill="1" applyBorder="1" applyAlignment="1">
      <alignment horizontal="center" vertical="center" wrapText="1"/>
    </xf>
    <xf numFmtId="0" fontId="41" fillId="0" borderId="136" xfId="3786" applyFont="1" applyFill="1" applyBorder="1" applyAlignment="1">
      <alignment horizontal="center" vertical="center" wrapText="1"/>
    </xf>
    <xf numFmtId="0" fontId="41" fillId="0" borderId="178" xfId="3786" applyFont="1" applyFill="1" applyBorder="1" applyAlignment="1">
      <alignment horizontal="center" vertical="center" wrapText="1"/>
    </xf>
    <xf numFmtId="0" fontId="41" fillId="0" borderId="135" xfId="3786" applyFont="1" applyFill="1" applyBorder="1" applyAlignment="1">
      <alignment horizontal="center" vertical="center" wrapText="1"/>
    </xf>
    <xf numFmtId="0" fontId="41" fillId="33" borderId="135" xfId="3786" applyFont="1" applyFill="1" applyBorder="1" applyAlignment="1">
      <alignment horizontal="center" vertical="center" wrapText="1"/>
    </xf>
    <xf numFmtId="0" fontId="41" fillId="33" borderId="181" xfId="3786" applyFont="1" applyFill="1" applyBorder="1" applyAlignment="1">
      <alignment horizontal="center" vertical="center" wrapText="1"/>
    </xf>
    <xf numFmtId="0" fontId="41" fillId="0" borderId="425" xfId="3786" applyFont="1" applyFill="1" applyBorder="1" applyAlignment="1">
      <alignment horizontal="center" vertical="center" wrapText="1"/>
    </xf>
    <xf numFmtId="0" fontId="41" fillId="0" borderId="137" xfId="3786" applyFont="1" applyFill="1" applyBorder="1" applyAlignment="1">
      <alignment horizontal="center" vertical="center" wrapText="1"/>
    </xf>
    <xf numFmtId="0" fontId="41" fillId="0" borderId="423" xfId="3786" applyFont="1" applyFill="1" applyBorder="1" applyAlignment="1">
      <alignment horizontal="center" vertical="center" wrapText="1"/>
    </xf>
    <xf numFmtId="0" fontId="41" fillId="33" borderId="188" xfId="3786" applyFont="1" applyFill="1" applyBorder="1" applyAlignment="1">
      <alignment horizontal="center" vertical="center" wrapText="1"/>
    </xf>
    <xf numFmtId="0" fontId="41" fillId="33" borderId="134" xfId="3786" applyFont="1" applyFill="1" applyBorder="1" applyAlignment="1">
      <alignment horizontal="center" vertical="center" wrapText="1"/>
    </xf>
    <xf numFmtId="0" fontId="41" fillId="33" borderId="178" xfId="3786" applyFont="1" applyFill="1" applyBorder="1" applyAlignment="1">
      <alignment horizontal="center" vertical="center" wrapText="1"/>
    </xf>
    <xf numFmtId="0" fontId="41" fillId="0" borderId="188" xfId="3786" applyFont="1" applyFill="1" applyBorder="1" applyAlignment="1">
      <alignment horizontal="center" vertical="center" wrapText="1"/>
    </xf>
    <xf numFmtId="0" fontId="41" fillId="0" borderId="134" xfId="3786" applyFont="1" applyFill="1" applyBorder="1" applyAlignment="1">
      <alignment horizontal="center" vertical="center" wrapText="1"/>
    </xf>
    <xf numFmtId="0" fontId="41" fillId="0" borderId="431" xfId="3786" applyFont="1" applyFill="1" applyBorder="1" applyAlignment="1">
      <alignment horizontal="center" vertical="center" wrapText="1"/>
    </xf>
    <xf numFmtId="0" fontId="41" fillId="33" borderId="432" xfId="3786" applyFont="1" applyFill="1" applyBorder="1" applyAlignment="1">
      <alignment horizontal="center" vertical="center" wrapText="1"/>
    </xf>
    <xf numFmtId="0" fontId="41" fillId="0" borderId="434" xfId="3786" applyFont="1" applyFill="1" applyBorder="1" applyAlignment="1">
      <alignment horizontal="center" vertical="center" wrapText="1"/>
    </xf>
    <xf numFmtId="0" fontId="41" fillId="0" borderId="432" xfId="3786" applyFont="1" applyFill="1" applyBorder="1" applyAlignment="1">
      <alignment horizontal="center" vertical="center" wrapText="1"/>
    </xf>
    <xf numFmtId="3" fontId="79" fillId="20" borderId="0" xfId="142" applyNumberFormat="1" applyFont="1" applyFill="1" applyBorder="1" applyAlignment="1">
      <alignment horizontal="center" vertical="center"/>
    </xf>
    <xf numFmtId="3" fontId="79" fillId="20" borderId="464" xfId="142" applyNumberFormat="1" applyFont="1" applyFill="1" applyBorder="1" applyAlignment="1">
      <alignment horizontal="center" vertical="center"/>
    </xf>
    <xf numFmtId="0" fontId="50" fillId="0" borderId="120" xfId="142" applyFont="1" applyBorder="1" applyAlignment="1">
      <alignment horizontal="left" vertical="center" wrapText="1"/>
    </xf>
    <xf numFmtId="0" fontId="50" fillId="0" borderId="0" xfId="142" applyFont="1" applyBorder="1" applyAlignment="1">
      <alignment horizontal="left" vertical="center" wrapText="1"/>
    </xf>
    <xf numFmtId="0" fontId="41" fillId="0" borderId="372" xfId="3786" applyFont="1" applyFill="1" applyBorder="1" applyAlignment="1">
      <alignment horizontal="center" vertical="center" wrapText="1"/>
    </xf>
    <xf numFmtId="0" fontId="41" fillId="0" borderId="193" xfId="3786" applyFont="1" applyFill="1" applyBorder="1" applyAlignment="1">
      <alignment horizontal="center" vertical="center" wrapText="1"/>
    </xf>
    <xf numFmtId="0" fontId="41" fillId="33" borderId="431" xfId="3786" applyFont="1" applyFill="1" applyBorder="1" applyAlignment="1">
      <alignment horizontal="center" vertical="center" wrapText="1"/>
    </xf>
    <xf numFmtId="0" fontId="79" fillId="0" borderId="0" xfId="142" applyFont="1" applyFill="1" applyBorder="1" applyAlignment="1">
      <alignment horizontal="center" vertical="center"/>
    </xf>
    <xf numFmtId="0" fontId="42" fillId="0" borderId="0" xfId="142" applyFont="1" applyFill="1" applyBorder="1" applyAlignment="1">
      <alignment horizontal="center" vertical="center"/>
    </xf>
    <xf numFmtId="0" fontId="41" fillId="0" borderId="424" xfId="3786" applyFont="1" applyFill="1" applyBorder="1" applyAlignment="1">
      <alignment horizontal="center" vertical="center" wrapText="1"/>
    </xf>
    <xf numFmtId="0" fontId="41" fillId="0" borderId="181" xfId="3786" applyFont="1" applyFill="1" applyBorder="1" applyAlignment="1">
      <alignment horizontal="center" vertical="center" wrapText="1"/>
    </xf>
    <xf numFmtId="0" fontId="41" fillId="0" borderId="433" xfId="3786" applyFont="1" applyFill="1" applyBorder="1" applyAlignment="1">
      <alignment horizontal="center" vertical="center" wrapText="1"/>
    </xf>
    <xf numFmtId="0" fontId="86" fillId="0" borderId="0" xfId="246" applyFont="1" applyAlignment="1">
      <alignment horizontal="center" vertical="center" wrapText="1"/>
    </xf>
    <xf numFmtId="0" fontId="345" fillId="0" borderId="417" xfId="246" applyFont="1" applyBorder="1" applyAlignment="1">
      <alignment horizontal="center" vertical="top" wrapText="1"/>
    </xf>
    <xf numFmtId="0" fontId="42" fillId="20" borderId="417" xfId="246" applyFont="1" applyFill="1" applyBorder="1" applyAlignment="1">
      <alignment horizontal="center" vertical="top" wrapText="1"/>
    </xf>
    <xf numFmtId="0" fontId="207" fillId="0" borderId="0" xfId="0" applyFont="1" applyAlignment="1">
      <alignment vertical="top" wrapText="1"/>
    </xf>
    <xf numFmtId="0" fontId="50" fillId="0" borderId="0" xfId="0" applyFont="1" applyFill="1" applyBorder="1" applyAlignment="1">
      <alignment horizontal="center" vertical="center" wrapText="1"/>
    </xf>
    <xf numFmtId="0" fontId="50" fillId="0" borderId="16" xfId="0" applyFont="1" applyFill="1" applyBorder="1" applyAlignment="1">
      <alignment horizontal="center" vertical="center" wrapText="1"/>
    </xf>
    <xf numFmtId="0" fontId="207" fillId="0" borderId="0" xfId="0" applyFont="1" applyAlignment="1">
      <alignment horizontal="right" vertical="top" wrapText="1"/>
    </xf>
    <xf numFmtId="170" fontId="176" fillId="0" borderId="208" xfId="217" applyNumberFormat="1" applyFont="1" applyFill="1" applyBorder="1" applyAlignment="1">
      <alignment horizontal="center" vertical="center"/>
    </xf>
    <xf numFmtId="0" fontId="3" fillId="0" borderId="0" xfId="0" applyFont="1" applyAlignment="1">
      <alignment horizontal="right" vertical="center" wrapText="1"/>
    </xf>
    <xf numFmtId="0" fontId="79" fillId="0" borderId="0"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5" fillId="0" borderId="11" xfId="149" applyFont="1" applyBorder="1" applyAlignment="1">
      <alignment horizontal="center" vertical="center" wrapText="1"/>
    </xf>
    <xf numFmtId="0" fontId="5" fillId="0" borderId="252" xfId="149" applyFont="1" applyBorder="1" applyAlignment="1">
      <alignment horizontal="center" vertical="center" wrapText="1"/>
    </xf>
    <xf numFmtId="0" fontId="176" fillId="0" borderId="208" xfId="0" applyFont="1" applyBorder="1" applyAlignment="1">
      <alignment horizontal="center" vertical="center"/>
    </xf>
    <xf numFmtId="1" fontId="40" fillId="0" borderId="208" xfId="173" applyNumberFormat="1" applyFont="1" applyFill="1" applyBorder="1" applyAlignment="1">
      <alignment horizontal="center" vertical="center" wrapText="1"/>
    </xf>
    <xf numFmtId="1" fontId="40" fillId="0" borderId="105" xfId="173" applyNumberFormat="1" applyFont="1" applyFill="1" applyBorder="1" applyAlignment="1">
      <alignment horizontal="center" vertical="center" wrapText="1"/>
    </xf>
    <xf numFmtId="1" fontId="41" fillId="0" borderId="0" xfId="173" applyNumberFormat="1" applyFont="1" applyFill="1" applyBorder="1" applyAlignment="1">
      <alignment horizontal="center" vertical="center" wrapText="1"/>
    </xf>
    <xf numFmtId="1" fontId="40" fillId="0" borderId="0" xfId="173" applyNumberFormat="1" applyFont="1" applyFill="1" applyBorder="1" applyAlignment="1">
      <alignment horizontal="center" vertical="center" wrapText="1"/>
    </xf>
    <xf numFmtId="1" fontId="40" fillId="0" borderId="16" xfId="173" applyNumberFormat="1" applyFont="1" applyFill="1" applyBorder="1" applyAlignment="1">
      <alignment horizontal="center" vertical="center" wrapText="1"/>
    </xf>
    <xf numFmtId="0" fontId="61" fillId="0" borderId="0" xfId="0" applyFont="1" applyAlignment="1">
      <alignment horizontal="right" vertical="center" wrapText="1"/>
    </xf>
    <xf numFmtId="1" fontId="42" fillId="0" borderId="0" xfId="173" applyNumberFormat="1" applyFont="1" applyFill="1" applyBorder="1" applyAlignment="1">
      <alignment horizontal="center" vertical="center" wrapText="1"/>
    </xf>
    <xf numFmtId="1" fontId="42" fillId="0" borderId="16" xfId="173" applyNumberFormat="1" applyFont="1" applyFill="1" applyBorder="1" applyAlignment="1">
      <alignment horizontal="center" vertical="center" wrapText="1"/>
    </xf>
    <xf numFmtId="0" fontId="45" fillId="0" borderId="10" xfId="0" applyFont="1" applyBorder="1" applyAlignment="1">
      <alignment horizontal="left" vertical="center" wrapText="1"/>
    </xf>
    <xf numFmtId="0" fontId="45" fillId="0" borderId="0" xfId="0" applyFont="1" applyBorder="1" applyAlignment="1">
      <alignment horizontal="left" vertical="center" wrapText="1"/>
    </xf>
    <xf numFmtId="167" fontId="41" fillId="0" borderId="138" xfId="197" applyNumberFormat="1" applyFont="1" applyBorder="1" applyAlignment="1">
      <alignment horizontal="center" vertical="center"/>
    </xf>
    <xf numFmtId="167" fontId="41" fillId="0" borderId="257" xfId="197" applyNumberFormat="1" applyFont="1" applyBorder="1" applyAlignment="1">
      <alignment horizontal="center" vertical="center"/>
    </xf>
    <xf numFmtId="167" fontId="41" fillId="0" borderId="256" xfId="197" applyNumberFormat="1" applyFont="1" applyBorder="1" applyAlignment="1">
      <alignment horizontal="center" vertical="center"/>
    </xf>
    <xf numFmtId="0" fontId="42" fillId="20" borderId="208" xfId="229" applyFont="1" applyFill="1" applyBorder="1" applyAlignment="1">
      <alignment horizontal="center" vertical="center"/>
    </xf>
    <xf numFmtId="167" fontId="41" fillId="0" borderId="137" xfId="197" applyNumberFormat="1" applyFont="1" applyBorder="1" applyAlignment="1">
      <alignment horizontal="center" vertical="center" wrapText="1"/>
    </xf>
    <xf numFmtId="167" fontId="41" fillId="0" borderId="138" xfId="197" applyNumberFormat="1" applyFont="1" applyBorder="1" applyAlignment="1">
      <alignment horizontal="center" vertical="center" wrapText="1"/>
    </xf>
    <xf numFmtId="167" fontId="41" fillId="0" borderId="256" xfId="197" applyNumberFormat="1" applyFont="1" applyBorder="1" applyAlignment="1">
      <alignment horizontal="center" vertical="center" wrapText="1"/>
    </xf>
    <xf numFmtId="167" fontId="113" fillId="20" borderId="208" xfId="197" applyNumberFormat="1" applyFont="1" applyFill="1" applyBorder="1" applyAlignment="1">
      <alignment horizontal="center" vertical="center" wrapText="1"/>
    </xf>
    <xf numFmtId="167" fontId="41" fillId="0" borderId="137" xfId="197" applyNumberFormat="1" applyFont="1" applyBorder="1" applyAlignment="1">
      <alignment horizontal="center" vertical="center"/>
    </xf>
    <xf numFmtId="0" fontId="108" fillId="20" borderId="208" xfId="229" applyFont="1" applyFill="1" applyBorder="1" applyAlignment="1">
      <alignment horizontal="center" vertical="center"/>
    </xf>
    <xf numFmtId="0" fontId="110" fillId="20" borderId="208" xfId="229" applyFont="1" applyFill="1" applyBorder="1" applyAlignment="1">
      <alignment horizontal="center" vertical="center"/>
    </xf>
    <xf numFmtId="0" fontId="105" fillId="20" borderId="208" xfId="229" applyFont="1" applyFill="1" applyBorder="1" applyAlignment="1">
      <alignment horizontal="center" vertical="center"/>
    </xf>
    <xf numFmtId="0" fontId="106" fillId="20" borderId="208" xfId="229" applyFont="1" applyFill="1" applyBorder="1" applyAlignment="1">
      <alignment horizontal="center" vertical="center"/>
    </xf>
    <xf numFmtId="0" fontId="176" fillId="0" borderId="0" xfId="229" applyFont="1" applyBorder="1" applyAlignment="1">
      <alignment horizontal="center" vertical="center"/>
    </xf>
    <xf numFmtId="0" fontId="176" fillId="0" borderId="333" xfId="149" applyFont="1" applyBorder="1" applyAlignment="1">
      <alignment horizontal="center" vertical="center"/>
    </xf>
    <xf numFmtId="0" fontId="2" fillId="0" borderId="0" xfId="149" applyFont="1" applyAlignment="1">
      <alignment horizontal="right" vertical="center" wrapText="1"/>
    </xf>
    <xf numFmtId="0" fontId="113" fillId="22" borderId="404" xfId="173" applyFont="1" applyFill="1" applyBorder="1" applyAlignment="1">
      <alignment horizontal="center" vertical="center" wrapText="1"/>
    </xf>
    <xf numFmtId="0" fontId="113" fillId="22" borderId="416" xfId="173" applyFont="1" applyFill="1" applyBorder="1" applyAlignment="1">
      <alignment horizontal="center" vertical="center" wrapText="1"/>
    </xf>
    <xf numFmtId="0" fontId="113" fillId="22" borderId="430" xfId="173" applyFont="1" applyFill="1" applyBorder="1" applyAlignment="1">
      <alignment horizontal="center" vertical="center" wrapText="1"/>
    </xf>
    <xf numFmtId="0" fontId="79" fillId="20" borderId="404" xfId="173" applyFont="1" applyFill="1" applyBorder="1" applyAlignment="1">
      <alignment horizontal="center" vertical="center" wrapText="1"/>
    </xf>
    <xf numFmtId="0" fontId="79" fillId="20" borderId="416" xfId="173" applyFont="1" applyFill="1" applyBorder="1" applyAlignment="1">
      <alignment horizontal="center" vertical="center" wrapText="1"/>
    </xf>
    <xf numFmtId="0" fontId="79" fillId="20" borderId="430" xfId="173" applyFont="1" applyFill="1" applyBorder="1" applyAlignment="1">
      <alignment horizontal="center" vertical="center" wrapText="1"/>
    </xf>
    <xf numFmtId="0" fontId="42" fillId="20" borderId="113" xfId="173" applyFont="1" applyFill="1" applyBorder="1" applyAlignment="1">
      <alignment horizontal="center" vertical="center" wrapText="1"/>
    </xf>
    <xf numFmtId="0" fontId="42" fillId="20" borderId="223" xfId="173" applyFont="1" applyFill="1" applyBorder="1" applyAlignment="1">
      <alignment horizontal="center" vertical="center" wrapText="1"/>
    </xf>
    <xf numFmtId="0" fontId="110" fillId="22" borderId="464" xfId="173" applyFont="1" applyFill="1" applyBorder="1" applyAlignment="1">
      <alignment horizontal="center" vertical="center" wrapText="1"/>
    </xf>
    <xf numFmtId="0" fontId="108" fillId="22" borderId="464" xfId="173" applyFont="1" applyFill="1" applyBorder="1" applyAlignment="1">
      <alignment horizontal="center" vertical="center" wrapText="1"/>
    </xf>
    <xf numFmtId="0" fontId="105" fillId="22" borderId="464" xfId="173" applyFont="1" applyFill="1" applyBorder="1" applyAlignment="1">
      <alignment horizontal="center" vertical="center" wrapText="1"/>
    </xf>
    <xf numFmtId="0" fontId="176" fillId="0" borderId="0" xfId="149" applyFont="1" applyFill="1" applyBorder="1" applyAlignment="1">
      <alignment horizontal="center" vertical="center"/>
    </xf>
    <xf numFmtId="0" fontId="106" fillId="22" borderId="464" xfId="173" applyFont="1" applyFill="1" applyBorder="1" applyAlignment="1">
      <alignment horizontal="center" vertical="center" wrapText="1"/>
    </xf>
    <xf numFmtId="43" fontId="39" fillId="43" borderId="172" xfId="107" applyFont="1" applyFill="1" applyBorder="1" applyAlignment="1">
      <alignment vertical="center"/>
    </xf>
    <xf numFmtId="43" fontId="39" fillId="43" borderId="162" xfId="107" applyFont="1" applyFill="1" applyBorder="1" applyAlignment="1">
      <alignment vertical="center"/>
    </xf>
    <xf numFmtId="0" fontId="44" fillId="20" borderId="91" xfId="0" applyFont="1" applyFill="1" applyBorder="1" applyAlignment="1">
      <alignment horizontal="center" vertical="center"/>
    </xf>
    <xf numFmtId="0" fontId="44" fillId="20" borderId="81" xfId="0" applyFont="1" applyFill="1" applyBorder="1" applyAlignment="1">
      <alignment horizontal="center" vertical="center"/>
    </xf>
    <xf numFmtId="0" fontId="44" fillId="0" borderId="93" xfId="0" applyFont="1" applyBorder="1" applyAlignment="1">
      <alignment horizontal="center" vertical="center"/>
    </xf>
    <xf numFmtId="0" fontId="44" fillId="0" borderId="95" xfId="0" applyFont="1" applyBorder="1" applyAlignment="1">
      <alignment horizontal="center" vertical="center"/>
    </xf>
    <xf numFmtId="0" fontId="44" fillId="0" borderId="94" xfId="0" applyFont="1" applyBorder="1" applyAlignment="1">
      <alignment horizontal="center" vertical="center"/>
    </xf>
    <xf numFmtId="2" fontId="39" fillId="43" borderId="260" xfId="0" applyNumberFormat="1" applyFont="1" applyFill="1" applyBorder="1" applyAlignment="1">
      <alignment horizontal="center" vertical="center"/>
    </xf>
    <xf numFmtId="2" fontId="39" fillId="43" borderId="182" xfId="0" applyNumberFormat="1" applyFont="1" applyFill="1" applyBorder="1" applyAlignment="1">
      <alignment horizontal="center" vertical="center"/>
    </xf>
    <xf numFmtId="0" fontId="71" fillId="0" borderId="465" xfId="149" applyFont="1" applyBorder="1" applyAlignment="1">
      <alignment horizontal="center" vertical="center" wrapText="1"/>
    </xf>
    <xf numFmtId="2" fontId="39" fillId="43" borderId="234" xfId="0" applyNumberFormat="1" applyFont="1" applyFill="1" applyBorder="1" applyAlignment="1">
      <alignment horizontal="center" vertical="center"/>
    </xf>
    <xf numFmtId="2" fontId="39" fillId="43" borderId="381" xfId="0" applyNumberFormat="1" applyFont="1" applyFill="1" applyBorder="1" applyAlignment="1">
      <alignment horizontal="center" vertical="center"/>
    </xf>
    <xf numFmtId="0" fontId="212" fillId="0" borderId="120" xfId="0" applyFont="1" applyBorder="1" applyAlignment="1">
      <alignment horizontal="left" vertical="center" wrapText="1"/>
    </xf>
    <xf numFmtId="0" fontId="212" fillId="0" borderId="0" xfId="0" applyFont="1" applyBorder="1" applyAlignment="1">
      <alignment horizontal="left" vertical="center" wrapText="1"/>
    </xf>
    <xf numFmtId="0" fontId="220" fillId="0" borderId="284" xfId="0" applyFont="1" applyBorder="1" applyAlignment="1">
      <alignment horizontal="left"/>
    </xf>
    <xf numFmtId="0" fontId="39" fillId="0" borderId="0" xfId="0" applyFont="1" applyAlignment="1">
      <alignment horizontal="center" vertical="center" wrapText="1"/>
    </xf>
    <xf numFmtId="0" fontId="39" fillId="0" borderId="16" xfId="0" applyFont="1" applyBorder="1" applyAlignment="1">
      <alignment horizontal="center" vertical="center" wrapText="1"/>
    </xf>
    <xf numFmtId="0" fontId="220" fillId="0" borderId="284" xfId="0" applyFont="1" applyBorder="1" applyAlignment="1">
      <alignment horizontal="center"/>
    </xf>
    <xf numFmtId="0" fontId="44" fillId="0" borderId="0" xfId="0" applyFont="1" applyAlignment="1">
      <alignment horizontal="center" vertical="center" wrapText="1"/>
    </xf>
    <xf numFmtId="0" fontId="61" fillId="0" borderId="0" xfId="0" applyFont="1" applyAlignment="1">
      <alignment horizontal="center" vertical="center" wrapText="1"/>
    </xf>
    <xf numFmtId="0" fontId="48" fillId="0" borderId="333" xfId="0" applyFont="1" applyFill="1" applyBorder="1" applyAlignment="1">
      <alignment horizontal="center"/>
    </xf>
    <xf numFmtId="0" fontId="48" fillId="0" borderId="333" xfId="0" applyFont="1" applyFill="1" applyBorder="1" applyAlignment="1">
      <alignment horizontal="center" vertical="center"/>
    </xf>
    <xf numFmtId="0" fontId="104" fillId="0" borderId="11" xfId="452" applyFont="1" applyBorder="1" applyAlignment="1">
      <alignment horizontal="center"/>
    </xf>
    <xf numFmtId="0" fontId="104" fillId="0" borderId="157" xfId="452" applyFont="1" applyBorder="1" applyAlignment="1">
      <alignment horizontal="center"/>
    </xf>
    <xf numFmtId="0" fontId="104" fillId="0" borderId="10" xfId="452" applyFont="1" applyBorder="1" applyAlignment="1">
      <alignment horizontal="center"/>
    </xf>
    <xf numFmtId="0" fontId="79" fillId="0" borderId="0" xfId="452" applyFont="1" applyAlignment="1">
      <alignment horizontal="center" vertical="center"/>
    </xf>
    <xf numFmtId="0" fontId="79" fillId="0" borderId="16" xfId="452" applyFont="1" applyBorder="1" applyAlignment="1">
      <alignment horizontal="center" vertical="center"/>
    </xf>
    <xf numFmtId="0" fontId="176" fillId="0" borderId="0" xfId="167" applyFont="1" applyFill="1" applyBorder="1" applyAlignment="1">
      <alignment horizontal="center" vertical="center"/>
    </xf>
    <xf numFmtId="0" fontId="42" fillId="0" borderId="0" xfId="167" applyFont="1" applyFill="1" applyBorder="1" applyAlignment="1">
      <alignment horizontal="center" vertical="center" wrapText="1"/>
    </xf>
    <xf numFmtId="0" fontId="42" fillId="0" borderId="16" xfId="167" applyFont="1" applyFill="1" applyBorder="1" applyAlignment="1">
      <alignment horizontal="center" vertical="center" wrapText="1"/>
    </xf>
    <xf numFmtId="0" fontId="65" fillId="0" borderId="93" xfId="0" applyFont="1" applyBorder="1" applyAlignment="1">
      <alignment horizontal="left" vertical="center" wrapText="1"/>
    </xf>
    <xf numFmtId="0" fontId="65" fillId="0" borderId="95" xfId="0" applyFont="1" applyBorder="1" applyAlignment="1">
      <alignment horizontal="left" vertical="center" wrapText="1"/>
    </xf>
    <xf numFmtId="0" fontId="65" fillId="0" borderId="94" xfId="0" applyFont="1" applyBorder="1" applyAlignment="1">
      <alignment horizontal="left" vertical="center" wrapText="1"/>
    </xf>
    <xf numFmtId="0" fontId="100" fillId="0" borderId="10" xfId="0" applyFont="1" applyBorder="1" applyAlignment="1">
      <alignment horizontal="center" vertical="center" wrapText="1"/>
    </xf>
    <xf numFmtId="0" fontId="100" fillId="0" borderId="0" xfId="0" applyFont="1" applyAlignment="1">
      <alignment horizontal="center" vertical="center" wrapText="1"/>
    </xf>
    <xf numFmtId="0" fontId="84" fillId="0" borderId="0" xfId="0" applyFont="1" applyAlignment="1">
      <alignment horizontal="center" vertical="center"/>
    </xf>
    <xf numFmtId="0" fontId="49" fillId="0" borderId="90" xfId="0" applyFont="1" applyBorder="1" applyAlignment="1">
      <alignment horizontal="left" vertical="center" wrapText="1"/>
    </xf>
    <xf numFmtId="0" fontId="66" fillId="0" borderId="0" xfId="0" applyFont="1" applyAlignment="1">
      <alignment horizontal="right" vertical="center" wrapText="1"/>
    </xf>
    <xf numFmtId="0" fontId="3" fillId="0" borderId="0" xfId="0" applyFont="1" applyAlignment="1">
      <alignment horizontal="right"/>
    </xf>
    <xf numFmtId="0" fontId="49" fillId="0" borderId="485" xfId="0" applyFont="1" applyBorder="1" applyAlignment="1">
      <alignment horizontal="right" vertical="center" wrapText="1"/>
    </xf>
    <xf numFmtId="0" fontId="49" fillId="0" borderId="0" xfId="0" applyFont="1" applyBorder="1" applyAlignment="1">
      <alignment horizontal="right" vertical="center" wrapText="1"/>
    </xf>
    <xf numFmtId="0" fontId="79" fillId="0" borderId="16" xfId="0" applyFont="1" applyFill="1" applyBorder="1" applyAlignment="1">
      <alignment horizontal="center" vertical="center" wrapText="1"/>
    </xf>
    <xf numFmtId="0" fontId="39" fillId="0" borderId="284" xfId="0" applyFont="1" applyFill="1" applyBorder="1" applyAlignment="1">
      <alignment horizontal="center" vertical="center"/>
    </xf>
    <xf numFmtId="0" fontId="39" fillId="0" borderId="208" xfId="0" applyFont="1" applyFill="1" applyBorder="1" applyAlignment="1">
      <alignment horizontal="center" vertical="center"/>
    </xf>
    <xf numFmtId="0" fontId="227" fillId="0" borderId="0" xfId="0" applyFont="1" applyFill="1" applyBorder="1" applyAlignment="1">
      <alignment horizontal="center" vertical="center" wrapText="1"/>
    </xf>
    <xf numFmtId="0" fontId="227" fillId="0" borderId="16" xfId="0" applyFont="1" applyFill="1" applyBorder="1" applyAlignment="1">
      <alignment horizontal="center" vertical="center" wrapText="1"/>
    </xf>
    <xf numFmtId="0" fontId="0" fillId="0" borderId="250" xfId="0" applyFont="1" applyBorder="1" applyAlignment="1">
      <alignment horizontal="center" vertical="center"/>
    </xf>
    <xf numFmtId="0" fontId="79" fillId="0" borderId="208" xfId="173" applyFont="1" applyFill="1" applyBorder="1" applyAlignment="1">
      <alignment horizontal="center" vertical="center"/>
    </xf>
    <xf numFmtId="0" fontId="79" fillId="0" borderId="0" xfId="173" applyFont="1" applyFill="1" applyBorder="1" applyAlignment="1">
      <alignment horizontal="center" vertical="center" wrapText="1"/>
    </xf>
    <xf numFmtId="0" fontId="0" fillId="0" borderId="0" xfId="0" applyFont="1" applyFill="1" applyBorder="1" applyAlignment="1">
      <alignment wrapText="1"/>
    </xf>
    <xf numFmtId="0" fontId="0" fillId="0" borderId="16" xfId="0" applyFont="1" applyFill="1" applyBorder="1" applyAlignment="1">
      <alignment wrapText="1"/>
    </xf>
    <xf numFmtId="0" fontId="79" fillId="0" borderId="0" xfId="173" applyFont="1" applyFill="1" applyBorder="1" applyAlignment="1">
      <alignment horizontal="center" vertical="center"/>
    </xf>
    <xf numFmtId="0" fontId="79" fillId="0" borderId="16" xfId="173" applyFont="1" applyFill="1" applyBorder="1" applyAlignment="1">
      <alignment horizontal="center" vertical="center"/>
    </xf>
    <xf numFmtId="0" fontId="54" fillId="0" borderId="250" xfId="173" applyFont="1" applyFill="1" applyBorder="1" applyAlignment="1">
      <alignment horizontal="center" vertical="center"/>
    </xf>
    <xf numFmtId="0" fontId="39" fillId="0" borderId="0" xfId="0" applyFont="1" applyFill="1" applyBorder="1" applyAlignment="1">
      <alignment horizontal="center" vertical="center" wrapText="1"/>
    </xf>
    <xf numFmtId="0" fontId="39" fillId="0" borderId="16" xfId="0" applyFont="1" applyFill="1" applyBorder="1" applyAlignment="1">
      <alignment horizontal="center" vertical="center" wrapText="1"/>
    </xf>
    <xf numFmtId="0" fontId="101" fillId="0" borderId="347" xfId="0" applyFont="1" applyBorder="1" applyAlignment="1">
      <alignment horizontal="center" vertical="center"/>
    </xf>
    <xf numFmtId="0" fontId="23" fillId="0" borderId="0" xfId="0" applyFont="1" applyAlignment="1">
      <alignment horizontal="center" vertical="center" wrapText="1"/>
    </xf>
    <xf numFmtId="0" fontId="23" fillId="0" borderId="16" xfId="0" applyFont="1" applyBorder="1" applyAlignment="1">
      <alignment horizontal="center" vertical="center" wrapText="1"/>
    </xf>
    <xf numFmtId="0" fontId="102" fillId="0" borderId="150" xfId="0" applyFont="1" applyBorder="1" applyAlignment="1">
      <alignment horizontal="center" vertical="center"/>
    </xf>
    <xf numFmtId="0" fontId="231" fillId="0" borderId="0" xfId="0" applyFont="1" applyAlignment="1">
      <alignment horizontal="center" vertical="center" wrapText="1"/>
    </xf>
    <xf numFmtId="0" fontId="231" fillId="0" borderId="16" xfId="0" applyFont="1" applyBorder="1" applyAlignment="1">
      <alignment horizontal="center" vertical="center" wrapText="1"/>
    </xf>
    <xf numFmtId="0" fontId="39" fillId="0" borderId="0" xfId="0" applyFont="1" applyBorder="1" applyAlignment="1">
      <alignment horizontal="center" vertical="center" wrapText="1"/>
    </xf>
    <xf numFmtId="0" fontId="176" fillId="0" borderId="0" xfId="0" applyFont="1" applyFill="1" applyBorder="1" applyAlignment="1">
      <alignment horizontal="center"/>
    </xf>
    <xf numFmtId="0" fontId="42" fillId="0" borderId="258" xfId="0" applyFont="1" applyBorder="1" applyAlignment="1">
      <alignment horizontal="center" vertical="center"/>
    </xf>
    <xf numFmtId="0" fontId="42" fillId="0" borderId="11" xfId="0" applyFont="1" applyBorder="1" applyAlignment="1">
      <alignment horizontal="center" vertical="center"/>
    </xf>
    <xf numFmtId="0" fontId="42" fillId="0" borderId="266" xfId="0" applyFont="1" applyBorder="1" applyAlignment="1">
      <alignment horizontal="center" vertical="center"/>
    </xf>
    <xf numFmtId="0" fontId="108" fillId="0" borderId="258" xfId="0" applyFont="1" applyBorder="1" applyAlignment="1">
      <alignment horizontal="center" vertical="center"/>
    </xf>
    <xf numFmtId="0" fontId="108" fillId="0" borderId="11" xfId="0" applyFont="1" applyBorder="1" applyAlignment="1">
      <alignment horizontal="center" vertical="center"/>
    </xf>
    <xf numFmtId="0" fontId="108" fillId="0" borderId="266" xfId="0" applyFont="1" applyBorder="1" applyAlignment="1">
      <alignment horizontal="center" vertical="center"/>
    </xf>
    <xf numFmtId="0" fontId="113" fillId="0" borderId="258" xfId="0" applyFont="1" applyBorder="1" applyAlignment="1">
      <alignment horizontal="center" vertical="center"/>
    </xf>
    <xf numFmtId="0" fontId="113" fillId="0" borderId="11" xfId="0" applyFont="1" applyBorder="1" applyAlignment="1">
      <alignment horizontal="center" vertical="center"/>
    </xf>
    <xf numFmtId="0" fontId="113" fillId="0" borderId="266" xfId="0" applyFont="1" applyBorder="1" applyAlignment="1">
      <alignment horizontal="center" vertical="center"/>
    </xf>
    <xf numFmtId="0" fontId="106" fillId="0" borderId="11" xfId="0" applyFont="1" applyBorder="1" applyAlignment="1">
      <alignment horizontal="center" vertical="center"/>
    </xf>
    <xf numFmtId="0" fontId="106" fillId="0" borderId="266" xfId="0" applyFont="1" applyBorder="1" applyAlignment="1">
      <alignment horizontal="center" vertical="center"/>
    </xf>
    <xf numFmtId="0" fontId="253" fillId="0" borderId="258" xfId="0" applyFont="1" applyBorder="1" applyAlignment="1">
      <alignment horizontal="center" vertical="center"/>
    </xf>
    <xf numFmtId="0" fontId="253" fillId="0" borderId="11" xfId="0" applyFont="1" applyBorder="1" applyAlignment="1">
      <alignment horizontal="center" vertical="center"/>
    </xf>
    <xf numFmtId="0" fontId="253" fillId="0" borderId="266" xfId="0" applyFont="1" applyBorder="1" applyAlignment="1">
      <alignment horizontal="center" vertical="center"/>
    </xf>
    <xf numFmtId="0" fontId="110" fillId="0" borderId="258" xfId="0" applyFont="1" applyBorder="1" applyAlignment="1">
      <alignment horizontal="center" vertical="center"/>
    </xf>
    <xf numFmtId="0" fontId="110" fillId="0" borderId="11" xfId="0" applyFont="1" applyBorder="1" applyAlignment="1">
      <alignment horizontal="center" vertical="center"/>
    </xf>
    <xf numFmtId="0" fontId="110" fillId="0" borderId="266" xfId="0" applyFont="1" applyBorder="1" applyAlignment="1">
      <alignment horizontal="center" vertical="center"/>
    </xf>
    <xf numFmtId="0" fontId="265" fillId="23" borderId="250" xfId="0" applyFont="1" applyFill="1" applyBorder="1" applyAlignment="1">
      <alignment horizontal="center"/>
    </xf>
    <xf numFmtId="0" fontId="265" fillId="23" borderId="249" xfId="0" applyFont="1" applyFill="1" applyBorder="1" applyAlignment="1">
      <alignment horizontal="center"/>
    </xf>
    <xf numFmtId="0" fontId="265" fillId="23" borderId="248" xfId="0" applyFont="1" applyFill="1" applyBorder="1" applyAlignment="1">
      <alignment horizontal="center"/>
    </xf>
    <xf numFmtId="0" fontId="122" fillId="0" borderId="258" xfId="0" applyFont="1" applyBorder="1" applyAlignment="1">
      <alignment horizontal="center" vertical="center" wrapText="1"/>
    </xf>
    <xf numFmtId="0" fontId="122" fillId="0" borderId="11" xfId="0" applyFont="1" applyBorder="1" applyAlignment="1">
      <alignment horizontal="center" vertical="center" wrapText="1"/>
    </xf>
    <xf numFmtId="0" fontId="122" fillId="0" borderId="266" xfId="0" applyFont="1" applyBorder="1" applyAlignment="1">
      <alignment horizontal="center" vertical="center" wrapText="1"/>
    </xf>
    <xf numFmtId="0" fontId="41" fillId="0" borderId="464" xfId="0" applyFont="1" applyBorder="1" applyAlignment="1">
      <alignment horizontal="center" vertical="justify"/>
    </xf>
    <xf numFmtId="0" fontId="0" fillId="0" borderId="430" xfId="0" applyBorder="1" applyAlignment="1">
      <alignment horizontal="center"/>
    </xf>
    <xf numFmtId="0" fontId="0" fillId="0" borderId="464" xfId="0" applyBorder="1" applyAlignment="1">
      <alignment horizontal="center"/>
    </xf>
    <xf numFmtId="0" fontId="48" fillId="64" borderId="332" xfId="0" applyFont="1" applyFill="1" applyBorder="1" applyAlignment="1">
      <alignment horizontal="center" vertical="center"/>
    </xf>
    <xf numFmtId="0" fontId="48" fillId="64" borderId="382" xfId="0" applyFont="1" applyFill="1" applyBorder="1" applyAlignment="1">
      <alignment horizontal="center" vertical="center"/>
    </xf>
    <xf numFmtId="0" fontId="48" fillId="64" borderId="331" xfId="0" applyFont="1" applyFill="1" applyBorder="1" applyAlignment="1">
      <alignment horizontal="center" vertical="center"/>
    </xf>
    <xf numFmtId="0" fontId="48" fillId="0" borderId="332" xfId="0" applyFont="1" applyFill="1" applyBorder="1" applyAlignment="1">
      <alignment horizontal="center" vertical="center"/>
    </xf>
    <xf numFmtId="0" fontId="48" fillId="0" borderId="382" xfId="0" applyFont="1" applyFill="1" applyBorder="1" applyAlignment="1">
      <alignment horizontal="center" vertical="center"/>
    </xf>
    <xf numFmtId="0" fontId="48" fillId="0" borderId="331" xfId="0" applyFont="1" applyFill="1" applyBorder="1" applyAlignment="1">
      <alignment horizontal="center" vertical="center"/>
    </xf>
    <xf numFmtId="0" fontId="48" fillId="0" borderId="332" xfId="0" applyFont="1" applyBorder="1" applyAlignment="1">
      <alignment horizontal="center" vertical="center"/>
    </xf>
    <xf numFmtId="0" fontId="48" fillId="0" borderId="382" xfId="0" applyFont="1" applyBorder="1" applyAlignment="1">
      <alignment horizontal="center" vertical="center"/>
    </xf>
    <xf numFmtId="0" fontId="48" fillId="0" borderId="331" xfId="0" applyFont="1" applyBorder="1" applyAlignment="1">
      <alignment horizontal="center" vertical="center"/>
    </xf>
    <xf numFmtId="0" fontId="39" fillId="64" borderId="332" xfId="0" applyFont="1" applyFill="1" applyBorder="1" applyAlignment="1">
      <alignment horizontal="center" vertical="center"/>
    </xf>
    <xf numFmtId="0" fontId="39" fillId="64" borderId="331" xfId="0" applyFont="1" applyFill="1" applyBorder="1" applyAlignment="1">
      <alignment horizontal="center" vertical="center"/>
    </xf>
    <xf numFmtId="0" fontId="39" fillId="64" borderId="383" xfId="0" applyFont="1" applyFill="1" applyBorder="1" applyAlignment="1">
      <alignment horizontal="center" vertical="center"/>
    </xf>
    <xf numFmtId="0" fontId="39" fillId="64" borderId="384" xfId="0" applyFont="1" applyFill="1" applyBorder="1" applyAlignment="1">
      <alignment horizontal="center" vertical="center"/>
    </xf>
    <xf numFmtId="0" fontId="42" fillId="20" borderId="259" xfId="149" applyFont="1" applyFill="1" applyBorder="1" applyAlignment="1">
      <alignment horizontal="center" vertical="center" wrapText="1"/>
    </xf>
    <xf numFmtId="0" fontId="42" fillId="20" borderId="416" xfId="149" applyFont="1" applyFill="1" applyBorder="1" applyAlignment="1">
      <alignment horizontal="center" vertical="center" wrapText="1"/>
    </xf>
    <xf numFmtId="0" fontId="48" fillId="20" borderId="418" xfId="0" applyFont="1" applyFill="1" applyBorder="1" applyAlignment="1">
      <alignment horizontal="center" vertical="center"/>
    </xf>
    <xf numFmtId="0" fontId="48" fillId="20" borderId="250" xfId="0" applyFont="1" applyFill="1" applyBorder="1" applyAlignment="1">
      <alignment horizontal="center" vertical="center"/>
    </xf>
    <xf numFmtId="0" fontId="48" fillId="20" borderId="249" xfId="0" applyFont="1" applyFill="1" applyBorder="1" applyAlignment="1">
      <alignment horizontal="center" vertical="center"/>
    </xf>
    <xf numFmtId="0" fontId="39" fillId="0" borderId="418" xfId="0" applyFont="1" applyBorder="1" applyAlignment="1">
      <alignment horizontal="center" vertical="center"/>
    </xf>
    <xf numFmtId="0" fontId="39" fillId="0" borderId="250" xfId="0" applyFont="1" applyBorder="1" applyAlignment="1">
      <alignment horizontal="center" vertical="center"/>
    </xf>
    <xf numFmtId="0" fontId="39" fillId="0" borderId="249" xfId="0" applyFont="1" applyBorder="1" applyAlignment="1">
      <alignment horizontal="center" vertical="center"/>
    </xf>
    <xf numFmtId="0" fontId="42" fillId="20" borderId="307" xfId="149" applyFont="1" applyFill="1" applyBorder="1" applyAlignment="1">
      <alignment horizontal="center" vertical="center"/>
    </xf>
    <xf numFmtId="0" fontId="48" fillId="0" borderId="418" xfId="0" applyFont="1" applyBorder="1" applyAlignment="1">
      <alignment horizontal="center" vertical="center"/>
    </xf>
    <xf numFmtId="0" fontId="48" fillId="0" borderId="250" xfId="0" applyFont="1" applyBorder="1" applyAlignment="1">
      <alignment horizontal="center" vertical="center"/>
    </xf>
    <xf numFmtId="0" fontId="48" fillId="0" borderId="249" xfId="0" applyFont="1" applyBorder="1" applyAlignment="1">
      <alignment horizontal="center" vertical="center"/>
    </xf>
    <xf numFmtId="0" fontId="42" fillId="20" borderId="157" xfId="149" applyFont="1" applyFill="1" applyBorder="1" applyAlignment="1">
      <alignment horizontal="center" vertical="center"/>
    </xf>
    <xf numFmtId="0" fontId="42" fillId="20" borderId="416" xfId="149" applyFont="1" applyFill="1" applyBorder="1" applyAlignment="1">
      <alignment horizontal="center" vertical="center"/>
    </xf>
    <xf numFmtId="0" fontId="42" fillId="20" borderId="259" xfId="149" applyFont="1" applyFill="1" applyBorder="1" applyAlignment="1">
      <alignment horizontal="center" vertical="center"/>
    </xf>
    <xf numFmtId="0" fontId="85" fillId="20" borderId="326" xfId="0" applyFont="1" applyFill="1" applyBorder="1" applyAlignment="1">
      <alignment horizontal="center" vertical="center"/>
    </xf>
    <xf numFmtId="0" fontId="85" fillId="20" borderId="327" xfId="0" applyFont="1" applyFill="1" applyBorder="1" applyAlignment="1">
      <alignment horizontal="center" vertical="center"/>
    </xf>
    <xf numFmtId="0" fontId="85" fillId="20" borderId="328" xfId="0" applyFont="1" applyFill="1" applyBorder="1" applyAlignment="1">
      <alignment horizontal="center" vertical="center"/>
    </xf>
    <xf numFmtId="0" fontId="85" fillId="0" borderId="326" xfId="0" applyFont="1" applyFill="1" applyBorder="1" applyAlignment="1">
      <alignment horizontal="center" vertical="center"/>
    </xf>
    <xf numFmtId="0" fontId="85" fillId="0" borderId="327" xfId="0" applyFont="1" applyFill="1" applyBorder="1" applyAlignment="1">
      <alignment horizontal="center" vertical="center"/>
    </xf>
    <xf numFmtId="0" fontId="85" fillId="0" borderId="328" xfId="0" applyFont="1" applyFill="1" applyBorder="1" applyAlignment="1">
      <alignment horizontal="center" vertical="center"/>
    </xf>
    <xf numFmtId="0" fontId="89" fillId="20" borderId="307" xfId="149" applyFont="1" applyFill="1" applyBorder="1" applyAlignment="1">
      <alignment horizontal="center" vertical="center"/>
    </xf>
    <xf numFmtId="0" fontId="89" fillId="20" borderId="330" xfId="149" applyFont="1" applyFill="1" applyBorder="1" applyAlignment="1">
      <alignment horizontal="center" vertical="center" wrapText="1"/>
    </xf>
    <xf numFmtId="0" fontId="89" fillId="20" borderId="291" xfId="149" applyFont="1" applyFill="1" applyBorder="1" applyAlignment="1">
      <alignment horizontal="center" vertical="center" wrapText="1"/>
    </xf>
    <xf numFmtId="0" fontId="48" fillId="0" borderId="326" xfId="0" applyFont="1" applyFill="1" applyBorder="1" applyAlignment="1">
      <alignment horizontal="center" vertical="center"/>
    </xf>
    <xf numFmtId="0" fontId="48" fillId="0" borderId="327" xfId="0" applyFont="1" applyFill="1" applyBorder="1" applyAlignment="1">
      <alignment horizontal="center" vertical="center"/>
    </xf>
    <xf numFmtId="0" fontId="48" fillId="0" borderId="328" xfId="0" applyFont="1" applyFill="1" applyBorder="1" applyAlignment="1">
      <alignment horizontal="center" vertical="center"/>
    </xf>
    <xf numFmtId="0" fontId="89" fillId="20" borderId="329" xfId="149" applyFont="1" applyFill="1" applyBorder="1" applyAlignment="1">
      <alignment horizontal="center" vertical="center"/>
    </xf>
    <xf numFmtId="0" fontId="89" fillId="20" borderId="291" xfId="149" applyFont="1" applyFill="1" applyBorder="1" applyAlignment="1">
      <alignment horizontal="center" vertical="center"/>
    </xf>
    <xf numFmtId="0" fontId="89" fillId="20" borderId="330" xfId="149" applyFont="1" applyFill="1" applyBorder="1" applyAlignment="1">
      <alignment horizontal="center" vertical="center"/>
    </xf>
    <xf numFmtId="0" fontId="89" fillId="20" borderId="326" xfId="149" applyFont="1" applyFill="1" applyBorder="1" applyAlignment="1">
      <alignment horizontal="center" vertical="center"/>
    </xf>
    <xf numFmtId="0" fontId="89" fillId="20" borderId="328" xfId="149" applyFont="1" applyFill="1" applyBorder="1" applyAlignment="1">
      <alignment horizontal="center" vertical="center"/>
    </xf>
    <xf numFmtId="0" fontId="0" fillId="0" borderId="129" xfId="0" applyFont="1" applyBorder="1" applyAlignment="1">
      <alignment horizontal="center" vertical="center" wrapText="1"/>
    </xf>
    <xf numFmtId="0" fontId="0" fillId="0" borderId="119" xfId="0" applyFont="1" applyBorder="1" applyAlignment="1">
      <alignment horizontal="center" vertical="center" wrapText="1"/>
    </xf>
    <xf numFmtId="0" fontId="48" fillId="20" borderId="143" xfId="0" applyFont="1" applyFill="1" applyBorder="1" applyAlignment="1">
      <alignment horizontal="center" vertical="center"/>
    </xf>
    <xf numFmtId="0" fontId="48" fillId="20" borderId="144" xfId="0" applyFont="1" applyFill="1" applyBorder="1" applyAlignment="1">
      <alignment horizontal="center" vertical="center"/>
    </xf>
    <xf numFmtId="0" fontId="48" fillId="20" borderId="145" xfId="0" applyFont="1" applyFill="1" applyBorder="1" applyAlignment="1">
      <alignment horizontal="center" vertical="center"/>
    </xf>
    <xf numFmtId="0" fontId="48" fillId="0" borderId="143" xfId="0" applyFont="1" applyBorder="1" applyAlignment="1">
      <alignment horizontal="center" vertical="center"/>
    </xf>
    <xf numFmtId="0" fontId="48" fillId="0" borderId="144" xfId="0" applyFont="1" applyBorder="1" applyAlignment="1">
      <alignment horizontal="center" vertical="center"/>
    </xf>
    <xf numFmtId="0" fontId="48" fillId="0" borderId="145" xfId="0" applyFont="1" applyBorder="1" applyAlignment="1">
      <alignment horizontal="center" vertical="center"/>
    </xf>
    <xf numFmtId="0" fontId="42" fillId="20" borderId="146" xfId="149" applyFont="1" applyFill="1" applyBorder="1" applyAlignment="1">
      <alignment horizontal="center" vertical="center"/>
    </xf>
    <xf numFmtId="0" fontId="42" fillId="20" borderId="147" xfId="149" applyFont="1" applyFill="1" applyBorder="1" applyAlignment="1">
      <alignment horizontal="center" vertical="center" wrapText="1"/>
    </xf>
    <xf numFmtId="0" fontId="42" fillId="20" borderId="15" xfId="149" applyFont="1" applyFill="1" applyBorder="1" applyAlignment="1">
      <alignment horizontal="center" vertical="center" wrapText="1"/>
    </xf>
    <xf numFmtId="0" fontId="39" fillId="20" borderId="143" xfId="0" applyFont="1" applyFill="1" applyBorder="1" applyAlignment="1">
      <alignment horizontal="center" vertical="center"/>
    </xf>
    <xf numFmtId="0" fontId="39" fillId="20" borderId="144" xfId="0" applyFont="1" applyFill="1" applyBorder="1" applyAlignment="1">
      <alignment horizontal="center" vertical="center"/>
    </xf>
    <xf numFmtId="0" fontId="39" fillId="20" borderId="145" xfId="0" applyFont="1" applyFill="1" applyBorder="1" applyAlignment="1">
      <alignment horizontal="center" vertical="center"/>
    </xf>
    <xf numFmtId="0" fontId="89" fillId="20" borderId="13" xfId="149" applyFont="1" applyFill="1" applyBorder="1" applyAlignment="1">
      <alignment horizontal="center" vertical="center"/>
    </xf>
    <xf numFmtId="0" fontId="89" fillId="20" borderId="15" xfId="149" applyFont="1" applyFill="1" applyBorder="1" applyAlignment="1">
      <alignment horizontal="center" vertical="center"/>
    </xf>
    <xf numFmtId="0" fontId="89" fillId="20" borderId="147" xfId="149" applyFont="1" applyFill="1" applyBorder="1" applyAlignment="1">
      <alignment horizontal="center" vertical="center"/>
    </xf>
    <xf numFmtId="0" fontId="89" fillId="0" borderId="143" xfId="149" applyFont="1" applyBorder="1" applyAlignment="1">
      <alignment horizontal="center" vertical="center"/>
    </xf>
    <xf numFmtId="0" fontId="89" fillId="0" borderId="145" xfId="149"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3" fontId="40" fillId="0" borderId="161" xfId="149" applyNumberFormat="1" applyFont="1" applyBorder="1" applyAlignment="1">
      <alignment horizontal="center" vertical="center"/>
    </xf>
    <xf numFmtId="3" fontId="40" fillId="0" borderId="157" xfId="149" applyNumberFormat="1" applyFont="1" applyBorder="1" applyAlignment="1">
      <alignment horizontal="center" vertical="center"/>
    </xf>
    <xf numFmtId="3" fontId="40" fillId="0" borderId="162" xfId="149" applyNumberFormat="1" applyFont="1" applyBorder="1" applyAlignment="1">
      <alignment horizontal="center" vertical="center"/>
    </xf>
    <xf numFmtId="3" fontId="0" fillId="0" borderId="161" xfId="0" applyNumberFormat="1" applyFont="1" applyBorder="1" applyAlignment="1">
      <alignment horizontal="center" vertical="center"/>
    </xf>
    <xf numFmtId="3" fontId="0" fillId="0" borderId="157" xfId="0" applyNumberFormat="1" applyFont="1" applyBorder="1" applyAlignment="1">
      <alignment horizontal="center" vertical="center"/>
    </xf>
    <xf numFmtId="3" fontId="0" fillId="0" borderId="162" xfId="0" applyNumberFormat="1" applyFont="1" applyBorder="1" applyAlignment="1">
      <alignment horizontal="center" vertical="center"/>
    </xf>
    <xf numFmtId="0" fontId="48" fillId="20" borderId="153" xfId="0" applyFont="1" applyFill="1" applyBorder="1" applyAlignment="1">
      <alignment horizontal="center" vertical="center"/>
    </xf>
    <xf numFmtId="0" fontId="48" fillId="20" borderId="152" xfId="0" applyFont="1" applyFill="1" applyBorder="1" applyAlignment="1">
      <alignment horizontal="center" vertical="center"/>
    </xf>
    <xf numFmtId="0" fontId="48" fillId="0" borderId="153" xfId="0" applyFont="1" applyBorder="1" applyAlignment="1">
      <alignment horizontal="center" vertical="center"/>
    </xf>
    <xf numFmtId="0" fontId="48" fillId="0" borderId="152" xfId="0" applyFont="1" applyBorder="1" applyAlignment="1">
      <alignment horizontal="center" vertical="center"/>
    </xf>
    <xf numFmtId="0" fontId="89" fillId="20" borderId="157" xfId="149" applyFont="1" applyFill="1" applyBorder="1" applyAlignment="1">
      <alignment horizontal="center" vertical="center"/>
    </xf>
    <xf numFmtId="0" fontId="89" fillId="20" borderId="162" xfId="149" applyFont="1" applyFill="1" applyBorder="1" applyAlignment="1">
      <alignment horizontal="center" vertical="center"/>
    </xf>
    <xf numFmtId="0" fontId="89" fillId="20" borderId="161" xfId="149" applyFont="1" applyFill="1" applyBorder="1" applyAlignment="1">
      <alignment horizontal="center" vertical="center"/>
    </xf>
    <xf numFmtId="0" fontId="89" fillId="20" borderId="153" xfId="149" applyFont="1" applyFill="1" applyBorder="1" applyAlignment="1">
      <alignment horizontal="center" vertical="center"/>
    </xf>
    <xf numFmtId="0" fontId="89" fillId="20" borderId="152" xfId="149" applyFont="1" applyFill="1" applyBorder="1" applyAlignment="1">
      <alignment horizontal="center" vertical="center"/>
    </xf>
    <xf numFmtId="0" fontId="89" fillId="20" borderId="154" xfId="149" applyFont="1" applyFill="1" applyBorder="1" applyAlignment="1">
      <alignment horizontal="center" vertical="center"/>
    </xf>
    <xf numFmtId="0" fontId="89" fillId="20" borderId="161" xfId="149" applyFont="1" applyFill="1" applyBorder="1" applyAlignment="1">
      <alignment horizontal="center" vertical="center" wrapText="1"/>
    </xf>
    <xf numFmtId="0" fontId="89" fillId="20" borderId="162" xfId="149" applyFont="1" applyFill="1" applyBorder="1" applyAlignment="1">
      <alignment horizontal="center" vertical="center" wrapText="1"/>
    </xf>
    <xf numFmtId="173" fontId="89" fillId="0" borderId="161" xfId="0" applyNumberFormat="1" applyFont="1" applyBorder="1" applyAlignment="1">
      <alignment horizontal="center" vertical="center" wrapText="1"/>
    </xf>
    <xf numFmtId="173" fontId="89" fillId="0" borderId="162" xfId="0" applyNumberFormat="1" applyFont="1" applyBorder="1" applyAlignment="1">
      <alignment horizontal="center" vertical="center" wrapText="1"/>
    </xf>
    <xf numFmtId="0" fontId="0" fillId="0" borderId="161" xfId="0" applyFont="1" applyBorder="1" applyAlignment="1">
      <alignment horizontal="center" vertical="center" wrapText="1"/>
    </xf>
    <xf numFmtId="0" fontId="0" fillId="0" borderId="162" xfId="0" applyFont="1" applyBorder="1" applyAlignment="1">
      <alignment horizontal="center" vertical="center" wrapText="1"/>
    </xf>
    <xf numFmtId="173" fontId="40" fillId="0" borderId="161" xfId="0" applyNumberFormat="1" applyFont="1" applyBorder="1" applyAlignment="1">
      <alignment horizontal="center" vertical="center"/>
    </xf>
    <xf numFmtId="173" fontId="40" fillId="0" borderId="162" xfId="0" applyNumberFormat="1" applyFont="1" applyBorder="1" applyAlignment="1">
      <alignment horizontal="center" vertical="center"/>
    </xf>
    <xf numFmtId="173" fontId="60" fillId="0" borderId="161" xfId="149" applyNumberFormat="1" applyFont="1" applyBorder="1" applyAlignment="1">
      <alignment horizontal="center" vertical="center" wrapText="1"/>
    </xf>
    <xf numFmtId="173" fontId="60" fillId="0" borderId="157" xfId="149" applyNumberFormat="1" applyFont="1" applyBorder="1" applyAlignment="1">
      <alignment horizontal="center" vertical="center" wrapText="1"/>
    </xf>
    <xf numFmtId="173" fontId="60" fillId="0" borderId="162" xfId="149" applyNumberFormat="1" applyFont="1" applyBorder="1" applyAlignment="1">
      <alignment horizontal="center" vertical="center" wrapText="1"/>
    </xf>
    <xf numFmtId="0" fontId="40" fillId="0" borderId="161" xfId="149" applyFont="1" applyBorder="1" applyAlignment="1">
      <alignment horizontal="center" vertical="center"/>
    </xf>
    <xf numFmtId="0" fontId="40" fillId="0" borderId="157" xfId="149" applyFont="1" applyBorder="1" applyAlignment="1">
      <alignment horizontal="center" vertical="center"/>
    </xf>
    <xf numFmtId="0" fontId="40" fillId="0" borderId="162" xfId="149" applyFont="1" applyBorder="1" applyAlignment="1">
      <alignment horizontal="center" vertical="center"/>
    </xf>
    <xf numFmtId="0" fontId="89" fillId="0" borderId="153" xfId="149" applyFont="1" applyBorder="1" applyAlignment="1">
      <alignment horizontal="center" vertical="center"/>
    </xf>
    <xf numFmtId="0" fontId="89" fillId="0" borderId="152" xfId="149" applyFont="1" applyBorder="1" applyAlignment="1">
      <alignment horizontal="center" vertical="center"/>
    </xf>
    <xf numFmtId="173" fontId="40" fillId="0" borderId="161" xfId="149" applyNumberFormat="1" applyFont="1" applyBorder="1" applyAlignment="1">
      <alignment horizontal="center" vertical="center" wrapText="1"/>
    </xf>
    <xf numFmtId="173" fontId="40" fillId="0" borderId="157" xfId="149" applyNumberFormat="1" applyFont="1" applyBorder="1" applyAlignment="1">
      <alignment horizontal="center" vertical="center" wrapText="1"/>
    </xf>
    <xf numFmtId="173" fontId="40" fillId="0" borderId="162" xfId="149" applyNumberFormat="1" applyFont="1" applyBorder="1" applyAlignment="1">
      <alignment horizontal="center" vertical="center" wrapText="1"/>
    </xf>
    <xf numFmtId="0" fontId="40" fillId="0" borderId="161" xfId="149" applyFont="1" applyBorder="1" applyAlignment="1">
      <alignment horizontal="center" vertical="center" wrapText="1"/>
    </xf>
    <xf numFmtId="0" fontId="40" fillId="0" borderId="157" xfId="149" applyFont="1" applyBorder="1" applyAlignment="1">
      <alignment horizontal="center" vertical="center" wrapText="1"/>
    </xf>
    <xf numFmtId="0" fontId="40" fillId="0" borderId="162" xfId="149" applyFont="1" applyBorder="1" applyAlignment="1">
      <alignment horizontal="center" vertical="center" wrapText="1"/>
    </xf>
    <xf numFmtId="0" fontId="66" fillId="0" borderId="106" xfId="0" applyFont="1" applyBorder="1" applyAlignment="1">
      <alignment horizontal="left" wrapText="1"/>
    </xf>
    <xf numFmtId="17" fontId="40" fillId="0" borderId="161" xfId="0" applyNumberFormat="1" applyFont="1" applyBorder="1" applyAlignment="1">
      <alignment horizontal="center" vertical="center" wrapText="1"/>
    </xf>
    <xf numFmtId="0" fontId="40" fillId="0" borderId="157" xfId="0" applyFont="1" applyBorder="1" applyAlignment="1">
      <alignment horizontal="center" vertical="center" wrapText="1"/>
    </xf>
    <xf numFmtId="173" fontId="40" fillId="0" borderId="157" xfId="0" applyNumberFormat="1" applyFont="1" applyBorder="1" applyAlignment="1">
      <alignment horizontal="center" vertical="center" wrapText="1"/>
    </xf>
    <xf numFmtId="3" fontId="40" fillId="0" borderId="157" xfId="0" applyNumberFormat="1" applyFont="1" applyBorder="1" applyAlignment="1">
      <alignment horizontal="center" vertical="center" wrapText="1"/>
    </xf>
    <xf numFmtId="3" fontId="40" fillId="0" borderId="162" xfId="0" applyNumberFormat="1" applyFont="1" applyBorder="1" applyAlignment="1">
      <alignment horizontal="center" vertical="center" wrapText="1"/>
    </xf>
    <xf numFmtId="173" fontId="40" fillId="0" borderId="162" xfId="0" applyNumberFormat="1" applyFont="1" applyBorder="1" applyAlignment="1">
      <alignment horizontal="center" vertical="center" wrapText="1"/>
    </xf>
    <xf numFmtId="0" fontId="39" fillId="20" borderId="153" xfId="0" applyFont="1" applyFill="1" applyBorder="1" applyAlignment="1">
      <alignment horizontal="center" vertical="center"/>
    </xf>
    <xf numFmtId="0" fontId="39" fillId="20" borderId="152" xfId="0" applyFont="1" applyFill="1" applyBorder="1" applyAlignment="1">
      <alignment horizontal="center" vertical="center"/>
    </xf>
    <xf numFmtId="3" fontId="40" fillId="0" borderId="161" xfId="0" applyNumberFormat="1" applyFont="1" applyBorder="1" applyAlignment="1">
      <alignment horizontal="center" vertical="center"/>
    </xf>
    <xf numFmtId="3" fontId="40" fillId="0" borderId="162" xfId="0" applyNumberFormat="1" applyFont="1" applyBorder="1" applyAlignment="1">
      <alignment horizontal="center" vertical="center"/>
    </xf>
    <xf numFmtId="173" fontId="89" fillId="0" borderId="157" xfId="0" applyNumberFormat="1" applyFont="1" applyBorder="1" applyAlignment="1">
      <alignment horizontal="center" vertical="center" wrapText="1"/>
    </xf>
    <xf numFmtId="3" fontId="40" fillId="0" borderId="157" xfId="0" applyNumberFormat="1" applyFont="1" applyBorder="1" applyAlignment="1">
      <alignment horizontal="center" vertical="center"/>
    </xf>
    <xf numFmtId="17" fontId="40" fillId="0" borderId="161" xfId="0" quotePrefix="1" applyNumberFormat="1" applyFont="1" applyBorder="1" applyAlignment="1">
      <alignment horizontal="center" vertical="center"/>
    </xf>
    <xf numFmtId="0" fontId="40" fillId="0" borderId="157" xfId="0" applyFont="1" applyBorder="1" applyAlignment="1">
      <alignment horizontal="center" vertical="center"/>
    </xf>
    <xf numFmtId="0" fontId="66" fillId="0" borderId="0" xfId="0" applyFont="1" applyAlignment="1">
      <alignment horizontal="left" wrapText="1"/>
    </xf>
    <xf numFmtId="173" fontId="40" fillId="0" borderId="154" xfId="0" applyNumberFormat="1" applyFont="1" applyBorder="1" applyAlignment="1">
      <alignment horizontal="center" vertical="center" wrapText="1"/>
    </xf>
    <xf numFmtId="3" fontId="40" fillId="0" borderId="154" xfId="0" applyNumberFormat="1" applyFont="1" applyBorder="1" applyAlignment="1">
      <alignment horizontal="center" vertical="center"/>
    </xf>
    <xf numFmtId="0" fontId="39" fillId="0" borderId="153" xfId="0" applyFont="1" applyBorder="1" applyAlignment="1">
      <alignment horizontal="center" vertical="center"/>
    </xf>
    <xf numFmtId="0" fontId="39" fillId="0" borderId="144" xfId="0" applyFont="1" applyBorder="1" applyAlignment="1">
      <alignment horizontal="center" vertical="center"/>
    </xf>
    <xf numFmtId="0" fontId="39" fillId="0" borderId="152" xfId="0" applyFont="1" applyBorder="1" applyAlignment="1">
      <alignment horizontal="center" vertical="center"/>
    </xf>
    <xf numFmtId="0" fontId="89" fillId="20" borderId="166" xfId="149" applyFont="1" applyFill="1" applyBorder="1" applyAlignment="1">
      <alignment horizontal="center" vertical="center"/>
    </xf>
    <xf numFmtId="0" fontId="89" fillId="20" borderId="167" xfId="149" applyFont="1" applyFill="1" applyBorder="1" applyAlignment="1">
      <alignment horizontal="center" vertical="center" wrapText="1"/>
    </xf>
    <xf numFmtId="0" fontId="89" fillId="20" borderId="167" xfId="149" applyFont="1" applyFill="1" applyBorder="1" applyAlignment="1">
      <alignment horizontal="center" wrapText="1"/>
    </xf>
    <xf numFmtId="0" fontId="89" fillId="20" borderId="162" xfId="149" applyFont="1" applyFill="1" applyBorder="1" applyAlignment="1">
      <alignment horizontal="center" wrapText="1"/>
    </xf>
    <xf numFmtId="0" fontId="48" fillId="0" borderId="215" xfId="0" applyFont="1" applyBorder="1" applyAlignment="1">
      <alignment horizontal="center" vertical="center"/>
    </xf>
    <xf numFmtId="0" fontId="48" fillId="0" borderId="212" xfId="0" applyFont="1" applyBorder="1" applyAlignment="1">
      <alignment horizontal="center" vertical="center"/>
    </xf>
    <xf numFmtId="0" fontId="48" fillId="0" borderId="213" xfId="0" applyFont="1" applyBorder="1" applyAlignment="1">
      <alignment horizontal="center" vertical="center"/>
    </xf>
    <xf numFmtId="0" fontId="89" fillId="20" borderId="216" xfId="149" applyFont="1" applyFill="1" applyBorder="1" applyAlignment="1">
      <alignment horizontal="center" vertical="center"/>
    </xf>
    <xf numFmtId="0" fontId="89" fillId="20" borderId="215" xfId="149" applyFont="1" applyFill="1" applyBorder="1" applyAlignment="1">
      <alignment horizontal="center" vertical="center"/>
    </xf>
    <xf numFmtId="0" fontId="89" fillId="20" borderId="213" xfId="149" applyFont="1" applyFill="1" applyBorder="1" applyAlignment="1">
      <alignment horizontal="center" vertical="center"/>
    </xf>
    <xf numFmtId="0" fontId="0" fillId="0" borderId="216" xfId="0" applyFont="1" applyBorder="1" applyAlignment="1">
      <alignment horizontal="center" vertical="center" wrapText="1"/>
    </xf>
    <xf numFmtId="0" fontId="0" fillId="0" borderId="216" xfId="0" applyFont="1" applyBorder="1" applyAlignment="1">
      <alignment horizontal="center" vertical="center"/>
    </xf>
    <xf numFmtId="3" fontId="0" fillId="0" borderId="216" xfId="0" applyNumberFormat="1" applyFont="1" applyBorder="1" applyAlignment="1">
      <alignment horizontal="center" vertical="center"/>
    </xf>
    <xf numFmtId="0" fontId="48" fillId="20" borderId="215" xfId="0" applyFont="1" applyFill="1" applyBorder="1" applyAlignment="1">
      <alignment horizontal="center" vertical="center"/>
    </xf>
    <xf numFmtId="0" fontId="48" fillId="20" borderId="212" xfId="0" applyFont="1" applyFill="1" applyBorder="1" applyAlignment="1">
      <alignment horizontal="center" vertical="center"/>
    </xf>
    <xf numFmtId="0" fontId="48" fillId="20" borderId="213" xfId="0" applyFont="1" applyFill="1" applyBorder="1" applyAlignment="1">
      <alignment horizontal="center" vertical="center"/>
    </xf>
    <xf numFmtId="0" fontId="89" fillId="20" borderId="216" xfId="149" applyFont="1" applyFill="1" applyBorder="1" applyAlignment="1">
      <alignment horizontal="center" vertical="center" wrapText="1"/>
    </xf>
    <xf numFmtId="0" fontId="89" fillId="20" borderId="216" xfId="149" applyFont="1" applyFill="1" applyBorder="1" applyAlignment="1">
      <alignment horizontal="center" wrapText="1"/>
    </xf>
    <xf numFmtId="0" fontId="48" fillId="0" borderId="165" xfId="0" applyFont="1" applyBorder="1" applyAlignment="1">
      <alignment horizontal="center" vertical="center"/>
    </xf>
    <xf numFmtId="0" fontId="48" fillId="0" borderId="168" xfId="0" applyFont="1" applyBorder="1" applyAlignment="1">
      <alignment horizontal="center" vertical="center"/>
    </xf>
    <xf numFmtId="0" fontId="48" fillId="0" borderId="169" xfId="0" applyFont="1" applyBorder="1" applyAlignment="1">
      <alignment horizontal="center" vertical="center"/>
    </xf>
    <xf numFmtId="0" fontId="85" fillId="20" borderId="215" xfId="0" applyFont="1" applyFill="1" applyBorder="1" applyAlignment="1">
      <alignment horizontal="center" vertical="center"/>
    </xf>
    <xf numFmtId="0" fontId="85" fillId="20" borderId="212" xfId="0" applyFont="1" applyFill="1" applyBorder="1" applyAlignment="1">
      <alignment horizontal="center" vertical="center"/>
    </xf>
    <xf numFmtId="0" fontId="85" fillId="20" borderId="213" xfId="0" applyFont="1" applyFill="1" applyBorder="1" applyAlignment="1">
      <alignment horizontal="center" vertical="center"/>
    </xf>
    <xf numFmtId="0" fontId="85" fillId="0" borderId="215" xfId="0" applyFont="1" applyFill="1" applyBorder="1" applyAlignment="1">
      <alignment horizontal="center" vertical="center"/>
    </xf>
    <xf numFmtId="0" fontId="85" fillId="0" borderId="212" xfId="0" applyFont="1" applyFill="1" applyBorder="1" applyAlignment="1">
      <alignment horizontal="center" vertical="center"/>
    </xf>
    <xf numFmtId="0" fontId="85" fillId="0" borderId="213" xfId="0" applyFont="1" applyFill="1" applyBorder="1" applyAlignment="1">
      <alignment horizontal="center" vertical="center"/>
    </xf>
    <xf numFmtId="0" fontId="89" fillId="20" borderId="214" xfId="149" applyFont="1" applyFill="1" applyBorder="1" applyAlignment="1">
      <alignment horizontal="center" vertical="center"/>
    </xf>
    <xf numFmtId="0" fontId="85" fillId="20" borderId="248" xfId="0" applyFont="1" applyFill="1" applyBorder="1" applyAlignment="1">
      <alignment horizontal="center" vertical="center"/>
    </xf>
    <xf numFmtId="0" fontId="85" fillId="20" borderId="293" xfId="0" applyFont="1" applyFill="1" applyBorder="1" applyAlignment="1">
      <alignment horizontal="center" vertical="center"/>
    </xf>
    <xf numFmtId="0" fontId="85" fillId="20" borderId="294" xfId="0" applyFont="1" applyFill="1" applyBorder="1" applyAlignment="1">
      <alignment horizontal="center" vertical="center"/>
    </xf>
    <xf numFmtId="0" fontId="85" fillId="0" borderId="248" xfId="0" applyFont="1" applyFill="1" applyBorder="1" applyAlignment="1">
      <alignment horizontal="center" vertical="center"/>
    </xf>
    <xf numFmtId="0" fontId="85" fillId="0" borderId="293" xfId="0" applyFont="1" applyFill="1" applyBorder="1" applyAlignment="1">
      <alignment horizontal="center" vertical="center"/>
    </xf>
    <xf numFmtId="0" fontId="85" fillId="0" borderId="294" xfId="0" applyFont="1" applyFill="1" applyBorder="1" applyAlignment="1">
      <alignment horizontal="center" vertical="center"/>
    </xf>
    <xf numFmtId="0" fontId="48" fillId="0" borderId="248" xfId="0" applyFont="1" applyFill="1" applyBorder="1" applyAlignment="1">
      <alignment horizontal="center" vertical="center"/>
    </xf>
    <xf numFmtId="0" fontId="48" fillId="0" borderId="293" xfId="0" applyFont="1" applyFill="1" applyBorder="1" applyAlignment="1">
      <alignment horizontal="center" vertical="center"/>
    </xf>
    <xf numFmtId="0" fontId="48" fillId="0" borderId="294" xfId="0" applyFont="1" applyFill="1" applyBorder="1" applyAlignment="1">
      <alignment horizontal="center" vertical="center"/>
    </xf>
    <xf numFmtId="0" fontId="89" fillId="20" borderId="295" xfId="149" applyFont="1" applyFill="1" applyBorder="1" applyAlignment="1">
      <alignment horizontal="center" vertical="center"/>
    </xf>
    <xf numFmtId="0" fontId="89" fillId="20" borderId="248" xfId="149" applyFont="1" applyFill="1" applyBorder="1" applyAlignment="1">
      <alignment horizontal="center" vertical="center"/>
    </xf>
    <xf numFmtId="0" fontId="89" fillId="20" borderId="294" xfId="149" applyFont="1" applyFill="1" applyBorder="1" applyAlignment="1">
      <alignment horizontal="center" vertical="center"/>
    </xf>
    <xf numFmtId="0" fontId="89" fillId="20" borderId="295" xfId="149" applyFont="1" applyFill="1" applyBorder="1" applyAlignment="1">
      <alignment horizontal="center" vertical="center" wrapText="1"/>
    </xf>
    <xf numFmtId="0" fontId="89" fillId="20" borderId="247" xfId="149" applyFont="1" applyFill="1" applyBorder="1" applyAlignment="1">
      <alignment horizontal="center" vertical="center"/>
    </xf>
    <xf numFmtId="0" fontId="39" fillId="0" borderId="28" xfId="0" applyFont="1" applyFill="1" applyBorder="1" applyAlignment="1">
      <alignment horizontal="center" vertical="center"/>
    </xf>
    <xf numFmtId="0" fontId="41" fillId="0" borderId="28" xfId="0" applyFont="1" applyFill="1" applyBorder="1"/>
    <xf numFmtId="0" fontId="39" fillId="0" borderId="28" xfId="0" applyFont="1" applyBorder="1" applyAlignment="1">
      <alignment horizontal="center" vertical="center"/>
    </xf>
    <xf numFmtId="0" fontId="39" fillId="0" borderId="0" xfId="0" applyFont="1" applyBorder="1" applyAlignment="1">
      <alignment horizontal="center" vertical="center"/>
    </xf>
    <xf numFmtId="0" fontId="41" fillId="0" borderId="0" xfId="0" applyFont="1" applyBorder="1"/>
    <xf numFmtId="0" fontId="39" fillId="0" borderId="25" xfId="0" applyFont="1" applyBorder="1" applyAlignment="1">
      <alignment horizontal="center" vertical="center"/>
    </xf>
    <xf numFmtId="0" fontId="39" fillId="0" borderId="0" xfId="0" applyFont="1" applyFill="1" applyBorder="1" applyAlignment="1">
      <alignment horizontal="center" vertical="center"/>
    </xf>
    <xf numFmtId="0" fontId="41" fillId="0" borderId="16" xfId="0" applyFont="1" applyFill="1" applyBorder="1"/>
    <xf numFmtId="0" fontId="39" fillId="0" borderId="134" xfId="0" applyFont="1" applyFill="1" applyBorder="1" applyAlignment="1">
      <alignment horizontal="center" vertical="center" wrapText="1"/>
    </xf>
    <xf numFmtId="0" fontId="41" fillId="0" borderId="201" xfId="0" applyFont="1" applyFill="1" applyBorder="1" applyAlignment="1">
      <alignment wrapText="1"/>
    </xf>
    <xf numFmtId="0" fontId="41" fillId="0" borderId="16" xfId="0" applyFont="1" applyFill="1" applyBorder="1" applyAlignment="1">
      <alignment wrapText="1"/>
    </xf>
    <xf numFmtId="0" fontId="39" fillId="0" borderId="140" xfId="0" applyFont="1" applyFill="1" applyBorder="1" applyAlignment="1">
      <alignment horizontal="center" vertical="center"/>
    </xf>
    <xf numFmtId="0" fontId="41" fillId="0" borderId="497" xfId="0" applyFont="1" applyFill="1" applyBorder="1"/>
    <xf numFmtId="0" fontId="39" fillId="0" borderId="178" xfId="0" applyFont="1" applyFill="1" applyBorder="1" applyAlignment="1">
      <alignment horizontal="center" vertical="center" wrapText="1"/>
    </xf>
    <xf numFmtId="0" fontId="41" fillId="0" borderId="498" xfId="0" applyFont="1" applyFill="1" applyBorder="1" applyAlignment="1">
      <alignment wrapText="1"/>
    </xf>
    <xf numFmtId="0" fontId="39" fillId="0" borderId="179" xfId="0" applyFont="1" applyFill="1" applyBorder="1" applyAlignment="1">
      <alignment horizontal="center" vertical="center" wrapText="1"/>
    </xf>
    <xf numFmtId="0" fontId="41" fillId="0" borderId="499" xfId="0" applyFont="1" applyFill="1" applyBorder="1" applyAlignment="1">
      <alignment wrapText="1"/>
    </xf>
    <xf numFmtId="0" fontId="39" fillId="0" borderId="179" xfId="0" applyFont="1" applyFill="1" applyBorder="1" applyAlignment="1">
      <alignment horizontal="center" vertical="center"/>
    </xf>
    <xf numFmtId="0" fontId="45" fillId="0" borderId="0" xfId="0" applyFont="1" applyAlignment="1">
      <alignment horizontal="right" vertical="center" wrapText="1"/>
    </xf>
    <xf numFmtId="17" fontId="2" fillId="0" borderId="0" xfId="0" applyNumberFormat="1" applyFont="1" applyAlignment="1">
      <alignment horizontal="center" vertical="center" wrapText="1"/>
    </xf>
    <xf numFmtId="17" fontId="2" fillId="0" borderId="0" xfId="0" applyNumberFormat="1" applyFont="1" applyBorder="1" applyAlignment="1">
      <alignment horizontal="center" vertical="center" wrapText="1"/>
    </xf>
    <xf numFmtId="17" fontId="77" fillId="0" borderId="93" xfId="0" applyNumberFormat="1" applyFont="1" applyBorder="1" applyAlignment="1">
      <alignment horizontal="center" vertical="center" wrapText="1"/>
    </xf>
    <xf numFmtId="17" fontId="77" fillId="0" borderId="95" xfId="0" applyNumberFormat="1" applyFont="1" applyBorder="1" applyAlignment="1">
      <alignment horizontal="center" vertical="center" wrapText="1"/>
    </xf>
    <xf numFmtId="17" fontId="77" fillId="0" borderId="94" xfId="0" applyNumberFormat="1" applyFont="1" applyBorder="1" applyAlignment="1">
      <alignment horizontal="center" vertical="center" wrapText="1"/>
    </xf>
    <xf numFmtId="17" fontId="77" fillId="0" borderId="83" xfId="0" applyNumberFormat="1" applyFont="1" applyBorder="1" applyAlignment="1">
      <alignment horizontal="center" vertical="center" wrapText="1"/>
    </xf>
    <xf numFmtId="0" fontId="48" fillId="0" borderId="401" xfId="0" applyFont="1" applyBorder="1" applyAlignment="1">
      <alignment horizontal="center" wrapText="1"/>
    </xf>
    <xf numFmtId="0" fontId="191" fillId="0" borderId="106" xfId="377" applyFont="1" applyBorder="1" applyAlignment="1">
      <alignment horizontal="left" wrapText="1"/>
    </xf>
    <xf numFmtId="0" fontId="48" fillId="0" borderId="150" xfId="0" applyFont="1" applyBorder="1" applyAlignment="1">
      <alignment horizontal="center" wrapText="1"/>
    </xf>
    <xf numFmtId="0" fontId="176" fillId="0" borderId="150" xfId="0" applyFont="1" applyBorder="1" applyAlignment="1">
      <alignment horizontal="center" vertical="center" wrapText="1"/>
    </xf>
    <xf numFmtId="0" fontId="224" fillId="0" borderId="150" xfId="0" applyFont="1" applyBorder="1" applyAlignment="1">
      <alignment horizontal="center" vertical="center" wrapText="1"/>
    </xf>
    <xf numFmtId="0" fontId="102" fillId="0" borderId="127" xfId="0" applyFont="1" applyBorder="1" applyAlignment="1">
      <alignment horizontal="center" vertical="center" readingOrder="1"/>
    </xf>
    <xf numFmtId="0" fontId="102" fillId="0" borderId="130" xfId="0" applyFont="1" applyBorder="1" applyAlignment="1">
      <alignment horizontal="center" vertical="center" readingOrder="1"/>
    </xf>
    <xf numFmtId="0" fontId="102" fillId="0" borderId="128" xfId="0" applyFont="1" applyBorder="1" applyAlignment="1">
      <alignment horizontal="center" vertical="center" readingOrder="1"/>
    </xf>
    <xf numFmtId="0" fontId="102" fillId="0" borderId="93" xfId="0" applyFont="1" applyBorder="1" applyAlignment="1">
      <alignment horizontal="center" vertical="center" readingOrder="1"/>
    </xf>
    <xf numFmtId="0" fontId="102" fillId="0" borderId="95" xfId="0" applyFont="1" applyBorder="1" applyAlignment="1">
      <alignment horizontal="center" vertical="center" readingOrder="1"/>
    </xf>
    <xf numFmtId="0" fontId="102" fillId="0" borderId="94" xfId="0" applyFont="1" applyBorder="1" applyAlignment="1">
      <alignment horizontal="center" vertical="center" readingOrder="1"/>
    </xf>
    <xf numFmtId="0" fontId="42" fillId="0" borderId="0" xfId="0" applyFont="1" applyBorder="1" applyAlignment="1">
      <alignment horizontal="center"/>
    </xf>
    <xf numFmtId="0" fontId="41" fillId="0" borderId="1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55" fillId="0" borderId="0" xfId="0" applyFont="1" applyAlignment="1">
      <alignment horizontal="center" vertical="center" wrapText="1"/>
    </xf>
    <xf numFmtId="0" fontId="42" fillId="0" borderId="0" xfId="2647" applyFont="1" applyBorder="1" applyAlignment="1">
      <alignment horizontal="center"/>
    </xf>
    <xf numFmtId="0" fontId="39" fillId="0" borderId="0" xfId="0" applyFont="1" applyFill="1" applyBorder="1" applyAlignment="1">
      <alignment horizontal="center"/>
    </xf>
    <xf numFmtId="0" fontId="42" fillId="20" borderId="208" xfId="0" applyFont="1" applyFill="1" applyBorder="1" applyAlignment="1">
      <alignment horizontal="center" vertical="center"/>
    </xf>
  </cellXfs>
  <cellStyles count="3812">
    <cellStyle name="20% - Énfasis1 2" xfId="1"/>
    <cellStyle name="20% - Énfasis1 2 2" xfId="2"/>
    <cellStyle name="20% - Énfasis1 2 2 2" xfId="3"/>
    <cellStyle name="20% - Énfasis1 2 2 2 2" xfId="823"/>
    <cellStyle name="20% - Énfasis1 2 2 2 2 2" xfId="824"/>
    <cellStyle name="20% - Énfasis1 2 2 2 3" xfId="825"/>
    <cellStyle name="20% - Énfasis1 2 2 3" xfId="826"/>
    <cellStyle name="20% - Énfasis1 2 2 3 2" xfId="827"/>
    <cellStyle name="20% - Énfasis1 2 2 4" xfId="828"/>
    <cellStyle name="20% - Énfasis1 2 2_ARTURO SSMC110113xls" xfId="829"/>
    <cellStyle name="20% - Énfasis1 2 3" xfId="4"/>
    <cellStyle name="20% - Énfasis1 2 3 2" xfId="5"/>
    <cellStyle name="20% - Énfasis1 2 3 2 2" xfId="830"/>
    <cellStyle name="20% - Énfasis1 2 3 2 2 2" xfId="831"/>
    <cellStyle name="20% - Énfasis1 2 3 2 3" xfId="832"/>
    <cellStyle name="20% - Énfasis1 2 3 3" xfId="833"/>
    <cellStyle name="20% - Énfasis1 2 3 3 2" xfId="834"/>
    <cellStyle name="20% - Énfasis1 2 3 4" xfId="835"/>
    <cellStyle name="20% - Énfasis1 2 3_ARTURO SSMC110113xls" xfId="836"/>
    <cellStyle name="20% - Énfasis1 2 4" xfId="6"/>
    <cellStyle name="20% - Énfasis1 2 4 2" xfId="837"/>
    <cellStyle name="20% - Énfasis1 2 4 2 2" xfId="838"/>
    <cellStyle name="20% - Énfasis1 2 4 3" xfId="839"/>
    <cellStyle name="20% - Énfasis1 2 5" xfId="840"/>
    <cellStyle name="20% - Énfasis1 2 5 2" xfId="841"/>
    <cellStyle name="20% - Énfasis1 2 6" xfId="842"/>
    <cellStyle name="20% - Énfasis1 2_ARTURO SSMC110113xls" xfId="843"/>
    <cellStyle name="20% - Énfasis1 3" xfId="458"/>
    <cellStyle name="20% - Énfasis2 2" xfId="7"/>
    <cellStyle name="20% - Énfasis2 2 2" xfId="8"/>
    <cellStyle name="20% - Énfasis2 2 2 2" xfId="9"/>
    <cellStyle name="20% - Énfasis2 2 2 2 2" xfId="844"/>
    <cellStyle name="20% - Énfasis2 2 2 2 2 2" xfId="845"/>
    <cellStyle name="20% - Énfasis2 2 2 2 3" xfId="846"/>
    <cellStyle name="20% - Énfasis2 2 2 3" xfId="847"/>
    <cellStyle name="20% - Énfasis2 2 2 3 2" xfId="848"/>
    <cellStyle name="20% - Énfasis2 2 2 4" xfId="849"/>
    <cellStyle name="20% - Énfasis2 2 2_ARTURO SSMC110113xls" xfId="850"/>
    <cellStyle name="20% - Énfasis2 2 3" xfId="10"/>
    <cellStyle name="20% - Énfasis2 2 3 2" xfId="11"/>
    <cellStyle name="20% - Énfasis2 2 3 2 2" xfId="851"/>
    <cellStyle name="20% - Énfasis2 2 3 2 2 2" xfId="852"/>
    <cellStyle name="20% - Énfasis2 2 3 2 3" xfId="853"/>
    <cellStyle name="20% - Énfasis2 2 3 3" xfId="854"/>
    <cellStyle name="20% - Énfasis2 2 3 3 2" xfId="855"/>
    <cellStyle name="20% - Énfasis2 2 3 4" xfId="856"/>
    <cellStyle name="20% - Énfasis2 2 3_ARTURO SSMC110113xls" xfId="857"/>
    <cellStyle name="20% - Énfasis2 2 4" xfId="12"/>
    <cellStyle name="20% - Énfasis2 2 4 2" xfId="858"/>
    <cellStyle name="20% - Énfasis2 2 4 2 2" xfId="859"/>
    <cellStyle name="20% - Énfasis2 2 4 3" xfId="860"/>
    <cellStyle name="20% - Énfasis2 2 5" xfId="861"/>
    <cellStyle name="20% - Énfasis2 2 5 2" xfId="862"/>
    <cellStyle name="20% - Énfasis2 2 6" xfId="863"/>
    <cellStyle name="20% - Énfasis2 2_ARTURO SSMC110113xls" xfId="864"/>
    <cellStyle name="20% - Énfasis2 3" xfId="459"/>
    <cellStyle name="20% - Énfasis3 2" xfId="13"/>
    <cellStyle name="20% - Énfasis3 2 2" xfId="14"/>
    <cellStyle name="20% - Énfasis3 2 2 2" xfId="15"/>
    <cellStyle name="20% - Énfasis3 2 2 2 2" xfId="865"/>
    <cellStyle name="20% - Énfasis3 2 2 2 2 2" xfId="866"/>
    <cellStyle name="20% - Énfasis3 2 2 2 3" xfId="867"/>
    <cellStyle name="20% - Énfasis3 2 2 3" xfId="868"/>
    <cellStyle name="20% - Énfasis3 2 2 3 2" xfId="869"/>
    <cellStyle name="20% - Énfasis3 2 2 4" xfId="870"/>
    <cellStyle name="20% - Énfasis3 2 2_ARTURO SSMC110113xls" xfId="871"/>
    <cellStyle name="20% - Énfasis3 2 3" xfId="16"/>
    <cellStyle name="20% - Énfasis3 2 3 2" xfId="17"/>
    <cellStyle name="20% - Énfasis3 2 3 2 2" xfId="872"/>
    <cellStyle name="20% - Énfasis3 2 3 2 2 2" xfId="873"/>
    <cellStyle name="20% - Énfasis3 2 3 2 3" xfId="874"/>
    <cellStyle name="20% - Énfasis3 2 3 3" xfId="875"/>
    <cellStyle name="20% - Énfasis3 2 3 3 2" xfId="876"/>
    <cellStyle name="20% - Énfasis3 2 3 4" xfId="877"/>
    <cellStyle name="20% - Énfasis3 2 3_ARTURO SSMC110113xls" xfId="878"/>
    <cellStyle name="20% - Énfasis3 2 4" xfId="18"/>
    <cellStyle name="20% - Énfasis3 2 4 2" xfId="879"/>
    <cellStyle name="20% - Énfasis3 2 4 2 2" xfId="880"/>
    <cellStyle name="20% - Énfasis3 2 4 3" xfId="881"/>
    <cellStyle name="20% - Énfasis3 2 5" xfId="882"/>
    <cellStyle name="20% - Énfasis3 2 5 2" xfId="883"/>
    <cellStyle name="20% - Énfasis3 2 6" xfId="884"/>
    <cellStyle name="20% - Énfasis3 2_ARTURO SSMC110113xls" xfId="885"/>
    <cellStyle name="20% - Énfasis3 3" xfId="460"/>
    <cellStyle name="20% - Énfasis4 2" xfId="19"/>
    <cellStyle name="20% - Énfasis4 2 2" xfId="20"/>
    <cellStyle name="20% - Énfasis4 2 2 2" xfId="21"/>
    <cellStyle name="20% - Énfasis4 2 2 2 2" xfId="886"/>
    <cellStyle name="20% - Énfasis4 2 2 2 2 2" xfId="887"/>
    <cellStyle name="20% - Énfasis4 2 2 2 3" xfId="888"/>
    <cellStyle name="20% - Énfasis4 2 2 3" xfId="889"/>
    <cellStyle name="20% - Énfasis4 2 2 3 2" xfId="890"/>
    <cellStyle name="20% - Énfasis4 2 2 4" xfId="891"/>
    <cellStyle name="20% - Énfasis4 2 2_ARTURO SSMC110113xls" xfId="892"/>
    <cellStyle name="20% - Énfasis4 2 3" xfId="22"/>
    <cellStyle name="20% - Énfasis4 2 3 2" xfId="23"/>
    <cellStyle name="20% - Énfasis4 2 3 2 2" xfId="893"/>
    <cellStyle name="20% - Énfasis4 2 3 2 2 2" xfId="894"/>
    <cellStyle name="20% - Énfasis4 2 3 2 3" xfId="895"/>
    <cellStyle name="20% - Énfasis4 2 3 3" xfId="896"/>
    <cellStyle name="20% - Énfasis4 2 3 3 2" xfId="897"/>
    <cellStyle name="20% - Énfasis4 2 3 4" xfId="898"/>
    <cellStyle name="20% - Énfasis4 2 3_ARTURO SSMC110113xls" xfId="899"/>
    <cellStyle name="20% - Énfasis4 2 4" xfId="24"/>
    <cellStyle name="20% - Énfasis4 2 4 2" xfId="900"/>
    <cellStyle name="20% - Énfasis4 2 4 2 2" xfId="901"/>
    <cellStyle name="20% - Énfasis4 2 4 3" xfId="902"/>
    <cellStyle name="20% - Énfasis4 2 5" xfId="903"/>
    <cellStyle name="20% - Énfasis4 2 5 2" xfId="904"/>
    <cellStyle name="20% - Énfasis4 2 6" xfId="905"/>
    <cellStyle name="20% - Énfasis4 2_ARTURO SSMC110113xls" xfId="906"/>
    <cellStyle name="20% - Énfasis4 3" xfId="461"/>
    <cellStyle name="20% - Énfasis5 2" xfId="25"/>
    <cellStyle name="20% - Énfasis5 2 2" xfId="26"/>
    <cellStyle name="20% - Énfasis5 2 2 2" xfId="27"/>
    <cellStyle name="20% - Énfasis5 2 2 2 2" xfId="907"/>
    <cellStyle name="20% - Énfasis5 2 2 2 2 2" xfId="908"/>
    <cellStyle name="20% - Énfasis5 2 2 2 3" xfId="909"/>
    <cellStyle name="20% - Énfasis5 2 2 3" xfId="910"/>
    <cellStyle name="20% - Énfasis5 2 2 3 2" xfId="911"/>
    <cellStyle name="20% - Énfasis5 2 2 4" xfId="912"/>
    <cellStyle name="20% - Énfasis5 2 2_ARTURO SSMC110113xls" xfId="913"/>
    <cellStyle name="20% - Énfasis5 2 3" xfId="28"/>
    <cellStyle name="20% - Énfasis5 2 3 2" xfId="29"/>
    <cellStyle name="20% - Énfasis5 2 3 2 2" xfId="914"/>
    <cellStyle name="20% - Énfasis5 2 3 2 2 2" xfId="915"/>
    <cellStyle name="20% - Énfasis5 2 3 2 3" xfId="916"/>
    <cellStyle name="20% - Énfasis5 2 3 3" xfId="917"/>
    <cellStyle name="20% - Énfasis5 2 3 3 2" xfId="918"/>
    <cellStyle name="20% - Énfasis5 2 3 4" xfId="919"/>
    <cellStyle name="20% - Énfasis5 2 3_ARTURO SSMC110113xls" xfId="920"/>
    <cellStyle name="20% - Énfasis5 2 4" xfId="30"/>
    <cellStyle name="20% - Énfasis5 2 4 2" xfId="921"/>
    <cellStyle name="20% - Énfasis5 2 4 2 2" xfId="922"/>
    <cellStyle name="20% - Énfasis5 2 4 3" xfId="923"/>
    <cellStyle name="20% - Énfasis5 2 5" xfId="924"/>
    <cellStyle name="20% - Énfasis5 2 5 2" xfId="925"/>
    <cellStyle name="20% - Énfasis5 2 6" xfId="926"/>
    <cellStyle name="20% - Énfasis5 2_ARTURO SSMC110113xls" xfId="927"/>
    <cellStyle name="20% - Énfasis5 3" xfId="31"/>
    <cellStyle name="20% - Énfasis5 3 10" xfId="928"/>
    <cellStyle name="20% - Énfasis5 3 2" xfId="462"/>
    <cellStyle name="20% - Énfasis5 3 2 2" xfId="463"/>
    <cellStyle name="20% - Énfasis5 3 2 2 2" xfId="929"/>
    <cellStyle name="20% - Énfasis5 3 2 2 2 2" xfId="930"/>
    <cellStyle name="20% - Énfasis5 3 2 2 3" xfId="931"/>
    <cellStyle name="20% - Énfasis5 3 2 3" xfId="932"/>
    <cellStyle name="20% - Énfasis5 3 2 3 2" xfId="933"/>
    <cellStyle name="20% - Énfasis5 3 2 4" xfId="934"/>
    <cellStyle name="20% - Énfasis5 3 3" xfId="935"/>
    <cellStyle name="20% - Énfasis5 3 3 2" xfId="936"/>
    <cellStyle name="20% - Énfasis5 3 3 2 2" xfId="937"/>
    <cellStyle name="20% - Énfasis5 3 3 2 2 2" xfId="938"/>
    <cellStyle name="20% - Énfasis5 3 3 2 3" xfId="939"/>
    <cellStyle name="20% - Énfasis5 3 3 3" xfId="940"/>
    <cellStyle name="20% - Énfasis5 3 3 3 2" xfId="941"/>
    <cellStyle name="20% - Énfasis5 3 3 4" xfId="942"/>
    <cellStyle name="20% - Énfasis5 3 4" xfId="943"/>
    <cellStyle name="20% - Énfasis5 3 4 2" xfId="944"/>
    <cellStyle name="20% - Énfasis5 3 4 2 2" xfId="945"/>
    <cellStyle name="20% - Énfasis5 3 4 2 2 2" xfId="946"/>
    <cellStyle name="20% - Énfasis5 3 4 2 3" xfId="947"/>
    <cellStyle name="20% - Énfasis5 3 4 3" xfId="948"/>
    <cellStyle name="20% - Énfasis5 3 4 3 2" xfId="949"/>
    <cellStyle name="20% - Énfasis5 3 4 4" xfId="950"/>
    <cellStyle name="20% - Énfasis5 3 5" xfId="951"/>
    <cellStyle name="20% - Énfasis5 3 5 2" xfId="952"/>
    <cellStyle name="20% - Énfasis5 3 5 2 2" xfId="953"/>
    <cellStyle name="20% - Énfasis5 3 5 2 2 2" xfId="954"/>
    <cellStyle name="20% - Énfasis5 3 5 2 3" xfId="955"/>
    <cellStyle name="20% - Énfasis5 3 5 3" xfId="956"/>
    <cellStyle name="20% - Énfasis5 3 5 3 2" xfId="957"/>
    <cellStyle name="20% - Énfasis5 3 5 4" xfId="958"/>
    <cellStyle name="20% - Énfasis5 3 6" xfId="959"/>
    <cellStyle name="20% - Énfasis5 3 6 2" xfId="960"/>
    <cellStyle name="20% - Énfasis5 3 6 2 2" xfId="961"/>
    <cellStyle name="20% - Énfasis5 3 6 2 2 2" xfId="962"/>
    <cellStyle name="20% - Énfasis5 3 6 2 3" xfId="963"/>
    <cellStyle name="20% - Énfasis5 3 6 3" xfId="964"/>
    <cellStyle name="20% - Énfasis5 3 6 3 2" xfId="965"/>
    <cellStyle name="20% - Énfasis5 3 6 4" xfId="966"/>
    <cellStyle name="20% - Énfasis5 3 7" xfId="967"/>
    <cellStyle name="20% - Énfasis5 3 7 2" xfId="968"/>
    <cellStyle name="20% - Énfasis5 3 7 2 2" xfId="969"/>
    <cellStyle name="20% - Énfasis5 3 7 2 2 2" xfId="970"/>
    <cellStyle name="20% - Énfasis5 3 7 2 3" xfId="971"/>
    <cellStyle name="20% - Énfasis5 3 7 3" xfId="972"/>
    <cellStyle name="20% - Énfasis5 3 7 3 2" xfId="973"/>
    <cellStyle name="20% - Énfasis5 3 7 4" xfId="974"/>
    <cellStyle name="20% - Énfasis5 3 8" xfId="975"/>
    <cellStyle name="20% - Énfasis5 3 8 2" xfId="976"/>
    <cellStyle name="20% - Énfasis5 3 8 2 2" xfId="977"/>
    <cellStyle name="20% - Énfasis5 3 8 3" xfId="978"/>
    <cellStyle name="20% - Énfasis5 3 9" xfId="979"/>
    <cellStyle name="20% - Énfasis5 3 9 2" xfId="980"/>
    <cellStyle name="20% - Énfasis5 4" xfId="32"/>
    <cellStyle name="20% - Énfasis5 4 10" xfId="981"/>
    <cellStyle name="20% - Énfasis5 4 2" xfId="464"/>
    <cellStyle name="20% - Énfasis5 4 2 2" xfId="982"/>
    <cellStyle name="20% - Énfasis5 4 2 2 2" xfId="983"/>
    <cellStyle name="20% - Énfasis5 4 2 2 2 2" xfId="984"/>
    <cellStyle name="20% - Énfasis5 4 2 2 3" xfId="985"/>
    <cellStyle name="20% - Énfasis5 4 2 3" xfId="986"/>
    <cellStyle name="20% - Énfasis5 4 2 3 2" xfId="987"/>
    <cellStyle name="20% - Énfasis5 4 2 4" xfId="988"/>
    <cellStyle name="20% - Énfasis5 4 3" xfId="989"/>
    <cellStyle name="20% - Énfasis5 4 3 2" xfId="990"/>
    <cellStyle name="20% - Énfasis5 4 3 2 2" xfId="991"/>
    <cellStyle name="20% - Énfasis5 4 3 2 2 2" xfId="992"/>
    <cellStyle name="20% - Énfasis5 4 3 2 3" xfId="993"/>
    <cellStyle name="20% - Énfasis5 4 3 3" xfId="994"/>
    <cellStyle name="20% - Énfasis5 4 3 3 2" xfId="995"/>
    <cellStyle name="20% - Énfasis5 4 3 4" xfId="996"/>
    <cellStyle name="20% - Énfasis5 4 4" xfId="997"/>
    <cellStyle name="20% - Énfasis5 4 4 2" xfId="998"/>
    <cellStyle name="20% - Énfasis5 4 4 2 2" xfId="999"/>
    <cellStyle name="20% - Énfasis5 4 4 2 2 2" xfId="1000"/>
    <cellStyle name="20% - Énfasis5 4 4 2 3" xfId="1001"/>
    <cellStyle name="20% - Énfasis5 4 4 3" xfId="1002"/>
    <cellStyle name="20% - Énfasis5 4 4 3 2" xfId="1003"/>
    <cellStyle name="20% - Énfasis5 4 4 4" xfId="1004"/>
    <cellStyle name="20% - Énfasis5 4 5" xfId="1005"/>
    <cellStyle name="20% - Énfasis5 4 5 2" xfId="1006"/>
    <cellStyle name="20% - Énfasis5 4 5 2 2" xfId="1007"/>
    <cellStyle name="20% - Énfasis5 4 5 2 2 2" xfId="1008"/>
    <cellStyle name="20% - Énfasis5 4 5 2 3" xfId="1009"/>
    <cellStyle name="20% - Énfasis5 4 5 3" xfId="1010"/>
    <cellStyle name="20% - Énfasis5 4 5 3 2" xfId="1011"/>
    <cellStyle name="20% - Énfasis5 4 5 4" xfId="1012"/>
    <cellStyle name="20% - Énfasis5 4 6" xfId="1013"/>
    <cellStyle name="20% - Énfasis5 4 6 2" xfId="1014"/>
    <cellStyle name="20% - Énfasis5 4 6 2 2" xfId="1015"/>
    <cellStyle name="20% - Énfasis5 4 6 2 2 2" xfId="1016"/>
    <cellStyle name="20% - Énfasis5 4 6 2 3" xfId="1017"/>
    <cellStyle name="20% - Énfasis5 4 6 3" xfId="1018"/>
    <cellStyle name="20% - Énfasis5 4 6 3 2" xfId="1019"/>
    <cellStyle name="20% - Énfasis5 4 6 4" xfId="1020"/>
    <cellStyle name="20% - Énfasis5 4 7" xfId="1021"/>
    <cellStyle name="20% - Énfasis5 4 7 2" xfId="1022"/>
    <cellStyle name="20% - Énfasis5 4 7 2 2" xfId="1023"/>
    <cellStyle name="20% - Énfasis5 4 7 2 2 2" xfId="1024"/>
    <cellStyle name="20% - Énfasis5 4 7 2 3" xfId="1025"/>
    <cellStyle name="20% - Énfasis5 4 7 3" xfId="1026"/>
    <cellStyle name="20% - Énfasis5 4 7 3 2" xfId="1027"/>
    <cellStyle name="20% - Énfasis5 4 7 4" xfId="1028"/>
    <cellStyle name="20% - Énfasis5 4 8" xfId="1029"/>
    <cellStyle name="20% - Énfasis5 4 8 2" xfId="1030"/>
    <cellStyle name="20% - Énfasis5 4 8 2 2" xfId="1031"/>
    <cellStyle name="20% - Énfasis5 4 8 3" xfId="1032"/>
    <cellStyle name="20% - Énfasis5 4 9" xfId="1033"/>
    <cellStyle name="20% - Énfasis5 4 9 2" xfId="1034"/>
    <cellStyle name="20% - Énfasis5 5" xfId="33"/>
    <cellStyle name="20% - Énfasis5 5 10" xfId="1035"/>
    <cellStyle name="20% - Énfasis5 5 2" xfId="465"/>
    <cellStyle name="20% - Énfasis5 5 2 2" xfId="1036"/>
    <cellStyle name="20% - Énfasis5 5 2 2 2" xfId="1037"/>
    <cellStyle name="20% - Énfasis5 5 2 2 2 2" xfId="1038"/>
    <cellStyle name="20% - Énfasis5 5 2 2 3" xfId="1039"/>
    <cellStyle name="20% - Énfasis5 5 2 3" xfId="1040"/>
    <cellStyle name="20% - Énfasis5 5 2 3 2" xfId="1041"/>
    <cellStyle name="20% - Énfasis5 5 2 4" xfId="1042"/>
    <cellStyle name="20% - Énfasis5 5 3" xfId="1043"/>
    <cellStyle name="20% - Énfasis5 5 3 2" xfId="1044"/>
    <cellStyle name="20% - Énfasis5 5 3 2 2" xfId="1045"/>
    <cellStyle name="20% - Énfasis5 5 3 2 2 2" xfId="1046"/>
    <cellStyle name="20% - Énfasis5 5 3 2 3" xfId="1047"/>
    <cellStyle name="20% - Énfasis5 5 3 3" xfId="1048"/>
    <cellStyle name="20% - Énfasis5 5 3 3 2" xfId="1049"/>
    <cellStyle name="20% - Énfasis5 5 3 4" xfId="1050"/>
    <cellStyle name="20% - Énfasis5 5 4" xfId="1051"/>
    <cellStyle name="20% - Énfasis5 5 4 2" xfId="1052"/>
    <cellStyle name="20% - Énfasis5 5 4 2 2" xfId="1053"/>
    <cellStyle name="20% - Énfasis5 5 4 2 2 2" xfId="1054"/>
    <cellStyle name="20% - Énfasis5 5 4 2 3" xfId="1055"/>
    <cellStyle name="20% - Énfasis5 5 4 3" xfId="1056"/>
    <cellStyle name="20% - Énfasis5 5 4 3 2" xfId="1057"/>
    <cellStyle name="20% - Énfasis5 5 4 4" xfId="1058"/>
    <cellStyle name="20% - Énfasis5 5 5" xfId="1059"/>
    <cellStyle name="20% - Énfasis5 5 5 2" xfId="1060"/>
    <cellStyle name="20% - Énfasis5 5 5 2 2" xfId="1061"/>
    <cellStyle name="20% - Énfasis5 5 5 2 2 2" xfId="1062"/>
    <cellStyle name="20% - Énfasis5 5 5 2 3" xfId="1063"/>
    <cellStyle name="20% - Énfasis5 5 5 3" xfId="1064"/>
    <cellStyle name="20% - Énfasis5 5 5 3 2" xfId="1065"/>
    <cellStyle name="20% - Énfasis5 5 5 4" xfId="1066"/>
    <cellStyle name="20% - Énfasis5 5 6" xfId="1067"/>
    <cellStyle name="20% - Énfasis5 5 6 2" xfId="1068"/>
    <cellStyle name="20% - Énfasis5 5 6 2 2" xfId="1069"/>
    <cellStyle name="20% - Énfasis5 5 6 2 2 2" xfId="1070"/>
    <cellStyle name="20% - Énfasis5 5 6 2 3" xfId="1071"/>
    <cellStyle name="20% - Énfasis5 5 6 3" xfId="1072"/>
    <cellStyle name="20% - Énfasis5 5 6 3 2" xfId="1073"/>
    <cellStyle name="20% - Énfasis5 5 6 4" xfId="1074"/>
    <cellStyle name="20% - Énfasis5 5 7" xfId="1075"/>
    <cellStyle name="20% - Énfasis5 5 7 2" xfId="1076"/>
    <cellStyle name="20% - Énfasis5 5 7 2 2" xfId="1077"/>
    <cellStyle name="20% - Énfasis5 5 7 2 2 2" xfId="1078"/>
    <cellStyle name="20% - Énfasis5 5 7 2 3" xfId="1079"/>
    <cellStyle name="20% - Énfasis5 5 7 3" xfId="1080"/>
    <cellStyle name="20% - Énfasis5 5 7 3 2" xfId="1081"/>
    <cellStyle name="20% - Énfasis5 5 7 4" xfId="1082"/>
    <cellStyle name="20% - Énfasis5 5 8" xfId="1083"/>
    <cellStyle name="20% - Énfasis5 5 8 2" xfId="1084"/>
    <cellStyle name="20% - Énfasis5 5 8 2 2" xfId="1085"/>
    <cellStyle name="20% - Énfasis5 5 8 3" xfId="1086"/>
    <cellStyle name="20% - Énfasis5 5 9" xfId="1087"/>
    <cellStyle name="20% - Énfasis5 5 9 2" xfId="1088"/>
    <cellStyle name="20% - Énfasis5 6" xfId="34"/>
    <cellStyle name="20% - Énfasis5 6 10" xfId="1089"/>
    <cellStyle name="20% - Énfasis5 6 2" xfId="466"/>
    <cellStyle name="20% - Énfasis5 6 2 2" xfId="1090"/>
    <cellStyle name="20% - Énfasis5 6 2 2 2" xfId="1091"/>
    <cellStyle name="20% - Énfasis5 6 2 2 2 2" xfId="1092"/>
    <cellStyle name="20% - Énfasis5 6 2 2 3" xfId="1093"/>
    <cellStyle name="20% - Énfasis5 6 2 3" xfId="1094"/>
    <cellStyle name="20% - Énfasis5 6 2 3 2" xfId="1095"/>
    <cellStyle name="20% - Énfasis5 6 2 4" xfId="1096"/>
    <cellStyle name="20% - Énfasis5 6 3" xfId="1097"/>
    <cellStyle name="20% - Énfasis5 6 3 2" xfId="1098"/>
    <cellStyle name="20% - Énfasis5 6 3 2 2" xfId="1099"/>
    <cellStyle name="20% - Énfasis5 6 3 2 2 2" xfId="1100"/>
    <cellStyle name="20% - Énfasis5 6 3 2 3" xfId="1101"/>
    <cellStyle name="20% - Énfasis5 6 3 3" xfId="1102"/>
    <cellStyle name="20% - Énfasis5 6 3 3 2" xfId="1103"/>
    <cellStyle name="20% - Énfasis5 6 3 4" xfId="1104"/>
    <cellStyle name="20% - Énfasis5 6 4" xfId="1105"/>
    <cellStyle name="20% - Énfasis5 6 4 2" xfId="1106"/>
    <cellStyle name="20% - Énfasis5 6 4 2 2" xfId="1107"/>
    <cellStyle name="20% - Énfasis5 6 4 2 2 2" xfId="1108"/>
    <cellStyle name="20% - Énfasis5 6 4 2 3" xfId="1109"/>
    <cellStyle name="20% - Énfasis5 6 4 3" xfId="1110"/>
    <cellStyle name="20% - Énfasis5 6 4 3 2" xfId="1111"/>
    <cellStyle name="20% - Énfasis5 6 4 4" xfId="1112"/>
    <cellStyle name="20% - Énfasis5 6 5" xfId="1113"/>
    <cellStyle name="20% - Énfasis5 6 5 2" xfId="1114"/>
    <cellStyle name="20% - Énfasis5 6 5 2 2" xfId="1115"/>
    <cellStyle name="20% - Énfasis5 6 5 2 2 2" xfId="1116"/>
    <cellStyle name="20% - Énfasis5 6 5 2 3" xfId="1117"/>
    <cellStyle name="20% - Énfasis5 6 5 3" xfId="1118"/>
    <cellStyle name="20% - Énfasis5 6 5 3 2" xfId="1119"/>
    <cellStyle name="20% - Énfasis5 6 5 4" xfId="1120"/>
    <cellStyle name="20% - Énfasis5 6 6" xfId="1121"/>
    <cellStyle name="20% - Énfasis5 6 6 2" xfId="1122"/>
    <cellStyle name="20% - Énfasis5 6 6 2 2" xfId="1123"/>
    <cellStyle name="20% - Énfasis5 6 6 2 2 2" xfId="1124"/>
    <cellStyle name="20% - Énfasis5 6 6 2 3" xfId="1125"/>
    <cellStyle name="20% - Énfasis5 6 6 3" xfId="1126"/>
    <cellStyle name="20% - Énfasis5 6 6 3 2" xfId="1127"/>
    <cellStyle name="20% - Énfasis5 6 6 4" xfId="1128"/>
    <cellStyle name="20% - Énfasis5 6 7" xfId="1129"/>
    <cellStyle name="20% - Énfasis5 6 7 2" xfId="1130"/>
    <cellStyle name="20% - Énfasis5 6 7 2 2" xfId="1131"/>
    <cellStyle name="20% - Énfasis5 6 7 2 2 2" xfId="1132"/>
    <cellStyle name="20% - Énfasis5 6 7 2 3" xfId="1133"/>
    <cellStyle name="20% - Énfasis5 6 7 3" xfId="1134"/>
    <cellStyle name="20% - Énfasis5 6 7 3 2" xfId="1135"/>
    <cellStyle name="20% - Énfasis5 6 7 4" xfId="1136"/>
    <cellStyle name="20% - Énfasis5 6 8" xfId="1137"/>
    <cellStyle name="20% - Énfasis5 6 8 2" xfId="1138"/>
    <cellStyle name="20% - Énfasis5 6 8 2 2" xfId="1139"/>
    <cellStyle name="20% - Énfasis5 6 8 3" xfId="1140"/>
    <cellStyle name="20% - Énfasis5 6 9" xfId="1141"/>
    <cellStyle name="20% - Énfasis5 6 9 2" xfId="1142"/>
    <cellStyle name="20% - Énfasis6 2" xfId="35"/>
    <cellStyle name="20% - Énfasis6 2 2" xfId="36"/>
    <cellStyle name="20% - Énfasis6 2 2 2" xfId="37"/>
    <cellStyle name="20% - Énfasis6 2 2 2 2" xfId="1143"/>
    <cellStyle name="20% - Énfasis6 2 2 2 2 2" xfId="1144"/>
    <cellStyle name="20% - Énfasis6 2 2 2 3" xfId="1145"/>
    <cellStyle name="20% - Énfasis6 2 2 3" xfId="1146"/>
    <cellStyle name="20% - Énfasis6 2 2 3 2" xfId="1147"/>
    <cellStyle name="20% - Énfasis6 2 2 4" xfId="1148"/>
    <cellStyle name="20% - Énfasis6 2 2_ARTURO SSMC110113xls" xfId="1149"/>
    <cellStyle name="20% - Énfasis6 2 3" xfId="38"/>
    <cellStyle name="20% - Énfasis6 2 3 2" xfId="39"/>
    <cellStyle name="20% - Énfasis6 2 3 2 2" xfId="1150"/>
    <cellStyle name="20% - Énfasis6 2 3 2 2 2" xfId="1151"/>
    <cellStyle name="20% - Énfasis6 2 3 2 3" xfId="1152"/>
    <cellStyle name="20% - Énfasis6 2 3 3" xfId="1153"/>
    <cellStyle name="20% - Énfasis6 2 3 3 2" xfId="1154"/>
    <cellStyle name="20% - Énfasis6 2 3 4" xfId="1155"/>
    <cellStyle name="20% - Énfasis6 2 3_ARTURO SSMC110113xls" xfId="1156"/>
    <cellStyle name="20% - Énfasis6 2 4" xfId="40"/>
    <cellStyle name="20% - Énfasis6 2 4 2" xfId="1157"/>
    <cellStyle name="20% - Énfasis6 2 4 2 2" xfId="1158"/>
    <cellStyle name="20% - Énfasis6 2 4 3" xfId="1159"/>
    <cellStyle name="20% - Énfasis6 2 5" xfId="1160"/>
    <cellStyle name="20% - Énfasis6 2 5 2" xfId="1161"/>
    <cellStyle name="20% - Énfasis6 2 6" xfId="1162"/>
    <cellStyle name="20% - Énfasis6 2_ARTURO SSMC110113xls" xfId="1163"/>
    <cellStyle name="20% - Énfasis6 3" xfId="467"/>
    <cellStyle name="40% - Énfasis1 2" xfId="41"/>
    <cellStyle name="40% - Énfasis1 2 2" xfId="42"/>
    <cellStyle name="40% - Énfasis1 2 2 2" xfId="43"/>
    <cellStyle name="40% - Énfasis1 2 2 2 2" xfId="1164"/>
    <cellStyle name="40% - Énfasis1 2 2 2 2 2" xfId="1165"/>
    <cellStyle name="40% - Énfasis1 2 2 2 3" xfId="1166"/>
    <cellStyle name="40% - Énfasis1 2 2 3" xfId="1167"/>
    <cellStyle name="40% - Énfasis1 2 2 3 2" xfId="1168"/>
    <cellStyle name="40% - Énfasis1 2 2 4" xfId="1169"/>
    <cellStyle name="40% - Énfasis1 2 2_ARTURO SSMC110113xls" xfId="1170"/>
    <cellStyle name="40% - Énfasis1 2 3" xfId="44"/>
    <cellStyle name="40% - Énfasis1 2 3 2" xfId="45"/>
    <cellStyle name="40% - Énfasis1 2 3 2 2" xfId="1171"/>
    <cellStyle name="40% - Énfasis1 2 3 2 2 2" xfId="1172"/>
    <cellStyle name="40% - Énfasis1 2 3 2 3" xfId="1173"/>
    <cellStyle name="40% - Énfasis1 2 3 3" xfId="1174"/>
    <cellStyle name="40% - Énfasis1 2 3 3 2" xfId="1175"/>
    <cellStyle name="40% - Énfasis1 2 3 4" xfId="1176"/>
    <cellStyle name="40% - Énfasis1 2 3_ARTURO SSMC110113xls" xfId="1177"/>
    <cellStyle name="40% - Énfasis1 2 4" xfId="46"/>
    <cellStyle name="40% - Énfasis1 2 4 2" xfId="1178"/>
    <cellStyle name="40% - Énfasis1 2 4 2 2" xfId="1179"/>
    <cellStyle name="40% - Énfasis1 2 4 3" xfId="1180"/>
    <cellStyle name="40% - Énfasis1 2 5" xfId="1181"/>
    <cellStyle name="40% - Énfasis1 2 5 2" xfId="1182"/>
    <cellStyle name="40% - Énfasis1 2 6" xfId="1183"/>
    <cellStyle name="40% - Énfasis1 2_ARTURO SSMC110113xls" xfId="1184"/>
    <cellStyle name="40% - Énfasis1 3" xfId="468"/>
    <cellStyle name="40% - Énfasis2 2" xfId="47"/>
    <cellStyle name="40% - Énfasis2 2 2" xfId="48"/>
    <cellStyle name="40% - Énfasis2 2 2 2" xfId="49"/>
    <cellStyle name="40% - Énfasis2 2 2 2 2" xfId="1185"/>
    <cellStyle name="40% - Énfasis2 2 2 2 2 2" xfId="1186"/>
    <cellStyle name="40% - Énfasis2 2 2 2 3" xfId="1187"/>
    <cellStyle name="40% - Énfasis2 2 2 3" xfId="1188"/>
    <cellStyle name="40% - Énfasis2 2 2 3 2" xfId="1189"/>
    <cellStyle name="40% - Énfasis2 2 2 4" xfId="1190"/>
    <cellStyle name="40% - Énfasis2 2 2_ARTURO SSMC110113xls" xfId="1191"/>
    <cellStyle name="40% - Énfasis2 2 3" xfId="50"/>
    <cellStyle name="40% - Énfasis2 2 3 2" xfId="51"/>
    <cellStyle name="40% - Énfasis2 2 3 2 2" xfId="1192"/>
    <cellStyle name="40% - Énfasis2 2 3 2 2 2" xfId="1193"/>
    <cellStyle name="40% - Énfasis2 2 3 2 3" xfId="1194"/>
    <cellStyle name="40% - Énfasis2 2 3 3" xfId="1195"/>
    <cellStyle name="40% - Énfasis2 2 3 3 2" xfId="1196"/>
    <cellStyle name="40% - Énfasis2 2 3 4" xfId="1197"/>
    <cellStyle name="40% - Énfasis2 2 3_ARTURO SSMC110113xls" xfId="1198"/>
    <cellStyle name="40% - Énfasis2 2 4" xfId="52"/>
    <cellStyle name="40% - Énfasis2 2 4 2" xfId="1199"/>
    <cellStyle name="40% - Énfasis2 2 4 2 2" xfId="1200"/>
    <cellStyle name="40% - Énfasis2 2 4 3" xfId="1201"/>
    <cellStyle name="40% - Énfasis2 2 5" xfId="1202"/>
    <cellStyle name="40% - Énfasis2 2 5 2" xfId="1203"/>
    <cellStyle name="40% - Énfasis2 2 6" xfId="1204"/>
    <cellStyle name="40% - Énfasis2 2_ARTURO SSMC110113xls" xfId="1205"/>
    <cellStyle name="40% - Énfasis2 3" xfId="469"/>
    <cellStyle name="40% - Énfasis3 2" xfId="53"/>
    <cellStyle name="40% - Énfasis3 2 2" xfId="54"/>
    <cellStyle name="40% - Énfasis3 2 2 2" xfId="55"/>
    <cellStyle name="40% - Énfasis3 2 2 2 2" xfId="1206"/>
    <cellStyle name="40% - Énfasis3 2 2 2 2 2" xfId="1207"/>
    <cellStyle name="40% - Énfasis3 2 2 2 3" xfId="1208"/>
    <cellStyle name="40% - Énfasis3 2 2 3" xfId="1209"/>
    <cellStyle name="40% - Énfasis3 2 2 3 2" xfId="1210"/>
    <cellStyle name="40% - Énfasis3 2 2 4" xfId="1211"/>
    <cellStyle name="40% - Énfasis3 2 2_ARTURO SSMC110113xls" xfId="1212"/>
    <cellStyle name="40% - Énfasis3 2 3" xfId="56"/>
    <cellStyle name="40% - Énfasis3 2 3 2" xfId="57"/>
    <cellStyle name="40% - Énfasis3 2 3 2 2" xfId="1213"/>
    <cellStyle name="40% - Énfasis3 2 3 2 2 2" xfId="1214"/>
    <cellStyle name="40% - Énfasis3 2 3 2 3" xfId="1215"/>
    <cellStyle name="40% - Énfasis3 2 3 3" xfId="1216"/>
    <cellStyle name="40% - Énfasis3 2 3 3 2" xfId="1217"/>
    <cellStyle name="40% - Énfasis3 2 3 4" xfId="1218"/>
    <cellStyle name="40% - Énfasis3 2 3_ARTURO SSMC110113xls" xfId="1219"/>
    <cellStyle name="40% - Énfasis3 2 4" xfId="58"/>
    <cellStyle name="40% - Énfasis3 2 4 2" xfId="1220"/>
    <cellStyle name="40% - Énfasis3 2 4 2 2" xfId="1221"/>
    <cellStyle name="40% - Énfasis3 2 4 3" xfId="1222"/>
    <cellStyle name="40% - Énfasis3 2 5" xfId="1223"/>
    <cellStyle name="40% - Énfasis3 2 5 2" xfId="1224"/>
    <cellStyle name="40% - Énfasis3 2 6" xfId="1225"/>
    <cellStyle name="40% - Énfasis3 2_ARTURO SSMC110113xls" xfId="1226"/>
    <cellStyle name="40% - Énfasis3 3" xfId="470"/>
    <cellStyle name="40% - Énfasis4 2" xfId="59"/>
    <cellStyle name="40% - Énfasis4 2 2" xfId="60"/>
    <cellStyle name="40% - Énfasis4 2 2 2" xfId="61"/>
    <cellStyle name="40% - Énfasis4 2 2 2 2" xfId="1227"/>
    <cellStyle name="40% - Énfasis4 2 2 2 2 2" xfId="1228"/>
    <cellStyle name="40% - Énfasis4 2 2 2 3" xfId="1229"/>
    <cellStyle name="40% - Énfasis4 2 2 3" xfId="1230"/>
    <cellStyle name="40% - Énfasis4 2 2 3 2" xfId="1231"/>
    <cellStyle name="40% - Énfasis4 2 2 4" xfId="1232"/>
    <cellStyle name="40% - Énfasis4 2 2_ARTURO SSMC110113xls" xfId="1233"/>
    <cellStyle name="40% - Énfasis4 2 3" xfId="62"/>
    <cellStyle name="40% - Énfasis4 2 3 2" xfId="63"/>
    <cellStyle name="40% - Énfasis4 2 3 2 2" xfId="1234"/>
    <cellStyle name="40% - Énfasis4 2 3 2 2 2" xfId="1235"/>
    <cellStyle name="40% - Énfasis4 2 3 2 3" xfId="1236"/>
    <cellStyle name="40% - Énfasis4 2 3 3" xfId="1237"/>
    <cellStyle name="40% - Énfasis4 2 3 3 2" xfId="1238"/>
    <cellStyle name="40% - Énfasis4 2 3 4" xfId="1239"/>
    <cellStyle name="40% - Énfasis4 2 3_ARTURO SSMC110113xls" xfId="1240"/>
    <cellStyle name="40% - Énfasis4 2 4" xfId="64"/>
    <cellStyle name="40% - Énfasis4 2 4 2" xfId="1241"/>
    <cellStyle name="40% - Énfasis4 2 4 2 2" xfId="1242"/>
    <cellStyle name="40% - Énfasis4 2 4 3" xfId="1243"/>
    <cellStyle name="40% - Énfasis4 2 5" xfId="1244"/>
    <cellStyle name="40% - Énfasis4 2 5 2" xfId="1245"/>
    <cellStyle name="40% - Énfasis4 2 6" xfId="1246"/>
    <cellStyle name="40% - Énfasis4 2_ARTURO SSMC110113xls" xfId="1247"/>
    <cellStyle name="40% - Énfasis4 3" xfId="471"/>
    <cellStyle name="40% - Énfasis5 2" xfId="65"/>
    <cellStyle name="40% - Énfasis5 2 2" xfId="66"/>
    <cellStyle name="40% - Énfasis5 2 2 2" xfId="67"/>
    <cellStyle name="40% - Énfasis5 2 2 2 2" xfId="1248"/>
    <cellStyle name="40% - Énfasis5 2 2 2 2 2" xfId="1249"/>
    <cellStyle name="40% - Énfasis5 2 2 2 3" xfId="1250"/>
    <cellStyle name="40% - Énfasis5 2 2 3" xfId="1251"/>
    <cellStyle name="40% - Énfasis5 2 2 3 2" xfId="1252"/>
    <cellStyle name="40% - Énfasis5 2 2 4" xfId="1253"/>
    <cellStyle name="40% - Énfasis5 2 2_ARTURO SSMC110113xls" xfId="1254"/>
    <cellStyle name="40% - Énfasis5 2 3" xfId="68"/>
    <cellStyle name="40% - Énfasis5 2 3 2" xfId="69"/>
    <cellStyle name="40% - Énfasis5 2 3 2 2" xfId="1255"/>
    <cellStyle name="40% - Énfasis5 2 3 2 2 2" xfId="1256"/>
    <cellStyle name="40% - Énfasis5 2 3 2 3" xfId="1257"/>
    <cellStyle name="40% - Énfasis5 2 3 3" xfId="1258"/>
    <cellStyle name="40% - Énfasis5 2 3 3 2" xfId="1259"/>
    <cellStyle name="40% - Énfasis5 2 3 4" xfId="1260"/>
    <cellStyle name="40% - Énfasis5 2 3_ARTURO SSMC110113xls" xfId="1261"/>
    <cellStyle name="40% - Énfasis5 2 4" xfId="70"/>
    <cellStyle name="40% - Énfasis5 2 4 2" xfId="1262"/>
    <cellStyle name="40% - Énfasis5 2 4 2 2" xfId="1263"/>
    <cellStyle name="40% - Énfasis5 2 4 3" xfId="1264"/>
    <cellStyle name="40% - Énfasis5 2 5" xfId="1265"/>
    <cellStyle name="40% - Énfasis5 2 5 2" xfId="1266"/>
    <cellStyle name="40% - Énfasis5 2 6" xfId="1267"/>
    <cellStyle name="40% - Énfasis5 2_ARTURO SSMC110113xls" xfId="1268"/>
    <cellStyle name="40% - Énfasis5 3" xfId="472"/>
    <cellStyle name="40% - Énfasis6 2" xfId="71"/>
    <cellStyle name="40% - Énfasis6 2 2" xfId="72"/>
    <cellStyle name="40% - Énfasis6 2 2 2" xfId="73"/>
    <cellStyle name="40% - Énfasis6 2 2 2 2" xfId="1269"/>
    <cellStyle name="40% - Énfasis6 2 2 2 2 2" xfId="1270"/>
    <cellStyle name="40% - Énfasis6 2 2 2 3" xfId="1271"/>
    <cellStyle name="40% - Énfasis6 2 2 3" xfId="1272"/>
    <cellStyle name="40% - Énfasis6 2 2 3 2" xfId="1273"/>
    <cellStyle name="40% - Énfasis6 2 2 4" xfId="1274"/>
    <cellStyle name="40% - Énfasis6 2 2_ARTURO SSMC110113xls" xfId="1275"/>
    <cellStyle name="40% - Énfasis6 2 3" xfId="74"/>
    <cellStyle name="40% - Énfasis6 2 3 2" xfId="75"/>
    <cellStyle name="40% - Énfasis6 2 3 2 2" xfId="1276"/>
    <cellStyle name="40% - Énfasis6 2 3 2 2 2" xfId="1277"/>
    <cellStyle name="40% - Énfasis6 2 3 2 3" xfId="1278"/>
    <cellStyle name="40% - Énfasis6 2 3 3" xfId="1279"/>
    <cellStyle name="40% - Énfasis6 2 3 3 2" xfId="1280"/>
    <cellStyle name="40% - Énfasis6 2 3 4" xfId="1281"/>
    <cellStyle name="40% - Énfasis6 2 3_ARTURO SSMC110113xls" xfId="1282"/>
    <cellStyle name="40% - Énfasis6 2 4" xfId="76"/>
    <cellStyle name="40% - Énfasis6 2 4 2" xfId="1283"/>
    <cellStyle name="40% - Énfasis6 2 4 2 2" xfId="1284"/>
    <cellStyle name="40% - Énfasis6 2 4 3" xfId="1285"/>
    <cellStyle name="40% - Énfasis6 2 5" xfId="1286"/>
    <cellStyle name="40% - Énfasis6 2 5 2" xfId="1287"/>
    <cellStyle name="40% - Énfasis6 2 6" xfId="1288"/>
    <cellStyle name="40% - Énfasis6 2_ARTURO SSMC110113xls" xfId="1289"/>
    <cellStyle name="40% - Énfasis6 3" xfId="77"/>
    <cellStyle name="40% - Énfasis6 3 10" xfId="1290"/>
    <cellStyle name="40% - Énfasis6 3 2" xfId="473"/>
    <cellStyle name="40% - Énfasis6 3 2 2" xfId="474"/>
    <cellStyle name="40% - Énfasis6 3 2 2 2" xfId="1291"/>
    <cellStyle name="40% - Énfasis6 3 2 2 2 2" xfId="1292"/>
    <cellStyle name="40% - Énfasis6 3 2 2 3" xfId="1293"/>
    <cellStyle name="40% - Énfasis6 3 2 3" xfId="1294"/>
    <cellStyle name="40% - Énfasis6 3 2 3 2" xfId="1295"/>
    <cellStyle name="40% - Énfasis6 3 2 4" xfId="1296"/>
    <cellStyle name="40% - Énfasis6 3 3" xfId="1297"/>
    <cellStyle name="40% - Énfasis6 3 3 2" xfId="1298"/>
    <cellStyle name="40% - Énfasis6 3 3 2 2" xfId="1299"/>
    <cellStyle name="40% - Énfasis6 3 3 2 2 2" xfId="1300"/>
    <cellStyle name="40% - Énfasis6 3 3 2 3" xfId="1301"/>
    <cellStyle name="40% - Énfasis6 3 3 3" xfId="1302"/>
    <cellStyle name="40% - Énfasis6 3 3 3 2" xfId="1303"/>
    <cellStyle name="40% - Énfasis6 3 3 4" xfId="1304"/>
    <cellStyle name="40% - Énfasis6 3 4" xfId="1305"/>
    <cellStyle name="40% - Énfasis6 3 4 2" xfId="1306"/>
    <cellStyle name="40% - Énfasis6 3 4 2 2" xfId="1307"/>
    <cellStyle name="40% - Énfasis6 3 4 2 2 2" xfId="1308"/>
    <cellStyle name="40% - Énfasis6 3 4 2 3" xfId="1309"/>
    <cellStyle name="40% - Énfasis6 3 4 3" xfId="1310"/>
    <cellStyle name="40% - Énfasis6 3 4 3 2" xfId="1311"/>
    <cellStyle name="40% - Énfasis6 3 4 4" xfId="1312"/>
    <cellStyle name="40% - Énfasis6 3 5" xfId="1313"/>
    <cellStyle name="40% - Énfasis6 3 5 2" xfId="1314"/>
    <cellStyle name="40% - Énfasis6 3 5 2 2" xfId="1315"/>
    <cellStyle name="40% - Énfasis6 3 5 2 2 2" xfId="1316"/>
    <cellStyle name="40% - Énfasis6 3 5 2 3" xfId="1317"/>
    <cellStyle name="40% - Énfasis6 3 5 3" xfId="1318"/>
    <cellStyle name="40% - Énfasis6 3 5 3 2" xfId="1319"/>
    <cellStyle name="40% - Énfasis6 3 5 4" xfId="1320"/>
    <cellStyle name="40% - Énfasis6 3 6" xfId="1321"/>
    <cellStyle name="40% - Énfasis6 3 6 2" xfId="1322"/>
    <cellStyle name="40% - Énfasis6 3 6 2 2" xfId="1323"/>
    <cellStyle name="40% - Énfasis6 3 6 2 2 2" xfId="1324"/>
    <cellStyle name="40% - Énfasis6 3 6 2 3" xfId="1325"/>
    <cellStyle name="40% - Énfasis6 3 6 3" xfId="1326"/>
    <cellStyle name="40% - Énfasis6 3 6 3 2" xfId="1327"/>
    <cellStyle name="40% - Énfasis6 3 6 4" xfId="1328"/>
    <cellStyle name="40% - Énfasis6 3 7" xfId="1329"/>
    <cellStyle name="40% - Énfasis6 3 7 2" xfId="1330"/>
    <cellStyle name="40% - Énfasis6 3 7 2 2" xfId="1331"/>
    <cellStyle name="40% - Énfasis6 3 7 2 2 2" xfId="1332"/>
    <cellStyle name="40% - Énfasis6 3 7 2 3" xfId="1333"/>
    <cellStyle name="40% - Énfasis6 3 7 3" xfId="1334"/>
    <cellStyle name="40% - Énfasis6 3 7 3 2" xfId="1335"/>
    <cellStyle name="40% - Énfasis6 3 7 4" xfId="1336"/>
    <cellStyle name="40% - Énfasis6 3 8" xfId="1337"/>
    <cellStyle name="40% - Énfasis6 3 8 2" xfId="1338"/>
    <cellStyle name="40% - Énfasis6 3 8 2 2" xfId="1339"/>
    <cellStyle name="40% - Énfasis6 3 8 3" xfId="1340"/>
    <cellStyle name="40% - Énfasis6 3 9" xfId="1341"/>
    <cellStyle name="40% - Énfasis6 3 9 2" xfId="1342"/>
    <cellStyle name="60% - Énfasis1 2" xfId="78"/>
    <cellStyle name="60% - Énfasis1 3" xfId="475"/>
    <cellStyle name="60% - Énfasis2 2" xfId="79"/>
    <cellStyle name="60% - Énfasis2 3" xfId="476"/>
    <cellStyle name="60% - Énfasis3 2" xfId="80"/>
    <cellStyle name="60% - Énfasis3 3" xfId="477"/>
    <cellStyle name="60% - Énfasis4 2" xfId="81"/>
    <cellStyle name="60% - Énfasis4 3" xfId="478"/>
    <cellStyle name="60% - Énfasis5 2" xfId="82"/>
    <cellStyle name="60% - Énfasis5 3" xfId="479"/>
    <cellStyle name="60% - Énfasis6 2" xfId="83"/>
    <cellStyle name="60% - Énfasis6 3" xfId="480"/>
    <cellStyle name="Buena 2" xfId="84"/>
    <cellStyle name="Buena 3" xfId="481"/>
    <cellStyle name="Cálculo 2" xfId="85"/>
    <cellStyle name="Cálculo 2 2" xfId="230"/>
    <cellStyle name="Cálculo 2 2 2" xfId="241"/>
    <cellStyle name="Cálculo 2 2 2 10" xfId="1343"/>
    <cellStyle name="Cálculo 2 2 2 11" xfId="1344"/>
    <cellStyle name="Cálculo 2 2 2 2" xfId="262"/>
    <cellStyle name="Cálculo 2 2 2 2 2" xfId="1345"/>
    <cellStyle name="Cálculo 2 2 2 2 3" xfId="1346"/>
    <cellStyle name="Cálculo 2 2 2 2 4" xfId="1347"/>
    <cellStyle name="Cálculo 2 2 2 2 5" xfId="1348"/>
    <cellStyle name="Cálculo 2 2 2 3" xfId="291"/>
    <cellStyle name="Cálculo 2 2 2 3 2" xfId="1349"/>
    <cellStyle name="Cálculo 2 2 2 3 3" xfId="1350"/>
    <cellStyle name="Cálculo 2 2 2 3 4" xfId="1351"/>
    <cellStyle name="Cálculo 2 2 2 3 5" xfId="1352"/>
    <cellStyle name="Cálculo 2 2 2 4" xfId="323"/>
    <cellStyle name="Cálculo 2 2 2 4 2" xfId="1353"/>
    <cellStyle name="Cálculo 2 2 2 4 3" xfId="1354"/>
    <cellStyle name="Cálculo 2 2 2 4 4" xfId="1355"/>
    <cellStyle name="Cálculo 2 2 2 4 5" xfId="1356"/>
    <cellStyle name="Cálculo 2 2 2 5" xfId="335"/>
    <cellStyle name="Cálculo 2 2 2 5 2" xfId="1357"/>
    <cellStyle name="Cálculo 2 2 2 5 3" xfId="1358"/>
    <cellStyle name="Cálculo 2 2 2 5 4" xfId="1359"/>
    <cellStyle name="Cálculo 2 2 2 5 5" xfId="1360"/>
    <cellStyle name="Cálculo 2 2 2 6" xfId="351"/>
    <cellStyle name="Cálculo 2 2 2 6 2" xfId="1361"/>
    <cellStyle name="Cálculo 2 2 2 6 3" xfId="1362"/>
    <cellStyle name="Cálculo 2 2 2 6 4" xfId="1363"/>
    <cellStyle name="Cálculo 2 2 2 6 5" xfId="1364"/>
    <cellStyle name="Cálculo 2 2 2 7" xfId="367"/>
    <cellStyle name="Cálculo 2 2 2 7 2" xfId="1365"/>
    <cellStyle name="Cálculo 2 2 2 7 3" xfId="1366"/>
    <cellStyle name="Cálculo 2 2 2 7 4" xfId="1367"/>
    <cellStyle name="Cálculo 2 2 2 7 5" xfId="1368"/>
    <cellStyle name="Cálculo 2 2 2 8" xfId="1369"/>
    <cellStyle name="Cálculo 2 2 2 9" xfId="1370"/>
    <cellStyle name="Cálculo 2 2 3" xfId="312"/>
    <cellStyle name="Cálculo 2 2 3 2" xfId="1371"/>
    <cellStyle name="Cálculo 2 2 3 3" xfId="1372"/>
    <cellStyle name="Cálculo 2 2 3 4" xfId="1373"/>
    <cellStyle name="Cálculo 2 2 3 5" xfId="1374"/>
    <cellStyle name="Cálculo 2 2 4" xfId="398"/>
    <cellStyle name="Cálculo 2 2 4 2" xfId="1375"/>
    <cellStyle name="Cálculo 2 2 4 3" xfId="1376"/>
    <cellStyle name="Cálculo 2 2 4 4" xfId="1377"/>
    <cellStyle name="Cálculo 2 2 4 5" xfId="1378"/>
    <cellStyle name="Cálculo 2 2 5" xfId="418"/>
    <cellStyle name="Cálculo 2 2 5 2" xfId="1379"/>
    <cellStyle name="Cálculo 2 2 5 3" xfId="1380"/>
    <cellStyle name="Cálculo 2 2 5 4" xfId="1381"/>
    <cellStyle name="Cálculo 2 2 5 5" xfId="1382"/>
    <cellStyle name="Cálculo 2 3" xfId="213"/>
    <cellStyle name="Cálculo 2 3 2" xfId="242"/>
    <cellStyle name="Cálculo 2 3 2 10" xfId="1383"/>
    <cellStyle name="Cálculo 2 3 2 11" xfId="1384"/>
    <cellStyle name="Cálculo 2 3 2 2" xfId="261"/>
    <cellStyle name="Cálculo 2 3 2 2 2" xfId="1385"/>
    <cellStyle name="Cálculo 2 3 2 2 3" xfId="1386"/>
    <cellStyle name="Cálculo 2 3 2 2 4" xfId="1387"/>
    <cellStyle name="Cálculo 2 3 2 2 5" xfId="1388"/>
    <cellStyle name="Cálculo 2 3 2 3" xfId="292"/>
    <cellStyle name="Cálculo 2 3 2 3 2" xfId="1389"/>
    <cellStyle name="Cálculo 2 3 2 3 3" xfId="1390"/>
    <cellStyle name="Cálculo 2 3 2 3 4" xfId="1391"/>
    <cellStyle name="Cálculo 2 3 2 3 5" xfId="1392"/>
    <cellStyle name="Cálculo 2 3 2 4" xfId="324"/>
    <cellStyle name="Cálculo 2 3 2 4 2" xfId="1393"/>
    <cellStyle name="Cálculo 2 3 2 4 3" xfId="1394"/>
    <cellStyle name="Cálculo 2 3 2 4 4" xfId="1395"/>
    <cellStyle name="Cálculo 2 3 2 4 5" xfId="1396"/>
    <cellStyle name="Cálculo 2 3 2 5" xfId="336"/>
    <cellStyle name="Cálculo 2 3 2 5 2" xfId="1397"/>
    <cellStyle name="Cálculo 2 3 2 5 3" xfId="1398"/>
    <cellStyle name="Cálculo 2 3 2 5 4" xfId="1399"/>
    <cellStyle name="Cálculo 2 3 2 5 5" xfId="1400"/>
    <cellStyle name="Cálculo 2 3 2 6" xfId="352"/>
    <cellStyle name="Cálculo 2 3 2 6 2" xfId="1401"/>
    <cellStyle name="Cálculo 2 3 2 6 3" xfId="1402"/>
    <cellStyle name="Cálculo 2 3 2 6 4" xfId="1403"/>
    <cellStyle name="Cálculo 2 3 2 6 5" xfId="1404"/>
    <cellStyle name="Cálculo 2 3 2 7" xfId="368"/>
    <cellStyle name="Cálculo 2 3 2 7 2" xfId="1405"/>
    <cellStyle name="Cálculo 2 3 2 7 3" xfId="1406"/>
    <cellStyle name="Cálculo 2 3 2 7 4" xfId="1407"/>
    <cellStyle name="Cálculo 2 3 2 7 5" xfId="1408"/>
    <cellStyle name="Cálculo 2 3 2 8" xfId="1409"/>
    <cellStyle name="Cálculo 2 3 2 9" xfId="1410"/>
    <cellStyle name="Cálculo 2 3 3" xfId="283"/>
    <cellStyle name="Cálculo 2 3 3 2" xfId="1411"/>
    <cellStyle name="Cálculo 2 3 3 3" xfId="1412"/>
    <cellStyle name="Cálculo 2 3 3 4" xfId="1413"/>
    <cellStyle name="Cálculo 2 3 3 5" xfId="1414"/>
    <cellStyle name="Cálculo 2 3 4" xfId="399"/>
    <cellStyle name="Cálculo 2 3 4 2" xfId="1415"/>
    <cellStyle name="Cálculo 2 3 4 3" xfId="1416"/>
    <cellStyle name="Cálculo 2 3 4 4" xfId="1417"/>
    <cellStyle name="Cálculo 2 3 4 5" xfId="1418"/>
    <cellStyle name="Cálculo 2 3 5" xfId="419"/>
    <cellStyle name="Cálculo 2 3 5 2" xfId="1419"/>
    <cellStyle name="Cálculo 2 3 5 3" xfId="1420"/>
    <cellStyle name="Cálculo 2 3 5 4" xfId="1421"/>
    <cellStyle name="Cálculo 2 3 5 5" xfId="1422"/>
    <cellStyle name="Cálculo 2 4" xfId="240"/>
    <cellStyle name="Cálculo 2 4 2" xfId="268"/>
    <cellStyle name="Cálculo 2 4 2 2" xfId="1423"/>
    <cellStyle name="Cálculo 2 4 2 3" xfId="1424"/>
    <cellStyle name="Cálculo 2 4 2 4" xfId="1425"/>
    <cellStyle name="Cálculo 2 4 2 5" xfId="1426"/>
    <cellStyle name="Cálculo 2 4 3" xfId="285"/>
    <cellStyle name="Cálculo 2 4 3 2" xfId="1427"/>
    <cellStyle name="Cálculo 2 4 3 3" xfId="1428"/>
    <cellStyle name="Cálculo 2 4 3 4" xfId="1429"/>
    <cellStyle name="Cálculo 2 4 3 5" xfId="1430"/>
    <cellStyle name="Cálculo 2 4 4" xfId="317"/>
    <cellStyle name="Cálculo 2 4 4 2" xfId="1431"/>
    <cellStyle name="Cálculo 2 4 4 3" xfId="1432"/>
    <cellStyle name="Cálculo 2 4 4 4" xfId="1433"/>
    <cellStyle name="Cálculo 2 4 4 5" xfId="1434"/>
    <cellStyle name="Cálculo 2 4 5" xfId="301"/>
    <cellStyle name="Cálculo 2 4 5 2" xfId="1435"/>
    <cellStyle name="Cálculo 2 4 5 3" xfId="1436"/>
    <cellStyle name="Cálculo 2 4 5 4" xfId="1437"/>
    <cellStyle name="Cálculo 2 4 5 5" xfId="1438"/>
    <cellStyle name="Cálculo 2 4 6" xfId="345"/>
    <cellStyle name="Cálculo 2 4 6 2" xfId="1439"/>
    <cellStyle name="Cálculo 2 4 6 3" xfId="1440"/>
    <cellStyle name="Cálculo 2 4 6 4" xfId="1441"/>
    <cellStyle name="Cálculo 2 4 6 5" xfId="1442"/>
    <cellStyle name="Cálculo 2 4 7" xfId="361"/>
    <cellStyle name="Cálculo 2 4 7 2" xfId="1443"/>
    <cellStyle name="Cálculo 2 4 7 3" xfId="1444"/>
    <cellStyle name="Cálculo 2 4 7 4" xfId="1445"/>
    <cellStyle name="Cálculo 2 4 7 5" xfId="1446"/>
    <cellStyle name="Cálculo 2 5" xfId="270"/>
    <cellStyle name="Cálculo 2 5 2" xfId="1447"/>
    <cellStyle name="Cálculo 2 5 3" xfId="1448"/>
    <cellStyle name="Cálculo 2 5 4" xfId="1449"/>
    <cellStyle name="Cálculo 2 5 5" xfId="1450"/>
    <cellStyle name="Cálculo 2 6" xfId="389"/>
    <cellStyle name="Cálculo 2 6 2" xfId="1451"/>
    <cellStyle name="Cálculo 2 6 3" xfId="1452"/>
    <cellStyle name="Cálculo 2 6 4" xfId="1453"/>
    <cellStyle name="Cálculo 2 6 5" xfId="1454"/>
    <cellStyle name="Cálculo 2 7" xfId="393"/>
    <cellStyle name="Cálculo 2 7 2" xfId="1455"/>
    <cellStyle name="Cálculo 2 7 3" xfId="1456"/>
    <cellStyle name="Cálculo 2 7 4" xfId="1457"/>
    <cellStyle name="Cálculo 2 7 5" xfId="1458"/>
    <cellStyle name="Cálculo 2 8" xfId="1459"/>
    <cellStyle name="Cálculo 3" xfId="482"/>
    <cellStyle name="Cálculo 3 2" xfId="483"/>
    <cellStyle name="Celda de comprobación 2" xfId="86"/>
    <cellStyle name="Celda de comprobación 3" xfId="484"/>
    <cellStyle name="Celda vinculada 2" xfId="87"/>
    <cellStyle name="Celda vinculada 3" xfId="485"/>
    <cellStyle name="Comma" xfId="88"/>
    <cellStyle name="Comma [0]" xfId="89"/>
    <cellStyle name="Comma [0] 2" xfId="1460"/>
    <cellStyle name="Comma 2" xfId="1461"/>
    <cellStyle name="Comma 2 2" xfId="1462"/>
    <cellStyle name="Comma 3" xfId="1463"/>
    <cellStyle name="Comma 4" xfId="1464"/>
    <cellStyle name="Comma 5" xfId="1465"/>
    <cellStyle name="Currency" xfId="90"/>
    <cellStyle name="Currency [0]" xfId="91"/>
    <cellStyle name="Currency [0] 2" xfId="1466"/>
    <cellStyle name="Currency 2" xfId="1467"/>
    <cellStyle name="Currency 2 2" xfId="1468"/>
    <cellStyle name="Currency 3" xfId="1469"/>
    <cellStyle name="Currency 3 2" xfId="1470"/>
    <cellStyle name="Currency 4" xfId="1471"/>
    <cellStyle name="Currency 5" xfId="1472"/>
    <cellStyle name="Date" xfId="92"/>
    <cellStyle name="Encabezado 4 2" xfId="93"/>
    <cellStyle name="Encabezado 4 3" xfId="486"/>
    <cellStyle name="Énfasis1 2" xfId="94"/>
    <cellStyle name="Énfasis1 3" xfId="487"/>
    <cellStyle name="Énfasis2 2" xfId="95"/>
    <cellStyle name="Énfasis2 3" xfId="488"/>
    <cellStyle name="Énfasis3 2" xfId="96"/>
    <cellStyle name="Énfasis3 3" xfId="489"/>
    <cellStyle name="Énfasis4 2" xfId="97"/>
    <cellStyle name="Énfasis4 3" xfId="490"/>
    <cellStyle name="Énfasis5 2" xfId="98"/>
    <cellStyle name="Énfasis5 3" xfId="491"/>
    <cellStyle name="Énfasis6 2" xfId="99"/>
    <cellStyle name="Énfasis6 3" xfId="492"/>
    <cellStyle name="Entrada 2" xfId="100"/>
    <cellStyle name="Entrada 2 2" xfId="231"/>
    <cellStyle name="Entrada 2 2 2" xfId="244"/>
    <cellStyle name="Entrada 2 2 2 10" xfId="1473"/>
    <cellStyle name="Entrada 2 2 2 11" xfId="1474"/>
    <cellStyle name="Entrada 2 2 2 2" xfId="260"/>
    <cellStyle name="Entrada 2 2 2 2 2" xfId="1475"/>
    <cellStyle name="Entrada 2 2 2 2 3" xfId="1476"/>
    <cellStyle name="Entrada 2 2 2 2 4" xfId="1477"/>
    <cellStyle name="Entrada 2 2 2 2 5" xfId="1478"/>
    <cellStyle name="Entrada 2 2 2 3" xfId="293"/>
    <cellStyle name="Entrada 2 2 2 3 2" xfId="1479"/>
    <cellStyle name="Entrada 2 2 2 3 3" xfId="1480"/>
    <cellStyle name="Entrada 2 2 2 3 4" xfId="1481"/>
    <cellStyle name="Entrada 2 2 2 3 5" xfId="1482"/>
    <cellStyle name="Entrada 2 2 2 4" xfId="325"/>
    <cellStyle name="Entrada 2 2 2 4 2" xfId="1483"/>
    <cellStyle name="Entrada 2 2 2 4 3" xfId="1484"/>
    <cellStyle name="Entrada 2 2 2 4 4" xfId="1485"/>
    <cellStyle name="Entrada 2 2 2 4 5" xfId="1486"/>
    <cellStyle name="Entrada 2 2 2 5" xfId="337"/>
    <cellStyle name="Entrada 2 2 2 5 2" xfId="1487"/>
    <cellStyle name="Entrada 2 2 2 5 3" xfId="1488"/>
    <cellStyle name="Entrada 2 2 2 5 4" xfId="1489"/>
    <cellStyle name="Entrada 2 2 2 5 5" xfId="1490"/>
    <cellStyle name="Entrada 2 2 2 6" xfId="353"/>
    <cellStyle name="Entrada 2 2 2 6 2" xfId="1491"/>
    <cellStyle name="Entrada 2 2 2 6 3" xfId="1492"/>
    <cellStyle name="Entrada 2 2 2 6 4" xfId="1493"/>
    <cellStyle name="Entrada 2 2 2 6 5" xfId="1494"/>
    <cellStyle name="Entrada 2 2 2 7" xfId="369"/>
    <cellStyle name="Entrada 2 2 2 7 2" xfId="1495"/>
    <cellStyle name="Entrada 2 2 2 7 3" xfId="1496"/>
    <cellStyle name="Entrada 2 2 2 7 4" xfId="1497"/>
    <cellStyle name="Entrada 2 2 2 7 5" xfId="1498"/>
    <cellStyle name="Entrada 2 2 2 8" xfId="1499"/>
    <cellStyle name="Entrada 2 2 2 9" xfId="1500"/>
    <cellStyle name="Entrada 2 2 3" xfId="309"/>
    <cellStyle name="Entrada 2 2 3 2" xfId="1501"/>
    <cellStyle name="Entrada 2 2 3 3" xfId="1502"/>
    <cellStyle name="Entrada 2 2 3 4" xfId="1503"/>
    <cellStyle name="Entrada 2 2 3 5" xfId="1504"/>
    <cellStyle name="Entrada 2 2 4" xfId="400"/>
    <cellStyle name="Entrada 2 2 4 2" xfId="1505"/>
    <cellStyle name="Entrada 2 2 4 3" xfId="1506"/>
    <cellStyle name="Entrada 2 2 4 4" xfId="1507"/>
    <cellStyle name="Entrada 2 2 4 5" xfId="1508"/>
    <cellStyle name="Entrada 2 2 5" xfId="420"/>
    <cellStyle name="Entrada 2 2 5 2" xfId="1509"/>
    <cellStyle name="Entrada 2 2 5 3" xfId="1510"/>
    <cellStyle name="Entrada 2 2 5 4" xfId="1511"/>
    <cellStyle name="Entrada 2 2 5 5" xfId="1512"/>
    <cellStyle name="Entrada 2 3" xfId="214"/>
    <cellStyle name="Entrada 2 3 2" xfId="245"/>
    <cellStyle name="Entrada 2 3 2 10" xfId="1513"/>
    <cellStyle name="Entrada 2 3 2 11" xfId="1514"/>
    <cellStyle name="Entrada 2 3 2 2" xfId="259"/>
    <cellStyle name="Entrada 2 3 2 2 2" xfId="1515"/>
    <cellStyle name="Entrada 2 3 2 2 3" xfId="1516"/>
    <cellStyle name="Entrada 2 3 2 2 4" xfId="1517"/>
    <cellStyle name="Entrada 2 3 2 2 5" xfId="1518"/>
    <cellStyle name="Entrada 2 3 2 3" xfId="294"/>
    <cellStyle name="Entrada 2 3 2 3 2" xfId="1519"/>
    <cellStyle name="Entrada 2 3 2 3 3" xfId="1520"/>
    <cellStyle name="Entrada 2 3 2 3 4" xfId="1521"/>
    <cellStyle name="Entrada 2 3 2 3 5" xfId="1522"/>
    <cellStyle name="Entrada 2 3 2 4" xfId="326"/>
    <cellStyle name="Entrada 2 3 2 4 2" xfId="1523"/>
    <cellStyle name="Entrada 2 3 2 4 3" xfId="1524"/>
    <cellStyle name="Entrada 2 3 2 4 4" xfId="1525"/>
    <cellStyle name="Entrada 2 3 2 4 5" xfId="1526"/>
    <cellStyle name="Entrada 2 3 2 5" xfId="338"/>
    <cellStyle name="Entrada 2 3 2 5 2" xfId="1527"/>
    <cellStyle name="Entrada 2 3 2 5 3" xfId="1528"/>
    <cellStyle name="Entrada 2 3 2 5 4" xfId="1529"/>
    <cellStyle name="Entrada 2 3 2 5 5" xfId="1530"/>
    <cellStyle name="Entrada 2 3 2 6" xfId="354"/>
    <cellStyle name="Entrada 2 3 2 6 2" xfId="1531"/>
    <cellStyle name="Entrada 2 3 2 6 3" xfId="1532"/>
    <cellStyle name="Entrada 2 3 2 6 4" xfId="1533"/>
    <cellStyle name="Entrada 2 3 2 6 5" xfId="1534"/>
    <cellStyle name="Entrada 2 3 2 7" xfId="370"/>
    <cellStyle name="Entrada 2 3 2 7 2" xfId="1535"/>
    <cellStyle name="Entrada 2 3 2 7 3" xfId="1536"/>
    <cellStyle name="Entrada 2 3 2 7 4" xfId="1537"/>
    <cellStyle name="Entrada 2 3 2 7 5" xfId="1538"/>
    <cellStyle name="Entrada 2 3 2 8" xfId="1539"/>
    <cellStyle name="Entrada 2 3 2 9" xfId="1540"/>
    <cellStyle name="Entrada 2 3 3" xfId="313"/>
    <cellStyle name="Entrada 2 3 3 2" xfId="1541"/>
    <cellStyle name="Entrada 2 3 3 3" xfId="1542"/>
    <cellStyle name="Entrada 2 3 3 4" xfId="1543"/>
    <cellStyle name="Entrada 2 3 3 5" xfId="1544"/>
    <cellStyle name="Entrada 2 3 4" xfId="401"/>
    <cellStyle name="Entrada 2 3 4 2" xfId="1545"/>
    <cellStyle name="Entrada 2 3 4 3" xfId="1546"/>
    <cellStyle name="Entrada 2 3 4 4" xfId="1547"/>
    <cellStyle name="Entrada 2 3 4 5" xfId="1548"/>
    <cellStyle name="Entrada 2 3 5" xfId="421"/>
    <cellStyle name="Entrada 2 3 5 2" xfId="1549"/>
    <cellStyle name="Entrada 2 3 5 3" xfId="1550"/>
    <cellStyle name="Entrada 2 3 5 4" xfId="1551"/>
    <cellStyle name="Entrada 2 3 5 5" xfId="1552"/>
    <cellStyle name="Entrada 2 4" xfId="243"/>
    <cellStyle name="Entrada 2 4 2" xfId="267"/>
    <cellStyle name="Entrada 2 4 2 2" xfId="1553"/>
    <cellStyle name="Entrada 2 4 2 3" xfId="1554"/>
    <cellStyle name="Entrada 2 4 2 4" xfId="1555"/>
    <cellStyle name="Entrada 2 4 2 5" xfId="1556"/>
    <cellStyle name="Entrada 2 4 3" xfId="286"/>
    <cellStyle name="Entrada 2 4 3 2" xfId="1557"/>
    <cellStyle name="Entrada 2 4 3 3" xfId="1558"/>
    <cellStyle name="Entrada 2 4 3 4" xfId="1559"/>
    <cellStyle name="Entrada 2 4 3 5" xfId="1560"/>
    <cellStyle name="Entrada 2 4 4" xfId="318"/>
    <cellStyle name="Entrada 2 4 4 2" xfId="1561"/>
    <cellStyle name="Entrada 2 4 4 3" xfId="1562"/>
    <cellStyle name="Entrada 2 4 4 4" xfId="1563"/>
    <cellStyle name="Entrada 2 4 4 5" xfId="1564"/>
    <cellStyle name="Entrada 2 4 5" xfId="306"/>
    <cellStyle name="Entrada 2 4 5 2" xfId="1565"/>
    <cellStyle name="Entrada 2 4 5 3" xfId="1566"/>
    <cellStyle name="Entrada 2 4 5 4" xfId="1567"/>
    <cellStyle name="Entrada 2 4 5 5" xfId="1568"/>
    <cellStyle name="Entrada 2 4 6" xfId="346"/>
    <cellStyle name="Entrada 2 4 6 2" xfId="1569"/>
    <cellStyle name="Entrada 2 4 6 3" xfId="1570"/>
    <cellStyle name="Entrada 2 4 6 4" xfId="1571"/>
    <cellStyle name="Entrada 2 4 6 5" xfId="1572"/>
    <cellStyle name="Entrada 2 4 7" xfId="362"/>
    <cellStyle name="Entrada 2 4 7 2" xfId="1573"/>
    <cellStyle name="Entrada 2 4 7 3" xfId="1574"/>
    <cellStyle name="Entrada 2 4 7 4" xfId="1575"/>
    <cellStyle name="Entrada 2 4 7 5" xfId="1576"/>
    <cellStyle name="Entrada 2 5" xfId="269"/>
    <cellStyle name="Entrada 2 5 2" xfId="1577"/>
    <cellStyle name="Entrada 2 5 3" xfId="1578"/>
    <cellStyle name="Entrada 2 5 4" xfId="1579"/>
    <cellStyle name="Entrada 2 5 5" xfId="1580"/>
    <cellStyle name="Entrada 2 6" xfId="388"/>
    <cellStyle name="Entrada 2 6 2" xfId="1581"/>
    <cellStyle name="Entrada 2 6 3" xfId="1582"/>
    <cellStyle name="Entrada 2 6 4" xfId="1583"/>
    <cellStyle name="Entrada 2 6 5" xfId="1584"/>
    <cellStyle name="Entrada 2 7" xfId="404"/>
    <cellStyle name="Entrada 2 7 2" xfId="1585"/>
    <cellStyle name="Entrada 2 7 3" xfId="1586"/>
    <cellStyle name="Entrada 2 7 4" xfId="1587"/>
    <cellStyle name="Entrada 2 7 5" xfId="1588"/>
    <cellStyle name="Entrada 2 8" xfId="1589"/>
    <cellStyle name="Entrada 3" xfId="493"/>
    <cellStyle name="Entrada 3 2" xfId="494"/>
    <cellStyle name="Euro" xfId="101"/>
    <cellStyle name="Euro 2" xfId="194"/>
    <cellStyle name="Excel Built-in Normal" xfId="395"/>
    <cellStyle name="Excel Built-in Normal 2" xfId="1590"/>
    <cellStyle name="Fixed" xfId="102"/>
    <cellStyle name="Heading1" xfId="103"/>
    <cellStyle name="Heading2" xfId="104"/>
    <cellStyle name="Hipervínculo" xfId="377" builtinId="8"/>
    <cellStyle name="Hipervínculo 14" xfId="1591"/>
    <cellStyle name="Hipervínculo 2" xfId="105"/>
    <cellStyle name="Hipervínculo 2 2" xfId="1592"/>
    <cellStyle name="Hipervínculo 3" xfId="805"/>
    <cellStyle name="Hipervínculo 4" xfId="1593"/>
    <cellStyle name="Incorrecto 2" xfId="106"/>
    <cellStyle name="Incorrecto 3" xfId="495"/>
    <cellStyle name="Millares" xfId="107" builtinId="3"/>
    <cellStyle name="Millares 10" xfId="108"/>
    <cellStyle name="Millares 10 10" xfId="1594"/>
    <cellStyle name="Millares 10 10 2" xfId="1595"/>
    <cellStyle name="Millares 10 10 2 2" xfId="1596"/>
    <cellStyle name="Millares 10 10 2 2 2" xfId="1597"/>
    <cellStyle name="Millares 10 10 2 3" xfId="1598"/>
    <cellStyle name="Millares 10 10 3" xfId="1599"/>
    <cellStyle name="Millares 10 10 3 2" xfId="1600"/>
    <cellStyle name="Millares 10 10 4" xfId="1601"/>
    <cellStyle name="Millares 10 11" xfId="1602"/>
    <cellStyle name="Millares 10 11 2" xfId="1603"/>
    <cellStyle name="Millares 10 11 2 2" xfId="1604"/>
    <cellStyle name="Millares 10 11 3" xfId="1605"/>
    <cellStyle name="Millares 10 12" xfId="1606"/>
    <cellStyle name="Millares 10 12 2" xfId="1607"/>
    <cellStyle name="Millares 10 13" xfId="1608"/>
    <cellStyle name="Millares 10 2" xfId="109"/>
    <cellStyle name="Millares 10 2 10" xfId="1609"/>
    <cellStyle name="Millares 10 2 10 2" xfId="1610"/>
    <cellStyle name="Millares 10 2 11" xfId="1611"/>
    <cellStyle name="Millares 10 2 2" xfId="379"/>
    <cellStyle name="Millares 10 2 2 2" xfId="496"/>
    <cellStyle name="Millares 10 2 2 2 2" xfId="497"/>
    <cellStyle name="Millares 10 2 2 3" xfId="498"/>
    <cellStyle name="Millares 10 2 3" xfId="499"/>
    <cellStyle name="Millares 10 2 3 2" xfId="500"/>
    <cellStyle name="Millares 10 2 3 2 2" xfId="1612"/>
    <cellStyle name="Millares 10 2 3 2 2 2" xfId="1613"/>
    <cellStyle name="Millares 10 2 3 2 2 2 2" xfId="1614"/>
    <cellStyle name="Millares 10 2 3 2 2 3" xfId="1615"/>
    <cellStyle name="Millares 10 2 3 2 3" xfId="1616"/>
    <cellStyle name="Millares 10 2 3 2 3 2" xfId="1617"/>
    <cellStyle name="Millares 10 2 3 2 4" xfId="1618"/>
    <cellStyle name="Millares 10 2 3 3" xfId="1619"/>
    <cellStyle name="Millares 10 2 3 3 2" xfId="1620"/>
    <cellStyle name="Millares 10 2 3 3 2 2" xfId="1621"/>
    <cellStyle name="Millares 10 2 3 3 3" xfId="1622"/>
    <cellStyle name="Millares 10 2 3 4" xfId="1623"/>
    <cellStyle name="Millares 10 2 3 4 2" xfId="1624"/>
    <cellStyle name="Millares 10 2 3 5" xfId="1625"/>
    <cellStyle name="Millares 10 2 4" xfId="501"/>
    <cellStyle name="Millares 10 2 4 2" xfId="502"/>
    <cellStyle name="Millares 10 2 4 2 2" xfId="1626"/>
    <cellStyle name="Millares 10 2 4 2 2 2" xfId="1627"/>
    <cellStyle name="Millares 10 2 4 2 2 2 2" xfId="1628"/>
    <cellStyle name="Millares 10 2 4 2 2 3" xfId="1629"/>
    <cellStyle name="Millares 10 2 4 2 3" xfId="1630"/>
    <cellStyle name="Millares 10 2 4 2 3 2" xfId="1631"/>
    <cellStyle name="Millares 10 2 4 2 4" xfId="1632"/>
    <cellStyle name="Millares 10 2 4 3" xfId="1633"/>
    <cellStyle name="Millares 10 2 4 3 2" xfId="1634"/>
    <cellStyle name="Millares 10 2 4 3 2 2" xfId="1635"/>
    <cellStyle name="Millares 10 2 4 3 3" xfId="1636"/>
    <cellStyle name="Millares 10 2 4 4" xfId="1637"/>
    <cellStyle name="Millares 10 2 4 4 2" xfId="1638"/>
    <cellStyle name="Millares 10 2 4 5" xfId="1639"/>
    <cellStyle name="Millares 10 2 5" xfId="503"/>
    <cellStyle name="Millares 10 2 5 2" xfId="1640"/>
    <cellStyle name="Millares 10 2 5 2 2" xfId="1641"/>
    <cellStyle name="Millares 10 2 5 2 2 2" xfId="1642"/>
    <cellStyle name="Millares 10 2 5 2 2 2 2" xfId="1643"/>
    <cellStyle name="Millares 10 2 5 2 2 3" xfId="1644"/>
    <cellStyle name="Millares 10 2 5 2 3" xfId="1645"/>
    <cellStyle name="Millares 10 2 5 2 3 2" xfId="1646"/>
    <cellStyle name="Millares 10 2 5 2 4" xfId="1647"/>
    <cellStyle name="Millares 10 2 5 3" xfId="1648"/>
    <cellStyle name="Millares 10 2 5 3 2" xfId="1649"/>
    <cellStyle name="Millares 10 2 5 3 2 2" xfId="1650"/>
    <cellStyle name="Millares 10 2 5 3 3" xfId="1651"/>
    <cellStyle name="Millares 10 2 5 4" xfId="1652"/>
    <cellStyle name="Millares 10 2 5 4 2" xfId="1653"/>
    <cellStyle name="Millares 10 2 5 5" xfId="1654"/>
    <cellStyle name="Millares 10 2 6" xfId="1655"/>
    <cellStyle name="Millares 10 2 6 2" xfId="1656"/>
    <cellStyle name="Millares 10 2 6 2 2" xfId="1657"/>
    <cellStyle name="Millares 10 2 6 2 2 2" xfId="1658"/>
    <cellStyle name="Millares 10 2 6 2 2 2 2" xfId="1659"/>
    <cellStyle name="Millares 10 2 6 2 2 3" xfId="1660"/>
    <cellStyle name="Millares 10 2 6 2 3" xfId="1661"/>
    <cellStyle name="Millares 10 2 6 2 3 2" xfId="1662"/>
    <cellStyle name="Millares 10 2 6 2 4" xfId="1663"/>
    <cellStyle name="Millares 10 2 6 3" xfId="1664"/>
    <cellStyle name="Millares 10 2 6 3 2" xfId="1665"/>
    <cellStyle name="Millares 10 2 6 3 2 2" xfId="1666"/>
    <cellStyle name="Millares 10 2 6 3 3" xfId="1667"/>
    <cellStyle name="Millares 10 2 6 4" xfId="1668"/>
    <cellStyle name="Millares 10 2 6 4 2" xfId="1669"/>
    <cellStyle name="Millares 10 2 6 5" xfId="1670"/>
    <cellStyle name="Millares 10 2 7" xfId="1671"/>
    <cellStyle name="Millares 10 2 7 2" xfId="1672"/>
    <cellStyle name="Millares 10 2 7 2 2" xfId="1673"/>
    <cellStyle name="Millares 10 2 7 2 2 2" xfId="1674"/>
    <cellStyle name="Millares 10 2 7 2 2 2 2" xfId="1675"/>
    <cellStyle name="Millares 10 2 7 2 2 3" xfId="1676"/>
    <cellStyle name="Millares 10 2 7 2 3" xfId="1677"/>
    <cellStyle name="Millares 10 2 7 2 3 2" xfId="1678"/>
    <cellStyle name="Millares 10 2 7 2 4" xfId="1679"/>
    <cellStyle name="Millares 10 2 7 3" xfId="1680"/>
    <cellStyle name="Millares 10 2 7 3 2" xfId="1681"/>
    <cellStyle name="Millares 10 2 7 3 2 2" xfId="1682"/>
    <cellStyle name="Millares 10 2 7 3 3" xfId="1683"/>
    <cellStyle name="Millares 10 2 7 4" xfId="1684"/>
    <cellStyle name="Millares 10 2 7 4 2" xfId="1685"/>
    <cellStyle name="Millares 10 2 7 5" xfId="1686"/>
    <cellStyle name="Millares 10 2 8" xfId="1687"/>
    <cellStyle name="Millares 10 2 8 2" xfId="1688"/>
    <cellStyle name="Millares 10 2 8 2 2" xfId="1689"/>
    <cellStyle name="Millares 10 2 8 2 2 2" xfId="1690"/>
    <cellStyle name="Millares 10 2 8 2 3" xfId="1691"/>
    <cellStyle name="Millares 10 2 8 3" xfId="1692"/>
    <cellStyle name="Millares 10 2 8 3 2" xfId="1693"/>
    <cellStyle name="Millares 10 2 8 4" xfId="1694"/>
    <cellStyle name="Millares 10 2 9" xfId="1695"/>
    <cellStyle name="Millares 10 2 9 2" xfId="1696"/>
    <cellStyle name="Millares 10 2 9 2 2" xfId="1697"/>
    <cellStyle name="Millares 10 2 9 3" xfId="1698"/>
    <cellStyle name="Millares 10 3" xfId="235"/>
    <cellStyle name="Millares 10 3 2" xfId="504"/>
    <cellStyle name="Millares 10 3 2 2" xfId="505"/>
    <cellStyle name="Millares 10 3 3" xfId="506"/>
    <cellStyle name="Millares 10 3 4" xfId="507"/>
    <cellStyle name="Millares 10 4" xfId="508"/>
    <cellStyle name="Millares 10 4 2" xfId="509"/>
    <cellStyle name="Millares 10 4 2 2" xfId="1699"/>
    <cellStyle name="Millares 10 4 2 2 2" xfId="1700"/>
    <cellStyle name="Millares 10 4 2 2 2 2" xfId="1701"/>
    <cellStyle name="Millares 10 4 2 2 3" xfId="1702"/>
    <cellStyle name="Millares 10 4 2 3" xfId="1703"/>
    <cellStyle name="Millares 10 4 2 3 2" xfId="1704"/>
    <cellStyle name="Millares 10 4 2 4" xfId="1705"/>
    <cellStyle name="Millares 10 4 3" xfId="1706"/>
    <cellStyle name="Millares 10 4 3 2" xfId="1707"/>
    <cellStyle name="Millares 10 4 3 2 2" xfId="1708"/>
    <cellStyle name="Millares 10 4 3 3" xfId="1709"/>
    <cellStyle name="Millares 10 4 4" xfId="1710"/>
    <cellStyle name="Millares 10 4 4 2" xfId="1711"/>
    <cellStyle name="Millares 10 4 5" xfId="1712"/>
    <cellStyle name="Millares 10 5" xfId="510"/>
    <cellStyle name="Millares 10 5 2" xfId="511"/>
    <cellStyle name="Millares 10 5 2 2" xfId="1713"/>
    <cellStyle name="Millares 10 5 2 2 2" xfId="1714"/>
    <cellStyle name="Millares 10 5 2 2 2 2" xfId="1715"/>
    <cellStyle name="Millares 10 5 2 2 3" xfId="1716"/>
    <cellStyle name="Millares 10 5 2 3" xfId="1717"/>
    <cellStyle name="Millares 10 5 2 3 2" xfId="1718"/>
    <cellStyle name="Millares 10 5 2 4" xfId="1719"/>
    <cellStyle name="Millares 10 5 3" xfId="1720"/>
    <cellStyle name="Millares 10 5 3 2" xfId="1721"/>
    <cellStyle name="Millares 10 5 3 2 2" xfId="1722"/>
    <cellStyle name="Millares 10 5 3 3" xfId="1723"/>
    <cellStyle name="Millares 10 5 4" xfId="1724"/>
    <cellStyle name="Millares 10 5 4 2" xfId="1725"/>
    <cellStyle name="Millares 10 5 5" xfId="1726"/>
    <cellStyle name="Millares 10 6" xfId="512"/>
    <cellStyle name="Millares 10 6 2" xfId="1727"/>
    <cellStyle name="Millares 10 6 2 2" xfId="1728"/>
    <cellStyle name="Millares 10 6 2 2 2" xfId="1729"/>
    <cellStyle name="Millares 10 6 2 2 2 2" xfId="1730"/>
    <cellStyle name="Millares 10 6 2 2 3" xfId="1731"/>
    <cellStyle name="Millares 10 6 2 3" xfId="1732"/>
    <cellStyle name="Millares 10 6 2 3 2" xfId="1733"/>
    <cellStyle name="Millares 10 6 2 4" xfId="1734"/>
    <cellStyle name="Millares 10 6 3" xfId="1735"/>
    <cellStyle name="Millares 10 6 3 2" xfId="1736"/>
    <cellStyle name="Millares 10 6 3 2 2" xfId="1737"/>
    <cellStyle name="Millares 10 6 3 3" xfId="1738"/>
    <cellStyle name="Millares 10 6 4" xfId="1739"/>
    <cellStyle name="Millares 10 6 4 2" xfId="1740"/>
    <cellStyle name="Millares 10 6 5" xfId="1741"/>
    <cellStyle name="Millares 10 7" xfId="1742"/>
    <cellStyle name="Millares 10 7 2" xfId="1743"/>
    <cellStyle name="Millares 10 7 2 2" xfId="1744"/>
    <cellStyle name="Millares 10 7 2 2 2" xfId="1745"/>
    <cellStyle name="Millares 10 7 2 2 2 2" xfId="1746"/>
    <cellStyle name="Millares 10 7 2 2 3" xfId="1747"/>
    <cellStyle name="Millares 10 7 2 3" xfId="1748"/>
    <cellStyle name="Millares 10 7 2 3 2" xfId="1749"/>
    <cellStyle name="Millares 10 7 2 4" xfId="1750"/>
    <cellStyle name="Millares 10 7 3" xfId="1751"/>
    <cellStyle name="Millares 10 7 3 2" xfId="1752"/>
    <cellStyle name="Millares 10 7 3 2 2" xfId="1753"/>
    <cellStyle name="Millares 10 7 3 3" xfId="1754"/>
    <cellStyle name="Millares 10 7 4" xfId="1755"/>
    <cellStyle name="Millares 10 7 4 2" xfId="1756"/>
    <cellStyle name="Millares 10 7 5" xfId="1757"/>
    <cellStyle name="Millares 10 8" xfId="1758"/>
    <cellStyle name="Millares 10 8 2" xfId="1759"/>
    <cellStyle name="Millares 10 8 2 2" xfId="1760"/>
    <cellStyle name="Millares 10 8 2 2 2" xfId="1761"/>
    <cellStyle name="Millares 10 8 2 2 2 2" xfId="1762"/>
    <cellStyle name="Millares 10 8 2 2 3" xfId="1763"/>
    <cellStyle name="Millares 10 8 2 3" xfId="1764"/>
    <cellStyle name="Millares 10 8 2 3 2" xfId="1765"/>
    <cellStyle name="Millares 10 8 2 4" xfId="1766"/>
    <cellStyle name="Millares 10 8 3" xfId="1767"/>
    <cellStyle name="Millares 10 8 3 2" xfId="1768"/>
    <cellStyle name="Millares 10 8 3 2 2" xfId="1769"/>
    <cellStyle name="Millares 10 8 3 3" xfId="1770"/>
    <cellStyle name="Millares 10 8 4" xfId="1771"/>
    <cellStyle name="Millares 10 8 4 2" xfId="1772"/>
    <cellStyle name="Millares 10 8 5" xfId="1773"/>
    <cellStyle name="Millares 10 9" xfId="1774"/>
    <cellStyle name="Millares 10 9 2" xfId="1775"/>
    <cellStyle name="Millares 10 9 2 2" xfId="1776"/>
    <cellStyle name="Millares 10 9 2 2 2" xfId="1777"/>
    <cellStyle name="Millares 10 9 2 3" xfId="1778"/>
    <cellStyle name="Millares 10 9 3" xfId="1779"/>
    <cellStyle name="Millares 10 9 3 2" xfId="1780"/>
    <cellStyle name="Millares 10 9 4" xfId="1781"/>
    <cellStyle name="Millares 11" xfId="110"/>
    <cellStyle name="Millares 11 2" xfId="111"/>
    <cellStyle name="Millares 11 2 2" xfId="1782"/>
    <cellStyle name="Millares 11 2 2 2" xfId="1783"/>
    <cellStyle name="Millares 11 2 3" xfId="1784"/>
    <cellStyle name="Millares 11 3" xfId="1785"/>
    <cellStyle name="Millares 11 3 2" xfId="1786"/>
    <cellStyle name="Millares 11 4" xfId="1787"/>
    <cellStyle name="Millares 12" xfId="215"/>
    <cellStyle name="Millares 12 10" xfId="1788"/>
    <cellStyle name="Millares 12 10 2" xfId="1789"/>
    <cellStyle name="Millares 12 11" xfId="1790"/>
    <cellStyle name="Millares 12 2" xfId="380"/>
    <cellStyle name="Millares 12 2 2" xfId="513"/>
    <cellStyle name="Millares 12 2 2 2" xfId="514"/>
    <cellStyle name="Millares 12 2 3" xfId="515"/>
    <cellStyle name="Millares 12 3" xfId="516"/>
    <cellStyle name="Millares 12 3 2" xfId="517"/>
    <cellStyle name="Millares 12 3 2 2" xfId="1791"/>
    <cellStyle name="Millares 12 3 2 2 2" xfId="1792"/>
    <cellStyle name="Millares 12 3 2 2 2 2" xfId="1793"/>
    <cellStyle name="Millares 12 3 2 2 3" xfId="1794"/>
    <cellStyle name="Millares 12 3 2 3" xfId="1795"/>
    <cellStyle name="Millares 12 3 2 3 2" xfId="1796"/>
    <cellStyle name="Millares 12 3 2 4" xfId="1797"/>
    <cellStyle name="Millares 12 3 3" xfId="1798"/>
    <cellStyle name="Millares 12 3 3 2" xfId="1799"/>
    <cellStyle name="Millares 12 3 3 2 2" xfId="1800"/>
    <cellStyle name="Millares 12 3 3 3" xfId="1801"/>
    <cellStyle name="Millares 12 3 4" xfId="1802"/>
    <cellStyle name="Millares 12 3 4 2" xfId="1803"/>
    <cellStyle name="Millares 12 3 5" xfId="1804"/>
    <cellStyle name="Millares 12 4" xfId="518"/>
    <cellStyle name="Millares 12 4 2" xfId="519"/>
    <cellStyle name="Millares 12 4 2 2" xfId="1805"/>
    <cellStyle name="Millares 12 4 2 2 2" xfId="1806"/>
    <cellStyle name="Millares 12 4 2 2 2 2" xfId="1807"/>
    <cellStyle name="Millares 12 4 2 2 3" xfId="1808"/>
    <cellStyle name="Millares 12 4 2 3" xfId="1809"/>
    <cellStyle name="Millares 12 4 2 3 2" xfId="1810"/>
    <cellStyle name="Millares 12 4 2 4" xfId="1811"/>
    <cellStyle name="Millares 12 4 3" xfId="1812"/>
    <cellStyle name="Millares 12 4 3 2" xfId="1813"/>
    <cellStyle name="Millares 12 4 3 2 2" xfId="1814"/>
    <cellStyle name="Millares 12 4 3 3" xfId="1815"/>
    <cellStyle name="Millares 12 4 4" xfId="1816"/>
    <cellStyle name="Millares 12 4 4 2" xfId="1817"/>
    <cellStyle name="Millares 12 4 5" xfId="1818"/>
    <cellStyle name="Millares 12 5" xfId="520"/>
    <cellStyle name="Millares 12 5 2" xfId="1819"/>
    <cellStyle name="Millares 12 5 2 2" xfId="1820"/>
    <cellStyle name="Millares 12 5 2 2 2" xfId="1821"/>
    <cellStyle name="Millares 12 5 2 2 2 2" xfId="1822"/>
    <cellStyle name="Millares 12 5 2 2 3" xfId="1823"/>
    <cellStyle name="Millares 12 5 2 3" xfId="1824"/>
    <cellStyle name="Millares 12 5 2 3 2" xfId="1825"/>
    <cellStyle name="Millares 12 5 2 4" xfId="1826"/>
    <cellStyle name="Millares 12 5 3" xfId="1827"/>
    <cellStyle name="Millares 12 5 3 2" xfId="1828"/>
    <cellStyle name="Millares 12 5 3 2 2" xfId="1829"/>
    <cellStyle name="Millares 12 5 3 3" xfId="1830"/>
    <cellStyle name="Millares 12 5 4" xfId="1831"/>
    <cellStyle name="Millares 12 5 4 2" xfId="1832"/>
    <cellStyle name="Millares 12 5 5" xfId="1833"/>
    <cellStyle name="Millares 12 6" xfId="1834"/>
    <cellStyle name="Millares 12 6 2" xfId="1835"/>
    <cellStyle name="Millares 12 6 2 2" xfId="1836"/>
    <cellStyle name="Millares 12 6 2 2 2" xfId="1837"/>
    <cellStyle name="Millares 12 6 2 2 2 2" xfId="1838"/>
    <cellStyle name="Millares 12 6 2 2 3" xfId="1839"/>
    <cellStyle name="Millares 12 6 2 3" xfId="1840"/>
    <cellStyle name="Millares 12 6 2 3 2" xfId="1841"/>
    <cellStyle name="Millares 12 6 2 4" xfId="1842"/>
    <cellStyle name="Millares 12 6 3" xfId="1843"/>
    <cellStyle name="Millares 12 6 3 2" xfId="1844"/>
    <cellStyle name="Millares 12 6 3 2 2" xfId="1845"/>
    <cellStyle name="Millares 12 6 3 3" xfId="1846"/>
    <cellStyle name="Millares 12 6 4" xfId="1847"/>
    <cellStyle name="Millares 12 6 4 2" xfId="1848"/>
    <cellStyle name="Millares 12 6 5" xfId="1849"/>
    <cellStyle name="Millares 12 7" xfId="1850"/>
    <cellStyle name="Millares 12 7 2" xfId="1851"/>
    <cellStyle name="Millares 12 7 2 2" xfId="1852"/>
    <cellStyle name="Millares 12 7 2 2 2" xfId="1853"/>
    <cellStyle name="Millares 12 7 2 2 2 2" xfId="1854"/>
    <cellStyle name="Millares 12 7 2 2 3" xfId="1855"/>
    <cellStyle name="Millares 12 7 2 3" xfId="1856"/>
    <cellStyle name="Millares 12 7 2 3 2" xfId="1857"/>
    <cellStyle name="Millares 12 7 2 4" xfId="1858"/>
    <cellStyle name="Millares 12 7 3" xfId="1859"/>
    <cellStyle name="Millares 12 7 3 2" xfId="1860"/>
    <cellStyle name="Millares 12 7 3 2 2" xfId="1861"/>
    <cellStyle name="Millares 12 7 3 3" xfId="1862"/>
    <cellStyle name="Millares 12 7 4" xfId="1863"/>
    <cellStyle name="Millares 12 7 4 2" xfId="1864"/>
    <cellStyle name="Millares 12 7 5" xfId="1865"/>
    <cellStyle name="Millares 12 8" xfId="1866"/>
    <cellStyle name="Millares 12 8 2" xfId="1867"/>
    <cellStyle name="Millares 12 8 2 2" xfId="1868"/>
    <cellStyle name="Millares 12 8 2 2 2" xfId="1869"/>
    <cellStyle name="Millares 12 8 2 3" xfId="1870"/>
    <cellStyle name="Millares 12 8 3" xfId="1871"/>
    <cellStyle name="Millares 12 8 3 2" xfId="1872"/>
    <cellStyle name="Millares 12 8 4" xfId="1873"/>
    <cellStyle name="Millares 12 9" xfId="1874"/>
    <cellStyle name="Millares 12 9 2" xfId="1875"/>
    <cellStyle name="Millares 12 9 2 2" xfId="1876"/>
    <cellStyle name="Millares 12 9 3" xfId="1877"/>
    <cellStyle name="Millares 13" xfId="521"/>
    <cellStyle name="Millares 13 2" xfId="522"/>
    <cellStyle name="Millares 13 2 2" xfId="523"/>
    <cellStyle name="Millares 13 2 2 2" xfId="524"/>
    <cellStyle name="Millares 13 2 2 2 2" xfId="1878"/>
    <cellStyle name="Millares 13 2 2 3" xfId="1879"/>
    <cellStyle name="Millares 13 2 3" xfId="525"/>
    <cellStyle name="Millares 13 2 3 2" xfId="1880"/>
    <cellStyle name="Millares 13 2 4" xfId="1881"/>
    <cellStyle name="Millares 13 3" xfId="526"/>
    <cellStyle name="Millares 13 3 2" xfId="527"/>
    <cellStyle name="Millares 13 4" xfId="528"/>
    <cellStyle name="Millares 14" xfId="529"/>
    <cellStyle name="Millares 14 2" xfId="530"/>
    <cellStyle name="Millares 15" xfId="531"/>
    <cellStyle name="Millares 15 2" xfId="532"/>
    <cellStyle name="Millares 16" xfId="397"/>
    <cellStyle name="Millares 17" xfId="533"/>
    <cellStyle name="Millares 17 2" xfId="534"/>
    <cellStyle name="Millares 18" xfId="535"/>
    <cellStyle name="Millares 18 2" xfId="536"/>
    <cellStyle name="Millares 19" xfId="440"/>
    <cellStyle name="Millares 19 2" xfId="537"/>
    <cellStyle name="Millares 19 2 2" xfId="538"/>
    <cellStyle name="Millares 19 3" xfId="539"/>
    <cellStyle name="Millares 2" xfId="112"/>
    <cellStyle name="Millares 2 2" xfId="113"/>
    <cellStyle name="Millares 2 2 2" xfId="195"/>
    <cellStyle name="Millares 2 2 2 2" xfId="1882"/>
    <cellStyle name="Millares 2 2 3" xfId="1883"/>
    <cellStyle name="Millares 2 3" xfId="114"/>
    <cellStyle name="Millares 2 3 2" xfId="1884"/>
    <cellStyle name="Millares 2 4" xfId="1885"/>
    <cellStyle name="Millares 3" xfId="115"/>
    <cellStyle name="Millares 3 2" xfId="116"/>
    <cellStyle name="Millares 3 2 2" xfId="197"/>
    <cellStyle name="Millares 3 2 2 2" xfId="1886"/>
    <cellStyle name="Millares 3 2 3" xfId="1887"/>
    <cellStyle name="Millares 3 3" xfId="196"/>
    <cellStyle name="Millares 3 3 2" xfId="1888"/>
    <cellStyle name="Millares 3 4" xfId="216"/>
    <cellStyle name="Millares 3 4 2" xfId="1889"/>
    <cellStyle name="Millares 3 5" xfId="1890"/>
    <cellStyle name="Millares 4" xfId="117"/>
    <cellStyle name="Millares 4 2" xfId="118"/>
    <cellStyle name="Millares 4 2 2" xfId="119"/>
    <cellStyle name="Millares 4 2 2 2" xfId="1891"/>
    <cellStyle name="Millares 4 2 2 2 2" xfId="1892"/>
    <cellStyle name="Millares 4 2 2 3" xfId="1893"/>
    <cellStyle name="Millares 4 2 3" xfId="1894"/>
    <cellStyle name="Millares 4 2 3 2" xfId="1895"/>
    <cellStyle name="Millares 4 2 4" xfId="1896"/>
    <cellStyle name="Millares 4 3" xfId="120"/>
    <cellStyle name="Millares 4 3 2" xfId="121"/>
    <cellStyle name="Millares 4 3 2 2" xfId="1897"/>
    <cellStyle name="Millares 4 3 2 2 2" xfId="1898"/>
    <cellStyle name="Millares 4 3 2 3" xfId="1899"/>
    <cellStyle name="Millares 4 3 3" xfId="1900"/>
    <cellStyle name="Millares 4 3 3 2" xfId="1901"/>
    <cellStyle name="Millares 4 3 4" xfId="1902"/>
    <cellStyle name="Millares 4 4" xfId="122"/>
    <cellStyle name="Millares 4 4 2" xfId="1903"/>
    <cellStyle name="Millares 4 4 2 2" xfId="1904"/>
    <cellStyle name="Millares 4 4 3" xfId="1905"/>
    <cellStyle name="Millares 4 5" xfId="1906"/>
    <cellStyle name="Millares 4 5 2" xfId="1907"/>
    <cellStyle name="Millares 4 6" xfId="1908"/>
    <cellStyle name="Millares 5" xfId="123"/>
    <cellStyle name="Millares 5 2" xfId="124"/>
    <cellStyle name="Millares 5 2 2" xfId="217"/>
    <cellStyle name="Millares 5 2 2 2" xfId="1909"/>
    <cellStyle name="Millares 5 2 3" xfId="1910"/>
    <cellStyle name="Millares 5 3" xfId="198"/>
    <cellStyle name="Millares 5 3 2" xfId="1911"/>
    <cellStyle name="Millares 5 4" xfId="1912"/>
    <cellStyle name="Millares 6" xfId="125"/>
    <cellStyle name="Millares 6 2" xfId="199"/>
    <cellStyle name="Millares 6 2 2" xfId="1913"/>
    <cellStyle name="Millares 6 3" xfId="1914"/>
    <cellStyle name="Millares 7" xfId="126"/>
    <cellStyle name="Millares 7 2" xfId="127"/>
    <cellStyle name="Millares 7 2 10" xfId="1915"/>
    <cellStyle name="Millares 7 2 10 2" xfId="1916"/>
    <cellStyle name="Millares 7 2 11" xfId="1917"/>
    <cellStyle name="Millares 7 2 2" xfId="381"/>
    <cellStyle name="Millares 7 2 2 2" xfId="540"/>
    <cellStyle name="Millares 7 2 2 2 2" xfId="541"/>
    <cellStyle name="Millares 7 2 2 3" xfId="542"/>
    <cellStyle name="Millares 7 2 3" xfId="543"/>
    <cellStyle name="Millares 7 2 3 2" xfId="544"/>
    <cellStyle name="Millares 7 2 3 2 2" xfId="1918"/>
    <cellStyle name="Millares 7 2 3 2 2 2" xfId="1919"/>
    <cellStyle name="Millares 7 2 3 2 2 2 2" xfId="1920"/>
    <cellStyle name="Millares 7 2 3 2 2 3" xfId="1921"/>
    <cellStyle name="Millares 7 2 3 2 3" xfId="1922"/>
    <cellStyle name="Millares 7 2 3 2 3 2" xfId="1923"/>
    <cellStyle name="Millares 7 2 3 2 4" xfId="1924"/>
    <cellStyle name="Millares 7 2 3 3" xfId="1925"/>
    <cellStyle name="Millares 7 2 3 3 2" xfId="1926"/>
    <cellStyle name="Millares 7 2 3 3 2 2" xfId="1927"/>
    <cellStyle name="Millares 7 2 3 3 3" xfId="1928"/>
    <cellStyle name="Millares 7 2 3 4" xfId="1929"/>
    <cellStyle name="Millares 7 2 3 4 2" xfId="1930"/>
    <cellStyle name="Millares 7 2 3 5" xfId="1931"/>
    <cellStyle name="Millares 7 2 4" xfId="545"/>
    <cellStyle name="Millares 7 2 4 2" xfId="546"/>
    <cellStyle name="Millares 7 2 4 2 2" xfId="1932"/>
    <cellStyle name="Millares 7 2 4 2 2 2" xfId="1933"/>
    <cellStyle name="Millares 7 2 4 2 2 2 2" xfId="1934"/>
    <cellStyle name="Millares 7 2 4 2 2 3" xfId="1935"/>
    <cellStyle name="Millares 7 2 4 2 3" xfId="1936"/>
    <cellStyle name="Millares 7 2 4 2 3 2" xfId="1937"/>
    <cellStyle name="Millares 7 2 4 2 4" xfId="1938"/>
    <cellStyle name="Millares 7 2 4 3" xfId="1939"/>
    <cellStyle name="Millares 7 2 4 3 2" xfId="1940"/>
    <cellStyle name="Millares 7 2 4 3 2 2" xfId="1941"/>
    <cellStyle name="Millares 7 2 4 3 3" xfId="1942"/>
    <cellStyle name="Millares 7 2 4 4" xfId="1943"/>
    <cellStyle name="Millares 7 2 4 4 2" xfId="1944"/>
    <cellStyle name="Millares 7 2 4 5" xfId="1945"/>
    <cellStyle name="Millares 7 2 5" xfId="547"/>
    <cellStyle name="Millares 7 2 5 2" xfId="1946"/>
    <cellStyle name="Millares 7 2 5 2 2" xfId="1947"/>
    <cellStyle name="Millares 7 2 5 2 2 2" xfId="1948"/>
    <cellStyle name="Millares 7 2 5 2 2 2 2" xfId="1949"/>
    <cellStyle name="Millares 7 2 5 2 2 3" xfId="1950"/>
    <cellStyle name="Millares 7 2 5 2 3" xfId="1951"/>
    <cellStyle name="Millares 7 2 5 2 3 2" xfId="1952"/>
    <cellStyle name="Millares 7 2 5 2 4" xfId="1953"/>
    <cellStyle name="Millares 7 2 5 3" xfId="1954"/>
    <cellStyle name="Millares 7 2 5 3 2" xfId="1955"/>
    <cellStyle name="Millares 7 2 5 3 2 2" xfId="1956"/>
    <cellStyle name="Millares 7 2 5 3 3" xfId="1957"/>
    <cellStyle name="Millares 7 2 5 4" xfId="1958"/>
    <cellStyle name="Millares 7 2 5 4 2" xfId="1959"/>
    <cellStyle name="Millares 7 2 5 5" xfId="1960"/>
    <cellStyle name="Millares 7 2 6" xfId="1961"/>
    <cellStyle name="Millares 7 2 6 2" xfId="1962"/>
    <cellStyle name="Millares 7 2 6 2 2" xfId="1963"/>
    <cellStyle name="Millares 7 2 6 2 2 2" xfId="1964"/>
    <cellStyle name="Millares 7 2 6 2 2 2 2" xfId="1965"/>
    <cellStyle name="Millares 7 2 6 2 2 3" xfId="1966"/>
    <cellStyle name="Millares 7 2 6 2 3" xfId="1967"/>
    <cellStyle name="Millares 7 2 6 2 3 2" xfId="1968"/>
    <cellStyle name="Millares 7 2 6 2 4" xfId="1969"/>
    <cellStyle name="Millares 7 2 6 3" xfId="1970"/>
    <cellStyle name="Millares 7 2 6 3 2" xfId="1971"/>
    <cellStyle name="Millares 7 2 6 3 2 2" xfId="1972"/>
    <cellStyle name="Millares 7 2 6 3 3" xfId="1973"/>
    <cellStyle name="Millares 7 2 6 4" xfId="1974"/>
    <cellStyle name="Millares 7 2 6 4 2" xfId="1975"/>
    <cellStyle name="Millares 7 2 6 5" xfId="1976"/>
    <cellStyle name="Millares 7 2 7" xfId="1977"/>
    <cellStyle name="Millares 7 2 7 2" xfId="1978"/>
    <cellStyle name="Millares 7 2 7 2 2" xfId="1979"/>
    <cellStyle name="Millares 7 2 7 2 2 2" xfId="1980"/>
    <cellStyle name="Millares 7 2 7 2 2 2 2" xfId="1981"/>
    <cellStyle name="Millares 7 2 7 2 2 3" xfId="1982"/>
    <cellStyle name="Millares 7 2 7 2 3" xfId="1983"/>
    <cellStyle name="Millares 7 2 7 2 3 2" xfId="1984"/>
    <cellStyle name="Millares 7 2 7 2 4" xfId="1985"/>
    <cellStyle name="Millares 7 2 7 3" xfId="1986"/>
    <cellStyle name="Millares 7 2 7 3 2" xfId="1987"/>
    <cellStyle name="Millares 7 2 7 3 2 2" xfId="1988"/>
    <cellStyle name="Millares 7 2 7 3 3" xfId="1989"/>
    <cellStyle name="Millares 7 2 7 4" xfId="1990"/>
    <cellStyle name="Millares 7 2 7 4 2" xfId="1991"/>
    <cellStyle name="Millares 7 2 7 5" xfId="1992"/>
    <cellStyle name="Millares 7 2 8" xfId="1993"/>
    <cellStyle name="Millares 7 2 8 2" xfId="1994"/>
    <cellStyle name="Millares 7 2 8 2 2" xfId="1995"/>
    <cellStyle name="Millares 7 2 8 2 2 2" xfId="1996"/>
    <cellStyle name="Millares 7 2 8 2 3" xfId="1997"/>
    <cellStyle name="Millares 7 2 8 3" xfId="1998"/>
    <cellStyle name="Millares 7 2 8 3 2" xfId="1999"/>
    <cellStyle name="Millares 7 2 8 4" xfId="2000"/>
    <cellStyle name="Millares 7 2 9" xfId="2001"/>
    <cellStyle name="Millares 7 2 9 2" xfId="2002"/>
    <cellStyle name="Millares 7 2 9 2 2" xfId="2003"/>
    <cellStyle name="Millares 7 2 9 3" xfId="2004"/>
    <cellStyle name="Millares 7 3" xfId="200"/>
    <cellStyle name="Millares 7 3 2" xfId="548"/>
    <cellStyle name="Millares 7 3 2 2" xfId="549"/>
    <cellStyle name="Millares 7 3 3" xfId="550"/>
    <cellStyle name="Millares 7 3 4" xfId="551"/>
    <cellStyle name="Millares 7 4" xfId="552"/>
    <cellStyle name="Millares 7 4 2" xfId="553"/>
    <cellStyle name="Millares 7 5" xfId="554"/>
    <cellStyle name="Millares 7 6" xfId="555"/>
    <cellStyle name="Millares 8" xfId="128"/>
    <cellStyle name="Millares 8 2" xfId="129"/>
    <cellStyle name="Millares 8 2 2" xfId="2005"/>
    <cellStyle name="Millares 8 2 2 2" xfId="2006"/>
    <cellStyle name="Millares 8 2 3" xfId="2007"/>
    <cellStyle name="Millares 8 3" xfId="130"/>
    <cellStyle name="Millares 8 3 2" xfId="2008"/>
    <cellStyle name="Millares 8 3 2 2" xfId="2009"/>
    <cellStyle name="Millares 8 3 3" xfId="2010"/>
    <cellStyle name="Millares 8 4" xfId="2011"/>
    <cellStyle name="Millares 8 4 2" xfId="2012"/>
    <cellStyle name="Millares 8 5" xfId="2013"/>
    <cellStyle name="Millares 9" xfId="131"/>
    <cellStyle name="Millares 9 2" xfId="201"/>
    <cellStyle name="Millares 9 2 2" xfId="2014"/>
    <cellStyle name="Millares 9 3" xfId="2015"/>
    <cellStyle name="Moneda 2" xfId="132"/>
    <cellStyle name="Moneda 2 2" xfId="133"/>
    <cellStyle name="Moneda 2 2 2" xfId="134"/>
    <cellStyle name="Moneda 2 2 2 2" xfId="2016"/>
    <cellStyle name="Moneda 2 2 2 2 2" xfId="2017"/>
    <cellStyle name="Moneda 2 2 2 3" xfId="2018"/>
    <cellStyle name="Moneda 2 2 3" xfId="2019"/>
    <cellStyle name="Moneda 2 2 3 2" xfId="2020"/>
    <cellStyle name="Moneda 2 2 4" xfId="2021"/>
    <cellStyle name="Moneda 2 3" xfId="135"/>
    <cellStyle name="Moneda 2 3 2" xfId="136"/>
    <cellStyle name="Moneda 2 3 2 2" xfId="2022"/>
    <cellStyle name="Moneda 2 3 2 2 2" xfId="2023"/>
    <cellStyle name="Moneda 2 3 2 3" xfId="2024"/>
    <cellStyle name="Moneda 2 3 3" xfId="2025"/>
    <cellStyle name="Moneda 2 3 3 2" xfId="2026"/>
    <cellStyle name="Moneda 2 3 4" xfId="2027"/>
    <cellStyle name="Moneda 2 4" xfId="137"/>
    <cellStyle name="Moneda 2 4 2" xfId="2028"/>
    <cellStyle name="Moneda 2 4 2 2" xfId="2029"/>
    <cellStyle name="Moneda 2 4 3" xfId="2030"/>
    <cellStyle name="Moneda 2 5" xfId="2031"/>
    <cellStyle name="Moneda 2 5 2" xfId="2032"/>
    <cellStyle name="Moneda 2 6" xfId="2033"/>
    <cellStyle name="Moneda 2 6 2" xfId="2034"/>
    <cellStyle name="Moneda 2 7" xfId="2035"/>
    <cellStyle name="Moneda 3" xfId="138"/>
    <cellStyle name="Moneda 3 2" xfId="202"/>
    <cellStyle name="Moneda 3 2 2" xfId="2036"/>
    <cellStyle name="Moneda 3 3" xfId="2037"/>
    <cellStyle name="Moneda 4" xfId="139"/>
    <cellStyle name="Moneda 4 2" xfId="140"/>
    <cellStyle name="Moneda 4 2 2" xfId="2038"/>
    <cellStyle name="Moneda 4 2 2 2" xfId="2039"/>
    <cellStyle name="Moneda 4 2 3" xfId="2040"/>
    <cellStyle name="Moneda 4 3" xfId="2041"/>
    <cellStyle name="Moneda 4 3 2" xfId="2042"/>
    <cellStyle name="Moneda 4 4" xfId="2043"/>
    <cellStyle name="Moneda 5" xfId="378"/>
    <cellStyle name="Moneda 5 2" xfId="2044"/>
    <cellStyle name="Moneda 5 2 2" xfId="2045"/>
    <cellStyle name="Moneda 5 2 2 2" xfId="2046"/>
    <cellStyle name="Moneda 5 2 2 2 2" xfId="2047"/>
    <cellStyle name="Moneda 5 2 2 2 2 2" xfId="2048"/>
    <cellStyle name="Moneda 5 2 2 2 3" xfId="2049"/>
    <cellStyle name="Moneda 5 2 2 3" xfId="2050"/>
    <cellStyle name="Moneda 5 2 2 3 2" xfId="2051"/>
    <cellStyle name="Moneda 5 2 2 4" xfId="2052"/>
    <cellStyle name="Moneda 5 2 3" xfId="2053"/>
    <cellStyle name="Moneda 5 2 3 2" xfId="2054"/>
    <cellStyle name="Moneda 5 2 3 2 2" xfId="2055"/>
    <cellStyle name="Moneda 5 2 3 3" xfId="2056"/>
    <cellStyle name="Moneda 5 2 4" xfId="2057"/>
    <cellStyle name="Moneda 5 2 4 2" xfId="2058"/>
    <cellStyle name="Moneda 5 2 5" xfId="2059"/>
    <cellStyle name="Moneda 5 3" xfId="2060"/>
    <cellStyle name="Moneda 5 3 2" xfId="2061"/>
    <cellStyle name="Moneda 5 3 2 2" xfId="2062"/>
    <cellStyle name="Moneda 5 3 2 2 2" xfId="2063"/>
    <cellStyle name="Moneda 5 3 2 3" xfId="2064"/>
    <cellStyle name="Moneda 5 3 3" xfId="2065"/>
    <cellStyle name="Moneda 5 3 3 2" xfId="2066"/>
    <cellStyle name="Moneda 5 3 4" xfId="2067"/>
    <cellStyle name="Moneda 5 4" xfId="2068"/>
    <cellStyle name="Moneda 5 4 2" xfId="2069"/>
    <cellStyle name="Moneda 5 5" xfId="2070"/>
    <cellStyle name="Moneda 6" xfId="2071"/>
    <cellStyle name="Moneda 6 2" xfId="2072"/>
    <cellStyle name="Moneda 7" xfId="2073"/>
    <cellStyle name="Moneda 7 2" xfId="2074"/>
    <cellStyle name="Moneda 7 2 2" xfId="2075"/>
    <cellStyle name="Moneda 7 2 2 2" xfId="2076"/>
    <cellStyle name="Moneda 7 2 3" xfId="2077"/>
    <cellStyle name="Moneda 7 3" xfId="2078"/>
    <cellStyle name="Moneda 7 3 2" xfId="2079"/>
    <cellStyle name="Moneda 7 4" xfId="2080"/>
    <cellStyle name="Moneda 8" xfId="2081"/>
    <cellStyle name="Moneda 8 2" xfId="2082"/>
    <cellStyle name="Neutral 2" xfId="141"/>
    <cellStyle name="Neutral 3" xfId="556"/>
    <cellStyle name="Normal" xfId="0" builtinId="0"/>
    <cellStyle name="Normal - Modelo1" xfId="806"/>
    <cellStyle name="Normal - Modelo2" xfId="807"/>
    <cellStyle name="Normal - Modelo3" xfId="808"/>
    <cellStyle name="Normal - Modelo4" xfId="809"/>
    <cellStyle name="Normal - Modelo5" xfId="810"/>
    <cellStyle name="Normal - Modelo6" xfId="811"/>
    <cellStyle name="Normal - Modelo7" xfId="812"/>
    <cellStyle name="Normal - Modelo8" xfId="813"/>
    <cellStyle name="Normal 10" xfId="142"/>
    <cellStyle name="Normal 10 10" xfId="434"/>
    <cellStyle name="Normal 10 10 10 2" xfId="3789"/>
    <cellStyle name="Normal 10 10 2" xfId="557"/>
    <cellStyle name="Normal 10 10 3" xfId="2083"/>
    <cellStyle name="Normal 10 10 4" xfId="2084"/>
    <cellStyle name="Normal 10 10 5" xfId="2085"/>
    <cellStyle name="Normal 10 11" xfId="2086"/>
    <cellStyle name="Normal 10 2" xfId="143"/>
    <cellStyle name="Normal 10 2 10" xfId="2087"/>
    <cellStyle name="Normal 10 2 2" xfId="558"/>
    <cellStyle name="Normal 10 2 2 2" xfId="559"/>
    <cellStyle name="Normal 10 2 2 2 2" xfId="560"/>
    <cellStyle name="Normal 10 2 2 2 2 2" xfId="2088"/>
    <cellStyle name="Normal 10 2 2 2 2 2 2" xfId="2089"/>
    <cellStyle name="Normal 10 2 2 2 2 3" xfId="2090"/>
    <cellStyle name="Normal 10 2 2 2 3" xfId="2091"/>
    <cellStyle name="Normal 10 2 2 2 3 2" xfId="2092"/>
    <cellStyle name="Normal 10 2 2 2 3 2 2" xfId="2093"/>
    <cellStyle name="Normal 10 2 2 2 3 2 2 2" xfId="2094"/>
    <cellStyle name="Normal 10 2 2 2 3 2 3" xfId="2095"/>
    <cellStyle name="Normal 10 2 2 2 3 3" xfId="2096"/>
    <cellStyle name="Normal 10 2 2 2 3 3 2" xfId="2097"/>
    <cellStyle name="Normal 10 2 2 2 3 4" xfId="2098"/>
    <cellStyle name="Normal 10 2 2 2 4" xfId="2099"/>
    <cellStyle name="Normal 10 2 2 2 4 2" xfId="2100"/>
    <cellStyle name="Normal 10 2 2 2 5" xfId="2101"/>
    <cellStyle name="Normal 10 2 2 3" xfId="561"/>
    <cellStyle name="Normal 10 2 2 3 2" xfId="2102"/>
    <cellStyle name="Normal 10 2 2 3 2 2" xfId="2103"/>
    <cellStyle name="Normal 10 2 2 3 2 2 2" xfId="2104"/>
    <cellStyle name="Normal 10 2 2 3 2 2 2 2" xfId="2105"/>
    <cellStyle name="Normal 10 2 2 3 2 2 3" xfId="2106"/>
    <cellStyle name="Normal 10 2 2 3 2 3" xfId="2107"/>
    <cellStyle name="Normal 10 2 2 3 2 3 2" xfId="2108"/>
    <cellStyle name="Normal 10 2 2 3 2 4" xfId="2109"/>
    <cellStyle name="Normal 10 2 2 3 3" xfId="2110"/>
    <cellStyle name="Normal 10 2 2 3 3 2" xfId="2111"/>
    <cellStyle name="Normal 10 2 2 3 4" xfId="2112"/>
    <cellStyle name="Normal 10 2 2 4" xfId="2113"/>
    <cellStyle name="Normal 10 2 2 4 2" xfId="2114"/>
    <cellStyle name="Normal 10 2 2 5" xfId="2115"/>
    <cellStyle name="Normal 10 2 3" xfId="562"/>
    <cellStyle name="Normal 10 2 3 2" xfId="563"/>
    <cellStyle name="Normal 10 2 3 2 2" xfId="2116"/>
    <cellStyle name="Normal 10 2 3 2 2 2" xfId="2117"/>
    <cellStyle name="Normal 10 2 3 2 3" xfId="2118"/>
    <cellStyle name="Normal 10 2 3 3" xfId="2119"/>
    <cellStyle name="Normal 10 2 3 3 2" xfId="2120"/>
    <cellStyle name="Normal 10 2 3 4" xfId="2121"/>
    <cellStyle name="Normal 10 2 4" xfId="564"/>
    <cellStyle name="Normal 10 2 4 2" xfId="565"/>
    <cellStyle name="Normal 10 2 4 2 2" xfId="2122"/>
    <cellStyle name="Normal 10 2 4 2 2 2" xfId="2123"/>
    <cellStyle name="Normal 10 2 4 2 3" xfId="2124"/>
    <cellStyle name="Normal 10 2 4 3" xfId="2125"/>
    <cellStyle name="Normal 10 2 4 3 2" xfId="2126"/>
    <cellStyle name="Normal 10 2 4 4" xfId="2127"/>
    <cellStyle name="Normal 10 2 5" xfId="566"/>
    <cellStyle name="Normal 10 2 5 2" xfId="2128"/>
    <cellStyle name="Normal 10 2 5 2 2" xfId="2129"/>
    <cellStyle name="Normal 10 2 5 2 2 2" xfId="2130"/>
    <cellStyle name="Normal 10 2 5 2 3" xfId="2131"/>
    <cellStyle name="Normal 10 2 5 3" xfId="2132"/>
    <cellStyle name="Normal 10 2 5 3 2" xfId="2133"/>
    <cellStyle name="Normal 10 2 5 4" xfId="2134"/>
    <cellStyle name="Normal 10 2 6" xfId="2135"/>
    <cellStyle name="Normal 10 2 6 2" xfId="2136"/>
    <cellStyle name="Normal 10 2 6 2 2" xfId="2137"/>
    <cellStyle name="Normal 10 2 6 2 2 2" xfId="2138"/>
    <cellStyle name="Normal 10 2 6 2 3" xfId="2139"/>
    <cellStyle name="Normal 10 2 6 3" xfId="2140"/>
    <cellStyle name="Normal 10 2 6 3 2" xfId="2141"/>
    <cellStyle name="Normal 10 2 6 4" xfId="2142"/>
    <cellStyle name="Normal 10 2 7" xfId="2143"/>
    <cellStyle name="Normal 10 2 7 2" xfId="2144"/>
    <cellStyle name="Normal 10 2 7 2 2" xfId="2145"/>
    <cellStyle name="Normal 10 2 7 2 2 2" xfId="2146"/>
    <cellStyle name="Normal 10 2 7 2 3" xfId="2147"/>
    <cellStyle name="Normal 10 2 7 3" xfId="2148"/>
    <cellStyle name="Normal 10 2 7 3 2" xfId="2149"/>
    <cellStyle name="Normal 10 2 7 4" xfId="2150"/>
    <cellStyle name="Normal 10 2 8" xfId="2151"/>
    <cellStyle name="Normal 10 2 8 2" xfId="2152"/>
    <cellStyle name="Normal 10 2 8 2 2" xfId="2153"/>
    <cellStyle name="Normal 10 2 8 3" xfId="2154"/>
    <cellStyle name="Normal 10 2 9" xfId="2155"/>
    <cellStyle name="Normal 10 2 9 2" xfId="2156"/>
    <cellStyle name="Normal 10 3" xfId="567"/>
    <cellStyle name="Normal 10 3 2" xfId="568"/>
    <cellStyle name="Normal 10 3 2 2" xfId="569"/>
    <cellStyle name="Normal 10 3 2 2 2" xfId="2157"/>
    <cellStyle name="Normal 10 3 2 3" xfId="2158"/>
    <cellStyle name="Normal 10 3 3" xfId="570"/>
    <cellStyle name="Normal 10 3 3 2" xfId="2159"/>
    <cellStyle name="Normal 10 3 4" xfId="2160"/>
    <cellStyle name="Normal 10 4" xfId="571"/>
    <cellStyle name="Normal 10 4 2" xfId="572"/>
    <cellStyle name="Normal 10 4 2 2" xfId="2161"/>
    <cellStyle name="Normal 10 4 2 2 2" xfId="2162"/>
    <cellStyle name="Normal 10 4 2 3" xfId="2163"/>
    <cellStyle name="Normal 10 4 3" xfId="2164"/>
    <cellStyle name="Normal 10 4 3 2" xfId="2165"/>
    <cellStyle name="Normal 10 4 3 2 2" xfId="2166"/>
    <cellStyle name="Normal 10 4 3 2 2 2" xfId="2167"/>
    <cellStyle name="Normal 10 4 3 2 2 2 2" xfId="2168"/>
    <cellStyle name="Normal 10 4 3 2 2 2 2 2" xfId="2169"/>
    <cellStyle name="Normal 10 4 3 2 2 2 3" xfId="2170"/>
    <cellStyle name="Normal 10 4 3 2 2 3" xfId="2171"/>
    <cellStyle name="Normal 10 4 3 2 2 3 2" xfId="2172"/>
    <cellStyle name="Normal 10 4 3 2 2 3 2 2" xfId="2173"/>
    <cellStyle name="Normal 10 4 3 2 2 3 3" xfId="2174"/>
    <cellStyle name="Normal 10 4 3 2 2 4" xfId="2175"/>
    <cellStyle name="Normal 10 4 3 2 2 4 2" xfId="2176"/>
    <cellStyle name="Normal 10 4 3 2 2 4 2 2" xfId="2177"/>
    <cellStyle name="Normal 10 4 3 2 2 4 3" xfId="2178"/>
    <cellStyle name="Normal 10 4 3 2 2 5" xfId="2179"/>
    <cellStyle name="Normal 10 4 3 2 2 5 2" xfId="2180"/>
    <cellStyle name="Normal 10 4 3 2 2 6" xfId="2181"/>
    <cellStyle name="Normal 10 4 3 2 2 6 2" xfId="2182"/>
    <cellStyle name="Normal 10 4 3 2 3" xfId="2183"/>
    <cellStyle name="Normal 10 4 3 2 3 2" xfId="2184"/>
    <cellStyle name="Normal 10 4 3 2 4" xfId="2185"/>
    <cellStyle name="Normal 10 4 3 3" xfId="2186"/>
    <cellStyle name="Normal 10 4 3 3 2" xfId="2187"/>
    <cellStyle name="Normal 10 4 3 4" xfId="2188"/>
    <cellStyle name="Normal 10 4 4" xfId="2189"/>
    <cellStyle name="Normal 10 4 4 2" xfId="2190"/>
    <cellStyle name="Normal 10 4 5" xfId="2191"/>
    <cellStyle name="Normal 10 5" xfId="573"/>
    <cellStyle name="Normal 10 5 2" xfId="574"/>
    <cellStyle name="Normal 10 5 2 2" xfId="2192"/>
    <cellStyle name="Normal 10 5 2 2 2" xfId="2193"/>
    <cellStyle name="Normal 10 5 2 3" xfId="2194"/>
    <cellStyle name="Normal 10 5 3" xfId="2195"/>
    <cellStyle name="Normal 10 5 3 2" xfId="2196"/>
    <cellStyle name="Normal 10 5 4" xfId="2197"/>
    <cellStyle name="Normal 10 6" xfId="575"/>
    <cellStyle name="Normal 10 6 2" xfId="2198"/>
    <cellStyle name="Normal 10 6 2 2" xfId="2199"/>
    <cellStyle name="Normal 10 6 2 2 2" xfId="2200"/>
    <cellStyle name="Normal 10 6 2 3" xfId="2201"/>
    <cellStyle name="Normal 10 6 3" xfId="2202"/>
    <cellStyle name="Normal 10 6 3 2" xfId="2203"/>
    <cellStyle name="Normal 10 6 4" xfId="2204"/>
    <cellStyle name="Normal 10 7" xfId="576"/>
    <cellStyle name="Normal 10 7 2" xfId="2205"/>
    <cellStyle name="Normal 10 7 2 2" xfId="2206"/>
    <cellStyle name="Normal 10 7 2 2 2" xfId="2207"/>
    <cellStyle name="Normal 10 7 2 3" xfId="2208"/>
    <cellStyle name="Normal 10 7 3" xfId="2209"/>
    <cellStyle name="Normal 10 7 3 2" xfId="2210"/>
    <cellStyle name="Normal 10 7 4" xfId="2211"/>
    <cellStyle name="Normal 10 8" xfId="2212"/>
    <cellStyle name="Normal 10 8 2" xfId="2213"/>
    <cellStyle name="Normal 10 8 2 2" xfId="2214"/>
    <cellStyle name="Normal 10 8 2 2 2" xfId="2215"/>
    <cellStyle name="Normal 10 8 2 3" xfId="2216"/>
    <cellStyle name="Normal 10 8 3" xfId="2217"/>
    <cellStyle name="Normal 10 8 3 2" xfId="2218"/>
    <cellStyle name="Normal 10 8 4" xfId="2219"/>
    <cellStyle name="Normal 10 9" xfId="2220"/>
    <cellStyle name="Normal 10 9 2" xfId="2221"/>
    <cellStyle name="Normal 10 9 2 2" xfId="2222"/>
    <cellStyle name="Normal 10 9 3" xfId="2223"/>
    <cellStyle name="Normal 10_ARTURO SSMC110113xls" xfId="2224"/>
    <cellStyle name="Normal 100" xfId="2225"/>
    <cellStyle name="Normal 101" xfId="2226"/>
    <cellStyle name="Normal 102" xfId="2227"/>
    <cellStyle name="Normal 103" xfId="2228"/>
    <cellStyle name="Normal 104" xfId="2229"/>
    <cellStyle name="Normal 105" xfId="2230"/>
    <cellStyle name="Normal 106" xfId="2231"/>
    <cellStyle name="Normal 107" xfId="2232"/>
    <cellStyle name="Normal 108" xfId="2233"/>
    <cellStyle name="Normal 109" xfId="2234"/>
    <cellStyle name="Normal 11" xfId="144"/>
    <cellStyle name="Normal 11 2" xfId="577"/>
    <cellStyle name="Normal 11 2 2" xfId="578"/>
    <cellStyle name="Normal 11 2 2 2" xfId="579"/>
    <cellStyle name="Normal 11 2 2 2 2" xfId="2235"/>
    <cellStyle name="Normal 11 2 2 3" xfId="2236"/>
    <cellStyle name="Normal 11 2 3" xfId="580"/>
    <cellStyle name="Normal 11 2 3 2" xfId="2237"/>
    <cellStyle name="Normal 11 2 4" xfId="2238"/>
    <cellStyle name="Normal 11 3" xfId="581"/>
    <cellStyle name="Normal 11 3 2" xfId="582"/>
    <cellStyle name="Normal 11 4" xfId="583"/>
    <cellStyle name="Normal 11 5" xfId="584"/>
    <cellStyle name="Normal 11_Evolución de becas SEP-UAM-PRONABES" xfId="2239"/>
    <cellStyle name="Normal 110" xfId="2240"/>
    <cellStyle name="Normal 111" xfId="2241"/>
    <cellStyle name="Normal 112" xfId="2242"/>
    <cellStyle name="Normal 113" xfId="2243"/>
    <cellStyle name="Normal 114" xfId="2244"/>
    <cellStyle name="Normal 115" xfId="2245"/>
    <cellStyle name="Normal 116" xfId="2246"/>
    <cellStyle name="Normal 117" xfId="2247"/>
    <cellStyle name="Normal 118" xfId="2248"/>
    <cellStyle name="Normal 119" xfId="2249"/>
    <cellStyle name="Normal 12" xfId="145"/>
    <cellStyle name="Normal 12 2" xfId="585"/>
    <cellStyle name="Normal 12 2 2" xfId="586"/>
    <cellStyle name="Normal 12 2 2 2" xfId="587"/>
    <cellStyle name="Normal 12 2 3" xfId="588"/>
    <cellStyle name="Normal 12 3" xfId="589"/>
    <cellStyle name="Normal 12 3 2" xfId="590"/>
    <cellStyle name="Normal 12 4" xfId="591"/>
    <cellStyle name="Normal 12 5" xfId="592"/>
    <cellStyle name="Normal 120" xfId="2250"/>
    <cellStyle name="Normal 121" xfId="2251"/>
    <cellStyle name="Normal 122" xfId="2252"/>
    <cellStyle name="Normal 123" xfId="2253"/>
    <cellStyle name="Normal 124" xfId="2254"/>
    <cellStyle name="Normal 125" xfId="2255"/>
    <cellStyle name="Normal 13" xfId="146"/>
    <cellStyle name="Normal 13 2" xfId="211"/>
    <cellStyle name="Normal 13 2 2" xfId="593"/>
    <cellStyle name="Normal 13 2 3" xfId="594"/>
    <cellStyle name="Normal 13 3" xfId="595"/>
    <cellStyle name="Normal 13 4" xfId="596"/>
    <cellStyle name="Normal 13_Evolución de becas SEP-UAM-PRONABES" xfId="2256"/>
    <cellStyle name="Normal 131" xfId="3781"/>
    <cellStyle name="Normal 134" xfId="3808"/>
    <cellStyle name="Normal 136" xfId="3779"/>
    <cellStyle name="Normal 14" xfId="209"/>
    <cellStyle name="Normal 14 2" xfId="227"/>
    <cellStyle name="Normal 14 2 2" xfId="597"/>
    <cellStyle name="Normal 14 2 3" xfId="598"/>
    <cellStyle name="Normal 14 3" xfId="599"/>
    <cellStyle name="Normal 14 4" xfId="600"/>
    <cellStyle name="Normal 14 4 2" xfId="601"/>
    <cellStyle name="Normal 14 4 2 2" xfId="602"/>
    <cellStyle name="Normal 14 4 3" xfId="603"/>
    <cellStyle name="Normal 14 5" xfId="604"/>
    <cellStyle name="Normal 14 6" xfId="2257"/>
    <cellStyle name="Normal 15" xfId="234"/>
    <cellStyle name="Normal 15 2" xfId="246"/>
    <cellStyle name="Normal 15 2 2" xfId="605"/>
    <cellStyle name="Normal 15 2 2 2" xfId="2258"/>
    <cellStyle name="Normal 15 2 2 2 2" xfId="2259"/>
    <cellStyle name="Normal 15 2 2 2 2 2" xfId="2260"/>
    <cellStyle name="Normal 15 2 2 2 3" xfId="2261"/>
    <cellStyle name="Normal 15 2 2 3" xfId="2262"/>
    <cellStyle name="Normal 15 2 2 3 2" xfId="2263"/>
    <cellStyle name="Normal 15 2 2 3 2 2" xfId="2264"/>
    <cellStyle name="Normal 15 2 2 3 2 2 2" xfId="2265"/>
    <cellStyle name="Normal 15 2 2 3 2 3" xfId="2266"/>
    <cellStyle name="Normal 15 2 2 3 3" xfId="2267"/>
    <cellStyle name="Normal 15 2 2 3 3 2" xfId="2268"/>
    <cellStyle name="Normal 15 2 2 3 4" xfId="2269"/>
    <cellStyle name="Normal 15 2 2 4" xfId="2270"/>
    <cellStyle name="Normal 15 2 2 4 2" xfId="2271"/>
    <cellStyle name="Normal 15 2 2 4 2 2" xfId="2272"/>
    <cellStyle name="Normal 15 2 2 4 3" xfId="2273"/>
    <cellStyle name="Normal 15 2 2 5" xfId="2274"/>
    <cellStyle name="Normal 15 2 2 5 2" xfId="2275"/>
    <cellStyle name="Normal 15 2 2 6" xfId="2276"/>
    <cellStyle name="Normal 15 2 3" xfId="2277"/>
    <cellStyle name="Normal 15 2 3 2" xfId="2278"/>
    <cellStyle name="Normal 15 2 3 2 2" xfId="2279"/>
    <cellStyle name="Normal 15 2 3 2 2 2" xfId="2280"/>
    <cellStyle name="Normal 15 2 3 2 2 2 2" xfId="2281"/>
    <cellStyle name="Normal 15 2 3 2 2 2 2 2" xfId="2282"/>
    <cellStyle name="Normal 15 2 3 2 2 2 3" xfId="2283"/>
    <cellStyle name="Normal 15 2 3 2 2 3" xfId="2284"/>
    <cellStyle name="Normal 15 2 3 2 2 3 2" xfId="2285"/>
    <cellStyle name="Normal 15 2 3 2 2 3 2 2" xfId="2286"/>
    <cellStyle name="Normal 15 2 3 2 2 3 3" xfId="2287"/>
    <cellStyle name="Normal 15 2 3 2 2 4" xfId="2288"/>
    <cellStyle name="Normal 15 2 3 2 2 4 2" xfId="2289"/>
    <cellStyle name="Normal 15 2 3 2 2 4 2 2" xfId="2290"/>
    <cellStyle name="Normal 15 2 3 2 2 4 3" xfId="2291"/>
    <cellStyle name="Normal 15 2 3 2 2 5" xfId="2292"/>
    <cellStyle name="Normal 15 2 3 2 2 5 2" xfId="2293"/>
    <cellStyle name="Normal 15 2 3 2 2 6" xfId="2294"/>
    <cellStyle name="Normal 15 2 3 2 3" xfId="2295"/>
    <cellStyle name="Normal 15 2 3 2 3 2" xfId="2296"/>
    <cellStyle name="Normal 15 2 3 2 4" xfId="2297"/>
    <cellStyle name="Normal 15 2 3 3" xfId="2298"/>
    <cellStyle name="Normal 15 2 3 3 2" xfId="2299"/>
    <cellStyle name="Normal 15 2 3 4" xfId="2300"/>
    <cellStyle name="Normal 15 2 4" xfId="2301"/>
    <cellStyle name="Normal 15 2 4 2" xfId="2302"/>
    <cellStyle name="Normal 15 2 5" xfId="2303"/>
    <cellStyle name="Normal 15 3" xfId="2304"/>
    <cellStyle name="Normal 15 4" xfId="2305"/>
    <cellStyle name="Normal 15 5" xfId="2306"/>
    <cellStyle name="Normal 15_Evolución de becas SEP-UAM-PRONABES" xfId="2307"/>
    <cellStyle name="Normal 16" xfId="236"/>
    <cellStyle name="Normal 16 2" xfId="247"/>
    <cellStyle name="Normal 16 2 2" xfId="606"/>
    <cellStyle name="Normal 16_Evolución de becas SEP-UAM-PRONABES" xfId="2308"/>
    <cellStyle name="Normal 17" xfId="444"/>
    <cellStyle name="Normal 17 2" xfId="607"/>
    <cellStyle name="Normal 17 3" xfId="822"/>
    <cellStyle name="Normal 17_Evolución de becas SEP-UAM-PRONABES" xfId="2309"/>
    <cellStyle name="Normal 18" xfId="608"/>
    <cellStyle name="Normal 18 2" xfId="609"/>
    <cellStyle name="Normal 18 3" xfId="3782"/>
    <cellStyle name="Normal 18_Evolución de becas SEP-UAM-PRONABES" xfId="2310"/>
    <cellStyle name="Normal 19" xfId="445"/>
    <cellStyle name="Normal 19 2" xfId="610"/>
    <cellStyle name="Normal 19 2 2" xfId="2311"/>
    <cellStyle name="Normal 19 3" xfId="2312"/>
    <cellStyle name="Normal 19 4" xfId="2313"/>
    <cellStyle name="Normal 2" xfId="147"/>
    <cellStyle name="Normal 2 2" xfId="148"/>
    <cellStyle name="Normal 2 2 2" xfId="149"/>
    <cellStyle name="Normal 2 2 3" xfId="2314"/>
    <cellStyle name="Normal 2 2_Evolución de becas SEP-UAM-PRONABES" xfId="2315"/>
    <cellStyle name="Normal 2 3" xfId="611"/>
    <cellStyle name="Normal 2 3 2" xfId="612"/>
    <cellStyle name="Normal 2 3 3" xfId="2316"/>
    <cellStyle name="Normal 2 3_Evolución de becas SEP-UAM-PRONABES" xfId="2317"/>
    <cellStyle name="Normal 2 4" xfId="800"/>
    <cellStyle name="Normal 2 4 2" xfId="2318"/>
    <cellStyle name="Normal 2 4 2 2" xfId="2319"/>
    <cellStyle name="Normal 2 4 2 2 2" xfId="2320"/>
    <cellStyle name="Normal 2 4 2 3" xfId="2321"/>
    <cellStyle name="Normal 2 4 3" xfId="2322"/>
    <cellStyle name="Normal 2 4 3 2" xfId="2323"/>
    <cellStyle name="Normal 2 4 3 2 2" xfId="2324"/>
    <cellStyle name="Normal 2 4 3 3" xfId="2325"/>
    <cellStyle name="Normal 2 4 4" xfId="2326"/>
    <cellStyle name="Normal 2 4 4 2" xfId="2327"/>
    <cellStyle name="Normal 2 4 4 2 2" xfId="2328"/>
    <cellStyle name="Normal 2 4 4 3" xfId="2329"/>
    <cellStyle name="Normal 2 4 5" xfId="2330"/>
    <cellStyle name="Normal 2 4 5 2" xfId="2331"/>
    <cellStyle name="Normal 2 4 5 2 2" xfId="2332"/>
    <cellStyle name="Normal 2 4 5 2 2 2" xfId="2333"/>
    <cellStyle name="Normal 2 4 5 2 3" xfId="2334"/>
    <cellStyle name="Normal 2 4 5 3" xfId="2335"/>
    <cellStyle name="Normal 2 4 5 3 2" xfId="2336"/>
    <cellStyle name="Normal 2 4 5 4" xfId="2337"/>
    <cellStyle name="Normal 2 4 5 5" xfId="2338"/>
    <cellStyle name="Normal 2 4 6" xfId="2339"/>
    <cellStyle name="Normal 2 4 6 2" xfId="2340"/>
    <cellStyle name="Normal 2 4 7" xfId="2341"/>
    <cellStyle name="Normal 2 6" xfId="3780"/>
    <cellStyle name="Normal 2_BASE_POSTULADOS_NOPOSTULADOS_G08_020211(2)" xfId="2342"/>
    <cellStyle name="Normal 20" xfId="435"/>
    <cellStyle name="Normal 20 2" xfId="613"/>
    <cellStyle name="Normal 21" xfId="436"/>
    <cellStyle name="Normal 21 2" xfId="437"/>
    <cellStyle name="Normal 22" xfId="614"/>
    <cellStyle name="Normal 22 2" xfId="615"/>
    <cellStyle name="Normal 23" xfId="616"/>
    <cellStyle name="Normal 23 2" xfId="617"/>
    <cellStyle name="Normal 23 2 2" xfId="2343"/>
    <cellStyle name="Normal 23 3" xfId="2344"/>
    <cellStyle name="Normal 24" xfId="618"/>
    <cellStyle name="Normal 24 2" xfId="619"/>
    <cellStyle name="Normal 25" xfId="620"/>
    <cellStyle name="Normal 25 2" xfId="621"/>
    <cellStyle name="Normal 26" xfId="446"/>
    <cellStyle name="Normal 26 10" xfId="2345"/>
    <cellStyle name="Normal 26 11" xfId="2346"/>
    <cellStyle name="Normal 26 12" xfId="2347"/>
    <cellStyle name="Normal 26 2" xfId="622"/>
    <cellStyle name="Normal 26 2 2" xfId="2348"/>
    <cellStyle name="Normal 26 2 2 2" xfId="2349"/>
    <cellStyle name="Normal 26 2 2 2 2" xfId="2350"/>
    <cellStyle name="Normal 26 2 2 2 2 2" xfId="2351"/>
    <cellStyle name="Normal 26 2 2 2 3" xfId="2352"/>
    <cellStyle name="Normal 26 2 2 3" xfId="2353"/>
    <cellStyle name="Normal 26 2 2 3 2" xfId="2354"/>
    <cellStyle name="Normal 26 2 2 3 2 2" xfId="2355"/>
    <cellStyle name="Normal 26 2 2 3 3" xfId="2356"/>
    <cellStyle name="Normal 26 2 2 4" xfId="2357"/>
    <cellStyle name="Normal 26 2 2 4 2" xfId="2358"/>
    <cellStyle name="Normal 26 2 2 4 2 2" xfId="2359"/>
    <cellStyle name="Normal 26 2 2 4 3" xfId="2360"/>
    <cellStyle name="Normal 26 2 2 5" xfId="2361"/>
    <cellStyle name="Normal 26 2 2 5 2" xfId="2362"/>
    <cellStyle name="Normal 26 2 2 6" xfId="431"/>
    <cellStyle name="Normal 26 2 2 6 2" xfId="623"/>
    <cellStyle name="Normal 26 2 3" xfId="2363"/>
    <cellStyle name="Normal 26 2 3 2" xfId="2364"/>
    <cellStyle name="Normal 26 2 4" xfId="2365"/>
    <cellStyle name="Normal 26 3" xfId="2366"/>
    <cellStyle name="Normal 26 3 2" xfId="2367"/>
    <cellStyle name="Normal 26 3 2 2" xfId="2368"/>
    <cellStyle name="Normal 26 3 3" xfId="2369"/>
    <cellStyle name="Normal 26 4" xfId="2370"/>
    <cellStyle name="Normal 26 4 2" xfId="2371"/>
    <cellStyle name="Normal 26 4 2 2" xfId="2372"/>
    <cellStyle name="Normal 26 4 3" xfId="2373"/>
    <cellStyle name="Normal 26 5" xfId="2374"/>
    <cellStyle name="Normal 26 5 2" xfId="2375"/>
    <cellStyle name="Normal 26 5 2 2" xfId="2376"/>
    <cellStyle name="Normal 26 5 3" xfId="2377"/>
    <cellStyle name="Normal 26 6" xfId="2378"/>
    <cellStyle name="Normal 26 6 2" xfId="2379"/>
    <cellStyle name="Normal 26 6 2 2" xfId="2380"/>
    <cellStyle name="Normal 26 6 3" xfId="2381"/>
    <cellStyle name="Normal 26 7" xfId="2382"/>
    <cellStyle name="Normal 26 7 2" xfId="2383"/>
    <cellStyle name="Normal 26 7 2 2" xfId="2384"/>
    <cellStyle name="Normal 26 7 2 2 2" xfId="2385"/>
    <cellStyle name="Normal 26 7 2 3" xfId="2386"/>
    <cellStyle name="Normal 26 7 3" xfId="2387"/>
    <cellStyle name="Normal 26 7 3 2" xfId="2388"/>
    <cellStyle name="Normal 26 7 4" xfId="2389"/>
    <cellStyle name="Normal 26 8" xfId="2390"/>
    <cellStyle name="Normal 26 8 2" xfId="2391"/>
    <cellStyle name="Normal 26 8 2 2" xfId="2392"/>
    <cellStyle name="Normal 26 8 3" xfId="2393"/>
    <cellStyle name="Normal 26 8 3 2" xfId="2394"/>
    <cellStyle name="Normal 26 9" xfId="2395"/>
    <cellStyle name="Normal 26 9 2" xfId="2396"/>
    <cellStyle name="Normal 27" xfId="624"/>
    <cellStyle name="Normal 27 2" xfId="625"/>
    <cellStyle name="Normal 28" xfId="626"/>
    <cellStyle name="Normal 28 2" xfId="627"/>
    <cellStyle name="Normal 29" xfId="628"/>
    <cellStyle name="Normal 29 2" xfId="629"/>
    <cellStyle name="Normal 29 2 2" xfId="630"/>
    <cellStyle name="Normal 29 2 2 2" xfId="2397"/>
    <cellStyle name="Normal 29 2 2 2 2" xfId="2398"/>
    <cellStyle name="Normal 29 2 2 2 2 2" xfId="2399"/>
    <cellStyle name="Normal 29 2 2 2 3" xfId="2400"/>
    <cellStyle name="Normal 29 2 2 3" xfId="2401"/>
    <cellStyle name="Normal 29 2 2 3 2" xfId="2402"/>
    <cellStyle name="Normal 29 2 2 3 2 2" xfId="2403"/>
    <cellStyle name="Normal 29 2 2 3 3" xfId="2404"/>
    <cellStyle name="Normal 29 2 2 4" xfId="2405"/>
    <cellStyle name="Normal 29 2 2 4 2" xfId="2406"/>
    <cellStyle name="Normal 29 2 2 4 2 2" xfId="2407"/>
    <cellStyle name="Normal 29 2 2 4 3" xfId="2408"/>
    <cellStyle name="Normal 29 2 2 5" xfId="2409"/>
    <cellStyle name="Normal 29 2 2 5 2" xfId="2410"/>
    <cellStyle name="Normal 29 2 2 6" xfId="2411"/>
    <cellStyle name="Normal 29 2 2 7" xfId="2412"/>
    <cellStyle name="Normal 29 2 3" xfId="2413"/>
    <cellStyle name="Normal 29 2 3 2" xfId="2414"/>
    <cellStyle name="Normal 29 2 4" xfId="2415"/>
    <cellStyle name="Normal 29 3" xfId="631"/>
    <cellStyle name="Normal 29 3 2" xfId="2416"/>
    <cellStyle name="Normal 29 4" xfId="2417"/>
    <cellStyle name="Normal 3" xfId="150"/>
    <cellStyle name="Normal 3 10" xfId="2418"/>
    <cellStyle name="Normal 3 11" xfId="2419"/>
    <cellStyle name="Normal 3 12" xfId="2420"/>
    <cellStyle name="Normal 3 12 2" xfId="2421"/>
    <cellStyle name="Normal 3 12 2 2" xfId="2422"/>
    <cellStyle name="Normal 3 12 2 2 2" xfId="2423"/>
    <cellStyle name="Normal 3 12 2 3" xfId="2424"/>
    <cellStyle name="Normal 3 12 3" xfId="2425"/>
    <cellStyle name="Normal 3 12 3 2" xfId="2426"/>
    <cellStyle name="Normal 3 12 3 2 2" xfId="2427"/>
    <cellStyle name="Normal 3 12 3 3" xfId="2428"/>
    <cellStyle name="Normal 3 12 4" xfId="2429"/>
    <cellStyle name="Normal 3 12 4 2" xfId="2430"/>
    <cellStyle name="Normal 3 12 4 2 2" xfId="2431"/>
    <cellStyle name="Normal 3 12 4 2 2 2" xfId="2432"/>
    <cellStyle name="Normal 3 12 4 2 3" xfId="2433"/>
    <cellStyle name="Normal 3 12 4 3" xfId="2434"/>
    <cellStyle name="Normal 3 12 4 3 2" xfId="2435"/>
    <cellStyle name="Normal 3 12 4 3 2 2" xfId="2436"/>
    <cellStyle name="Normal 3 12 4 3 3" xfId="2437"/>
    <cellStyle name="Normal 3 12 4 4" xfId="2438"/>
    <cellStyle name="Normal 3 12 4 4 2" xfId="2439"/>
    <cellStyle name="Normal 3 12 4 4 2 2" xfId="2440"/>
    <cellStyle name="Normal 3 12 4 4 3" xfId="2441"/>
    <cellStyle name="Normal 3 12 4 5" xfId="2442"/>
    <cellStyle name="Normal 3 12 4 5 2" xfId="2443"/>
    <cellStyle name="Normal 3 12 4 6" xfId="2444"/>
    <cellStyle name="Normal 3 12 5" xfId="2445"/>
    <cellStyle name="Normal 3 12 5 2" xfId="2446"/>
    <cellStyle name="Normal 3 12 6" xfId="2447"/>
    <cellStyle name="Normal 3 13" xfId="2448"/>
    <cellStyle name="Normal 3 14" xfId="2449"/>
    <cellStyle name="Normal 3 15" xfId="2450"/>
    <cellStyle name="Normal 3 15 2" xfId="2451"/>
    <cellStyle name="Normal 3 15 2 2" xfId="2452"/>
    <cellStyle name="Normal 3 15 3" xfId="2453"/>
    <cellStyle name="Normal 3 16" xfId="2454"/>
    <cellStyle name="Normal 3 17" xfId="2455"/>
    <cellStyle name="Normal 3 18" xfId="2456"/>
    <cellStyle name="Normal 3 18 2" xfId="2457"/>
    <cellStyle name="Normal 3 19" xfId="2458"/>
    <cellStyle name="Normal 3 2" xfId="151"/>
    <cellStyle name="Normal 3 2 2" xfId="152"/>
    <cellStyle name="Normal 3 2 2 2" xfId="2459"/>
    <cellStyle name="Normal 3 2 2 2 2" xfId="2460"/>
    <cellStyle name="Normal 3 2 2 3" xfId="2461"/>
    <cellStyle name="Normal 3 2 3" xfId="816"/>
    <cellStyle name="Normal 3 2 3 2" xfId="2462"/>
    <cellStyle name="Normal 3 2 4" xfId="2463"/>
    <cellStyle name="Normal 3 2_ARTURO SSMC110113xls" xfId="2464"/>
    <cellStyle name="Normal 3 3" xfId="153"/>
    <cellStyle name="Normal 3 3 2" xfId="154"/>
    <cellStyle name="Normal 3 3 2 2" xfId="2465"/>
    <cellStyle name="Normal 3 3 2 2 2" xfId="2466"/>
    <cellStyle name="Normal 3 3 2 3" xfId="2467"/>
    <cellStyle name="Normal 3 3 3" xfId="2468"/>
    <cellStyle name="Normal 3 3 3 2" xfId="2469"/>
    <cellStyle name="Normal 3 3 4" xfId="2470"/>
    <cellStyle name="Normal 3 3_ARTURO SSMC110113xls" xfId="2471"/>
    <cellStyle name="Normal 3 4" xfId="155"/>
    <cellStyle name="Normal 3 4 2" xfId="2472"/>
    <cellStyle name="Normal 3 4 2 2" xfId="2473"/>
    <cellStyle name="Normal 3 4 3" xfId="2474"/>
    <cellStyle name="Normal 3 5" xfId="218"/>
    <cellStyle name="Normal 3 5 2" xfId="2475"/>
    <cellStyle name="Normal 3 5 2 2" xfId="2476"/>
    <cellStyle name="Normal 3 5 3" xfId="2477"/>
    <cellStyle name="Normal 3 6" xfId="382"/>
    <cellStyle name="Normal 3 6 2" xfId="632"/>
    <cellStyle name="Normal 3 6 2 2" xfId="2478"/>
    <cellStyle name="Normal 3 6 2 2 2" xfId="2479"/>
    <cellStyle name="Normal 3 6 2 3" xfId="2480"/>
    <cellStyle name="Normal 3 7" xfId="2481"/>
    <cellStyle name="Normal 3 7 2" xfId="2482"/>
    <cellStyle name="Normal 3 7 2 2" xfId="2483"/>
    <cellStyle name="Normal 3 7 2 2 2" xfId="2484"/>
    <cellStyle name="Normal 3 7 2 3" xfId="2485"/>
    <cellStyle name="Normal 3 7 3" xfId="2486"/>
    <cellStyle name="Normal 3 7 3 2" xfId="2487"/>
    <cellStyle name="Normal 3 7 4" xfId="2488"/>
    <cellStyle name="Normal 3 8" xfId="2489"/>
    <cellStyle name="Normal 3 9" xfId="2490"/>
    <cellStyle name="Normal 3_ARTURO SSMC110113xls" xfId="2491"/>
    <cellStyle name="Normal 30" xfId="633"/>
    <cellStyle name="Normal 30 2" xfId="634"/>
    <cellStyle name="Normal 30 2 2" xfId="2492"/>
    <cellStyle name="Normal 30 2 2 2" xfId="2493"/>
    <cellStyle name="Normal 30 2 2 2 2" xfId="2494"/>
    <cellStyle name="Normal 30 2 2 2 2 2" xfId="2495"/>
    <cellStyle name="Normal 30 2 2 2 3" xfId="2496"/>
    <cellStyle name="Normal 30 2 2 3" xfId="2497"/>
    <cellStyle name="Normal 30 2 2 3 2" xfId="2498"/>
    <cellStyle name="Normal 30 2 2 3 2 2" xfId="2499"/>
    <cellStyle name="Normal 30 2 2 3 3" xfId="2500"/>
    <cellStyle name="Normal 30 2 2 4" xfId="2501"/>
    <cellStyle name="Normal 30 2 2 4 2" xfId="2502"/>
    <cellStyle name="Normal 30 2 2 4 2 2" xfId="2503"/>
    <cellStyle name="Normal 30 2 2 4 3" xfId="2504"/>
    <cellStyle name="Normal 30 2 2 5" xfId="2505"/>
    <cellStyle name="Normal 30 2 2 5 2" xfId="2506"/>
    <cellStyle name="Normal 30 2 2 6" xfId="2507"/>
    <cellStyle name="Normal 30 2 2 7" xfId="2508"/>
    <cellStyle name="Normal 30 2 3" xfId="2509"/>
    <cellStyle name="Normal 30 2 3 2" xfId="2510"/>
    <cellStyle name="Normal 30 2 4" xfId="2511"/>
    <cellStyle name="Normal 30 3" xfId="2512"/>
    <cellStyle name="Normal 30 3 2" xfId="2513"/>
    <cellStyle name="Normal 30 4" xfId="2514"/>
    <cellStyle name="Normal 31" xfId="635"/>
    <cellStyle name="Normal 31 2" xfId="636"/>
    <cellStyle name="Normal 32" xfId="637"/>
    <cellStyle name="Normal 32 2" xfId="2515"/>
    <cellStyle name="Normal 32 2 2" xfId="2516"/>
    <cellStyle name="Normal 32 2 2 2" xfId="2517"/>
    <cellStyle name="Normal 32 2 2 2 2" xfId="2518"/>
    <cellStyle name="Normal 32 2 2 2 2 2" xfId="2519"/>
    <cellStyle name="Normal 32 2 2 2 2 2 2" xfId="2520"/>
    <cellStyle name="Normal 32 2 2 2 2 3" xfId="2521"/>
    <cellStyle name="Normal 32 2 2 2 3" xfId="2522"/>
    <cellStyle name="Normal 32 2 2 2 3 2" xfId="2523"/>
    <cellStyle name="Normal 32 2 2 2 3 2 2" xfId="2524"/>
    <cellStyle name="Normal 32 2 2 2 3 3" xfId="2525"/>
    <cellStyle name="Normal 32 2 2 2 4" xfId="2526"/>
    <cellStyle name="Normal 32 2 2 2 4 2" xfId="2527"/>
    <cellStyle name="Normal 32 2 2 2 4 2 2" xfId="2528"/>
    <cellStyle name="Normal 32 2 2 2 4 3" xfId="2529"/>
    <cellStyle name="Normal 32 2 2 2 5" xfId="2530"/>
    <cellStyle name="Normal 32 2 2 2 5 2" xfId="2531"/>
    <cellStyle name="Normal 32 2 2 2 6" xfId="2532"/>
    <cellStyle name="Normal 32 2 2 2 7" xfId="2533"/>
    <cellStyle name="Normal 32 2 2 3" xfId="2534"/>
    <cellStyle name="Normal 32 2 2 3 2" xfId="2535"/>
    <cellStyle name="Normal 32 2 2 4" xfId="2536"/>
    <cellStyle name="Normal 32 2 3" xfId="2537"/>
    <cellStyle name="Normal 32 2 3 2" xfId="2538"/>
    <cellStyle name="Normal 32 2 4" xfId="2539"/>
    <cellStyle name="Normal 32 3" xfId="2540"/>
    <cellStyle name="Normal 32 3 2" xfId="2541"/>
    <cellStyle name="Normal 32 4" xfId="2542"/>
    <cellStyle name="Normal 33" xfId="638"/>
    <cellStyle name="Normal 33 2" xfId="2543"/>
    <cellStyle name="Normal 33 2 2" xfId="2544"/>
    <cellStyle name="Normal 33 2 2 2" xfId="2545"/>
    <cellStyle name="Normal 33 2 2 2 2" xfId="2546"/>
    <cellStyle name="Normal 33 2 2 2 2 2" xfId="2547"/>
    <cellStyle name="Normal 33 2 2 2 3" xfId="2548"/>
    <cellStyle name="Normal 33 2 2 3" xfId="2549"/>
    <cellStyle name="Normal 33 2 2 3 2" xfId="2550"/>
    <cellStyle name="Normal 33 2 2 3 2 2" xfId="2551"/>
    <cellStyle name="Normal 33 2 2 3 3" xfId="2552"/>
    <cellStyle name="Normal 33 2 2 4" xfId="2553"/>
    <cellStyle name="Normal 33 2 2 4 2" xfId="2554"/>
    <cellStyle name="Normal 33 2 2 4 2 2" xfId="2555"/>
    <cellStyle name="Normal 33 2 2 4 3" xfId="2556"/>
    <cellStyle name="Normal 33 2 2 5" xfId="2557"/>
    <cellStyle name="Normal 33 2 2 5 2" xfId="2558"/>
    <cellStyle name="Normal 33 2 2 6" xfId="2559"/>
    <cellStyle name="Normal 33 2 2 6 2" xfId="2560"/>
    <cellStyle name="Normal 33 2 2 6 2 2" xfId="2561"/>
    <cellStyle name="Normal 33 2 2 7" xfId="2562"/>
    <cellStyle name="Normal 33 2 3" xfId="2563"/>
    <cellStyle name="Normal 33 2 3 2" xfId="2564"/>
    <cellStyle name="Normal 33 2 4" xfId="2565"/>
    <cellStyle name="Normal 33 3" xfId="2566"/>
    <cellStyle name="Normal 33 3 2" xfId="2567"/>
    <cellStyle name="Normal 33 4" xfId="2568"/>
    <cellStyle name="Normal 34" xfId="639"/>
    <cellStyle name="Normal 34 2" xfId="2569"/>
    <cellStyle name="Normal 34 2 2" xfId="2570"/>
    <cellStyle name="Normal 34 2 2 2" xfId="2571"/>
    <cellStyle name="Normal 34 2 2 2 2" xfId="2572"/>
    <cellStyle name="Normal 34 2 2 3" xfId="2573"/>
    <cellStyle name="Normal 34 2 3" xfId="2574"/>
    <cellStyle name="Normal 34 2 3 10" xfId="2575"/>
    <cellStyle name="Normal 34 2 3 2" xfId="2576"/>
    <cellStyle name="Normal 34 2 3 2 2" xfId="2577"/>
    <cellStyle name="Normal 34 2 3 2 2 2" xfId="2578"/>
    <cellStyle name="Normal 34 2 3 2 3" xfId="2579"/>
    <cellStyle name="Normal 34 2 3 3" xfId="2580"/>
    <cellStyle name="Normal 34 2 3 3 2" xfId="2581"/>
    <cellStyle name="Normal 34 2 3 3 2 2" xfId="2582"/>
    <cellStyle name="Normal 34 2 3 3 3" xfId="2583"/>
    <cellStyle name="Normal 34 2 3 4" xfId="2584"/>
    <cellStyle name="Normal 34 2 3 4 2" xfId="2585"/>
    <cellStyle name="Normal 34 2 3 4 2 2" xfId="2586"/>
    <cellStyle name="Normal 34 2 3 4 3" xfId="2587"/>
    <cellStyle name="Normal 34 2 3 5" xfId="2588"/>
    <cellStyle name="Normal 34 2 3 5 2" xfId="2589"/>
    <cellStyle name="Normal 34 2 3 6" xfId="2590"/>
    <cellStyle name="Normal 34 2 3 7" xfId="2591"/>
    <cellStyle name="Normal 34 2 3 8" xfId="2592"/>
    <cellStyle name="Normal 34 2 3 9" xfId="2593"/>
    <cellStyle name="Normal 34 2 4" xfId="2594"/>
    <cellStyle name="Normal 34 2 4 2" xfId="2595"/>
    <cellStyle name="Normal 34 2 5" xfId="2596"/>
    <cellStyle name="Normal 34 3" xfId="2597"/>
    <cellStyle name="Normal 34 3 2" xfId="2598"/>
    <cellStyle name="Normal 34 4" xfId="2599"/>
    <cellStyle name="Normal 35" xfId="801"/>
    <cellStyle name="Normal 35 2" xfId="2600"/>
    <cellStyle name="Normal 35 2 2" xfId="2601"/>
    <cellStyle name="Normal 35 2 2 2" xfId="2602"/>
    <cellStyle name="Normal 35 2 2 2 2" xfId="2603"/>
    <cellStyle name="Normal 35 2 2 2 2 2" xfId="2604"/>
    <cellStyle name="Normal 35 2 2 2 3" xfId="2605"/>
    <cellStyle name="Normal 35 2 2 3" xfId="2606"/>
    <cellStyle name="Normal 35 2 2 3 2" xfId="2607"/>
    <cellStyle name="Normal 35 2 2 3 2 2" xfId="2608"/>
    <cellStyle name="Normal 35 2 2 3 3" xfId="2609"/>
    <cellStyle name="Normal 35 2 2 4" xfId="2610"/>
    <cellStyle name="Normal 35 2 2 4 2" xfId="2611"/>
    <cellStyle name="Normal 35 2 2 4 2 2" xfId="2612"/>
    <cellStyle name="Normal 35 2 2 4 3" xfId="2613"/>
    <cellStyle name="Normal 35 2 2 5" xfId="2614"/>
    <cellStyle name="Normal 35 2 2 5 2" xfId="2615"/>
    <cellStyle name="Normal 35 2 2 6" xfId="2616"/>
    <cellStyle name="Normal 35 2 3" xfId="2617"/>
    <cellStyle name="Normal 35 2 3 2" xfId="2618"/>
    <cellStyle name="Normal 35 2 4" xfId="2619"/>
    <cellStyle name="Normal 35 3" xfId="2620"/>
    <cellStyle name="Normal 35 3 2" xfId="2621"/>
    <cellStyle name="Normal 35 4" xfId="2622"/>
    <cellStyle name="Normal 36" xfId="2623"/>
    <cellStyle name="Normal 36 2" xfId="2624"/>
    <cellStyle name="Normal 36 2 2" xfId="2625"/>
    <cellStyle name="Normal 36 2 2 2" xfId="2626"/>
    <cellStyle name="Normal 36 2 3" xfId="2627"/>
    <cellStyle name="Normal 36 3" xfId="2628"/>
    <cellStyle name="Normal 36 3 2" xfId="2629"/>
    <cellStyle name="Normal 36 3 2 2" xfId="2630"/>
    <cellStyle name="Normal 36 3 2 2 2" xfId="2631"/>
    <cellStyle name="Normal 36 3 2 3" xfId="2632"/>
    <cellStyle name="Normal 36 3 3" xfId="2633"/>
    <cellStyle name="Normal 36 3 3 2" xfId="2634"/>
    <cellStyle name="Normal 36 3 3 2 2" xfId="2635"/>
    <cellStyle name="Normal 36 3 3 3" xfId="2636"/>
    <cellStyle name="Normal 36 3 4" xfId="2637"/>
    <cellStyle name="Normal 36 3 4 2" xfId="2638"/>
    <cellStyle name="Normal 36 3 4 2 2" xfId="2639"/>
    <cellStyle name="Normal 36 3 4 3" xfId="2640"/>
    <cellStyle name="Normal 36 3 5" xfId="2641"/>
    <cellStyle name="Normal 36 3 5 2" xfId="2642"/>
    <cellStyle name="Normal 36 3 6" xfId="2643"/>
    <cellStyle name="Normal 36 4" xfId="2644"/>
    <cellStyle name="Normal 36 4 2" xfId="2645"/>
    <cellStyle name="Normal 36 5" xfId="2646"/>
    <cellStyle name="Normal 37" xfId="2647"/>
    <cellStyle name="Normal 37 2" xfId="2648"/>
    <cellStyle name="Normal 37 2 2" xfId="2649"/>
    <cellStyle name="Normal 37 2 2 2" xfId="2650"/>
    <cellStyle name="Normal 37 2 3" xfId="2651"/>
    <cellStyle name="Normal 37 3" xfId="2652"/>
    <cellStyle name="Normal 37 3 2" xfId="2653"/>
    <cellStyle name="Normal 37 3 2 2" xfId="2654"/>
    <cellStyle name="Normal 37 3 3" xfId="2655"/>
    <cellStyle name="Normal 37 4" xfId="2656"/>
    <cellStyle name="Normal 37 4 2" xfId="2657"/>
    <cellStyle name="Normal 37 4 2 2" xfId="2658"/>
    <cellStyle name="Normal 37 4 3" xfId="2659"/>
    <cellStyle name="Normal 37 5" xfId="2660"/>
    <cellStyle name="Normal 37 5 2" xfId="2661"/>
    <cellStyle name="Normal 37 5 2 2" xfId="2662"/>
    <cellStyle name="Normal 37 5 3" xfId="2663"/>
    <cellStyle name="Normal 37 6" xfId="2664"/>
    <cellStyle name="Normal 37 6 2" xfId="2665"/>
    <cellStyle name="Normal 37 7" xfId="2666"/>
    <cellStyle name="Normal 38" xfId="2667"/>
    <cellStyle name="Normal 38 2" xfId="2668"/>
    <cellStyle name="Normal 38 2 2" xfId="2669"/>
    <cellStyle name="Normal 38 2 2 2" xfId="2670"/>
    <cellStyle name="Normal 38 2 2 2 2" xfId="2671"/>
    <cellStyle name="Normal 38 2 2 3" xfId="2672"/>
    <cellStyle name="Normal 38 2 3" xfId="2673"/>
    <cellStyle name="Normal 38 2 3 2" xfId="2674"/>
    <cellStyle name="Normal 38 2 4" xfId="2675"/>
    <cellStyle name="Normal 38 3" xfId="2676"/>
    <cellStyle name="Normal 38 3 2" xfId="2677"/>
    <cellStyle name="Normal 38 4" xfId="2678"/>
    <cellStyle name="Normal 39" xfId="2679"/>
    <cellStyle name="Normal 39 2" xfId="2680"/>
    <cellStyle name="Normal 39 2 2" xfId="2681"/>
    <cellStyle name="Normal 39 3" xfId="2682"/>
    <cellStyle name="Normal 4" xfId="156"/>
    <cellStyle name="Normal 4 2" xfId="157"/>
    <cellStyle name="Normal 4 2 10" xfId="2683"/>
    <cellStyle name="Normal 4 2 10 2" xfId="2684"/>
    <cellStyle name="Normal 4 2 11" xfId="2685"/>
    <cellStyle name="Normal 4 2 2" xfId="158"/>
    <cellStyle name="Normal 4 2 2 10" xfId="2686"/>
    <cellStyle name="Normal 4 2 2 2" xfId="640"/>
    <cellStyle name="Normal 4 2 2 2 2" xfId="641"/>
    <cellStyle name="Normal 4 2 2 2 2 2" xfId="642"/>
    <cellStyle name="Normal 4 2 2 2 2 2 2" xfId="2687"/>
    <cellStyle name="Normal 4 2 2 2 2 3" xfId="2688"/>
    <cellStyle name="Normal 4 2 2 2 3" xfId="643"/>
    <cellStyle name="Normal 4 2 2 2 3 2" xfId="2689"/>
    <cellStyle name="Normal 4 2 2 2 4" xfId="2690"/>
    <cellStyle name="Normal 4 2 2 3" xfId="644"/>
    <cellStyle name="Normal 4 2 2 3 2" xfId="645"/>
    <cellStyle name="Normal 4 2 2 3 2 2" xfId="2691"/>
    <cellStyle name="Normal 4 2 2 3 2 2 2" xfId="2692"/>
    <cellStyle name="Normal 4 2 2 3 2 3" xfId="2693"/>
    <cellStyle name="Normal 4 2 2 3 3" xfId="2694"/>
    <cellStyle name="Normal 4 2 2 3 3 2" xfId="2695"/>
    <cellStyle name="Normal 4 2 2 3 4" xfId="2696"/>
    <cellStyle name="Normal 4 2 2 4" xfId="646"/>
    <cellStyle name="Normal 4 2 2 4 2" xfId="647"/>
    <cellStyle name="Normal 4 2 2 4 2 2" xfId="2697"/>
    <cellStyle name="Normal 4 2 2 4 2 2 2" xfId="2698"/>
    <cellStyle name="Normal 4 2 2 4 2 3" xfId="2699"/>
    <cellStyle name="Normal 4 2 2 4 3" xfId="2700"/>
    <cellStyle name="Normal 4 2 2 4 3 2" xfId="2701"/>
    <cellStyle name="Normal 4 2 2 4 4" xfId="2702"/>
    <cellStyle name="Normal 4 2 2 5" xfId="648"/>
    <cellStyle name="Normal 4 2 2 5 2" xfId="2703"/>
    <cellStyle name="Normal 4 2 2 5 2 2" xfId="2704"/>
    <cellStyle name="Normal 4 2 2 5 2 2 2" xfId="2705"/>
    <cellStyle name="Normal 4 2 2 5 2 3" xfId="2706"/>
    <cellStyle name="Normal 4 2 2 5 3" xfId="2707"/>
    <cellStyle name="Normal 4 2 2 5 3 2" xfId="2708"/>
    <cellStyle name="Normal 4 2 2 5 4" xfId="2709"/>
    <cellStyle name="Normal 4 2 2 6" xfId="2710"/>
    <cellStyle name="Normal 4 2 2 6 2" xfId="2711"/>
    <cellStyle name="Normal 4 2 2 6 2 2" xfId="2712"/>
    <cellStyle name="Normal 4 2 2 6 2 2 2" xfId="2713"/>
    <cellStyle name="Normal 4 2 2 6 2 3" xfId="2714"/>
    <cellStyle name="Normal 4 2 2 6 3" xfId="2715"/>
    <cellStyle name="Normal 4 2 2 6 3 2" xfId="2716"/>
    <cellStyle name="Normal 4 2 2 6 4" xfId="2717"/>
    <cellStyle name="Normal 4 2 2 7" xfId="2718"/>
    <cellStyle name="Normal 4 2 2 7 2" xfId="2719"/>
    <cellStyle name="Normal 4 2 2 7 2 2" xfId="2720"/>
    <cellStyle name="Normal 4 2 2 7 2 2 2" xfId="2721"/>
    <cellStyle name="Normal 4 2 2 7 2 3" xfId="2722"/>
    <cellStyle name="Normal 4 2 2 7 3" xfId="2723"/>
    <cellStyle name="Normal 4 2 2 7 3 2" xfId="2724"/>
    <cellStyle name="Normal 4 2 2 7 4" xfId="2725"/>
    <cellStyle name="Normal 4 2 2 8" xfId="2726"/>
    <cellStyle name="Normal 4 2 2 8 2" xfId="2727"/>
    <cellStyle name="Normal 4 2 2 8 2 2" xfId="2728"/>
    <cellStyle name="Normal 4 2 2 8 3" xfId="2729"/>
    <cellStyle name="Normal 4 2 2 9" xfId="2730"/>
    <cellStyle name="Normal 4 2 2 9 2" xfId="2731"/>
    <cellStyle name="Normal 4 2 3" xfId="649"/>
    <cellStyle name="Normal 4 2 3 2" xfId="650"/>
    <cellStyle name="Normal 4 2 3 2 2" xfId="651"/>
    <cellStyle name="Normal 4 2 3 2 2 2" xfId="2732"/>
    <cellStyle name="Normal 4 2 3 2 3" xfId="2733"/>
    <cellStyle name="Normal 4 2 3 3" xfId="652"/>
    <cellStyle name="Normal 4 2 3 3 2" xfId="2734"/>
    <cellStyle name="Normal 4 2 3 4" xfId="2735"/>
    <cellStyle name="Normal 4 2 3 5" xfId="3778"/>
    <cellStyle name="Normal 4 2 4" xfId="653"/>
    <cellStyle name="Normal 4 2 4 2" xfId="654"/>
    <cellStyle name="Normal 4 2 4 2 2" xfId="2736"/>
    <cellStyle name="Normal 4 2 4 2 2 2" xfId="2737"/>
    <cellStyle name="Normal 4 2 4 2 3" xfId="2738"/>
    <cellStyle name="Normal 4 2 4 3" xfId="2739"/>
    <cellStyle name="Normal 4 2 4 3 2" xfId="2740"/>
    <cellStyle name="Normal 4 2 4 4" xfId="2741"/>
    <cellStyle name="Normal 4 2 5" xfId="655"/>
    <cellStyle name="Normal 4 2 5 2" xfId="656"/>
    <cellStyle name="Normal 4 2 5 2 2" xfId="2742"/>
    <cellStyle name="Normal 4 2 5 2 2 2" xfId="2743"/>
    <cellStyle name="Normal 4 2 5 2 3" xfId="2744"/>
    <cellStyle name="Normal 4 2 5 3" xfId="2745"/>
    <cellStyle name="Normal 4 2 5 3 2" xfId="2746"/>
    <cellStyle name="Normal 4 2 5 4" xfId="2747"/>
    <cellStyle name="Normal 4 2 6" xfId="657"/>
    <cellStyle name="Normal 4 2 6 2" xfId="2748"/>
    <cellStyle name="Normal 4 2 6 2 2" xfId="2749"/>
    <cellStyle name="Normal 4 2 6 2 2 2" xfId="2750"/>
    <cellStyle name="Normal 4 2 6 2 3" xfId="2751"/>
    <cellStyle name="Normal 4 2 6 3" xfId="2752"/>
    <cellStyle name="Normal 4 2 6 3 2" xfId="2753"/>
    <cellStyle name="Normal 4 2 6 4" xfId="2754"/>
    <cellStyle name="Normal 4 2 7" xfId="2755"/>
    <cellStyle name="Normal 4 2 7 2" xfId="2756"/>
    <cellStyle name="Normal 4 2 7 2 2" xfId="2757"/>
    <cellStyle name="Normal 4 2 7 2 2 2" xfId="2758"/>
    <cellStyle name="Normal 4 2 7 2 3" xfId="2759"/>
    <cellStyle name="Normal 4 2 7 3" xfId="2760"/>
    <cellStyle name="Normal 4 2 7 3 2" xfId="2761"/>
    <cellStyle name="Normal 4 2 7 4" xfId="2762"/>
    <cellStyle name="Normal 4 2 8" xfId="2763"/>
    <cellStyle name="Normal 4 2 8 2" xfId="2764"/>
    <cellStyle name="Normal 4 2 8 2 2" xfId="2765"/>
    <cellStyle name="Normal 4 2 8 2 2 2" xfId="2766"/>
    <cellStyle name="Normal 4 2 8 2 3" xfId="2767"/>
    <cellStyle name="Normal 4 2 8 3" xfId="2768"/>
    <cellStyle name="Normal 4 2 8 3 2" xfId="2769"/>
    <cellStyle name="Normal 4 2 8 4" xfId="2770"/>
    <cellStyle name="Normal 4 2 9" xfId="2771"/>
    <cellStyle name="Normal 4 2 9 2" xfId="2772"/>
    <cellStyle name="Normal 4 2 9 2 2" xfId="2773"/>
    <cellStyle name="Normal 4 2 9 3" xfId="2774"/>
    <cellStyle name="Normal 4 2_ARTURO SSMC110113xls" xfId="2775"/>
    <cellStyle name="Normal 4 3" xfId="159"/>
    <cellStyle name="Normal 4 3 10" xfId="2776"/>
    <cellStyle name="Normal 4 3 2" xfId="658"/>
    <cellStyle name="Normal 4 3 2 2" xfId="659"/>
    <cellStyle name="Normal 4 3 2 2 2" xfId="660"/>
    <cellStyle name="Normal 4 3 2 2 2 2" xfId="2777"/>
    <cellStyle name="Normal 4 3 2 2 3" xfId="2778"/>
    <cellStyle name="Normal 4 3 2 3" xfId="661"/>
    <cellStyle name="Normal 4 3 2 3 2" xfId="2779"/>
    <cellStyle name="Normal 4 3 2 4" xfId="2780"/>
    <cellStyle name="Normal 4 3 3" xfId="662"/>
    <cellStyle name="Normal 4 3 3 2" xfId="663"/>
    <cellStyle name="Normal 4 3 3 2 2" xfId="2781"/>
    <cellStyle name="Normal 4 3 3 2 2 2" xfId="2782"/>
    <cellStyle name="Normal 4 3 3 2 3" xfId="2783"/>
    <cellStyle name="Normal 4 3 3 3" xfId="2784"/>
    <cellStyle name="Normal 4 3 3 3 2" xfId="2785"/>
    <cellStyle name="Normal 4 3 3 4" xfId="2786"/>
    <cellStyle name="Normal 4 3 4" xfId="664"/>
    <cellStyle name="Normal 4 3 4 2" xfId="665"/>
    <cellStyle name="Normal 4 3 4 2 2" xfId="2787"/>
    <cellStyle name="Normal 4 3 4 2 2 2" xfId="2788"/>
    <cellStyle name="Normal 4 3 4 2 3" xfId="2789"/>
    <cellStyle name="Normal 4 3 4 3" xfId="2790"/>
    <cellStyle name="Normal 4 3 4 3 2" xfId="2791"/>
    <cellStyle name="Normal 4 3 4 4" xfId="2792"/>
    <cellStyle name="Normal 4 3 5" xfId="666"/>
    <cellStyle name="Normal 4 3 5 2" xfId="2793"/>
    <cellStyle name="Normal 4 3 5 2 2" xfId="2794"/>
    <cellStyle name="Normal 4 3 5 2 2 2" xfId="2795"/>
    <cellStyle name="Normal 4 3 5 2 3" xfId="2796"/>
    <cellStyle name="Normal 4 3 5 3" xfId="2797"/>
    <cellStyle name="Normal 4 3 5 3 2" xfId="2798"/>
    <cellStyle name="Normal 4 3 5 4" xfId="2799"/>
    <cellStyle name="Normal 4 3 6" xfId="2800"/>
    <cellStyle name="Normal 4 3 6 2" xfId="2801"/>
    <cellStyle name="Normal 4 3 6 2 2" xfId="2802"/>
    <cellStyle name="Normal 4 3 6 2 2 2" xfId="2803"/>
    <cellStyle name="Normal 4 3 6 2 3" xfId="2804"/>
    <cellStyle name="Normal 4 3 6 3" xfId="2805"/>
    <cellStyle name="Normal 4 3 6 3 2" xfId="2806"/>
    <cellStyle name="Normal 4 3 6 4" xfId="2807"/>
    <cellStyle name="Normal 4 3 7" xfId="2808"/>
    <cellStyle name="Normal 4 3 7 2" xfId="2809"/>
    <cellStyle name="Normal 4 3 7 2 2" xfId="2810"/>
    <cellStyle name="Normal 4 3 7 2 2 2" xfId="2811"/>
    <cellStyle name="Normal 4 3 7 2 3" xfId="2812"/>
    <cellStyle name="Normal 4 3 7 3" xfId="2813"/>
    <cellStyle name="Normal 4 3 7 3 2" xfId="2814"/>
    <cellStyle name="Normal 4 3 7 4" xfId="2815"/>
    <cellStyle name="Normal 4 3 8" xfId="2816"/>
    <cellStyle name="Normal 4 3 8 2" xfId="2817"/>
    <cellStyle name="Normal 4 3 8 2 2" xfId="2818"/>
    <cellStyle name="Normal 4 3 8 3" xfId="2819"/>
    <cellStyle name="Normal 4 3 9" xfId="2820"/>
    <cellStyle name="Normal 4 3 9 2" xfId="2821"/>
    <cellStyle name="Normal 4 4" xfId="219"/>
    <cellStyle name="Normal 4 4 10" xfId="2822"/>
    <cellStyle name="Normal 4 4 2" xfId="667"/>
    <cellStyle name="Normal 4 4 2 2" xfId="668"/>
    <cellStyle name="Normal 4 4 2 2 2" xfId="2823"/>
    <cellStyle name="Normal 4 4 2 2 2 2" xfId="2824"/>
    <cellStyle name="Normal 4 4 2 2 3" xfId="2825"/>
    <cellStyle name="Normal 4 4 2 3" xfId="2826"/>
    <cellStyle name="Normal 4 4 2 3 2" xfId="2827"/>
    <cellStyle name="Normal 4 4 2 4" xfId="2828"/>
    <cellStyle name="Normal 4 4 3" xfId="669"/>
    <cellStyle name="Normal 4 4 3 2" xfId="670"/>
    <cellStyle name="Normal 4 4 3 2 2" xfId="2829"/>
    <cellStyle name="Normal 4 4 3 2 2 2" xfId="2830"/>
    <cellStyle name="Normal 4 4 3 2 3" xfId="2831"/>
    <cellStyle name="Normal 4 4 3 3" xfId="2832"/>
    <cellStyle name="Normal 4 4 3 3 2" xfId="2833"/>
    <cellStyle name="Normal 4 4 3 4" xfId="2834"/>
    <cellStyle name="Normal 4 4 4" xfId="671"/>
    <cellStyle name="Normal 4 4 4 2" xfId="2835"/>
    <cellStyle name="Normal 4 4 4 2 2" xfId="2836"/>
    <cellStyle name="Normal 4 4 4 2 2 2" xfId="2837"/>
    <cellStyle name="Normal 4 4 4 2 3" xfId="2838"/>
    <cellStyle name="Normal 4 4 4 3" xfId="2839"/>
    <cellStyle name="Normal 4 4 4 3 2" xfId="2840"/>
    <cellStyle name="Normal 4 4 4 4" xfId="2841"/>
    <cellStyle name="Normal 4 4 5" xfId="2842"/>
    <cellStyle name="Normal 4 4 5 2" xfId="2843"/>
    <cellStyle name="Normal 4 4 5 2 2" xfId="2844"/>
    <cellStyle name="Normal 4 4 5 2 2 2" xfId="2845"/>
    <cellStyle name="Normal 4 4 5 2 3" xfId="2846"/>
    <cellStyle name="Normal 4 4 5 3" xfId="2847"/>
    <cellStyle name="Normal 4 4 5 3 2" xfId="2848"/>
    <cellStyle name="Normal 4 4 5 4" xfId="2849"/>
    <cellStyle name="Normal 4 4 6" xfId="2850"/>
    <cellStyle name="Normal 4 4 6 2" xfId="2851"/>
    <cellStyle name="Normal 4 4 6 2 2" xfId="2852"/>
    <cellStyle name="Normal 4 4 6 2 2 2" xfId="2853"/>
    <cellStyle name="Normal 4 4 6 2 3" xfId="2854"/>
    <cellStyle name="Normal 4 4 6 3" xfId="2855"/>
    <cellStyle name="Normal 4 4 6 3 2" xfId="2856"/>
    <cellStyle name="Normal 4 4 6 4" xfId="2857"/>
    <cellStyle name="Normal 4 4 7" xfId="2858"/>
    <cellStyle name="Normal 4 4 7 2" xfId="2859"/>
    <cellStyle name="Normal 4 4 7 2 2" xfId="2860"/>
    <cellStyle name="Normal 4 4 7 2 2 2" xfId="2861"/>
    <cellStyle name="Normal 4 4 7 2 3" xfId="2862"/>
    <cellStyle name="Normal 4 4 7 3" xfId="2863"/>
    <cellStyle name="Normal 4 4 7 3 2" xfId="2864"/>
    <cellStyle name="Normal 4 4 7 4" xfId="2865"/>
    <cellStyle name="Normal 4 4 8" xfId="2866"/>
    <cellStyle name="Normal 4 4 8 2" xfId="2867"/>
    <cellStyle name="Normal 4 4 8 2 2" xfId="2868"/>
    <cellStyle name="Normal 4 4 8 3" xfId="2869"/>
    <cellStyle name="Normal 4 4 9" xfId="2870"/>
    <cellStyle name="Normal 4 4 9 2" xfId="2871"/>
    <cellStyle name="Normal 4 5" xfId="229"/>
    <cellStyle name="Normal 4 6" xfId="212"/>
    <cellStyle name="Normal 4 6 2" xfId="672"/>
    <cellStyle name="Normal 4 6 3" xfId="673"/>
    <cellStyle name="Normal 4 7" xfId="674"/>
    <cellStyle name="Normal 4 7 2" xfId="675"/>
    <cellStyle name="Normal 4 8" xfId="676"/>
    <cellStyle name="Normal 4 8 2" xfId="677"/>
    <cellStyle name="Normal 4 9" xfId="678"/>
    <cellStyle name="Normal 4_Evolución de becas SEP-UAM-PRONABES" xfId="2872"/>
    <cellStyle name="Normal 40" xfId="2873"/>
    <cellStyle name="Normal 40 2" xfId="2874"/>
    <cellStyle name="Normal 40 2 2" xfId="2875"/>
    <cellStyle name="Normal 40 3" xfId="2876"/>
    <cellStyle name="Normal 41" xfId="442"/>
    <cellStyle name="Normal 41 2" xfId="443"/>
    <cellStyle name="Normal 42" xfId="447"/>
    <cellStyle name="Normal 42 2" xfId="2877"/>
    <cellStyle name="Normal 43" xfId="2878"/>
    <cellStyle name="Normal 43 2" xfId="2879"/>
    <cellStyle name="Normal 44" xfId="448"/>
    <cellStyle name="Normal 45" xfId="449"/>
    <cellStyle name="Normal 46" xfId="2880"/>
    <cellStyle name="Normal 47" xfId="2881"/>
    <cellStyle name="Normal 48" xfId="2882"/>
    <cellStyle name="Normal 49" xfId="2883"/>
    <cellStyle name="Normal 5" xfId="160"/>
    <cellStyle name="Normal 5 2" xfId="203"/>
    <cellStyle name="Normal 5 3" xfId="220"/>
    <cellStyle name="Normal 5 4" xfId="815"/>
    <cellStyle name="Normal 5_Evolución de becas SEP-UAM-PRONABES" xfId="2884"/>
    <cellStyle name="Normal 50" xfId="2885"/>
    <cellStyle name="Normal 51" xfId="2886"/>
    <cellStyle name="Normal 52" xfId="2887"/>
    <cellStyle name="Normal 53" xfId="2888"/>
    <cellStyle name="Normal 54" xfId="2889"/>
    <cellStyle name="Normal 55" xfId="2890"/>
    <cellStyle name="Normal 56" xfId="2891"/>
    <cellStyle name="Normal 57" xfId="2892"/>
    <cellStyle name="Normal 58" xfId="2893"/>
    <cellStyle name="Normal 59" xfId="2894"/>
    <cellStyle name="Normal 6" xfId="161"/>
    <cellStyle name="Normal 6 2" xfId="162"/>
    <cellStyle name="Normal 6 2 2" xfId="163"/>
    <cellStyle name="Normal 6 2 2 2" xfId="2895"/>
    <cellStyle name="Normal 6 2 2 2 2" xfId="2896"/>
    <cellStyle name="Normal 6 2 2 3" xfId="2897"/>
    <cellStyle name="Normal 6 2 3" xfId="2898"/>
    <cellStyle name="Normal 6 2 3 2" xfId="2899"/>
    <cellStyle name="Normal 6 2 4" xfId="2900"/>
    <cellStyle name="Normal 6 2_ARTURO SSMC110113xls" xfId="2901"/>
    <cellStyle name="Normal 6 3" xfId="164"/>
    <cellStyle name="Normal 6 3 2" xfId="165"/>
    <cellStyle name="Normal 6 3 2 2" xfId="2902"/>
    <cellStyle name="Normal 6 3 2 2 2" xfId="2903"/>
    <cellStyle name="Normal 6 3 2 3" xfId="2904"/>
    <cellStyle name="Normal 6 3 3" xfId="2905"/>
    <cellStyle name="Normal 6 3 3 2" xfId="2906"/>
    <cellStyle name="Normal 6 3 4" xfId="2907"/>
    <cellStyle name="Normal 6 3_ARTURO SSMC110113xls" xfId="2908"/>
    <cellStyle name="Normal 6 4" xfId="166"/>
    <cellStyle name="Normal 6 4 2" xfId="2909"/>
    <cellStyle name="Normal 6 4 2 2" xfId="2910"/>
    <cellStyle name="Normal 6 4 3" xfId="2911"/>
    <cellStyle name="Normal 6 5" xfId="2912"/>
    <cellStyle name="Normal 6 5 2" xfId="2913"/>
    <cellStyle name="Normal 6 6" xfId="2914"/>
    <cellStyle name="Normal 6_ARTURO SSMC110113xls" xfId="2915"/>
    <cellStyle name="Normal 60" xfId="2916"/>
    <cellStyle name="Normal 61" xfId="2917"/>
    <cellStyle name="Normal 62" xfId="2918"/>
    <cellStyle name="Normal 63" xfId="2919"/>
    <cellStyle name="Normal 64" xfId="2920"/>
    <cellStyle name="Normal 65" xfId="2921"/>
    <cellStyle name="Normal 66" xfId="2922"/>
    <cellStyle name="Normal 67" xfId="2923"/>
    <cellStyle name="Normal 68" xfId="2924"/>
    <cellStyle name="Normal 69" xfId="2925"/>
    <cellStyle name="Normal 7" xfId="167"/>
    <cellStyle name="Normal 7 10" xfId="2926"/>
    <cellStyle name="Normal 7 10 2" xfId="2927"/>
    <cellStyle name="Normal 7 11" xfId="2928"/>
    <cellStyle name="Normal 7 2" xfId="168"/>
    <cellStyle name="Normal 7 2 10" xfId="2929"/>
    <cellStyle name="Normal 7 2 2" xfId="679"/>
    <cellStyle name="Normal 7 2 2 2" xfId="680"/>
    <cellStyle name="Normal 7 2 2 2 2" xfId="681"/>
    <cellStyle name="Normal 7 2 2 2 2 2" xfId="2930"/>
    <cellStyle name="Normal 7 2 2 2 3" xfId="2931"/>
    <cellStyle name="Normal 7 2 2 3" xfId="682"/>
    <cellStyle name="Normal 7 2 2 3 2" xfId="2932"/>
    <cellStyle name="Normal 7 2 2 4" xfId="2933"/>
    <cellStyle name="Normal 7 2 3" xfId="683"/>
    <cellStyle name="Normal 7 2 3 2" xfId="684"/>
    <cellStyle name="Normal 7 2 3 2 2" xfId="2934"/>
    <cellStyle name="Normal 7 2 3 2 2 2" xfId="2935"/>
    <cellStyle name="Normal 7 2 3 2 3" xfId="2936"/>
    <cellStyle name="Normal 7 2 3 3" xfId="2937"/>
    <cellStyle name="Normal 7 2 3 3 2" xfId="2938"/>
    <cellStyle name="Normal 7 2 3 4" xfId="2939"/>
    <cellStyle name="Normal 7 2 4" xfId="685"/>
    <cellStyle name="Normal 7 2 4 2" xfId="686"/>
    <cellStyle name="Normal 7 2 4 2 2" xfId="2940"/>
    <cellStyle name="Normal 7 2 4 2 2 2" xfId="2941"/>
    <cellStyle name="Normal 7 2 4 2 3" xfId="2942"/>
    <cellStyle name="Normal 7 2 4 3" xfId="2943"/>
    <cellStyle name="Normal 7 2 4 3 2" xfId="2944"/>
    <cellStyle name="Normal 7 2 4 4" xfId="2945"/>
    <cellStyle name="Normal 7 2 5" xfId="687"/>
    <cellStyle name="Normal 7 2 5 2" xfId="2946"/>
    <cellStyle name="Normal 7 2 5 2 2" xfId="2947"/>
    <cellStyle name="Normal 7 2 5 2 2 2" xfId="2948"/>
    <cellStyle name="Normal 7 2 5 2 3" xfId="2949"/>
    <cellStyle name="Normal 7 2 5 3" xfId="2950"/>
    <cellStyle name="Normal 7 2 5 3 2" xfId="2951"/>
    <cellStyle name="Normal 7 2 5 4" xfId="2952"/>
    <cellStyle name="Normal 7 2 6" xfId="2953"/>
    <cellStyle name="Normal 7 2 6 2" xfId="2954"/>
    <cellStyle name="Normal 7 2 6 2 2" xfId="2955"/>
    <cellStyle name="Normal 7 2 6 2 2 2" xfId="2956"/>
    <cellStyle name="Normal 7 2 6 2 3" xfId="2957"/>
    <cellStyle name="Normal 7 2 6 3" xfId="2958"/>
    <cellStyle name="Normal 7 2 6 3 2" xfId="2959"/>
    <cellStyle name="Normal 7 2 6 4" xfId="2960"/>
    <cellStyle name="Normal 7 2 7" xfId="2961"/>
    <cellStyle name="Normal 7 2 7 2" xfId="2962"/>
    <cellStyle name="Normal 7 2 7 2 2" xfId="2963"/>
    <cellStyle name="Normal 7 2 7 2 2 2" xfId="2964"/>
    <cellStyle name="Normal 7 2 7 2 3" xfId="2965"/>
    <cellStyle name="Normal 7 2 7 3" xfId="2966"/>
    <cellStyle name="Normal 7 2 7 3 2" xfId="2967"/>
    <cellStyle name="Normal 7 2 7 4" xfId="2968"/>
    <cellStyle name="Normal 7 2 8" xfId="2969"/>
    <cellStyle name="Normal 7 2 8 2" xfId="2970"/>
    <cellStyle name="Normal 7 2 8 2 2" xfId="2971"/>
    <cellStyle name="Normal 7 2 8 3" xfId="2972"/>
    <cellStyle name="Normal 7 2 9" xfId="2973"/>
    <cellStyle name="Normal 7 2 9 2" xfId="2974"/>
    <cellStyle name="Normal 7 3" xfId="438"/>
    <cellStyle name="Normal 7 3 2" xfId="688"/>
    <cellStyle name="Normal 7 3 2 2" xfId="689"/>
    <cellStyle name="Normal 7 3 2 2 2" xfId="2975"/>
    <cellStyle name="Normal 7 3 2 3" xfId="2976"/>
    <cellStyle name="Normal 7 3 3" xfId="690"/>
    <cellStyle name="Normal 7 3 3 2" xfId="2977"/>
    <cellStyle name="Normal 7 3 4" xfId="2978"/>
    <cellStyle name="Normal 7 4" xfId="691"/>
    <cellStyle name="Normal 7 4 2" xfId="692"/>
    <cellStyle name="Normal 7 4 2 2" xfId="2979"/>
    <cellStyle name="Normal 7 4 2 2 2" xfId="2980"/>
    <cellStyle name="Normal 7 4 2 3" xfId="2981"/>
    <cellStyle name="Normal 7 4 3" xfId="2982"/>
    <cellStyle name="Normal 7 4 3 2" xfId="2983"/>
    <cellStyle name="Normal 7 4 4" xfId="2984"/>
    <cellStyle name="Normal 7 5" xfId="693"/>
    <cellStyle name="Normal 7 5 2" xfId="694"/>
    <cellStyle name="Normal 7 5 2 2" xfId="2985"/>
    <cellStyle name="Normal 7 5 2 2 2" xfId="2986"/>
    <cellStyle name="Normal 7 5 2 3" xfId="2987"/>
    <cellStyle name="Normal 7 5 3" xfId="2988"/>
    <cellStyle name="Normal 7 5 3 2" xfId="2989"/>
    <cellStyle name="Normal 7 5 4" xfId="2990"/>
    <cellStyle name="Normal 7 6" xfId="695"/>
    <cellStyle name="Normal 7 6 2" xfId="696"/>
    <cellStyle name="Normal 7 6 2 2" xfId="2991"/>
    <cellStyle name="Normal 7 6 2 2 2" xfId="2992"/>
    <cellStyle name="Normal 7 6 2 3" xfId="2993"/>
    <cellStyle name="Normal 7 6 3" xfId="2994"/>
    <cellStyle name="Normal 7 6 3 2" xfId="2995"/>
    <cellStyle name="Normal 7 6 4" xfId="2996"/>
    <cellStyle name="Normal 7 7" xfId="697"/>
    <cellStyle name="Normal 7 7 2" xfId="2997"/>
    <cellStyle name="Normal 7 7 2 2" xfId="2998"/>
    <cellStyle name="Normal 7 7 2 2 2" xfId="2999"/>
    <cellStyle name="Normal 7 7 2 3" xfId="3000"/>
    <cellStyle name="Normal 7 7 3" xfId="3001"/>
    <cellStyle name="Normal 7 7 3 2" xfId="3002"/>
    <cellStyle name="Normal 7 7 4" xfId="3003"/>
    <cellStyle name="Normal 7 8" xfId="3004"/>
    <cellStyle name="Normal 7 8 2" xfId="3005"/>
    <cellStyle name="Normal 7 8 2 2" xfId="3006"/>
    <cellStyle name="Normal 7 8 2 2 2" xfId="3007"/>
    <cellStyle name="Normal 7 8 2 3" xfId="3008"/>
    <cellStyle name="Normal 7 8 3" xfId="3009"/>
    <cellStyle name="Normal 7 8 3 2" xfId="3010"/>
    <cellStyle name="Normal 7 8 4" xfId="3011"/>
    <cellStyle name="Normal 7 9" xfId="3012"/>
    <cellStyle name="Normal 7 9 2" xfId="3013"/>
    <cellStyle name="Normal 7 9 2 2" xfId="3014"/>
    <cellStyle name="Normal 7 9 3" xfId="3015"/>
    <cellStyle name="Normal 7_ARTURO SSMC110113xls" xfId="3016"/>
    <cellStyle name="Normal 70" xfId="3017"/>
    <cellStyle name="Normal 71" xfId="3018"/>
    <cellStyle name="Normal 72" xfId="3019"/>
    <cellStyle name="Normal 73" xfId="3020"/>
    <cellStyle name="Normal 74" xfId="3021"/>
    <cellStyle name="Normal 75" xfId="3022"/>
    <cellStyle name="Normal 76" xfId="3023"/>
    <cellStyle name="Normal 77" xfId="3024"/>
    <cellStyle name="Normal 78" xfId="3025"/>
    <cellStyle name="Normal 79" xfId="3026"/>
    <cellStyle name="Normal 8" xfId="169"/>
    <cellStyle name="Normal 8 2" xfId="170"/>
    <cellStyle name="Normal 8 2 10" xfId="3027"/>
    <cellStyle name="Normal 8 2 2" xfId="698"/>
    <cellStyle name="Normal 8 2 2 2" xfId="699"/>
    <cellStyle name="Normal 8 2 2 2 2" xfId="700"/>
    <cellStyle name="Normal 8 2 2 2 2 2" xfId="3028"/>
    <cellStyle name="Normal 8 2 2 2 3" xfId="3029"/>
    <cellStyle name="Normal 8 2 2 3" xfId="701"/>
    <cellStyle name="Normal 8 2 2 3 2" xfId="3030"/>
    <cellStyle name="Normal 8 2 2 4" xfId="3031"/>
    <cellStyle name="Normal 8 2 3" xfId="702"/>
    <cellStyle name="Normal 8 2 3 2" xfId="703"/>
    <cellStyle name="Normal 8 2 3 2 2" xfId="3032"/>
    <cellStyle name="Normal 8 2 3 2 2 2" xfId="3033"/>
    <cellStyle name="Normal 8 2 3 2 3" xfId="3034"/>
    <cellStyle name="Normal 8 2 3 3" xfId="3035"/>
    <cellStyle name="Normal 8 2 3 3 2" xfId="3036"/>
    <cellStyle name="Normal 8 2 3 4" xfId="3037"/>
    <cellStyle name="Normal 8 2 4" xfId="704"/>
    <cellStyle name="Normal 8 2 4 2" xfId="705"/>
    <cellStyle name="Normal 8 2 4 2 2" xfId="3038"/>
    <cellStyle name="Normal 8 2 4 2 2 2" xfId="3039"/>
    <cellStyle name="Normal 8 2 4 2 3" xfId="3040"/>
    <cellStyle name="Normal 8 2 4 3" xfId="3041"/>
    <cellStyle name="Normal 8 2 4 3 2" xfId="3042"/>
    <cellStyle name="Normal 8 2 4 4" xfId="3043"/>
    <cellStyle name="Normal 8 2 5" xfId="706"/>
    <cellStyle name="Normal 8 2 5 2" xfId="3044"/>
    <cellStyle name="Normal 8 2 5 2 2" xfId="3045"/>
    <cellStyle name="Normal 8 2 5 2 2 2" xfId="3046"/>
    <cellStyle name="Normal 8 2 5 2 3" xfId="3047"/>
    <cellStyle name="Normal 8 2 5 3" xfId="3048"/>
    <cellStyle name="Normal 8 2 5 3 2" xfId="3049"/>
    <cellStyle name="Normal 8 2 5 4" xfId="3050"/>
    <cellStyle name="Normal 8 2 6" xfId="3051"/>
    <cellStyle name="Normal 8 2 6 2" xfId="3052"/>
    <cellStyle name="Normal 8 2 6 2 2" xfId="3053"/>
    <cellStyle name="Normal 8 2 6 2 2 2" xfId="3054"/>
    <cellStyle name="Normal 8 2 6 2 3" xfId="3055"/>
    <cellStyle name="Normal 8 2 6 3" xfId="3056"/>
    <cellStyle name="Normal 8 2 6 3 2" xfId="3057"/>
    <cellStyle name="Normal 8 2 6 4" xfId="3058"/>
    <cellStyle name="Normal 8 2 7" xfId="3059"/>
    <cellStyle name="Normal 8 2 7 2" xfId="3060"/>
    <cellStyle name="Normal 8 2 7 2 2" xfId="3061"/>
    <cellStyle name="Normal 8 2 7 2 2 2" xfId="3062"/>
    <cellStyle name="Normal 8 2 7 2 3" xfId="3063"/>
    <cellStyle name="Normal 8 2 7 3" xfId="3064"/>
    <cellStyle name="Normal 8 2 7 3 2" xfId="3065"/>
    <cellStyle name="Normal 8 2 7 4" xfId="3066"/>
    <cellStyle name="Normal 8 2 8" xfId="3067"/>
    <cellStyle name="Normal 8 2 8 2" xfId="3068"/>
    <cellStyle name="Normal 8 2 8 2 2" xfId="3069"/>
    <cellStyle name="Normal 8 2 8 3" xfId="3070"/>
    <cellStyle name="Normal 8 2 9" xfId="3071"/>
    <cellStyle name="Normal 8 2 9 2" xfId="3072"/>
    <cellStyle name="Normal 8 3" xfId="204"/>
    <cellStyle name="Normal 8 3 2" xfId="707"/>
    <cellStyle name="Normal 8 3 2 2" xfId="708"/>
    <cellStyle name="Normal 8 3 3" xfId="709"/>
    <cellStyle name="Normal 8 3 4" xfId="710"/>
    <cellStyle name="Normal 8 4" xfId="711"/>
    <cellStyle name="Normal 8 4 2" xfId="712"/>
    <cellStyle name="Normal 8 5" xfId="713"/>
    <cellStyle name="Normal 8 6" xfId="714"/>
    <cellStyle name="Normal 8 6 2" xfId="715"/>
    <cellStyle name="Normal 8 7" xfId="716"/>
    <cellStyle name="Normal 8_Evolución de becas SEP-UAM-PRONABES" xfId="3073"/>
    <cellStyle name="Normal 80" xfId="3074"/>
    <cellStyle name="Normal 81" xfId="3075"/>
    <cellStyle name="Normal 82" xfId="3076"/>
    <cellStyle name="Normal 83" xfId="3077"/>
    <cellStyle name="Normal 84" xfId="3078"/>
    <cellStyle name="Normal 85" xfId="3079"/>
    <cellStyle name="Normal 86" xfId="3080"/>
    <cellStyle name="Normal 87" xfId="3081"/>
    <cellStyle name="Normal 88" xfId="3082"/>
    <cellStyle name="Normal 89" xfId="3083"/>
    <cellStyle name="Normal 9" xfId="171"/>
    <cellStyle name="Normal 9 10" xfId="439"/>
    <cellStyle name="Normal 9 10 2" xfId="432"/>
    <cellStyle name="Normal 9 10 2 2" xfId="717"/>
    <cellStyle name="Normal 9 11" xfId="433"/>
    <cellStyle name="Normal 9 11 2" xfId="718"/>
    <cellStyle name="Normal 9 2" xfId="172"/>
    <cellStyle name="Normal 9 2 10" xfId="3084"/>
    <cellStyle name="Normal 9 2 2" xfId="719"/>
    <cellStyle name="Normal 9 2 2 2" xfId="720"/>
    <cellStyle name="Normal 9 2 2 2 2" xfId="721"/>
    <cellStyle name="Normal 9 2 2 2 2 2" xfId="3085"/>
    <cellStyle name="Normal 9 2 2 2 3" xfId="3086"/>
    <cellStyle name="Normal 9 2 2 3" xfId="722"/>
    <cellStyle name="Normal 9 2 2 3 2" xfId="3087"/>
    <cellStyle name="Normal 9 2 2 4" xfId="3088"/>
    <cellStyle name="Normal 9 2 3" xfId="723"/>
    <cellStyle name="Normal 9 2 3 2" xfId="724"/>
    <cellStyle name="Normal 9 2 3 2 2" xfId="3089"/>
    <cellStyle name="Normal 9 2 3 2 2 2" xfId="3090"/>
    <cellStyle name="Normal 9 2 3 2 3" xfId="3091"/>
    <cellStyle name="Normal 9 2 3 3" xfId="3092"/>
    <cellStyle name="Normal 9 2 3 3 2" xfId="3093"/>
    <cellStyle name="Normal 9 2 3 4" xfId="3094"/>
    <cellStyle name="Normal 9 2 4" xfId="725"/>
    <cellStyle name="Normal 9 2 4 2" xfId="726"/>
    <cellStyle name="Normal 9 2 4 2 2" xfId="3095"/>
    <cellStyle name="Normal 9 2 4 2 2 2" xfId="3096"/>
    <cellStyle name="Normal 9 2 4 2 3" xfId="3097"/>
    <cellStyle name="Normal 9 2 4 3" xfId="3098"/>
    <cellStyle name="Normal 9 2 4 3 2" xfId="3099"/>
    <cellStyle name="Normal 9 2 4 4" xfId="3100"/>
    <cellStyle name="Normal 9 2 5" xfId="727"/>
    <cellStyle name="Normal 9 2 5 2" xfId="3101"/>
    <cellStyle name="Normal 9 2 5 2 2" xfId="3102"/>
    <cellStyle name="Normal 9 2 5 2 2 2" xfId="3103"/>
    <cellStyle name="Normal 9 2 5 2 3" xfId="3104"/>
    <cellStyle name="Normal 9 2 5 3" xfId="3105"/>
    <cellStyle name="Normal 9 2 5 3 2" xfId="3106"/>
    <cellStyle name="Normal 9 2 5 4" xfId="3107"/>
    <cellStyle name="Normal 9 2 6" xfId="3108"/>
    <cellStyle name="Normal 9 2 6 2" xfId="3109"/>
    <cellStyle name="Normal 9 2 6 2 2" xfId="3110"/>
    <cellStyle name="Normal 9 2 6 2 2 2" xfId="3111"/>
    <cellStyle name="Normal 9 2 6 2 3" xfId="3112"/>
    <cellStyle name="Normal 9 2 6 3" xfId="3113"/>
    <cellStyle name="Normal 9 2 6 3 2" xfId="3114"/>
    <cellStyle name="Normal 9 2 6 4" xfId="3115"/>
    <cellStyle name="Normal 9 2 7" xfId="3116"/>
    <cellStyle name="Normal 9 2 7 2" xfId="3117"/>
    <cellStyle name="Normal 9 2 7 2 2" xfId="3118"/>
    <cellStyle name="Normal 9 2 7 2 2 2" xfId="3119"/>
    <cellStyle name="Normal 9 2 7 2 3" xfId="3120"/>
    <cellStyle name="Normal 9 2 7 3" xfId="3121"/>
    <cellStyle name="Normal 9 2 7 3 2" xfId="3122"/>
    <cellStyle name="Normal 9 2 7 4" xfId="3123"/>
    <cellStyle name="Normal 9 2 8" xfId="3124"/>
    <cellStyle name="Normal 9 2 8 2" xfId="3125"/>
    <cellStyle name="Normal 9 2 8 2 2" xfId="3126"/>
    <cellStyle name="Normal 9 2 8 3" xfId="3127"/>
    <cellStyle name="Normal 9 2 9" xfId="3128"/>
    <cellStyle name="Normal 9 2 9 2" xfId="3129"/>
    <cellStyle name="Normal 9 3" xfId="205"/>
    <cellStyle name="Normal 9 3 2" xfId="728"/>
    <cellStyle name="Normal 9 3 2 2" xfId="729"/>
    <cellStyle name="Normal 9 3 3" xfId="730"/>
    <cellStyle name="Normal 9 3 4" xfId="731"/>
    <cellStyle name="Normal 9 4" xfId="394"/>
    <cellStyle name="Normal 9 4 2" xfId="396"/>
    <cellStyle name="Normal 9 4 2 2" xfId="732"/>
    <cellStyle name="Normal 9 4 3" xfId="733"/>
    <cellStyle name="Normal 9 4 7" xfId="3130"/>
    <cellStyle name="Normal 9 5" xfId="734"/>
    <cellStyle name="Normal 9 6" xfId="735"/>
    <cellStyle name="Normal 9_Evolución de becas SEP-UAM-PRONABES" xfId="3131"/>
    <cellStyle name="Normal 90" xfId="3132"/>
    <cellStyle name="Normal 91" xfId="3133"/>
    <cellStyle name="Normal 92" xfId="3134"/>
    <cellStyle name="Normal 93" xfId="3135"/>
    <cellStyle name="Normal 94" xfId="3136"/>
    <cellStyle name="Normal 95" xfId="3137"/>
    <cellStyle name="Normal 96" xfId="3138"/>
    <cellStyle name="Normal 97" xfId="3139"/>
    <cellStyle name="Normal 98" xfId="3140"/>
    <cellStyle name="Normal 99" xfId="3141"/>
    <cellStyle name="Normal_2005-2011 X UDD" xfId="803"/>
    <cellStyle name="Normal_2008 2" xfId="820"/>
    <cellStyle name="Normal_2009O-" xfId="736"/>
    <cellStyle name="Normal_CAP_3_ANEXO_2007" xfId="429"/>
    <cellStyle name="Normal_D.20 Tri_Ubica" xfId="3809"/>
    <cellStyle name="Normal_D.3 Trim exc._Lic" xfId="3796"/>
    <cellStyle name="Normal_D.3 Trim exc._Lic_1" xfId="3811"/>
    <cellStyle name="Normal_D1.5 Empleabilidad_Lic_1" xfId="819"/>
    <cellStyle name="Normal_D1.5 Empleabilidad_Pos" xfId="802"/>
    <cellStyle name="Normal_Desglose de tri_Mtria" xfId="3801"/>
    <cellStyle name="Normal_Desglose de tri_Mtria_1" xfId="3802"/>
    <cellStyle name="Normal_Desglose de trim_esp" xfId="3798"/>
    <cellStyle name="Normal_Desglose ET D.2" xfId="3794"/>
    <cellStyle name="Normal_Desglose ET D.2_1" xfId="3795"/>
    <cellStyle name="Normal_Desglose ET D.2_2" xfId="3806"/>
    <cellStyle name="Normal_Desglose ET D.2_3" xfId="3810"/>
    <cellStyle name="Normal_Desglose ET_Doc" xfId="3800"/>
    <cellStyle name="Normal_Desglose ET_Doc_1" xfId="3805"/>
    <cellStyle name="Normal_Desglose ET_Esp" xfId="3797"/>
    <cellStyle name="Normal_Desglose ET_Mtria" xfId="3799"/>
    <cellStyle name="Normal_Desglose ET_Mtria_1" xfId="3804"/>
    <cellStyle name="Normal_Desglose Trim Doc" xfId="3803"/>
    <cellStyle name="Normal_Efic Term Doc 2015" xfId="3784"/>
    <cellStyle name="Normal_Efic Term Esp 2015" xfId="3783"/>
    <cellStyle name="Normal_Eficiencia 2014 Especialidad" xfId="451"/>
    <cellStyle name="Normal_Eficiencia 2014 Maestría" xfId="453"/>
    <cellStyle name="Normal_Eficiencia Esp 2012-2013" xfId="814"/>
    <cellStyle name="Normal_Eficiencia Lic 10 años" xfId="454"/>
    <cellStyle name="Normal_Eficiencia Terminal a 10 años" xfId="821"/>
    <cellStyle name="Normal_Empleabilidad_ POS" xfId="3787"/>
    <cellStyle name="Normal_Hoja1" xfId="173"/>
    <cellStyle name="Normal_Hoja1 2" xfId="452"/>
    <cellStyle name="Normal_Hoja1 3" xfId="3807"/>
    <cellStyle name="Normal_Hoja1_1" xfId="818"/>
    <cellStyle name="Normal_Hoja2" xfId="238"/>
    <cellStyle name="Normal_Hoja2_1" xfId="239"/>
    <cellStyle name="Normal_Hoja3" xfId="430"/>
    <cellStyle name="Normal_Hoja3 2" xfId="3792"/>
    <cellStyle name="Normal_Hoja3_1" xfId="797"/>
    <cellStyle name="Normal_Hoja3_2" xfId="3790"/>
    <cellStyle name="Normal_Hoja4" xfId="428"/>
    <cellStyle name="Normal_Hoja4_1" xfId="3791"/>
    <cellStyle name="Normal_Hoja5" xfId="3793"/>
    <cellStyle name="Normal_Hoja6" xfId="441"/>
    <cellStyle name="Normal_NTRC Doctorado" xfId="799"/>
    <cellStyle name="Normal_NTRC Maestría" xfId="798"/>
    <cellStyle name="Normal_Posgrados evaluados 2007 2" xfId="3786"/>
    <cellStyle name="Normal_Ptos Acum 2011-2014" xfId="804"/>
    <cellStyle name="Normal_SNI_2011 NOV (914) X DEPTO" xfId="817"/>
    <cellStyle name="Normal_Tiempo Prom para Egresar 2012" xfId="796"/>
    <cellStyle name="Normal_TRC Para Egresar Doc 2014" xfId="457"/>
    <cellStyle name="Normal_TRC Para Egresar Mtría 2014" xfId="456"/>
    <cellStyle name="Normal_TRC Para Egresar Posg 2014" xfId="455"/>
    <cellStyle name="Normal_Trim Prom Acred Plan Est Lic" xfId="3785"/>
    <cellStyle name="Nota 2" xfId="3788"/>
    <cellStyle name="Notas 2" xfId="174"/>
    <cellStyle name="Notas 2 2" xfId="206"/>
    <cellStyle name="Notas 2 2 2" xfId="226"/>
    <cellStyle name="Notas 2 2 2 2" xfId="250"/>
    <cellStyle name="Notas 2 2 2 2 10" xfId="3142"/>
    <cellStyle name="Notas 2 2 2 2 11" xfId="3143"/>
    <cellStyle name="Notas 2 2 2 2 12" xfId="3144"/>
    <cellStyle name="Notas 2 2 2 2 2" xfId="275"/>
    <cellStyle name="Notas 2 2 2 2 2 2" xfId="3145"/>
    <cellStyle name="Notas 2 2 2 2 2 3" xfId="3146"/>
    <cellStyle name="Notas 2 2 2 2 2 4" xfId="3147"/>
    <cellStyle name="Notas 2 2 2 2 2 5" xfId="3148"/>
    <cellStyle name="Notas 2 2 2 2 3" xfId="277"/>
    <cellStyle name="Notas 2 2 2 2 3 2" xfId="3149"/>
    <cellStyle name="Notas 2 2 2 2 3 3" xfId="3150"/>
    <cellStyle name="Notas 2 2 2 2 3 4" xfId="3151"/>
    <cellStyle name="Notas 2 2 2 2 3 5" xfId="3152"/>
    <cellStyle name="Notas 2 2 2 2 4" xfId="295"/>
    <cellStyle name="Notas 2 2 2 2 4 2" xfId="3153"/>
    <cellStyle name="Notas 2 2 2 2 4 3" xfId="3154"/>
    <cellStyle name="Notas 2 2 2 2 4 4" xfId="3155"/>
    <cellStyle name="Notas 2 2 2 2 4 5" xfId="3156"/>
    <cellStyle name="Notas 2 2 2 2 5" xfId="327"/>
    <cellStyle name="Notas 2 2 2 2 5 2" xfId="3157"/>
    <cellStyle name="Notas 2 2 2 2 5 3" xfId="3158"/>
    <cellStyle name="Notas 2 2 2 2 5 4" xfId="3159"/>
    <cellStyle name="Notas 2 2 2 2 5 5" xfId="3160"/>
    <cellStyle name="Notas 2 2 2 2 6" xfId="339"/>
    <cellStyle name="Notas 2 2 2 2 6 2" xfId="3161"/>
    <cellStyle name="Notas 2 2 2 2 6 3" xfId="3162"/>
    <cellStyle name="Notas 2 2 2 2 6 4" xfId="3163"/>
    <cellStyle name="Notas 2 2 2 2 6 5" xfId="3164"/>
    <cellStyle name="Notas 2 2 2 2 7" xfId="355"/>
    <cellStyle name="Notas 2 2 2 2 7 2" xfId="3165"/>
    <cellStyle name="Notas 2 2 2 2 7 3" xfId="3166"/>
    <cellStyle name="Notas 2 2 2 2 7 4" xfId="3167"/>
    <cellStyle name="Notas 2 2 2 2 7 5" xfId="3168"/>
    <cellStyle name="Notas 2 2 2 2 8" xfId="371"/>
    <cellStyle name="Notas 2 2 2 2 8 2" xfId="3169"/>
    <cellStyle name="Notas 2 2 2 2 8 3" xfId="3170"/>
    <cellStyle name="Notas 2 2 2 2 8 4" xfId="3171"/>
    <cellStyle name="Notas 2 2 2 2 8 5" xfId="3172"/>
    <cellStyle name="Notas 2 2 2 2 9" xfId="3173"/>
    <cellStyle name="Notas 2 2 2 3" xfId="271"/>
    <cellStyle name="Notas 2 2 2 3 2" xfId="3174"/>
    <cellStyle name="Notas 2 2 2 3 3" xfId="3175"/>
    <cellStyle name="Notas 2 2 2 3 4" xfId="3176"/>
    <cellStyle name="Notas 2 2 2 3 5" xfId="3177"/>
    <cellStyle name="Notas 2 2 2 4" xfId="310"/>
    <cellStyle name="Notas 2 2 2 4 2" xfId="3178"/>
    <cellStyle name="Notas 2 2 2 4 3" xfId="3179"/>
    <cellStyle name="Notas 2 2 2 4 4" xfId="3180"/>
    <cellStyle name="Notas 2 2 2 4 5" xfId="3181"/>
    <cellStyle name="Notas 2 2 2 5" xfId="410"/>
    <cellStyle name="Notas 2 2 2 5 2" xfId="3182"/>
    <cellStyle name="Notas 2 2 2 5 3" xfId="3183"/>
    <cellStyle name="Notas 2 2 2 5 4" xfId="3184"/>
    <cellStyle name="Notas 2 2 2 5 5" xfId="3185"/>
    <cellStyle name="Notas 2 2 2 6" xfId="422"/>
    <cellStyle name="Notas 2 2 2 6 2" xfId="3186"/>
    <cellStyle name="Notas 2 2 2 6 3" xfId="3187"/>
    <cellStyle name="Notas 2 2 2 6 4" xfId="3188"/>
    <cellStyle name="Notas 2 2 2 6 5" xfId="3189"/>
    <cellStyle name="Notas 2 2 2 7" xfId="3190"/>
    <cellStyle name="Notas 2 2 3" xfId="249"/>
    <cellStyle name="Notas 2 2 3 2" xfId="274"/>
    <cellStyle name="Notas 2 2 3 2 2" xfId="3191"/>
    <cellStyle name="Notas 2 2 3 2 3" xfId="3192"/>
    <cellStyle name="Notas 2 2 3 2 4" xfId="3193"/>
    <cellStyle name="Notas 2 2 3 2 5" xfId="3194"/>
    <cellStyle name="Notas 2 2 3 3" xfId="263"/>
    <cellStyle name="Notas 2 2 3 3 2" xfId="3195"/>
    <cellStyle name="Notas 2 2 3 3 3" xfId="3196"/>
    <cellStyle name="Notas 2 2 3 3 4" xfId="3197"/>
    <cellStyle name="Notas 2 2 3 3 5" xfId="3198"/>
    <cellStyle name="Notas 2 2 3 4" xfId="290"/>
    <cellStyle name="Notas 2 2 3 4 2" xfId="3199"/>
    <cellStyle name="Notas 2 2 3 4 3" xfId="3200"/>
    <cellStyle name="Notas 2 2 3 4 4" xfId="3201"/>
    <cellStyle name="Notas 2 2 3 4 5" xfId="3202"/>
    <cellStyle name="Notas 2 2 3 5" xfId="322"/>
    <cellStyle name="Notas 2 2 3 5 2" xfId="3203"/>
    <cellStyle name="Notas 2 2 3 5 3" xfId="3204"/>
    <cellStyle name="Notas 2 2 3 5 4" xfId="3205"/>
    <cellStyle name="Notas 2 2 3 5 5" xfId="3206"/>
    <cellStyle name="Notas 2 2 3 6" xfId="284"/>
    <cellStyle name="Notas 2 2 3 6 2" xfId="3207"/>
    <cellStyle name="Notas 2 2 3 6 3" xfId="3208"/>
    <cellStyle name="Notas 2 2 3 6 4" xfId="3209"/>
    <cellStyle name="Notas 2 2 3 6 5" xfId="3210"/>
    <cellStyle name="Notas 2 2 3 7" xfId="350"/>
    <cellStyle name="Notas 2 2 3 7 2" xfId="3211"/>
    <cellStyle name="Notas 2 2 3 7 3" xfId="3212"/>
    <cellStyle name="Notas 2 2 3 7 4" xfId="3213"/>
    <cellStyle name="Notas 2 2 3 7 5" xfId="3214"/>
    <cellStyle name="Notas 2 2 3 8" xfId="366"/>
    <cellStyle name="Notas 2 2 3 8 2" xfId="3215"/>
    <cellStyle name="Notas 2 2 3 8 3" xfId="3216"/>
    <cellStyle name="Notas 2 2 3 8 4" xfId="3217"/>
    <cellStyle name="Notas 2 2 3 8 5" xfId="3218"/>
    <cellStyle name="Notas 2 2 3 9" xfId="3219"/>
    <cellStyle name="Notas 2 2 4" xfId="308"/>
    <cellStyle name="Notas 2 2 4 2" xfId="3220"/>
    <cellStyle name="Notas 2 2 4 3" xfId="3221"/>
    <cellStyle name="Notas 2 2 4 4" xfId="3222"/>
    <cellStyle name="Notas 2 2 4 5" xfId="3223"/>
    <cellStyle name="Notas 2 2 5" xfId="405"/>
    <cellStyle name="Notas 2 2 5 2" xfId="3224"/>
    <cellStyle name="Notas 2 2 5 3" xfId="3225"/>
    <cellStyle name="Notas 2 2 5 4" xfId="3226"/>
    <cellStyle name="Notas 2 2 5 5" xfId="3227"/>
    <cellStyle name="Notas 2 2 6" xfId="417"/>
    <cellStyle name="Notas 2 2 6 2" xfId="3228"/>
    <cellStyle name="Notas 2 2 6 3" xfId="3229"/>
    <cellStyle name="Notas 2 2 6 4" xfId="3230"/>
    <cellStyle name="Notas 2 2 6 5" xfId="3231"/>
    <cellStyle name="Notas 2 2 7" xfId="3232"/>
    <cellStyle name="Notas 2 3" xfId="221"/>
    <cellStyle name="Notas 2 3 2" xfId="251"/>
    <cellStyle name="Notas 2 3 2 10" xfId="3233"/>
    <cellStyle name="Notas 2 3 2 11" xfId="3234"/>
    <cellStyle name="Notas 2 3 2 12" xfId="3235"/>
    <cellStyle name="Notas 2 3 2 2" xfId="276"/>
    <cellStyle name="Notas 2 3 2 2 2" xfId="3236"/>
    <cellStyle name="Notas 2 3 2 2 3" xfId="3237"/>
    <cellStyle name="Notas 2 3 2 2 4" xfId="3238"/>
    <cellStyle name="Notas 2 3 2 2 5" xfId="3239"/>
    <cellStyle name="Notas 2 3 2 3" xfId="278"/>
    <cellStyle name="Notas 2 3 2 3 2" xfId="3240"/>
    <cellStyle name="Notas 2 3 2 3 3" xfId="3241"/>
    <cellStyle name="Notas 2 3 2 3 4" xfId="3242"/>
    <cellStyle name="Notas 2 3 2 3 5" xfId="3243"/>
    <cellStyle name="Notas 2 3 2 4" xfId="296"/>
    <cellStyle name="Notas 2 3 2 4 2" xfId="3244"/>
    <cellStyle name="Notas 2 3 2 4 3" xfId="3245"/>
    <cellStyle name="Notas 2 3 2 4 4" xfId="3246"/>
    <cellStyle name="Notas 2 3 2 4 5" xfId="3247"/>
    <cellStyle name="Notas 2 3 2 5" xfId="328"/>
    <cellStyle name="Notas 2 3 2 5 2" xfId="3248"/>
    <cellStyle name="Notas 2 3 2 5 3" xfId="3249"/>
    <cellStyle name="Notas 2 3 2 5 4" xfId="3250"/>
    <cellStyle name="Notas 2 3 2 5 5" xfId="3251"/>
    <cellStyle name="Notas 2 3 2 6" xfId="340"/>
    <cellStyle name="Notas 2 3 2 6 2" xfId="3252"/>
    <cellStyle name="Notas 2 3 2 6 3" xfId="3253"/>
    <cellStyle name="Notas 2 3 2 6 4" xfId="3254"/>
    <cellStyle name="Notas 2 3 2 6 5" xfId="3255"/>
    <cellStyle name="Notas 2 3 2 7" xfId="356"/>
    <cellStyle name="Notas 2 3 2 7 2" xfId="3256"/>
    <cellStyle name="Notas 2 3 2 7 3" xfId="3257"/>
    <cellStyle name="Notas 2 3 2 7 4" xfId="3258"/>
    <cellStyle name="Notas 2 3 2 7 5" xfId="3259"/>
    <cellStyle name="Notas 2 3 2 8" xfId="372"/>
    <cellStyle name="Notas 2 3 2 8 2" xfId="3260"/>
    <cellStyle name="Notas 2 3 2 8 3" xfId="3261"/>
    <cellStyle name="Notas 2 3 2 8 4" xfId="3262"/>
    <cellStyle name="Notas 2 3 2 8 5" xfId="3263"/>
    <cellStyle name="Notas 2 3 2 9" xfId="3264"/>
    <cellStyle name="Notas 2 3 3" xfId="272"/>
    <cellStyle name="Notas 2 3 3 2" xfId="3265"/>
    <cellStyle name="Notas 2 3 3 3" xfId="3266"/>
    <cellStyle name="Notas 2 3 3 4" xfId="3267"/>
    <cellStyle name="Notas 2 3 3 5" xfId="3268"/>
    <cellStyle name="Notas 2 3 4" xfId="316"/>
    <cellStyle name="Notas 2 3 4 2" xfId="3269"/>
    <cellStyle name="Notas 2 3 4 3" xfId="3270"/>
    <cellStyle name="Notas 2 3 4 4" xfId="3271"/>
    <cellStyle name="Notas 2 3 4 5" xfId="3272"/>
    <cellStyle name="Notas 2 3 5" xfId="411"/>
    <cellStyle name="Notas 2 3 5 2" xfId="3273"/>
    <cellStyle name="Notas 2 3 5 3" xfId="3274"/>
    <cellStyle name="Notas 2 3 5 4" xfId="3275"/>
    <cellStyle name="Notas 2 3 5 5" xfId="3276"/>
    <cellStyle name="Notas 2 3 6" xfId="423"/>
    <cellStyle name="Notas 2 3 6 2" xfId="3277"/>
    <cellStyle name="Notas 2 3 6 3" xfId="3278"/>
    <cellStyle name="Notas 2 3 6 4" xfId="3279"/>
    <cellStyle name="Notas 2 3 6 5" xfId="3280"/>
    <cellStyle name="Notas 2 3 7" xfId="3281"/>
    <cellStyle name="Notas 2 4" xfId="248"/>
    <cellStyle name="Notas 2 4 2" xfId="273"/>
    <cellStyle name="Notas 2 4 2 2" xfId="3282"/>
    <cellStyle name="Notas 2 4 2 3" xfId="3283"/>
    <cellStyle name="Notas 2 4 2 4" xfId="3284"/>
    <cellStyle name="Notas 2 4 2 5" xfId="3285"/>
    <cellStyle name="Notas 2 4 3" xfId="266"/>
    <cellStyle name="Notas 2 4 3 2" xfId="3286"/>
    <cellStyle name="Notas 2 4 3 3" xfId="3287"/>
    <cellStyle name="Notas 2 4 3 4" xfId="3288"/>
    <cellStyle name="Notas 2 4 3 5" xfId="3289"/>
    <cellStyle name="Notas 2 4 4" xfId="287"/>
    <cellStyle name="Notas 2 4 4 2" xfId="3290"/>
    <cellStyle name="Notas 2 4 4 3" xfId="3291"/>
    <cellStyle name="Notas 2 4 4 4" xfId="3292"/>
    <cellStyle name="Notas 2 4 4 5" xfId="3293"/>
    <cellStyle name="Notas 2 4 5" xfId="319"/>
    <cellStyle name="Notas 2 4 5 2" xfId="3294"/>
    <cellStyle name="Notas 2 4 5 3" xfId="3295"/>
    <cellStyle name="Notas 2 4 5 4" xfId="3296"/>
    <cellStyle name="Notas 2 4 5 5" xfId="3297"/>
    <cellStyle name="Notas 2 4 6" xfId="302"/>
    <cellStyle name="Notas 2 4 6 2" xfId="3298"/>
    <cellStyle name="Notas 2 4 6 3" xfId="3299"/>
    <cellStyle name="Notas 2 4 6 4" xfId="3300"/>
    <cellStyle name="Notas 2 4 6 5" xfId="3301"/>
    <cellStyle name="Notas 2 4 7" xfId="347"/>
    <cellStyle name="Notas 2 4 7 2" xfId="3302"/>
    <cellStyle name="Notas 2 4 7 3" xfId="3303"/>
    <cellStyle name="Notas 2 4 7 4" xfId="3304"/>
    <cellStyle name="Notas 2 4 7 5" xfId="3305"/>
    <cellStyle name="Notas 2 4 8" xfId="363"/>
    <cellStyle name="Notas 2 4 8 2" xfId="3306"/>
    <cellStyle name="Notas 2 4 8 3" xfId="3307"/>
    <cellStyle name="Notas 2 4 8 4" xfId="3308"/>
    <cellStyle name="Notas 2 4 8 5" xfId="3309"/>
    <cellStyle name="Notas 2 4 9" xfId="3310"/>
    <cellStyle name="Notas 2 5" xfId="315"/>
    <cellStyle name="Notas 2 5 2" xfId="3311"/>
    <cellStyle name="Notas 2 5 3" xfId="3312"/>
    <cellStyle name="Notas 2 5 4" xfId="3313"/>
    <cellStyle name="Notas 2 5 5" xfId="3314"/>
    <cellStyle name="Notas 2 6" xfId="387"/>
    <cellStyle name="Notas 2 6 2" xfId="3315"/>
    <cellStyle name="Notas 2 6 3" xfId="3316"/>
    <cellStyle name="Notas 2 6 4" xfId="3317"/>
    <cellStyle name="Notas 2 6 5" xfId="3318"/>
    <cellStyle name="Notas 2 7" xfId="386"/>
    <cellStyle name="Notas 2 7 2" xfId="3319"/>
    <cellStyle name="Notas 2 7 3" xfId="3320"/>
    <cellStyle name="Notas 2 7 4" xfId="3321"/>
    <cellStyle name="Notas 2 7 5" xfId="3322"/>
    <cellStyle name="Notas 2 8" xfId="3323"/>
    <cellStyle name="Notas 3" xfId="737"/>
    <cellStyle name="Notas 3 2" xfId="738"/>
    <cellStyle name="Notas 4" xfId="3324"/>
    <cellStyle name="Percent" xfId="175"/>
    <cellStyle name="Percent 2" xfId="3325"/>
    <cellStyle name="Percent 2 2" xfId="3326"/>
    <cellStyle name="Percent 3" xfId="3327"/>
    <cellStyle name="Porcentaje" xfId="176" builtinId="5"/>
    <cellStyle name="Porcentaje 2" xfId="739"/>
    <cellStyle name="Porcentaje 2 2" xfId="740"/>
    <cellStyle name="Porcentaje 2 2 2" xfId="3328"/>
    <cellStyle name="Porcentaje 2 2 2 2" xfId="3329"/>
    <cellStyle name="Porcentaje 2 2 2 2 2" xfId="3330"/>
    <cellStyle name="Porcentaje 2 2 2 3" xfId="3331"/>
    <cellStyle name="Porcentaje 2 2 3" xfId="3332"/>
    <cellStyle name="Porcentaje 2 2 3 2" xfId="3333"/>
    <cellStyle name="Porcentaje 2 2 3 2 2" xfId="3334"/>
    <cellStyle name="Porcentaje 2 2 3 2 2 2" xfId="3335"/>
    <cellStyle name="Porcentaje 2 2 3 2 2 2 2" xfId="3336"/>
    <cellStyle name="Porcentaje 2 2 3 2 2 2 2 2" xfId="3337"/>
    <cellStyle name="Porcentaje 2 2 3 2 2 2 3" xfId="3338"/>
    <cellStyle name="Porcentaje 2 2 3 2 2 3" xfId="3339"/>
    <cellStyle name="Porcentaje 2 2 3 2 2 3 2" xfId="3340"/>
    <cellStyle name="Porcentaje 2 2 3 2 2 3 2 2" xfId="3341"/>
    <cellStyle name="Porcentaje 2 2 3 2 2 3 3" xfId="3342"/>
    <cellStyle name="Porcentaje 2 2 3 2 2 4" xfId="3343"/>
    <cellStyle name="Porcentaje 2 2 3 2 2 4 2" xfId="3344"/>
    <cellStyle name="Porcentaje 2 2 3 2 2 4 2 2" xfId="3345"/>
    <cellStyle name="Porcentaje 2 2 3 2 2 4 3" xfId="3346"/>
    <cellStyle name="Porcentaje 2 2 3 2 2 5" xfId="3347"/>
    <cellStyle name="Porcentaje 2 2 3 2 2 5 2" xfId="3348"/>
    <cellStyle name="Porcentaje 2 2 3 2 2 6" xfId="3349"/>
    <cellStyle name="Porcentaje 2 2 3 2 3" xfId="3350"/>
    <cellStyle name="Porcentaje 2 2 3 2 3 2" xfId="3351"/>
    <cellStyle name="Porcentaje 2 2 3 2 4" xfId="3352"/>
    <cellStyle name="Porcentaje 2 2 3 3" xfId="3353"/>
    <cellStyle name="Porcentaje 2 2 3 3 2" xfId="3354"/>
    <cellStyle name="Porcentaje 2 2 3 4" xfId="3355"/>
    <cellStyle name="Porcentaje 2 2 4" xfId="3356"/>
    <cellStyle name="Porcentaje 2 2 4 2" xfId="3357"/>
    <cellStyle name="Porcentaje 2 2 5" xfId="3358"/>
    <cellStyle name="Porcentaje 2 2 6" xfId="3359"/>
    <cellStyle name="Porcentaje 2 3" xfId="3360"/>
    <cellStyle name="Porcentaje 3" xfId="741"/>
    <cellStyle name="Porcentaje 3 2" xfId="742"/>
    <cellStyle name="Porcentaje 3 2 2" xfId="743"/>
    <cellStyle name="Porcentaje 3 2 2 2" xfId="3361"/>
    <cellStyle name="Porcentaje 3 2 3" xfId="3362"/>
    <cellStyle name="Porcentaje 3 3" xfId="744"/>
    <cellStyle name="Porcentaje 3 3 2" xfId="3363"/>
    <cellStyle name="Porcentaje 3 4" xfId="3364"/>
    <cellStyle name="Porcentaje 4" xfId="745"/>
    <cellStyle name="Porcentaje 4 2" xfId="746"/>
    <cellStyle name="Porcentaje 4 2 2" xfId="3365"/>
    <cellStyle name="Porcentaje 4 2 2 2" xfId="3366"/>
    <cellStyle name="Porcentaje 4 2 3" xfId="3367"/>
    <cellStyle name="Porcentaje 4 3" xfId="3368"/>
    <cellStyle name="Porcentaje 4 3 2" xfId="3369"/>
    <cellStyle name="Porcentaje 4 3 2 2" xfId="3370"/>
    <cellStyle name="Porcentaje 4 3 3" xfId="3371"/>
    <cellStyle name="Porcentaje 4 4" xfId="3372"/>
    <cellStyle name="Porcentaje 4 4 2" xfId="3373"/>
    <cellStyle name="Porcentaje 4 4 2 2" xfId="3374"/>
    <cellStyle name="Porcentaje 4 4 2 2 2" xfId="3375"/>
    <cellStyle name="Porcentaje 4 4 2 3" xfId="3376"/>
    <cellStyle name="Porcentaje 4 4 3" xfId="3377"/>
    <cellStyle name="Porcentaje 4 4 3 2" xfId="3378"/>
    <cellStyle name="Porcentaje 4 4 4" xfId="3379"/>
    <cellStyle name="Porcentaje 4 5" xfId="3380"/>
    <cellStyle name="Porcentaje 4 5 2" xfId="3381"/>
    <cellStyle name="Porcentaje 4 6" xfId="3382"/>
    <cellStyle name="Porcentaje 5" xfId="747"/>
    <cellStyle name="Porcentaje 6" xfId="748"/>
    <cellStyle name="Porcentaje 6 2" xfId="749"/>
    <cellStyle name="Porcentaje 7" xfId="750"/>
    <cellStyle name="Porcentaje 7 2" xfId="751"/>
    <cellStyle name="Porcentaje 8" xfId="752"/>
    <cellStyle name="Porcentaje 8 2" xfId="753"/>
    <cellStyle name="Porcentaje 8 2 2" xfId="754"/>
    <cellStyle name="Porcentaje 8 3" xfId="755"/>
    <cellStyle name="Porcentaje 9" xfId="3383"/>
    <cellStyle name="Porcentual 10" xfId="222"/>
    <cellStyle name="Porcentual 10 10" xfId="3384"/>
    <cellStyle name="Porcentual 10 2" xfId="383"/>
    <cellStyle name="Porcentual 10 2 2" xfId="3385"/>
    <cellStyle name="Porcentual 10 3" xfId="756"/>
    <cellStyle name="Porcentual 10 3 2" xfId="3386"/>
    <cellStyle name="Porcentual 10 3 2 2" xfId="3387"/>
    <cellStyle name="Porcentual 10 3 2 2 2" xfId="3388"/>
    <cellStyle name="Porcentual 10 3 2 3" xfId="3389"/>
    <cellStyle name="Porcentual 10 3 3" xfId="3390"/>
    <cellStyle name="Porcentual 10 3 3 2" xfId="3391"/>
    <cellStyle name="Porcentual 10 3 4" xfId="3392"/>
    <cellStyle name="Porcentual 10 4" xfId="3393"/>
    <cellStyle name="Porcentual 10 4 2" xfId="3394"/>
    <cellStyle name="Porcentual 10 4 2 2" xfId="3395"/>
    <cellStyle name="Porcentual 10 4 2 2 2" xfId="3396"/>
    <cellStyle name="Porcentual 10 4 2 3" xfId="3397"/>
    <cellStyle name="Porcentual 10 4 3" xfId="3398"/>
    <cellStyle name="Porcentual 10 4 3 2" xfId="3399"/>
    <cellStyle name="Porcentual 10 4 4" xfId="3400"/>
    <cellStyle name="Porcentual 10 5" xfId="3401"/>
    <cellStyle name="Porcentual 10 5 2" xfId="3402"/>
    <cellStyle name="Porcentual 10 5 2 2" xfId="3403"/>
    <cellStyle name="Porcentual 10 5 2 2 2" xfId="3404"/>
    <cellStyle name="Porcentual 10 5 2 3" xfId="3405"/>
    <cellStyle name="Porcentual 10 5 3" xfId="3406"/>
    <cellStyle name="Porcentual 10 5 3 2" xfId="3407"/>
    <cellStyle name="Porcentual 10 5 4" xfId="3408"/>
    <cellStyle name="Porcentual 10 6" xfId="3409"/>
    <cellStyle name="Porcentual 10 6 2" xfId="3410"/>
    <cellStyle name="Porcentual 10 6 2 2" xfId="3411"/>
    <cellStyle name="Porcentual 10 6 2 2 2" xfId="3412"/>
    <cellStyle name="Porcentual 10 6 2 3" xfId="3413"/>
    <cellStyle name="Porcentual 10 6 3" xfId="3414"/>
    <cellStyle name="Porcentual 10 6 3 2" xfId="3415"/>
    <cellStyle name="Porcentual 10 6 4" xfId="3416"/>
    <cellStyle name="Porcentual 10 7" xfId="3417"/>
    <cellStyle name="Porcentual 10 7 2" xfId="3418"/>
    <cellStyle name="Porcentual 10 7 2 2" xfId="3419"/>
    <cellStyle name="Porcentual 10 7 2 2 2" xfId="3420"/>
    <cellStyle name="Porcentual 10 7 2 3" xfId="3421"/>
    <cellStyle name="Porcentual 10 7 3" xfId="3422"/>
    <cellStyle name="Porcentual 10 7 3 2" xfId="3423"/>
    <cellStyle name="Porcentual 10 7 4" xfId="3424"/>
    <cellStyle name="Porcentual 10 8" xfId="3425"/>
    <cellStyle name="Porcentual 10 8 2" xfId="3426"/>
    <cellStyle name="Porcentual 10 8 2 2" xfId="3427"/>
    <cellStyle name="Porcentual 10 8 3" xfId="3428"/>
    <cellStyle name="Porcentual 10 9" xfId="3429"/>
    <cellStyle name="Porcentual 10 9 2" xfId="3430"/>
    <cellStyle name="Porcentual 11" xfId="237"/>
    <cellStyle name="Porcentual 11 2" xfId="252"/>
    <cellStyle name="Porcentual 2" xfId="177"/>
    <cellStyle name="Porcentual 2 2" xfId="207"/>
    <cellStyle name="Porcentual 3" xfId="178"/>
    <cellStyle name="Porcentual 3 2" xfId="179"/>
    <cellStyle name="Porcentual 3 2 10" xfId="3431"/>
    <cellStyle name="Porcentual 3 2 2" xfId="384"/>
    <cellStyle name="Porcentual 3 2 2 2" xfId="757"/>
    <cellStyle name="Porcentual 3 2 2 2 2" xfId="758"/>
    <cellStyle name="Porcentual 3 2 2 3" xfId="759"/>
    <cellStyle name="Porcentual 3 2 3" xfId="760"/>
    <cellStyle name="Porcentual 3 2 3 2" xfId="761"/>
    <cellStyle name="Porcentual 3 2 3 2 2" xfId="3432"/>
    <cellStyle name="Porcentual 3 2 3 2 2 2" xfId="3433"/>
    <cellStyle name="Porcentual 3 2 3 2 3" xfId="3434"/>
    <cellStyle name="Porcentual 3 2 3 3" xfId="3435"/>
    <cellStyle name="Porcentual 3 2 3 3 2" xfId="3436"/>
    <cellStyle name="Porcentual 3 2 3 4" xfId="3437"/>
    <cellStyle name="Porcentual 3 2 4" xfId="762"/>
    <cellStyle name="Porcentual 3 2 4 2" xfId="763"/>
    <cellStyle name="Porcentual 3 2 4 2 2" xfId="3438"/>
    <cellStyle name="Porcentual 3 2 4 2 2 2" xfId="3439"/>
    <cellStyle name="Porcentual 3 2 4 2 3" xfId="3440"/>
    <cellStyle name="Porcentual 3 2 4 3" xfId="3441"/>
    <cellStyle name="Porcentual 3 2 4 3 2" xfId="3442"/>
    <cellStyle name="Porcentual 3 2 4 4" xfId="3443"/>
    <cellStyle name="Porcentual 3 2 5" xfId="764"/>
    <cellStyle name="Porcentual 3 2 5 2" xfId="3444"/>
    <cellStyle name="Porcentual 3 2 5 2 2" xfId="3445"/>
    <cellStyle name="Porcentual 3 2 5 2 2 2" xfId="3446"/>
    <cellStyle name="Porcentual 3 2 5 2 3" xfId="3447"/>
    <cellStyle name="Porcentual 3 2 5 3" xfId="3448"/>
    <cellStyle name="Porcentual 3 2 5 3 2" xfId="3449"/>
    <cellStyle name="Porcentual 3 2 5 4" xfId="3450"/>
    <cellStyle name="Porcentual 3 2 6" xfId="3451"/>
    <cellStyle name="Porcentual 3 2 6 2" xfId="3452"/>
    <cellStyle name="Porcentual 3 2 6 2 2" xfId="3453"/>
    <cellStyle name="Porcentual 3 2 6 2 2 2" xfId="3454"/>
    <cellStyle name="Porcentual 3 2 6 2 3" xfId="3455"/>
    <cellStyle name="Porcentual 3 2 6 3" xfId="3456"/>
    <cellStyle name="Porcentual 3 2 6 3 2" xfId="3457"/>
    <cellStyle name="Porcentual 3 2 6 4" xfId="3458"/>
    <cellStyle name="Porcentual 3 2 7" xfId="3459"/>
    <cellStyle name="Porcentual 3 2 7 2" xfId="3460"/>
    <cellStyle name="Porcentual 3 2 7 2 2" xfId="3461"/>
    <cellStyle name="Porcentual 3 2 7 2 2 2" xfId="3462"/>
    <cellStyle name="Porcentual 3 2 7 2 3" xfId="3463"/>
    <cellStyle name="Porcentual 3 2 7 3" xfId="3464"/>
    <cellStyle name="Porcentual 3 2 7 3 2" xfId="3465"/>
    <cellStyle name="Porcentual 3 2 7 4" xfId="3466"/>
    <cellStyle name="Porcentual 3 2 8" xfId="3467"/>
    <cellStyle name="Porcentual 3 2 8 2" xfId="3468"/>
    <cellStyle name="Porcentual 3 2 8 2 2" xfId="3469"/>
    <cellStyle name="Porcentual 3 2 8 3" xfId="3470"/>
    <cellStyle name="Porcentual 3 2 9" xfId="3471"/>
    <cellStyle name="Porcentual 3 2 9 2" xfId="3472"/>
    <cellStyle name="Porcentual 3 3" xfId="208"/>
    <cellStyle name="Porcentual 3 3 2" xfId="765"/>
    <cellStyle name="Porcentual 3 3 2 2" xfId="766"/>
    <cellStyle name="Porcentual 3 3 3" xfId="767"/>
    <cellStyle name="Porcentual 3 3 4" xfId="768"/>
    <cellStyle name="Porcentual 3 4" xfId="769"/>
    <cellStyle name="Porcentual 3 4 2" xfId="770"/>
    <cellStyle name="Porcentual 3 5" xfId="771"/>
    <cellStyle name="Porcentual 3 6" xfId="772"/>
    <cellStyle name="Porcentual 4" xfId="180"/>
    <cellStyle name="Porcentual 4 2" xfId="181"/>
    <cellStyle name="Porcentual 4 2 2" xfId="3473"/>
    <cellStyle name="Porcentual 4 2 2 2" xfId="3474"/>
    <cellStyle name="Porcentual 4 2 3" xfId="3475"/>
    <cellStyle name="Porcentual 4 3" xfId="3476"/>
    <cellStyle name="Porcentual 4 3 2" xfId="3477"/>
    <cellStyle name="Porcentual 4 4" xfId="3478"/>
    <cellStyle name="Porcentual 5" xfId="182"/>
    <cellStyle name="Porcentual 5 10" xfId="3479"/>
    <cellStyle name="Porcentual 5 2" xfId="385"/>
    <cellStyle name="Porcentual 5 2 2" xfId="773"/>
    <cellStyle name="Porcentual 5 2 2 2" xfId="774"/>
    <cellStyle name="Porcentual 5 2 3" xfId="775"/>
    <cellStyle name="Porcentual 5 3" xfId="776"/>
    <cellStyle name="Porcentual 5 3 2" xfId="777"/>
    <cellStyle name="Porcentual 5 3 2 2" xfId="3480"/>
    <cellStyle name="Porcentual 5 3 2 2 2" xfId="3481"/>
    <cellStyle name="Porcentual 5 3 2 3" xfId="3482"/>
    <cellStyle name="Porcentual 5 3 3" xfId="3483"/>
    <cellStyle name="Porcentual 5 3 3 2" xfId="3484"/>
    <cellStyle name="Porcentual 5 3 4" xfId="3485"/>
    <cellStyle name="Porcentual 5 4" xfId="778"/>
    <cellStyle name="Porcentual 5 4 2" xfId="779"/>
    <cellStyle name="Porcentual 5 4 2 2" xfId="3486"/>
    <cellStyle name="Porcentual 5 4 2 2 2" xfId="3487"/>
    <cellStyle name="Porcentual 5 4 2 3" xfId="3488"/>
    <cellStyle name="Porcentual 5 4 3" xfId="3489"/>
    <cellStyle name="Porcentual 5 4 3 2" xfId="3490"/>
    <cellStyle name="Porcentual 5 4 4" xfId="3491"/>
    <cellStyle name="Porcentual 5 5" xfId="780"/>
    <cellStyle name="Porcentual 5 5 2" xfId="3492"/>
    <cellStyle name="Porcentual 5 5 2 2" xfId="3493"/>
    <cellStyle name="Porcentual 5 5 2 2 2" xfId="3494"/>
    <cellStyle name="Porcentual 5 5 2 3" xfId="3495"/>
    <cellStyle name="Porcentual 5 5 3" xfId="3496"/>
    <cellStyle name="Porcentual 5 5 3 2" xfId="3497"/>
    <cellStyle name="Porcentual 5 5 4" xfId="3498"/>
    <cellStyle name="Porcentual 5 6" xfId="3499"/>
    <cellStyle name="Porcentual 5 6 2" xfId="3500"/>
    <cellStyle name="Porcentual 5 6 2 2" xfId="3501"/>
    <cellStyle name="Porcentual 5 6 2 2 2" xfId="3502"/>
    <cellStyle name="Porcentual 5 6 2 3" xfId="3503"/>
    <cellStyle name="Porcentual 5 6 3" xfId="3504"/>
    <cellStyle name="Porcentual 5 6 3 2" xfId="3505"/>
    <cellStyle name="Porcentual 5 6 4" xfId="3506"/>
    <cellStyle name="Porcentual 5 7" xfId="3507"/>
    <cellStyle name="Porcentual 5 7 2" xfId="3508"/>
    <cellStyle name="Porcentual 5 7 2 2" xfId="3509"/>
    <cellStyle name="Porcentual 5 7 2 2 2" xfId="3510"/>
    <cellStyle name="Porcentual 5 7 2 3" xfId="3511"/>
    <cellStyle name="Porcentual 5 7 3" xfId="3512"/>
    <cellStyle name="Porcentual 5 7 3 2" xfId="3513"/>
    <cellStyle name="Porcentual 5 7 4" xfId="3514"/>
    <cellStyle name="Porcentual 5 8" xfId="3515"/>
    <cellStyle name="Porcentual 5 8 2" xfId="3516"/>
    <cellStyle name="Porcentual 5 8 2 2" xfId="3517"/>
    <cellStyle name="Porcentual 5 8 3" xfId="3518"/>
    <cellStyle name="Porcentual 5 9" xfId="3519"/>
    <cellStyle name="Porcentual 5 9 2" xfId="3520"/>
    <cellStyle name="Porcentual 6" xfId="183"/>
    <cellStyle name="Porcentual 6 2" xfId="781"/>
    <cellStyle name="Porcentual 7" xfId="184"/>
    <cellStyle name="Porcentual 7 2" xfId="782"/>
    <cellStyle name="Porcentual 7 2 2" xfId="783"/>
    <cellStyle name="Porcentual 7 3" xfId="784"/>
    <cellStyle name="Porcentual 7 4" xfId="785"/>
    <cellStyle name="Porcentual 8" xfId="185"/>
    <cellStyle name="Porcentual 8 2" xfId="223"/>
    <cellStyle name="Porcentual 9" xfId="210"/>
    <cellStyle name="Porcentual 9 2" xfId="228"/>
    <cellStyle name="Salida 2" xfId="186"/>
    <cellStyle name="Salida 2 2" xfId="232"/>
    <cellStyle name="Salida 2 2 2" xfId="254"/>
    <cellStyle name="Salida 2 2 2 10" xfId="3521"/>
    <cellStyle name="Salida 2 2 2 11" xfId="3522"/>
    <cellStyle name="Salida 2 2 2 2" xfId="279"/>
    <cellStyle name="Salida 2 2 2 2 2" xfId="3523"/>
    <cellStyle name="Salida 2 2 2 2 3" xfId="3524"/>
    <cellStyle name="Salida 2 2 2 2 4" xfId="3525"/>
    <cellStyle name="Salida 2 2 2 2 5" xfId="3526"/>
    <cellStyle name="Salida 2 2 2 3" xfId="297"/>
    <cellStyle name="Salida 2 2 2 3 2" xfId="3527"/>
    <cellStyle name="Salida 2 2 2 3 3" xfId="3528"/>
    <cellStyle name="Salida 2 2 2 3 4" xfId="3529"/>
    <cellStyle name="Salida 2 2 2 3 5" xfId="3530"/>
    <cellStyle name="Salida 2 2 2 4" xfId="329"/>
    <cellStyle name="Salida 2 2 2 4 2" xfId="3531"/>
    <cellStyle name="Salida 2 2 2 4 3" xfId="3532"/>
    <cellStyle name="Salida 2 2 2 4 4" xfId="3533"/>
    <cellStyle name="Salida 2 2 2 4 5" xfId="3534"/>
    <cellStyle name="Salida 2 2 2 5" xfId="341"/>
    <cellStyle name="Salida 2 2 2 5 2" xfId="3535"/>
    <cellStyle name="Salida 2 2 2 5 3" xfId="3536"/>
    <cellStyle name="Salida 2 2 2 5 4" xfId="3537"/>
    <cellStyle name="Salida 2 2 2 5 5" xfId="3538"/>
    <cellStyle name="Salida 2 2 2 6" xfId="357"/>
    <cellStyle name="Salida 2 2 2 6 2" xfId="3539"/>
    <cellStyle name="Salida 2 2 2 6 3" xfId="3540"/>
    <cellStyle name="Salida 2 2 2 6 4" xfId="3541"/>
    <cellStyle name="Salida 2 2 2 6 5" xfId="3542"/>
    <cellStyle name="Salida 2 2 2 7" xfId="373"/>
    <cellStyle name="Salida 2 2 2 7 2" xfId="3543"/>
    <cellStyle name="Salida 2 2 2 7 3" xfId="3544"/>
    <cellStyle name="Salida 2 2 2 7 4" xfId="3545"/>
    <cellStyle name="Salida 2 2 2 7 5" xfId="3546"/>
    <cellStyle name="Salida 2 2 2 8" xfId="3547"/>
    <cellStyle name="Salida 2 2 2 9" xfId="3548"/>
    <cellStyle name="Salida 2 2 3" xfId="311"/>
    <cellStyle name="Salida 2 2 3 2" xfId="3549"/>
    <cellStyle name="Salida 2 2 3 3" xfId="3550"/>
    <cellStyle name="Salida 2 2 3 4" xfId="3551"/>
    <cellStyle name="Salida 2 2 3 5" xfId="3552"/>
    <cellStyle name="Salida 2 2 4" xfId="408"/>
    <cellStyle name="Salida 2 2 4 2" xfId="3553"/>
    <cellStyle name="Salida 2 2 4 3" xfId="3554"/>
    <cellStyle name="Salida 2 2 4 4" xfId="3555"/>
    <cellStyle name="Salida 2 2 4 5" xfId="3556"/>
    <cellStyle name="Salida 2 2 5" xfId="412"/>
    <cellStyle name="Salida 2 2 5 2" xfId="3557"/>
    <cellStyle name="Salida 2 2 5 3" xfId="3558"/>
    <cellStyle name="Salida 2 2 5 4" xfId="3559"/>
    <cellStyle name="Salida 2 2 5 5" xfId="3560"/>
    <cellStyle name="Salida 2 2 6" xfId="424"/>
    <cellStyle name="Salida 2 2 6 2" xfId="3561"/>
    <cellStyle name="Salida 2 2 6 3" xfId="3562"/>
    <cellStyle name="Salida 2 2 6 4" xfId="3563"/>
    <cellStyle name="Salida 2 2 6 5" xfId="3564"/>
    <cellStyle name="Salida 2 3" xfId="224"/>
    <cellStyle name="Salida 2 3 2" xfId="255"/>
    <cellStyle name="Salida 2 3 2 10" xfId="3565"/>
    <cellStyle name="Salida 2 3 2 11" xfId="3566"/>
    <cellStyle name="Salida 2 3 2 2" xfId="280"/>
    <cellStyle name="Salida 2 3 2 2 2" xfId="3567"/>
    <cellStyle name="Salida 2 3 2 2 3" xfId="3568"/>
    <cellStyle name="Salida 2 3 2 2 4" xfId="3569"/>
    <cellStyle name="Salida 2 3 2 2 5" xfId="3570"/>
    <cellStyle name="Salida 2 3 2 3" xfId="298"/>
    <cellStyle name="Salida 2 3 2 3 2" xfId="3571"/>
    <cellStyle name="Salida 2 3 2 3 3" xfId="3572"/>
    <cellStyle name="Salida 2 3 2 3 4" xfId="3573"/>
    <cellStyle name="Salida 2 3 2 3 5" xfId="3574"/>
    <cellStyle name="Salida 2 3 2 4" xfId="330"/>
    <cellStyle name="Salida 2 3 2 4 2" xfId="3575"/>
    <cellStyle name="Salida 2 3 2 4 3" xfId="3576"/>
    <cellStyle name="Salida 2 3 2 4 4" xfId="3577"/>
    <cellStyle name="Salida 2 3 2 4 5" xfId="3578"/>
    <cellStyle name="Salida 2 3 2 5" xfId="342"/>
    <cellStyle name="Salida 2 3 2 5 2" xfId="3579"/>
    <cellStyle name="Salida 2 3 2 5 3" xfId="3580"/>
    <cellStyle name="Salida 2 3 2 5 4" xfId="3581"/>
    <cellStyle name="Salida 2 3 2 5 5" xfId="3582"/>
    <cellStyle name="Salida 2 3 2 6" xfId="358"/>
    <cellStyle name="Salida 2 3 2 6 2" xfId="3583"/>
    <cellStyle name="Salida 2 3 2 6 3" xfId="3584"/>
    <cellStyle name="Salida 2 3 2 6 4" xfId="3585"/>
    <cellStyle name="Salida 2 3 2 6 5" xfId="3586"/>
    <cellStyle name="Salida 2 3 2 7" xfId="374"/>
    <cellStyle name="Salida 2 3 2 7 2" xfId="3587"/>
    <cellStyle name="Salida 2 3 2 7 3" xfId="3588"/>
    <cellStyle name="Salida 2 3 2 7 4" xfId="3589"/>
    <cellStyle name="Salida 2 3 2 7 5" xfId="3590"/>
    <cellStyle name="Salida 2 3 2 8" xfId="3591"/>
    <cellStyle name="Salida 2 3 2 9" xfId="3592"/>
    <cellStyle name="Salida 2 3 3" xfId="314"/>
    <cellStyle name="Salida 2 3 3 2" xfId="3593"/>
    <cellStyle name="Salida 2 3 3 3" xfId="3594"/>
    <cellStyle name="Salida 2 3 3 4" xfId="3595"/>
    <cellStyle name="Salida 2 3 3 5" xfId="3596"/>
    <cellStyle name="Salida 2 3 4" xfId="409"/>
    <cellStyle name="Salida 2 3 4 2" xfId="3597"/>
    <cellStyle name="Salida 2 3 4 3" xfId="3598"/>
    <cellStyle name="Salida 2 3 4 4" xfId="3599"/>
    <cellStyle name="Salida 2 3 4 5" xfId="3600"/>
    <cellStyle name="Salida 2 3 5" xfId="413"/>
    <cellStyle name="Salida 2 3 5 2" xfId="3601"/>
    <cellStyle name="Salida 2 3 5 3" xfId="3602"/>
    <cellStyle name="Salida 2 3 5 4" xfId="3603"/>
    <cellStyle name="Salida 2 3 5 5" xfId="3604"/>
    <cellStyle name="Salida 2 3 6" xfId="425"/>
    <cellStyle name="Salida 2 3 6 2" xfId="3605"/>
    <cellStyle name="Salida 2 3 6 3" xfId="3606"/>
    <cellStyle name="Salida 2 3 6 4" xfId="3607"/>
    <cellStyle name="Salida 2 3 6 5" xfId="3608"/>
    <cellStyle name="Salida 2 4" xfId="253"/>
    <cellStyle name="Salida 2 4 2" xfId="265"/>
    <cellStyle name="Salida 2 4 2 2" xfId="3609"/>
    <cellStyle name="Salida 2 4 2 3" xfId="3610"/>
    <cellStyle name="Salida 2 4 2 4" xfId="3611"/>
    <cellStyle name="Salida 2 4 2 5" xfId="3612"/>
    <cellStyle name="Salida 2 4 3" xfId="288"/>
    <cellStyle name="Salida 2 4 3 2" xfId="3613"/>
    <cellStyle name="Salida 2 4 3 3" xfId="3614"/>
    <cellStyle name="Salida 2 4 3 4" xfId="3615"/>
    <cellStyle name="Salida 2 4 3 5" xfId="3616"/>
    <cellStyle name="Salida 2 4 4" xfId="320"/>
    <cellStyle name="Salida 2 4 4 2" xfId="3617"/>
    <cellStyle name="Salida 2 4 4 3" xfId="3618"/>
    <cellStyle name="Salida 2 4 4 4" xfId="3619"/>
    <cellStyle name="Salida 2 4 4 5" xfId="3620"/>
    <cellStyle name="Salida 2 4 5" xfId="303"/>
    <cellStyle name="Salida 2 4 5 2" xfId="3621"/>
    <cellStyle name="Salida 2 4 5 3" xfId="3622"/>
    <cellStyle name="Salida 2 4 5 4" xfId="3623"/>
    <cellStyle name="Salida 2 4 5 5" xfId="3624"/>
    <cellStyle name="Salida 2 4 6" xfId="348"/>
    <cellStyle name="Salida 2 4 6 2" xfId="3625"/>
    <cellStyle name="Salida 2 4 6 3" xfId="3626"/>
    <cellStyle name="Salida 2 4 6 4" xfId="3627"/>
    <cellStyle name="Salida 2 4 6 5" xfId="3628"/>
    <cellStyle name="Salida 2 4 7" xfId="364"/>
    <cellStyle name="Salida 2 4 7 2" xfId="3629"/>
    <cellStyle name="Salida 2 4 7 3" xfId="3630"/>
    <cellStyle name="Salida 2 4 7 4" xfId="3631"/>
    <cellStyle name="Salida 2 4 7 5" xfId="3632"/>
    <cellStyle name="Salida 2 4 8" xfId="3633"/>
    <cellStyle name="Salida 2 5" xfId="304"/>
    <cellStyle name="Salida 2 5 2" xfId="3634"/>
    <cellStyle name="Salida 2 5 3" xfId="3635"/>
    <cellStyle name="Salida 2 5 4" xfId="3636"/>
    <cellStyle name="Salida 2 5 5" xfId="3637"/>
    <cellStyle name="Salida 2 6" xfId="391"/>
    <cellStyle name="Salida 2 6 2" xfId="3638"/>
    <cellStyle name="Salida 2 6 3" xfId="3639"/>
    <cellStyle name="Salida 2 6 4" xfId="3640"/>
    <cellStyle name="Salida 2 6 5" xfId="3641"/>
    <cellStyle name="Salida 2 7" xfId="403"/>
    <cellStyle name="Salida 2 7 2" xfId="3642"/>
    <cellStyle name="Salida 2 7 3" xfId="3643"/>
    <cellStyle name="Salida 2 7 4" xfId="3644"/>
    <cellStyle name="Salida 2 7 5" xfId="3645"/>
    <cellStyle name="Salida 2 8" xfId="390"/>
    <cellStyle name="Salida 2 8 2" xfId="3646"/>
    <cellStyle name="Salida 2 8 3" xfId="3647"/>
    <cellStyle name="Salida 2 8 4" xfId="3648"/>
    <cellStyle name="Salida 2 8 5" xfId="3649"/>
    <cellStyle name="Salida 3" xfId="786"/>
    <cellStyle name="Salida 3 2" xfId="787"/>
    <cellStyle name="TableStyleLight1" xfId="450"/>
    <cellStyle name="Texto de advertencia 2" xfId="187"/>
    <cellStyle name="Texto de advertencia 3" xfId="788"/>
    <cellStyle name="Texto explicativo 2" xfId="188"/>
    <cellStyle name="Texto explicativo 3" xfId="789"/>
    <cellStyle name="Título 1 2" xfId="189"/>
    <cellStyle name="Título 1 3" xfId="790"/>
    <cellStyle name="Título 2 2" xfId="190"/>
    <cellStyle name="Título 2 3" xfId="791"/>
    <cellStyle name="Título 3 2" xfId="191"/>
    <cellStyle name="Título 3 3" xfId="792"/>
    <cellStyle name="Título 4" xfId="192"/>
    <cellStyle name="Título 5" xfId="793"/>
    <cellStyle name="Total 2" xfId="193"/>
    <cellStyle name="Total 2 2" xfId="233"/>
    <cellStyle name="Total 2 2 2" xfId="257"/>
    <cellStyle name="Total 2 2 2 10" xfId="3650"/>
    <cellStyle name="Total 2 2 2 11" xfId="3651"/>
    <cellStyle name="Total 2 2 2 2" xfId="281"/>
    <cellStyle name="Total 2 2 2 2 2" xfId="3652"/>
    <cellStyle name="Total 2 2 2 2 3" xfId="3653"/>
    <cellStyle name="Total 2 2 2 2 4" xfId="3654"/>
    <cellStyle name="Total 2 2 2 2 5" xfId="3655"/>
    <cellStyle name="Total 2 2 2 3" xfId="299"/>
    <cellStyle name="Total 2 2 2 3 2" xfId="3656"/>
    <cellStyle name="Total 2 2 2 3 3" xfId="3657"/>
    <cellStyle name="Total 2 2 2 3 4" xfId="3658"/>
    <cellStyle name="Total 2 2 2 3 5" xfId="3659"/>
    <cellStyle name="Total 2 2 2 4" xfId="331"/>
    <cellStyle name="Total 2 2 2 4 2" xfId="3660"/>
    <cellStyle name="Total 2 2 2 4 3" xfId="3661"/>
    <cellStyle name="Total 2 2 2 4 4" xfId="3662"/>
    <cellStyle name="Total 2 2 2 4 5" xfId="3663"/>
    <cellStyle name="Total 2 2 2 5" xfId="343"/>
    <cellStyle name="Total 2 2 2 5 2" xfId="3664"/>
    <cellStyle name="Total 2 2 2 5 3" xfId="3665"/>
    <cellStyle name="Total 2 2 2 5 4" xfId="3666"/>
    <cellStyle name="Total 2 2 2 5 5" xfId="3667"/>
    <cellStyle name="Total 2 2 2 6" xfId="359"/>
    <cellStyle name="Total 2 2 2 6 2" xfId="3668"/>
    <cellStyle name="Total 2 2 2 6 3" xfId="3669"/>
    <cellStyle name="Total 2 2 2 6 4" xfId="3670"/>
    <cellStyle name="Total 2 2 2 6 5" xfId="3671"/>
    <cellStyle name="Total 2 2 2 7" xfId="375"/>
    <cellStyle name="Total 2 2 2 7 2" xfId="3672"/>
    <cellStyle name="Total 2 2 2 7 3" xfId="3673"/>
    <cellStyle name="Total 2 2 2 7 4" xfId="3674"/>
    <cellStyle name="Total 2 2 2 7 5" xfId="3675"/>
    <cellStyle name="Total 2 2 2 8" xfId="3676"/>
    <cellStyle name="Total 2 2 2 9" xfId="3677"/>
    <cellStyle name="Total 2 2 3" xfId="333"/>
    <cellStyle name="Total 2 2 3 2" xfId="3678"/>
    <cellStyle name="Total 2 2 3 3" xfId="3679"/>
    <cellStyle name="Total 2 2 3 4" xfId="3680"/>
    <cellStyle name="Total 2 2 3 5" xfId="3681"/>
    <cellStyle name="Total 2 2 4" xfId="406"/>
    <cellStyle name="Total 2 2 4 2" xfId="3682"/>
    <cellStyle name="Total 2 2 4 3" xfId="3683"/>
    <cellStyle name="Total 2 2 4 4" xfId="3684"/>
    <cellStyle name="Total 2 2 4 5" xfId="3685"/>
    <cellStyle name="Total 2 2 5" xfId="414"/>
    <cellStyle name="Total 2 2 5 2" xfId="3686"/>
    <cellStyle name="Total 2 2 5 3" xfId="3687"/>
    <cellStyle name="Total 2 2 5 4" xfId="3688"/>
    <cellStyle name="Total 2 2 5 5" xfId="3689"/>
    <cellStyle name="Total 2 2 6" xfId="426"/>
    <cellStyle name="Total 2 2 6 2" xfId="3690"/>
    <cellStyle name="Total 2 2 6 3" xfId="3691"/>
    <cellStyle name="Total 2 2 6 4" xfId="3692"/>
    <cellStyle name="Total 2 2 6 5" xfId="3693"/>
    <cellStyle name="Total 2 3" xfId="225"/>
    <cellStyle name="Total 2 3 2" xfId="258"/>
    <cellStyle name="Total 2 3 2 10" xfId="3694"/>
    <cellStyle name="Total 2 3 2 11" xfId="3695"/>
    <cellStyle name="Total 2 3 2 2" xfId="282"/>
    <cellStyle name="Total 2 3 2 2 2" xfId="3696"/>
    <cellStyle name="Total 2 3 2 2 3" xfId="3697"/>
    <cellStyle name="Total 2 3 2 2 4" xfId="3698"/>
    <cellStyle name="Total 2 3 2 2 5" xfId="3699"/>
    <cellStyle name="Total 2 3 2 3" xfId="300"/>
    <cellStyle name="Total 2 3 2 3 2" xfId="3700"/>
    <cellStyle name="Total 2 3 2 3 3" xfId="3701"/>
    <cellStyle name="Total 2 3 2 3 4" xfId="3702"/>
    <cellStyle name="Total 2 3 2 3 5" xfId="3703"/>
    <cellStyle name="Total 2 3 2 4" xfId="332"/>
    <cellStyle name="Total 2 3 2 4 2" xfId="3704"/>
    <cellStyle name="Total 2 3 2 4 3" xfId="3705"/>
    <cellStyle name="Total 2 3 2 4 4" xfId="3706"/>
    <cellStyle name="Total 2 3 2 4 5" xfId="3707"/>
    <cellStyle name="Total 2 3 2 5" xfId="344"/>
    <cellStyle name="Total 2 3 2 5 2" xfId="3708"/>
    <cellStyle name="Total 2 3 2 5 3" xfId="3709"/>
    <cellStyle name="Total 2 3 2 5 4" xfId="3710"/>
    <cellStyle name="Total 2 3 2 5 5" xfId="3711"/>
    <cellStyle name="Total 2 3 2 6" xfId="360"/>
    <cellStyle name="Total 2 3 2 6 2" xfId="3712"/>
    <cellStyle name="Total 2 3 2 6 3" xfId="3713"/>
    <cellStyle name="Total 2 3 2 6 4" xfId="3714"/>
    <cellStyle name="Total 2 3 2 6 5" xfId="3715"/>
    <cellStyle name="Total 2 3 2 7" xfId="376"/>
    <cellStyle name="Total 2 3 2 7 2" xfId="3716"/>
    <cellStyle name="Total 2 3 2 7 3" xfId="3717"/>
    <cellStyle name="Total 2 3 2 7 4" xfId="3718"/>
    <cellStyle name="Total 2 3 2 7 5" xfId="3719"/>
    <cellStyle name="Total 2 3 2 8" xfId="3720"/>
    <cellStyle name="Total 2 3 2 9" xfId="3721"/>
    <cellStyle name="Total 2 3 3" xfId="334"/>
    <cellStyle name="Total 2 3 3 2" xfId="3722"/>
    <cellStyle name="Total 2 3 3 3" xfId="3723"/>
    <cellStyle name="Total 2 3 3 4" xfId="3724"/>
    <cellStyle name="Total 2 3 3 5" xfId="3725"/>
    <cellStyle name="Total 2 3 4" xfId="407"/>
    <cellStyle name="Total 2 3 4 2" xfId="3726"/>
    <cellStyle name="Total 2 3 4 3" xfId="3727"/>
    <cellStyle name="Total 2 3 4 4" xfId="3728"/>
    <cellStyle name="Total 2 3 4 5" xfId="3729"/>
    <cellStyle name="Total 2 3 5" xfId="415"/>
    <cellStyle name="Total 2 3 5 2" xfId="3730"/>
    <cellStyle name="Total 2 3 5 3" xfId="3731"/>
    <cellStyle name="Total 2 3 5 4" xfId="3732"/>
    <cellStyle name="Total 2 3 5 5" xfId="3733"/>
    <cellStyle name="Total 2 3 6" xfId="427"/>
    <cellStyle name="Total 2 3 6 2" xfId="3734"/>
    <cellStyle name="Total 2 3 6 3" xfId="3735"/>
    <cellStyle name="Total 2 3 6 4" xfId="3736"/>
    <cellStyle name="Total 2 3 6 5" xfId="3737"/>
    <cellStyle name="Total 2 4" xfId="256"/>
    <cellStyle name="Total 2 4 2" xfId="264"/>
    <cellStyle name="Total 2 4 2 2" xfId="3738"/>
    <cellStyle name="Total 2 4 2 3" xfId="3739"/>
    <cellStyle name="Total 2 4 2 4" xfId="3740"/>
    <cellStyle name="Total 2 4 2 5" xfId="3741"/>
    <cellStyle name="Total 2 4 3" xfId="289"/>
    <cellStyle name="Total 2 4 3 2" xfId="3742"/>
    <cellStyle name="Total 2 4 3 3" xfId="3743"/>
    <cellStyle name="Total 2 4 3 4" xfId="3744"/>
    <cellStyle name="Total 2 4 3 5" xfId="3745"/>
    <cellStyle name="Total 2 4 4" xfId="321"/>
    <cellStyle name="Total 2 4 4 2" xfId="3746"/>
    <cellStyle name="Total 2 4 4 3" xfId="3747"/>
    <cellStyle name="Total 2 4 4 4" xfId="3748"/>
    <cellStyle name="Total 2 4 4 5" xfId="3749"/>
    <cellStyle name="Total 2 4 5" xfId="307"/>
    <cellStyle name="Total 2 4 5 2" xfId="3750"/>
    <cellStyle name="Total 2 4 5 3" xfId="3751"/>
    <cellStyle name="Total 2 4 5 4" xfId="3752"/>
    <cellStyle name="Total 2 4 5 5" xfId="3753"/>
    <cellStyle name="Total 2 4 6" xfId="349"/>
    <cellStyle name="Total 2 4 6 2" xfId="3754"/>
    <cellStyle name="Total 2 4 6 3" xfId="3755"/>
    <cellStyle name="Total 2 4 6 4" xfId="3756"/>
    <cellStyle name="Total 2 4 6 5" xfId="3757"/>
    <cellStyle name="Total 2 4 7" xfId="365"/>
    <cellStyle name="Total 2 4 7 2" xfId="3758"/>
    <cellStyle name="Total 2 4 7 3" xfId="3759"/>
    <cellStyle name="Total 2 4 7 4" xfId="3760"/>
    <cellStyle name="Total 2 4 7 5" xfId="3761"/>
    <cellStyle name="Total 2 5" xfId="305"/>
    <cellStyle name="Total 2 5 2" xfId="3762"/>
    <cellStyle name="Total 2 5 3" xfId="3763"/>
    <cellStyle name="Total 2 5 4" xfId="3764"/>
    <cellStyle name="Total 2 5 5" xfId="3765"/>
    <cellStyle name="Total 2 6" xfId="402"/>
    <cellStyle name="Total 2 6 2" xfId="3766"/>
    <cellStyle name="Total 2 6 3" xfId="3767"/>
    <cellStyle name="Total 2 6 4" xfId="3768"/>
    <cellStyle name="Total 2 6 5" xfId="3769"/>
    <cellStyle name="Total 2 7" xfId="392"/>
    <cellStyle name="Total 2 7 2" xfId="3770"/>
    <cellStyle name="Total 2 7 3" xfId="3771"/>
    <cellStyle name="Total 2 7 4" xfId="3772"/>
    <cellStyle name="Total 2 7 5" xfId="3773"/>
    <cellStyle name="Total 2 8" xfId="416"/>
    <cellStyle name="Total 2 8 2" xfId="3774"/>
    <cellStyle name="Total 2 8 3" xfId="3775"/>
    <cellStyle name="Total 2 8 4" xfId="3776"/>
    <cellStyle name="Total 2 8 5" xfId="3777"/>
    <cellStyle name="Total 3" xfId="794"/>
    <cellStyle name="Total 3 2" xfId="795"/>
  </cellStyles>
  <dxfs count="1">
    <dxf>
      <fill>
        <patternFill>
          <bgColor rgb="FFFF0000"/>
        </patternFill>
      </fill>
    </dxf>
  </dxfs>
  <tableStyles count="0" defaultTableStyle="TableStyleMedium9" defaultPivotStyle="PivotStyleLight16"/>
  <colors>
    <mruColors>
      <color rgb="FF57A519"/>
      <color rgb="FF0072CE"/>
      <color rgb="FFF08200"/>
      <color rgb="FFCD032E"/>
      <color rgb="FF009999"/>
      <color rgb="FF00CC99"/>
      <color rgb="FFAD25A8"/>
      <color rgb="FFFF9900"/>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CSH</a:t>
            </a:r>
          </a:p>
        </c:rich>
      </c:tx>
      <c:layout>
        <c:manualLayout>
          <c:xMode val="edge"/>
          <c:yMode val="edge"/>
          <c:x val="0.45744688755932195"/>
          <c:y val="1.6736334635619805E-2"/>
        </c:manualLayout>
      </c:layout>
      <c:overlay val="0"/>
    </c:title>
    <c:autoTitleDeleted val="0"/>
    <c:plotArea>
      <c:layout>
        <c:manualLayout>
          <c:layoutTarget val="inner"/>
          <c:xMode val="edge"/>
          <c:yMode val="edge"/>
          <c:x val="3.3485532308505081E-2"/>
          <c:y val="9.9866089084489601E-2"/>
          <c:w val="0.93302893538298992"/>
          <c:h val="0.6633637275132119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('I.30.'!$C$7,'I.30.'!$I$7,'I.30.'!$O$7,'I.30.'!$U$7,'I.30.'!$AA$7)</c:f>
              <c:numCache>
                <c:formatCode>General</c:formatCode>
                <c:ptCount val="5"/>
                <c:pt idx="0">
                  <c:v>6</c:v>
                </c:pt>
                <c:pt idx="1">
                  <c:v>6</c:v>
                </c:pt>
                <c:pt idx="2">
                  <c:v>6</c:v>
                </c:pt>
                <c:pt idx="3">
                  <c:v>6</c:v>
                </c:pt>
                <c:pt idx="4">
                  <c:v>7</c:v>
                </c:pt>
              </c:numCache>
            </c:numRef>
          </c:val>
          <c:smooth val="0"/>
          <c:extLst>
            <c:ext xmlns:c16="http://schemas.microsoft.com/office/drawing/2014/chart" uri="{C3380CC4-5D6E-409C-BE32-E72D297353CC}">
              <c16:uniqueId val="{00000000-1DF6-4B78-87E2-3BE544B8F7B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4"/>
              <c:layout>
                <c:manualLayout>
                  <c:x val="-4.4307567370757597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F6-4B78-87E2-3BE544B8F7BF}"/>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('I.30.'!$D$7,'I.30.'!$J$7,'I.30.'!$P$7,'I.30.'!$V$7,'I.30.'!$AB$7)</c:f>
              <c:numCache>
                <c:formatCode>General</c:formatCode>
                <c:ptCount val="5"/>
                <c:pt idx="0">
                  <c:v>16</c:v>
                </c:pt>
                <c:pt idx="1">
                  <c:v>17</c:v>
                </c:pt>
                <c:pt idx="2">
                  <c:v>15</c:v>
                </c:pt>
                <c:pt idx="3">
                  <c:v>15</c:v>
                </c:pt>
                <c:pt idx="4">
                  <c:v>11</c:v>
                </c:pt>
              </c:numCache>
            </c:numRef>
          </c:val>
          <c:smooth val="0"/>
          <c:extLst>
            <c:ext xmlns:c16="http://schemas.microsoft.com/office/drawing/2014/chart" uri="{C3380CC4-5D6E-409C-BE32-E72D297353CC}">
              <c16:uniqueId val="{00000002-1DF6-4B78-87E2-3BE544B8F7B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F6-4B78-87E2-3BE544B8F7BF}"/>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('I.30.'!$E$7,'I.30.'!$K$7,'I.30.'!$Q$7,'I.30.'!$W$7,'I.30.'!$AC$7)</c:f>
              <c:numCache>
                <c:formatCode>General</c:formatCode>
                <c:ptCount val="5"/>
                <c:pt idx="0">
                  <c:v>12</c:v>
                </c:pt>
                <c:pt idx="1">
                  <c:v>11</c:v>
                </c:pt>
                <c:pt idx="2">
                  <c:v>9</c:v>
                </c:pt>
                <c:pt idx="3">
                  <c:v>10</c:v>
                </c:pt>
                <c:pt idx="4">
                  <c:v>12</c:v>
                </c:pt>
              </c:numCache>
            </c:numRef>
          </c:val>
          <c:smooth val="0"/>
          <c:extLst>
            <c:ext xmlns:c16="http://schemas.microsoft.com/office/drawing/2014/chart" uri="{C3380CC4-5D6E-409C-BE32-E72D297353CC}">
              <c16:uniqueId val="{00000004-1DF6-4B78-87E2-3BE544B8F7BF}"/>
            </c:ext>
          </c:extLst>
        </c:ser>
        <c:dLbls>
          <c:showLegendKey val="0"/>
          <c:showVal val="0"/>
          <c:showCatName val="0"/>
          <c:showSerName val="0"/>
          <c:showPercent val="0"/>
          <c:showBubbleSize val="0"/>
        </c:dLbls>
        <c:marker val="1"/>
        <c:smooth val="0"/>
        <c:axId val="110975232"/>
        <c:axId val="110997504"/>
      </c:lineChart>
      <c:catAx>
        <c:axId val="110975232"/>
        <c:scaling>
          <c:orientation val="minMax"/>
        </c:scaling>
        <c:delete val="0"/>
        <c:axPos val="b"/>
        <c:numFmt formatCode="General" sourceLinked="1"/>
        <c:majorTickMark val="out"/>
        <c:minorTickMark val="none"/>
        <c:tickLblPos val="nextTo"/>
        <c:txPr>
          <a:bodyPr/>
          <a:lstStyle/>
          <a:p>
            <a:pPr>
              <a:defRPr lang="es-ES" sz="800"/>
            </a:pPr>
            <a:endParaRPr lang="es-MX"/>
          </a:p>
        </c:txPr>
        <c:crossAx val="110997504"/>
        <c:crosses val="autoZero"/>
        <c:auto val="1"/>
        <c:lblAlgn val="ctr"/>
        <c:lblOffset val="100"/>
        <c:noMultiLvlLbl val="0"/>
      </c:catAx>
      <c:valAx>
        <c:axId val="110997504"/>
        <c:scaling>
          <c:orientation val="minMax"/>
        </c:scaling>
        <c:delete val="1"/>
        <c:axPos val="l"/>
        <c:numFmt formatCode="General" sourceLinked="1"/>
        <c:majorTickMark val="out"/>
        <c:minorTickMark val="none"/>
        <c:tickLblPos val="nextTo"/>
        <c:crossAx val="1109752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('I.30.'!$C$27,'I.30.'!$I$27,'I.30.'!$O$27,'I.30.'!$U$27,'I.30.'!$AA$27)</c:f>
              <c:numCache>
                <c:formatCode>General</c:formatCode>
                <c:ptCount val="5"/>
                <c:pt idx="0">
                  <c:v>5</c:v>
                </c:pt>
                <c:pt idx="1">
                  <c:v>7</c:v>
                </c:pt>
                <c:pt idx="2">
                  <c:v>8</c:v>
                </c:pt>
                <c:pt idx="3">
                  <c:v>9</c:v>
                </c:pt>
                <c:pt idx="4">
                  <c:v>9</c:v>
                </c:pt>
              </c:numCache>
            </c:numRef>
          </c:val>
          <c:smooth val="0"/>
          <c:extLst>
            <c:ext xmlns:c16="http://schemas.microsoft.com/office/drawing/2014/chart" uri="{C3380CC4-5D6E-409C-BE32-E72D297353CC}">
              <c16:uniqueId val="{00000000-E9B8-4DC6-866B-C49554062A9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('I.30.'!$D$27,'I.30.'!$J$27,'I.30.'!$P$27,'I.30.'!$V$27,'I.30.'!$AB$27)</c:f>
              <c:numCache>
                <c:formatCode>General</c:formatCode>
                <c:ptCount val="5"/>
                <c:pt idx="0">
                  <c:v>11</c:v>
                </c:pt>
                <c:pt idx="1">
                  <c:v>17</c:v>
                </c:pt>
                <c:pt idx="2">
                  <c:v>15</c:v>
                </c:pt>
                <c:pt idx="3">
                  <c:v>13</c:v>
                </c:pt>
                <c:pt idx="4">
                  <c:v>15</c:v>
                </c:pt>
              </c:numCache>
            </c:numRef>
          </c:val>
          <c:smooth val="0"/>
          <c:extLst>
            <c:ext xmlns:c16="http://schemas.microsoft.com/office/drawing/2014/chart" uri="{C3380CC4-5D6E-409C-BE32-E72D297353CC}">
              <c16:uniqueId val="{00000001-E9B8-4DC6-866B-C49554062A9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('I.30.'!$E$27,'I.30.'!$K$27,'I.30.'!$Q$27,'I.30.'!$W$27,'I.30.'!$AC$27)</c:f>
              <c:numCache>
                <c:formatCode>General</c:formatCode>
                <c:ptCount val="5"/>
                <c:pt idx="0">
                  <c:v>8</c:v>
                </c:pt>
                <c:pt idx="1">
                  <c:v>13</c:v>
                </c:pt>
                <c:pt idx="2">
                  <c:v>14</c:v>
                </c:pt>
                <c:pt idx="3">
                  <c:v>13</c:v>
                </c:pt>
                <c:pt idx="4">
                  <c:v>12</c:v>
                </c:pt>
              </c:numCache>
            </c:numRef>
          </c:val>
          <c:smooth val="0"/>
          <c:extLst>
            <c:ext xmlns:c16="http://schemas.microsoft.com/office/drawing/2014/chart" uri="{C3380CC4-5D6E-409C-BE32-E72D297353CC}">
              <c16:uniqueId val="{00000002-E9B8-4DC6-866B-C49554062A9F}"/>
            </c:ext>
          </c:extLst>
        </c:ser>
        <c:dLbls>
          <c:showLegendKey val="0"/>
          <c:showVal val="0"/>
          <c:showCatName val="0"/>
          <c:showSerName val="0"/>
          <c:showPercent val="0"/>
          <c:showBubbleSize val="0"/>
        </c:dLbls>
        <c:marker val="1"/>
        <c:smooth val="0"/>
        <c:axId val="119087872"/>
        <c:axId val="119089408"/>
      </c:lineChart>
      <c:catAx>
        <c:axId val="119087872"/>
        <c:scaling>
          <c:orientation val="minMax"/>
        </c:scaling>
        <c:delete val="0"/>
        <c:axPos val="b"/>
        <c:numFmt formatCode="General" sourceLinked="1"/>
        <c:majorTickMark val="out"/>
        <c:minorTickMark val="none"/>
        <c:tickLblPos val="nextTo"/>
        <c:txPr>
          <a:bodyPr/>
          <a:lstStyle/>
          <a:p>
            <a:pPr>
              <a:defRPr lang="es-ES" sz="800"/>
            </a:pPr>
            <a:endParaRPr lang="es-MX"/>
          </a:p>
        </c:txPr>
        <c:crossAx val="119089408"/>
        <c:crosses val="autoZero"/>
        <c:auto val="1"/>
        <c:lblAlgn val="ctr"/>
        <c:lblOffset val="100"/>
        <c:noMultiLvlLbl val="0"/>
      </c:catAx>
      <c:valAx>
        <c:axId val="119089408"/>
        <c:scaling>
          <c:orientation val="minMax"/>
        </c:scaling>
        <c:delete val="1"/>
        <c:axPos val="l"/>
        <c:numFmt formatCode="General" sourceLinked="1"/>
        <c:majorTickMark val="out"/>
        <c:minorTickMark val="none"/>
        <c:tickLblPos val="nextTo"/>
        <c:crossAx val="119087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CAD</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('I.30.'!$C$28,'I.30.'!$I$28,'I.30.'!$O$28,'I.30.'!$U$28,'I.30.'!$AA$28)</c:f>
              <c:numCache>
                <c:formatCode>General</c:formatCode>
                <c:ptCount val="5"/>
                <c:pt idx="2">
                  <c:v>1</c:v>
                </c:pt>
                <c:pt idx="3">
                  <c:v>1</c:v>
                </c:pt>
                <c:pt idx="4">
                  <c:v>1</c:v>
                </c:pt>
              </c:numCache>
            </c:numRef>
          </c:val>
          <c:smooth val="0"/>
          <c:extLst>
            <c:ext xmlns:c16="http://schemas.microsoft.com/office/drawing/2014/chart" uri="{C3380CC4-5D6E-409C-BE32-E72D297353CC}">
              <c16:uniqueId val="{00000000-9943-4CE8-B22B-C027380D9C97}"/>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('I.30.'!$D$28,'I.30.'!$J$28,'I.30.'!$P$28,'I.30.'!$V$28,'I.30.'!$AB$28)</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9943-4CE8-B22B-C027380D9C97}"/>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('I.30.'!$E$28,'I.30.'!$K$28,'I.30.'!$Q$28,'I.30.'!$W$28,'I.30.'!$AC$28)</c:f>
              <c:numCache>
                <c:formatCode>General</c:formatCode>
                <c:ptCount val="5"/>
                <c:pt idx="0">
                  <c:v>7</c:v>
                </c:pt>
                <c:pt idx="1">
                  <c:v>6</c:v>
                </c:pt>
                <c:pt idx="2">
                  <c:v>5</c:v>
                </c:pt>
                <c:pt idx="3">
                  <c:v>5</c:v>
                </c:pt>
                <c:pt idx="4">
                  <c:v>6</c:v>
                </c:pt>
              </c:numCache>
            </c:numRef>
          </c:val>
          <c:smooth val="0"/>
          <c:extLst>
            <c:ext xmlns:c16="http://schemas.microsoft.com/office/drawing/2014/chart" uri="{C3380CC4-5D6E-409C-BE32-E72D297353CC}">
              <c16:uniqueId val="{00000002-9943-4CE8-B22B-C027380D9C97}"/>
            </c:ext>
          </c:extLst>
        </c:ser>
        <c:dLbls>
          <c:showLegendKey val="0"/>
          <c:showVal val="0"/>
          <c:showCatName val="0"/>
          <c:showSerName val="0"/>
          <c:showPercent val="0"/>
          <c:showBubbleSize val="0"/>
        </c:dLbls>
        <c:marker val="1"/>
        <c:smooth val="0"/>
        <c:axId val="119490816"/>
        <c:axId val="119500800"/>
      </c:lineChart>
      <c:catAx>
        <c:axId val="119490816"/>
        <c:scaling>
          <c:orientation val="minMax"/>
        </c:scaling>
        <c:delete val="0"/>
        <c:axPos val="b"/>
        <c:numFmt formatCode="General" sourceLinked="1"/>
        <c:majorTickMark val="out"/>
        <c:minorTickMark val="none"/>
        <c:tickLblPos val="nextTo"/>
        <c:txPr>
          <a:bodyPr/>
          <a:lstStyle/>
          <a:p>
            <a:pPr>
              <a:defRPr lang="es-ES" sz="800"/>
            </a:pPr>
            <a:endParaRPr lang="es-MX"/>
          </a:p>
        </c:txPr>
        <c:crossAx val="119500800"/>
        <c:crosses val="autoZero"/>
        <c:auto val="1"/>
        <c:lblAlgn val="ctr"/>
        <c:lblOffset val="100"/>
        <c:noMultiLvlLbl val="0"/>
      </c:catAx>
      <c:valAx>
        <c:axId val="119500800"/>
        <c:scaling>
          <c:orientation val="minMax"/>
        </c:scaling>
        <c:delete val="1"/>
        <c:axPos val="l"/>
        <c:numFmt formatCode="General" sourceLinked="1"/>
        <c:majorTickMark val="out"/>
        <c:minorTickMark val="none"/>
        <c:tickLblPos val="nextTo"/>
        <c:crossAx val="11949081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('I.30.'!$C$29,'I.30.'!$I$29,'I.30.'!$O$29,'I.30.'!$U$29,'I.30.'!$AA$29)</c:f>
              <c:numCache>
                <c:formatCode>General</c:formatCode>
                <c:ptCount val="5"/>
                <c:pt idx="0">
                  <c:v>11</c:v>
                </c:pt>
                <c:pt idx="1">
                  <c:v>11</c:v>
                </c:pt>
                <c:pt idx="2">
                  <c:v>13</c:v>
                </c:pt>
                <c:pt idx="3">
                  <c:v>14</c:v>
                </c:pt>
                <c:pt idx="4">
                  <c:v>14</c:v>
                </c:pt>
              </c:numCache>
            </c:numRef>
          </c:val>
          <c:smooth val="0"/>
          <c:extLst>
            <c:ext xmlns:c16="http://schemas.microsoft.com/office/drawing/2014/chart" uri="{C3380CC4-5D6E-409C-BE32-E72D297353CC}">
              <c16:uniqueId val="{00000000-F820-4F03-ACCD-EE6A3CD014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20-4F03-ACCD-EE6A3CD01469}"/>
                </c:ext>
              </c:extLst>
            </c:dLbl>
            <c:dLbl>
              <c:idx val="1"/>
              <c:layout>
                <c:manualLayout>
                  <c:x val="-3.8219288769211351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20-4F03-ACCD-EE6A3CD01469}"/>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('I.30.'!$D$29,'I.30.'!$J$29,'I.30.'!$P$29,'I.30.'!$V$29,'I.30.'!$AB$29)</c:f>
              <c:numCache>
                <c:formatCode>General</c:formatCode>
                <c:ptCount val="5"/>
                <c:pt idx="0">
                  <c:v>30</c:v>
                </c:pt>
                <c:pt idx="1">
                  <c:v>32</c:v>
                </c:pt>
                <c:pt idx="2">
                  <c:v>28</c:v>
                </c:pt>
                <c:pt idx="3">
                  <c:v>26</c:v>
                </c:pt>
                <c:pt idx="4">
                  <c:v>26</c:v>
                </c:pt>
              </c:numCache>
            </c:numRef>
          </c:val>
          <c:smooth val="0"/>
          <c:extLst>
            <c:ext xmlns:c16="http://schemas.microsoft.com/office/drawing/2014/chart" uri="{C3380CC4-5D6E-409C-BE32-E72D297353CC}">
              <c16:uniqueId val="{00000003-F820-4F03-ACCD-EE6A3CD014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0-4F03-ACCD-EE6A3CD01469}"/>
                </c:ext>
              </c:extLst>
            </c:dLbl>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0-4F03-ACCD-EE6A3CD01469}"/>
                </c:ext>
              </c:extLst>
            </c:dLbl>
            <c:dLbl>
              <c:idx val="2"/>
              <c:layout>
                <c:manualLayout>
                  <c:x val="-3.5175149468438152E-2"/>
                  <c:y val="-5.8273173208034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20-4F03-ACCD-EE6A3CD01469}"/>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('I.30.'!$E$29,'I.30.'!$K$29,'I.30.'!$Q$29,'I.30.'!$W$29,'I.30.'!$AC$29)</c:f>
              <c:numCache>
                <c:formatCode>General</c:formatCode>
                <c:ptCount val="5"/>
                <c:pt idx="0">
                  <c:v>27</c:v>
                </c:pt>
                <c:pt idx="1">
                  <c:v>29</c:v>
                </c:pt>
                <c:pt idx="2">
                  <c:v>32</c:v>
                </c:pt>
                <c:pt idx="3">
                  <c:v>30</c:v>
                </c:pt>
                <c:pt idx="4">
                  <c:v>31</c:v>
                </c:pt>
              </c:numCache>
            </c:numRef>
          </c:val>
          <c:smooth val="0"/>
          <c:extLst>
            <c:ext xmlns:c16="http://schemas.microsoft.com/office/drawing/2014/chart" uri="{C3380CC4-5D6E-409C-BE32-E72D297353CC}">
              <c16:uniqueId val="{00000007-F820-4F03-ACCD-EE6A3CD01469}"/>
            </c:ext>
          </c:extLst>
        </c:ser>
        <c:dLbls>
          <c:showLegendKey val="0"/>
          <c:showVal val="0"/>
          <c:showCatName val="0"/>
          <c:showSerName val="0"/>
          <c:showPercent val="0"/>
          <c:showBubbleSize val="0"/>
        </c:dLbls>
        <c:marker val="1"/>
        <c:smooth val="0"/>
        <c:axId val="119297920"/>
        <c:axId val="119299456"/>
      </c:lineChart>
      <c:catAx>
        <c:axId val="119297920"/>
        <c:scaling>
          <c:orientation val="minMax"/>
        </c:scaling>
        <c:delete val="0"/>
        <c:axPos val="b"/>
        <c:numFmt formatCode="General" sourceLinked="1"/>
        <c:majorTickMark val="out"/>
        <c:minorTickMark val="none"/>
        <c:tickLblPos val="nextTo"/>
        <c:txPr>
          <a:bodyPr/>
          <a:lstStyle/>
          <a:p>
            <a:pPr>
              <a:defRPr lang="es-ES" sz="800"/>
            </a:pPr>
            <a:endParaRPr lang="es-MX"/>
          </a:p>
        </c:txPr>
        <c:crossAx val="119299456"/>
        <c:crosses val="autoZero"/>
        <c:auto val="1"/>
        <c:lblAlgn val="ctr"/>
        <c:lblOffset val="100"/>
        <c:noMultiLvlLbl val="0"/>
      </c:catAx>
      <c:valAx>
        <c:axId val="119299456"/>
        <c:scaling>
          <c:orientation val="minMax"/>
        </c:scaling>
        <c:delete val="1"/>
        <c:axPos val="l"/>
        <c:numFmt formatCode="General" sourceLinked="1"/>
        <c:majorTickMark val="out"/>
        <c:minorTickMark val="none"/>
        <c:tickLblPos val="nextTo"/>
        <c:crossAx val="11929792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CAD</a:t>
            </a:r>
          </a:p>
        </c:rich>
      </c:tx>
      <c:layout>
        <c:manualLayout>
          <c:xMode val="edge"/>
          <c:yMode val="edge"/>
          <c:x val="0.46353516616086832"/>
          <c:y val="1.1381584550660585E-2"/>
        </c:manualLayout>
      </c:layout>
      <c:overlay val="0"/>
    </c:title>
    <c:autoTitleDeleted val="0"/>
    <c:plotArea>
      <c:layout>
        <c:manualLayout>
          <c:layoutTarget val="inner"/>
          <c:xMode val="edge"/>
          <c:yMode val="edge"/>
          <c:x val="3.3485532308505081E-2"/>
          <c:y val="0.11593033933936708"/>
          <c:w val="0.93302893538298992"/>
          <c:h val="0.6472994772583350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('I.30.'!$C$8,'I.30.'!$I$8,'I.30.'!$O$8,'I.30.'!$U$8,'I.30.'!$AA$8)</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1DAF-47A9-9C0B-94CA8CD80233}"/>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('I.30.'!$D$8,'I.30.'!$J$8,'I.30.'!$P$8,'I.30.'!$V$8,'I.30.'!$AB$8)</c:f>
              <c:numCache>
                <c:formatCode>General</c:formatCode>
                <c:ptCount val="5"/>
                <c:pt idx="0">
                  <c:v>4</c:v>
                </c:pt>
                <c:pt idx="1">
                  <c:v>3</c:v>
                </c:pt>
                <c:pt idx="2">
                  <c:v>3</c:v>
                </c:pt>
                <c:pt idx="3">
                  <c:v>3</c:v>
                </c:pt>
                <c:pt idx="4">
                  <c:v>3</c:v>
                </c:pt>
              </c:numCache>
            </c:numRef>
          </c:val>
          <c:smooth val="0"/>
          <c:extLst>
            <c:ext xmlns:c16="http://schemas.microsoft.com/office/drawing/2014/chart" uri="{C3380CC4-5D6E-409C-BE32-E72D297353CC}">
              <c16:uniqueId val="{00000001-1DAF-47A9-9C0B-94CA8CD80233}"/>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('I.30.'!$E$8,'I.30.'!$K$8,'I.30.'!$Q$8,'I.30.'!$W$8,'I.30.'!$AC$8)</c:f>
              <c:numCache>
                <c:formatCode>General</c:formatCode>
                <c:ptCount val="5"/>
                <c:pt idx="0">
                  <c:v>12</c:v>
                </c:pt>
                <c:pt idx="1">
                  <c:v>15</c:v>
                </c:pt>
                <c:pt idx="2">
                  <c:v>16</c:v>
                </c:pt>
                <c:pt idx="3">
                  <c:v>16</c:v>
                </c:pt>
                <c:pt idx="4">
                  <c:v>16</c:v>
                </c:pt>
              </c:numCache>
            </c:numRef>
          </c:val>
          <c:smooth val="0"/>
          <c:extLst>
            <c:ext xmlns:c16="http://schemas.microsoft.com/office/drawing/2014/chart" uri="{C3380CC4-5D6E-409C-BE32-E72D297353CC}">
              <c16:uniqueId val="{00000002-1DAF-47A9-9C0B-94CA8CD80233}"/>
            </c:ext>
          </c:extLst>
        </c:ser>
        <c:dLbls>
          <c:showLegendKey val="0"/>
          <c:showVal val="0"/>
          <c:showCatName val="0"/>
          <c:showSerName val="0"/>
          <c:showPercent val="0"/>
          <c:showBubbleSize val="0"/>
        </c:dLbls>
        <c:marker val="1"/>
        <c:smooth val="0"/>
        <c:axId val="118792192"/>
        <c:axId val="118793728"/>
      </c:lineChart>
      <c:catAx>
        <c:axId val="118792192"/>
        <c:scaling>
          <c:orientation val="minMax"/>
        </c:scaling>
        <c:delete val="0"/>
        <c:axPos val="b"/>
        <c:numFmt formatCode="General" sourceLinked="1"/>
        <c:majorTickMark val="out"/>
        <c:minorTickMark val="none"/>
        <c:tickLblPos val="nextTo"/>
        <c:txPr>
          <a:bodyPr/>
          <a:lstStyle/>
          <a:p>
            <a:pPr>
              <a:defRPr lang="es-ES" sz="800"/>
            </a:pPr>
            <a:endParaRPr lang="es-MX"/>
          </a:p>
        </c:txPr>
        <c:crossAx val="118793728"/>
        <c:crosses val="autoZero"/>
        <c:auto val="1"/>
        <c:lblAlgn val="ctr"/>
        <c:lblOffset val="100"/>
        <c:noMultiLvlLbl val="0"/>
      </c:catAx>
      <c:valAx>
        <c:axId val="118793728"/>
        <c:scaling>
          <c:orientation val="minMax"/>
        </c:scaling>
        <c:delete val="1"/>
        <c:axPos val="l"/>
        <c:numFmt formatCode="General" sourceLinked="1"/>
        <c:majorTickMark val="out"/>
        <c:minorTickMark val="none"/>
        <c:tickLblPos val="nextTo"/>
        <c:crossAx val="11879219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0.11057558925440797"/>
          <c:w val="0.93302893538298992"/>
          <c:h val="0.6526542273432942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('I.30.'!$C$9,'I.30.'!$I$9,'I.30.'!$O$9,'I.30.'!$U$9,'I.30.'!$AA$9)</c:f>
              <c:numCache>
                <c:formatCode>General</c:formatCode>
                <c:ptCount val="5"/>
                <c:pt idx="0">
                  <c:v>13</c:v>
                </c:pt>
                <c:pt idx="1">
                  <c:v>15</c:v>
                </c:pt>
                <c:pt idx="2">
                  <c:v>15</c:v>
                </c:pt>
                <c:pt idx="3">
                  <c:v>15</c:v>
                </c:pt>
                <c:pt idx="4">
                  <c:v>16</c:v>
                </c:pt>
              </c:numCache>
            </c:numRef>
          </c:val>
          <c:smooth val="0"/>
          <c:extLst>
            <c:ext xmlns:c16="http://schemas.microsoft.com/office/drawing/2014/chart" uri="{C3380CC4-5D6E-409C-BE32-E72D297353CC}">
              <c16:uniqueId val="{00000000-2BA8-4F5C-8A80-3688B7DCC2A2}"/>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('I.30.'!$D$9,'I.30.'!$J$9,'I.30.'!$P$9,'I.30.'!$V$9,'I.30.'!$AB$9)</c:f>
              <c:numCache>
                <c:formatCode>General</c:formatCode>
                <c:ptCount val="5"/>
                <c:pt idx="0">
                  <c:v>32</c:v>
                </c:pt>
                <c:pt idx="1">
                  <c:v>29</c:v>
                </c:pt>
                <c:pt idx="2">
                  <c:v>29</c:v>
                </c:pt>
                <c:pt idx="3">
                  <c:v>29</c:v>
                </c:pt>
                <c:pt idx="4">
                  <c:v>24</c:v>
                </c:pt>
              </c:numCache>
            </c:numRef>
          </c:val>
          <c:smooth val="0"/>
          <c:extLst>
            <c:ext xmlns:c16="http://schemas.microsoft.com/office/drawing/2014/chart" uri="{C3380CC4-5D6E-409C-BE32-E72D297353CC}">
              <c16:uniqueId val="{00000001-2BA8-4F5C-8A80-3688B7DCC2A2}"/>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('I.30.'!$E$9,'I.30.'!$K$9,'I.30.'!$Q$9,'I.30.'!$W$9,'I.30.'!$AC$9)</c:f>
              <c:numCache>
                <c:formatCode>General</c:formatCode>
                <c:ptCount val="5"/>
                <c:pt idx="0">
                  <c:v>36</c:v>
                </c:pt>
                <c:pt idx="1">
                  <c:v>36</c:v>
                </c:pt>
                <c:pt idx="2">
                  <c:v>34</c:v>
                </c:pt>
                <c:pt idx="3">
                  <c:v>35</c:v>
                </c:pt>
                <c:pt idx="4">
                  <c:v>36</c:v>
                </c:pt>
              </c:numCache>
            </c:numRef>
          </c:val>
          <c:smooth val="0"/>
          <c:extLst>
            <c:ext xmlns:c16="http://schemas.microsoft.com/office/drawing/2014/chart" uri="{C3380CC4-5D6E-409C-BE32-E72D297353CC}">
              <c16:uniqueId val="{00000002-2BA8-4F5C-8A80-3688B7DCC2A2}"/>
            </c:ext>
          </c:extLst>
        </c:ser>
        <c:dLbls>
          <c:showLegendKey val="0"/>
          <c:showVal val="0"/>
          <c:showCatName val="0"/>
          <c:showSerName val="0"/>
          <c:showPercent val="0"/>
          <c:showBubbleSize val="0"/>
        </c:dLbls>
        <c:marker val="1"/>
        <c:smooth val="0"/>
        <c:axId val="118572544"/>
        <c:axId val="118574080"/>
      </c:lineChart>
      <c:catAx>
        <c:axId val="11857254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574080"/>
        <c:crosses val="autoZero"/>
        <c:auto val="1"/>
        <c:lblAlgn val="ctr"/>
        <c:lblOffset val="100"/>
        <c:noMultiLvlLbl val="0"/>
      </c:catAx>
      <c:valAx>
        <c:axId val="118574080"/>
        <c:scaling>
          <c:orientation val="minMax"/>
        </c:scaling>
        <c:delete val="1"/>
        <c:axPos val="l"/>
        <c:numFmt formatCode="General" sourceLinked="1"/>
        <c:majorTickMark val="out"/>
        <c:minorTickMark val="none"/>
        <c:tickLblPos val="nextTo"/>
        <c:crossAx val="11857254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CCD</a:t>
            </a:r>
          </a:p>
        </c:rich>
      </c:tx>
      <c:layout>
        <c:manualLayout>
          <c:xMode val="edge"/>
          <c:yMode val="edge"/>
          <c:x val="0.4665793054616415"/>
          <c:y val="1.138158455066058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('I.30.'!$C$12,'I.30.'!$I$12,'I.30.'!$O$12,'I.30.'!$U$12,'I.30.'!$AA$12)</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4955-4A74-AB20-5450BBCB3624}"/>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55-4A74-AB20-5450BBCB3624}"/>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5-4A74-AB20-5450BBCB3624}"/>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5-4A74-AB20-5450BBCB3624}"/>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5-4A74-AB20-5450BBCB3624}"/>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('I.30.'!$D$12,'I.30.'!$J$12,'I.30.'!$P$12,'I.30.'!$V$12,'I.30.'!$AB$12)</c:f>
              <c:numCache>
                <c:formatCode>General</c:formatCode>
                <c:ptCount val="5"/>
                <c:pt idx="4">
                  <c:v>1</c:v>
                </c:pt>
              </c:numCache>
            </c:numRef>
          </c:val>
          <c:smooth val="0"/>
          <c:extLst>
            <c:ext xmlns:c16="http://schemas.microsoft.com/office/drawing/2014/chart" uri="{C3380CC4-5D6E-409C-BE32-E72D297353CC}">
              <c16:uniqueId val="{00000005-4955-4A74-AB20-5450BBCB3624}"/>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55-4A74-AB20-5450BBCB3624}"/>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55-4A74-AB20-5450BBCB3624}"/>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55-4A74-AB20-5450BBCB3624}"/>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('I.30.'!$E$12,'I.30.'!$K$12,'I.30.'!$Q$12,'I.30.'!$W$12,'I.30.'!$AC$12)</c:f>
              <c:numCache>
                <c:formatCode>General</c:formatCode>
                <c:ptCount val="5"/>
                <c:pt idx="0">
                  <c:v>4</c:v>
                </c:pt>
                <c:pt idx="1">
                  <c:v>8</c:v>
                </c:pt>
                <c:pt idx="2">
                  <c:v>9</c:v>
                </c:pt>
                <c:pt idx="3">
                  <c:v>8</c:v>
                </c:pt>
                <c:pt idx="4">
                  <c:v>7</c:v>
                </c:pt>
              </c:numCache>
            </c:numRef>
          </c:val>
          <c:smooth val="0"/>
          <c:extLst>
            <c:ext xmlns:c16="http://schemas.microsoft.com/office/drawing/2014/chart" uri="{C3380CC4-5D6E-409C-BE32-E72D297353CC}">
              <c16:uniqueId val="{00000009-4955-4A74-AB20-5450BBCB3624}"/>
            </c:ext>
          </c:extLst>
        </c:ser>
        <c:dLbls>
          <c:showLegendKey val="0"/>
          <c:showVal val="0"/>
          <c:showCatName val="0"/>
          <c:showSerName val="0"/>
          <c:showPercent val="0"/>
          <c:showBubbleSize val="0"/>
        </c:dLbls>
        <c:marker val="1"/>
        <c:smooth val="0"/>
        <c:axId val="118638464"/>
        <c:axId val="118640000"/>
      </c:lineChart>
      <c:catAx>
        <c:axId val="11863846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640000"/>
        <c:crosses val="autoZero"/>
        <c:auto val="1"/>
        <c:lblAlgn val="ctr"/>
        <c:lblOffset val="100"/>
        <c:noMultiLvlLbl val="0"/>
      </c:catAx>
      <c:valAx>
        <c:axId val="118640000"/>
        <c:scaling>
          <c:orientation val="minMax"/>
        </c:scaling>
        <c:delete val="1"/>
        <c:axPos val="l"/>
        <c:numFmt formatCode="General" sourceLinked="1"/>
        <c:majorTickMark val="out"/>
        <c:minorTickMark val="none"/>
        <c:tickLblPos val="nextTo"/>
        <c:crossAx val="11863846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CNI</a:t>
            </a:r>
          </a:p>
        </c:rich>
      </c:tx>
      <c:layout>
        <c:manualLayout>
          <c:xMode val="edge"/>
          <c:yMode val="edge"/>
          <c:x val="0.460491026860094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22-4557-9848-5B9113FC0169}"/>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('I.30.'!$C$13,'I.30.'!$I$13,'I.30.'!$O$13,'I.30.'!$U$13,'I.30.'!$AA$13)</c:f>
              <c:numCache>
                <c:formatCode>General</c:formatCode>
                <c:ptCount val="5"/>
                <c:pt idx="1">
                  <c:v>1</c:v>
                </c:pt>
                <c:pt idx="2">
                  <c:v>1</c:v>
                </c:pt>
                <c:pt idx="3">
                  <c:v>1</c:v>
                </c:pt>
                <c:pt idx="4">
                  <c:v>1</c:v>
                </c:pt>
              </c:numCache>
            </c:numRef>
          </c:val>
          <c:smooth val="0"/>
          <c:extLst>
            <c:ext xmlns:c16="http://schemas.microsoft.com/office/drawing/2014/chart" uri="{C3380CC4-5D6E-409C-BE32-E72D297353CC}">
              <c16:uniqueId val="{00000001-4222-4557-9848-5B9113FC01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2-4557-9848-5B9113FC0169}"/>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22-4557-9848-5B9113FC0169}"/>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2-4557-9848-5B9113FC0169}"/>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2-4557-9848-5B9113FC0169}"/>
                </c:ext>
              </c:extLst>
            </c:dLbl>
            <c:spPr>
              <a:noFill/>
              <a:ln>
                <a:noFill/>
              </a:ln>
              <a:effectLst/>
            </c:spPr>
            <c:txPr>
              <a:bodyPr/>
              <a:lstStyle/>
              <a:p>
                <a:pPr>
                  <a:defRPr lang="es-ES" sz="800">
                    <a:solidFill>
                      <a:srgbClr val="CC9900"/>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('I.30.'!$D$13,'I.30.'!$J$13,'I.30.'!$P$13,'I.30.'!$V$13,'I.30.'!$AB$13)</c:f>
              <c:numCache>
                <c:formatCode>General</c:formatCode>
                <c:ptCount val="5"/>
                <c:pt idx="1">
                  <c:v>1</c:v>
                </c:pt>
                <c:pt idx="2">
                  <c:v>2</c:v>
                </c:pt>
                <c:pt idx="3">
                  <c:v>2</c:v>
                </c:pt>
                <c:pt idx="4">
                  <c:v>4</c:v>
                </c:pt>
              </c:numCache>
            </c:numRef>
          </c:val>
          <c:smooth val="0"/>
          <c:extLst>
            <c:ext xmlns:c16="http://schemas.microsoft.com/office/drawing/2014/chart" uri="{C3380CC4-5D6E-409C-BE32-E72D297353CC}">
              <c16:uniqueId val="{00000006-4222-4557-9848-5B9113FC01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22-4557-9848-5B9113FC0169}"/>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2-4557-9848-5B9113FC0169}"/>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22-4557-9848-5B9113FC0169}"/>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('I.30.'!$E$13,'I.30.'!$K$13,'I.30.'!$Q$13,'I.30.'!$W$13,'I.30.'!$AC$13)</c:f>
              <c:numCache>
                <c:formatCode>General</c:formatCode>
                <c:ptCount val="5"/>
                <c:pt idx="0">
                  <c:v>5</c:v>
                </c:pt>
                <c:pt idx="1">
                  <c:v>5</c:v>
                </c:pt>
                <c:pt idx="2">
                  <c:v>5</c:v>
                </c:pt>
                <c:pt idx="3">
                  <c:v>5</c:v>
                </c:pt>
                <c:pt idx="4">
                  <c:v>4</c:v>
                </c:pt>
              </c:numCache>
            </c:numRef>
          </c:val>
          <c:smooth val="0"/>
          <c:extLst>
            <c:ext xmlns:c16="http://schemas.microsoft.com/office/drawing/2014/chart" uri="{C3380CC4-5D6E-409C-BE32-E72D297353CC}">
              <c16:uniqueId val="{0000000A-4222-4557-9848-5B9113FC0169}"/>
            </c:ext>
          </c:extLst>
        </c:ser>
        <c:dLbls>
          <c:showLegendKey val="0"/>
          <c:showVal val="0"/>
          <c:showCatName val="0"/>
          <c:showSerName val="0"/>
          <c:showPercent val="0"/>
          <c:showBubbleSize val="0"/>
        </c:dLbls>
        <c:marker val="1"/>
        <c:smooth val="0"/>
        <c:axId val="118727424"/>
        <c:axId val="118728960"/>
      </c:lineChart>
      <c:catAx>
        <c:axId val="118727424"/>
        <c:scaling>
          <c:orientation val="minMax"/>
        </c:scaling>
        <c:delete val="0"/>
        <c:axPos val="b"/>
        <c:numFmt formatCode="General" sourceLinked="1"/>
        <c:majorTickMark val="out"/>
        <c:minorTickMark val="none"/>
        <c:tickLblPos val="nextTo"/>
        <c:txPr>
          <a:bodyPr/>
          <a:lstStyle/>
          <a:p>
            <a:pPr>
              <a:defRPr lang="es-ES" sz="800"/>
            </a:pPr>
            <a:endParaRPr lang="es-MX"/>
          </a:p>
        </c:txPr>
        <c:crossAx val="118728960"/>
        <c:crosses val="autoZero"/>
        <c:auto val="1"/>
        <c:lblAlgn val="ctr"/>
        <c:lblOffset val="100"/>
        <c:noMultiLvlLbl val="0"/>
      </c:catAx>
      <c:valAx>
        <c:axId val="118728960"/>
        <c:scaling>
          <c:orientation val="minMax"/>
        </c:scaling>
        <c:delete val="1"/>
        <c:axPos val="l"/>
        <c:numFmt formatCode="General" sourceLinked="1"/>
        <c:majorTickMark val="out"/>
        <c:minorTickMark val="none"/>
        <c:tickLblPos val="nextTo"/>
        <c:crossAx val="11872742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('I.30.'!$C$14,'I.30.'!$I$14,'I.30.'!$O$14,'I.30.'!$U$14,'I.30.'!$AA$14)</c:f>
              <c:numCache>
                <c:formatCode>General</c:formatCode>
                <c:ptCount val="5"/>
                <c:pt idx="0">
                  <c:v>2</c:v>
                </c:pt>
                <c:pt idx="1">
                  <c:v>3</c:v>
                </c:pt>
                <c:pt idx="2">
                  <c:v>4</c:v>
                </c:pt>
                <c:pt idx="3">
                  <c:v>4</c:v>
                </c:pt>
                <c:pt idx="4">
                  <c:v>5</c:v>
                </c:pt>
              </c:numCache>
            </c:numRef>
          </c:val>
          <c:smooth val="0"/>
          <c:extLst>
            <c:ext xmlns:c16="http://schemas.microsoft.com/office/drawing/2014/chart" uri="{C3380CC4-5D6E-409C-BE32-E72D297353CC}">
              <c16:uniqueId val="{00000000-F19A-4E8A-A649-E40EEC8CE001}"/>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('I.30.'!$D$14,'I.30.'!$J$14,'I.30.'!$P$14,'I.30.'!$V$14,'I.30.'!$AB$14)</c:f>
              <c:numCache>
                <c:formatCode>General</c:formatCode>
                <c:ptCount val="5"/>
                <c:pt idx="0">
                  <c:v>4</c:v>
                </c:pt>
                <c:pt idx="1">
                  <c:v>5</c:v>
                </c:pt>
                <c:pt idx="2">
                  <c:v>5</c:v>
                </c:pt>
                <c:pt idx="3">
                  <c:v>5</c:v>
                </c:pt>
                <c:pt idx="4">
                  <c:v>7</c:v>
                </c:pt>
              </c:numCache>
            </c:numRef>
          </c:val>
          <c:smooth val="0"/>
          <c:extLst>
            <c:ext xmlns:c16="http://schemas.microsoft.com/office/drawing/2014/chart" uri="{C3380CC4-5D6E-409C-BE32-E72D297353CC}">
              <c16:uniqueId val="{00000001-F19A-4E8A-A649-E40EEC8CE001}"/>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9A-4E8A-A649-E40EEC8CE001}"/>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9A-4E8A-A649-E40EEC8CE001}"/>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9A-4E8A-A649-E40EEC8CE001}"/>
                </c:ext>
              </c:extLst>
            </c:dLbl>
            <c:spPr>
              <a:noFill/>
              <a:ln>
                <a:noFill/>
              </a:ln>
              <a:effectLst/>
            </c:spPr>
            <c:txPr>
              <a:bodyPr/>
              <a:lstStyle/>
              <a:p>
                <a:pPr>
                  <a:defRPr lang="es-ES" sz="800">
                    <a:solidFill>
                      <a:schemeClr val="accent2">
                        <a:lumMod val="50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('I.30.'!$E$14,'I.30.'!$K$14,'I.30.'!$Q$14,'I.30.'!$W$14,'I.30.'!$AC$14)</c:f>
              <c:numCache>
                <c:formatCode>General</c:formatCode>
                <c:ptCount val="5"/>
                <c:pt idx="0">
                  <c:v>14</c:v>
                </c:pt>
                <c:pt idx="1">
                  <c:v>19</c:v>
                </c:pt>
                <c:pt idx="2">
                  <c:v>21</c:v>
                </c:pt>
                <c:pt idx="3">
                  <c:v>20</c:v>
                </c:pt>
                <c:pt idx="4">
                  <c:v>16</c:v>
                </c:pt>
              </c:numCache>
            </c:numRef>
          </c:val>
          <c:smooth val="0"/>
          <c:extLst>
            <c:ext xmlns:c16="http://schemas.microsoft.com/office/drawing/2014/chart" uri="{C3380CC4-5D6E-409C-BE32-E72D297353CC}">
              <c16:uniqueId val="{00000005-F19A-4E8A-A649-E40EEC8CE001}"/>
            </c:ext>
          </c:extLst>
        </c:ser>
        <c:dLbls>
          <c:showLegendKey val="0"/>
          <c:showVal val="0"/>
          <c:showCatName val="0"/>
          <c:showSerName val="0"/>
          <c:showPercent val="0"/>
          <c:showBubbleSize val="0"/>
        </c:dLbls>
        <c:marker val="1"/>
        <c:smooth val="0"/>
        <c:axId val="118845440"/>
        <c:axId val="118846976"/>
      </c:lineChart>
      <c:catAx>
        <c:axId val="118845440"/>
        <c:scaling>
          <c:orientation val="minMax"/>
        </c:scaling>
        <c:delete val="0"/>
        <c:axPos val="b"/>
        <c:numFmt formatCode="General" sourceLinked="1"/>
        <c:majorTickMark val="out"/>
        <c:minorTickMark val="none"/>
        <c:tickLblPos val="nextTo"/>
        <c:txPr>
          <a:bodyPr/>
          <a:lstStyle/>
          <a:p>
            <a:pPr>
              <a:defRPr lang="es-ES" sz="800"/>
            </a:pPr>
            <a:endParaRPr lang="es-MX"/>
          </a:p>
        </c:txPr>
        <c:crossAx val="118846976"/>
        <c:crosses val="autoZero"/>
        <c:auto val="1"/>
        <c:lblAlgn val="ctr"/>
        <c:lblOffset val="100"/>
        <c:noMultiLvlLbl val="0"/>
      </c:catAx>
      <c:valAx>
        <c:axId val="118846976"/>
        <c:scaling>
          <c:orientation val="minMax"/>
        </c:scaling>
        <c:delete val="1"/>
        <c:axPos val="l"/>
        <c:numFmt formatCode="General" sourceLinked="1"/>
        <c:majorTickMark val="out"/>
        <c:minorTickMark val="none"/>
        <c:tickLblPos val="nextTo"/>
        <c:crossAx val="11884544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CSH</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1"/>
              <c:layout>
                <c:manualLayout>
                  <c:x val="-1.082203506225266E-2"/>
                  <c:y val="2.6144672698279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9-403D-8F35-8BCC0A922B60}"/>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9-403D-8F35-8BCC0A922B6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9-403D-8F35-8BCC0A922B60}"/>
                </c:ext>
              </c:extLst>
            </c:dLbl>
            <c:dLbl>
              <c:idx val="4"/>
              <c:layout>
                <c:manualLayout>
                  <c:x val="-4.117977416321524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9-403D-8F35-8BCC0A922B60}"/>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('I.30.'!$C$17,'I.30.'!$I$17,'I.30.'!$O$17,'I.30.'!$U$17,'I.30.'!$AA$17)</c:f>
              <c:numCache>
                <c:formatCode>General</c:formatCode>
                <c:ptCount val="5"/>
                <c:pt idx="0">
                  <c:v>17</c:v>
                </c:pt>
                <c:pt idx="1">
                  <c:v>12</c:v>
                </c:pt>
                <c:pt idx="2">
                  <c:v>16</c:v>
                </c:pt>
                <c:pt idx="3">
                  <c:v>16</c:v>
                </c:pt>
                <c:pt idx="4">
                  <c:v>16</c:v>
                </c:pt>
              </c:numCache>
            </c:numRef>
          </c:val>
          <c:smooth val="0"/>
          <c:extLst>
            <c:ext xmlns:c16="http://schemas.microsoft.com/office/drawing/2014/chart" uri="{C3380CC4-5D6E-409C-BE32-E72D297353CC}">
              <c16:uniqueId val="{00000004-F349-403D-8F35-8BCC0A922B6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8821828491149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9-403D-8F35-8BCC0A922B60}"/>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('I.30.'!$D$17,'I.30.'!$J$17,'I.30.'!$P$17,'I.30.'!$V$17,'I.30.'!$AB$17)</c:f>
              <c:numCache>
                <c:formatCode>General</c:formatCode>
                <c:ptCount val="5"/>
                <c:pt idx="0">
                  <c:v>12</c:v>
                </c:pt>
                <c:pt idx="1">
                  <c:v>14</c:v>
                </c:pt>
                <c:pt idx="2">
                  <c:v>11</c:v>
                </c:pt>
                <c:pt idx="3">
                  <c:v>12</c:v>
                </c:pt>
                <c:pt idx="4">
                  <c:v>11</c:v>
                </c:pt>
              </c:numCache>
            </c:numRef>
          </c:val>
          <c:smooth val="0"/>
          <c:extLst>
            <c:ext xmlns:c16="http://schemas.microsoft.com/office/drawing/2014/chart" uri="{C3380CC4-5D6E-409C-BE32-E72D297353CC}">
              <c16:uniqueId val="{00000006-F349-403D-8F35-8BCC0A922B6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('I.30.'!$E$17,'I.30.'!$K$17,'I.30.'!$Q$17,'I.30.'!$W$17,'I.30.'!$AC$17)</c:f>
              <c:numCache>
                <c:formatCode>General</c:formatCode>
                <c:ptCount val="5"/>
                <c:pt idx="0">
                  <c:v>3</c:v>
                </c:pt>
                <c:pt idx="1">
                  <c:v>10</c:v>
                </c:pt>
                <c:pt idx="2">
                  <c:v>9</c:v>
                </c:pt>
                <c:pt idx="3">
                  <c:v>9</c:v>
                </c:pt>
                <c:pt idx="4">
                  <c:v>7</c:v>
                </c:pt>
              </c:numCache>
            </c:numRef>
          </c:val>
          <c:smooth val="0"/>
          <c:extLst>
            <c:ext xmlns:c16="http://schemas.microsoft.com/office/drawing/2014/chart" uri="{C3380CC4-5D6E-409C-BE32-E72D297353CC}">
              <c16:uniqueId val="{00000007-F349-403D-8F35-8BCC0A922B60}"/>
            </c:ext>
          </c:extLst>
        </c:ser>
        <c:dLbls>
          <c:showLegendKey val="0"/>
          <c:showVal val="0"/>
          <c:showCatName val="0"/>
          <c:showSerName val="0"/>
          <c:showPercent val="0"/>
          <c:showBubbleSize val="0"/>
        </c:dLbls>
        <c:marker val="1"/>
        <c:smooth val="0"/>
        <c:axId val="119156096"/>
        <c:axId val="119190656"/>
      </c:lineChart>
      <c:catAx>
        <c:axId val="119156096"/>
        <c:scaling>
          <c:orientation val="minMax"/>
        </c:scaling>
        <c:delete val="0"/>
        <c:axPos val="b"/>
        <c:numFmt formatCode="General" sourceLinked="1"/>
        <c:majorTickMark val="out"/>
        <c:minorTickMark val="none"/>
        <c:tickLblPos val="nextTo"/>
        <c:txPr>
          <a:bodyPr/>
          <a:lstStyle/>
          <a:p>
            <a:pPr>
              <a:defRPr lang="es-ES" sz="800"/>
            </a:pPr>
            <a:endParaRPr lang="es-MX"/>
          </a:p>
        </c:txPr>
        <c:crossAx val="119190656"/>
        <c:crosses val="autoZero"/>
        <c:auto val="1"/>
        <c:lblAlgn val="ctr"/>
        <c:lblOffset val="100"/>
        <c:noMultiLvlLbl val="0"/>
      </c:catAx>
      <c:valAx>
        <c:axId val="119190656"/>
        <c:scaling>
          <c:orientation val="minMax"/>
        </c:scaling>
        <c:delete val="1"/>
        <c:axPos val="l"/>
        <c:numFmt formatCode="General" sourceLinked="1"/>
        <c:majorTickMark val="out"/>
        <c:minorTickMark val="none"/>
        <c:tickLblPos val="nextTo"/>
        <c:crossAx val="11915609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E8-44AD-850C-67BED45234B5}"/>
                </c:ext>
              </c:extLst>
            </c:dLbl>
            <c:spPr>
              <a:noFill/>
              <a:ln>
                <a:noFill/>
              </a:ln>
              <a:effectLst/>
            </c:spPr>
            <c:txPr>
              <a:bodyPr/>
              <a:lstStyle/>
              <a:p>
                <a:pPr>
                  <a:defRPr lang="es-ES" sz="800">
                    <a:solidFill>
                      <a:schemeClr val="bg2">
                        <a:lumMod val="25000"/>
                      </a:schemeClr>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('I.30.'!$C$18,'I.30.'!$I$18,'I.30.'!$O$18,'I.30.'!$U$18,'I.30.'!$AA$18)</c:f>
              <c:numCache>
                <c:formatCode>General</c:formatCode>
                <c:ptCount val="5"/>
                <c:pt idx="0">
                  <c:v>14</c:v>
                </c:pt>
                <c:pt idx="1">
                  <c:v>15</c:v>
                </c:pt>
                <c:pt idx="2">
                  <c:v>15</c:v>
                </c:pt>
                <c:pt idx="3">
                  <c:v>15</c:v>
                </c:pt>
                <c:pt idx="4">
                  <c:v>15</c:v>
                </c:pt>
              </c:numCache>
            </c:numRef>
          </c:val>
          <c:smooth val="0"/>
          <c:extLst>
            <c:ext xmlns:c16="http://schemas.microsoft.com/office/drawing/2014/chart" uri="{C3380CC4-5D6E-409C-BE32-E72D297353CC}">
              <c16:uniqueId val="{00000001-BCE8-44AD-850C-67BED45234B5}"/>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8-44AD-850C-67BED45234B5}"/>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('I.30.'!$D$18,'I.30.'!$J$18,'I.30.'!$P$18,'I.30.'!$V$18,'I.30.'!$AB$18)</c:f>
              <c:numCache>
                <c:formatCode>General</c:formatCode>
                <c:ptCount val="5"/>
                <c:pt idx="0">
                  <c:v>15</c:v>
                </c:pt>
                <c:pt idx="1">
                  <c:v>13</c:v>
                </c:pt>
                <c:pt idx="2">
                  <c:v>9</c:v>
                </c:pt>
                <c:pt idx="3">
                  <c:v>8</c:v>
                </c:pt>
                <c:pt idx="4">
                  <c:v>8</c:v>
                </c:pt>
              </c:numCache>
            </c:numRef>
          </c:val>
          <c:smooth val="0"/>
          <c:extLst>
            <c:ext xmlns:c16="http://schemas.microsoft.com/office/drawing/2014/chart" uri="{C3380CC4-5D6E-409C-BE32-E72D297353CC}">
              <c16:uniqueId val="{00000003-BCE8-44AD-850C-67BED45234B5}"/>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('I.30.'!$E$18,'I.30.'!$K$18,'I.30.'!$Q$18,'I.30.'!$W$18,'I.30.'!$AC$18)</c:f>
              <c:numCache>
                <c:formatCode>General</c:formatCode>
                <c:ptCount val="5"/>
                <c:pt idx="0">
                  <c:v>10</c:v>
                </c:pt>
                <c:pt idx="1">
                  <c:v>4</c:v>
                </c:pt>
                <c:pt idx="2">
                  <c:v>8</c:v>
                </c:pt>
                <c:pt idx="3">
                  <c:v>8</c:v>
                </c:pt>
                <c:pt idx="4">
                  <c:v>8</c:v>
                </c:pt>
              </c:numCache>
            </c:numRef>
          </c:val>
          <c:smooth val="0"/>
          <c:extLst>
            <c:ext xmlns:c16="http://schemas.microsoft.com/office/drawing/2014/chart" uri="{C3380CC4-5D6E-409C-BE32-E72D297353CC}">
              <c16:uniqueId val="{00000004-BCE8-44AD-850C-67BED45234B5}"/>
            </c:ext>
          </c:extLst>
        </c:ser>
        <c:dLbls>
          <c:showLegendKey val="0"/>
          <c:showVal val="0"/>
          <c:showCatName val="0"/>
          <c:showSerName val="0"/>
          <c:showPercent val="0"/>
          <c:showBubbleSize val="0"/>
        </c:dLbls>
        <c:marker val="1"/>
        <c:smooth val="0"/>
        <c:axId val="118975872"/>
        <c:axId val="118981760"/>
      </c:lineChart>
      <c:catAx>
        <c:axId val="118975872"/>
        <c:scaling>
          <c:orientation val="minMax"/>
        </c:scaling>
        <c:delete val="0"/>
        <c:axPos val="b"/>
        <c:numFmt formatCode="General" sourceLinked="1"/>
        <c:majorTickMark val="out"/>
        <c:minorTickMark val="none"/>
        <c:tickLblPos val="nextTo"/>
        <c:txPr>
          <a:bodyPr/>
          <a:lstStyle/>
          <a:p>
            <a:pPr>
              <a:defRPr lang="es-ES" sz="800"/>
            </a:pPr>
            <a:endParaRPr lang="es-MX"/>
          </a:p>
        </c:txPr>
        <c:crossAx val="118981760"/>
        <c:crosses val="autoZero"/>
        <c:auto val="1"/>
        <c:lblAlgn val="ctr"/>
        <c:lblOffset val="100"/>
        <c:noMultiLvlLbl val="0"/>
      </c:catAx>
      <c:valAx>
        <c:axId val="118981760"/>
        <c:scaling>
          <c:orientation val="minMax"/>
        </c:scaling>
        <c:delete val="1"/>
        <c:axPos val="l"/>
        <c:numFmt formatCode="General" sourceLinked="1"/>
        <c:majorTickMark val="out"/>
        <c:minorTickMark val="none"/>
        <c:tickLblPos val="nextTo"/>
        <c:crossAx val="118975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81-41AF-A2B7-B8D165377950}"/>
                </c:ext>
              </c:extLst>
            </c:dLbl>
            <c:dLbl>
              <c:idx val="2"/>
              <c:layout>
                <c:manualLayout>
                  <c:x val="-3.8219288769211351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81-41AF-A2B7-B8D16537795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81-41AF-A2B7-B8D165377950}"/>
                </c:ext>
              </c:extLst>
            </c:dLbl>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81-41AF-A2B7-B8D165377950}"/>
                </c:ext>
              </c:extLst>
            </c:dLbl>
            <c:spPr>
              <a:noFill/>
              <a:ln>
                <a:noFill/>
              </a:ln>
              <a:effectLst/>
            </c:spPr>
            <c:txPr>
              <a:bodyPr/>
              <a:lstStyle/>
              <a:p>
                <a:pPr>
                  <a:defRPr lang="es-ES" sz="800">
                    <a:solidFill>
                      <a:schemeClr val="bg2">
                        <a:lumMod val="25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('I.30.'!$C$19,'I.30.'!$I$19,'I.30.'!$O$19,'I.30.'!$U$19,'I.30.'!$AA$19)</c:f>
              <c:numCache>
                <c:formatCode>General</c:formatCode>
                <c:ptCount val="5"/>
                <c:pt idx="0">
                  <c:v>47</c:v>
                </c:pt>
                <c:pt idx="1">
                  <c:v>43</c:v>
                </c:pt>
                <c:pt idx="2">
                  <c:v>48</c:v>
                </c:pt>
                <c:pt idx="3">
                  <c:v>48</c:v>
                </c:pt>
                <c:pt idx="4">
                  <c:v>49</c:v>
                </c:pt>
              </c:numCache>
            </c:numRef>
          </c:val>
          <c:smooth val="0"/>
          <c:extLst>
            <c:ext xmlns:c16="http://schemas.microsoft.com/office/drawing/2014/chart" uri="{C3380CC4-5D6E-409C-BE32-E72D297353CC}">
              <c16:uniqueId val="{00000004-1581-41AF-A2B7-B8D16537795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81-41AF-A2B7-B8D165377950}"/>
                </c:ext>
              </c:extLst>
            </c:dLbl>
            <c:spPr>
              <a:noFill/>
              <a:ln>
                <a:noFill/>
              </a:ln>
              <a:effectLst/>
            </c:spPr>
            <c:txPr>
              <a:bodyPr/>
              <a:lstStyle/>
              <a:p>
                <a:pPr>
                  <a:defRPr lang="es-ES" sz="800">
                    <a:solidFill>
                      <a:srgbClr val="CC9900"/>
                    </a:solidFill>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('I.30.'!$D$19,'I.30.'!$J$19,'I.30.'!$P$19,'I.30.'!$V$19,'I.30.'!$AB$19)</c:f>
              <c:numCache>
                <c:formatCode>General</c:formatCode>
                <c:ptCount val="5"/>
                <c:pt idx="0">
                  <c:v>45</c:v>
                </c:pt>
                <c:pt idx="1">
                  <c:v>46</c:v>
                </c:pt>
                <c:pt idx="2">
                  <c:v>37</c:v>
                </c:pt>
                <c:pt idx="3">
                  <c:v>36</c:v>
                </c:pt>
                <c:pt idx="4">
                  <c:v>35</c:v>
                </c:pt>
              </c:numCache>
            </c:numRef>
          </c:val>
          <c:smooth val="0"/>
          <c:extLst>
            <c:ext xmlns:c16="http://schemas.microsoft.com/office/drawing/2014/chart" uri="{C3380CC4-5D6E-409C-BE32-E72D297353CC}">
              <c16:uniqueId val="{00000006-1581-41AF-A2B7-B8D16537795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('I.30.'!$E$19,'I.30.'!$K$19,'I.30.'!$Q$19,'I.30.'!$W$19,'I.30.'!$AC$19)</c:f>
              <c:numCache>
                <c:formatCode>General</c:formatCode>
                <c:ptCount val="5"/>
                <c:pt idx="0">
                  <c:v>16</c:v>
                </c:pt>
                <c:pt idx="1">
                  <c:v>18</c:v>
                </c:pt>
                <c:pt idx="2">
                  <c:v>20</c:v>
                </c:pt>
                <c:pt idx="3">
                  <c:v>20</c:v>
                </c:pt>
                <c:pt idx="4">
                  <c:v>18</c:v>
                </c:pt>
              </c:numCache>
            </c:numRef>
          </c:val>
          <c:smooth val="0"/>
          <c:extLst>
            <c:ext xmlns:c16="http://schemas.microsoft.com/office/drawing/2014/chart" uri="{C3380CC4-5D6E-409C-BE32-E72D297353CC}">
              <c16:uniqueId val="{00000007-1581-41AF-A2B7-B8D165377950}"/>
            </c:ext>
          </c:extLst>
        </c:ser>
        <c:dLbls>
          <c:showLegendKey val="0"/>
          <c:showVal val="0"/>
          <c:showCatName val="0"/>
          <c:showSerName val="0"/>
          <c:showPercent val="0"/>
          <c:showBubbleSize val="0"/>
        </c:dLbls>
        <c:marker val="1"/>
        <c:smooth val="0"/>
        <c:axId val="119032832"/>
        <c:axId val="119046912"/>
      </c:lineChart>
      <c:catAx>
        <c:axId val="119032832"/>
        <c:scaling>
          <c:orientation val="minMax"/>
        </c:scaling>
        <c:delete val="0"/>
        <c:axPos val="b"/>
        <c:numFmt formatCode="General" sourceLinked="1"/>
        <c:majorTickMark val="out"/>
        <c:minorTickMark val="none"/>
        <c:tickLblPos val="nextTo"/>
        <c:txPr>
          <a:bodyPr/>
          <a:lstStyle/>
          <a:p>
            <a:pPr>
              <a:defRPr lang="es-ES" sz="800"/>
            </a:pPr>
            <a:endParaRPr lang="es-MX"/>
          </a:p>
        </c:txPr>
        <c:crossAx val="119046912"/>
        <c:crosses val="autoZero"/>
        <c:auto val="1"/>
        <c:lblAlgn val="ctr"/>
        <c:lblOffset val="100"/>
        <c:noMultiLvlLbl val="0"/>
      </c:catAx>
      <c:valAx>
        <c:axId val="119046912"/>
        <c:scaling>
          <c:orientation val="minMax"/>
        </c:scaling>
        <c:delete val="1"/>
        <c:axPos val="l"/>
        <c:numFmt formatCode="General" sourceLinked="1"/>
        <c:majorTickMark val="out"/>
        <c:minorTickMark val="none"/>
        <c:tickLblPos val="nextTo"/>
        <c:crossAx val="1190328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MX"/>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Indicadores!A1"/></Relationships>
</file>

<file path=xl/drawings/_rels/drawing10.xml.rels><?xml version="1.0" encoding="UTF-8" standalone="yes"?>
<Relationships xmlns="http://schemas.openxmlformats.org/package/2006/relationships"><Relationship Id="rId1" Type="http://schemas.openxmlformats.org/officeDocument/2006/relationships/hyperlink" Target="#Indicadores!C12"/></Relationships>
</file>

<file path=xl/drawings/_rels/drawing11.xml.rels><?xml version="1.0" encoding="UTF-8" standalone="yes"?>
<Relationships xmlns="http://schemas.openxmlformats.org/package/2006/relationships"><Relationship Id="rId1" Type="http://schemas.openxmlformats.org/officeDocument/2006/relationships/hyperlink" Target="#Indicadores!C13"/></Relationships>
</file>

<file path=xl/drawings/_rels/drawing12.xml.rels><?xml version="1.0" encoding="UTF-8" standalone="yes"?>
<Relationships xmlns="http://schemas.openxmlformats.org/package/2006/relationships"><Relationship Id="rId1" Type="http://schemas.openxmlformats.org/officeDocument/2006/relationships/hyperlink" Target="#Indicadores!C14"/></Relationships>
</file>

<file path=xl/drawings/_rels/drawing13.xml.rels><?xml version="1.0" encoding="UTF-8" standalone="yes"?>
<Relationships xmlns="http://schemas.openxmlformats.org/package/2006/relationships"><Relationship Id="rId1" Type="http://schemas.openxmlformats.org/officeDocument/2006/relationships/hyperlink" Target="#Indicadores!C15"/></Relationships>
</file>

<file path=xl/drawings/_rels/drawing14.xml.rels><?xml version="1.0" encoding="UTF-8" standalone="yes"?>
<Relationships xmlns="http://schemas.openxmlformats.org/package/2006/relationships"><Relationship Id="rId1" Type="http://schemas.openxmlformats.org/officeDocument/2006/relationships/hyperlink" Target="#Indicadores!C16"/></Relationships>
</file>

<file path=xl/drawings/_rels/drawing15.xml.rels><?xml version="1.0" encoding="UTF-8" standalone="yes"?>
<Relationships xmlns="http://schemas.openxmlformats.org/package/2006/relationships"><Relationship Id="rId1" Type="http://schemas.openxmlformats.org/officeDocument/2006/relationships/hyperlink" Target="#Indicadores!C17"/></Relationships>
</file>

<file path=xl/drawings/_rels/drawing16.xml.rels><?xml version="1.0" encoding="UTF-8" standalone="yes"?>
<Relationships xmlns="http://schemas.openxmlformats.org/package/2006/relationships"><Relationship Id="rId1" Type="http://schemas.openxmlformats.org/officeDocument/2006/relationships/hyperlink" Target="#Indicadores!C18"/></Relationships>
</file>

<file path=xl/drawings/_rels/drawing17.xml.rels><?xml version="1.0" encoding="UTF-8" standalone="yes"?>
<Relationships xmlns="http://schemas.openxmlformats.org/package/2006/relationships"><Relationship Id="rId1" Type="http://schemas.openxmlformats.org/officeDocument/2006/relationships/hyperlink" Target="#Indicadores!C19"/></Relationships>
</file>

<file path=xl/drawings/_rels/drawing18.xml.rels><?xml version="1.0" encoding="UTF-8" standalone="yes"?>
<Relationships xmlns="http://schemas.openxmlformats.org/package/2006/relationships"><Relationship Id="rId1" Type="http://schemas.openxmlformats.org/officeDocument/2006/relationships/hyperlink" Target="#Indicadores!C20"/></Relationships>
</file>

<file path=xl/drawings/_rels/drawing19.xml.rels><?xml version="1.0" encoding="UTF-8" standalone="yes"?>
<Relationships xmlns="http://schemas.openxmlformats.org/package/2006/relationships"><Relationship Id="rId1" Type="http://schemas.openxmlformats.org/officeDocument/2006/relationships/hyperlink" Target="#Indicadores!C21"/></Relationships>
</file>

<file path=xl/drawings/_rels/drawing2.xml.rels><?xml version="1.0" encoding="UTF-8" standalone="yes"?>
<Relationships xmlns="http://schemas.openxmlformats.org/package/2006/relationships"><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21" Type="http://schemas.openxmlformats.org/officeDocument/2006/relationships/image" Target="../media/image22.emf"/><Relationship Id="rId34" Type="http://schemas.openxmlformats.org/officeDocument/2006/relationships/image" Target="../media/image35.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jpeg"/><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29" Type="http://schemas.openxmlformats.org/officeDocument/2006/relationships/image" Target="../media/image30.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32" Type="http://schemas.openxmlformats.org/officeDocument/2006/relationships/image" Target="../media/image33.emf"/><Relationship Id="rId37" Type="http://schemas.openxmlformats.org/officeDocument/2006/relationships/image" Target="../media/image38.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10" Type="http://schemas.openxmlformats.org/officeDocument/2006/relationships/image" Target="../media/image11.emf"/><Relationship Id="rId19" Type="http://schemas.openxmlformats.org/officeDocument/2006/relationships/image" Target="../media/image20.emf"/><Relationship Id="rId31" Type="http://schemas.openxmlformats.org/officeDocument/2006/relationships/image" Target="../media/image32.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8" Type="http://schemas.openxmlformats.org/officeDocument/2006/relationships/image" Target="../media/image9.emf"/><Relationship Id="rId3"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hyperlink" Target="#Indicadores!C22"/></Relationships>
</file>

<file path=xl/drawings/_rels/drawing21.xml.rels><?xml version="1.0" encoding="UTF-8" standalone="yes"?>
<Relationships xmlns="http://schemas.openxmlformats.org/package/2006/relationships"><Relationship Id="rId1" Type="http://schemas.openxmlformats.org/officeDocument/2006/relationships/hyperlink" Target="#Indicadores!C24"/></Relationships>
</file>

<file path=xl/drawings/_rels/drawing22.xml.rels><?xml version="1.0" encoding="UTF-8" standalone="yes"?>
<Relationships xmlns="http://schemas.openxmlformats.org/package/2006/relationships"><Relationship Id="rId1" Type="http://schemas.openxmlformats.org/officeDocument/2006/relationships/hyperlink" Target="#Indicadores!C26"/></Relationships>
</file>

<file path=xl/drawings/_rels/drawing23.xml.rels><?xml version="1.0" encoding="UTF-8" standalone="yes"?>
<Relationships xmlns="http://schemas.openxmlformats.org/package/2006/relationships"><Relationship Id="rId1" Type="http://schemas.openxmlformats.org/officeDocument/2006/relationships/hyperlink" Target="#Indicadores!C31"/></Relationships>
</file>

<file path=xl/drawings/_rels/drawing24.xml.rels><?xml version="1.0" encoding="UTF-8" standalone="yes"?>
<Relationships xmlns="http://schemas.openxmlformats.org/package/2006/relationships"><Relationship Id="rId1" Type="http://schemas.openxmlformats.org/officeDocument/2006/relationships/hyperlink" Target="#Indicadores!C32"/></Relationships>
</file>

<file path=xl/drawings/_rels/drawing25.xml.rels><?xml version="1.0" encoding="UTF-8" standalone="yes"?>
<Relationships xmlns="http://schemas.openxmlformats.org/package/2006/relationships"><Relationship Id="rId1" Type="http://schemas.openxmlformats.org/officeDocument/2006/relationships/hyperlink" Target="#Indicadores!C33"/></Relationships>
</file>

<file path=xl/drawings/_rels/drawing26.xml.rels><?xml version="1.0" encoding="UTF-8" standalone="yes"?>
<Relationships xmlns="http://schemas.openxmlformats.org/package/2006/relationships"><Relationship Id="rId1" Type="http://schemas.openxmlformats.org/officeDocument/2006/relationships/hyperlink" Target="#Indicadores!C34"/></Relationships>
</file>

<file path=xl/drawings/_rels/drawing27.xml.rels><?xml version="1.0" encoding="UTF-8" standalone="yes"?>
<Relationships xmlns="http://schemas.openxmlformats.org/package/2006/relationships"><Relationship Id="rId1" Type="http://schemas.openxmlformats.org/officeDocument/2006/relationships/hyperlink" Target="#Indicadores!C35"/></Relationships>
</file>

<file path=xl/drawings/_rels/drawing28.xml.rels><?xml version="1.0" encoding="UTF-8" standalone="yes"?>
<Relationships xmlns="http://schemas.openxmlformats.org/package/2006/relationships"><Relationship Id="rId1" Type="http://schemas.openxmlformats.org/officeDocument/2006/relationships/hyperlink" Target="#Indicadores!C36"/></Relationships>
</file>

<file path=xl/drawings/_rels/drawing29.xml.rels><?xml version="1.0" encoding="UTF-8" standalone="yes"?>
<Relationships xmlns="http://schemas.openxmlformats.org/package/2006/relationships"><Relationship Id="rId1" Type="http://schemas.openxmlformats.org/officeDocument/2006/relationships/hyperlink" Target="#Indicadores!C37"/></Relationships>
</file>

<file path=xl/drawings/_rels/drawing30.xml.rels><?xml version="1.0" encoding="UTF-8" standalone="yes"?>
<Relationships xmlns="http://schemas.openxmlformats.org/package/2006/relationships"><Relationship Id="rId1" Type="http://schemas.openxmlformats.org/officeDocument/2006/relationships/hyperlink" Target="#Indicadores!C38"/></Relationships>
</file>

<file path=xl/drawings/_rels/drawing31.xml.rels><?xml version="1.0" encoding="UTF-8" standalone="yes"?>
<Relationships xmlns="http://schemas.openxmlformats.org/package/2006/relationships"><Relationship Id="rId1" Type="http://schemas.openxmlformats.org/officeDocument/2006/relationships/hyperlink" Target="#Indicadores!C39"/></Relationships>
</file>

<file path=xl/drawings/_rels/drawing3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Indicadores!C40"/><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3.xml.rels><?xml version="1.0" encoding="UTF-8" standalone="yes"?>
<Relationships xmlns="http://schemas.openxmlformats.org/package/2006/relationships"><Relationship Id="rId1" Type="http://schemas.openxmlformats.org/officeDocument/2006/relationships/hyperlink" Target="#Indicadores!C44"/></Relationships>
</file>

<file path=xl/drawings/_rels/drawing34.xml.rels><?xml version="1.0" encoding="UTF-8" standalone="yes"?>
<Relationships xmlns="http://schemas.openxmlformats.org/package/2006/relationships"><Relationship Id="rId1" Type="http://schemas.openxmlformats.org/officeDocument/2006/relationships/hyperlink" Target="#Indicadores!C46"/></Relationships>
</file>

<file path=xl/drawings/_rels/drawing35.xml.rels><?xml version="1.0" encoding="UTF-8" standalone="yes"?>
<Relationships xmlns="http://schemas.openxmlformats.org/package/2006/relationships"><Relationship Id="rId1" Type="http://schemas.openxmlformats.org/officeDocument/2006/relationships/hyperlink" Target="#Indicadores!C47"/></Relationships>
</file>

<file path=xl/drawings/_rels/drawing36.xml.rels><?xml version="1.0" encoding="UTF-8" standalone="yes"?>
<Relationships xmlns="http://schemas.openxmlformats.org/package/2006/relationships"><Relationship Id="rId1" Type="http://schemas.openxmlformats.org/officeDocument/2006/relationships/hyperlink" Target="#Indicadores!C53"/></Relationships>
</file>

<file path=xl/drawings/_rels/drawing37.xml.rels><?xml version="1.0" encoding="UTF-8" standalone="yes"?>
<Relationships xmlns="http://schemas.openxmlformats.org/package/2006/relationships"><Relationship Id="rId1" Type="http://schemas.openxmlformats.org/officeDocument/2006/relationships/hyperlink" Target="#Indicadores!C54"/></Relationships>
</file>

<file path=xl/drawings/_rels/drawing38.xml.rels><?xml version="1.0" encoding="UTF-8" standalone="yes"?>
<Relationships xmlns="http://schemas.openxmlformats.org/package/2006/relationships"><Relationship Id="rId1" Type="http://schemas.openxmlformats.org/officeDocument/2006/relationships/hyperlink" Target="#Indicadores!C55"/></Relationships>
</file>

<file path=xl/drawings/_rels/drawing39.xml.rels><?xml version="1.0" encoding="UTF-8" standalone="yes"?>
<Relationships xmlns="http://schemas.openxmlformats.org/package/2006/relationships"><Relationship Id="rId1" Type="http://schemas.openxmlformats.org/officeDocument/2006/relationships/hyperlink" Target="#Indicadores!C56"/></Relationships>
</file>

<file path=xl/drawings/_rels/drawing4.xml.rels><?xml version="1.0" encoding="UTF-8" standalone="yes"?>
<Relationships xmlns="http://schemas.openxmlformats.org/package/2006/relationships"><Relationship Id="rId1" Type="http://schemas.openxmlformats.org/officeDocument/2006/relationships/hyperlink" Target="#Indicadores!C7"/></Relationships>
</file>

<file path=xl/drawings/_rels/drawing40.xml.rels><?xml version="1.0" encoding="UTF-8" standalone="yes"?>
<Relationships xmlns="http://schemas.openxmlformats.org/package/2006/relationships"><Relationship Id="rId1" Type="http://schemas.openxmlformats.org/officeDocument/2006/relationships/hyperlink" Target="#Indicadores!C57"/></Relationships>
</file>

<file path=xl/drawings/_rels/drawing41.xml.rels><?xml version="1.0" encoding="UTF-8" standalone="yes"?>
<Relationships xmlns="http://schemas.openxmlformats.org/package/2006/relationships"><Relationship Id="rId1" Type="http://schemas.openxmlformats.org/officeDocument/2006/relationships/hyperlink" Target="#Indicadores!C58"/></Relationships>
</file>

<file path=xl/drawings/_rels/drawing42.xml.rels><?xml version="1.0" encoding="UTF-8" standalone="yes"?>
<Relationships xmlns="http://schemas.openxmlformats.org/package/2006/relationships"><Relationship Id="rId1" Type="http://schemas.openxmlformats.org/officeDocument/2006/relationships/hyperlink" Target="#Indicadores!C59"/></Relationships>
</file>

<file path=xl/drawings/_rels/drawing43.xml.rels><?xml version="1.0" encoding="UTF-8" standalone="yes"?>
<Relationships xmlns="http://schemas.openxmlformats.org/package/2006/relationships"><Relationship Id="rId1" Type="http://schemas.openxmlformats.org/officeDocument/2006/relationships/hyperlink" Target="#Indicadores!C62"/></Relationships>
</file>

<file path=xl/drawings/_rels/drawing44.xml.rels><?xml version="1.0" encoding="UTF-8" standalone="yes"?>
<Relationships xmlns="http://schemas.openxmlformats.org/package/2006/relationships"><Relationship Id="rId1" Type="http://schemas.openxmlformats.org/officeDocument/2006/relationships/hyperlink" Target="#Indicadores!C63"/></Relationships>
</file>

<file path=xl/drawings/_rels/drawing45.xml.rels><?xml version="1.0" encoding="UTF-8" standalone="yes"?>
<Relationships xmlns="http://schemas.openxmlformats.org/package/2006/relationships"><Relationship Id="rId1" Type="http://schemas.openxmlformats.org/officeDocument/2006/relationships/hyperlink" Target="#Indicadores!C64"/></Relationships>
</file>

<file path=xl/drawings/_rels/drawing46.xml.rels><?xml version="1.0" encoding="UTF-8" standalone="yes"?>
<Relationships xmlns="http://schemas.openxmlformats.org/package/2006/relationships"><Relationship Id="rId1" Type="http://schemas.openxmlformats.org/officeDocument/2006/relationships/hyperlink" Target="#Indicadores!C66"/></Relationships>
</file>

<file path=xl/drawings/_rels/drawing47.xml.rels><?xml version="1.0" encoding="UTF-8" standalone="yes"?>
<Relationships xmlns="http://schemas.openxmlformats.org/package/2006/relationships"><Relationship Id="rId1" Type="http://schemas.openxmlformats.org/officeDocument/2006/relationships/hyperlink" Target="#Indicadores!C67"/></Relationships>
</file>

<file path=xl/drawings/_rels/drawing48.xml.rels><?xml version="1.0" encoding="UTF-8" standalone="yes"?>
<Relationships xmlns="http://schemas.openxmlformats.org/package/2006/relationships"><Relationship Id="rId1" Type="http://schemas.openxmlformats.org/officeDocument/2006/relationships/hyperlink" Target="#Indicadores!C68"/></Relationships>
</file>

<file path=xl/drawings/_rels/drawing49.xml.rels><?xml version="1.0" encoding="UTF-8" standalone="yes"?>
<Relationships xmlns="http://schemas.openxmlformats.org/package/2006/relationships"><Relationship Id="rId1" Type="http://schemas.openxmlformats.org/officeDocument/2006/relationships/hyperlink" Target="#Indicadores!C68"/></Relationships>
</file>

<file path=xl/drawings/_rels/drawing5.xml.rels><?xml version="1.0" encoding="UTF-8" standalone="yes"?>
<Relationships xmlns="http://schemas.openxmlformats.org/package/2006/relationships"><Relationship Id="rId1" Type="http://schemas.openxmlformats.org/officeDocument/2006/relationships/hyperlink" Target="#Indicadores!D7"/></Relationships>
</file>

<file path=xl/drawings/_rels/drawing50.xml.rels><?xml version="1.0" encoding="UTF-8" standalone="yes"?>
<Relationships xmlns="http://schemas.openxmlformats.org/package/2006/relationships"><Relationship Id="rId1" Type="http://schemas.openxmlformats.org/officeDocument/2006/relationships/hyperlink" Target="#Indicadores!C69"/></Relationships>
</file>

<file path=xl/drawings/_rels/drawing6.xml.rels><?xml version="1.0" encoding="UTF-8" standalone="yes"?>
<Relationships xmlns="http://schemas.openxmlformats.org/package/2006/relationships"><Relationship Id="rId1" Type="http://schemas.openxmlformats.org/officeDocument/2006/relationships/hyperlink" Target="#Indicadores!C8"/></Relationships>
</file>

<file path=xl/drawings/_rels/drawing7.xml.rels><?xml version="1.0" encoding="UTF-8" standalone="yes"?>
<Relationships xmlns="http://schemas.openxmlformats.org/package/2006/relationships"><Relationship Id="rId1" Type="http://schemas.openxmlformats.org/officeDocument/2006/relationships/hyperlink" Target="#Indicadores!C9"/></Relationships>
</file>

<file path=xl/drawings/_rels/drawing8.xml.rels><?xml version="1.0" encoding="UTF-8" standalone="yes"?>
<Relationships xmlns="http://schemas.openxmlformats.org/package/2006/relationships"><Relationship Id="rId1" Type="http://schemas.openxmlformats.org/officeDocument/2006/relationships/hyperlink" Target="#Indicadores!C10"/></Relationships>
</file>

<file path=xl/drawings/_rels/drawing9.xml.rels><?xml version="1.0" encoding="UTF-8" standalone="yes"?>
<Relationships xmlns="http://schemas.openxmlformats.org/package/2006/relationships"><Relationship Id="rId1" Type="http://schemas.openxmlformats.org/officeDocument/2006/relationships/hyperlink" Target="#Indicadores!C1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twoCellAnchor editAs="oneCell">
    <xdr:from>
      <xdr:col>1</xdr:col>
      <xdr:colOff>361950</xdr:colOff>
      <xdr:row>0</xdr:row>
      <xdr:rowOff>0</xdr:rowOff>
    </xdr:from>
    <xdr:to>
      <xdr:col>11</xdr:col>
      <xdr:colOff>480822</xdr:colOff>
      <xdr:row>40</xdr:row>
      <xdr:rowOff>118872</xdr:rowOff>
    </xdr:to>
    <xdr:pic>
      <xdr:nvPicPr>
        <xdr:cNvPr id="5" name="Imagen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3950" y="0"/>
          <a:ext cx="7738872" cy="77388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203200</xdr:colOff>
      <xdr:row>0</xdr:row>
      <xdr:rowOff>158749</xdr:rowOff>
    </xdr:from>
    <xdr:to>
      <xdr:col>16</xdr:col>
      <xdr:colOff>468313</xdr:colOff>
      <xdr:row>1</xdr:row>
      <xdr:rowOff>22225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4500225" y="158749"/>
          <a:ext cx="265113" cy="26352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287972</xdr:colOff>
      <xdr:row>0</xdr:row>
      <xdr:rowOff>236537</xdr:rowOff>
    </xdr:from>
    <xdr:to>
      <xdr:col>16</xdr:col>
      <xdr:colOff>625157</xdr:colOff>
      <xdr:row>0</xdr:row>
      <xdr:rowOff>539115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3994447" y="236537"/>
          <a:ext cx="337185" cy="30257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260985</xdr:colOff>
      <xdr:row>0</xdr:row>
      <xdr:rowOff>191135</xdr:rowOff>
    </xdr:from>
    <xdr:to>
      <xdr:col>16</xdr:col>
      <xdr:colOff>546417</xdr:colOff>
      <xdr:row>0</xdr:row>
      <xdr:rowOff>478155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4777085" y="191135"/>
          <a:ext cx="285432" cy="28702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238760</xdr:colOff>
      <xdr:row>0</xdr:row>
      <xdr:rowOff>210503</xdr:rowOff>
    </xdr:from>
    <xdr:to>
      <xdr:col>16</xdr:col>
      <xdr:colOff>553085</xdr:colOff>
      <xdr:row>0</xdr:row>
      <xdr:rowOff>523875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4859635" y="210503"/>
          <a:ext cx="314325" cy="31337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247649</xdr:colOff>
      <xdr:row>0</xdr:row>
      <xdr:rowOff>62201</xdr:rowOff>
    </xdr:from>
    <xdr:to>
      <xdr:col>7</xdr:col>
      <xdr:colOff>478848</xdr:colOff>
      <xdr:row>1</xdr:row>
      <xdr:rowOff>111125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677024" y="62201"/>
          <a:ext cx="231199" cy="24894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257175</xdr:colOff>
      <xdr:row>0</xdr:row>
      <xdr:rowOff>108498</xdr:rowOff>
    </xdr:from>
    <xdr:to>
      <xdr:col>6</xdr:col>
      <xdr:colOff>582382</xdr:colOff>
      <xdr:row>1</xdr:row>
      <xdr:rowOff>171450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5276850" y="108498"/>
          <a:ext cx="325207" cy="262977"/>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328613</xdr:colOff>
      <xdr:row>0</xdr:row>
      <xdr:rowOff>95251</xdr:rowOff>
    </xdr:from>
    <xdr:to>
      <xdr:col>9</xdr:col>
      <xdr:colOff>552450</xdr:colOff>
      <xdr:row>1</xdr:row>
      <xdr:rowOff>104776</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300913" y="95251"/>
          <a:ext cx="223837" cy="25717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307022</xdr:colOff>
      <xdr:row>0</xdr:row>
      <xdr:rowOff>77469</xdr:rowOff>
    </xdr:from>
    <xdr:to>
      <xdr:col>12</xdr:col>
      <xdr:colOff>573722</xdr:colOff>
      <xdr:row>1</xdr:row>
      <xdr:rowOff>115569</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0689272" y="77469"/>
          <a:ext cx="266700" cy="27622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14</xdr:col>
      <xdr:colOff>2267857</xdr:colOff>
      <xdr:row>42</xdr:row>
      <xdr:rowOff>1714</xdr:rowOff>
    </xdr:from>
    <xdr:to>
      <xdr:col>15</xdr:col>
      <xdr:colOff>0</xdr:colOff>
      <xdr:row>42</xdr:row>
      <xdr:rowOff>1714</xdr:rowOff>
    </xdr:to>
    <xdr:cxnSp macro="">
      <xdr:nvCxnSpPr>
        <xdr:cNvPr id="4" name="Conector recto 3">
          <a:extLst>
            <a:ext uri="{FF2B5EF4-FFF2-40B4-BE49-F238E27FC236}">
              <a16:creationId xmlns:a16="http://schemas.microsoft.com/office/drawing/2014/main" id="{059EF4A5-9F8F-4BD7-89A4-3BD03371757A}"/>
            </a:ext>
          </a:extLst>
        </xdr:cNvPr>
        <xdr:cNvCxnSpPr/>
      </xdr:nvCxnSpPr>
      <xdr:spPr>
        <a:xfrm flipH="1">
          <a:off x="4734832" y="1401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47</xdr:row>
      <xdr:rowOff>1714</xdr:rowOff>
    </xdr:from>
    <xdr:to>
      <xdr:col>15</xdr:col>
      <xdr:colOff>0</xdr:colOff>
      <xdr:row>47</xdr:row>
      <xdr:rowOff>1714</xdr:rowOff>
    </xdr:to>
    <xdr:cxnSp macro="">
      <xdr:nvCxnSpPr>
        <xdr:cNvPr id="5" name="Conector recto 4">
          <a:extLst>
            <a:ext uri="{FF2B5EF4-FFF2-40B4-BE49-F238E27FC236}">
              <a16:creationId xmlns:a16="http://schemas.microsoft.com/office/drawing/2014/main" id="{5A6F352B-7DA9-4E18-A607-CEE90C27522A}"/>
            </a:ext>
          </a:extLst>
        </xdr:cNvPr>
        <xdr:cNvCxnSpPr/>
      </xdr:nvCxnSpPr>
      <xdr:spPr>
        <a:xfrm flipH="1">
          <a:off x="4734832" y="2354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43</xdr:row>
      <xdr:rowOff>1714</xdr:rowOff>
    </xdr:from>
    <xdr:to>
      <xdr:col>15</xdr:col>
      <xdr:colOff>0</xdr:colOff>
      <xdr:row>43</xdr:row>
      <xdr:rowOff>1714</xdr:rowOff>
    </xdr:to>
    <xdr:cxnSp macro="">
      <xdr:nvCxnSpPr>
        <xdr:cNvPr id="6" name="Conector recto 5">
          <a:extLst>
            <a:ext uri="{FF2B5EF4-FFF2-40B4-BE49-F238E27FC236}">
              <a16:creationId xmlns:a16="http://schemas.microsoft.com/office/drawing/2014/main" id="{059EF4A5-9F8F-4BD7-89A4-3BD03371757A}"/>
            </a:ext>
          </a:extLst>
        </xdr:cNvPr>
        <xdr:cNvCxnSpPr/>
      </xdr:nvCxnSpPr>
      <xdr:spPr>
        <a:xfrm flipH="1">
          <a:off x="4734832" y="1401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45</xdr:row>
      <xdr:rowOff>1714</xdr:rowOff>
    </xdr:from>
    <xdr:to>
      <xdr:col>15</xdr:col>
      <xdr:colOff>0</xdr:colOff>
      <xdr:row>45</xdr:row>
      <xdr:rowOff>1714</xdr:rowOff>
    </xdr:to>
    <xdr:cxnSp macro="">
      <xdr:nvCxnSpPr>
        <xdr:cNvPr id="7" name="Conector recto 6">
          <a:extLst>
            <a:ext uri="{FF2B5EF4-FFF2-40B4-BE49-F238E27FC236}">
              <a16:creationId xmlns:a16="http://schemas.microsoft.com/office/drawing/2014/main" id="{059EF4A5-9F8F-4BD7-89A4-3BD03371757A}"/>
            </a:ext>
          </a:extLst>
        </xdr:cNvPr>
        <xdr:cNvCxnSpPr/>
      </xdr:nvCxnSpPr>
      <xdr:spPr>
        <a:xfrm flipH="1">
          <a:off x="4734832" y="1782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49</xdr:row>
      <xdr:rowOff>1714</xdr:rowOff>
    </xdr:from>
    <xdr:to>
      <xdr:col>15</xdr:col>
      <xdr:colOff>0</xdr:colOff>
      <xdr:row>49</xdr:row>
      <xdr:rowOff>1714</xdr:rowOff>
    </xdr:to>
    <xdr:cxnSp macro="">
      <xdr:nvCxnSpPr>
        <xdr:cNvPr id="8" name="Conector recto 7">
          <a:extLst>
            <a:ext uri="{FF2B5EF4-FFF2-40B4-BE49-F238E27FC236}">
              <a16:creationId xmlns:a16="http://schemas.microsoft.com/office/drawing/2014/main" id="{059EF4A5-9F8F-4BD7-89A4-3BD03371757A}"/>
            </a:ext>
          </a:extLst>
        </xdr:cNvPr>
        <xdr:cNvCxnSpPr/>
      </xdr:nvCxnSpPr>
      <xdr:spPr>
        <a:xfrm flipH="1">
          <a:off x="4734832" y="2544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47</xdr:row>
      <xdr:rowOff>1714</xdr:rowOff>
    </xdr:from>
    <xdr:to>
      <xdr:col>15</xdr:col>
      <xdr:colOff>0</xdr:colOff>
      <xdr:row>47</xdr:row>
      <xdr:rowOff>1714</xdr:rowOff>
    </xdr:to>
    <xdr:cxnSp macro="">
      <xdr:nvCxnSpPr>
        <xdr:cNvPr id="9" name="Conector recto 8">
          <a:extLst>
            <a:ext uri="{FF2B5EF4-FFF2-40B4-BE49-F238E27FC236}">
              <a16:creationId xmlns:a16="http://schemas.microsoft.com/office/drawing/2014/main" id="{059EF4A5-9F8F-4BD7-89A4-3BD03371757A}"/>
            </a:ext>
          </a:extLst>
        </xdr:cNvPr>
        <xdr:cNvCxnSpPr/>
      </xdr:nvCxnSpPr>
      <xdr:spPr>
        <a:xfrm flipH="1">
          <a:off x="4734832" y="2163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60</xdr:row>
      <xdr:rowOff>1714</xdr:rowOff>
    </xdr:from>
    <xdr:to>
      <xdr:col>15</xdr:col>
      <xdr:colOff>0</xdr:colOff>
      <xdr:row>60</xdr:row>
      <xdr:rowOff>1714</xdr:rowOff>
    </xdr:to>
    <xdr:cxnSp macro="">
      <xdr:nvCxnSpPr>
        <xdr:cNvPr id="10" name="Conector recto 9">
          <a:extLst>
            <a:ext uri="{FF2B5EF4-FFF2-40B4-BE49-F238E27FC236}">
              <a16:creationId xmlns:a16="http://schemas.microsoft.com/office/drawing/2014/main" id="{059EF4A5-9F8F-4BD7-89A4-3BD03371757A}"/>
            </a:ext>
          </a:extLst>
        </xdr:cNvPr>
        <xdr:cNvCxnSpPr/>
      </xdr:nvCxnSpPr>
      <xdr:spPr>
        <a:xfrm flipH="1">
          <a:off x="4734832" y="5021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55</xdr:row>
      <xdr:rowOff>1714</xdr:rowOff>
    </xdr:from>
    <xdr:to>
      <xdr:col>15</xdr:col>
      <xdr:colOff>0</xdr:colOff>
      <xdr:row>55</xdr:row>
      <xdr:rowOff>1714</xdr:rowOff>
    </xdr:to>
    <xdr:cxnSp macro="">
      <xdr:nvCxnSpPr>
        <xdr:cNvPr id="11" name="Conector recto 10">
          <a:extLst>
            <a:ext uri="{FF2B5EF4-FFF2-40B4-BE49-F238E27FC236}">
              <a16:creationId xmlns:a16="http://schemas.microsoft.com/office/drawing/2014/main" id="{059EF4A5-9F8F-4BD7-89A4-3BD03371757A}"/>
            </a:ext>
          </a:extLst>
        </xdr:cNvPr>
        <xdr:cNvCxnSpPr/>
      </xdr:nvCxnSpPr>
      <xdr:spPr>
        <a:xfrm flipH="1">
          <a:off x="4734832" y="3687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60</xdr:row>
      <xdr:rowOff>1714</xdr:rowOff>
    </xdr:from>
    <xdr:to>
      <xdr:col>15</xdr:col>
      <xdr:colOff>0</xdr:colOff>
      <xdr:row>60</xdr:row>
      <xdr:rowOff>1714</xdr:rowOff>
    </xdr:to>
    <xdr:cxnSp macro="">
      <xdr:nvCxnSpPr>
        <xdr:cNvPr id="12" name="Conector recto 11">
          <a:extLst>
            <a:ext uri="{FF2B5EF4-FFF2-40B4-BE49-F238E27FC236}">
              <a16:creationId xmlns:a16="http://schemas.microsoft.com/office/drawing/2014/main" id="{059EF4A5-9F8F-4BD7-89A4-3BD03371757A}"/>
            </a:ext>
          </a:extLst>
        </xdr:cNvPr>
        <xdr:cNvCxnSpPr/>
      </xdr:nvCxnSpPr>
      <xdr:spPr>
        <a:xfrm flipH="1">
          <a:off x="4734832" y="5021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54</xdr:row>
      <xdr:rowOff>1714</xdr:rowOff>
    </xdr:from>
    <xdr:to>
      <xdr:col>15</xdr:col>
      <xdr:colOff>0</xdr:colOff>
      <xdr:row>54</xdr:row>
      <xdr:rowOff>1714</xdr:rowOff>
    </xdr:to>
    <xdr:cxnSp macro="">
      <xdr:nvCxnSpPr>
        <xdr:cNvPr id="13" name="Conector recto 12">
          <a:extLst>
            <a:ext uri="{FF2B5EF4-FFF2-40B4-BE49-F238E27FC236}">
              <a16:creationId xmlns:a16="http://schemas.microsoft.com/office/drawing/2014/main" id="{059EF4A5-9F8F-4BD7-89A4-3BD03371757A}"/>
            </a:ext>
          </a:extLst>
        </xdr:cNvPr>
        <xdr:cNvCxnSpPr/>
      </xdr:nvCxnSpPr>
      <xdr:spPr>
        <a:xfrm flipH="1">
          <a:off x="4734832" y="3497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60</xdr:row>
      <xdr:rowOff>1714</xdr:rowOff>
    </xdr:from>
    <xdr:to>
      <xdr:col>15</xdr:col>
      <xdr:colOff>0</xdr:colOff>
      <xdr:row>60</xdr:row>
      <xdr:rowOff>1714</xdr:rowOff>
    </xdr:to>
    <xdr:cxnSp macro="">
      <xdr:nvCxnSpPr>
        <xdr:cNvPr id="14" name="Conector recto 13">
          <a:extLst>
            <a:ext uri="{FF2B5EF4-FFF2-40B4-BE49-F238E27FC236}">
              <a16:creationId xmlns:a16="http://schemas.microsoft.com/office/drawing/2014/main" id="{059EF4A5-9F8F-4BD7-89A4-3BD03371757A}"/>
            </a:ext>
          </a:extLst>
        </xdr:cNvPr>
        <xdr:cNvCxnSpPr/>
      </xdr:nvCxnSpPr>
      <xdr:spPr>
        <a:xfrm flipH="1">
          <a:off x="4734832" y="5021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54</xdr:row>
      <xdr:rowOff>1714</xdr:rowOff>
    </xdr:from>
    <xdr:to>
      <xdr:col>15</xdr:col>
      <xdr:colOff>0</xdr:colOff>
      <xdr:row>54</xdr:row>
      <xdr:rowOff>1714</xdr:rowOff>
    </xdr:to>
    <xdr:cxnSp macro="">
      <xdr:nvCxnSpPr>
        <xdr:cNvPr id="15" name="Conector recto 14">
          <a:extLst>
            <a:ext uri="{FF2B5EF4-FFF2-40B4-BE49-F238E27FC236}">
              <a16:creationId xmlns:a16="http://schemas.microsoft.com/office/drawing/2014/main" id="{059EF4A5-9F8F-4BD7-89A4-3BD03371757A}"/>
            </a:ext>
          </a:extLst>
        </xdr:cNvPr>
        <xdr:cNvCxnSpPr/>
      </xdr:nvCxnSpPr>
      <xdr:spPr>
        <a:xfrm flipH="1">
          <a:off x="4734832" y="3497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60</xdr:row>
      <xdr:rowOff>1714</xdr:rowOff>
    </xdr:from>
    <xdr:to>
      <xdr:col>15</xdr:col>
      <xdr:colOff>0</xdr:colOff>
      <xdr:row>60</xdr:row>
      <xdr:rowOff>1714</xdr:rowOff>
    </xdr:to>
    <xdr:cxnSp macro="">
      <xdr:nvCxnSpPr>
        <xdr:cNvPr id="16" name="Conector recto 15">
          <a:extLst>
            <a:ext uri="{FF2B5EF4-FFF2-40B4-BE49-F238E27FC236}">
              <a16:creationId xmlns:a16="http://schemas.microsoft.com/office/drawing/2014/main" id="{059EF4A5-9F8F-4BD7-89A4-3BD03371757A}"/>
            </a:ext>
          </a:extLst>
        </xdr:cNvPr>
        <xdr:cNvCxnSpPr/>
      </xdr:nvCxnSpPr>
      <xdr:spPr>
        <a:xfrm flipH="1">
          <a:off x="4734832" y="5021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54</xdr:row>
      <xdr:rowOff>1714</xdr:rowOff>
    </xdr:from>
    <xdr:to>
      <xdr:col>15</xdr:col>
      <xdr:colOff>0</xdr:colOff>
      <xdr:row>54</xdr:row>
      <xdr:rowOff>1714</xdr:rowOff>
    </xdr:to>
    <xdr:cxnSp macro="">
      <xdr:nvCxnSpPr>
        <xdr:cNvPr id="17" name="Conector recto 16">
          <a:extLst>
            <a:ext uri="{FF2B5EF4-FFF2-40B4-BE49-F238E27FC236}">
              <a16:creationId xmlns:a16="http://schemas.microsoft.com/office/drawing/2014/main" id="{059EF4A5-9F8F-4BD7-89A4-3BD03371757A}"/>
            </a:ext>
          </a:extLst>
        </xdr:cNvPr>
        <xdr:cNvCxnSpPr/>
      </xdr:nvCxnSpPr>
      <xdr:spPr>
        <a:xfrm flipH="1">
          <a:off x="4734832" y="3497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60</xdr:row>
      <xdr:rowOff>1714</xdr:rowOff>
    </xdr:from>
    <xdr:to>
      <xdr:col>15</xdr:col>
      <xdr:colOff>0</xdr:colOff>
      <xdr:row>60</xdr:row>
      <xdr:rowOff>1714</xdr:rowOff>
    </xdr:to>
    <xdr:cxnSp macro="">
      <xdr:nvCxnSpPr>
        <xdr:cNvPr id="18" name="Conector recto 17">
          <a:extLst>
            <a:ext uri="{FF2B5EF4-FFF2-40B4-BE49-F238E27FC236}">
              <a16:creationId xmlns:a16="http://schemas.microsoft.com/office/drawing/2014/main" id="{059EF4A5-9F8F-4BD7-89A4-3BD03371757A}"/>
            </a:ext>
          </a:extLst>
        </xdr:cNvPr>
        <xdr:cNvCxnSpPr/>
      </xdr:nvCxnSpPr>
      <xdr:spPr>
        <a:xfrm flipH="1">
          <a:off x="4734832" y="5021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54</xdr:row>
      <xdr:rowOff>1714</xdr:rowOff>
    </xdr:from>
    <xdr:to>
      <xdr:col>15</xdr:col>
      <xdr:colOff>0</xdr:colOff>
      <xdr:row>54</xdr:row>
      <xdr:rowOff>1714</xdr:rowOff>
    </xdr:to>
    <xdr:cxnSp macro="">
      <xdr:nvCxnSpPr>
        <xdr:cNvPr id="19" name="Conector recto 18">
          <a:extLst>
            <a:ext uri="{FF2B5EF4-FFF2-40B4-BE49-F238E27FC236}">
              <a16:creationId xmlns:a16="http://schemas.microsoft.com/office/drawing/2014/main" id="{059EF4A5-9F8F-4BD7-89A4-3BD03371757A}"/>
            </a:ext>
          </a:extLst>
        </xdr:cNvPr>
        <xdr:cNvCxnSpPr/>
      </xdr:nvCxnSpPr>
      <xdr:spPr>
        <a:xfrm flipH="1">
          <a:off x="4734832" y="3497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60</xdr:row>
      <xdr:rowOff>1714</xdr:rowOff>
    </xdr:from>
    <xdr:to>
      <xdr:col>15</xdr:col>
      <xdr:colOff>0</xdr:colOff>
      <xdr:row>60</xdr:row>
      <xdr:rowOff>1714</xdr:rowOff>
    </xdr:to>
    <xdr:cxnSp macro="">
      <xdr:nvCxnSpPr>
        <xdr:cNvPr id="20" name="Conector recto 19">
          <a:extLst>
            <a:ext uri="{FF2B5EF4-FFF2-40B4-BE49-F238E27FC236}">
              <a16:creationId xmlns:a16="http://schemas.microsoft.com/office/drawing/2014/main" id="{059EF4A5-9F8F-4BD7-89A4-3BD03371757A}"/>
            </a:ext>
          </a:extLst>
        </xdr:cNvPr>
        <xdr:cNvCxnSpPr/>
      </xdr:nvCxnSpPr>
      <xdr:spPr>
        <a:xfrm flipH="1">
          <a:off x="4734832" y="5021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55</xdr:row>
      <xdr:rowOff>1714</xdr:rowOff>
    </xdr:from>
    <xdr:to>
      <xdr:col>15</xdr:col>
      <xdr:colOff>0</xdr:colOff>
      <xdr:row>55</xdr:row>
      <xdr:rowOff>1714</xdr:rowOff>
    </xdr:to>
    <xdr:cxnSp macro="">
      <xdr:nvCxnSpPr>
        <xdr:cNvPr id="21" name="Conector recto 20">
          <a:extLst>
            <a:ext uri="{FF2B5EF4-FFF2-40B4-BE49-F238E27FC236}">
              <a16:creationId xmlns:a16="http://schemas.microsoft.com/office/drawing/2014/main" id="{059EF4A5-9F8F-4BD7-89A4-3BD03371757A}"/>
            </a:ext>
          </a:extLst>
        </xdr:cNvPr>
        <xdr:cNvCxnSpPr/>
      </xdr:nvCxnSpPr>
      <xdr:spPr>
        <a:xfrm flipH="1">
          <a:off x="4734832" y="3687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60</xdr:row>
      <xdr:rowOff>1714</xdr:rowOff>
    </xdr:from>
    <xdr:to>
      <xdr:col>15</xdr:col>
      <xdr:colOff>0</xdr:colOff>
      <xdr:row>60</xdr:row>
      <xdr:rowOff>1714</xdr:rowOff>
    </xdr:to>
    <xdr:cxnSp macro="">
      <xdr:nvCxnSpPr>
        <xdr:cNvPr id="22" name="Conector recto 21">
          <a:extLst>
            <a:ext uri="{FF2B5EF4-FFF2-40B4-BE49-F238E27FC236}">
              <a16:creationId xmlns:a16="http://schemas.microsoft.com/office/drawing/2014/main" id="{059EF4A5-9F8F-4BD7-89A4-3BD03371757A}"/>
            </a:ext>
          </a:extLst>
        </xdr:cNvPr>
        <xdr:cNvCxnSpPr/>
      </xdr:nvCxnSpPr>
      <xdr:spPr>
        <a:xfrm flipH="1">
          <a:off x="4734832" y="5021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54</xdr:row>
      <xdr:rowOff>1714</xdr:rowOff>
    </xdr:from>
    <xdr:to>
      <xdr:col>15</xdr:col>
      <xdr:colOff>0</xdr:colOff>
      <xdr:row>54</xdr:row>
      <xdr:rowOff>1714</xdr:rowOff>
    </xdr:to>
    <xdr:cxnSp macro="">
      <xdr:nvCxnSpPr>
        <xdr:cNvPr id="23" name="Conector recto 22">
          <a:extLst>
            <a:ext uri="{FF2B5EF4-FFF2-40B4-BE49-F238E27FC236}">
              <a16:creationId xmlns:a16="http://schemas.microsoft.com/office/drawing/2014/main" id="{059EF4A5-9F8F-4BD7-89A4-3BD03371757A}"/>
            </a:ext>
          </a:extLst>
        </xdr:cNvPr>
        <xdr:cNvCxnSpPr/>
      </xdr:nvCxnSpPr>
      <xdr:spPr>
        <a:xfrm flipH="1">
          <a:off x="4734832" y="3497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60</xdr:row>
      <xdr:rowOff>1714</xdr:rowOff>
    </xdr:from>
    <xdr:to>
      <xdr:col>15</xdr:col>
      <xdr:colOff>0</xdr:colOff>
      <xdr:row>60</xdr:row>
      <xdr:rowOff>1714</xdr:rowOff>
    </xdr:to>
    <xdr:cxnSp macro="">
      <xdr:nvCxnSpPr>
        <xdr:cNvPr id="24" name="Conector recto 23">
          <a:extLst>
            <a:ext uri="{FF2B5EF4-FFF2-40B4-BE49-F238E27FC236}">
              <a16:creationId xmlns:a16="http://schemas.microsoft.com/office/drawing/2014/main" id="{059EF4A5-9F8F-4BD7-89A4-3BD03371757A}"/>
            </a:ext>
          </a:extLst>
        </xdr:cNvPr>
        <xdr:cNvCxnSpPr/>
      </xdr:nvCxnSpPr>
      <xdr:spPr>
        <a:xfrm flipH="1">
          <a:off x="4734832" y="5021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54</xdr:row>
      <xdr:rowOff>1714</xdr:rowOff>
    </xdr:from>
    <xdr:to>
      <xdr:col>15</xdr:col>
      <xdr:colOff>0</xdr:colOff>
      <xdr:row>54</xdr:row>
      <xdr:rowOff>1714</xdr:rowOff>
    </xdr:to>
    <xdr:cxnSp macro="">
      <xdr:nvCxnSpPr>
        <xdr:cNvPr id="25" name="Conector recto 24">
          <a:extLst>
            <a:ext uri="{FF2B5EF4-FFF2-40B4-BE49-F238E27FC236}">
              <a16:creationId xmlns:a16="http://schemas.microsoft.com/office/drawing/2014/main" id="{059EF4A5-9F8F-4BD7-89A4-3BD03371757A}"/>
            </a:ext>
          </a:extLst>
        </xdr:cNvPr>
        <xdr:cNvCxnSpPr/>
      </xdr:nvCxnSpPr>
      <xdr:spPr>
        <a:xfrm flipH="1">
          <a:off x="4734832" y="3497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62</xdr:row>
      <xdr:rowOff>1714</xdr:rowOff>
    </xdr:from>
    <xdr:to>
      <xdr:col>15</xdr:col>
      <xdr:colOff>0</xdr:colOff>
      <xdr:row>62</xdr:row>
      <xdr:rowOff>1714</xdr:rowOff>
    </xdr:to>
    <xdr:cxnSp macro="">
      <xdr:nvCxnSpPr>
        <xdr:cNvPr id="26" name="Conector recto 25">
          <a:extLst>
            <a:ext uri="{FF2B5EF4-FFF2-40B4-BE49-F238E27FC236}">
              <a16:creationId xmlns:a16="http://schemas.microsoft.com/office/drawing/2014/main" id="{059EF4A5-9F8F-4BD7-89A4-3BD03371757A}"/>
            </a:ext>
          </a:extLst>
        </xdr:cNvPr>
        <xdr:cNvCxnSpPr/>
      </xdr:nvCxnSpPr>
      <xdr:spPr>
        <a:xfrm flipH="1">
          <a:off x="4734832" y="5783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62</xdr:row>
      <xdr:rowOff>1714</xdr:rowOff>
    </xdr:from>
    <xdr:to>
      <xdr:col>15</xdr:col>
      <xdr:colOff>0</xdr:colOff>
      <xdr:row>62</xdr:row>
      <xdr:rowOff>1714</xdr:rowOff>
    </xdr:to>
    <xdr:cxnSp macro="">
      <xdr:nvCxnSpPr>
        <xdr:cNvPr id="27" name="Conector recto 26">
          <a:extLst>
            <a:ext uri="{FF2B5EF4-FFF2-40B4-BE49-F238E27FC236}">
              <a16:creationId xmlns:a16="http://schemas.microsoft.com/office/drawing/2014/main" id="{059EF4A5-9F8F-4BD7-89A4-3BD03371757A}"/>
            </a:ext>
          </a:extLst>
        </xdr:cNvPr>
        <xdr:cNvCxnSpPr/>
      </xdr:nvCxnSpPr>
      <xdr:spPr>
        <a:xfrm flipH="1">
          <a:off x="4734832" y="5783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63</xdr:row>
      <xdr:rowOff>1714</xdr:rowOff>
    </xdr:from>
    <xdr:to>
      <xdr:col>15</xdr:col>
      <xdr:colOff>0</xdr:colOff>
      <xdr:row>63</xdr:row>
      <xdr:rowOff>1714</xdr:rowOff>
    </xdr:to>
    <xdr:cxnSp macro="">
      <xdr:nvCxnSpPr>
        <xdr:cNvPr id="28" name="Conector recto 27">
          <a:extLst>
            <a:ext uri="{FF2B5EF4-FFF2-40B4-BE49-F238E27FC236}">
              <a16:creationId xmlns:a16="http://schemas.microsoft.com/office/drawing/2014/main" id="{059EF4A5-9F8F-4BD7-89A4-3BD03371757A}"/>
            </a:ext>
          </a:extLst>
        </xdr:cNvPr>
        <xdr:cNvCxnSpPr/>
      </xdr:nvCxnSpPr>
      <xdr:spPr>
        <a:xfrm flipH="1">
          <a:off x="4734832" y="5973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62</xdr:row>
      <xdr:rowOff>1714</xdr:rowOff>
    </xdr:from>
    <xdr:to>
      <xdr:col>15</xdr:col>
      <xdr:colOff>0</xdr:colOff>
      <xdr:row>62</xdr:row>
      <xdr:rowOff>1714</xdr:rowOff>
    </xdr:to>
    <xdr:cxnSp macro="">
      <xdr:nvCxnSpPr>
        <xdr:cNvPr id="29" name="Conector recto 28">
          <a:extLst>
            <a:ext uri="{FF2B5EF4-FFF2-40B4-BE49-F238E27FC236}">
              <a16:creationId xmlns:a16="http://schemas.microsoft.com/office/drawing/2014/main" id="{059EF4A5-9F8F-4BD7-89A4-3BD03371757A}"/>
            </a:ext>
          </a:extLst>
        </xdr:cNvPr>
        <xdr:cNvCxnSpPr/>
      </xdr:nvCxnSpPr>
      <xdr:spPr>
        <a:xfrm flipH="1">
          <a:off x="4734832" y="5783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62</xdr:row>
      <xdr:rowOff>1714</xdr:rowOff>
    </xdr:from>
    <xdr:to>
      <xdr:col>15</xdr:col>
      <xdr:colOff>0</xdr:colOff>
      <xdr:row>62</xdr:row>
      <xdr:rowOff>1714</xdr:rowOff>
    </xdr:to>
    <xdr:cxnSp macro="">
      <xdr:nvCxnSpPr>
        <xdr:cNvPr id="30" name="Conector recto 29">
          <a:extLst>
            <a:ext uri="{FF2B5EF4-FFF2-40B4-BE49-F238E27FC236}">
              <a16:creationId xmlns:a16="http://schemas.microsoft.com/office/drawing/2014/main" id="{059EF4A5-9F8F-4BD7-89A4-3BD03371757A}"/>
            </a:ext>
          </a:extLst>
        </xdr:cNvPr>
        <xdr:cNvCxnSpPr/>
      </xdr:nvCxnSpPr>
      <xdr:spPr>
        <a:xfrm flipH="1">
          <a:off x="4734832" y="5783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63</xdr:row>
      <xdr:rowOff>1714</xdr:rowOff>
    </xdr:from>
    <xdr:to>
      <xdr:col>15</xdr:col>
      <xdr:colOff>0</xdr:colOff>
      <xdr:row>63</xdr:row>
      <xdr:rowOff>1714</xdr:rowOff>
    </xdr:to>
    <xdr:cxnSp macro="">
      <xdr:nvCxnSpPr>
        <xdr:cNvPr id="31" name="Conector recto 30">
          <a:extLst>
            <a:ext uri="{FF2B5EF4-FFF2-40B4-BE49-F238E27FC236}">
              <a16:creationId xmlns:a16="http://schemas.microsoft.com/office/drawing/2014/main" id="{059EF4A5-9F8F-4BD7-89A4-3BD03371757A}"/>
            </a:ext>
          </a:extLst>
        </xdr:cNvPr>
        <xdr:cNvCxnSpPr/>
      </xdr:nvCxnSpPr>
      <xdr:spPr>
        <a:xfrm flipH="1">
          <a:off x="4734832" y="5973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63</xdr:row>
      <xdr:rowOff>1714</xdr:rowOff>
    </xdr:from>
    <xdr:to>
      <xdr:col>15</xdr:col>
      <xdr:colOff>0</xdr:colOff>
      <xdr:row>63</xdr:row>
      <xdr:rowOff>1714</xdr:rowOff>
    </xdr:to>
    <xdr:cxnSp macro="">
      <xdr:nvCxnSpPr>
        <xdr:cNvPr id="32" name="Conector recto 31">
          <a:extLst>
            <a:ext uri="{FF2B5EF4-FFF2-40B4-BE49-F238E27FC236}">
              <a16:creationId xmlns:a16="http://schemas.microsoft.com/office/drawing/2014/main" id="{059EF4A5-9F8F-4BD7-89A4-3BD03371757A}"/>
            </a:ext>
          </a:extLst>
        </xdr:cNvPr>
        <xdr:cNvCxnSpPr/>
      </xdr:nvCxnSpPr>
      <xdr:spPr>
        <a:xfrm flipH="1">
          <a:off x="4734832" y="5973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65</xdr:row>
      <xdr:rowOff>1714</xdr:rowOff>
    </xdr:from>
    <xdr:to>
      <xdr:col>15</xdr:col>
      <xdr:colOff>0</xdr:colOff>
      <xdr:row>65</xdr:row>
      <xdr:rowOff>1714</xdr:rowOff>
    </xdr:to>
    <xdr:cxnSp macro="">
      <xdr:nvCxnSpPr>
        <xdr:cNvPr id="33" name="Conector recto 32">
          <a:extLst>
            <a:ext uri="{FF2B5EF4-FFF2-40B4-BE49-F238E27FC236}">
              <a16:creationId xmlns:a16="http://schemas.microsoft.com/office/drawing/2014/main" id="{059EF4A5-9F8F-4BD7-89A4-3BD03371757A}"/>
            </a:ext>
          </a:extLst>
        </xdr:cNvPr>
        <xdr:cNvCxnSpPr/>
      </xdr:nvCxnSpPr>
      <xdr:spPr>
        <a:xfrm flipH="1">
          <a:off x="4734832" y="6735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63</xdr:row>
      <xdr:rowOff>1714</xdr:rowOff>
    </xdr:from>
    <xdr:to>
      <xdr:col>15</xdr:col>
      <xdr:colOff>0</xdr:colOff>
      <xdr:row>63</xdr:row>
      <xdr:rowOff>1714</xdr:rowOff>
    </xdr:to>
    <xdr:cxnSp macro="">
      <xdr:nvCxnSpPr>
        <xdr:cNvPr id="34" name="Conector recto 33">
          <a:extLst>
            <a:ext uri="{FF2B5EF4-FFF2-40B4-BE49-F238E27FC236}">
              <a16:creationId xmlns:a16="http://schemas.microsoft.com/office/drawing/2014/main" id="{059EF4A5-9F8F-4BD7-89A4-3BD03371757A}"/>
            </a:ext>
          </a:extLst>
        </xdr:cNvPr>
        <xdr:cNvCxnSpPr/>
      </xdr:nvCxnSpPr>
      <xdr:spPr>
        <a:xfrm flipH="1">
          <a:off x="4734832" y="5973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2267857</xdr:colOff>
      <xdr:row>63</xdr:row>
      <xdr:rowOff>1714</xdr:rowOff>
    </xdr:from>
    <xdr:to>
      <xdr:col>15</xdr:col>
      <xdr:colOff>0</xdr:colOff>
      <xdr:row>63</xdr:row>
      <xdr:rowOff>1714</xdr:rowOff>
    </xdr:to>
    <xdr:cxnSp macro="">
      <xdr:nvCxnSpPr>
        <xdr:cNvPr id="35" name="Conector recto 34">
          <a:extLst>
            <a:ext uri="{FF2B5EF4-FFF2-40B4-BE49-F238E27FC236}">
              <a16:creationId xmlns:a16="http://schemas.microsoft.com/office/drawing/2014/main" id="{059EF4A5-9F8F-4BD7-89A4-3BD03371757A}"/>
            </a:ext>
          </a:extLst>
        </xdr:cNvPr>
        <xdr:cNvCxnSpPr/>
      </xdr:nvCxnSpPr>
      <xdr:spPr>
        <a:xfrm flipH="1">
          <a:off x="4734832" y="5973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82</xdr:col>
      <xdr:colOff>346075</xdr:colOff>
      <xdr:row>0</xdr:row>
      <xdr:rowOff>109007</xdr:rowOff>
    </xdr:from>
    <xdr:to>
      <xdr:col>82</xdr:col>
      <xdr:colOff>619125</xdr:colOff>
      <xdr:row>1</xdr:row>
      <xdr:rowOff>158749</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41627425" y="109007"/>
          <a:ext cx="273050" cy="287867"/>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81</xdr:col>
      <xdr:colOff>133349</xdr:colOff>
      <xdr:row>0</xdr:row>
      <xdr:rowOff>146049</xdr:rowOff>
    </xdr:from>
    <xdr:to>
      <xdr:col>82</xdr:col>
      <xdr:colOff>99483</xdr:colOff>
      <xdr:row>1</xdr:row>
      <xdr:rowOff>57150</xdr:rowOff>
    </xdr:to>
    <xdr:sp macro="" textlink="">
      <xdr:nvSpPr>
        <xdr:cNvPr id="6" name="5 Botón de acción: Inicio">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a:off x="42167174" y="146049"/>
          <a:ext cx="280459" cy="311151"/>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137577</xdr:colOff>
      <xdr:row>7</xdr:row>
      <xdr:rowOff>174094</xdr:rowOff>
    </xdr:from>
    <xdr:to>
      <xdr:col>4</xdr:col>
      <xdr:colOff>2985189</xdr:colOff>
      <xdr:row>7</xdr:row>
      <xdr:rowOff>936096</xdr:rowOff>
    </xdr:to>
    <xdr:pic>
      <xdr:nvPicPr>
        <xdr:cNvPr id="3" name="2 Image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7410" y="2745844"/>
          <a:ext cx="2847612" cy="76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116415</xdr:colOff>
      <xdr:row>9</xdr:row>
      <xdr:rowOff>31750</xdr:rowOff>
    </xdr:from>
    <xdr:to>
      <xdr:col>4</xdr:col>
      <xdr:colOff>3003577</xdr:colOff>
      <xdr:row>9</xdr:row>
      <xdr:rowOff>704850</xdr:rowOff>
    </xdr:to>
    <xdr:pic>
      <xdr:nvPicPr>
        <xdr:cNvPr id="13" name="12 Imagen">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0415" y="4622800"/>
          <a:ext cx="2887162" cy="67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116414</xdr:colOff>
      <xdr:row>10</xdr:row>
      <xdr:rowOff>42332</xdr:rowOff>
    </xdr:from>
    <xdr:to>
      <xdr:col>4</xdr:col>
      <xdr:colOff>3013464</xdr:colOff>
      <xdr:row>10</xdr:row>
      <xdr:rowOff>666749</xdr:rowOff>
    </xdr:to>
    <xdr:pic>
      <xdr:nvPicPr>
        <xdr:cNvPr id="15" name="14 Imagen">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22747" y="6307665"/>
          <a:ext cx="2897050" cy="624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116414</xdr:colOff>
      <xdr:row>11</xdr:row>
      <xdr:rowOff>31750</xdr:rowOff>
    </xdr:from>
    <xdr:to>
      <xdr:col>4</xdr:col>
      <xdr:colOff>3003577</xdr:colOff>
      <xdr:row>12</xdr:row>
      <xdr:rowOff>2116</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2747" y="6995583"/>
          <a:ext cx="2887163" cy="65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179912</xdr:colOff>
      <xdr:row>17</xdr:row>
      <xdr:rowOff>88633</xdr:rowOff>
    </xdr:from>
    <xdr:to>
      <xdr:col>4</xdr:col>
      <xdr:colOff>2920741</xdr:colOff>
      <xdr:row>17</xdr:row>
      <xdr:rowOff>666750</xdr:rowOff>
    </xdr:to>
    <xdr:pic>
      <xdr:nvPicPr>
        <xdr:cNvPr id="21" name="20 Imagen">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13912" y="10127983"/>
          <a:ext cx="2740829" cy="57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95249</xdr:colOff>
      <xdr:row>18</xdr:row>
      <xdr:rowOff>62446</xdr:rowOff>
    </xdr:from>
    <xdr:to>
      <xdr:col>4</xdr:col>
      <xdr:colOff>3016792</xdr:colOff>
      <xdr:row>18</xdr:row>
      <xdr:rowOff>506940</xdr:rowOff>
    </xdr:to>
    <xdr:pic>
      <xdr:nvPicPr>
        <xdr:cNvPr id="22" name="21 Imagen">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29249" y="10949521"/>
          <a:ext cx="2921543" cy="44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19</xdr:row>
      <xdr:rowOff>77258</xdr:rowOff>
    </xdr:from>
    <xdr:to>
      <xdr:col>4</xdr:col>
      <xdr:colOff>3026287</xdr:colOff>
      <xdr:row>19</xdr:row>
      <xdr:rowOff>669925</xdr:rowOff>
    </xdr:to>
    <xdr:pic>
      <xdr:nvPicPr>
        <xdr:cNvPr id="24" name="23 Imagen">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8665" y="11812058"/>
          <a:ext cx="2941622" cy="59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20</xdr:row>
      <xdr:rowOff>74082</xdr:rowOff>
    </xdr:from>
    <xdr:to>
      <xdr:col>4</xdr:col>
      <xdr:colOff>3016248</xdr:colOff>
      <xdr:row>20</xdr:row>
      <xdr:rowOff>666750</xdr:rowOff>
    </xdr:to>
    <xdr:pic>
      <xdr:nvPicPr>
        <xdr:cNvPr id="26" name="25 Imagen">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38748" y="12202582"/>
          <a:ext cx="2931583" cy="59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24</xdr:row>
      <xdr:rowOff>209022</xdr:rowOff>
    </xdr:from>
    <xdr:to>
      <xdr:col>4</xdr:col>
      <xdr:colOff>3026287</xdr:colOff>
      <xdr:row>24</xdr:row>
      <xdr:rowOff>561437</xdr:rowOff>
    </xdr:to>
    <xdr:pic>
      <xdr:nvPicPr>
        <xdr:cNvPr id="27" name="26 Imagen">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18665" y="15294241"/>
          <a:ext cx="2941622" cy="35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25</xdr:row>
      <xdr:rowOff>236794</xdr:rowOff>
    </xdr:from>
    <xdr:to>
      <xdr:col>4</xdr:col>
      <xdr:colOff>3016248</xdr:colOff>
      <xdr:row>25</xdr:row>
      <xdr:rowOff>1055944</xdr:rowOff>
    </xdr:to>
    <xdr:pic>
      <xdr:nvPicPr>
        <xdr:cNvPr id="29" name="28 Imagen">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18665" y="16036388"/>
          <a:ext cx="2931583"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82018</xdr:colOff>
      <xdr:row>21</xdr:row>
      <xdr:rowOff>59532</xdr:rowOff>
    </xdr:from>
    <xdr:to>
      <xdr:col>4</xdr:col>
      <xdr:colOff>2983482</xdr:colOff>
      <xdr:row>21</xdr:row>
      <xdr:rowOff>662782</xdr:rowOff>
    </xdr:to>
    <xdr:pic>
      <xdr:nvPicPr>
        <xdr:cNvPr id="31" name="30 Imagen">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16018" y="13096876"/>
          <a:ext cx="2901464" cy="60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84664</xdr:colOff>
      <xdr:row>22</xdr:row>
      <xdr:rowOff>80696</xdr:rowOff>
    </xdr:from>
    <xdr:to>
      <xdr:col>4</xdr:col>
      <xdr:colOff>3016247</xdr:colOff>
      <xdr:row>22</xdr:row>
      <xdr:rowOff>652196</xdr:rowOff>
    </xdr:to>
    <xdr:pic>
      <xdr:nvPicPr>
        <xdr:cNvPr id="33" name="32 Imagen">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18664" y="13832415"/>
          <a:ext cx="293158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74082</xdr:colOff>
      <xdr:row>30</xdr:row>
      <xdr:rowOff>148162</xdr:rowOff>
    </xdr:from>
    <xdr:to>
      <xdr:col>4</xdr:col>
      <xdr:colOff>3026832</xdr:colOff>
      <xdr:row>30</xdr:row>
      <xdr:rowOff>643462</xdr:rowOff>
    </xdr:to>
    <xdr:pic>
      <xdr:nvPicPr>
        <xdr:cNvPr id="36" name="35 Image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80415" y="20827995"/>
          <a:ext cx="295275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74082</xdr:colOff>
      <xdr:row>31</xdr:row>
      <xdr:rowOff>63498</xdr:rowOff>
    </xdr:from>
    <xdr:to>
      <xdr:col>4</xdr:col>
      <xdr:colOff>3026832</xdr:colOff>
      <xdr:row>31</xdr:row>
      <xdr:rowOff>675547</xdr:rowOff>
    </xdr:to>
    <xdr:pic>
      <xdr:nvPicPr>
        <xdr:cNvPr id="37" name="36 Imagen">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80415" y="21515915"/>
          <a:ext cx="29527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63499</xdr:colOff>
      <xdr:row>33</xdr:row>
      <xdr:rowOff>137579</xdr:rowOff>
    </xdr:from>
    <xdr:to>
      <xdr:col>4</xdr:col>
      <xdr:colOff>3026833</xdr:colOff>
      <xdr:row>33</xdr:row>
      <xdr:rowOff>470954</xdr:rowOff>
    </xdr:to>
    <xdr:pic>
      <xdr:nvPicPr>
        <xdr:cNvPr id="40" name="39 Imagen">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169832" y="23135162"/>
          <a:ext cx="2963334"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63498</xdr:colOff>
      <xdr:row>32</xdr:row>
      <xdr:rowOff>63498</xdr:rowOff>
    </xdr:from>
    <xdr:to>
      <xdr:col>4</xdr:col>
      <xdr:colOff>3037415</xdr:colOff>
      <xdr:row>32</xdr:row>
      <xdr:rowOff>679144</xdr:rowOff>
    </xdr:to>
    <xdr:pic>
      <xdr:nvPicPr>
        <xdr:cNvPr id="42" name="41 Image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69831" y="22288498"/>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95247</xdr:colOff>
      <xdr:row>34</xdr:row>
      <xdr:rowOff>100540</xdr:rowOff>
    </xdr:from>
    <xdr:to>
      <xdr:col>4</xdr:col>
      <xdr:colOff>3005664</xdr:colOff>
      <xdr:row>34</xdr:row>
      <xdr:rowOff>919690</xdr:rowOff>
    </xdr:to>
    <xdr:pic>
      <xdr:nvPicPr>
        <xdr:cNvPr id="43" name="42 Imag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47" y="21541315"/>
          <a:ext cx="2910417"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95248</xdr:colOff>
      <xdr:row>35</xdr:row>
      <xdr:rowOff>63498</xdr:rowOff>
    </xdr:from>
    <xdr:to>
      <xdr:col>4</xdr:col>
      <xdr:colOff>3016248</xdr:colOff>
      <xdr:row>35</xdr:row>
      <xdr:rowOff>720723</xdr:rowOff>
    </xdr:to>
    <xdr:pic>
      <xdr:nvPicPr>
        <xdr:cNvPr id="32" name="31 Imagen">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01581" y="25050748"/>
          <a:ext cx="29210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63498</xdr:colOff>
      <xdr:row>36</xdr:row>
      <xdr:rowOff>63498</xdr:rowOff>
    </xdr:from>
    <xdr:to>
      <xdr:col>4</xdr:col>
      <xdr:colOff>3037415</xdr:colOff>
      <xdr:row>36</xdr:row>
      <xdr:rowOff>720723</xdr:rowOff>
    </xdr:to>
    <xdr:pic>
      <xdr:nvPicPr>
        <xdr:cNvPr id="34" name="33 Imagen">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69831" y="25823331"/>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37</xdr:row>
      <xdr:rowOff>63498</xdr:rowOff>
    </xdr:from>
    <xdr:to>
      <xdr:col>4</xdr:col>
      <xdr:colOff>3016249</xdr:colOff>
      <xdr:row>37</xdr:row>
      <xdr:rowOff>720723</xdr:rowOff>
    </xdr:to>
    <xdr:pic>
      <xdr:nvPicPr>
        <xdr:cNvPr id="35" name="34 Imagen">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190998" y="26595915"/>
          <a:ext cx="293158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63498</xdr:colOff>
      <xdr:row>38</xdr:row>
      <xdr:rowOff>285741</xdr:rowOff>
    </xdr:from>
    <xdr:to>
      <xdr:col>4</xdr:col>
      <xdr:colOff>3037415</xdr:colOff>
      <xdr:row>38</xdr:row>
      <xdr:rowOff>761995</xdr:rowOff>
    </xdr:to>
    <xdr:pic>
      <xdr:nvPicPr>
        <xdr:cNvPr id="52" name="51 Imagen">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217581" y="26236074"/>
          <a:ext cx="2973917" cy="47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42333</xdr:colOff>
      <xdr:row>52</xdr:row>
      <xdr:rowOff>126996</xdr:rowOff>
    </xdr:from>
    <xdr:to>
      <xdr:col>4</xdr:col>
      <xdr:colOff>3037417</xdr:colOff>
      <xdr:row>52</xdr:row>
      <xdr:rowOff>486834</xdr:rowOff>
    </xdr:to>
    <xdr:pic>
      <xdr:nvPicPr>
        <xdr:cNvPr id="53" name="52 Image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196416" y="31527746"/>
          <a:ext cx="2995084"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53</xdr:row>
      <xdr:rowOff>126996</xdr:rowOff>
    </xdr:from>
    <xdr:to>
      <xdr:col>5</xdr:col>
      <xdr:colOff>6614</xdr:colOff>
      <xdr:row>53</xdr:row>
      <xdr:rowOff>486834</xdr:rowOff>
    </xdr:to>
    <xdr:pic>
      <xdr:nvPicPr>
        <xdr:cNvPr id="55" name="54 Image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154084" y="32109829"/>
          <a:ext cx="3090333"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12249</xdr:colOff>
      <xdr:row>56</xdr:row>
      <xdr:rowOff>95250</xdr:rowOff>
    </xdr:from>
    <xdr:to>
      <xdr:col>5</xdr:col>
      <xdr:colOff>6614</xdr:colOff>
      <xdr:row>57</xdr:row>
      <xdr:rowOff>4535</xdr:rowOff>
    </xdr:to>
    <xdr:pic>
      <xdr:nvPicPr>
        <xdr:cNvPr id="58" name="57 Imagen">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498649" y="31859764"/>
          <a:ext cx="3132363" cy="73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9526</xdr:colOff>
      <xdr:row>57</xdr:row>
      <xdr:rowOff>57149</xdr:rowOff>
    </xdr:from>
    <xdr:to>
      <xdr:col>5</xdr:col>
      <xdr:colOff>6614</xdr:colOff>
      <xdr:row>57</xdr:row>
      <xdr:rowOff>755648</xdr:rowOff>
    </xdr:to>
    <xdr:pic>
      <xdr:nvPicPr>
        <xdr:cNvPr id="60" name="59 Imagen">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343526" y="36280724"/>
          <a:ext cx="3086099" cy="698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169329</xdr:colOff>
      <xdr:row>58</xdr:row>
      <xdr:rowOff>94650</xdr:rowOff>
    </xdr:from>
    <xdr:to>
      <xdr:col>4</xdr:col>
      <xdr:colOff>2942161</xdr:colOff>
      <xdr:row>58</xdr:row>
      <xdr:rowOff>524934</xdr:rowOff>
    </xdr:to>
    <xdr:pic>
      <xdr:nvPicPr>
        <xdr:cNvPr id="66" name="65 Imagen">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275662" y="37210400"/>
          <a:ext cx="2772832" cy="430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126996</xdr:colOff>
      <xdr:row>59</xdr:row>
      <xdr:rowOff>142560</xdr:rowOff>
    </xdr:from>
    <xdr:to>
      <xdr:col>4</xdr:col>
      <xdr:colOff>2973913</xdr:colOff>
      <xdr:row>59</xdr:row>
      <xdr:rowOff>583312</xdr:rowOff>
    </xdr:to>
    <xdr:pic>
      <xdr:nvPicPr>
        <xdr:cNvPr id="67" name="66 Imagen">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460996" y="35289810"/>
          <a:ext cx="2846917" cy="44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285742</xdr:colOff>
      <xdr:row>60</xdr:row>
      <xdr:rowOff>104776</xdr:rowOff>
    </xdr:from>
    <xdr:to>
      <xdr:col>4</xdr:col>
      <xdr:colOff>2857497</xdr:colOff>
      <xdr:row>60</xdr:row>
      <xdr:rowOff>505493</xdr:rowOff>
    </xdr:to>
    <xdr:pic>
      <xdr:nvPicPr>
        <xdr:cNvPr id="70" name="69 Imagen">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619742" y="35937826"/>
          <a:ext cx="2571755" cy="40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116414</xdr:colOff>
      <xdr:row>62</xdr:row>
      <xdr:rowOff>55335</xdr:rowOff>
    </xdr:from>
    <xdr:to>
      <xdr:col>4</xdr:col>
      <xdr:colOff>3079747</xdr:colOff>
      <xdr:row>62</xdr:row>
      <xdr:rowOff>527049</xdr:rowOff>
    </xdr:to>
    <xdr:pic>
      <xdr:nvPicPr>
        <xdr:cNvPr id="71" name="70 Imagen">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22747" y="39012585"/>
          <a:ext cx="2963333" cy="47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2115</xdr:colOff>
      <xdr:row>8</xdr:row>
      <xdr:rowOff>196851</xdr:rowOff>
    </xdr:from>
    <xdr:to>
      <xdr:col>5</xdr:col>
      <xdr:colOff>6614</xdr:colOff>
      <xdr:row>8</xdr:row>
      <xdr:rowOff>733425</xdr:rowOff>
    </xdr:to>
    <xdr:pic>
      <xdr:nvPicPr>
        <xdr:cNvPr id="50" name="49 Imagen">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336115" y="3273426"/>
          <a:ext cx="3083985" cy="53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xdr:row>
      <xdr:rowOff>137579</xdr:rowOff>
    </xdr:from>
    <xdr:to>
      <xdr:col>5</xdr:col>
      <xdr:colOff>6614</xdr:colOff>
      <xdr:row>12</xdr:row>
      <xdr:rowOff>794804</xdr:rowOff>
    </xdr:to>
    <xdr:pic>
      <xdr:nvPicPr>
        <xdr:cNvPr id="59" name="58 Imagen">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154083" y="7725829"/>
          <a:ext cx="31115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69846</xdr:rowOff>
    </xdr:from>
    <xdr:to>
      <xdr:col>5</xdr:col>
      <xdr:colOff>6614</xdr:colOff>
      <xdr:row>13</xdr:row>
      <xdr:rowOff>727071</xdr:rowOff>
    </xdr:to>
    <xdr:pic>
      <xdr:nvPicPr>
        <xdr:cNvPr id="61" name="60 Imagen">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334000" y="7413621"/>
          <a:ext cx="30861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xdr:row>
      <xdr:rowOff>126996</xdr:rowOff>
    </xdr:from>
    <xdr:to>
      <xdr:col>5</xdr:col>
      <xdr:colOff>6614</xdr:colOff>
      <xdr:row>14</xdr:row>
      <xdr:rowOff>784221</xdr:rowOff>
    </xdr:to>
    <xdr:pic>
      <xdr:nvPicPr>
        <xdr:cNvPr id="62" name="61 Imagen">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154083" y="9493246"/>
          <a:ext cx="309033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59265</xdr:colOff>
      <xdr:row>39</xdr:row>
      <xdr:rowOff>42332</xdr:rowOff>
    </xdr:from>
    <xdr:to>
      <xdr:col>5</xdr:col>
      <xdr:colOff>166156</xdr:colOff>
      <xdr:row>39</xdr:row>
      <xdr:rowOff>537632</xdr:rowOff>
    </xdr:to>
    <xdr:pic>
      <xdr:nvPicPr>
        <xdr:cNvPr id="47" name="46 Imagen">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545665" y="25045457"/>
          <a:ext cx="327871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14812</xdr:colOff>
      <xdr:row>46</xdr:row>
      <xdr:rowOff>49740</xdr:rowOff>
    </xdr:from>
    <xdr:to>
      <xdr:col>5</xdr:col>
      <xdr:colOff>6614</xdr:colOff>
      <xdr:row>46</xdr:row>
      <xdr:rowOff>349956</xdr:rowOff>
    </xdr:to>
    <xdr:pic>
      <xdr:nvPicPr>
        <xdr:cNvPr id="49" name="48 Imagen">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602812" y="27841573"/>
          <a:ext cx="3234271" cy="300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219075</xdr:colOff>
      <xdr:row>55</xdr:row>
      <xdr:rowOff>161925</xdr:rowOff>
    </xdr:from>
    <xdr:to>
      <xdr:col>4</xdr:col>
      <xdr:colOff>2933700</xdr:colOff>
      <xdr:row>55</xdr:row>
      <xdr:rowOff>506380</xdr:rowOff>
    </xdr:to>
    <xdr:pic>
      <xdr:nvPicPr>
        <xdr:cNvPr id="44" name="56 Imagen">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553075" y="30908625"/>
          <a:ext cx="2714625" cy="34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180975</xdr:colOff>
          <xdr:row>6</xdr:row>
          <xdr:rowOff>66675</xdr:rowOff>
        </xdr:from>
        <xdr:to>
          <xdr:col>4</xdr:col>
          <xdr:colOff>3038475</xdr:colOff>
          <xdr:row>6</xdr:row>
          <xdr:rowOff>733425</xdr:rowOff>
        </xdr:to>
        <xdr:pic>
          <xdr:nvPicPr>
            <xdr:cNvPr id="273037" name="10 Imagen">
              <a:extLst>
                <a:ext uri="{FF2B5EF4-FFF2-40B4-BE49-F238E27FC236}">
                  <a16:creationId xmlns:a16="http://schemas.microsoft.com/office/drawing/2014/main" id="{00000000-0008-0000-0100-00008D2A0400}"/>
                </a:ext>
              </a:extLst>
            </xdr:cNvPr>
            <xdr:cNvPicPr>
              <a:picLocks noChangeAspect="1" noChangeArrowheads="1"/>
              <a:extLst>
                <a:ext uri="{84589F7E-364E-4C9E-8A38-B11213B215E9}">
                  <a14:cameraTool cellRange="Formulas!$C$2:$F$3" spid="_x0000_s446185"/>
                </a:ext>
              </a:extLst>
            </xdr:cNvPicPr>
          </xdr:nvPicPr>
          <xdr:blipFill>
            <a:blip xmlns:r="http://schemas.openxmlformats.org/officeDocument/2006/relationships" r:embed="rId37"/>
            <a:srcRect/>
            <a:stretch>
              <a:fillRect/>
            </a:stretch>
          </xdr:blipFill>
          <xdr:spPr bwMode="auto">
            <a:xfrm>
              <a:off x="5514975" y="1524000"/>
              <a:ext cx="2857500" cy="6667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21166</xdr:colOff>
      <xdr:row>0</xdr:row>
      <xdr:rowOff>21166</xdr:rowOff>
    </xdr:from>
    <xdr:to>
      <xdr:col>3</xdr:col>
      <xdr:colOff>825499</xdr:colOff>
      <xdr:row>3</xdr:row>
      <xdr:rowOff>228693</xdr:rowOff>
    </xdr:to>
    <xdr:pic>
      <xdr:nvPicPr>
        <xdr:cNvPr id="4" name="Imagen 3"/>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37583" y="21166"/>
          <a:ext cx="3545416" cy="104361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58</xdr:col>
      <xdr:colOff>203201</xdr:colOff>
      <xdr:row>0</xdr:row>
      <xdr:rowOff>88901</xdr:rowOff>
    </xdr:from>
    <xdr:to>
      <xdr:col>58</xdr:col>
      <xdr:colOff>469901</xdr:colOff>
      <xdr:row>1</xdr:row>
      <xdr:rowOff>171451</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32131001" y="88901"/>
          <a:ext cx="266700" cy="27305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44</xdr:col>
      <xdr:colOff>290512</xdr:colOff>
      <xdr:row>0</xdr:row>
      <xdr:rowOff>153988</xdr:rowOff>
    </xdr:from>
    <xdr:to>
      <xdr:col>44</xdr:col>
      <xdr:colOff>569913</xdr:colOff>
      <xdr:row>0</xdr:row>
      <xdr:rowOff>434340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24645937" y="153988"/>
          <a:ext cx="279401" cy="28035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31231</xdr:colOff>
      <xdr:row>0</xdr:row>
      <xdr:rowOff>66676</xdr:rowOff>
    </xdr:from>
    <xdr:to>
      <xdr:col>23</xdr:col>
      <xdr:colOff>290281</xdr:colOff>
      <xdr:row>1</xdr:row>
      <xdr:rowOff>52965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11508856" y="66676"/>
          <a:ext cx="259050" cy="23393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58</xdr:col>
      <xdr:colOff>333376</xdr:colOff>
      <xdr:row>0</xdr:row>
      <xdr:rowOff>161925</xdr:rowOff>
    </xdr:from>
    <xdr:to>
      <xdr:col>58</xdr:col>
      <xdr:colOff>595314</xdr:colOff>
      <xdr:row>2</xdr:row>
      <xdr:rowOff>9525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33451801" y="161925"/>
          <a:ext cx="261938" cy="2476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180976</xdr:colOff>
      <xdr:row>0</xdr:row>
      <xdr:rowOff>165100</xdr:rowOff>
    </xdr:from>
    <xdr:to>
      <xdr:col>30</xdr:col>
      <xdr:colOff>466727</xdr:colOff>
      <xdr:row>2</xdr:row>
      <xdr:rowOff>19050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18183226" y="165100"/>
          <a:ext cx="285751" cy="2540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101</xdr:col>
      <xdr:colOff>212725</xdr:colOff>
      <xdr:row>0</xdr:row>
      <xdr:rowOff>79376</xdr:rowOff>
    </xdr:from>
    <xdr:to>
      <xdr:col>101</xdr:col>
      <xdr:colOff>488950</xdr:colOff>
      <xdr:row>1</xdr:row>
      <xdr:rowOff>123825</xdr:rowOff>
    </xdr:to>
    <xdr:sp macro="" textlink="">
      <xdr:nvSpPr>
        <xdr:cNvPr id="3" name="16 Botón de acción: Inicio">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44732575" y="79376"/>
          <a:ext cx="276225" cy="244474"/>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413068</xdr:colOff>
      <xdr:row>0</xdr:row>
      <xdr:rowOff>88900</xdr:rowOff>
    </xdr:from>
    <xdr:to>
      <xdr:col>9</xdr:col>
      <xdr:colOff>23813</xdr:colOff>
      <xdr:row>1</xdr:row>
      <xdr:rowOff>111125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548881" y="88900"/>
          <a:ext cx="261620" cy="268288"/>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22</xdr:col>
      <xdr:colOff>431800</xdr:colOff>
      <xdr:row>0</xdr:row>
      <xdr:rowOff>47625</xdr:rowOff>
    </xdr:from>
    <xdr:to>
      <xdr:col>22</xdr:col>
      <xdr:colOff>665164</xdr:colOff>
      <xdr:row>1</xdr:row>
      <xdr:rowOff>90487</xdr:rowOff>
    </xdr:to>
    <xdr:sp macro="" textlink="">
      <xdr:nvSpPr>
        <xdr:cNvPr id="5" name="4 Botón de acción: Inicio">
          <a:hlinkClick xmlns:r="http://schemas.openxmlformats.org/officeDocument/2006/relationships" r:id="rId1"/>
          <a:extLst>
            <a:ext uri="{FF2B5EF4-FFF2-40B4-BE49-F238E27FC236}">
              <a16:creationId xmlns:a16="http://schemas.microsoft.com/office/drawing/2014/main" id="{00000000-0008-0000-2100-000005000000}"/>
            </a:ext>
          </a:extLst>
        </xdr:cNvPr>
        <xdr:cNvSpPr/>
      </xdr:nvSpPr>
      <xdr:spPr>
        <a:xfrm>
          <a:off x="13147675" y="47625"/>
          <a:ext cx="233364" cy="290512"/>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57</xdr:col>
      <xdr:colOff>472440</xdr:colOff>
      <xdr:row>0</xdr:row>
      <xdr:rowOff>131764</xdr:rowOff>
    </xdr:from>
    <xdr:to>
      <xdr:col>57</xdr:col>
      <xdr:colOff>752475</xdr:colOff>
      <xdr:row>2</xdr:row>
      <xdr:rowOff>9525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35772090" y="131764"/>
          <a:ext cx="280035" cy="277811"/>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58</xdr:col>
      <xdr:colOff>354011</xdr:colOff>
      <xdr:row>0</xdr:row>
      <xdr:rowOff>127000</xdr:rowOff>
    </xdr:from>
    <xdr:to>
      <xdr:col>58</xdr:col>
      <xdr:colOff>609598</xdr:colOff>
      <xdr:row>0</xdr:row>
      <xdr:rowOff>400050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32491361" y="127000"/>
          <a:ext cx="255587" cy="2730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1990725</xdr:colOff>
      <xdr:row>12</xdr:row>
      <xdr:rowOff>142875</xdr:rowOff>
    </xdr:from>
    <xdr:ext cx="287130" cy="446212"/>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7124700" y="354330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25</xdr:row>
      <xdr:rowOff>66675</xdr:rowOff>
    </xdr:from>
    <xdr:ext cx="287130" cy="446212"/>
    <xdr:sp macro="" textlink="">
      <xdr:nvSpPr>
        <xdr:cNvPr id="4" name="3 CuadroTexto">
          <a:extLst>
            <a:ext uri="{FF2B5EF4-FFF2-40B4-BE49-F238E27FC236}">
              <a16:creationId xmlns:a16="http://schemas.microsoft.com/office/drawing/2014/main" id="{00000000-0008-0000-0200-000004000000}"/>
            </a:ext>
          </a:extLst>
        </xdr:cNvPr>
        <xdr:cNvSpPr txBox="1"/>
      </xdr:nvSpPr>
      <xdr:spPr>
        <a:xfrm>
          <a:off x="7124700" y="740092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27</xdr:row>
      <xdr:rowOff>66675</xdr:rowOff>
    </xdr:from>
    <xdr:ext cx="287130" cy="446212"/>
    <xdr:sp macro="" textlink="">
      <xdr:nvSpPr>
        <xdr:cNvPr id="5" name="4 CuadroTexto">
          <a:extLst>
            <a:ext uri="{FF2B5EF4-FFF2-40B4-BE49-F238E27FC236}">
              <a16:creationId xmlns:a16="http://schemas.microsoft.com/office/drawing/2014/main" id="{00000000-0008-0000-0200-000005000000}"/>
            </a:ext>
          </a:extLst>
        </xdr:cNvPr>
        <xdr:cNvSpPr txBox="1"/>
      </xdr:nvSpPr>
      <xdr:spPr>
        <a:xfrm>
          <a:off x="7124700" y="821055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29</xdr:row>
      <xdr:rowOff>66675</xdr:rowOff>
    </xdr:from>
    <xdr:ext cx="287130" cy="446212"/>
    <xdr:sp macro="" textlink="">
      <xdr:nvSpPr>
        <xdr:cNvPr id="6" name="5 CuadroTexto">
          <a:extLst>
            <a:ext uri="{FF2B5EF4-FFF2-40B4-BE49-F238E27FC236}">
              <a16:creationId xmlns:a16="http://schemas.microsoft.com/office/drawing/2014/main" id="{00000000-0008-0000-0200-000006000000}"/>
            </a:ext>
          </a:extLst>
        </xdr:cNvPr>
        <xdr:cNvSpPr txBox="1"/>
      </xdr:nvSpPr>
      <xdr:spPr>
        <a:xfrm>
          <a:off x="7124700" y="902017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58</xdr:col>
      <xdr:colOff>433706</xdr:colOff>
      <xdr:row>0</xdr:row>
      <xdr:rowOff>82550</xdr:rowOff>
    </xdr:from>
    <xdr:to>
      <xdr:col>58</xdr:col>
      <xdr:colOff>681356</xdr:colOff>
      <xdr:row>0</xdr:row>
      <xdr:rowOff>377825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30389831" y="82550"/>
          <a:ext cx="247650" cy="2952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54</xdr:col>
      <xdr:colOff>381000</xdr:colOff>
      <xdr:row>0</xdr:row>
      <xdr:rowOff>132483</xdr:rowOff>
    </xdr:from>
    <xdr:to>
      <xdr:col>54</xdr:col>
      <xdr:colOff>659687</xdr:colOff>
      <xdr:row>1</xdr:row>
      <xdr:rowOff>200024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33413700" y="132483"/>
          <a:ext cx="278687" cy="315191"/>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70</xdr:row>
      <xdr:rowOff>0</xdr:rowOff>
    </xdr:from>
    <xdr:to>
      <xdr:col>8</xdr:col>
      <xdr:colOff>314326</xdr:colOff>
      <xdr:row>82</xdr:row>
      <xdr:rowOff>85726</xdr:rowOff>
    </xdr:to>
    <xdr:graphicFrame macro="">
      <xdr:nvGraphicFramePr>
        <xdr:cNvPr id="2" name="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70</xdr:row>
      <xdr:rowOff>0</xdr:rowOff>
    </xdr:from>
    <xdr:to>
      <xdr:col>21</xdr:col>
      <xdr:colOff>428626</xdr:colOff>
      <xdr:row>82</xdr:row>
      <xdr:rowOff>85726</xdr:rowOff>
    </xdr:to>
    <xdr:graphicFrame macro="">
      <xdr:nvGraphicFramePr>
        <xdr:cNvPr id="3" name="2 Gráfico">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70</xdr:row>
      <xdr:rowOff>0</xdr:rowOff>
    </xdr:from>
    <xdr:to>
      <xdr:col>30</xdr:col>
      <xdr:colOff>314326</xdr:colOff>
      <xdr:row>82</xdr:row>
      <xdr:rowOff>85726</xdr:rowOff>
    </xdr:to>
    <xdr:graphicFrame macro="">
      <xdr:nvGraphicFramePr>
        <xdr:cNvPr id="4" name="3 Gráfico">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84</xdr:row>
      <xdr:rowOff>0</xdr:rowOff>
    </xdr:from>
    <xdr:to>
      <xdr:col>8</xdr:col>
      <xdr:colOff>314326</xdr:colOff>
      <xdr:row>96</xdr:row>
      <xdr:rowOff>85726</xdr:rowOff>
    </xdr:to>
    <xdr:graphicFrame macro="">
      <xdr:nvGraphicFramePr>
        <xdr:cNvPr id="5" name="4 Gráfico">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84</xdr:row>
      <xdr:rowOff>0</xdr:rowOff>
    </xdr:from>
    <xdr:to>
      <xdr:col>21</xdr:col>
      <xdr:colOff>428626</xdr:colOff>
      <xdr:row>96</xdr:row>
      <xdr:rowOff>85726</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84</xdr:row>
      <xdr:rowOff>0</xdr:rowOff>
    </xdr:from>
    <xdr:to>
      <xdr:col>30</xdr:col>
      <xdr:colOff>314326</xdr:colOff>
      <xdr:row>96</xdr:row>
      <xdr:rowOff>85726</xdr:rowOff>
    </xdr:to>
    <xdr:graphicFrame macro="">
      <xdr:nvGraphicFramePr>
        <xdr:cNvPr id="7" name="6 Gráfico">
          <a:extLst>
            <a:ext uri="{FF2B5EF4-FFF2-40B4-BE49-F238E27FC236}">
              <a16:creationId xmlns:a16="http://schemas.microsoft.com/office/drawing/2014/main" id="{00000000-0008-0000-2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98</xdr:row>
      <xdr:rowOff>0</xdr:rowOff>
    </xdr:from>
    <xdr:to>
      <xdr:col>8</xdr:col>
      <xdr:colOff>314326</xdr:colOff>
      <xdr:row>110</xdr:row>
      <xdr:rowOff>85726</xdr:rowOff>
    </xdr:to>
    <xdr:graphicFrame macro="">
      <xdr:nvGraphicFramePr>
        <xdr:cNvPr id="8" name="7 Gráfico">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98</xdr:row>
      <xdr:rowOff>0</xdr:rowOff>
    </xdr:from>
    <xdr:to>
      <xdr:col>21</xdr:col>
      <xdr:colOff>428626</xdr:colOff>
      <xdr:row>110</xdr:row>
      <xdr:rowOff>85726</xdr:rowOff>
    </xdr:to>
    <xdr:graphicFrame macro="">
      <xdr:nvGraphicFramePr>
        <xdr:cNvPr id="9" name="8 Gráfico">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98</xdr:row>
      <xdr:rowOff>0</xdr:rowOff>
    </xdr:from>
    <xdr:to>
      <xdr:col>30</xdr:col>
      <xdr:colOff>314326</xdr:colOff>
      <xdr:row>110</xdr:row>
      <xdr:rowOff>85726</xdr:rowOff>
    </xdr:to>
    <xdr:graphicFrame macro="">
      <xdr:nvGraphicFramePr>
        <xdr:cNvPr id="10" name="9 Gráfico">
          <a:extLst>
            <a:ext uri="{FF2B5EF4-FFF2-40B4-BE49-F238E27FC236}">
              <a16:creationId xmlns:a16="http://schemas.microsoft.com/office/drawing/2014/main" id="{00000000-0008-0000-2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112</xdr:row>
      <xdr:rowOff>0</xdr:rowOff>
    </xdr:from>
    <xdr:to>
      <xdr:col>8</xdr:col>
      <xdr:colOff>314326</xdr:colOff>
      <xdr:row>124</xdr:row>
      <xdr:rowOff>85726</xdr:rowOff>
    </xdr:to>
    <xdr:graphicFrame macro="">
      <xdr:nvGraphicFramePr>
        <xdr:cNvPr id="11" name="10 Gráfico">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111</xdr:row>
      <xdr:rowOff>0</xdr:rowOff>
    </xdr:from>
    <xdr:to>
      <xdr:col>21</xdr:col>
      <xdr:colOff>428626</xdr:colOff>
      <xdr:row>123</xdr:row>
      <xdr:rowOff>85726</xdr:rowOff>
    </xdr:to>
    <xdr:graphicFrame macro="">
      <xdr:nvGraphicFramePr>
        <xdr:cNvPr id="12" name="11 Gráfico">
          <a:extLst>
            <a:ext uri="{FF2B5EF4-FFF2-40B4-BE49-F238E27FC236}">
              <a16:creationId xmlns:a16="http://schemas.microsoft.com/office/drawing/2014/main" id="{00000000-0008-0000-2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111</xdr:row>
      <xdr:rowOff>0</xdr:rowOff>
    </xdr:from>
    <xdr:to>
      <xdr:col>30</xdr:col>
      <xdr:colOff>314326</xdr:colOff>
      <xdr:row>123</xdr:row>
      <xdr:rowOff>85726</xdr:rowOff>
    </xdr:to>
    <xdr:graphicFrame macro="">
      <xdr:nvGraphicFramePr>
        <xdr:cNvPr id="13" name="12 Gráfico">
          <a:extLst>
            <a:ext uri="{FF2B5EF4-FFF2-40B4-BE49-F238E27FC236}">
              <a16:creationId xmlns:a16="http://schemas.microsoft.com/office/drawing/2014/main" id="{00000000-0008-0000-2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85</xdr:col>
      <xdr:colOff>315912</xdr:colOff>
      <xdr:row>0</xdr:row>
      <xdr:rowOff>85724</xdr:rowOff>
    </xdr:from>
    <xdr:to>
      <xdr:col>86</xdr:col>
      <xdr:colOff>125412</xdr:colOff>
      <xdr:row>1</xdr:row>
      <xdr:rowOff>123824</xdr:rowOff>
    </xdr:to>
    <xdr:sp macro="" textlink="">
      <xdr:nvSpPr>
        <xdr:cNvPr id="14" name="13 Botón de acción: Inicio">
          <a:hlinkClick xmlns:r="http://schemas.openxmlformats.org/officeDocument/2006/relationships" r:id="rId13"/>
          <a:extLst>
            <a:ext uri="{FF2B5EF4-FFF2-40B4-BE49-F238E27FC236}">
              <a16:creationId xmlns:a16="http://schemas.microsoft.com/office/drawing/2014/main" id="{00000000-0008-0000-2600-00000E000000}"/>
            </a:ext>
          </a:extLst>
        </xdr:cNvPr>
        <xdr:cNvSpPr/>
      </xdr:nvSpPr>
      <xdr:spPr>
        <a:xfrm>
          <a:off x="37339587" y="85724"/>
          <a:ext cx="257175" cy="27622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533400</xdr:colOff>
      <xdr:row>0</xdr:row>
      <xdr:rowOff>104775</xdr:rowOff>
    </xdr:from>
    <xdr:to>
      <xdr:col>7</xdr:col>
      <xdr:colOff>0</xdr:colOff>
      <xdr:row>1</xdr:row>
      <xdr:rowOff>147205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7762875" y="104775"/>
          <a:ext cx="2286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16</xdr:col>
      <xdr:colOff>395722</xdr:colOff>
      <xdr:row>0</xdr:row>
      <xdr:rowOff>79376</xdr:rowOff>
    </xdr:from>
    <xdr:to>
      <xdr:col>16</xdr:col>
      <xdr:colOff>676708</xdr:colOff>
      <xdr:row>1</xdr:row>
      <xdr:rowOff>190500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11730472" y="79376"/>
          <a:ext cx="280986" cy="311149"/>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158750</xdr:colOff>
      <xdr:row>0</xdr:row>
      <xdr:rowOff>55562</xdr:rowOff>
    </xdr:from>
    <xdr:to>
      <xdr:col>3</xdr:col>
      <xdr:colOff>425450</xdr:colOff>
      <xdr:row>0</xdr:row>
      <xdr:rowOff>326592</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900-000003000000}"/>
            </a:ext>
          </a:extLst>
        </xdr:cNvPr>
        <xdr:cNvSpPr/>
      </xdr:nvSpPr>
      <xdr:spPr>
        <a:xfrm>
          <a:off x="4579938" y="55562"/>
          <a:ext cx="2667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280622</xdr:colOff>
      <xdr:row>0</xdr:row>
      <xdr:rowOff>74735</xdr:rowOff>
    </xdr:from>
    <xdr:to>
      <xdr:col>7</xdr:col>
      <xdr:colOff>527539</xdr:colOff>
      <xdr:row>1</xdr:row>
      <xdr:rowOff>78398</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6986222" y="74735"/>
          <a:ext cx="246917" cy="251313"/>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15</xdr:col>
      <xdr:colOff>328083</xdr:colOff>
      <xdr:row>0</xdr:row>
      <xdr:rowOff>95250</xdr:rowOff>
    </xdr:from>
    <xdr:to>
      <xdr:col>15</xdr:col>
      <xdr:colOff>628650</xdr:colOff>
      <xdr:row>1</xdr:row>
      <xdr:rowOff>180975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6653933" y="95250"/>
          <a:ext cx="300567" cy="28575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384176</xdr:colOff>
      <xdr:row>0</xdr:row>
      <xdr:rowOff>95250</xdr:rowOff>
    </xdr:from>
    <xdr:to>
      <xdr:col>8</xdr:col>
      <xdr:colOff>111126</xdr:colOff>
      <xdr:row>1</xdr:row>
      <xdr:rowOff>111125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7639051" y="95250"/>
          <a:ext cx="242888" cy="26193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13</xdr:col>
      <xdr:colOff>236538</xdr:colOff>
      <xdr:row>0</xdr:row>
      <xdr:rowOff>101600</xdr:rowOff>
    </xdr:from>
    <xdr:to>
      <xdr:col>13</xdr:col>
      <xdr:colOff>514351</xdr:colOff>
      <xdr:row>1</xdr:row>
      <xdr:rowOff>149225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28063" y="101600"/>
          <a:ext cx="277813" cy="29527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266382</xdr:colOff>
      <xdr:row>0</xdr:row>
      <xdr:rowOff>188912</xdr:rowOff>
    </xdr:from>
    <xdr:to>
      <xdr:col>30</xdr:col>
      <xdr:colOff>580707</xdr:colOff>
      <xdr:row>1</xdr:row>
      <xdr:rowOff>104775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22412007" y="188912"/>
          <a:ext cx="314325" cy="28733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223307</xdr:colOff>
      <xdr:row>0</xdr:row>
      <xdr:rowOff>96838</xdr:rowOff>
    </xdr:from>
    <xdr:to>
      <xdr:col>7</xdr:col>
      <xdr:colOff>480484</xdr:colOff>
      <xdr:row>1</xdr:row>
      <xdr:rowOff>152400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5290607" y="96838"/>
          <a:ext cx="257177" cy="255587"/>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14</xdr:col>
      <xdr:colOff>236538</xdr:colOff>
      <xdr:row>0</xdr:row>
      <xdr:rowOff>44448</xdr:rowOff>
    </xdr:from>
    <xdr:to>
      <xdr:col>14</xdr:col>
      <xdr:colOff>495300</xdr:colOff>
      <xdr:row>1</xdr:row>
      <xdr:rowOff>104774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352338" y="44448"/>
          <a:ext cx="258762" cy="260351"/>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57</xdr:col>
      <xdr:colOff>322262</xdr:colOff>
      <xdr:row>0</xdr:row>
      <xdr:rowOff>136526</xdr:rowOff>
    </xdr:from>
    <xdr:to>
      <xdr:col>57</xdr:col>
      <xdr:colOff>587377</xdr:colOff>
      <xdr:row>2</xdr:row>
      <xdr:rowOff>19050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37374512" y="136526"/>
          <a:ext cx="265115" cy="273049"/>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15</xdr:col>
      <xdr:colOff>306387</xdr:colOff>
      <xdr:row>0</xdr:row>
      <xdr:rowOff>101600</xdr:rowOff>
    </xdr:from>
    <xdr:to>
      <xdr:col>15</xdr:col>
      <xdr:colOff>561976</xdr:colOff>
      <xdr:row>1</xdr:row>
      <xdr:rowOff>144462</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2863512" y="101600"/>
          <a:ext cx="255589" cy="28892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5</xdr:col>
      <xdr:colOff>269874</xdr:colOff>
      <xdr:row>0</xdr:row>
      <xdr:rowOff>42864</xdr:rowOff>
    </xdr:from>
    <xdr:to>
      <xdr:col>5</xdr:col>
      <xdr:colOff>517525</xdr:colOff>
      <xdr:row>1</xdr:row>
      <xdr:rowOff>119063</xdr:rowOff>
    </xdr:to>
    <xdr:sp macro="" textlink="">
      <xdr:nvSpPr>
        <xdr:cNvPr id="16" name="15 Botón de acción: Inicio">
          <a:hlinkClick xmlns:r="http://schemas.openxmlformats.org/officeDocument/2006/relationships" r:id="rId1"/>
          <a:extLst>
            <a:ext uri="{FF2B5EF4-FFF2-40B4-BE49-F238E27FC236}">
              <a16:creationId xmlns:a16="http://schemas.microsoft.com/office/drawing/2014/main" id="{00000000-0008-0000-3200-000010000000}"/>
            </a:ext>
          </a:extLst>
        </xdr:cNvPr>
        <xdr:cNvSpPr/>
      </xdr:nvSpPr>
      <xdr:spPr>
        <a:xfrm>
          <a:off x="6659562" y="42864"/>
          <a:ext cx="247651" cy="322262"/>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editAs="oneCell">
    <xdr:from>
      <xdr:col>5</xdr:col>
      <xdr:colOff>0</xdr:colOff>
      <xdr:row>212</xdr:row>
      <xdr:rowOff>353880</xdr:rowOff>
    </xdr:from>
    <xdr:to>
      <xdr:col>5</xdr:col>
      <xdr:colOff>360</xdr:colOff>
      <xdr:row>230</xdr:row>
      <xdr:rowOff>14190</xdr:rowOff>
    </xdr:to>
    <xdr:sp macro="" textlink="">
      <xdr:nvSpPr>
        <xdr:cNvPr id="11" name="CustomShape 1">
          <a:extLst>
            <a:ext uri="{FF2B5EF4-FFF2-40B4-BE49-F238E27FC236}">
              <a16:creationId xmlns:a16="http://schemas.microsoft.com/office/drawing/2014/main" id="{00000000-0008-0000-3200-00000B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212</xdr:row>
      <xdr:rowOff>353880</xdr:rowOff>
    </xdr:from>
    <xdr:to>
      <xdr:col>5</xdr:col>
      <xdr:colOff>360</xdr:colOff>
      <xdr:row>230</xdr:row>
      <xdr:rowOff>14190</xdr:rowOff>
    </xdr:to>
    <xdr:sp macro="" textlink="">
      <xdr:nvSpPr>
        <xdr:cNvPr id="12" name="CustomShape 1">
          <a:extLst>
            <a:ext uri="{FF2B5EF4-FFF2-40B4-BE49-F238E27FC236}">
              <a16:creationId xmlns:a16="http://schemas.microsoft.com/office/drawing/2014/main" id="{00000000-0008-0000-3200-00000C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212</xdr:row>
      <xdr:rowOff>353880</xdr:rowOff>
    </xdr:from>
    <xdr:to>
      <xdr:col>5</xdr:col>
      <xdr:colOff>360</xdr:colOff>
      <xdr:row>230</xdr:row>
      <xdr:rowOff>14190</xdr:rowOff>
    </xdr:to>
    <xdr:sp macro="" textlink="">
      <xdr:nvSpPr>
        <xdr:cNvPr id="13" name="CustomShape 1">
          <a:extLst>
            <a:ext uri="{FF2B5EF4-FFF2-40B4-BE49-F238E27FC236}">
              <a16:creationId xmlns:a16="http://schemas.microsoft.com/office/drawing/2014/main" id="{00000000-0008-0000-3200-00000D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212</xdr:row>
      <xdr:rowOff>353880</xdr:rowOff>
    </xdr:from>
    <xdr:to>
      <xdr:col>5</xdr:col>
      <xdr:colOff>360</xdr:colOff>
      <xdr:row>230</xdr:row>
      <xdr:rowOff>14190</xdr:rowOff>
    </xdr:to>
    <xdr:sp macro="" textlink="">
      <xdr:nvSpPr>
        <xdr:cNvPr id="14" name="CustomShape 1">
          <a:extLst>
            <a:ext uri="{FF2B5EF4-FFF2-40B4-BE49-F238E27FC236}">
              <a16:creationId xmlns:a16="http://schemas.microsoft.com/office/drawing/2014/main" id="{00000000-0008-0000-3200-00000E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0</xdr:colOff>
      <xdr:row>364</xdr:row>
      <xdr:rowOff>0</xdr:rowOff>
    </xdr:from>
    <xdr:to>
      <xdr:col>2</xdr:col>
      <xdr:colOff>0</xdr:colOff>
      <xdr:row>382</xdr:row>
      <xdr:rowOff>0</xdr:rowOff>
    </xdr:to>
    <xdr:sp macro="" textlink="">
      <xdr:nvSpPr>
        <xdr:cNvPr id="2" name="Rectangle 107">
          <a:extLst>
            <a:ext uri="{FF2B5EF4-FFF2-40B4-BE49-F238E27FC236}">
              <a16:creationId xmlns:a16="http://schemas.microsoft.com/office/drawing/2014/main" id="{00000000-0008-0000-3300-000002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382</xdr:row>
      <xdr:rowOff>0</xdr:rowOff>
    </xdr:to>
    <xdr:sp macro="" textlink="">
      <xdr:nvSpPr>
        <xdr:cNvPr id="3" name="Rectangle 108">
          <a:extLst>
            <a:ext uri="{FF2B5EF4-FFF2-40B4-BE49-F238E27FC236}">
              <a16:creationId xmlns:a16="http://schemas.microsoft.com/office/drawing/2014/main" id="{00000000-0008-0000-3300-000003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388</xdr:row>
      <xdr:rowOff>0</xdr:rowOff>
    </xdr:from>
    <xdr:to>
      <xdr:col>2</xdr:col>
      <xdr:colOff>0</xdr:colOff>
      <xdr:row>405</xdr:row>
      <xdr:rowOff>0</xdr:rowOff>
    </xdr:to>
    <xdr:sp macro="" textlink="">
      <xdr:nvSpPr>
        <xdr:cNvPr id="4" name="Rectangle 107">
          <a:extLst>
            <a:ext uri="{FF2B5EF4-FFF2-40B4-BE49-F238E27FC236}">
              <a16:creationId xmlns:a16="http://schemas.microsoft.com/office/drawing/2014/main" id="{00000000-0008-0000-3300-000004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388</xdr:row>
      <xdr:rowOff>0</xdr:rowOff>
    </xdr:from>
    <xdr:to>
      <xdr:col>2</xdr:col>
      <xdr:colOff>0</xdr:colOff>
      <xdr:row>405</xdr:row>
      <xdr:rowOff>0</xdr:rowOff>
    </xdr:to>
    <xdr:sp macro="" textlink="">
      <xdr:nvSpPr>
        <xdr:cNvPr id="5" name="Rectangle 108">
          <a:extLst>
            <a:ext uri="{FF2B5EF4-FFF2-40B4-BE49-F238E27FC236}">
              <a16:creationId xmlns:a16="http://schemas.microsoft.com/office/drawing/2014/main" id="{00000000-0008-0000-3300-000005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365</xdr:row>
      <xdr:rowOff>0</xdr:rowOff>
    </xdr:from>
    <xdr:to>
      <xdr:col>6</xdr:col>
      <xdr:colOff>0</xdr:colOff>
      <xdr:row>370</xdr:row>
      <xdr:rowOff>0</xdr:rowOff>
    </xdr:to>
    <xdr:sp macro="" textlink="">
      <xdr:nvSpPr>
        <xdr:cNvPr id="6" name="Rectangle 107">
          <a:extLst>
            <a:ext uri="{FF2B5EF4-FFF2-40B4-BE49-F238E27FC236}">
              <a16:creationId xmlns:a16="http://schemas.microsoft.com/office/drawing/2014/main" id="{00000000-0008-0000-3300-000006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365</xdr:row>
      <xdr:rowOff>0</xdr:rowOff>
    </xdr:from>
    <xdr:to>
      <xdr:col>6</xdr:col>
      <xdr:colOff>0</xdr:colOff>
      <xdr:row>370</xdr:row>
      <xdr:rowOff>0</xdr:rowOff>
    </xdr:to>
    <xdr:sp macro="" textlink="">
      <xdr:nvSpPr>
        <xdr:cNvPr id="7" name="Rectangle 108">
          <a:extLst>
            <a:ext uri="{FF2B5EF4-FFF2-40B4-BE49-F238E27FC236}">
              <a16:creationId xmlns:a16="http://schemas.microsoft.com/office/drawing/2014/main" id="{00000000-0008-0000-3300-000007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366</xdr:row>
      <xdr:rowOff>0</xdr:rowOff>
    </xdr:from>
    <xdr:to>
      <xdr:col>6</xdr:col>
      <xdr:colOff>0</xdr:colOff>
      <xdr:row>370</xdr:row>
      <xdr:rowOff>0</xdr:rowOff>
    </xdr:to>
    <xdr:sp macro="" textlink="">
      <xdr:nvSpPr>
        <xdr:cNvPr id="8" name="Rectangle 107">
          <a:extLst>
            <a:ext uri="{FF2B5EF4-FFF2-40B4-BE49-F238E27FC236}">
              <a16:creationId xmlns:a16="http://schemas.microsoft.com/office/drawing/2014/main" id="{00000000-0008-0000-3300-000008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366</xdr:row>
      <xdr:rowOff>0</xdr:rowOff>
    </xdr:from>
    <xdr:to>
      <xdr:col>6</xdr:col>
      <xdr:colOff>0</xdr:colOff>
      <xdr:row>370</xdr:row>
      <xdr:rowOff>0</xdr:rowOff>
    </xdr:to>
    <xdr:sp macro="" textlink="">
      <xdr:nvSpPr>
        <xdr:cNvPr id="9" name="Rectangle 108">
          <a:extLst>
            <a:ext uri="{FF2B5EF4-FFF2-40B4-BE49-F238E27FC236}">
              <a16:creationId xmlns:a16="http://schemas.microsoft.com/office/drawing/2014/main" id="{00000000-0008-0000-3300-000009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8</xdr:col>
      <xdr:colOff>333377</xdr:colOff>
      <xdr:row>0</xdr:row>
      <xdr:rowOff>66678</xdr:rowOff>
    </xdr:from>
    <xdr:to>
      <xdr:col>8</xdr:col>
      <xdr:colOff>609601</xdr:colOff>
      <xdr:row>1</xdr:row>
      <xdr:rowOff>142875</xdr:rowOff>
    </xdr:to>
    <xdr:sp macro="" textlink="">
      <xdr:nvSpPr>
        <xdr:cNvPr id="10" name="9 Botón de acción: Inicio">
          <a:hlinkClick xmlns:r="http://schemas.openxmlformats.org/officeDocument/2006/relationships" r:id="rId1"/>
          <a:extLst>
            <a:ext uri="{FF2B5EF4-FFF2-40B4-BE49-F238E27FC236}">
              <a16:creationId xmlns:a16="http://schemas.microsoft.com/office/drawing/2014/main" id="{00000000-0008-0000-3300-00000A000000}"/>
            </a:ext>
          </a:extLst>
        </xdr:cNvPr>
        <xdr:cNvSpPr/>
      </xdr:nvSpPr>
      <xdr:spPr>
        <a:xfrm>
          <a:off x="13173077" y="66678"/>
          <a:ext cx="276224" cy="323847"/>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2</xdr:col>
      <xdr:colOff>0</xdr:colOff>
      <xdr:row>364</xdr:row>
      <xdr:rowOff>0</xdr:rowOff>
    </xdr:from>
    <xdr:to>
      <xdr:col>2</xdr:col>
      <xdr:colOff>0</xdr:colOff>
      <xdr:row>384</xdr:row>
      <xdr:rowOff>0</xdr:rowOff>
    </xdr:to>
    <xdr:sp macro="" textlink="">
      <xdr:nvSpPr>
        <xdr:cNvPr id="11" name="Rectangle 107">
          <a:extLst>
            <a:ext uri="{FF2B5EF4-FFF2-40B4-BE49-F238E27FC236}">
              <a16:creationId xmlns:a16="http://schemas.microsoft.com/office/drawing/2014/main" id="{00000000-0008-0000-3300-00000B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384</xdr:row>
      <xdr:rowOff>0</xdr:rowOff>
    </xdr:to>
    <xdr:sp macro="" textlink="">
      <xdr:nvSpPr>
        <xdr:cNvPr id="12" name="Rectangle 108">
          <a:extLst>
            <a:ext uri="{FF2B5EF4-FFF2-40B4-BE49-F238E27FC236}">
              <a16:creationId xmlns:a16="http://schemas.microsoft.com/office/drawing/2014/main" id="{00000000-0008-0000-3300-00000C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388</xdr:row>
      <xdr:rowOff>0</xdr:rowOff>
    </xdr:from>
    <xdr:to>
      <xdr:col>2</xdr:col>
      <xdr:colOff>0</xdr:colOff>
      <xdr:row>413</xdr:row>
      <xdr:rowOff>0</xdr:rowOff>
    </xdr:to>
    <xdr:sp macro="" textlink="">
      <xdr:nvSpPr>
        <xdr:cNvPr id="13" name="Rectangle 107">
          <a:extLst>
            <a:ext uri="{FF2B5EF4-FFF2-40B4-BE49-F238E27FC236}">
              <a16:creationId xmlns:a16="http://schemas.microsoft.com/office/drawing/2014/main" id="{00000000-0008-0000-3300-00000D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388</xdr:row>
      <xdr:rowOff>0</xdr:rowOff>
    </xdr:from>
    <xdr:to>
      <xdr:col>2</xdr:col>
      <xdr:colOff>0</xdr:colOff>
      <xdr:row>413</xdr:row>
      <xdr:rowOff>0</xdr:rowOff>
    </xdr:to>
    <xdr:sp macro="" textlink="">
      <xdr:nvSpPr>
        <xdr:cNvPr id="14" name="Rectangle 108">
          <a:extLst>
            <a:ext uri="{FF2B5EF4-FFF2-40B4-BE49-F238E27FC236}">
              <a16:creationId xmlns:a16="http://schemas.microsoft.com/office/drawing/2014/main" id="{00000000-0008-0000-3300-00000E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364</xdr:row>
      <xdr:rowOff>0</xdr:rowOff>
    </xdr:from>
    <xdr:to>
      <xdr:col>6</xdr:col>
      <xdr:colOff>0</xdr:colOff>
      <xdr:row>380</xdr:row>
      <xdr:rowOff>0</xdr:rowOff>
    </xdr:to>
    <xdr:sp macro="" textlink="">
      <xdr:nvSpPr>
        <xdr:cNvPr id="15" name="Rectangle 107">
          <a:extLst>
            <a:ext uri="{FF2B5EF4-FFF2-40B4-BE49-F238E27FC236}">
              <a16:creationId xmlns:a16="http://schemas.microsoft.com/office/drawing/2014/main" id="{00000000-0008-0000-3300-00000F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364</xdr:row>
      <xdr:rowOff>0</xdr:rowOff>
    </xdr:from>
    <xdr:to>
      <xdr:col>6</xdr:col>
      <xdr:colOff>0</xdr:colOff>
      <xdr:row>380</xdr:row>
      <xdr:rowOff>0</xdr:rowOff>
    </xdr:to>
    <xdr:sp macro="" textlink="">
      <xdr:nvSpPr>
        <xdr:cNvPr id="16" name="Rectangle 108">
          <a:extLst>
            <a:ext uri="{FF2B5EF4-FFF2-40B4-BE49-F238E27FC236}">
              <a16:creationId xmlns:a16="http://schemas.microsoft.com/office/drawing/2014/main" id="{00000000-0008-0000-3300-000010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366</xdr:row>
      <xdr:rowOff>0</xdr:rowOff>
    </xdr:from>
    <xdr:to>
      <xdr:col>6</xdr:col>
      <xdr:colOff>0</xdr:colOff>
      <xdr:row>380</xdr:row>
      <xdr:rowOff>0</xdr:rowOff>
    </xdr:to>
    <xdr:sp macro="" textlink="">
      <xdr:nvSpPr>
        <xdr:cNvPr id="17" name="Rectangle 107">
          <a:extLst>
            <a:ext uri="{FF2B5EF4-FFF2-40B4-BE49-F238E27FC236}">
              <a16:creationId xmlns:a16="http://schemas.microsoft.com/office/drawing/2014/main" id="{00000000-0008-0000-3300-000011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366</xdr:row>
      <xdr:rowOff>0</xdr:rowOff>
    </xdr:from>
    <xdr:to>
      <xdr:col>6</xdr:col>
      <xdr:colOff>0</xdr:colOff>
      <xdr:row>380</xdr:row>
      <xdr:rowOff>0</xdr:rowOff>
    </xdr:to>
    <xdr:sp macro="" textlink="">
      <xdr:nvSpPr>
        <xdr:cNvPr id="18" name="Rectangle 108">
          <a:extLst>
            <a:ext uri="{FF2B5EF4-FFF2-40B4-BE49-F238E27FC236}">
              <a16:creationId xmlns:a16="http://schemas.microsoft.com/office/drawing/2014/main" id="{00000000-0008-0000-3300-000012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388</xdr:row>
      <xdr:rowOff>0</xdr:rowOff>
    </xdr:from>
    <xdr:to>
      <xdr:col>2</xdr:col>
      <xdr:colOff>0</xdr:colOff>
      <xdr:row>417</xdr:row>
      <xdr:rowOff>0</xdr:rowOff>
    </xdr:to>
    <xdr:sp macro="" textlink="">
      <xdr:nvSpPr>
        <xdr:cNvPr id="19" name="Rectangle 107">
          <a:extLst>
            <a:ext uri="{FF2B5EF4-FFF2-40B4-BE49-F238E27FC236}">
              <a16:creationId xmlns:a16="http://schemas.microsoft.com/office/drawing/2014/main" id="{00000000-0008-0000-3300-000013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388</xdr:row>
      <xdr:rowOff>0</xdr:rowOff>
    </xdr:from>
    <xdr:to>
      <xdr:col>2</xdr:col>
      <xdr:colOff>0</xdr:colOff>
      <xdr:row>417</xdr:row>
      <xdr:rowOff>0</xdr:rowOff>
    </xdr:to>
    <xdr:sp macro="" textlink="">
      <xdr:nvSpPr>
        <xdr:cNvPr id="20" name="Rectangle 108">
          <a:extLst>
            <a:ext uri="{FF2B5EF4-FFF2-40B4-BE49-F238E27FC236}">
              <a16:creationId xmlns:a16="http://schemas.microsoft.com/office/drawing/2014/main" id="{00000000-0008-0000-3300-000014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364</xdr:row>
      <xdr:rowOff>0</xdr:rowOff>
    </xdr:from>
    <xdr:to>
      <xdr:col>6</xdr:col>
      <xdr:colOff>0</xdr:colOff>
      <xdr:row>378</xdr:row>
      <xdr:rowOff>0</xdr:rowOff>
    </xdr:to>
    <xdr:sp macro="" textlink="">
      <xdr:nvSpPr>
        <xdr:cNvPr id="21" name="Rectangle 107">
          <a:extLst>
            <a:ext uri="{FF2B5EF4-FFF2-40B4-BE49-F238E27FC236}">
              <a16:creationId xmlns:a16="http://schemas.microsoft.com/office/drawing/2014/main" id="{00000000-0008-0000-3300-000015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364</xdr:row>
      <xdr:rowOff>0</xdr:rowOff>
    </xdr:from>
    <xdr:to>
      <xdr:col>6</xdr:col>
      <xdr:colOff>0</xdr:colOff>
      <xdr:row>378</xdr:row>
      <xdr:rowOff>0</xdr:rowOff>
    </xdr:to>
    <xdr:sp macro="" textlink="">
      <xdr:nvSpPr>
        <xdr:cNvPr id="22" name="Rectangle 108">
          <a:extLst>
            <a:ext uri="{FF2B5EF4-FFF2-40B4-BE49-F238E27FC236}">
              <a16:creationId xmlns:a16="http://schemas.microsoft.com/office/drawing/2014/main" id="{00000000-0008-0000-3300-000016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365</xdr:row>
      <xdr:rowOff>0</xdr:rowOff>
    </xdr:from>
    <xdr:to>
      <xdr:col>2</xdr:col>
      <xdr:colOff>0</xdr:colOff>
      <xdr:row>374</xdr:row>
      <xdr:rowOff>0</xdr:rowOff>
    </xdr:to>
    <xdr:sp macro="" textlink="">
      <xdr:nvSpPr>
        <xdr:cNvPr id="23" name="Rectangle 107">
          <a:extLst>
            <a:ext uri="{FF2B5EF4-FFF2-40B4-BE49-F238E27FC236}">
              <a16:creationId xmlns:a16="http://schemas.microsoft.com/office/drawing/2014/main" id="{00000000-0008-0000-3300-000017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365</xdr:row>
      <xdr:rowOff>0</xdr:rowOff>
    </xdr:from>
    <xdr:to>
      <xdr:col>2</xdr:col>
      <xdr:colOff>0</xdr:colOff>
      <xdr:row>374</xdr:row>
      <xdr:rowOff>0</xdr:rowOff>
    </xdr:to>
    <xdr:sp macro="" textlink="">
      <xdr:nvSpPr>
        <xdr:cNvPr id="24" name="Rectangle 108">
          <a:extLst>
            <a:ext uri="{FF2B5EF4-FFF2-40B4-BE49-F238E27FC236}">
              <a16:creationId xmlns:a16="http://schemas.microsoft.com/office/drawing/2014/main" id="{00000000-0008-0000-3300-000018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388</xdr:row>
      <xdr:rowOff>0</xdr:rowOff>
    </xdr:from>
    <xdr:to>
      <xdr:col>2</xdr:col>
      <xdr:colOff>0</xdr:colOff>
      <xdr:row>409</xdr:row>
      <xdr:rowOff>0</xdr:rowOff>
    </xdr:to>
    <xdr:sp macro="" textlink="">
      <xdr:nvSpPr>
        <xdr:cNvPr id="25" name="Rectangle 107">
          <a:extLst>
            <a:ext uri="{FF2B5EF4-FFF2-40B4-BE49-F238E27FC236}">
              <a16:creationId xmlns:a16="http://schemas.microsoft.com/office/drawing/2014/main" id="{00000000-0008-0000-3300-000019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388</xdr:row>
      <xdr:rowOff>0</xdr:rowOff>
    </xdr:from>
    <xdr:to>
      <xdr:col>2</xdr:col>
      <xdr:colOff>0</xdr:colOff>
      <xdr:row>409</xdr:row>
      <xdr:rowOff>0</xdr:rowOff>
    </xdr:to>
    <xdr:sp macro="" textlink="">
      <xdr:nvSpPr>
        <xdr:cNvPr id="26" name="Rectangle 108">
          <a:extLst>
            <a:ext uri="{FF2B5EF4-FFF2-40B4-BE49-F238E27FC236}">
              <a16:creationId xmlns:a16="http://schemas.microsoft.com/office/drawing/2014/main" id="{00000000-0008-0000-3300-00001A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369</xdr:row>
      <xdr:rowOff>0</xdr:rowOff>
    </xdr:from>
    <xdr:to>
      <xdr:col>6</xdr:col>
      <xdr:colOff>0</xdr:colOff>
      <xdr:row>383</xdr:row>
      <xdr:rowOff>0</xdr:rowOff>
    </xdr:to>
    <xdr:sp macro="" textlink="">
      <xdr:nvSpPr>
        <xdr:cNvPr id="27" name="Rectangle 107">
          <a:extLst>
            <a:ext uri="{FF2B5EF4-FFF2-40B4-BE49-F238E27FC236}">
              <a16:creationId xmlns:a16="http://schemas.microsoft.com/office/drawing/2014/main" id="{00000000-0008-0000-3300-00001B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369</xdr:row>
      <xdr:rowOff>0</xdr:rowOff>
    </xdr:from>
    <xdr:to>
      <xdr:col>6</xdr:col>
      <xdr:colOff>0</xdr:colOff>
      <xdr:row>383</xdr:row>
      <xdr:rowOff>0</xdr:rowOff>
    </xdr:to>
    <xdr:sp macro="" textlink="">
      <xdr:nvSpPr>
        <xdr:cNvPr id="28" name="Rectangle 108">
          <a:extLst>
            <a:ext uri="{FF2B5EF4-FFF2-40B4-BE49-F238E27FC236}">
              <a16:creationId xmlns:a16="http://schemas.microsoft.com/office/drawing/2014/main" id="{00000000-0008-0000-3300-00001C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381</xdr:row>
      <xdr:rowOff>0</xdr:rowOff>
    </xdr:from>
    <xdr:to>
      <xdr:col>6</xdr:col>
      <xdr:colOff>0</xdr:colOff>
      <xdr:row>383</xdr:row>
      <xdr:rowOff>0</xdr:rowOff>
    </xdr:to>
    <xdr:sp macro="" textlink="">
      <xdr:nvSpPr>
        <xdr:cNvPr id="29" name="Rectangle 107">
          <a:extLst>
            <a:ext uri="{FF2B5EF4-FFF2-40B4-BE49-F238E27FC236}">
              <a16:creationId xmlns:a16="http://schemas.microsoft.com/office/drawing/2014/main" id="{00000000-0008-0000-3300-00001D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381</xdr:row>
      <xdr:rowOff>0</xdr:rowOff>
    </xdr:from>
    <xdr:to>
      <xdr:col>6</xdr:col>
      <xdr:colOff>0</xdr:colOff>
      <xdr:row>383</xdr:row>
      <xdr:rowOff>0</xdr:rowOff>
    </xdr:to>
    <xdr:sp macro="" textlink="">
      <xdr:nvSpPr>
        <xdr:cNvPr id="30" name="Rectangle 108">
          <a:extLst>
            <a:ext uri="{FF2B5EF4-FFF2-40B4-BE49-F238E27FC236}">
              <a16:creationId xmlns:a16="http://schemas.microsoft.com/office/drawing/2014/main" id="{00000000-0008-0000-3300-00001E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364</xdr:row>
      <xdr:rowOff>0</xdr:rowOff>
    </xdr:from>
    <xdr:to>
      <xdr:col>2</xdr:col>
      <xdr:colOff>0</xdr:colOff>
      <xdr:row>382</xdr:row>
      <xdr:rowOff>0</xdr:rowOff>
    </xdr:to>
    <xdr:sp macro="" textlink="">
      <xdr:nvSpPr>
        <xdr:cNvPr id="31" name="Rectangle 107">
          <a:extLst>
            <a:ext uri="{FF2B5EF4-FFF2-40B4-BE49-F238E27FC236}">
              <a16:creationId xmlns:a16="http://schemas.microsoft.com/office/drawing/2014/main" id="{00000000-0008-0000-3300-00001F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382</xdr:row>
      <xdr:rowOff>0</xdr:rowOff>
    </xdr:to>
    <xdr:sp macro="" textlink="">
      <xdr:nvSpPr>
        <xdr:cNvPr id="32" name="Rectangle 108">
          <a:extLst>
            <a:ext uri="{FF2B5EF4-FFF2-40B4-BE49-F238E27FC236}">
              <a16:creationId xmlns:a16="http://schemas.microsoft.com/office/drawing/2014/main" id="{00000000-0008-0000-3300-000020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398</xdr:row>
      <xdr:rowOff>0</xdr:rowOff>
    </xdr:from>
    <xdr:to>
      <xdr:col>2</xdr:col>
      <xdr:colOff>0</xdr:colOff>
      <xdr:row>417</xdr:row>
      <xdr:rowOff>0</xdr:rowOff>
    </xdr:to>
    <xdr:sp macro="" textlink="">
      <xdr:nvSpPr>
        <xdr:cNvPr id="33" name="Rectangle 107">
          <a:extLst>
            <a:ext uri="{FF2B5EF4-FFF2-40B4-BE49-F238E27FC236}">
              <a16:creationId xmlns:a16="http://schemas.microsoft.com/office/drawing/2014/main" id="{00000000-0008-0000-3300-000021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2</xdr:col>
      <xdr:colOff>0</xdr:colOff>
      <xdr:row>398</xdr:row>
      <xdr:rowOff>0</xdr:rowOff>
    </xdr:from>
    <xdr:to>
      <xdr:col>2</xdr:col>
      <xdr:colOff>0</xdr:colOff>
      <xdr:row>417</xdr:row>
      <xdr:rowOff>0</xdr:rowOff>
    </xdr:to>
    <xdr:sp macro="" textlink="">
      <xdr:nvSpPr>
        <xdr:cNvPr id="34" name="Rectangle 108">
          <a:extLst>
            <a:ext uri="{FF2B5EF4-FFF2-40B4-BE49-F238E27FC236}">
              <a16:creationId xmlns:a16="http://schemas.microsoft.com/office/drawing/2014/main" id="{00000000-0008-0000-3300-000022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6</xdr:col>
      <xdr:colOff>0</xdr:colOff>
      <xdr:row>365</xdr:row>
      <xdr:rowOff>0</xdr:rowOff>
    </xdr:from>
    <xdr:to>
      <xdr:col>6</xdr:col>
      <xdr:colOff>0</xdr:colOff>
      <xdr:row>370</xdr:row>
      <xdr:rowOff>0</xdr:rowOff>
    </xdr:to>
    <xdr:sp macro="" textlink="">
      <xdr:nvSpPr>
        <xdr:cNvPr id="35" name="Rectangle 107">
          <a:extLst>
            <a:ext uri="{FF2B5EF4-FFF2-40B4-BE49-F238E27FC236}">
              <a16:creationId xmlns:a16="http://schemas.microsoft.com/office/drawing/2014/main" id="{00000000-0008-0000-3300-000023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365</xdr:row>
      <xdr:rowOff>0</xdr:rowOff>
    </xdr:from>
    <xdr:to>
      <xdr:col>6</xdr:col>
      <xdr:colOff>0</xdr:colOff>
      <xdr:row>370</xdr:row>
      <xdr:rowOff>0</xdr:rowOff>
    </xdr:to>
    <xdr:sp macro="" textlink="">
      <xdr:nvSpPr>
        <xdr:cNvPr id="36" name="Rectangle 108">
          <a:extLst>
            <a:ext uri="{FF2B5EF4-FFF2-40B4-BE49-F238E27FC236}">
              <a16:creationId xmlns:a16="http://schemas.microsoft.com/office/drawing/2014/main" id="{00000000-0008-0000-3300-000024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366</xdr:row>
      <xdr:rowOff>0</xdr:rowOff>
    </xdr:from>
    <xdr:to>
      <xdr:col>6</xdr:col>
      <xdr:colOff>0</xdr:colOff>
      <xdr:row>370</xdr:row>
      <xdr:rowOff>0</xdr:rowOff>
    </xdr:to>
    <xdr:sp macro="" textlink="">
      <xdr:nvSpPr>
        <xdr:cNvPr id="37" name="Rectangle 107">
          <a:extLst>
            <a:ext uri="{FF2B5EF4-FFF2-40B4-BE49-F238E27FC236}">
              <a16:creationId xmlns:a16="http://schemas.microsoft.com/office/drawing/2014/main" id="{00000000-0008-0000-3300-000025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6</xdr:col>
      <xdr:colOff>0</xdr:colOff>
      <xdr:row>366</xdr:row>
      <xdr:rowOff>0</xdr:rowOff>
    </xdr:from>
    <xdr:to>
      <xdr:col>6</xdr:col>
      <xdr:colOff>0</xdr:colOff>
      <xdr:row>370</xdr:row>
      <xdr:rowOff>0</xdr:rowOff>
    </xdr:to>
    <xdr:sp macro="" textlink="">
      <xdr:nvSpPr>
        <xdr:cNvPr id="38" name="Rectangle 108">
          <a:extLst>
            <a:ext uri="{FF2B5EF4-FFF2-40B4-BE49-F238E27FC236}">
              <a16:creationId xmlns:a16="http://schemas.microsoft.com/office/drawing/2014/main" id="{00000000-0008-0000-3300-000026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384</xdr:row>
      <xdr:rowOff>0</xdr:rowOff>
    </xdr:to>
    <xdr:sp macro="" textlink="">
      <xdr:nvSpPr>
        <xdr:cNvPr id="39" name="Rectangle 107">
          <a:extLst>
            <a:ext uri="{FF2B5EF4-FFF2-40B4-BE49-F238E27FC236}">
              <a16:creationId xmlns:a16="http://schemas.microsoft.com/office/drawing/2014/main" id="{00000000-0008-0000-3300-000027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384</xdr:row>
      <xdr:rowOff>0</xdr:rowOff>
    </xdr:to>
    <xdr:sp macro="" textlink="">
      <xdr:nvSpPr>
        <xdr:cNvPr id="40" name="Rectangle 108">
          <a:extLst>
            <a:ext uri="{FF2B5EF4-FFF2-40B4-BE49-F238E27FC236}">
              <a16:creationId xmlns:a16="http://schemas.microsoft.com/office/drawing/2014/main" id="{00000000-0008-0000-3300-000028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398</xdr:row>
      <xdr:rowOff>0</xdr:rowOff>
    </xdr:from>
    <xdr:to>
      <xdr:col>2</xdr:col>
      <xdr:colOff>0</xdr:colOff>
      <xdr:row>422</xdr:row>
      <xdr:rowOff>0</xdr:rowOff>
    </xdr:to>
    <xdr:sp macro="" textlink="">
      <xdr:nvSpPr>
        <xdr:cNvPr id="41" name="Rectangle 107">
          <a:extLst>
            <a:ext uri="{FF2B5EF4-FFF2-40B4-BE49-F238E27FC236}">
              <a16:creationId xmlns:a16="http://schemas.microsoft.com/office/drawing/2014/main" id="{00000000-0008-0000-3300-000029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2</xdr:col>
      <xdr:colOff>0</xdr:colOff>
      <xdr:row>398</xdr:row>
      <xdr:rowOff>0</xdr:rowOff>
    </xdr:from>
    <xdr:to>
      <xdr:col>2</xdr:col>
      <xdr:colOff>0</xdr:colOff>
      <xdr:row>422</xdr:row>
      <xdr:rowOff>0</xdr:rowOff>
    </xdr:to>
    <xdr:sp macro="" textlink="">
      <xdr:nvSpPr>
        <xdr:cNvPr id="42" name="Rectangle 108">
          <a:extLst>
            <a:ext uri="{FF2B5EF4-FFF2-40B4-BE49-F238E27FC236}">
              <a16:creationId xmlns:a16="http://schemas.microsoft.com/office/drawing/2014/main" id="{00000000-0008-0000-3300-00002A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6</xdr:col>
      <xdr:colOff>0</xdr:colOff>
      <xdr:row>364</xdr:row>
      <xdr:rowOff>0</xdr:rowOff>
    </xdr:from>
    <xdr:to>
      <xdr:col>6</xdr:col>
      <xdr:colOff>0</xdr:colOff>
      <xdr:row>373</xdr:row>
      <xdr:rowOff>0</xdr:rowOff>
    </xdr:to>
    <xdr:sp macro="" textlink="">
      <xdr:nvSpPr>
        <xdr:cNvPr id="43" name="Rectangle 107">
          <a:extLst>
            <a:ext uri="{FF2B5EF4-FFF2-40B4-BE49-F238E27FC236}">
              <a16:creationId xmlns:a16="http://schemas.microsoft.com/office/drawing/2014/main" id="{00000000-0008-0000-3300-00002B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364</xdr:row>
      <xdr:rowOff>0</xdr:rowOff>
    </xdr:from>
    <xdr:to>
      <xdr:col>6</xdr:col>
      <xdr:colOff>0</xdr:colOff>
      <xdr:row>373</xdr:row>
      <xdr:rowOff>0</xdr:rowOff>
    </xdr:to>
    <xdr:sp macro="" textlink="">
      <xdr:nvSpPr>
        <xdr:cNvPr id="44" name="Rectangle 108">
          <a:extLst>
            <a:ext uri="{FF2B5EF4-FFF2-40B4-BE49-F238E27FC236}">
              <a16:creationId xmlns:a16="http://schemas.microsoft.com/office/drawing/2014/main" id="{00000000-0008-0000-3300-00002C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366</xdr:row>
      <xdr:rowOff>0</xdr:rowOff>
    </xdr:from>
    <xdr:to>
      <xdr:col>6</xdr:col>
      <xdr:colOff>0</xdr:colOff>
      <xdr:row>373</xdr:row>
      <xdr:rowOff>0</xdr:rowOff>
    </xdr:to>
    <xdr:sp macro="" textlink="">
      <xdr:nvSpPr>
        <xdr:cNvPr id="45" name="Rectangle 107">
          <a:extLst>
            <a:ext uri="{FF2B5EF4-FFF2-40B4-BE49-F238E27FC236}">
              <a16:creationId xmlns:a16="http://schemas.microsoft.com/office/drawing/2014/main" id="{00000000-0008-0000-3300-00002D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6</xdr:col>
      <xdr:colOff>0</xdr:colOff>
      <xdr:row>366</xdr:row>
      <xdr:rowOff>0</xdr:rowOff>
    </xdr:from>
    <xdr:to>
      <xdr:col>6</xdr:col>
      <xdr:colOff>0</xdr:colOff>
      <xdr:row>373</xdr:row>
      <xdr:rowOff>0</xdr:rowOff>
    </xdr:to>
    <xdr:sp macro="" textlink="">
      <xdr:nvSpPr>
        <xdr:cNvPr id="46" name="Rectangle 108">
          <a:extLst>
            <a:ext uri="{FF2B5EF4-FFF2-40B4-BE49-F238E27FC236}">
              <a16:creationId xmlns:a16="http://schemas.microsoft.com/office/drawing/2014/main" id="{00000000-0008-0000-3300-00002E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2</xdr:col>
      <xdr:colOff>0</xdr:colOff>
      <xdr:row>398</xdr:row>
      <xdr:rowOff>0</xdr:rowOff>
    </xdr:from>
    <xdr:to>
      <xdr:col>2</xdr:col>
      <xdr:colOff>0</xdr:colOff>
      <xdr:row>423</xdr:row>
      <xdr:rowOff>0</xdr:rowOff>
    </xdr:to>
    <xdr:sp macro="" textlink="">
      <xdr:nvSpPr>
        <xdr:cNvPr id="47" name="Rectangle 107">
          <a:extLst>
            <a:ext uri="{FF2B5EF4-FFF2-40B4-BE49-F238E27FC236}">
              <a16:creationId xmlns:a16="http://schemas.microsoft.com/office/drawing/2014/main" id="{00000000-0008-0000-3300-00002F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2</xdr:col>
      <xdr:colOff>0</xdr:colOff>
      <xdr:row>398</xdr:row>
      <xdr:rowOff>0</xdr:rowOff>
    </xdr:from>
    <xdr:to>
      <xdr:col>2</xdr:col>
      <xdr:colOff>0</xdr:colOff>
      <xdr:row>423</xdr:row>
      <xdr:rowOff>0</xdr:rowOff>
    </xdr:to>
    <xdr:sp macro="" textlink="">
      <xdr:nvSpPr>
        <xdr:cNvPr id="48" name="Rectangle 108">
          <a:extLst>
            <a:ext uri="{FF2B5EF4-FFF2-40B4-BE49-F238E27FC236}">
              <a16:creationId xmlns:a16="http://schemas.microsoft.com/office/drawing/2014/main" id="{00000000-0008-0000-3300-000030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6</xdr:col>
      <xdr:colOff>0</xdr:colOff>
      <xdr:row>364</xdr:row>
      <xdr:rowOff>0</xdr:rowOff>
    </xdr:from>
    <xdr:to>
      <xdr:col>6</xdr:col>
      <xdr:colOff>0</xdr:colOff>
      <xdr:row>373</xdr:row>
      <xdr:rowOff>0</xdr:rowOff>
    </xdr:to>
    <xdr:sp macro="" textlink="">
      <xdr:nvSpPr>
        <xdr:cNvPr id="49" name="Rectangle 107">
          <a:extLst>
            <a:ext uri="{FF2B5EF4-FFF2-40B4-BE49-F238E27FC236}">
              <a16:creationId xmlns:a16="http://schemas.microsoft.com/office/drawing/2014/main" id="{00000000-0008-0000-3300-000031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364</xdr:row>
      <xdr:rowOff>0</xdr:rowOff>
    </xdr:from>
    <xdr:to>
      <xdr:col>6</xdr:col>
      <xdr:colOff>0</xdr:colOff>
      <xdr:row>373</xdr:row>
      <xdr:rowOff>0</xdr:rowOff>
    </xdr:to>
    <xdr:sp macro="" textlink="">
      <xdr:nvSpPr>
        <xdr:cNvPr id="50" name="Rectangle 108">
          <a:extLst>
            <a:ext uri="{FF2B5EF4-FFF2-40B4-BE49-F238E27FC236}">
              <a16:creationId xmlns:a16="http://schemas.microsoft.com/office/drawing/2014/main" id="{00000000-0008-0000-3300-000032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2</xdr:col>
      <xdr:colOff>0</xdr:colOff>
      <xdr:row>365</xdr:row>
      <xdr:rowOff>0</xdr:rowOff>
    </xdr:from>
    <xdr:to>
      <xdr:col>2</xdr:col>
      <xdr:colOff>0</xdr:colOff>
      <xdr:row>374</xdr:row>
      <xdr:rowOff>0</xdr:rowOff>
    </xdr:to>
    <xdr:sp macro="" textlink="">
      <xdr:nvSpPr>
        <xdr:cNvPr id="51" name="Rectangle 107">
          <a:extLst>
            <a:ext uri="{FF2B5EF4-FFF2-40B4-BE49-F238E27FC236}">
              <a16:creationId xmlns:a16="http://schemas.microsoft.com/office/drawing/2014/main" id="{00000000-0008-0000-3300-000033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365</xdr:row>
      <xdr:rowOff>0</xdr:rowOff>
    </xdr:from>
    <xdr:to>
      <xdr:col>2</xdr:col>
      <xdr:colOff>0</xdr:colOff>
      <xdr:row>374</xdr:row>
      <xdr:rowOff>0</xdr:rowOff>
    </xdr:to>
    <xdr:sp macro="" textlink="">
      <xdr:nvSpPr>
        <xdr:cNvPr id="52" name="Rectangle 108">
          <a:extLst>
            <a:ext uri="{FF2B5EF4-FFF2-40B4-BE49-F238E27FC236}">
              <a16:creationId xmlns:a16="http://schemas.microsoft.com/office/drawing/2014/main" id="{00000000-0008-0000-3300-000034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399</xdr:row>
      <xdr:rowOff>0</xdr:rowOff>
    </xdr:from>
    <xdr:to>
      <xdr:col>2</xdr:col>
      <xdr:colOff>0</xdr:colOff>
      <xdr:row>421</xdr:row>
      <xdr:rowOff>0</xdr:rowOff>
    </xdr:to>
    <xdr:sp macro="" textlink="">
      <xdr:nvSpPr>
        <xdr:cNvPr id="53" name="Rectangle 107">
          <a:extLst>
            <a:ext uri="{FF2B5EF4-FFF2-40B4-BE49-F238E27FC236}">
              <a16:creationId xmlns:a16="http://schemas.microsoft.com/office/drawing/2014/main" id="{00000000-0008-0000-3300-000035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399</xdr:row>
      <xdr:rowOff>0</xdr:rowOff>
    </xdr:from>
    <xdr:to>
      <xdr:col>2</xdr:col>
      <xdr:colOff>0</xdr:colOff>
      <xdr:row>421</xdr:row>
      <xdr:rowOff>0</xdr:rowOff>
    </xdr:to>
    <xdr:sp macro="" textlink="">
      <xdr:nvSpPr>
        <xdr:cNvPr id="54" name="Rectangle 108">
          <a:extLst>
            <a:ext uri="{FF2B5EF4-FFF2-40B4-BE49-F238E27FC236}">
              <a16:creationId xmlns:a16="http://schemas.microsoft.com/office/drawing/2014/main" id="{00000000-0008-0000-3300-000036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369</xdr:row>
      <xdr:rowOff>0</xdr:rowOff>
    </xdr:from>
    <xdr:to>
      <xdr:col>6</xdr:col>
      <xdr:colOff>0</xdr:colOff>
      <xdr:row>373</xdr:row>
      <xdr:rowOff>0</xdr:rowOff>
    </xdr:to>
    <xdr:sp macro="" textlink="">
      <xdr:nvSpPr>
        <xdr:cNvPr id="55" name="Rectangle 107">
          <a:extLst>
            <a:ext uri="{FF2B5EF4-FFF2-40B4-BE49-F238E27FC236}">
              <a16:creationId xmlns:a16="http://schemas.microsoft.com/office/drawing/2014/main" id="{00000000-0008-0000-3300-000037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369</xdr:row>
      <xdr:rowOff>0</xdr:rowOff>
    </xdr:from>
    <xdr:to>
      <xdr:col>6</xdr:col>
      <xdr:colOff>0</xdr:colOff>
      <xdr:row>373</xdr:row>
      <xdr:rowOff>0</xdr:rowOff>
    </xdr:to>
    <xdr:sp macro="" textlink="">
      <xdr:nvSpPr>
        <xdr:cNvPr id="56" name="Rectangle 108">
          <a:extLst>
            <a:ext uri="{FF2B5EF4-FFF2-40B4-BE49-F238E27FC236}">
              <a16:creationId xmlns:a16="http://schemas.microsoft.com/office/drawing/2014/main" id="{00000000-0008-0000-3300-000038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365</xdr:row>
      <xdr:rowOff>0</xdr:rowOff>
    </xdr:from>
    <xdr:to>
      <xdr:col>2</xdr:col>
      <xdr:colOff>0</xdr:colOff>
      <xdr:row>376</xdr:row>
      <xdr:rowOff>0</xdr:rowOff>
    </xdr:to>
    <xdr:sp macro="" textlink="">
      <xdr:nvSpPr>
        <xdr:cNvPr id="57" name="Rectangle 107">
          <a:extLst>
            <a:ext uri="{FF2B5EF4-FFF2-40B4-BE49-F238E27FC236}">
              <a16:creationId xmlns:a16="http://schemas.microsoft.com/office/drawing/2014/main" id="{00000000-0008-0000-3300-000039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365</xdr:row>
      <xdr:rowOff>0</xdr:rowOff>
    </xdr:from>
    <xdr:to>
      <xdr:col>2</xdr:col>
      <xdr:colOff>0</xdr:colOff>
      <xdr:row>376</xdr:row>
      <xdr:rowOff>0</xdr:rowOff>
    </xdr:to>
    <xdr:sp macro="" textlink="">
      <xdr:nvSpPr>
        <xdr:cNvPr id="58" name="Rectangle 108">
          <a:extLst>
            <a:ext uri="{FF2B5EF4-FFF2-40B4-BE49-F238E27FC236}">
              <a16:creationId xmlns:a16="http://schemas.microsoft.com/office/drawing/2014/main" id="{00000000-0008-0000-3300-00003A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393</xdr:row>
      <xdr:rowOff>0</xdr:rowOff>
    </xdr:from>
    <xdr:to>
      <xdr:col>2</xdr:col>
      <xdr:colOff>0</xdr:colOff>
      <xdr:row>419</xdr:row>
      <xdr:rowOff>0</xdr:rowOff>
    </xdr:to>
    <xdr:sp macro="" textlink="">
      <xdr:nvSpPr>
        <xdr:cNvPr id="59" name="Rectangle 107">
          <a:extLst>
            <a:ext uri="{FF2B5EF4-FFF2-40B4-BE49-F238E27FC236}">
              <a16:creationId xmlns:a16="http://schemas.microsoft.com/office/drawing/2014/main" id="{00000000-0008-0000-3300-00003B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393</xdr:row>
      <xdr:rowOff>0</xdr:rowOff>
    </xdr:from>
    <xdr:to>
      <xdr:col>2</xdr:col>
      <xdr:colOff>0</xdr:colOff>
      <xdr:row>419</xdr:row>
      <xdr:rowOff>0</xdr:rowOff>
    </xdr:to>
    <xdr:sp macro="" textlink="">
      <xdr:nvSpPr>
        <xdr:cNvPr id="60" name="Rectangle 108">
          <a:extLst>
            <a:ext uri="{FF2B5EF4-FFF2-40B4-BE49-F238E27FC236}">
              <a16:creationId xmlns:a16="http://schemas.microsoft.com/office/drawing/2014/main" id="{00000000-0008-0000-3300-00003C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364</xdr:row>
      <xdr:rowOff>0</xdr:rowOff>
    </xdr:from>
    <xdr:to>
      <xdr:col>6</xdr:col>
      <xdr:colOff>0</xdr:colOff>
      <xdr:row>373</xdr:row>
      <xdr:rowOff>0</xdr:rowOff>
    </xdr:to>
    <xdr:sp macro="" textlink="">
      <xdr:nvSpPr>
        <xdr:cNvPr id="61" name="Rectangle 107">
          <a:extLst>
            <a:ext uri="{FF2B5EF4-FFF2-40B4-BE49-F238E27FC236}">
              <a16:creationId xmlns:a16="http://schemas.microsoft.com/office/drawing/2014/main" id="{00000000-0008-0000-3300-00003D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364</xdr:row>
      <xdr:rowOff>0</xdr:rowOff>
    </xdr:from>
    <xdr:to>
      <xdr:col>6</xdr:col>
      <xdr:colOff>0</xdr:colOff>
      <xdr:row>373</xdr:row>
      <xdr:rowOff>0</xdr:rowOff>
    </xdr:to>
    <xdr:sp macro="" textlink="">
      <xdr:nvSpPr>
        <xdr:cNvPr id="62" name="Rectangle 108">
          <a:extLst>
            <a:ext uri="{FF2B5EF4-FFF2-40B4-BE49-F238E27FC236}">
              <a16:creationId xmlns:a16="http://schemas.microsoft.com/office/drawing/2014/main" id="{00000000-0008-0000-3300-00003E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371</xdr:row>
      <xdr:rowOff>0</xdr:rowOff>
    </xdr:from>
    <xdr:to>
      <xdr:col>6</xdr:col>
      <xdr:colOff>0</xdr:colOff>
      <xdr:row>373</xdr:row>
      <xdr:rowOff>0</xdr:rowOff>
    </xdr:to>
    <xdr:sp macro="" textlink="">
      <xdr:nvSpPr>
        <xdr:cNvPr id="63" name="Rectangle 107">
          <a:extLst>
            <a:ext uri="{FF2B5EF4-FFF2-40B4-BE49-F238E27FC236}">
              <a16:creationId xmlns:a16="http://schemas.microsoft.com/office/drawing/2014/main" id="{00000000-0008-0000-3300-00003F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371</xdr:row>
      <xdr:rowOff>0</xdr:rowOff>
    </xdr:from>
    <xdr:to>
      <xdr:col>6</xdr:col>
      <xdr:colOff>0</xdr:colOff>
      <xdr:row>373</xdr:row>
      <xdr:rowOff>0</xdr:rowOff>
    </xdr:to>
    <xdr:sp macro="" textlink="">
      <xdr:nvSpPr>
        <xdr:cNvPr id="64" name="Rectangle 108">
          <a:extLst>
            <a:ext uri="{FF2B5EF4-FFF2-40B4-BE49-F238E27FC236}">
              <a16:creationId xmlns:a16="http://schemas.microsoft.com/office/drawing/2014/main" id="{00000000-0008-0000-3300-000040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365</xdr:row>
      <xdr:rowOff>0</xdr:rowOff>
    </xdr:from>
    <xdr:to>
      <xdr:col>2</xdr:col>
      <xdr:colOff>0</xdr:colOff>
      <xdr:row>376</xdr:row>
      <xdr:rowOff>0</xdr:rowOff>
    </xdr:to>
    <xdr:sp macro="" textlink="">
      <xdr:nvSpPr>
        <xdr:cNvPr id="67" name="Rectangle 107">
          <a:extLst>
            <a:ext uri="{FF2B5EF4-FFF2-40B4-BE49-F238E27FC236}">
              <a16:creationId xmlns:a16="http://schemas.microsoft.com/office/drawing/2014/main" id="{00000000-0008-0000-3300-000043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365</xdr:row>
      <xdr:rowOff>0</xdr:rowOff>
    </xdr:from>
    <xdr:to>
      <xdr:col>2</xdr:col>
      <xdr:colOff>0</xdr:colOff>
      <xdr:row>376</xdr:row>
      <xdr:rowOff>0</xdr:rowOff>
    </xdr:to>
    <xdr:sp macro="" textlink="">
      <xdr:nvSpPr>
        <xdr:cNvPr id="68" name="Rectangle 108">
          <a:extLst>
            <a:ext uri="{FF2B5EF4-FFF2-40B4-BE49-F238E27FC236}">
              <a16:creationId xmlns:a16="http://schemas.microsoft.com/office/drawing/2014/main" id="{00000000-0008-0000-3300-000044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393</xdr:row>
      <xdr:rowOff>0</xdr:rowOff>
    </xdr:from>
    <xdr:to>
      <xdr:col>2</xdr:col>
      <xdr:colOff>0</xdr:colOff>
      <xdr:row>420</xdr:row>
      <xdr:rowOff>0</xdr:rowOff>
    </xdr:to>
    <xdr:sp macro="" textlink="">
      <xdr:nvSpPr>
        <xdr:cNvPr id="69" name="Rectangle 107">
          <a:extLst>
            <a:ext uri="{FF2B5EF4-FFF2-40B4-BE49-F238E27FC236}">
              <a16:creationId xmlns:a16="http://schemas.microsoft.com/office/drawing/2014/main" id="{00000000-0008-0000-3300-000045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393</xdr:row>
      <xdr:rowOff>0</xdr:rowOff>
    </xdr:from>
    <xdr:to>
      <xdr:col>2</xdr:col>
      <xdr:colOff>0</xdr:colOff>
      <xdr:row>420</xdr:row>
      <xdr:rowOff>0</xdr:rowOff>
    </xdr:to>
    <xdr:sp macro="" textlink="">
      <xdr:nvSpPr>
        <xdr:cNvPr id="70" name="Rectangle 108">
          <a:extLst>
            <a:ext uri="{FF2B5EF4-FFF2-40B4-BE49-F238E27FC236}">
              <a16:creationId xmlns:a16="http://schemas.microsoft.com/office/drawing/2014/main" id="{00000000-0008-0000-3300-000046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364</xdr:row>
      <xdr:rowOff>180975</xdr:rowOff>
    </xdr:from>
    <xdr:to>
      <xdr:col>5</xdr:col>
      <xdr:colOff>1743075</xdr:colOff>
      <xdr:row>367</xdr:row>
      <xdr:rowOff>0</xdr:rowOff>
    </xdr:to>
    <xdr:sp macro="" textlink="">
      <xdr:nvSpPr>
        <xdr:cNvPr id="71" name="Rectangle 107">
          <a:extLst>
            <a:ext uri="{FF2B5EF4-FFF2-40B4-BE49-F238E27FC236}">
              <a16:creationId xmlns:a16="http://schemas.microsoft.com/office/drawing/2014/main" id="{00000000-0008-0000-3300-000047000000}"/>
            </a:ext>
          </a:extLst>
        </xdr:cNvPr>
        <xdr:cNvSpPr>
          <a:spLocks noChangeArrowheads="1"/>
        </xdr:cNvSpPr>
      </xdr:nvSpPr>
      <xdr:spPr bwMode="auto">
        <a:xfrm>
          <a:off x="11934825" y="12287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364</xdr:row>
      <xdr:rowOff>0</xdr:rowOff>
    </xdr:from>
    <xdr:to>
      <xdr:col>6</xdr:col>
      <xdr:colOff>0</xdr:colOff>
      <xdr:row>367</xdr:row>
      <xdr:rowOff>0</xdr:rowOff>
    </xdr:to>
    <xdr:sp macro="" textlink="">
      <xdr:nvSpPr>
        <xdr:cNvPr id="72" name="Rectangle 108">
          <a:extLst>
            <a:ext uri="{FF2B5EF4-FFF2-40B4-BE49-F238E27FC236}">
              <a16:creationId xmlns:a16="http://schemas.microsoft.com/office/drawing/2014/main" id="{00000000-0008-0000-3300-000048000000}"/>
            </a:ext>
          </a:extLst>
        </xdr:cNvPr>
        <xdr:cNvSpPr>
          <a:spLocks noChangeArrowheads="1"/>
        </xdr:cNvSpPr>
      </xdr:nvSpPr>
      <xdr:spPr bwMode="auto">
        <a:xfrm>
          <a:off x="11944350" y="104775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365</xdr:row>
      <xdr:rowOff>180975</xdr:rowOff>
    </xdr:from>
    <xdr:to>
      <xdr:col>5</xdr:col>
      <xdr:colOff>1743075</xdr:colOff>
      <xdr:row>368</xdr:row>
      <xdr:rowOff>0</xdr:rowOff>
    </xdr:to>
    <xdr:sp macro="" textlink="">
      <xdr:nvSpPr>
        <xdr:cNvPr id="73" name="Rectangle 107">
          <a:extLst>
            <a:ext uri="{FF2B5EF4-FFF2-40B4-BE49-F238E27FC236}">
              <a16:creationId xmlns:a16="http://schemas.microsoft.com/office/drawing/2014/main" id="{00000000-0008-0000-3300-000049000000}"/>
            </a:ext>
          </a:extLst>
        </xdr:cNvPr>
        <xdr:cNvSpPr>
          <a:spLocks noChangeArrowheads="1"/>
        </xdr:cNvSpPr>
      </xdr:nvSpPr>
      <xdr:spPr bwMode="auto">
        <a:xfrm>
          <a:off x="11934825" y="14192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436</xdr:row>
      <xdr:rowOff>0</xdr:rowOff>
    </xdr:from>
    <xdr:to>
      <xdr:col>2</xdr:col>
      <xdr:colOff>0</xdr:colOff>
      <xdr:row>454</xdr:row>
      <xdr:rowOff>0</xdr:rowOff>
    </xdr:to>
    <xdr:sp macro="" textlink="">
      <xdr:nvSpPr>
        <xdr:cNvPr id="74" name="Rectangle 107">
          <a:extLst>
            <a:ext uri="{FF2B5EF4-FFF2-40B4-BE49-F238E27FC236}">
              <a16:creationId xmlns:a16="http://schemas.microsoft.com/office/drawing/2014/main" id="{00000000-0008-0000-3300-00004A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436</xdr:row>
      <xdr:rowOff>0</xdr:rowOff>
    </xdr:from>
    <xdr:to>
      <xdr:col>2</xdr:col>
      <xdr:colOff>0</xdr:colOff>
      <xdr:row>454</xdr:row>
      <xdr:rowOff>0</xdr:rowOff>
    </xdr:to>
    <xdr:sp macro="" textlink="">
      <xdr:nvSpPr>
        <xdr:cNvPr id="75" name="Rectangle 108">
          <a:extLst>
            <a:ext uri="{FF2B5EF4-FFF2-40B4-BE49-F238E27FC236}">
              <a16:creationId xmlns:a16="http://schemas.microsoft.com/office/drawing/2014/main" id="{00000000-0008-0000-3300-00004B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461</xdr:row>
      <xdr:rowOff>0</xdr:rowOff>
    </xdr:from>
    <xdr:to>
      <xdr:col>2</xdr:col>
      <xdr:colOff>0</xdr:colOff>
      <xdr:row>479</xdr:row>
      <xdr:rowOff>0</xdr:rowOff>
    </xdr:to>
    <xdr:sp macro="" textlink="">
      <xdr:nvSpPr>
        <xdr:cNvPr id="76" name="Rectangle 107">
          <a:extLst>
            <a:ext uri="{FF2B5EF4-FFF2-40B4-BE49-F238E27FC236}">
              <a16:creationId xmlns:a16="http://schemas.microsoft.com/office/drawing/2014/main" id="{00000000-0008-0000-3300-00004C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2</xdr:col>
      <xdr:colOff>0</xdr:colOff>
      <xdr:row>461</xdr:row>
      <xdr:rowOff>0</xdr:rowOff>
    </xdr:from>
    <xdr:to>
      <xdr:col>2</xdr:col>
      <xdr:colOff>0</xdr:colOff>
      <xdr:row>479</xdr:row>
      <xdr:rowOff>0</xdr:rowOff>
    </xdr:to>
    <xdr:sp macro="" textlink="">
      <xdr:nvSpPr>
        <xdr:cNvPr id="77" name="Rectangle 108">
          <a:extLst>
            <a:ext uri="{FF2B5EF4-FFF2-40B4-BE49-F238E27FC236}">
              <a16:creationId xmlns:a16="http://schemas.microsoft.com/office/drawing/2014/main" id="{00000000-0008-0000-3300-00004D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6</xdr:col>
      <xdr:colOff>0</xdr:colOff>
      <xdr:row>437</xdr:row>
      <xdr:rowOff>0</xdr:rowOff>
    </xdr:from>
    <xdr:to>
      <xdr:col>6</xdr:col>
      <xdr:colOff>0</xdr:colOff>
      <xdr:row>442</xdr:row>
      <xdr:rowOff>0</xdr:rowOff>
    </xdr:to>
    <xdr:sp macro="" textlink="">
      <xdr:nvSpPr>
        <xdr:cNvPr id="78" name="Rectangle 107">
          <a:extLst>
            <a:ext uri="{FF2B5EF4-FFF2-40B4-BE49-F238E27FC236}">
              <a16:creationId xmlns:a16="http://schemas.microsoft.com/office/drawing/2014/main" id="{00000000-0008-0000-3300-00004E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437</xdr:row>
      <xdr:rowOff>0</xdr:rowOff>
    </xdr:from>
    <xdr:to>
      <xdr:col>6</xdr:col>
      <xdr:colOff>0</xdr:colOff>
      <xdr:row>442</xdr:row>
      <xdr:rowOff>0</xdr:rowOff>
    </xdr:to>
    <xdr:sp macro="" textlink="">
      <xdr:nvSpPr>
        <xdr:cNvPr id="79" name="Rectangle 108">
          <a:extLst>
            <a:ext uri="{FF2B5EF4-FFF2-40B4-BE49-F238E27FC236}">
              <a16:creationId xmlns:a16="http://schemas.microsoft.com/office/drawing/2014/main" id="{00000000-0008-0000-3300-00004F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438</xdr:row>
      <xdr:rowOff>0</xdr:rowOff>
    </xdr:from>
    <xdr:to>
      <xdr:col>6</xdr:col>
      <xdr:colOff>0</xdr:colOff>
      <xdr:row>442</xdr:row>
      <xdr:rowOff>0</xdr:rowOff>
    </xdr:to>
    <xdr:sp macro="" textlink="">
      <xdr:nvSpPr>
        <xdr:cNvPr id="80" name="Rectangle 107">
          <a:extLst>
            <a:ext uri="{FF2B5EF4-FFF2-40B4-BE49-F238E27FC236}">
              <a16:creationId xmlns:a16="http://schemas.microsoft.com/office/drawing/2014/main" id="{00000000-0008-0000-3300-000050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438</xdr:row>
      <xdr:rowOff>0</xdr:rowOff>
    </xdr:from>
    <xdr:to>
      <xdr:col>6</xdr:col>
      <xdr:colOff>0</xdr:colOff>
      <xdr:row>442</xdr:row>
      <xdr:rowOff>0</xdr:rowOff>
    </xdr:to>
    <xdr:sp macro="" textlink="">
      <xdr:nvSpPr>
        <xdr:cNvPr id="81" name="Rectangle 108">
          <a:extLst>
            <a:ext uri="{FF2B5EF4-FFF2-40B4-BE49-F238E27FC236}">
              <a16:creationId xmlns:a16="http://schemas.microsoft.com/office/drawing/2014/main" id="{00000000-0008-0000-3300-000051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436</xdr:row>
      <xdr:rowOff>0</xdr:rowOff>
    </xdr:from>
    <xdr:to>
      <xdr:col>2</xdr:col>
      <xdr:colOff>0</xdr:colOff>
      <xdr:row>456</xdr:row>
      <xdr:rowOff>0</xdr:rowOff>
    </xdr:to>
    <xdr:sp macro="" textlink="">
      <xdr:nvSpPr>
        <xdr:cNvPr id="82" name="Rectangle 107">
          <a:extLst>
            <a:ext uri="{FF2B5EF4-FFF2-40B4-BE49-F238E27FC236}">
              <a16:creationId xmlns:a16="http://schemas.microsoft.com/office/drawing/2014/main" id="{00000000-0008-0000-3300-000052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436</xdr:row>
      <xdr:rowOff>0</xdr:rowOff>
    </xdr:from>
    <xdr:to>
      <xdr:col>2</xdr:col>
      <xdr:colOff>0</xdr:colOff>
      <xdr:row>456</xdr:row>
      <xdr:rowOff>0</xdr:rowOff>
    </xdr:to>
    <xdr:sp macro="" textlink="">
      <xdr:nvSpPr>
        <xdr:cNvPr id="83" name="Rectangle 108">
          <a:extLst>
            <a:ext uri="{FF2B5EF4-FFF2-40B4-BE49-F238E27FC236}">
              <a16:creationId xmlns:a16="http://schemas.microsoft.com/office/drawing/2014/main" id="{00000000-0008-0000-3300-000053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461</xdr:row>
      <xdr:rowOff>0</xdr:rowOff>
    </xdr:from>
    <xdr:to>
      <xdr:col>2</xdr:col>
      <xdr:colOff>0</xdr:colOff>
      <xdr:row>487</xdr:row>
      <xdr:rowOff>0</xdr:rowOff>
    </xdr:to>
    <xdr:sp macro="" textlink="">
      <xdr:nvSpPr>
        <xdr:cNvPr id="84" name="Rectangle 107">
          <a:extLst>
            <a:ext uri="{FF2B5EF4-FFF2-40B4-BE49-F238E27FC236}">
              <a16:creationId xmlns:a16="http://schemas.microsoft.com/office/drawing/2014/main" id="{00000000-0008-0000-3300-000054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2</xdr:col>
      <xdr:colOff>0</xdr:colOff>
      <xdr:row>461</xdr:row>
      <xdr:rowOff>0</xdr:rowOff>
    </xdr:from>
    <xdr:to>
      <xdr:col>2</xdr:col>
      <xdr:colOff>0</xdr:colOff>
      <xdr:row>487</xdr:row>
      <xdr:rowOff>0</xdr:rowOff>
    </xdr:to>
    <xdr:sp macro="" textlink="">
      <xdr:nvSpPr>
        <xdr:cNvPr id="85" name="Rectangle 108">
          <a:extLst>
            <a:ext uri="{FF2B5EF4-FFF2-40B4-BE49-F238E27FC236}">
              <a16:creationId xmlns:a16="http://schemas.microsoft.com/office/drawing/2014/main" id="{00000000-0008-0000-3300-000055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6</xdr:col>
      <xdr:colOff>0</xdr:colOff>
      <xdr:row>436</xdr:row>
      <xdr:rowOff>0</xdr:rowOff>
    </xdr:from>
    <xdr:to>
      <xdr:col>6</xdr:col>
      <xdr:colOff>0</xdr:colOff>
      <xdr:row>452</xdr:row>
      <xdr:rowOff>0</xdr:rowOff>
    </xdr:to>
    <xdr:sp macro="" textlink="">
      <xdr:nvSpPr>
        <xdr:cNvPr id="86" name="Rectangle 107">
          <a:extLst>
            <a:ext uri="{FF2B5EF4-FFF2-40B4-BE49-F238E27FC236}">
              <a16:creationId xmlns:a16="http://schemas.microsoft.com/office/drawing/2014/main" id="{00000000-0008-0000-3300-000056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436</xdr:row>
      <xdr:rowOff>0</xdr:rowOff>
    </xdr:from>
    <xdr:to>
      <xdr:col>6</xdr:col>
      <xdr:colOff>0</xdr:colOff>
      <xdr:row>452</xdr:row>
      <xdr:rowOff>0</xdr:rowOff>
    </xdr:to>
    <xdr:sp macro="" textlink="">
      <xdr:nvSpPr>
        <xdr:cNvPr id="87" name="Rectangle 108">
          <a:extLst>
            <a:ext uri="{FF2B5EF4-FFF2-40B4-BE49-F238E27FC236}">
              <a16:creationId xmlns:a16="http://schemas.microsoft.com/office/drawing/2014/main" id="{00000000-0008-0000-3300-000057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438</xdr:row>
      <xdr:rowOff>0</xdr:rowOff>
    </xdr:from>
    <xdr:to>
      <xdr:col>6</xdr:col>
      <xdr:colOff>0</xdr:colOff>
      <xdr:row>452</xdr:row>
      <xdr:rowOff>0</xdr:rowOff>
    </xdr:to>
    <xdr:sp macro="" textlink="">
      <xdr:nvSpPr>
        <xdr:cNvPr id="88" name="Rectangle 107">
          <a:extLst>
            <a:ext uri="{FF2B5EF4-FFF2-40B4-BE49-F238E27FC236}">
              <a16:creationId xmlns:a16="http://schemas.microsoft.com/office/drawing/2014/main" id="{00000000-0008-0000-3300-000058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438</xdr:row>
      <xdr:rowOff>0</xdr:rowOff>
    </xdr:from>
    <xdr:to>
      <xdr:col>6</xdr:col>
      <xdr:colOff>0</xdr:colOff>
      <xdr:row>452</xdr:row>
      <xdr:rowOff>0</xdr:rowOff>
    </xdr:to>
    <xdr:sp macro="" textlink="">
      <xdr:nvSpPr>
        <xdr:cNvPr id="89" name="Rectangle 108">
          <a:extLst>
            <a:ext uri="{FF2B5EF4-FFF2-40B4-BE49-F238E27FC236}">
              <a16:creationId xmlns:a16="http://schemas.microsoft.com/office/drawing/2014/main" id="{00000000-0008-0000-3300-000059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461</xdr:row>
      <xdr:rowOff>0</xdr:rowOff>
    </xdr:from>
    <xdr:to>
      <xdr:col>2</xdr:col>
      <xdr:colOff>0</xdr:colOff>
      <xdr:row>491</xdr:row>
      <xdr:rowOff>0</xdr:rowOff>
    </xdr:to>
    <xdr:sp macro="" textlink="">
      <xdr:nvSpPr>
        <xdr:cNvPr id="90" name="Rectangle 107">
          <a:extLst>
            <a:ext uri="{FF2B5EF4-FFF2-40B4-BE49-F238E27FC236}">
              <a16:creationId xmlns:a16="http://schemas.microsoft.com/office/drawing/2014/main" id="{00000000-0008-0000-3300-00005A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2</xdr:col>
      <xdr:colOff>0</xdr:colOff>
      <xdr:row>461</xdr:row>
      <xdr:rowOff>0</xdr:rowOff>
    </xdr:from>
    <xdr:to>
      <xdr:col>2</xdr:col>
      <xdr:colOff>0</xdr:colOff>
      <xdr:row>491</xdr:row>
      <xdr:rowOff>0</xdr:rowOff>
    </xdr:to>
    <xdr:sp macro="" textlink="">
      <xdr:nvSpPr>
        <xdr:cNvPr id="91" name="Rectangle 108">
          <a:extLst>
            <a:ext uri="{FF2B5EF4-FFF2-40B4-BE49-F238E27FC236}">
              <a16:creationId xmlns:a16="http://schemas.microsoft.com/office/drawing/2014/main" id="{00000000-0008-0000-3300-00005B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6</xdr:col>
      <xdr:colOff>0</xdr:colOff>
      <xdr:row>436</xdr:row>
      <xdr:rowOff>0</xdr:rowOff>
    </xdr:from>
    <xdr:to>
      <xdr:col>6</xdr:col>
      <xdr:colOff>0</xdr:colOff>
      <xdr:row>450</xdr:row>
      <xdr:rowOff>0</xdr:rowOff>
    </xdr:to>
    <xdr:sp macro="" textlink="">
      <xdr:nvSpPr>
        <xdr:cNvPr id="92" name="Rectangle 107">
          <a:extLst>
            <a:ext uri="{FF2B5EF4-FFF2-40B4-BE49-F238E27FC236}">
              <a16:creationId xmlns:a16="http://schemas.microsoft.com/office/drawing/2014/main" id="{00000000-0008-0000-3300-00005C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436</xdr:row>
      <xdr:rowOff>0</xdr:rowOff>
    </xdr:from>
    <xdr:to>
      <xdr:col>6</xdr:col>
      <xdr:colOff>0</xdr:colOff>
      <xdr:row>450</xdr:row>
      <xdr:rowOff>0</xdr:rowOff>
    </xdr:to>
    <xdr:sp macro="" textlink="">
      <xdr:nvSpPr>
        <xdr:cNvPr id="93" name="Rectangle 108">
          <a:extLst>
            <a:ext uri="{FF2B5EF4-FFF2-40B4-BE49-F238E27FC236}">
              <a16:creationId xmlns:a16="http://schemas.microsoft.com/office/drawing/2014/main" id="{00000000-0008-0000-3300-00005D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437</xdr:row>
      <xdr:rowOff>0</xdr:rowOff>
    </xdr:from>
    <xdr:to>
      <xdr:col>2</xdr:col>
      <xdr:colOff>0</xdr:colOff>
      <xdr:row>446</xdr:row>
      <xdr:rowOff>0</xdr:rowOff>
    </xdr:to>
    <xdr:sp macro="" textlink="">
      <xdr:nvSpPr>
        <xdr:cNvPr id="94" name="Rectangle 107">
          <a:extLst>
            <a:ext uri="{FF2B5EF4-FFF2-40B4-BE49-F238E27FC236}">
              <a16:creationId xmlns:a16="http://schemas.microsoft.com/office/drawing/2014/main" id="{00000000-0008-0000-3300-00005E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437</xdr:row>
      <xdr:rowOff>0</xdr:rowOff>
    </xdr:from>
    <xdr:to>
      <xdr:col>2</xdr:col>
      <xdr:colOff>0</xdr:colOff>
      <xdr:row>446</xdr:row>
      <xdr:rowOff>0</xdr:rowOff>
    </xdr:to>
    <xdr:sp macro="" textlink="">
      <xdr:nvSpPr>
        <xdr:cNvPr id="95" name="Rectangle 108">
          <a:extLst>
            <a:ext uri="{FF2B5EF4-FFF2-40B4-BE49-F238E27FC236}">
              <a16:creationId xmlns:a16="http://schemas.microsoft.com/office/drawing/2014/main" id="{00000000-0008-0000-3300-00005F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462</xdr:row>
      <xdr:rowOff>0</xdr:rowOff>
    </xdr:from>
    <xdr:to>
      <xdr:col>2</xdr:col>
      <xdr:colOff>0</xdr:colOff>
      <xdr:row>483</xdr:row>
      <xdr:rowOff>0</xdr:rowOff>
    </xdr:to>
    <xdr:sp macro="" textlink="">
      <xdr:nvSpPr>
        <xdr:cNvPr id="96" name="Rectangle 107">
          <a:extLst>
            <a:ext uri="{FF2B5EF4-FFF2-40B4-BE49-F238E27FC236}">
              <a16:creationId xmlns:a16="http://schemas.microsoft.com/office/drawing/2014/main" id="{00000000-0008-0000-3300-000060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462</xdr:row>
      <xdr:rowOff>0</xdr:rowOff>
    </xdr:from>
    <xdr:to>
      <xdr:col>2</xdr:col>
      <xdr:colOff>0</xdr:colOff>
      <xdr:row>483</xdr:row>
      <xdr:rowOff>0</xdr:rowOff>
    </xdr:to>
    <xdr:sp macro="" textlink="">
      <xdr:nvSpPr>
        <xdr:cNvPr id="97" name="Rectangle 108">
          <a:extLst>
            <a:ext uri="{FF2B5EF4-FFF2-40B4-BE49-F238E27FC236}">
              <a16:creationId xmlns:a16="http://schemas.microsoft.com/office/drawing/2014/main" id="{00000000-0008-0000-3300-000061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441</xdr:row>
      <xdr:rowOff>0</xdr:rowOff>
    </xdr:from>
    <xdr:to>
      <xdr:col>6</xdr:col>
      <xdr:colOff>0</xdr:colOff>
      <xdr:row>455</xdr:row>
      <xdr:rowOff>0</xdr:rowOff>
    </xdr:to>
    <xdr:sp macro="" textlink="">
      <xdr:nvSpPr>
        <xdr:cNvPr id="98" name="Rectangle 107">
          <a:extLst>
            <a:ext uri="{FF2B5EF4-FFF2-40B4-BE49-F238E27FC236}">
              <a16:creationId xmlns:a16="http://schemas.microsoft.com/office/drawing/2014/main" id="{00000000-0008-0000-3300-000062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441</xdr:row>
      <xdr:rowOff>0</xdr:rowOff>
    </xdr:from>
    <xdr:to>
      <xdr:col>6</xdr:col>
      <xdr:colOff>0</xdr:colOff>
      <xdr:row>455</xdr:row>
      <xdr:rowOff>0</xdr:rowOff>
    </xdr:to>
    <xdr:sp macro="" textlink="">
      <xdr:nvSpPr>
        <xdr:cNvPr id="99" name="Rectangle 108">
          <a:extLst>
            <a:ext uri="{FF2B5EF4-FFF2-40B4-BE49-F238E27FC236}">
              <a16:creationId xmlns:a16="http://schemas.microsoft.com/office/drawing/2014/main" id="{00000000-0008-0000-3300-000063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453</xdr:row>
      <xdr:rowOff>0</xdr:rowOff>
    </xdr:from>
    <xdr:to>
      <xdr:col>6</xdr:col>
      <xdr:colOff>0</xdr:colOff>
      <xdr:row>455</xdr:row>
      <xdr:rowOff>0</xdr:rowOff>
    </xdr:to>
    <xdr:sp macro="" textlink="">
      <xdr:nvSpPr>
        <xdr:cNvPr id="100" name="Rectangle 107">
          <a:extLst>
            <a:ext uri="{FF2B5EF4-FFF2-40B4-BE49-F238E27FC236}">
              <a16:creationId xmlns:a16="http://schemas.microsoft.com/office/drawing/2014/main" id="{00000000-0008-0000-3300-000064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453</xdr:row>
      <xdr:rowOff>0</xdr:rowOff>
    </xdr:from>
    <xdr:to>
      <xdr:col>6</xdr:col>
      <xdr:colOff>0</xdr:colOff>
      <xdr:row>455</xdr:row>
      <xdr:rowOff>0</xdr:rowOff>
    </xdr:to>
    <xdr:sp macro="" textlink="">
      <xdr:nvSpPr>
        <xdr:cNvPr id="101" name="Rectangle 108">
          <a:extLst>
            <a:ext uri="{FF2B5EF4-FFF2-40B4-BE49-F238E27FC236}">
              <a16:creationId xmlns:a16="http://schemas.microsoft.com/office/drawing/2014/main" id="{00000000-0008-0000-3300-000065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436</xdr:row>
      <xdr:rowOff>0</xdr:rowOff>
    </xdr:from>
    <xdr:to>
      <xdr:col>2</xdr:col>
      <xdr:colOff>0</xdr:colOff>
      <xdr:row>454</xdr:row>
      <xdr:rowOff>0</xdr:rowOff>
    </xdr:to>
    <xdr:sp macro="" textlink="">
      <xdr:nvSpPr>
        <xdr:cNvPr id="102" name="Rectangle 107">
          <a:extLst>
            <a:ext uri="{FF2B5EF4-FFF2-40B4-BE49-F238E27FC236}">
              <a16:creationId xmlns:a16="http://schemas.microsoft.com/office/drawing/2014/main" id="{00000000-0008-0000-3300-000066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436</xdr:row>
      <xdr:rowOff>0</xdr:rowOff>
    </xdr:from>
    <xdr:to>
      <xdr:col>2</xdr:col>
      <xdr:colOff>0</xdr:colOff>
      <xdr:row>454</xdr:row>
      <xdr:rowOff>0</xdr:rowOff>
    </xdr:to>
    <xdr:sp macro="" textlink="">
      <xdr:nvSpPr>
        <xdr:cNvPr id="103" name="Rectangle 108">
          <a:extLst>
            <a:ext uri="{FF2B5EF4-FFF2-40B4-BE49-F238E27FC236}">
              <a16:creationId xmlns:a16="http://schemas.microsoft.com/office/drawing/2014/main" id="{00000000-0008-0000-3300-000067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472</xdr:row>
      <xdr:rowOff>0</xdr:rowOff>
    </xdr:from>
    <xdr:to>
      <xdr:col>2</xdr:col>
      <xdr:colOff>0</xdr:colOff>
      <xdr:row>491</xdr:row>
      <xdr:rowOff>0</xdr:rowOff>
    </xdr:to>
    <xdr:sp macro="" textlink="">
      <xdr:nvSpPr>
        <xdr:cNvPr id="104" name="Rectangle 107">
          <a:extLst>
            <a:ext uri="{FF2B5EF4-FFF2-40B4-BE49-F238E27FC236}">
              <a16:creationId xmlns:a16="http://schemas.microsoft.com/office/drawing/2014/main" id="{00000000-0008-0000-3300-000068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2</xdr:col>
      <xdr:colOff>0</xdr:colOff>
      <xdr:row>472</xdr:row>
      <xdr:rowOff>0</xdr:rowOff>
    </xdr:from>
    <xdr:to>
      <xdr:col>2</xdr:col>
      <xdr:colOff>0</xdr:colOff>
      <xdr:row>491</xdr:row>
      <xdr:rowOff>0</xdr:rowOff>
    </xdr:to>
    <xdr:sp macro="" textlink="">
      <xdr:nvSpPr>
        <xdr:cNvPr id="105" name="Rectangle 108">
          <a:extLst>
            <a:ext uri="{FF2B5EF4-FFF2-40B4-BE49-F238E27FC236}">
              <a16:creationId xmlns:a16="http://schemas.microsoft.com/office/drawing/2014/main" id="{00000000-0008-0000-3300-000069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6</xdr:col>
      <xdr:colOff>0</xdr:colOff>
      <xdr:row>437</xdr:row>
      <xdr:rowOff>0</xdr:rowOff>
    </xdr:from>
    <xdr:to>
      <xdr:col>6</xdr:col>
      <xdr:colOff>0</xdr:colOff>
      <xdr:row>442</xdr:row>
      <xdr:rowOff>0</xdr:rowOff>
    </xdr:to>
    <xdr:sp macro="" textlink="">
      <xdr:nvSpPr>
        <xdr:cNvPr id="106" name="Rectangle 107">
          <a:extLst>
            <a:ext uri="{FF2B5EF4-FFF2-40B4-BE49-F238E27FC236}">
              <a16:creationId xmlns:a16="http://schemas.microsoft.com/office/drawing/2014/main" id="{00000000-0008-0000-3300-00006A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437</xdr:row>
      <xdr:rowOff>0</xdr:rowOff>
    </xdr:from>
    <xdr:to>
      <xdr:col>6</xdr:col>
      <xdr:colOff>0</xdr:colOff>
      <xdr:row>442</xdr:row>
      <xdr:rowOff>0</xdr:rowOff>
    </xdr:to>
    <xdr:sp macro="" textlink="">
      <xdr:nvSpPr>
        <xdr:cNvPr id="107" name="Rectangle 108">
          <a:extLst>
            <a:ext uri="{FF2B5EF4-FFF2-40B4-BE49-F238E27FC236}">
              <a16:creationId xmlns:a16="http://schemas.microsoft.com/office/drawing/2014/main" id="{00000000-0008-0000-3300-00006B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438</xdr:row>
      <xdr:rowOff>0</xdr:rowOff>
    </xdr:from>
    <xdr:to>
      <xdr:col>6</xdr:col>
      <xdr:colOff>0</xdr:colOff>
      <xdr:row>442</xdr:row>
      <xdr:rowOff>0</xdr:rowOff>
    </xdr:to>
    <xdr:sp macro="" textlink="">
      <xdr:nvSpPr>
        <xdr:cNvPr id="108" name="Rectangle 107">
          <a:extLst>
            <a:ext uri="{FF2B5EF4-FFF2-40B4-BE49-F238E27FC236}">
              <a16:creationId xmlns:a16="http://schemas.microsoft.com/office/drawing/2014/main" id="{00000000-0008-0000-3300-00006C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438</xdr:row>
      <xdr:rowOff>0</xdr:rowOff>
    </xdr:from>
    <xdr:to>
      <xdr:col>6</xdr:col>
      <xdr:colOff>0</xdr:colOff>
      <xdr:row>442</xdr:row>
      <xdr:rowOff>0</xdr:rowOff>
    </xdr:to>
    <xdr:sp macro="" textlink="">
      <xdr:nvSpPr>
        <xdr:cNvPr id="109" name="Rectangle 108">
          <a:extLst>
            <a:ext uri="{FF2B5EF4-FFF2-40B4-BE49-F238E27FC236}">
              <a16:creationId xmlns:a16="http://schemas.microsoft.com/office/drawing/2014/main" id="{00000000-0008-0000-3300-00006D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436</xdr:row>
      <xdr:rowOff>0</xdr:rowOff>
    </xdr:from>
    <xdr:to>
      <xdr:col>2</xdr:col>
      <xdr:colOff>0</xdr:colOff>
      <xdr:row>456</xdr:row>
      <xdr:rowOff>0</xdr:rowOff>
    </xdr:to>
    <xdr:sp macro="" textlink="">
      <xdr:nvSpPr>
        <xdr:cNvPr id="110" name="Rectangle 107">
          <a:extLst>
            <a:ext uri="{FF2B5EF4-FFF2-40B4-BE49-F238E27FC236}">
              <a16:creationId xmlns:a16="http://schemas.microsoft.com/office/drawing/2014/main" id="{00000000-0008-0000-3300-00006E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436</xdr:row>
      <xdr:rowOff>0</xdr:rowOff>
    </xdr:from>
    <xdr:to>
      <xdr:col>2</xdr:col>
      <xdr:colOff>0</xdr:colOff>
      <xdr:row>456</xdr:row>
      <xdr:rowOff>0</xdr:rowOff>
    </xdr:to>
    <xdr:sp macro="" textlink="">
      <xdr:nvSpPr>
        <xdr:cNvPr id="111" name="Rectangle 108">
          <a:extLst>
            <a:ext uri="{FF2B5EF4-FFF2-40B4-BE49-F238E27FC236}">
              <a16:creationId xmlns:a16="http://schemas.microsoft.com/office/drawing/2014/main" id="{00000000-0008-0000-3300-00006F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472</xdr:row>
      <xdr:rowOff>0</xdr:rowOff>
    </xdr:from>
    <xdr:to>
      <xdr:col>2</xdr:col>
      <xdr:colOff>0</xdr:colOff>
      <xdr:row>496</xdr:row>
      <xdr:rowOff>0</xdr:rowOff>
    </xdr:to>
    <xdr:sp macro="" textlink="">
      <xdr:nvSpPr>
        <xdr:cNvPr id="112" name="Rectangle 107">
          <a:extLst>
            <a:ext uri="{FF2B5EF4-FFF2-40B4-BE49-F238E27FC236}">
              <a16:creationId xmlns:a16="http://schemas.microsoft.com/office/drawing/2014/main" id="{00000000-0008-0000-3300-000070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2</xdr:col>
      <xdr:colOff>0</xdr:colOff>
      <xdr:row>472</xdr:row>
      <xdr:rowOff>0</xdr:rowOff>
    </xdr:from>
    <xdr:to>
      <xdr:col>2</xdr:col>
      <xdr:colOff>0</xdr:colOff>
      <xdr:row>496</xdr:row>
      <xdr:rowOff>0</xdr:rowOff>
    </xdr:to>
    <xdr:sp macro="" textlink="">
      <xdr:nvSpPr>
        <xdr:cNvPr id="113" name="Rectangle 108">
          <a:extLst>
            <a:ext uri="{FF2B5EF4-FFF2-40B4-BE49-F238E27FC236}">
              <a16:creationId xmlns:a16="http://schemas.microsoft.com/office/drawing/2014/main" id="{00000000-0008-0000-3300-000071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6</xdr:col>
      <xdr:colOff>0</xdr:colOff>
      <xdr:row>436</xdr:row>
      <xdr:rowOff>0</xdr:rowOff>
    </xdr:from>
    <xdr:to>
      <xdr:col>6</xdr:col>
      <xdr:colOff>0</xdr:colOff>
      <xdr:row>445</xdr:row>
      <xdr:rowOff>0</xdr:rowOff>
    </xdr:to>
    <xdr:sp macro="" textlink="">
      <xdr:nvSpPr>
        <xdr:cNvPr id="114" name="Rectangle 107">
          <a:extLst>
            <a:ext uri="{FF2B5EF4-FFF2-40B4-BE49-F238E27FC236}">
              <a16:creationId xmlns:a16="http://schemas.microsoft.com/office/drawing/2014/main" id="{00000000-0008-0000-3300-000072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436</xdr:row>
      <xdr:rowOff>0</xdr:rowOff>
    </xdr:from>
    <xdr:to>
      <xdr:col>6</xdr:col>
      <xdr:colOff>0</xdr:colOff>
      <xdr:row>445</xdr:row>
      <xdr:rowOff>0</xdr:rowOff>
    </xdr:to>
    <xdr:sp macro="" textlink="">
      <xdr:nvSpPr>
        <xdr:cNvPr id="115" name="Rectangle 108">
          <a:extLst>
            <a:ext uri="{FF2B5EF4-FFF2-40B4-BE49-F238E27FC236}">
              <a16:creationId xmlns:a16="http://schemas.microsoft.com/office/drawing/2014/main" id="{00000000-0008-0000-3300-000073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438</xdr:row>
      <xdr:rowOff>0</xdr:rowOff>
    </xdr:from>
    <xdr:to>
      <xdr:col>6</xdr:col>
      <xdr:colOff>0</xdr:colOff>
      <xdr:row>445</xdr:row>
      <xdr:rowOff>0</xdr:rowOff>
    </xdr:to>
    <xdr:sp macro="" textlink="">
      <xdr:nvSpPr>
        <xdr:cNvPr id="116" name="Rectangle 107">
          <a:extLst>
            <a:ext uri="{FF2B5EF4-FFF2-40B4-BE49-F238E27FC236}">
              <a16:creationId xmlns:a16="http://schemas.microsoft.com/office/drawing/2014/main" id="{00000000-0008-0000-3300-000074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6</xdr:col>
      <xdr:colOff>0</xdr:colOff>
      <xdr:row>438</xdr:row>
      <xdr:rowOff>0</xdr:rowOff>
    </xdr:from>
    <xdr:to>
      <xdr:col>6</xdr:col>
      <xdr:colOff>0</xdr:colOff>
      <xdr:row>445</xdr:row>
      <xdr:rowOff>0</xdr:rowOff>
    </xdr:to>
    <xdr:sp macro="" textlink="">
      <xdr:nvSpPr>
        <xdr:cNvPr id="117" name="Rectangle 108">
          <a:extLst>
            <a:ext uri="{FF2B5EF4-FFF2-40B4-BE49-F238E27FC236}">
              <a16:creationId xmlns:a16="http://schemas.microsoft.com/office/drawing/2014/main" id="{00000000-0008-0000-3300-000075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2</xdr:col>
      <xdr:colOff>0</xdr:colOff>
      <xdr:row>472</xdr:row>
      <xdr:rowOff>0</xdr:rowOff>
    </xdr:from>
    <xdr:to>
      <xdr:col>2</xdr:col>
      <xdr:colOff>0</xdr:colOff>
      <xdr:row>497</xdr:row>
      <xdr:rowOff>0</xdr:rowOff>
    </xdr:to>
    <xdr:sp macro="" textlink="">
      <xdr:nvSpPr>
        <xdr:cNvPr id="118" name="Rectangle 107">
          <a:extLst>
            <a:ext uri="{FF2B5EF4-FFF2-40B4-BE49-F238E27FC236}">
              <a16:creationId xmlns:a16="http://schemas.microsoft.com/office/drawing/2014/main" id="{00000000-0008-0000-3300-000076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2</xdr:col>
      <xdr:colOff>0</xdr:colOff>
      <xdr:row>472</xdr:row>
      <xdr:rowOff>0</xdr:rowOff>
    </xdr:from>
    <xdr:to>
      <xdr:col>2</xdr:col>
      <xdr:colOff>0</xdr:colOff>
      <xdr:row>497</xdr:row>
      <xdr:rowOff>0</xdr:rowOff>
    </xdr:to>
    <xdr:sp macro="" textlink="">
      <xdr:nvSpPr>
        <xdr:cNvPr id="119" name="Rectangle 108">
          <a:extLst>
            <a:ext uri="{FF2B5EF4-FFF2-40B4-BE49-F238E27FC236}">
              <a16:creationId xmlns:a16="http://schemas.microsoft.com/office/drawing/2014/main" id="{00000000-0008-0000-3300-000077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6</xdr:col>
      <xdr:colOff>0</xdr:colOff>
      <xdr:row>436</xdr:row>
      <xdr:rowOff>0</xdr:rowOff>
    </xdr:from>
    <xdr:to>
      <xdr:col>6</xdr:col>
      <xdr:colOff>0</xdr:colOff>
      <xdr:row>445</xdr:row>
      <xdr:rowOff>0</xdr:rowOff>
    </xdr:to>
    <xdr:sp macro="" textlink="">
      <xdr:nvSpPr>
        <xdr:cNvPr id="120" name="Rectangle 107">
          <a:extLst>
            <a:ext uri="{FF2B5EF4-FFF2-40B4-BE49-F238E27FC236}">
              <a16:creationId xmlns:a16="http://schemas.microsoft.com/office/drawing/2014/main" id="{00000000-0008-0000-3300-000078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436</xdr:row>
      <xdr:rowOff>0</xdr:rowOff>
    </xdr:from>
    <xdr:to>
      <xdr:col>6</xdr:col>
      <xdr:colOff>0</xdr:colOff>
      <xdr:row>445</xdr:row>
      <xdr:rowOff>0</xdr:rowOff>
    </xdr:to>
    <xdr:sp macro="" textlink="">
      <xdr:nvSpPr>
        <xdr:cNvPr id="121" name="Rectangle 108">
          <a:extLst>
            <a:ext uri="{FF2B5EF4-FFF2-40B4-BE49-F238E27FC236}">
              <a16:creationId xmlns:a16="http://schemas.microsoft.com/office/drawing/2014/main" id="{00000000-0008-0000-3300-000079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2</xdr:col>
      <xdr:colOff>0</xdr:colOff>
      <xdr:row>437</xdr:row>
      <xdr:rowOff>0</xdr:rowOff>
    </xdr:from>
    <xdr:to>
      <xdr:col>2</xdr:col>
      <xdr:colOff>0</xdr:colOff>
      <xdr:row>446</xdr:row>
      <xdr:rowOff>0</xdr:rowOff>
    </xdr:to>
    <xdr:sp macro="" textlink="">
      <xdr:nvSpPr>
        <xdr:cNvPr id="122" name="Rectangle 107">
          <a:extLst>
            <a:ext uri="{FF2B5EF4-FFF2-40B4-BE49-F238E27FC236}">
              <a16:creationId xmlns:a16="http://schemas.microsoft.com/office/drawing/2014/main" id="{00000000-0008-0000-3300-00007A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437</xdr:row>
      <xdr:rowOff>0</xdr:rowOff>
    </xdr:from>
    <xdr:to>
      <xdr:col>2</xdr:col>
      <xdr:colOff>0</xdr:colOff>
      <xdr:row>446</xdr:row>
      <xdr:rowOff>0</xdr:rowOff>
    </xdr:to>
    <xdr:sp macro="" textlink="">
      <xdr:nvSpPr>
        <xdr:cNvPr id="123" name="Rectangle 108">
          <a:extLst>
            <a:ext uri="{FF2B5EF4-FFF2-40B4-BE49-F238E27FC236}">
              <a16:creationId xmlns:a16="http://schemas.microsoft.com/office/drawing/2014/main" id="{00000000-0008-0000-3300-00007B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473</xdr:row>
      <xdr:rowOff>0</xdr:rowOff>
    </xdr:from>
    <xdr:to>
      <xdr:col>2</xdr:col>
      <xdr:colOff>0</xdr:colOff>
      <xdr:row>495</xdr:row>
      <xdr:rowOff>0</xdr:rowOff>
    </xdr:to>
    <xdr:sp macro="" textlink="">
      <xdr:nvSpPr>
        <xdr:cNvPr id="124" name="Rectangle 107">
          <a:extLst>
            <a:ext uri="{FF2B5EF4-FFF2-40B4-BE49-F238E27FC236}">
              <a16:creationId xmlns:a16="http://schemas.microsoft.com/office/drawing/2014/main" id="{00000000-0008-0000-3300-00007C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473</xdr:row>
      <xdr:rowOff>0</xdr:rowOff>
    </xdr:from>
    <xdr:to>
      <xdr:col>2</xdr:col>
      <xdr:colOff>0</xdr:colOff>
      <xdr:row>495</xdr:row>
      <xdr:rowOff>0</xdr:rowOff>
    </xdr:to>
    <xdr:sp macro="" textlink="">
      <xdr:nvSpPr>
        <xdr:cNvPr id="125" name="Rectangle 108">
          <a:extLst>
            <a:ext uri="{FF2B5EF4-FFF2-40B4-BE49-F238E27FC236}">
              <a16:creationId xmlns:a16="http://schemas.microsoft.com/office/drawing/2014/main" id="{00000000-0008-0000-3300-00007D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441</xdr:row>
      <xdr:rowOff>0</xdr:rowOff>
    </xdr:from>
    <xdr:to>
      <xdr:col>6</xdr:col>
      <xdr:colOff>0</xdr:colOff>
      <xdr:row>445</xdr:row>
      <xdr:rowOff>0</xdr:rowOff>
    </xdr:to>
    <xdr:sp macro="" textlink="">
      <xdr:nvSpPr>
        <xdr:cNvPr id="126" name="Rectangle 107">
          <a:extLst>
            <a:ext uri="{FF2B5EF4-FFF2-40B4-BE49-F238E27FC236}">
              <a16:creationId xmlns:a16="http://schemas.microsoft.com/office/drawing/2014/main" id="{00000000-0008-0000-3300-00007E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441</xdr:row>
      <xdr:rowOff>0</xdr:rowOff>
    </xdr:from>
    <xdr:to>
      <xdr:col>6</xdr:col>
      <xdr:colOff>0</xdr:colOff>
      <xdr:row>445</xdr:row>
      <xdr:rowOff>0</xdr:rowOff>
    </xdr:to>
    <xdr:sp macro="" textlink="">
      <xdr:nvSpPr>
        <xdr:cNvPr id="127" name="Rectangle 108">
          <a:extLst>
            <a:ext uri="{FF2B5EF4-FFF2-40B4-BE49-F238E27FC236}">
              <a16:creationId xmlns:a16="http://schemas.microsoft.com/office/drawing/2014/main" id="{00000000-0008-0000-3300-00007F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437</xdr:row>
      <xdr:rowOff>0</xdr:rowOff>
    </xdr:from>
    <xdr:to>
      <xdr:col>2</xdr:col>
      <xdr:colOff>0</xdr:colOff>
      <xdr:row>448</xdr:row>
      <xdr:rowOff>0</xdr:rowOff>
    </xdr:to>
    <xdr:sp macro="" textlink="">
      <xdr:nvSpPr>
        <xdr:cNvPr id="128" name="Rectangle 107">
          <a:extLst>
            <a:ext uri="{FF2B5EF4-FFF2-40B4-BE49-F238E27FC236}">
              <a16:creationId xmlns:a16="http://schemas.microsoft.com/office/drawing/2014/main" id="{00000000-0008-0000-3300-000080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437</xdr:row>
      <xdr:rowOff>0</xdr:rowOff>
    </xdr:from>
    <xdr:to>
      <xdr:col>2</xdr:col>
      <xdr:colOff>0</xdr:colOff>
      <xdr:row>448</xdr:row>
      <xdr:rowOff>0</xdr:rowOff>
    </xdr:to>
    <xdr:sp macro="" textlink="">
      <xdr:nvSpPr>
        <xdr:cNvPr id="129" name="Rectangle 108">
          <a:extLst>
            <a:ext uri="{FF2B5EF4-FFF2-40B4-BE49-F238E27FC236}">
              <a16:creationId xmlns:a16="http://schemas.microsoft.com/office/drawing/2014/main" id="{00000000-0008-0000-3300-000081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467</xdr:row>
      <xdr:rowOff>0</xdr:rowOff>
    </xdr:from>
    <xdr:to>
      <xdr:col>2</xdr:col>
      <xdr:colOff>0</xdr:colOff>
      <xdr:row>493</xdr:row>
      <xdr:rowOff>0</xdr:rowOff>
    </xdr:to>
    <xdr:sp macro="" textlink="">
      <xdr:nvSpPr>
        <xdr:cNvPr id="130" name="Rectangle 107">
          <a:extLst>
            <a:ext uri="{FF2B5EF4-FFF2-40B4-BE49-F238E27FC236}">
              <a16:creationId xmlns:a16="http://schemas.microsoft.com/office/drawing/2014/main" id="{00000000-0008-0000-3300-000082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467</xdr:row>
      <xdr:rowOff>0</xdr:rowOff>
    </xdr:from>
    <xdr:to>
      <xdr:col>2</xdr:col>
      <xdr:colOff>0</xdr:colOff>
      <xdr:row>493</xdr:row>
      <xdr:rowOff>0</xdr:rowOff>
    </xdr:to>
    <xdr:sp macro="" textlink="">
      <xdr:nvSpPr>
        <xdr:cNvPr id="131" name="Rectangle 108">
          <a:extLst>
            <a:ext uri="{FF2B5EF4-FFF2-40B4-BE49-F238E27FC236}">
              <a16:creationId xmlns:a16="http://schemas.microsoft.com/office/drawing/2014/main" id="{00000000-0008-0000-3300-000083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436</xdr:row>
      <xdr:rowOff>0</xdr:rowOff>
    </xdr:from>
    <xdr:to>
      <xdr:col>6</xdr:col>
      <xdr:colOff>0</xdr:colOff>
      <xdr:row>445</xdr:row>
      <xdr:rowOff>0</xdr:rowOff>
    </xdr:to>
    <xdr:sp macro="" textlink="">
      <xdr:nvSpPr>
        <xdr:cNvPr id="132" name="Rectangle 107">
          <a:extLst>
            <a:ext uri="{FF2B5EF4-FFF2-40B4-BE49-F238E27FC236}">
              <a16:creationId xmlns:a16="http://schemas.microsoft.com/office/drawing/2014/main" id="{00000000-0008-0000-3300-000084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436</xdr:row>
      <xdr:rowOff>0</xdr:rowOff>
    </xdr:from>
    <xdr:to>
      <xdr:col>6</xdr:col>
      <xdr:colOff>0</xdr:colOff>
      <xdr:row>445</xdr:row>
      <xdr:rowOff>0</xdr:rowOff>
    </xdr:to>
    <xdr:sp macro="" textlink="">
      <xdr:nvSpPr>
        <xdr:cNvPr id="133" name="Rectangle 108">
          <a:extLst>
            <a:ext uri="{FF2B5EF4-FFF2-40B4-BE49-F238E27FC236}">
              <a16:creationId xmlns:a16="http://schemas.microsoft.com/office/drawing/2014/main" id="{00000000-0008-0000-3300-000085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443</xdr:row>
      <xdr:rowOff>0</xdr:rowOff>
    </xdr:from>
    <xdr:to>
      <xdr:col>6</xdr:col>
      <xdr:colOff>0</xdr:colOff>
      <xdr:row>445</xdr:row>
      <xdr:rowOff>0</xdr:rowOff>
    </xdr:to>
    <xdr:sp macro="" textlink="">
      <xdr:nvSpPr>
        <xdr:cNvPr id="134" name="Rectangle 107">
          <a:extLst>
            <a:ext uri="{FF2B5EF4-FFF2-40B4-BE49-F238E27FC236}">
              <a16:creationId xmlns:a16="http://schemas.microsoft.com/office/drawing/2014/main" id="{00000000-0008-0000-3300-000086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443</xdr:row>
      <xdr:rowOff>0</xdr:rowOff>
    </xdr:from>
    <xdr:to>
      <xdr:col>6</xdr:col>
      <xdr:colOff>0</xdr:colOff>
      <xdr:row>445</xdr:row>
      <xdr:rowOff>0</xdr:rowOff>
    </xdr:to>
    <xdr:sp macro="" textlink="">
      <xdr:nvSpPr>
        <xdr:cNvPr id="135" name="Rectangle 108">
          <a:extLst>
            <a:ext uri="{FF2B5EF4-FFF2-40B4-BE49-F238E27FC236}">
              <a16:creationId xmlns:a16="http://schemas.microsoft.com/office/drawing/2014/main" id="{00000000-0008-0000-3300-000087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503</xdr:row>
      <xdr:rowOff>0</xdr:rowOff>
    </xdr:from>
    <xdr:to>
      <xdr:col>2</xdr:col>
      <xdr:colOff>0</xdr:colOff>
      <xdr:row>521</xdr:row>
      <xdr:rowOff>0</xdr:rowOff>
    </xdr:to>
    <xdr:sp macro="" textlink="">
      <xdr:nvSpPr>
        <xdr:cNvPr id="136" name="Rectangle 107">
          <a:extLst>
            <a:ext uri="{FF2B5EF4-FFF2-40B4-BE49-F238E27FC236}">
              <a16:creationId xmlns:a16="http://schemas.microsoft.com/office/drawing/2014/main" id="{00000000-0008-0000-3300-000088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503</xdr:row>
      <xdr:rowOff>0</xdr:rowOff>
    </xdr:from>
    <xdr:to>
      <xdr:col>2</xdr:col>
      <xdr:colOff>0</xdr:colOff>
      <xdr:row>521</xdr:row>
      <xdr:rowOff>0</xdr:rowOff>
    </xdr:to>
    <xdr:sp macro="" textlink="">
      <xdr:nvSpPr>
        <xdr:cNvPr id="137" name="Rectangle 108">
          <a:extLst>
            <a:ext uri="{FF2B5EF4-FFF2-40B4-BE49-F238E27FC236}">
              <a16:creationId xmlns:a16="http://schemas.microsoft.com/office/drawing/2014/main" id="{00000000-0008-0000-3300-000089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528</xdr:row>
      <xdr:rowOff>0</xdr:rowOff>
    </xdr:from>
    <xdr:to>
      <xdr:col>2</xdr:col>
      <xdr:colOff>0</xdr:colOff>
      <xdr:row>547</xdr:row>
      <xdr:rowOff>0</xdr:rowOff>
    </xdr:to>
    <xdr:sp macro="" textlink="">
      <xdr:nvSpPr>
        <xdr:cNvPr id="138" name="Rectangle 107">
          <a:extLst>
            <a:ext uri="{FF2B5EF4-FFF2-40B4-BE49-F238E27FC236}">
              <a16:creationId xmlns:a16="http://schemas.microsoft.com/office/drawing/2014/main" id="{00000000-0008-0000-3300-00008A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528</xdr:row>
      <xdr:rowOff>0</xdr:rowOff>
    </xdr:from>
    <xdr:to>
      <xdr:col>2</xdr:col>
      <xdr:colOff>0</xdr:colOff>
      <xdr:row>547</xdr:row>
      <xdr:rowOff>0</xdr:rowOff>
    </xdr:to>
    <xdr:sp macro="" textlink="">
      <xdr:nvSpPr>
        <xdr:cNvPr id="139" name="Rectangle 108">
          <a:extLst>
            <a:ext uri="{FF2B5EF4-FFF2-40B4-BE49-F238E27FC236}">
              <a16:creationId xmlns:a16="http://schemas.microsoft.com/office/drawing/2014/main" id="{00000000-0008-0000-3300-00008B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504</xdr:row>
      <xdr:rowOff>0</xdr:rowOff>
    </xdr:from>
    <xdr:to>
      <xdr:col>6</xdr:col>
      <xdr:colOff>0</xdr:colOff>
      <xdr:row>509</xdr:row>
      <xdr:rowOff>0</xdr:rowOff>
    </xdr:to>
    <xdr:sp macro="" textlink="">
      <xdr:nvSpPr>
        <xdr:cNvPr id="140" name="Rectangle 107">
          <a:extLst>
            <a:ext uri="{FF2B5EF4-FFF2-40B4-BE49-F238E27FC236}">
              <a16:creationId xmlns:a16="http://schemas.microsoft.com/office/drawing/2014/main" id="{00000000-0008-0000-3300-00008C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504</xdr:row>
      <xdr:rowOff>0</xdr:rowOff>
    </xdr:from>
    <xdr:to>
      <xdr:col>6</xdr:col>
      <xdr:colOff>0</xdr:colOff>
      <xdr:row>509</xdr:row>
      <xdr:rowOff>0</xdr:rowOff>
    </xdr:to>
    <xdr:sp macro="" textlink="">
      <xdr:nvSpPr>
        <xdr:cNvPr id="141" name="Rectangle 108">
          <a:extLst>
            <a:ext uri="{FF2B5EF4-FFF2-40B4-BE49-F238E27FC236}">
              <a16:creationId xmlns:a16="http://schemas.microsoft.com/office/drawing/2014/main" id="{00000000-0008-0000-3300-00008D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505</xdr:row>
      <xdr:rowOff>0</xdr:rowOff>
    </xdr:from>
    <xdr:to>
      <xdr:col>6</xdr:col>
      <xdr:colOff>0</xdr:colOff>
      <xdr:row>509</xdr:row>
      <xdr:rowOff>0</xdr:rowOff>
    </xdr:to>
    <xdr:sp macro="" textlink="">
      <xdr:nvSpPr>
        <xdr:cNvPr id="142" name="Rectangle 107">
          <a:extLst>
            <a:ext uri="{FF2B5EF4-FFF2-40B4-BE49-F238E27FC236}">
              <a16:creationId xmlns:a16="http://schemas.microsoft.com/office/drawing/2014/main" id="{00000000-0008-0000-3300-00008E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505</xdr:row>
      <xdr:rowOff>0</xdr:rowOff>
    </xdr:from>
    <xdr:to>
      <xdr:col>6</xdr:col>
      <xdr:colOff>0</xdr:colOff>
      <xdr:row>509</xdr:row>
      <xdr:rowOff>0</xdr:rowOff>
    </xdr:to>
    <xdr:sp macro="" textlink="">
      <xdr:nvSpPr>
        <xdr:cNvPr id="143" name="Rectangle 108">
          <a:extLst>
            <a:ext uri="{FF2B5EF4-FFF2-40B4-BE49-F238E27FC236}">
              <a16:creationId xmlns:a16="http://schemas.microsoft.com/office/drawing/2014/main" id="{00000000-0008-0000-3300-00008F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503</xdr:row>
      <xdr:rowOff>0</xdr:rowOff>
    </xdr:from>
    <xdr:to>
      <xdr:col>2</xdr:col>
      <xdr:colOff>0</xdr:colOff>
      <xdr:row>523</xdr:row>
      <xdr:rowOff>0</xdr:rowOff>
    </xdr:to>
    <xdr:sp macro="" textlink="">
      <xdr:nvSpPr>
        <xdr:cNvPr id="144" name="Rectangle 107">
          <a:extLst>
            <a:ext uri="{FF2B5EF4-FFF2-40B4-BE49-F238E27FC236}">
              <a16:creationId xmlns:a16="http://schemas.microsoft.com/office/drawing/2014/main" id="{00000000-0008-0000-3300-000090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503</xdr:row>
      <xdr:rowOff>0</xdr:rowOff>
    </xdr:from>
    <xdr:to>
      <xdr:col>2</xdr:col>
      <xdr:colOff>0</xdr:colOff>
      <xdr:row>523</xdr:row>
      <xdr:rowOff>0</xdr:rowOff>
    </xdr:to>
    <xdr:sp macro="" textlink="">
      <xdr:nvSpPr>
        <xdr:cNvPr id="145" name="Rectangle 108">
          <a:extLst>
            <a:ext uri="{FF2B5EF4-FFF2-40B4-BE49-F238E27FC236}">
              <a16:creationId xmlns:a16="http://schemas.microsoft.com/office/drawing/2014/main" id="{00000000-0008-0000-3300-000091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528</xdr:row>
      <xdr:rowOff>0</xdr:rowOff>
    </xdr:from>
    <xdr:to>
      <xdr:col>2</xdr:col>
      <xdr:colOff>0</xdr:colOff>
      <xdr:row>555</xdr:row>
      <xdr:rowOff>0</xdr:rowOff>
    </xdr:to>
    <xdr:sp macro="" textlink="">
      <xdr:nvSpPr>
        <xdr:cNvPr id="146" name="Rectangle 107">
          <a:extLst>
            <a:ext uri="{FF2B5EF4-FFF2-40B4-BE49-F238E27FC236}">
              <a16:creationId xmlns:a16="http://schemas.microsoft.com/office/drawing/2014/main" id="{00000000-0008-0000-3300-000092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528</xdr:row>
      <xdr:rowOff>0</xdr:rowOff>
    </xdr:from>
    <xdr:to>
      <xdr:col>2</xdr:col>
      <xdr:colOff>0</xdr:colOff>
      <xdr:row>555</xdr:row>
      <xdr:rowOff>0</xdr:rowOff>
    </xdr:to>
    <xdr:sp macro="" textlink="">
      <xdr:nvSpPr>
        <xdr:cNvPr id="147" name="Rectangle 108">
          <a:extLst>
            <a:ext uri="{FF2B5EF4-FFF2-40B4-BE49-F238E27FC236}">
              <a16:creationId xmlns:a16="http://schemas.microsoft.com/office/drawing/2014/main" id="{00000000-0008-0000-3300-000093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503</xdr:row>
      <xdr:rowOff>0</xdr:rowOff>
    </xdr:from>
    <xdr:to>
      <xdr:col>6</xdr:col>
      <xdr:colOff>0</xdr:colOff>
      <xdr:row>519</xdr:row>
      <xdr:rowOff>0</xdr:rowOff>
    </xdr:to>
    <xdr:sp macro="" textlink="">
      <xdr:nvSpPr>
        <xdr:cNvPr id="148" name="Rectangle 107">
          <a:extLst>
            <a:ext uri="{FF2B5EF4-FFF2-40B4-BE49-F238E27FC236}">
              <a16:creationId xmlns:a16="http://schemas.microsoft.com/office/drawing/2014/main" id="{00000000-0008-0000-3300-000094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503</xdr:row>
      <xdr:rowOff>0</xdr:rowOff>
    </xdr:from>
    <xdr:to>
      <xdr:col>6</xdr:col>
      <xdr:colOff>0</xdr:colOff>
      <xdr:row>519</xdr:row>
      <xdr:rowOff>0</xdr:rowOff>
    </xdr:to>
    <xdr:sp macro="" textlink="">
      <xdr:nvSpPr>
        <xdr:cNvPr id="149" name="Rectangle 108">
          <a:extLst>
            <a:ext uri="{FF2B5EF4-FFF2-40B4-BE49-F238E27FC236}">
              <a16:creationId xmlns:a16="http://schemas.microsoft.com/office/drawing/2014/main" id="{00000000-0008-0000-3300-000095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505</xdr:row>
      <xdr:rowOff>0</xdr:rowOff>
    </xdr:from>
    <xdr:to>
      <xdr:col>6</xdr:col>
      <xdr:colOff>0</xdr:colOff>
      <xdr:row>519</xdr:row>
      <xdr:rowOff>0</xdr:rowOff>
    </xdr:to>
    <xdr:sp macro="" textlink="">
      <xdr:nvSpPr>
        <xdr:cNvPr id="150" name="Rectangle 107">
          <a:extLst>
            <a:ext uri="{FF2B5EF4-FFF2-40B4-BE49-F238E27FC236}">
              <a16:creationId xmlns:a16="http://schemas.microsoft.com/office/drawing/2014/main" id="{00000000-0008-0000-3300-000096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505</xdr:row>
      <xdr:rowOff>0</xdr:rowOff>
    </xdr:from>
    <xdr:to>
      <xdr:col>6</xdr:col>
      <xdr:colOff>0</xdr:colOff>
      <xdr:row>519</xdr:row>
      <xdr:rowOff>0</xdr:rowOff>
    </xdr:to>
    <xdr:sp macro="" textlink="">
      <xdr:nvSpPr>
        <xdr:cNvPr id="151" name="Rectangle 108">
          <a:extLst>
            <a:ext uri="{FF2B5EF4-FFF2-40B4-BE49-F238E27FC236}">
              <a16:creationId xmlns:a16="http://schemas.microsoft.com/office/drawing/2014/main" id="{00000000-0008-0000-3300-000097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528</xdr:row>
      <xdr:rowOff>0</xdr:rowOff>
    </xdr:from>
    <xdr:to>
      <xdr:col>2</xdr:col>
      <xdr:colOff>0</xdr:colOff>
      <xdr:row>559</xdr:row>
      <xdr:rowOff>0</xdr:rowOff>
    </xdr:to>
    <xdr:sp macro="" textlink="">
      <xdr:nvSpPr>
        <xdr:cNvPr id="152" name="Rectangle 107">
          <a:extLst>
            <a:ext uri="{FF2B5EF4-FFF2-40B4-BE49-F238E27FC236}">
              <a16:creationId xmlns:a16="http://schemas.microsoft.com/office/drawing/2014/main" id="{00000000-0008-0000-3300-000098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528</xdr:row>
      <xdr:rowOff>0</xdr:rowOff>
    </xdr:from>
    <xdr:to>
      <xdr:col>2</xdr:col>
      <xdr:colOff>0</xdr:colOff>
      <xdr:row>559</xdr:row>
      <xdr:rowOff>0</xdr:rowOff>
    </xdr:to>
    <xdr:sp macro="" textlink="">
      <xdr:nvSpPr>
        <xdr:cNvPr id="153" name="Rectangle 108">
          <a:extLst>
            <a:ext uri="{FF2B5EF4-FFF2-40B4-BE49-F238E27FC236}">
              <a16:creationId xmlns:a16="http://schemas.microsoft.com/office/drawing/2014/main" id="{00000000-0008-0000-3300-000099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503</xdr:row>
      <xdr:rowOff>0</xdr:rowOff>
    </xdr:from>
    <xdr:to>
      <xdr:col>6</xdr:col>
      <xdr:colOff>0</xdr:colOff>
      <xdr:row>517</xdr:row>
      <xdr:rowOff>0</xdr:rowOff>
    </xdr:to>
    <xdr:sp macro="" textlink="">
      <xdr:nvSpPr>
        <xdr:cNvPr id="154" name="Rectangle 107">
          <a:extLst>
            <a:ext uri="{FF2B5EF4-FFF2-40B4-BE49-F238E27FC236}">
              <a16:creationId xmlns:a16="http://schemas.microsoft.com/office/drawing/2014/main" id="{00000000-0008-0000-3300-00009A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503</xdr:row>
      <xdr:rowOff>0</xdr:rowOff>
    </xdr:from>
    <xdr:to>
      <xdr:col>6</xdr:col>
      <xdr:colOff>0</xdr:colOff>
      <xdr:row>517</xdr:row>
      <xdr:rowOff>0</xdr:rowOff>
    </xdr:to>
    <xdr:sp macro="" textlink="">
      <xdr:nvSpPr>
        <xdr:cNvPr id="155" name="Rectangle 108">
          <a:extLst>
            <a:ext uri="{FF2B5EF4-FFF2-40B4-BE49-F238E27FC236}">
              <a16:creationId xmlns:a16="http://schemas.microsoft.com/office/drawing/2014/main" id="{00000000-0008-0000-3300-00009B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504</xdr:row>
      <xdr:rowOff>0</xdr:rowOff>
    </xdr:from>
    <xdr:to>
      <xdr:col>2</xdr:col>
      <xdr:colOff>0</xdr:colOff>
      <xdr:row>513</xdr:row>
      <xdr:rowOff>0</xdr:rowOff>
    </xdr:to>
    <xdr:sp macro="" textlink="">
      <xdr:nvSpPr>
        <xdr:cNvPr id="156" name="Rectangle 107">
          <a:extLst>
            <a:ext uri="{FF2B5EF4-FFF2-40B4-BE49-F238E27FC236}">
              <a16:creationId xmlns:a16="http://schemas.microsoft.com/office/drawing/2014/main" id="{00000000-0008-0000-3300-00009C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504</xdr:row>
      <xdr:rowOff>0</xdr:rowOff>
    </xdr:from>
    <xdr:to>
      <xdr:col>2</xdr:col>
      <xdr:colOff>0</xdr:colOff>
      <xdr:row>513</xdr:row>
      <xdr:rowOff>0</xdr:rowOff>
    </xdr:to>
    <xdr:sp macro="" textlink="">
      <xdr:nvSpPr>
        <xdr:cNvPr id="157" name="Rectangle 108">
          <a:extLst>
            <a:ext uri="{FF2B5EF4-FFF2-40B4-BE49-F238E27FC236}">
              <a16:creationId xmlns:a16="http://schemas.microsoft.com/office/drawing/2014/main" id="{00000000-0008-0000-3300-00009D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529</xdr:row>
      <xdr:rowOff>0</xdr:rowOff>
    </xdr:from>
    <xdr:to>
      <xdr:col>2</xdr:col>
      <xdr:colOff>0</xdr:colOff>
      <xdr:row>551</xdr:row>
      <xdr:rowOff>0</xdr:rowOff>
    </xdr:to>
    <xdr:sp macro="" textlink="">
      <xdr:nvSpPr>
        <xdr:cNvPr id="158" name="Rectangle 107">
          <a:extLst>
            <a:ext uri="{FF2B5EF4-FFF2-40B4-BE49-F238E27FC236}">
              <a16:creationId xmlns:a16="http://schemas.microsoft.com/office/drawing/2014/main" id="{00000000-0008-0000-3300-00009E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529</xdr:row>
      <xdr:rowOff>0</xdr:rowOff>
    </xdr:from>
    <xdr:to>
      <xdr:col>2</xdr:col>
      <xdr:colOff>0</xdr:colOff>
      <xdr:row>551</xdr:row>
      <xdr:rowOff>0</xdr:rowOff>
    </xdr:to>
    <xdr:sp macro="" textlink="">
      <xdr:nvSpPr>
        <xdr:cNvPr id="159" name="Rectangle 108">
          <a:extLst>
            <a:ext uri="{FF2B5EF4-FFF2-40B4-BE49-F238E27FC236}">
              <a16:creationId xmlns:a16="http://schemas.microsoft.com/office/drawing/2014/main" id="{00000000-0008-0000-3300-00009F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508</xdr:row>
      <xdr:rowOff>0</xdr:rowOff>
    </xdr:from>
    <xdr:to>
      <xdr:col>6</xdr:col>
      <xdr:colOff>0</xdr:colOff>
      <xdr:row>522</xdr:row>
      <xdr:rowOff>0</xdr:rowOff>
    </xdr:to>
    <xdr:sp macro="" textlink="">
      <xdr:nvSpPr>
        <xdr:cNvPr id="160" name="Rectangle 107">
          <a:extLst>
            <a:ext uri="{FF2B5EF4-FFF2-40B4-BE49-F238E27FC236}">
              <a16:creationId xmlns:a16="http://schemas.microsoft.com/office/drawing/2014/main" id="{00000000-0008-0000-3300-0000A0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508</xdr:row>
      <xdr:rowOff>0</xdr:rowOff>
    </xdr:from>
    <xdr:to>
      <xdr:col>6</xdr:col>
      <xdr:colOff>0</xdr:colOff>
      <xdr:row>522</xdr:row>
      <xdr:rowOff>0</xdr:rowOff>
    </xdr:to>
    <xdr:sp macro="" textlink="">
      <xdr:nvSpPr>
        <xdr:cNvPr id="161" name="Rectangle 108">
          <a:extLst>
            <a:ext uri="{FF2B5EF4-FFF2-40B4-BE49-F238E27FC236}">
              <a16:creationId xmlns:a16="http://schemas.microsoft.com/office/drawing/2014/main" id="{00000000-0008-0000-3300-0000A1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520</xdr:row>
      <xdr:rowOff>0</xdr:rowOff>
    </xdr:from>
    <xdr:to>
      <xdr:col>6</xdr:col>
      <xdr:colOff>0</xdr:colOff>
      <xdr:row>522</xdr:row>
      <xdr:rowOff>0</xdr:rowOff>
    </xdr:to>
    <xdr:sp macro="" textlink="">
      <xdr:nvSpPr>
        <xdr:cNvPr id="162" name="Rectangle 107">
          <a:extLst>
            <a:ext uri="{FF2B5EF4-FFF2-40B4-BE49-F238E27FC236}">
              <a16:creationId xmlns:a16="http://schemas.microsoft.com/office/drawing/2014/main" id="{00000000-0008-0000-3300-0000A2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520</xdr:row>
      <xdr:rowOff>0</xdr:rowOff>
    </xdr:from>
    <xdr:to>
      <xdr:col>6</xdr:col>
      <xdr:colOff>0</xdr:colOff>
      <xdr:row>522</xdr:row>
      <xdr:rowOff>0</xdr:rowOff>
    </xdr:to>
    <xdr:sp macro="" textlink="">
      <xdr:nvSpPr>
        <xdr:cNvPr id="163" name="Rectangle 108">
          <a:extLst>
            <a:ext uri="{FF2B5EF4-FFF2-40B4-BE49-F238E27FC236}">
              <a16:creationId xmlns:a16="http://schemas.microsoft.com/office/drawing/2014/main" id="{00000000-0008-0000-3300-0000A3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565</xdr:row>
      <xdr:rowOff>0</xdr:rowOff>
    </xdr:from>
    <xdr:to>
      <xdr:col>2</xdr:col>
      <xdr:colOff>0</xdr:colOff>
      <xdr:row>583</xdr:row>
      <xdr:rowOff>0</xdr:rowOff>
    </xdr:to>
    <xdr:sp macro="" textlink="">
      <xdr:nvSpPr>
        <xdr:cNvPr id="164" name="Rectangle 107">
          <a:extLst>
            <a:ext uri="{FF2B5EF4-FFF2-40B4-BE49-F238E27FC236}">
              <a16:creationId xmlns:a16="http://schemas.microsoft.com/office/drawing/2014/main" id="{00000000-0008-0000-3300-0000A4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565</xdr:row>
      <xdr:rowOff>0</xdr:rowOff>
    </xdr:from>
    <xdr:to>
      <xdr:col>2</xdr:col>
      <xdr:colOff>0</xdr:colOff>
      <xdr:row>583</xdr:row>
      <xdr:rowOff>0</xdr:rowOff>
    </xdr:to>
    <xdr:sp macro="" textlink="">
      <xdr:nvSpPr>
        <xdr:cNvPr id="165" name="Rectangle 108">
          <a:extLst>
            <a:ext uri="{FF2B5EF4-FFF2-40B4-BE49-F238E27FC236}">
              <a16:creationId xmlns:a16="http://schemas.microsoft.com/office/drawing/2014/main" id="{00000000-0008-0000-3300-0000A5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595</xdr:row>
      <xdr:rowOff>0</xdr:rowOff>
    </xdr:from>
    <xdr:to>
      <xdr:col>2</xdr:col>
      <xdr:colOff>0</xdr:colOff>
      <xdr:row>614</xdr:row>
      <xdr:rowOff>0</xdr:rowOff>
    </xdr:to>
    <xdr:sp macro="" textlink="">
      <xdr:nvSpPr>
        <xdr:cNvPr id="166" name="Rectangle 107">
          <a:extLst>
            <a:ext uri="{FF2B5EF4-FFF2-40B4-BE49-F238E27FC236}">
              <a16:creationId xmlns:a16="http://schemas.microsoft.com/office/drawing/2014/main" id="{00000000-0008-0000-3300-0000A6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2</xdr:col>
      <xdr:colOff>0</xdr:colOff>
      <xdr:row>595</xdr:row>
      <xdr:rowOff>0</xdr:rowOff>
    </xdr:from>
    <xdr:to>
      <xdr:col>2</xdr:col>
      <xdr:colOff>0</xdr:colOff>
      <xdr:row>614</xdr:row>
      <xdr:rowOff>0</xdr:rowOff>
    </xdr:to>
    <xdr:sp macro="" textlink="">
      <xdr:nvSpPr>
        <xdr:cNvPr id="167" name="Rectangle 108">
          <a:extLst>
            <a:ext uri="{FF2B5EF4-FFF2-40B4-BE49-F238E27FC236}">
              <a16:creationId xmlns:a16="http://schemas.microsoft.com/office/drawing/2014/main" id="{00000000-0008-0000-3300-0000A7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6</xdr:col>
      <xdr:colOff>0</xdr:colOff>
      <xdr:row>566</xdr:row>
      <xdr:rowOff>0</xdr:rowOff>
    </xdr:from>
    <xdr:to>
      <xdr:col>6</xdr:col>
      <xdr:colOff>0</xdr:colOff>
      <xdr:row>571</xdr:row>
      <xdr:rowOff>0</xdr:rowOff>
    </xdr:to>
    <xdr:sp macro="" textlink="">
      <xdr:nvSpPr>
        <xdr:cNvPr id="168" name="Rectangle 107">
          <a:extLst>
            <a:ext uri="{FF2B5EF4-FFF2-40B4-BE49-F238E27FC236}">
              <a16:creationId xmlns:a16="http://schemas.microsoft.com/office/drawing/2014/main" id="{00000000-0008-0000-3300-0000A8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566</xdr:row>
      <xdr:rowOff>0</xdr:rowOff>
    </xdr:from>
    <xdr:to>
      <xdr:col>6</xdr:col>
      <xdr:colOff>0</xdr:colOff>
      <xdr:row>571</xdr:row>
      <xdr:rowOff>0</xdr:rowOff>
    </xdr:to>
    <xdr:sp macro="" textlink="">
      <xdr:nvSpPr>
        <xdr:cNvPr id="169" name="Rectangle 108">
          <a:extLst>
            <a:ext uri="{FF2B5EF4-FFF2-40B4-BE49-F238E27FC236}">
              <a16:creationId xmlns:a16="http://schemas.microsoft.com/office/drawing/2014/main" id="{00000000-0008-0000-3300-0000A9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567</xdr:row>
      <xdr:rowOff>0</xdr:rowOff>
    </xdr:from>
    <xdr:to>
      <xdr:col>6</xdr:col>
      <xdr:colOff>0</xdr:colOff>
      <xdr:row>571</xdr:row>
      <xdr:rowOff>0</xdr:rowOff>
    </xdr:to>
    <xdr:sp macro="" textlink="">
      <xdr:nvSpPr>
        <xdr:cNvPr id="170" name="Rectangle 107">
          <a:extLst>
            <a:ext uri="{FF2B5EF4-FFF2-40B4-BE49-F238E27FC236}">
              <a16:creationId xmlns:a16="http://schemas.microsoft.com/office/drawing/2014/main" id="{00000000-0008-0000-3300-0000AA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6</xdr:col>
      <xdr:colOff>0</xdr:colOff>
      <xdr:row>567</xdr:row>
      <xdr:rowOff>0</xdr:rowOff>
    </xdr:from>
    <xdr:to>
      <xdr:col>6</xdr:col>
      <xdr:colOff>0</xdr:colOff>
      <xdr:row>571</xdr:row>
      <xdr:rowOff>0</xdr:rowOff>
    </xdr:to>
    <xdr:sp macro="" textlink="">
      <xdr:nvSpPr>
        <xdr:cNvPr id="171" name="Rectangle 108">
          <a:extLst>
            <a:ext uri="{FF2B5EF4-FFF2-40B4-BE49-F238E27FC236}">
              <a16:creationId xmlns:a16="http://schemas.microsoft.com/office/drawing/2014/main" id="{00000000-0008-0000-3300-0000AB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2</xdr:col>
      <xdr:colOff>0</xdr:colOff>
      <xdr:row>565</xdr:row>
      <xdr:rowOff>0</xdr:rowOff>
    </xdr:from>
    <xdr:to>
      <xdr:col>2</xdr:col>
      <xdr:colOff>0</xdr:colOff>
      <xdr:row>587</xdr:row>
      <xdr:rowOff>0</xdr:rowOff>
    </xdr:to>
    <xdr:sp macro="" textlink="">
      <xdr:nvSpPr>
        <xdr:cNvPr id="172" name="Rectangle 107">
          <a:extLst>
            <a:ext uri="{FF2B5EF4-FFF2-40B4-BE49-F238E27FC236}">
              <a16:creationId xmlns:a16="http://schemas.microsoft.com/office/drawing/2014/main" id="{00000000-0008-0000-3300-0000AC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565</xdr:row>
      <xdr:rowOff>0</xdr:rowOff>
    </xdr:from>
    <xdr:to>
      <xdr:col>2</xdr:col>
      <xdr:colOff>0</xdr:colOff>
      <xdr:row>587</xdr:row>
      <xdr:rowOff>0</xdr:rowOff>
    </xdr:to>
    <xdr:sp macro="" textlink="">
      <xdr:nvSpPr>
        <xdr:cNvPr id="173" name="Rectangle 108">
          <a:extLst>
            <a:ext uri="{FF2B5EF4-FFF2-40B4-BE49-F238E27FC236}">
              <a16:creationId xmlns:a16="http://schemas.microsoft.com/office/drawing/2014/main" id="{00000000-0008-0000-3300-0000AD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595</xdr:row>
      <xdr:rowOff>0</xdr:rowOff>
    </xdr:from>
    <xdr:to>
      <xdr:col>2</xdr:col>
      <xdr:colOff>0</xdr:colOff>
      <xdr:row>622</xdr:row>
      <xdr:rowOff>0</xdr:rowOff>
    </xdr:to>
    <xdr:sp macro="" textlink="">
      <xdr:nvSpPr>
        <xdr:cNvPr id="174" name="Rectangle 107">
          <a:extLst>
            <a:ext uri="{FF2B5EF4-FFF2-40B4-BE49-F238E27FC236}">
              <a16:creationId xmlns:a16="http://schemas.microsoft.com/office/drawing/2014/main" id="{00000000-0008-0000-3300-0000AE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2</xdr:col>
      <xdr:colOff>0</xdr:colOff>
      <xdr:row>595</xdr:row>
      <xdr:rowOff>0</xdr:rowOff>
    </xdr:from>
    <xdr:to>
      <xdr:col>2</xdr:col>
      <xdr:colOff>0</xdr:colOff>
      <xdr:row>622</xdr:row>
      <xdr:rowOff>0</xdr:rowOff>
    </xdr:to>
    <xdr:sp macro="" textlink="">
      <xdr:nvSpPr>
        <xdr:cNvPr id="175" name="Rectangle 108">
          <a:extLst>
            <a:ext uri="{FF2B5EF4-FFF2-40B4-BE49-F238E27FC236}">
              <a16:creationId xmlns:a16="http://schemas.microsoft.com/office/drawing/2014/main" id="{00000000-0008-0000-3300-0000AF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6</xdr:col>
      <xdr:colOff>0</xdr:colOff>
      <xdr:row>565</xdr:row>
      <xdr:rowOff>0</xdr:rowOff>
    </xdr:from>
    <xdr:to>
      <xdr:col>6</xdr:col>
      <xdr:colOff>0</xdr:colOff>
      <xdr:row>581</xdr:row>
      <xdr:rowOff>0</xdr:rowOff>
    </xdr:to>
    <xdr:sp macro="" textlink="">
      <xdr:nvSpPr>
        <xdr:cNvPr id="176" name="Rectangle 107">
          <a:extLst>
            <a:ext uri="{FF2B5EF4-FFF2-40B4-BE49-F238E27FC236}">
              <a16:creationId xmlns:a16="http://schemas.microsoft.com/office/drawing/2014/main" id="{00000000-0008-0000-3300-0000B0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565</xdr:row>
      <xdr:rowOff>0</xdr:rowOff>
    </xdr:from>
    <xdr:to>
      <xdr:col>6</xdr:col>
      <xdr:colOff>0</xdr:colOff>
      <xdr:row>581</xdr:row>
      <xdr:rowOff>0</xdr:rowOff>
    </xdr:to>
    <xdr:sp macro="" textlink="">
      <xdr:nvSpPr>
        <xdr:cNvPr id="177" name="Rectangle 108">
          <a:extLst>
            <a:ext uri="{FF2B5EF4-FFF2-40B4-BE49-F238E27FC236}">
              <a16:creationId xmlns:a16="http://schemas.microsoft.com/office/drawing/2014/main" id="{00000000-0008-0000-3300-0000B1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567</xdr:row>
      <xdr:rowOff>0</xdr:rowOff>
    </xdr:from>
    <xdr:to>
      <xdr:col>6</xdr:col>
      <xdr:colOff>0</xdr:colOff>
      <xdr:row>581</xdr:row>
      <xdr:rowOff>0</xdr:rowOff>
    </xdr:to>
    <xdr:sp macro="" textlink="">
      <xdr:nvSpPr>
        <xdr:cNvPr id="178" name="Rectangle 107">
          <a:extLst>
            <a:ext uri="{FF2B5EF4-FFF2-40B4-BE49-F238E27FC236}">
              <a16:creationId xmlns:a16="http://schemas.microsoft.com/office/drawing/2014/main" id="{00000000-0008-0000-3300-0000B2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6</xdr:col>
      <xdr:colOff>0</xdr:colOff>
      <xdr:row>567</xdr:row>
      <xdr:rowOff>0</xdr:rowOff>
    </xdr:from>
    <xdr:to>
      <xdr:col>6</xdr:col>
      <xdr:colOff>0</xdr:colOff>
      <xdr:row>581</xdr:row>
      <xdr:rowOff>0</xdr:rowOff>
    </xdr:to>
    <xdr:sp macro="" textlink="">
      <xdr:nvSpPr>
        <xdr:cNvPr id="179" name="Rectangle 108">
          <a:extLst>
            <a:ext uri="{FF2B5EF4-FFF2-40B4-BE49-F238E27FC236}">
              <a16:creationId xmlns:a16="http://schemas.microsoft.com/office/drawing/2014/main" id="{00000000-0008-0000-3300-0000B3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2</xdr:col>
      <xdr:colOff>0</xdr:colOff>
      <xdr:row>595</xdr:row>
      <xdr:rowOff>0</xdr:rowOff>
    </xdr:from>
    <xdr:to>
      <xdr:col>2</xdr:col>
      <xdr:colOff>0</xdr:colOff>
      <xdr:row>628</xdr:row>
      <xdr:rowOff>0</xdr:rowOff>
    </xdr:to>
    <xdr:sp macro="" textlink="">
      <xdr:nvSpPr>
        <xdr:cNvPr id="180" name="Rectangle 107">
          <a:extLst>
            <a:ext uri="{FF2B5EF4-FFF2-40B4-BE49-F238E27FC236}">
              <a16:creationId xmlns:a16="http://schemas.microsoft.com/office/drawing/2014/main" id="{00000000-0008-0000-3300-0000B4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2</xdr:col>
      <xdr:colOff>0</xdr:colOff>
      <xdr:row>595</xdr:row>
      <xdr:rowOff>0</xdr:rowOff>
    </xdr:from>
    <xdr:to>
      <xdr:col>2</xdr:col>
      <xdr:colOff>0</xdr:colOff>
      <xdr:row>628</xdr:row>
      <xdr:rowOff>0</xdr:rowOff>
    </xdr:to>
    <xdr:sp macro="" textlink="">
      <xdr:nvSpPr>
        <xdr:cNvPr id="181" name="Rectangle 108">
          <a:extLst>
            <a:ext uri="{FF2B5EF4-FFF2-40B4-BE49-F238E27FC236}">
              <a16:creationId xmlns:a16="http://schemas.microsoft.com/office/drawing/2014/main" id="{00000000-0008-0000-3300-0000B5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6</xdr:col>
      <xdr:colOff>0</xdr:colOff>
      <xdr:row>565</xdr:row>
      <xdr:rowOff>0</xdr:rowOff>
    </xdr:from>
    <xdr:to>
      <xdr:col>6</xdr:col>
      <xdr:colOff>0</xdr:colOff>
      <xdr:row>579</xdr:row>
      <xdr:rowOff>0</xdr:rowOff>
    </xdr:to>
    <xdr:sp macro="" textlink="">
      <xdr:nvSpPr>
        <xdr:cNvPr id="182" name="Rectangle 107">
          <a:extLst>
            <a:ext uri="{FF2B5EF4-FFF2-40B4-BE49-F238E27FC236}">
              <a16:creationId xmlns:a16="http://schemas.microsoft.com/office/drawing/2014/main" id="{00000000-0008-0000-3300-0000B6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6</xdr:col>
      <xdr:colOff>0</xdr:colOff>
      <xdr:row>565</xdr:row>
      <xdr:rowOff>0</xdr:rowOff>
    </xdr:from>
    <xdr:to>
      <xdr:col>6</xdr:col>
      <xdr:colOff>0</xdr:colOff>
      <xdr:row>579</xdr:row>
      <xdr:rowOff>0</xdr:rowOff>
    </xdr:to>
    <xdr:sp macro="" textlink="">
      <xdr:nvSpPr>
        <xdr:cNvPr id="183" name="Rectangle 108">
          <a:extLst>
            <a:ext uri="{FF2B5EF4-FFF2-40B4-BE49-F238E27FC236}">
              <a16:creationId xmlns:a16="http://schemas.microsoft.com/office/drawing/2014/main" id="{00000000-0008-0000-3300-0000B7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2</xdr:col>
      <xdr:colOff>0</xdr:colOff>
      <xdr:row>637</xdr:row>
      <xdr:rowOff>0</xdr:rowOff>
    </xdr:from>
    <xdr:to>
      <xdr:col>2</xdr:col>
      <xdr:colOff>0</xdr:colOff>
      <xdr:row>655</xdr:row>
      <xdr:rowOff>0</xdr:rowOff>
    </xdr:to>
    <xdr:sp macro="" textlink="">
      <xdr:nvSpPr>
        <xdr:cNvPr id="184" name="Rectangle 107">
          <a:extLst>
            <a:ext uri="{FF2B5EF4-FFF2-40B4-BE49-F238E27FC236}">
              <a16:creationId xmlns:a16="http://schemas.microsoft.com/office/drawing/2014/main" id="{00000000-0008-0000-3300-0000B8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637</xdr:row>
      <xdr:rowOff>0</xdr:rowOff>
    </xdr:from>
    <xdr:to>
      <xdr:col>2</xdr:col>
      <xdr:colOff>0</xdr:colOff>
      <xdr:row>655</xdr:row>
      <xdr:rowOff>0</xdr:rowOff>
    </xdr:to>
    <xdr:sp macro="" textlink="">
      <xdr:nvSpPr>
        <xdr:cNvPr id="185" name="Rectangle 108">
          <a:extLst>
            <a:ext uri="{FF2B5EF4-FFF2-40B4-BE49-F238E27FC236}">
              <a16:creationId xmlns:a16="http://schemas.microsoft.com/office/drawing/2014/main" id="{00000000-0008-0000-3300-0000B9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671</xdr:row>
      <xdr:rowOff>0</xdr:rowOff>
    </xdr:from>
    <xdr:to>
      <xdr:col>2</xdr:col>
      <xdr:colOff>0</xdr:colOff>
      <xdr:row>690</xdr:row>
      <xdr:rowOff>0</xdr:rowOff>
    </xdr:to>
    <xdr:sp macro="" textlink="">
      <xdr:nvSpPr>
        <xdr:cNvPr id="186" name="Rectangle 107">
          <a:extLst>
            <a:ext uri="{FF2B5EF4-FFF2-40B4-BE49-F238E27FC236}">
              <a16:creationId xmlns:a16="http://schemas.microsoft.com/office/drawing/2014/main" id="{00000000-0008-0000-3300-0000BA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2</xdr:col>
      <xdr:colOff>0</xdr:colOff>
      <xdr:row>671</xdr:row>
      <xdr:rowOff>0</xdr:rowOff>
    </xdr:from>
    <xdr:to>
      <xdr:col>2</xdr:col>
      <xdr:colOff>0</xdr:colOff>
      <xdr:row>690</xdr:row>
      <xdr:rowOff>0</xdr:rowOff>
    </xdr:to>
    <xdr:sp macro="" textlink="">
      <xdr:nvSpPr>
        <xdr:cNvPr id="187" name="Rectangle 108">
          <a:extLst>
            <a:ext uri="{FF2B5EF4-FFF2-40B4-BE49-F238E27FC236}">
              <a16:creationId xmlns:a16="http://schemas.microsoft.com/office/drawing/2014/main" id="{00000000-0008-0000-3300-0000BB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6</xdr:col>
      <xdr:colOff>0</xdr:colOff>
      <xdr:row>638</xdr:row>
      <xdr:rowOff>0</xdr:rowOff>
    </xdr:from>
    <xdr:to>
      <xdr:col>6</xdr:col>
      <xdr:colOff>0</xdr:colOff>
      <xdr:row>643</xdr:row>
      <xdr:rowOff>0</xdr:rowOff>
    </xdr:to>
    <xdr:sp macro="" textlink="">
      <xdr:nvSpPr>
        <xdr:cNvPr id="188" name="Rectangle 107">
          <a:extLst>
            <a:ext uri="{FF2B5EF4-FFF2-40B4-BE49-F238E27FC236}">
              <a16:creationId xmlns:a16="http://schemas.microsoft.com/office/drawing/2014/main" id="{00000000-0008-0000-3300-0000BC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638</xdr:row>
      <xdr:rowOff>0</xdr:rowOff>
    </xdr:from>
    <xdr:to>
      <xdr:col>6</xdr:col>
      <xdr:colOff>0</xdr:colOff>
      <xdr:row>643</xdr:row>
      <xdr:rowOff>0</xdr:rowOff>
    </xdr:to>
    <xdr:sp macro="" textlink="">
      <xdr:nvSpPr>
        <xdr:cNvPr id="189" name="Rectangle 108">
          <a:extLst>
            <a:ext uri="{FF2B5EF4-FFF2-40B4-BE49-F238E27FC236}">
              <a16:creationId xmlns:a16="http://schemas.microsoft.com/office/drawing/2014/main" id="{00000000-0008-0000-3300-0000BD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639</xdr:row>
      <xdr:rowOff>0</xdr:rowOff>
    </xdr:from>
    <xdr:to>
      <xdr:col>6</xdr:col>
      <xdr:colOff>0</xdr:colOff>
      <xdr:row>643</xdr:row>
      <xdr:rowOff>0</xdr:rowOff>
    </xdr:to>
    <xdr:sp macro="" textlink="">
      <xdr:nvSpPr>
        <xdr:cNvPr id="190" name="Rectangle 107">
          <a:extLst>
            <a:ext uri="{FF2B5EF4-FFF2-40B4-BE49-F238E27FC236}">
              <a16:creationId xmlns:a16="http://schemas.microsoft.com/office/drawing/2014/main" id="{00000000-0008-0000-3300-0000BE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6</xdr:col>
      <xdr:colOff>0</xdr:colOff>
      <xdr:row>639</xdr:row>
      <xdr:rowOff>0</xdr:rowOff>
    </xdr:from>
    <xdr:to>
      <xdr:col>6</xdr:col>
      <xdr:colOff>0</xdr:colOff>
      <xdr:row>643</xdr:row>
      <xdr:rowOff>0</xdr:rowOff>
    </xdr:to>
    <xdr:sp macro="" textlink="">
      <xdr:nvSpPr>
        <xdr:cNvPr id="191" name="Rectangle 108">
          <a:extLst>
            <a:ext uri="{FF2B5EF4-FFF2-40B4-BE49-F238E27FC236}">
              <a16:creationId xmlns:a16="http://schemas.microsoft.com/office/drawing/2014/main" id="{00000000-0008-0000-3300-0000BF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2</xdr:col>
      <xdr:colOff>0</xdr:colOff>
      <xdr:row>637</xdr:row>
      <xdr:rowOff>0</xdr:rowOff>
    </xdr:from>
    <xdr:to>
      <xdr:col>2</xdr:col>
      <xdr:colOff>0</xdr:colOff>
      <xdr:row>660</xdr:row>
      <xdr:rowOff>0</xdr:rowOff>
    </xdr:to>
    <xdr:sp macro="" textlink="">
      <xdr:nvSpPr>
        <xdr:cNvPr id="192" name="Rectangle 107">
          <a:extLst>
            <a:ext uri="{FF2B5EF4-FFF2-40B4-BE49-F238E27FC236}">
              <a16:creationId xmlns:a16="http://schemas.microsoft.com/office/drawing/2014/main" id="{00000000-0008-0000-3300-0000C0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637</xdr:row>
      <xdr:rowOff>0</xdr:rowOff>
    </xdr:from>
    <xdr:to>
      <xdr:col>2</xdr:col>
      <xdr:colOff>0</xdr:colOff>
      <xdr:row>660</xdr:row>
      <xdr:rowOff>0</xdr:rowOff>
    </xdr:to>
    <xdr:sp macro="" textlink="">
      <xdr:nvSpPr>
        <xdr:cNvPr id="193" name="Rectangle 108">
          <a:extLst>
            <a:ext uri="{FF2B5EF4-FFF2-40B4-BE49-F238E27FC236}">
              <a16:creationId xmlns:a16="http://schemas.microsoft.com/office/drawing/2014/main" id="{00000000-0008-0000-3300-0000C1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671</xdr:row>
      <xdr:rowOff>0</xdr:rowOff>
    </xdr:from>
    <xdr:to>
      <xdr:col>2</xdr:col>
      <xdr:colOff>0</xdr:colOff>
      <xdr:row>698</xdr:row>
      <xdr:rowOff>0</xdr:rowOff>
    </xdr:to>
    <xdr:sp macro="" textlink="">
      <xdr:nvSpPr>
        <xdr:cNvPr id="194" name="Rectangle 107">
          <a:extLst>
            <a:ext uri="{FF2B5EF4-FFF2-40B4-BE49-F238E27FC236}">
              <a16:creationId xmlns:a16="http://schemas.microsoft.com/office/drawing/2014/main" id="{00000000-0008-0000-3300-0000C2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2</xdr:col>
      <xdr:colOff>0</xdr:colOff>
      <xdr:row>671</xdr:row>
      <xdr:rowOff>0</xdr:rowOff>
    </xdr:from>
    <xdr:to>
      <xdr:col>2</xdr:col>
      <xdr:colOff>0</xdr:colOff>
      <xdr:row>698</xdr:row>
      <xdr:rowOff>0</xdr:rowOff>
    </xdr:to>
    <xdr:sp macro="" textlink="">
      <xdr:nvSpPr>
        <xdr:cNvPr id="195" name="Rectangle 108">
          <a:extLst>
            <a:ext uri="{FF2B5EF4-FFF2-40B4-BE49-F238E27FC236}">
              <a16:creationId xmlns:a16="http://schemas.microsoft.com/office/drawing/2014/main" id="{00000000-0008-0000-3300-0000C3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6</xdr:col>
      <xdr:colOff>0</xdr:colOff>
      <xdr:row>637</xdr:row>
      <xdr:rowOff>0</xdr:rowOff>
    </xdr:from>
    <xdr:to>
      <xdr:col>6</xdr:col>
      <xdr:colOff>0</xdr:colOff>
      <xdr:row>661</xdr:row>
      <xdr:rowOff>0</xdr:rowOff>
    </xdr:to>
    <xdr:sp macro="" textlink="">
      <xdr:nvSpPr>
        <xdr:cNvPr id="196" name="Rectangle 107">
          <a:extLst>
            <a:ext uri="{FF2B5EF4-FFF2-40B4-BE49-F238E27FC236}">
              <a16:creationId xmlns:a16="http://schemas.microsoft.com/office/drawing/2014/main" id="{00000000-0008-0000-3300-0000C4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637</xdr:row>
      <xdr:rowOff>0</xdr:rowOff>
    </xdr:from>
    <xdr:to>
      <xdr:col>6</xdr:col>
      <xdr:colOff>0</xdr:colOff>
      <xdr:row>661</xdr:row>
      <xdr:rowOff>0</xdr:rowOff>
    </xdr:to>
    <xdr:sp macro="" textlink="">
      <xdr:nvSpPr>
        <xdr:cNvPr id="197" name="Rectangle 108">
          <a:extLst>
            <a:ext uri="{FF2B5EF4-FFF2-40B4-BE49-F238E27FC236}">
              <a16:creationId xmlns:a16="http://schemas.microsoft.com/office/drawing/2014/main" id="{00000000-0008-0000-3300-0000C5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639</xdr:row>
      <xdr:rowOff>0</xdr:rowOff>
    </xdr:from>
    <xdr:to>
      <xdr:col>6</xdr:col>
      <xdr:colOff>0</xdr:colOff>
      <xdr:row>663</xdr:row>
      <xdr:rowOff>0</xdr:rowOff>
    </xdr:to>
    <xdr:sp macro="" textlink="">
      <xdr:nvSpPr>
        <xdr:cNvPr id="198" name="Rectangle 107">
          <a:extLst>
            <a:ext uri="{FF2B5EF4-FFF2-40B4-BE49-F238E27FC236}">
              <a16:creationId xmlns:a16="http://schemas.microsoft.com/office/drawing/2014/main" id="{00000000-0008-0000-3300-0000C6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6</xdr:col>
      <xdr:colOff>0</xdr:colOff>
      <xdr:row>639</xdr:row>
      <xdr:rowOff>0</xdr:rowOff>
    </xdr:from>
    <xdr:to>
      <xdr:col>6</xdr:col>
      <xdr:colOff>0</xdr:colOff>
      <xdr:row>663</xdr:row>
      <xdr:rowOff>0</xdr:rowOff>
    </xdr:to>
    <xdr:sp macro="" textlink="">
      <xdr:nvSpPr>
        <xdr:cNvPr id="199" name="Rectangle 108">
          <a:extLst>
            <a:ext uri="{FF2B5EF4-FFF2-40B4-BE49-F238E27FC236}">
              <a16:creationId xmlns:a16="http://schemas.microsoft.com/office/drawing/2014/main" id="{00000000-0008-0000-3300-0000C7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2</xdr:col>
      <xdr:colOff>0</xdr:colOff>
      <xdr:row>710</xdr:row>
      <xdr:rowOff>0</xdr:rowOff>
    </xdr:from>
    <xdr:to>
      <xdr:col>2</xdr:col>
      <xdr:colOff>0</xdr:colOff>
      <xdr:row>728</xdr:row>
      <xdr:rowOff>0</xdr:rowOff>
    </xdr:to>
    <xdr:sp macro="" textlink="">
      <xdr:nvSpPr>
        <xdr:cNvPr id="200" name="Rectangle 107">
          <a:extLst>
            <a:ext uri="{FF2B5EF4-FFF2-40B4-BE49-F238E27FC236}">
              <a16:creationId xmlns:a16="http://schemas.microsoft.com/office/drawing/2014/main" id="{00000000-0008-0000-3300-0000C8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710</xdr:row>
      <xdr:rowOff>0</xdr:rowOff>
    </xdr:from>
    <xdr:to>
      <xdr:col>2</xdr:col>
      <xdr:colOff>0</xdr:colOff>
      <xdr:row>728</xdr:row>
      <xdr:rowOff>0</xdr:rowOff>
    </xdr:to>
    <xdr:sp macro="" textlink="">
      <xdr:nvSpPr>
        <xdr:cNvPr id="201" name="Rectangle 108">
          <a:extLst>
            <a:ext uri="{FF2B5EF4-FFF2-40B4-BE49-F238E27FC236}">
              <a16:creationId xmlns:a16="http://schemas.microsoft.com/office/drawing/2014/main" id="{00000000-0008-0000-3300-0000C9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744</xdr:row>
      <xdr:rowOff>0</xdr:rowOff>
    </xdr:from>
    <xdr:to>
      <xdr:col>2</xdr:col>
      <xdr:colOff>0</xdr:colOff>
      <xdr:row>763</xdr:row>
      <xdr:rowOff>0</xdr:rowOff>
    </xdr:to>
    <xdr:sp macro="" textlink="">
      <xdr:nvSpPr>
        <xdr:cNvPr id="202" name="Rectangle 107">
          <a:extLst>
            <a:ext uri="{FF2B5EF4-FFF2-40B4-BE49-F238E27FC236}">
              <a16:creationId xmlns:a16="http://schemas.microsoft.com/office/drawing/2014/main" id="{00000000-0008-0000-3300-0000CA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2</xdr:col>
      <xdr:colOff>0</xdr:colOff>
      <xdr:row>744</xdr:row>
      <xdr:rowOff>0</xdr:rowOff>
    </xdr:from>
    <xdr:to>
      <xdr:col>2</xdr:col>
      <xdr:colOff>0</xdr:colOff>
      <xdr:row>763</xdr:row>
      <xdr:rowOff>0</xdr:rowOff>
    </xdr:to>
    <xdr:sp macro="" textlink="">
      <xdr:nvSpPr>
        <xdr:cNvPr id="203" name="Rectangle 108">
          <a:extLst>
            <a:ext uri="{FF2B5EF4-FFF2-40B4-BE49-F238E27FC236}">
              <a16:creationId xmlns:a16="http://schemas.microsoft.com/office/drawing/2014/main" id="{00000000-0008-0000-3300-0000CB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6</xdr:col>
      <xdr:colOff>0</xdr:colOff>
      <xdr:row>710</xdr:row>
      <xdr:rowOff>0</xdr:rowOff>
    </xdr:from>
    <xdr:to>
      <xdr:col>6</xdr:col>
      <xdr:colOff>0</xdr:colOff>
      <xdr:row>715</xdr:row>
      <xdr:rowOff>0</xdr:rowOff>
    </xdr:to>
    <xdr:sp macro="" textlink="">
      <xdr:nvSpPr>
        <xdr:cNvPr id="204" name="Rectangle 107">
          <a:extLst>
            <a:ext uri="{FF2B5EF4-FFF2-40B4-BE49-F238E27FC236}">
              <a16:creationId xmlns:a16="http://schemas.microsoft.com/office/drawing/2014/main" id="{00000000-0008-0000-3300-0000CC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710</xdr:row>
      <xdr:rowOff>0</xdr:rowOff>
    </xdr:from>
    <xdr:to>
      <xdr:col>6</xdr:col>
      <xdr:colOff>0</xdr:colOff>
      <xdr:row>715</xdr:row>
      <xdr:rowOff>0</xdr:rowOff>
    </xdr:to>
    <xdr:sp macro="" textlink="">
      <xdr:nvSpPr>
        <xdr:cNvPr id="205" name="Rectangle 108">
          <a:extLst>
            <a:ext uri="{FF2B5EF4-FFF2-40B4-BE49-F238E27FC236}">
              <a16:creationId xmlns:a16="http://schemas.microsoft.com/office/drawing/2014/main" id="{00000000-0008-0000-3300-0000CD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711</xdr:row>
      <xdr:rowOff>0</xdr:rowOff>
    </xdr:from>
    <xdr:to>
      <xdr:col>6</xdr:col>
      <xdr:colOff>0</xdr:colOff>
      <xdr:row>715</xdr:row>
      <xdr:rowOff>0</xdr:rowOff>
    </xdr:to>
    <xdr:sp macro="" textlink="">
      <xdr:nvSpPr>
        <xdr:cNvPr id="206" name="Rectangle 107">
          <a:extLst>
            <a:ext uri="{FF2B5EF4-FFF2-40B4-BE49-F238E27FC236}">
              <a16:creationId xmlns:a16="http://schemas.microsoft.com/office/drawing/2014/main" id="{00000000-0008-0000-3300-0000CE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6</xdr:col>
      <xdr:colOff>0</xdr:colOff>
      <xdr:row>711</xdr:row>
      <xdr:rowOff>0</xdr:rowOff>
    </xdr:from>
    <xdr:to>
      <xdr:col>6</xdr:col>
      <xdr:colOff>0</xdr:colOff>
      <xdr:row>715</xdr:row>
      <xdr:rowOff>0</xdr:rowOff>
    </xdr:to>
    <xdr:sp macro="" textlink="">
      <xdr:nvSpPr>
        <xdr:cNvPr id="207" name="Rectangle 108">
          <a:extLst>
            <a:ext uri="{FF2B5EF4-FFF2-40B4-BE49-F238E27FC236}">
              <a16:creationId xmlns:a16="http://schemas.microsoft.com/office/drawing/2014/main" id="{00000000-0008-0000-3300-0000CF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2</xdr:col>
      <xdr:colOff>0</xdr:colOff>
      <xdr:row>779</xdr:row>
      <xdr:rowOff>0</xdr:rowOff>
    </xdr:from>
    <xdr:to>
      <xdr:col>2</xdr:col>
      <xdr:colOff>0</xdr:colOff>
      <xdr:row>797</xdr:row>
      <xdr:rowOff>0</xdr:rowOff>
    </xdr:to>
    <xdr:sp macro="" textlink="">
      <xdr:nvSpPr>
        <xdr:cNvPr id="208" name="Rectangle 107">
          <a:extLst>
            <a:ext uri="{FF2B5EF4-FFF2-40B4-BE49-F238E27FC236}">
              <a16:creationId xmlns:a16="http://schemas.microsoft.com/office/drawing/2014/main" id="{00000000-0008-0000-3300-0000D0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2</xdr:col>
      <xdr:colOff>0</xdr:colOff>
      <xdr:row>779</xdr:row>
      <xdr:rowOff>0</xdr:rowOff>
    </xdr:from>
    <xdr:to>
      <xdr:col>2</xdr:col>
      <xdr:colOff>0</xdr:colOff>
      <xdr:row>797</xdr:row>
      <xdr:rowOff>0</xdr:rowOff>
    </xdr:to>
    <xdr:sp macro="" textlink="">
      <xdr:nvSpPr>
        <xdr:cNvPr id="209" name="Rectangle 108">
          <a:extLst>
            <a:ext uri="{FF2B5EF4-FFF2-40B4-BE49-F238E27FC236}">
              <a16:creationId xmlns:a16="http://schemas.microsoft.com/office/drawing/2014/main" id="{00000000-0008-0000-3300-0000D1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6</xdr:col>
      <xdr:colOff>0</xdr:colOff>
      <xdr:row>778</xdr:row>
      <xdr:rowOff>0</xdr:rowOff>
    </xdr:from>
    <xdr:to>
      <xdr:col>6</xdr:col>
      <xdr:colOff>0</xdr:colOff>
      <xdr:row>782</xdr:row>
      <xdr:rowOff>0</xdr:rowOff>
    </xdr:to>
    <xdr:sp macro="" textlink="">
      <xdr:nvSpPr>
        <xdr:cNvPr id="210" name="Rectangle 107">
          <a:extLst>
            <a:ext uri="{FF2B5EF4-FFF2-40B4-BE49-F238E27FC236}">
              <a16:creationId xmlns:a16="http://schemas.microsoft.com/office/drawing/2014/main" id="{00000000-0008-0000-3300-0000D2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6</xdr:col>
      <xdr:colOff>0</xdr:colOff>
      <xdr:row>778</xdr:row>
      <xdr:rowOff>0</xdr:rowOff>
    </xdr:from>
    <xdr:to>
      <xdr:col>6</xdr:col>
      <xdr:colOff>0</xdr:colOff>
      <xdr:row>782</xdr:row>
      <xdr:rowOff>0</xdr:rowOff>
    </xdr:to>
    <xdr:sp macro="" textlink="">
      <xdr:nvSpPr>
        <xdr:cNvPr id="211" name="Rectangle 108">
          <a:extLst>
            <a:ext uri="{FF2B5EF4-FFF2-40B4-BE49-F238E27FC236}">
              <a16:creationId xmlns:a16="http://schemas.microsoft.com/office/drawing/2014/main" id="{00000000-0008-0000-3300-0000D3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2</xdr:col>
      <xdr:colOff>0</xdr:colOff>
      <xdr:row>807</xdr:row>
      <xdr:rowOff>0</xdr:rowOff>
    </xdr:from>
    <xdr:to>
      <xdr:col>2</xdr:col>
      <xdr:colOff>0</xdr:colOff>
      <xdr:row>825</xdr:row>
      <xdr:rowOff>0</xdr:rowOff>
    </xdr:to>
    <xdr:sp macro="" textlink="">
      <xdr:nvSpPr>
        <xdr:cNvPr id="212" name="Rectangle 107">
          <a:extLst>
            <a:ext uri="{FF2B5EF4-FFF2-40B4-BE49-F238E27FC236}">
              <a16:creationId xmlns:a16="http://schemas.microsoft.com/office/drawing/2014/main" id="{00000000-0008-0000-3300-0000D4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2</xdr:col>
      <xdr:colOff>0</xdr:colOff>
      <xdr:row>807</xdr:row>
      <xdr:rowOff>0</xdr:rowOff>
    </xdr:from>
    <xdr:to>
      <xdr:col>2</xdr:col>
      <xdr:colOff>0</xdr:colOff>
      <xdr:row>825</xdr:row>
      <xdr:rowOff>0</xdr:rowOff>
    </xdr:to>
    <xdr:sp macro="" textlink="">
      <xdr:nvSpPr>
        <xdr:cNvPr id="213" name="Rectangle 108">
          <a:extLst>
            <a:ext uri="{FF2B5EF4-FFF2-40B4-BE49-F238E27FC236}">
              <a16:creationId xmlns:a16="http://schemas.microsoft.com/office/drawing/2014/main" id="{00000000-0008-0000-3300-0000D5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6</xdr:col>
      <xdr:colOff>0</xdr:colOff>
      <xdr:row>779</xdr:row>
      <xdr:rowOff>0</xdr:rowOff>
    </xdr:from>
    <xdr:to>
      <xdr:col>6</xdr:col>
      <xdr:colOff>0</xdr:colOff>
      <xdr:row>782</xdr:row>
      <xdr:rowOff>0</xdr:rowOff>
    </xdr:to>
    <xdr:sp macro="" textlink="">
      <xdr:nvSpPr>
        <xdr:cNvPr id="214" name="Rectangle 107">
          <a:extLst>
            <a:ext uri="{FF2B5EF4-FFF2-40B4-BE49-F238E27FC236}">
              <a16:creationId xmlns:a16="http://schemas.microsoft.com/office/drawing/2014/main" id="{00000000-0008-0000-3300-0000D6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6</xdr:col>
      <xdr:colOff>0</xdr:colOff>
      <xdr:row>779</xdr:row>
      <xdr:rowOff>0</xdr:rowOff>
    </xdr:from>
    <xdr:to>
      <xdr:col>6</xdr:col>
      <xdr:colOff>0</xdr:colOff>
      <xdr:row>782</xdr:row>
      <xdr:rowOff>0</xdr:rowOff>
    </xdr:to>
    <xdr:sp macro="" textlink="">
      <xdr:nvSpPr>
        <xdr:cNvPr id="215" name="Rectangle 108">
          <a:extLst>
            <a:ext uri="{FF2B5EF4-FFF2-40B4-BE49-F238E27FC236}">
              <a16:creationId xmlns:a16="http://schemas.microsoft.com/office/drawing/2014/main" id="{00000000-0008-0000-3300-0000D7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2</xdr:col>
      <xdr:colOff>0</xdr:colOff>
      <xdr:row>304</xdr:row>
      <xdr:rowOff>0</xdr:rowOff>
    </xdr:from>
    <xdr:to>
      <xdr:col>2</xdr:col>
      <xdr:colOff>0</xdr:colOff>
      <xdr:row>317</xdr:row>
      <xdr:rowOff>0</xdr:rowOff>
    </xdr:to>
    <xdr:sp macro="" textlink="">
      <xdr:nvSpPr>
        <xdr:cNvPr id="216" name="Rectangle 107">
          <a:extLst>
            <a:ext uri="{FF2B5EF4-FFF2-40B4-BE49-F238E27FC236}">
              <a16:creationId xmlns:a16="http://schemas.microsoft.com/office/drawing/2014/main" id="{00000000-0008-0000-3300-0000D8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304</xdr:row>
      <xdr:rowOff>0</xdr:rowOff>
    </xdr:from>
    <xdr:to>
      <xdr:col>2</xdr:col>
      <xdr:colOff>0</xdr:colOff>
      <xdr:row>317</xdr:row>
      <xdr:rowOff>0</xdr:rowOff>
    </xdr:to>
    <xdr:sp macro="" textlink="">
      <xdr:nvSpPr>
        <xdr:cNvPr id="217" name="Rectangle 108">
          <a:extLst>
            <a:ext uri="{FF2B5EF4-FFF2-40B4-BE49-F238E27FC236}">
              <a16:creationId xmlns:a16="http://schemas.microsoft.com/office/drawing/2014/main" id="{00000000-0008-0000-3300-0000D9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332</xdr:row>
      <xdr:rowOff>0</xdr:rowOff>
    </xdr:from>
    <xdr:to>
      <xdr:col>2</xdr:col>
      <xdr:colOff>0</xdr:colOff>
      <xdr:row>349</xdr:row>
      <xdr:rowOff>0</xdr:rowOff>
    </xdr:to>
    <xdr:sp macro="" textlink="">
      <xdr:nvSpPr>
        <xdr:cNvPr id="218" name="Rectangle 107">
          <a:extLst>
            <a:ext uri="{FF2B5EF4-FFF2-40B4-BE49-F238E27FC236}">
              <a16:creationId xmlns:a16="http://schemas.microsoft.com/office/drawing/2014/main" id="{00000000-0008-0000-3300-0000DA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332</xdr:row>
      <xdr:rowOff>0</xdr:rowOff>
    </xdr:from>
    <xdr:to>
      <xdr:col>2</xdr:col>
      <xdr:colOff>0</xdr:colOff>
      <xdr:row>349</xdr:row>
      <xdr:rowOff>0</xdr:rowOff>
    </xdr:to>
    <xdr:sp macro="" textlink="">
      <xdr:nvSpPr>
        <xdr:cNvPr id="219" name="Rectangle 108">
          <a:extLst>
            <a:ext uri="{FF2B5EF4-FFF2-40B4-BE49-F238E27FC236}">
              <a16:creationId xmlns:a16="http://schemas.microsoft.com/office/drawing/2014/main" id="{00000000-0008-0000-3300-0000DB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303</xdr:row>
      <xdr:rowOff>0</xdr:rowOff>
    </xdr:from>
    <xdr:to>
      <xdr:col>6</xdr:col>
      <xdr:colOff>0</xdr:colOff>
      <xdr:row>307</xdr:row>
      <xdr:rowOff>0</xdr:rowOff>
    </xdr:to>
    <xdr:sp macro="" textlink="">
      <xdr:nvSpPr>
        <xdr:cNvPr id="220" name="Rectangle 107">
          <a:extLst>
            <a:ext uri="{FF2B5EF4-FFF2-40B4-BE49-F238E27FC236}">
              <a16:creationId xmlns:a16="http://schemas.microsoft.com/office/drawing/2014/main" id="{00000000-0008-0000-3300-0000DC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303</xdr:row>
      <xdr:rowOff>0</xdr:rowOff>
    </xdr:from>
    <xdr:to>
      <xdr:col>6</xdr:col>
      <xdr:colOff>0</xdr:colOff>
      <xdr:row>307</xdr:row>
      <xdr:rowOff>0</xdr:rowOff>
    </xdr:to>
    <xdr:sp macro="" textlink="">
      <xdr:nvSpPr>
        <xdr:cNvPr id="221" name="Rectangle 108">
          <a:extLst>
            <a:ext uri="{FF2B5EF4-FFF2-40B4-BE49-F238E27FC236}">
              <a16:creationId xmlns:a16="http://schemas.microsoft.com/office/drawing/2014/main" id="{00000000-0008-0000-3300-0000DD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304</xdr:row>
      <xdr:rowOff>0</xdr:rowOff>
    </xdr:from>
    <xdr:to>
      <xdr:col>6</xdr:col>
      <xdr:colOff>0</xdr:colOff>
      <xdr:row>307</xdr:row>
      <xdr:rowOff>0</xdr:rowOff>
    </xdr:to>
    <xdr:sp macro="" textlink="">
      <xdr:nvSpPr>
        <xdr:cNvPr id="222" name="Rectangle 107">
          <a:extLst>
            <a:ext uri="{FF2B5EF4-FFF2-40B4-BE49-F238E27FC236}">
              <a16:creationId xmlns:a16="http://schemas.microsoft.com/office/drawing/2014/main" id="{00000000-0008-0000-3300-0000DE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304</xdr:row>
      <xdr:rowOff>0</xdr:rowOff>
    </xdr:from>
    <xdr:to>
      <xdr:col>6</xdr:col>
      <xdr:colOff>0</xdr:colOff>
      <xdr:row>307</xdr:row>
      <xdr:rowOff>0</xdr:rowOff>
    </xdr:to>
    <xdr:sp macro="" textlink="">
      <xdr:nvSpPr>
        <xdr:cNvPr id="223" name="Rectangle 108">
          <a:extLst>
            <a:ext uri="{FF2B5EF4-FFF2-40B4-BE49-F238E27FC236}">
              <a16:creationId xmlns:a16="http://schemas.microsoft.com/office/drawing/2014/main" id="{00000000-0008-0000-3300-0000DF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245</xdr:row>
      <xdr:rowOff>0</xdr:rowOff>
    </xdr:from>
    <xdr:to>
      <xdr:col>2</xdr:col>
      <xdr:colOff>0</xdr:colOff>
      <xdr:row>258</xdr:row>
      <xdr:rowOff>0</xdr:rowOff>
    </xdr:to>
    <xdr:sp macro="" textlink="">
      <xdr:nvSpPr>
        <xdr:cNvPr id="248" name="Rectangle 107">
          <a:extLst>
            <a:ext uri="{FF2B5EF4-FFF2-40B4-BE49-F238E27FC236}">
              <a16:creationId xmlns:a16="http://schemas.microsoft.com/office/drawing/2014/main" id="{00000000-0008-0000-3300-0000F8000000}"/>
            </a:ext>
          </a:extLst>
        </xdr:cNvPr>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245</xdr:row>
      <xdr:rowOff>0</xdr:rowOff>
    </xdr:from>
    <xdr:to>
      <xdr:col>2</xdr:col>
      <xdr:colOff>0</xdr:colOff>
      <xdr:row>258</xdr:row>
      <xdr:rowOff>0</xdr:rowOff>
    </xdr:to>
    <xdr:sp macro="" textlink="">
      <xdr:nvSpPr>
        <xdr:cNvPr id="249" name="Rectangle 108">
          <a:extLst>
            <a:ext uri="{FF2B5EF4-FFF2-40B4-BE49-F238E27FC236}">
              <a16:creationId xmlns:a16="http://schemas.microsoft.com/office/drawing/2014/main" id="{00000000-0008-0000-3300-0000F9000000}"/>
            </a:ext>
          </a:extLst>
        </xdr:cNvPr>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272</xdr:row>
      <xdr:rowOff>0</xdr:rowOff>
    </xdr:from>
    <xdr:to>
      <xdr:col>2</xdr:col>
      <xdr:colOff>0</xdr:colOff>
      <xdr:row>289</xdr:row>
      <xdr:rowOff>0</xdr:rowOff>
    </xdr:to>
    <xdr:sp macro="" textlink="">
      <xdr:nvSpPr>
        <xdr:cNvPr id="250" name="Rectangle 107">
          <a:extLst>
            <a:ext uri="{FF2B5EF4-FFF2-40B4-BE49-F238E27FC236}">
              <a16:creationId xmlns:a16="http://schemas.microsoft.com/office/drawing/2014/main" id="{00000000-0008-0000-3300-0000FA000000}"/>
            </a:ext>
          </a:extLst>
        </xdr:cNvPr>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272</xdr:row>
      <xdr:rowOff>0</xdr:rowOff>
    </xdr:from>
    <xdr:to>
      <xdr:col>2</xdr:col>
      <xdr:colOff>0</xdr:colOff>
      <xdr:row>289</xdr:row>
      <xdr:rowOff>0</xdr:rowOff>
    </xdr:to>
    <xdr:sp macro="" textlink="">
      <xdr:nvSpPr>
        <xdr:cNvPr id="251" name="Rectangle 108">
          <a:extLst>
            <a:ext uri="{FF2B5EF4-FFF2-40B4-BE49-F238E27FC236}">
              <a16:creationId xmlns:a16="http://schemas.microsoft.com/office/drawing/2014/main" id="{00000000-0008-0000-3300-0000FB000000}"/>
            </a:ext>
          </a:extLst>
        </xdr:cNvPr>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245</xdr:row>
      <xdr:rowOff>0</xdr:rowOff>
    </xdr:from>
    <xdr:to>
      <xdr:col>6</xdr:col>
      <xdr:colOff>0</xdr:colOff>
      <xdr:row>249</xdr:row>
      <xdr:rowOff>0</xdr:rowOff>
    </xdr:to>
    <xdr:sp macro="" textlink="">
      <xdr:nvSpPr>
        <xdr:cNvPr id="252" name="Rectangle 107">
          <a:extLst>
            <a:ext uri="{FF2B5EF4-FFF2-40B4-BE49-F238E27FC236}">
              <a16:creationId xmlns:a16="http://schemas.microsoft.com/office/drawing/2014/main" id="{00000000-0008-0000-3300-0000FC000000}"/>
            </a:ext>
          </a:extLst>
        </xdr:cNvPr>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245</xdr:row>
      <xdr:rowOff>0</xdr:rowOff>
    </xdr:from>
    <xdr:to>
      <xdr:col>6</xdr:col>
      <xdr:colOff>0</xdr:colOff>
      <xdr:row>249</xdr:row>
      <xdr:rowOff>0</xdr:rowOff>
    </xdr:to>
    <xdr:sp macro="" textlink="">
      <xdr:nvSpPr>
        <xdr:cNvPr id="253" name="Rectangle 108">
          <a:extLst>
            <a:ext uri="{FF2B5EF4-FFF2-40B4-BE49-F238E27FC236}">
              <a16:creationId xmlns:a16="http://schemas.microsoft.com/office/drawing/2014/main" id="{00000000-0008-0000-3300-0000FD000000}"/>
            </a:ext>
          </a:extLst>
        </xdr:cNvPr>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246</xdr:row>
      <xdr:rowOff>0</xdr:rowOff>
    </xdr:from>
    <xdr:to>
      <xdr:col>6</xdr:col>
      <xdr:colOff>0</xdr:colOff>
      <xdr:row>249</xdr:row>
      <xdr:rowOff>0</xdr:rowOff>
    </xdr:to>
    <xdr:sp macro="" textlink="">
      <xdr:nvSpPr>
        <xdr:cNvPr id="254" name="Rectangle 107">
          <a:extLst>
            <a:ext uri="{FF2B5EF4-FFF2-40B4-BE49-F238E27FC236}">
              <a16:creationId xmlns:a16="http://schemas.microsoft.com/office/drawing/2014/main" id="{00000000-0008-0000-3300-0000FE000000}"/>
            </a:ext>
          </a:extLst>
        </xdr:cNvPr>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246</xdr:row>
      <xdr:rowOff>0</xdr:rowOff>
    </xdr:from>
    <xdr:to>
      <xdr:col>6</xdr:col>
      <xdr:colOff>0</xdr:colOff>
      <xdr:row>249</xdr:row>
      <xdr:rowOff>0</xdr:rowOff>
    </xdr:to>
    <xdr:sp macro="" textlink="">
      <xdr:nvSpPr>
        <xdr:cNvPr id="255" name="Rectangle 108">
          <a:extLst>
            <a:ext uri="{FF2B5EF4-FFF2-40B4-BE49-F238E27FC236}">
              <a16:creationId xmlns:a16="http://schemas.microsoft.com/office/drawing/2014/main" id="{00000000-0008-0000-3300-0000FF000000}"/>
            </a:ext>
          </a:extLst>
        </xdr:cNvPr>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188</xdr:row>
      <xdr:rowOff>0</xdr:rowOff>
    </xdr:from>
    <xdr:to>
      <xdr:col>2</xdr:col>
      <xdr:colOff>0</xdr:colOff>
      <xdr:row>201</xdr:row>
      <xdr:rowOff>0</xdr:rowOff>
    </xdr:to>
    <xdr:sp macro="" textlink="">
      <xdr:nvSpPr>
        <xdr:cNvPr id="238" name="Rectangle 107">
          <a:extLst>
            <a:ext uri="{FF2B5EF4-FFF2-40B4-BE49-F238E27FC236}">
              <a16:creationId xmlns:a16="http://schemas.microsoft.com/office/drawing/2014/main" id="{00000000-0008-0000-3300-0000EE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188</xdr:row>
      <xdr:rowOff>0</xdr:rowOff>
    </xdr:from>
    <xdr:to>
      <xdr:col>2</xdr:col>
      <xdr:colOff>0</xdr:colOff>
      <xdr:row>201</xdr:row>
      <xdr:rowOff>0</xdr:rowOff>
    </xdr:to>
    <xdr:sp macro="" textlink="">
      <xdr:nvSpPr>
        <xdr:cNvPr id="239" name="Rectangle 108">
          <a:extLst>
            <a:ext uri="{FF2B5EF4-FFF2-40B4-BE49-F238E27FC236}">
              <a16:creationId xmlns:a16="http://schemas.microsoft.com/office/drawing/2014/main" id="{00000000-0008-0000-3300-0000EF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215</xdr:row>
      <xdr:rowOff>0</xdr:rowOff>
    </xdr:from>
    <xdr:to>
      <xdr:col>2</xdr:col>
      <xdr:colOff>0</xdr:colOff>
      <xdr:row>231</xdr:row>
      <xdr:rowOff>0</xdr:rowOff>
    </xdr:to>
    <xdr:sp macro="" textlink="">
      <xdr:nvSpPr>
        <xdr:cNvPr id="240" name="Rectangle 107">
          <a:extLst>
            <a:ext uri="{FF2B5EF4-FFF2-40B4-BE49-F238E27FC236}">
              <a16:creationId xmlns:a16="http://schemas.microsoft.com/office/drawing/2014/main" id="{00000000-0008-0000-3300-0000F0000000}"/>
            </a:ext>
          </a:extLst>
        </xdr:cNvPr>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215</xdr:row>
      <xdr:rowOff>0</xdr:rowOff>
    </xdr:from>
    <xdr:to>
      <xdr:col>2</xdr:col>
      <xdr:colOff>0</xdr:colOff>
      <xdr:row>231</xdr:row>
      <xdr:rowOff>0</xdr:rowOff>
    </xdr:to>
    <xdr:sp macro="" textlink="">
      <xdr:nvSpPr>
        <xdr:cNvPr id="241" name="Rectangle 108">
          <a:extLst>
            <a:ext uri="{FF2B5EF4-FFF2-40B4-BE49-F238E27FC236}">
              <a16:creationId xmlns:a16="http://schemas.microsoft.com/office/drawing/2014/main" id="{00000000-0008-0000-3300-0000F1000000}"/>
            </a:ext>
          </a:extLst>
        </xdr:cNvPr>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188</xdr:row>
      <xdr:rowOff>0</xdr:rowOff>
    </xdr:from>
    <xdr:to>
      <xdr:col>6</xdr:col>
      <xdr:colOff>0</xdr:colOff>
      <xdr:row>192</xdr:row>
      <xdr:rowOff>0</xdr:rowOff>
    </xdr:to>
    <xdr:sp macro="" textlink="">
      <xdr:nvSpPr>
        <xdr:cNvPr id="242" name="Rectangle 107">
          <a:extLst>
            <a:ext uri="{FF2B5EF4-FFF2-40B4-BE49-F238E27FC236}">
              <a16:creationId xmlns:a16="http://schemas.microsoft.com/office/drawing/2014/main" id="{00000000-0008-0000-3300-0000F2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188</xdr:row>
      <xdr:rowOff>0</xdr:rowOff>
    </xdr:from>
    <xdr:to>
      <xdr:col>6</xdr:col>
      <xdr:colOff>0</xdr:colOff>
      <xdr:row>192</xdr:row>
      <xdr:rowOff>0</xdr:rowOff>
    </xdr:to>
    <xdr:sp macro="" textlink="">
      <xdr:nvSpPr>
        <xdr:cNvPr id="243" name="Rectangle 108">
          <a:extLst>
            <a:ext uri="{FF2B5EF4-FFF2-40B4-BE49-F238E27FC236}">
              <a16:creationId xmlns:a16="http://schemas.microsoft.com/office/drawing/2014/main" id="{00000000-0008-0000-3300-0000F3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189</xdr:row>
      <xdr:rowOff>0</xdr:rowOff>
    </xdr:from>
    <xdr:to>
      <xdr:col>6</xdr:col>
      <xdr:colOff>0</xdr:colOff>
      <xdr:row>192</xdr:row>
      <xdr:rowOff>0</xdr:rowOff>
    </xdr:to>
    <xdr:sp macro="" textlink="">
      <xdr:nvSpPr>
        <xdr:cNvPr id="244" name="Rectangle 107">
          <a:extLst>
            <a:ext uri="{FF2B5EF4-FFF2-40B4-BE49-F238E27FC236}">
              <a16:creationId xmlns:a16="http://schemas.microsoft.com/office/drawing/2014/main" id="{00000000-0008-0000-3300-0000F4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189</xdr:row>
      <xdr:rowOff>0</xdr:rowOff>
    </xdr:from>
    <xdr:to>
      <xdr:col>6</xdr:col>
      <xdr:colOff>0</xdr:colOff>
      <xdr:row>192</xdr:row>
      <xdr:rowOff>0</xdr:rowOff>
    </xdr:to>
    <xdr:sp macro="" textlink="">
      <xdr:nvSpPr>
        <xdr:cNvPr id="245" name="Rectangle 108">
          <a:extLst>
            <a:ext uri="{FF2B5EF4-FFF2-40B4-BE49-F238E27FC236}">
              <a16:creationId xmlns:a16="http://schemas.microsoft.com/office/drawing/2014/main" id="{00000000-0008-0000-3300-0000F5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126</xdr:row>
      <xdr:rowOff>0</xdr:rowOff>
    </xdr:from>
    <xdr:to>
      <xdr:col>2</xdr:col>
      <xdr:colOff>0</xdr:colOff>
      <xdr:row>142</xdr:row>
      <xdr:rowOff>0</xdr:rowOff>
    </xdr:to>
    <xdr:sp macro="" textlink="">
      <xdr:nvSpPr>
        <xdr:cNvPr id="270" name="Rectangle 107">
          <a:extLst>
            <a:ext uri="{FF2B5EF4-FFF2-40B4-BE49-F238E27FC236}">
              <a16:creationId xmlns:a16="http://schemas.microsoft.com/office/drawing/2014/main" id="{778A365F-5A8F-42AA-AB78-3C21982CE9EA}"/>
            </a:ext>
          </a:extLst>
        </xdr:cNvPr>
        <xdr:cNvSpPr>
          <a:spLocks noChangeArrowheads="1"/>
        </xdr:cNvSpPr>
      </xdr:nvSpPr>
      <xdr:spPr bwMode="auto">
        <a:xfrm>
          <a:off x="4198620" y="1341120"/>
          <a:ext cx="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126</xdr:row>
      <xdr:rowOff>0</xdr:rowOff>
    </xdr:from>
    <xdr:to>
      <xdr:col>2</xdr:col>
      <xdr:colOff>0</xdr:colOff>
      <xdr:row>142</xdr:row>
      <xdr:rowOff>0</xdr:rowOff>
    </xdr:to>
    <xdr:sp macro="" textlink="">
      <xdr:nvSpPr>
        <xdr:cNvPr id="271" name="Rectangle 108">
          <a:extLst>
            <a:ext uri="{FF2B5EF4-FFF2-40B4-BE49-F238E27FC236}">
              <a16:creationId xmlns:a16="http://schemas.microsoft.com/office/drawing/2014/main" id="{B4848732-EEB8-4F14-B113-F01BFE78AC98}"/>
            </a:ext>
          </a:extLst>
        </xdr:cNvPr>
        <xdr:cNvSpPr>
          <a:spLocks noChangeArrowheads="1"/>
        </xdr:cNvSpPr>
      </xdr:nvSpPr>
      <xdr:spPr bwMode="auto">
        <a:xfrm>
          <a:off x="4198620" y="1341120"/>
          <a:ext cx="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156</xdr:row>
      <xdr:rowOff>0</xdr:rowOff>
    </xdr:from>
    <xdr:to>
      <xdr:col>2</xdr:col>
      <xdr:colOff>0</xdr:colOff>
      <xdr:row>174</xdr:row>
      <xdr:rowOff>0</xdr:rowOff>
    </xdr:to>
    <xdr:sp macro="" textlink="">
      <xdr:nvSpPr>
        <xdr:cNvPr id="272" name="Rectangle 107">
          <a:extLst>
            <a:ext uri="{FF2B5EF4-FFF2-40B4-BE49-F238E27FC236}">
              <a16:creationId xmlns:a16="http://schemas.microsoft.com/office/drawing/2014/main" id="{159E8DD6-2719-4825-B876-E3EDB2723F4E}"/>
            </a:ext>
          </a:extLst>
        </xdr:cNvPr>
        <xdr:cNvSpPr>
          <a:spLocks noChangeArrowheads="1"/>
        </xdr:cNvSpPr>
      </xdr:nvSpPr>
      <xdr:spPr bwMode="auto">
        <a:xfrm>
          <a:off x="4198620" y="6918960"/>
          <a:ext cx="0" cy="329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156</xdr:row>
      <xdr:rowOff>0</xdr:rowOff>
    </xdr:from>
    <xdr:to>
      <xdr:col>2</xdr:col>
      <xdr:colOff>0</xdr:colOff>
      <xdr:row>174</xdr:row>
      <xdr:rowOff>0</xdr:rowOff>
    </xdr:to>
    <xdr:sp macro="" textlink="">
      <xdr:nvSpPr>
        <xdr:cNvPr id="273" name="Rectangle 108">
          <a:extLst>
            <a:ext uri="{FF2B5EF4-FFF2-40B4-BE49-F238E27FC236}">
              <a16:creationId xmlns:a16="http://schemas.microsoft.com/office/drawing/2014/main" id="{C44670CE-79DA-4382-BDAC-A513D1308A89}"/>
            </a:ext>
          </a:extLst>
        </xdr:cNvPr>
        <xdr:cNvSpPr>
          <a:spLocks noChangeArrowheads="1"/>
        </xdr:cNvSpPr>
      </xdr:nvSpPr>
      <xdr:spPr bwMode="auto">
        <a:xfrm>
          <a:off x="4198620" y="6918960"/>
          <a:ext cx="0" cy="329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126</xdr:row>
      <xdr:rowOff>0</xdr:rowOff>
    </xdr:from>
    <xdr:to>
      <xdr:col>6</xdr:col>
      <xdr:colOff>0</xdr:colOff>
      <xdr:row>129</xdr:row>
      <xdr:rowOff>0</xdr:rowOff>
    </xdr:to>
    <xdr:sp macro="" textlink="">
      <xdr:nvSpPr>
        <xdr:cNvPr id="274" name="Rectangle 107">
          <a:extLst>
            <a:ext uri="{FF2B5EF4-FFF2-40B4-BE49-F238E27FC236}">
              <a16:creationId xmlns:a16="http://schemas.microsoft.com/office/drawing/2014/main" id="{FF47BA8F-CA48-4CBE-91FA-504BBBC4ADF8}"/>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126</xdr:row>
      <xdr:rowOff>0</xdr:rowOff>
    </xdr:from>
    <xdr:to>
      <xdr:col>6</xdr:col>
      <xdr:colOff>0</xdr:colOff>
      <xdr:row>129</xdr:row>
      <xdr:rowOff>0</xdr:rowOff>
    </xdr:to>
    <xdr:sp macro="" textlink="">
      <xdr:nvSpPr>
        <xdr:cNvPr id="275" name="Rectangle 108">
          <a:extLst>
            <a:ext uri="{FF2B5EF4-FFF2-40B4-BE49-F238E27FC236}">
              <a16:creationId xmlns:a16="http://schemas.microsoft.com/office/drawing/2014/main" id="{7BAF986E-6F94-4DE9-8D86-E6D6B4EF1052}"/>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126</xdr:row>
      <xdr:rowOff>0</xdr:rowOff>
    </xdr:from>
    <xdr:to>
      <xdr:col>6</xdr:col>
      <xdr:colOff>0</xdr:colOff>
      <xdr:row>129</xdr:row>
      <xdr:rowOff>0</xdr:rowOff>
    </xdr:to>
    <xdr:sp macro="" textlink="">
      <xdr:nvSpPr>
        <xdr:cNvPr id="276" name="Rectangle 107">
          <a:extLst>
            <a:ext uri="{FF2B5EF4-FFF2-40B4-BE49-F238E27FC236}">
              <a16:creationId xmlns:a16="http://schemas.microsoft.com/office/drawing/2014/main" id="{52843678-24EB-429B-8F8B-56D401DC4088}"/>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126</xdr:row>
      <xdr:rowOff>0</xdr:rowOff>
    </xdr:from>
    <xdr:to>
      <xdr:col>6</xdr:col>
      <xdr:colOff>0</xdr:colOff>
      <xdr:row>129</xdr:row>
      <xdr:rowOff>0</xdr:rowOff>
    </xdr:to>
    <xdr:sp macro="" textlink="">
      <xdr:nvSpPr>
        <xdr:cNvPr id="277" name="Rectangle 108">
          <a:extLst>
            <a:ext uri="{FF2B5EF4-FFF2-40B4-BE49-F238E27FC236}">
              <a16:creationId xmlns:a16="http://schemas.microsoft.com/office/drawing/2014/main" id="{611492C7-D53C-42B7-9113-896A63B5A86D}"/>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oneCellAnchor>
    <xdr:from>
      <xdr:col>6</xdr:col>
      <xdr:colOff>-19050</xdr:colOff>
      <xdr:row>89</xdr:row>
      <xdr:rowOff>0</xdr:rowOff>
    </xdr:from>
    <xdr:ext cx="38100" cy="600075"/>
    <xdr:sp macro="" textlink="">
      <xdr:nvSpPr>
        <xdr:cNvPr id="258" name="Shape 5">
          <a:extLst>
            <a:ext uri="{FF2B5EF4-FFF2-40B4-BE49-F238E27FC236}">
              <a16:creationId xmlns:a16="http://schemas.microsoft.com/office/drawing/2014/main" id="{91E4EFE6-D67C-46FD-A63E-B341C6A0F09D}"/>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-19050</xdr:colOff>
      <xdr:row>89</xdr:row>
      <xdr:rowOff>0</xdr:rowOff>
    </xdr:from>
    <xdr:ext cx="38100" cy="600075"/>
    <xdr:sp macro="" textlink="">
      <xdr:nvSpPr>
        <xdr:cNvPr id="259" name="Shape 5">
          <a:extLst>
            <a:ext uri="{FF2B5EF4-FFF2-40B4-BE49-F238E27FC236}">
              <a16:creationId xmlns:a16="http://schemas.microsoft.com/office/drawing/2014/main" id="{1B1C4FC6-3063-4C25-BAC2-3222EA298503}"/>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-19050</xdr:colOff>
      <xdr:row>89</xdr:row>
      <xdr:rowOff>0</xdr:rowOff>
    </xdr:from>
    <xdr:ext cx="38100" cy="600075"/>
    <xdr:sp macro="" textlink="">
      <xdr:nvSpPr>
        <xdr:cNvPr id="260" name="Shape 5">
          <a:extLst>
            <a:ext uri="{FF2B5EF4-FFF2-40B4-BE49-F238E27FC236}">
              <a16:creationId xmlns:a16="http://schemas.microsoft.com/office/drawing/2014/main" id="{26EF643F-7B02-46EA-A5DE-02DE0D210ADD}"/>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-19050</xdr:colOff>
      <xdr:row>89</xdr:row>
      <xdr:rowOff>0</xdr:rowOff>
    </xdr:from>
    <xdr:ext cx="38100" cy="600075"/>
    <xdr:sp macro="" textlink="">
      <xdr:nvSpPr>
        <xdr:cNvPr id="261" name="Shape 5">
          <a:extLst>
            <a:ext uri="{FF2B5EF4-FFF2-40B4-BE49-F238E27FC236}">
              <a16:creationId xmlns:a16="http://schemas.microsoft.com/office/drawing/2014/main" id="{2BDC00C1-B12B-48E7-A2FB-7F4667F04CC8}"/>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xdr:from>
      <xdr:col>2</xdr:col>
      <xdr:colOff>0</xdr:colOff>
      <xdr:row>39</xdr:row>
      <xdr:rowOff>0</xdr:rowOff>
    </xdr:from>
    <xdr:to>
      <xdr:col>2</xdr:col>
      <xdr:colOff>0</xdr:colOff>
      <xdr:row>48</xdr:row>
      <xdr:rowOff>0</xdr:rowOff>
    </xdr:to>
    <xdr:sp macro="" textlink="">
      <xdr:nvSpPr>
        <xdr:cNvPr id="284" name="Rectangle 107">
          <a:extLst>
            <a:ext uri="{FF2B5EF4-FFF2-40B4-BE49-F238E27FC236}">
              <a16:creationId xmlns:a16="http://schemas.microsoft.com/office/drawing/2014/main" id="{00000000-0008-0000-0000-000029200000}"/>
            </a:ext>
          </a:extLst>
        </xdr:cNvPr>
        <xdr:cNvSpPr>
          <a:spLocks noChangeArrowheads="1"/>
        </xdr:cNvSpPr>
      </xdr:nvSpPr>
      <xdr:spPr bwMode="auto">
        <a:xfrm>
          <a:off x="3429000" y="1400175"/>
          <a:ext cx="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39</xdr:row>
      <xdr:rowOff>0</xdr:rowOff>
    </xdr:from>
    <xdr:to>
      <xdr:col>2</xdr:col>
      <xdr:colOff>0</xdr:colOff>
      <xdr:row>48</xdr:row>
      <xdr:rowOff>0</xdr:rowOff>
    </xdr:to>
    <xdr:sp macro="" textlink="">
      <xdr:nvSpPr>
        <xdr:cNvPr id="285" name="Rectangle 108">
          <a:extLst>
            <a:ext uri="{FF2B5EF4-FFF2-40B4-BE49-F238E27FC236}">
              <a16:creationId xmlns:a16="http://schemas.microsoft.com/office/drawing/2014/main" id="{00000000-0008-0000-0000-00002A200000}"/>
            </a:ext>
          </a:extLst>
        </xdr:cNvPr>
        <xdr:cNvSpPr>
          <a:spLocks noChangeArrowheads="1"/>
        </xdr:cNvSpPr>
      </xdr:nvSpPr>
      <xdr:spPr bwMode="auto">
        <a:xfrm>
          <a:off x="3429000" y="1400175"/>
          <a:ext cx="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65</xdr:row>
      <xdr:rowOff>0</xdr:rowOff>
    </xdr:from>
    <xdr:to>
      <xdr:col>2</xdr:col>
      <xdr:colOff>0</xdr:colOff>
      <xdr:row>75</xdr:row>
      <xdr:rowOff>0</xdr:rowOff>
    </xdr:to>
    <xdr:sp macro="" textlink="">
      <xdr:nvSpPr>
        <xdr:cNvPr id="286" name="Rectangle 107">
          <a:extLst>
            <a:ext uri="{FF2B5EF4-FFF2-40B4-BE49-F238E27FC236}">
              <a16:creationId xmlns:a16="http://schemas.microsoft.com/office/drawing/2014/main" id="{00000000-0008-0000-0000-00002B200000}"/>
            </a:ext>
          </a:extLst>
        </xdr:cNvPr>
        <xdr:cNvSpPr>
          <a:spLocks noChangeArrowheads="1"/>
        </xdr:cNvSpPr>
      </xdr:nvSpPr>
      <xdr:spPr bwMode="auto">
        <a:xfrm>
          <a:off x="3429000" y="6391275"/>
          <a:ext cx="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65</xdr:row>
      <xdr:rowOff>0</xdr:rowOff>
    </xdr:from>
    <xdr:to>
      <xdr:col>2</xdr:col>
      <xdr:colOff>0</xdr:colOff>
      <xdr:row>75</xdr:row>
      <xdr:rowOff>0</xdr:rowOff>
    </xdr:to>
    <xdr:sp macro="" textlink="">
      <xdr:nvSpPr>
        <xdr:cNvPr id="287" name="Rectangle 108">
          <a:extLst>
            <a:ext uri="{FF2B5EF4-FFF2-40B4-BE49-F238E27FC236}">
              <a16:creationId xmlns:a16="http://schemas.microsoft.com/office/drawing/2014/main" id="{00000000-0008-0000-0000-00002C200000}"/>
            </a:ext>
          </a:extLst>
        </xdr:cNvPr>
        <xdr:cNvSpPr>
          <a:spLocks noChangeArrowheads="1"/>
        </xdr:cNvSpPr>
      </xdr:nvSpPr>
      <xdr:spPr bwMode="auto">
        <a:xfrm>
          <a:off x="3429000" y="6391275"/>
          <a:ext cx="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38</xdr:row>
      <xdr:rowOff>0</xdr:rowOff>
    </xdr:from>
    <xdr:to>
      <xdr:col>6</xdr:col>
      <xdr:colOff>0</xdr:colOff>
      <xdr:row>42</xdr:row>
      <xdr:rowOff>0</xdr:rowOff>
    </xdr:to>
    <xdr:sp macro="" textlink="">
      <xdr:nvSpPr>
        <xdr:cNvPr id="288" name="Rectangle 107">
          <a:extLst>
            <a:ext uri="{FF2B5EF4-FFF2-40B4-BE49-F238E27FC236}">
              <a16:creationId xmlns:a16="http://schemas.microsoft.com/office/drawing/2014/main" id="{00000000-0008-0000-0000-00002D200000}"/>
            </a:ext>
          </a:extLst>
        </xdr:cNvPr>
        <xdr:cNvSpPr>
          <a:spLocks noChangeArrowheads="1"/>
        </xdr:cNvSpPr>
      </xdr:nvSpPr>
      <xdr:spPr bwMode="auto">
        <a:xfrm>
          <a:off x="8639175" y="12096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38</xdr:row>
      <xdr:rowOff>0</xdr:rowOff>
    </xdr:from>
    <xdr:to>
      <xdr:col>6</xdr:col>
      <xdr:colOff>0</xdr:colOff>
      <xdr:row>42</xdr:row>
      <xdr:rowOff>0</xdr:rowOff>
    </xdr:to>
    <xdr:sp macro="" textlink="">
      <xdr:nvSpPr>
        <xdr:cNvPr id="289" name="Rectangle 108">
          <a:extLst>
            <a:ext uri="{FF2B5EF4-FFF2-40B4-BE49-F238E27FC236}">
              <a16:creationId xmlns:a16="http://schemas.microsoft.com/office/drawing/2014/main" id="{00000000-0008-0000-0000-00002E200000}"/>
            </a:ext>
          </a:extLst>
        </xdr:cNvPr>
        <xdr:cNvSpPr>
          <a:spLocks noChangeArrowheads="1"/>
        </xdr:cNvSpPr>
      </xdr:nvSpPr>
      <xdr:spPr bwMode="auto">
        <a:xfrm>
          <a:off x="8639175" y="12096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39</xdr:row>
      <xdr:rowOff>0</xdr:rowOff>
    </xdr:from>
    <xdr:to>
      <xdr:col>6</xdr:col>
      <xdr:colOff>0</xdr:colOff>
      <xdr:row>42</xdr:row>
      <xdr:rowOff>0</xdr:rowOff>
    </xdr:to>
    <xdr:sp macro="" textlink="">
      <xdr:nvSpPr>
        <xdr:cNvPr id="290" name="Rectangle 107">
          <a:extLst>
            <a:ext uri="{FF2B5EF4-FFF2-40B4-BE49-F238E27FC236}">
              <a16:creationId xmlns:a16="http://schemas.microsoft.com/office/drawing/2014/main" id="{00000000-0008-0000-0000-00002F200000}"/>
            </a:ext>
          </a:extLst>
        </xdr:cNvPr>
        <xdr:cNvSpPr>
          <a:spLocks noChangeArrowheads="1"/>
        </xdr:cNvSpPr>
      </xdr:nvSpPr>
      <xdr:spPr bwMode="auto">
        <a:xfrm>
          <a:off x="8639175" y="1400175"/>
          <a:ext cx="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39</xdr:row>
      <xdr:rowOff>0</xdr:rowOff>
    </xdr:from>
    <xdr:to>
      <xdr:col>6</xdr:col>
      <xdr:colOff>0</xdr:colOff>
      <xdr:row>42</xdr:row>
      <xdr:rowOff>0</xdr:rowOff>
    </xdr:to>
    <xdr:sp macro="" textlink="">
      <xdr:nvSpPr>
        <xdr:cNvPr id="291" name="Rectangle 108">
          <a:extLst>
            <a:ext uri="{FF2B5EF4-FFF2-40B4-BE49-F238E27FC236}">
              <a16:creationId xmlns:a16="http://schemas.microsoft.com/office/drawing/2014/main" id="{00000000-0008-0000-0000-000030200000}"/>
            </a:ext>
          </a:extLst>
        </xdr:cNvPr>
        <xdr:cNvSpPr>
          <a:spLocks noChangeArrowheads="1"/>
        </xdr:cNvSpPr>
      </xdr:nvSpPr>
      <xdr:spPr bwMode="auto">
        <a:xfrm>
          <a:off x="8639175" y="1400175"/>
          <a:ext cx="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xdr:row>
      <xdr:rowOff>0</xdr:rowOff>
    </xdr:from>
    <xdr:to>
      <xdr:col>2</xdr:col>
      <xdr:colOff>0</xdr:colOff>
      <xdr:row>15</xdr:row>
      <xdr:rowOff>0</xdr:rowOff>
    </xdr:to>
    <xdr:sp macro="" textlink="">
      <xdr:nvSpPr>
        <xdr:cNvPr id="262" name="Rectangle 107">
          <a:extLst>
            <a:ext uri="{FF2B5EF4-FFF2-40B4-BE49-F238E27FC236}">
              <a16:creationId xmlns:a16="http://schemas.microsoft.com/office/drawing/2014/main" id="{00000000-0008-0000-0000-000029200000}"/>
            </a:ext>
          </a:extLst>
        </xdr:cNvPr>
        <xdr:cNvSpPr>
          <a:spLocks noChangeArrowheads="1"/>
        </xdr:cNvSpPr>
      </xdr:nvSpPr>
      <xdr:spPr bwMode="auto">
        <a:xfrm>
          <a:off x="2924175" y="1247775"/>
          <a:ext cx="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xdr:row>
      <xdr:rowOff>0</xdr:rowOff>
    </xdr:from>
    <xdr:to>
      <xdr:col>2</xdr:col>
      <xdr:colOff>0</xdr:colOff>
      <xdr:row>15</xdr:row>
      <xdr:rowOff>0</xdr:rowOff>
    </xdr:to>
    <xdr:sp macro="" textlink="">
      <xdr:nvSpPr>
        <xdr:cNvPr id="263" name="Rectangle 108">
          <a:extLst>
            <a:ext uri="{FF2B5EF4-FFF2-40B4-BE49-F238E27FC236}">
              <a16:creationId xmlns:a16="http://schemas.microsoft.com/office/drawing/2014/main" id="{00000000-0008-0000-0000-00002A200000}"/>
            </a:ext>
          </a:extLst>
        </xdr:cNvPr>
        <xdr:cNvSpPr>
          <a:spLocks noChangeArrowheads="1"/>
        </xdr:cNvSpPr>
      </xdr:nvSpPr>
      <xdr:spPr bwMode="auto">
        <a:xfrm>
          <a:off x="2924175" y="1247775"/>
          <a:ext cx="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xdr:row>
      <xdr:rowOff>0</xdr:rowOff>
    </xdr:from>
    <xdr:to>
      <xdr:col>6</xdr:col>
      <xdr:colOff>0</xdr:colOff>
      <xdr:row>16</xdr:row>
      <xdr:rowOff>0</xdr:rowOff>
    </xdr:to>
    <xdr:sp macro="" textlink="">
      <xdr:nvSpPr>
        <xdr:cNvPr id="264" name="Rectangle 107">
          <a:extLst>
            <a:ext uri="{FF2B5EF4-FFF2-40B4-BE49-F238E27FC236}">
              <a16:creationId xmlns:a16="http://schemas.microsoft.com/office/drawing/2014/main" id="{00000000-0008-0000-0000-00002B200000}"/>
            </a:ext>
          </a:extLst>
        </xdr:cNvPr>
        <xdr:cNvSpPr>
          <a:spLocks noChangeArrowheads="1"/>
        </xdr:cNvSpPr>
      </xdr:nvSpPr>
      <xdr:spPr bwMode="auto">
        <a:xfrm>
          <a:off x="8001000" y="1247775"/>
          <a:ext cx="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xdr:row>
      <xdr:rowOff>0</xdr:rowOff>
    </xdr:from>
    <xdr:to>
      <xdr:col>6</xdr:col>
      <xdr:colOff>0</xdr:colOff>
      <xdr:row>16</xdr:row>
      <xdr:rowOff>0</xdr:rowOff>
    </xdr:to>
    <xdr:sp macro="" textlink="">
      <xdr:nvSpPr>
        <xdr:cNvPr id="265" name="Rectangle 108">
          <a:extLst>
            <a:ext uri="{FF2B5EF4-FFF2-40B4-BE49-F238E27FC236}">
              <a16:creationId xmlns:a16="http://schemas.microsoft.com/office/drawing/2014/main" id="{00000000-0008-0000-0000-00002C200000}"/>
            </a:ext>
          </a:extLst>
        </xdr:cNvPr>
        <xdr:cNvSpPr>
          <a:spLocks noChangeArrowheads="1"/>
        </xdr:cNvSpPr>
      </xdr:nvSpPr>
      <xdr:spPr bwMode="auto">
        <a:xfrm>
          <a:off x="8001000" y="1247775"/>
          <a:ext cx="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10</xdr:col>
      <xdr:colOff>0</xdr:colOff>
      <xdr:row>6</xdr:row>
      <xdr:rowOff>0</xdr:rowOff>
    </xdr:from>
    <xdr:to>
      <xdr:col>10</xdr:col>
      <xdr:colOff>0</xdr:colOff>
      <xdr:row>10</xdr:row>
      <xdr:rowOff>0</xdr:rowOff>
    </xdr:to>
    <xdr:sp macro="" textlink="">
      <xdr:nvSpPr>
        <xdr:cNvPr id="266" name="Rectangle 107">
          <a:extLst>
            <a:ext uri="{FF2B5EF4-FFF2-40B4-BE49-F238E27FC236}">
              <a16:creationId xmlns:a16="http://schemas.microsoft.com/office/drawing/2014/main" id="{00000000-0008-0000-0000-00002D200000}"/>
            </a:ext>
          </a:extLst>
        </xdr:cNvPr>
        <xdr:cNvSpPr>
          <a:spLocks noChangeArrowheads="1"/>
        </xdr:cNvSpPr>
      </xdr:nvSpPr>
      <xdr:spPr bwMode="auto">
        <a:xfrm>
          <a:off x="13268325" y="124777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10</xdr:col>
      <xdr:colOff>0</xdr:colOff>
      <xdr:row>6</xdr:row>
      <xdr:rowOff>0</xdr:rowOff>
    </xdr:from>
    <xdr:to>
      <xdr:col>10</xdr:col>
      <xdr:colOff>0</xdr:colOff>
      <xdr:row>10</xdr:row>
      <xdr:rowOff>0</xdr:rowOff>
    </xdr:to>
    <xdr:sp macro="" textlink="">
      <xdr:nvSpPr>
        <xdr:cNvPr id="267" name="Rectangle 108">
          <a:extLst>
            <a:ext uri="{FF2B5EF4-FFF2-40B4-BE49-F238E27FC236}">
              <a16:creationId xmlns:a16="http://schemas.microsoft.com/office/drawing/2014/main" id="{00000000-0008-0000-0000-00002E200000}"/>
            </a:ext>
          </a:extLst>
        </xdr:cNvPr>
        <xdr:cNvSpPr>
          <a:spLocks noChangeArrowheads="1"/>
        </xdr:cNvSpPr>
      </xdr:nvSpPr>
      <xdr:spPr bwMode="auto">
        <a:xfrm>
          <a:off x="13268325" y="124777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10</xdr:col>
      <xdr:colOff>0</xdr:colOff>
      <xdr:row>11</xdr:row>
      <xdr:rowOff>0</xdr:rowOff>
    </xdr:from>
    <xdr:to>
      <xdr:col>10</xdr:col>
      <xdr:colOff>0</xdr:colOff>
      <xdr:row>14</xdr:row>
      <xdr:rowOff>0</xdr:rowOff>
    </xdr:to>
    <xdr:sp macro="" textlink="">
      <xdr:nvSpPr>
        <xdr:cNvPr id="268" name="Rectangle 107">
          <a:extLst>
            <a:ext uri="{FF2B5EF4-FFF2-40B4-BE49-F238E27FC236}">
              <a16:creationId xmlns:a16="http://schemas.microsoft.com/office/drawing/2014/main" id="{00000000-0008-0000-0000-00002F200000}"/>
            </a:ext>
          </a:extLst>
        </xdr:cNvPr>
        <xdr:cNvSpPr>
          <a:spLocks noChangeArrowheads="1"/>
        </xdr:cNvSpPr>
      </xdr:nvSpPr>
      <xdr:spPr bwMode="auto">
        <a:xfrm>
          <a:off x="13268325" y="25812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10</xdr:col>
      <xdr:colOff>0</xdr:colOff>
      <xdr:row>11</xdr:row>
      <xdr:rowOff>0</xdr:rowOff>
    </xdr:from>
    <xdr:to>
      <xdr:col>10</xdr:col>
      <xdr:colOff>0</xdr:colOff>
      <xdr:row>14</xdr:row>
      <xdr:rowOff>0</xdr:rowOff>
    </xdr:to>
    <xdr:sp macro="" textlink="">
      <xdr:nvSpPr>
        <xdr:cNvPr id="269" name="Rectangle 108">
          <a:extLst>
            <a:ext uri="{FF2B5EF4-FFF2-40B4-BE49-F238E27FC236}">
              <a16:creationId xmlns:a16="http://schemas.microsoft.com/office/drawing/2014/main" id="{00000000-0008-0000-0000-000030200000}"/>
            </a:ext>
          </a:extLst>
        </xdr:cNvPr>
        <xdr:cNvSpPr>
          <a:spLocks noChangeArrowheads="1"/>
        </xdr:cNvSpPr>
      </xdr:nvSpPr>
      <xdr:spPr bwMode="auto">
        <a:xfrm>
          <a:off x="13268325" y="25812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355600</xdr:colOff>
      <xdr:row>0</xdr:row>
      <xdr:rowOff>85725</xdr:rowOff>
    </xdr:from>
    <xdr:to>
      <xdr:col>10</xdr:col>
      <xdr:colOff>612776</xdr:colOff>
      <xdr:row>0</xdr:row>
      <xdr:rowOff>352425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13823950" y="8572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4</xdr:col>
      <xdr:colOff>869950</xdr:colOff>
      <xdr:row>0</xdr:row>
      <xdr:rowOff>79375</xdr:rowOff>
    </xdr:from>
    <xdr:to>
      <xdr:col>5</xdr:col>
      <xdr:colOff>214314</xdr:colOff>
      <xdr:row>0</xdr:row>
      <xdr:rowOff>325438</xdr:rowOff>
    </xdr:to>
    <xdr:sp macro="" textlink="">
      <xdr:nvSpPr>
        <xdr:cNvPr id="738" name="737 Botón de acción: Inicio">
          <a:hlinkClick xmlns:r="http://schemas.openxmlformats.org/officeDocument/2006/relationships" r:id="rId1"/>
          <a:extLst>
            <a:ext uri="{FF2B5EF4-FFF2-40B4-BE49-F238E27FC236}">
              <a16:creationId xmlns:a16="http://schemas.microsoft.com/office/drawing/2014/main" id="{00000000-0008-0000-3500-0000E2020000}"/>
            </a:ext>
          </a:extLst>
        </xdr:cNvPr>
        <xdr:cNvSpPr/>
      </xdr:nvSpPr>
      <xdr:spPr>
        <a:xfrm>
          <a:off x="7243763" y="79375"/>
          <a:ext cx="257176" cy="246063"/>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53975</xdr:colOff>
      <xdr:row>0</xdr:row>
      <xdr:rowOff>73025</xdr:rowOff>
    </xdr:from>
    <xdr:to>
      <xdr:col>5</xdr:col>
      <xdr:colOff>285750</xdr:colOff>
      <xdr:row>0</xdr:row>
      <xdr:rowOff>358775</xdr:rowOff>
    </xdr:to>
    <xdr:sp macro="" textlink="">
      <xdr:nvSpPr>
        <xdr:cNvPr id="389" name="388 Botón de acción: Inicio">
          <a:hlinkClick xmlns:r="http://schemas.openxmlformats.org/officeDocument/2006/relationships" r:id="rId1"/>
          <a:extLst>
            <a:ext uri="{FF2B5EF4-FFF2-40B4-BE49-F238E27FC236}">
              <a16:creationId xmlns:a16="http://schemas.microsoft.com/office/drawing/2014/main" id="{00000000-0008-0000-3600-000085010000}"/>
            </a:ext>
          </a:extLst>
        </xdr:cNvPr>
        <xdr:cNvSpPr/>
      </xdr:nvSpPr>
      <xdr:spPr>
        <a:xfrm>
          <a:off x="7086600" y="73025"/>
          <a:ext cx="231775" cy="28575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304800</xdr:colOff>
      <xdr:row>0</xdr:row>
      <xdr:rowOff>180975</xdr:rowOff>
    </xdr:from>
    <xdr:to>
      <xdr:col>20</xdr:col>
      <xdr:colOff>561976</xdr:colOff>
      <xdr:row>2</xdr:row>
      <xdr:rowOff>57150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38207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236</xdr:col>
      <xdr:colOff>0</xdr:colOff>
      <xdr:row>1</xdr:row>
      <xdr:rowOff>161925</xdr:rowOff>
    </xdr:from>
    <xdr:to>
      <xdr:col>236</xdr:col>
      <xdr:colOff>228600</xdr:colOff>
      <xdr:row>3</xdr:row>
      <xdr:rowOff>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1125200" y="352425"/>
          <a:ext cx="228600" cy="238125"/>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34</xdr:col>
      <xdr:colOff>469900</xdr:colOff>
      <xdr:row>0</xdr:row>
      <xdr:rowOff>104774</xdr:rowOff>
    </xdr:from>
    <xdr:to>
      <xdr:col>34</xdr:col>
      <xdr:colOff>727076</xdr:colOff>
      <xdr:row>1</xdr:row>
      <xdr:rowOff>180974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25123775" y="104774"/>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3</xdr:col>
      <xdr:colOff>436563</xdr:colOff>
      <xdr:row>34</xdr:row>
      <xdr:rowOff>182562</xdr:rowOff>
    </xdr:from>
    <xdr:to>
      <xdr:col>3</xdr:col>
      <xdr:colOff>693739</xdr:colOff>
      <xdr:row>36</xdr:row>
      <xdr:rowOff>68262</xdr:rowOff>
    </xdr:to>
    <xdr:sp macro="" textlink="">
      <xdr:nvSpPr>
        <xdr:cNvPr id="3" name="1 Botón de acción: Inicio">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5532438" y="766762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105726</xdr:colOff>
      <xdr:row>0</xdr:row>
      <xdr:rowOff>208914</xdr:rowOff>
    </xdr:from>
    <xdr:to>
      <xdr:col>16</xdr:col>
      <xdr:colOff>420051</xdr:colOff>
      <xdr:row>0</xdr:row>
      <xdr:rowOff>491490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4545626" y="208914"/>
          <a:ext cx="314325" cy="2825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224791</xdr:colOff>
      <xdr:row>0</xdr:row>
      <xdr:rowOff>180339</xdr:rowOff>
    </xdr:from>
    <xdr:to>
      <xdr:col>16</xdr:col>
      <xdr:colOff>539116</xdr:colOff>
      <xdr:row>0</xdr:row>
      <xdr:rowOff>501015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2854941" y="180339"/>
          <a:ext cx="314325" cy="3206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209550</xdr:colOff>
      <xdr:row>0</xdr:row>
      <xdr:rowOff>170815</xdr:rowOff>
    </xdr:from>
    <xdr:to>
      <xdr:col>16</xdr:col>
      <xdr:colOff>499110</xdr:colOff>
      <xdr:row>1</xdr:row>
      <xdr:rowOff>57150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20800" y="170815"/>
          <a:ext cx="289560" cy="28638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253855</xdr:colOff>
      <xdr:row>0</xdr:row>
      <xdr:rowOff>133060</xdr:rowOff>
    </xdr:from>
    <xdr:to>
      <xdr:col>16</xdr:col>
      <xdr:colOff>568180</xdr:colOff>
      <xdr:row>1</xdr:row>
      <xdr:rowOff>34924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4411469" y="133060"/>
          <a:ext cx="314325" cy="30018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Documents%20and%20Settings\armando_jimenez\Configuraci&#243;n%20local\Temp\PATRICIA\VARIOS\TABS%20DOC%20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garnica/Documents/ARCHIVOS%20DE%20TRABAJO/2010/SEP-ESTHER-2010/911%202010-2011/SOPORTES/SOPORTE%20DEL%20CUADRO%20II.2%20DEL%20MODULO%20DOCENCIA/EDUCACION/FAETA%20NORMA/WINDOWS/TEMP/planew99ver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garnica/Documents/ARCHIVOS%20DE%20TRABAJO/2010/SEP-ESTHER-2010/911%202010-2011/SOPORTES/SOPORTE%20DEL%20CUADRO%20II.2%20DEL%20MODULO%20DOCENCIA/Documents%20and%20Settings/armando_jimenez/Configuraci&#243;n%20local/Temp/TABS%20CETI%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cgarnica\AppData\Local\Temp\Temp1_Plantilla%20p%20911%202010-2011.zip\Documents%20and%20Settings\armando_jimenez\Configuraci&#243;n%20local\Temp\PATRICIA\VARIOS\TABS%20DOC%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MIR/SIPSE/TRIMESTRE%202/SOPORTE%20/S243/Vinculaci&#243;n%20/C/Users/cgarnica/Documents/ARCHIVOS%20DE%20TRABAJO/2017/MIR/SIPSE/TRIM%201/SOPORTE/C/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lmelendez/Documents/ASUNTOS/2016/911-2015-2016/ESCUELA/Soporte/E:/Users/cgarnica/AppData/Local/Temp/Temp1_Plantilla%20p%20911%202010-2011.zip/PLANTILLAS%20UPES%20INC.%2017.9%25%201999%20SEP/Directivo%20UPE's.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lmelendez/Documents/ASUNTOS/2017/MIR/SIPSE/TRIMESTRE%204/file/E/Users/DCSH/Downloads/Nomina%20Personal%20doc%20y%20adm.%20Marzo%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89ECC76\Ac02acV2definiti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EDUCACION\FAETA%20NORMA\WINDOWS\TEMP\INSTITUTOS%20NACIONALES%20Y%20DIF\PLANTILLA%20DIF%20NACIONAL%201999%20DEFINITIV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A6F88F\TAB17%25D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B95961\TAB%20IP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 val="Ac02acV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TM CETI 2002 "/>
      <sheetName val="TAB DCENTE CETI 2002"/>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O"/>
      <sheetName val="MATRIZ DIRECTIVO"/>
      <sheetName val="RESUMEN"/>
      <sheetName val="FORMATO DEL PROC. DE PLANTILLAS"/>
    </sheetNames>
    <sheetDataSet>
      <sheetData sheetId="0" refreshError="1"/>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ADMINISTRATIVOS"/>
      <sheetName val="MMyS"/>
    </sheetNames>
    <sheetDataSet>
      <sheetData sheetId="0"/>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2.bin"/><Relationship Id="rId1" Type="http://schemas.openxmlformats.org/officeDocument/2006/relationships/hyperlink" Target="https://isbnmexico.indautor.cerlalc.org/catalogo.php?mode=detalle&amp;nt=386680"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4.bin"/><Relationship Id="rId1" Type="http://schemas.openxmlformats.org/officeDocument/2006/relationships/hyperlink" Target="http://www.webometrics.info/en/Latin_America/Mexico"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s://www.topuniversities.com/universities/universidad-nacional-autonoma-de-mexico-unam" TargetMode="External"/><Relationship Id="rId13" Type="http://schemas.openxmlformats.org/officeDocument/2006/relationships/printerSettings" Target="../printerSettings/printerSettings55.bin"/><Relationship Id="rId3" Type="http://schemas.openxmlformats.org/officeDocument/2006/relationships/hyperlink" Target="https://www.topuniversities.com/university-rankings/latin-american-university-rankings/2019?utm_source=tu_house_banners&amp;utm_medium=web_banner" TargetMode="External"/><Relationship Id="rId7" Type="http://schemas.openxmlformats.org/officeDocument/2006/relationships/hyperlink" Target="https://www.topuniversities.com/universities/universidad-autonoma-metropolitana-uam" TargetMode="External"/><Relationship Id="rId12" Type="http://schemas.openxmlformats.org/officeDocument/2006/relationships/hyperlink" Target="https://www.topuniversities.com/universities/universidad-iberoamericana-ibero" TargetMode="External"/><Relationship Id="rId2" Type="http://schemas.openxmlformats.org/officeDocument/2006/relationships/hyperlink" Target="http://www.scimagoir.com/" TargetMode="External"/><Relationship Id="rId1" Type="http://schemas.openxmlformats.org/officeDocument/2006/relationships/hyperlink" Target="http://www.topuniversities.com/university-rankings/latam-university-rankings/2015" TargetMode="External"/><Relationship Id="rId6" Type="http://schemas.openxmlformats.org/officeDocument/2006/relationships/hyperlink" Target="https://www.topuniversities.com/universities/universidad-autonoma-metropolitana-uam" TargetMode="External"/><Relationship Id="rId11" Type="http://schemas.openxmlformats.org/officeDocument/2006/relationships/hyperlink" Target="https://www.topuniversities.com/universities/universidad-autonoma-metropolitana-uam" TargetMode="External"/><Relationship Id="rId5" Type="http://schemas.openxmlformats.org/officeDocument/2006/relationships/hyperlink" Target="https://www.topuniversities.com/universities/universidad-autonoma-metropolitana-uam" TargetMode="External"/><Relationship Id="rId10" Type="http://schemas.openxmlformats.org/officeDocument/2006/relationships/hyperlink" Target="https://www.topuniversities.com/universities/instituto-politecnico-nacional-ipn" TargetMode="External"/><Relationship Id="rId4" Type="http://schemas.openxmlformats.org/officeDocument/2006/relationships/hyperlink" Target="https://www.topuniversities.com/universities/universidad-autonoma-metropolitana-uam" TargetMode="External"/><Relationship Id="rId9" Type="http://schemas.openxmlformats.org/officeDocument/2006/relationships/hyperlink" Target="https://www.topuniversities.com/universities/instituto-tecnologico-y-de-estudios-superiores-de-monterrey" TargetMode="External"/><Relationship Id="rId14" Type="http://schemas.openxmlformats.org/officeDocument/2006/relationships/drawing" Target="../drawings/drawing47.xml"/></Relationships>
</file>

<file path=xl/worksheets/_rels/sheet56.xml.rels><?xml version="1.0" encoding="UTF-8" standalone="yes"?>
<Relationships xmlns="http://schemas.openxmlformats.org/package/2006/relationships"><Relationship Id="rId117" Type="http://schemas.openxmlformats.org/officeDocument/2006/relationships/hyperlink" Target="http://www.topuniversities.com/universities/universidad-nacional-aut%C3%B3noma-de-m%C3%A9xico-unam" TargetMode="External"/><Relationship Id="rId21" Type="http://schemas.openxmlformats.org/officeDocument/2006/relationships/hyperlink" Target="http://www.topuniversities.com/universities/instituto-polit%C3%A9cnico-nacional-ipn" TargetMode="External"/><Relationship Id="rId42" Type="http://schemas.openxmlformats.org/officeDocument/2006/relationships/hyperlink" Target="http://www.topuniversities.com/universities/universidad-nacional-aut%C3%B3noma-de-m%C3%A9xico-unam" TargetMode="External"/><Relationship Id="rId63" Type="http://schemas.openxmlformats.org/officeDocument/2006/relationships/hyperlink" Target="http://www.topuniversities.com/university-rankings/world-university-rankings/2015?utm_source=tu_house&amp;utm_medium=web_banner&amp;utm_campaign=WUR-2015" TargetMode="External"/><Relationship Id="rId84" Type="http://schemas.openxmlformats.org/officeDocument/2006/relationships/hyperlink" Target="http://www.topuniversities.com/universities/universidad-autonoma-de-nuevo-leon-uanl" TargetMode="External"/><Relationship Id="rId16" Type="http://schemas.openxmlformats.org/officeDocument/2006/relationships/hyperlink" Target="http://www.topuniversities.com/universities/universidad-aut%C3%B3noma-metropolitana-uam/undergrad" TargetMode="External"/><Relationship Id="rId107" Type="http://schemas.openxmlformats.org/officeDocument/2006/relationships/hyperlink" Target="http://www.topuniversities.com/universities/universidad-panamericana" TargetMode="External"/><Relationship Id="rId11" Type="http://schemas.openxmlformats.org/officeDocument/2006/relationships/hyperlink" Target="http://www.topuniversities.com/universities/universidad-panamericana" TargetMode="External"/><Relationship Id="rId32" Type="http://schemas.openxmlformats.org/officeDocument/2006/relationships/hyperlink" Target="http://www.topuniversities.com/universities/universidad-iberoamericana-uia/undergrad" TargetMode="External"/><Relationship Id="rId37" Type="http://schemas.openxmlformats.org/officeDocument/2006/relationships/hyperlink" Target="http://www.topuniversities.com/universities/benem%C3%A9rita-universidad-aut%C3%B3noma-de-puebla/undergrad" TargetMode="External"/><Relationship Id="rId53" Type="http://schemas.openxmlformats.org/officeDocument/2006/relationships/hyperlink" Target="http://www.topuniversities.com/universities/tecnol%C3%B3gico-de-monterrey-itesm" TargetMode="External"/><Relationship Id="rId58" Type="http://schemas.openxmlformats.org/officeDocument/2006/relationships/hyperlink" Target="http://www.topuniversities.com/universities/universidad-aut%C3%B3noma-metropolitana-uam" TargetMode="External"/><Relationship Id="rId74" Type="http://schemas.openxmlformats.org/officeDocument/2006/relationships/hyperlink" Target="http://www.topuniversities.com/universities/instituto-tecnol%C3%B3gico-aut%C3%B3nomo-de-m%C3%A9xico-itam" TargetMode="External"/><Relationship Id="rId79" Type="http://schemas.openxmlformats.org/officeDocument/2006/relationships/hyperlink" Target="http://www.topuniversities.com/universities/universidad-aut%C3%B3noma-metropolitana-uam/undergrad" TargetMode="External"/><Relationship Id="rId102" Type="http://schemas.openxmlformats.org/officeDocument/2006/relationships/hyperlink" Target="http://www.topuniversities.com/universities/universidad-iberoamericana-uia" TargetMode="External"/><Relationship Id="rId123" Type="http://schemas.openxmlformats.org/officeDocument/2006/relationships/hyperlink" Target="https://www.topuniversities.com/university-rankings/world-university-rankings/2022" TargetMode="External"/><Relationship Id="rId128" Type="http://schemas.openxmlformats.org/officeDocument/2006/relationships/hyperlink" Target="http://www.topuniversities.com/university-rankings/world-university-rankings/2013" TargetMode="External"/><Relationship Id="rId5" Type="http://schemas.openxmlformats.org/officeDocument/2006/relationships/hyperlink" Target="http://www.topuniversities.com/universities/instituto-tecnol%C3%B3gico-y-de-estudios-superiores-de-monterrey" TargetMode="External"/><Relationship Id="rId90" Type="http://schemas.openxmlformats.org/officeDocument/2006/relationships/hyperlink" Target="http://www.topuniversities.com/universities/universidad-iberoamericana-uia" TargetMode="External"/><Relationship Id="rId95" Type="http://schemas.openxmlformats.org/officeDocument/2006/relationships/hyperlink" Target="http://www.topuniversities.com/universities/universidad-nacional-aut%C3%B3noma-de-m%C3%A9xico-unam" TargetMode="External"/><Relationship Id="rId22" Type="http://schemas.openxmlformats.org/officeDocument/2006/relationships/hyperlink" Target="http://www.topuniversities.com/universities/universidad-anahuac" TargetMode="External"/><Relationship Id="rId27" Type="http://schemas.openxmlformats.org/officeDocument/2006/relationships/hyperlink" Target="http://www.topuniversities.com/universities/universidad-autonoma-de-nuevo-leon-uanl" TargetMode="External"/><Relationship Id="rId43" Type="http://schemas.openxmlformats.org/officeDocument/2006/relationships/hyperlink" Target="http://www.topuniversities.com/universities/tecnol%C3%B3gico-de-monterrey-itesm" TargetMode="External"/><Relationship Id="rId48" Type="http://schemas.openxmlformats.org/officeDocument/2006/relationships/hyperlink" Target="http://www.topuniversities.com/universities/universidad-aut%C3%B3noma-metropolitana-uam" TargetMode="External"/><Relationship Id="rId64" Type="http://schemas.openxmlformats.org/officeDocument/2006/relationships/hyperlink" Target="http://www.topuniversities.com/universities/universidad-aut%C3%B3noma-del-estado-de-mexico-uaemex/undergrad" TargetMode="External"/><Relationship Id="rId69" Type="http://schemas.openxmlformats.org/officeDocument/2006/relationships/hyperlink" Target="http://www.topuniversities.com/universities/universidad-panamericana" TargetMode="External"/><Relationship Id="rId113" Type="http://schemas.openxmlformats.org/officeDocument/2006/relationships/hyperlink" Target="http://www.topuniversities.com/universities/universidad-iberoamericana-uia" TargetMode="External"/><Relationship Id="rId118" Type="http://schemas.openxmlformats.org/officeDocument/2006/relationships/hyperlink" Target="http://www.topuniversities.com/universities/universidad-panamericana" TargetMode="External"/><Relationship Id="rId134" Type="http://schemas.openxmlformats.org/officeDocument/2006/relationships/hyperlink" Target="https://www.topuniversities.com/university-rankings/world-university-rankings/2024?&amp;countries=mx" TargetMode="External"/><Relationship Id="rId80" Type="http://schemas.openxmlformats.org/officeDocument/2006/relationships/hyperlink" Target="http://www.topuniversities.com/universities/universidad-de-las-am%C3%A9ricas-puebla-udlap/undergrad" TargetMode="External"/><Relationship Id="rId85" Type="http://schemas.openxmlformats.org/officeDocument/2006/relationships/hyperlink" Target="http://www.topuniversities.com/universities/universidad-de-monterrey-udem" TargetMode="External"/><Relationship Id="rId12" Type="http://schemas.openxmlformats.org/officeDocument/2006/relationships/hyperlink" Target="http://www.topuniversities.com/universities/benem%C3%A9rita-universidad-aut%C3%B3noma-de-puebla" TargetMode="External"/><Relationship Id="rId17" Type="http://schemas.openxmlformats.org/officeDocument/2006/relationships/hyperlink" Target="http://www.topuniversities.com/universities/universidad-de-las-am%C3%A9ricas-puebla-udlap/undergrad" TargetMode="External"/><Relationship Id="rId33" Type="http://schemas.openxmlformats.org/officeDocument/2006/relationships/hyperlink" Target="http://www.topuniversities.com/universities/universidad-panamericana/undergrad-0" TargetMode="External"/><Relationship Id="rId38" Type="http://schemas.openxmlformats.org/officeDocument/2006/relationships/hyperlink" Target="http://www.topuniversities.com/universities/universidad-autonoma-de-nuevo-leon-uanl/undergrad" TargetMode="External"/><Relationship Id="rId59" Type="http://schemas.openxmlformats.org/officeDocument/2006/relationships/hyperlink" Target="http://www.topuniversities.com/universities/universidad-aut%C3%B3noma-del-estado-de-m%C3%A9xico-1" TargetMode="External"/><Relationship Id="rId103" Type="http://schemas.openxmlformats.org/officeDocument/2006/relationships/hyperlink" Target="http://www.topuniversities.com/universities/universidad-anahuac" TargetMode="External"/><Relationship Id="rId108" Type="http://schemas.openxmlformats.org/officeDocument/2006/relationships/hyperlink" Target="http://www.topuniversities.com/universities/universidad-de-guadalajara-udg" TargetMode="External"/><Relationship Id="rId124" Type="http://schemas.openxmlformats.org/officeDocument/2006/relationships/hyperlink" Target="https://www.topuniversities.com/university-rankings/world-university-rankings/2023" TargetMode="External"/><Relationship Id="rId129" Type="http://schemas.openxmlformats.org/officeDocument/2006/relationships/hyperlink" Target="http://www.topuniversities.com/university-rankings/world-university-rankings/2015?utm_source=tu_house&amp;utm_medium=web_banner&amp;utm_campaign=WUR-2015" TargetMode="External"/><Relationship Id="rId54" Type="http://schemas.openxmlformats.org/officeDocument/2006/relationships/hyperlink" Target="http://www.topuniversities.com/universities/universidad-de-guadalajara-udg" TargetMode="External"/><Relationship Id="rId70" Type="http://schemas.openxmlformats.org/officeDocument/2006/relationships/hyperlink" Target="http://www.topuniversities.com/universities/universidad-autonoma-de-nuevo-leon-uanl" TargetMode="External"/><Relationship Id="rId75" Type="http://schemas.openxmlformats.org/officeDocument/2006/relationships/hyperlink" Target="http://www.topuniversities.com/universities/universidad-anahuac" TargetMode="External"/><Relationship Id="rId91" Type="http://schemas.openxmlformats.org/officeDocument/2006/relationships/hyperlink" Target="http://www.topuniversities.com/universities/universidad-iberoamericana-uia" TargetMode="External"/><Relationship Id="rId96" Type="http://schemas.openxmlformats.org/officeDocument/2006/relationships/hyperlink" Target="http://www.topuniversities.com/universities/universidad-panamericana" TargetMode="External"/><Relationship Id="rId1" Type="http://schemas.openxmlformats.org/officeDocument/2006/relationships/hyperlink" Target="http://www.topuniversities.com/universities/universidad-aut%C3%B3noma-del-estado-de-mexico-uaemex/undergrad" TargetMode="External"/><Relationship Id="rId6" Type="http://schemas.openxmlformats.org/officeDocument/2006/relationships/hyperlink" Target="http://www.topuniversities.com/universities/instituto-tecnol%C3%B3gico-aut%C3%B3nomo-de-m%C3%A9xico-itam" TargetMode="External"/><Relationship Id="rId23" Type="http://schemas.openxmlformats.org/officeDocument/2006/relationships/hyperlink" Target="http://www.topuniversities.com/universities/universidad-de-guadalajara-udg" TargetMode="External"/><Relationship Id="rId28" Type="http://schemas.openxmlformats.org/officeDocument/2006/relationships/hyperlink" Target="http://www.topuniversities.com/universities/universidad-de-monterrey-udem" TargetMode="External"/><Relationship Id="rId49" Type="http://schemas.openxmlformats.org/officeDocument/2006/relationships/hyperlink" Target="http://www.topuniversities.com/universities/universidad-aut%C3%B3noma-del-estado-de-m%C3%A9xico-1" TargetMode="External"/><Relationship Id="rId114" Type="http://schemas.openxmlformats.org/officeDocument/2006/relationships/hyperlink" Target="http://www.topuniversities.com/universities/universidad-anahuac" TargetMode="External"/><Relationship Id="rId119" Type="http://schemas.openxmlformats.org/officeDocument/2006/relationships/hyperlink" Target="http://www.topuniversities.com/universities/universidad-de-guadalajara-udg" TargetMode="External"/><Relationship Id="rId44" Type="http://schemas.openxmlformats.org/officeDocument/2006/relationships/hyperlink" Target="http://www.topuniversities.com/universities/universidad-de-guadalajara-udg" TargetMode="External"/><Relationship Id="rId60" Type="http://schemas.openxmlformats.org/officeDocument/2006/relationships/hyperlink" Target="http://www.topuniversities.com/universities/instituto-tecnol%C3%B3gico-autonomo-de-m%C3%A9xico-itam" TargetMode="External"/><Relationship Id="rId65" Type="http://schemas.openxmlformats.org/officeDocument/2006/relationships/hyperlink" Target="http://www.topuniversities.com/universities/universidad-aut%C3%B3noma-metropolitana-uam/undergrad" TargetMode="External"/><Relationship Id="rId81" Type="http://schemas.openxmlformats.org/officeDocument/2006/relationships/hyperlink" Target="http://www.topuniversities.com/universities/instituto-polit%C3%A9cnico-nacional-ipn" TargetMode="External"/><Relationship Id="rId86" Type="http://schemas.openxmlformats.org/officeDocument/2006/relationships/hyperlink" Target="http://www.topuniversities.com/universities/universidad-nacional-aut%C3%B3noma-de-m%C3%A9xico-unam" TargetMode="External"/><Relationship Id="rId130" Type="http://schemas.openxmlformats.org/officeDocument/2006/relationships/hyperlink" Target="http://www.topuniversities.com/university-rankings/world-university-rankings/2014" TargetMode="External"/><Relationship Id="rId135" Type="http://schemas.openxmlformats.org/officeDocument/2006/relationships/printerSettings" Target="../printerSettings/printerSettings56.bin"/><Relationship Id="rId13" Type="http://schemas.openxmlformats.org/officeDocument/2006/relationships/hyperlink" Target="http://www.topuniversities.com/universities/universidad-autonoma-de-nuevo-leon-uanl" TargetMode="External"/><Relationship Id="rId18" Type="http://schemas.openxmlformats.org/officeDocument/2006/relationships/hyperlink" Target="http://www.topuniversities.com/universities/universidad-nacional-aut%C3%B3noma-de-m%C3%A9xico-unam" TargetMode="External"/><Relationship Id="rId39" Type="http://schemas.openxmlformats.org/officeDocument/2006/relationships/hyperlink" Target="http://www.topuniversities.com/universities/universidad-aut%C3%B3noma-del-estado-de-mexico-uaemex/undergrad" TargetMode="External"/><Relationship Id="rId109" Type="http://schemas.openxmlformats.org/officeDocument/2006/relationships/hyperlink" Target="http://www.topuniversities.com/universities/instituto-polit%C3%A9cnico-nacional-ipn" TargetMode="External"/><Relationship Id="rId34" Type="http://schemas.openxmlformats.org/officeDocument/2006/relationships/hyperlink" Target="http://www.topuniversities.com/universities/universidad-anahuac/undergrad" TargetMode="External"/><Relationship Id="rId50" Type="http://schemas.openxmlformats.org/officeDocument/2006/relationships/hyperlink" Target="http://www.topuniversities.com/universities/instituto-tecnol%C3%B3gico-autonomo-de-m%C3%A9xico-itam" TargetMode="External"/><Relationship Id="rId55" Type="http://schemas.openxmlformats.org/officeDocument/2006/relationships/hyperlink" Target="http://www.topuniversities.com/universities/instituto-polit%C3%A9cnico-nacional-ipn" TargetMode="External"/><Relationship Id="rId76" Type="http://schemas.openxmlformats.org/officeDocument/2006/relationships/hyperlink" Target="http://www.topuniversities.com/universities/universidad-iberoamericana-uia" TargetMode="External"/><Relationship Id="rId97" Type="http://schemas.openxmlformats.org/officeDocument/2006/relationships/hyperlink" Target="http://www.topuniversities.com/universities/universidad-de-guadalajara-udg" TargetMode="External"/><Relationship Id="rId104" Type="http://schemas.openxmlformats.org/officeDocument/2006/relationships/hyperlink" Target="http://www.topuniversities.com/universities/instituto-tecnol%C3%B3gico-aut%C3%B3nomo-de-m%C3%A9xico-itam" TargetMode="External"/><Relationship Id="rId120" Type="http://schemas.openxmlformats.org/officeDocument/2006/relationships/hyperlink" Target="http://www.topuniversities.com/universities/instituto-polit%C3%A9cnico-nacional-ipn" TargetMode="External"/><Relationship Id="rId125" Type="http://schemas.openxmlformats.org/officeDocument/2006/relationships/hyperlink" Target="https://www.topuniversities.com/university-rankings/world-university-rankings/2021" TargetMode="External"/><Relationship Id="rId7" Type="http://schemas.openxmlformats.org/officeDocument/2006/relationships/hyperlink" Target="http://www.topuniversities.com/universities/instituto-polit%C3%A9cnico-nacional-ipn" TargetMode="External"/><Relationship Id="rId71" Type="http://schemas.openxmlformats.org/officeDocument/2006/relationships/hyperlink" Target="http://www.topuniversities.com/universities/universidad-de-monterrey-udem" TargetMode="External"/><Relationship Id="rId92" Type="http://schemas.openxmlformats.org/officeDocument/2006/relationships/hyperlink" Target="http://www.topuniversities.com/universities/universidad-anahuac" TargetMode="External"/><Relationship Id="rId2" Type="http://schemas.openxmlformats.org/officeDocument/2006/relationships/hyperlink" Target="http://www.topuniversities.com/universities/universidad-aut%C3%B3noma-metropolitana-uam/undergrad" TargetMode="External"/><Relationship Id="rId29" Type="http://schemas.openxmlformats.org/officeDocument/2006/relationships/hyperlink" Target="http://www.topuniversities.com/universities/universidad-nacional-aut%C3%B3noma-de-mexico-unam/undergrad" TargetMode="External"/><Relationship Id="rId24" Type="http://schemas.openxmlformats.org/officeDocument/2006/relationships/hyperlink" Target="http://www.topuniversities.com/universities/universidad-iberoamericana-uia" TargetMode="External"/><Relationship Id="rId40" Type="http://schemas.openxmlformats.org/officeDocument/2006/relationships/hyperlink" Target="http://www.topuniversities.com/universities/universidad-aut%C3%B3noma-metropolitana-uam/undergrad" TargetMode="External"/><Relationship Id="rId45" Type="http://schemas.openxmlformats.org/officeDocument/2006/relationships/hyperlink" Target="http://www.topuniversities.com/universities/instituto-polit%C3%A9cnico-nacional-ipn" TargetMode="External"/><Relationship Id="rId66" Type="http://schemas.openxmlformats.org/officeDocument/2006/relationships/hyperlink" Target="http://www.topuniversities.com/universities/universidad-de-las-am%C3%A9ricas-puebla-udlap/undergrad" TargetMode="External"/><Relationship Id="rId87" Type="http://schemas.openxmlformats.org/officeDocument/2006/relationships/hyperlink" Target="http://www.topuniversities.com/universities/instituto-tecnol%C3%B3gico-y-de-estudios-superiores-de-monterrey" TargetMode="External"/><Relationship Id="rId110" Type="http://schemas.openxmlformats.org/officeDocument/2006/relationships/hyperlink" Target="http://www.topuniversities.com/universities/universidad-de-las-am%C3%A9ricas-puebla-udlap/undergrad" TargetMode="External"/><Relationship Id="rId115" Type="http://schemas.openxmlformats.org/officeDocument/2006/relationships/hyperlink" Target="http://www.topuniversities.com/universities/instituto-tecnol%C3%B3gico-aut%C3%B3nomo-de-m%C3%A9xico-itam" TargetMode="External"/><Relationship Id="rId131" Type="http://schemas.openxmlformats.org/officeDocument/2006/relationships/hyperlink" Target="https://www.topuniversities.com/university-rankings/world-university-rankings/2016" TargetMode="External"/><Relationship Id="rId136" Type="http://schemas.openxmlformats.org/officeDocument/2006/relationships/drawing" Target="../drawings/drawing48.xml"/><Relationship Id="rId61" Type="http://schemas.openxmlformats.org/officeDocument/2006/relationships/hyperlink" Target="http://www.topuniversities.com/universities/benem%C3%A9rita-universidad-aut%C3%B3noma-de-puebla-0" TargetMode="External"/><Relationship Id="rId82" Type="http://schemas.openxmlformats.org/officeDocument/2006/relationships/hyperlink" Target="http://www.topuniversities.com/universities/universidad-de-guadalajara-udg" TargetMode="External"/><Relationship Id="rId19" Type="http://schemas.openxmlformats.org/officeDocument/2006/relationships/hyperlink" Target="http://www.topuniversities.com/universities/instituto-tecnol%C3%B3gico-y-de-estudios-superiores-de-monterrey" TargetMode="External"/><Relationship Id="rId14" Type="http://schemas.openxmlformats.org/officeDocument/2006/relationships/hyperlink" Target="http://www.topuniversities.com/universities/universidad-de-monterrey-udem" TargetMode="External"/><Relationship Id="rId30" Type="http://schemas.openxmlformats.org/officeDocument/2006/relationships/hyperlink" Target="http://www.topuniversities.com/universities/instituto-tecnol%C3%B3gico-y-de-estudios-superiores-de-monterrey/undergrad" TargetMode="External"/><Relationship Id="rId35" Type="http://schemas.openxmlformats.org/officeDocument/2006/relationships/hyperlink" Target="http://www.topuniversities.com/universities/universidad-de-guadalajara-udg/undergrad" TargetMode="External"/><Relationship Id="rId56" Type="http://schemas.openxmlformats.org/officeDocument/2006/relationships/hyperlink" Target="http://www.topuniversities.com/universities/universidad-iberoamericana-uia" TargetMode="External"/><Relationship Id="rId77" Type="http://schemas.openxmlformats.org/officeDocument/2006/relationships/hyperlink" Target="http://www.topuniversities.com/universities/benem%C3%A9rita-universidad-aut%C3%B3noma-de-puebla" TargetMode="External"/><Relationship Id="rId100" Type="http://schemas.openxmlformats.org/officeDocument/2006/relationships/hyperlink" Target="http://www.topuniversities.com/universities/universidad-aut%C3%B3noma-metropolitana-uam/undergrad" TargetMode="External"/><Relationship Id="rId105" Type="http://schemas.openxmlformats.org/officeDocument/2006/relationships/hyperlink" Target="http://www.topuniversities.com/universities/instituto-tecnol%C3%B3gico-y-de-estudios-superiores-de-monterrey" TargetMode="External"/><Relationship Id="rId126" Type="http://schemas.openxmlformats.org/officeDocument/2006/relationships/hyperlink" Target="https://www.topuniversities.com/university-rankings/world-university-rankings/2019" TargetMode="External"/><Relationship Id="rId8" Type="http://schemas.openxmlformats.org/officeDocument/2006/relationships/hyperlink" Target="http://www.topuniversities.com/universities/universidad-anahuac" TargetMode="External"/><Relationship Id="rId51" Type="http://schemas.openxmlformats.org/officeDocument/2006/relationships/hyperlink" Target="http://www.topuniversities.com/universities/benem%C3%A9rita-universidad-aut%C3%B3noma-de-puebla-0" TargetMode="External"/><Relationship Id="rId72" Type="http://schemas.openxmlformats.org/officeDocument/2006/relationships/hyperlink" Target="http://www.topuniversities.com/universities/universidad-nacional-aut%C3%B3noma-de-m%C3%A9xico-unam" TargetMode="External"/><Relationship Id="rId93" Type="http://schemas.openxmlformats.org/officeDocument/2006/relationships/hyperlink" Target="http://www.topuniversities.com/universities/instituto-tecnol%C3%B3gico-aut%C3%B3nomo-de-m%C3%A9xico-itam" TargetMode="External"/><Relationship Id="rId98" Type="http://schemas.openxmlformats.org/officeDocument/2006/relationships/hyperlink" Target="http://www.topuniversities.com/universities/instituto-polit%C3%A9cnico-nacional-ipn" TargetMode="External"/><Relationship Id="rId121" Type="http://schemas.openxmlformats.org/officeDocument/2006/relationships/hyperlink" Target="http://www.topuniversities.com/universities/universidad-aut%C3%B3noma-metropolitana-uam/undergrad" TargetMode="External"/><Relationship Id="rId3" Type="http://schemas.openxmlformats.org/officeDocument/2006/relationships/hyperlink" Target="http://www.topuniversities.com/universities/universidad-de-las-am%C3%A9ricas-puebla-udlap/undergrad" TargetMode="External"/><Relationship Id="rId25" Type="http://schemas.openxmlformats.org/officeDocument/2006/relationships/hyperlink" Target="http://www.topuniversities.com/universities/universidad-panamericana" TargetMode="External"/><Relationship Id="rId46" Type="http://schemas.openxmlformats.org/officeDocument/2006/relationships/hyperlink" Target="http://www.topuniversities.com/universities/universidad-iberoamericana-uia" TargetMode="External"/><Relationship Id="rId67" Type="http://schemas.openxmlformats.org/officeDocument/2006/relationships/hyperlink" Target="http://www.topuniversities.com/universities/instituto-polit%C3%A9cnico-nacional-ipn" TargetMode="External"/><Relationship Id="rId116" Type="http://schemas.openxmlformats.org/officeDocument/2006/relationships/hyperlink" Target="http://www.topuniversities.com/universities/instituto-tecnol%C3%B3gico-y-de-estudios-superiores-de-monterrey" TargetMode="External"/><Relationship Id="rId20" Type="http://schemas.openxmlformats.org/officeDocument/2006/relationships/hyperlink" Target="http://www.topuniversities.com/universities/instituto-tecnol%C3%B3gico-aut%C3%B3nomo-de-m%C3%A9xico-itam" TargetMode="External"/><Relationship Id="rId41" Type="http://schemas.openxmlformats.org/officeDocument/2006/relationships/hyperlink" Target="http://www.topuniversities.com/universities/universidad-de-las-am%C3%A9ricas-puebla-udlap/undergrad" TargetMode="External"/><Relationship Id="rId62" Type="http://schemas.openxmlformats.org/officeDocument/2006/relationships/hyperlink" Target="http://www.topuniversities.com/universities/colegio-de-m%C3%A9xico" TargetMode="External"/><Relationship Id="rId83" Type="http://schemas.openxmlformats.org/officeDocument/2006/relationships/hyperlink" Target="http://www.topuniversities.com/universities/universidad-panamericana" TargetMode="External"/><Relationship Id="rId88" Type="http://schemas.openxmlformats.org/officeDocument/2006/relationships/hyperlink" Target="http://www.topuniversities.com/universities/instituto-tecnol%C3%B3gico-aut%C3%B3nomo-de-m%C3%A9xico-itam" TargetMode="External"/><Relationship Id="rId111" Type="http://schemas.openxmlformats.org/officeDocument/2006/relationships/hyperlink" Target="http://www.topuniversities.com/universities/universidad-aut%C3%B3noma-metropolitana-uam/undergrad" TargetMode="External"/><Relationship Id="rId132" Type="http://schemas.openxmlformats.org/officeDocument/2006/relationships/hyperlink" Target="https://www.topuniversities.com/university-rankings/world-university-rankings/2018" TargetMode="External"/><Relationship Id="rId15" Type="http://schemas.openxmlformats.org/officeDocument/2006/relationships/hyperlink" Target="http://www.topuniversities.com/universities/universidad-aut%C3%B3noma-del-estado-de-mexico-uaemex/undergrad" TargetMode="External"/><Relationship Id="rId36" Type="http://schemas.openxmlformats.org/officeDocument/2006/relationships/hyperlink" Target="http://www.topuniversities.com/universities/instituto-tecnol%C3%B3gico-aut%C3%B3nomo-de-m%C3%A9xico-itam/undergrad" TargetMode="External"/><Relationship Id="rId57" Type="http://schemas.openxmlformats.org/officeDocument/2006/relationships/hyperlink" Target="http://www.topuniversities.com/universities/universidad-de-las-am%C3%A9ricas-puebla-udlap" TargetMode="External"/><Relationship Id="rId106" Type="http://schemas.openxmlformats.org/officeDocument/2006/relationships/hyperlink" Target="http://www.topuniversities.com/universities/universidad-nacional-aut%C3%B3noma-de-m%C3%A9xico-unam" TargetMode="External"/><Relationship Id="rId127" Type="http://schemas.openxmlformats.org/officeDocument/2006/relationships/hyperlink" Target="http://www.topuniversities.com/university-rankings/world-university-rankings/2012" TargetMode="External"/><Relationship Id="rId10" Type="http://schemas.openxmlformats.org/officeDocument/2006/relationships/hyperlink" Target="http://www.topuniversities.com/universities/universidad-iberoamericana-uia" TargetMode="External"/><Relationship Id="rId31" Type="http://schemas.openxmlformats.org/officeDocument/2006/relationships/hyperlink" Target="http://www.topuniversities.com/universities/instituto-polit%C3%A9cnico-nacional-ipn/undergrad" TargetMode="External"/><Relationship Id="rId52" Type="http://schemas.openxmlformats.org/officeDocument/2006/relationships/hyperlink" Target="http://www.topuniversities.com/universities/universidad-nacional-aut%C3%B3noma-de-m%C3%A9xico-unam" TargetMode="External"/><Relationship Id="rId73" Type="http://schemas.openxmlformats.org/officeDocument/2006/relationships/hyperlink" Target="http://www.topuniversities.com/universities/instituto-tecnol%C3%B3gico-y-de-estudios-superiores-de-monterrey" TargetMode="External"/><Relationship Id="rId78" Type="http://schemas.openxmlformats.org/officeDocument/2006/relationships/hyperlink" Target="http://www.topuniversities.com/universities/universidad-aut%C3%B3noma-del-estado-de-mexico-uaemex/undergrad" TargetMode="External"/><Relationship Id="rId94" Type="http://schemas.openxmlformats.org/officeDocument/2006/relationships/hyperlink" Target="http://www.topuniversities.com/universities/instituto-tecnol%C3%B3gico-y-de-estudios-superiores-de-monterrey" TargetMode="External"/><Relationship Id="rId99" Type="http://schemas.openxmlformats.org/officeDocument/2006/relationships/hyperlink" Target="http://www.topuniversities.com/universities/universidad-de-las-am%C3%A9ricas-puebla-udlap/undergrad" TargetMode="External"/><Relationship Id="rId101" Type="http://schemas.openxmlformats.org/officeDocument/2006/relationships/hyperlink" Target="http://www.topuniversities.com/universities/universidad-aut%C3%B3noma-del-estado-de-mexico-uaemex/undergrad" TargetMode="External"/><Relationship Id="rId122" Type="http://schemas.openxmlformats.org/officeDocument/2006/relationships/hyperlink" Target="http://www.topuniversities.com/universities/universidad-aut%C3%B3noma-del-estado-de-mexico-uaemex/undergrad" TargetMode="External"/><Relationship Id="rId4" Type="http://schemas.openxmlformats.org/officeDocument/2006/relationships/hyperlink" Target="http://www.topuniversities.com/universities/universidad-nacional-aut%C3%B3noma-de-m%C3%A9xico-unam" TargetMode="External"/><Relationship Id="rId9" Type="http://schemas.openxmlformats.org/officeDocument/2006/relationships/hyperlink" Target="http://www.topuniversities.com/universities/universidad-de-guadalajara-udg" TargetMode="External"/><Relationship Id="rId26" Type="http://schemas.openxmlformats.org/officeDocument/2006/relationships/hyperlink" Target="http://www.topuniversities.com/universities/benem%C3%A9rita-universidad-aut%C3%B3noma-de-puebla" TargetMode="External"/><Relationship Id="rId47" Type="http://schemas.openxmlformats.org/officeDocument/2006/relationships/hyperlink" Target="http://www.topuniversities.com/universities/universidad-de-las-am%C3%A9ricas-puebla-udlap" TargetMode="External"/><Relationship Id="rId68" Type="http://schemas.openxmlformats.org/officeDocument/2006/relationships/hyperlink" Target="http://www.topuniversities.com/universities/universidad-de-guadalajara-udg" TargetMode="External"/><Relationship Id="rId89" Type="http://schemas.openxmlformats.org/officeDocument/2006/relationships/hyperlink" Target="http://www.topuniversities.com/universities/universidad-anahuac" TargetMode="External"/><Relationship Id="rId112" Type="http://schemas.openxmlformats.org/officeDocument/2006/relationships/hyperlink" Target="http://www.topuniversities.com/universities/universidad-aut%C3%B3noma-del-estado-de-mexico-uaemex/undergrad" TargetMode="External"/><Relationship Id="rId133" Type="http://schemas.openxmlformats.org/officeDocument/2006/relationships/hyperlink" Target="https://www.topuniversities.com/university-rankings/world-university-rankings/2019"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zoomScaleSheetLayoutView="40" workbookViewId="0">
      <selection activeCell="Q21" sqref="Q21"/>
    </sheetView>
  </sheetViews>
  <sheetFormatPr baseColWidth="10" defaultRowHeight="14.4"/>
  <sheetData/>
  <printOptions horizontalCentered="1" verticalCentered="1"/>
  <pageMargins left="0.70866141732283472" right="0.70866141732283472" top="0.74803149606299213" bottom="0.74803149606299213" header="0.31496062992125984" footer="0.31496062992125984"/>
  <pageSetup scale="82"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P38"/>
  <sheetViews>
    <sheetView showGridLines="0" zoomScaleNormal="100" workbookViewId="0">
      <pane xSplit="2" ySplit="4" topLeftCell="C12" activePane="bottomRight" state="frozen"/>
      <selection activeCell="C65" sqref="C65:C67"/>
      <selection pane="topRight" activeCell="C65" sqref="C65:C67"/>
      <selection pane="bottomLeft" activeCell="C65" sqref="C65:C67"/>
      <selection pane="bottomRight" activeCell="A38" sqref="A38:XFD38"/>
    </sheetView>
  </sheetViews>
  <sheetFormatPr baseColWidth="10" defaultRowHeight="14.4"/>
  <cols>
    <col min="1" max="1" width="2.6640625" customWidth="1"/>
    <col min="2" max="2" width="44.44140625" customWidth="1"/>
  </cols>
  <sheetData>
    <row r="1" spans="2:16" ht="33" customHeight="1">
      <c r="L1" s="7002" t="s">
        <v>3307</v>
      </c>
      <c r="M1" s="7002"/>
      <c r="N1" s="7002"/>
      <c r="O1" s="7002"/>
      <c r="P1" s="7002"/>
    </row>
    <row r="2" spans="2:16">
      <c r="P2" s="6486" t="s">
        <v>3367</v>
      </c>
    </row>
    <row r="4" spans="2:16" ht="15" thickBot="1">
      <c r="B4" s="2118" t="s">
        <v>2439</v>
      </c>
      <c r="C4" s="2119">
        <v>2010</v>
      </c>
      <c r="D4" s="2119">
        <v>2011</v>
      </c>
      <c r="E4" s="2119">
        <v>2012</v>
      </c>
      <c r="F4" s="2119">
        <v>2013</v>
      </c>
      <c r="G4" s="2119">
        <v>2014</v>
      </c>
      <c r="H4" s="2119">
        <v>2015</v>
      </c>
      <c r="I4" s="2119">
        <v>2016</v>
      </c>
      <c r="J4" s="2119">
        <v>2017</v>
      </c>
      <c r="K4" s="2119">
        <v>2018</v>
      </c>
      <c r="L4" s="2114">
        <v>2019</v>
      </c>
      <c r="M4" s="2114">
        <v>2020</v>
      </c>
      <c r="N4" s="3270">
        <v>2021</v>
      </c>
      <c r="O4" s="3270">
        <v>2022</v>
      </c>
      <c r="P4" s="3270">
        <v>2023</v>
      </c>
    </row>
    <row r="5" spans="2:16">
      <c r="B5" s="2500" t="s">
        <v>102</v>
      </c>
      <c r="C5" s="2471">
        <v>0.46666666666666667</v>
      </c>
      <c r="D5" s="2472">
        <v>0.76923076923076927</v>
      </c>
      <c r="E5" s="2473">
        <v>0.875</v>
      </c>
      <c r="F5" s="2474">
        <v>0.6875</v>
      </c>
      <c r="G5" s="2475">
        <v>0.89473684210526316</v>
      </c>
      <c r="H5" s="2475">
        <v>0.72222222222222221</v>
      </c>
      <c r="I5" s="2475">
        <v>0.8571428571428571</v>
      </c>
      <c r="J5" s="2475">
        <v>0.95</v>
      </c>
      <c r="K5" s="2476">
        <v>0.9</v>
      </c>
      <c r="L5" s="2476">
        <v>0.92859999999999998</v>
      </c>
      <c r="M5" s="2476">
        <v>0.875</v>
      </c>
      <c r="N5" s="2476">
        <v>0.875</v>
      </c>
      <c r="O5" s="2476">
        <v>0.69200000000000006</v>
      </c>
      <c r="P5" s="2476">
        <v>0.42099999999999999</v>
      </c>
    </row>
    <row r="6" spans="2:16">
      <c r="B6" s="2501" t="s">
        <v>387</v>
      </c>
      <c r="C6" s="2477"/>
      <c r="D6" s="2478">
        <v>0.63636363636363635</v>
      </c>
      <c r="E6" s="2479">
        <v>0.8</v>
      </c>
      <c r="F6" s="2480"/>
      <c r="G6" s="2481">
        <v>0.4</v>
      </c>
      <c r="H6" s="2481"/>
      <c r="I6" s="2481">
        <v>0.55555555555555558</v>
      </c>
      <c r="J6" s="2481"/>
      <c r="K6" s="2482"/>
      <c r="L6" s="2482"/>
      <c r="M6" s="2482">
        <v>0.14299999999999999</v>
      </c>
      <c r="N6" s="2482"/>
      <c r="O6" s="2482"/>
      <c r="P6" s="2482"/>
    </row>
    <row r="7" spans="2:16" s="4622" customFormat="1">
      <c r="B7" s="2501" t="s">
        <v>2366</v>
      </c>
      <c r="C7" s="2477"/>
      <c r="D7" s="2478"/>
      <c r="E7" s="2479"/>
      <c r="F7" s="2480"/>
      <c r="G7" s="2481"/>
      <c r="H7" s="2481"/>
      <c r="I7" s="2481"/>
      <c r="J7" s="2481"/>
      <c r="K7" s="2482"/>
      <c r="L7" s="2482"/>
      <c r="M7" s="2482">
        <v>0.75</v>
      </c>
      <c r="N7" s="2482">
        <v>0</v>
      </c>
      <c r="O7" s="2482">
        <v>0</v>
      </c>
      <c r="P7" s="2482"/>
    </row>
    <row r="8" spans="2:16">
      <c r="B8" s="2502" t="s">
        <v>118</v>
      </c>
      <c r="C8" s="2477"/>
      <c r="D8" s="2483"/>
      <c r="E8" s="2481"/>
      <c r="F8" s="2480"/>
      <c r="G8" s="2484">
        <v>0.72413793103448276</v>
      </c>
      <c r="H8" s="2484"/>
      <c r="I8" s="2484"/>
      <c r="J8" s="2484"/>
      <c r="K8" s="2485"/>
      <c r="L8" s="2485"/>
      <c r="M8" s="2482"/>
      <c r="N8" s="2482"/>
      <c r="O8" s="2482"/>
      <c r="P8" s="2482"/>
    </row>
    <row r="9" spans="2:16">
      <c r="B9" s="2503" t="s">
        <v>483</v>
      </c>
      <c r="C9" s="2486">
        <v>0.46666666666666667</v>
      </c>
      <c r="D9" s="2487">
        <v>0.70833333333333337</v>
      </c>
      <c r="E9" s="2479"/>
      <c r="F9" s="2488">
        <v>0.6470588235294118</v>
      </c>
      <c r="G9" s="2484"/>
      <c r="H9" s="2484">
        <v>0.72222222222222221</v>
      </c>
      <c r="I9" s="2484">
        <v>0.76666666666666672</v>
      </c>
      <c r="J9" s="2484">
        <v>0.95</v>
      </c>
      <c r="K9" s="2485">
        <v>0.9</v>
      </c>
      <c r="L9" s="2485">
        <v>0.92859999999999998</v>
      </c>
      <c r="M9" s="2485">
        <v>0.83899999999999997</v>
      </c>
      <c r="N9" s="2485">
        <v>0.5</v>
      </c>
      <c r="O9" s="2485">
        <v>0.34599999999999997</v>
      </c>
      <c r="P9" s="2485">
        <v>0.28599999999999998</v>
      </c>
    </row>
    <row r="10" spans="2:16">
      <c r="B10" s="2502" t="s">
        <v>104</v>
      </c>
      <c r="C10" s="2489">
        <v>0.44</v>
      </c>
      <c r="D10" s="2478">
        <v>0.43055555555555558</v>
      </c>
      <c r="E10" s="2481"/>
      <c r="F10" s="2490">
        <v>0.39473684210526316</v>
      </c>
      <c r="G10" s="2477"/>
      <c r="H10" s="2477"/>
      <c r="I10" s="2477"/>
      <c r="J10" s="2477"/>
      <c r="K10" s="2491"/>
      <c r="L10" s="2491"/>
      <c r="M10" s="2491"/>
      <c r="N10" s="2491"/>
      <c r="O10" s="2491"/>
      <c r="P10" s="2491"/>
    </row>
    <row r="11" spans="2:16" s="2042" customFormat="1">
      <c r="B11" s="2502" t="s">
        <v>729</v>
      </c>
      <c r="C11" s="2489"/>
      <c r="D11" s="2478"/>
      <c r="E11" s="2481"/>
      <c r="F11" s="2490"/>
      <c r="G11" s="2477"/>
      <c r="H11" s="2477"/>
      <c r="I11" s="2477"/>
      <c r="J11" s="2477"/>
      <c r="K11" s="2491">
        <v>0.4</v>
      </c>
      <c r="L11" s="2491">
        <v>0.66669999999999996</v>
      </c>
      <c r="M11" s="2491"/>
      <c r="N11" s="2491">
        <v>1</v>
      </c>
      <c r="O11" s="2491">
        <v>0.625</v>
      </c>
      <c r="P11" s="2491"/>
    </row>
    <row r="12" spans="2:16" s="4832" customFormat="1">
      <c r="B12" s="2502" t="s">
        <v>2724</v>
      </c>
      <c r="C12" s="2489"/>
      <c r="D12" s="2478"/>
      <c r="E12" s="2481"/>
      <c r="F12" s="2490"/>
      <c r="G12" s="2477"/>
      <c r="H12" s="2477"/>
      <c r="I12" s="2477"/>
      <c r="J12" s="2477"/>
      <c r="K12" s="2491"/>
      <c r="L12" s="2491"/>
      <c r="M12" s="2491"/>
      <c r="N12" s="2491">
        <v>0</v>
      </c>
      <c r="O12" s="2491"/>
      <c r="P12" s="2491"/>
    </row>
    <row r="13" spans="2:16" ht="28.8">
      <c r="B13" s="2504" t="s">
        <v>1454</v>
      </c>
      <c r="C13" s="2489"/>
      <c r="D13" s="2478"/>
      <c r="E13" s="2481"/>
      <c r="F13" s="2490"/>
      <c r="G13" s="2477"/>
      <c r="H13" s="2477">
        <v>0</v>
      </c>
      <c r="I13" s="2477"/>
      <c r="J13" s="2477">
        <v>0.8</v>
      </c>
      <c r="K13" s="2491">
        <v>0</v>
      </c>
      <c r="L13" s="2491">
        <v>1</v>
      </c>
      <c r="M13" s="2491"/>
      <c r="N13" s="2491">
        <v>1</v>
      </c>
      <c r="O13" s="2491">
        <v>0.85699999999999998</v>
      </c>
      <c r="P13" s="2491"/>
    </row>
    <row r="14" spans="2:16">
      <c r="B14" s="2503" t="s">
        <v>484</v>
      </c>
      <c r="C14" s="2486">
        <v>0.44</v>
      </c>
      <c r="D14" s="2487">
        <v>0.43055555555555558</v>
      </c>
      <c r="E14" s="2479"/>
      <c r="F14" s="2488">
        <v>0.39473684210526316</v>
      </c>
      <c r="G14" s="2484"/>
      <c r="H14" s="2484">
        <v>0</v>
      </c>
      <c r="I14" s="2484"/>
      <c r="J14" s="2484">
        <v>0.8</v>
      </c>
      <c r="K14" s="2485">
        <v>0.15384615384615385</v>
      </c>
      <c r="L14" s="2485">
        <v>0.84615384615384615</v>
      </c>
      <c r="M14" s="2485"/>
      <c r="N14" s="2485">
        <v>0.92900000000000005</v>
      </c>
      <c r="O14" s="2485">
        <v>0.73299999999999998</v>
      </c>
      <c r="P14" s="2485"/>
    </row>
    <row r="15" spans="2:16">
      <c r="B15" s="2513" t="s">
        <v>105</v>
      </c>
      <c r="C15" s="2514">
        <v>0.44615384615384618</v>
      </c>
      <c r="D15" s="2515">
        <v>0.5</v>
      </c>
      <c r="E15" s="2516">
        <v>0.84615384615384615</v>
      </c>
      <c r="F15" s="2517">
        <v>0.44086021505376344</v>
      </c>
      <c r="G15" s="2518">
        <v>0.72413793103448276</v>
      </c>
      <c r="H15" s="2518">
        <v>0</v>
      </c>
      <c r="I15" s="2518">
        <v>0.76666666666666672</v>
      </c>
      <c r="J15" s="2518">
        <v>0.9</v>
      </c>
      <c r="K15" s="2519">
        <v>0.60606060606060608</v>
      </c>
      <c r="L15" s="2519">
        <v>0.88888888888888884</v>
      </c>
      <c r="M15" s="2519">
        <v>0.83899999999999997</v>
      </c>
      <c r="N15" s="2519">
        <v>0.71399999999999997</v>
      </c>
      <c r="O15" s="2519">
        <v>0.48799999999999999</v>
      </c>
      <c r="P15" s="2519">
        <v>0.16700000000000001</v>
      </c>
    </row>
    <row r="16" spans="2:16" s="5317" customFormat="1">
      <c r="B16" s="2506" t="s">
        <v>609</v>
      </c>
      <c r="C16" s="2521"/>
      <c r="D16" s="2522"/>
      <c r="E16" s="2511"/>
      <c r="F16" s="2510">
        <v>0.66666666666666663</v>
      </c>
      <c r="G16" s="2511">
        <v>0.5</v>
      </c>
      <c r="H16" s="2511">
        <v>0.5</v>
      </c>
      <c r="I16" s="2511">
        <v>0.2857142857142857</v>
      </c>
      <c r="J16" s="2511">
        <v>0.2</v>
      </c>
      <c r="K16" s="2512">
        <v>0</v>
      </c>
      <c r="L16" s="2512">
        <v>1</v>
      </c>
      <c r="M16" s="2512"/>
      <c r="N16" s="2512">
        <v>0</v>
      </c>
      <c r="O16" s="2512"/>
      <c r="P16" s="2512"/>
    </row>
    <row r="17" spans="2:16" s="5317" customFormat="1">
      <c r="B17" s="2505" t="s">
        <v>487</v>
      </c>
      <c r="C17" s="2494"/>
      <c r="D17" s="2495"/>
      <c r="E17" s="2496"/>
      <c r="F17" s="2497">
        <v>0.66666666666666663</v>
      </c>
      <c r="G17" s="2498">
        <v>0.5</v>
      </c>
      <c r="H17" s="2498">
        <v>0.5</v>
      </c>
      <c r="I17" s="2498">
        <v>0.2857142857142857</v>
      </c>
      <c r="J17" s="2498">
        <v>0.2</v>
      </c>
      <c r="K17" s="2499">
        <v>0</v>
      </c>
      <c r="L17" s="2499">
        <v>1</v>
      </c>
      <c r="M17" s="2499"/>
      <c r="N17" s="2499"/>
      <c r="O17" s="2499"/>
      <c r="P17" s="2499"/>
    </row>
    <row r="18" spans="2:16" s="5317" customFormat="1">
      <c r="B18" s="2412" t="s">
        <v>256</v>
      </c>
      <c r="C18" s="2120"/>
      <c r="D18" s="2121"/>
      <c r="E18" s="2122"/>
      <c r="F18" s="2123">
        <v>0.66666666666666663</v>
      </c>
      <c r="G18" s="2124">
        <v>0.5</v>
      </c>
      <c r="H18" s="2124">
        <v>0.5</v>
      </c>
      <c r="I18" s="2124">
        <v>0.2857142857142857</v>
      </c>
      <c r="J18" s="2124">
        <v>0.2</v>
      </c>
      <c r="K18" s="2125">
        <v>0</v>
      </c>
      <c r="L18" s="2125">
        <v>1</v>
      </c>
      <c r="M18" s="2125"/>
      <c r="N18" s="2125">
        <v>0</v>
      </c>
      <c r="O18" s="2125"/>
      <c r="P18" s="2125"/>
    </row>
    <row r="19" spans="2:16">
      <c r="B19" s="2506" t="s">
        <v>2265</v>
      </c>
      <c r="C19" s="2507"/>
      <c r="D19" s="2508"/>
      <c r="E19" s="2509"/>
      <c r="F19" s="2510"/>
      <c r="G19" s="2511"/>
      <c r="H19" s="2511"/>
      <c r="I19" s="2511"/>
      <c r="J19" s="2511"/>
      <c r="K19" s="2512"/>
      <c r="L19" s="2512">
        <v>0</v>
      </c>
      <c r="M19" s="2512"/>
      <c r="N19" s="2512">
        <v>0</v>
      </c>
      <c r="O19" s="2512">
        <v>0</v>
      </c>
      <c r="P19" s="2512"/>
    </row>
    <row r="20" spans="2:16">
      <c r="B20" s="2503" t="s">
        <v>482</v>
      </c>
      <c r="C20" s="2486"/>
      <c r="D20" s="2487"/>
      <c r="E20" s="2479"/>
      <c r="F20" s="2488"/>
      <c r="G20" s="2484"/>
      <c r="H20" s="2484"/>
      <c r="I20" s="2484"/>
      <c r="J20" s="2484"/>
      <c r="K20" s="2485"/>
      <c r="L20" s="2485">
        <v>0</v>
      </c>
      <c r="M20" s="2485"/>
      <c r="N20" s="2485">
        <v>0</v>
      </c>
      <c r="O20" s="2485">
        <v>0</v>
      </c>
      <c r="P20" s="2485"/>
    </row>
    <row r="21" spans="2:16">
      <c r="B21" s="2501" t="s">
        <v>106</v>
      </c>
      <c r="C21" s="2489">
        <v>0.12931034482758599</v>
      </c>
      <c r="D21" s="2478">
        <v>0.36263736263736263</v>
      </c>
      <c r="E21" s="2492">
        <v>0.72222222222222221</v>
      </c>
      <c r="F21" s="2493">
        <v>1</v>
      </c>
      <c r="G21" s="2481">
        <v>0.69696969696969702</v>
      </c>
      <c r="H21" s="2481">
        <v>0.39393939393939392</v>
      </c>
      <c r="I21" s="2481">
        <v>0.82456140350877194</v>
      </c>
      <c r="J21" s="2481">
        <v>1</v>
      </c>
      <c r="K21" s="2482">
        <v>0.85245901639344257</v>
      </c>
      <c r="L21" s="2482">
        <v>0.72729999999999995</v>
      </c>
      <c r="M21" s="2482">
        <v>0.96299999999999997</v>
      </c>
      <c r="N21" s="2482">
        <v>0.88200000000000001</v>
      </c>
      <c r="O21" s="2482">
        <v>0.78700000000000003</v>
      </c>
      <c r="P21" s="2482">
        <v>0.20899999999999999</v>
      </c>
    </row>
    <row r="22" spans="2:16">
      <c r="B22" s="2503" t="s">
        <v>483</v>
      </c>
      <c r="C22" s="2486">
        <v>0.12931034482758622</v>
      </c>
      <c r="D22" s="2487">
        <v>0.36263736263736263</v>
      </c>
      <c r="E22" s="2479">
        <v>0.72222222222222221</v>
      </c>
      <c r="F22" s="2488">
        <v>1</v>
      </c>
      <c r="G22" s="2484">
        <v>0.69696969696969702</v>
      </c>
      <c r="H22" s="2484">
        <v>1</v>
      </c>
      <c r="I22" s="2484">
        <v>0.82456140350877194</v>
      </c>
      <c r="J22" s="2484">
        <v>1</v>
      </c>
      <c r="K22" s="2485">
        <v>0.85245901639344257</v>
      </c>
      <c r="L22" s="2485">
        <v>0.72729999999999995</v>
      </c>
      <c r="M22" s="2485"/>
      <c r="N22" s="2485">
        <v>0.88200000000000001</v>
      </c>
      <c r="O22" s="2485">
        <v>0.78700000000000003</v>
      </c>
      <c r="P22" s="2485">
        <v>0.20899999999999999</v>
      </c>
    </row>
    <row r="23" spans="2:16">
      <c r="B23" s="2501" t="s">
        <v>107</v>
      </c>
      <c r="C23" s="2489">
        <v>0.88235294117647056</v>
      </c>
      <c r="D23" s="2478">
        <v>0.7142857142857143</v>
      </c>
      <c r="E23" s="2492">
        <v>0.625</v>
      </c>
      <c r="F23" s="2490">
        <v>0.64</v>
      </c>
      <c r="G23" s="2481">
        <v>0.46153846153846156</v>
      </c>
      <c r="H23" s="2481">
        <v>0.5</v>
      </c>
      <c r="I23" s="2481">
        <v>0.27777777777777779</v>
      </c>
      <c r="J23" s="2481">
        <v>0.41666666666666669</v>
      </c>
      <c r="K23" s="2482">
        <v>0.22222222222222221</v>
      </c>
      <c r="L23" s="2482">
        <v>0.2</v>
      </c>
      <c r="M23" s="2482">
        <v>0.16700000000000001</v>
      </c>
      <c r="N23" s="2482">
        <v>0.25</v>
      </c>
      <c r="O23" s="2482">
        <v>0</v>
      </c>
      <c r="P23" s="2482"/>
    </row>
    <row r="24" spans="2:16">
      <c r="B24" s="2501" t="s">
        <v>528</v>
      </c>
      <c r="C24" s="2489">
        <v>0</v>
      </c>
      <c r="D24" s="2478">
        <v>0</v>
      </c>
      <c r="E24" s="2492">
        <v>0</v>
      </c>
      <c r="F24" s="2493">
        <v>0</v>
      </c>
      <c r="G24" s="2481">
        <v>0.36363636363636365</v>
      </c>
      <c r="H24" s="2481">
        <v>0.125</v>
      </c>
      <c r="I24" s="2481"/>
      <c r="J24" s="2481"/>
      <c r="K24" s="2482">
        <v>1</v>
      </c>
      <c r="L24" s="2482">
        <v>0</v>
      </c>
      <c r="M24" s="2482">
        <v>0</v>
      </c>
      <c r="N24" s="2482">
        <v>0</v>
      </c>
      <c r="O24" s="2482"/>
      <c r="P24" s="2482"/>
    </row>
    <row r="25" spans="2:16">
      <c r="B25" s="2503" t="s">
        <v>485</v>
      </c>
      <c r="C25" s="2486">
        <v>0.65217391304347827</v>
      </c>
      <c r="D25" s="2487">
        <v>0.64</v>
      </c>
      <c r="E25" s="2479">
        <v>0.42857142857142855</v>
      </c>
      <c r="F25" s="2488">
        <v>0.44444444444444442</v>
      </c>
      <c r="G25" s="2484">
        <v>0.41666666666666669</v>
      </c>
      <c r="H25" s="2484">
        <v>0.38461538461538464</v>
      </c>
      <c r="I25" s="2484">
        <v>0.27777777777777779</v>
      </c>
      <c r="J25" s="2484">
        <v>0.41666666666666669</v>
      </c>
      <c r="K25" s="2485">
        <v>0.5</v>
      </c>
      <c r="L25" s="2485">
        <v>0.1111</v>
      </c>
      <c r="M25" s="2485">
        <v>8.3000000000000004E-2</v>
      </c>
      <c r="N25" s="2485">
        <v>0.111</v>
      </c>
      <c r="O25" s="2485">
        <v>0</v>
      </c>
      <c r="P25" s="2485"/>
    </row>
    <row r="26" spans="2:16">
      <c r="B26" s="2513" t="s">
        <v>109</v>
      </c>
      <c r="C26" s="2514">
        <v>0.21582733812949639</v>
      </c>
      <c r="D26" s="2515">
        <v>0.41379310344827586</v>
      </c>
      <c r="E26" s="2516">
        <v>0.62616822429906538</v>
      </c>
      <c r="F26" s="2523">
        <v>0.60784313725490191</v>
      </c>
      <c r="G26" s="2518">
        <v>0.56140350877192979</v>
      </c>
      <c r="H26" s="2518">
        <v>0.6097560975609756</v>
      </c>
      <c r="I26" s="2518">
        <v>0.69333333333333336</v>
      </c>
      <c r="J26" s="2518">
        <v>0.70833333333333337</v>
      </c>
      <c r="K26" s="2519">
        <v>0.78666666666666663</v>
      </c>
      <c r="L26" s="2519">
        <v>0.640625</v>
      </c>
      <c r="M26" s="2519">
        <v>0.69199999999999995</v>
      </c>
      <c r="N26" s="2519">
        <v>0.77200000000000002</v>
      </c>
      <c r="O26" s="2519">
        <v>0.72499999999999998</v>
      </c>
      <c r="P26" s="2519">
        <v>0.16</v>
      </c>
    </row>
    <row r="27" spans="2:16">
      <c r="B27" s="2520" t="s">
        <v>133</v>
      </c>
      <c r="C27" s="2521"/>
      <c r="D27" s="2508">
        <v>0.89473684210526316</v>
      </c>
      <c r="E27" s="2509"/>
      <c r="F27" s="2522"/>
      <c r="G27" s="2511"/>
      <c r="H27" s="2511"/>
      <c r="I27" s="2511"/>
      <c r="J27" s="2511"/>
      <c r="K27" s="2512"/>
      <c r="L27" s="2512"/>
      <c r="M27" s="2512"/>
      <c r="N27" s="2512"/>
      <c r="O27" s="2512"/>
      <c r="P27" s="2512"/>
    </row>
    <row r="28" spans="2:16">
      <c r="B28" s="2501" t="s">
        <v>110</v>
      </c>
      <c r="C28" s="2489">
        <v>0.84782608695652173</v>
      </c>
      <c r="D28" s="2480"/>
      <c r="E28" s="2492">
        <v>0</v>
      </c>
      <c r="F28" s="2480"/>
      <c r="G28" s="2481">
        <v>0.77142857142857146</v>
      </c>
      <c r="H28" s="2481"/>
      <c r="I28" s="2481">
        <v>0</v>
      </c>
      <c r="J28" s="2481"/>
      <c r="K28" s="2482">
        <v>0.6875</v>
      </c>
      <c r="L28" s="2482"/>
      <c r="M28" s="2482">
        <v>0</v>
      </c>
      <c r="N28" s="2482"/>
      <c r="O28" s="2482">
        <v>0.72</v>
      </c>
      <c r="P28" s="2482"/>
    </row>
    <row r="29" spans="2:16">
      <c r="B29" s="2503" t="s">
        <v>483</v>
      </c>
      <c r="C29" s="2486">
        <v>0.84782608695652173</v>
      </c>
      <c r="D29" s="2487">
        <v>0.89473684210526316</v>
      </c>
      <c r="E29" s="2479">
        <v>0</v>
      </c>
      <c r="F29" s="2488"/>
      <c r="G29" s="2484">
        <v>0.77142857142857146</v>
      </c>
      <c r="H29" s="2484"/>
      <c r="I29" s="2484">
        <v>0</v>
      </c>
      <c r="J29" s="2484"/>
      <c r="K29" s="2485">
        <v>0.6875</v>
      </c>
      <c r="L29" s="2485"/>
      <c r="M29" s="2485"/>
      <c r="N29" s="2485"/>
      <c r="O29" s="2485">
        <v>0.72</v>
      </c>
      <c r="P29" s="2485"/>
    </row>
    <row r="30" spans="2:16">
      <c r="B30" s="2501" t="s">
        <v>111</v>
      </c>
      <c r="C30" s="2489">
        <v>0.625</v>
      </c>
      <c r="D30" s="2478">
        <v>0</v>
      </c>
      <c r="E30" s="2492">
        <v>0.66666666666666663</v>
      </c>
      <c r="F30" s="2480"/>
      <c r="G30" s="2481">
        <v>0.75</v>
      </c>
      <c r="H30" s="2481"/>
      <c r="I30" s="2481"/>
      <c r="J30" s="2481"/>
      <c r="K30" s="2482"/>
      <c r="L30" s="2482"/>
      <c r="M30" s="2482"/>
      <c r="N30" s="2482"/>
      <c r="O30" s="2482"/>
      <c r="P30" s="2482"/>
    </row>
    <row r="31" spans="2:16">
      <c r="B31" s="2501" t="s">
        <v>137</v>
      </c>
      <c r="C31" s="2489">
        <v>0</v>
      </c>
      <c r="D31" s="2480"/>
      <c r="E31" s="2492">
        <v>0</v>
      </c>
      <c r="F31" s="2480"/>
      <c r="G31" s="2481">
        <v>0</v>
      </c>
      <c r="H31" s="2481"/>
      <c r="I31" s="2481">
        <v>0.25</v>
      </c>
      <c r="J31" s="2481"/>
      <c r="K31" s="2482"/>
      <c r="L31" s="2482"/>
      <c r="M31" s="2482"/>
      <c r="N31" s="2482"/>
      <c r="O31" s="2482"/>
      <c r="P31" s="2482"/>
    </row>
    <row r="32" spans="2:16">
      <c r="B32" s="2503" t="s">
        <v>485</v>
      </c>
      <c r="C32" s="2486">
        <v>0.23809523809523808</v>
      </c>
      <c r="D32" s="2487">
        <v>0</v>
      </c>
      <c r="E32" s="2479">
        <v>0.25</v>
      </c>
      <c r="F32" s="2488"/>
      <c r="G32" s="2484">
        <v>0.39130434782608697</v>
      </c>
      <c r="H32" s="2484"/>
      <c r="I32" s="2484">
        <v>0.25</v>
      </c>
      <c r="J32" s="2484"/>
      <c r="K32" s="2485"/>
      <c r="L32" s="2485"/>
      <c r="M32" s="2485"/>
      <c r="N32" s="2485"/>
      <c r="O32" s="2485"/>
      <c r="P32" s="2485"/>
    </row>
    <row r="33" spans="2:16">
      <c r="B33" s="2513" t="s">
        <v>412</v>
      </c>
      <c r="C33" s="2514">
        <v>0.65671641791044777</v>
      </c>
      <c r="D33" s="2515">
        <v>0.70833333333333337</v>
      </c>
      <c r="E33" s="2516">
        <v>0.11428571428571428</v>
      </c>
      <c r="F33" s="2517"/>
      <c r="G33" s="2518">
        <v>0.62068965517241381</v>
      </c>
      <c r="H33" s="2518"/>
      <c r="I33" s="2518">
        <v>6.25E-2</v>
      </c>
      <c r="J33" s="2518"/>
      <c r="K33" s="2519">
        <v>0.6875</v>
      </c>
      <c r="L33" s="2519"/>
      <c r="M33" s="2519">
        <v>0</v>
      </c>
      <c r="N33" s="2519"/>
      <c r="O33" s="2519">
        <v>0.72</v>
      </c>
      <c r="P33" s="2519"/>
    </row>
    <row r="35" spans="2:16">
      <c r="B35" s="2411" t="s">
        <v>724</v>
      </c>
      <c r="C35" s="2120">
        <v>0.38007380073800739</v>
      </c>
      <c r="D35" s="2121">
        <v>0.4788135593220339</v>
      </c>
      <c r="E35" s="2122">
        <v>0.47783251231527096</v>
      </c>
      <c r="F35" s="2126">
        <v>0.50340136054421769</v>
      </c>
      <c r="G35" s="2124">
        <v>0.61643835616438358</v>
      </c>
      <c r="H35" s="2124">
        <v>0.51282051282051277</v>
      </c>
      <c r="I35" s="2124">
        <v>0.5</v>
      </c>
      <c r="J35" s="2124">
        <v>0.76271186440677963</v>
      </c>
      <c r="K35" s="2125">
        <v>0.70629370629370625</v>
      </c>
      <c r="L35" s="2519">
        <v>0.72043010752688175</v>
      </c>
      <c r="M35" s="2519">
        <v>0.58899999999999997</v>
      </c>
      <c r="N35" s="2519">
        <v>0.73599999999999999</v>
      </c>
      <c r="O35" s="2519">
        <v>0.64100000000000001</v>
      </c>
      <c r="P35" s="2519">
        <v>0.14499999999999999</v>
      </c>
    </row>
    <row r="36" spans="2:16" ht="65.25" customHeight="1">
      <c r="B36" s="65" t="s">
        <v>2688</v>
      </c>
      <c r="L36" s="4619"/>
      <c r="M36" s="4619"/>
      <c r="N36" s="4913"/>
      <c r="P36" s="6581" t="s">
        <v>3366</v>
      </c>
    </row>
    <row r="37" spans="2:16" ht="14.4" customHeight="1">
      <c r="B37" s="7003" t="s">
        <v>3370</v>
      </c>
      <c r="L37" s="4730"/>
      <c r="M37" s="4730"/>
      <c r="O37" s="6118"/>
    </row>
    <row r="38" spans="2:16">
      <c r="B38" s="7003"/>
      <c r="M38" s="3862"/>
      <c r="N38" s="3862"/>
    </row>
  </sheetData>
  <mergeCells count="2">
    <mergeCell ref="L1:P1"/>
    <mergeCell ref="B37:B38"/>
  </mergeCells>
  <printOptions horizontalCentered="1" verticalCentered="1"/>
  <pageMargins left="0.70866141732283472" right="0.70866141732283472" top="0.74803149606299213" bottom="0.74803149606299213" header="0.31496062992125984" footer="0.31496062992125984"/>
  <pageSetup scale="70" firstPageNumber="7" orientation="landscape" useFirstPageNumber="1" r:id="rId1"/>
  <headerFooter scaleWithDoc="0" alignWithMargins="0">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702"/>
  <sheetViews>
    <sheetView topLeftCell="A319" zoomScaleNormal="100" workbookViewId="0">
      <selection activeCell="G327" sqref="F327:G330"/>
    </sheetView>
  </sheetViews>
  <sheetFormatPr baseColWidth="10" defaultRowHeight="14.4"/>
  <cols>
    <col min="1" max="2" width="4.5546875" style="5317" customWidth="1"/>
    <col min="3" max="3" width="43" style="5317" customWidth="1"/>
    <col min="4" max="4" width="18.109375" style="5317" customWidth="1"/>
    <col min="5" max="5" width="4.5546875" style="5317" bestFit="1" customWidth="1"/>
    <col min="6" max="6" width="4.88671875" style="5317" bestFit="1" customWidth="1"/>
    <col min="7" max="8" width="11.44140625" style="5317"/>
    <col min="9" max="9" width="7.109375" style="4832" customWidth="1"/>
    <col min="10" max="10" width="6.6640625" style="4832" bestFit="1" customWidth="1"/>
    <col min="11" max="11" width="42.5546875" style="4832" customWidth="1"/>
    <col min="12" max="12" width="16.109375" style="4832" bestFit="1" customWidth="1"/>
    <col min="13" max="13" width="6.109375" style="4832" bestFit="1" customWidth="1"/>
    <col min="14" max="14" width="4.88671875" style="4832" bestFit="1" customWidth="1"/>
    <col min="15" max="15" width="7.6640625" style="4832" bestFit="1" customWidth="1"/>
    <col min="16" max="16" width="11.44140625" style="4832"/>
    <col min="17" max="18" width="11.5546875" style="4387"/>
    <col min="19" max="19" width="50.44140625" style="4387" bestFit="1" customWidth="1"/>
    <col min="20" max="20" width="13.6640625" style="4387" customWidth="1"/>
    <col min="21" max="21" width="6.6640625" style="4387" customWidth="1"/>
    <col min="22" max="22" width="6.6640625" style="4622" customWidth="1"/>
    <col min="23" max="23" width="8.88671875" style="4387" bestFit="1" customWidth="1"/>
    <col min="24" max="25" width="8.88671875" style="4522" customWidth="1"/>
    <col min="26" max="26" width="6.44140625" style="4522" bestFit="1" customWidth="1"/>
    <col min="27" max="27" width="50.44140625" style="4522" bestFit="1" customWidth="1"/>
    <col min="28" max="28" width="14" style="4522" bestFit="1" customWidth="1"/>
    <col min="29" max="29" width="4" style="4522" bestFit="1" customWidth="1"/>
    <col min="30" max="30" width="4.44140625" style="4522" customWidth="1"/>
    <col min="31" max="31" width="5" style="4522" bestFit="1" customWidth="1"/>
    <col min="32" max="33" width="2.33203125" style="4522" bestFit="1" customWidth="1"/>
    <col min="34" max="34" width="2.33203125" style="4522" customWidth="1"/>
    <col min="35" max="36" width="3.109375" style="4522" bestFit="1" customWidth="1"/>
    <col min="37" max="37" width="2.33203125" style="4522" bestFit="1" customWidth="1"/>
    <col min="38" max="38" width="3" style="4522" bestFit="1" customWidth="1"/>
    <col min="39" max="39" width="4.33203125" style="4522" bestFit="1" customWidth="1"/>
    <col min="40" max="40" width="8.88671875" style="4522" customWidth="1"/>
    <col min="41" max="41" width="11.5546875" style="4387"/>
    <col min="42" max="43" width="10.88671875" style="157"/>
    <col min="44" max="44" width="60.5546875" style="3868" bestFit="1" customWidth="1"/>
    <col min="45" max="45" width="34.6640625" style="3868" bestFit="1" customWidth="1"/>
    <col min="46" max="46" width="5" style="3868" customWidth="1"/>
    <col min="47" max="47" width="5.5546875" style="3868" bestFit="1" customWidth="1"/>
    <col min="48" max="49" width="2.6640625" style="3868" bestFit="1" customWidth="1"/>
    <col min="50" max="50" width="1.6640625" style="3868" bestFit="1" customWidth="1"/>
    <col min="51" max="51" width="2.6640625" style="3868" bestFit="1" customWidth="1"/>
    <col min="52" max="53" width="3.6640625" style="3868" bestFit="1" customWidth="1"/>
    <col min="54" max="56" width="2.6640625" style="3868" bestFit="1" customWidth="1"/>
    <col min="57" max="57" width="5.109375" style="3868" bestFit="1" customWidth="1"/>
    <col min="58" max="58" width="9" style="3695" bestFit="1" customWidth="1"/>
    <col min="59" max="59" width="10.88671875" style="3868"/>
    <col min="60" max="60" width="6.33203125" style="32" customWidth="1"/>
    <col min="61" max="61" width="5.5546875" style="32" bestFit="1" customWidth="1"/>
    <col min="62" max="62" width="43.6640625" style="32" bestFit="1" customWidth="1"/>
    <col min="63" max="63" width="25.6640625" style="32" bestFit="1" customWidth="1"/>
    <col min="64" max="68" width="2.109375" style="32" bestFit="1" customWidth="1"/>
    <col min="69" max="70" width="2.6640625" style="32" bestFit="1" customWidth="1"/>
    <col min="71" max="72" width="2.109375" style="32" bestFit="1" customWidth="1"/>
    <col min="73" max="73" width="3.6640625" style="32" bestFit="1" customWidth="1"/>
    <col min="74" max="74" width="6.44140625" style="32" bestFit="1" customWidth="1"/>
    <col min="75" max="75" width="11.44140625" style="3695"/>
    <col min="76" max="76" width="11.44140625" style="2042"/>
    <col min="77" max="77" width="6.6640625" style="2042" bestFit="1" customWidth="1"/>
    <col min="78" max="78" width="80.5546875" style="2042" bestFit="1" customWidth="1"/>
    <col min="79" max="79" width="20" style="2042" bestFit="1" customWidth="1"/>
    <col min="80" max="80" width="4" style="2042" bestFit="1" customWidth="1"/>
    <col min="81" max="81" width="3" style="2042" bestFit="1" customWidth="1"/>
    <col min="82" max="82" width="2" style="2042" bestFit="1" customWidth="1"/>
    <col min="83" max="84" width="3" style="2042" bestFit="1" customWidth="1"/>
    <col min="85" max="87" width="4" style="2042" bestFit="1" customWidth="1"/>
    <col min="88" max="88" width="4.6640625" style="2042" bestFit="1" customWidth="1"/>
    <col min="89" max="89" width="8.33203125" style="2042" bestFit="1" customWidth="1"/>
    <col min="90" max="91" width="11.5546875" style="2042" bestFit="1" customWidth="1"/>
    <col min="92" max="92" width="11.44140625" style="2042"/>
    <col min="95" max="95" width="82" bestFit="1" customWidth="1"/>
    <col min="96" max="96" width="16.5546875" bestFit="1" customWidth="1"/>
    <col min="97" max="97" width="4.33203125" bestFit="1" customWidth="1"/>
    <col min="98" max="102" width="3" bestFit="1" customWidth="1"/>
    <col min="103" max="105" width="4" bestFit="1" customWidth="1"/>
    <col min="106" max="107" width="3" bestFit="1" customWidth="1"/>
    <col min="108" max="108" width="4.6640625" bestFit="1" customWidth="1"/>
    <col min="109" max="109" width="11.44140625" style="37"/>
    <col min="113" max="113" width="58.33203125" bestFit="1" customWidth="1"/>
    <col min="114" max="114" width="20" bestFit="1" customWidth="1"/>
    <col min="115" max="115" width="3.6640625" bestFit="1" customWidth="1"/>
    <col min="116" max="116" width="2.6640625" bestFit="1" customWidth="1"/>
    <col min="117" max="117" width="1.6640625" bestFit="1" customWidth="1"/>
    <col min="118" max="119" width="2.6640625" bestFit="1" customWidth="1"/>
    <col min="120" max="120" width="1.6640625" bestFit="1" customWidth="1"/>
    <col min="121" max="123" width="3.5546875" bestFit="1" customWidth="1"/>
    <col min="124" max="125" width="2.6640625" bestFit="1" customWidth="1"/>
    <col min="126" max="126" width="4.5546875" bestFit="1" customWidth="1"/>
    <col min="127" max="127" width="9.6640625" customWidth="1"/>
    <col min="131" max="131" width="58.33203125" bestFit="1" customWidth="1"/>
    <col min="132" max="132" width="16.5546875" bestFit="1" customWidth="1"/>
    <col min="133" max="137" width="2.6640625" bestFit="1" customWidth="1"/>
    <col min="138" max="138" width="3.5546875" bestFit="1" customWidth="1"/>
    <col min="139" max="139" width="2.6640625" bestFit="1" customWidth="1"/>
    <col min="140" max="140" width="3.5546875" bestFit="1" customWidth="1"/>
    <col min="141" max="142" width="2.6640625" bestFit="1" customWidth="1"/>
    <col min="143" max="143" width="4.5546875" bestFit="1" customWidth="1"/>
    <col min="147" max="147" width="6.6640625" bestFit="1" customWidth="1"/>
    <col min="148" max="148" width="43.5546875" bestFit="1" customWidth="1"/>
    <col min="149" max="149" width="16.6640625" bestFit="1" customWidth="1"/>
    <col min="150" max="154" width="2.6640625" customWidth="1"/>
    <col min="155" max="157" width="3.5546875" bestFit="1" customWidth="1"/>
    <col min="158" max="159" width="2.6640625" customWidth="1"/>
    <col min="160" max="160" width="4.5546875" bestFit="1" customWidth="1"/>
    <col min="161" max="161" width="8.33203125" bestFit="1" customWidth="1"/>
    <col min="163" max="163" width="11.33203125" customWidth="1"/>
    <col min="164" max="164" width="6.6640625" bestFit="1" customWidth="1"/>
    <col min="165" max="165" width="43.5546875" bestFit="1" customWidth="1"/>
    <col min="166" max="166" width="16.5546875" bestFit="1" customWidth="1"/>
    <col min="167" max="167" width="1.6640625" bestFit="1" customWidth="1"/>
    <col min="168" max="172" width="2.6640625" bestFit="1" customWidth="1"/>
    <col min="173" max="173" width="4" bestFit="1" customWidth="1"/>
    <col min="174" max="174" width="2.6640625" bestFit="1" customWidth="1"/>
    <col min="175" max="175" width="4" bestFit="1" customWidth="1"/>
    <col min="176" max="177" width="2.6640625" bestFit="1" customWidth="1"/>
    <col min="178" max="178" width="4.5546875" bestFit="1" customWidth="1"/>
    <col min="179" max="179" width="7.6640625" bestFit="1" customWidth="1"/>
    <col min="182" max="182" width="6.6640625" bestFit="1" customWidth="1"/>
    <col min="183" max="183" width="43.5546875" bestFit="1" customWidth="1"/>
    <col min="184" max="184" width="16.5546875" bestFit="1" customWidth="1"/>
    <col min="185" max="186" width="1.6640625" bestFit="1" customWidth="1"/>
    <col min="187" max="189" width="2.6640625" bestFit="1" customWidth="1"/>
    <col min="190" max="192" width="3.5546875" bestFit="1" customWidth="1"/>
    <col min="193" max="194" width="2.6640625" bestFit="1" customWidth="1"/>
    <col min="195" max="195" width="4.5546875" bestFit="1" customWidth="1"/>
    <col min="196" max="196" width="9.33203125" customWidth="1"/>
    <col min="198" max="198" width="11.33203125" style="119" customWidth="1"/>
    <col min="199" max="199" width="11.33203125" style="119" bestFit="1" customWidth="1"/>
    <col min="200" max="200" width="44.33203125" bestFit="1" customWidth="1"/>
    <col min="201" max="201" width="20.6640625" bestFit="1" customWidth="1"/>
    <col min="202" max="202" width="2" bestFit="1" customWidth="1"/>
    <col min="203" max="206" width="3" bestFit="1" customWidth="1"/>
    <col min="207" max="207" width="4" bestFit="1" customWidth="1"/>
    <col min="208" max="209" width="3" bestFit="1" customWidth="1"/>
    <col min="210" max="210" width="2" bestFit="1" customWidth="1"/>
    <col min="211" max="211" width="3" bestFit="1" customWidth="1"/>
    <col min="212" max="212" width="4.6640625" bestFit="1" customWidth="1"/>
    <col min="213" max="213" width="10.33203125" customWidth="1"/>
    <col min="215" max="215" width="13.33203125" bestFit="1" customWidth="1"/>
    <col min="217" max="217" width="41.44140625" customWidth="1"/>
    <col min="218" max="218" width="24.44140625" bestFit="1" customWidth="1"/>
    <col min="219" max="220" width="2.5546875" bestFit="1" customWidth="1"/>
    <col min="221" max="224" width="3.5546875" bestFit="1" customWidth="1"/>
    <col min="225" max="227" width="4.5546875" bestFit="1" customWidth="1"/>
    <col min="228" max="228" width="2.5546875" bestFit="1" customWidth="1"/>
    <col min="229" max="229" width="3.5546875" bestFit="1" customWidth="1"/>
    <col min="230" max="230" width="11.44140625" style="157"/>
    <col min="231" max="231" width="9.5546875" customWidth="1"/>
    <col min="232" max="232" width="30.33203125" customWidth="1"/>
    <col min="453" max="453" width="14.44140625" customWidth="1"/>
    <col min="454" max="454" width="14.5546875" customWidth="1"/>
    <col min="455" max="455" width="54.5546875" bestFit="1" customWidth="1"/>
    <col min="456" max="456" width="20.6640625" bestFit="1" customWidth="1"/>
    <col min="457" max="466" width="4.6640625" customWidth="1"/>
    <col min="468" max="468" width="18.33203125" bestFit="1" customWidth="1"/>
    <col min="709" max="709" width="14.44140625" customWidth="1"/>
    <col min="710" max="710" width="14.5546875" customWidth="1"/>
    <col min="711" max="711" width="54.5546875" bestFit="1" customWidth="1"/>
    <col min="712" max="712" width="20.6640625" bestFit="1" customWidth="1"/>
    <col min="713" max="722" width="4.6640625" customWidth="1"/>
    <col min="724" max="724" width="18.33203125" bestFit="1" customWidth="1"/>
    <col min="965" max="965" width="14.44140625" customWidth="1"/>
    <col min="966" max="966" width="14.5546875" customWidth="1"/>
    <col min="967" max="967" width="54.5546875" bestFit="1" customWidth="1"/>
    <col min="968" max="968" width="20.6640625" bestFit="1" customWidth="1"/>
    <col min="969" max="978" width="4.6640625" customWidth="1"/>
    <col min="980" max="980" width="18.33203125" bestFit="1" customWidth="1"/>
    <col min="1221" max="1221" width="14.44140625" customWidth="1"/>
    <col min="1222" max="1222" width="14.5546875" customWidth="1"/>
    <col min="1223" max="1223" width="54.5546875" bestFit="1" customWidth="1"/>
    <col min="1224" max="1224" width="20.6640625" bestFit="1" customWidth="1"/>
    <col min="1225" max="1234" width="4.6640625" customWidth="1"/>
    <col min="1236" max="1236" width="18.33203125" bestFit="1" customWidth="1"/>
    <col min="1477" max="1477" width="14.44140625" customWidth="1"/>
    <col min="1478" max="1478" width="14.5546875" customWidth="1"/>
    <col min="1479" max="1479" width="54.5546875" bestFit="1" customWidth="1"/>
    <col min="1480" max="1480" width="20.6640625" bestFit="1" customWidth="1"/>
    <col min="1481" max="1490" width="4.6640625" customWidth="1"/>
    <col min="1492" max="1492" width="18.33203125" bestFit="1" customWidth="1"/>
    <col min="1733" max="1733" width="14.44140625" customWidth="1"/>
    <col min="1734" max="1734" width="14.5546875" customWidth="1"/>
    <col min="1735" max="1735" width="54.5546875" bestFit="1" customWidth="1"/>
    <col min="1736" max="1736" width="20.6640625" bestFit="1" customWidth="1"/>
    <col min="1737" max="1746" width="4.6640625" customWidth="1"/>
    <col min="1748" max="1748" width="18.33203125" bestFit="1" customWidth="1"/>
    <col min="1989" max="1989" width="14.44140625" customWidth="1"/>
    <col min="1990" max="1990" width="14.5546875" customWidth="1"/>
    <col min="1991" max="1991" width="54.5546875" bestFit="1" customWidth="1"/>
    <col min="1992" max="1992" width="20.6640625" bestFit="1" customWidth="1"/>
    <col min="1993" max="2002" width="4.6640625" customWidth="1"/>
    <col min="2004" max="2004" width="18.33203125" bestFit="1" customWidth="1"/>
    <col min="2245" max="2245" width="14.44140625" customWidth="1"/>
    <col min="2246" max="2246" width="14.5546875" customWidth="1"/>
    <col min="2247" max="2247" width="54.5546875" bestFit="1" customWidth="1"/>
    <col min="2248" max="2248" width="20.6640625" bestFit="1" customWidth="1"/>
    <col min="2249" max="2258" width="4.6640625" customWidth="1"/>
    <col min="2260" max="2260" width="18.33203125" bestFit="1" customWidth="1"/>
    <col min="2501" max="2501" width="14.44140625" customWidth="1"/>
    <col min="2502" max="2502" width="14.5546875" customWidth="1"/>
    <col min="2503" max="2503" width="54.5546875" bestFit="1" customWidth="1"/>
    <col min="2504" max="2504" width="20.6640625" bestFit="1" customWidth="1"/>
    <col min="2505" max="2514" width="4.6640625" customWidth="1"/>
    <col min="2516" max="2516" width="18.33203125" bestFit="1" customWidth="1"/>
    <col min="2757" max="2757" width="14.44140625" customWidth="1"/>
    <col min="2758" max="2758" width="14.5546875" customWidth="1"/>
    <col min="2759" max="2759" width="54.5546875" bestFit="1" customWidth="1"/>
    <col min="2760" max="2760" width="20.6640625" bestFit="1" customWidth="1"/>
    <col min="2761" max="2770" width="4.6640625" customWidth="1"/>
    <col min="2772" max="2772" width="18.33203125" bestFit="1" customWidth="1"/>
    <col min="3013" max="3013" width="14.44140625" customWidth="1"/>
    <col min="3014" max="3014" width="14.5546875" customWidth="1"/>
    <col min="3015" max="3015" width="54.5546875" bestFit="1" customWidth="1"/>
    <col min="3016" max="3016" width="20.6640625" bestFit="1" customWidth="1"/>
    <col min="3017" max="3026" width="4.6640625" customWidth="1"/>
    <col min="3028" max="3028" width="18.33203125" bestFit="1" customWidth="1"/>
    <col min="3269" max="3269" width="14.44140625" customWidth="1"/>
    <col min="3270" max="3270" width="14.5546875" customWidth="1"/>
    <col min="3271" max="3271" width="54.5546875" bestFit="1" customWidth="1"/>
    <col min="3272" max="3272" width="20.6640625" bestFit="1" customWidth="1"/>
    <col min="3273" max="3282" width="4.6640625" customWidth="1"/>
    <col min="3284" max="3284" width="18.33203125" bestFit="1" customWidth="1"/>
    <col min="3525" max="3525" width="14.44140625" customWidth="1"/>
    <col min="3526" max="3526" width="14.5546875" customWidth="1"/>
    <col min="3527" max="3527" width="54.5546875" bestFit="1" customWidth="1"/>
    <col min="3528" max="3528" width="20.6640625" bestFit="1" customWidth="1"/>
    <col min="3529" max="3538" width="4.6640625" customWidth="1"/>
    <col min="3540" max="3540" width="18.33203125" bestFit="1" customWidth="1"/>
    <col min="3781" max="3781" width="14.44140625" customWidth="1"/>
    <col min="3782" max="3782" width="14.5546875" customWidth="1"/>
    <col min="3783" max="3783" width="54.5546875" bestFit="1" customWidth="1"/>
    <col min="3784" max="3784" width="20.6640625" bestFit="1" customWidth="1"/>
    <col min="3785" max="3794" width="4.6640625" customWidth="1"/>
    <col min="3796" max="3796" width="18.33203125" bestFit="1" customWidth="1"/>
    <col min="4037" max="4037" width="14.44140625" customWidth="1"/>
    <col min="4038" max="4038" width="14.5546875" customWidth="1"/>
    <col min="4039" max="4039" width="54.5546875" bestFit="1" customWidth="1"/>
    <col min="4040" max="4040" width="20.6640625" bestFit="1" customWidth="1"/>
    <col min="4041" max="4050" width="4.6640625" customWidth="1"/>
    <col min="4052" max="4052" width="18.33203125" bestFit="1" customWidth="1"/>
    <col min="4293" max="4293" width="14.44140625" customWidth="1"/>
    <col min="4294" max="4294" width="14.5546875" customWidth="1"/>
    <col min="4295" max="4295" width="54.5546875" bestFit="1" customWidth="1"/>
    <col min="4296" max="4296" width="20.6640625" bestFit="1" customWidth="1"/>
    <col min="4297" max="4306" width="4.6640625" customWidth="1"/>
    <col min="4308" max="4308" width="18.33203125" bestFit="1" customWidth="1"/>
    <col min="4549" max="4549" width="14.44140625" customWidth="1"/>
    <col min="4550" max="4550" width="14.5546875" customWidth="1"/>
    <col min="4551" max="4551" width="54.5546875" bestFit="1" customWidth="1"/>
    <col min="4552" max="4552" width="20.6640625" bestFit="1" customWidth="1"/>
    <col min="4553" max="4562" width="4.6640625" customWidth="1"/>
    <col min="4564" max="4564" width="18.33203125" bestFit="1" customWidth="1"/>
    <col min="4805" max="4805" width="14.44140625" customWidth="1"/>
    <col min="4806" max="4806" width="14.5546875" customWidth="1"/>
    <col min="4807" max="4807" width="54.5546875" bestFit="1" customWidth="1"/>
    <col min="4808" max="4808" width="20.6640625" bestFit="1" customWidth="1"/>
    <col min="4809" max="4818" width="4.6640625" customWidth="1"/>
    <col min="4820" max="4820" width="18.33203125" bestFit="1" customWidth="1"/>
    <col min="5061" max="5061" width="14.44140625" customWidth="1"/>
    <col min="5062" max="5062" width="14.5546875" customWidth="1"/>
    <col min="5063" max="5063" width="54.5546875" bestFit="1" customWidth="1"/>
    <col min="5064" max="5064" width="20.6640625" bestFit="1" customWidth="1"/>
    <col min="5065" max="5074" width="4.6640625" customWidth="1"/>
    <col min="5076" max="5076" width="18.33203125" bestFit="1" customWidth="1"/>
    <col min="5317" max="5317" width="14.44140625" customWidth="1"/>
    <col min="5318" max="5318" width="14.5546875" customWidth="1"/>
    <col min="5319" max="5319" width="54.5546875" bestFit="1" customWidth="1"/>
    <col min="5320" max="5320" width="20.6640625" bestFit="1" customWidth="1"/>
    <col min="5321" max="5330" width="4.6640625" customWidth="1"/>
    <col min="5332" max="5332" width="18.33203125" bestFit="1" customWidth="1"/>
    <col min="5573" max="5573" width="14.44140625" customWidth="1"/>
    <col min="5574" max="5574" width="14.5546875" customWidth="1"/>
    <col min="5575" max="5575" width="54.5546875" bestFit="1" customWidth="1"/>
    <col min="5576" max="5576" width="20.6640625" bestFit="1" customWidth="1"/>
    <col min="5577" max="5586" width="4.6640625" customWidth="1"/>
    <col min="5588" max="5588" width="18.33203125" bestFit="1" customWidth="1"/>
    <col min="5829" max="5829" width="14.44140625" customWidth="1"/>
    <col min="5830" max="5830" width="14.5546875" customWidth="1"/>
    <col min="5831" max="5831" width="54.5546875" bestFit="1" customWidth="1"/>
    <col min="5832" max="5832" width="20.6640625" bestFit="1" customWidth="1"/>
    <col min="5833" max="5842" width="4.6640625" customWidth="1"/>
    <col min="5844" max="5844" width="18.33203125" bestFit="1" customWidth="1"/>
    <col min="6085" max="6085" width="14.44140625" customWidth="1"/>
    <col min="6086" max="6086" width="14.5546875" customWidth="1"/>
    <col min="6087" max="6087" width="54.5546875" bestFit="1" customWidth="1"/>
    <col min="6088" max="6088" width="20.6640625" bestFit="1" customWidth="1"/>
    <col min="6089" max="6098" width="4.6640625" customWidth="1"/>
    <col min="6100" max="6100" width="18.33203125" bestFit="1" customWidth="1"/>
    <col min="6341" max="6341" width="14.44140625" customWidth="1"/>
    <col min="6342" max="6342" width="14.5546875" customWidth="1"/>
    <col min="6343" max="6343" width="54.5546875" bestFit="1" customWidth="1"/>
    <col min="6344" max="6344" width="20.6640625" bestFit="1" customWidth="1"/>
    <col min="6345" max="6354" width="4.6640625" customWidth="1"/>
    <col min="6356" max="6356" width="18.33203125" bestFit="1" customWidth="1"/>
    <col min="6597" max="6597" width="14.44140625" customWidth="1"/>
    <col min="6598" max="6598" width="14.5546875" customWidth="1"/>
    <col min="6599" max="6599" width="54.5546875" bestFit="1" customWidth="1"/>
    <col min="6600" max="6600" width="20.6640625" bestFit="1" customWidth="1"/>
    <col min="6601" max="6610" width="4.6640625" customWidth="1"/>
    <col min="6612" max="6612" width="18.33203125" bestFit="1" customWidth="1"/>
    <col min="6853" max="6853" width="14.44140625" customWidth="1"/>
    <col min="6854" max="6854" width="14.5546875" customWidth="1"/>
    <col min="6855" max="6855" width="54.5546875" bestFit="1" customWidth="1"/>
    <col min="6856" max="6856" width="20.6640625" bestFit="1" customWidth="1"/>
    <col min="6857" max="6866" width="4.6640625" customWidth="1"/>
    <col min="6868" max="6868" width="18.33203125" bestFit="1" customWidth="1"/>
    <col min="7109" max="7109" width="14.44140625" customWidth="1"/>
    <col min="7110" max="7110" width="14.5546875" customWidth="1"/>
    <col min="7111" max="7111" width="54.5546875" bestFit="1" customWidth="1"/>
    <col min="7112" max="7112" width="20.6640625" bestFit="1" customWidth="1"/>
    <col min="7113" max="7122" width="4.6640625" customWidth="1"/>
    <col min="7124" max="7124" width="18.33203125" bestFit="1" customWidth="1"/>
    <col min="7365" max="7365" width="14.44140625" customWidth="1"/>
    <col min="7366" max="7366" width="14.5546875" customWidth="1"/>
    <col min="7367" max="7367" width="54.5546875" bestFit="1" customWidth="1"/>
    <col min="7368" max="7368" width="20.6640625" bestFit="1" customWidth="1"/>
    <col min="7369" max="7378" width="4.6640625" customWidth="1"/>
    <col min="7380" max="7380" width="18.33203125" bestFit="1" customWidth="1"/>
    <col min="7621" max="7621" width="14.44140625" customWidth="1"/>
    <col min="7622" max="7622" width="14.5546875" customWidth="1"/>
    <col min="7623" max="7623" width="54.5546875" bestFit="1" customWidth="1"/>
    <col min="7624" max="7624" width="20.6640625" bestFit="1" customWidth="1"/>
    <col min="7625" max="7634" width="4.6640625" customWidth="1"/>
    <col min="7636" max="7636" width="18.33203125" bestFit="1" customWidth="1"/>
    <col min="7877" max="7877" width="14.44140625" customWidth="1"/>
    <col min="7878" max="7878" width="14.5546875" customWidth="1"/>
    <col min="7879" max="7879" width="54.5546875" bestFit="1" customWidth="1"/>
    <col min="7880" max="7880" width="20.6640625" bestFit="1" customWidth="1"/>
    <col min="7881" max="7890" width="4.6640625" customWidth="1"/>
    <col min="7892" max="7892" width="18.33203125" bestFit="1" customWidth="1"/>
    <col min="8133" max="8133" width="14.44140625" customWidth="1"/>
    <col min="8134" max="8134" width="14.5546875" customWidth="1"/>
    <col min="8135" max="8135" width="54.5546875" bestFit="1" customWidth="1"/>
    <col min="8136" max="8136" width="20.6640625" bestFit="1" customWidth="1"/>
    <col min="8137" max="8146" width="4.6640625" customWidth="1"/>
    <col min="8148" max="8148" width="18.33203125" bestFit="1" customWidth="1"/>
    <col min="8389" max="8389" width="14.44140625" customWidth="1"/>
    <col min="8390" max="8390" width="14.5546875" customWidth="1"/>
    <col min="8391" max="8391" width="54.5546875" bestFit="1" customWidth="1"/>
    <col min="8392" max="8392" width="20.6640625" bestFit="1" customWidth="1"/>
    <col min="8393" max="8402" width="4.6640625" customWidth="1"/>
    <col min="8404" max="8404" width="18.33203125" bestFit="1" customWidth="1"/>
    <col min="8645" max="8645" width="14.44140625" customWidth="1"/>
    <col min="8646" max="8646" width="14.5546875" customWidth="1"/>
    <col min="8647" max="8647" width="54.5546875" bestFit="1" customWidth="1"/>
    <col min="8648" max="8648" width="20.6640625" bestFit="1" customWidth="1"/>
    <col min="8649" max="8658" width="4.6640625" customWidth="1"/>
    <col min="8660" max="8660" width="18.33203125" bestFit="1" customWidth="1"/>
    <col min="8901" max="8901" width="14.44140625" customWidth="1"/>
    <col min="8902" max="8902" width="14.5546875" customWidth="1"/>
    <col min="8903" max="8903" width="54.5546875" bestFit="1" customWidth="1"/>
    <col min="8904" max="8904" width="20.6640625" bestFit="1" customWidth="1"/>
    <col min="8905" max="8914" width="4.6640625" customWidth="1"/>
    <col min="8916" max="8916" width="18.33203125" bestFit="1" customWidth="1"/>
    <col min="9157" max="9157" width="14.44140625" customWidth="1"/>
    <col min="9158" max="9158" width="14.5546875" customWidth="1"/>
    <col min="9159" max="9159" width="54.5546875" bestFit="1" customWidth="1"/>
    <col min="9160" max="9160" width="20.6640625" bestFit="1" customWidth="1"/>
    <col min="9161" max="9170" width="4.6640625" customWidth="1"/>
    <col min="9172" max="9172" width="18.33203125" bestFit="1" customWidth="1"/>
    <col min="9413" max="9413" width="14.44140625" customWidth="1"/>
    <col min="9414" max="9414" width="14.5546875" customWidth="1"/>
    <col min="9415" max="9415" width="54.5546875" bestFit="1" customWidth="1"/>
    <col min="9416" max="9416" width="20.6640625" bestFit="1" customWidth="1"/>
    <col min="9417" max="9426" width="4.6640625" customWidth="1"/>
    <col min="9428" max="9428" width="18.33203125" bestFit="1" customWidth="1"/>
    <col min="9669" max="9669" width="14.44140625" customWidth="1"/>
    <col min="9670" max="9670" width="14.5546875" customWidth="1"/>
    <col min="9671" max="9671" width="54.5546875" bestFit="1" customWidth="1"/>
    <col min="9672" max="9672" width="20.6640625" bestFit="1" customWidth="1"/>
    <col min="9673" max="9682" width="4.6640625" customWidth="1"/>
    <col min="9684" max="9684" width="18.33203125" bestFit="1" customWidth="1"/>
    <col min="9925" max="9925" width="14.44140625" customWidth="1"/>
    <col min="9926" max="9926" width="14.5546875" customWidth="1"/>
    <col min="9927" max="9927" width="54.5546875" bestFit="1" customWidth="1"/>
    <col min="9928" max="9928" width="20.6640625" bestFit="1" customWidth="1"/>
    <col min="9929" max="9938" width="4.6640625" customWidth="1"/>
    <col min="9940" max="9940" width="18.33203125" bestFit="1" customWidth="1"/>
    <col min="10181" max="10181" width="14.44140625" customWidth="1"/>
    <col min="10182" max="10182" width="14.5546875" customWidth="1"/>
    <col min="10183" max="10183" width="54.5546875" bestFit="1" customWidth="1"/>
    <col min="10184" max="10184" width="20.6640625" bestFit="1" customWidth="1"/>
    <col min="10185" max="10194" width="4.6640625" customWidth="1"/>
    <col min="10196" max="10196" width="18.33203125" bestFit="1" customWidth="1"/>
    <col min="10437" max="10437" width="14.44140625" customWidth="1"/>
    <col min="10438" max="10438" width="14.5546875" customWidth="1"/>
    <col min="10439" max="10439" width="54.5546875" bestFit="1" customWidth="1"/>
    <col min="10440" max="10440" width="20.6640625" bestFit="1" customWidth="1"/>
    <col min="10441" max="10450" width="4.6640625" customWidth="1"/>
    <col min="10452" max="10452" width="18.33203125" bestFit="1" customWidth="1"/>
    <col min="10693" max="10693" width="14.44140625" customWidth="1"/>
    <col min="10694" max="10694" width="14.5546875" customWidth="1"/>
    <col min="10695" max="10695" width="54.5546875" bestFit="1" customWidth="1"/>
    <col min="10696" max="10696" width="20.6640625" bestFit="1" customWidth="1"/>
    <col min="10697" max="10706" width="4.6640625" customWidth="1"/>
    <col min="10708" max="10708" width="18.33203125" bestFit="1" customWidth="1"/>
    <col min="10949" max="10949" width="14.44140625" customWidth="1"/>
    <col min="10950" max="10950" width="14.5546875" customWidth="1"/>
    <col min="10951" max="10951" width="54.5546875" bestFit="1" customWidth="1"/>
    <col min="10952" max="10952" width="20.6640625" bestFit="1" customWidth="1"/>
    <col min="10953" max="10962" width="4.6640625" customWidth="1"/>
    <col min="10964" max="10964" width="18.33203125" bestFit="1" customWidth="1"/>
    <col min="11205" max="11205" width="14.44140625" customWidth="1"/>
    <col min="11206" max="11206" width="14.5546875" customWidth="1"/>
    <col min="11207" max="11207" width="54.5546875" bestFit="1" customWidth="1"/>
    <col min="11208" max="11208" width="20.6640625" bestFit="1" customWidth="1"/>
    <col min="11209" max="11218" width="4.6640625" customWidth="1"/>
    <col min="11220" max="11220" width="18.33203125" bestFit="1" customWidth="1"/>
    <col min="11461" max="11461" width="14.44140625" customWidth="1"/>
    <col min="11462" max="11462" width="14.5546875" customWidth="1"/>
    <col min="11463" max="11463" width="54.5546875" bestFit="1" customWidth="1"/>
    <col min="11464" max="11464" width="20.6640625" bestFit="1" customWidth="1"/>
    <col min="11465" max="11474" width="4.6640625" customWidth="1"/>
    <col min="11476" max="11476" width="18.33203125" bestFit="1" customWidth="1"/>
    <col min="11717" max="11717" width="14.44140625" customWidth="1"/>
    <col min="11718" max="11718" width="14.5546875" customWidth="1"/>
    <col min="11719" max="11719" width="54.5546875" bestFit="1" customWidth="1"/>
    <col min="11720" max="11720" width="20.6640625" bestFit="1" customWidth="1"/>
    <col min="11721" max="11730" width="4.6640625" customWidth="1"/>
    <col min="11732" max="11732" width="18.33203125" bestFit="1" customWidth="1"/>
    <col min="11973" max="11973" width="14.44140625" customWidth="1"/>
    <col min="11974" max="11974" width="14.5546875" customWidth="1"/>
    <col min="11975" max="11975" width="54.5546875" bestFit="1" customWidth="1"/>
    <col min="11976" max="11976" width="20.6640625" bestFit="1" customWidth="1"/>
    <col min="11977" max="11986" width="4.6640625" customWidth="1"/>
    <col min="11988" max="11988" width="18.33203125" bestFit="1" customWidth="1"/>
    <col min="12229" max="12229" width="14.44140625" customWidth="1"/>
    <col min="12230" max="12230" width="14.5546875" customWidth="1"/>
    <col min="12231" max="12231" width="54.5546875" bestFit="1" customWidth="1"/>
    <col min="12232" max="12232" width="20.6640625" bestFit="1" customWidth="1"/>
    <col min="12233" max="12242" width="4.6640625" customWidth="1"/>
    <col min="12244" max="12244" width="18.33203125" bestFit="1" customWidth="1"/>
    <col min="12485" max="12485" width="14.44140625" customWidth="1"/>
    <col min="12486" max="12486" width="14.5546875" customWidth="1"/>
    <col min="12487" max="12487" width="54.5546875" bestFit="1" customWidth="1"/>
    <col min="12488" max="12488" width="20.6640625" bestFit="1" customWidth="1"/>
    <col min="12489" max="12498" width="4.6640625" customWidth="1"/>
    <col min="12500" max="12500" width="18.33203125" bestFit="1" customWidth="1"/>
    <col min="12741" max="12741" width="14.44140625" customWidth="1"/>
    <col min="12742" max="12742" width="14.5546875" customWidth="1"/>
    <col min="12743" max="12743" width="54.5546875" bestFit="1" customWidth="1"/>
    <col min="12744" max="12744" width="20.6640625" bestFit="1" customWidth="1"/>
    <col min="12745" max="12754" width="4.6640625" customWidth="1"/>
    <col min="12756" max="12756" width="18.33203125" bestFit="1" customWidth="1"/>
    <col min="12997" max="12997" width="14.44140625" customWidth="1"/>
    <col min="12998" max="12998" width="14.5546875" customWidth="1"/>
    <col min="12999" max="12999" width="54.5546875" bestFit="1" customWidth="1"/>
    <col min="13000" max="13000" width="20.6640625" bestFit="1" customWidth="1"/>
    <col min="13001" max="13010" width="4.6640625" customWidth="1"/>
    <col min="13012" max="13012" width="18.33203125" bestFit="1" customWidth="1"/>
    <col min="13253" max="13253" width="14.44140625" customWidth="1"/>
    <col min="13254" max="13254" width="14.5546875" customWidth="1"/>
    <col min="13255" max="13255" width="54.5546875" bestFit="1" customWidth="1"/>
    <col min="13256" max="13256" width="20.6640625" bestFit="1" customWidth="1"/>
    <col min="13257" max="13266" width="4.6640625" customWidth="1"/>
    <col min="13268" max="13268" width="18.33203125" bestFit="1" customWidth="1"/>
    <col min="13509" max="13509" width="14.44140625" customWidth="1"/>
    <col min="13510" max="13510" width="14.5546875" customWidth="1"/>
    <col min="13511" max="13511" width="54.5546875" bestFit="1" customWidth="1"/>
    <col min="13512" max="13512" width="20.6640625" bestFit="1" customWidth="1"/>
    <col min="13513" max="13522" width="4.6640625" customWidth="1"/>
    <col min="13524" max="13524" width="18.33203125" bestFit="1" customWidth="1"/>
    <col min="13765" max="13765" width="14.44140625" customWidth="1"/>
    <col min="13766" max="13766" width="14.5546875" customWidth="1"/>
    <col min="13767" max="13767" width="54.5546875" bestFit="1" customWidth="1"/>
    <col min="13768" max="13768" width="20.6640625" bestFit="1" customWidth="1"/>
    <col min="13769" max="13778" width="4.6640625" customWidth="1"/>
    <col min="13780" max="13780" width="18.33203125" bestFit="1" customWidth="1"/>
    <col min="14021" max="14021" width="14.44140625" customWidth="1"/>
    <col min="14022" max="14022" width="14.5546875" customWidth="1"/>
    <col min="14023" max="14023" width="54.5546875" bestFit="1" customWidth="1"/>
    <col min="14024" max="14024" width="20.6640625" bestFit="1" customWidth="1"/>
    <col min="14025" max="14034" width="4.6640625" customWidth="1"/>
    <col min="14036" max="14036" width="18.33203125" bestFit="1" customWidth="1"/>
    <col min="14277" max="14277" width="14.44140625" customWidth="1"/>
    <col min="14278" max="14278" width="14.5546875" customWidth="1"/>
    <col min="14279" max="14279" width="54.5546875" bestFit="1" customWidth="1"/>
    <col min="14280" max="14280" width="20.6640625" bestFit="1" customWidth="1"/>
    <col min="14281" max="14290" width="4.6640625" customWidth="1"/>
    <col min="14292" max="14292" width="18.33203125" bestFit="1" customWidth="1"/>
    <col min="14533" max="14533" width="14.44140625" customWidth="1"/>
    <col min="14534" max="14534" width="14.5546875" customWidth="1"/>
    <col min="14535" max="14535" width="54.5546875" bestFit="1" customWidth="1"/>
    <col min="14536" max="14536" width="20.6640625" bestFit="1" customWidth="1"/>
    <col min="14537" max="14546" width="4.6640625" customWidth="1"/>
    <col min="14548" max="14548" width="18.33203125" bestFit="1" customWidth="1"/>
    <col min="14789" max="14789" width="14.44140625" customWidth="1"/>
    <col min="14790" max="14790" width="14.5546875" customWidth="1"/>
    <col min="14791" max="14791" width="54.5546875" bestFit="1" customWidth="1"/>
    <col min="14792" max="14792" width="20.6640625" bestFit="1" customWidth="1"/>
    <col min="14793" max="14802" width="4.6640625" customWidth="1"/>
    <col min="14804" max="14804" width="18.33203125" bestFit="1" customWidth="1"/>
    <col min="15045" max="15045" width="14.44140625" customWidth="1"/>
    <col min="15046" max="15046" width="14.5546875" customWidth="1"/>
    <col min="15047" max="15047" width="54.5546875" bestFit="1" customWidth="1"/>
    <col min="15048" max="15048" width="20.6640625" bestFit="1" customWidth="1"/>
    <col min="15049" max="15058" width="4.6640625" customWidth="1"/>
    <col min="15060" max="15060" width="18.33203125" bestFit="1" customWidth="1"/>
    <col min="15301" max="15301" width="14.44140625" customWidth="1"/>
    <col min="15302" max="15302" width="14.5546875" customWidth="1"/>
    <col min="15303" max="15303" width="54.5546875" bestFit="1" customWidth="1"/>
    <col min="15304" max="15304" width="20.6640625" bestFit="1" customWidth="1"/>
    <col min="15305" max="15314" width="4.6640625" customWidth="1"/>
    <col min="15316" max="15316" width="18.33203125" bestFit="1" customWidth="1"/>
    <col min="15557" max="15557" width="14.44140625" customWidth="1"/>
    <col min="15558" max="15558" width="14.5546875" customWidth="1"/>
    <col min="15559" max="15559" width="54.5546875" bestFit="1" customWidth="1"/>
    <col min="15560" max="15560" width="20.6640625" bestFit="1" customWidth="1"/>
    <col min="15561" max="15570" width="4.6640625" customWidth="1"/>
    <col min="15572" max="15572" width="18.33203125" bestFit="1" customWidth="1"/>
    <col min="15813" max="15813" width="14.44140625" customWidth="1"/>
    <col min="15814" max="15814" width="14.5546875" customWidth="1"/>
    <col min="15815" max="15815" width="54.5546875" bestFit="1" customWidth="1"/>
    <col min="15816" max="15816" width="20.6640625" bestFit="1" customWidth="1"/>
    <col min="15817" max="15826" width="4.6640625" customWidth="1"/>
    <col min="15828" max="15828" width="18.33203125" bestFit="1" customWidth="1"/>
    <col min="16069" max="16069" width="14.44140625" customWidth="1"/>
    <col min="16070" max="16070" width="14.5546875" customWidth="1"/>
    <col min="16071" max="16071" width="54.5546875" bestFit="1" customWidth="1"/>
    <col min="16072" max="16072" width="20.6640625" bestFit="1" customWidth="1"/>
    <col min="16073" max="16082" width="4.6640625" customWidth="1"/>
    <col min="16084" max="16084" width="18.33203125" bestFit="1" customWidth="1"/>
    <col min="16325" max="16325" width="14.44140625" customWidth="1"/>
    <col min="16326" max="16326" width="14.5546875" customWidth="1"/>
    <col min="16327" max="16327" width="54.5546875" bestFit="1" customWidth="1"/>
    <col min="16328" max="16328" width="20.6640625" bestFit="1" customWidth="1"/>
    <col min="16329" max="16338" width="4.6640625" customWidth="1"/>
    <col min="16340" max="16340" width="18.33203125" bestFit="1" customWidth="1"/>
  </cols>
  <sheetData>
    <row r="1" spans="1:232" ht="15.6">
      <c r="A1" s="27" t="s">
        <v>3034</v>
      </c>
      <c r="I1" s="27" t="s">
        <v>3034</v>
      </c>
      <c r="Q1" s="27" t="s">
        <v>2776</v>
      </c>
      <c r="Y1" s="671" t="s">
        <v>2759</v>
      </c>
      <c r="AP1" s="27" t="s">
        <v>2741</v>
      </c>
      <c r="BH1" s="671" t="s">
        <v>2413</v>
      </c>
      <c r="BX1" s="513" t="s">
        <v>2413</v>
      </c>
      <c r="CO1" s="513" t="s">
        <v>2267</v>
      </c>
      <c r="DH1" s="36"/>
      <c r="DI1" s="36"/>
      <c r="DJ1" s="36"/>
      <c r="DK1" s="36"/>
      <c r="DL1" s="36"/>
      <c r="DM1" s="36"/>
      <c r="DN1" s="36"/>
      <c r="DO1" s="36"/>
      <c r="DP1" s="36"/>
      <c r="DQ1" s="36"/>
      <c r="DR1" s="36"/>
      <c r="DS1" s="36"/>
      <c r="DT1" s="36"/>
      <c r="DU1" s="36"/>
      <c r="DV1" s="36"/>
      <c r="DW1" s="36"/>
      <c r="GP1" s="7004" t="s">
        <v>1127</v>
      </c>
      <c r="GQ1" s="7004"/>
      <c r="GR1" s="7004"/>
      <c r="GS1" s="7004"/>
      <c r="GT1" s="7004"/>
      <c r="GU1" s="7004"/>
      <c r="GV1" s="7004"/>
      <c r="GW1" s="7004"/>
      <c r="GX1" s="7004"/>
      <c r="GY1" s="7004"/>
      <c r="GZ1" s="7004"/>
      <c r="HA1" s="7004"/>
      <c r="HB1" s="7004"/>
      <c r="HC1" s="7004"/>
      <c r="HD1" s="7004"/>
      <c r="HE1" s="7004"/>
    </row>
    <row r="2" spans="1:232" ht="15.6">
      <c r="A2" s="94" t="s">
        <v>3031</v>
      </c>
      <c r="I2" s="94" t="s">
        <v>2884</v>
      </c>
      <c r="Q2" s="94" t="s">
        <v>2729</v>
      </c>
      <c r="Y2" s="7018" t="s">
        <v>2758</v>
      </c>
      <c r="Z2" s="7018"/>
      <c r="AA2" s="36"/>
      <c r="AB2" s="36"/>
      <c r="AC2" s="36"/>
      <c r="AD2" s="36"/>
      <c r="AE2" s="36"/>
      <c r="AF2" s="36"/>
      <c r="AG2" s="36"/>
      <c r="AH2" s="36"/>
      <c r="AI2" s="36"/>
      <c r="AJ2" s="36"/>
      <c r="AK2" s="36"/>
      <c r="AL2" s="36"/>
      <c r="AM2" s="36"/>
      <c r="AN2" s="36"/>
      <c r="AP2" s="94" t="s">
        <v>2577</v>
      </c>
      <c r="BH2" s="3810" t="s">
        <v>2774</v>
      </c>
      <c r="BX2" s="18" t="s">
        <v>2410</v>
      </c>
      <c r="CO2" s="513" t="s">
        <v>2261</v>
      </c>
      <c r="DG2" s="513" t="s">
        <v>1728</v>
      </c>
      <c r="DH2" s="36"/>
      <c r="DI2" s="36"/>
      <c r="DJ2" s="36"/>
      <c r="DK2" s="36"/>
      <c r="DL2" s="36"/>
      <c r="DM2" s="36"/>
      <c r="DN2" s="36"/>
      <c r="DO2" s="36"/>
      <c r="DP2" s="36"/>
      <c r="DQ2" s="36"/>
      <c r="DR2" s="36"/>
      <c r="DS2" s="36"/>
      <c r="DT2" s="36"/>
      <c r="DU2" s="36"/>
      <c r="DV2" s="36"/>
      <c r="DW2" s="36"/>
      <c r="DY2" s="94" t="s">
        <v>1665</v>
      </c>
      <c r="EP2" s="513" t="s">
        <v>1155</v>
      </c>
      <c r="FG2" s="513" t="s">
        <v>1156</v>
      </c>
      <c r="FY2" s="180" t="s">
        <v>1157</v>
      </c>
      <c r="FZ2" s="402"/>
      <c r="GA2" s="402"/>
      <c r="GB2" s="402"/>
      <c r="GC2" s="402"/>
      <c r="GD2" s="402"/>
      <c r="GE2" s="402"/>
      <c r="GF2" s="402"/>
      <c r="GG2" s="402"/>
      <c r="GP2" s="7005" t="s">
        <v>1158</v>
      </c>
      <c r="GQ2" s="7005"/>
      <c r="GR2" s="7005"/>
      <c r="GS2" s="7005"/>
      <c r="GT2" s="7005"/>
      <c r="GU2" s="7005"/>
      <c r="GV2" s="7005"/>
      <c r="GW2" s="7005"/>
      <c r="GX2" s="7005"/>
      <c r="GY2" s="7005"/>
      <c r="GZ2" s="7005"/>
      <c r="HA2" s="7005"/>
      <c r="HB2" s="7005"/>
      <c r="HC2" s="7005"/>
      <c r="HD2" s="7005"/>
      <c r="HE2" s="7005"/>
      <c r="HF2" s="403"/>
      <c r="HG2" s="403"/>
    </row>
    <row r="3" spans="1:232" ht="15.6">
      <c r="A3" s="27" t="s">
        <v>2886</v>
      </c>
      <c r="D3" s="5680" t="s">
        <v>3030</v>
      </c>
      <c r="I3" s="27" t="s">
        <v>2886</v>
      </c>
      <c r="L3" s="7017" t="s">
        <v>2911</v>
      </c>
      <c r="M3" s="7017"/>
      <c r="Q3" s="27" t="s">
        <v>2744</v>
      </c>
      <c r="T3" s="4433" t="s">
        <v>2745</v>
      </c>
      <c r="Y3" s="4720" t="s">
        <v>2778</v>
      </c>
      <c r="Z3" s="36"/>
      <c r="AA3" s="36"/>
      <c r="AB3" s="36"/>
      <c r="AC3" s="36"/>
      <c r="AD3" s="36"/>
      <c r="AE3" s="36"/>
      <c r="AF3" s="36"/>
      <c r="AG3" s="36"/>
      <c r="AH3" s="36"/>
      <c r="AI3" s="36"/>
      <c r="AJ3" s="36"/>
      <c r="AK3" s="36"/>
      <c r="AL3" s="36"/>
      <c r="AM3" s="36"/>
      <c r="AN3" s="36"/>
      <c r="AP3" s="27" t="s">
        <v>2556</v>
      </c>
      <c r="BH3" s="1520" t="s">
        <v>2556</v>
      </c>
      <c r="BX3" s="935" t="s">
        <v>2414</v>
      </c>
      <c r="CO3" s="935" t="s">
        <v>2268</v>
      </c>
      <c r="CP3" s="37"/>
      <c r="CQ3" s="37"/>
      <c r="CR3" s="37"/>
      <c r="CS3" s="37"/>
      <c r="CT3" s="37"/>
      <c r="CU3" s="37"/>
      <c r="CV3" s="37"/>
      <c r="CW3" s="37"/>
      <c r="CX3" s="37"/>
      <c r="CY3" s="37"/>
      <c r="CZ3" s="37"/>
      <c r="DA3" s="37"/>
      <c r="DB3" s="37"/>
      <c r="DC3" s="37"/>
      <c r="DD3" s="37"/>
      <c r="DG3" s="27" t="s">
        <v>1725</v>
      </c>
      <c r="DH3" s="36"/>
      <c r="DI3" s="36"/>
      <c r="DJ3" s="36"/>
      <c r="DK3" s="36"/>
      <c r="DL3" s="36"/>
      <c r="DM3" s="36"/>
      <c r="DN3" s="36"/>
      <c r="DO3" s="36"/>
      <c r="DP3" s="36"/>
      <c r="DQ3" s="36"/>
      <c r="DR3" s="36"/>
      <c r="DS3" s="36"/>
      <c r="DT3" s="36"/>
      <c r="DU3" s="36"/>
      <c r="DV3" s="36"/>
      <c r="DW3" s="36"/>
      <c r="DY3" s="1239" t="s">
        <v>1661</v>
      </c>
      <c r="DZ3" s="1205"/>
      <c r="EA3" s="1205"/>
      <c r="EB3" s="1205"/>
      <c r="EC3" s="1205"/>
      <c r="ED3" s="1205"/>
      <c r="EE3" s="1205"/>
      <c r="EF3" s="1205"/>
      <c r="EG3" s="1205"/>
      <c r="EH3" s="1205"/>
      <c r="EI3" s="1205"/>
      <c r="EJ3" s="1205"/>
      <c r="EK3" s="1205"/>
      <c r="EL3" s="1205"/>
      <c r="EM3" s="1205"/>
      <c r="EP3" s="27" t="s">
        <v>708</v>
      </c>
      <c r="EQ3" s="514"/>
      <c r="ER3" s="514"/>
      <c r="ES3" s="514"/>
      <c r="ET3" s="514"/>
      <c r="EU3" s="514"/>
      <c r="EV3" s="514"/>
      <c r="EW3" s="514"/>
      <c r="EX3" s="514"/>
      <c r="EY3" s="514"/>
      <c r="EZ3" s="514"/>
      <c r="FA3" s="514"/>
      <c r="FB3" s="514"/>
      <c r="FC3" s="514"/>
      <c r="FD3" s="514"/>
      <c r="FG3" s="1240" t="s">
        <v>1130</v>
      </c>
      <c r="FH3" s="515"/>
      <c r="FI3" s="515"/>
      <c r="FJ3" s="515"/>
      <c r="FK3" s="515"/>
      <c r="FL3" s="515"/>
      <c r="FM3" s="515"/>
      <c r="FN3" s="515"/>
      <c r="FO3" s="515"/>
      <c r="FP3" s="515"/>
      <c r="FQ3" s="515"/>
      <c r="FR3" s="515"/>
      <c r="FS3" s="515"/>
      <c r="FT3" s="515"/>
      <c r="FU3" s="515"/>
      <c r="FV3" s="515"/>
      <c r="FY3" s="404" t="s">
        <v>1159</v>
      </c>
      <c r="FZ3" s="404"/>
      <c r="GA3" s="404"/>
      <c r="GB3" s="404"/>
      <c r="GC3" s="404"/>
      <c r="GD3" s="404"/>
      <c r="GE3" s="404"/>
      <c r="GF3" s="404"/>
      <c r="GG3" s="404"/>
      <c r="GP3" s="7006" t="s">
        <v>1132</v>
      </c>
      <c r="GQ3" s="7006"/>
      <c r="GR3" s="7006"/>
      <c r="GS3" s="7006"/>
      <c r="GT3" s="7006"/>
      <c r="GU3" s="7006"/>
      <c r="GV3" s="7006"/>
      <c r="GW3" s="7006"/>
      <c r="GX3" s="7006"/>
      <c r="GY3" s="7006"/>
      <c r="GZ3" s="7006"/>
      <c r="HA3" s="7006"/>
      <c r="HB3" s="7006"/>
      <c r="HC3" s="7006"/>
      <c r="HD3" s="7006"/>
      <c r="HE3" s="7006"/>
      <c r="HG3" s="7007" t="s">
        <v>1160</v>
      </c>
      <c r="HH3" s="7007"/>
      <c r="HI3" s="7007"/>
      <c r="HJ3" s="7007"/>
      <c r="HK3" s="7007"/>
      <c r="HL3" s="7007"/>
      <c r="HM3" s="7007"/>
      <c r="HN3" s="7007"/>
      <c r="HO3" s="7007"/>
      <c r="HP3" s="7007"/>
      <c r="HQ3" s="7007"/>
      <c r="HR3" s="7007"/>
      <c r="HS3" s="7007"/>
      <c r="HT3" s="7007"/>
      <c r="HU3" s="7007"/>
      <c r="HV3" s="7007"/>
      <c r="HW3" s="7007"/>
      <c r="HX3" s="7007"/>
    </row>
    <row r="4" spans="1:232">
      <c r="A4" s="2026" t="s">
        <v>2415</v>
      </c>
      <c r="I4" s="2026" t="s">
        <v>2415</v>
      </c>
      <c r="Q4" s="2026" t="s">
        <v>2415</v>
      </c>
      <c r="T4" s="4433" t="s">
        <v>2727</v>
      </c>
      <c r="Y4" s="61" t="s">
        <v>2779</v>
      </c>
      <c r="Z4" s="36"/>
      <c r="AA4" s="36"/>
      <c r="AB4" s="36"/>
      <c r="AC4" s="36"/>
      <c r="AD4" s="36"/>
      <c r="AE4" s="36"/>
      <c r="AF4" s="36"/>
      <c r="AG4" s="36"/>
      <c r="AH4" s="36"/>
      <c r="AI4" s="36"/>
      <c r="AJ4" s="36"/>
      <c r="AK4" s="36"/>
      <c r="AL4" s="36"/>
      <c r="AM4" s="36"/>
      <c r="AN4" s="36"/>
      <c r="AP4" s="2026" t="s">
        <v>2415</v>
      </c>
      <c r="BH4" s="32" t="s">
        <v>2415</v>
      </c>
      <c r="BX4" s="37" t="s">
        <v>2415</v>
      </c>
      <c r="CO4" s="37" t="s">
        <v>2269</v>
      </c>
      <c r="CP4" s="37"/>
      <c r="CQ4" s="37"/>
      <c r="CR4" s="37"/>
      <c r="CS4" s="37"/>
      <c r="CT4" s="37"/>
      <c r="CU4" s="37"/>
      <c r="CV4" s="37"/>
      <c r="CW4" s="37"/>
      <c r="CX4" s="37"/>
      <c r="CY4" s="37"/>
      <c r="CZ4" s="37"/>
      <c r="DA4" s="37"/>
      <c r="DB4" s="37"/>
      <c r="DC4" s="37"/>
      <c r="DD4" s="37"/>
      <c r="DG4" t="s">
        <v>1729</v>
      </c>
      <c r="DH4" s="36"/>
      <c r="DI4" s="36"/>
      <c r="DJ4" s="36"/>
      <c r="DK4" s="36"/>
      <c r="DL4" s="36"/>
      <c r="DM4" s="36"/>
      <c r="DN4" s="36"/>
      <c r="DO4" s="36"/>
      <c r="DP4" s="36"/>
      <c r="DQ4" s="36"/>
      <c r="DR4" s="36"/>
      <c r="DS4" s="36"/>
      <c r="DT4" s="36"/>
      <c r="DU4" s="36"/>
      <c r="DV4" s="36"/>
      <c r="DW4" s="36"/>
      <c r="DY4" s="935" t="s">
        <v>1666</v>
      </c>
      <c r="DZ4" s="1206"/>
      <c r="EA4" s="1206"/>
      <c r="EB4" s="1206"/>
      <c r="EC4" s="1206"/>
      <c r="ED4" s="1206"/>
      <c r="EE4" s="1206"/>
      <c r="EF4" s="1206"/>
      <c r="EG4" s="1206"/>
      <c r="EH4" s="1206"/>
      <c r="EI4" s="1206"/>
      <c r="EJ4" s="1206"/>
      <c r="EK4" s="1206"/>
      <c r="EL4" s="1206"/>
      <c r="EM4" s="1206"/>
      <c r="EP4" s="61" t="s">
        <v>1134</v>
      </c>
      <c r="EQ4" s="516"/>
      <c r="ER4" s="516"/>
      <c r="ES4" s="516"/>
      <c r="ET4" s="516"/>
      <c r="EU4" s="516"/>
      <c r="EV4" s="516"/>
      <c r="EW4" s="516"/>
      <c r="EX4" s="516"/>
      <c r="EY4" s="516"/>
      <c r="EZ4" s="516"/>
      <c r="FA4" s="516"/>
      <c r="FB4" s="516"/>
      <c r="FC4" s="516"/>
      <c r="FD4" s="516"/>
      <c r="FG4" s="409" t="s">
        <v>1161</v>
      </c>
      <c r="FH4" s="517"/>
      <c r="FI4" s="517"/>
      <c r="FJ4" s="517"/>
      <c r="FK4" s="517"/>
      <c r="FL4" s="517"/>
      <c r="FM4" s="517"/>
      <c r="FN4" s="517"/>
      <c r="FO4" s="517"/>
      <c r="FP4" s="517"/>
      <c r="FQ4" s="517"/>
      <c r="FR4" s="517"/>
      <c r="FS4" s="517"/>
      <c r="FT4" s="517"/>
      <c r="FU4" s="517"/>
      <c r="FV4" s="517"/>
      <c r="HE4" s="61"/>
    </row>
    <row r="5" spans="1:232">
      <c r="A5" s="4368" t="s">
        <v>2885</v>
      </c>
      <c r="I5" s="4368" t="s">
        <v>2885</v>
      </c>
      <c r="T5" s="115" t="s">
        <v>2579</v>
      </c>
      <c r="Y5" s="2019"/>
      <c r="Z5" s="2019"/>
      <c r="AA5" s="2019"/>
      <c r="AB5" s="2019"/>
      <c r="AC5" s="2019" t="s">
        <v>1136</v>
      </c>
      <c r="AD5" s="2019"/>
      <c r="AE5" s="2019"/>
      <c r="AF5" s="2019"/>
      <c r="AG5" s="2019"/>
      <c r="AH5" s="2019"/>
      <c r="AI5" s="2019"/>
      <c r="AJ5" s="2019"/>
      <c r="AK5" s="2019"/>
      <c r="AL5" s="2019"/>
      <c r="AM5" s="2019"/>
      <c r="AN5" s="2019"/>
      <c r="AP5" s="2931"/>
      <c r="AQ5" s="2931"/>
      <c r="AR5" s="2046"/>
      <c r="AS5" s="2046"/>
      <c r="AT5" s="6984" t="s">
        <v>1136</v>
      </c>
      <c r="AU5" s="6984"/>
      <c r="AV5" s="6984"/>
      <c r="AW5" s="6984"/>
      <c r="AX5" s="6984"/>
      <c r="AY5" s="6984"/>
      <c r="AZ5" s="6984"/>
      <c r="BA5" s="6984"/>
      <c r="BB5" s="6984"/>
      <c r="BC5" s="6984"/>
      <c r="BD5" s="6984"/>
      <c r="BE5" s="2046"/>
      <c r="BF5" s="3868"/>
      <c r="BH5" s="3802"/>
      <c r="BI5" s="3802"/>
      <c r="BJ5" s="3802"/>
      <c r="BK5" s="3802"/>
      <c r="BL5" s="7013" t="s">
        <v>1136</v>
      </c>
      <c r="BM5" s="7013"/>
      <c r="BN5" s="7013"/>
      <c r="BO5" s="7013"/>
      <c r="BP5" s="7013"/>
      <c r="BQ5" s="7013"/>
      <c r="BR5" s="7013"/>
      <c r="BS5" s="7013"/>
      <c r="BT5" s="7013"/>
      <c r="BU5" s="3802"/>
      <c r="BX5" s="2021"/>
      <c r="BY5" s="2021"/>
      <c r="BZ5" s="2021"/>
      <c r="CA5" s="2021"/>
      <c r="CB5" s="7019" t="s">
        <v>1136</v>
      </c>
      <c r="CC5" s="7019"/>
      <c r="CD5" s="7019"/>
      <c r="CE5" s="7019"/>
      <c r="CF5" s="7019"/>
      <c r="CG5" s="7019"/>
      <c r="CH5" s="7019"/>
      <c r="CI5" s="7019"/>
      <c r="CJ5" s="2021"/>
      <c r="CK5" s="2021"/>
      <c r="CL5" s="2021"/>
      <c r="CM5" s="95"/>
      <c r="CO5" s="27"/>
      <c r="CP5" s="27"/>
      <c r="CQ5" s="27"/>
      <c r="CR5" s="416"/>
      <c r="CS5" s="7020" t="s">
        <v>1136</v>
      </c>
      <c r="CT5" s="7020"/>
      <c r="CU5" s="7020"/>
      <c r="CV5" s="7020"/>
      <c r="CW5" s="7020"/>
      <c r="CX5" s="7020"/>
      <c r="CY5" s="7020"/>
      <c r="CZ5" s="7020"/>
      <c r="DA5" s="7020"/>
      <c r="DB5" s="7020"/>
      <c r="DC5" s="7020"/>
      <c r="DD5" s="27"/>
      <c r="DG5" s="393"/>
      <c r="DH5" s="393"/>
      <c r="DI5" s="393"/>
      <c r="DJ5" s="393"/>
      <c r="DK5" s="6993" t="s">
        <v>1136</v>
      </c>
      <c r="DL5" s="6993"/>
      <c r="DM5" s="6993"/>
      <c r="DN5" s="6993"/>
      <c r="DO5" s="6993"/>
      <c r="DP5" s="6993"/>
      <c r="DQ5" s="6993"/>
      <c r="DR5" s="6993"/>
      <c r="DS5" s="6993"/>
      <c r="DT5" s="6993"/>
      <c r="DU5" s="6993"/>
      <c r="DV5" s="393"/>
      <c r="DW5" s="393"/>
      <c r="DY5" s="135"/>
      <c r="DZ5" s="1207"/>
      <c r="EA5" s="1207"/>
      <c r="EB5" s="1207"/>
      <c r="EC5" s="7014" t="s">
        <v>1136</v>
      </c>
      <c r="ED5" s="7015"/>
      <c r="EE5" s="7015"/>
      <c r="EF5" s="7015"/>
      <c r="EG5" s="7015"/>
      <c r="EH5" s="7015"/>
      <c r="EI5" s="7015"/>
      <c r="EJ5" s="7015"/>
      <c r="EK5" s="7015"/>
      <c r="EL5" s="7015"/>
      <c r="EM5" s="7016"/>
      <c r="EN5" s="97"/>
      <c r="EP5" s="27"/>
      <c r="EQ5" s="518"/>
      <c r="ER5" s="518"/>
      <c r="ES5" s="518"/>
      <c r="ET5" s="7008" t="s">
        <v>1136</v>
      </c>
      <c r="EU5" s="7008"/>
      <c r="EV5" s="7008"/>
      <c r="EW5" s="7008"/>
      <c r="EX5" s="7008"/>
      <c r="EY5" s="7008"/>
      <c r="EZ5" s="7008"/>
      <c r="FA5" s="7008"/>
      <c r="FB5" s="7008"/>
      <c r="FC5" s="7008"/>
      <c r="FD5" s="27"/>
      <c r="FG5" s="27"/>
      <c r="FH5" s="519"/>
      <c r="FI5" s="519"/>
      <c r="FJ5" s="519"/>
      <c r="FK5" s="7009" t="s">
        <v>1136</v>
      </c>
      <c r="FL5" s="7009"/>
      <c r="FM5" s="7009"/>
      <c r="FN5" s="7009"/>
      <c r="FO5" s="7009"/>
      <c r="FP5" s="7009"/>
      <c r="FQ5" s="7009"/>
      <c r="FR5" s="7009"/>
      <c r="FS5" s="7009"/>
      <c r="FT5" s="7009"/>
      <c r="FU5" s="7009"/>
      <c r="FV5" s="27"/>
      <c r="FY5" s="414"/>
      <c r="FZ5" s="520"/>
      <c r="GA5" s="520"/>
      <c r="GB5" s="520"/>
      <c r="GC5" s="7010" t="s">
        <v>1137</v>
      </c>
      <c r="GD5" s="7010"/>
      <c r="GE5" s="7010"/>
      <c r="GF5" s="7010"/>
      <c r="GG5" s="7010"/>
      <c r="GH5" s="7010"/>
      <c r="GI5" s="7010"/>
      <c r="GJ5" s="7010"/>
      <c r="GK5" s="7010"/>
      <c r="GL5" s="7010"/>
      <c r="GM5" s="414"/>
      <c r="GP5" s="386"/>
      <c r="GQ5" s="386"/>
      <c r="GR5" s="416"/>
      <c r="GS5" s="416" t="s">
        <v>315</v>
      </c>
      <c r="GT5" s="7000" t="s">
        <v>1138</v>
      </c>
      <c r="GU5" s="7000"/>
      <c r="GV5" s="7000"/>
      <c r="GW5" s="7000"/>
      <c r="GX5" s="7000"/>
      <c r="GY5" s="7000"/>
      <c r="GZ5" s="7000"/>
      <c r="HA5" s="7000"/>
      <c r="HB5" s="7000"/>
      <c r="HC5" s="7000"/>
      <c r="HD5" s="416"/>
      <c r="HE5" s="416"/>
      <c r="HF5" s="37"/>
      <c r="HG5" s="37"/>
      <c r="HH5" s="37"/>
      <c r="HI5" s="37"/>
      <c r="HJ5" s="37"/>
      <c r="HK5" s="7011" t="s">
        <v>1138</v>
      </c>
      <c r="HL5" s="7011"/>
      <c r="HM5" s="7011"/>
      <c r="HN5" s="7011"/>
      <c r="HO5" s="7011"/>
      <c r="HP5" s="7011"/>
      <c r="HQ5" s="7011"/>
      <c r="HR5" s="7011"/>
      <c r="HS5" s="7011"/>
      <c r="HT5" s="7011"/>
      <c r="HU5" s="7011"/>
      <c r="HV5" s="85"/>
      <c r="HW5" s="37"/>
      <c r="HX5" s="37"/>
    </row>
    <row r="6" spans="1:232" s="119" customFormat="1" ht="29.4" thickBot="1">
      <c r="A6" s="398" t="s">
        <v>3032</v>
      </c>
      <c r="B6" s="398" t="s">
        <v>3033</v>
      </c>
      <c r="C6" s="398" t="s">
        <v>2</v>
      </c>
      <c r="D6" s="398" t="s">
        <v>2730</v>
      </c>
      <c r="E6" s="398" t="s">
        <v>15</v>
      </c>
      <c r="F6" s="398" t="s">
        <v>1138</v>
      </c>
      <c r="G6" s="1469" t="s">
        <v>2750</v>
      </c>
      <c r="H6" s="2110"/>
      <c r="I6" s="398" t="s">
        <v>0</v>
      </c>
      <c r="J6" s="398" t="s">
        <v>1</v>
      </c>
      <c r="K6" s="398" t="s">
        <v>2</v>
      </c>
      <c r="L6" s="398" t="s">
        <v>2730</v>
      </c>
      <c r="M6" s="398" t="s">
        <v>15</v>
      </c>
      <c r="N6" s="398" t="s">
        <v>1138</v>
      </c>
      <c r="O6" s="1469" t="s">
        <v>2750</v>
      </c>
      <c r="P6" s="2110"/>
      <c r="Q6" s="3700" t="s">
        <v>0</v>
      </c>
      <c r="R6" s="3700" t="s">
        <v>1</v>
      </c>
      <c r="S6" s="3700" t="s">
        <v>2</v>
      </c>
      <c r="T6" s="3700" t="s">
        <v>2730</v>
      </c>
      <c r="U6" s="3700" t="s">
        <v>15</v>
      </c>
      <c r="V6" s="3700" t="s">
        <v>1138</v>
      </c>
      <c r="W6" s="4460" t="s">
        <v>2750</v>
      </c>
      <c r="X6" s="4540"/>
      <c r="Y6" s="397" t="s">
        <v>0</v>
      </c>
      <c r="Z6" s="397" t="s">
        <v>1</v>
      </c>
      <c r="AA6" s="397" t="s">
        <v>2</v>
      </c>
      <c r="AB6" s="397" t="s">
        <v>1070</v>
      </c>
      <c r="AC6" s="1680">
        <v>0</v>
      </c>
      <c r="AD6" s="1680">
        <v>1</v>
      </c>
      <c r="AE6" s="1680">
        <v>2</v>
      </c>
      <c r="AF6" s="1680">
        <v>3</v>
      </c>
      <c r="AG6" s="1680">
        <v>4</v>
      </c>
      <c r="AH6" s="1680">
        <v>5</v>
      </c>
      <c r="AI6" s="1680">
        <v>6</v>
      </c>
      <c r="AJ6" s="1680">
        <v>7</v>
      </c>
      <c r="AK6" s="1680">
        <v>8</v>
      </c>
      <c r="AL6" s="398">
        <v>9</v>
      </c>
      <c r="AM6" s="398" t="s">
        <v>15</v>
      </c>
      <c r="AN6" s="1469" t="s">
        <v>66</v>
      </c>
      <c r="AO6" s="2110"/>
      <c r="AP6" s="1904" t="s">
        <v>0</v>
      </c>
      <c r="AQ6" s="1904" t="s">
        <v>1</v>
      </c>
      <c r="AR6" s="3699" t="s">
        <v>2</v>
      </c>
      <c r="AS6" s="3699" t="s">
        <v>1070</v>
      </c>
      <c r="AT6" s="3720">
        <v>0</v>
      </c>
      <c r="AU6" s="3720">
        <v>1</v>
      </c>
      <c r="AV6" s="3720">
        <v>2</v>
      </c>
      <c r="AW6" s="3720">
        <v>3</v>
      </c>
      <c r="AX6" s="3720">
        <v>4</v>
      </c>
      <c r="AY6" s="3720">
        <v>5</v>
      </c>
      <c r="AZ6" s="3720">
        <v>6</v>
      </c>
      <c r="BA6" s="3720">
        <v>7</v>
      </c>
      <c r="BB6" s="3720">
        <v>8</v>
      </c>
      <c r="BC6" s="3700">
        <v>9</v>
      </c>
      <c r="BD6" s="3700">
        <v>10</v>
      </c>
      <c r="BE6" s="3700" t="s">
        <v>15</v>
      </c>
      <c r="BF6" s="3869" t="s">
        <v>66</v>
      </c>
      <c r="BG6" s="3868"/>
      <c r="BH6" s="3804" t="s">
        <v>0</v>
      </c>
      <c r="BI6" s="3804" t="s">
        <v>1</v>
      </c>
      <c r="BJ6" s="3804" t="s">
        <v>2</v>
      </c>
      <c r="BK6" s="3804" t="s">
        <v>1070</v>
      </c>
      <c r="BL6" s="3870">
        <v>1</v>
      </c>
      <c r="BM6" s="3870">
        <v>2</v>
      </c>
      <c r="BN6" s="3870">
        <v>3</v>
      </c>
      <c r="BO6" s="3870">
        <v>4</v>
      </c>
      <c r="BP6" s="3870">
        <v>5</v>
      </c>
      <c r="BQ6" s="3870">
        <v>6</v>
      </c>
      <c r="BR6" s="3870">
        <v>7</v>
      </c>
      <c r="BS6" s="3870">
        <v>8</v>
      </c>
      <c r="BT6" s="3803">
        <v>9</v>
      </c>
      <c r="BU6" s="3803" t="s">
        <v>15</v>
      </c>
      <c r="BV6" s="3805" t="s">
        <v>66</v>
      </c>
      <c r="BW6" s="2110"/>
      <c r="BX6" s="398" t="s">
        <v>0</v>
      </c>
      <c r="BY6" s="398" t="s">
        <v>1</v>
      </c>
      <c r="BZ6" s="398" t="s">
        <v>2</v>
      </c>
      <c r="CA6" s="398" t="s">
        <v>1070</v>
      </c>
      <c r="CB6" s="1680">
        <v>1</v>
      </c>
      <c r="CC6" s="1680">
        <v>2</v>
      </c>
      <c r="CD6" s="1680">
        <v>3</v>
      </c>
      <c r="CE6" s="1680">
        <v>4</v>
      </c>
      <c r="CF6" s="1680">
        <v>5</v>
      </c>
      <c r="CG6" s="1680">
        <v>6</v>
      </c>
      <c r="CH6" s="1680">
        <v>7</v>
      </c>
      <c r="CI6" s="1680">
        <v>8</v>
      </c>
      <c r="CJ6" s="398">
        <v>9</v>
      </c>
      <c r="CK6" s="398">
        <v>10</v>
      </c>
      <c r="CL6" s="398" t="s">
        <v>15</v>
      </c>
      <c r="CM6" s="1469" t="s">
        <v>66</v>
      </c>
      <c r="CN6" s="2042"/>
      <c r="CO6" s="423" t="s">
        <v>0</v>
      </c>
      <c r="CP6" s="423" t="s">
        <v>1</v>
      </c>
      <c r="CQ6" s="423" t="s">
        <v>2</v>
      </c>
      <c r="CR6" s="423" t="s">
        <v>1070</v>
      </c>
      <c r="CS6" s="1677">
        <v>0</v>
      </c>
      <c r="CT6" s="1677">
        <v>1</v>
      </c>
      <c r="CU6" s="1677">
        <v>2</v>
      </c>
      <c r="CV6" s="1677">
        <v>3</v>
      </c>
      <c r="CW6" s="1677">
        <v>4</v>
      </c>
      <c r="CX6" s="1677">
        <v>5</v>
      </c>
      <c r="CY6" s="1677">
        <v>6</v>
      </c>
      <c r="CZ6" s="1677">
        <v>7</v>
      </c>
      <c r="DA6" s="1677">
        <v>8</v>
      </c>
      <c r="DB6" s="423">
        <v>9</v>
      </c>
      <c r="DC6" s="423">
        <v>10</v>
      </c>
      <c r="DD6" s="423" t="s">
        <v>15</v>
      </c>
      <c r="DE6" s="490" t="s">
        <v>66</v>
      </c>
      <c r="DG6" s="398" t="s">
        <v>0</v>
      </c>
      <c r="DH6" s="398" t="s">
        <v>1</v>
      </c>
      <c r="DI6" s="398" t="s">
        <v>2</v>
      </c>
      <c r="DJ6" s="398" t="s">
        <v>1070</v>
      </c>
      <c r="DK6" s="1483">
        <v>0</v>
      </c>
      <c r="DL6" s="1483">
        <v>1</v>
      </c>
      <c r="DM6" s="1483">
        <v>2</v>
      </c>
      <c r="DN6" s="1483">
        <v>3</v>
      </c>
      <c r="DO6" s="1483">
        <v>4</v>
      </c>
      <c r="DP6" s="1483">
        <v>5</v>
      </c>
      <c r="DQ6" s="1483">
        <v>6</v>
      </c>
      <c r="DR6" s="1483">
        <v>7</v>
      </c>
      <c r="DS6" s="1483">
        <v>8</v>
      </c>
      <c r="DT6" s="398">
        <v>9</v>
      </c>
      <c r="DU6" s="398">
        <v>10</v>
      </c>
      <c r="DV6" s="398" t="s">
        <v>15</v>
      </c>
      <c r="DW6" s="1469" t="s">
        <v>66</v>
      </c>
      <c r="DY6" s="488" t="s">
        <v>0</v>
      </c>
      <c r="DZ6" s="488" t="s">
        <v>1</v>
      </c>
      <c r="EA6" s="488" t="s">
        <v>2</v>
      </c>
      <c r="EB6" s="488" t="s">
        <v>1070</v>
      </c>
      <c r="EC6" s="488">
        <v>1</v>
      </c>
      <c r="ED6" s="488">
        <v>2</v>
      </c>
      <c r="EE6" s="488">
        <v>3</v>
      </c>
      <c r="EF6" s="488">
        <v>4</v>
      </c>
      <c r="EG6" s="488">
        <v>5</v>
      </c>
      <c r="EH6" s="488">
        <v>6</v>
      </c>
      <c r="EI6" s="488">
        <v>7</v>
      </c>
      <c r="EJ6" s="488">
        <v>8</v>
      </c>
      <c r="EK6" s="488">
        <v>9</v>
      </c>
      <c r="EL6" s="488">
        <v>10</v>
      </c>
      <c r="EM6" s="1208" t="s">
        <v>15</v>
      </c>
      <c r="EN6" s="1177" t="s">
        <v>66</v>
      </c>
      <c r="EP6" s="521" t="s">
        <v>0</v>
      </c>
      <c r="EQ6" s="521" t="s">
        <v>1</v>
      </c>
      <c r="ER6" s="521" t="s">
        <v>2</v>
      </c>
      <c r="ES6" s="521" t="s">
        <v>1070</v>
      </c>
      <c r="ET6" s="521">
        <v>1</v>
      </c>
      <c r="EU6" s="521">
        <v>2</v>
      </c>
      <c r="EV6" s="521">
        <v>3</v>
      </c>
      <c r="EW6" s="521">
        <v>4</v>
      </c>
      <c r="EX6" s="521">
        <v>5</v>
      </c>
      <c r="EY6" s="521">
        <v>6</v>
      </c>
      <c r="EZ6" s="521">
        <v>7</v>
      </c>
      <c r="FA6" s="521">
        <v>8</v>
      </c>
      <c r="FB6" s="521">
        <v>9</v>
      </c>
      <c r="FC6" s="521">
        <v>10</v>
      </c>
      <c r="FD6" s="521" t="s">
        <v>15</v>
      </c>
      <c r="FE6" s="522" t="s">
        <v>66</v>
      </c>
      <c r="FG6" s="523" t="s">
        <v>0</v>
      </c>
      <c r="FH6" s="523" t="s">
        <v>1</v>
      </c>
      <c r="FI6" s="523" t="s">
        <v>2</v>
      </c>
      <c r="FJ6" s="523" t="s">
        <v>1070</v>
      </c>
      <c r="FK6" s="523">
        <v>0</v>
      </c>
      <c r="FL6" s="523">
        <v>1</v>
      </c>
      <c r="FM6" s="523">
        <v>2</v>
      </c>
      <c r="FN6" s="523">
        <v>3</v>
      </c>
      <c r="FO6" s="523">
        <v>4</v>
      </c>
      <c r="FP6" s="523">
        <v>5</v>
      </c>
      <c r="FQ6" s="523">
        <v>6</v>
      </c>
      <c r="FR6" s="523">
        <v>7</v>
      </c>
      <c r="FS6" s="523">
        <v>8</v>
      </c>
      <c r="FT6" s="523">
        <v>9</v>
      </c>
      <c r="FU6" s="523">
        <v>10</v>
      </c>
      <c r="FV6" s="523" t="s">
        <v>15</v>
      </c>
      <c r="FW6" s="524" t="s">
        <v>1139</v>
      </c>
      <c r="FY6" s="525" t="s">
        <v>0</v>
      </c>
      <c r="FZ6" s="525" t="s">
        <v>1</v>
      </c>
      <c r="GA6" s="525" t="s">
        <v>2</v>
      </c>
      <c r="GB6" s="525" t="s">
        <v>1070</v>
      </c>
      <c r="GC6" s="525">
        <v>1</v>
      </c>
      <c r="GD6" s="525">
        <v>2</v>
      </c>
      <c r="GE6" s="525">
        <v>3</v>
      </c>
      <c r="GF6" s="525">
        <v>4</v>
      </c>
      <c r="GG6" s="525">
        <v>5</v>
      </c>
      <c r="GH6" s="525">
        <v>6</v>
      </c>
      <c r="GI6" s="525">
        <v>7</v>
      </c>
      <c r="GJ6" s="525">
        <v>8</v>
      </c>
      <c r="GK6" s="525">
        <v>9</v>
      </c>
      <c r="GL6" s="525">
        <v>10</v>
      </c>
      <c r="GM6" s="525" t="s">
        <v>15</v>
      </c>
      <c r="GN6" s="422" t="s">
        <v>66</v>
      </c>
      <c r="GP6" s="423" t="s">
        <v>0</v>
      </c>
      <c r="GQ6" s="423" t="s">
        <v>1</v>
      </c>
      <c r="GR6" s="423" t="s">
        <v>2</v>
      </c>
      <c r="GS6" s="423" t="s">
        <v>1070</v>
      </c>
      <c r="GT6" s="423">
        <v>1</v>
      </c>
      <c r="GU6" s="423">
        <v>2</v>
      </c>
      <c r="GV6" s="423">
        <v>3</v>
      </c>
      <c r="GW6" s="423">
        <v>4</v>
      </c>
      <c r="GX6" s="423">
        <v>5</v>
      </c>
      <c r="GY6" s="423">
        <v>6</v>
      </c>
      <c r="GZ6" s="423">
        <v>7</v>
      </c>
      <c r="HA6" s="423">
        <v>8</v>
      </c>
      <c r="HB6" s="423">
        <v>9</v>
      </c>
      <c r="HC6" s="423">
        <v>10</v>
      </c>
      <c r="HD6" s="423" t="s">
        <v>15</v>
      </c>
      <c r="HE6" s="424" t="s">
        <v>66</v>
      </c>
      <c r="HF6" s="63"/>
      <c r="HG6" s="526" t="s">
        <v>0</v>
      </c>
      <c r="HH6" s="526" t="s">
        <v>1</v>
      </c>
      <c r="HI6" s="526" t="s">
        <v>2</v>
      </c>
      <c r="HJ6" s="526" t="s">
        <v>1140</v>
      </c>
      <c r="HK6" s="526">
        <v>0</v>
      </c>
      <c r="HL6" s="526">
        <v>1</v>
      </c>
      <c r="HM6" s="526">
        <v>2</v>
      </c>
      <c r="HN6" s="526">
        <v>3</v>
      </c>
      <c r="HO6" s="526">
        <v>4</v>
      </c>
      <c r="HP6" s="526">
        <v>5</v>
      </c>
      <c r="HQ6" s="526">
        <v>6</v>
      </c>
      <c r="HR6" s="526">
        <v>7</v>
      </c>
      <c r="HS6" s="526">
        <v>8</v>
      </c>
      <c r="HT6" s="526">
        <v>9</v>
      </c>
      <c r="HU6" s="526">
        <v>10</v>
      </c>
      <c r="HV6" s="526" t="s">
        <v>15</v>
      </c>
      <c r="HW6" s="526" t="s">
        <v>66</v>
      </c>
      <c r="HX6" s="426" t="s">
        <v>1141</v>
      </c>
    </row>
    <row r="7" spans="1:232">
      <c r="A7" s="5682">
        <v>1</v>
      </c>
      <c r="B7" s="5682">
        <v>1</v>
      </c>
      <c r="C7" s="5683" t="s">
        <v>265</v>
      </c>
      <c r="D7" s="5683" t="s">
        <v>2731</v>
      </c>
      <c r="E7" s="5682">
        <v>2</v>
      </c>
      <c r="F7" s="5682">
        <v>9</v>
      </c>
      <c r="I7" s="4915">
        <v>1</v>
      </c>
      <c r="J7" s="4915">
        <v>1</v>
      </c>
      <c r="K7" s="4916" t="s">
        <v>265</v>
      </c>
      <c r="L7" s="4916" t="s">
        <v>2731</v>
      </c>
      <c r="M7" s="4915">
        <v>1</v>
      </c>
      <c r="N7" s="4915">
        <v>7</v>
      </c>
      <c r="O7" s="157"/>
      <c r="Q7" s="4705">
        <v>1</v>
      </c>
      <c r="R7" s="4705">
        <v>1</v>
      </c>
      <c r="S7" s="4706" t="s">
        <v>265</v>
      </c>
      <c r="T7" s="4706" t="s">
        <v>2731</v>
      </c>
      <c r="U7" s="4707">
        <v>1</v>
      </c>
      <c r="V7" s="4707">
        <v>7</v>
      </c>
      <c r="W7" s="4722"/>
      <c r="Y7" s="36" t="s">
        <v>3</v>
      </c>
      <c r="Z7" s="36" t="s">
        <v>4</v>
      </c>
      <c r="AA7" s="36" t="s">
        <v>113</v>
      </c>
      <c r="AB7" s="36" t="s">
        <v>1072</v>
      </c>
      <c r="AC7" s="1681"/>
      <c r="AD7" s="1681"/>
      <c r="AE7" s="1681"/>
      <c r="AF7" s="1681"/>
      <c r="AG7" s="1681"/>
      <c r="AH7" s="1681"/>
      <c r="AI7" s="1681">
        <v>1</v>
      </c>
      <c r="AJ7" s="1681">
        <v>0</v>
      </c>
      <c r="AK7" s="1681"/>
      <c r="AL7" s="95"/>
      <c r="AM7" s="95">
        <v>1</v>
      </c>
      <c r="AN7" s="4545"/>
      <c r="AP7" s="157" t="s">
        <v>3</v>
      </c>
      <c r="AQ7" s="157" t="s">
        <v>4</v>
      </c>
      <c r="AR7" s="3868" t="s">
        <v>113</v>
      </c>
      <c r="AS7" s="3868" t="s">
        <v>1072</v>
      </c>
      <c r="AT7" s="3721">
        <v>0</v>
      </c>
      <c r="AU7" s="3721">
        <v>1</v>
      </c>
      <c r="AV7" s="3721"/>
      <c r="AW7" s="3721"/>
      <c r="AX7" s="3721">
        <v>0</v>
      </c>
      <c r="AY7" s="3721"/>
      <c r="AZ7" s="3721"/>
      <c r="BA7" s="3721">
        <v>0</v>
      </c>
      <c r="BB7" s="3721">
        <v>0</v>
      </c>
      <c r="BC7" s="2110"/>
      <c r="BD7" s="2110"/>
      <c r="BE7" s="2110">
        <v>1</v>
      </c>
      <c r="BF7" s="2110"/>
      <c r="BH7" s="32" t="s">
        <v>3</v>
      </c>
      <c r="BI7" s="32" t="s">
        <v>4</v>
      </c>
      <c r="BJ7" s="32" t="s">
        <v>113</v>
      </c>
      <c r="BK7" s="32" t="s">
        <v>1072</v>
      </c>
      <c r="BL7" s="3871">
        <v>1</v>
      </c>
      <c r="BM7" s="3871"/>
      <c r="BN7" s="3871"/>
      <c r="BO7" s="3871">
        <v>0</v>
      </c>
      <c r="BP7" s="3871"/>
      <c r="BQ7" s="3871"/>
      <c r="BR7" s="3871">
        <v>0</v>
      </c>
      <c r="BS7" s="3871">
        <v>0</v>
      </c>
      <c r="BT7" s="1518"/>
      <c r="BU7" s="1518">
        <v>1</v>
      </c>
      <c r="BX7" s="36" t="s">
        <v>3</v>
      </c>
      <c r="BY7" s="36" t="s">
        <v>4</v>
      </c>
      <c r="BZ7" s="36" t="s">
        <v>113</v>
      </c>
      <c r="CA7" s="36" t="s">
        <v>1072</v>
      </c>
      <c r="CB7" s="1681"/>
      <c r="CC7" s="1681"/>
      <c r="CD7" s="1681">
        <v>1</v>
      </c>
      <c r="CE7" s="1681">
        <v>1</v>
      </c>
      <c r="CF7" s="1681">
        <v>0</v>
      </c>
      <c r="CG7" s="1681">
        <v>0</v>
      </c>
      <c r="CH7" s="1681">
        <v>0</v>
      </c>
      <c r="CI7" s="1681">
        <v>0</v>
      </c>
      <c r="CJ7" s="95"/>
      <c r="CK7" s="95">
        <v>0</v>
      </c>
      <c r="CL7" s="95">
        <v>2</v>
      </c>
      <c r="CM7" s="36"/>
      <c r="CO7" s="37" t="s">
        <v>3</v>
      </c>
      <c r="CP7" s="37" t="s">
        <v>4</v>
      </c>
      <c r="CQ7" s="37" t="s">
        <v>113</v>
      </c>
      <c r="CR7" s="37" t="s">
        <v>1072</v>
      </c>
      <c r="CS7" s="1678"/>
      <c r="CT7" s="1678">
        <v>3</v>
      </c>
      <c r="CU7" s="1678"/>
      <c r="CV7" s="1678"/>
      <c r="CW7" s="1678"/>
      <c r="CX7" s="1678">
        <v>0</v>
      </c>
      <c r="CY7" s="1678"/>
      <c r="CZ7" s="1678"/>
      <c r="DA7" s="1678"/>
      <c r="DB7" s="63"/>
      <c r="DC7" s="63">
        <v>0</v>
      </c>
      <c r="DD7" s="63">
        <v>3</v>
      </c>
      <c r="DG7" s="95" t="s">
        <v>3</v>
      </c>
      <c r="DH7" s="95" t="s">
        <v>4</v>
      </c>
      <c r="DI7" s="36" t="s">
        <v>114</v>
      </c>
      <c r="DJ7" s="36" t="s">
        <v>1072</v>
      </c>
      <c r="DK7" s="1484">
        <v>0</v>
      </c>
      <c r="DL7" s="1484">
        <v>1</v>
      </c>
      <c r="DM7" s="1484"/>
      <c r="DN7" s="1484"/>
      <c r="DO7" s="1484"/>
      <c r="DP7" s="1484"/>
      <c r="DQ7" s="1484">
        <v>4</v>
      </c>
      <c r="DR7" s="1484">
        <v>11</v>
      </c>
      <c r="DS7" s="1484">
        <v>1</v>
      </c>
      <c r="DT7" s="95">
        <v>1</v>
      </c>
      <c r="DU7" s="95"/>
      <c r="DV7" s="95">
        <v>18</v>
      </c>
      <c r="DW7" s="95"/>
      <c r="DY7" s="1209" t="s">
        <v>3</v>
      </c>
      <c r="DZ7" s="1209" t="s">
        <v>4</v>
      </c>
      <c r="EA7" s="1210" t="s">
        <v>114</v>
      </c>
      <c r="EB7" s="1211" t="s">
        <v>1071</v>
      </c>
      <c r="EC7" s="1212"/>
      <c r="ED7" s="1213">
        <v>0</v>
      </c>
      <c r="EE7" s="1213">
        <v>0</v>
      </c>
      <c r="EF7" s="1212"/>
      <c r="EG7" s="1212"/>
      <c r="EH7" s="1213">
        <v>1</v>
      </c>
      <c r="EI7" s="1213">
        <v>1</v>
      </c>
      <c r="EJ7" s="1213">
        <v>1</v>
      </c>
      <c r="EK7" s="611"/>
      <c r="EL7" s="611"/>
      <c r="EM7" s="612">
        <v>3</v>
      </c>
      <c r="EN7" s="36"/>
      <c r="EP7" s="527" t="s">
        <v>3</v>
      </c>
      <c r="EQ7" s="527" t="s">
        <v>4</v>
      </c>
      <c r="ER7" s="528" t="s">
        <v>114</v>
      </c>
      <c r="ES7" s="529" t="s">
        <v>1071</v>
      </c>
      <c r="ET7" s="530"/>
      <c r="EU7" s="530"/>
      <c r="EV7" s="530"/>
      <c r="EW7" s="530"/>
      <c r="EX7" s="530"/>
      <c r="EY7" s="531">
        <v>0</v>
      </c>
      <c r="EZ7" s="531">
        <v>0</v>
      </c>
      <c r="FA7" s="531">
        <v>1</v>
      </c>
      <c r="FB7" s="527"/>
      <c r="FC7" s="527"/>
      <c r="FD7" s="532">
        <v>1</v>
      </c>
      <c r="FE7" s="95"/>
      <c r="FG7" s="533" t="s">
        <v>3</v>
      </c>
      <c r="FH7" s="533" t="s">
        <v>4</v>
      </c>
      <c r="FI7" s="533" t="s">
        <v>113</v>
      </c>
      <c r="FJ7" s="534" t="s">
        <v>1072</v>
      </c>
      <c r="FK7" s="535"/>
      <c r="FL7" s="536">
        <v>1</v>
      </c>
      <c r="FM7" s="536">
        <v>2</v>
      </c>
      <c r="FN7" s="535"/>
      <c r="FO7" s="535"/>
      <c r="FP7" s="535"/>
      <c r="FQ7" s="535"/>
      <c r="FR7" s="535"/>
      <c r="FS7" s="535"/>
      <c r="FT7" s="537"/>
      <c r="FU7" s="537"/>
      <c r="FV7" s="538">
        <v>3</v>
      </c>
      <c r="FW7" s="539"/>
      <c r="FY7" s="540" t="s">
        <v>3</v>
      </c>
      <c r="FZ7" s="540" t="s">
        <v>4</v>
      </c>
      <c r="GA7" s="540" t="s">
        <v>113</v>
      </c>
      <c r="GB7" s="541" t="s">
        <v>1071</v>
      </c>
      <c r="GC7" s="542"/>
      <c r="GD7" s="542"/>
      <c r="GE7" s="543">
        <v>0</v>
      </c>
      <c r="GF7" s="543">
        <v>0</v>
      </c>
      <c r="GG7" s="542"/>
      <c r="GH7" s="542"/>
      <c r="GI7" s="542"/>
      <c r="GJ7" s="543">
        <v>1</v>
      </c>
      <c r="GK7" s="543">
        <v>0</v>
      </c>
      <c r="GL7" s="543">
        <v>2</v>
      </c>
      <c r="GM7" s="543">
        <v>3</v>
      </c>
      <c r="GN7" s="445"/>
      <c r="GP7" s="63" t="s">
        <v>3</v>
      </c>
      <c r="GQ7" s="63" t="s">
        <v>4</v>
      </c>
      <c r="GR7" s="37" t="s">
        <v>113</v>
      </c>
      <c r="GS7" s="37" t="s">
        <v>1071</v>
      </c>
      <c r="GT7" s="63"/>
      <c r="GU7" s="63">
        <v>0</v>
      </c>
      <c r="GV7" s="63">
        <v>0</v>
      </c>
      <c r="GW7" s="63"/>
      <c r="GX7" s="63">
        <v>0</v>
      </c>
      <c r="GY7" s="63"/>
      <c r="GZ7" s="63">
        <v>0</v>
      </c>
      <c r="HA7" s="63">
        <v>1</v>
      </c>
      <c r="HB7" s="63"/>
      <c r="HC7" s="63">
        <v>0</v>
      </c>
      <c r="HD7" s="63">
        <v>1</v>
      </c>
      <c r="HE7" s="37"/>
      <c r="HF7" s="37"/>
      <c r="HG7" s="446" t="s">
        <v>1162</v>
      </c>
      <c r="HH7" s="446" t="s">
        <v>4</v>
      </c>
      <c r="HI7" s="446" t="s">
        <v>113</v>
      </c>
      <c r="HJ7" s="446" t="s">
        <v>1071</v>
      </c>
      <c r="HK7" s="446">
        <v>0</v>
      </c>
      <c r="HL7" s="446">
        <v>0</v>
      </c>
      <c r="HM7" s="446">
        <v>0</v>
      </c>
      <c r="HN7" s="446">
        <v>0</v>
      </c>
      <c r="HO7" s="446">
        <v>0</v>
      </c>
      <c r="HP7" s="446">
        <v>0</v>
      </c>
      <c r="HQ7" s="446">
        <v>0</v>
      </c>
      <c r="HR7" s="446">
        <v>0</v>
      </c>
      <c r="HS7" s="446">
        <v>1</v>
      </c>
      <c r="HT7" s="446">
        <v>0</v>
      </c>
      <c r="HU7" s="446">
        <v>0</v>
      </c>
      <c r="HV7" s="447">
        <v>1</v>
      </c>
      <c r="HW7" s="544"/>
      <c r="HX7" s="448"/>
    </row>
    <row r="8" spans="1:232">
      <c r="A8" s="5682">
        <v>1</v>
      </c>
      <c r="B8" s="5682">
        <v>1</v>
      </c>
      <c r="C8" s="5683" t="s">
        <v>265</v>
      </c>
      <c r="D8" s="5683" t="s">
        <v>2731</v>
      </c>
      <c r="E8" s="5682">
        <v>2</v>
      </c>
      <c r="F8" s="5682">
        <v>10</v>
      </c>
      <c r="I8" s="4915">
        <v>1</v>
      </c>
      <c r="J8" s="4915">
        <v>1</v>
      </c>
      <c r="K8" s="4916" t="s">
        <v>265</v>
      </c>
      <c r="L8" s="4916" t="s">
        <v>2731</v>
      </c>
      <c r="M8" s="4915">
        <v>1</v>
      </c>
      <c r="N8" s="4915">
        <v>8</v>
      </c>
      <c r="O8" s="157"/>
      <c r="Q8" s="4705">
        <v>1</v>
      </c>
      <c r="R8" s="4705">
        <v>1</v>
      </c>
      <c r="S8" s="4706" t="s">
        <v>265</v>
      </c>
      <c r="T8" s="4706" t="s">
        <v>2731</v>
      </c>
      <c r="U8" s="4707">
        <v>1</v>
      </c>
      <c r="V8" s="4707">
        <v>8</v>
      </c>
      <c r="W8" s="4722"/>
      <c r="Y8" s="36"/>
      <c r="Z8" s="36"/>
      <c r="AA8" s="36"/>
      <c r="AB8" s="36" t="s">
        <v>1076</v>
      </c>
      <c r="AC8" s="1681"/>
      <c r="AD8" s="1681"/>
      <c r="AE8" s="1681"/>
      <c r="AF8" s="1681"/>
      <c r="AG8" s="1681"/>
      <c r="AH8" s="1681"/>
      <c r="AI8" s="1681">
        <v>2</v>
      </c>
      <c r="AJ8" s="1681">
        <v>0</v>
      </c>
      <c r="AK8" s="1681"/>
      <c r="AL8" s="95"/>
      <c r="AM8" s="95">
        <v>2</v>
      </c>
      <c r="AN8" s="4545"/>
      <c r="AS8" s="3868" t="s">
        <v>1077</v>
      </c>
      <c r="AT8" s="3721">
        <v>0</v>
      </c>
      <c r="AU8" s="3721">
        <v>0</v>
      </c>
      <c r="AV8" s="3721"/>
      <c r="AW8" s="3721"/>
      <c r="AX8" s="3721">
        <v>2</v>
      </c>
      <c r="AY8" s="3721"/>
      <c r="AZ8" s="3721"/>
      <c r="BA8" s="3721">
        <v>0</v>
      </c>
      <c r="BB8" s="3721">
        <v>0</v>
      </c>
      <c r="BC8" s="2110"/>
      <c r="BD8" s="2110"/>
      <c r="BE8" s="2110">
        <v>2</v>
      </c>
      <c r="BF8" s="2110"/>
      <c r="BK8" s="32" t="s">
        <v>1077</v>
      </c>
      <c r="BL8" s="3871">
        <v>0</v>
      </c>
      <c r="BM8" s="3871"/>
      <c r="BN8" s="3871"/>
      <c r="BO8" s="3871">
        <v>2</v>
      </c>
      <c r="BP8" s="3871"/>
      <c r="BQ8" s="3871"/>
      <c r="BR8" s="3871">
        <v>0</v>
      </c>
      <c r="BS8" s="3871">
        <v>0</v>
      </c>
      <c r="BT8" s="1518"/>
      <c r="BU8" s="1518">
        <v>2</v>
      </c>
      <c r="BX8" s="36"/>
      <c r="BY8" s="36"/>
      <c r="BZ8" s="36"/>
      <c r="CA8" s="36" t="s">
        <v>1077</v>
      </c>
      <c r="CB8" s="1681"/>
      <c r="CC8" s="1681"/>
      <c r="CD8" s="1681">
        <v>0</v>
      </c>
      <c r="CE8" s="1681">
        <v>0</v>
      </c>
      <c r="CF8" s="1681">
        <v>1</v>
      </c>
      <c r="CG8" s="1681">
        <v>0</v>
      </c>
      <c r="CH8" s="1681">
        <v>0</v>
      </c>
      <c r="CI8" s="1681">
        <v>0</v>
      </c>
      <c r="CJ8" s="95"/>
      <c r="CK8" s="95">
        <v>0</v>
      </c>
      <c r="CL8" s="95">
        <v>1</v>
      </c>
      <c r="CM8" s="36"/>
      <c r="CO8" s="37"/>
      <c r="CP8" s="37"/>
      <c r="CQ8" s="37"/>
      <c r="CR8" s="37" t="s">
        <v>1076</v>
      </c>
      <c r="CS8" s="1678"/>
      <c r="CT8" s="1678">
        <v>0</v>
      </c>
      <c r="CU8" s="1678"/>
      <c r="CV8" s="1678"/>
      <c r="CW8" s="1678"/>
      <c r="CX8" s="1678">
        <v>1</v>
      </c>
      <c r="CY8" s="1678"/>
      <c r="CZ8" s="1678"/>
      <c r="DA8" s="1678"/>
      <c r="DB8" s="63"/>
      <c r="DC8" s="63">
        <v>0</v>
      </c>
      <c r="DD8" s="63">
        <v>1</v>
      </c>
      <c r="DG8" s="95"/>
      <c r="DH8" s="95"/>
      <c r="DI8" s="36"/>
      <c r="DJ8" s="36" t="s">
        <v>1076</v>
      </c>
      <c r="DK8" s="1484">
        <v>0</v>
      </c>
      <c r="DL8" s="1484">
        <v>0</v>
      </c>
      <c r="DM8" s="1484"/>
      <c r="DN8" s="1484"/>
      <c r="DO8" s="1484"/>
      <c r="DP8" s="1484"/>
      <c r="DQ8" s="1484">
        <v>2</v>
      </c>
      <c r="DR8" s="1484">
        <v>0</v>
      </c>
      <c r="DS8" s="1484">
        <v>0</v>
      </c>
      <c r="DT8" s="95">
        <v>0</v>
      </c>
      <c r="DU8" s="95"/>
      <c r="DV8" s="95">
        <v>2</v>
      </c>
      <c r="DW8" s="95"/>
      <c r="DY8" s="1209"/>
      <c r="DZ8" s="1209"/>
      <c r="EA8" s="1210"/>
      <c r="EB8" s="1211" t="s">
        <v>1072</v>
      </c>
      <c r="EC8" s="1212"/>
      <c r="ED8" s="1213">
        <v>1</v>
      </c>
      <c r="EE8" s="1213">
        <v>0</v>
      </c>
      <c r="EF8" s="1212"/>
      <c r="EG8" s="1212"/>
      <c r="EH8" s="1213">
        <v>7</v>
      </c>
      <c r="EI8" s="1213">
        <v>3</v>
      </c>
      <c r="EJ8" s="1213">
        <v>0</v>
      </c>
      <c r="EK8" s="611"/>
      <c r="EL8" s="611"/>
      <c r="EM8" s="612">
        <v>11</v>
      </c>
      <c r="EN8" s="36"/>
      <c r="EP8" s="527"/>
      <c r="EQ8" s="527"/>
      <c r="ER8" s="528"/>
      <c r="ES8" s="529" t="s">
        <v>1072</v>
      </c>
      <c r="ET8" s="530"/>
      <c r="EU8" s="530"/>
      <c r="EV8" s="530"/>
      <c r="EW8" s="530"/>
      <c r="EX8" s="530"/>
      <c r="EY8" s="531">
        <v>0</v>
      </c>
      <c r="EZ8" s="531">
        <v>7</v>
      </c>
      <c r="FA8" s="531">
        <v>0</v>
      </c>
      <c r="FB8" s="527"/>
      <c r="FC8" s="527"/>
      <c r="FD8" s="532">
        <v>7</v>
      </c>
      <c r="FE8" s="95"/>
      <c r="FG8" s="533"/>
      <c r="FH8" s="533"/>
      <c r="FI8" s="533"/>
      <c r="FJ8" s="545" t="s">
        <v>15</v>
      </c>
      <c r="FK8" s="546"/>
      <c r="FL8" s="547">
        <v>1</v>
      </c>
      <c r="FM8" s="547">
        <v>2</v>
      </c>
      <c r="FN8" s="546"/>
      <c r="FO8" s="546"/>
      <c r="FP8" s="546"/>
      <c r="FQ8" s="546"/>
      <c r="FR8" s="546"/>
      <c r="FS8" s="546"/>
      <c r="FT8" s="548"/>
      <c r="FU8" s="548"/>
      <c r="FV8" s="549">
        <v>3</v>
      </c>
      <c r="FW8" s="539">
        <v>0</v>
      </c>
      <c r="FY8" s="540"/>
      <c r="FZ8" s="540"/>
      <c r="GA8" s="540"/>
      <c r="GB8" s="541" t="s">
        <v>1072</v>
      </c>
      <c r="GC8" s="542"/>
      <c r="GD8" s="542"/>
      <c r="GE8" s="543">
        <v>0</v>
      </c>
      <c r="GF8" s="543">
        <v>1</v>
      </c>
      <c r="GG8" s="542"/>
      <c r="GH8" s="542"/>
      <c r="GI8" s="542"/>
      <c r="GJ8" s="543">
        <v>0</v>
      </c>
      <c r="GK8" s="543">
        <v>1</v>
      </c>
      <c r="GL8" s="543">
        <v>0</v>
      </c>
      <c r="GM8" s="543">
        <v>2</v>
      </c>
      <c r="GN8" s="445"/>
      <c r="GP8" s="63"/>
      <c r="GQ8" s="63"/>
      <c r="GR8" s="37"/>
      <c r="GS8" s="37" t="s">
        <v>1072</v>
      </c>
      <c r="GT8" s="63"/>
      <c r="GU8" s="63">
        <v>1</v>
      </c>
      <c r="GV8" s="63">
        <v>1</v>
      </c>
      <c r="GW8" s="63"/>
      <c r="GX8" s="63">
        <v>1</v>
      </c>
      <c r="GY8" s="63"/>
      <c r="GZ8" s="63">
        <v>1</v>
      </c>
      <c r="HA8" s="63">
        <v>0</v>
      </c>
      <c r="HB8" s="63"/>
      <c r="HC8" s="63">
        <v>0</v>
      </c>
      <c r="HD8" s="63">
        <v>4</v>
      </c>
      <c r="HE8" s="37"/>
      <c r="HF8" s="37"/>
      <c r="HG8" s="446"/>
      <c r="HH8" s="446"/>
      <c r="HI8" s="446"/>
      <c r="HJ8" s="446" t="s">
        <v>1072</v>
      </c>
      <c r="HK8" s="446">
        <v>0</v>
      </c>
      <c r="HL8" s="446">
        <v>0</v>
      </c>
      <c r="HM8" s="446">
        <v>0</v>
      </c>
      <c r="HN8" s="446">
        <v>0</v>
      </c>
      <c r="HO8" s="446">
        <v>1</v>
      </c>
      <c r="HP8" s="446">
        <v>0</v>
      </c>
      <c r="HQ8" s="446">
        <v>0</v>
      </c>
      <c r="HR8" s="446">
        <v>0</v>
      </c>
      <c r="HS8" s="446">
        <v>0</v>
      </c>
      <c r="HT8" s="446">
        <v>0</v>
      </c>
      <c r="HU8" s="446">
        <v>0</v>
      </c>
      <c r="HV8" s="447">
        <v>1</v>
      </c>
      <c r="HW8" s="544"/>
      <c r="HX8" s="448"/>
    </row>
    <row r="9" spans="1:232">
      <c r="A9" s="5682">
        <v>1</v>
      </c>
      <c r="B9" s="5682">
        <v>1</v>
      </c>
      <c r="C9" s="5683" t="s">
        <v>265</v>
      </c>
      <c r="D9" s="5683" t="s">
        <v>2705</v>
      </c>
      <c r="E9" s="5682">
        <v>1</v>
      </c>
      <c r="F9" s="5682">
        <v>3</v>
      </c>
      <c r="I9" s="4915">
        <v>1</v>
      </c>
      <c r="J9" s="4915">
        <v>1</v>
      </c>
      <c r="K9" s="4916" t="s">
        <v>265</v>
      </c>
      <c r="L9" s="4916" t="s">
        <v>2731</v>
      </c>
      <c r="M9" s="4915">
        <v>2</v>
      </c>
      <c r="N9" s="4915">
        <v>9</v>
      </c>
      <c r="O9" s="157"/>
      <c r="Q9" s="4705">
        <v>1</v>
      </c>
      <c r="R9" s="4705">
        <v>1</v>
      </c>
      <c r="S9" s="4706" t="s">
        <v>265</v>
      </c>
      <c r="T9" s="4706" t="s">
        <v>1071</v>
      </c>
      <c r="U9" s="4707">
        <v>1</v>
      </c>
      <c r="V9" s="4707">
        <v>8</v>
      </c>
      <c r="W9" s="4722"/>
      <c r="Y9" s="36"/>
      <c r="Z9" s="36"/>
      <c r="AA9" s="36"/>
      <c r="AB9" s="36" t="s">
        <v>1080</v>
      </c>
      <c r="AC9" s="1681"/>
      <c r="AD9" s="1681"/>
      <c r="AE9" s="1681"/>
      <c r="AF9" s="1681"/>
      <c r="AG9" s="1681"/>
      <c r="AH9" s="1681"/>
      <c r="AI9" s="1681">
        <v>2</v>
      </c>
      <c r="AJ9" s="1681">
        <v>2</v>
      </c>
      <c r="AK9" s="1681"/>
      <c r="AL9" s="95"/>
      <c r="AM9" s="95">
        <v>4</v>
      </c>
      <c r="AN9" s="4545"/>
      <c r="AS9" s="3868" t="s">
        <v>1080</v>
      </c>
      <c r="AT9" s="3721">
        <v>0</v>
      </c>
      <c r="AU9" s="3721">
        <v>0</v>
      </c>
      <c r="AV9" s="3721"/>
      <c r="AW9" s="3721"/>
      <c r="AX9" s="3721">
        <v>0</v>
      </c>
      <c r="AY9" s="3721"/>
      <c r="AZ9" s="3721"/>
      <c r="BA9" s="3721">
        <v>1</v>
      </c>
      <c r="BB9" s="3721">
        <v>0</v>
      </c>
      <c r="BC9" s="2110"/>
      <c r="BD9" s="2110"/>
      <c r="BE9" s="2110">
        <v>1</v>
      </c>
      <c r="BF9" s="2110"/>
      <c r="BK9" s="32" t="s">
        <v>1080</v>
      </c>
      <c r="BL9" s="3871">
        <v>0</v>
      </c>
      <c r="BM9" s="3871"/>
      <c r="BN9" s="3871"/>
      <c r="BO9" s="3871">
        <v>0</v>
      </c>
      <c r="BP9" s="3871"/>
      <c r="BQ9" s="3871"/>
      <c r="BR9" s="3871">
        <v>1</v>
      </c>
      <c r="BS9" s="3871">
        <v>0</v>
      </c>
      <c r="BT9" s="1518"/>
      <c r="BU9" s="1518">
        <v>1</v>
      </c>
      <c r="BX9" s="36"/>
      <c r="BY9" s="36"/>
      <c r="BZ9" s="36"/>
      <c r="CA9" s="36" t="s">
        <v>1080</v>
      </c>
      <c r="CB9" s="1681"/>
      <c r="CC9" s="1681"/>
      <c r="CD9" s="1681">
        <v>0</v>
      </c>
      <c r="CE9" s="1681">
        <v>0</v>
      </c>
      <c r="CF9" s="1681">
        <v>0</v>
      </c>
      <c r="CG9" s="1681">
        <v>0</v>
      </c>
      <c r="CH9" s="1681">
        <v>0</v>
      </c>
      <c r="CI9" s="1681">
        <v>1</v>
      </c>
      <c r="CJ9" s="95"/>
      <c r="CK9" s="95">
        <v>1</v>
      </c>
      <c r="CL9" s="95">
        <v>2</v>
      </c>
      <c r="CM9" s="36"/>
      <c r="CO9" s="37"/>
      <c r="CP9" s="37"/>
      <c r="CQ9" s="37"/>
      <c r="CR9" s="37" t="s">
        <v>1080</v>
      </c>
      <c r="CS9" s="1678"/>
      <c r="CT9" s="1678">
        <v>0</v>
      </c>
      <c r="CU9" s="1678"/>
      <c r="CV9" s="1678"/>
      <c r="CW9" s="1678"/>
      <c r="CX9" s="1678">
        <v>0</v>
      </c>
      <c r="CY9" s="1678"/>
      <c r="CZ9" s="1678"/>
      <c r="DA9" s="1678"/>
      <c r="DB9" s="63"/>
      <c r="DC9" s="63">
        <v>1</v>
      </c>
      <c r="DD9" s="63">
        <v>1</v>
      </c>
      <c r="DG9" s="95"/>
      <c r="DH9" s="95"/>
      <c r="DI9" s="36"/>
      <c r="DJ9" s="36" t="s">
        <v>1080</v>
      </c>
      <c r="DK9" s="1484">
        <v>0</v>
      </c>
      <c r="DL9" s="1484">
        <v>0</v>
      </c>
      <c r="DM9" s="1484"/>
      <c r="DN9" s="1484"/>
      <c r="DO9" s="1484"/>
      <c r="DP9" s="1484"/>
      <c r="DQ9" s="1484">
        <v>0</v>
      </c>
      <c r="DR9" s="1484">
        <v>0</v>
      </c>
      <c r="DS9" s="1484">
        <v>9</v>
      </c>
      <c r="DT9" s="95">
        <v>0</v>
      </c>
      <c r="DU9" s="95"/>
      <c r="DV9" s="95">
        <v>9</v>
      </c>
      <c r="DW9" s="95"/>
      <c r="DY9" s="1209"/>
      <c r="DZ9" s="1209"/>
      <c r="EA9" s="1210"/>
      <c r="EB9" s="1211" t="s">
        <v>1074</v>
      </c>
      <c r="EC9" s="1212"/>
      <c r="ED9" s="1213">
        <v>0</v>
      </c>
      <c r="EE9" s="1213">
        <v>1</v>
      </c>
      <c r="EF9" s="1212"/>
      <c r="EG9" s="1212"/>
      <c r="EH9" s="1213">
        <v>0</v>
      </c>
      <c r="EI9" s="1213">
        <v>0</v>
      </c>
      <c r="EJ9" s="1213">
        <v>0</v>
      </c>
      <c r="EK9" s="611"/>
      <c r="EL9" s="611"/>
      <c r="EM9" s="612">
        <v>1</v>
      </c>
      <c r="EN9" s="36"/>
      <c r="EP9" s="527"/>
      <c r="EQ9" s="527"/>
      <c r="ER9" s="528"/>
      <c r="ES9" s="529" t="s">
        <v>1077</v>
      </c>
      <c r="ET9" s="530"/>
      <c r="EU9" s="530"/>
      <c r="EV9" s="530"/>
      <c r="EW9" s="530"/>
      <c r="EX9" s="530"/>
      <c r="EY9" s="531">
        <v>0</v>
      </c>
      <c r="EZ9" s="531">
        <v>1</v>
      </c>
      <c r="FA9" s="531">
        <v>0</v>
      </c>
      <c r="FB9" s="527"/>
      <c r="FC9" s="527"/>
      <c r="FD9" s="532">
        <v>1</v>
      </c>
      <c r="FE9" s="95"/>
      <c r="FG9" s="533"/>
      <c r="FH9" s="533"/>
      <c r="FI9" s="533" t="s">
        <v>114</v>
      </c>
      <c r="FJ9" s="534" t="s">
        <v>1072</v>
      </c>
      <c r="FK9" s="535"/>
      <c r="FL9" s="535"/>
      <c r="FM9" s="535"/>
      <c r="FN9" s="535"/>
      <c r="FO9" s="535"/>
      <c r="FP9" s="535"/>
      <c r="FQ9" s="536">
        <v>3</v>
      </c>
      <c r="FR9" s="536">
        <v>4</v>
      </c>
      <c r="FS9" s="536">
        <v>0</v>
      </c>
      <c r="FT9" s="537"/>
      <c r="FU9" s="537"/>
      <c r="FV9" s="538">
        <v>7</v>
      </c>
      <c r="FW9" s="539"/>
      <c r="FY9" s="540"/>
      <c r="FZ9" s="540"/>
      <c r="GA9" s="540"/>
      <c r="GB9" s="541" t="s">
        <v>1077</v>
      </c>
      <c r="GC9" s="542"/>
      <c r="GD9" s="542"/>
      <c r="GE9" s="543">
        <v>2</v>
      </c>
      <c r="GF9" s="543">
        <v>0</v>
      </c>
      <c r="GG9" s="542"/>
      <c r="GH9" s="542"/>
      <c r="GI9" s="542"/>
      <c r="GJ9" s="543">
        <v>0</v>
      </c>
      <c r="GK9" s="543">
        <v>0</v>
      </c>
      <c r="GL9" s="543">
        <v>0</v>
      </c>
      <c r="GM9" s="543">
        <v>2</v>
      </c>
      <c r="GN9" s="445"/>
      <c r="GP9" s="63"/>
      <c r="GQ9" s="63"/>
      <c r="GR9" s="37"/>
      <c r="GS9" s="37" t="s">
        <v>1077</v>
      </c>
      <c r="GT9" s="63"/>
      <c r="GU9" s="63">
        <v>0</v>
      </c>
      <c r="GV9" s="63">
        <v>1</v>
      </c>
      <c r="GW9" s="63"/>
      <c r="GX9" s="63">
        <v>0</v>
      </c>
      <c r="GY9" s="63"/>
      <c r="GZ9" s="63">
        <v>0</v>
      </c>
      <c r="HA9" s="63">
        <v>0</v>
      </c>
      <c r="HB9" s="63"/>
      <c r="HC9" s="63">
        <v>0</v>
      </c>
      <c r="HD9" s="63">
        <v>1</v>
      </c>
      <c r="HE9" s="37"/>
      <c r="HF9" s="37"/>
      <c r="HG9" s="446"/>
      <c r="HH9" s="446"/>
      <c r="HI9" s="446"/>
      <c r="HJ9" s="446" t="s">
        <v>1077</v>
      </c>
      <c r="HK9" s="446">
        <v>0</v>
      </c>
      <c r="HL9" s="446">
        <v>0</v>
      </c>
      <c r="HM9" s="446">
        <v>2</v>
      </c>
      <c r="HN9" s="446">
        <v>0</v>
      </c>
      <c r="HO9" s="446">
        <v>0</v>
      </c>
      <c r="HP9" s="446">
        <v>0</v>
      </c>
      <c r="HQ9" s="446">
        <v>0</v>
      </c>
      <c r="HR9" s="446">
        <v>0</v>
      </c>
      <c r="HS9" s="446">
        <v>0</v>
      </c>
      <c r="HT9" s="446">
        <v>0</v>
      </c>
      <c r="HU9" s="446">
        <v>0</v>
      </c>
      <c r="HV9" s="447">
        <v>2</v>
      </c>
      <c r="HW9" s="544"/>
      <c r="HX9" s="448"/>
    </row>
    <row r="10" spans="1:232">
      <c r="A10" s="5682">
        <v>1</v>
      </c>
      <c r="B10" s="5682">
        <v>1</v>
      </c>
      <c r="C10" s="5683" t="s">
        <v>265</v>
      </c>
      <c r="D10" s="5683" t="s">
        <v>3027</v>
      </c>
      <c r="E10" s="5682">
        <v>1</v>
      </c>
      <c r="F10" s="5682">
        <v>8</v>
      </c>
      <c r="I10" s="4915">
        <v>1</v>
      </c>
      <c r="J10" s="4915">
        <v>1</v>
      </c>
      <c r="K10" s="4916" t="s">
        <v>265</v>
      </c>
      <c r="L10" s="4916" t="s">
        <v>1071</v>
      </c>
      <c r="M10" s="4915">
        <v>2</v>
      </c>
      <c r="N10" s="4915">
        <v>8</v>
      </c>
      <c r="O10" s="157"/>
      <c r="Q10" s="4705">
        <v>1</v>
      </c>
      <c r="R10" s="4705">
        <v>1</v>
      </c>
      <c r="S10" s="4706" t="s">
        <v>265</v>
      </c>
      <c r="T10" s="4708" t="s">
        <v>2732</v>
      </c>
      <c r="U10" s="4709">
        <v>2</v>
      </c>
      <c r="V10" s="4709">
        <v>6</v>
      </c>
      <c r="W10" s="4722"/>
      <c r="Y10" s="36"/>
      <c r="Z10" s="36"/>
      <c r="AA10" s="36"/>
      <c r="AB10" s="36" t="s">
        <v>15</v>
      </c>
      <c r="AC10" s="1681"/>
      <c r="AD10" s="1681"/>
      <c r="AE10" s="1681"/>
      <c r="AF10" s="1681"/>
      <c r="AG10" s="1681"/>
      <c r="AH10" s="1681"/>
      <c r="AI10" s="1681">
        <v>5</v>
      </c>
      <c r="AJ10" s="1681">
        <v>2</v>
      </c>
      <c r="AK10" s="1681"/>
      <c r="AL10" s="95"/>
      <c r="AM10" s="95">
        <v>7</v>
      </c>
      <c r="AN10" s="560">
        <f>+AI8/AM10</f>
        <v>0.2857142857142857</v>
      </c>
      <c r="AS10" s="4450" t="s">
        <v>1081</v>
      </c>
      <c r="AT10" s="3721">
        <v>0</v>
      </c>
      <c r="AU10" s="3721">
        <v>0</v>
      </c>
      <c r="AV10" s="3721"/>
      <c r="AW10" s="3721"/>
      <c r="AX10" s="3721">
        <v>0</v>
      </c>
      <c r="AY10" s="3721"/>
      <c r="AZ10" s="3721"/>
      <c r="BA10" s="3721">
        <v>0</v>
      </c>
      <c r="BB10" s="3721">
        <v>1</v>
      </c>
      <c r="BC10" s="2110"/>
      <c r="BD10" s="2110"/>
      <c r="BE10" s="2110">
        <v>1</v>
      </c>
      <c r="BF10" s="2110"/>
      <c r="BK10" s="32" t="s">
        <v>1081</v>
      </c>
      <c r="BL10" s="3871">
        <v>0</v>
      </c>
      <c r="BM10" s="3871"/>
      <c r="BN10" s="3871"/>
      <c r="BO10" s="3871">
        <v>0</v>
      </c>
      <c r="BP10" s="3871"/>
      <c r="BQ10" s="3871"/>
      <c r="BR10" s="3871">
        <v>0</v>
      </c>
      <c r="BS10" s="3871">
        <v>1</v>
      </c>
      <c r="BT10" s="1518"/>
      <c r="BU10" s="1518">
        <v>1</v>
      </c>
      <c r="BX10" s="36"/>
      <c r="BY10" s="36"/>
      <c r="BZ10" s="36"/>
      <c r="CA10" s="36" t="s">
        <v>1081</v>
      </c>
      <c r="CB10" s="1681"/>
      <c r="CC10" s="1681"/>
      <c r="CD10" s="1681">
        <v>0</v>
      </c>
      <c r="CE10" s="1681">
        <v>0</v>
      </c>
      <c r="CF10" s="1681">
        <v>0</v>
      </c>
      <c r="CG10" s="1681">
        <v>0</v>
      </c>
      <c r="CH10" s="1681">
        <v>1</v>
      </c>
      <c r="CI10" s="1681">
        <v>0</v>
      </c>
      <c r="CJ10" s="95"/>
      <c r="CK10" s="95">
        <v>0</v>
      </c>
      <c r="CL10" s="95">
        <v>1</v>
      </c>
      <c r="CM10" s="36"/>
      <c r="CO10" s="37"/>
      <c r="CP10" s="37"/>
      <c r="CQ10" s="37"/>
      <c r="CR10" s="37" t="s">
        <v>1163</v>
      </c>
      <c r="CS10" s="1678"/>
      <c r="CT10" s="1678">
        <v>0</v>
      </c>
      <c r="CU10" s="1678"/>
      <c r="CV10" s="1678"/>
      <c r="CW10" s="1678"/>
      <c r="CX10" s="1678">
        <v>1</v>
      </c>
      <c r="CY10" s="1678"/>
      <c r="CZ10" s="1678"/>
      <c r="DA10" s="1678"/>
      <c r="DB10" s="63"/>
      <c r="DC10" s="63">
        <v>0</v>
      </c>
      <c r="DD10" s="63">
        <v>1</v>
      </c>
      <c r="DG10" s="95"/>
      <c r="DH10" s="95"/>
      <c r="DI10" s="36"/>
      <c r="DJ10" s="36" t="s">
        <v>1663</v>
      </c>
      <c r="DK10" s="1484">
        <v>2</v>
      </c>
      <c r="DL10" s="1484">
        <v>0</v>
      </c>
      <c r="DM10" s="1484"/>
      <c r="DN10" s="1484"/>
      <c r="DO10" s="1484"/>
      <c r="DP10" s="1484"/>
      <c r="DQ10" s="1484">
        <v>0</v>
      </c>
      <c r="DR10" s="1484">
        <v>0</v>
      </c>
      <c r="DS10" s="1484">
        <v>0</v>
      </c>
      <c r="DT10" s="95">
        <v>0</v>
      </c>
      <c r="DU10" s="95"/>
      <c r="DV10" s="95">
        <v>2</v>
      </c>
      <c r="DW10" s="95"/>
      <c r="DY10" s="1209"/>
      <c r="DZ10" s="1209"/>
      <c r="EA10" s="1210"/>
      <c r="EB10" s="1211" t="s">
        <v>1076</v>
      </c>
      <c r="EC10" s="1212"/>
      <c r="ED10" s="1213">
        <v>0</v>
      </c>
      <c r="EE10" s="1213">
        <v>0</v>
      </c>
      <c r="EF10" s="1212"/>
      <c r="EG10" s="1212"/>
      <c r="EH10" s="1213">
        <v>0</v>
      </c>
      <c r="EI10" s="1213">
        <v>2</v>
      </c>
      <c r="EJ10" s="1213">
        <v>0</v>
      </c>
      <c r="EK10" s="611"/>
      <c r="EL10" s="611"/>
      <c r="EM10" s="612">
        <v>2</v>
      </c>
      <c r="EN10" s="36"/>
      <c r="EP10" s="527"/>
      <c r="EQ10" s="527"/>
      <c r="ER10" s="528"/>
      <c r="ES10" s="529" t="s">
        <v>1080</v>
      </c>
      <c r="ET10" s="530"/>
      <c r="EU10" s="530"/>
      <c r="EV10" s="530"/>
      <c r="EW10" s="530"/>
      <c r="EX10" s="530"/>
      <c r="EY10" s="531">
        <v>0</v>
      </c>
      <c r="EZ10" s="531">
        <v>0</v>
      </c>
      <c r="FA10" s="531">
        <v>2</v>
      </c>
      <c r="FB10" s="527"/>
      <c r="FC10" s="527"/>
      <c r="FD10" s="532">
        <v>2</v>
      </c>
      <c r="FE10" s="95"/>
      <c r="FG10" s="533"/>
      <c r="FH10" s="533"/>
      <c r="FI10" s="533"/>
      <c r="FJ10" s="534" t="s">
        <v>1076</v>
      </c>
      <c r="FK10" s="535"/>
      <c r="FL10" s="535"/>
      <c r="FM10" s="535"/>
      <c r="FN10" s="535"/>
      <c r="FO10" s="535"/>
      <c r="FP10" s="535"/>
      <c r="FQ10" s="536">
        <v>0</v>
      </c>
      <c r="FR10" s="536">
        <v>1</v>
      </c>
      <c r="FS10" s="536">
        <v>0</v>
      </c>
      <c r="FT10" s="537"/>
      <c r="FU10" s="537"/>
      <c r="FV10" s="538">
        <v>1</v>
      </c>
      <c r="FW10" s="539"/>
      <c r="FY10" s="540"/>
      <c r="FZ10" s="540"/>
      <c r="GA10" s="540"/>
      <c r="GB10" s="541" t="s">
        <v>1080</v>
      </c>
      <c r="GC10" s="542"/>
      <c r="GD10" s="542"/>
      <c r="GE10" s="543">
        <v>0</v>
      </c>
      <c r="GF10" s="543">
        <v>0</v>
      </c>
      <c r="GG10" s="542"/>
      <c r="GH10" s="542"/>
      <c r="GI10" s="542"/>
      <c r="GJ10" s="543">
        <v>2</v>
      </c>
      <c r="GK10" s="543">
        <v>0</v>
      </c>
      <c r="GL10" s="543">
        <v>1</v>
      </c>
      <c r="GM10" s="543">
        <v>3</v>
      </c>
      <c r="GN10" s="445"/>
      <c r="GP10" s="63"/>
      <c r="GQ10" s="63"/>
      <c r="GR10" s="37"/>
      <c r="GS10" s="37" t="s">
        <v>1080</v>
      </c>
      <c r="GT10" s="63"/>
      <c r="GU10" s="63">
        <v>0</v>
      </c>
      <c r="GV10" s="63">
        <v>0</v>
      </c>
      <c r="GW10" s="63"/>
      <c r="GX10" s="63">
        <v>0</v>
      </c>
      <c r="GY10" s="63"/>
      <c r="GZ10" s="63">
        <v>0</v>
      </c>
      <c r="HA10" s="63">
        <v>1</v>
      </c>
      <c r="HB10" s="63"/>
      <c r="HC10" s="63">
        <v>1</v>
      </c>
      <c r="HD10" s="63">
        <v>2</v>
      </c>
      <c r="HE10" s="37"/>
      <c r="HF10" s="37"/>
      <c r="HG10" s="446"/>
      <c r="HH10" s="446"/>
      <c r="HI10" s="446"/>
      <c r="HJ10" s="446" t="s">
        <v>1080</v>
      </c>
      <c r="HK10" s="446">
        <v>0</v>
      </c>
      <c r="HL10" s="446">
        <v>0</v>
      </c>
      <c r="HM10" s="446">
        <v>0</v>
      </c>
      <c r="HN10" s="446">
        <v>0</v>
      </c>
      <c r="HO10" s="446">
        <v>0</v>
      </c>
      <c r="HP10" s="446">
        <v>0</v>
      </c>
      <c r="HQ10" s="446">
        <v>2</v>
      </c>
      <c r="HR10" s="446">
        <v>0</v>
      </c>
      <c r="HS10" s="446">
        <v>0</v>
      </c>
      <c r="HT10" s="446">
        <v>0</v>
      </c>
      <c r="HU10" s="446">
        <v>0</v>
      </c>
      <c r="HV10" s="447">
        <v>2</v>
      </c>
      <c r="HW10" s="544"/>
      <c r="HX10" s="448"/>
    </row>
    <row r="11" spans="1:232">
      <c r="A11" s="5682">
        <v>1</v>
      </c>
      <c r="B11" s="5682">
        <v>1</v>
      </c>
      <c r="C11" s="5683" t="s">
        <v>265</v>
      </c>
      <c r="D11" s="5683" t="s">
        <v>3027</v>
      </c>
      <c r="E11" s="5682">
        <v>1</v>
      </c>
      <c r="F11" s="5682">
        <v>10</v>
      </c>
      <c r="I11" s="4915">
        <v>1</v>
      </c>
      <c r="J11" s="4915">
        <v>1</v>
      </c>
      <c r="K11" s="4916" t="s">
        <v>265</v>
      </c>
      <c r="L11" s="4916" t="s">
        <v>1071</v>
      </c>
      <c r="M11" s="4915">
        <v>1</v>
      </c>
      <c r="N11" s="4915">
        <v>9</v>
      </c>
      <c r="O11" s="157"/>
      <c r="Q11" s="4705">
        <v>1</v>
      </c>
      <c r="R11" s="4705">
        <v>1</v>
      </c>
      <c r="S11" s="4706" t="s">
        <v>265</v>
      </c>
      <c r="T11" s="4706" t="s">
        <v>2709</v>
      </c>
      <c r="U11" s="4707">
        <v>2</v>
      </c>
      <c r="V11" s="4707">
        <v>6</v>
      </c>
      <c r="W11" s="4722"/>
      <c r="X11" s="2117"/>
      <c r="Y11" s="36"/>
      <c r="Z11" s="36"/>
      <c r="AA11" s="36" t="s">
        <v>115</v>
      </c>
      <c r="AB11" s="36" t="s">
        <v>1071</v>
      </c>
      <c r="AC11" s="1681">
        <v>0</v>
      </c>
      <c r="AD11" s="1681"/>
      <c r="AE11" s="1681"/>
      <c r="AF11" s="1681"/>
      <c r="AG11" s="1681">
        <v>0</v>
      </c>
      <c r="AH11" s="1681"/>
      <c r="AI11" s="1681"/>
      <c r="AJ11" s="1681">
        <v>2</v>
      </c>
      <c r="AK11" s="1681"/>
      <c r="AL11" s="95"/>
      <c r="AM11" s="95">
        <v>2</v>
      </c>
      <c r="AN11" s="4545"/>
      <c r="AS11" s="3868" t="s">
        <v>2571</v>
      </c>
      <c r="AT11" s="3721">
        <v>2</v>
      </c>
      <c r="AU11" s="3721">
        <v>0</v>
      </c>
      <c r="AV11" s="3721"/>
      <c r="AW11" s="3721"/>
      <c r="AX11" s="3721">
        <v>0</v>
      </c>
      <c r="AY11" s="3721"/>
      <c r="AZ11" s="3721"/>
      <c r="BA11" s="3721">
        <v>0</v>
      </c>
      <c r="BB11" s="3721">
        <v>0</v>
      </c>
      <c r="BC11" s="2110"/>
      <c r="BD11" s="2110"/>
      <c r="BE11" s="2110">
        <v>2</v>
      </c>
      <c r="BF11" s="2110"/>
      <c r="BK11" s="32" t="s">
        <v>1163</v>
      </c>
      <c r="BL11" s="3871">
        <v>0</v>
      </c>
      <c r="BM11" s="3871"/>
      <c r="BN11" s="3871"/>
      <c r="BO11" s="3871">
        <v>0</v>
      </c>
      <c r="BP11" s="3871"/>
      <c r="BQ11" s="3871"/>
      <c r="BR11" s="3871">
        <v>1</v>
      </c>
      <c r="BS11" s="3871">
        <v>0</v>
      </c>
      <c r="BT11" s="1518"/>
      <c r="BU11" s="1518">
        <v>1</v>
      </c>
      <c r="BX11" s="36"/>
      <c r="BY11" s="36"/>
      <c r="BZ11" s="36"/>
      <c r="CA11" s="36" t="s">
        <v>1163</v>
      </c>
      <c r="CB11" s="1681"/>
      <c r="CC11" s="1681"/>
      <c r="CD11" s="1681">
        <v>0</v>
      </c>
      <c r="CE11" s="1681">
        <v>0</v>
      </c>
      <c r="CF11" s="1681">
        <v>0</v>
      </c>
      <c r="CG11" s="1681">
        <v>1</v>
      </c>
      <c r="CH11" s="1681">
        <v>0</v>
      </c>
      <c r="CI11" s="1681">
        <v>0</v>
      </c>
      <c r="CJ11" s="95"/>
      <c r="CK11" s="95">
        <v>0</v>
      </c>
      <c r="CL11" s="95">
        <v>1</v>
      </c>
      <c r="CM11" s="36"/>
      <c r="CO11" s="37"/>
      <c r="CP11" s="37"/>
      <c r="CQ11" s="37"/>
      <c r="CR11" s="416" t="s">
        <v>15</v>
      </c>
      <c r="CS11" s="1679"/>
      <c r="CT11" s="1679">
        <v>3</v>
      </c>
      <c r="CU11" s="1679"/>
      <c r="CV11" s="1679"/>
      <c r="CW11" s="1679"/>
      <c r="CX11" s="1679">
        <v>2</v>
      </c>
      <c r="CY11" s="1679"/>
      <c r="CZ11" s="1679"/>
      <c r="DA11" s="1679"/>
      <c r="DB11" s="386"/>
      <c r="DC11" s="386">
        <v>1</v>
      </c>
      <c r="DD11" s="386">
        <v>6</v>
      </c>
      <c r="DE11" s="2045">
        <f>+(DD8+DD10)/DD11</f>
        <v>0.33333333333333331</v>
      </c>
      <c r="DG11" s="95"/>
      <c r="DH11" s="95"/>
      <c r="DI11" s="36"/>
      <c r="DJ11" s="36" t="s">
        <v>1081</v>
      </c>
      <c r="DK11" s="1484">
        <v>0</v>
      </c>
      <c r="DL11" s="1484">
        <v>0</v>
      </c>
      <c r="DM11" s="1484"/>
      <c r="DN11" s="1484"/>
      <c r="DO11" s="1484"/>
      <c r="DP11" s="1484"/>
      <c r="DQ11" s="1484">
        <v>2</v>
      </c>
      <c r="DR11" s="1484">
        <v>1</v>
      </c>
      <c r="DS11" s="1484">
        <v>0</v>
      </c>
      <c r="DT11" s="95">
        <v>0</v>
      </c>
      <c r="DU11" s="95"/>
      <c r="DV11" s="95">
        <v>3</v>
      </c>
      <c r="DW11" s="95"/>
      <c r="DY11" s="1209"/>
      <c r="DZ11" s="1209"/>
      <c r="EA11" s="1210"/>
      <c r="EB11" s="1211" t="s">
        <v>1080</v>
      </c>
      <c r="EC11" s="1212"/>
      <c r="ED11" s="1213">
        <v>0</v>
      </c>
      <c r="EE11" s="1213">
        <v>0</v>
      </c>
      <c r="EF11" s="1212"/>
      <c r="EG11" s="1212"/>
      <c r="EH11" s="1213">
        <v>0</v>
      </c>
      <c r="EI11" s="1213">
        <v>1</v>
      </c>
      <c r="EJ11" s="1213">
        <v>9</v>
      </c>
      <c r="EK11" s="611"/>
      <c r="EL11" s="611"/>
      <c r="EM11" s="612">
        <v>10</v>
      </c>
      <c r="EN11" s="36"/>
      <c r="EP11" s="527"/>
      <c r="EQ11" s="527"/>
      <c r="ER11" s="528"/>
      <c r="ES11" s="529" t="s">
        <v>1081</v>
      </c>
      <c r="ET11" s="530"/>
      <c r="EU11" s="530"/>
      <c r="EV11" s="530"/>
      <c r="EW11" s="530"/>
      <c r="EX11" s="530"/>
      <c r="EY11" s="531">
        <v>0</v>
      </c>
      <c r="EZ11" s="531">
        <v>1</v>
      </c>
      <c r="FA11" s="531">
        <v>0</v>
      </c>
      <c r="FB11" s="527"/>
      <c r="FC11" s="527"/>
      <c r="FD11" s="532">
        <v>1</v>
      </c>
      <c r="FE11" s="95"/>
      <c r="FG11" s="533"/>
      <c r="FH11" s="533"/>
      <c r="FI11" s="533"/>
      <c r="FJ11" s="534" t="s">
        <v>1080</v>
      </c>
      <c r="FK11" s="535"/>
      <c r="FL11" s="535"/>
      <c r="FM11" s="535"/>
      <c r="FN11" s="535"/>
      <c r="FO11" s="535"/>
      <c r="FP11" s="535"/>
      <c r="FQ11" s="536">
        <v>0</v>
      </c>
      <c r="FR11" s="536">
        <v>0</v>
      </c>
      <c r="FS11" s="536">
        <v>2</v>
      </c>
      <c r="FT11" s="537"/>
      <c r="FU11" s="537"/>
      <c r="FV11" s="538">
        <v>2</v>
      </c>
      <c r="FW11" s="539"/>
      <c r="FY11" s="540"/>
      <c r="FZ11" s="540"/>
      <c r="GA11" s="540"/>
      <c r="GB11" s="550" t="s">
        <v>15</v>
      </c>
      <c r="GC11" s="551"/>
      <c r="GD11" s="551"/>
      <c r="GE11" s="552">
        <v>2</v>
      </c>
      <c r="GF11" s="552">
        <v>1</v>
      </c>
      <c r="GG11" s="551"/>
      <c r="GH11" s="551"/>
      <c r="GI11" s="551"/>
      <c r="GJ11" s="552">
        <v>3</v>
      </c>
      <c r="GK11" s="552">
        <v>1</v>
      </c>
      <c r="GL11" s="552">
        <v>3</v>
      </c>
      <c r="GM11" s="552">
        <v>10</v>
      </c>
      <c r="GN11" s="553">
        <v>0</v>
      </c>
      <c r="GP11" s="63"/>
      <c r="GQ11" s="63"/>
      <c r="GR11" s="37"/>
      <c r="GS11" s="416" t="s">
        <v>15</v>
      </c>
      <c r="GT11" s="386"/>
      <c r="GU11" s="386">
        <v>1</v>
      </c>
      <c r="GV11" s="386">
        <v>2</v>
      </c>
      <c r="GW11" s="386"/>
      <c r="GX11" s="386">
        <v>1</v>
      </c>
      <c r="GY11" s="386"/>
      <c r="GZ11" s="386">
        <v>1</v>
      </c>
      <c r="HA11" s="386">
        <v>2</v>
      </c>
      <c r="HB11" s="386"/>
      <c r="HC11" s="386">
        <v>1</v>
      </c>
      <c r="HD11" s="386">
        <v>8</v>
      </c>
      <c r="HE11" s="468">
        <v>0</v>
      </c>
      <c r="HF11" s="37"/>
      <c r="HG11" s="446"/>
      <c r="HH11" s="446"/>
      <c r="HI11" s="446"/>
      <c r="HJ11" s="449" t="s">
        <v>15</v>
      </c>
      <c r="HK11" s="449">
        <v>0</v>
      </c>
      <c r="HL11" s="449">
        <v>0</v>
      </c>
      <c r="HM11" s="449">
        <v>2</v>
      </c>
      <c r="HN11" s="449">
        <v>0</v>
      </c>
      <c r="HO11" s="449">
        <v>1</v>
      </c>
      <c r="HP11" s="449">
        <v>0</v>
      </c>
      <c r="HQ11" s="449">
        <v>2</v>
      </c>
      <c r="HR11" s="449">
        <v>0</v>
      </c>
      <c r="HS11" s="449">
        <v>1</v>
      </c>
      <c r="HT11" s="449">
        <v>0</v>
      </c>
      <c r="HU11" s="449">
        <v>0</v>
      </c>
      <c r="HV11" s="507">
        <v>6</v>
      </c>
      <c r="HW11" s="554">
        <f>0/HV11</f>
        <v>0</v>
      </c>
      <c r="HX11" s="448">
        <v>0</v>
      </c>
    </row>
    <row r="12" spans="1:232">
      <c r="A12" s="5682">
        <v>1</v>
      </c>
      <c r="B12" s="5682">
        <v>1</v>
      </c>
      <c r="C12" s="5683" t="s">
        <v>265</v>
      </c>
      <c r="D12" s="5683" t="s">
        <v>2709</v>
      </c>
      <c r="E12" s="5682">
        <v>1</v>
      </c>
      <c r="F12" s="5682">
        <v>8</v>
      </c>
      <c r="I12" s="4915">
        <v>1</v>
      </c>
      <c r="J12" s="4915">
        <v>1</v>
      </c>
      <c r="K12" s="4916" t="s">
        <v>265</v>
      </c>
      <c r="L12" s="4916" t="s">
        <v>2705</v>
      </c>
      <c r="M12" s="4915">
        <v>1</v>
      </c>
      <c r="N12" s="4915">
        <v>3</v>
      </c>
      <c r="O12" s="157"/>
      <c r="Q12" s="4705"/>
      <c r="R12" s="4705"/>
      <c r="S12" s="4742"/>
      <c r="T12" s="4742"/>
      <c r="U12" s="4741">
        <f>SUM(U7:U11)</f>
        <v>7</v>
      </c>
      <c r="V12" s="4741"/>
      <c r="W12" s="4722">
        <f>U10/U12</f>
        <v>0.2857142857142857</v>
      </c>
      <c r="X12" s="4452"/>
      <c r="Y12" s="36"/>
      <c r="Z12" s="36"/>
      <c r="AA12" s="36"/>
      <c r="AB12" s="36" t="s">
        <v>1077</v>
      </c>
      <c r="AC12" s="1681">
        <v>0</v>
      </c>
      <c r="AD12" s="1681"/>
      <c r="AE12" s="1681"/>
      <c r="AF12" s="1681"/>
      <c r="AG12" s="1681">
        <v>1</v>
      </c>
      <c r="AH12" s="1681"/>
      <c r="AI12" s="1681"/>
      <c r="AJ12" s="1681">
        <v>0</v>
      </c>
      <c r="AK12" s="1681"/>
      <c r="AL12" s="95"/>
      <c r="AM12" s="95">
        <v>1</v>
      </c>
      <c r="AN12" s="4545"/>
      <c r="AS12" s="4450" t="s">
        <v>1163</v>
      </c>
      <c r="AT12" s="3721">
        <v>0</v>
      </c>
      <c r="AU12" s="3721">
        <v>0</v>
      </c>
      <c r="AV12" s="3721"/>
      <c r="AW12" s="3721"/>
      <c r="AX12" s="3721">
        <v>0</v>
      </c>
      <c r="AY12" s="3721"/>
      <c r="AZ12" s="3721"/>
      <c r="BA12" s="3721">
        <v>1</v>
      </c>
      <c r="BB12" s="3721">
        <v>0</v>
      </c>
      <c r="BC12" s="2110"/>
      <c r="BD12" s="2110"/>
      <c r="BE12" s="2110">
        <v>1</v>
      </c>
      <c r="BF12" s="2110"/>
      <c r="BG12" s="2110"/>
      <c r="BK12" s="1520" t="s">
        <v>15</v>
      </c>
      <c r="BL12" s="3872">
        <v>1</v>
      </c>
      <c r="BM12" s="3872"/>
      <c r="BN12" s="3872"/>
      <c r="BO12" s="3872">
        <v>2</v>
      </c>
      <c r="BP12" s="3872"/>
      <c r="BQ12" s="3872"/>
      <c r="BR12" s="3872">
        <v>2</v>
      </c>
      <c r="BS12" s="3872">
        <v>1</v>
      </c>
      <c r="BT12" s="3806"/>
      <c r="BU12" s="3806">
        <v>6</v>
      </c>
      <c r="BV12" s="3807">
        <f>+(BU10+BU11)/BU12</f>
        <v>0.33333333333333331</v>
      </c>
      <c r="BX12" s="36"/>
      <c r="BY12" s="36"/>
      <c r="BZ12" s="36"/>
      <c r="CA12" s="393" t="s">
        <v>15</v>
      </c>
      <c r="CB12" s="1682"/>
      <c r="CC12" s="1682"/>
      <c r="CD12" s="1682">
        <v>1</v>
      </c>
      <c r="CE12" s="1682">
        <v>1</v>
      </c>
      <c r="CF12" s="1682">
        <v>1</v>
      </c>
      <c r="CG12" s="1682">
        <v>1</v>
      </c>
      <c r="CH12" s="1682">
        <v>1</v>
      </c>
      <c r="CI12" s="1682">
        <v>1</v>
      </c>
      <c r="CJ12" s="2041"/>
      <c r="CK12" s="2041">
        <v>1</v>
      </c>
      <c r="CL12" s="2041">
        <v>7</v>
      </c>
      <c r="CM12" s="560">
        <f>+(CL11+CL10)/CL12</f>
        <v>0.2857142857142857</v>
      </c>
      <c r="CO12" s="37"/>
      <c r="CP12" s="37"/>
      <c r="CQ12" s="37" t="s">
        <v>114</v>
      </c>
      <c r="CR12" s="37" t="s">
        <v>1076</v>
      </c>
      <c r="CS12" s="1678"/>
      <c r="CT12" s="1678"/>
      <c r="CU12" s="1678"/>
      <c r="CV12" s="1678"/>
      <c r="CW12" s="1678"/>
      <c r="CX12" s="1678"/>
      <c r="CY12" s="1678">
        <v>1</v>
      </c>
      <c r="CZ12" s="1678"/>
      <c r="DA12" s="1678"/>
      <c r="DB12" s="63"/>
      <c r="DC12" s="63"/>
      <c r="DD12" s="63">
        <v>1</v>
      </c>
      <c r="DG12" s="95"/>
      <c r="DH12" s="95"/>
      <c r="DI12" s="36"/>
      <c r="DJ12" s="36" t="s">
        <v>1163</v>
      </c>
      <c r="DK12" s="1484">
        <v>0</v>
      </c>
      <c r="DL12" s="1484">
        <v>0</v>
      </c>
      <c r="DM12" s="1484"/>
      <c r="DN12" s="1484"/>
      <c r="DO12" s="1484"/>
      <c r="DP12" s="1484"/>
      <c r="DQ12" s="1484">
        <v>4</v>
      </c>
      <c r="DR12" s="1484">
        <v>5</v>
      </c>
      <c r="DS12" s="1484">
        <v>1</v>
      </c>
      <c r="DT12" s="95">
        <v>0</v>
      </c>
      <c r="DU12" s="95"/>
      <c r="DV12" s="95">
        <v>10</v>
      </c>
      <c r="DW12" s="95"/>
      <c r="DY12" s="1209"/>
      <c r="DZ12" s="1209"/>
      <c r="EA12" s="1210"/>
      <c r="EB12" s="1211" t="s">
        <v>1081</v>
      </c>
      <c r="EC12" s="1212"/>
      <c r="ED12" s="1213">
        <v>0</v>
      </c>
      <c r="EE12" s="1213">
        <v>0</v>
      </c>
      <c r="EF12" s="1212"/>
      <c r="EG12" s="1212"/>
      <c r="EH12" s="1213">
        <v>3</v>
      </c>
      <c r="EI12" s="1213">
        <v>0</v>
      </c>
      <c r="EJ12" s="1213">
        <v>0</v>
      </c>
      <c r="EK12" s="611"/>
      <c r="EL12" s="611"/>
      <c r="EM12" s="612">
        <v>3</v>
      </c>
      <c r="EN12" s="36"/>
      <c r="EP12" s="527"/>
      <c r="EQ12" s="527"/>
      <c r="ER12" s="528"/>
      <c r="ES12" s="529" t="s">
        <v>1163</v>
      </c>
      <c r="ET12" s="530"/>
      <c r="EU12" s="530"/>
      <c r="EV12" s="530"/>
      <c r="EW12" s="530"/>
      <c r="EX12" s="530"/>
      <c r="EY12" s="531">
        <v>2</v>
      </c>
      <c r="EZ12" s="531">
        <v>3</v>
      </c>
      <c r="FA12" s="531">
        <v>2</v>
      </c>
      <c r="FB12" s="527"/>
      <c r="FC12" s="527"/>
      <c r="FD12" s="532">
        <v>7</v>
      </c>
      <c r="FE12" s="95"/>
      <c r="FG12" s="533"/>
      <c r="FH12" s="533"/>
      <c r="FI12" s="533"/>
      <c r="FJ12" s="534" t="s">
        <v>1081</v>
      </c>
      <c r="FK12" s="535"/>
      <c r="FL12" s="535"/>
      <c r="FM12" s="535"/>
      <c r="FN12" s="535"/>
      <c r="FO12" s="535"/>
      <c r="FP12" s="535"/>
      <c r="FQ12" s="536">
        <v>1</v>
      </c>
      <c r="FR12" s="536">
        <v>0</v>
      </c>
      <c r="FS12" s="536">
        <v>0</v>
      </c>
      <c r="FT12" s="537"/>
      <c r="FU12" s="537"/>
      <c r="FV12" s="538">
        <v>1</v>
      </c>
      <c r="FW12" s="539"/>
      <c r="FY12" s="540"/>
      <c r="FZ12" s="540"/>
      <c r="GA12" s="540" t="s">
        <v>114</v>
      </c>
      <c r="GB12" s="541" t="s">
        <v>1072</v>
      </c>
      <c r="GC12" s="542"/>
      <c r="GD12" s="542"/>
      <c r="GE12" s="542"/>
      <c r="GF12" s="542"/>
      <c r="GG12" s="542"/>
      <c r="GH12" s="543">
        <v>4</v>
      </c>
      <c r="GI12" s="543">
        <v>1</v>
      </c>
      <c r="GJ12" s="543">
        <v>1</v>
      </c>
      <c r="GK12" s="542"/>
      <c r="GL12" s="543">
        <v>0</v>
      </c>
      <c r="GM12" s="543">
        <v>6</v>
      </c>
      <c r="GN12" s="445"/>
      <c r="GP12" s="63"/>
      <c r="GQ12" s="63"/>
      <c r="GR12" s="37" t="s">
        <v>114</v>
      </c>
      <c r="GS12" s="37" t="s">
        <v>1071</v>
      </c>
      <c r="GT12" s="63"/>
      <c r="GU12" s="63">
        <v>0</v>
      </c>
      <c r="GV12" s="63"/>
      <c r="GW12" s="63"/>
      <c r="GX12" s="63"/>
      <c r="GY12" s="63">
        <v>1</v>
      </c>
      <c r="GZ12" s="63">
        <v>0</v>
      </c>
      <c r="HA12" s="63">
        <v>1</v>
      </c>
      <c r="HB12" s="63"/>
      <c r="HC12" s="63">
        <v>0</v>
      </c>
      <c r="HD12" s="63">
        <v>2</v>
      </c>
      <c r="HE12" s="37"/>
      <c r="HF12" s="37"/>
      <c r="HG12" s="446"/>
      <c r="HH12" s="446"/>
      <c r="HI12" s="446" t="s">
        <v>114</v>
      </c>
      <c r="HJ12" s="446" t="s">
        <v>1071</v>
      </c>
      <c r="HK12" s="446">
        <v>0</v>
      </c>
      <c r="HL12" s="446">
        <v>0</v>
      </c>
      <c r="HM12" s="446">
        <v>0</v>
      </c>
      <c r="HN12" s="446">
        <v>0</v>
      </c>
      <c r="HO12" s="446">
        <v>1</v>
      </c>
      <c r="HP12" s="446">
        <v>0</v>
      </c>
      <c r="HQ12" s="446">
        <v>0</v>
      </c>
      <c r="HR12" s="446">
        <v>0</v>
      </c>
      <c r="HS12" s="446">
        <v>1</v>
      </c>
      <c r="HT12" s="446">
        <v>0</v>
      </c>
      <c r="HU12" s="446">
        <v>0</v>
      </c>
      <c r="HV12" s="447">
        <v>2</v>
      </c>
      <c r="HW12" s="544"/>
      <c r="HX12" s="448"/>
    </row>
    <row r="13" spans="1:232">
      <c r="A13" s="5682"/>
      <c r="B13" s="5682"/>
      <c r="C13" s="5683"/>
      <c r="D13" s="5683"/>
      <c r="E13" s="5686">
        <f>SUM(E7:E12)</f>
        <v>8</v>
      </c>
      <c r="F13" s="5682"/>
      <c r="G13" s="4921">
        <v>0</v>
      </c>
      <c r="I13" s="4915"/>
      <c r="J13" s="4915"/>
      <c r="K13" s="4916"/>
      <c r="L13" s="4916"/>
      <c r="M13" s="4920">
        <f>SUM(M7:M12)</f>
        <v>8</v>
      </c>
      <c r="N13" s="4915"/>
      <c r="O13" s="4921">
        <v>0</v>
      </c>
      <c r="Q13" s="4705">
        <v>1</v>
      </c>
      <c r="R13" s="4705">
        <v>1</v>
      </c>
      <c r="S13" s="4706" t="s">
        <v>2310</v>
      </c>
      <c r="T13" s="4706" t="s">
        <v>2731</v>
      </c>
      <c r="U13" s="4707">
        <v>1</v>
      </c>
      <c r="V13" s="4707">
        <v>8</v>
      </c>
      <c r="W13" s="4722"/>
      <c r="Y13" s="36"/>
      <c r="Z13" s="36"/>
      <c r="AA13" s="36"/>
      <c r="AB13" s="36" t="s">
        <v>1080</v>
      </c>
      <c r="AC13" s="1681">
        <v>0</v>
      </c>
      <c r="AD13" s="1681"/>
      <c r="AE13" s="1681"/>
      <c r="AF13" s="1681"/>
      <c r="AG13" s="1681">
        <v>0</v>
      </c>
      <c r="AH13" s="1681"/>
      <c r="AI13" s="1681"/>
      <c r="AJ13" s="1681">
        <v>12</v>
      </c>
      <c r="AK13" s="1681"/>
      <c r="AL13" s="95"/>
      <c r="AM13" s="95">
        <v>12</v>
      </c>
      <c r="AN13" s="4545"/>
      <c r="AS13" s="27" t="s">
        <v>15</v>
      </c>
      <c r="AT13" s="3722">
        <v>2</v>
      </c>
      <c r="AU13" s="3722">
        <v>1</v>
      </c>
      <c r="AV13" s="3722"/>
      <c r="AW13" s="3722"/>
      <c r="AX13" s="3722">
        <v>2</v>
      </c>
      <c r="AY13" s="3722"/>
      <c r="AZ13" s="3722"/>
      <c r="BA13" s="3722">
        <v>2</v>
      </c>
      <c r="BB13" s="3722">
        <v>1</v>
      </c>
      <c r="BC13" s="3701"/>
      <c r="BD13" s="3701"/>
      <c r="BE13" s="3701">
        <v>8</v>
      </c>
      <c r="BF13" s="1665">
        <f>+(BE10+BE12)/(BE13-BE11)</f>
        <v>0.33333333333333331</v>
      </c>
      <c r="BG13" s="1665"/>
      <c r="BJ13" s="32" t="s">
        <v>115</v>
      </c>
      <c r="BK13" s="32" t="s">
        <v>1071</v>
      </c>
      <c r="BL13" s="3871">
        <v>0</v>
      </c>
      <c r="BM13" s="3871"/>
      <c r="BN13" s="3871">
        <v>0</v>
      </c>
      <c r="BO13" s="3871"/>
      <c r="BP13" s="3871"/>
      <c r="BQ13" s="3871">
        <v>0</v>
      </c>
      <c r="BR13" s="3871">
        <v>2</v>
      </c>
      <c r="BS13" s="3871"/>
      <c r="BT13" s="1518"/>
      <c r="BU13" s="1518">
        <v>2</v>
      </c>
      <c r="BX13" s="36"/>
      <c r="BY13" s="36"/>
      <c r="BZ13" s="36" t="s">
        <v>115</v>
      </c>
      <c r="CA13" s="36" t="s">
        <v>1071</v>
      </c>
      <c r="CB13" s="1681"/>
      <c r="CC13" s="1681"/>
      <c r="CD13" s="1681"/>
      <c r="CE13" s="1681"/>
      <c r="CF13" s="1681">
        <v>0</v>
      </c>
      <c r="CG13" s="1681">
        <v>1</v>
      </c>
      <c r="CH13" s="1681">
        <v>0</v>
      </c>
      <c r="CI13" s="1681">
        <v>2</v>
      </c>
      <c r="CJ13" s="95"/>
      <c r="CK13" s="95"/>
      <c r="CL13" s="95">
        <v>3</v>
      </c>
      <c r="CM13" s="36"/>
      <c r="CO13" s="37"/>
      <c r="CP13" s="37"/>
      <c r="CQ13" s="37"/>
      <c r="CR13" s="416" t="s">
        <v>15</v>
      </c>
      <c r="CS13" s="1679"/>
      <c r="CT13" s="1679"/>
      <c r="CU13" s="1679"/>
      <c r="CV13" s="1679"/>
      <c r="CW13" s="1679"/>
      <c r="CX13" s="1679"/>
      <c r="CY13" s="1679">
        <v>1</v>
      </c>
      <c r="CZ13" s="1679"/>
      <c r="DA13" s="1679"/>
      <c r="DB13" s="386"/>
      <c r="DC13" s="386"/>
      <c r="DD13" s="386">
        <v>1</v>
      </c>
      <c r="DE13" s="2045">
        <f>+DD12/DD13</f>
        <v>1</v>
      </c>
      <c r="DG13" s="95"/>
      <c r="DH13" s="95"/>
      <c r="DI13" s="36"/>
      <c r="DJ13" s="393" t="s">
        <v>15</v>
      </c>
      <c r="DK13" s="1485">
        <v>2</v>
      </c>
      <c r="DL13" s="1485">
        <v>1</v>
      </c>
      <c r="DM13" s="1485"/>
      <c r="DN13" s="1485"/>
      <c r="DO13" s="1485"/>
      <c r="DP13" s="1485"/>
      <c r="DQ13" s="1485">
        <v>12</v>
      </c>
      <c r="DR13" s="1485">
        <v>17</v>
      </c>
      <c r="DS13" s="1485">
        <v>11</v>
      </c>
      <c r="DT13" s="86">
        <v>1</v>
      </c>
      <c r="DU13" s="86"/>
      <c r="DV13" s="86">
        <v>44</v>
      </c>
      <c r="DW13" s="560">
        <f>+(DV8+DV11+DV12)/DV13</f>
        <v>0.34090909090909088</v>
      </c>
      <c r="DY13" s="1209"/>
      <c r="DZ13" s="1209"/>
      <c r="EA13" s="1210"/>
      <c r="EB13" s="1211" t="s">
        <v>1163</v>
      </c>
      <c r="EC13" s="1212"/>
      <c r="ED13" s="1213">
        <v>0</v>
      </c>
      <c r="EE13" s="1213">
        <v>0</v>
      </c>
      <c r="EF13" s="1212"/>
      <c r="EG13" s="1212"/>
      <c r="EH13" s="1213">
        <v>1</v>
      </c>
      <c r="EI13" s="1213">
        <v>2</v>
      </c>
      <c r="EJ13" s="1213">
        <v>0</v>
      </c>
      <c r="EK13" s="611"/>
      <c r="EL13" s="611"/>
      <c r="EM13" s="612">
        <v>3</v>
      </c>
      <c r="EN13" s="36"/>
      <c r="EP13" s="527"/>
      <c r="EQ13" s="527"/>
      <c r="ER13" s="528"/>
      <c r="ES13" s="555" t="s">
        <v>15</v>
      </c>
      <c r="ET13" s="556"/>
      <c r="EU13" s="556"/>
      <c r="EV13" s="556"/>
      <c r="EW13" s="556"/>
      <c r="EX13" s="556"/>
      <c r="EY13" s="557">
        <v>2</v>
      </c>
      <c r="EZ13" s="557">
        <v>12</v>
      </c>
      <c r="FA13" s="557">
        <v>5</v>
      </c>
      <c r="FB13" s="558"/>
      <c r="FC13" s="558"/>
      <c r="FD13" s="559">
        <v>19</v>
      </c>
      <c r="FE13" s="560">
        <f>+(FD11+FD12)/FD13</f>
        <v>0.42105263157894735</v>
      </c>
      <c r="FG13" s="533"/>
      <c r="FH13" s="533"/>
      <c r="FI13" s="533"/>
      <c r="FJ13" s="534" t="s">
        <v>1163</v>
      </c>
      <c r="FK13" s="535"/>
      <c r="FL13" s="535"/>
      <c r="FM13" s="535"/>
      <c r="FN13" s="535"/>
      <c r="FO13" s="535"/>
      <c r="FP13" s="535"/>
      <c r="FQ13" s="536">
        <v>1</v>
      </c>
      <c r="FR13" s="536">
        <v>0</v>
      </c>
      <c r="FS13" s="536">
        <v>1</v>
      </c>
      <c r="FT13" s="537"/>
      <c r="FU13" s="537"/>
      <c r="FV13" s="538">
        <v>2</v>
      </c>
      <c r="FW13" s="539"/>
      <c r="FY13" s="540"/>
      <c r="FZ13" s="540"/>
      <c r="GA13" s="540"/>
      <c r="GB13" s="541" t="s">
        <v>1076</v>
      </c>
      <c r="GC13" s="542"/>
      <c r="GD13" s="542"/>
      <c r="GE13" s="542"/>
      <c r="GF13" s="542"/>
      <c r="GG13" s="542"/>
      <c r="GH13" s="543">
        <v>0</v>
      </c>
      <c r="GI13" s="543">
        <v>0</v>
      </c>
      <c r="GJ13" s="543">
        <v>1</v>
      </c>
      <c r="GK13" s="542"/>
      <c r="GL13" s="543">
        <v>0</v>
      </c>
      <c r="GM13" s="543">
        <v>1</v>
      </c>
      <c r="GN13" s="445"/>
      <c r="GP13" s="63"/>
      <c r="GQ13" s="63"/>
      <c r="GR13" s="37"/>
      <c r="GS13" s="37" t="s">
        <v>1072</v>
      </c>
      <c r="GT13" s="63"/>
      <c r="GU13" s="63">
        <v>2</v>
      </c>
      <c r="GV13" s="63"/>
      <c r="GW13" s="63"/>
      <c r="GX13" s="63"/>
      <c r="GY13" s="63">
        <v>3</v>
      </c>
      <c r="GZ13" s="63">
        <v>6</v>
      </c>
      <c r="HA13" s="63">
        <v>1</v>
      </c>
      <c r="HB13" s="63"/>
      <c r="HC13" s="63">
        <v>0</v>
      </c>
      <c r="HD13" s="63">
        <v>12</v>
      </c>
      <c r="HE13" s="37"/>
      <c r="HF13" s="37"/>
      <c r="HG13" s="446"/>
      <c r="HH13" s="446"/>
      <c r="HI13" s="446"/>
      <c r="HJ13" s="446" t="s">
        <v>1076</v>
      </c>
      <c r="HK13" s="446">
        <v>0</v>
      </c>
      <c r="HL13" s="446">
        <v>0</v>
      </c>
      <c r="HM13" s="446">
        <v>0</v>
      </c>
      <c r="HN13" s="446">
        <v>0</v>
      </c>
      <c r="HO13" s="446">
        <v>0</v>
      </c>
      <c r="HP13" s="446">
        <v>0</v>
      </c>
      <c r="HQ13" s="446">
        <v>1</v>
      </c>
      <c r="HR13" s="446">
        <v>2</v>
      </c>
      <c r="HS13" s="446">
        <v>1</v>
      </c>
      <c r="HT13" s="446">
        <v>0</v>
      </c>
      <c r="HU13" s="446">
        <v>0</v>
      </c>
      <c r="HV13" s="447">
        <v>4</v>
      </c>
      <c r="HW13" s="544"/>
      <c r="HX13" s="448"/>
    </row>
    <row r="14" spans="1:232">
      <c r="A14" s="5682">
        <v>1</v>
      </c>
      <c r="B14" s="5682">
        <v>1</v>
      </c>
      <c r="C14" s="5683" t="s">
        <v>2733</v>
      </c>
      <c r="D14" s="5683" t="s">
        <v>3027</v>
      </c>
      <c r="E14" s="5682">
        <v>1</v>
      </c>
      <c r="F14" s="5682">
        <v>8</v>
      </c>
      <c r="I14" s="4915">
        <v>1</v>
      </c>
      <c r="J14" s="4915">
        <v>1</v>
      </c>
      <c r="K14" s="4916" t="s">
        <v>2733</v>
      </c>
      <c r="L14" s="4916" t="s">
        <v>1071</v>
      </c>
      <c r="M14" s="4915">
        <v>2</v>
      </c>
      <c r="N14" s="4915">
        <v>7</v>
      </c>
      <c r="O14" s="157"/>
      <c r="Q14" s="4705">
        <v>1</v>
      </c>
      <c r="R14" s="4705">
        <v>1</v>
      </c>
      <c r="S14" s="4706" t="s">
        <v>2310</v>
      </c>
      <c r="T14" s="4708" t="s">
        <v>2707</v>
      </c>
      <c r="U14" s="4709">
        <v>1</v>
      </c>
      <c r="V14" s="4709">
        <v>6</v>
      </c>
      <c r="W14" s="4722"/>
      <c r="Y14" s="36"/>
      <c r="Z14" s="36"/>
      <c r="AA14" s="36"/>
      <c r="AB14" s="36" t="s">
        <v>2571</v>
      </c>
      <c r="AC14" s="1681">
        <v>1</v>
      </c>
      <c r="AD14" s="1681"/>
      <c r="AE14" s="1681"/>
      <c r="AF14" s="1681"/>
      <c r="AG14" s="1681">
        <v>0</v>
      </c>
      <c r="AH14" s="1681"/>
      <c r="AI14" s="1681"/>
      <c r="AJ14" s="1681">
        <v>0</v>
      </c>
      <c r="AK14" s="1681"/>
      <c r="AL14" s="95"/>
      <c r="AM14" s="95">
        <v>1</v>
      </c>
      <c r="AN14" s="4545"/>
      <c r="AR14" s="3868" t="s">
        <v>115</v>
      </c>
      <c r="AS14" s="3868" t="s">
        <v>1071</v>
      </c>
      <c r="AT14" s="3721"/>
      <c r="AU14" s="3721">
        <v>0</v>
      </c>
      <c r="AV14" s="3721"/>
      <c r="AW14" s="3721">
        <v>0</v>
      </c>
      <c r="AX14" s="3721"/>
      <c r="AY14" s="3721"/>
      <c r="AZ14" s="3721">
        <v>0</v>
      </c>
      <c r="BA14" s="3721">
        <v>0</v>
      </c>
      <c r="BB14" s="3721">
        <v>1</v>
      </c>
      <c r="BC14" s="2110"/>
      <c r="BD14" s="2110"/>
      <c r="BE14" s="2110">
        <v>1</v>
      </c>
      <c r="BF14" s="2110"/>
      <c r="BG14" s="2110"/>
      <c r="BK14" s="32" t="s">
        <v>1072</v>
      </c>
      <c r="BL14" s="3871">
        <v>1</v>
      </c>
      <c r="BM14" s="3871"/>
      <c r="BN14" s="3871">
        <v>1</v>
      </c>
      <c r="BO14" s="3871"/>
      <c r="BP14" s="3871"/>
      <c r="BQ14" s="3871">
        <v>17</v>
      </c>
      <c r="BR14" s="3871">
        <v>0</v>
      </c>
      <c r="BS14" s="3871"/>
      <c r="BT14" s="1518"/>
      <c r="BU14" s="1518">
        <v>19</v>
      </c>
      <c r="BX14" s="36"/>
      <c r="BY14" s="36"/>
      <c r="BZ14" s="36"/>
      <c r="CA14" s="36" t="s">
        <v>1072</v>
      </c>
      <c r="CB14" s="1681"/>
      <c r="CC14" s="1681"/>
      <c r="CD14" s="1681"/>
      <c r="CE14" s="1681"/>
      <c r="CF14" s="1681">
        <v>0</v>
      </c>
      <c r="CG14" s="1681">
        <v>3</v>
      </c>
      <c r="CH14" s="1681">
        <v>9</v>
      </c>
      <c r="CI14" s="1681">
        <v>0</v>
      </c>
      <c r="CJ14" s="95"/>
      <c r="CK14" s="95"/>
      <c r="CL14" s="95">
        <v>12</v>
      </c>
      <c r="CM14" s="36"/>
      <c r="CO14" s="37"/>
      <c r="CP14" s="37"/>
      <c r="CQ14" s="37" t="s">
        <v>115</v>
      </c>
      <c r="CR14" s="37" t="s">
        <v>1071</v>
      </c>
      <c r="CS14" s="1678"/>
      <c r="CT14" s="1678"/>
      <c r="CU14" s="1678">
        <v>0</v>
      </c>
      <c r="CV14" s="1678"/>
      <c r="CW14" s="1678"/>
      <c r="CX14" s="1678"/>
      <c r="CY14" s="1678">
        <v>0</v>
      </c>
      <c r="CZ14" s="1678">
        <v>1</v>
      </c>
      <c r="DA14" s="1678"/>
      <c r="DB14" s="63"/>
      <c r="DC14" s="63"/>
      <c r="DD14" s="63">
        <v>1</v>
      </c>
      <c r="DG14" s="95"/>
      <c r="DH14" s="95"/>
      <c r="DI14" s="36" t="s">
        <v>115</v>
      </c>
      <c r="DJ14" s="36" t="s">
        <v>1071</v>
      </c>
      <c r="DK14" s="1484">
        <v>0</v>
      </c>
      <c r="DL14" s="1484"/>
      <c r="DM14" s="1484"/>
      <c r="DN14" s="1484"/>
      <c r="DO14" s="1484"/>
      <c r="DP14" s="1484">
        <v>1</v>
      </c>
      <c r="DQ14" s="1484">
        <v>0</v>
      </c>
      <c r="DR14" s="1484">
        <v>0</v>
      </c>
      <c r="DS14" s="1484">
        <v>2</v>
      </c>
      <c r="DT14" s="95"/>
      <c r="DU14" s="95"/>
      <c r="DV14" s="95">
        <v>3</v>
      </c>
      <c r="DW14" s="95"/>
      <c r="DY14" s="1209"/>
      <c r="DZ14" s="1209"/>
      <c r="EA14" s="1210"/>
      <c r="EB14" s="415" t="s">
        <v>15</v>
      </c>
      <c r="EC14" s="1214"/>
      <c r="ED14" s="1215">
        <v>1</v>
      </c>
      <c r="EE14" s="1215">
        <v>1</v>
      </c>
      <c r="EF14" s="1214"/>
      <c r="EG14" s="1214"/>
      <c r="EH14" s="1215">
        <v>12</v>
      </c>
      <c r="EI14" s="1215">
        <v>9</v>
      </c>
      <c r="EJ14" s="1215">
        <v>10</v>
      </c>
      <c r="EK14" s="620"/>
      <c r="EL14" s="620"/>
      <c r="EM14" s="621">
        <v>33</v>
      </c>
      <c r="EN14" s="1178">
        <f>+(EM10+EM12+EM13)/EM14</f>
        <v>0.24242424242424243</v>
      </c>
      <c r="EP14" s="527"/>
      <c r="EQ14" s="527"/>
      <c r="ER14" s="528" t="s">
        <v>115</v>
      </c>
      <c r="ES14" s="529" t="s">
        <v>1071</v>
      </c>
      <c r="ET14" s="530"/>
      <c r="EU14" s="530"/>
      <c r="EV14" s="530"/>
      <c r="EW14" s="530"/>
      <c r="EX14" s="531">
        <v>0</v>
      </c>
      <c r="EY14" s="531">
        <v>0</v>
      </c>
      <c r="EZ14" s="531">
        <v>1</v>
      </c>
      <c r="FA14" s="531">
        <v>1</v>
      </c>
      <c r="FB14" s="527"/>
      <c r="FC14" s="527"/>
      <c r="FD14" s="532">
        <v>2</v>
      </c>
      <c r="FE14" s="95"/>
      <c r="FG14" s="533"/>
      <c r="FH14" s="533"/>
      <c r="FI14" s="533"/>
      <c r="FJ14" s="545" t="s">
        <v>15</v>
      </c>
      <c r="FK14" s="546"/>
      <c r="FL14" s="546"/>
      <c r="FM14" s="546"/>
      <c r="FN14" s="546"/>
      <c r="FO14" s="546"/>
      <c r="FP14" s="546"/>
      <c r="FQ14" s="547">
        <v>5</v>
      </c>
      <c r="FR14" s="547">
        <v>5</v>
      </c>
      <c r="FS14" s="547">
        <v>3</v>
      </c>
      <c r="FT14" s="548"/>
      <c r="FU14" s="548"/>
      <c r="FV14" s="549">
        <v>13</v>
      </c>
      <c r="FW14" s="539">
        <f>+(FV13+FV12+FV10)/FV14</f>
        <v>0.30769230769230771</v>
      </c>
      <c r="FY14" s="540"/>
      <c r="FZ14" s="540"/>
      <c r="GA14" s="540"/>
      <c r="GB14" s="541" t="s">
        <v>1080</v>
      </c>
      <c r="GC14" s="542"/>
      <c r="GD14" s="542"/>
      <c r="GE14" s="542"/>
      <c r="GF14" s="542"/>
      <c r="GG14" s="542"/>
      <c r="GH14" s="543">
        <v>0</v>
      </c>
      <c r="GI14" s="543">
        <v>0</v>
      </c>
      <c r="GJ14" s="543">
        <v>2</v>
      </c>
      <c r="GK14" s="542"/>
      <c r="GL14" s="543">
        <v>1</v>
      </c>
      <c r="GM14" s="543">
        <v>3</v>
      </c>
      <c r="GN14" s="445"/>
      <c r="GP14" s="63"/>
      <c r="GQ14" s="63"/>
      <c r="GR14" s="37"/>
      <c r="GS14" s="37" t="s">
        <v>1080</v>
      </c>
      <c r="GT14" s="63"/>
      <c r="GU14" s="63">
        <v>0</v>
      </c>
      <c r="GV14" s="63"/>
      <c r="GW14" s="63"/>
      <c r="GX14" s="63"/>
      <c r="GY14" s="63">
        <v>0</v>
      </c>
      <c r="GZ14" s="63">
        <v>0</v>
      </c>
      <c r="HA14" s="63">
        <v>4</v>
      </c>
      <c r="HB14" s="63"/>
      <c r="HC14" s="63">
        <v>2</v>
      </c>
      <c r="HD14" s="63">
        <v>6</v>
      </c>
      <c r="HE14" s="37"/>
      <c r="HF14" s="37"/>
      <c r="HG14" s="446"/>
      <c r="HH14" s="446"/>
      <c r="HI14" s="446"/>
      <c r="HJ14" s="446" t="s">
        <v>1077</v>
      </c>
      <c r="HK14" s="446">
        <v>0</v>
      </c>
      <c r="HL14" s="446">
        <v>0</v>
      </c>
      <c r="HM14" s="446">
        <v>0</v>
      </c>
      <c r="HN14" s="446">
        <v>0</v>
      </c>
      <c r="HO14" s="446">
        <v>1</v>
      </c>
      <c r="HP14" s="446">
        <v>0</v>
      </c>
      <c r="HQ14" s="446">
        <v>0</v>
      </c>
      <c r="HR14" s="446">
        <v>0</v>
      </c>
      <c r="HS14" s="446">
        <v>0</v>
      </c>
      <c r="HT14" s="446">
        <v>0</v>
      </c>
      <c r="HU14" s="446">
        <v>0</v>
      </c>
      <c r="HV14" s="447">
        <v>1</v>
      </c>
      <c r="HW14" s="544"/>
      <c r="HX14" s="448"/>
    </row>
    <row r="15" spans="1:232">
      <c r="A15" s="5689">
        <v>1</v>
      </c>
      <c r="B15" s="5689">
        <v>1</v>
      </c>
      <c r="C15" s="5684" t="s">
        <v>2733</v>
      </c>
      <c r="D15" s="5684" t="s">
        <v>3027</v>
      </c>
      <c r="E15" s="5689">
        <v>1</v>
      </c>
      <c r="F15" s="5689">
        <v>9</v>
      </c>
      <c r="I15" s="4915">
        <v>1</v>
      </c>
      <c r="J15" s="4915">
        <v>1</v>
      </c>
      <c r="K15" s="4916" t="s">
        <v>2733</v>
      </c>
      <c r="L15" s="4916" t="s">
        <v>1071</v>
      </c>
      <c r="M15" s="4915">
        <v>2</v>
      </c>
      <c r="N15" s="4915">
        <v>8</v>
      </c>
      <c r="O15" s="157"/>
      <c r="Q15" s="4705">
        <v>1</v>
      </c>
      <c r="R15" s="4705">
        <v>1</v>
      </c>
      <c r="S15" s="4706" t="s">
        <v>2310</v>
      </c>
      <c r="T15" s="4708" t="s">
        <v>2707</v>
      </c>
      <c r="U15" s="4709">
        <v>4</v>
      </c>
      <c r="V15" s="4709">
        <v>7</v>
      </c>
      <c r="W15" s="4722"/>
      <c r="Y15" s="36"/>
      <c r="Z15" s="36"/>
      <c r="AA15" s="36"/>
      <c r="AB15" s="36" t="s">
        <v>15</v>
      </c>
      <c r="AC15" s="1681">
        <v>1</v>
      </c>
      <c r="AD15" s="1681"/>
      <c r="AE15" s="1681"/>
      <c r="AF15" s="1681"/>
      <c r="AG15" s="1681">
        <v>1</v>
      </c>
      <c r="AH15" s="1681"/>
      <c r="AI15" s="1681"/>
      <c r="AJ15" s="1681">
        <v>14</v>
      </c>
      <c r="AK15" s="1681"/>
      <c r="AL15" s="95"/>
      <c r="AM15" s="95">
        <v>16</v>
      </c>
      <c r="AN15" s="4545">
        <v>0</v>
      </c>
      <c r="AS15" s="3868" t="s">
        <v>1072</v>
      </c>
      <c r="AT15" s="3721"/>
      <c r="AU15" s="3721">
        <v>1</v>
      </c>
      <c r="AV15" s="3721"/>
      <c r="AW15" s="3721">
        <v>1</v>
      </c>
      <c r="AX15" s="3721"/>
      <c r="AY15" s="3721"/>
      <c r="AZ15" s="3721">
        <v>15</v>
      </c>
      <c r="BA15" s="3721">
        <v>1</v>
      </c>
      <c r="BB15" s="3721">
        <v>0</v>
      </c>
      <c r="BC15" s="2110"/>
      <c r="BD15" s="2110"/>
      <c r="BE15" s="2110">
        <v>18</v>
      </c>
      <c r="BF15" s="2110"/>
      <c r="BG15" s="2110"/>
      <c r="BK15" s="1520" t="s">
        <v>15</v>
      </c>
      <c r="BL15" s="3872">
        <v>1</v>
      </c>
      <c r="BM15" s="3872"/>
      <c r="BN15" s="3872">
        <v>1</v>
      </c>
      <c r="BO15" s="3872"/>
      <c r="BP15" s="3872"/>
      <c r="BQ15" s="3872">
        <v>17</v>
      </c>
      <c r="BR15" s="3872">
        <v>2</v>
      </c>
      <c r="BS15" s="3872"/>
      <c r="BT15" s="3806"/>
      <c r="BU15" s="3806">
        <v>21</v>
      </c>
      <c r="BV15" s="3807">
        <v>0</v>
      </c>
      <c r="BX15" s="36"/>
      <c r="BY15" s="36"/>
      <c r="BZ15" s="36"/>
      <c r="CA15" s="36" t="s">
        <v>1077</v>
      </c>
      <c r="CB15" s="1681"/>
      <c r="CC15" s="1681"/>
      <c r="CD15" s="1681"/>
      <c r="CE15" s="1681"/>
      <c r="CF15" s="1681">
        <v>1</v>
      </c>
      <c r="CG15" s="1681">
        <v>0</v>
      </c>
      <c r="CH15" s="1681">
        <v>0</v>
      </c>
      <c r="CI15" s="1681">
        <v>0</v>
      </c>
      <c r="CJ15" s="95"/>
      <c r="CK15" s="95"/>
      <c r="CL15" s="95">
        <v>1</v>
      </c>
      <c r="CM15" s="36"/>
      <c r="CO15" s="37"/>
      <c r="CP15" s="37"/>
      <c r="CQ15" s="37"/>
      <c r="CR15" s="37" t="s">
        <v>1072</v>
      </c>
      <c r="CS15" s="1678"/>
      <c r="CT15" s="1678"/>
      <c r="CU15" s="1678">
        <v>1</v>
      </c>
      <c r="CV15" s="1678"/>
      <c r="CW15" s="1678"/>
      <c r="CX15" s="1678"/>
      <c r="CY15" s="1678">
        <v>6</v>
      </c>
      <c r="CZ15" s="1678">
        <v>2</v>
      </c>
      <c r="DA15" s="1678"/>
      <c r="DB15" s="63"/>
      <c r="DC15" s="63"/>
      <c r="DD15" s="63">
        <v>9</v>
      </c>
      <c r="DG15" s="95"/>
      <c r="DH15" s="95"/>
      <c r="DI15" s="36"/>
      <c r="DJ15" s="36" t="s">
        <v>1072</v>
      </c>
      <c r="DK15" s="1484">
        <v>0</v>
      </c>
      <c r="DL15" s="1484"/>
      <c r="DM15" s="1484"/>
      <c r="DN15" s="1484"/>
      <c r="DO15" s="1484"/>
      <c r="DP15" s="1484">
        <v>1</v>
      </c>
      <c r="DQ15" s="1484">
        <v>5</v>
      </c>
      <c r="DR15" s="1484">
        <v>4</v>
      </c>
      <c r="DS15" s="1484">
        <v>0</v>
      </c>
      <c r="DT15" s="95"/>
      <c r="DU15" s="95"/>
      <c r="DV15" s="95">
        <v>10</v>
      </c>
      <c r="DW15" s="95"/>
      <c r="DY15" s="1209"/>
      <c r="DZ15" s="1209"/>
      <c r="EA15" s="1210" t="s">
        <v>115</v>
      </c>
      <c r="EB15" s="1211" t="s">
        <v>1071</v>
      </c>
      <c r="EC15" s="1213">
        <v>0</v>
      </c>
      <c r="ED15" s="1212"/>
      <c r="EE15" s="1212"/>
      <c r="EF15" s="1213">
        <v>0</v>
      </c>
      <c r="EG15" s="1213">
        <v>0</v>
      </c>
      <c r="EH15" s="1213">
        <v>1</v>
      </c>
      <c r="EI15" s="1212"/>
      <c r="EJ15" s="1213">
        <v>0</v>
      </c>
      <c r="EK15" s="611"/>
      <c r="EL15" s="611"/>
      <c r="EM15" s="612">
        <v>1</v>
      </c>
      <c r="EN15" s="36"/>
      <c r="EP15" s="527"/>
      <c r="EQ15" s="527"/>
      <c r="ER15" s="528"/>
      <c r="ES15" s="529" t="s">
        <v>1072</v>
      </c>
      <c r="ET15" s="530"/>
      <c r="EU15" s="530"/>
      <c r="EV15" s="530"/>
      <c r="EW15" s="530"/>
      <c r="EX15" s="531">
        <v>1</v>
      </c>
      <c r="EY15" s="531">
        <v>0</v>
      </c>
      <c r="EZ15" s="531">
        <v>1</v>
      </c>
      <c r="FA15" s="531">
        <v>0</v>
      </c>
      <c r="FB15" s="527"/>
      <c r="FC15" s="527"/>
      <c r="FD15" s="532">
        <v>2</v>
      </c>
      <c r="FE15" s="95"/>
      <c r="FG15" s="533"/>
      <c r="FH15" s="533"/>
      <c r="FI15" s="533" t="s">
        <v>115</v>
      </c>
      <c r="FJ15" s="534" t="s">
        <v>1071</v>
      </c>
      <c r="FK15" s="535"/>
      <c r="FL15" s="536">
        <v>0</v>
      </c>
      <c r="FM15" s="535"/>
      <c r="FN15" s="535"/>
      <c r="FO15" s="535"/>
      <c r="FP15" s="536">
        <v>0</v>
      </c>
      <c r="FQ15" s="536">
        <v>0</v>
      </c>
      <c r="FR15" s="536">
        <v>0</v>
      </c>
      <c r="FS15" s="536">
        <v>1</v>
      </c>
      <c r="FT15" s="537"/>
      <c r="FU15" s="537"/>
      <c r="FV15" s="538">
        <v>1</v>
      </c>
      <c r="FW15" s="539"/>
      <c r="FY15" s="540"/>
      <c r="FZ15" s="540"/>
      <c r="GA15" s="540"/>
      <c r="GB15" s="541" t="s">
        <v>1081</v>
      </c>
      <c r="GC15" s="542"/>
      <c r="GD15" s="542"/>
      <c r="GE15" s="542"/>
      <c r="GF15" s="542"/>
      <c r="GG15" s="542"/>
      <c r="GH15" s="543">
        <v>2</v>
      </c>
      <c r="GI15" s="543">
        <v>1</v>
      </c>
      <c r="GJ15" s="543">
        <v>1</v>
      </c>
      <c r="GK15" s="542"/>
      <c r="GL15" s="543">
        <v>0</v>
      </c>
      <c r="GM15" s="543">
        <v>4</v>
      </c>
      <c r="GN15" s="445"/>
      <c r="GP15" s="63"/>
      <c r="GQ15" s="63"/>
      <c r="GR15" s="37"/>
      <c r="GS15" s="37" t="s">
        <v>1081</v>
      </c>
      <c r="GT15" s="63"/>
      <c r="GU15" s="63">
        <v>0</v>
      </c>
      <c r="GV15" s="63"/>
      <c r="GW15" s="63"/>
      <c r="GX15" s="63"/>
      <c r="GY15" s="63">
        <v>0</v>
      </c>
      <c r="GZ15" s="63">
        <v>3</v>
      </c>
      <c r="HA15" s="63">
        <v>0</v>
      </c>
      <c r="HB15" s="63"/>
      <c r="HC15" s="63">
        <v>0</v>
      </c>
      <c r="HD15" s="63">
        <v>3</v>
      </c>
      <c r="HE15" s="37"/>
      <c r="HF15" s="37"/>
      <c r="HG15" s="446"/>
      <c r="HH15" s="446"/>
      <c r="HI15" s="446"/>
      <c r="HJ15" s="446" t="s">
        <v>1080</v>
      </c>
      <c r="HK15" s="446">
        <v>0</v>
      </c>
      <c r="HL15" s="446">
        <v>0</v>
      </c>
      <c r="HM15" s="446">
        <v>0</v>
      </c>
      <c r="HN15" s="446">
        <v>0</v>
      </c>
      <c r="HO15" s="446">
        <v>0</v>
      </c>
      <c r="HP15" s="446">
        <v>0</v>
      </c>
      <c r="HQ15" s="446">
        <v>0</v>
      </c>
      <c r="HR15" s="446">
        <v>2</v>
      </c>
      <c r="HS15" s="446">
        <v>10</v>
      </c>
      <c r="HT15" s="446">
        <v>0</v>
      </c>
      <c r="HU15" s="446">
        <v>0</v>
      </c>
      <c r="HV15" s="447">
        <v>12</v>
      </c>
      <c r="HW15" s="544"/>
      <c r="HX15" s="448"/>
    </row>
    <row r="16" spans="1:232">
      <c r="A16" s="5682">
        <v>1</v>
      </c>
      <c r="B16" s="5682">
        <v>1</v>
      </c>
      <c r="C16" s="5683" t="s">
        <v>2733</v>
      </c>
      <c r="D16" s="5683" t="s">
        <v>2709</v>
      </c>
      <c r="E16" s="5682">
        <v>5</v>
      </c>
      <c r="F16" s="5682">
        <v>6</v>
      </c>
      <c r="I16" s="4915">
        <v>1</v>
      </c>
      <c r="J16" s="4915">
        <v>1</v>
      </c>
      <c r="K16" s="4916" t="s">
        <v>2733</v>
      </c>
      <c r="L16" s="4916" t="s">
        <v>2709</v>
      </c>
      <c r="M16" s="4915">
        <v>5</v>
      </c>
      <c r="N16" s="4915">
        <v>6</v>
      </c>
      <c r="O16" s="157"/>
      <c r="Q16" s="4705"/>
      <c r="R16" s="4705"/>
      <c r="S16" s="4742"/>
      <c r="T16" s="4742"/>
      <c r="U16" s="4741">
        <f>SUM(U13:U15)</f>
        <v>6</v>
      </c>
      <c r="V16" s="4741"/>
      <c r="W16" s="4722">
        <f>(U14+U15)/(U16)</f>
        <v>0.83333333333333337</v>
      </c>
      <c r="Y16" s="36"/>
      <c r="Z16" s="36"/>
      <c r="AA16" s="36" t="s">
        <v>607</v>
      </c>
      <c r="AB16" s="36" t="s">
        <v>1072</v>
      </c>
      <c r="AC16" s="1681">
        <v>0</v>
      </c>
      <c r="AD16" s="1681"/>
      <c r="AE16" s="1681"/>
      <c r="AF16" s="1681"/>
      <c r="AG16" s="1681"/>
      <c r="AH16" s="1681">
        <v>2</v>
      </c>
      <c r="AI16" s="1681"/>
      <c r="AJ16" s="1681">
        <v>1</v>
      </c>
      <c r="AK16" s="1681">
        <v>3</v>
      </c>
      <c r="AL16" s="95">
        <v>0</v>
      </c>
      <c r="AM16" s="95">
        <v>6</v>
      </c>
      <c r="AN16" s="4545"/>
      <c r="AS16" s="3868" t="s">
        <v>1076</v>
      </c>
      <c r="AT16" s="3721"/>
      <c r="AU16" s="3721">
        <v>0</v>
      </c>
      <c r="AV16" s="3721"/>
      <c r="AW16" s="3721">
        <v>0</v>
      </c>
      <c r="AX16" s="3721"/>
      <c r="AY16" s="3721"/>
      <c r="AZ16" s="3721">
        <v>2</v>
      </c>
      <c r="BA16" s="3721">
        <v>0</v>
      </c>
      <c r="BB16" s="3721">
        <v>0</v>
      </c>
      <c r="BC16" s="2110"/>
      <c r="BD16" s="2110"/>
      <c r="BE16" s="2110">
        <v>2</v>
      </c>
      <c r="BF16" s="2110"/>
      <c r="BG16" s="2110"/>
      <c r="BJ16" s="32" t="s">
        <v>607</v>
      </c>
      <c r="BK16" s="32" t="s">
        <v>1072</v>
      </c>
      <c r="BL16" s="3871">
        <v>0</v>
      </c>
      <c r="BM16" s="3871">
        <v>0</v>
      </c>
      <c r="BN16" s="3871"/>
      <c r="BO16" s="3871"/>
      <c r="BP16" s="3871">
        <v>1</v>
      </c>
      <c r="BQ16" s="3871"/>
      <c r="BR16" s="3871">
        <v>0</v>
      </c>
      <c r="BS16" s="3871">
        <v>1</v>
      </c>
      <c r="BT16" s="1518">
        <v>0</v>
      </c>
      <c r="BU16" s="1518">
        <v>2</v>
      </c>
      <c r="BX16" s="36"/>
      <c r="BY16" s="36"/>
      <c r="BZ16" s="36"/>
      <c r="CA16" s="36" t="s">
        <v>1163</v>
      </c>
      <c r="CB16" s="1681"/>
      <c r="CC16" s="1681"/>
      <c r="CD16" s="1681"/>
      <c r="CE16" s="1681"/>
      <c r="CF16" s="1681">
        <v>0</v>
      </c>
      <c r="CG16" s="1681">
        <v>2</v>
      </c>
      <c r="CH16" s="1681">
        <v>0</v>
      </c>
      <c r="CI16" s="1681">
        <v>0</v>
      </c>
      <c r="CJ16" s="95"/>
      <c r="CK16" s="95"/>
      <c r="CL16" s="95">
        <v>2</v>
      </c>
      <c r="CM16" s="36"/>
      <c r="CO16" s="37"/>
      <c r="CP16" s="37"/>
      <c r="CQ16" s="37"/>
      <c r="CR16" s="37" t="s">
        <v>1081</v>
      </c>
      <c r="CS16" s="1678"/>
      <c r="CT16" s="1678"/>
      <c r="CU16" s="1678">
        <v>0</v>
      </c>
      <c r="CV16" s="1678"/>
      <c r="CW16" s="1678"/>
      <c r="CX16" s="1678"/>
      <c r="CY16" s="1678">
        <v>6</v>
      </c>
      <c r="CZ16" s="1678">
        <v>0</v>
      </c>
      <c r="DA16" s="1678"/>
      <c r="DB16" s="63"/>
      <c r="DC16" s="63"/>
      <c r="DD16" s="63">
        <v>6</v>
      </c>
      <c r="DG16" s="95"/>
      <c r="DH16" s="95"/>
      <c r="DI16" s="36"/>
      <c r="DJ16" s="36" t="s">
        <v>1080</v>
      </c>
      <c r="DK16" s="1484">
        <v>0</v>
      </c>
      <c r="DL16" s="1484"/>
      <c r="DM16" s="1484"/>
      <c r="DN16" s="1484"/>
      <c r="DO16" s="1484"/>
      <c r="DP16" s="1484">
        <v>0</v>
      </c>
      <c r="DQ16" s="1484">
        <v>0</v>
      </c>
      <c r="DR16" s="1484">
        <v>1</v>
      </c>
      <c r="DS16" s="1484">
        <v>0</v>
      </c>
      <c r="DT16" s="95"/>
      <c r="DU16" s="95"/>
      <c r="DV16" s="95">
        <v>1</v>
      </c>
      <c r="DW16" s="95"/>
      <c r="DY16" s="1209"/>
      <c r="DZ16" s="1209"/>
      <c r="EA16" s="1210"/>
      <c r="EB16" s="1211" t="s">
        <v>1072</v>
      </c>
      <c r="EC16" s="1213">
        <v>1</v>
      </c>
      <c r="ED16" s="1212"/>
      <c r="EE16" s="1212"/>
      <c r="EF16" s="1213">
        <v>0</v>
      </c>
      <c r="EG16" s="1213">
        <v>2</v>
      </c>
      <c r="EH16" s="1213">
        <v>2</v>
      </c>
      <c r="EI16" s="1212"/>
      <c r="EJ16" s="1213">
        <v>0</v>
      </c>
      <c r="EK16" s="611"/>
      <c r="EL16" s="611"/>
      <c r="EM16" s="612">
        <v>5</v>
      </c>
      <c r="EN16" s="36"/>
      <c r="EP16" s="527"/>
      <c r="EQ16" s="527"/>
      <c r="ER16" s="528"/>
      <c r="ES16" s="529" t="s">
        <v>1076</v>
      </c>
      <c r="ET16" s="530"/>
      <c r="EU16" s="530"/>
      <c r="EV16" s="530"/>
      <c r="EW16" s="530"/>
      <c r="EX16" s="531">
        <v>1</v>
      </c>
      <c r="EY16" s="531">
        <v>0</v>
      </c>
      <c r="EZ16" s="531">
        <v>0</v>
      </c>
      <c r="FA16" s="531">
        <v>0</v>
      </c>
      <c r="FB16" s="527"/>
      <c r="FC16" s="527"/>
      <c r="FD16" s="532">
        <v>1</v>
      </c>
      <c r="FE16" s="95"/>
      <c r="FG16" s="533"/>
      <c r="FH16" s="533"/>
      <c r="FI16" s="533"/>
      <c r="FJ16" s="534" t="s">
        <v>1072</v>
      </c>
      <c r="FK16" s="535"/>
      <c r="FL16" s="536">
        <v>1</v>
      </c>
      <c r="FM16" s="535"/>
      <c r="FN16" s="535"/>
      <c r="FO16" s="535"/>
      <c r="FP16" s="536">
        <v>3</v>
      </c>
      <c r="FQ16" s="536">
        <v>3</v>
      </c>
      <c r="FR16" s="536">
        <v>4</v>
      </c>
      <c r="FS16" s="536">
        <v>0</v>
      </c>
      <c r="FT16" s="537"/>
      <c r="FU16" s="537"/>
      <c r="FV16" s="538">
        <v>11</v>
      </c>
      <c r="FW16" s="539"/>
      <c r="FY16" s="540"/>
      <c r="FZ16" s="540"/>
      <c r="GA16" s="540"/>
      <c r="GB16" s="541" t="s">
        <v>1163</v>
      </c>
      <c r="GC16" s="542"/>
      <c r="GD16" s="542"/>
      <c r="GE16" s="542"/>
      <c r="GF16" s="542"/>
      <c r="GG16" s="542"/>
      <c r="GH16" s="543">
        <v>0</v>
      </c>
      <c r="GI16" s="543">
        <v>2</v>
      </c>
      <c r="GJ16" s="543">
        <v>0</v>
      </c>
      <c r="GK16" s="542"/>
      <c r="GL16" s="543">
        <v>0</v>
      </c>
      <c r="GM16" s="543">
        <v>2</v>
      </c>
      <c r="GN16" s="445"/>
      <c r="GP16" s="63"/>
      <c r="GQ16" s="63"/>
      <c r="GR16" s="37"/>
      <c r="GS16" s="37" t="s">
        <v>1163</v>
      </c>
      <c r="GT16" s="63"/>
      <c r="GU16" s="63">
        <v>0</v>
      </c>
      <c r="GV16" s="63"/>
      <c r="GW16" s="63"/>
      <c r="GX16" s="63"/>
      <c r="GY16" s="63">
        <v>0</v>
      </c>
      <c r="GZ16" s="63">
        <v>1</v>
      </c>
      <c r="HA16" s="63">
        <v>1</v>
      </c>
      <c r="HB16" s="63"/>
      <c r="HC16" s="63">
        <v>0</v>
      </c>
      <c r="HD16" s="63">
        <v>2</v>
      </c>
      <c r="HE16" s="37"/>
      <c r="HF16" s="37"/>
      <c r="HG16" s="446"/>
      <c r="HH16" s="446"/>
      <c r="HI16" s="446"/>
      <c r="HJ16" s="446" t="s">
        <v>1081</v>
      </c>
      <c r="HK16" s="446">
        <v>0</v>
      </c>
      <c r="HL16" s="446">
        <v>0</v>
      </c>
      <c r="HM16" s="446">
        <v>0</v>
      </c>
      <c r="HN16" s="446">
        <v>0</v>
      </c>
      <c r="HO16" s="446">
        <v>0</v>
      </c>
      <c r="HP16" s="446">
        <v>0</v>
      </c>
      <c r="HQ16" s="446">
        <v>0</v>
      </c>
      <c r="HR16" s="446">
        <v>2</v>
      </c>
      <c r="HS16" s="446">
        <v>0</v>
      </c>
      <c r="HT16" s="446">
        <v>0</v>
      </c>
      <c r="HU16" s="446">
        <v>0</v>
      </c>
      <c r="HV16" s="447">
        <v>2</v>
      </c>
      <c r="HW16" s="544"/>
      <c r="HX16" s="448"/>
    </row>
    <row r="17" spans="1:232">
      <c r="A17" s="5682">
        <v>1</v>
      </c>
      <c r="B17" s="5682">
        <v>1</v>
      </c>
      <c r="C17" s="5683" t="s">
        <v>2733</v>
      </c>
      <c r="D17" s="5683" t="s">
        <v>2709</v>
      </c>
      <c r="E17" s="5682">
        <v>3</v>
      </c>
      <c r="F17" s="5682">
        <v>7</v>
      </c>
      <c r="I17" s="4915">
        <v>1</v>
      </c>
      <c r="J17" s="4915">
        <v>1</v>
      </c>
      <c r="K17" s="4916" t="s">
        <v>2733</v>
      </c>
      <c r="L17" s="4916" t="s">
        <v>2709</v>
      </c>
      <c r="M17" s="4915">
        <v>2</v>
      </c>
      <c r="N17" s="4915">
        <v>7</v>
      </c>
      <c r="O17" s="157"/>
      <c r="Q17" s="4705">
        <v>1</v>
      </c>
      <c r="R17" s="4705">
        <v>1</v>
      </c>
      <c r="S17" s="4706" t="s">
        <v>2733</v>
      </c>
      <c r="T17" s="4706" t="s">
        <v>2731</v>
      </c>
      <c r="U17" s="4707">
        <v>2</v>
      </c>
      <c r="V17" s="4707">
        <v>8</v>
      </c>
      <c r="W17" s="4722"/>
      <c r="Y17" s="36"/>
      <c r="Z17" s="36"/>
      <c r="AA17" s="36"/>
      <c r="AB17" s="36" t="s">
        <v>1080</v>
      </c>
      <c r="AC17" s="1681">
        <v>0</v>
      </c>
      <c r="AD17" s="1681"/>
      <c r="AE17" s="1681"/>
      <c r="AF17" s="1681"/>
      <c r="AG17" s="1681"/>
      <c r="AH17" s="1681">
        <v>0</v>
      </c>
      <c r="AI17" s="1681"/>
      <c r="AJ17" s="1681">
        <v>6</v>
      </c>
      <c r="AK17" s="1681">
        <v>0</v>
      </c>
      <c r="AL17" s="95">
        <v>1</v>
      </c>
      <c r="AM17" s="95">
        <v>7</v>
      </c>
      <c r="AN17" s="4545"/>
      <c r="AS17" s="27" t="s">
        <v>15</v>
      </c>
      <c r="AT17" s="3722"/>
      <c r="AU17" s="3722">
        <v>1</v>
      </c>
      <c r="AV17" s="3722"/>
      <c r="AW17" s="3722">
        <v>1</v>
      </c>
      <c r="AX17" s="3722"/>
      <c r="AY17" s="3722"/>
      <c r="AZ17" s="3722">
        <v>17</v>
      </c>
      <c r="BA17" s="3722">
        <v>1</v>
      </c>
      <c r="BB17" s="3722">
        <v>1</v>
      </c>
      <c r="BC17" s="3701"/>
      <c r="BD17" s="3701"/>
      <c r="BE17" s="3701">
        <v>21</v>
      </c>
      <c r="BF17" s="1665">
        <f>+BE16/BE17</f>
        <v>9.5238095238095233E-2</v>
      </c>
      <c r="BG17" s="1665"/>
      <c r="BK17" s="32" t="s">
        <v>1074</v>
      </c>
      <c r="BL17" s="3871">
        <v>1</v>
      </c>
      <c r="BM17" s="3871">
        <v>1</v>
      </c>
      <c r="BN17" s="3871"/>
      <c r="BO17" s="3871"/>
      <c r="BP17" s="3871">
        <v>0</v>
      </c>
      <c r="BQ17" s="3871"/>
      <c r="BR17" s="3871">
        <v>0</v>
      </c>
      <c r="BS17" s="3871">
        <v>0</v>
      </c>
      <c r="BT17" s="1518">
        <v>0</v>
      </c>
      <c r="BU17" s="1518">
        <v>2</v>
      </c>
      <c r="BX17" s="36"/>
      <c r="BY17" s="36"/>
      <c r="BZ17" s="36"/>
      <c r="CA17" s="393" t="s">
        <v>15</v>
      </c>
      <c r="CB17" s="1682"/>
      <c r="CC17" s="1682"/>
      <c r="CD17" s="1682"/>
      <c r="CE17" s="1682"/>
      <c r="CF17" s="1682">
        <v>1</v>
      </c>
      <c r="CG17" s="1682">
        <v>6</v>
      </c>
      <c r="CH17" s="1682">
        <v>9</v>
      </c>
      <c r="CI17" s="1682">
        <v>2</v>
      </c>
      <c r="CJ17" s="2041"/>
      <c r="CK17" s="2041"/>
      <c r="CL17" s="2041">
        <v>18</v>
      </c>
      <c r="CM17" s="560">
        <f>+CL16/CL17</f>
        <v>0.1111111111111111</v>
      </c>
      <c r="CN17" s="1665"/>
      <c r="CO17" s="37"/>
      <c r="CP17" s="37"/>
      <c r="CQ17" s="37"/>
      <c r="CR17" s="416" t="s">
        <v>15</v>
      </c>
      <c r="CS17" s="1679"/>
      <c r="CT17" s="1679"/>
      <c r="CU17" s="1679">
        <v>1</v>
      </c>
      <c r="CV17" s="1679"/>
      <c r="CW17" s="1679"/>
      <c r="CX17" s="1679"/>
      <c r="CY17" s="1679">
        <v>12</v>
      </c>
      <c r="CZ17" s="1679">
        <v>3</v>
      </c>
      <c r="DA17" s="1679"/>
      <c r="DB17" s="386"/>
      <c r="DC17" s="386"/>
      <c r="DD17" s="386">
        <v>16</v>
      </c>
      <c r="DE17" s="2045">
        <f>+DD16/DD17</f>
        <v>0.375</v>
      </c>
      <c r="DG17" s="95"/>
      <c r="DH17" s="95"/>
      <c r="DI17" s="36"/>
      <c r="DJ17" s="36" t="s">
        <v>1663</v>
      </c>
      <c r="DK17" s="1484">
        <v>1</v>
      </c>
      <c r="DL17" s="1484"/>
      <c r="DM17" s="1484"/>
      <c r="DN17" s="1484"/>
      <c r="DO17" s="1484"/>
      <c r="DP17" s="1484">
        <v>0</v>
      </c>
      <c r="DQ17" s="1484">
        <v>0</v>
      </c>
      <c r="DR17" s="1484">
        <v>0</v>
      </c>
      <c r="DS17" s="1484">
        <v>0</v>
      </c>
      <c r="DT17" s="95"/>
      <c r="DU17" s="95"/>
      <c r="DV17" s="95">
        <v>1</v>
      </c>
      <c r="DW17" s="95"/>
      <c r="DY17" s="1209"/>
      <c r="DZ17" s="1209"/>
      <c r="EA17" s="1210"/>
      <c r="EB17" s="1211" t="s">
        <v>1076</v>
      </c>
      <c r="EC17" s="1213">
        <v>0</v>
      </c>
      <c r="ED17" s="1212"/>
      <c r="EE17" s="1212"/>
      <c r="EF17" s="1213">
        <v>0</v>
      </c>
      <c r="EG17" s="1213">
        <v>1</v>
      </c>
      <c r="EH17" s="1213">
        <v>0</v>
      </c>
      <c r="EI17" s="1212"/>
      <c r="EJ17" s="1213">
        <v>0</v>
      </c>
      <c r="EK17" s="611"/>
      <c r="EL17" s="611"/>
      <c r="EM17" s="612">
        <v>1</v>
      </c>
      <c r="EN17" s="36"/>
      <c r="EP17" s="527"/>
      <c r="EQ17" s="527"/>
      <c r="ER17" s="528"/>
      <c r="ES17" s="529" t="s">
        <v>1080</v>
      </c>
      <c r="ET17" s="530"/>
      <c r="EU17" s="530"/>
      <c r="EV17" s="530"/>
      <c r="EW17" s="530"/>
      <c r="EX17" s="531">
        <v>0</v>
      </c>
      <c r="EY17" s="531">
        <v>0</v>
      </c>
      <c r="EZ17" s="531">
        <v>1</v>
      </c>
      <c r="FA17" s="531">
        <v>1</v>
      </c>
      <c r="FB17" s="527"/>
      <c r="FC17" s="527"/>
      <c r="FD17" s="532">
        <v>2</v>
      </c>
      <c r="FE17" s="95"/>
      <c r="FG17" s="533"/>
      <c r="FH17" s="533"/>
      <c r="FI17" s="533"/>
      <c r="FJ17" s="534" t="s">
        <v>1080</v>
      </c>
      <c r="FK17" s="535"/>
      <c r="FL17" s="536">
        <v>0</v>
      </c>
      <c r="FM17" s="535"/>
      <c r="FN17" s="535"/>
      <c r="FO17" s="535"/>
      <c r="FP17" s="536">
        <v>0</v>
      </c>
      <c r="FQ17" s="536">
        <v>0</v>
      </c>
      <c r="FR17" s="536">
        <v>0</v>
      </c>
      <c r="FS17" s="536">
        <v>2</v>
      </c>
      <c r="FT17" s="537"/>
      <c r="FU17" s="537"/>
      <c r="FV17" s="538">
        <v>2</v>
      </c>
      <c r="FW17" s="539"/>
      <c r="FY17" s="540"/>
      <c r="FZ17" s="540"/>
      <c r="GA17" s="540"/>
      <c r="GB17" s="550" t="s">
        <v>15</v>
      </c>
      <c r="GC17" s="551"/>
      <c r="GD17" s="551"/>
      <c r="GE17" s="551"/>
      <c r="GF17" s="551"/>
      <c r="GG17" s="551"/>
      <c r="GH17" s="552">
        <v>6</v>
      </c>
      <c r="GI17" s="552">
        <v>4</v>
      </c>
      <c r="GJ17" s="552">
        <v>5</v>
      </c>
      <c r="GK17" s="551"/>
      <c r="GL17" s="552">
        <v>1</v>
      </c>
      <c r="GM17" s="552">
        <v>16</v>
      </c>
      <c r="GN17" s="553">
        <f>+(GM16+GM15+GM13)/GM17</f>
        <v>0.4375</v>
      </c>
      <c r="GP17" s="63"/>
      <c r="GQ17" s="63"/>
      <c r="GR17" s="37"/>
      <c r="GS17" s="416" t="s">
        <v>15</v>
      </c>
      <c r="GT17" s="386"/>
      <c r="GU17" s="386">
        <v>2</v>
      </c>
      <c r="GV17" s="386"/>
      <c r="GW17" s="386"/>
      <c r="GX17" s="386"/>
      <c r="GY17" s="386">
        <v>4</v>
      </c>
      <c r="GZ17" s="386">
        <v>10</v>
      </c>
      <c r="HA17" s="386">
        <v>7</v>
      </c>
      <c r="HB17" s="386"/>
      <c r="HC17" s="386">
        <v>2</v>
      </c>
      <c r="HD17" s="386">
        <v>25</v>
      </c>
      <c r="HE17" s="466">
        <f>+(HD15+HD16)/HD17</f>
        <v>0.2</v>
      </c>
      <c r="HF17" s="37"/>
      <c r="HG17" s="446"/>
      <c r="HH17" s="446"/>
      <c r="HI17" s="446"/>
      <c r="HJ17" s="446" t="s">
        <v>1163</v>
      </c>
      <c r="HK17" s="446">
        <v>0</v>
      </c>
      <c r="HL17" s="446">
        <v>0</v>
      </c>
      <c r="HM17" s="446">
        <v>0</v>
      </c>
      <c r="HN17" s="446">
        <v>0</v>
      </c>
      <c r="HO17" s="446">
        <v>0</v>
      </c>
      <c r="HP17" s="446">
        <v>0</v>
      </c>
      <c r="HQ17" s="446">
        <v>0</v>
      </c>
      <c r="HR17" s="446">
        <v>1</v>
      </c>
      <c r="HS17" s="446">
        <v>0</v>
      </c>
      <c r="HT17" s="446">
        <v>0</v>
      </c>
      <c r="HU17" s="446">
        <v>0</v>
      </c>
      <c r="HV17" s="447">
        <v>1</v>
      </c>
      <c r="HW17" s="544"/>
      <c r="HX17" s="448"/>
    </row>
    <row r="18" spans="1:232">
      <c r="A18" s="5682">
        <v>1</v>
      </c>
      <c r="B18" s="5682">
        <v>1</v>
      </c>
      <c r="C18" s="5683" t="s">
        <v>2733</v>
      </c>
      <c r="D18" s="5683" t="s">
        <v>2709</v>
      </c>
      <c r="E18" s="5682">
        <v>1</v>
      </c>
      <c r="F18" s="5682">
        <v>8</v>
      </c>
      <c r="I18" s="4915"/>
      <c r="J18" s="4915"/>
      <c r="K18" s="4916"/>
      <c r="L18" s="4916"/>
      <c r="M18" s="4920">
        <f>SUM(M14:M17)</f>
        <v>11</v>
      </c>
      <c r="N18" s="4915"/>
      <c r="O18" s="4921">
        <v>0</v>
      </c>
      <c r="Q18" s="4705">
        <v>1</v>
      </c>
      <c r="R18" s="4705">
        <v>1</v>
      </c>
      <c r="S18" s="4706" t="s">
        <v>2733</v>
      </c>
      <c r="T18" s="4706" t="s">
        <v>1071</v>
      </c>
      <c r="U18" s="4707">
        <v>1</v>
      </c>
      <c r="V18" s="4707">
        <v>8</v>
      </c>
      <c r="W18" s="4722"/>
      <c r="X18" s="4452"/>
      <c r="Y18" s="36"/>
      <c r="Z18" s="36"/>
      <c r="AA18" s="36"/>
      <c r="AB18" s="36" t="s">
        <v>1081</v>
      </c>
      <c r="AC18" s="1681">
        <v>0</v>
      </c>
      <c r="AD18" s="1681"/>
      <c r="AE18" s="1681"/>
      <c r="AF18" s="1681"/>
      <c r="AG18" s="1681"/>
      <c r="AH18" s="1681">
        <v>0</v>
      </c>
      <c r="AI18" s="1681"/>
      <c r="AJ18" s="1681">
        <v>1</v>
      </c>
      <c r="AK18" s="1681">
        <v>0</v>
      </c>
      <c r="AL18" s="95">
        <v>0</v>
      </c>
      <c r="AM18" s="95">
        <v>1</v>
      </c>
      <c r="AN18" s="4545"/>
      <c r="AR18" s="3868" t="s">
        <v>607</v>
      </c>
      <c r="AS18" s="3868" t="s">
        <v>1072</v>
      </c>
      <c r="AT18" s="3721"/>
      <c r="AU18" s="3721">
        <v>0</v>
      </c>
      <c r="AV18" s="3721">
        <v>0</v>
      </c>
      <c r="AW18" s="3721"/>
      <c r="AX18" s="3721"/>
      <c r="AY18" s="3721">
        <v>1</v>
      </c>
      <c r="AZ18" s="3721"/>
      <c r="BA18" s="3721">
        <v>0</v>
      </c>
      <c r="BB18" s="3721">
        <v>1</v>
      </c>
      <c r="BC18" s="2110"/>
      <c r="BD18" s="2110">
        <v>0</v>
      </c>
      <c r="BE18" s="2110">
        <v>2</v>
      </c>
      <c r="BF18" s="2110"/>
      <c r="BG18" s="2110"/>
      <c r="BK18" s="32" t="s">
        <v>1076</v>
      </c>
      <c r="BL18" s="3871">
        <v>0</v>
      </c>
      <c r="BM18" s="3871">
        <v>0</v>
      </c>
      <c r="BN18" s="3871"/>
      <c r="BO18" s="3871"/>
      <c r="BP18" s="3871">
        <v>0</v>
      </c>
      <c r="BQ18" s="3871"/>
      <c r="BR18" s="3871">
        <v>2</v>
      </c>
      <c r="BS18" s="3871">
        <v>0</v>
      </c>
      <c r="BT18" s="1518">
        <v>0</v>
      </c>
      <c r="BU18" s="1518">
        <v>2</v>
      </c>
      <c r="BX18" s="36"/>
      <c r="BY18" s="36"/>
      <c r="BZ18" s="36" t="s">
        <v>607</v>
      </c>
      <c r="CA18" s="36" t="s">
        <v>1072</v>
      </c>
      <c r="CB18" s="1681">
        <v>1</v>
      </c>
      <c r="CC18" s="1681"/>
      <c r="CD18" s="1681"/>
      <c r="CE18" s="1681"/>
      <c r="CF18" s="1681"/>
      <c r="CG18" s="1681">
        <v>1</v>
      </c>
      <c r="CH18" s="1681">
        <v>1</v>
      </c>
      <c r="CI18" s="1681">
        <v>0</v>
      </c>
      <c r="CJ18" s="95">
        <v>1</v>
      </c>
      <c r="CK18" s="95"/>
      <c r="CL18" s="95">
        <v>4</v>
      </c>
      <c r="CM18" s="36"/>
      <c r="CO18" s="37"/>
      <c r="CP18" s="37"/>
      <c r="CQ18" s="37" t="s">
        <v>607</v>
      </c>
      <c r="CR18" s="37" t="s">
        <v>1072</v>
      </c>
      <c r="CS18" s="1678"/>
      <c r="CT18" s="1678">
        <v>1</v>
      </c>
      <c r="CU18" s="1678"/>
      <c r="CV18" s="1678">
        <v>1</v>
      </c>
      <c r="CW18" s="1678">
        <v>1</v>
      </c>
      <c r="CX18" s="1678"/>
      <c r="CY18" s="1678">
        <v>0</v>
      </c>
      <c r="CZ18" s="1678">
        <v>1</v>
      </c>
      <c r="DA18" s="1678">
        <v>0</v>
      </c>
      <c r="DB18" s="63"/>
      <c r="DC18" s="63">
        <v>0</v>
      </c>
      <c r="DD18" s="63">
        <v>4</v>
      </c>
      <c r="DG18" s="95"/>
      <c r="DH18" s="95"/>
      <c r="DI18" s="36"/>
      <c r="DJ18" s="36" t="s">
        <v>1081</v>
      </c>
      <c r="DK18" s="1484">
        <v>0</v>
      </c>
      <c r="DL18" s="1484"/>
      <c r="DM18" s="1484"/>
      <c r="DN18" s="1484"/>
      <c r="DO18" s="1484"/>
      <c r="DP18" s="1484">
        <v>0</v>
      </c>
      <c r="DQ18" s="1484">
        <v>2</v>
      </c>
      <c r="DR18" s="1484">
        <v>2</v>
      </c>
      <c r="DS18" s="1484">
        <v>0</v>
      </c>
      <c r="DT18" s="95"/>
      <c r="DU18" s="95"/>
      <c r="DV18" s="95">
        <v>4</v>
      </c>
      <c r="DW18" s="95"/>
      <c r="DY18" s="1209"/>
      <c r="DZ18" s="1209"/>
      <c r="EA18" s="1210"/>
      <c r="EB18" s="1211" t="s">
        <v>1077</v>
      </c>
      <c r="EC18" s="1213">
        <v>0</v>
      </c>
      <c r="ED18" s="1212"/>
      <c r="EE18" s="1212"/>
      <c r="EF18" s="1213">
        <v>2</v>
      </c>
      <c r="EG18" s="1213">
        <v>0</v>
      </c>
      <c r="EH18" s="1213">
        <v>0</v>
      </c>
      <c r="EI18" s="1212"/>
      <c r="EJ18" s="1213">
        <v>0</v>
      </c>
      <c r="EK18" s="611"/>
      <c r="EL18" s="611"/>
      <c r="EM18" s="612">
        <v>2</v>
      </c>
      <c r="EN18" s="36"/>
      <c r="EP18" s="527"/>
      <c r="EQ18" s="527"/>
      <c r="ER18" s="528"/>
      <c r="ES18" s="529" t="s">
        <v>1081</v>
      </c>
      <c r="ET18" s="530"/>
      <c r="EU18" s="530"/>
      <c r="EV18" s="530"/>
      <c r="EW18" s="530"/>
      <c r="EX18" s="531">
        <v>2</v>
      </c>
      <c r="EY18" s="531">
        <v>1</v>
      </c>
      <c r="EZ18" s="531">
        <v>0</v>
      </c>
      <c r="FA18" s="531">
        <v>0</v>
      </c>
      <c r="FB18" s="527"/>
      <c r="FC18" s="527"/>
      <c r="FD18" s="532">
        <v>3</v>
      </c>
      <c r="FE18" s="95"/>
      <c r="FG18" s="533"/>
      <c r="FH18" s="533"/>
      <c r="FI18" s="533"/>
      <c r="FJ18" s="534" t="s">
        <v>1081</v>
      </c>
      <c r="FK18" s="535"/>
      <c r="FL18" s="536">
        <v>0</v>
      </c>
      <c r="FM18" s="535"/>
      <c r="FN18" s="535"/>
      <c r="FO18" s="535"/>
      <c r="FP18" s="536">
        <v>1</v>
      </c>
      <c r="FQ18" s="536">
        <v>0</v>
      </c>
      <c r="FR18" s="536">
        <v>0</v>
      </c>
      <c r="FS18" s="536">
        <v>0</v>
      </c>
      <c r="FT18" s="537"/>
      <c r="FU18" s="537"/>
      <c r="FV18" s="538">
        <v>1</v>
      </c>
      <c r="FW18" s="539"/>
      <c r="FY18" s="540"/>
      <c r="FZ18" s="540"/>
      <c r="GA18" s="540" t="s">
        <v>115</v>
      </c>
      <c r="GB18" s="541" t="s">
        <v>1071</v>
      </c>
      <c r="GC18" s="542"/>
      <c r="GD18" s="542"/>
      <c r="GE18" s="542"/>
      <c r="GF18" s="542"/>
      <c r="GG18" s="543">
        <v>0</v>
      </c>
      <c r="GH18" s="543">
        <v>0</v>
      </c>
      <c r="GI18" s="543">
        <v>1</v>
      </c>
      <c r="GJ18" s="543">
        <v>0</v>
      </c>
      <c r="GK18" s="542"/>
      <c r="GL18" s="542"/>
      <c r="GM18" s="543">
        <v>1</v>
      </c>
      <c r="GN18" s="445"/>
      <c r="GP18" s="63"/>
      <c r="GQ18" s="63"/>
      <c r="GR18" s="37" t="s">
        <v>115</v>
      </c>
      <c r="GS18" s="37" t="s">
        <v>1072</v>
      </c>
      <c r="GT18" s="63"/>
      <c r="GU18" s="63"/>
      <c r="GV18" s="63"/>
      <c r="GW18" s="63">
        <v>1</v>
      </c>
      <c r="GX18" s="63">
        <v>0</v>
      </c>
      <c r="GY18" s="63">
        <v>1</v>
      </c>
      <c r="GZ18" s="63"/>
      <c r="HA18" s="63"/>
      <c r="HB18" s="63"/>
      <c r="HC18" s="63"/>
      <c r="HD18" s="63">
        <v>2</v>
      </c>
      <c r="HE18" s="37"/>
      <c r="HF18" s="37"/>
      <c r="HG18" s="446"/>
      <c r="HH18" s="446"/>
      <c r="HI18" s="446"/>
      <c r="HJ18" s="449" t="s">
        <v>15</v>
      </c>
      <c r="HK18" s="449">
        <v>0</v>
      </c>
      <c r="HL18" s="449">
        <v>0</v>
      </c>
      <c r="HM18" s="449">
        <v>0</v>
      </c>
      <c r="HN18" s="449">
        <v>0</v>
      </c>
      <c r="HO18" s="449">
        <v>2</v>
      </c>
      <c r="HP18" s="449">
        <v>0</v>
      </c>
      <c r="HQ18" s="449">
        <v>1</v>
      </c>
      <c r="HR18" s="449">
        <v>7</v>
      </c>
      <c r="HS18" s="449">
        <v>12</v>
      </c>
      <c r="HT18" s="449">
        <v>0</v>
      </c>
      <c r="HU18" s="449">
        <v>0</v>
      </c>
      <c r="HV18" s="507">
        <v>22</v>
      </c>
      <c r="HW18" s="554">
        <f>+(HV13+HV16+HV17)/HV18</f>
        <v>0.31818181818181818</v>
      </c>
      <c r="HX18" s="448">
        <f>+HV13+HV16+HV17</f>
        <v>7</v>
      </c>
    </row>
    <row r="19" spans="1:232">
      <c r="A19" s="5682"/>
      <c r="B19" s="5682"/>
      <c r="C19" s="5683"/>
      <c r="D19" s="5683"/>
      <c r="E19" s="5686">
        <f>SUM(E14:E18)</f>
        <v>11</v>
      </c>
      <c r="F19" s="5682"/>
      <c r="G19" s="4921">
        <v>0</v>
      </c>
      <c r="I19" s="4915">
        <v>1</v>
      </c>
      <c r="J19" s="4915">
        <v>1</v>
      </c>
      <c r="K19" s="4916" t="s">
        <v>607</v>
      </c>
      <c r="L19" s="4916" t="s">
        <v>2731</v>
      </c>
      <c r="M19" s="4915">
        <v>4</v>
      </c>
      <c r="N19" s="4915">
        <v>7</v>
      </c>
      <c r="O19" s="157"/>
      <c r="Q19" s="4705">
        <v>1</v>
      </c>
      <c r="R19" s="4705">
        <v>1</v>
      </c>
      <c r="S19" s="4706" t="s">
        <v>2733</v>
      </c>
      <c r="T19" s="4706" t="s">
        <v>2705</v>
      </c>
      <c r="U19" s="4707">
        <v>1</v>
      </c>
      <c r="V19" s="4707">
        <v>4</v>
      </c>
      <c r="W19" s="4722"/>
      <c r="Y19" s="36"/>
      <c r="Z19" s="36"/>
      <c r="AA19" s="36"/>
      <c r="AB19" s="36" t="s">
        <v>2571</v>
      </c>
      <c r="AC19" s="1681">
        <v>1</v>
      </c>
      <c r="AD19" s="1681"/>
      <c r="AE19" s="1681"/>
      <c r="AF19" s="1681"/>
      <c r="AG19" s="1681"/>
      <c r="AH19" s="1681">
        <v>0</v>
      </c>
      <c r="AI19" s="1681"/>
      <c r="AJ19" s="1681">
        <v>0</v>
      </c>
      <c r="AK19" s="1681">
        <v>0</v>
      </c>
      <c r="AL19" s="95">
        <v>0</v>
      </c>
      <c r="AM19" s="95">
        <v>1</v>
      </c>
      <c r="AN19" s="4545"/>
      <c r="AS19" s="3868" t="s">
        <v>1074</v>
      </c>
      <c r="AT19" s="3721"/>
      <c r="AU19" s="3721">
        <v>1</v>
      </c>
      <c r="AV19" s="3721">
        <v>1</v>
      </c>
      <c r="AW19" s="3721"/>
      <c r="AX19" s="3721"/>
      <c r="AY19" s="3721">
        <v>0</v>
      </c>
      <c r="AZ19" s="3721"/>
      <c r="BA19" s="3721">
        <v>0</v>
      </c>
      <c r="BB19" s="3721">
        <v>0</v>
      </c>
      <c r="BC19" s="2110"/>
      <c r="BD19" s="2110">
        <v>0</v>
      </c>
      <c r="BE19" s="2110">
        <v>2</v>
      </c>
      <c r="BF19" s="2110"/>
      <c r="BG19" s="2110"/>
      <c r="BK19" s="32" t="s">
        <v>1080</v>
      </c>
      <c r="BL19" s="3871">
        <v>0</v>
      </c>
      <c r="BM19" s="3871">
        <v>0</v>
      </c>
      <c r="BN19" s="3871"/>
      <c r="BO19" s="3871"/>
      <c r="BP19" s="3871">
        <v>0</v>
      </c>
      <c r="BQ19" s="3871"/>
      <c r="BR19" s="3871">
        <v>3</v>
      </c>
      <c r="BS19" s="3871">
        <v>0</v>
      </c>
      <c r="BT19" s="1518">
        <v>1</v>
      </c>
      <c r="BU19" s="1518">
        <v>4</v>
      </c>
      <c r="BX19" s="36"/>
      <c r="BY19" s="36"/>
      <c r="BZ19" s="36"/>
      <c r="CA19" s="36" t="s">
        <v>1076</v>
      </c>
      <c r="CB19" s="1681">
        <v>0</v>
      </c>
      <c r="CC19" s="1681"/>
      <c r="CD19" s="1681"/>
      <c r="CE19" s="1681"/>
      <c r="CF19" s="1681"/>
      <c r="CG19" s="1681">
        <v>0</v>
      </c>
      <c r="CH19" s="1681">
        <v>1</v>
      </c>
      <c r="CI19" s="1681">
        <v>0</v>
      </c>
      <c r="CJ19" s="95">
        <v>0</v>
      </c>
      <c r="CK19" s="95"/>
      <c r="CL19" s="95">
        <v>1</v>
      </c>
      <c r="CM19" s="36"/>
      <c r="CO19" s="37"/>
      <c r="CP19" s="37"/>
      <c r="CQ19" s="37"/>
      <c r="CR19" s="37" t="s">
        <v>1076</v>
      </c>
      <c r="CS19" s="1678"/>
      <c r="CT19" s="1678">
        <v>0</v>
      </c>
      <c r="CU19" s="1678"/>
      <c r="CV19" s="1678">
        <v>0</v>
      </c>
      <c r="CW19" s="1678">
        <v>0</v>
      </c>
      <c r="CX19" s="1678"/>
      <c r="CY19" s="1678">
        <v>0</v>
      </c>
      <c r="CZ19" s="1678">
        <v>0</v>
      </c>
      <c r="DA19" s="1678">
        <v>1</v>
      </c>
      <c r="DB19" s="63"/>
      <c r="DC19" s="63">
        <v>0</v>
      </c>
      <c r="DD19" s="63">
        <v>1</v>
      </c>
      <c r="DG19" s="95"/>
      <c r="DH19" s="95"/>
      <c r="DI19" s="36"/>
      <c r="DJ19" s="393" t="s">
        <v>15</v>
      </c>
      <c r="DK19" s="1485">
        <v>1</v>
      </c>
      <c r="DL19" s="1485"/>
      <c r="DM19" s="1485"/>
      <c r="DN19" s="1485"/>
      <c r="DO19" s="1485"/>
      <c r="DP19" s="1485">
        <v>2</v>
      </c>
      <c r="DQ19" s="1485">
        <v>7</v>
      </c>
      <c r="DR19" s="1485">
        <v>7</v>
      </c>
      <c r="DS19" s="1485">
        <v>2</v>
      </c>
      <c r="DT19" s="86"/>
      <c r="DU19" s="86"/>
      <c r="DV19" s="86">
        <v>19</v>
      </c>
      <c r="DW19" s="560">
        <f>+DV18/DV19</f>
        <v>0.21052631578947367</v>
      </c>
      <c r="DY19" s="1209"/>
      <c r="DZ19" s="1209"/>
      <c r="EA19" s="1210"/>
      <c r="EB19" s="1211" t="s">
        <v>1080</v>
      </c>
      <c r="EC19" s="1213">
        <v>0</v>
      </c>
      <c r="ED19" s="1212"/>
      <c r="EE19" s="1212"/>
      <c r="EF19" s="1213">
        <v>0</v>
      </c>
      <c r="EG19" s="1213">
        <v>0</v>
      </c>
      <c r="EH19" s="1213">
        <v>0</v>
      </c>
      <c r="EI19" s="1212"/>
      <c r="EJ19" s="1213">
        <v>1</v>
      </c>
      <c r="EK19" s="611"/>
      <c r="EL19" s="611"/>
      <c r="EM19" s="612">
        <v>1</v>
      </c>
      <c r="EN19" s="36"/>
      <c r="EP19" s="527"/>
      <c r="EQ19" s="527"/>
      <c r="ER19" s="528"/>
      <c r="ES19" s="555" t="s">
        <v>15</v>
      </c>
      <c r="ET19" s="556"/>
      <c r="EU19" s="556"/>
      <c r="EV19" s="556"/>
      <c r="EW19" s="556"/>
      <c r="EX19" s="557">
        <v>4</v>
      </c>
      <c r="EY19" s="557">
        <v>1</v>
      </c>
      <c r="EZ19" s="557">
        <v>3</v>
      </c>
      <c r="FA19" s="557">
        <v>2</v>
      </c>
      <c r="FB19" s="558"/>
      <c r="FC19" s="558"/>
      <c r="FD19" s="559">
        <v>10</v>
      </c>
      <c r="FE19" s="560">
        <f>+(FD16+FD18)/FD19</f>
        <v>0.4</v>
      </c>
      <c r="FG19" s="533"/>
      <c r="FH19" s="533"/>
      <c r="FI19" s="533"/>
      <c r="FJ19" s="534" t="s">
        <v>1163</v>
      </c>
      <c r="FK19" s="535"/>
      <c r="FL19" s="536">
        <v>0</v>
      </c>
      <c r="FM19" s="535"/>
      <c r="FN19" s="535"/>
      <c r="FO19" s="535"/>
      <c r="FP19" s="536">
        <v>1</v>
      </c>
      <c r="FQ19" s="536">
        <v>0</v>
      </c>
      <c r="FR19" s="536">
        <v>0</v>
      </c>
      <c r="FS19" s="536">
        <v>0</v>
      </c>
      <c r="FT19" s="537"/>
      <c r="FU19" s="537"/>
      <c r="FV19" s="538">
        <v>1</v>
      </c>
      <c r="FW19" s="539"/>
      <c r="FY19" s="540"/>
      <c r="FZ19" s="540"/>
      <c r="GA19" s="540"/>
      <c r="GB19" s="541" t="s">
        <v>1072</v>
      </c>
      <c r="GC19" s="542"/>
      <c r="GD19" s="542"/>
      <c r="GE19" s="542"/>
      <c r="GF19" s="542"/>
      <c r="GG19" s="543">
        <v>0</v>
      </c>
      <c r="GH19" s="543">
        <v>2</v>
      </c>
      <c r="GI19" s="543">
        <v>1</v>
      </c>
      <c r="GJ19" s="543">
        <v>0</v>
      </c>
      <c r="GK19" s="542"/>
      <c r="GL19" s="542"/>
      <c r="GM19" s="543">
        <v>3</v>
      </c>
      <c r="GN19" s="445"/>
      <c r="GP19" s="63"/>
      <c r="GQ19" s="63"/>
      <c r="GR19" s="37"/>
      <c r="GS19" s="37" t="s">
        <v>1076</v>
      </c>
      <c r="GT19" s="63"/>
      <c r="GU19" s="63"/>
      <c r="GV19" s="63"/>
      <c r="GW19" s="63">
        <v>0</v>
      </c>
      <c r="GX19" s="63">
        <v>0</v>
      </c>
      <c r="GY19" s="63">
        <v>1</v>
      </c>
      <c r="GZ19" s="63"/>
      <c r="HA19" s="63"/>
      <c r="HB19" s="63"/>
      <c r="HC19" s="63"/>
      <c r="HD19" s="63">
        <v>1</v>
      </c>
      <c r="HE19" s="37"/>
      <c r="HF19" s="37"/>
      <c r="HG19" s="446"/>
      <c r="HH19" s="446"/>
      <c r="HI19" s="446" t="s">
        <v>115</v>
      </c>
      <c r="HJ19" s="446" t="s">
        <v>1072</v>
      </c>
      <c r="HK19" s="446">
        <v>0</v>
      </c>
      <c r="HL19" s="446">
        <v>0</v>
      </c>
      <c r="HM19" s="446">
        <v>0</v>
      </c>
      <c r="HN19" s="446">
        <v>0</v>
      </c>
      <c r="HO19" s="446">
        <v>0</v>
      </c>
      <c r="HP19" s="446">
        <v>0</v>
      </c>
      <c r="HQ19" s="446">
        <v>1</v>
      </c>
      <c r="HR19" s="446">
        <v>2</v>
      </c>
      <c r="HS19" s="446">
        <v>0</v>
      </c>
      <c r="HT19" s="446">
        <v>0</v>
      </c>
      <c r="HU19" s="446">
        <v>0</v>
      </c>
      <c r="HV19" s="447">
        <v>3</v>
      </c>
      <c r="HW19" s="544"/>
      <c r="HX19" s="448"/>
    </row>
    <row r="20" spans="1:232">
      <c r="A20" s="5682">
        <v>1</v>
      </c>
      <c r="B20" s="5682">
        <v>1</v>
      </c>
      <c r="C20" s="5683" t="s">
        <v>607</v>
      </c>
      <c r="D20" s="5683" t="s">
        <v>2731</v>
      </c>
      <c r="E20" s="5682">
        <v>2</v>
      </c>
      <c r="F20" s="5682">
        <v>8</v>
      </c>
      <c r="I20" s="4915">
        <v>1</v>
      </c>
      <c r="J20" s="4915">
        <v>1</v>
      </c>
      <c r="K20" s="4916" t="s">
        <v>607</v>
      </c>
      <c r="L20" s="4916" t="s">
        <v>2731</v>
      </c>
      <c r="M20" s="4915">
        <v>2</v>
      </c>
      <c r="N20" s="4915">
        <v>9</v>
      </c>
      <c r="O20" s="157"/>
      <c r="Q20" s="4705">
        <v>1</v>
      </c>
      <c r="R20" s="4705">
        <v>1</v>
      </c>
      <c r="S20" s="4706" t="s">
        <v>2733</v>
      </c>
      <c r="T20" s="4708" t="s">
        <v>2707</v>
      </c>
      <c r="U20" s="4709">
        <v>2</v>
      </c>
      <c r="V20" s="4709">
        <v>7</v>
      </c>
      <c r="W20" s="4722"/>
      <c r="Y20" s="36"/>
      <c r="Z20" s="36"/>
      <c r="AA20" s="36"/>
      <c r="AB20" s="36" t="s">
        <v>15</v>
      </c>
      <c r="AC20" s="1681">
        <v>1</v>
      </c>
      <c r="AD20" s="1681"/>
      <c r="AE20" s="1681"/>
      <c r="AF20" s="1681"/>
      <c r="AG20" s="1681"/>
      <c r="AH20" s="1681">
        <v>2</v>
      </c>
      <c r="AI20" s="1681"/>
      <c r="AJ20" s="1681">
        <v>8</v>
      </c>
      <c r="AK20" s="1681">
        <v>3</v>
      </c>
      <c r="AL20" s="95">
        <v>1</v>
      </c>
      <c r="AM20" s="95">
        <v>15</v>
      </c>
      <c r="AN20" s="560">
        <f>+AJ18/(AM20-AM19)</f>
        <v>7.1428571428571425E-2</v>
      </c>
      <c r="AS20" s="3868" t="s">
        <v>1076</v>
      </c>
      <c r="AT20" s="3721"/>
      <c r="AU20" s="3721">
        <v>0</v>
      </c>
      <c r="AV20" s="3721">
        <v>0</v>
      </c>
      <c r="AW20" s="3721"/>
      <c r="AX20" s="3721"/>
      <c r="AY20" s="3721">
        <v>0</v>
      </c>
      <c r="AZ20" s="3721"/>
      <c r="BA20" s="3721">
        <v>1</v>
      </c>
      <c r="BB20" s="3721">
        <v>0</v>
      </c>
      <c r="BC20" s="2110"/>
      <c r="BD20" s="2110">
        <v>0</v>
      </c>
      <c r="BE20" s="2110">
        <v>1</v>
      </c>
      <c r="BF20" s="2110"/>
      <c r="BG20" s="2110"/>
      <c r="BK20" s="32" t="s">
        <v>1081</v>
      </c>
      <c r="BL20" s="3871">
        <v>0</v>
      </c>
      <c r="BM20" s="3871">
        <v>0</v>
      </c>
      <c r="BN20" s="3871"/>
      <c r="BO20" s="3871"/>
      <c r="BP20" s="3871">
        <v>0</v>
      </c>
      <c r="BQ20" s="3871"/>
      <c r="BR20" s="3871">
        <v>2</v>
      </c>
      <c r="BS20" s="3871">
        <v>0</v>
      </c>
      <c r="BT20" s="1518">
        <v>0</v>
      </c>
      <c r="BU20" s="1518">
        <v>2</v>
      </c>
      <c r="BX20" s="36"/>
      <c r="BY20" s="36"/>
      <c r="BZ20" s="36"/>
      <c r="CA20" s="36" t="s">
        <v>1080</v>
      </c>
      <c r="CB20" s="1681">
        <v>0</v>
      </c>
      <c r="CC20" s="1681"/>
      <c r="CD20" s="1681"/>
      <c r="CE20" s="1681"/>
      <c r="CF20" s="1681"/>
      <c r="CG20" s="1681">
        <v>0</v>
      </c>
      <c r="CH20" s="1681">
        <v>1</v>
      </c>
      <c r="CI20" s="1681">
        <v>4</v>
      </c>
      <c r="CJ20" s="95">
        <v>0</v>
      </c>
      <c r="CK20" s="95"/>
      <c r="CL20" s="95">
        <v>5</v>
      </c>
      <c r="CM20" s="36"/>
      <c r="CO20" s="37"/>
      <c r="CP20" s="37"/>
      <c r="CQ20" s="37"/>
      <c r="CR20" s="37" t="s">
        <v>1080</v>
      </c>
      <c r="CS20" s="1678"/>
      <c r="CT20" s="1678">
        <v>0</v>
      </c>
      <c r="CU20" s="1678"/>
      <c r="CV20" s="1678">
        <v>0</v>
      </c>
      <c r="CW20" s="1678">
        <v>0</v>
      </c>
      <c r="CX20" s="1678"/>
      <c r="CY20" s="1678">
        <v>0</v>
      </c>
      <c r="CZ20" s="1678">
        <v>0</v>
      </c>
      <c r="DA20" s="1678">
        <v>1</v>
      </c>
      <c r="DB20" s="63"/>
      <c r="DC20" s="63">
        <v>2</v>
      </c>
      <c r="DD20" s="63">
        <v>3</v>
      </c>
      <c r="DG20" s="95"/>
      <c r="DH20" s="95"/>
      <c r="DI20" s="36" t="s">
        <v>607</v>
      </c>
      <c r="DJ20" s="36" t="s">
        <v>1071</v>
      </c>
      <c r="DK20" s="1484"/>
      <c r="DL20" s="1484">
        <v>0</v>
      </c>
      <c r="DM20" s="1484">
        <v>0</v>
      </c>
      <c r="DN20" s="1484"/>
      <c r="DO20" s="1484"/>
      <c r="DP20" s="1484"/>
      <c r="DQ20" s="1484">
        <v>0</v>
      </c>
      <c r="DR20" s="1484">
        <v>0</v>
      </c>
      <c r="DS20" s="1484">
        <v>1</v>
      </c>
      <c r="DT20" s="95">
        <v>0</v>
      </c>
      <c r="DU20" s="95">
        <v>0</v>
      </c>
      <c r="DV20" s="95">
        <v>1</v>
      </c>
      <c r="DW20" s="95"/>
      <c r="DY20" s="1209"/>
      <c r="DZ20" s="1209"/>
      <c r="EA20" s="1210"/>
      <c r="EB20" s="1211" t="s">
        <v>1081</v>
      </c>
      <c r="EC20" s="1213">
        <v>0</v>
      </c>
      <c r="ED20" s="1212"/>
      <c r="EE20" s="1212"/>
      <c r="EF20" s="1213">
        <v>0</v>
      </c>
      <c r="EG20" s="1213">
        <v>1</v>
      </c>
      <c r="EH20" s="1213">
        <v>2</v>
      </c>
      <c r="EI20" s="1212"/>
      <c r="EJ20" s="1213">
        <v>0</v>
      </c>
      <c r="EK20" s="611"/>
      <c r="EL20" s="611"/>
      <c r="EM20" s="612">
        <v>3</v>
      </c>
      <c r="EN20" s="36"/>
      <c r="EP20" s="527"/>
      <c r="EQ20" s="527"/>
      <c r="ER20" s="528" t="s">
        <v>607</v>
      </c>
      <c r="ES20" s="529" t="s">
        <v>1072</v>
      </c>
      <c r="ET20" s="531">
        <v>1</v>
      </c>
      <c r="EU20" s="531">
        <v>0</v>
      </c>
      <c r="EV20" s="530"/>
      <c r="EW20" s="530"/>
      <c r="EX20" s="530"/>
      <c r="EY20" s="530"/>
      <c r="EZ20" s="531">
        <v>1</v>
      </c>
      <c r="FA20" s="531">
        <v>0</v>
      </c>
      <c r="FB20" s="527"/>
      <c r="FC20" s="527"/>
      <c r="FD20" s="532">
        <v>2</v>
      </c>
      <c r="FE20" s="95"/>
      <c r="FG20" s="533"/>
      <c r="FH20" s="533"/>
      <c r="FI20" s="533"/>
      <c r="FJ20" s="545" t="s">
        <v>15</v>
      </c>
      <c r="FK20" s="546"/>
      <c r="FL20" s="547">
        <v>1</v>
      </c>
      <c r="FM20" s="546"/>
      <c r="FN20" s="546"/>
      <c r="FO20" s="546"/>
      <c r="FP20" s="547">
        <v>5</v>
      </c>
      <c r="FQ20" s="547">
        <v>3</v>
      </c>
      <c r="FR20" s="547">
        <v>4</v>
      </c>
      <c r="FS20" s="547">
        <v>3</v>
      </c>
      <c r="FT20" s="548"/>
      <c r="FU20" s="548"/>
      <c r="FV20" s="549">
        <v>16</v>
      </c>
      <c r="FW20" s="539">
        <f>+(FV19+FV18)/FV20</f>
        <v>0.125</v>
      </c>
      <c r="FY20" s="540"/>
      <c r="FZ20" s="540"/>
      <c r="GA20" s="540"/>
      <c r="GB20" s="541" t="s">
        <v>1076</v>
      </c>
      <c r="GC20" s="542"/>
      <c r="GD20" s="542"/>
      <c r="GE20" s="542"/>
      <c r="GF20" s="542"/>
      <c r="GG20" s="543">
        <v>1</v>
      </c>
      <c r="GH20" s="543">
        <v>1</v>
      </c>
      <c r="GI20" s="543">
        <v>0</v>
      </c>
      <c r="GJ20" s="543">
        <v>0</v>
      </c>
      <c r="GK20" s="542"/>
      <c r="GL20" s="542"/>
      <c r="GM20" s="543">
        <v>2</v>
      </c>
      <c r="GN20" s="445"/>
      <c r="GP20" s="63"/>
      <c r="GQ20" s="63"/>
      <c r="GR20" s="37"/>
      <c r="GS20" s="37" t="s">
        <v>1081</v>
      </c>
      <c r="GT20" s="63"/>
      <c r="GU20" s="63"/>
      <c r="GV20" s="63"/>
      <c r="GW20" s="63">
        <v>0</v>
      </c>
      <c r="GX20" s="63">
        <v>0</v>
      </c>
      <c r="GY20" s="63">
        <v>1</v>
      </c>
      <c r="GZ20" s="63"/>
      <c r="HA20" s="63"/>
      <c r="HB20" s="63"/>
      <c r="HC20" s="63"/>
      <c r="HD20" s="63">
        <v>1</v>
      </c>
      <c r="HE20" s="37"/>
      <c r="HF20" s="37"/>
      <c r="HG20" s="446"/>
      <c r="HH20" s="446"/>
      <c r="HI20" s="446"/>
      <c r="HJ20" s="446" t="s">
        <v>1077</v>
      </c>
      <c r="HK20" s="446">
        <v>0</v>
      </c>
      <c r="HL20" s="446">
        <v>0</v>
      </c>
      <c r="HM20" s="446">
        <v>0</v>
      </c>
      <c r="HN20" s="446">
        <v>0</v>
      </c>
      <c r="HO20" s="446">
        <v>1</v>
      </c>
      <c r="HP20" s="446">
        <v>0</v>
      </c>
      <c r="HQ20" s="446">
        <v>0</v>
      </c>
      <c r="HR20" s="446">
        <v>0</v>
      </c>
      <c r="HS20" s="446">
        <v>0</v>
      </c>
      <c r="HT20" s="446">
        <v>0</v>
      </c>
      <c r="HU20" s="446">
        <v>0</v>
      </c>
      <c r="HV20" s="447">
        <v>1</v>
      </c>
      <c r="HW20" s="544"/>
      <c r="HX20" s="448"/>
    </row>
    <row r="21" spans="1:232">
      <c r="A21" s="5682">
        <v>1</v>
      </c>
      <c r="B21" s="5682">
        <v>1</v>
      </c>
      <c r="C21" s="5683" t="s">
        <v>607</v>
      </c>
      <c r="D21" s="5683" t="s">
        <v>2731</v>
      </c>
      <c r="E21" s="5682">
        <v>1</v>
      </c>
      <c r="F21" s="5682">
        <v>10</v>
      </c>
      <c r="I21" s="4915">
        <v>1</v>
      </c>
      <c r="J21" s="4915">
        <v>1</v>
      </c>
      <c r="K21" s="4916" t="s">
        <v>607</v>
      </c>
      <c r="L21" s="4916" t="s">
        <v>2703</v>
      </c>
      <c r="M21" s="4915">
        <v>2</v>
      </c>
      <c r="N21" s="4915">
        <v>1</v>
      </c>
      <c r="O21" s="157"/>
      <c r="Q21" s="4705">
        <v>1</v>
      </c>
      <c r="R21" s="4705">
        <v>1</v>
      </c>
      <c r="S21" s="4706" t="s">
        <v>2733</v>
      </c>
      <c r="T21" s="4706" t="s">
        <v>2709</v>
      </c>
      <c r="U21" s="4707">
        <v>9</v>
      </c>
      <c r="V21" s="4707">
        <v>7</v>
      </c>
      <c r="W21" s="4722"/>
      <c r="Y21" s="36"/>
      <c r="Z21" s="36"/>
      <c r="AA21" s="36" t="s">
        <v>606</v>
      </c>
      <c r="AB21" s="36" t="s">
        <v>1071</v>
      </c>
      <c r="AC21" s="1681"/>
      <c r="AD21" s="1681">
        <v>0</v>
      </c>
      <c r="AE21" s="1681"/>
      <c r="AF21" s="1681"/>
      <c r="AG21" s="1681"/>
      <c r="AH21" s="1681"/>
      <c r="AI21" s="1681">
        <v>0</v>
      </c>
      <c r="AJ21" s="1681">
        <v>2</v>
      </c>
      <c r="AK21" s="1681"/>
      <c r="AL21" s="95"/>
      <c r="AM21" s="95">
        <v>2</v>
      </c>
      <c r="AN21" s="4545"/>
      <c r="AS21" s="3868" t="s">
        <v>1080</v>
      </c>
      <c r="AT21" s="3721"/>
      <c r="AU21" s="3721">
        <v>0</v>
      </c>
      <c r="AV21" s="3721">
        <v>0</v>
      </c>
      <c r="AW21" s="3721"/>
      <c r="AX21" s="3721"/>
      <c r="AY21" s="3721">
        <v>0</v>
      </c>
      <c r="AZ21" s="3721"/>
      <c r="BA21" s="3721">
        <v>2</v>
      </c>
      <c r="BB21" s="3721">
        <v>1</v>
      </c>
      <c r="BC21" s="2110"/>
      <c r="BD21" s="2110">
        <v>1</v>
      </c>
      <c r="BE21" s="2110">
        <v>4</v>
      </c>
      <c r="BF21" s="2110"/>
      <c r="BG21" s="2110"/>
      <c r="BK21" s="32" t="s">
        <v>1163</v>
      </c>
      <c r="BL21" s="3871">
        <v>0</v>
      </c>
      <c r="BM21" s="3871">
        <v>0</v>
      </c>
      <c r="BN21" s="3871"/>
      <c r="BO21" s="3871"/>
      <c r="BP21" s="3871">
        <v>0</v>
      </c>
      <c r="BQ21" s="3871"/>
      <c r="BR21" s="3871">
        <v>1</v>
      </c>
      <c r="BS21" s="3871">
        <v>0</v>
      </c>
      <c r="BT21" s="1518">
        <v>0</v>
      </c>
      <c r="BU21" s="1518">
        <v>1</v>
      </c>
      <c r="BX21" s="36"/>
      <c r="BY21" s="36"/>
      <c r="BZ21" s="36"/>
      <c r="CA21" s="36" t="s">
        <v>1081</v>
      </c>
      <c r="CB21" s="1681">
        <v>0</v>
      </c>
      <c r="CC21" s="1681"/>
      <c r="CD21" s="1681"/>
      <c r="CE21" s="1681"/>
      <c r="CF21" s="1681"/>
      <c r="CG21" s="1681">
        <v>0</v>
      </c>
      <c r="CH21" s="1681">
        <v>1</v>
      </c>
      <c r="CI21" s="1681">
        <v>1</v>
      </c>
      <c r="CJ21" s="95">
        <v>0</v>
      </c>
      <c r="CK21" s="95"/>
      <c r="CL21" s="95">
        <v>2</v>
      </c>
      <c r="CM21" s="36"/>
      <c r="CO21" s="37"/>
      <c r="CP21" s="37"/>
      <c r="CQ21" s="37"/>
      <c r="CR21" s="37" t="s">
        <v>1081</v>
      </c>
      <c r="CS21" s="1678"/>
      <c r="CT21" s="1678">
        <v>0</v>
      </c>
      <c r="CU21" s="1678"/>
      <c r="CV21" s="1678">
        <v>0</v>
      </c>
      <c r="CW21" s="1678">
        <v>0</v>
      </c>
      <c r="CX21" s="1678"/>
      <c r="CY21" s="1678">
        <v>2</v>
      </c>
      <c r="CZ21" s="1678">
        <v>5</v>
      </c>
      <c r="DA21" s="1678">
        <v>0</v>
      </c>
      <c r="DB21" s="63"/>
      <c r="DC21" s="63">
        <v>0</v>
      </c>
      <c r="DD21" s="63">
        <v>7</v>
      </c>
      <c r="DG21" s="95"/>
      <c r="DH21" s="95"/>
      <c r="DI21" s="36"/>
      <c r="DJ21" s="36" t="s">
        <v>1072</v>
      </c>
      <c r="DK21" s="1484"/>
      <c r="DL21" s="1484">
        <v>0</v>
      </c>
      <c r="DM21" s="1484">
        <v>1</v>
      </c>
      <c r="DN21" s="1484"/>
      <c r="DO21" s="1484"/>
      <c r="DP21" s="1484"/>
      <c r="DQ21" s="1484">
        <v>1</v>
      </c>
      <c r="DR21" s="1484">
        <v>1</v>
      </c>
      <c r="DS21" s="1484">
        <v>0</v>
      </c>
      <c r="DT21" s="95">
        <v>0</v>
      </c>
      <c r="DU21" s="95">
        <v>0</v>
      </c>
      <c r="DV21" s="95">
        <v>3</v>
      </c>
      <c r="DW21" s="95"/>
      <c r="DY21" s="1209"/>
      <c r="DZ21" s="1209"/>
      <c r="EA21" s="1210"/>
      <c r="EB21" s="1211" t="s">
        <v>1163</v>
      </c>
      <c r="EC21" s="1213">
        <v>0</v>
      </c>
      <c r="ED21" s="1212"/>
      <c r="EE21" s="1212"/>
      <c r="EF21" s="1213">
        <v>0</v>
      </c>
      <c r="EG21" s="1213">
        <v>1</v>
      </c>
      <c r="EH21" s="1213">
        <v>0</v>
      </c>
      <c r="EI21" s="1212"/>
      <c r="EJ21" s="1213">
        <v>0</v>
      </c>
      <c r="EK21" s="611"/>
      <c r="EL21" s="611"/>
      <c r="EM21" s="612">
        <v>1</v>
      </c>
      <c r="EN21" s="36"/>
      <c r="EP21" s="527"/>
      <c r="EQ21" s="527"/>
      <c r="ER21" s="528"/>
      <c r="ES21" s="529" t="s">
        <v>1074</v>
      </c>
      <c r="ET21" s="531">
        <v>1</v>
      </c>
      <c r="EU21" s="531">
        <v>1</v>
      </c>
      <c r="EV21" s="530"/>
      <c r="EW21" s="530"/>
      <c r="EX21" s="530"/>
      <c r="EY21" s="530"/>
      <c r="EZ21" s="531">
        <v>0</v>
      </c>
      <c r="FA21" s="531">
        <v>0</v>
      </c>
      <c r="FB21" s="527"/>
      <c r="FC21" s="527"/>
      <c r="FD21" s="532">
        <v>2</v>
      </c>
      <c r="FE21" s="95"/>
      <c r="FG21" s="533"/>
      <c r="FH21" s="533"/>
      <c r="FI21" s="545" t="s">
        <v>482</v>
      </c>
      <c r="FJ21" s="534" t="s">
        <v>1071</v>
      </c>
      <c r="FK21" s="535"/>
      <c r="FL21" s="536">
        <v>0</v>
      </c>
      <c r="FM21" s="536">
        <v>0</v>
      </c>
      <c r="FN21" s="535"/>
      <c r="FO21" s="535"/>
      <c r="FP21" s="536">
        <v>0</v>
      </c>
      <c r="FQ21" s="536">
        <v>0</v>
      </c>
      <c r="FR21" s="536">
        <v>0</v>
      </c>
      <c r="FS21" s="536">
        <v>1</v>
      </c>
      <c r="FT21" s="537"/>
      <c r="FU21" s="537"/>
      <c r="FV21" s="538">
        <v>1</v>
      </c>
      <c r="FW21" s="539"/>
      <c r="FY21" s="540"/>
      <c r="FZ21" s="540"/>
      <c r="GA21" s="540"/>
      <c r="GB21" s="541" t="s">
        <v>1080</v>
      </c>
      <c r="GC21" s="542"/>
      <c r="GD21" s="542"/>
      <c r="GE21" s="542"/>
      <c r="GF21" s="542"/>
      <c r="GG21" s="543">
        <v>0</v>
      </c>
      <c r="GH21" s="543">
        <v>0</v>
      </c>
      <c r="GI21" s="543">
        <v>1</v>
      </c>
      <c r="GJ21" s="543">
        <v>1</v>
      </c>
      <c r="GK21" s="542"/>
      <c r="GL21" s="542"/>
      <c r="GM21" s="543">
        <v>2</v>
      </c>
      <c r="GN21" s="445"/>
      <c r="GP21" s="63"/>
      <c r="GQ21" s="63"/>
      <c r="GR21" s="37"/>
      <c r="GS21" s="37" t="s">
        <v>1163</v>
      </c>
      <c r="GT21" s="63"/>
      <c r="GU21" s="63"/>
      <c r="GV21" s="63"/>
      <c r="GW21" s="63">
        <v>0</v>
      </c>
      <c r="GX21" s="63">
        <v>1</v>
      </c>
      <c r="GY21" s="63">
        <v>1</v>
      </c>
      <c r="GZ21" s="63"/>
      <c r="HA21" s="63"/>
      <c r="HB21" s="63"/>
      <c r="HC21" s="63"/>
      <c r="HD21" s="63">
        <v>2</v>
      </c>
      <c r="HE21" s="37"/>
      <c r="HF21" s="37"/>
      <c r="HG21" s="446"/>
      <c r="HH21" s="446"/>
      <c r="HI21" s="446"/>
      <c r="HJ21" s="449" t="s">
        <v>15</v>
      </c>
      <c r="HK21" s="449">
        <v>0</v>
      </c>
      <c r="HL21" s="449">
        <v>0</v>
      </c>
      <c r="HM21" s="449">
        <v>0</v>
      </c>
      <c r="HN21" s="449">
        <v>0</v>
      </c>
      <c r="HO21" s="449">
        <v>1</v>
      </c>
      <c r="HP21" s="449">
        <v>0</v>
      </c>
      <c r="HQ21" s="449">
        <v>1</v>
      </c>
      <c r="HR21" s="449">
        <v>2</v>
      </c>
      <c r="HS21" s="449">
        <v>0</v>
      </c>
      <c r="HT21" s="449">
        <v>0</v>
      </c>
      <c r="HU21" s="449">
        <v>0</v>
      </c>
      <c r="HV21" s="507">
        <v>4</v>
      </c>
      <c r="HW21" s="554">
        <f>0/HV21</f>
        <v>0</v>
      </c>
      <c r="HX21" s="448">
        <v>0</v>
      </c>
    </row>
    <row r="22" spans="1:232">
      <c r="A22" s="5682">
        <v>1</v>
      </c>
      <c r="B22" s="5682">
        <v>1</v>
      </c>
      <c r="C22" s="5683" t="s">
        <v>607</v>
      </c>
      <c r="D22" s="5683" t="s">
        <v>2703</v>
      </c>
      <c r="E22" s="5682">
        <v>2</v>
      </c>
      <c r="F22" s="5682">
        <v>1</v>
      </c>
      <c r="I22" s="4915">
        <v>1</v>
      </c>
      <c r="J22" s="4915">
        <v>1</v>
      </c>
      <c r="K22" s="4916" t="s">
        <v>607</v>
      </c>
      <c r="L22" s="4917" t="s">
        <v>2707</v>
      </c>
      <c r="M22" s="4922">
        <v>1</v>
      </c>
      <c r="N22" s="4915">
        <v>8</v>
      </c>
      <c r="O22" s="157"/>
      <c r="Q22" s="4705"/>
      <c r="R22" s="4705"/>
      <c r="S22" s="4742"/>
      <c r="T22" s="4742"/>
      <c r="U22" s="4741">
        <f>SUM(U17:U21)</f>
        <v>15</v>
      </c>
      <c r="V22" s="4741"/>
      <c r="W22" s="4722">
        <f>(U20)/(U22)</f>
        <v>0.13333333333333333</v>
      </c>
      <c r="Y22" s="36"/>
      <c r="Z22" s="36"/>
      <c r="AA22" s="36"/>
      <c r="AB22" s="36" t="s">
        <v>1072</v>
      </c>
      <c r="AC22" s="1681"/>
      <c r="AD22" s="1681">
        <v>0</v>
      </c>
      <c r="AE22" s="1681"/>
      <c r="AF22" s="1681"/>
      <c r="AG22" s="1681"/>
      <c r="AH22" s="1681"/>
      <c r="AI22" s="1681">
        <v>1</v>
      </c>
      <c r="AJ22" s="1681">
        <v>0</v>
      </c>
      <c r="AK22" s="1681"/>
      <c r="AL22" s="95"/>
      <c r="AM22" s="95">
        <v>1</v>
      </c>
      <c r="AN22" s="4545"/>
      <c r="AS22" s="3868" t="s">
        <v>1081</v>
      </c>
      <c r="AT22" s="3721"/>
      <c r="AU22" s="3721">
        <v>0</v>
      </c>
      <c r="AV22" s="3721">
        <v>0</v>
      </c>
      <c r="AW22" s="3721"/>
      <c r="AX22" s="3721"/>
      <c r="AY22" s="3721">
        <v>0</v>
      </c>
      <c r="AZ22" s="3721"/>
      <c r="BA22" s="3721">
        <v>2</v>
      </c>
      <c r="BB22" s="3721">
        <v>0</v>
      </c>
      <c r="BC22" s="2110"/>
      <c r="BD22" s="2110">
        <v>0</v>
      </c>
      <c r="BE22" s="2110">
        <v>2</v>
      </c>
      <c r="BF22" s="2110"/>
      <c r="BG22" s="2110"/>
      <c r="BK22" s="1520" t="s">
        <v>15</v>
      </c>
      <c r="BL22" s="3872">
        <v>1</v>
      </c>
      <c r="BM22" s="3872">
        <v>1</v>
      </c>
      <c r="BN22" s="3872"/>
      <c r="BO22" s="3872"/>
      <c r="BP22" s="3872">
        <v>1</v>
      </c>
      <c r="BQ22" s="3872"/>
      <c r="BR22" s="3872">
        <v>8</v>
      </c>
      <c r="BS22" s="3872">
        <v>1</v>
      </c>
      <c r="BT22" s="3806">
        <v>1</v>
      </c>
      <c r="BU22" s="3806">
        <v>13</v>
      </c>
      <c r="BV22" s="3807">
        <f>+(BU18+BU20+BU21)/BU22</f>
        <v>0.38461538461538464</v>
      </c>
      <c r="BX22" s="36"/>
      <c r="BY22" s="36"/>
      <c r="BZ22" s="36"/>
      <c r="CA22" s="36" t="s">
        <v>1163</v>
      </c>
      <c r="CB22" s="1681">
        <v>0</v>
      </c>
      <c r="CC22" s="1681"/>
      <c r="CD22" s="1681"/>
      <c r="CE22" s="1681"/>
      <c r="CF22" s="1681"/>
      <c r="CG22" s="1681">
        <v>0</v>
      </c>
      <c r="CH22" s="1681">
        <v>3</v>
      </c>
      <c r="CI22" s="1681">
        <v>0</v>
      </c>
      <c r="CJ22" s="95">
        <v>0</v>
      </c>
      <c r="CK22" s="95"/>
      <c r="CL22" s="95">
        <v>3</v>
      </c>
      <c r="CM22" s="36"/>
      <c r="CO22" s="37"/>
      <c r="CP22" s="37"/>
      <c r="CQ22" s="37"/>
      <c r="CR22" s="37" t="s">
        <v>1163</v>
      </c>
      <c r="CS22" s="1678"/>
      <c r="CT22" s="1678">
        <v>0</v>
      </c>
      <c r="CU22" s="1678"/>
      <c r="CV22" s="1678">
        <v>0</v>
      </c>
      <c r="CW22" s="1678">
        <v>0</v>
      </c>
      <c r="CX22" s="1678"/>
      <c r="CY22" s="1678">
        <v>0</v>
      </c>
      <c r="CZ22" s="1678">
        <v>1</v>
      </c>
      <c r="DA22" s="1678">
        <v>0</v>
      </c>
      <c r="DB22" s="63"/>
      <c r="DC22" s="63">
        <v>0</v>
      </c>
      <c r="DD22" s="63">
        <v>1</v>
      </c>
      <c r="DG22" s="95"/>
      <c r="DH22" s="95"/>
      <c r="DI22" s="36"/>
      <c r="DJ22" s="36" t="s">
        <v>1074</v>
      </c>
      <c r="DK22" s="1484"/>
      <c r="DL22" s="1484">
        <v>1</v>
      </c>
      <c r="DM22" s="1484">
        <v>0</v>
      </c>
      <c r="DN22" s="1484"/>
      <c r="DO22" s="1484"/>
      <c r="DP22" s="1484"/>
      <c r="DQ22" s="1484">
        <v>0</v>
      </c>
      <c r="DR22" s="1484">
        <v>0</v>
      </c>
      <c r="DS22" s="1484">
        <v>0</v>
      </c>
      <c r="DT22" s="95">
        <v>0</v>
      </c>
      <c r="DU22" s="95">
        <v>0</v>
      </c>
      <c r="DV22" s="95">
        <v>1</v>
      </c>
      <c r="DW22" s="95"/>
      <c r="DY22" s="1209"/>
      <c r="DZ22" s="1209"/>
      <c r="EA22" s="1210"/>
      <c r="EB22" s="415" t="s">
        <v>15</v>
      </c>
      <c r="EC22" s="1215">
        <v>1</v>
      </c>
      <c r="ED22" s="1214"/>
      <c r="EE22" s="1214"/>
      <c r="EF22" s="1215">
        <v>2</v>
      </c>
      <c r="EG22" s="1215">
        <v>5</v>
      </c>
      <c r="EH22" s="1215">
        <v>5</v>
      </c>
      <c r="EI22" s="1214"/>
      <c r="EJ22" s="1215">
        <v>1</v>
      </c>
      <c r="EK22" s="620"/>
      <c r="EL22" s="620"/>
      <c r="EM22" s="621">
        <v>14</v>
      </c>
      <c r="EN22" s="1178">
        <f>+(EM17+EM20+EM21)/EM22</f>
        <v>0.35714285714285715</v>
      </c>
      <c r="EP22" s="527"/>
      <c r="EQ22" s="527"/>
      <c r="ER22" s="528"/>
      <c r="ES22" s="529" t="s">
        <v>1076</v>
      </c>
      <c r="ET22" s="531">
        <v>0</v>
      </c>
      <c r="EU22" s="531">
        <v>0</v>
      </c>
      <c r="EV22" s="530"/>
      <c r="EW22" s="530"/>
      <c r="EX22" s="530"/>
      <c r="EY22" s="530"/>
      <c r="EZ22" s="531">
        <v>2</v>
      </c>
      <c r="FA22" s="531">
        <v>1</v>
      </c>
      <c r="FB22" s="527"/>
      <c r="FC22" s="527"/>
      <c r="FD22" s="532">
        <v>3</v>
      </c>
      <c r="FE22" s="95"/>
      <c r="FG22" s="533"/>
      <c r="FH22" s="533"/>
      <c r="FI22" s="533"/>
      <c r="FJ22" s="534" t="s">
        <v>1072</v>
      </c>
      <c r="FK22" s="535"/>
      <c r="FL22" s="536">
        <v>2</v>
      </c>
      <c r="FM22" s="536">
        <v>2</v>
      </c>
      <c r="FN22" s="535"/>
      <c r="FO22" s="535"/>
      <c r="FP22" s="536">
        <v>3</v>
      </c>
      <c r="FQ22" s="536">
        <v>6</v>
      </c>
      <c r="FR22" s="536">
        <v>8</v>
      </c>
      <c r="FS22" s="536">
        <v>0</v>
      </c>
      <c r="FT22" s="537"/>
      <c r="FU22" s="537"/>
      <c r="FV22" s="538">
        <v>21</v>
      </c>
      <c r="FW22" s="539"/>
      <c r="FY22" s="540"/>
      <c r="FZ22" s="540"/>
      <c r="GA22" s="540"/>
      <c r="GB22" s="541" t="s">
        <v>1081</v>
      </c>
      <c r="GC22" s="542"/>
      <c r="GD22" s="542"/>
      <c r="GE22" s="542"/>
      <c r="GF22" s="542"/>
      <c r="GG22" s="543">
        <v>1</v>
      </c>
      <c r="GH22" s="543">
        <v>4</v>
      </c>
      <c r="GI22" s="543">
        <v>0</v>
      </c>
      <c r="GJ22" s="543">
        <v>0</v>
      </c>
      <c r="GK22" s="542"/>
      <c r="GL22" s="542"/>
      <c r="GM22" s="543">
        <v>5</v>
      </c>
      <c r="GN22" s="445"/>
      <c r="GP22" s="63"/>
      <c r="GQ22" s="63"/>
      <c r="GR22" s="37"/>
      <c r="GS22" s="416" t="s">
        <v>15</v>
      </c>
      <c r="GT22" s="386"/>
      <c r="GU22" s="386"/>
      <c r="GV22" s="386"/>
      <c r="GW22" s="386">
        <v>1</v>
      </c>
      <c r="GX22" s="386">
        <v>1</v>
      </c>
      <c r="GY22" s="386">
        <v>4</v>
      </c>
      <c r="GZ22" s="386"/>
      <c r="HA22" s="386"/>
      <c r="HB22" s="386"/>
      <c r="HC22" s="386"/>
      <c r="HD22" s="386">
        <v>6</v>
      </c>
      <c r="HE22" s="466">
        <f>+(HD19+HD20+HD21)/HD22</f>
        <v>0.66666666666666663</v>
      </c>
      <c r="HF22" s="37"/>
      <c r="HG22" s="446"/>
      <c r="HH22" s="446" t="s">
        <v>16</v>
      </c>
      <c r="HI22" s="446" t="s">
        <v>116</v>
      </c>
      <c r="HJ22" s="446" t="s">
        <v>1072</v>
      </c>
      <c r="HK22" s="446">
        <v>0</v>
      </c>
      <c r="HL22" s="446">
        <v>0</v>
      </c>
      <c r="HM22" s="446">
        <v>0</v>
      </c>
      <c r="HN22" s="446">
        <v>0</v>
      </c>
      <c r="HO22" s="446">
        <v>0</v>
      </c>
      <c r="HP22" s="446">
        <v>0</v>
      </c>
      <c r="HQ22" s="446">
        <v>1</v>
      </c>
      <c r="HR22" s="446">
        <v>3</v>
      </c>
      <c r="HS22" s="446">
        <v>0</v>
      </c>
      <c r="HT22" s="446">
        <v>0</v>
      </c>
      <c r="HU22" s="446">
        <v>0</v>
      </c>
      <c r="HV22" s="447">
        <v>4</v>
      </c>
      <c r="HW22" s="544"/>
      <c r="HX22" s="448"/>
    </row>
    <row r="23" spans="1:232">
      <c r="A23" s="5682">
        <v>1</v>
      </c>
      <c r="B23" s="5682">
        <v>1</v>
      </c>
      <c r="C23" s="5683" t="s">
        <v>607</v>
      </c>
      <c r="D23" s="5685" t="s">
        <v>2707</v>
      </c>
      <c r="E23" s="5682">
        <v>1</v>
      </c>
      <c r="F23" s="5682">
        <v>8</v>
      </c>
      <c r="I23" s="4915">
        <v>1</v>
      </c>
      <c r="J23" s="4915">
        <v>1</v>
      </c>
      <c r="K23" s="4916" t="s">
        <v>607</v>
      </c>
      <c r="L23" s="4916" t="s">
        <v>2709</v>
      </c>
      <c r="M23" s="4915">
        <v>1</v>
      </c>
      <c r="N23" s="4915">
        <v>6</v>
      </c>
      <c r="O23" s="157"/>
      <c r="Q23" s="4705">
        <v>1</v>
      </c>
      <c r="R23" s="4705">
        <v>1</v>
      </c>
      <c r="S23" s="4706" t="s">
        <v>2734</v>
      </c>
      <c r="T23" s="4706" t="s">
        <v>2731</v>
      </c>
      <c r="U23" s="4707">
        <v>1</v>
      </c>
      <c r="V23" s="4707">
        <v>7</v>
      </c>
      <c r="W23" s="4722"/>
      <c r="Y23" s="36"/>
      <c r="Z23" s="36"/>
      <c r="AA23" s="36"/>
      <c r="AB23" s="36" t="s">
        <v>1074</v>
      </c>
      <c r="AC23" s="1681"/>
      <c r="AD23" s="1681">
        <v>1</v>
      </c>
      <c r="AE23" s="1681"/>
      <c r="AF23" s="1681"/>
      <c r="AG23" s="1681"/>
      <c r="AH23" s="1681"/>
      <c r="AI23" s="1681">
        <v>0</v>
      </c>
      <c r="AJ23" s="1681">
        <v>0</v>
      </c>
      <c r="AK23" s="1681"/>
      <c r="AL23" s="95"/>
      <c r="AM23" s="95">
        <v>1</v>
      </c>
      <c r="AN23" s="4545"/>
      <c r="AS23" s="3868" t="s">
        <v>1163</v>
      </c>
      <c r="AT23" s="3721"/>
      <c r="AU23" s="3721">
        <v>0</v>
      </c>
      <c r="AV23" s="3721">
        <v>0</v>
      </c>
      <c r="AW23" s="3721"/>
      <c r="AX23" s="3721"/>
      <c r="AY23" s="3721">
        <v>0</v>
      </c>
      <c r="AZ23" s="3721"/>
      <c r="BA23" s="3721">
        <v>2</v>
      </c>
      <c r="BB23" s="3721">
        <v>0</v>
      </c>
      <c r="BC23" s="2110"/>
      <c r="BD23" s="2110">
        <v>0</v>
      </c>
      <c r="BE23" s="2110">
        <v>2</v>
      </c>
      <c r="BF23" s="2110"/>
      <c r="BG23" s="2110"/>
      <c r="BJ23" s="32" t="s">
        <v>606</v>
      </c>
      <c r="BK23" s="32" t="s">
        <v>1071</v>
      </c>
      <c r="BL23" s="3871"/>
      <c r="BM23" s="3871"/>
      <c r="BN23" s="3871"/>
      <c r="BO23" s="3871"/>
      <c r="BP23" s="3871"/>
      <c r="BQ23" s="3871"/>
      <c r="BR23" s="3871">
        <v>2</v>
      </c>
      <c r="BS23" s="3871"/>
      <c r="BT23" s="1518"/>
      <c r="BU23" s="1518">
        <v>2</v>
      </c>
      <c r="BX23" s="36"/>
      <c r="BY23" s="36"/>
      <c r="BZ23" s="36"/>
      <c r="CA23" s="393" t="s">
        <v>15</v>
      </c>
      <c r="CB23" s="1682">
        <v>1</v>
      </c>
      <c r="CC23" s="1682"/>
      <c r="CD23" s="1682"/>
      <c r="CE23" s="1682"/>
      <c r="CF23" s="1682"/>
      <c r="CG23" s="1682">
        <v>1</v>
      </c>
      <c r="CH23" s="1682">
        <v>7</v>
      </c>
      <c r="CI23" s="1682">
        <v>5</v>
      </c>
      <c r="CJ23" s="2041">
        <v>1</v>
      </c>
      <c r="CK23" s="2041"/>
      <c r="CL23" s="2041">
        <v>15</v>
      </c>
      <c r="CM23" s="560">
        <f>+(CL22+CL21+CL19)/CL23</f>
        <v>0.4</v>
      </c>
      <c r="CN23" s="1665"/>
      <c r="CO23" s="37"/>
      <c r="CP23" s="37"/>
      <c r="CQ23" s="37"/>
      <c r="CR23" s="416" t="s">
        <v>15</v>
      </c>
      <c r="CS23" s="1679"/>
      <c r="CT23" s="1679">
        <v>1</v>
      </c>
      <c r="CU23" s="1679"/>
      <c r="CV23" s="1679">
        <v>1</v>
      </c>
      <c r="CW23" s="1679">
        <v>1</v>
      </c>
      <c r="CX23" s="1679"/>
      <c r="CY23" s="1679">
        <v>2</v>
      </c>
      <c r="CZ23" s="1679">
        <v>7</v>
      </c>
      <c r="DA23" s="1679">
        <v>2</v>
      </c>
      <c r="DB23" s="386"/>
      <c r="DC23" s="386">
        <v>2</v>
      </c>
      <c r="DD23" s="386">
        <v>16</v>
      </c>
      <c r="DE23" s="2045">
        <f>+(DD19+DD21+DD22)/DD23</f>
        <v>0.5625</v>
      </c>
      <c r="DG23" s="95"/>
      <c r="DH23" s="95"/>
      <c r="DI23" s="36"/>
      <c r="DJ23" s="36" t="s">
        <v>1076</v>
      </c>
      <c r="DK23" s="1484"/>
      <c r="DL23" s="1484">
        <v>0</v>
      </c>
      <c r="DM23" s="1484">
        <v>0</v>
      </c>
      <c r="DN23" s="1484"/>
      <c r="DO23" s="1484"/>
      <c r="DP23" s="1484"/>
      <c r="DQ23" s="1484">
        <v>0</v>
      </c>
      <c r="DR23" s="1484">
        <v>0</v>
      </c>
      <c r="DS23" s="1484">
        <v>1</v>
      </c>
      <c r="DT23" s="95">
        <v>1</v>
      </c>
      <c r="DU23" s="95">
        <v>0</v>
      </c>
      <c r="DV23" s="95">
        <v>2</v>
      </c>
      <c r="DW23" s="95"/>
      <c r="DY23" s="1209"/>
      <c r="DZ23" s="1209"/>
      <c r="EA23" s="1210" t="s">
        <v>607</v>
      </c>
      <c r="EB23" s="1211" t="s">
        <v>1072</v>
      </c>
      <c r="EC23" s="1212"/>
      <c r="ED23" s="1212"/>
      <c r="EE23" s="1213">
        <v>1</v>
      </c>
      <c r="EF23" s="1212"/>
      <c r="EG23" s="1212"/>
      <c r="EH23" s="1213">
        <v>2</v>
      </c>
      <c r="EI23" s="1213">
        <v>2</v>
      </c>
      <c r="EJ23" s="1213">
        <v>0</v>
      </c>
      <c r="EK23" s="611"/>
      <c r="EL23" s="612">
        <v>0</v>
      </c>
      <c r="EM23" s="612">
        <v>5</v>
      </c>
      <c r="EN23" s="36"/>
      <c r="EP23" s="527"/>
      <c r="EQ23" s="527"/>
      <c r="ER23" s="528"/>
      <c r="ES23" s="529" t="s">
        <v>1080</v>
      </c>
      <c r="ET23" s="531">
        <v>0</v>
      </c>
      <c r="EU23" s="531">
        <v>0</v>
      </c>
      <c r="EV23" s="530"/>
      <c r="EW23" s="530"/>
      <c r="EX23" s="530"/>
      <c r="EY23" s="530"/>
      <c r="EZ23" s="531">
        <v>0</v>
      </c>
      <c r="FA23" s="531">
        <v>3</v>
      </c>
      <c r="FB23" s="527"/>
      <c r="FC23" s="527"/>
      <c r="FD23" s="532">
        <v>3</v>
      </c>
      <c r="FE23" s="95"/>
      <c r="FG23" s="533"/>
      <c r="FH23" s="533"/>
      <c r="FI23" s="533"/>
      <c r="FJ23" s="534" t="s">
        <v>1076</v>
      </c>
      <c r="FK23" s="535"/>
      <c r="FL23" s="536">
        <v>0</v>
      </c>
      <c r="FM23" s="536">
        <v>0</v>
      </c>
      <c r="FN23" s="535"/>
      <c r="FO23" s="535"/>
      <c r="FP23" s="536">
        <v>0</v>
      </c>
      <c r="FQ23" s="536">
        <v>0</v>
      </c>
      <c r="FR23" s="536">
        <v>1</v>
      </c>
      <c r="FS23" s="536">
        <v>0</v>
      </c>
      <c r="FT23" s="537"/>
      <c r="FU23" s="537"/>
      <c r="FV23" s="538">
        <v>1</v>
      </c>
      <c r="FW23" s="539"/>
      <c r="FY23" s="540"/>
      <c r="FZ23" s="540"/>
      <c r="GA23" s="540"/>
      <c r="GB23" s="541" t="s">
        <v>1163</v>
      </c>
      <c r="GC23" s="542"/>
      <c r="GD23" s="542"/>
      <c r="GE23" s="542"/>
      <c r="GF23" s="542"/>
      <c r="GG23" s="543">
        <v>0</v>
      </c>
      <c r="GH23" s="543">
        <v>2</v>
      </c>
      <c r="GI23" s="543">
        <v>0</v>
      </c>
      <c r="GJ23" s="543">
        <v>0</v>
      </c>
      <c r="GK23" s="542"/>
      <c r="GL23" s="542"/>
      <c r="GM23" s="543">
        <v>2</v>
      </c>
      <c r="GN23" s="445"/>
      <c r="GP23" s="63"/>
      <c r="GQ23" s="63" t="s">
        <v>16</v>
      </c>
      <c r="GR23" s="37" t="s">
        <v>116</v>
      </c>
      <c r="GS23" s="37" t="s">
        <v>1071</v>
      </c>
      <c r="GT23" s="63"/>
      <c r="GU23" s="63"/>
      <c r="GV23" s="63"/>
      <c r="GW23" s="63"/>
      <c r="GX23" s="63"/>
      <c r="GY23" s="63"/>
      <c r="GZ23" s="63">
        <v>1</v>
      </c>
      <c r="HA23" s="63">
        <v>2</v>
      </c>
      <c r="HB23" s="63"/>
      <c r="HC23" s="63"/>
      <c r="HD23" s="63">
        <v>3</v>
      </c>
      <c r="HE23" s="37"/>
      <c r="HF23" s="37"/>
      <c r="HG23" s="446"/>
      <c r="HH23" s="446"/>
      <c r="HI23" s="446"/>
      <c r="HJ23" s="446" t="s">
        <v>1076</v>
      </c>
      <c r="HK23" s="446">
        <v>0</v>
      </c>
      <c r="HL23" s="446">
        <v>0</v>
      </c>
      <c r="HM23" s="446">
        <v>0</v>
      </c>
      <c r="HN23" s="446">
        <v>0</v>
      </c>
      <c r="HO23" s="446">
        <v>0</v>
      </c>
      <c r="HP23" s="446">
        <v>0</v>
      </c>
      <c r="HQ23" s="446">
        <v>1</v>
      </c>
      <c r="HR23" s="446">
        <v>0</v>
      </c>
      <c r="HS23" s="446">
        <v>0</v>
      </c>
      <c r="HT23" s="446">
        <v>0</v>
      </c>
      <c r="HU23" s="446">
        <v>0</v>
      </c>
      <c r="HV23" s="447">
        <v>1</v>
      </c>
      <c r="HW23" s="544"/>
      <c r="HX23" s="448"/>
    </row>
    <row r="24" spans="1:232">
      <c r="A24" s="5682">
        <v>1</v>
      </c>
      <c r="B24" s="5682">
        <v>1</v>
      </c>
      <c r="C24" s="5683" t="s">
        <v>607</v>
      </c>
      <c r="D24" s="5685" t="s">
        <v>2707</v>
      </c>
      <c r="E24" s="5682">
        <v>1</v>
      </c>
      <c r="F24" s="5682">
        <v>9</v>
      </c>
      <c r="I24" s="4915"/>
      <c r="J24" s="4915"/>
      <c r="K24" s="4916"/>
      <c r="L24" s="4916"/>
      <c r="M24" s="4920">
        <f>SUM(M19:M23)</f>
        <v>10</v>
      </c>
      <c r="N24" s="4915"/>
      <c r="O24" s="4921">
        <f>M22/M24</f>
        <v>0.1</v>
      </c>
      <c r="Q24" s="4705">
        <v>1</v>
      </c>
      <c r="R24" s="4705">
        <v>1</v>
      </c>
      <c r="S24" s="4706" t="s">
        <v>2734</v>
      </c>
      <c r="T24" s="4706" t="s">
        <v>2731</v>
      </c>
      <c r="U24" s="4707">
        <v>11</v>
      </c>
      <c r="V24" s="4707">
        <v>8</v>
      </c>
      <c r="W24" s="4722"/>
      <c r="Y24" s="36"/>
      <c r="Z24" s="36"/>
      <c r="AA24" s="36"/>
      <c r="AB24" s="36" t="s">
        <v>15</v>
      </c>
      <c r="AC24" s="1681"/>
      <c r="AD24" s="1681">
        <v>1</v>
      </c>
      <c r="AE24" s="1681"/>
      <c r="AF24" s="1681"/>
      <c r="AG24" s="1681"/>
      <c r="AH24" s="1681"/>
      <c r="AI24" s="1681">
        <v>1</v>
      </c>
      <c r="AJ24" s="1681">
        <v>2</v>
      </c>
      <c r="AK24" s="1681"/>
      <c r="AL24" s="95"/>
      <c r="AM24" s="95">
        <v>4</v>
      </c>
      <c r="AN24" s="4545">
        <v>0</v>
      </c>
      <c r="AS24" s="27" t="s">
        <v>15</v>
      </c>
      <c r="AT24" s="3722"/>
      <c r="AU24" s="3722">
        <v>1</v>
      </c>
      <c r="AV24" s="3722">
        <v>1</v>
      </c>
      <c r="AW24" s="3722"/>
      <c r="AX24" s="3722"/>
      <c r="AY24" s="3722">
        <v>1</v>
      </c>
      <c r="AZ24" s="3722"/>
      <c r="BA24" s="3722">
        <v>7</v>
      </c>
      <c r="BB24" s="3722">
        <v>2</v>
      </c>
      <c r="BC24" s="3701"/>
      <c r="BD24" s="3701">
        <v>1</v>
      </c>
      <c r="BE24" s="3701">
        <v>13</v>
      </c>
      <c r="BF24" s="1665">
        <f>+(BE22+BE23)/BE24</f>
        <v>0.30769230769230771</v>
      </c>
      <c r="BG24" s="1665"/>
      <c r="BK24" s="32" t="s">
        <v>1080</v>
      </c>
      <c r="BL24" s="3871"/>
      <c r="BM24" s="3871"/>
      <c r="BN24" s="3871"/>
      <c r="BO24" s="3871"/>
      <c r="BP24" s="3871"/>
      <c r="BQ24" s="3871"/>
      <c r="BR24" s="3871">
        <v>2</v>
      </c>
      <c r="BS24" s="3871"/>
      <c r="BT24" s="1518"/>
      <c r="BU24" s="1518">
        <v>2</v>
      </c>
      <c r="BX24" s="36"/>
      <c r="BY24" s="36"/>
      <c r="BZ24" s="36" t="s">
        <v>606</v>
      </c>
      <c r="CA24" s="36" t="s">
        <v>1071</v>
      </c>
      <c r="CB24" s="1681"/>
      <c r="CC24" s="1681"/>
      <c r="CD24" s="1681"/>
      <c r="CE24" s="1681"/>
      <c r="CF24" s="1681"/>
      <c r="CG24" s="1681"/>
      <c r="CH24" s="1681">
        <v>0</v>
      </c>
      <c r="CI24" s="1681">
        <v>1</v>
      </c>
      <c r="CJ24" s="95"/>
      <c r="CK24" s="95">
        <v>0</v>
      </c>
      <c r="CL24" s="95">
        <v>1</v>
      </c>
      <c r="CM24" s="36"/>
      <c r="CO24" s="37"/>
      <c r="CP24" s="37"/>
      <c r="CQ24" s="37" t="s">
        <v>606</v>
      </c>
      <c r="CR24" s="37" t="s">
        <v>1071</v>
      </c>
      <c r="CS24" s="1678"/>
      <c r="CT24" s="1678"/>
      <c r="CU24" s="1678"/>
      <c r="CV24" s="1678"/>
      <c r="CW24" s="1678"/>
      <c r="CX24" s="1678"/>
      <c r="CY24" s="1678">
        <v>0</v>
      </c>
      <c r="CZ24" s="1678"/>
      <c r="DA24" s="1678">
        <v>2</v>
      </c>
      <c r="DB24" s="63"/>
      <c r="DC24" s="63">
        <v>1</v>
      </c>
      <c r="DD24" s="63">
        <v>3</v>
      </c>
      <c r="DG24" s="95"/>
      <c r="DH24" s="95"/>
      <c r="DI24" s="36"/>
      <c r="DJ24" s="36" t="s">
        <v>1080</v>
      </c>
      <c r="DK24" s="1484"/>
      <c r="DL24" s="1484">
        <v>0</v>
      </c>
      <c r="DM24" s="1484">
        <v>0</v>
      </c>
      <c r="DN24" s="1484"/>
      <c r="DO24" s="1484"/>
      <c r="DP24" s="1484"/>
      <c r="DQ24" s="1484">
        <v>0</v>
      </c>
      <c r="DR24" s="1484">
        <v>0</v>
      </c>
      <c r="DS24" s="1484">
        <v>2</v>
      </c>
      <c r="DT24" s="95">
        <v>0</v>
      </c>
      <c r="DU24" s="95">
        <v>1</v>
      </c>
      <c r="DV24" s="95">
        <v>3</v>
      </c>
      <c r="DW24" s="95"/>
      <c r="DY24" s="1209"/>
      <c r="DZ24" s="1209"/>
      <c r="EA24" s="1210"/>
      <c r="EB24" s="1211" t="s">
        <v>1080</v>
      </c>
      <c r="EC24" s="1212"/>
      <c r="ED24" s="1212"/>
      <c r="EE24" s="1213">
        <v>0</v>
      </c>
      <c r="EF24" s="1212"/>
      <c r="EG24" s="1212"/>
      <c r="EH24" s="1213">
        <v>0</v>
      </c>
      <c r="EI24" s="1213">
        <v>0</v>
      </c>
      <c r="EJ24" s="1213">
        <v>0</v>
      </c>
      <c r="EK24" s="611"/>
      <c r="EL24" s="612">
        <v>2</v>
      </c>
      <c r="EM24" s="612">
        <v>2</v>
      </c>
      <c r="EN24" s="36"/>
      <c r="EP24" s="527"/>
      <c r="EQ24" s="527"/>
      <c r="ER24" s="528"/>
      <c r="ES24" s="529" t="s">
        <v>1081</v>
      </c>
      <c r="ET24" s="531">
        <v>0</v>
      </c>
      <c r="EU24" s="531">
        <v>0</v>
      </c>
      <c r="EV24" s="530"/>
      <c r="EW24" s="530"/>
      <c r="EX24" s="530"/>
      <c r="EY24" s="530"/>
      <c r="EZ24" s="531">
        <v>0</v>
      </c>
      <c r="FA24" s="531">
        <v>1</v>
      </c>
      <c r="FB24" s="527"/>
      <c r="FC24" s="527"/>
      <c r="FD24" s="532">
        <v>1</v>
      </c>
      <c r="FE24" s="95"/>
      <c r="FG24" s="533"/>
      <c r="FH24" s="533"/>
      <c r="FI24" s="533"/>
      <c r="FJ24" s="534" t="s">
        <v>1080</v>
      </c>
      <c r="FK24" s="535"/>
      <c r="FL24" s="536">
        <v>0</v>
      </c>
      <c r="FM24" s="536">
        <v>0</v>
      </c>
      <c r="FN24" s="535"/>
      <c r="FO24" s="535"/>
      <c r="FP24" s="536">
        <v>0</v>
      </c>
      <c r="FQ24" s="536">
        <v>0</v>
      </c>
      <c r="FR24" s="536">
        <v>0</v>
      </c>
      <c r="FS24" s="536">
        <v>4</v>
      </c>
      <c r="FT24" s="537"/>
      <c r="FU24" s="537"/>
      <c r="FV24" s="538">
        <v>4</v>
      </c>
      <c r="FW24" s="539"/>
      <c r="FY24" s="540"/>
      <c r="FZ24" s="540"/>
      <c r="GA24" s="540"/>
      <c r="GB24" s="550" t="s">
        <v>15</v>
      </c>
      <c r="GC24" s="551"/>
      <c r="GD24" s="551"/>
      <c r="GE24" s="551"/>
      <c r="GF24" s="551"/>
      <c r="GG24" s="552">
        <v>2</v>
      </c>
      <c r="GH24" s="552">
        <v>9</v>
      </c>
      <c r="GI24" s="552">
        <v>3</v>
      </c>
      <c r="GJ24" s="552">
        <v>1</v>
      </c>
      <c r="GK24" s="551"/>
      <c r="GL24" s="551"/>
      <c r="GM24" s="552">
        <v>15</v>
      </c>
      <c r="GN24" s="553">
        <f>+(GM23+GM22+GM20)/GM24</f>
        <v>0.6</v>
      </c>
      <c r="GP24" s="63"/>
      <c r="GQ24" s="63"/>
      <c r="GR24" s="37"/>
      <c r="GS24" s="37" t="s">
        <v>1072</v>
      </c>
      <c r="GT24" s="63"/>
      <c r="GU24" s="63"/>
      <c r="GV24" s="63"/>
      <c r="GW24" s="63"/>
      <c r="GX24" s="63"/>
      <c r="GY24" s="63"/>
      <c r="GZ24" s="63">
        <v>11</v>
      </c>
      <c r="HA24" s="63">
        <v>0</v>
      </c>
      <c r="HB24" s="63"/>
      <c r="HC24" s="63"/>
      <c r="HD24" s="63">
        <v>11</v>
      </c>
      <c r="HE24" s="37"/>
      <c r="HF24" s="37"/>
      <c r="HG24" s="446"/>
      <c r="HH24" s="446"/>
      <c r="HI24" s="446"/>
      <c r="HJ24" s="446" t="s">
        <v>1081</v>
      </c>
      <c r="HK24" s="446">
        <v>0</v>
      </c>
      <c r="HL24" s="446">
        <v>0</v>
      </c>
      <c r="HM24" s="446">
        <v>0</v>
      </c>
      <c r="HN24" s="446">
        <v>0</v>
      </c>
      <c r="HO24" s="446">
        <v>0</v>
      </c>
      <c r="HP24" s="446">
        <v>0</v>
      </c>
      <c r="HQ24" s="446">
        <v>0</v>
      </c>
      <c r="HR24" s="446">
        <v>2</v>
      </c>
      <c r="HS24" s="446">
        <v>0</v>
      </c>
      <c r="HT24" s="446">
        <v>0</v>
      </c>
      <c r="HU24" s="446">
        <v>0</v>
      </c>
      <c r="HV24" s="447">
        <v>2</v>
      </c>
      <c r="HW24" s="544"/>
      <c r="HX24" s="448"/>
    </row>
    <row r="25" spans="1:232">
      <c r="A25" s="5682">
        <v>1</v>
      </c>
      <c r="B25" s="5682">
        <v>1</v>
      </c>
      <c r="C25" s="5683" t="s">
        <v>607</v>
      </c>
      <c r="D25" s="5685" t="s">
        <v>1076</v>
      </c>
      <c r="E25" s="5682">
        <v>1</v>
      </c>
      <c r="F25" s="5682">
        <v>7</v>
      </c>
      <c r="I25" s="4915">
        <v>1</v>
      </c>
      <c r="J25" s="4915">
        <v>1</v>
      </c>
      <c r="K25" s="4916" t="s">
        <v>606</v>
      </c>
      <c r="L25" s="4916" t="s">
        <v>2703</v>
      </c>
      <c r="M25" s="4915">
        <v>1</v>
      </c>
      <c r="N25" s="4915">
        <v>1</v>
      </c>
      <c r="O25" s="157"/>
      <c r="Q25" s="4705">
        <v>1</v>
      </c>
      <c r="R25" s="4705">
        <v>1</v>
      </c>
      <c r="S25" s="4706" t="s">
        <v>2734</v>
      </c>
      <c r="T25" s="4706" t="s">
        <v>1071</v>
      </c>
      <c r="U25" s="4707">
        <v>1</v>
      </c>
      <c r="V25" s="4707">
        <v>8</v>
      </c>
      <c r="W25" s="4722"/>
      <c r="Y25" s="36"/>
      <c r="Z25" s="36"/>
      <c r="AA25" s="36" t="s">
        <v>2270</v>
      </c>
      <c r="AB25" s="36" t="s">
        <v>1072</v>
      </c>
      <c r="AC25" s="1681"/>
      <c r="AD25" s="1681">
        <v>1</v>
      </c>
      <c r="AE25" s="1681"/>
      <c r="AF25" s="1681">
        <v>1</v>
      </c>
      <c r="AG25" s="1681"/>
      <c r="AH25" s="1681">
        <v>1</v>
      </c>
      <c r="AI25" s="1681">
        <v>1</v>
      </c>
      <c r="AJ25" s="1681">
        <v>0</v>
      </c>
      <c r="AK25" s="1681">
        <v>2</v>
      </c>
      <c r="AL25" s="95"/>
      <c r="AM25" s="95">
        <v>6</v>
      </c>
      <c r="AN25" s="4545"/>
      <c r="AR25" s="3868" t="s">
        <v>606</v>
      </c>
      <c r="AS25" s="3868" t="s">
        <v>1071</v>
      </c>
      <c r="AT25" s="3721">
        <v>0</v>
      </c>
      <c r="AU25" s="3721"/>
      <c r="AV25" s="3721"/>
      <c r="AW25" s="3721"/>
      <c r="AX25" s="3721"/>
      <c r="AY25" s="3721"/>
      <c r="AZ25" s="3721"/>
      <c r="BA25" s="3721"/>
      <c r="BB25" s="3721">
        <v>4</v>
      </c>
      <c r="BC25" s="2110"/>
      <c r="BD25" s="2110"/>
      <c r="BE25" s="2110">
        <v>4</v>
      </c>
      <c r="BF25" s="2110"/>
      <c r="BG25" s="2110"/>
      <c r="BK25" s="1520" t="s">
        <v>15</v>
      </c>
      <c r="BL25" s="3872"/>
      <c r="BM25" s="3872"/>
      <c r="BN25" s="3872"/>
      <c r="BO25" s="3872"/>
      <c r="BP25" s="3872"/>
      <c r="BQ25" s="3872"/>
      <c r="BR25" s="3872">
        <v>4</v>
      </c>
      <c r="BS25" s="3872"/>
      <c r="BT25" s="3806"/>
      <c r="BU25" s="3806">
        <v>4</v>
      </c>
      <c r="BV25" s="3807">
        <v>0</v>
      </c>
      <c r="BX25" s="36"/>
      <c r="BY25" s="36"/>
      <c r="BZ25" s="36"/>
      <c r="CA25" s="36" t="s">
        <v>1072</v>
      </c>
      <c r="CB25" s="1681"/>
      <c r="CC25" s="1681"/>
      <c r="CD25" s="1681"/>
      <c r="CE25" s="1681"/>
      <c r="CF25" s="1681"/>
      <c r="CG25" s="1681"/>
      <c r="CH25" s="1681">
        <v>0</v>
      </c>
      <c r="CI25" s="1681">
        <v>1</v>
      </c>
      <c r="CJ25" s="95"/>
      <c r="CK25" s="95">
        <v>0</v>
      </c>
      <c r="CL25" s="95">
        <v>1</v>
      </c>
      <c r="CM25" s="36"/>
      <c r="CO25" s="37"/>
      <c r="CP25" s="37"/>
      <c r="CQ25" s="37"/>
      <c r="CR25" s="37" t="s">
        <v>1076</v>
      </c>
      <c r="CS25" s="1678"/>
      <c r="CT25" s="1678"/>
      <c r="CU25" s="1678"/>
      <c r="CV25" s="1678"/>
      <c r="CW25" s="1678"/>
      <c r="CX25" s="1678"/>
      <c r="CY25" s="1678">
        <v>1</v>
      </c>
      <c r="CZ25" s="1678"/>
      <c r="DA25" s="1678">
        <v>0</v>
      </c>
      <c r="DB25" s="63"/>
      <c r="DC25" s="63">
        <v>0</v>
      </c>
      <c r="DD25" s="63">
        <v>1</v>
      </c>
      <c r="DG25" s="95"/>
      <c r="DH25" s="95"/>
      <c r="DI25" s="36"/>
      <c r="DJ25" s="36" t="s">
        <v>1081</v>
      </c>
      <c r="DK25" s="1484"/>
      <c r="DL25" s="1484">
        <v>0</v>
      </c>
      <c r="DM25" s="1484">
        <v>0</v>
      </c>
      <c r="DN25" s="1484"/>
      <c r="DO25" s="1484"/>
      <c r="DP25" s="1484"/>
      <c r="DQ25" s="1484">
        <v>0</v>
      </c>
      <c r="DR25" s="1484">
        <v>1</v>
      </c>
      <c r="DS25" s="1484">
        <v>1</v>
      </c>
      <c r="DT25" s="95">
        <v>0</v>
      </c>
      <c r="DU25" s="95">
        <v>0</v>
      </c>
      <c r="DV25" s="95">
        <v>2</v>
      </c>
      <c r="DW25" s="95"/>
      <c r="DY25" s="1209"/>
      <c r="DZ25" s="1209"/>
      <c r="EA25" s="1210"/>
      <c r="EB25" s="1211" t="s">
        <v>1081</v>
      </c>
      <c r="EC25" s="1212"/>
      <c r="ED25" s="1212"/>
      <c r="EE25" s="1213">
        <v>0</v>
      </c>
      <c r="EF25" s="1212"/>
      <c r="EG25" s="1212"/>
      <c r="EH25" s="1213">
        <v>1</v>
      </c>
      <c r="EI25" s="1213">
        <v>0</v>
      </c>
      <c r="EJ25" s="1213">
        <v>1</v>
      </c>
      <c r="EK25" s="611"/>
      <c r="EL25" s="612">
        <v>0</v>
      </c>
      <c r="EM25" s="612">
        <v>2</v>
      </c>
      <c r="EN25" s="36"/>
      <c r="EP25" s="527"/>
      <c r="EQ25" s="527"/>
      <c r="ER25" s="528"/>
      <c r="ES25" s="529" t="s">
        <v>1163</v>
      </c>
      <c r="ET25" s="531">
        <v>0</v>
      </c>
      <c r="EU25" s="531">
        <v>0</v>
      </c>
      <c r="EV25" s="530"/>
      <c r="EW25" s="530"/>
      <c r="EX25" s="530"/>
      <c r="EY25" s="530"/>
      <c r="EZ25" s="531">
        <v>0</v>
      </c>
      <c r="FA25" s="531">
        <v>1</v>
      </c>
      <c r="FB25" s="527"/>
      <c r="FC25" s="527"/>
      <c r="FD25" s="532">
        <v>1</v>
      </c>
      <c r="FE25" s="95"/>
      <c r="FG25" s="533"/>
      <c r="FH25" s="533"/>
      <c r="FI25" s="533"/>
      <c r="FJ25" s="534" t="s">
        <v>1081</v>
      </c>
      <c r="FK25" s="535"/>
      <c r="FL25" s="536">
        <v>0</v>
      </c>
      <c r="FM25" s="536">
        <v>0</v>
      </c>
      <c r="FN25" s="535"/>
      <c r="FO25" s="535"/>
      <c r="FP25" s="536">
        <v>1</v>
      </c>
      <c r="FQ25" s="536">
        <v>1</v>
      </c>
      <c r="FR25" s="536">
        <v>0</v>
      </c>
      <c r="FS25" s="536">
        <v>0</v>
      </c>
      <c r="FT25" s="537"/>
      <c r="FU25" s="537"/>
      <c r="FV25" s="538">
        <v>2</v>
      </c>
      <c r="FW25" s="539"/>
      <c r="FY25" s="540"/>
      <c r="FZ25" s="540" t="s">
        <v>16</v>
      </c>
      <c r="GA25" s="540" t="s">
        <v>116</v>
      </c>
      <c r="GB25" s="541" t="s">
        <v>1072</v>
      </c>
      <c r="GC25" s="542"/>
      <c r="GD25" s="542"/>
      <c r="GE25" s="542"/>
      <c r="GF25" s="542"/>
      <c r="GG25" s="542"/>
      <c r="GH25" s="543">
        <v>3</v>
      </c>
      <c r="GI25" s="543">
        <v>5</v>
      </c>
      <c r="GJ25" s="542"/>
      <c r="GK25" s="542"/>
      <c r="GL25" s="542"/>
      <c r="GM25" s="543">
        <v>8</v>
      </c>
      <c r="GN25" s="445"/>
      <c r="GP25" s="63"/>
      <c r="GQ25" s="63"/>
      <c r="GR25" s="37"/>
      <c r="GS25" s="37" t="s">
        <v>1076</v>
      </c>
      <c r="GT25" s="63"/>
      <c r="GU25" s="63"/>
      <c r="GV25" s="63"/>
      <c r="GW25" s="63"/>
      <c r="GX25" s="63"/>
      <c r="GY25" s="63"/>
      <c r="GZ25" s="63">
        <v>1</v>
      </c>
      <c r="HA25" s="63">
        <v>0</v>
      </c>
      <c r="HB25" s="63"/>
      <c r="HC25" s="63"/>
      <c r="HD25" s="63">
        <v>1</v>
      </c>
      <c r="HE25" s="37"/>
      <c r="HF25" s="37"/>
      <c r="HG25" s="446"/>
      <c r="HH25" s="446"/>
      <c r="HI25" s="446"/>
      <c r="HJ25" s="446" t="s">
        <v>1163</v>
      </c>
      <c r="HK25" s="446">
        <v>0</v>
      </c>
      <c r="HL25" s="446">
        <v>0</v>
      </c>
      <c r="HM25" s="446">
        <v>0</v>
      </c>
      <c r="HN25" s="446">
        <v>0</v>
      </c>
      <c r="HO25" s="446">
        <v>0</v>
      </c>
      <c r="HP25" s="446">
        <v>0</v>
      </c>
      <c r="HQ25" s="446">
        <v>1</v>
      </c>
      <c r="HR25" s="446">
        <v>1</v>
      </c>
      <c r="HS25" s="446">
        <v>0</v>
      </c>
      <c r="HT25" s="446">
        <v>0</v>
      </c>
      <c r="HU25" s="446">
        <v>0</v>
      </c>
      <c r="HV25" s="447">
        <v>2</v>
      </c>
      <c r="HW25" s="544"/>
      <c r="HX25" s="448"/>
    </row>
    <row r="26" spans="1:232">
      <c r="A26" s="5682">
        <v>1</v>
      </c>
      <c r="B26" s="5682">
        <v>1</v>
      </c>
      <c r="C26" s="5683" t="s">
        <v>607</v>
      </c>
      <c r="D26" s="5683" t="s">
        <v>2709</v>
      </c>
      <c r="E26" s="5682">
        <v>1</v>
      </c>
      <c r="F26" s="5682">
        <v>6</v>
      </c>
      <c r="I26" s="4915"/>
      <c r="J26" s="4915"/>
      <c r="K26" s="4916"/>
      <c r="L26" s="4916"/>
      <c r="M26" s="4920">
        <f>SUM(M25)</f>
        <v>1</v>
      </c>
      <c r="N26" s="4915"/>
      <c r="O26" s="4921">
        <v>0</v>
      </c>
      <c r="Q26" s="4705">
        <v>1</v>
      </c>
      <c r="R26" s="4705">
        <v>1</v>
      </c>
      <c r="S26" s="4706" t="s">
        <v>2734</v>
      </c>
      <c r="T26" s="4708" t="s">
        <v>2707</v>
      </c>
      <c r="U26" s="4709">
        <v>1</v>
      </c>
      <c r="V26" s="4709">
        <v>2</v>
      </c>
      <c r="W26" s="4722"/>
      <c r="X26" s="4452"/>
      <c r="Y26" s="36"/>
      <c r="Z26" s="36"/>
      <c r="AA26" s="36"/>
      <c r="AB26" s="36" t="s">
        <v>1076</v>
      </c>
      <c r="AC26" s="1681"/>
      <c r="AD26" s="1681">
        <v>0</v>
      </c>
      <c r="AE26" s="1681"/>
      <c r="AF26" s="1681">
        <v>0</v>
      </c>
      <c r="AG26" s="1681"/>
      <c r="AH26" s="1681">
        <v>0</v>
      </c>
      <c r="AI26" s="1681">
        <v>1</v>
      </c>
      <c r="AJ26" s="1681">
        <v>0</v>
      </c>
      <c r="AK26" s="1681">
        <v>0</v>
      </c>
      <c r="AL26" s="95"/>
      <c r="AM26" s="95">
        <v>1</v>
      </c>
      <c r="AN26" s="4545"/>
      <c r="AS26" s="3868" t="s">
        <v>2571</v>
      </c>
      <c r="AT26" s="3721">
        <v>1</v>
      </c>
      <c r="AU26" s="3721"/>
      <c r="AV26" s="3721"/>
      <c r="AW26" s="3721"/>
      <c r="AX26" s="3721"/>
      <c r="AY26" s="3721"/>
      <c r="AZ26" s="3721"/>
      <c r="BA26" s="3721"/>
      <c r="BB26" s="3721">
        <v>0</v>
      </c>
      <c r="BC26" s="2110"/>
      <c r="BD26" s="2110"/>
      <c r="BE26" s="2110">
        <v>1</v>
      </c>
      <c r="BF26" s="2110"/>
      <c r="BG26" s="2110"/>
      <c r="BJ26" s="32" t="s">
        <v>2270</v>
      </c>
      <c r="BK26" s="32" t="s">
        <v>1071</v>
      </c>
      <c r="BL26" s="3871">
        <v>0</v>
      </c>
      <c r="BM26" s="3871"/>
      <c r="BN26" s="3871"/>
      <c r="BO26" s="3871"/>
      <c r="BP26" s="3871">
        <v>0</v>
      </c>
      <c r="BQ26" s="3871">
        <v>0</v>
      </c>
      <c r="BR26" s="3871">
        <v>2</v>
      </c>
      <c r="BS26" s="3871"/>
      <c r="BT26" s="1518">
        <v>0</v>
      </c>
      <c r="BU26" s="1518">
        <v>2</v>
      </c>
      <c r="BX26" s="36"/>
      <c r="BY26" s="36"/>
      <c r="BZ26" s="36"/>
      <c r="CA26" s="36" t="s">
        <v>1076</v>
      </c>
      <c r="CB26" s="1681"/>
      <c r="CC26" s="1681"/>
      <c r="CD26" s="1681"/>
      <c r="CE26" s="1681"/>
      <c r="CF26" s="1681"/>
      <c r="CG26" s="1681"/>
      <c r="CH26" s="1681">
        <v>1</v>
      </c>
      <c r="CI26" s="1681">
        <v>0</v>
      </c>
      <c r="CJ26" s="95"/>
      <c r="CK26" s="95">
        <v>0</v>
      </c>
      <c r="CL26" s="95">
        <v>1</v>
      </c>
      <c r="CM26" s="36"/>
      <c r="CO26" s="37"/>
      <c r="CP26" s="37"/>
      <c r="CQ26" s="37"/>
      <c r="CR26" s="37" t="s">
        <v>1081</v>
      </c>
      <c r="CS26" s="1678"/>
      <c r="CT26" s="1678"/>
      <c r="CU26" s="1678"/>
      <c r="CV26" s="1678"/>
      <c r="CW26" s="1678"/>
      <c r="CX26" s="1678"/>
      <c r="CY26" s="1678">
        <v>0</v>
      </c>
      <c r="CZ26" s="1678"/>
      <c r="DA26" s="1678">
        <v>1</v>
      </c>
      <c r="DB26" s="63"/>
      <c r="DC26" s="63">
        <v>0</v>
      </c>
      <c r="DD26" s="63">
        <v>1</v>
      </c>
      <c r="DG26" s="95"/>
      <c r="DH26" s="95"/>
      <c r="DI26" s="36"/>
      <c r="DJ26" s="36" t="s">
        <v>1163</v>
      </c>
      <c r="DK26" s="1484"/>
      <c r="DL26" s="1484">
        <v>0</v>
      </c>
      <c r="DM26" s="1484">
        <v>0</v>
      </c>
      <c r="DN26" s="1484"/>
      <c r="DO26" s="1484"/>
      <c r="DP26" s="1484"/>
      <c r="DQ26" s="1484">
        <v>0</v>
      </c>
      <c r="DR26" s="1484">
        <v>1</v>
      </c>
      <c r="DS26" s="1484">
        <v>2</v>
      </c>
      <c r="DT26" s="95">
        <v>0</v>
      </c>
      <c r="DU26" s="95">
        <v>0</v>
      </c>
      <c r="DV26" s="95">
        <v>3</v>
      </c>
      <c r="DW26" s="95"/>
      <c r="DY26" s="1209"/>
      <c r="DZ26" s="1209"/>
      <c r="EA26" s="1210"/>
      <c r="EB26" s="1211" t="s">
        <v>1163</v>
      </c>
      <c r="EC26" s="1212"/>
      <c r="ED26" s="1212"/>
      <c r="EE26" s="1213">
        <v>0</v>
      </c>
      <c r="EF26" s="1212"/>
      <c r="EG26" s="1212"/>
      <c r="EH26" s="1213">
        <v>2</v>
      </c>
      <c r="EI26" s="1213">
        <v>0</v>
      </c>
      <c r="EJ26" s="1213">
        <v>1</v>
      </c>
      <c r="EK26" s="611"/>
      <c r="EL26" s="612">
        <v>0</v>
      </c>
      <c r="EM26" s="612">
        <v>3</v>
      </c>
      <c r="EN26" s="36"/>
      <c r="EP26" s="527"/>
      <c r="EQ26" s="527"/>
      <c r="ER26" s="528"/>
      <c r="ES26" s="555" t="s">
        <v>15</v>
      </c>
      <c r="ET26" s="557">
        <v>2</v>
      </c>
      <c r="EU26" s="557">
        <v>1</v>
      </c>
      <c r="EV26" s="556"/>
      <c r="EW26" s="556"/>
      <c r="EX26" s="556"/>
      <c r="EY26" s="556"/>
      <c r="EZ26" s="557">
        <v>3</v>
      </c>
      <c r="FA26" s="557">
        <v>6</v>
      </c>
      <c r="FB26" s="558"/>
      <c r="FC26" s="558"/>
      <c r="FD26" s="559">
        <v>12</v>
      </c>
      <c r="FE26" s="560">
        <f>+(FD22+FD24+FD25)/FD26</f>
        <v>0.41666666666666669</v>
      </c>
      <c r="FG26" s="533"/>
      <c r="FH26" s="533"/>
      <c r="FI26" s="533"/>
      <c r="FJ26" s="534" t="s">
        <v>1163</v>
      </c>
      <c r="FK26" s="535"/>
      <c r="FL26" s="536">
        <v>0</v>
      </c>
      <c r="FM26" s="536">
        <v>0</v>
      </c>
      <c r="FN26" s="535"/>
      <c r="FO26" s="535"/>
      <c r="FP26" s="536">
        <v>1</v>
      </c>
      <c r="FQ26" s="536">
        <v>1</v>
      </c>
      <c r="FR26" s="536">
        <v>0</v>
      </c>
      <c r="FS26" s="536">
        <v>1</v>
      </c>
      <c r="FT26" s="537"/>
      <c r="FU26" s="537"/>
      <c r="FV26" s="538">
        <v>3</v>
      </c>
      <c r="FW26" s="539"/>
      <c r="FY26" s="540"/>
      <c r="FZ26" s="540"/>
      <c r="GA26" s="540"/>
      <c r="GB26" s="550" t="s">
        <v>15</v>
      </c>
      <c r="GC26" s="551"/>
      <c r="GD26" s="551"/>
      <c r="GE26" s="551"/>
      <c r="GF26" s="551"/>
      <c r="GG26" s="551"/>
      <c r="GH26" s="552">
        <v>3</v>
      </c>
      <c r="GI26" s="552">
        <v>5</v>
      </c>
      <c r="GJ26" s="551"/>
      <c r="GK26" s="551"/>
      <c r="GL26" s="551"/>
      <c r="GM26" s="552">
        <v>8</v>
      </c>
      <c r="GN26" s="553">
        <v>0</v>
      </c>
      <c r="GP26" s="63"/>
      <c r="GQ26" s="63"/>
      <c r="GR26" s="37"/>
      <c r="GS26" s="37" t="s">
        <v>1080</v>
      </c>
      <c r="GT26" s="63"/>
      <c r="GU26" s="63"/>
      <c r="GV26" s="63"/>
      <c r="GW26" s="63"/>
      <c r="GX26" s="63"/>
      <c r="GY26" s="63"/>
      <c r="GZ26" s="63">
        <v>0</v>
      </c>
      <c r="HA26" s="63">
        <v>1</v>
      </c>
      <c r="HB26" s="63"/>
      <c r="HC26" s="63"/>
      <c r="HD26" s="63">
        <v>1</v>
      </c>
      <c r="HE26" s="37"/>
      <c r="HF26" s="37"/>
      <c r="HG26" s="446"/>
      <c r="HH26" s="446"/>
      <c r="HI26" s="446"/>
      <c r="HJ26" s="449" t="s">
        <v>15</v>
      </c>
      <c r="HK26" s="449">
        <v>0</v>
      </c>
      <c r="HL26" s="449">
        <v>0</v>
      </c>
      <c r="HM26" s="449">
        <v>0</v>
      </c>
      <c r="HN26" s="449">
        <v>0</v>
      </c>
      <c r="HO26" s="449">
        <v>0</v>
      </c>
      <c r="HP26" s="449">
        <v>0</v>
      </c>
      <c r="HQ26" s="449">
        <v>3</v>
      </c>
      <c r="HR26" s="449">
        <v>6</v>
      </c>
      <c r="HS26" s="449">
        <v>0</v>
      </c>
      <c r="HT26" s="449">
        <v>0</v>
      </c>
      <c r="HU26" s="449">
        <v>0</v>
      </c>
      <c r="HV26" s="507">
        <v>9</v>
      </c>
      <c r="HW26" s="554">
        <f>+(HV25+HV24+HV23)/HV26</f>
        <v>0.55555555555555558</v>
      </c>
      <c r="HX26" s="448">
        <f>+HV23+HV24+HV25</f>
        <v>5</v>
      </c>
    </row>
    <row r="27" spans="1:232" ht="24">
      <c r="A27" s="5682">
        <v>1</v>
      </c>
      <c r="B27" s="5682">
        <v>1</v>
      </c>
      <c r="C27" s="5683" t="s">
        <v>607</v>
      </c>
      <c r="D27" s="5683" t="s">
        <v>2709</v>
      </c>
      <c r="E27" s="5682">
        <v>1</v>
      </c>
      <c r="F27" s="5682">
        <v>7</v>
      </c>
      <c r="I27" s="4915">
        <v>1</v>
      </c>
      <c r="J27" s="4915">
        <v>1</v>
      </c>
      <c r="K27" s="4916" t="s">
        <v>2734</v>
      </c>
      <c r="L27" s="4916" t="s">
        <v>2731</v>
      </c>
      <c r="M27" s="4915">
        <v>5</v>
      </c>
      <c r="N27" s="4915">
        <v>7</v>
      </c>
      <c r="O27" s="157"/>
      <c r="Q27" s="4705">
        <v>1</v>
      </c>
      <c r="R27" s="4705">
        <v>1</v>
      </c>
      <c r="S27" s="4706" t="s">
        <v>2734</v>
      </c>
      <c r="T27" s="4708" t="s">
        <v>1076</v>
      </c>
      <c r="U27" s="4709">
        <v>1</v>
      </c>
      <c r="V27" s="4709">
        <v>2</v>
      </c>
      <c r="W27" s="4722"/>
      <c r="Y27" s="36"/>
      <c r="Z27" s="36"/>
      <c r="AA27" s="36"/>
      <c r="AB27" s="36" t="s">
        <v>1080</v>
      </c>
      <c r="AC27" s="1681"/>
      <c r="AD27" s="1681">
        <v>0</v>
      </c>
      <c r="AE27" s="1681"/>
      <c r="AF27" s="1681">
        <v>0</v>
      </c>
      <c r="AG27" s="1681"/>
      <c r="AH27" s="1681">
        <v>0</v>
      </c>
      <c r="AI27" s="1681">
        <v>0</v>
      </c>
      <c r="AJ27" s="1681">
        <v>13</v>
      </c>
      <c r="AK27" s="1681">
        <v>0</v>
      </c>
      <c r="AL27" s="95"/>
      <c r="AM27" s="95">
        <v>13</v>
      </c>
      <c r="AN27" s="4545"/>
      <c r="AS27" s="27" t="s">
        <v>15</v>
      </c>
      <c r="AT27" s="3722">
        <v>1</v>
      </c>
      <c r="AU27" s="3722"/>
      <c r="AV27" s="3722"/>
      <c r="AW27" s="3722"/>
      <c r="AX27" s="3722"/>
      <c r="AY27" s="3722"/>
      <c r="AZ27" s="3722"/>
      <c r="BA27" s="3722"/>
      <c r="BB27" s="3722">
        <v>4</v>
      </c>
      <c r="BC27" s="3701"/>
      <c r="BD27" s="3701"/>
      <c r="BE27" s="3701">
        <v>5</v>
      </c>
      <c r="BF27" s="1665">
        <v>0</v>
      </c>
      <c r="BG27" s="1665"/>
      <c r="BK27" s="32" t="s">
        <v>1072</v>
      </c>
      <c r="BL27" s="3871">
        <v>1</v>
      </c>
      <c r="BM27" s="3871"/>
      <c r="BN27" s="3871"/>
      <c r="BO27" s="3871"/>
      <c r="BP27" s="3871">
        <v>1</v>
      </c>
      <c r="BQ27" s="3871">
        <v>7</v>
      </c>
      <c r="BR27" s="3871">
        <v>1</v>
      </c>
      <c r="BS27" s="3871"/>
      <c r="BT27" s="1518">
        <v>0</v>
      </c>
      <c r="BU27" s="1518">
        <v>10</v>
      </c>
      <c r="BX27" s="36"/>
      <c r="BY27" s="36"/>
      <c r="BZ27" s="36"/>
      <c r="CA27" s="36" t="s">
        <v>1080</v>
      </c>
      <c r="CB27" s="1681"/>
      <c r="CC27" s="1681"/>
      <c r="CD27" s="1681"/>
      <c r="CE27" s="1681"/>
      <c r="CF27" s="1681"/>
      <c r="CG27" s="1681"/>
      <c r="CH27" s="1681">
        <v>0</v>
      </c>
      <c r="CI27" s="1681">
        <v>3</v>
      </c>
      <c r="CJ27" s="95"/>
      <c r="CK27" s="95">
        <v>1</v>
      </c>
      <c r="CL27" s="95">
        <v>4</v>
      </c>
      <c r="CM27" s="36"/>
      <c r="CO27" s="37"/>
      <c r="CP27" s="37"/>
      <c r="CQ27" s="37"/>
      <c r="CR27" s="416" t="s">
        <v>15</v>
      </c>
      <c r="CS27" s="1679"/>
      <c r="CT27" s="1679"/>
      <c r="CU27" s="1679"/>
      <c r="CV27" s="1679"/>
      <c r="CW27" s="1679"/>
      <c r="CX27" s="1679"/>
      <c r="CY27" s="1679">
        <v>1</v>
      </c>
      <c r="CZ27" s="1679"/>
      <c r="DA27" s="1679">
        <v>3</v>
      </c>
      <c r="DB27" s="386"/>
      <c r="DC27" s="386">
        <v>1</v>
      </c>
      <c r="DD27" s="386">
        <v>5</v>
      </c>
      <c r="DE27" s="2045">
        <f>+(DD25+DD26)/DD27</f>
        <v>0.4</v>
      </c>
      <c r="DG27" s="95"/>
      <c r="DH27" s="95"/>
      <c r="DI27" s="36"/>
      <c r="DJ27" s="393" t="s">
        <v>15</v>
      </c>
      <c r="DK27" s="1485"/>
      <c r="DL27" s="1485">
        <v>1</v>
      </c>
      <c r="DM27" s="1485">
        <v>1</v>
      </c>
      <c r="DN27" s="1485"/>
      <c r="DO27" s="1485"/>
      <c r="DP27" s="1485"/>
      <c r="DQ27" s="1485">
        <v>1</v>
      </c>
      <c r="DR27" s="1485">
        <v>3</v>
      </c>
      <c r="DS27" s="1485">
        <v>7</v>
      </c>
      <c r="DT27" s="86">
        <v>1</v>
      </c>
      <c r="DU27" s="86">
        <v>1</v>
      </c>
      <c r="DV27" s="86">
        <v>15</v>
      </c>
      <c r="DW27" s="560">
        <f>+(DV23+DV25+DV26-DT23)/DV27</f>
        <v>0.4</v>
      </c>
      <c r="DY27" s="1209"/>
      <c r="DZ27" s="1209"/>
      <c r="EA27" s="1210"/>
      <c r="EB27" s="415" t="s">
        <v>15</v>
      </c>
      <c r="EC27" s="1214"/>
      <c r="ED27" s="1214"/>
      <c r="EE27" s="1215">
        <v>1</v>
      </c>
      <c r="EF27" s="1214"/>
      <c r="EG27" s="1214"/>
      <c r="EH27" s="1215">
        <v>5</v>
      </c>
      <c r="EI27" s="1215">
        <v>2</v>
      </c>
      <c r="EJ27" s="1215">
        <v>2</v>
      </c>
      <c r="EK27" s="620"/>
      <c r="EL27" s="621">
        <v>2</v>
      </c>
      <c r="EM27" s="621">
        <v>12</v>
      </c>
      <c r="EN27" s="1178">
        <f>+(EM25+EM26)/EM27</f>
        <v>0.41666666666666669</v>
      </c>
      <c r="EP27" s="527"/>
      <c r="EQ27" s="527"/>
      <c r="ER27" s="528" t="s">
        <v>606</v>
      </c>
      <c r="ES27" s="529" t="s">
        <v>1071</v>
      </c>
      <c r="ET27" s="530"/>
      <c r="EU27" s="530"/>
      <c r="EV27" s="530"/>
      <c r="EW27" s="530"/>
      <c r="EX27" s="530"/>
      <c r="EY27" s="530"/>
      <c r="EZ27" s="531">
        <v>0</v>
      </c>
      <c r="FA27" s="531">
        <v>3</v>
      </c>
      <c r="FB27" s="527"/>
      <c r="FC27" s="527"/>
      <c r="FD27" s="532">
        <v>3</v>
      </c>
      <c r="FE27" s="95"/>
      <c r="FG27" s="533"/>
      <c r="FH27" s="533"/>
      <c r="FI27" s="533"/>
      <c r="FJ27" s="545" t="s">
        <v>482</v>
      </c>
      <c r="FK27" s="546"/>
      <c r="FL27" s="547">
        <v>2</v>
      </c>
      <c r="FM27" s="547">
        <v>2</v>
      </c>
      <c r="FN27" s="546"/>
      <c r="FO27" s="546"/>
      <c r="FP27" s="547">
        <v>5</v>
      </c>
      <c r="FQ27" s="547">
        <v>8</v>
      </c>
      <c r="FR27" s="547">
        <v>9</v>
      </c>
      <c r="FS27" s="547">
        <v>6</v>
      </c>
      <c r="FT27" s="548"/>
      <c r="FU27" s="548"/>
      <c r="FV27" s="549">
        <v>32</v>
      </c>
      <c r="FW27" s="539">
        <f>+(FV26+FV25+FV23)/FV27</f>
        <v>0.1875</v>
      </c>
      <c r="FY27" s="540"/>
      <c r="GP27" s="63"/>
      <c r="GQ27" s="63"/>
      <c r="GR27" s="37"/>
      <c r="GS27" s="416" t="s">
        <v>15</v>
      </c>
      <c r="GT27" s="386"/>
      <c r="GU27" s="386"/>
      <c r="GV27" s="386"/>
      <c r="GW27" s="386"/>
      <c r="GX27" s="386"/>
      <c r="GY27" s="386"/>
      <c r="GZ27" s="386">
        <v>13</v>
      </c>
      <c r="HA27" s="386">
        <v>3</v>
      </c>
      <c r="HB27" s="386"/>
      <c r="HC27" s="386"/>
      <c r="HD27" s="386">
        <v>16</v>
      </c>
      <c r="HE27" s="466">
        <f>+HD25/HD27</f>
        <v>6.25E-2</v>
      </c>
      <c r="HF27" s="37"/>
      <c r="HG27" s="446"/>
      <c r="HH27" s="446"/>
      <c r="HI27" s="446" t="s">
        <v>238</v>
      </c>
      <c r="HJ27" s="446" t="s">
        <v>1072</v>
      </c>
      <c r="HK27" s="446">
        <v>0</v>
      </c>
      <c r="HL27" s="446">
        <v>0</v>
      </c>
      <c r="HM27" s="446">
        <v>1</v>
      </c>
      <c r="HN27" s="446">
        <v>0</v>
      </c>
      <c r="HO27" s="446">
        <v>2</v>
      </c>
      <c r="HP27" s="446">
        <v>0</v>
      </c>
      <c r="HQ27" s="446">
        <v>2</v>
      </c>
      <c r="HR27" s="446">
        <v>0</v>
      </c>
      <c r="HS27" s="446">
        <v>0</v>
      </c>
      <c r="HT27" s="446">
        <v>0</v>
      </c>
      <c r="HU27" s="446">
        <v>0</v>
      </c>
      <c r="HV27" s="447">
        <v>5</v>
      </c>
      <c r="HW27" s="544"/>
      <c r="HX27" s="448"/>
    </row>
    <row r="28" spans="1:232" ht="24">
      <c r="A28" s="5682"/>
      <c r="B28" s="5682"/>
      <c r="C28" s="5683"/>
      <c r="D28" s="5683"/>
      <c r="E28" s="5686">
        <f>SUM(E20:E27)</f>
        <v>10</v>
      </c>
      <c r="F28" s="5682"/>
      <c r="G28" s="4921">
        <f>(E23+E24+E25)/(E28)</f>
        <v>0.3</v>
      </c>
      <c r="I28" s="4915">
        <v>1</v>
      </c>
      <c r="J28" s="4915">
        <v>1</v>
      </c>
      <c r="K28" s="4916" t="s">
        <v>2734</v>
      </c>
      <c r="L28" s="4916" t="s">
        <v>2731</v>
      </c>
      <c r="M28" s="4915">
        <v>6</v>
      </c>
      <c r="N28" s="4915">
        <v>8</v>
      </c>
      <c r="O28" s="157"/>
      <c r="Q28" s="4705">
        <v>1</v>
      </c>
      <c r="R28" s="4705">
        <v>1</v>
      </c>
      <c r="S28" s="4706" t="s">
        <v>2734</v>
      </c>
      <c r="T28" s="4708" t="s">
        <v>1076</v>
      </c>
      <c r="U28" s="4709">
        <v>1</v>
      </c>
      <c r="V28" s="4709">
        <v>6</v>
      </c>
      <c r="W28" s="4722"/>
      <c r="Y28" s="36"/>
      <c r="Z28" s="36"/>
      <c r="AA28" s="36"/>
      <c r="AB28" s="36" t="s">
        <v>15</v>
      </c>
      <c r="AC28" s="1681"/>
      <c r="AD28" s="1681">
        <v>1</v>
      </c>
      <c r="AE28" s="1681"/>
      <c r="AF28" s="1681">
        <v>1</v>
      </c>
      <c r="AG28" s="1681"/>
      <c r="AH28" s="1681">
        <v>1</v>
      </c>
      <c r="AI28" s="1681">
        <v>2</v>
      </c>
      <c r="AJ28" s="1681">
        <v>13</v>
      </c>
      <c r="AK28" s="1681">
        <v>2</v>
      </c>
      <c r="AL28" s="95"/>
      <c r="AM28" s="95">
        <v>20</v>
      </c>
      <c r="AN28" s="560">
        <f>+AI26/AM28</f>
        <v>0.05</v>
      </c>
      <c r="AR28" s="3868" t="s">
        <v>2270</v>
      </c>
      <c r="AS28" s="3868" t="s">
        <v>1072</v>
      </c>
      <c r="AT28" s="3721">
        <v>0</v>
      </c>
      <c r="AU28" s="3721">
        <v>1</v>
      </c>
      <c r="AV28" s="3721"/>
      <c r="AW28" s="3721"/>
      <c r="AX28" s="3721"/>
      <c r="AY28" s="3721">
        <v>1</v>
      </c>
      <c r="AZ28" s="3721">
        <v>3</v>
      </c>
      <c r="BA28" s="3721">
        <v>2</v>
      </c>
      <c r="BB28" s="3721">
        <v>0</v>
      </c>
      <c r="BC28" s="2110"/>
      <c r="BD28" s="2110">
        <v>0</v>
      </c>
      <c r="BE28" s="2110">
        <v>7</v>
      </c>
      <c r="BF28" s="2110"/>
      <c r="BG28" s="2110"/>
      <c r="BK28" s="32" t="s">
        <v>1076</v>
      </c>
      <c r="BL28" s="3871">
        <v>0</v>
      </c>
      <c r="BM28" s="3871"/>
      <c r="BN28" s="3871"/>
      <c r="BO28" s="3871"/>
      <c r="BP28" s="3871">
        <v>0</v>
      </c>
      <c r="BQ28" s="3871">
        <v>0</v>
      </c>
      <c r="BR28" s="3871">
        <v>3</v>
      </c>
      <c r="BS28" s="3871"/>
      <c r="BT28" s="1518">
        <v>0</v>
      </c>
      <c r="BU28" s="1518">
        <v>3</v>
      </c>
      <c r="BX28" s="36"/>
      <c r="BY28" s="36"/>
      <c r="BZ28" s="36"/>
      <c r="CA28" s="36" t="s">
        <v>1081</v>
      </c>
      <c r="CB28" s="1681"/>
      <c r="CC28" s="1681"/>
      <c r="CD28" s="1681"/>
      <c r="CE28" s="1681"/>
      <c r="CF28" s="1681"/>
      <c r="CG28" s="1681"/>
      <c r="CH28" s="1681">
        <v>1</v>
      </c>
      <c r="CI28" s="1681">
        <v>0</v>
      </c>
      <c r="CJ28" s="95"/>
      <c r="CK28" s="95">
        <v>0</v>
      </c>
      <c r="CL28" s="95">
        <v>1</v>
      </c>
      <c r="CM28" s="36"/>
      <c r="CO28" s="37"/>
      <c r="CP28" s="37"/>
      <c r="CQ28" s="37" t="s">
        <v>2270</v>
      </c>
      <c r="CR28" s="37" t="s">
        <v>1071</v>
      </c>
      <c r="CS28" s="1678"/>
      <c r="CT28" s="1678"/>
      <c r="CU28" s="1678">
        <v>0</v>
      </c>
      <c r="CV28" s="1678">
        <v>0</v>
      </c>
      <c r="CW28" s="1678"/>
      <c r="CX28" s="1678"/>
      <c r="CY28" s="1678">
        <v>0</v>
      </c>
      <c r="CZ28" s="1678">
        <v>0</v>
      </c>
      <c r="DA28" s="1678">
        <v>1</v>
      </c>
      <c r="DB28" s="63"/>
      <c r="DC28" s="63"/>
      <c r="DD28" s="63">
        <v>1</v>
      </c>
      <c r="DG28" s="95"/>
      <c r="DH28" s="95"/>
      <c r="DI28" s="36" t="s">
        <v>606</v>
      </c>
      <c r="DJ28" s="36" t="s">
        <v>1071</v>
      </c>
      <c r="DK28" s="1484"/>
      <c r="DL28" s="1484"/>
      <c r="DM28" s="1484"/>
      <c r="DN28" s="1484"/>
      <c r="DO28" s="1484">
        <v>0</v>
      </c>
      <c r="DP28" s="1484"/>
      <c r="DQ28" s="1484"/>
      <c r="DR28" s="1484">
        <v>0</v>
      </c>
      <c r="DS28" s="1484">
        <v>1</v>
      </c>
      <c r="DT28" s="95"/>
      <c r="DU28" s="95"/>
      <c r="DV28" s="95">
        <v>1</v>
      </c>
      <c r="DW28" s="95"/>
      <c r="DY28" s="1209"/>
      <c r="DZ28" s="1209"/>
      <c r="EA28" s="1210" t="s">
        <v>606</v>
      </c>
      <c r="EB28" s="1211" t="s">
        <v>1071</v>
      </c>
      <c r="EC28" s="1212"/>
      <c r="ED28" s="1212"/>
      <c r="EE28" s="1212"/>
      <c r="EF28" s="1213">
        <v>0</v>
      </c>
      <c r="EG28" s="1212"/>
      <c r="EH28" s="1212"/>
      <c r="EI28" s="1212"/>
      <c r="EJ28" s="1213">
        <v>3</v>
      </c>
      <c r="EK28" s="611"/>
      <c r="EL28" s="611"/>
      <c r="EM28" s="612">
        <v>3</v>
      </c>
      <c r="EN28" s="36"/>
      <c r="EP28" s="527"/>
      <c r="EQ28" s="527"/>
      <c r="ER28" s="528"/>
      <c r="ES28" s="529" t="s">
        <v>1163</v>
      </c>
      <c r="ET28" s="530"/>
      <c r="EU28" s="530"/>
      <c r="EV28" s="530"/>
      <c r="EW28" s="530"/>
      <c r="EX28" s="530"/>
      <c r="EY28" s="530"/>
      <c r="EZ28" s="531">
        <v>1</v>
      </c>
      <c r="FA28" s="531">
        <v>0</v>
      </c>
      <c r="FB28" s="527"/>
      <c r="FC28" s="527"/>
      <c r="FD28" s="532">
        <v>1</v>
      </c>
      <c r="FE28" s="95"/>
      <c r="FG28" s="533"/>
      <c r="FH28" s="533" t="s">
        <v>16</v>
      </c>
      <c r="FI28" s="533" t="s">
        <v>116</v>
      </c>
      <c r="FJ28" s="534" t="s">
        <v>1072</v>
      </c>
      <c r="FK28" s="535"/>
      <c r="FL28" s="535"/>
      <c r="FM28" s="535"/>
      <c r="FN28" s="535"/>
      <c r="FO28" s="535"/>
      <c r="FP28" s="535"/>
      <c r="FQ28" s="536">
        <v>13</v>
      </c>
      <c r="FR28" s="535"/>
      <c r="FS28" s="535"/>
      <c r="FT28" s="537"/>
      <c r="FU28" s="537"/>
      <c r="FV28" s="538">
        <v>13</v>
      </c>
      <c r="FW28" s="539"/>
      <c r="FY28" s="540"/>
      <c r="GP28" s="63"/>
      <c r="GQ28" s="63"/>
      <c r="GR28" s="37" t="s">
        <v>238</v>
      </c>
      <c r="GS28" s="37" t="s">
        <v>1072</v>
      </c>
      <c r="GT28" s="63"/>
      <c r="GU28" s="63">
        <v>2</v>
      </c>
      <c r="GV28" s="63"/>
      <c r="GW28" s="63">
        <v>1</v>
      </c>
      <c r="GX28" s="63"/>
      <c r="GY28" s="63">
        <v>5</v>
      </c>
      <c r="GZ28" s="63"/>
      <c r="HA28" s="63"/>
      <c r="HB28" s="63"/>
      <c r="HC28" s="63"/>
      <c r="HD28" s="63">
        <v>8</v>
      </c>
      <c r="HE28" s="37"/>
      <c r="HF28" s="37"/>
      <c r="HG28" s="446"/>
      <c r="HH28" s="446"/>
      <c r="HI28" s="446"/>
      <c r="HJ28" s="446" t="s">
        <v>1076</v>
      </c>
      <c r="HK28" s="446">
        <v>0</v>
      </c>
      <c r="HL28" s="446">
        <v>0</v>
      </c>
      <c r="HM28" s="446">
        <v>0</v>
      </c>
      <c r="HN28" s="446">
        <v>0</v>
      </c>
      <c r="HO28" s="446">
        <v>0</v>
      </c>
      <c r="HP28" s="446">
        <v>0</v>
      </c>
      <c r="HQ28" s="446">
        <v>2</v>
      </c>
      <c r="HR28" s="446">
        <v>0</v>
      </c>
      <c r="HS28" s="446">
        <v>0</v>
      </c>
      <c r="HT28" s="446">
        <v>0</v>
      </c>
      <c r="HU28" s="446">
        <v>0</v>
      </c>
      <c r="HV28" s="447">
        <v>2</v>
      </c>
      <c r="HW28" s="544"/>
      <c r="HX28" s="448"/>
    </row>
    <row r="29" spans="1:232" ht="24">
      <c r="A29" s="5682">
        <v>1</v>
      </c>
      <c r="B29" s="5682">
        <v>1</v>
      </c>
      <c r="C29" s="5683" t="s">
        <v>606</v>
      </c>
      <c r="D29" s="5683" t="s">
        <v>2703</v>
      </c>
      <c r="E29" s="5682">
        <v>1</v>
      </c>
      <c r="F29" s="5682">
        <v>1</v>
      </c>
      <c r="I29" s="4915">
        <v>1</v>
      </c>
      <c r="J29" s="4915">
        <v>1</v>
      </c>
      <c r="K29" s="4916" t="s">
        <v>2734</v>
      </c>
      <c r="L29" s="4916" t="s">
        <v>2731</v>
      </c>
      <c r="M29" s="4915">
        <v>6</v>
      </c>
      <c r="N29" s="4915">
        <v>9</v>
      </c>
      <c r="O29" s="157"/>
      <c r="Q29" s="4705">
        <v>1</v>
      </c>
      <c r="R29" s="4705">
        <v>1</v>
      </c>
      <c r="S29" s="4706" t="s">
        <v>2734</v>
      </c>
      <c r="T29" s="4708" t="s">
        <v>1076</v>
      </c>
      <c r="U29" s="4709">
        <v>1</v>
      </c>
      <c r="V29" s="4709">
        <v>7</v>
      </c>
      <c r="W29" s="4722"/>
      <c r="Y29" s="36"/>
      <c r="Z29" s="36"/>
      <c r="AA29" s="36" t="s">
        <v>2660</v>
      </c>
      <c r="AB29" s="36" t="s">
        <v>1071</v>
      </c>
      <c r="AC29" s="1681">
        <v>0</v>
      </c>
      <c r="AD29" s="1681"/>
      <c r="AE29" s="1681"/>
      <c r="AF29" s="1681"/>
      <c r="AG29" s="1681"/>
      <c r="AH29" s="1681"/>
      <c r="AI29" s="1681">
        <v>0</v>
      </c>
      <c r="AJ29" s="1681">
        <v>3</v>
      </c>
      <c r="AK29" s="1681"/>
      <c r="AL29" s="95"/>
      <c r="AM29" s="95">
        <v>3</v>
      </c>
      <c r="AN29" s="4545"/>
      <c r="AS29" s="3868" t="s">
        <v>1076</v>
      </c>
      <c r="AT29" s="3721">
        <v>0</v>
      </c>
      <c r="AU29" s="3721">
        <v>0</v>
      </c>
      <c r="AV29" s="3721"/>
      <c r="AW29" s="3721"/>
      <c r="AX29" s="3721"/>
      <c r="AY29" s="3721">
        <v>0</v>
      </c>
      <c r="AZ29" s="3721">
        <v>3</v>
      </c>
      <c r="BA29" s="3721">
        <v>5</v>
      </c>
      <c r="BB29" s="3721">
        <v>0</v>
      </c>
      <c r="BC29" s="2110"/>
      <c r="BD29" s="2110">
        <v>0</v>
      </c>
      <c r="BE29" s="2110">
        <v>8</v>
      </c>
      <c r="BF29" s="2110"/>
      <c r="BG29" s="2110"/>
      <c r="BK29" s="32" t="s">
        <v>1080</v>
      </c>
      <c r="BL29" s="3871">
        <v>0</v>
      </c>
      <c r="BM29" s="3871"/>
      <c r="BN29" s="3871"/>
      <c r="BO29" s="3871"/>
      <c r="BP29" s="3871">
        <v>0</v>
      </c>
      <c r="BQ29" s="3871">
        <v>0</v>
      </c>
      <c r="BR29" s="3871">
        <v>12</v>
      </c>
      <c r="BS29" s="3871"/>
      <c r="BT29" s="1518">
        <v>1</v>
      </c>
      <c r="BU29" s="1518">
        <v>13</v>
      </c>
      <c r="BX29" s="36"/>
      <c r="BY29" s="36"/>
      <c r="BZ29" s="36"/>
      <c r="CA29" s="393" t="s">
        <v>15</v>
      </c>
      <c r="CB29" s="1682"/>
      <c r="CC29" s="1682"/>
      <c r="CD29" s="1682"/>
      <c r="CE29" s="1682"/>
      <c r="CF29" s="1682"/>
      <c r="CG29" s="1682"/>
      <c r="CH29" s="1682">
        <v>2</v>
      </c>
      <c r="CI29" s="1682">
        <v>5</v>
      </c>
      <c r="CJ29" s="2041"/>
      <c r="CK29" s="2041">
        <v>1</v>
      </c>
      <c r="CL29" s="2041">
        <v>8</v>
      </c>
      <c r="CM29" s="560">
        <f>+(CL28+CL26)/CL29</f>
        <v>0.25</v>
      </c>
      <c r="CN29" s="1665"/>
      <c r="CO29" s="37"/>
      <c r="CP29" s="37"/>
      <c r="CQ29" s="37"/>
      <c r="CR29" s="37" t="s">
        <v>1072</v>
      </c>
      <c r="CS29" s="1678"/>
      <c r="CT29" s="1678"/>
      <c r="CU29" s="1678">
        <v>1</v>
      </c>
      <c r="CV29" s="1678">
        <v>1</v>
      </c>
      <c r="CW29" s="1678"/>
      <c r="CX29" s="1678"/>
      <c r="CY29" s="1678">
        <v>0</v>
      </c>
      <c r="CZ29" s="1678">
        <v>3</v>
      </c>
      <c r="DA29" s="1678">
        <v>0</v>
      </c>
      <c r="DB29" s="63"/>
      <c r="DC29" s="63"/>
      <c r="DD29" s="63">
        <v>5</v>
      </c>
      <c r="DG29" s="95"/>
      <c r="DH29" s="95"/>
      <c r="DI29" s="36"/>
      <c r="DJ29" s="36" t="s">
        <v>1072</v>
      </c>
      <c r="DK29" s="1484"/>
      <c r="DL29" s="1484"/>
      <c r="DM29" s="1484"/>
      <c r="DN29" s="1484"/>
      <c r="DO29" s="1484">
        <v>0</v>
      </c>
      <c r="DP29" s="1484"/>
      <c r="DQ29" s="1484"/>
      <c r="DR29" s="1484">
        <v>1</v>
      </c>
      <c r="DS29" s="1484">
        <v>0</v>
      </c>
      <c r="DT29" s="95"/>
      <c r="DU29" s="95"/>
      <c r="DV29" s="95">
        <v>1</v>
      </c>
      <c r="DW29" s="95"/>
      <c r="DY29" s="1209"/>
      <c r="DZ29" s="1209"/>
      <c r="EA29" s="1210"/>
      <c r="EB29" s="1211" t="s">
        <v>1077</v>
      </c>
      <c r="EC29" s="1212"/>
      <c r="ED29" s="1212"/>
      <c r="EE29" s="1212"/>
      <c r="EF29" s="1213">
        <v>1</v>
      </c>
      <c r="EG29" s="1212"/>
      <c r="EH29" s="1212"/>
      <c r="EI29" s="1212"/>
      <c r="EJ29" s="1213">
        <v>0</v>
      </c>
      <c r="EK29" s="611"/>
      <c r="EL29" s="611"/>
      <c r="EM29" s="612">
        <v>1</v>
      </c>
      <c r="EN29" s="36"/>
      <c r="EP29" s="527"/>
      <c r="EQ29" s="527"/>
      <c r="ER29" s="528"/>
      <c r="ES29" s="555" t="s">
        <v>15</v>
      </c>
      <c r="ET29" s="556"/>
      <c r="EU29" s="556"/>
      <c r="EV29" s="556"/>
      <c r="EW29" s="556"/>
      <c r="EX29" s="556"/>
      <c r="EY29" s="556"/>
      <c r="EZ29" s="557">
        <v>1</v>
      </c>
      <c r="FA29" s="557">
        <v>3</v>
      </c>
      <c r="FB29" s="558"/>
      <c r="FC29" s="558"/>
      <c r="FD29" s="559">
        <v>4</v>
      </c>
      <c r="FE29" s="560">
        <f>+FD28/FD29</f>
        <v>0.25</v>
      </c>
      <c r="FG29" s="533"/>
      <c r="FH29" s="533"/>
      <c r="FI29" s="533"/>
      <c r="FJ29" s="545" t="s">
        <v>15</v>
      </c>
      <c r="FK29" s="546"/>
      <c r="FL29" s="546"/>
      <c r="FM29" s="546"/>
      <c r="FN29" s="546"/>
      <c r="FO29" s="546"/>
      <c r="FP29" s="546"/>
      <c r="FQ29" s="547">
        <v>13</v>
      </c>
      <c r="FR29" s="546"/>
      <c r="FS29" s="546"/>
      <c r="FT29" s="548"/>
      <c r="FU29" s="548"/>
      <c r="FV29" s="549">
        <v>13</v>
      </c>
      <c r="FW29" s="539">
        <v>0</v>
      </c>
      <c r="FY29" s="540"/>
      <c r="GP29" s="63"/>
      <c r="GQ29" s="63"/>
      <c r="GR29" s="37"/>
      <c r="GS29" s="37" t="s">
        <v>1076</v>
      </c>
      <c r="GT29" s="63"/>
      <c r="GU29" s="63">
        <v>0</v>
      </c>
      <c r="GV29" s="63"/>
      <c r="GW29" s="63">
        <v>0</v>
      </c>
      <c r="GX29" s="63"/>
      <c r="GY29" s="63">
        <v>8</v>
      </c>
      <c r="GZ29" s="63"/>
      <c r="HA29" s="63"/>
      <c r="HB29" s="63"/>
      <c r="HC29" s="63"/>
      <c r="HD29" s="63">
        <v>8</v>
      </c>
      <c r="HE29" s="37"/>
      <c r="HF29" s="37"/>
      <c r="HG29" s="446"/>
      <c r="HH29" s="446"/>
      <c r="HI29" s="446"/>
      <c r="HJ29" s="446" t="s">
        <v>1163</v>
      </c>
      <c r="HK29" s="446">
        <v>0</v>
      </c>
      <c r="HL29" s="446">
        <v>0</v>
      </c>
      <c r="HM29" s="446">
        <v>0</v>
      </c>
      <c r="HN29" s="446">
        <v>0</v>
      </c>
      <c r="HO29" s="446">
        <v>0</v>
      </c>
      <c r="HP29" s="446">
        <v>0</v>
      </c>
      <c r="HQ29" s="446">
        <v>9</v>
      </c>
      <c r="HR29" s="446">
        <v>0</v>
      </c>
      <c r="HS29" s="446">
        <v>0</v>
      </c>
      <c r="HT29" s="446">
        <v>0</v>
      </c>
      <c r="HU29" s="446">
        <v>0</v>
      </c>
      <c r="HV29" s="447">
        <v>9</v>
      </c>
      <c r="HW29" s="544"/>
      <c r="HX29" s="448"/>
    </row>
    <row r="30" spans="1:232" ht="24">
      <c r="A30" s="5682"/>
      <c r="B30" s="5682"/>
      <c r="C30" s="5683"/>
      <c r="D30" s="5683"/>
      <c r="E30" s="5686">
        <f>SUM(E29)</f>
        <v>1</v>
      </c>
      <c r="F30" s="5682"/>
      <c r="G30" s="4921">
        <v>0</v>
      </c>
      <c r="I30" s="4915">
        <v>1</v>
      </c>
      <c r="J30" s="4915">
        <v>1</v>
      </c>
      <c r="K30" s="4916" t="s">
        <v>2734</v>
      </c>
      <c r="L30" s="4916" t="s">
        <v>1071</v>
      </c>
      <c r="M30" s="4915">
        <v>3</v>
      </c>
      <c r="N30" s="4915">
        <v>7</v>
      </c>
      <c r="O30" s="157"/>
      <c r="Q30" s="4705">
        <v>1</v>
      </c>
      <c r="R30" s="4705">
        <v>1</v>
      </c>
      <c r="S30" s="4706" t="s">
        <v>2734</v>
      </c>
      <c r="T30" s="4706" t="s">
        <v>2709</v>
      </c>
      <c r="U30" s="4707">
        <v>1</v>
      </c>
      <c r="V30" s="4707">
        <v>1</v>
      </c>
      <c r="W30" s="4722"/>
      <c r="X30" s="4452"/>
      <c r="Y30" s="36"/>
      <c r="Z30" s="36"/>
      <c r="AA30" s="36"/>
      <c r="AB30" s="36" t="s">
        <v>1072</v>
      </c>
      <c r="AC30" s="1681">
        <v>0</v>
      </c>
      <c r="AD30" s="1681"/>
      <c r="AE30" s="1681"/>
      <c r="AF30" s="1681"/>
      <c r="AG30" s="1681"/>
      <c r="AH30" s="1681"/>
      <c r="AI30" s="1681">
        <v>2</v>
      </c>
      <c r="AJ30" s="1681">
        <v>0</v>
      </c>
      <c r="AK30" s="1681"/>
      <c r="AL30" s="95"/>
      <c r="AM30" s="95">
        <v>2</v>
      </c>
      <c r="AN30" s="4545"/>
      <c r="AS30" s="3868" t="s">
        <v>1080</v>
      </c>
      <c r="AT30" s="3721">
        <v>0</v>
      </c>
      <c r="AU30" s="3721">
        <v>0</v>
      </c>
      <c r="AV30" s="3721"/>
      <c r="AW30" s="3721"/>
      <c r="AX30" s="3721"/>
      <c r="AY30" s="3721">
        <v>0</v>
      </c>
      <c r="AZ30" s="3721">
        <v>0</v>
      </c>
      <c r="BA30" s="3721">
        <v>4</v>
      </c>
      <c r="BB30" s="3721">
        <v>6</v>
      </c>
      <c r="BC30" s="2110"/>
      <c r="BD30" s="2110">
        <v>1</v>
      </c>
      <c r="BE30" s="2110">
        <v>11</v>
      </c>
      <c r="BF30" s="2110"/>
      <c r="BG30" s="2110"/>
      <c r="BK30" s="1520" t="s">
        <v>15</v>
      </c>
      <c r="BL30" s="3872">
        <v>1</v>
      </c>
      <c r="BM30" s="3872"/>
      <c r="BN30" s="3872"/>
      <c r="BO30" s="3872"/>
      <c r="BP30" s="3872">
        <v>1</v>
      </c>
      <c r="BQ30" s="3872">
        <v>7</v>
      </c>
      <c r="BR30" s="3872">
        <v>18</v>
      </c>
      <c r="BS30" s="3872"/>
      <c r="BT30" s="3806">
        <v>1</v>
      </c>
      <c r="BU30" s="3806">
        <v>28</v>
      </c>
      <c r="BV30" s="3807">
        <f>+BU28/BU30</f>
        <v>0.10714285714285714</v>
      </c>
      <c r="BX30" s="36"/>
      <c r="BY30" s="36"/>
      <c r="BZ30" s="36" t="s">
        <v>2270</v>
      </c>
      <c r="CA30" s="36" t="s">
        <v>1071</v>
      </c>
      <c r="CB30" s="1681">
        <v>0</v>
      </c>
      <c r="CC30" s="1681"/>
      <c r="CD30" s="1681"/>
      <c r="CE30" s="1681"/>
      <c r="CF30" s="1681"/>
      <c r="CG30" s="1681">
        <v>0</v>
      </c>
      <c r="CH30" s="1681">
        <v>0</v>
      </c>
      <c r="CI30" s="1681">
        <v>1</v>
      </c>
      <c r="CJ30" s="95">
        <v>0</v>
      </c>
      <c r="CK30" s="95">
        <v>0</v>
      </c>
      <c r="CL30" s="95">
        <v>1</v>
      </c>
      <c r="CM30" s="36"/>
      <c r="CO30" s="37"/>
      <c r="CP30" s="37"/>
      <c r="CQ30" s="37"/>
      <c r="CR30" s="37" t="s">
        <v>1076</v>
      </c>
      <c r="CS30" s="1678"/>
      <c r="CT30" s="1678"/>
      <c r="CU30" s="1678">
        <v>0</v>
      </c>
      <c r="CV30" s="1678">
        <v>0</v>
      </c>
      <c r="CW30" s="1678"/>
      <c r="CX30" s="1678"/>
      <c r="CY30" s="1678">
        <v>1</v>
      </c>
      <c r="CZ30" s="1678">
        <v>0</v>
      </c>
      <c r="DA30" s="1678">
        <v>0</v>
      </c>
      <c r="DB30" s="63"/>
      <c r="DC30" s="63"/>
      <c r="DD30" s="63">
        <v>1</v>
      </c>
      <c r="DG30" s="95"/>
      <c r="DH30" s="95"/>
      <c r="DI30" s="36"/>
      <c r="DJ30" s="36" t="s">
        <v>1077</v>
      </c>
      <c r="DK30" s="1484"/>
      <c r="DL30" s="1484"/>
      <c r="DM30" s="1484"/>
      <c r="DN30" s="1484"/>
      <c r="DO30" s="1484">
        <v>1</v>
      </c>
      <c r="DP30" s="1484"/>
      <c r="DQ30" s="1484"/>
      <c r="DR30" s="1484">
        <v>0</v>
      </c>
      <c r="DS30" s="1484">
        <v>0</v>
      </c>
      <c r="DT30" s="95"/>
      <c r="DU30" s="95"/>
      <c r="DV30" s="95">
        <v>1</v>
      </c>
      <c r="DW30" s="95"/>
      <c r="DY30" s="1209"/>
      <c r="DZ30" s="1209"/>
      <c r="EA30" s="1210"/>
      <c r="EB30" s="415" t="s">
        <v>15</v>
      </c>
      <c r="EC30" s="1214"/>
      <c r="ED30" s="1214"/>
      <c r="EE30" s="1214"/>
      <c r="EF30" s="1215">
        <v>1</v>
      </c>
      <c r="EG30" s="1214"/>
      <c r="EH30" s="1214"/>
      <c r="EI30" s="1214"/>
      <c r="EJ30" s="1215">
        <v>3</v>
      </c>
      <c r="EK30" s="620"/>
      <c r="EL30" s="620"/>
      <c r="EM30" s="621">
        <v>4</v>
      </c>
      <c r="EN30" s="1178">
        <v>0</v>
      </c>
      <c r="EP30" s="527"/>
      <c r="EQ30" s="527"/>
      <c r="ER30" s="528" t="s">
        <v>482</v>
      </c>
      <c r="ES30" s="529" t="s">
        <v>1071</v>
      </c>
      <c r="ET30" s="531">
        <v>0</v>
      </c>
      <c r="EU30" s="531">
        <v>0</v>
      </c>
      <c r="EV30" s="530"/>
      <c r="EW30" s="530"/>
      <c r="EX30" s="531">
        <v>0</v>
      </c>
      <c r="EY30" s="531">
        <v>0</v>
      </c>
      <c r="EZ30" s="531">
        <v>1</v>
      </c>
      <c r="FA30" s="531">
        <v>5</v>
      </c>
      <c r="FB30" s="527"/>
      <c r="FC30" s="527"/>
      <c r="FD30" s="532">
        <v>6</v>
      </c>
      <c r="FE30" s="95"/>
      <c r="FG30" s="533"/>
      <c r="FH30" s="533"/>
      <c r="FI30" s="533" t="s">
        <v>238</v>
      </c>
      <c r="FJ30" s="534" t="s">
        <v>1071</v>
      </c>
      <c r="FK30" s="535"/>
      <c r="FL30" s="535"/>
      <c r="FM30" s="535"/>
      <c r="FN30" s="536">
        <v>1</v>
      </c>
      <c r="FO30" s="535"/>
      <c r="FP30" s="535"/>
      <c r="FQ30" s="536">
        <v>0</v>
      </c>
      <c r="FR30" s="535"/>
      <c r="FS30" s="535"/>
      <c r="FT30" s="537"/>
      <c r="FU30" s="537"/>
      <c r="FV30" s="538">
        <v>1</v>
      </c>
      <c r="FW30" s="539"/>
      <c r="FY30" s="540"/>
      <c r="GP30" s="63"/>
      <c r="GQ30" s="63"/>
      <c r="GR30" s="37"/>
      <c r="GS30" s="37" t="s">
        <v>1081</v>
      </c>
      <c r="GT30" s="63"/>
      <c r="GU30" s="63">
        <v>0</v>
      </c>
      <c r="GV30" s="63"/>
      <c r="GW30" s="63">
        <v>0</v>
      </c>
      <c r="GX30" s="63"/>
      <c r="GY30" s="63">
        <v>2</v>
      </c>
      <c r="GZ30" s="63"/>
      <c r="HA30" s="63"/>
      <c r="HB30" s="63"/>
      <c r="HC30" s="63"/>
      <c r="HD30" s="63">
        <v>2</v>
      </c>
      <c r="HE30" s="37"/>
      <c r="HF30" s="37"/>
      <c r="HG30" s="446"/>
      <c r="HH30" s="446"/>
      <c r="HI30" s="446"/>
      <c r="HJ30" s="449" t="s">
        <v>15</v>
      </c>
      <c r="HK30" s="449">
        <v>0</v>
      </c>
      <c r="HL30" s="449">
        <v>0</v>
      </c>
      <c r="HM30" s="449">
        <v>1</v>
      </c>
      <c r="HN30" s="449">
        <v>0</v>
      </c>
      <c r="HO30" s="449">
        <v>2</v>
      </c>
      <c r="HP30" s="449">
        <v>0</v>
      </c>
      <c r="HQ30" s="449">
        <v>13</v>
      </c>
      <c r="HR30" s="449">
        <v>0</v>
      </c>
      <c r="HS30" s="449">
        <v>0</v>
      </c>
      <c r="HT30" s="449">
        <v>0</v>
      </c>
      <c r="HU30" s="449">
        <v>0</v>
      </c>
      <c r="HV30" s="507">
        <v>16</v>
      </c>
      <c r="HW30" s="554">
        <f>+(HV29+HV28)/HV30</f>
        <v>0.6875</v>
      </c>
      <c r="HX30" s="448">
        <f>+HV28+HV29</f>
        <v>11</v>
      </c>
    </row>
    <row r="31" spans="1:232" ht="24">
      <c r="A31" s="5682">
        <v>1</v>
      </c>
      <c r="B31" s="5682">
        <v>1</v>
      </c>
      <c r="C31" s="5683" t="s">
        <v>2734</v>
      </c>
      <c r="D31" s="5683" t="s">
        <v>2731</v>
      </c>
      <c r="E31" s="5682">
        <v>6</v>
      </c>
      <c r="F31" s="5682">
        <v>8</v>
      </c>
      <c r="I31" s="4915">
        <v>1</v>
      </c>
      <c r="J31" s="4915">
        <v>1</v>
      </c>
      <c r="K31" s="4916" t="s">
        <v>2734</v>
      </c>
      <c r="L31" s="4917" t="s">
        <v>2707</v>
      </c>
      <c r="M31" s="4922">
        <v>1</v>
      </c>
      <c r="N31" s="4915">
        <v>7</v>
      </c>
      <c r="O31" s="157"/>
      <c r="Q31" s="4705">
        <v>1</v>
      </c>
      <c r="R31" s="4705">
        <v>1</v>
      </c>
      <c r="S31" s="4706" t="s">
        <v>2734</v>
      </c>
      <c r="T31" s="4706" t="s">
        <v>2709</v>
      </c>
      <c r="U31" s="4707">
        <v>1</v>
      </c>
      <c r="V31" s="4707">
        <v>3</v>
      </c>
      <c r="W31" s="4722"/>
      <c r="Y31" s="36"/>
      <c r="Z31" s="36"/>
      <c r="AA31" s="36"/>
      <c r="AB31" s="36" t="s">
        <v>1081</v>
      </c>
      <c r="AC31" s="1681">
        <v>0</v>
      </c>
      <c r="AD31" s="1681"/>
      <c r="AE31" s="1681"/>
      <c r="AF31" s="1681"/>
      <c r="AG31" s="1681"/>
      <c r="AH31" s="1681"/>
      <c r="AI31" s="1681">
        <v>1</v>
      </c>
      <c r="AJ31" s="1681">
        <v>0</v>
      </c>
      <c r="AK31" s="1681"/>
      <c r="AL31" s="95"/>
      <c r="AM31" s="95">
        <v>1</v>
      </c>
      <c r="AN31" s="4545"/>
      <c r="AS31" s="3868" t="s">
        <v>1081</v>
      </c>
      <c r="AT31" s="3721">
        <v>0</v>
      </c>
      <c r="AU31" s="3721">
        <v>0</v>
      </c>
      <c r="AV31" s="3721"/>
      <c r="AW31" s="3721"/>
      <c r="AX31" s="3721"/>
      <c r="AY31" s="3721">
        <v>0</v>
      </c>
      <c r="AZ31" s="3721">
        <v>1</v>
      </c>
      <c r="BA31" s="3721">
        <v>1</v>
      </c>
      <c r="BB31" s="3721">
        <v>0</v>
      </c>
      <c r="BC31" s="2110"/>
      <c r="BD31" s="2110">
        <v>0</v>
      </c>
      <c r="BE31" s="2110">
        <v>2</v>
      </c>
      <c r="BF31" s="2110"/>
      <c r="BG31" s="2110"/>
      <c r="BJ31" s="1520" t="s">
        <v>482</v>
      </c>
      <c r="BK31" s="1520" t="s">
        <v>1071</v>
      </c>
      <c r="BL31" s="3872">
        <v>0</v>
      </c>
      <c r="BM31" s="3872">
        <v>0</v>
      </c>
      <c r="BN31" s="3872">
        <v>0</v>
      </c>
      <c r="BO31" s="3872">
        <v>0</v>
      </c>
      <c r="BP31" s="3872">
        <v>0</v>
      </c>
      <c r="BQ31" s="3872">
        <v>0</v>
      </c>
      <c r="BR31" s="3872">
        <v>6</v>
      </c>
      <c r="BS31" s="3872">
        <v>0</v>
      </c>
      <c r="BT31" s="3806">
        <v>0</v>
      </c>
      <c r="BU31" s="3806">
        <v>6</v>
      </c>
      <c r="BV31" s="1520"/>
      <c r="BX31" s="36"/>
      <c r="BY31" s="36"/>
      <c r="BZ31" s="36"/>
      <c r="CA31" s="36" t="s">
        <v>1072</v>
      </c>
      <c r="CB31" s="1681">
        <v>1</v>
      </c>
      <c r="CC31" s="1681"/>
      <c r="CD31" s="1681"/>
      <c r="CE31" s="1681"/>
      <c r="CF31" s="1681"/>
      <c r="CG31" s="1681">
        <v>4</v>
      </c>
      <c r="CH31" s="1681">
        <v>3</v>
      </c>
      <c r="CI31" s="1681">
        <v>0</v>
      </c>
      <c r="CJ31" s="95">
        <v>0</v>
      </c>
      <c r="CK31" s="95">
        <v>0</v>
      </c>
      <c r="CL31" s="95">
        <v>8</v>
      </c>
      <c r="CM31" s="36"/>
      <c r="CO31" s="37"/>
      <c r="CP31" s="37"/>
      <c r="CQ31" s="37"/>
      <c r="CR31" s="37" t="s">
        <v>1080</v>
      </c>
      <c r="CS31" s="1678"/>
      <c r="CT31" s="1678"/>
      <c r="CU31" s="1678">
        <v>0</v>
      </c>
      <c r="CV31" s="1678">
        <v>0</v>
      </c>
      <c r="CW31" s="1678"/>
      <c r="CX31" s="1678"/>
      <c r="CY31" s="1678">
        <v>0</v>
      </c>
      <c r="CZ31" s="1678">
        <v>0</v>
      </c>
      <c r="DA31" s="1678">
        <v>10</v>
      </c>
      <c r="DB31" s="63"/>
      <c r="DC31" s="63"/>
      <c r="DD31" s="63">
        <v>10</v>
      </c>
      <c r="DG31" s="95"/>
      <c r="DH31" s="95"/>
      <c r="DI31" s="36"/>
      <c r="DJ31" s="393" t="s">
        <v>15</v>
      </c>
      <c r="DK31" s="1485"/>
      <c r="DL31" s="1485"/>
      <c r="DM31" s="1485"/>
      <c r="DN31" s="1485"/>
      <c r="DO31" s="1485">
        <v>1</v>
      </c>
      <c r="DP31" s="1485"/>
      <c r="DQ31" s="1485"/>
      <c r="DR31" s="1485">
        <v>1</v>
      </c>
      <c r="DS31" s="1485">
        <v>1</v>
      </c>
      <c r="DT31" s="86"/>
      <c r="DU31" s="86"/>
      <c r="DV31" s="86">
        <v>3</v>
      </c>
      <c r="DW31" s="560">
        <v>0</v>
      </c>
      <c r="DY31" s="1209"/>
      <c r="DZ31" s="1209"/>
      <c r="EA31" s="1210" t="s">
        <v>482</v>
      </c>
      <c r="EB31" s="1211" t="s">
        <v>1071</v>
      </c>
      <c r="EC31" s="1213">
        <v>0</v>
      </c>
      <c r="ED31" s="1213">
        <v>0</v>
      </c>
      <c r="EE31" s="1213">
        <v>0</v>
      </c>
      <c r="EF31" s="1213">
        <v>0</v>
      </c>
      <c r="EG31" s="1213">
        <v>0</v>
      </c>
      <c r="EH31" s="1213">
        <v>2</v>
      </c>
      <c r="EI31" s="1213">
        <v>1</v>
      </c>
      <c r="EJ31" s="1213">
        <v>4</v>
      </c>
      <c r="EK31" s="611"/>
      <c r="EL31" s="612">
        <v>0</v>
      </c>
      <c r="EM31" s="612">
        <v>7</v>
      </c>
      <c r="EN31" s="36"/>
      <c r="EP31" s="527"/>
      <c r="EQ31" s="527"/>
      <c r="ER31" s="528"/>
      <c r="ES31" s="529" t="s">
        <v>1072</v>
      </c>
      <c r="ET31" s="531">
        <v>1</v>
      </c>
      <c r="EU31" s="531">
        <v>0</v>
      </c>
      <c r="EV31" s="530"/>
      <c r="EW31" s="530"/>
      <c r="EX31" s="531">
        <v>1</v>
      </c>
      <c r="EY31" s="531">
        <v>0</v>
      </c>
      <c r="EZ31" s="531">
        <v>9</v>
      </c>
      <c r="FA31" s="531">
        <v>0</v>
      </c>
      <c r="FB31" s="527"/>
      <c r="FC31" s="527"/>
      <c r="FD31" s="532">
        <v>11</v>
      </c>
      <c r="FE31" s="95"/>
      <c r="FG31" s="533"/>
      <c r="FH31" s="533"/>
      <c r="FI31" s="533"/>
      <c r="FJ31" s="534" t="s">
        <v>1072</v>
      </c>
      <c r="FK31" s="535"/>
      <c r="FL31" s="535"/>
      <c r="FM31" s="535"/>
      <c r="FN31" s="536">
        <v>0</v>
      </c>
      <c r="FO31" s="535"/>
      <c r="FP31" s="535"/>
      <c r="FQ31" s="536">
        <v>9</v>
      </c>
      <c r="FR31" s="535"/>
      <c r="FS31" s="535"/>
      <c r="FT31" s="537"/>
      <c r="FU31" s="537"/>
      <c r="FV31" s="538">
        <v>9</v>
      </c>
      <c r="FW31" s="539"/>
      <c r="FY31" s="540"/>
      <c r="GP31" s="63"/>
      <c r="GQ31" s="63"/>
      <c r="GR31" s="37"/>
      <c r="GS31" s="416" t="s">
        <v>15</v>
      </c>
      <c r="GT31" s="386"/>
      <c r="GU31" s="386">
        <v>2</v>
      </c>
      <c r="GV31" s="386"/>
      <c r="GW31" s="386">
        <v>1</v>
      </c>
      <c r="GX31" s="386"/>
      <c r="GY31" s="386">
        <v>15</v>
      </c>
      <c r="GZ31" s="386"/>
      <c r="HA31" s="386"/>
      <c r="HB31" s="386"/>
      <c r="HC31" s="386"/>
      <c r="HD31" s="386">
        <v>18</v>
      </c>
      <c r="HE31" s="466">
        <f>+(HD29+HD30)/HD31</f>
        <v>0.55555555555555558</v>
      </c>
      <c r="HF31" s="37"/>
      <c r="HG31" s="446"/>
      <c r="HH31" s="446"/>
      <c r="HI31" s="446" t="s">
        <v>118</v>
      </c>
      <c r="HJ31" s="446" t="s">
        <v>1071</v>
      </c>
      <c r="HK31" s="446">
        <v>0</v>
      </c>
      <c r="HL31" s="446">
        <v>0</v>
      </c>
      <c r="HM31" s="446">
        <v>0</v>
      </c>
      <c r="HN31" s="446">
        <v>0</v>
      </c>
      <c r="HO31" s="446">
        <v>0</v>
      </c>
      <c r="HP31" s="446">
        <v>0</v>
      </c>
      <c r="HQ31" s="446">
        <v>1</v>
      </c>
      <c r="HR31" s="446">
        <v>0</v>
      </c>
      <c r="HS31" s="446">
        <v>0</v>
      </c>
      <c r="HT31" s="446">
        <v>0</v>
      </c>
      <c r="HU31" s="446">
        <v>0</v>
      </c>
      <c r="HV31" s="447">
        <v>1</v>
      </c>
      <c r="HW31" s="544"/>
      <c r="HX31" s="448"/>
    </row>
    <row r="32" spans="1:232" ht="24">
      <c r="A32" s="5682">
        <v>1</v>
      </c>
      <c r="B32" s="5682">
        <v>1</v>
      </c>
      <c r="C32" s="5683" t="s">
        <v>2734</v>
      </c>
      <c r="D32" s="5683" t="s">
        <v>2731</v>
      </c>
      <c r="E32" s="5682">
        <v>3</v>
      </c>
      <c r="F32" s="5682">
        <v>9</v>
      </c>
      <c r="I32" s="4915">
        <v>1</v>
      </c>
      <c r="J32" s="4915">
        <v>1</v>
      </c>
      <c r="K32" s="4916" t="s">
        <v>2734</v>
      </c>
      <c r="L32" s="4918" t="s">
        <v>2707</v>
      </c>
      <c r="M32" s="4915">
        <v>1</v>
      </c>
      <c r="N32" s="4919">
        <v>9</v>
      </c>
      <c r="O32" s="157"/>
      <c r="Q32" s="4705">
        <v>1</v>
      </c>
      <c r="R32" s="4705">
        <v>1</v>
      </c>
      <c r="S32" s="4706" t="s">
        <v>2734</v>
      </c>
      <c r="T32" s="4706" t="s">
        <v>2709</v>
      </c>
      <c r="U32" s="4707">
        <v>1</v>
      </c>
      <c r="V32" s="4707">
        <v>5</v>
      </c>
      <c r="W32" s="4722"/>
      <c r="Y32" s="36"/>
      <c r="Z32" s="36"/>
      <c r="AA32" s="36"/>
      <c r="AB32" s="36" t="s">
        <v>2571</v>
      </c>
      <c r="AC32" s="1681">
        <v>1</v>
      </c>
      <c r="AD32" s="1681"/>
      <c r="AE32" s="1681"/>
      <c r="AF32" s="1681"/>
      <c r="AG32" s="1681"/>
      <c r="AH32" s="1681"/>
      <c r="AI32" s="1681">
        <v>0</v>
      </c>
      <c r="AJ32" s="1681">
        <v>0</v>
      </c>
      <c r="AK32" s="1681"/>
      <c r="AL32" s="95"/>
      <c r="AM32" s="95">
        <v>1</v>
      </c>
      <c r="AN32" s="4545"/>
      <c r="AS32" s="3868" t="s">
        <v>2571</v>
      </c>
      <c r="AT32" s="3721">
        <v>4</v>
      </c>
      <c r="AU32" s="3721">
        <v>0</v>
      </c>
      <c r="AV32" s="3721"/>
      <c r="AW32" s="3721"/>
      <c r="AX32" s="3721"/>
      <c r="AY32" s="3721">
        <v>0</v>
      </c>
      <c r="AZ32" s="3721">
        <v>0</v>
      </c>
      <c r="BA32" s="3721">
        <v>0</v>
      </c>
      <c r="BB32" s="3721">
        <v>0</v>
      </c>
      <c r="BC32" s="2110"/>
      <c r="BD32" s="2110">
        <v>0</v>
      </c>
      <c r="BE32" s="2110">
        <v>4</v>
      </c>
      <c r="BF32" s="2110"/>
      <c r="BG32" s="2110"/>
      <c r="BJ32" s="1520"/>
      <c r="BK32" s="1520" t="s">
        <v>1072</v>
      </c>
      <c r="BL32" s="3872">
        <v>3</v>
      </c>
      <c r="BM32" s="3872">
        <v>0</v>
      </c>
      <c r="BN32" s="3872">
        <v>1</v>
      </c>
      <c r="BO32" s="3872">
        <v>0</v>
      </c>
      <c r="BP32" s="3872">
        <v>2</v>
      </c>
      <c r="BQ32" s="3872">
        <v>24</v>
      </c>
      <c r="BR32" s="3872">
        <v>1</v>
      </c>
      <c r="BS32" s="3872">
        <v>1</v>
      </c>
      <c r="BT32" s="3806">
        <v>0</v>
      </c>
      <c r="BU32" s="3806">
        <v>32</v>
      </c>
      <c r="BV32" s="1520"/>
      <c r="BX32" s="36"/>
      <c r="BY32" s="36"/>
      <c r="BZ32" s="36"/>
      <c r="CA32" s="36" t="s">
        <v>1076</v>
      </c>
      <c r="CB32" s="1681">
        <v>0</v>
      </c>
      <c r="CC32" s="1681"/>
      <c r="CD32" s="1681"/>
      <c r="CE32" s="1681"/>
      <c r="CF32" s="1681"/>
      <c r="CG32" s="1681">
        <v>1</v>
      </c>
      <c r="CH32" s="1681">
        <v>2</v>
      </c>
      <c r="CI32" s="1681">
        <v>1</v>
      </c>
      <c r="CJ32" s="95">
        <v>0</v>
      </c>
      <c r="CK32" s="95">
        <v>0</v>
      </c>
      <c r="CL32" s="95">
        <v>4</v>
      </c>
      <c r="CM32" s="36"/>
      <c r="CO32" s="37"/>
      <c r="CP32" s="37"/>
      <c r="CQ32" s="37"/>
      <c r="CR32" s="37" t="s">
        <v>1081</v>
      </c>
      <c r="CS32" s="1678"/>
      <c r="CT32" s="1678"/>
      <c r="CU32" s="1678">
        <v>0</v>
      </c>
      <c r="CV32" s="1678">
        <v>0</v>
      </c>
      <c r="CW32" s="1678"/>
      <c r="CX32" s="1678"/>
      <c r="CY32" s="1678">
        <v>1</v>
      </c>
      <c r="CZ32" s="1678">
        <v>1</v>
      </c>
      <c r="DA32" s="1678">
        <v>4</v>
      </c>
      <c r="DB32" s="63"/>
      <c r="DC32" s="63"/>
      <c r="DD32" s="63">
        <v>6</v>
      </c>
      <c r="DG32" s="95"/>
      <c r="DH32" s="95"/>
      <c r="DI32" s="36" t="s">
        <v>482</v>
      </c>
      <c r="DJ32" s="36" t="s">
        <v>1071</v>
      </c>
      <c r="DK32" s="1484">
        <v>0</v>
      </c>
      <c r="DL32" s="1484">
        <v>0</v>
      </c>
      <c r="DM32" s="1484">
        <v>0</v>
      </c>
      <c r="DN32" s="1484"/>
      <c r="DO32" s="1484">
        <v>0</v>
      </c>
      <c r="DP32" s="1484">
        <v>1</v>
      </c>
      <c r="DQ32" s="1484">
        <v>0</v>
      </c>
      <c r="DR32" s="1484">
        <v>0</v>
      </c>
      <c r="DS32" s="1484">
        <v>4</v>
      </c>
      <c r="DT32" s="95">
        <v>0</v>
      </c>
      <c r="DU32" s="95">
        <v>0</v>
      </c>
      <c r="DV32" s="95">
        <v>5</v>
      </c>
      <c r="DW32" s="95"/>
      <c r="DY32" s="1209"/>
      <c r="DZ32" s="1209"/>
      <c r="EA32" s="1210"/>
      <c r="EB32" s="1211" t="s">
        <v>1072</v>
      </c>
      <c r="EC32" s="1213">
        <v>1</v>
      </c>
      <c r="ED32" s="1213">
        <v>1</v>
      </c>
      <c r="EE32" s="1213">
        <v>1</v>
      </c>
      <c r="EF32" s="1213">
        <v>0</v>
      </c>
      <c r="EG32" s="1213">
        <v>2</v>
      </c>
      <c r="EH32" s="1213">
        <v>11</v>
      </c>
      <c r="EI32" s="1213">
        <v>5</v>
      </c>
      <c r="EJ32" s="1213">
        <v>0</v>
      </c>
      <c r="EK32" s="611"/>
      <c r="EL32" s="612">
        <v>0</v>
      </c>
      <c r="EM32" s="612">
        <v>21</v>
      </c>
      <c r="EN32" s="36"/>
      <c r="EP32" s="527"/>
      <c r="EQ32" s="527"/>
      <c r="ER32" s="528"/>
      <c r="ES32" s="529" t="s">
        <v>1074</v>
      </c>
      <c r="ET32" s="531">
        <v>1</v>
      </c>
      <c r="EU32" s="531">
        <v>1</v>
      </c>
      <c r="EV32" s="530"/>
      <c r="EW32" s="530"/>
      <c r="EX32" s="531">
        <v>0</v>
      </c>
      <c r="EY32" s="531">
        <v>0</v>
      </c>
      <c r="EZ32" s="531">
        <v>0</v>
      </c>
      <c r="FA32" s="531">
        <v>0</v>
      </c>
      <c r="FB32" s="527"/>
      <c r="FC32" s="527"/>
      <c r="FD32" s="532">
        <v>2</v>
      </c>
      <c r="FE32" s="95"/>
      <c r="FG32" s="533"/>
      <c r="FH32" s="533"/>
      <c r="FI32" s="533"/>
      <c r="FJ32" s="534" t="s">
        <v>1076</v>
      </c>
      <c r="FK32" s="535"/>
      <c r="FL32" s="535"/>
      <c r="FM32" s="535"/>
      <c r="FN32" s="536">
        <v>0</v>
      </c>
      <c r="FO32" s="535"/>
      <c r="FP32" s="535"/>
      <c r="FQ32" s="536">
        <v>6</v>
      </c>
      <c r="FR32" s="535"/>
      <c r="FS32" s="535"/>
      <c r="FT32" s="537"/>
      <c r="FU32" s="537"/>
      <c r="FV32" s="538">
        <v>6</v>
      </c>
      <c r="FW32" s="539"/>
      <c r="FY32" s="540"/>
      <c r="GP32" s="63"/>
      <c r="GQ32" s="63"/>
      <c r="GR32" s="37" t="s">
        <v>117</v>
      </c>
      <c r="GS32" s="37" t="s">
        <v>1072</v>
      </c>
      <c r="GT32" s="63">
        <v>1</v>
      </c>
      <c r="GU32" s="63"/>
      <c r="GV32" s="63"/>
      <c r="GW32" s="63"/>
      <c r="GX32" s="63"/>
      <c r="GY32" s="63">
        <v>6</v>
      </c>
      <c r="GZ32" s="63">
        <v>2</v>
      </c>
      <c r="HA32" s="63"/>
      <c r="HB32" s="63"/>
      <c r="HC32" s="63"/>
      <c r="HD32" s="63">
        <v>9</v>
      </c>
      <c r="HE32" s="37"/>
      <c r="HF32" s="37"/>
      <c r="HG32" s="446"/>
      <c r="HH32" s="446"/>
      <c r="HI32" s="446"/>
      <c r="HJ32" s="446" t="s">
        <v>1072</v>
      </c>
      <c r="HK32" s="446">
        <v>1</v>
      </c>
      <c r="HL32" s="446">
        <v>0</v>
      </c>
      <c r="HM32" s="446">
        <v>0</v>
      </c>
      <c r="HN32" s="446">
        <v>0</v>
      </c>
      <c r="HO32" s="446">
        <v>0</v>
      </c>
      <c r="HP32" s="446">
        <v>0</v>
      </c>
      <c r="HQ32" s="446">
        <v>0</v>
      </c>
      <c r="HR32" s="446">
        <v>0</v>
      </c>
      <c r="HS32" s="446">
        <v>0</v>
      </c>
      <c r="HT32" s="446">
        <v>0</v>
      </c>
      <c r="HU32" s="446">
        <v>0</v>
      </c>
      <c r="HV32" s="447">
        <v>1</v>
      </c>
      <c r="HW32" s="544"/>
      <c r="HX32" s="448"/>
    </row>
    <row r="33" spans="1:232" ht="24">
      <c r="A33" s="5682">
        <v>1</v>
      </c>
      <c r="B33" s="5682">
        <v>1</v>
      </c>
      <c r="C33" s="5683" t="s">
        <v>2734</v>
      </c>
      <c r="D33" s="5683" t="s">
        <v>2731</v>
      </c>
      <c r="E33" s="5682">
        <v>5</v>
      </c>
      <c r="F33" s="5682">
        <v>10</v>
      </c>
      <c r="I33" s="4915">
        <v>1</v>
      </c>
      <c r="J33" s="4915">
        <v>1</v>
      </c>
      <c r="K33" s="4916" t="s">
        <v>2734</v>
      </c>
      <c r="L33" s="4917" t="s">
        <v>1076</v>
      </c>
      <c r="M33" s="4922">
        <v>2</v>
      </c>
      <c r="N33" s="4915">
        <v>7</v>
      </c>
      <c r="O33" s="157"/>
      <c r="Q33" s="4705"/>
      <c r="R33" s="4705"/>
      <c r="S33" s="4742"/>
      <c r="T33" s="4742"/>
      <c r="U33" s="4741">
        <f>SUM(U23:U32)</f>
        <v>20</v>
      </c>
      <c r="V33" s="4741"/>
      <c r="W33" s="4722">
        <f>(U26+U27+U28+U29)/(U33)</f>
        <v>0.2</v>
      </c>
      <c r="Y33" s="36"/>
      <c r="Z33" s="36"/>
      <c r="AA33" s="36"/>
      <c r="AB33" s="36" t="s">
        <v>15</v>
      </c>
      <c r="AC33" s="1681">
        <v>1</v>
      </c>
      <c r="AD33" s="1681"/>
      <c r="AE33" s="1681"/>
      <c r="AF33" s="1681"/>
      <c r="AG33" s="1681"/>
      <c r="AH33" s="1681"/>
      <c r="AI33" s="1681">
        <v>3</v>
      </c>
      <c r="AJ33" s="1681">
        <v>3</v>
      </c>
      <c r="AK33" s="1681"/>
      <c r="AL33" s="95"/>
      <c r="AM33" s="95">
        <v>7</v>
      </c>
      <c r="AN33" s="560">
        <f>+AI31/(AM33-AM32)</f>
        <v>0.16666666666666666</v>
      </c>
      <c r="AS33" s="27" t="s">
        <v>15</v>
      </c>
      <c r="AT33" s="3722">
        <v>4</v>
      </c>
      <c r="AU33" s="3722">
        <v>1</v>
      </c>
      <c r="AV33" s="3722"/>
      <c r="AW33" s="3722"/>
      <c r="AX33" s="3722"/>
      <c r="AY33" s="3722">
        <v>1</v>
      </c>
      <c r="AZ33" s="3722">
        <v>7</v>
      </c>
      <c r="BA33" s="3722">
        <v>12</v>
      </c>
      <c r="BB33" s="3722">
        <v>6</v>
      </c>
      <c r="BC33" s="3701"/>
      <c r="BD33" s="3701">
        <v>1</v>
      </c>
      <c r="BE33" s="3701">
        <v>32</v>
      </c>
      <c r="BF33" s="1665">
        <f>+(BE29+BE31)/(BE33-BE32)</f>
        <v>0.35714285714285715</v>
      </c>
      <c r="BG33" s="1665"/>
      <c r="BJ33" s="1520"/>
      <c r="BK33" s="1520" t="s">
        <v>1074</v>
      </c>
      <c r="BL33" s="3872">
        <v>1</v>
      </c>
      <c r="BM33" s="3872">
        <v>1</v>
      </c>
      <c r="BN33" s="3872">
        <v>0</v>
      </c>
      <c r="BO33" s="3872">
        <v>0</v>
      </c>
      <c r="BP33" s="3872">
        <v>0</v>
      </c>
      <c r="BQ33" s="3872">
        <v>0</v>
      </c>
      <c r="BR33" s="3872">
        <v>0</v>
      </c>
      <c r="BS33" s="3872">
        <v>0</v>
      </c>
      <c r="BT33" s="3806">
        <v>0</v>
      </c>
      <c r="BU33" s="3806">
        <v>2</v>
      </c>
      <c r="BV33" s="1520"/>
      <c r="BX33" s="36"/>
      <c r="BY33" s="36"/>
      <c r="BZ33" s="36"/>
      <c r="CA33" s="36" t="s">
        <v>1080</v>
      </c>
      <c r="CB33" s="1681">
        <v>0</v>
      </c>
      <c r="CC33" s="1681"/>
      <c r="CD33" s="1681"/>
      <c r="CE33" s="1681"/>
      <c r="CF33" s="1681"/>
      <c r="CG33" s="1681">
        <v>0</v>
      </c>
      <c r="CH33" s="1681">
        <v>0</v>
      </c>
      <c r="CI33" s="1681">
        <v>2</v>
      </c>
      <c r="CJ33" s="95">
        <v>1</v>
      </c>
      <c r="CK33" s="95">
        <v>1</v>
      </c>
      <c r="CL33" s="95">
        <v>4</v>
      </c>
      <c r="CM33" s="36"/>
      <c r="CO33" s="37"/>
      <c r="CP33" s="37"/>
      <c r="CQ33" s="37"/>
      <c r="CR33" s="37" t="s">
        <v>1163</v>
      </c>
      <c r="CS33" s="1678"/>
      <c r="CT33" s="1678"/>
      <c r="CU33" s="1678">
        <v>0</v>
      </c>
      <c r="CV33" s="1678">
        <v>0</v>
      </c>
      <c r="CW33" s="1678"/>
      <c r="CX33" s="1678"/>
      <c r="CY33" s="1678">
        <v>0</v>
      </c>
      <c r="CZ33" s="1678">
        <v>1</v>
      </c>
      <c r="DA33" s="1678">
        <v>0</v>
      </c>
      <c r="DB33" s="63"/>
      <c r="DC33" s="63"/>
      <c r="DD33" s="63">
        <v>1</v>
      </c>
      <c r="DG33" s="95"/>
      <c r="DH33" s="95"/>
      <c r="DI33" s="36"/>
      <c r="DJ33" s="36" t="s">
        <v>1072</v>
      </c>
      <c r="DK33" s="1484">
        <v>0</v>
      </c>
      <c r="DL33" s="1484">
        <v>1</v>
      </c>
      <c r="DM33" s="1484">
        <v>1</v>
      </c>
      <c r="DN33" s="1484"/>
      <c r="DO33" s="1484">
        <v>0</v>
      </c>
      <c r="DP33" s="1484">
        <v>1</v>
      </c>
      <c r="DQ33" s="1484">
        <v>10</v>
      </c>
      <c r="DR33" s="1484">
        <v>17</v>
      </c>
      <c r="DS33" s="1484">
        <v>1</v>
      </c>
      <c r="DT33" s="95">
        <v>1</v>
      </c>
      <c r="DU33" s="95">
        <v>0</v>
      </c>
      <c r="DV33" s="95">
        <v>32</v>
      </c>
      <c r="DW33" s="95"/>
      <c r="DY33" s="1209"/>
      <c r="DZ33" s="1209"/>
      <c r="EA33" s="1210"/>
      <c r="EB33" s="1211" t="s">
        <v>1074</v>
      </c>
      <c r="EC33" s="1213">
        <v>0</v>
      </c>
      <c r="ED33" s="1213">
        <v>0</v>
      </c>
      <c r="EE33" s="1213">
        <v>1</v>
      </c>
      <c r="EF33" s="1213">
        <v>0</v>
      </c>
      <c r="EG33" s="1213">
        <v>0</v>
      </c>
      <c r="EH33" s="1213">
        <v>0</v>
      </c>
      <c r="EI33" s="1213">
        <v>0</v>
      </c>
      <c r="EJ33" s="1213">
        <v>0</v>
      </c>
      <c r="EK33" s="611"/>
      <c r="EL33" s="612">
        <v>0</v>
      </c>
      <c r="EM33" s="612">
        <v>1</v>
      </c>
      <c r="EN33" s="36"/>
      <c r="EP33" s="527"/>
      <c r="EQ33" s="527"/>
      <c r="ER33" s="528"/>
      <c r="ES33" s="529" t="s">
        <v>1076</v>
      </c>
      <c r="ET33" s="531">
        <v>0</v>
      </c>
      <c r="EU33" s="531">
        <v>0</v>
      </c>
      <c r="EV33" s="530"/>
      <c r="EW33" s="530"/>
      <c r="EX33" s="531">
        <v>1</v>
      </c>
      <c r="EY33" s="531">
        <v>0</v>
      </c>
      <c r="EZ33" s="531">
        <v>2</v>
      </c>
      <c r="FA33" s="531">
        <v>1</v>
      </c>
      <c r="FB33" s="527"/>
      <c r="FC33" s="527"/>
      <c r="FD33" s="532">
        <v>4</v>
      </c>
      <c r="FE33" s="95"/>
      <c r="FG33" s="533"/>
      <c r="FH33" s="533"/>
      <c r="FI33" s="533"/>
      <c r="FJ33" s="534" t="s">
        <v>1081</v>
      </c>
      <c r="FK33" s="535"/>
      <c r="FL33" s="535"/>
      <c r="FM33" s="535"/>
      <c r="FN33" s="536">
        <v>0</v>
      </c>
      <c r="FO33" s="535"/>
      <c r="FP33" s="535"/>
      <c r="FQ33" s="536">
        <v>2</v>
      </c>
      <c r="FR33" s="535"/>
      <c r="FS33" s="535"/>
      <c r="FT33" s="537"/>
      <c r="FU33" s="537"/>
      <c r="FV33" s="538">
        <v>2</v>
      </c>
      <c r="FW33" s="539"/>
      <c r="GP33" s="63"/>
      <c r="GQ33" s="63"/>
      <c r="GR33" s="37"/>
      <c r="GS33" s="37" t="s">
        <v>1081</v>
      </c>
      <c r="GT33" s="63">
        <v>0</v>
      </c>
      <c r="GU33" s="63"/>
      <c r="GV33" s="63"/>
      <c r="GW33" s="63"/>
      <c r="GX33" s="63"/>
      <c r="GY33" s="63">
        <v>5</v>
      </c>
      <c r="GZ33" s="63">
        <v>0</v>
      </c>
      <c r="HA33" s="63"/>
      <c r="HB33" s="63"/>
      <c r="HC33" s="63"/>
      <c r="HD33" s="63">
        <v>5</v>
      </c>
      <c r="HE33" s="37"/>
      <c r="HF33" s="37"/>
      <c r="HG33" s="446"/>
      <c r="HH33" s="446"/>
      <c r="HI33" s="446"/>
      <c r="HJ33" s="449" t="s">
        <v>15</v>
      </c>
      <c r="HK33" s="449">
        <v>1</v>
      </c>
      <c r="HL33" s="449">
        <v>0</v>
      </c>
      <c r="HM33" s="449">
        <v>0</v>
      </c>
      <c r="HN33" s="449">
        <v>0</v>
      </c>
      <c r="HO33" s="449">
        <v>0</v>
      </c>
      <c r="HP33" s="449">
        <v>0</v>
      </c>
      <c r="HQ33" s="449">
        <v>1</v>
      </c>
      <c r="HR33" s="449">
        <v>0</v>
      </c>
      <c r="HS33" s="449">
        <v>0</v>
      </c>
      <c r="HT33" s="449">
        <v>0</v>
      </c>
      <c r="HU33" s="449">
        <v>0</v>
      </c>
      <c r="HV33" s="507">
        <v>2</v>
      </c>
      <c r="HW33" s="554">
        <f>0/HV33</f>
        <v>0</v>
      </c>
      <c r="HX33" s="448">
        <v>0</v>
      </c>
    </row>
    <row r="34" spans="1:232" ht="24">
      <c r="A34" s="5682">
        <v>1</v>
      </c>
      <c r="B34" s="5682">
        <v>1</v>
      </c>
      <c r="C34" s="5683" t="s">
        <v>2734</v>
      </c>
      <c r="D34" s="5685" t="s">
        <v>2707</v>
      </c>
      <c r="E34" s="5682">
        <v>1</v>
      </c>
      <c r="F34" s="5682">
        <v>7</v>
      </c>
      <c r="I34" s="4915"/>
      <c r="J34" s="4915"/>
      <c r="K34" s="4916"/>
      <c r="L34" s="4917"/>
      <c r="M34" s="4920">
        <f>SUM(M27:M33)</f>
        <v>24</v>
      </c>
      <c r="N34" s="4915"/>
      <c r="O34" s="4921">
        <f>(M31+M33)/(M34)</f>
        <v>0.125</v>
      </c>
      <c r="Q34" s="4705">
        <v>1</v>
      </c>
      <c r="R34" s="4705">
        <v>1</v>
      </c>
      <c r="S34" s="4706" t="s">
        <v>607</v>
      </c>
      <c r="T34" s="4706" t="s">
        <v>2731</v>
      </c>
      <c r="U34" s="4707">
        <v>5</v>
      </c>
      <c r="V34" s="4707">
        <v>8</v>
      </c>
      <c r="W34" s="4722"/>
      <c r="Y34" s="36"/>
      <c r="Z34" s="36"/>
      <c r="AA34" s="393" t="s">
        <v>482</v>
      </c>
      <c r="AB34" s="36" t="s">
        <v>1071</v>
      </c>
      <c r="AC34" s="1681">
        <v>0</v>
      </c>
      <c r="AD34" s="1681">
        <v>0</v>
      </c>
      <c r="AE34" s="1681"/>
      <c r="AF34" s="1681">
        <v>0</v>
      </c>
      <c r="AG34" s="1681">
        <v>0</v>
      </c>
      <c r="AH34" s="1681">
        <v>0</v>
      </c>
      <c r="AI34" s="1681">
        <v>0</v>
      </c>
      <c r="AJ34" s="1681">
        <v>7</v>
      </c>
      <c r="AK34" s="1681">
        <v>0</v>
      </c>
      <c r="AL34" s="95">
        <v>0</v>
      </c>
      <c r="AM34" s="95">
        <v>7</v>
      </c>
      <c r="AN34" s="4545"/>
      <c r="AR34" s="27" t="s">
        <v>482</v>
      </c>
      <c r="AS34" s="27" t="s">
        <v>1071</v>
      </c>
      <c r="AT34" s="3722">
        <v>0</v>
      </c>
      <c r="AU34" s="3722">
        <v>0</v>
      </c>
      <c r="AV34" s="3722">
        <v>0</v>
      </c>
      <c r="AW34" s="3722">
        <v>0</v>
      </c>
      <c r="AX34" s="3722">
        <v>0</v>
      </c>
      <c r="AY34" s="3722">
        <v>0</v>
      </c>
      <c r="AZ34" s="3722">
        <v>0</v>
      </c>
      <c r="BA34" s="3722">
        <v>0</v>
      </c>
      <c r="BB34" s="3722">
        <v>5</v>
      </c>
      <c r="BC34" s="3701"/>
      <c r="BD34" s="3701">
        <v>0</v>
      </c>
      <c r="BE34" s="3701">
        <v>5</v>
      </c>
      <c r="BF34" s="2110"/>
      <c r="BG34" s="2110"/>
      <c r="BJ34" s="1520"/>
      <c r="BK34" s="1520" t="s">
        <v>1076</v>
      </c>
      <c r="BL34" s="3872">
        <v>0</v>
      </c>
      <c r="BM34" s="3872">
        <v>0</v>
      </c>
      <c r="BN34" s="3872">
        <v>0</v>
      </c>
      <c r="BO34" s="3872">
        <v>0</v>
      </c>
      <c r="BP34" s="3872">
        <v>0</v>
      </c>
      <c r="BQ34" s="3872">
        <v>0</v>
      </c>
      <c r="BR34" s="3872">
        <v>5</v>
      </c>
      <c r="BS34" s="3872">
        <v>0</v>
      </c>
      <c r="BT34" s="3806">
        <v>0</v>
      </c>
      <c r="BU34" s="3806">
        <v>5</v>
      </c>
      <c r="BV34" s="1520"/>
      <c r="BX34" s="36"/>
      <c r="BY34" s="36"/>
      <c r="BZ34" s="36"/>
      <c r="CA34" s="36" t="s">
        <v>1081</v>
      </c>
      <c r="CB34" s="1681">
        <v>0</v>
      </c>
      <c r="CC34" s="1681"/>
      <c r="CD34" s="1681"/>
      <c r="CE34" s="1681"/>
      <c r="CF34" s="1681"/>
      <c r="CG34" s="1681">
        <v>2</v>
      </c>
      <c r="CH34" s="1681">
        <v>5</v>
      </c>
      <c r="CI34" s="1681">
        <v>4</v>
      </c>
      <c r="CJ34" s="95">
        <v>0</v>
      </c>
      <c r="CK34" s="95">
        <v>0</v>
      </c>
      <c r="CL34" s="95">
        <v>11</v>
      </c>
      <c r="CM34" s="36"/>
      <c r="CO34" s="37"/>
      <c r="CP34" s="37"/>
      <c r="CQ34" s="37"/>
      <c r="CR34" s="416" t="s">
        <v>15</v>
      </c>
      <c r="CS34" s="1679"/>
      <c r="CT34" s="1679"/>
      <c r="CU34" s="1679">
        <v>1</v>
      </c>
      <c r="CV34" s="1679">
        <v>1</v>
      </c>
      <c r="CW34" s="1679"/>
      <c r="CX34" s="1679"/>
      <c r="CY34" s="1679">
        <v>2</v>
      </c>
      <c r="CZ34" s="1679">
        <v>5</v>
      </c>
      <c r="DA34" s="1679">
        <v>15</v>
      </c>
      <c r="DB34" s="386"/>
      <c r="DC34" s="386"/>
      <c r="DD34" s="386">
        <v>24</v>
      </c>
      <c r="DE34" s="2045">
        <f>+(DD30+DD32+DD33)/DD34</f>
        <v>0.33333333333333331</v>
      </c>
      <c r="DG34" s="95"/>
      <c r="DH34" s="95"/>
      <c r="DI34" s="36"/>
      <c r="DJ34" s="36" t="s">
        <v>1074</v>
      </c>
      <c r="DK34" s="1484">
        <v>0</v>
      </c>
      <c r="DL34" s="1484">
        <v>1</v>
      </c>
      <c r="DM34" s="1484">
        <v>0</v>
      </c>
      <c r="DN34" s="1484"/>
      <c r="DO34" s="1484">
        <v>0</v>
      </c>
      <c r="DP34" s="1484">
        <v>0</v>
      </c>
      <c r="DQ34" s="1484">
        <v>0</v>
      </c>
      <c r="DR34" s="1484">
        <v>0</v>
      </c>
      <c r="DS34" s="1484">
        <v>0</v>
      </c>
      <c r="DT34" s="95">
        <v>0</v>
      </c>
      <c r="DU34" s="95">
        <v>0</v>
      </c>
      <c r="DV34" s="95">
        <v>1</v>
      </c>
      <c r="DW34" s="95"/>
      <c r="DY34" s="1209"/>
      <c r="DZ34" s="1209"/>
      <c r="EA34" s="1210"/>
      <c r="EB34" s="1211" t="s">
        <v>1076</v>
      </c>
      <c r="EC34" s="1213">
        <v>0</v>
      </c>
      <c r="ED34" s="1213">
        <v>0</v>
      </c>
      <c r="EE34" s="1213">
        <v>0</v>
      </c>
      <c r="EF34" s="1213">
        <v>0</v>
      </c>
      <c r="EG34" s="1213">
        <v>1</v>
      </c>
      <c r="EH34" s="1213">
        <v>0</v>
      </c>
      <c r="EI34" s="1213">
        <v>2</v>
      </c>
      <c r="EJ34" s="1213">
        <v>0</v>
      </c>
      <c r="EK34" s="611"/>
      <c r="EL34" s="612">
        <v>0</v>
      </c>
      <c r="EM34" s="612">
        <v>3</v>
      </c>
      <c r="EN34" s="36"/>
      <c r="EP34" s="527"/>
      <c r="EQ34" s="527"/>
      <c r="ER34" s="528"/>
      <c r="ES34" s="529" t="s">
        <v>1077</v>
      </c>
      <c r="ET34" s="531">
        <v>0</v>
      </c>
      <c r="EU34" s="531">
        <v>0</v>
      </c>
      <c r="EV34" s="530"/>
      <c r="EW34" s="530"/>
      <c r="EX34" s="531">
        <v>0</v>
      </c>
      <c r="EY34" s="531">
        <v>0</v>
      </c>
      <c r="EZ34" s="531">
        <v>1</v>
      </c>
      <c r="FA34" s="531">
        <v>0</v>
      </c>
      <c r="FB34" s="527"/>
      <c r="FC34" s="527"/>
      <c r="FD34" s="532">
        <v>1</v>
      </c>
      <c r="FE34" s="95"/>
      <c r="FG34" s="533"/>
      <c r="FH34" s="533"/>
      <c r="FI34" s="533"/>
      <c r="FJ34" s="534" t="s">
        <v>1163</v>
      </c>
      <c r="FK34" s="535"/>
      <c r="FL34" s="535"/>
      <c r="FM34" s="535"/>
      <c r="FN34" s="536">
        <v>0</v>
      </c>
      <c r="FO34" s="535"/>
      <c r="FP34" s="535"/>
      <c r="FQ34" s="536">
        <v>7</v>
      </c>
      <c r="FR34" s="535"/>
      <c r="FS34" s="535"/>
      <c r="FT34" s="537"/>
      <c r="FU34" s="537"/>
      <c r="FV34" s="538">
        <v>7</v>
      </c>
      <c r="FW34" s="539"/>
      <c r="GP34" s="63"/>
      <c r="GQ34" s="63"/>
      <c r="GR34" s="37"/>
      <c r="GS34" s="416" t="s">
        <v>15</v>
      </c>
      <c r="GT34" s="386">
        <v>1</v>
      </c>
      <c r="GU34" s="386"/>
      <c r="GV34" s="386"/>
      <c r="GW34" s="386"/>
      <c r="GX34" s="386"/>
      <c r="GY34" s="386">
        <v>11</v>
      </c>
      <c r="GZ34" s="386">
        <v>2</v>
      </c>
      <c r="HA34" s="386"/>
      <c r="HB34" s="386"/>
      <c r="HC34" s="386"/>
      <c r="HD34" s="386">
        <v>14</v>
      </c>
      <c r="HE34" s="466">
        <f>+HD33/HD34</f>
        <v>0.35714285714285715</v>
      </c>
      <c r="HF34" s="37"/>
      <c r="HG34" s="446"/>
      <c r="HH34" s="446" t="s">
        <v>103</v>
      </c>
      <c r="HI34" s="446" t="s">
        <v>104</v>
      </c>
      <c r="HJ34" s="446" t="s">
        <v>1071</v>
      </c>
      <c r="HK34" s="446">
        <v>0</v>
      </c>
      <c r="HL34" s="446">
        <v>0</v>
      </c>
      <c r="HM34" s="446">
        <v>0</v>
      </c>
      <c r="HN34" s="446">
        <v>0</v>
      </c>
      <c r="HO34" s="446">
        <v>0</v>
      </c>
      <c r="HP34" s="446">
        <v>0</v>
      </c>
      <c r="HQ34" s="446">
        <v>1</v>
      </c>
      <c r="HR34" s="446">
        <v>0</v>
      </c>
      <c r="HS34" s="446">
        <v>0</v>
      </c>
      <c r="HT34" s="446">
        <v>0</v>
      </c>
      <c r="HU34" s="446">
        <v>0</v>
      </c>
      <c r="HV34" s="447">
        <v>1</v>
      </c>
      <c r="HW34" s="544"/>
      <c r="HX34" s="448"/>
    </row>
    <row r="35" spans="1:232" ht="24">
      <c r="A35" s="5682">
        <v>1</v>
      </c>
      <c r="B35" s="5682">
        <v>1</v>
      </c>
      <c r="C35" s="5683" t="s">
        <v>2734</v>
      </c>
      <c r="D35" s="5685" t="s">
        <v>2707</v>
      </c>
      <c r="E35" s="5682">
        <v>3</v>
      </c>
      <c r="F35" s="5682">
        <v>8</v>
      </c>
      <c r="I35" s="4915">
        <v>1</v>
      </c>
      <c r="J35" s="4915">
        <v>1</v>
      </c>
      <c r="K35" s="4916" t="s">
        <v>2310</v>
      </c>
      <c r="L35" s="4916" t="s">
        <v>2731</v>
      </c>
      <c r="M35" s="4915">
        <v>1</v>
      </c>
      <c r="N35" s="4915">
        <v>7</v>
      </c>
      <c r="O35" s="157"/>
      <c r="Q35" s="4705">
        <v>1</v>
      </c>
      <c r="R35" s="4705">
        <v>1</v>
      </c>
      <c r="S35" s="4706" t="s">
        <v>607</v>
      </c>
      <c r="T35" s="4706" t="s">
        <v>2731</v>
      </c>
      <c r="U35" s="4707">
        <v>1</v>
      </c>
      <c r="V35" s="4707">
        <v>9</v>
      </c>
      <c r="W35" s="4722"/>
      <c r="Y35" s="36"/>
      <c r="Z35" s="36"/>
      <c r="AA35" s="36"/>
      <c r="AB35" s="36" t="s">
        <v>1072</v>
      </c>
      <c r="AC35" s="1681">
        <v>0</v>
      </c>
      <c r="AD35" s="1681">
        <v>1</v>
      </c>
      <c r="AE35" s="1681"/>
      <c r="AF35" s="1681">
        <v>1</v>
      </c>
      <c r="AG35" s="1681">
        <v>0</v>
      </c>
      <c r="AH35" s="1681">
        <v>3</v>
      </c>
      <c r="AI35" s="1681">
        <v>5</v>
      </c>
      <c r="AJ35" s="1681">
        <v>1</v>
      </c>
      <c r="AK35" s="1681">
        <v>5</v>
      </c>
      <c r="AL35" s="95">
        <v>0</v>
      </c>
      <c r="AM35" s="95">
        <v>16</v>
      </c>
      <c r="AN35" s="4545"/>
      <c r="AR35" s="27"/>
      <c r="AS35" s="27" t="s">
        <v>1072</v>
      </c>
      <c r="AT35" s="3722">
        <v>0</v>
      </c>
      <c r="AU35" s="3722">
        <v>3</v>
      </c>
      <c r="AV35" s="3722">
        <v>0</v>
      </c>
      <c r="AW35" s="3722">
        <v>1</v>
      </c>
      <c r="AX35" s="3722">
        <v>0</v>
      </c>
      <c r="AY35" s="3722">
        <v>2</v>
      </c>
      <c r="AZ35" s="3722">
        <v>18</v>
      </c>
      <c r="BA35" s="3722">
        <v>3</v>
      </c>
      <c r="BB35" s="3722">
        <v>1</v>
      </c>
      <c r="BC35" s="3701"/>
      <c r="BD35" s="3701">
        <v>0</v>
      </c>
      <c r="BE35" s="3701">
        <v>28</v>
      </c>
      <c r="BF35" s="2110"/>
      <c r="BG35" s="2110"/>
      <c r="BJ35" s="1520"/>
      <c r="BK35" s="1520" t="s">
        <v>1077</v>
      </c>
      <c r="BL35" s="3872">
        <v>0</v>
      </c>
      <c r="BM35" s="3872">
        <v>0</v>
      </c>
      <c r="BN35" s="3872">
        <v>0</v>
      </c>
      <c r="BO35" s="3872">
        <v>2</v>
      </c>
      <c r="BP35" s="3872">
        <v>0</v>
      </c>
      <c r="BQ35" s="3872">
        <v>0</v>
      </c>
      <c r="BR35" s="3872">
        <v>0</v>
      </c>
      <c r="BS35" s="3872">
        <v>0</v>
      </c>
      <c r="BT35" s="3806">
        <v>0</v>
      </c>
      <c r="BU35" s="3806">
        <v>2</v>
      </c>
      <c r="BV35" s="1520"/>
      <c r="BX35" s="36"/>
      <c r="BY35" s="36"/>
      <c r="BZ35" s="36"/>
      <c r="CA35" s="36" t="s">
        <v>1163</v>
      </c>
      <c r="CB35" s="1681">
        <v>0</v>
      </c>
      <c r="CC35" s="1681"/>
      <c r="CD35" s="1681"/>
      <c r="CE35" s="1681"/>
      <c r="CF35" s="1681"/>
      <c r="CG35" s="1681">
        <v>0</v>
      </c>
      <c r="CH35" s="1681">
        <v>3</v>
      </c>
      <c r="CI35" s="1681">
        <v>1</v>
      </c>
      <c r="CJ35" s="95">
        <v>0</v>
      </c>
      <c r="CK35" s="95">
        <v>0</v>
      </c>
      <c r="CL35" s="95">
        <v>4</v>
      </c>
      <c r="CM35" s="36"/>
      <c r="CO35" s="37"/>
      <c r="CP35" s="37"/>
      <c r="CQ35" s="37" t="s">
        <v>482</v>
      </c>
      <c r="CR35" s="37" t="s">
        <v>1071</v>
      </c>
      <c r="CS35" s="1678"/>
      <c r="CT35" s="1678">
        <v>0</v>
      </c>
      <c r="CU35" s="1678">
        <v>0</v>
      </c>
      <c r="CV35" s="1678">
        <v>0</v>
      </c>
      <c r="CW35" s="1678">
        <v>0</v>
      </c>
      <c r="CX35" s="1678">
        <v>0</v>
      </c>
      <c r="CY35" s="1678">
        <v>0</v>
      </c>
      <c r="CZ35" s="1678">
        <v>1</v>
      </c>
      <c r="DA35" s="1678">
        <v>3</v>
      </c>
      <c r="DB35" s="63"/>
      <c r="DC35" s="63">
        <v>1</v>
      </c>
      <c r="DD35" s="63">
        <v>5</v>
      </c>
      <c r="DG35" s="95"/>
      <c r="DH35" s="95"/>
      <c r="DI35" s="36"/>
      <c r="DJ35" s="36" t="s">
        <v>1076</v>
      </c>
      <c r="DK35" s="1484">
        <v>0</v>
      </c>
      <c r="DL35" s="1484">
        <v>0</v>
      </c>
      <c r="DM35" s="1484">
        <v>0</v>
      </c>
      <c r="DN35" s="1484"/>
      <c r="DO35" s="1484">
        <v>0</v>
      </c>
      <c r="DP35" s="1484">
        <v>0</v>
      </c>
      <c r="DQ35" s="1484">
        <v>2</v>
      </c>
      <c r="DR35" s="1484">
        <v>0</v>
      </c>
      <c r="DS35" s="1484">
        <v>1</v>
      </c>
      <c r="DT35" s="95">
        <v>1</v>
      </c>
      <c r="DU35" s="95">
        <v>0</v>
      </c>
      <c r="DV35" s="95">
        <v>4</v>
      </c>
      <c r="DW35" s="95"/>
      <c r="DY35" s="1209"/>
      <c r="DZ35" s="1209"/>
      <c r="EA35" s="1210"/>
      <c r="EB35" s="1211" t="s">
        <v>1077</v>
      </c>
      <c r="EC35" s="1213">
        <v>0</v>
      </c>
      <c r="ED35" s="1213">
        <v>0</v>
      </c>
      <c r="EE35" s="1213">
        <v>0</v>
      </c>
      <c r="EF35" s="1213">
        <v>3</v>
      </c>
      <c r="EG35" s="1213">
        <v>0</v>
      </c>
      <c r="EH35" s="1213">
        <v>0</v>
      </c>
      <c r="EI35" s="1213">
        <v>0</v>
      </c>
      <c r="EJ35" s="1213">
        <v>0</v>
      </c>
      <c r="EK35" s="611"/>
      <c r="EL35" s="612">
        <v>0</v>
      </c>
      <c r="EM35" s="612">
        <v>3</v>
      </c>
      <c r="EN35" s="36"/>
      <c r="EP35" s="527"/>
      <c r="EQ35" s="527"/>
      <c r="ER35" s="528"/>
      <c r="ES35" s="529" t="s">
        <v>1080</v>
      </c>
      <c r="ET35" s="531">
        <v>0</v>
      </c>
      <c r="EU35" s="531">
        <v>0</v>
      </c>
      <c r="EV35" s="530"/>
      <c r="EW35" s="530"/>
      <c r="EX35" s="531">
        <v>0</v>
      </c>
      <c r="EY35" s="531">
        <v>0</v>
      </c>
      <c r="EZ35" s="531">
        <v>1</v>
      </c>
      <c r="FA35" s="531">
        <v>6</v>
      </c>
      <c r="FB35" s="527"/>
      <c r="FC35" s="527"/>
      <c r="FD35" s="532">
        <v>7</v>
      </c>
      <c r="FE35" s="95"/>
      <c r="FG35" s="533"/>
      <c r="FH35" s="533"/>
      <c r="FI35" s="533"/>
      <c r="FJ35" s="545" t="s">
        <v>15</v>
      </c>
      <c r="FK35" s="546"/>
      <c r="FL35" s="546"/>
      <c r="FM35" s="546"/>
      <c r="FN35" s="547">
        <v>1</v>
      </c>
      <c r="FO35" s="546"/>
      <c r="FP35" s="546"/>
      <c r="FQ35" s="547">
        <v>24</v>
      </c>
      <c r="FR35" s="546"/>
      <c r="FS35" s="546"/>
      <c r="FT35" s="548"/>
      <c r="FU35" s="548"/>
      <c r="FV35" s="549">
        <v>25</v>
      </c>
      <c r="FW35" s="539">
        <f>+(FV34+FV33+FV32)/FV35</f>
        <v>0.6</v>
      </c>
      <c r="GP35" s="63"/>
      <c r="GQ35" s="63"/>
      <c r="GR35" s="37" t="s">
        <v>118</v>
      </c>
      <c r="GS35" s="37" t="s">
        <v>1071</v>
      </c>
      <c r="GT35" s="63"/>
      <c r="GU35" s="63"/>
      <c r="GV35" s="63"/>
      <c r="GW35" s="63"/>
      <c r="GX35" s="63"/>
      <c r="GY35" s="63">
        <v>0</v>
      </c>
      <c r="GZ35" s="63">
        <v>0</v>
      </c>
      <c r="HA35" s="63">
        <v>1</v>
      </c>
      <c r="HB35" s="63"/>
      <c r="HC35" s="63"/>
      <c r="HD35" s="63">
        <v>1</v>
      </c>
      <c r="HE35" s="37"/>
      <c r="HF35" s="37"/>
      <c r="HG35" s="446"/>
      <c r="HH35" s="446"/>
      <c r="HI35" s="446"/>
      <c r="HJ35" s="446" t="s">
        <v>1072</v>
      </c>
      <c r="HK35" s="446">
        <v>0</v>
      </c>
      <c r="HL35" s="446">
        <v>0</v>
      </c>
      <c r="HM35" s="446">
        <v>0</v>
      </c>
      <c r="HN35" s="446">
        <v>1</v>
      </c>
      <c r="HO35" s="446">
        <v>1</v>
      </c>
      <c r="HP35" s="446">
        <v>0</v>
      </c>
      <c r="HQ35" s="446">
        <v>0</v>
      </c>
      <c r="HR35" s="446">
        <v>0</v>
      </c>
      <c r="HS35" s="446">
        <v>0</v>
      </c>
      <c r="HT35" s="446">
        <v>0</v>
      </c>
      <c r="HU35" s="446">
        <v>0</v>
      </c>
      <c r="HV35" s="447">
        <v>2</v>
      </c>
      <c r="HW35" s="544"/>
      <c r="HX35" s="448"/>
    </row>
    <row r="36" spans="1:232" ht="24">
      <c r="A36" s="5687">
        <v>1</v>
      </c>
      <c r="B36" s="5687">
        <v>1</v>
      </c>
      <c r="C36" s="5688" t="s">
        <v>2734</v>
      </c>
      <c r="D36" s="5688" t="s">
        <v>2707</v>
      </c>
      <c r="E36" s="5687">
        <v>1</v>
      </c>
      <c r="F36" s="5687">
        <v>9</v>
      </c>
      <c r="I36" s="4915">
        <v>1</v>
      </c>
      <c r="J36" s="4915">
        <v>1</v>
      </c>
      <c r="K36" s="4916" t="s">
        <v>2310</v>
      </c>
      <c r="L36" s="4916" t="s">
        <v>2703</v>
      </c>
      <c r="M36" s="4915">
        <v>1</v>
      </c>
      <c r="N36" s="4915">
        <v>4</v>
      </c>
      <c r="O36" s="157"/>
      <c r="Q36" s="4705">
        <v>1</v>
      </c>
      <c r="R36" s="4705">
        <v>1</v>
      </c>
      <c r="S36" s="4706" t="s">
        <v>607</v>
      </c>
      <c r="T36" s="4706" t="s">
        <v>2731</v>
      </c>
      <c r="U36" s="4707">
        <v>1</v>
      </c>
      <c r="V36" s="4707">
        <v>10</v>
      </c>
      <c r="W36" s="4722"/>
      <c r="Y36" s="36"/>
      <c r="Z36" s="36"/>
      <c r="AA36" s="36"/>
      <c r="AB36" s="36" t="s">
        <v>1074</v>
      </c>
      <c r="AC36" s="1681">
        <v>0</v>
      </c>
      <c r="AD36" s="1681">
        <v>1</v>
      </c>
      <c r="AE36" s="1681"/>
      <c r="AF36" s="1681">
        <v>0</v>
      </c>
      <c r="AG36" s="1681">
        <v>0</v>
      </c>
      <c r="AH36" s="1681">
        <v>0</v>
      </c>
      <c r="AI36" s="1681">
        <v>0</v>
      </c>
      <c r="AJ36" s="1681">
        <v>0</v>
      </c>
      <c r="AK36" s="1681">
        <v>0</v>
      </c>
      <c r="AL36" s="95">
        <v>0</v>
      </c>
      <c r="AM36" s="95">
        <v>1</v>
      </c>
      <c r="AN36" s="4545"/>
      <c r="AR36" s="27"/>
      <c r="AS36" s="27" t="s">
        <v>1074</v>
      </c>
      <c r="AT36" s="3722">
        <v>0</v>
      </c>
      <c r="AU36" s="3722">
        <v>1</v>
      </c>
      <c r="AV36" s="3722">
        <v>1</v>
      </c>
      <c r="AW36" s="3722">
        <v>0</v>
      </c>
      <c r="AX36" s="3722">
        <v>0</v>
      </c>
      <c r="AY36" s="3722">
        <v>0</v>
      </c>
      <c r="AZ36" s="3722">
        <v>0</v>
      </c>
      <c r="BA36" s="3722">
        <v>0</v>
      </c>
      <c r="BB36" s="3722">
        <v>0</v>
      </c>
      <c r="BC36" s="3701"/>
      <c r="BD36" s="3701">
        <v>0</v>
      </c>
      <c r="BE36" s="3701">
        <v>2</v>
      </c>
      <c r="BF36" s="2110"/>
      <c r="BG36" s="2110"/>
      <c r="BJ36" s="1520"/>
      <c r="BK36" s="1520" t="s">
        <v>1080</v>
      </c>
      <c r="BL36" s="3872">
        <v>0</v>
      </c>
      <c r="BM36" s="3872">
        <v>0</v>
      </c>
      <c r="BN36" s="3872">
        <v>0</v>
      </c>
      <c r="BO36" s="3872">
        <v>0</v>
      </c>
      <c r="BP36" s="3872">
        <v>0</v>
      </c>
      <c r="BQ36" s="3872">
        <v>0</v>
      </c>
      <c r="BR36" s="3872">
        <v>18</v>
      </c>
      <c r="BS36" s="3872">
        <v>0</v>
      </c>
      <c r="BT36" s="3806">
        <v>2</v>
      </c>
      <c r="BU36" s="3806">
        <v>20</v>
      </c>
      <c r="BV36" s="1520"/>
      <c r="BX36" s="36"/>
      <c r="BY36" s="36"/>
      <c r="BZ36" s="36"/>
      <c r="CA36" s="393" t="s">
        <v>15</v>
      </c>
      <c r="CB36" s="1682">
        <v>1</v>
      </c>
      <c r="CC36" s="1682"/>
      <c r="CD36" s="1682"/>
      <c r="CE36" s="1682"/>
      <c r="CF36" s="1682"/>
      <c r="CG36" s="1682">
        <v>7</v>
      </c>
      <c r="CH36" s="1682">
        <v>13</v>
      </c>
      <c r="CI36" s="1682">
        <v>9</v>
      </c>
      <c r="CJ36" s="2041">
        <v>1</v>
      </c>
      <c r="CK36" s="2041">
        <v>1</v>
      </c>
      <c r="CL36" s="2041">
        <v>32</v>
      </c>
      <c r="CM36" s="560">
        <f>+(CL35+CL34+CL32)/CL36</f>
        <v>0.59375</v>
      </c>
      <c r="CN36" s="1665"/>
      <c r="CO36" s="37"/>
      <c r="CP36" s="37"/>
      <c r="CQ36" s="37"/>
      <c r="CR36" s="37" t="s">
        <v>1072</v>
      </c>
      <c r="CS36" s="1678"/>
      <c r="CT36" s="1678">
        <v>4</v>
      </c>
      <c r="CU36" s="1678">
        <v>2</v>
      </c>
      <c r="CV36" s="1678">
        <v>2</v>
      </c>
      <c r="CW36" s="1678">
        <v>1</v>
      </c>
      <c r="CX36" s="1678">
        <v>0</v>
      </c>
      <c r="CY36" s="1678">
        <v>6</v>
      </c>
      <c r="CZ36" s="1678">
        <v>6</v>
      </c>
      <c r="DA36" s="1678">
        <v>0</v>
      </c>
      <c r="DB36" s="63"/>
      <c r="DC36" s="63">
        <v>0</v>
      </c>
      <c r="DD36" s="63">
        <v>21</v>
      </c>
      <c r="DG36" s="95"/>
      <c r="DH36" s="95"/>
      <c r="DI36" s="36"/>
      <c r="DJ36" s="36" t="s">
        <v>1077</v>
      </c>
      <c r="DK36" s="1484">
        <v>0</v>
      </c>
      <c r="DL36" s="1484">
        <v>0</v>
      </c>
      <c r="DM36" s="1484">
        <v>0</v>
      </c>
      <c r="DN36" s="1484"/>
      <c r="DO36" s="1484">
        <v>1</v>
      </c>
      <c r="DP36" s="1484">
        <v>0</v>
      </c>
      <c r="DQ36" s="1484">
        <v>0</v>
      </c>
      <c r="DR36" s="1484">
        <v>0</v>
      </c>
      <c r="DS36" s="1484">
        <v>0</v>
      </c>
      <c r="DT36" s="95">
        <v>0</v>
      </c>
      <c r="DU36" s="95">
        <v>0</v>
      </c>
      <c r="DV36" s="95">
        <v>1</v>
      </c>
      <c r="DW36" s="95"/>
      <c r="DY36" s="1209"/>
      <c r="DZ36" s="1209"/>
      <c r="EA36" s="1210"/>
      <c r="EB36" s="1211" t="s">
        <v>1080</v>
      </c>
      <c r="EC36" s="1213">
        <v>0</v>
      </c>
      <c r="ED36" s="1213">
        <v>0</v>
      </c>
      <c r="EE36" s="1213">
        <v>0</v>
      </c>
      <c r="EF36" s="1213">
        <v>0</v>
      </c>
      <c r="EG36" s="1213">
        <v>0</v>
      </c>
      <c r="EH36" s="1213">
        <v>0</v>
      </c>
      <c r="EI36" s="1213">
        <v>1</v>
      </c>
      <c r="EJ36" s="1213">
        <v>10</v>
      </c>
      <c r="EK36" s="611"/>
      <c r="EL36" s="612">
        <v>2</v>
      </c>
      <c r="EM36" s="612">
        <v>13</v>
      </c>
      <c r="EN36" s="36"/>
      <c r="EP36" s="527"/>
      <c r="EQ36" s="527"/>
      <c r="ER36" s="528"/>
      <c r="ES36" s="529" t="s">
        <v>1081</v>
      </c>
      <c r="ET36" s="531">
        <v>0</v>
      </c>
      <c r="EU36" s="531">
        <v>0</v>
      </c>
      <c r="EV36" s="530"/>
      <c r="EW36" s="530"/>
      <c r="EX36" s="531">
        <v>2</v>
      </c>
      <c r="EY36" s="531">
        <v>1</v>
      </c>
      <c r="EZ36" s="531">
        <v>1</v>
      </c>
      <c r="FA36" s="531">
        <v>1</v>
      </c>
      <c r="FB36" s="527"/>
      <c r="FC36" s="527"/>
      <c r="FD36" s="532">
        <v>5</v>
      </c>
      <c r="FE36" s="95"/>
      <c r="FG36" s="533"/>
      <c r="FH36" s="533"/>
      <c r="FI36" s="533" t="s">
        <v>118</v>
      </c>
      <c r="FJ36" s="534" t="s">
        <v>1071</v>
      </c>
      <c r="FK36" s="535"/>
      <c r="FL36" s="536">
        <v>0</v>
      </c>
      <c r="FM36" s="535"/>
      <c r="FN36" s="535"/>
      <c r="FO36" s="535"/>
      <c r="FP36" s="535"/>
      <c r="FQ36" s="535"/>
      <c r="FR36" s="536">
        <v>0</v>
      </c>
      <c r="FS36" s="536">
        <v>1</v>
      </c>
      <c r="FT36" s="537"/>
      <c r="FU36" s="537"/>
      <c r="FV36" s="538">
        <v>1</v>
      </c>
      <c r="FW36" s="539"/>
      <c r="GP36" s="63"/>
      <c r="GQ36" s="63"/>
      <c r="GR36" s="37"/>
      <c r="GS36" s="37" t="s">
        <v>1072</v>
      </c>
      <c r="GT36" s="63"/>
      <c r="GU36" s="63"/>
      <c r="GV36" s="63"/>
      <c r="GW36" s="63"/>
      <c r="GX36" s="63"/>
      <c r="GY36" s="63">
        <v>7</v>
      </c>
      <c r="GZ36" s="63">
        <v>0</v>
      </c>
      <c r="HA36" s="63">
        <v>0</v>
      </c>
      <c r="HB36" s="63"/>
      <c r="HC36" s="63"/>
      <c r="HD36" s="63">
        <v>7</v>
      </c>
      <c r="HE36" s="37"/>
      <c r="HF36" s="37"/>
      <c r="HG36" s="446"/>
      <c r="HH36" s="446"/>
      <c r="HI36" s="446"/>
      <c r="HJ36" s="446" t="s">
        <v>1076</v>
      </c>
      <c r="HK36" s="446">
        <v>0</v>
      </c>
      <c r="HL36" s="446">
        <v>0</v>
      </c>
      <c r="HM36" s="446">
        <v>0</v>
      </c>
      <c r="HN36" s="446">
        <v>1</v>
      </c>
      <c r="HO36" s="446">
        <v>0</v>
      </c>
      <c r="HP36" s="446">
        <v>0</v>
      </c>
      <c r="HQ36" s="446">
        <v>0</v>
      </c>
      <c r="HR36" s="446">
        <v>0</v>
      </c>
      <c r="HS36" s="446">
        <v>0</v>
      </c>
      <c r="HT36" s="446">
        <v>0</v>
      </c>
      <c r="HU36" s="446">
        <v>0</v>
      </c>
      <c r="HV36" s="447">
        <v>1</v>
      </c>
      <c r="HW36" s="544"/>
      <c r="HX36" s="448"/>
    </row>
    <row r="37" spans="1:232" ht="24">
      <c r="A37" s="5682">
        <v>1</v>
      </c>
      <c r="B37" s="5682">
        <v>1</v>
      </c>
      <c r="C37" s="5683" t="s">
        <v>2734</v>
      </c>
      <c r="D37" s="5685" t="s">
        <v>1076</v>
      </c>
      <c r="E37" s="5682">
        <v>2</v>
      </c>
      <c r="F37" s="5682">
        <v>7</v>
      </c>
      <c r="I37" s="4915">
        <v>1</v>
      </c>
      <c r="J37" s="4915">
        <v>1</v>
      </c>
      <c r="K37" s="4916" t="s">
        <v>2310</v>
      </c>
      <c r="L37" s="4917" t="s">
        <v>1076</v>
      </c>
      <c r="M37" s="4922">
        <v>2</v>
      </c>
      <c r="N37" s="4915">
        <v>6</v>
      </c>
      <c r="O37" s="157"/>
      <c r="Q37" s="4705">
        <v>1</v>
      </c>
      <c r="R37" s="4705">
        <v>1</v>
      </c>
      <c r="S37" s="4706" t="s">
        <v>607</v>
      </c>
      <c r="T37" s="4706" t="s">
        <v>1071</v>
      </c>
      <c r="U37" s="4707">
        <v>1</v>
      </c>
      <c r="V37" s="4707">
        <v>8</v>
      </c>
      <c r="W37" s="4722"/>
      <c r="Y37" s="36"/>
      <c r="Z37" s="36"/>
      <c r="AA37" s="36"/>
      <c r="AB37" s="36" t="s">
        <v>1076</v>
      </c>
      <c r="AC37" s="1681">
        <v>0</v>
      </c>
      <c r="AD37" s="1681">
        <v>0</v>
      </c>
      <c r="AE37" s="1681"/>
      <c r="AF37" s="1681">
        <v>0</v>
      </c>
      <c r="AG37" s="1681">
        <v>0</v>
      </c>
      <c r="AH37" s="1681">
        <v>0</v>
      </c>
      <c r="AI37" s="1681">
        <v>3</v>
      </c>
      <c r="AJ37" s="1681">
        <v>0</v>
      </c>
      <c r="AK37" s="1681">
        <v>0</v>
      </c>
      <c r="AL37" s="95">
        <v>0</v>
      </c>
      <c r="AM37" s="95">
        <v>3</v>
      </c>
      <c r="AN37" s="4545"/>
      <c r="AR37" s="27"/>
      <c r="AS37" s="27" t="s">
        <v>1076</v>
      </c>
      <c r="AT37" s="3722">
        <v>0</v>
      </c>
      <c r="AU37" s="3722">
        <v>0</v>
      </c>
      <c r="AV37" s="3722">
        <v>0</v>
      </c>
      <c r="AW37" s="3722">
        <v>0</v>
      </c>
      <c r="AX37" s="3722">
        <v>0</v>
      </c>
      <c r="AY37" s="3722">
        <v>0</v>
      </c>
      <c r="AZ37" s="3722">
        <v>5</v>
      </c>
      <c r="BA37" s="3722">
        <v>6</v>
      </c>
      <c r="BB37" s="3722">
        <v>0</v>
      </c>
      <c r="BC37" s="3701"/>
      <c r="BD37" s="3701">
        <v>0</v>
      </c>
      <c r="BE37" s="3701">
        <v>11</v>
      </c>
      <c r="BF37" s="2110"/>
      <c r="BG37" s="2110"/>
      <c r="BJ37" s="1520"/>
      <c r="BK37" s="1520" t="s">
        <v>1081</v>
      </c>
      <c r="BL37" s="3872">
        <v>0</v>
      </c>
      <c r="BM37" s="3872">
        <v>0</v>
      </c>
      <c r="BN37" s="3872">
        <v>0</v>
      </c>
      <c r="BO37" s="3872">
        <v>0</v>
      </c>
      <c r="BP37" s="3872">
        <v>0</v>
      </c>
      <c r="BQ37" s="3872">
        <v>0</v>
      </c>
      <c r="BR37" s="3872">
        <v>2</v>
      </c>
      <c r="BS37" s="3872">
        <v>1</v>
      </c>
      <c r="BT37" s="3806">
        <v>0</v>
      </c>
      <c r="BU37" s="3806">
        <v>3</v>
      </c>
      <c r="BV37" s="1520"/>
      <c r="BX37" s="36"/>
      <c r="BY37" s="36"/>
      <c r="BZ37" s="393" t="s">
        <v>482</v>
      </c>
      <c r="CA37" s="393" t="s">
        <v>1071</v>
      </c>
      <c r="CB37" s="1682">
        <v>0</v>
      </c>
      <c r="CC37" s="1682"/>
      <c r="CD37" s="1682">
        <v>0</v>
      </c>
      <c r="CE37" s="1682">
        <v>0</v>
      </c>
      <c r="CF37" s="1682">
        <v>0</v>
      </c>
      <c r="CG37" s="1682">
        <v>1</v>
      </c>
      <c r="CH37" s="1682">
        <v>0</v>
      </c>
      <c r="CI37" s="1682">
        <v>4</v>
      </c>
      <c r="CJ37" s="2041">
        <v>0</v>
      </c>
      <c r="CK37" s="2041">
        <v>0</v>
      </c>
      <c r="CL37" s="2041">
        <v>5</v>
      </c>
      <c r="CM37" s="36"/>
      <c r="CO37" s="37"/>
      <c r="CP37" s="37"/>
      <c r="CQ37" s="37"/>
      <c r="CR37" s="37" t="s">
        <v>1076</v>
      </c>
      <c r="CS37" s="1678"/>
      <c r="CT37" s="1678">
        <v>0</v>
      </c>
      <c r="CU37" s="1678">
        <v>0</v>
      </c>
      <c r="CV37" s="1678">
        <v>0</v>
      </c>
      <c r="CW37" s="1678">
        <v>0</v>
      </c>
      <c r="CX37" s="1678">
        <v>1</v>
      </c>
      <c r="CY37" s="1678">
        <v>3</v>
      </c>
      <c r="CZ37" s="1678">
        <v>0</v>
      </c>
      <c r="DA37" s="1678">
        <v>1</v>
      </c>
      <c r="DB37" s="63"/>
      <c r="DC37" s="63">
        <v>0</v>
      </c>
      <c r="DD37" s="63">
        <v>5</v>
      </c>
      <c r="DG37" s="95"/>
      <c r="DH37" s="95"/>
      <c r="DI37" s="36"/>
      <c r="DJ37" s="36" t="s">
        <v>1080</v>
      </c>
      <c r="DK37" s="1484">
        <v>0</v>
      </c>
      <c r="DL37" s="1484">
        <v>0</v>
      </c>
      <c r="DM37" s="1484">
        <v>0</v>
      </c>
      <c r="DN37" s="1484"/>
      <c r="DO37" s="1484">
        <v>0</v>
      </c>
      <c r="DP37" s="1484">
        <v>0</v>
      </c>
      <c r="DQ37" s="1484">
        <v>0</v>
      </c>
      <c r="DR37" s="1484">
        <v>1</v>
      </c>
      <c r="DS37" s="1484">
        <v>11</v>
      </c>
      <c r="DT37" s="95">
        <v>0</v>
      </c>
      <c r="DU37" s="95">
        <v>1</v>
      </c>
      <c r="DV37" s="95">
        <v>13</v>
      </c>
      <c r="DW37" s="95"/>
      <c r="DY37" s="1209"/>
      <c r="DZ37" s="1209"/>
      <c r="EA37" s="1210"/>
      <c r="EB37" s="1211" t="s">
        <v>1081</v>
      </c>
      <c r="EC37" s="1213">
        <v>0</v>
      </c>
      <c r="ED37" s="1213">
        <v>0</v>
      </c>
      <c r="EE37" s="1213">
        <v>0</v>
      </c>
      <c r="EF37" s="1213">
        <v>0</v>
      </c>
      <c r="EG37" s="1213">
        <v>1</v>
      </c>
      <c r="EH37" s="1213">
        <v>6</v>
      </c>
      <c r="EI37" s="1213">
        <v>0</v>
      </c>
      <c r="EJ37" s="1213">
        <v>1</v>
      </c>
      <c r="EK37" s="611"/>
      <c r="EL37" s="612">
        <v>0</v>
      </c>
      <c r="EM37" s="612">
        <v>8</v>
      </c>
      <c r="EN37" s="36"/>
      <c r="EP37" s="527"/>
      <c r="EQ37" s="527"/>
      <c r="ER37" s="528"/>
      <c r="ES37" s="529" t="s">
        <v>1163</v>
      </c>
      <c r="ET37" s="531">
        <v>0</v>
      </c>
      <c r="EU37" s="531">
        <v>0</v>
      </c>
      <c r="EV37" s="530"/>
      <c r="EW37" s="530"/>
      <c r="EX37" s="531">
        <v>0</v>
      </c>
      <c r="EY37" s="531">
        <v>2</v>
      </c>
      <c r="EZ37" s="531">
        <v>4</v>
      </c>
      <c r="FA37" s="531">
        <v>3</v>
      </c>
      <c r="FB37" s="527"/>
      <c r="FC37" s="527"/>
      <c r="FD37" s="532">
        <v>9</v>
      </c>
      <c r="FE37" s="95"/>
      <c r="FG37" s="533"/>
      <c r="FH37" s="533"/>
      <c r="FI37" s="533"/>
      <c r="FJ37" s="534" t="s">
        <v>1072</v>
      </c>
      <c r="FK37" s="535"/>
      <c r="FL37" s="536">
        <v>0</v>
      </c>
      <c r="FM37" s="535"/>
      <c r="FN37" s="535"/>
      <c r="FO37" s="535"/>
      <c r="FP37" s="535"/>
      <c r="FQ37" s="535"/>
      <c r="FR37" s="536">
        <v>1</v>
      </c>
      <c r="FS37" s="536">
        <v>0</v>
      </c>
      <c r="FT37" s="537"/>
      <c r="FU37" s="537"/>
      <c r="FV37" s="538">
        <v>1</v>
      </c>
      <c r="FW37" s="539"/>
      <c r="GP37" s="63"/>
      <c r="GQ37" s="63"/>
      <c r="GR37" s="37"/>
      <c r="GS37" s="37" t="s">
        <v>1076</v>
      </c>
      <c r="GT37" s="63"/>
      <c r="GU37" s="63"/>
      <c r="GV37" s="63"/>
      <c r="GW37" s="63"/>
      <c r="GX37" s="63"/>
      <c r="GY37" s="63">
        <v>0</v>
      </c>
      <c r="GZ37" s="63">
        <v>2</v>
      </c>
      <c r="HA37" s="63">
        <v>0</v>
      </c>
      <c r="HB37" s="63"/>
      <c r="HC37" s="63"/>
      <c r="HD37" s="63">
        <v>2</v>
      </c>
      <c r="HE37" s="37"/>
      <c r="HF37" s="37"/>
      <c r="HG37" s="446"/>
      <c r="HH37" s="446"/>
      <c r="HI37" s="446"/>
      <c r="HJ37" s="446" t="s">
        <v>1077</v>
      </c>
      <c r="HK37" s="446">
        <v>0</v>
      </c>
      <c r="HL37" s="446">
        <v>0</v>
      </c>
      <c r="HM37" s="446">
        <v>1</v>
      </c>
      <c r="HN37" s="446">
        <v>3</v>
      </c>
      <c r="HO37" s="446">
        <v>13</v>
      </c>
      <c r="HP37" s="446">
        <v>6</v>
      </c>
      <c r="HQ37" s="446">
        <v>3</v>
      </c>
      <c r="HR37" s="446">
        <v>0</v>
      </c>
      <c r="HS37" s="446">
        <v>0</v>
      </c>
      <c r="HT37" s="446">
        <v>0</v>
      </c>
      <c r="HU37" s="446">
        <v>0</v>
      </c>
      <c r="HV37" s="447">
        <v>26</v>
      </c>
      <c r="HW37" s="544"/>
      <c r="HX37" s="448"/>
    </row>
    <row r="38" spans="1:232" ht="24">
      <c r="A38" s="5682">
        <v>1</v>
      </c>
      <c r="B38" s="5682">
        <v>1</v>
      </c>
      <c r="C38" s="5683" t="s">
        <v>2734</v>
      </c>
      <c r="D38" s="5683" t="s">
        <v>3027</v>
      </c>
      <c r="E38" s="5682">
        <v>1</v>
      </c>
      <c r="F38" s="5682">
        <v>8</v>
      </c>
      <c r="I38" s="4915">
        <v>1</v>
      </c>
      <c r="J38" s="4915">
        <v>1</v>
      </c>
      <c r="K38" s="4916" t="s">
        <v>2310</v>
      </c>
      <c r="L38" s="4917" t="s">
        <v>1076</v>
      </c>
      <c r="M38" s="4922">
        <v>2</v>
      </c>
      <c r="N38" s="4915">
        <v>8</v>
      </c>
      <c r="O38" s="157"/>
      <c r="Q38" s="4705">
        <v>1</v>
      </c>
      <c r="R38" s="4705">
        <v>1</v>
      </c>
      <c r="S38" s="4706" t="s">
        <v>607</v>
      </c>
      <c r="T38" s="4708" t="s">
        <v>2732</v>
      </c>
      <c r="U38" s="4709">
        <v>1</v>
      </c>
      <c r="V38" s="4709">
        <v>8</v>
      </c>
      <c r="W38" s="4722"/>
      <c r="Y38" s="36"/>
      <c r="Z38" s="36"/>
      <c r="AA38" s="36"/>
      <c r="AB38" s="36" t="s">
        <v>1077</v>
      </c>
      <c r="AC38" s="1681">
        <v>0</v>
      </c>
      <c r="AD38" s="1681">
        <v>0</v>
      </c>
      <c r="AE38" s="1681"/>
      <c r="AF38" s="1681">
        <v>0</v>
      </c>
      <c r="AG38" s="1681">
        <v>1</v>
      </c>
      <c r="AH38" s="1681">
        <v>0</v>
      </c>
      <c r="AI38" s="1681">
        <v>0</v>
      </c>
      <c r="AJ38" s="1681">
        <v>0</v>
      </c>
      <c r="AK38" s="1681">
        <v>0</v>
      </c>
      <c r="AL38" s="95">
        <v>0</v>
      </c>
      <c r="AM38" s="95">
        <v>1</v>
      </c>
      <c r="AN38" s="4545"/>
      <c r="AR38" s="27"/>
      <c r="AS38" s="27" t="s">
        <v>1077</v>
      </c>
      <c r="AT38" s="3722">
        <v>0</v>
      </c>
      <c r="AU38" s="3722">
        <v>0</v>
      </c>
      <c r="AV38" s="3722">
        <v>0</v>
      </c>
      <c r="AW38" s="3722">
        <v>0</v>
      </c>
      <c r="AX38" s="3722">
        <v>2</v>
      </c>
      <c r="AY38" s="3722">
        <v>0</v>
      </c>
      <c r="AZ38" s="3722">
        <v>0</v>
      </c>
      <c r="BA38" s="3722">
        <v>0</v>
      </c>
      <c r="BB38" s="3722">
        <v>0</v>
      </c>
      <c r="BC38" s="3701"/>
      <c r="BD38" s="3701">
        <v>0</v>
      </c>
      <c r="BE38" s="3701">
        <v>2</v>
      </c>
      <c r="BF38" s="2110"/>
      <c r="BG38" s="2110"/>
      <c r="BJ38" s="1520"/>
      <c r="BK38" s="1520" t="s">
        <v>1163</v>
      </c>
      <c r="BL38" s="3872">
        <v>0</v>
      </c>
      <c r="BM38" s="3872">
        <v>0</v>
      </c>
      <c r="BN38" s="3872">
        <v>0</v>
      </c>
      <c r="BO38" s="3872">
        <v>0</v>
      </c>
      <c r="BP38" s="3872">
        <v>0</v>
      </c>
      <c r="BQ38" s="3872">
        <v>0</v>
      </c>
      <c r="BR38" s="3872">
        <v>2</v>
      </c>
      <c r="BS38" s="3872">
        <v>0</v>
      </c>
      <c r="BT38" s="3806">
        <v>0</v>
      </c>
      <c r="BU38" s="3806">
        <v>2</v>
      </c>
      <c r="BV38" s="1520"/>
      <c r="BX38" s="36"/>
      <c r="BY38" s="36"/>
      <c r="BZ38" s="36"/>
      <c r="CA38" s="393" t="s">
        <v>1072</v>
      </c>
      <c r="CB38" s="1682">
        <v>2</v>
      </c>
      <c r="CC38" s="1682"/>
      <c r="CD38" s="1682">
        <v>1</v>
      </c>
      <c r="CE38" s="1682">
        <v>1</v>
      </c>
      <c r="CF38" s="1682">
        <v>0</v>
      </c>
      <c r="CG38" s="1682">
        <v>8</v>
      </c>
      <c r="CH38" s="1682">
        <v>13</v>
      </c>
      <c r="CI38" s="1682">
        <v>1</v>
      </c>
      <c r="CJ38" s="2041">
        <v>1</v>
      </c>
      <c r="CK38" s="2041">
        <v>0</v>
      </c>
      <c r="CL38" s="2041">
        <v>27</v>
      </c>
      <c r="CM38" s="36"/>
      <c r="CO38" s="37"/>
      <c r="CP38" s="37"/>
      <c r="CQ38" s="37"/>
      <c r="CR38" s="37" t="s">
        <v>1080</v>
      </c>
      <c r="CS38" s="1678"/>
      <c r="CT38" s="1678">
        <v>0</v>
      </c>
      <c r="CU38" s="1678">
        <v>0</v>
      </c>
      <c r="CV38" s="1678">
        <v>0</v>
      </c>
      <c r="CW38" s="1678">
        <v>0</v>
      </c>
      <c r="CX38" s="1678">
        <v>0</v>
      </c>
      <c r="CY38" s="1678">
        <v>0</v>
      </c>
      <c r="CZ38" s="1678">
        <v>0</v>
      </c>
      <c r="DA38" s="1678">
        <v>11</v>
      </c>
      <c r="DB38" s="63"/>
      <c r="DC38" s="63">
        <v>3</v>
      </c>
      <c r="DD38" s="63">
        <v>14</v>
      </c>
      <c r="DG38" s="95"/>
      <c r="DH38" s="95"/>
      <c r="DI38" s="36"/>
      <c r="DJ38" s="36" t="s">
        <v>1663</v>
      </c>
      <c r="DK38" s="1484">
        <v>3</v>
      </c>
      <c r="DL38" s="1484">
        <v>0</v>
      </c>
      <c r="DM38" s="1484">
        <v>0</v>
      </c>
      <c r="DN38" s="1484"/>
      <c r="DO38" s="1484">
        <v>0</v>
      </c>
      <c r="DP38" s="1484">
        <v>0</v>
      </c>
      <c r="DQ38" s="1484">
        <v>0</v>
      </c>
      <c r="DR38" s="1484">
        <v>0</v>
      </c>
      <c r="DS38" s="1484">
        <v>0</v>
      </c>
      <c r="DT38" s="95">
        <v>0</v>
      </c>
      <c r="DU38" s="95">
        <v>0</v>
      </c>
      <c r="DV38" s="95">
        <v>3</v>
      </c>
      <c r="DW38" s="95"/>
      <c r="DY38" s="1209"/>
      <c r="DZ38" s="1209"/>
      <c r="EA38" s="1210"/>
      <c r="EB38" s="1211" t="s">
        <v>1163</v>
      </c>
      <c r="EC38" s="1213">
        <v>0</v>
      </c>
      <c r="ED38" s="1213">
        <v>0</v>
      </c>
      <c r="EE38" s="1213">
        <v>0</v>
      </c>
      <c r="EF38" s="1213">
        <v>0</v>
      </c>
      <c r="EG38" s="1213">
        <v>1</v>
      </c>
      <c r="EH38" s="1213">
        <v>3</v>
      </c>
      <c r="EI38" s="1213">
        <v>2</v>
      </c>
      <c r="EJ38" s="1213">
        <v>1</v>
      </c>
      <c r="EK38" s="611"/>
      <c r="EL38" s="612">
        <v>0</v>
      </c>
      <c r="EM38" s="612">
        <v>7</v>
      </c>
      <c r="EN38" s="36"/>
      <c r="EP38" s="527"/>
      <c r="EQ38" s="527"/>
      <c r="ER38" s="528"/>
      <c r="ES38" s="555" t="s">
        <v>482</v>
      </c>
      <c r="ET38" s="557">
        <v>2</v>
      </c>
      <c r="EU38" s="557">
        <v>1</v>
      </c>
      <c r="EV38" s="556"/>
      <c r="EW38" s="556"/>
      <c r="EX38" s="557">
        <v>4</v>
      </c>
      <c r="EY38" s="557">
        <v>3</v>
      </c>
      <c r="EZ38" s="557">
        <v>19</v>
      </c>
      <c r="FA38" s="557">
        <v>16</v>
      </c>
      <c r="FB38" s="558"/>
      <c r="FC38" s="558"/>
      <c r="FD38" s="559">
        <v>45</v>
      </c>
      <c r="FE38" s="560">
        <f>+(FD33+FD36+FD37)/FD38</f>
        <v>0.4</v>
      </c>
      <c r="FG38" s="533"/>
      <c r="FH38" s="533"/>
      <c r="FI38" s="533"/>
      <c r="FJ38" s="534" t="s">
        <v>1074</v>
      </c>
      <c r="FK38" s="535"/>
      <c r="FL38" s="536">
        <v>3</v>
      </c>
      <c r="FM38" s="535"/>
      <c r="FN38" s="535"/>
      <c r="FO38" s="535"/>
      <c r="FP38" s="535"/>
      <c r="FQ38" s="535"/>
      <c r="FR38" s="536">
        <v>0</v>
      </c>
      <c r="FS38" s="536">
        <v>0</v>
      </c>
      <c r="FT38" s="537"/>
      <c r="FU38" s="537"/>
      <c r="FV38" s="538">
        <v>3</v>
      </c>
      <c r="FW38" s="539"/>
      <c r="GP38" s="63"/>
      <c r="GQ38" s="63"/>
      <c r="GR38" s="37"/>
      <c r="GS38" s="37" t="s">
        <v>1081</v>
      </c>
      <c r="GT38" s="63"/>
      <c r="GU38" s="63"/>
      <c r="GV38" s="63"/>
      <c r="GW38" s="63"/>
      <c r="GX38" s="63"/>
      <c r="GY38" s="63">
        <v>0</v>
      </c>
      <c r="GZ38" s="63">
        <v>0</v>
      </c>
      <c r="HA38" s="63">
        <v>1</v>
      </c>
      <c r="HB38" s="63"/>
      <c r="HC38" s="63"/>
      <c r="HD38" s="63">
        <v>1</v>
      </c>
      <c r="HE38" s="37"/>
      <c r="HF38" s="37"/>
      <c r="HG38" s="446"/>
      <c r="HH38" s="446"/>
      <c r="HI38" s="446"/>
      <c r="HJ38" s="446" t="s">
        <v>1163</v>
      </c>
      <c r="HK38" s="446">
        <v>0</v>
      </c>
      <c r="HL38" s="446">
        <v>0</v>
      </c>
      <c r="HM38" s="446">
        <v>0</v>
      </c>
      <c r="HN38" s="446">
        <v>1</v>
      </c>
      <c r="HO38" s="446">
        <v>0</v>
      </c>
      <c r="HP38" s="446">
        <v>0</v>
      </c>
      <c r="HQ38" s="446">
        <v>0</v>
      </c>
      <c r="HR38" s="446">
        <v>0</v>
      </c>
      <c r="HS38" s="446">
        <v>0</v>
      </c>
      <c r="HT38" s="446">
        <v>0</v>
      </c>
      <c r="HU38" s="446">
        <v>0</v>
      </c>
      <c r="HV38" s="447">
        <v>1</v>
      </c>
      <c r="HW38" s="544"/>
      <c r="HX38" s="448"/>
    </row>
    <row r="39" spans="1:232" ht="24">
      <c r="A39" s="5682">
        <v>1</v>
      </c>
      <c r="B39" s="5682">
        <v>1</v>
      </c>
      <c r="C39" s="5683" t="s">
        <v>2734</v>
      </c>
      <c r="D39" s="5683" t="s">
        <v>2709</v>
      </c>
      <c r="E39" s="5682">
        <v>1</v>
      </c>
      <c r="F39" s="5682">
        <v>7</v>
      </c>
      <c r="I39" s="4915"/>
      <c r="J39" s="4915"/>
      <c r="K39" s="4916"/>
      <c r="L39" s="4917"/>
      <c r="M39" s="4920">
        <f>SUM(M35:M38)</f>
        <v>6</v>
      </c>
      <c r="N39" s="4915"/>
      <c r="O39" s="4921">
        <f>(M37+M38)/(M39)</f>
        <v>0.66666666666666663</v>
      </c>
      <c r="Q39" s="4705">
        <v>1</v>
      </c>
      <c r="R39" s="4705">
        <v>1</v>
      </c>
      <c r="S39" s="4706" t="s">
        <v>607</v>
      </c>
      <c r="T39" s="4708" t="s">
        <v>2707</v>
      </c>
      <c r="U39" s="4709">
        <v>1</v>
      </c>
      <c r="V39" s="4709">
        <v>7</v>
      </c>
      <c r="W39" s="4722"/>
      <c r="Y39" s="36"/>
      <c r="Z39" s="36"/>
      <c r="AA39" s="36"/>
      <c r="AB39" s="36" t="s">
        <v>1080</v>
      </c>
      <c r="AC39" s="1681">
        <v>0</v>
      </c>
      <c r="AD39" s="1681">
        <v>0</v>
      </c>
      <c r="AE39" s="1681"/>
      <c r="AF39" s="1681">
        <v>0</v>
      </c>
      <c r="AG39" s="1681">
        <v>0</v>
      </c>
      <c r="AH39" s="1681">
        <v>0</v>
      </c>
      <c r="AI39" s="1681">
        <v>2</v>
      </c>
      <c r="AJ39" s="1681">
        <v>33</v>
      </c>
      <c r="AK39" s="1681">
        <v>0</v>
      </c>
      <c r="AL39" s="95">
        <v>1</v>
      </c>
      <c r="AM39" s="95">
        <v>36</v>
      </c>
      <c r="AN39" s="4545"/>
      <c r="AR39" s="27"/>
      <c r="AS39" s="27" t="s">
        <v>1080</v>
      </c>
      <c r="AT39" s="3722">
        <v>0</v>
      </c>
      <c r="AU39" s="3722">
        <v>0</v>
      </c>
      <c r="AV39" s="3722">
        <v>0</v>
      </c>
      <c r="AW39" s="3722">
        <v>0</v>
      </c>
      <c r="AX39" s="3722">
        <v>0</v>
      </c>
      <c r="AY39" s="3722">
        <v>0</v>
      </c>
      <c r="AZ39" s="3722">
        <v>0</v>
      </c>
      <c r="BA39" s="3722">
        <v>7</v>
      </c>
      <c r="BB39" s="3722">
        <v>7</v>
      </c>
      <c r="BC39" s="3701"/>
      <c r="BD39" s="3701">
        <v>2</v>
      </c>
      <c r="BE39" s="3701">
        <v>16</v>
      </c>
      <c r="BF39" s="2110"/>
      <c r="BG39" s="2110"/>
      <c r="BJ39" s="1520"/>
      <c r="BK39" s="1520" t="s">
        <v>482</v>
      </c>
      <c r="BL39" s="3872">
        <v>4</v>
      </c>
      <c r="BM39" s="3872">
        <v>1</v>
      </c>
      <c r="BN39" s="3872">
        <v>1</v>
      </c>
      <c r="BO39" s="3872">
        <v>2</v>
      </c>
      <c r="BP39" s="3872">
        <v>2</v>
      </c>
      <c r="BQ39" s="3872">
        <v>24</v>
      </c>
      <c r="BR39" s="3872">
        <v>34</v>
      </c>
      <c r="BS39" s="3872">
        <v>2</v>
      </c>
      <c r="BT39" s="3806">
        <v>2</v>
      </c>
      <c r="BU39" s="3806">
        <v>72</v>
      </c>
      <c r="BV39" s="3807">
        <f>+(BU34+BU37+BU38)/BU39</f>
        <v>0.1388888888888889</v>
      </c>
      <c r="BX39" s="36"/>
      <c r="BY39" s="36"/>
      <c r="BZ39" s="36"/>
      <c r="CA39" s="393" t="s">
        <v>1076</v>
      </c>
      <c r="CB39" s="1682">
        <v>0</v>
      </c>
      <c r="CC39" s="1682"/>
      <c r="CD39" s="1682">
        <v>0</v>
      </c>
      <c r="CE39" s="1682">
        <v>0</v>
      </c>
      <c r="CF39" s="1682">
        <v>0</v>
      </c>
      <c r="CG39" s="1682">
        <v>1</v>
      </c>
      <c r="CH39" s="1682">
        <v>4</v>
      </c>
      <c r="CI39" s="1682">
        <v>1</v>
      </c>
      <c r="CJ39" s="2041">
        <v>0</v>
      </c>
      <c r="CK39" s="2041">
        <v>0</v>
      </c>
      <c r="CL39" s="2041">
        <v>6</v>
      </c>
      <c r="CM39" s="36"/>
      <c r="CO39" s="37"/>
      <c r="CP39" s="37"/>
      <c r="CQ39" s="37"/>
      <c r="CR39" s="37" t="s">
        <v>1081</v>
      </c>
      <c r="CS39" s="1678"/>
      <c r="CT39" s="1678">
        <v>0</v>
      </c>
      <c r="CU39" s="1678">
        <v>0</v>
      </c>
      <c r="CV39" s="1678">
        <v>0</v>
      </c>
      <c r="CW39" s="1678">
        <v>0</v>
      </c>
      <c r="CX39" s="1678">
        <v>0</v>
      </c>
      <c r="CY39" s="1678">
        <v>9</v>
      </c>
      <c r="CZ39" s="1678">
        <v>6</v>
      </c>
      <c r="DA39" s="1678">
        <v>5</v>
      </c>
      <c r="DB39" s="63"/>
      <c r="DC39" s="63">
        <v>0</v>
      </c>
      <c r="DD39" s="63">
        <v>20</v>
      </c>
      <c r="DG39" s="95"/>
      <c r="DH39" s="95"/>
      <c r="DI39" s="36"/>
      <c r="DJ39" s="36" t="s">
        <v>1081</v>
      </c>
      <c r="DK39" s="1484">
        <v>0</v>
      </c>
      <c r="DL39" s="1484">
        <v>0</v>
      </c>
      <c r="DM39" s="1484">
        <v>0</v>
      </c>
      <c r="DN39" s="1484"/>
      <c r="DO39" s="1484">
        <v>0</v>
      </c>
      <c r="DP39" s="1484">
        <v>0</v>
      </c>
      <c r="DQ39" s="1484">
        <v>4</v>
      </c>
      <c r="DR39" s="1484">
        <v>4</v>
      </c>
      <c r="DS39" s="1484">
        <v>1</v>
      </c>
      <c r="DT39" s="95">
        <v>0</v>
      </c>
      <c r="DU39" s="95">
        <v>0</v>
      </c>
      <c r="DV39" s="95">
        <v>9</v>
      </c>
      <c r="DW39" s="95"/>
      <c r="DY39" s="1209"/>
      <c r="DZ39" s="1209"/>
      <c r="EA39" s="1210"/>
      <c r="EB39" s="415" t="s">
        <v>482</v>
      </c>
      <c r="EC39" s="1215">
        <v>1</v>
      </c>
      <c r="ED39" s="1215">
        <v>1</v>
      </c>
      <c r="EE39" s="1215">
        <v>2</v>
      </c>
      <c r="EF39" s="1215">
        <v>3</v>
      </c>
      <c r="EG39" s="1215">
        <v>5</v>
      </c>
      <c r="EH39" s="1215">
        <v>22</v>
      </c>
      <c r="EI39" s="1215">
        <v>11</v>
      </c>
      <c r="EJ39" s="1215">
        <v>16</v>
      </c>
      <c r="EK39" s="620"/>
      <c r="EL39" s="621">
        <v>2</v>
      </c>
      <c r="EM39" s="621">
        <v>63</v>
      </c>
      <c r="EN39" s="1178">
        <f>+(EM34+EM37+EM38)/EM39</f>
        <v>0.2857142857142857</v>
      </c>
      <c r="EP39" s="527"/>
      <c r="EQ39" s="527" t="s">
        <v>16</v>
      </c>
      <c r="ER39" s="528" t="s">
        <v>116</v>
      </c>
      <c r="ES39" s="529" t="s">
        <v>1072</v>
      </c>
      <c r="ET39" s="530"/>
      <c r="EU39" s="530"/>
      <c r="EV39" s="530"/>
      <c r="EW39" s="530"/>
      <c r="EX39" s="530"/>
      <c r="EY39" s="531">
        <v>5</v>
      </c>
      <c r="EZ39" s="531">
        <v>3</v>
      </c>
      <c r="FA39" s="530"/>
      <c r="FB39" s="527"/>
      <c r="FC39" s="527"/>
      <c r="FD39" s="532">
        <v>8</v>
      </c>
      <c r="FE39" s="95"/>
      <c r="FG39" s="533"/>
      <c r="FH39" s="533"/>
      <c r="FI39" s="533"/>
      <c r="FJ39" s="534" t="s">
        <v>1080</v>
      </c>
      <c r="FK39" s="535"/>
      <c r="FL39" s="536">
        <v>0</v>
      </c>
      <c r="FM39" s="535"/>
      <c r="FN39" s="535"/>
      <c r="FO39" s="535"/>
      <c r="FP39" s="535"/>
      <c r="FQ39" s="535"/>
      <c r="FR39" s="536">
        <v>0</v>
      </c>
      <c r="FS39" s="536">
        <v>5</v>
      </c>
      <c r="FT39" s="537"/>
      <c r="FU39" s="537"/>
      <c r="FV39" s="538">
        <v>5</v>
      </c>
      <c r="FW39" s="539"/>
      <c r="GP39" s="63"/>
      <c r="GQ39" s="63"/>
      <c r="GR39" s="37"/>
      <c r="GS39" s="416" t="s">
        <v>15</v>
      </c>
      <c r="GT39" s="386"/>
      <c r="GU39" s="386"/>
      <c r="GV39" s="386"/>
      <c r="GW39" s="386"/>
      <c r="GX39" s="386"/>
      <c r="GY39" s="386">
        <v>7</v>
      </c>
      <c r="GZ39" s="386">
        <v>2</v>
      </c>
      <c r="HA39" s="386">
        <v>2</v>
      </c>
      <c r="HB39" s="386"/>
      <c r="HC39" s="386"/>
      <c r="HD39" s="386">
        <v>11</v>
      </c>
      <c r="HE39" s="466">
        <f>+(HD37+HD38)/HD39</f>
        <v>0.27272727272727271</v>
      </c>
      <c r="HF39" s="37"/>
      <c r="HG39" s="446"/>
      <c r="HH39" s="446"/>
      <c r="HI39" s="446"/>
      <c r="HJ39" s="449" t="s">
        <v>15</v>
      </c>
      <c r="HK39" s="449">
        <v>0</v>
      </c>
      <c r="HL39" s="449">
        <v>0</v>
      </c>
      <c r="HM39" s="449">
        <v>1</v>
      </c>
      <c r="HN39" s="449">
        <v>6</v>
      </c>
      <c r="HO39" s="449">
        <v>14</v>
      </c>
      <c r="HP39" s="449">
        <v>6</v>
      </c>
      <c r="HQ39" s="449">
        <v>4</v>
      </c>
      <c r="HR39" s="449">
        <v>0</v>
      </c>
      <c r="HS39" s="449">
        <v>0</v>
      </c>
      <c r="HT39" s="449">
        <v>0</v>
      </c>
      <c r="HU39" s="449">
        <v>0</v>
      </c>
      <c r="HV39" s="507">
        <v>31</v>
      </c>
      <c r="HW39" s="554">
        <f>+(HV38+HV36)/HV39</f>
        <v>6.4516129032258063E-2</v>
      </c>
      <c r="HX39" s="448">
        <f>+HV36+HV38</f>
        <v>2</v>
      </c>
    </row>
    <row r="40" spans="1:232" ht="24">
      <c r="A40" s="5682">
        <v>1</v>
      </c>
      <c r="B40" s="5682">
        <v>1</v>
      </c>
      <c r="C40" s="5683" t="s">
        <v>2734</v>
      </c>
      <c r="D40" s="5683" t="s">
        <v>2709</v>
      </c>
      <c r="E40" s="5682">
        <v>1</v>
      </c>
      <c r="F40" s="5682">
        <v>9</v>
      </c>
      <c r="I40" s="4930"/>
      <c r="J40" s="4930"/>
      <c r="K40" s="4932" t="s">
        <v>2754</v>
      </c>
      <c r="L40" s="4931"/>
      <c r="M40" s="4933">
        <f>SUM(M22,M31,M33,M37:M38)</f>
        <v>8</v>
      </c>
      <c r="N40" s="4930"/>
      <c r="O40" s="4921"/>
      <c r="Q40" s="4705">
        <v>1</v>
      </c>
      <c r="R40" s="4705">
        <v>1</v>
      </c>
      <c r="S40" s="4706" t="s">
        <v>607</v>
      </c>
      <c r="T40" s="4706" t="s">
        <v>2709</v>
      </c>
      <c r="U40" s="4707">
        <v>2</v>
      </c>
      <c r="V40" s="4707">
        <v>5</v>
      </c>
      <c r="W40" s="4722"/>
      <c r="Y40" s="36"/>
      <c r="Z40" s="36"/>
      <c r="AA40" s="36"/>
      <c r="AB40" s="36" t="s">
        <v>1081</v>
      </c>
      <c r="AC40" s="1681">
        <v>0</v>
      </c>
      <c r="AD40" s="1681">
        <v>0</v>
      </c>
      <c r="AE40" s="1681"/>
      <c r="AF40" s="1681">
        <v>0</v>
      </c>
      <c r="AG40" s="1681">
        <v>0</v>
      </c>
      <c r="AH40" s="1681">
        <v>0</v>
      </c>
      <c r="AI40" s="1681">
        <v>1</v>
      </c>
      <c r="AJ40" s="1681">
        <v>1</v>
      </c>
      <c r="AK40" s="1681">
        <v>0</v>
      </c>
      <c r="AL40" s="95">
        <v>0</v>
      </c>
      <c r="AM40" s="95">
        <v>2</v>
      </c>
      <c r="AN40" s="4545"/>
      <c r="AR40" s="27"/>
      <c r="AS40" s="27" t="s">
        <v>1081</v>
      </c>
      <c r="AT40" s="3722">
        <v>0</v>
      </c>
      <c r="AU40" s="3722">
        <v>0</v>
      </c>
      <c r="AV40" s="3722">
        <v>0</v>
      </c>
      <c r="AW40" s="3722">
        <v>0</v>
      </c>
      <c r="AX40" s="3722">
        <v>0</v>
      </c>
      <c r="AY40" s="3722">
        <v>0</v>
      </c>
      <c r="AZ40" s="3722">
        <v>1</v>
      </c>
      <c r="BA40" s="3722">
        <v>3</v>
      </c>
      <c r="BB40" s="3722">
        <v>1</v>
      </c>
      <c r="BC40" s="3701"/>
      <c r="BD40" s="3701">
        <v>0</v>
      </c>
      <c r="BE40" s="3701">
        <v>5</v>
      </c>
      <c r="BF40" s="2110"/>
      <c r="BG40" s="2110"/>
      <c r="BI40" s="32" t="s">
        <v>16</v>
      </c>
      <c r="BJ40" s="32" t="s">
        <v>116</v>
      </c>
      <c r="BK40" s="32" t="s">
        <v>1072</v>
      </c>
      <c r="BL40" s="3871">
        <v>0</v>
      </c>
      <c r="BM40" s="3871">
        <v>0</v>
      </c>
      <c r="BN40" s="3871"/>
      <c r="BO40" s="3871"/>
      <c r="BP40" s="3871"/>
      <c r="BQ40" s="3871">
        <v>5</v>
      </c>
      <c r="BR40" s="3871">
        <v>0</v>
      </c>
      <c r="BS40" s="3871"/>
      <c r="BT40" s="1518"/>
      <c r="BU40" s="1518">
        <v>5</v>
      </c>
      <c r="BX40" s="36"/>
      <c r="BY40" s="36"/>
      <c r="BZ40" s="36"/>
      <c r="CA40" s="393" t="s">
        <v>1077</v>
      </c>
      <c r="CB40" s="1682">
        <v>0</v>
      </c>
      <c r="CC40" s="1682"/>
      <c r="CD40" s="1682">
        <v>0</v>
      </c>
      <c r="CE40" s="1682">
        <v>0</v>
      </c>
      <c r="CF40" s="1682">
        <v>2</v>
      </c>
      <c r="CG40" s="1682">
        <v>0</v>
      </c>
      <c r="CH40" s="1682">
        <v>0</v>
      </c>
      <c r="CI40" s="1682">
        <v>0</v>
      </c>
      <c r="CJ40" s="2041">
        <v>0</v>
      </c>
      <c r="CK40" s="2041">
        <v>0</v>
      </c>
      <c r="CL40" s="2041">
        <v>2</v>
      </c>
      <c r="CM40" s="36"/>
      <c r="CO40" s="37"/>
      <c r="CP40" s="37"/>
      <c r="CQ40" s="37"/>
      <c r="CR40" s="37" t="s">
        <v>1163</v>
      </c>
      <c r="CS40" s="1678"/>
      <c r="CT40" s="1678">
        <v>0</v>
      </c>
      <c r="CU40" s="1678">
        <v>0</v>
      </c>
      <c r="CV40" s="1678">
        <v>0</v>
      </c>
      <c r="CW40" s="1678">
        <v>0</v>
      </c>
      <c r="CX40" s="1678">
        <v>1</v>
      </c>
      <c r="CY40" s="1678">
        <v>0</v>
      </c>
      <c r="CZ40" s="1678">
        <v>2</v>
      </c>
      <c r="DA40" s="1678">
        <v>0</v>
      </c>
      <c r="DB40" s="63"/>
      <c r="DC40" s="63">
        <v>0</v>
      </c>
      <c r="DD40" s="63">
        <v>3</v>
      </c>
      <c r="DG40" s="95"/>
      <c r="DH40" s="95"/>
      <c r="DI40" s="36"/>
      <c r="DJ40" s="36" t="s">
        <v>1163</v>
      </c>
      <c r="DK40" s="1484">
        <v>0</v>
      </c>
      <c r="DL40" s="1484">
        <v>0</v>
      </c>
      <c r="DM40" s="1484">
        <v>0</v>
      </c>
      <c r="DN40" s="1484"/>
      <c r="DO40" s="1484">
        <v>0</v>
      </c>
      <c r="DP40" s="1484">
        <v>0</v>
      </c>
      <c r="DQ40" s="1484">
        <v>4</v>
      </c>
      <c r="DR40" s="1484">
        <v>6</v>
      </c>
      <c r="DS40" s="1484">
        <v>3</v>
      </c>
      <c r="DT40" s="95">
        <v>0</v>
      </c>
      <c r="DU40" s="95">
        <v>0</v>
      </c>
      <c r="DV40" s="95">
        <v>13</v>
      </c>
      <c r="DW40" s="95"/>
      <c r="DY40" s="1209"/>
      <c r="DZ40" s="1209" t="s">
        <v>16</v>
      </c>
      <c r="EA40" s="1210" t="s">
        <v>116</v>
      </c>
      <c r="EB40" s="1211" t="s">
        <v>1071</v>
      </c>
      <c r="EC40" s="1212"/>
      <c r="ED40" s="1212"/>
      <c r="EE40" s="1212"/>
      <c r="EF40" s="1212"/>
      <c r="EG40" s="1212"/>
      <c r="EH40" s="1213">
        <v>0</v>
      </c>
      <c r="EI40" s="1213">
        <v>2</v>
      </c>
      <c r="EJ40" s="1213">
        <v>3</v>
      </c>
      <c r="EK40" s="611"/>
      <c r="EL40" s="611"/>
      <c r="EM40" s="612">
        <v>5</v>
      </c>
      <c r="EN40" s="36"/>
      <c r="EP40" s="527"/>
      <c r="EQ40" s="527"/>
      <c r="ER40" s="528"/>
      <c r="ES40" s="529" t="s">
        <v>1080</v>
      </c>
      <c r="ET40" s="530"/>
      <c r="EU40" s="530"/>
      <c r="EV40" s="530"/>
      <c r="EW40" s="530"/>
      <c r="EX40" s="530"/>
      <c r="EY40" s="531">
        <v>0</v>
      </c>
      <c r="EZ40" s="531">
        <v>4</v>
      </c>
      <c r="FA40" s="530"/>
      <c r="FB40" s="527"/>
      <c r="FC40" s="527"/>
      <c r="FD40" s="532">
        <v>4</v>
      </c>
      <c r="FE40" s="95"/>
      <c r="FG40" s="533"/>
      <c r="FH40" s="533"/>
      <c r="FI40" s="533"/>
      <c r="FJ40" s="545" t="s">
        <v>15</v>
      </c>
      <c r="FK40" s="546"/>
      <c r="FL40" s="547">
        <v>3</v>
      </c>
      <c r="FM40" s="546"/>
      <c r="FN40" s="546"/>
      <c r="FO40" s="546"/>
      <c r="FP40" s="546"/>
      <c r="FQ40" s="546"/>
      <c r="FR40" s="547">
        <v>1</v>
      </c>
      <c r="FS40" s="547">
        <v>6</v>
      </c>
      <c r="FT40" s="548"/>
      <c r="FU40" s="548"/>
      <c r="FV40" s="549">
        <v>10</v>
      </c>
      <c r="FW40" s="539">
        <v>0</v>
      </c>
      <c r="FZ40" s="540" t="s">
        <v>103</v>
      </c>
      <c r="GA40" s="540" t="s">
        <v>104</v>
      </c>
      <c r="GB40" s="541" t="s">
        <v>1072</v>
      </c>
      <c r="GC40" s="542"/>
      <c r="GD40" s="543">
        <v>0</v>
      </c>
      <c r="GE40" s="543">
        <v>4</v>
      </c>
      <c r="GF40" s="543">
        <v>3</v>
      </c>
      <c r="GG40" s="543">
        <v>1</v>
      </c>
      <c r="GH40" s="543">
        <v>1</v>
      </c>
      <c r="GI40" s="543">
        <v>0</v>
      </c>
      <c r="GJ40" s="543">
        <v>0</v>
      </c>
      <c r="GK40" s="542"/>
      <c r="GL40" s="542"/>
      <c r="GM40" s="543">
        <v>9</v>
      </c>
      <c r="GN40" s="445"/>
      <c r="GP40" s="63"/>
      <c r="GQ40" s="63" t="s">
        <v>103</v>
      </c>
      <c r="GR40" s="37" t="s">
        <v>104</v>
      </c>
      <c r="GS40" s="37" t="s">
        <v>1072</v>
      </c>
      <c r="GT40" s="63"/>
      <c r="GU40" s="63"/>
      <c r="GV40" s="63">
        <v>0</v>
      </c>
      <c r="GW40" s="63">
        <v>0</v>
      </c>
      <c r="GX40" s="63">
        <v>0</v>
      </c>
      <c r="GY40" s="63">
        <v>1</v>
      </c>
      <c r="GZ40" s="63">
        <v>1</v>
      </c>
      <c r="HA40" s="63"/>
      <c r="HB40" s="63"/>
      <c r="HC40" s="63"/>
      <c r="HD40" s="63">
        <v>2</v>
      </c>
      <c r="HE40" s="37"/>
      <c r="HF40" s="37"/>
      <c r="HG40" s="446" t="s">
        <v>25</v>
      </c>
      <c r="HH40" s="446" t="s">
        <v>4</v>
      </c>
      <c r="HI40" s="446" t="s">
        <v>119</v>
      </c>
      <c r="HJ40" s="446" t="s">
        <v>1071</v>
      </c>
      <c r="HK40" s="446">
        <v>0</v>
      </c>
      <c r="HL40" s="446">
        <v>0</v>
      </c>
      <c r="HM40" s="446">
        <v>0</v>
      </c>
      <c r="HN40" s="446">
        <v>0</v>
      </c>
      <c r="HO40" s="446">
        <v>0</v>
      </c>
      <c r="HP40" s="446">
        <v>0</v>
      </c>
      <c r="HQ40" s="446">
        <v>0</v>
      </c>
      <c r="HR40" s="446">
        <v>0</v>
      </c>
      <c r="HS40" s="446">
        <v>1</v>
      </c>
      <c r="HT40" s="446">
        <v>0</v>
      </c>
      <c r="HU40" s="446">
        <v>0</v>
      </c>
      <c r="HV40" s="447">
        <v>1</v>
      </c>
      <c r="HW40" s="544"/>
      <c r="HX40" s="448"/>
    </row>
    <row r="41" spans="1:232">
      <c r="A41" s="5682"/>
      <c r="B41" s="5682"/>
      <c r="C41" s="5683"/>
      <c r="D41" s="5683"/>
      <c r="E41" s="5686">
        <f>SUM(E31:E40)</f>
        <v>24</v>
      </c>
      <c r="F41" s="5682"/>
      <c r="G41" s="4921">
        <f>(E34+E35+E37)/(E41)</f>
        <v>0.25</v>
      </c>
      <c r="I41" s="4930"/>
      <c r="J41" s="4930"/>
      <c r="K41" s="4929" t="s">
        <v>4</v>
      </c>
      <c r="L41" s="4927"/>
      <c r="M41" s="4929">
        <f>SUM(M39,M34,M26,M24,M18,M13)</f>
        <v>60</v>
      </c>
      <c r="N41" s="4925"/>
      <c r="O41" s="4934">
        <f>M40/M41</f>
        <v>0.13333333333333333</v>
      </c>
      <c r="Q41" s="4705">
        <v>1</v>
      </c>
      <c r="R41" s="4705">
        <v>1</v>
      </c>
      <c r="S41" s="4706" t="s">
        <v>607</v>
      </c>
      <c r="T41" s="4706" t="s">
        <v>2709</v>
      </c>
      <c r="U41" s="4707">
        <v>1</v>
      </c>
      <c r="V41" s="4707">
        <v>7</v>
      </c>
      <c r="W41" s="4722"/>
      <c r="X41" s="4452"/>
      <c r="Y41" s="36"/>
      <c r="Z41" s="36"/>
      <c r="AA41" s="36"/>
      <c r="AB41" s="36" t="s">
        <v>2571</v>
      </c>
      <c r="AC41" s="1681">
        <v>3</v>
      </c>
      <c r="AD41" s="1681">
        <v>0</v>
      </c>
      <c r="AE41" s="1681"/>
      <c r="AF41" s="1681">
        <v>0</v>
      </c>
      <c r="AG41" s="1681">
        <v>0</v>
      </c>
      <c r="AH41" s="1681">
        <v>0</v>
      </c>
      <c r="AI41" s="1681">
        <v>0</v>
      </c>
      <c r="AJ41" s="1681">
        <v>0</v>
      </c>
      <c r="AK41" s="1681">
        <v>0</v>
      </c>
      <c r="AL41" s="95">
        <v>0</v>
      </c>
      <c r="AM41" s="95">
        <v>3</v>
      </c>
      <c r="AN41" s="4545"/>
      <c r="AR41" s="27"/>
      <c r="AS41" s="27" t="s">
        <v>2571</v>
      </c>
      <c r="AT41" s="3722">
        <v>7</v>
      </c>
      <c r="AU41" s="3722">
        <v>0</v>
      </c>
      <c r="AV41" s="3722">
        <v>0</v>
      </c>
      <c r="AW41" s="3722">
        <v>0</v>
      </c>
      <c r="AX41" s="3722">
        <v>0</v>
      </c>
      <c r="AY41" s="3722">
        <v>0</v>
      </c>
      <c r="AZ41" s="3722">
        <v>0</v>
      </c>
      <c r="BA41" s="3722">
        <v>0</v>
      </c>
      <c r="BB41" s="3722">
        <v>0</v>
      </c>
      <c r="BC41" s="3701"/>
      <c r="BD41" s="3701">
        <v>0</v>
      </c>
      <c r="BE41" s="3701">
        <v>7</v>
      </c>
      <c r="BF41" s="2110"/>
      <c r="BG41" s="2110"/>
      <c r="BK41" s="32" t="s">
        <v>1074</v>
      </c>
      <c r="BL41" s="3871">
        <v>1</v>
      </c>
      <c r="BM41" s="3871">
        <v>1</v>
      </c>
      <c r="BN41" s="3871"/>
      <c r="BO41" s="3871"/>
      <c r="BP41" s="3871"/>
      <c r="BQ41" s="3871">
        <v>0</v>
      </c>
      <c r="BR41" s="3871">
        <v>0</v>
      </c>
      <c r="BS41" s="3871"/>
      <c r="BT41" s="1518"/>
      <c r="BU41" s="1518">
        <v>2</v>
      </c>
      <c r="BX41" s="36"/>
      <c r="BY41" s="36"/>
      <c r="BZ41" s="36"/>
      <c r="CA41" s="393" t="s">
        <v>1080</v>
      </c>
      <c r="CB41" s="1682">
        <v>0</v>
      </c>
      <c r="CC41" s="1682"/>
      <c r="CD41" s="1682">
        <v>0</v>
      </c>
      <c r="CE41" s="1682">
        <v>0</v>
      </c>
      <c r="CF41" s="1682">
        <v>0</v>
      </c>
      <c r="CG41" s="1682">
        <v>0</v>
      </c>
      <c r="CH41" s="1682">
        <v>1</v>
      </c>
      <c r="CI41" s="1682">
        <v>10</v>
      </c>
      <c r="CJ41" s="2041">
        <v>1</v>
      </c>
      <c r="CK41" s="2041">
        <v>3</v>
      </c>
      <c r="CL41" s="2041">
        <v>15</v>
      </c>
      <c r="CM41" s="36"/>
      <c r="CO41" s="37"/>
      <c r="CP41" s="37"/>
      <c r="CQ41" s="37"/>
      <c r="CR41" s="416" t="s">
        <v>482</v>
      </c>
      <c r="CS41" s="1679"/>
      <c r="CT41" s="1679">
        <v>4</v>
      </c>
      <c r="CU41" s="1679">
        <v>2</v>
      </c>
      <c r="CV41" s="1679">
        <v>2</v>
      </c>
      <c r="CW41" s="1679">
        <v>1</v>
      </c>
      <c r="CX41" s="1679">
        <v>2</v>
      </c>
      <c r="CY41" s="1679">
        <v>18</v>
      </c>
      <c r="CZ41" s="1679">
        <v>15</v>
      </c>
      <c r="DA41" s="1679">
        <v>20</v>
      </c>
      <c r="DB41" s="386"/>
      <c r="DC41" s="386">
        <v>4</v>
      </c>
      <c r="DD41" s="386">
        <v>68</v>
      </c>
      <c r="DE41" s="2045">
        <f>+(DD37+DD39+DD40)/DD41</f>
        <v>0.41176470588235292</v>
      </c>
      <c r="DG41" s="95"/>
      <c r="DH41" s="95"/>
      <c r="DI41" s="36"/>
      <c r="DJ41" s="393" t="s">
        <v>482</v>
      </c>
      <c r="DK41" s="1485">
        <v>3</v>
      </c>
      <c r="DL41" s="1485">
        <v>2</v>
      </c>
      <c r="DM41" s="1485">
        <v>1</v>
      </c>
      <c r="DN41" s="1485"/>
      <c r="DO41" s="1485">
        <v>1</v>
      </c>
      <c r="DP41" s="1485">
        <v>2</v>
      </c>
      <c r="DQ41" s="1485">
        <v>20</v>
      </c>
      <c r="DR41" s="1485">
        <v>28</v>
      </c>
      <c r="DS41" s="1485">
        <v>21</v>
      </c>
      <c r="DT41" s="86">
        <v>2</v>
      </c>
      <c r="DU41" s="86">
        <v>1</v>
      </c>
      <c r="DV41" s="86">
        <v>81</v>
      </c>
      <c r="DW41" s="560">
        <f>+(DV35+DV39+DV40-DT35)/DV41</f>
        <v>0.30864197530864196</v>
      </c>
      <c r="DY41" s="1209"/>
      <c r="DZ41" s="1209"/>
      <c r="EA41" s="1210"/>
      <c r="EB41" s="1211" t="s">
        <v>1072</v>
      </c>
      <c r="EC41" s="1212"/>
      <c r="ED41" s="1212"/>
      <c r="EE41" s="1212"/>
      <c r="EF41" s="1212"/>
      <c r="EG41" s="1212"/>
      <c r="EH41" s="1213">
        <v>6</v>
      </c>
      <c r="EI41" s="1213">
        <v>6</v>
      </c>
      <c r="EJ41" s="1213">
        <v>0</v>
      </c>
      <c r="EK41" s="611"/>
      <c r="EL41" s="611"/>
      <c r="EM41" s="612">
        <v>12</v>
      </c>
      <c r="EN41" s="36"/>
      <c r="EP41" s="527"/>
      <c r="EQ41" s="527"/>
      <c r="ER41" s="528"/>
      <c r="ES41" s="555" t="s">
        <v>15</v>
      </c>
      <c r="ET41" s="556"/>
      <c r="EU41" s="556"/>
      <c r="EV41" s="556"/>
      <c r="EW41" s="556"/>
      <c r="EX41" s="556"/>
      <c r="EY41" s="557">
        <v>5</v>
      </c>
      <c r="EZ41" s="557">
        <v>7</v>
      </c>
      <c r="FA41" s="556"/>
      <c r="FB41" s="558"/>
      <c r="FC41" s="558"/>
      <c r="FD41" s="559">
        <v>12</v>
      </c>
      <c r="FE41" s="560">
        <v>0</v>
      </c>
      <c r="FG41" s="533"/>
      <c r="FH41" s="533"/>
      <c r="FI41" s="545" t="s">
        <v>483</v>
      </c>
      <c r="FJ41" s="534" t="s">
        <v>1071</v>
      </c>
      <c r="FK41" s="535"/>
      <c r="FL41" s="536">
        <v>0</v>
      </c>
      <c r="FM41" s="535"/>
      <c r="FN41" s="536">
        <v>1</v>
      </c>
      <c r="FO41" s="535"/>
      <c r="FP41" s="535"/>
      <c r="FQ41" s="536">
        <v>0</v>
      </c>
      <c r="FR41" s="536">
        <v>0</v>
      </c>
      <c r="FS41" s="536">
        <v>1</v>
      </c>
      <c r="FT41" s="537"/>
      <c r="FU41" s="537"/>
      <c r="FV41" s="538">
        <v>2</v>
      </c>
      <c r="FW41" s="539"/>
      <c r="FZ41" s="540"/>
      <c r="GA41" s="540"/>
      <c r="GB41" s="541" t="s">
        <v>1077</v>
      </c>
      <c r="GC41" s="542"/>
      <c r="GD41" s="543">
        <v>1</v>
      </c>
      <c r="GE41" s="543">
        <v>7</v>
      </c>
      <c r="GF41" s="543">
        <v>1</v>
      </c>
      <c r="GG41" s="543">
        <v>2</v>
      </c>
      <c r="GH41" s="543">
        <v>0</v>
      </c>
      <c r="GI41" s="543">
        <v>0</v>
      </c>
      <c r="GJ41" s="543">
        <v>0</v>
      </c>
      <c r="GK41" s="542"/>
      <c r="GL41" s="542"/>
      <c r="GM41" s="543">
        <v>11</v>
      </c>
      <c r="GN41" s="445"/>
      <c r="GP41" s="63"/>
      <c r="GQ41" s="63"/>
      <c r="GR41" s="37"/>
      <c r="GS41" s="37" t="s">
        <v>1076</v>
      </c>
      <c r="GT41" s="63"/>
      <c r="GU41" s="63"/>
      <c r="GV41" s="63">
        <v>3</v>
      </c>
      <c r="GW41" s="63">
        <v>0</v>
      </c>
      <c r="GX41" s="63">
        <v>0</v>
      </c>
      <c r="GY41" s="63">
        <v>0</v>
      </c>
      <c r="GZ41" s="63">
        <v>1</v>
      </c>
      <c r="HA41" s="63"/>
      <c r="HB41" s="63"/>
      <c r="HC41" s="63"/>
      <c r="HD41" s="63">
        <v>4</v>
      </c>
      <c r="HE41" s="37"/>
      <c r="HF41" s="37"/>
      <c r="HG41" s="446"/>
      <c r="HH41" s="446"/>
      <c r="HI41" s="446"/>
      <c r="HJ41" s="446" t="s">
        <v>1077</v>
      </c>
      <c r="HK41" s="446">
        <v>0</v>
      </c>
      <c r="HL41" s="446">
        <v>0</v>
      </c>
      <c r="HM41" s="446">
        <v>0</v>
      </c>
      <c r="HN41" s="446">
        <v>0</v>
      </c>
      <c r="HO41" s="446">
        <v>1</v>
      </c>
      <c r="HP41" s="446">
        <v>0</v>
      </c>
      <c r="HQ41" s="446">
        <v>0</v>
      </c>
      <c r="HR41" s="446">
        <v>0</v>
      </c>
      <c r="HS41" s="446">
        <v>0</v>
      </c>
      <c r="HT41" s="446">
        <v>0</v>
      </c>
      <c r="HU41" s="446">
        <v>0</v>
      </c>
      <c r="HV41" s="447">
        <v>1</v>
      </c>
      <c r="HW41" s="544"/>
      <c r="HX41" s="448"/>
    </row>
    <row r="42" spans="1:232">
      <c r="A42" s="5682">
        <v>1</v>
      </c>
      <c r="B42" s="5682">
        <v>1</v>
      </c>
      <c r="C42" s="5683" t="s">
        <v>2310</v>
      </c>
      <c r="D42" s="5683" t="s">
        <v>2731</v>
      </c>
      <c r="E42" s="5682">
        <v>1</v>
      </c>
      <c r="F42" s="5682">
        <v>8</v>
      </c>
      <c r="I42" s="4923">
        <v>1</v>
      </c>
      <c r="J42" s="4923">
        <v>2</v>
      </c>
      <c r="K42" s="4924" t="s">
        <v>270</v>
      </c>
      <c r="L42" s="4924" t="s">
        <v>2709</v>
      </c>
      <c r="M42" s="4923">
        <v>13</v>
      </c>
      <c r="N42" s="4923">
        <v>6</v>
      </c>
      <c r="O42" s="157"/>
      <c r="Q42" s="4705">
        <v>1</v>
      </c>
      <c r="R42" s="4705">
        <v>1</v>
      </c>
      <c r="S42" s="4706" t="s">
        <v>607</v>
      </c>
      <c r="T42" s="4706" t="s">
        <v>2709</v>
      </c>
      <c r="U42" s="4707">
        <v>1</v>
      </c>
      <c r="V42" s="4707">
        <v>8</v>
      </c>
      <c r="W42" s="4722"/>
      <c r="Y42" s="36"/>
      <c r="Z42" s="36"/>
      <c r="AA42" s="36"/>
      <c r="AB42" s="36" t="s">
        <v>15</v>
      </c>
      <c r="AC42" s="1681">
        <v>3</v>
      </c>
      <c r="AD42" s="1681">
        <v>2</v>
      </c>
      <c r="AE42" s="1681"/>
      <c r="AF42" s="1681">
        <v>1</v>
      </c>
      <c r="AG42" s="1681">
        <v>1</v>
      </c>
      <c r="AH42" s="1681">
        <v>3</v>
      </c>
      <c r="AI42" s="1681">
        <v>11</v>
      </c>
      <c r="AJ42" s="1681">
        <v>42</v>
      </c>
      <c r="AK42" s="1681">
        <v>5</v>
      </c>
      <c r="AL42" s="95">
        <v>1</v>
      </c>
      <c r="AM42" s="95">
        <v>69</v>
      </c>
      <c r="AN42" s="560">
        <f>+(AI37+AI40+AJ40)/(AM42-AM41)</f>
        <v>7.575757575757576E-2</v>
      </c>
      <c r="AR42" s="27"/>
      <c r="AS42" s="27" t="s">
        <v>1163</v>
      </c>
      <c r="AT42" s="3722">
        <v>0</v>
      </c>
      <c r="AU42" s="3722">
        <v>0</v>
      </c>
      <c r="AV42" s="3722">
        <v>0</v>
      </c>
      <c r="AW42" s="3722">
        <v>0</v>
      </c>
      <c r="AX42" s="3722">
        <v>0</v>
      </c>
      <c r="AY42" s="3722">
        <v>0</v>
      </c>
      <c r="AZ42" s="3722">
        <v>0</v>
      </c>
      <c r="BA42" s="3722">
        <v>3</v>
      </c>
      <c r="BB42" s="3722">
        <v>0</v>
      </c>
      <c r="BC42" s="3701"/>
      <c r="BD42" s="3701">
        <v>0</v>
      </c>
      <c r="BE42" s="3701">
        <v>3</v>
      </c>
      <c r="BF42" s="2110"/>
      <c r="BG42" s="2110"/>
      <c r="BK42" s="32" t="s">
        <v>1080</v>
      </c>
      <c r="BL42" s="3871">
        <v>0</v>
      </c>
      <c r="BM42" s="3871">
        <v>0</v>
      </c>
      <c r="BN42" s="3871"/>
      <c r="BO42" s="3871"/>
      <c r="BP42" s="3871"/>
      <c r="BQ42" s="3871">
        <v>0</v>
      </c>
      <c r="BR42" s="3871">
        <v>4</v>
      </c>
      <c r="BS42" s="3871"/>
      <c r="BT42" s="1518"/>
      <c r="BU42" s="1518">
        <v>4</v>
      </c>
      <c r="BX42" s="36"/>
      <c r="BY42" s="36"/>
      <c r="BZ42" s="36"/>
      <c r="CA42" s="393" t="s">
        <v>1081</v>
      </c>
      <c r="CB42" s="1682">
        <v>0</v>
      </c>
      <c r="CC42" s="1682"/>
      <c r="CD42" s="1682">
        <v>0</v>
      </c>
      <c r="CE42" s="1682">
        <v>0</v>
      </c>
      <c r="CF42" s="1682">
        <v>0</v>
      </c>
      <c r="CG42" s="1682">
        <v>2</v>
      </c>
      <c r="CH42" s="1682">
        <v>8</v>
      </c>
      <c r="CI42" s="1682">
        <v>5</v>
      </c>
      <c r="CJ42" s="2041">
        <v>0</v>
      </c>
      <c r="CK42" s="2041">
        <v>0</v>
      </c>
      <c r="CL42" s="2041">
        <v>15</v>
      </c>
      <c r="CM42" s="36"/>
      <c r="CO42" s="37"/>
      <c r="CP42" s="37" t="s">
        <v>16</v>
      </c>
      <c r="CQ42" s="37" t="s">
        <v>238</v>
      </c>
      <c r="CR42" s="37" t="s">
        <v>1072</v>
      </c>
      <c r="CS42" s="1678"/>
      <c r="CT42" s="1678"/>
      <c r="CU42" s="1678"/>
      <c r="CV42" s="1678"/>
      <c r="CW42" s="1678"/>
      <c r="CX42" s="1678">
        <v>1</v>
      </c>
      <c r="CY42" s="1678">
        <v>9</v>
      </c>
      <c r="CZ42" s="1678"/>
      <c r="DA42" s="1678"/>
      <c r="DB42" s="63"/>
      <c r="DC42" s="63"/>
      <c r="DD42" s="63">
        <v>10</v>
      </c>
      <c r="DG42" s="95"/>
      <c r="DH42" s="95" t="s">
        <v>16</v>
      </c>
      <c r="DI42" s="36" t="s">
        <v>116</v>
      </c>
      <c r="DJ42" s="36" t="s">
        <v>1072</v>
      </c>
      <c r="DK42" s="1484"/>
      <c r="DL42" s="1484"/>
      <c r="DM42" s="1484"/>
      <c r="DN42" s="1484"/>
      <c r="DO42" s="1484"/>
      <c r="DP42" s="1484"/>
      <c r="DQ42" s="1484">
        <v>7</v>
      </c>
      <c r="DR42" s="1484">
        <v>1</v>
      </c>
      <c r="DS42" s="1484"/>
      <c r="DT42" s="95"/>
      <c r="DU42" s="95"/>
      <c r="DV42" s="95">
        <v>8</v>
      </c>
      <c r="DW42" s="95"/>
      <c r="DY42" s="1209"/>
      <c r="DZ42" s="1209"/>
      <c r="EA42" s="1210"/>
      <c r="EB42" s="1211" t="s">
        <v>1081</v>
      </c>
      <c r="EC42" s="1212"/>
      <c r="ED42" s="1212"/>
      <c r="EE42" s="1212"/>
      <c r="EF42" s="1212"/>
      <c r="EG42" s="1212"/>
      <c r="EH42" s="1213">
        <v>0</v>
      </c>
      <c r="EI42" s="1213">
        <v>1</v>
      </c>
      <c r="EJ42" s="1213">
        <v>0</v>
      </c>
      <c r="EK42" s="611"/>
      <c r="EL42" s="611"/>
      <c r="EM42" s="612">
        <v>1</v>
      </c>
      <c r="EN42" s="36"/>
      <c r="EP42" s="527"/>
      <c r="EQ42" s="527"/>
      <c r="ER42" s="528" t="s">
        <v>117</v>
      </c>
      <c r="ES42" s="529" t="s">
        <v>1072</v>
      </c>
      <c r="ET42" s="531">
        <v>0</v>
      </c>
      <c r="EU42" s="530"/>
      <c r="EV42" s="530"/>
      <c r="EW42" s="530"/>
      <c r="EX42" s="530"/>
      <c r="EY42" s="531">
        <v>2</v>
      </c>
      <c r="EZ42" s="531">
        <v>0</v>
      </c>
      <c r="FA42" s="531">
        <v>3</v>
      </c>
      <c r="FB42" s="527"/>
      <c r="FC42" s="527"/>
      <c r="FD42" s="532">
        <v>5</v>
      </c>
      <c r="FE42" s="95"/>
      <c r="FG42" s="533"/>
      <c r="FH42" s="533"/>
      <c r="FI42" s="533"/>
      <c r="FJ42" s="534" t="s">
        <v>1072</v>
      </c>
      <c r="FK42" s="535"/>
      <c r="FL42" s="536">
        <v>0</v>
      </c>
      <c r="FM42" s="535"/>
      <c r="FN42" s="536">
        <v>0</v>
      </c>
      <c r="FO42" s="535"/>
      <c r="FP42" s="535"/>
      <c r="FQ42" s="536">
        <v>22</v>
      </c>
      <c r="FR42" s="536">
        <v>1</v>
      </c>
      <c r="FS42" s="536">
        <v>0</v>
      </c>
      <c r="FT42" s="537"/>
      <c r="FU42" s="537"/>
      <c r="FV42" s="538">
        <v>23</v>
      </c>
      <c r="FW42" s="539"/>
      <c r="FZ42" s="540"/>
      <c r="GA42" s="540"/>
      <c r="GB42" s="541" t="s">
        <v>1080</v>
      </c>
      <c r="GC42" s="542"/>
      <c r="GD42" s="543">
        <v>0</v>
      </c>
      <c r="GE42" s="543">
        <v>0</v>
      </c>
      <c r="GF42" s="543">
        <v>3</v>
      </c>
      <c r="GG42" s="543">
        <v>0</v>
      </c>
      <c r="GH42" s="543">
        <v>2</v>
      </c>
      <c r="GI42" s="543">
        <v>1</v>
      </c>
      <c r="GJ42" s="543">
        <v>4</v>
      </c>
      <c r="GK42" s="542"/>
      <c r="GL42" s="542"/>
      <c r="GM42" s="543">
        <v>10</v>
      </c>
      <c r="GN42" s="445"/>
      <c r="GP42" s="63"/>
      <c r="GQ42" s="63"/>
      <c r="GR42" s="37"/>
      <c r="GS42" s="37" t="s">
        <v>1077</v>
      </c>
      <c r="GT42" s="63"/>
      <c r="GU42" s="63"/>
      <c r="GV42" s="63">
        <v>22</v>
      </c>
      <c r="GW42" s="63">
        <v>5</v>
      </c>
      <c r="GX42" s="63">
        <v>4</v>
      </c>
      <c r="GY42" s="63">
        <v>1</v>
      </c>
      <c r="GZ42" s="63">
        <v>0</v>
      </c>
      <c r="HA42" s="63"/>
      <c r="HB42" s="63"/>
      <c r="HC42" s="63"/>
      <c r="HD42" s="63">
        <v>32</v>
      </c>
      <c r="HE42" s="37"/>
      <c r="HF42" s="37"/>
      <c r="HG42" s="446"/>
      <c r="HH42" s="446"/>
      <c r="HI42" s="446"/>
      <c r="HJ42" s="446" t="s">
        <v>1080</v>
      </c>
      <c r="HK42" s="446">
        <v>0</v>
      </c>
      <c r="HL42" s="446">
        <v>0</v>
      </c>
      <c r="HM42" s="446">
        <v>0</v>
      </c>
      <c r="HN42" s="446">
        <v>0</v>
      </c>
      <c r="HO42" s="446">
        <v>0</v>
      </c>
      <c r="HP42" s="446">
        <v>0</v>
      </c>
      <c r="HQ42" s="446">
        <v>0</v>
      </c>
      <c r="HR42" s="446">
        <v>0</v>
      </c>
      <c r="HS42" s="446">
        <v>0</v>
      </c>
      <c r="HT42" s="446">
        <v>2</v>
      </c>
      <c r="HU42" s="446">
        <v>0</v>
      </c>
      <c r="HV42" s="447">
        <v>2</v>
      </c>
      <c r="HW42" s="544"/>
      <c r="HX42" s="448"/>
    </row>
    <row r="43" spans="1:232">
      <c r="A43" s="5682">
        <v>1</v>
      </c>
      <c r="B43" s="5682">
        <v>1</v>
      </c>
      <c r="C43" s="5683" t="s">
        <v>2310</v>
      </c>
      <c r="D43" s="5683" t="s">
        <v>2703</v>
      </c>
      <c r="E43" s="5682">
        <v>1</v>
      </c>
      <c r="F43" s="5682">
        <v>4</v>
      </c>
      <c r="I43" s="4923"/>
      <c r="J43" s="4923"/>
      <c r="K43" s="4924"/>
      <c r="L43" s="4924"/>
      <c r="M43" s="4935">
        <f>SUM(M42)</f>
        <v>13</v>
      </c>
      <c r="N43" s="4923"/>
      <c r="O43" s="4921">
        <v>0</v>
      </c>
      <c r="Q43" s="4705"/>
      <c r="R43" s="4705"/>
      <c r="S43" s="4742"/>
      <c r="T43" s="4742"/>
      <c r="U43" s="4741">
        <f>SUM(U34:U42)</f>
        <v>14</v>
      </c>
      <c r="V43" s="4741"/>
      <c r="W43" s="4722">
        <f>(U38+U39)/(U43)</f>
        <v>0.14285714285714285</v>
      </c>
      <c r="Y43" s="36"/>
      <c r="Z43" s="36" t="s">
        <v>16</v>
      </c>
      <c r="AA43" s="36" t="s">
        <v>116</v>
      </c>
      <c r="AB43" s="36" t="s">
        <v>1072</v>
      </c>
      <c r="AC43" s="1681"/>
      <c r="AD43" s="1681"/>
      <c r="AE43" s="1681"/>
      <c r="AF43" s="1681"/>
      <c r="AG43" s="1681"/>
      <c r="AH43" s="1681">
        <v>1</v>
      </c>
      <c r="AI43" s="1681">
        <v>10</v>
      </c>
      <c r="AJ43" s="1681"/>
      <c r="AK43" s="1681"/>
      <c r="AL43" s="95"/>
      <c r="AM43" s="95">
        <v>11</v>
      </c>
      <c r="AN43" s="4545"/>
      <c r="AR43" s="27"/>
      <c r="AS43" s="27" t="s">
        <v>15</v>
      </c>
      <c r="AT43" s="3722">
        <v>7</v>
      </c>
      <c r="AU43" s="3722">
        <v>4</v>
      </c>
      <c r="AV43" s="3722">
        <v>1</v>
      </c>
      <c r="AW43" s="3722">
        <v>1</v>
      </c>
      <c r="AX43" s="3722">
        <v>2</v>
      </c>
      <c r="AY43" s="3722">
        <v>2</v>
      </c>
      <c r="AZ43" s="3722">
        <v>24</v>
      </c>
      <c r="BA43" s="3722">
        <v>22</v>
      </c>
      <c r="BB43" s="3722">
        <v>14</v>
      </c>
      <c r="BC43" s="3701"/>
      <c r="BD43" s="3701">
        <v>2</v>
      </c>
      <c r="BE43" s="3701">
        <v>79</v>
      </c>
      <c r="BF43" s="1665">
        <f>+(BE37+BE40+BE42)/(BE43-BE41)</f>
        <v>0.2638888888888889</v>
      </c>
      <c r="BG43" s="1665"/>
      <c r="BK43" s="1520" t="s">
        <v>15</v>
      </c>
      <c r="BL43" s="3872">
        <v>1</v>
      </c>
      <c r="BM43" s="3872">
        <v>1</v>
      </c>
      <c r="BN43" s="3872"/>
      <c r="BO43" s="3872"/>
      <c r="BP43" s="3872"/>
      <c r="BQ43" s="3872">
        <v>5</v>
      </c>
      <c r="BR43" s="3872">
        <v>4</v>
      </c>
      <c r="BS43" s="3872"/>
      <c r="BT43" s="3806"/>
      <c r="BU43" s="3806">
        <v>11</v>
      </c>
      <c r="BV43" s="3807">
        <v>0</v>
      </c>
      <c r="BX43" s="36"/>
      <c r="BY43" s="36"/>
      <c r="BZ43" s="36"/>
      <c r="CA43" s="393" t="s">
        <v>1163</v>
      </c>
      <c r="CB43" s="1682">
        <v>0</v>
      </c>
      <c r="CC43" s="1682"/>
      <c r="CD43" s="1682">
        <v>0</v>
      </c>
      <c r="CE43" s="1682">
        <v>0</v>
      </c>
      <c r="CF43" s="1682">
        <v>0</v>
      </c>
      <c r="CG43" s="1682">
        <v>3</v>
      </c>
      <c r="CH43" s="1682">
        <v>6</v>
      </c>
      <c r="CI43" s="1682">
        <v>1</v>
      </c>
      <c r="CJ43" s="2041">
        <v>0</v>
      </c>
      <c r="CK43" s="2041">
        <v>0</v>
      </c>
      <c r="CL43" s="2041">
        <v>10</v>
      </c>
      <c r="CM43" s="36"/>
      <c r="CO43" s="37"/>
      <c r="CP43" s="37"/>
      <c r="CQ43" s="37"/>
      <c r="CR43" s="37" t="s">
        <v>1076</v>
      </c>
      <c r="CS43" s="1678"/>
      <c r="CT43" s="1678"/>
      <c r="CU43" s="1678"/>
      <c r="CV43" s="1678"/>
      <c r="CW43" s="1678"/>
      <c r="CX43" s="1678">
        <v>0</v>
      </c>
      <c r="CY43" s="1678">
        <v>1</v>
      </c>
      <c r="CZ43" s="1678"/>
      <c r="DA43" s="1678"/>
      <c r="DB43" s="63"/>
      <c r="DC43" s="63"/>
      <c r="DD43" s="63">
        <v>1</v>
      </c>
      <c r="DG43" s="95"/>
      <c r="DH43" s="95"/>
      <c r="DI43" s="36"/>
      <c r="DJ43" s="36" t="s">
        <v>1080</v>
      </c>
      <c r="DK43" s="1484"/>
      <c r="DL43" s="1484"/>
      <c r="DM43" s="1484"/>
      <c r="DN43" s="1484"/>
      <c r="DO43" s="1484"/>
      <c r="DP43" s="1484"/>
      <c r="DQ43" s="1484">
        <v>0</v>
      </c>
      <c r="DR43" s="1484">
        <v>1</v>
      </c>
      <c r="DS43" s="1484"/>
      <c r="DT43" s="95"/>
      <c r="DU43" s="95"/>
      <c r="DV43" s="95">
        <v>1</v>
      </c>
      <c r="DW43" s="95"/>
      <c r="DY43" s="1209"/>
      <c r="DZ43" s="1209"/>
      <c r="EA43" s="1210"/>
      <c r="EB43" s="415" t="s">
        <v>15</v>
      </c>
      <c r="EC43" s="1214"/>
      <c r="ED43" s="1214"/>
      <c r="EE43" s="1214"/>
      <c r="EF43" s="1214"/>
      <c r="EG43" s="1214"/>
      <c r="EH43" s="1215">
        <v>6</v>
      </c>
      <c r="EI43" s="1215">
        <v>9</v>
      </c>
      <c r="EJ43" s="1215">
        <v>3</v>
      </c>
      <c r="EK43" s="620"/>
      <c r="EL43" s="620"/>
      <c r="EM43" s="621">
        <v>18</v>
      </c>
      <c r="EN43" s="1178">
        <f>+EM42/EM43</f>
        <v>5.5555555555555552E-2</v>
      </c>
      <c r="EP43" s="527"/>
      <c r="EQ43" s="527"/>
      <c r="ER43" s="528"/>
      <c r="ES43" s="529" t="s">
        <v>1074</v>
      </c>
      <c r="ET43" s="531">
        <v>1</v>
      </c>
      <c r="EU43" s="530"/>
      <c r="EV43" s="530"/>
      <c r="EW43" s="530"/>
      <c r="EX43" s="530"/>
      <c r="EY43" s="531">
        <v>0</v>
      </c>
      <c r="EZ43" s="531">
        <v>0</v>
      </c>
      <c r="FA43" s="531">
        <v>0</v>
      </c>
      <c r="FB43" s="527"/>
      <c r="FC43" s="527"/>
      <c r="FD43" s="532">
        <v>1</v>
      </c>
      <c r="FE43" s="95"/>
      <c r="FG43" s="533"/>
      <c r="FH43" s="533"/>
      <c r="FI43" s="533"/>
      <c r="FJ43" s="534" t="s">
        <v>1074</v>
      </c>
      <c r="FK43" s="535"/>
      <c r="FL43" s="536">
        <v>3</v>
      </c>
      <c r="FM43" s="535"/>
      <c r="FN43" s="536">
        <v>0</v>
      </c>
      <c r="FO43" s="535"/>
      <c r="FP43" s="535"/>
      <c r="FQ43" s="536">
        <v>0</v>
      </c>
      <c r="FR43" s="536">
        <v>0</v>
      </c>
      <c r="FS43" s="536">
        <v>0</v>
      </c>
      <c r="FT43" s="537"/>
      <c r="FU43" s="537"/>
      <c r="FV43" s="538">
        <v>3</v>
      </c>
      <c r="FW43" s="539"/>
      <c r="FZ43" s="540"/>
      <c r="GA43" s="540"/>
      <c r="GB43" s="541" t="s">
        <v>1081</v>
      </c>
      <c r="GC43" s="542"/>
      <c r="GD43" s="543">
        <v>0</v>
      </c>
      <c r="GE43" s="543">
        <v>1</v>
      </c>
      <c r="GF43" s="543">
        <v>1</v>
      </c>
      <c r="GG43" s="543">
        <v>0</v>
      </c>
      <c r="GH43" s="543">
        <v>0</v>
      </c>
      <c r="GI43" s="543">
        <v>0</v>
      </c>
      <c r="GJ43" s="543">
        <v>0</v>
      </c>
      <c r="GK43" s="542"/>
      <c r="GL43" s="542"/>
      <c r="GM43" s="543">
        <v>2</v>
      </c>
      <c r="GN43" s="445"/>
      <c r="GP43" s="63"/>
      <c r="GQ43" s="63"/>
      <c r="GR43" s="37"/>
      <c r="GS43" s="37" t="s">
        <v>1080</v>
      </c>
      <c r="GT43" s="63"/>
      <c r="GU43" s="63"/>
      <c r="GV43" s="63">
        <v>0</v>
      </c>
      <c r="GW43" s="63">
        <v>1</v>
      </c>
      <c r="GX43" s="63">
        <v>0</v>
      </c>
      <c r="GY43" s="63">
        <v>0</v>
      </c>
      <c r="GZ43" s="63">
        <v>0</v>
      </c>
      <c r="HA43" s="63"/>
      <c r="HB43" s="63"/>
      <c r="HC43" s="63"/>
      <c r="HD43" s="63">
        <v>1</v>
      </c>
      <c r="HE43" s="37"/>
      <c r="HF43" s="37"/>
      <c r="HG43" s="446"/>
      <c r="HH43" s="446"/>
      <c r="HI43" s="446"/>
      <c r="HJ43" s="449" t="s">
        <v>15</v>
      </c>
      <c r="HK43" s="449">
        <v>0</v>
      </c>
      <c r="HL43" s="449">
        <v>0</v>
      </c>
      <c r="HM43" s="449">
        <v>0</v>
      </c>
      <c r="HN43" s="449">
        <v>0</v>
      </c>
      <c r="HO43" s="449">
        <v>1</v>
      </c>
      <c r="HP43" s="449">
        <v>0</v>
      </c>
      <c r="HQ43" s="449">
        <v>0</v>
      </c>
      <c r="HR43" s="449">
        <v>0</v>
      </c>
      <c r="HS43" s="449">
        <v>1</v>
      </c>
      <c r="HT43" s="449">
        <v>2</v>
      </c>
      <c r="HU43" s="449">
        <v>0</v>
      </c>
      <c r="HV43" s="507">
        <v>4</v>
      </c>
      <c r="HW43" s="554">
        <f>0/HV43</f>
        <v>0</v>
      </c>
      <c r="HX43" s="448">
        <v>0</v>
      </c>
    </row>
    <row r="44" spans="1:232">
      <c r="A44" s="5682">
        <v>1</v>
      </c>
      <c r="B44" s="5682">
        <v>1</v>
      </c>
      <c r="C44" s="5683" t="s">
        <v>2310</v>
      </c>
      <c r="D44" s="5685" t="s">
        <v>1076</v>
      </c>
      <c r="E44" s="5682">
        <v>2</v>
      </c>
      <c r="F44" s="5682">
        <v>6</v>
      </c>
      <c r="I44" s="4915">
        <v>1</v>
      </c>
      <c r="J44" s="4915">
        <v>2</v>
      </c>
      <c r="K44" s="4916" t="s">
        <v>269</v>
      </c>
      <c r="L44" s="4916" t="s">
        <v>2703</v>
      </c>
      <c r="M44" s="4915">
        <v>3</v>
      </c>
      <c r="N44" s="4915">
        <v>1</v>
      </c>
      <c r="O44" s="157"/>
      <c r="Q44" s="4705">
        <v>1</v>
      </c>
      <c r="R44" s="4705">
        <v>1</v>
      </c>
      <c r="S44" s="4706" t="s">
        <v>606</v>
      </c>
      <c r="T44" s="4706" t="s">
        <v>1071</v>
      </c>
      <c r="U44" s="4707">
        <v>2</v>
      </c>
      <c r="V44" s="4707">
        <v>8</v>
      </c>
      <c r="W44" s="4722"/>
      <c r="Y44" s="36"/>
      <c r="Z44" s="36"/>
      <c r="AA44" s="36"/>
      <c r="AB44" s="36" t="s">
        <v>15</v>
      </c>
      <c r="AC44" s="1681"/>
      <c r="AD44" s="1681"/>
      <c r="AE44" s="1681"/>
      <c r="AF44" s="1681"/>
      <c r="AG44" s="1681"/>
      <c r="AH44" s="1681">
        <v>1</v>
      </c>
      <c r="AI44" s="1681">
        <v>10</v>
      </c>
      <c r="AJ44" s="1681"/>
      <c r="AK44" s="1681"/>
      <c r="AL44" s="95"/>
      <c r="AM44" s="95">
        <v>11</v>
      </c>
      <c r="AN44" s="4545">
        <v>0</v>
      </c>
      <c r="AQ44" s="157" t="s">
        <v>16</v>
      </c>
      <c r="AR44" s="3868" t="s">
        <v>116</v>
      </c>
      <c r="AS44" s="3868" t="s">
        <v>1072</v>
      </c>
      <c r="AT44" s="3721"/>
      <c r="AU44" s="3721">
        <v>0</v>
      </c>
      <c r="AV44" s="3721">
        <v>0</v>
      </c>
      <c r="AW44" s="3721"/>
      <c r="AX44" s="3721"/>
      <c r="AY44" s="3721"/>
      <c r="AZ44" s="3721">
        <v>2</v>
      </c>
      <c r="BA44" s="3721">
        <v>0</v>
      </c>
      <c r="BB44" s="3721"/>
      <c r="BC44" s="2110"/>
      <c r="BD44" s="2110"/>
      <c r="BE44" s="2110">
        <v>2</v>
      </c>
      <c r="BF44" s="2110"/>
      <c r="BG44" s="2110"/>
      <c r="BJ44" s="32" t="s">
        <v>238</v>
      </c>
      <c r="BK44" s="32" t="s">
        <v>1072</v>
      </c>
      <c r="BL44" s="3871">
        <v>0</v>
      </c>
      <c r="BM44" s="3871"/>
      <c r="BN44" s="3871"/>
      <c r="BO44" s="3871"/>
      <c r="BP44" s="3871">
        <v>1</v>
      </c>
      <c r="BQ44" s="3871">
        <v>7</v>
      </c>
      <c r="BR44" s="3871">
        <v>0</v>
      </c>
      <c r="BS44" s="3871"/>
      <c r="BT44" s="1518"/>
      <c r="BU44" s="1518">
        <v>8</v>
      </c>
      <c r="BX44" s="36"/>
      <c r="BY44" s="36"/>
      <c r="BZ44" s="36"/>
      <c r="CA44" s="393" t="s">
        <v>482</v>
      </c>
      <c r="CB44" s="1682">
        <v>2</v>
      </c>
      <c r="CC44" s="1682"/>
      <c r="CD44" s="1682">
        <v>1</v>
      </c>
      <c r="CE44" s="1682">
        <v>1</v>
      </c>
      <c r="CF44" s="1682">
        <v>2</v>
      </c>
      <c r="CG44" s="1682">
        <v>15</v>
      </c>
      <c r="CH44" s="1682">
        <v>32</v>
      </c>
      <c r="CI44" s="1682">
        <v>22</v>
      </c>
      <c r="CJ44" s="2041">
        <v>2</v>
      </c>
      <c r="CK44" s="2041">
        <v>3</v>
      </c>
      <c r="CL44" s="2041">
        <v>80</v>
      </c>
      <c r="CM44" s="560">
        <f>+(CL43+CL42+CL39)/CL44</f>
        <v>0.38750000000000001</v>
      </c>
      <c r="CN44" s="1665"/>
      <c r="CO44" s="37"/>
      <c r="CP44" s="37"/>
      <c r="CQ44" s="37"/>
      <c r="CR44" s="416" t="s">
        <v>15</v>
      </c>
      <c r="CS44" s="1679"/>
      <c r="CT44" s="1679"/>
      <c r="CU44" s="1679"/>
      <c r="CV44" s="1679"/>
      <c r="CW44" s="1679"/>
      <c r="CX44" s="1679">
        <v>1</v>
      </c>
      <c r="CY44" s="1679">
        <v>10</v>
      </c>
      <c r="CZ44" s="1679"/>
      <c r="DA44" s="1679"/>
      <c r="DB44" s="386"/>
      <c r="DC44" s="386"/>
      <c r="DD44" s="386">
        <v>11</v>
      </c>
      <c r="DE44" s="2045">
        <f>+DD43/DD44</f>
        <v>9.0909090909090912E-2</v>
      </c>
      <c r="DG44" s="95"/>
      <c r="DH44" s="95"/>
      <c r="DI44" s="36"/>
      <c r="DJ44" s="36" t="s">
        <v>1081</v>
      </c>
      <c r="DK44" s="1484"/>
      <c r="DL44" s="1484"/>
      <c r="DM44" s="1484"/>
      <c r="DN44" s="1484"/>
      <c r="DO44" s="1484"/>
      <c r="DP44" s="1484"/>
      <c r="DQ44" s="1484">
        <v>1</v>
      </c>
      <c r="DR44" s="1484">
        <v>0</v>
      </c>
      <c r="DS44" s="1484"/>
      <c r="DT44" s="95"/>
      <c r="DU44" s="95"/>
      <c r="DV44" s="95">
        <v>1</v>
      </c>
      <c r="DW44" s="95"/>
      <c r="DY44" s="1209"/>
      <c r="DZ44" s="1209"/>
      <c r="EA44" s="1210" t="s">
        <v>238</v>
      </c>
      <c r="EB44" s="1211" t="s">
        <v>1072</v>
      </c>
      <c r="EC44" s="1212"/>
      <c r="ED44" s="1212"/>
      <c r="EE44" s="1213">
        <v>2</v>
      </c>
      <c r="EF44" s="1213">
        <v>2</v>
      </c>
      <c r="EG44" s="1213">
        <v>4</v>
      </c>
      <c r="EH44" s="1213">
        <v>11</v>
      </c>
      <c r="EI44" s="1212"/>
      <c r="EJ44" s="1212"/>
      <c r="EK44" s="611"/>
      <c r="EL44" s="611"/>
      <c r="EM44" s="612">
        <v>19</v>
      </c>
      <c r="EN44" s="36"/>
      <c r="EP44" s="527"/>
      <c r="EQ44" s="527"/>
      <c r="ER44" s="528"/>
      <c r="ES44" s="529" t="s">
        <v>1076</v>
      </c>
      <c r="ET44" s="531">
        <v>0</v>
      </c>
      <c r="EU44" s="530"/>
      <c r="EV44" s="530"/>
      <c r="EW44" s="530"/>
      <c r="EX44" s="530"/>
      <c r="EY44" s="531">
        <v>2</v>
      </c>
      <c r="EZ44" s="531">
        <v>3</v>
      </c>
      <c r="FA44" s="531">
        <v>0</v>
      </c>
      <c r="FB44" s="527"/>
      <c r="FC44" s="527"/>
      <c r="FD44" s="532">
        <v>5</v>
      </c>
      <c r="FE44" s="95"/>
      <c r="FG44" s="533"/>
      <c r="FH44" s="533"/>
      <c r="FI44" s="533"/>
      <c r="FJ44" s="534" t="s">
        <v>1076</v>
      </c>
      <c r="FK44" s="535"/>
      <c r="FL44" s="536">
        <v>0</v>
      </c>
      <c r="FM44" s="535"/>
      <c r="FN44" s="536">
        <v>0</v>
      </c>
      <c r="FO44" s="535"/>
      <c r="FP44" s="535"/>
      <c r="FQ44" s="536">
        <v>6</v>
      </c>
      <c r="FR44" s="536">
        <v>0</v>
      </c>
      <c r="FS44" s="536">
        <v>0</v>
      </c>
      <c r="FT44" s="537"/>
      <c r="FU44" s="537"/>
      <c r="FV44" s="538">
        <v>6</v>
      </c>
      <c r="FW44" s="539"/>
      <c r="FZ44" s="540"/>
      <c r="GA44" s="540"/>
      <c r="GB44" s="541" t="s">
        <v>1163</v>
      </c>
      <c r="GC44" s="542"/>
      <c r="GD44" s="543">
        <v>0</v>
      </c>
      <c r="GE44" s="543">
        <v>1</v>
      </c>
      <c r="GF44" s="543">
        <v>0</v>
      </c>
      <c r="GG44" s="543">
        <v>0</v>
      </c>
      <c r="GH44" s="543">
        <v>0</v>
      </c>
      <c r="GI44" s="543">
        <v>0</v>
      </c>
      <c r="GJ44" s="543">
        <v>0</v>
      </c>
      <c r="GK44" s="542"/>
      <c r="GL44" s="542"/>
      <c r="GM44" s="543">
        <v>1</v>
      </c>
      <c r="GN44" s="445"/>
      <c r="GP44" s="63"/>
      <c r="GQ44" s="63"/>
      <c r="GR44" s="37"/>
      <c r="GS44" s="37" t="s">
        <v>1081</v>
      </c>
      <c r="GT44" s="63"/>
      <c r="GU44" s="63"/>
      <c r="GV44" s="63">
        <v>0</v>
      </c>
      <c r="GW44" s="63">
        <v>1</v>
      </c>
      <c r="GX44" s="63">
        <v>0</v>
      </c>
      <c r="GY44" s="63">
        <v>3</v>
      </c>
      <c r="GZ44" s="63">
        <v>0</v>
      </c>
      <c r="HA44" s="63"/>
      <c r="HB44" s="63"/>
      <c r="HC44" s="63"/>
      <c r="HD44" s="63">
        <v>4</v>
      </c>
      <c r="HE44" s="37"/>
      <c r="HF44" s="37"/>
      <c r="HG44" s="446"/>
      <c r="HH44" s="446"/>
      <c r="HI44" s="446" t="s">
        <v>120</v>
      </c>
      <c r="HJ44" s="446" t="s">
        <v>1071</v>
      </c>
      <c r="HK44" s="446">
        <v>0</v>
      </c>
      <c r="HL44" s="446">
        <v>0</v>
      </c>
      <c r="HM44" s="446">
        <v>0</v>
      </c>
      <c r="HN44" s="446">
        <v>0</v>
      </c>
      <c r="HO44" s="446">
        <v>0</v>
      </c>
      <c r="HP44" s="446">
        <v>0</v>
      </c>
      <c r="HQ44" s="446">
        <v>0</v>
      </c>
      <c r="HR44" s="446">
        <v>0</v>
      </c>
      <c r="HS44" s="446">
        <v>3</v>
      </c>
      <c r="HT44" s="446">
        <v>1</v>
      </c>
      <c r="HU44" s="446">
        <v>1</v>
      </c>
      <c r="HV44" s="447">
        <v>5</v>
      </c>
      <c r="HW44" s="544"/>
      <c r="HX44" s="448"/>
    </row>
    <row r="45" spans="1:232">
      <c r="A45" s="5682">
        <v>1</v>
      </c>
      <c r="B45" s="5682">
        <v>1</v>
      </c>
      <c r="C45" s="5683" t="s">
        <v>2310</v>
      </c>
      <c r="D45" s="5685" t="s">
        <v>1076</v>
      </c>
      <c r="E45" s="5682">
        <v>2</v>
      </c>
      <c r="F45" s="5682">
        <v>8</v>
      </c>
      <c r="I45" s="4915">
        <v>1</v>
      </c>
      <c r="J45" s="4915">
        <v>2</v>
      </c>
      <c r="K45" s="4916" t="s">
        <v>269</v>
      </c>
      <c r="L45" s="4916" t="s">
        <v>2709</v>
      </c>
      <c r="M45" s="4915">
        <v>13</v>
      </c>
      <c r="N45" s="4915">
        <v>6</v>
      </c>
      <c r="O45" s="157"/>
      <c r="Q45" s="4705">
        <v>1</v>
      </c>
      <c r="R45" s="4705">
        <v>1</v>
      </c>
      <c r="S45" s="4706" t="s">
        <v>606</v>
      </c>
      <c r="T45" s="4706" t="s">
        <v>2703</v>
      </c>
      <c r="U45" s="4707">
        <v>1</v>
      </c>
      <c r="V45" s="4707">
        <v>1</v>
      </c>
      <c r="W45" s="4722"/>
      <c r="X45" s="4452"/>
      <c r="Y45" s="36"/>
      <c r="Z45" s="36"/>
      <c r="AA45" s="36" t="s">
        <v>460</v>
      </c>
      <c r="AB45" s="36" t="s">
        <v>1072</v>
      </c>
      <c r="AC45" s="1681"/>
      <c r="AD45" s="1681"/>
      <c r="AE45" s="1681"/>
      <c r="AF45" s="1681"/>
      <c r="AG45" s="1681"/>
      <c r="AH45" s="1681"/>
      <c r="AI45" s="1681">
        <v>18</v>
      </c>
      <c r="AJ45" s="1681"/>
      <c r="AK45" s="1681"/>
      <c r="AL45" s="95"/>
      <c r="AM45" s="95">
        <v>18</v>
      </c>
      <c r="AN45" s="4545"/>
      <c r="AS45" s="3868" t="s">
        <v>1074</v>
      </c>
      <c r="AT45" s="3721"/>
      <c r="AU45" s="3721">
        <v>1</v>
      </c>
      <c r="AV45" s="3721">
        <v>1</v>
      </c>
      <c r="AW45" s="3721"/>
      <c r="AX45" s="3721"/>
      <c r="AY45" s="3721"/>
      <c r="AZ45" s="3721">
        <v>0</v>
      </c>
      <c r="BA45" s="3721">
        <v>0</v>
      </c>
      <c r="BB45" s="3721"/>
      <c r="BC45" s="2110"/>
      <c r="BD45" s="2110"/>
      <c r="BE45" s="2110">
        <v>2</v>
      </c>
      <c r="BF45" s="2110"/>
      <c r="BG45" s="2110"/>
      <c r="BK45" s="32" t="s">
        <v>1074</v>
      </c>
      <c r="BL45" s="3871">
        <v>2</v>
      </c>
      <c r="BM45" s="3871"/>
      <c r="BN45" s="3871"/>
      <c r="BO45" s="3871"/>
      <c r="BP45" s="3871">
        <v>0</v>
      </c>
      <c r="BQ45" s="3871">
        <v>0</v>
      </c>
      <c r="BR45" s="3871">
        <v>0</v>
      </c>
      <c r="BS45" s="3871"/>
      <c r="BT45" s="1518"/>
      <c r="BU45" s="1518">
        <v>2</v>
      </c>
      <c r="BX45" s="36"/>
      <c r="BY45" s="36" t="s">
        <v>16</v>
      </c>
      <c r="BZ45" s="36" t="s">
        <v>116</v>
      </c>
      <c r="CA45" s="36" t="s">
        <v>1071</v>
      </c>
      <c r="CB45" s="1681">
        <v>0</v>
      </c>
      <c r="CC45" s="1681"/>
      <c r="CD45" s="1681"/>
      <c r="CE45" s="1681"/>
      <c r="CF45" s="1681"/>
      <c r="CG45" s="1681">
        <v>0</v>
      </c>
      <c r="CH45" s="1681">
        <v>0</v>
      </c>
      <c r="CI45" s="1681">
        <v>1</v>
      </c>
      <c r="CJ45" s="95"/>
      <c r="CK45" s="95"/>
      <c r="CL45" s="95">
        <v>1</v>
      </c>
      <c r="CM45" s="36"/>
      <c r="CO45" s="37"/>
      <c r="CP45" s="37"/>
      <c r="CQ45" s="37" t="s">
        <v>117</v>
      </c>
      <c r="CR45" s="37" t="s">
        <v>1071</v>
      </c>
      <c r="CS45" s="1678"/>
      <c r="CT45" s="1678">
        <v>0</v>
      </c>
      <c r="CU45" s="1678"/>
      <c r="CV45" s="1678"/>
      <c r="CW45" s="1678">
        <v>0</v>
      </c>
      <c r="CX45" s="1678"/>
      <c r="CY45" s="1678"/>
      <c r="CZ45" s="1678">
        <v>0</v>
      </c>
      <c r="DA45" s="1678">
        <v>4</v>
      </c>
      <c r="DB45" s="63"/>
      <c r="DC45" s="63"/>
      <c r="DD45" s="63">
        <v>4</v>
      </c>
      <c r="DG45" s="95"/>
      <c r="DH45" s="95"/>
      <c r="DI45" s="36"/>
      <c r="DJ45" s="393" t="s">
        <v>15</v>
      </c>
      <c r="DK45" s="1485"/>
      <c r="DL45" s="1485"/>
      <c r="DM45" s="1485"/>
      <c r="DN45" s="1485"/>
      <c r="DO45" s="1485"/>
      <c r="DP45" s="1485"/>
      <c r="DQ45" s="1485">
        <v>8</v>
      </c>
      <c r="DR45" s="1485">
        <v>2</v>
      </c>
      <c r="DS45" s="1485"/>
      <c r="DT45" s="86"/>
      <c r="DU45" s="86"/>
      <c r="DV45" s="86">
        <v>10</v>
      </c>
      <c r="DW45" s="560">
        <f>+DV44/DV45</f>
        <v>0.1</v>
      </c>
      <c r="DY45" s="1209"/>
      <c r="DZ45" s="1209"/>
      <c r="EA45" s="1210"/>
      <c r="EB45" s="1211" t="s">
        <v>1076</v>
      </c>
      <c r="EC45" s="1212"/>
      <c r="ED45" s="1212"/>
      <c r="EE45" s="1213">
        <v>0</v>
      </c>
      <c r="EF45" s="1213">
        <v>0</v>
      </c>
      <c r="EG45" s="1213">
        <v>0</v>
      </c>
      <c r="EH45" s="1213">
        <v>1</v>
      </c>
      <c r="EI45" s="1212"/>
      <c r="EJ45" s="1212"/>
      <c r="EK45" s="611"/>
      <c r="EL45" s="611"/>
      <c r="EM45" s="612">
        <v>1</v>
      </c>
      <c r="EN45" s="36"/>
      <c r="EP45" s="527"/>
      <c r="EQ45" s="527"/>
      <c r="ER45" s="528"/>
      <c r="ES45" s="529" t="s">
        <v>1081</v>
      </c>
      <c r="ET45" s="531">
        <v>0</v>
      </c>
      <c r="EU45" s="530"/>
      <c r="EV45" s="530"/>
      <c r="EW45" s="530"/>
      <c r="EX45" s="530"/>
      <c r="EY45" s="531">
        <v>1</v>
      </c>
      <c r="EZ45" s="531">
        <v>2</v>
      </c>
      <c r="FA45" s="531">
        <v>0</v>
      </c>
      <c r="FB45" s="527"/>
      <c r="FC45" s="527"/>
      <c r="FD45" s="532">
        <v>3</v>
      </c>
      <c r="FE45" s="95"/>
      <c r="FG45" s="533"/>
      <c r="FH45" s="533"/>
      <c r="FI45" s="533"/>
      <c r="FJ45" s="534" t="s">
        <v>1080</v>
      </c>
      <c r="FK45" s="535"/>
      <c r="FL45" s="536">
        <v>0</v>
      </c>
      <c r="FM45" s="535"/>
      <c r="FN45" s="536">
        <v>0</v>
      </c>
      <c r="FO45" s="535"/>
      <c r="FP45" s="535"/>
      <c r="FQ45" s="536">
        <v>0</v>
      </c>
      <c r="FR45" s="536">
        <v>0</v>
      </c>
      <c r="FS45" s="536">
        <v>5</v>
      </c>
      <c r="FT45" s="537"/>
      <c r="FU45" s="537"/>
      <c r="FV45" s="538">
        <v>5</v>
      </c>
      <c r="FW45" s="539"/>
      <c r="FZ45" s="540"/>
      <c r="GA45" s="540"/>
      <c r="GB45" s="550" t="s">
        <v>15</v>
      </c>
      <c r="GC45" s="551"/>
      <c r="GD45" s="552">
        <v>1</v>
      </c>
      <c r="GE45" s="552">
        <v>13</v>
      </c>
      <c r="GF45" s="552">
        <v>8</v>
      </c>
      <c r="GG45" s="552">
        <v>3</v>
      </c>
      <c r="GH45" s="552">
        <v>3</v>
      </c>
      <c r="GI45" s="552">
        <v>1</v>
      </c>
      <c r="GJ45" s="552">
        <v>4</v>
      </c>
      <c r="GK45" s="551"/>
      <c r="GL45" s="551"/>
      <c r="GM45" s="552">
        <v>33</v>
      </c>
      <c r="GN45" s="553">
        <f>+(GM44+GM43)/GM45</f>
        <v>9.0909090909090912E-2</v>
      </c>
      <c r="GP45" s="63"/>
      <c r="GQ45" s="63"/>
      <c r="GR45" s="37"/>
      <c r="GS45" s="37" t="s">
        <v>1163</v>
      </c>
      <c r="GT45" s="63"/>
      <c r="GU45" s="63"/>
      <c r="GV45" s="63">
        <v>2</v>
      </c>
      <c r="GW45" s="63">
        <v>1</v>
      </c>
      <c r="GX45" s="63">
        <v>0</v>
      </c>
      <c r="GY45" s="63">
        <v>0</v>
      </c>
      <c r="GZ45" s="63">
        <v>0</v>
      </c>
      <c r="HA45" s="63"/>
      <c r="HB45" s="63"/>
      <c r="HC45" s="63"/>
      <c r="HD45" s="63">
        <v>3</v>
      </c>
      <c r="HE45" s="37"/>
      <c r="HF45" s="37"/>
      <c r="HG45" s="446"/>
      <c r="HH45" s="446"/>
      <c r="HI45" s="446"/>
      <c r="HJ45" s="446" t="s">
        <v>1072</v>
      </c>
      <c r="HK45" s="446">
        <v>0</v>
      </c>
      <c r="HL45" s="446">
        <v>0</v>
      </c>
      <c r="HM45" s="446">
        <v>0</v>
      </c>
      <c r="HN45" s="446">
        <v>0</v>
      </c>
      <c r="HO45" s="446">
        <v>0</v>
      </c>
      <c r="HP45" s="446">
        <v>0</v>
      </c>
      <c r="HQ45" s="446">
        <v>1</v>
      </c>
      <c r="HR45" s="446">
        <v>1</v>
      </c>
      <c r="HS45" s="446">
        <v>0</v>
      </c>
      <c r="HT45" s="446">
        <v>0</v>
      </c>
      <c r="HU45" s="446">
        <v>0</v>
      </c>
      <c r="HV45" s="447">
        <v>2</v>
      </c>
      <c r="HW45" s="544"/>
      <c r="HX45" s="448"/>
    </row>
    <row r="46" spans="1:232">
      <c r="A46" s="5682"/>
      <c r="B46" s="5682"/>
      <c r="C46" s="5683"/>
      <c r="D46" s="5685"/>
      <c r="E46" s="5686">
        <f>SUM(E42:E45)</f>
        <v>6</v>
      </c>
      <c r="F46" s="5682"/>
      <c r="G46" s="4921">
        <f>(E44+E45)/(E46)</f>
        <v>0.66666666666666663</v>
      </c>
      <c r="I46" s="4915"/>
      <c r="J46" s="4915"/>
      <c r="K46" s="4916"/>
      <c r="L46" s="4916"/>
      <c r="M46" s="4920">
        <f>SUM(M44:M45)</f>
        <v>16</v>
      </c>
      <c r="N46" s="4915"/>
      <c r="O46" s="4921">
        <v>0</v>
      </c>
      <c r="Q46" s="4705">
        <v>1</v>
      </c>
      <c r="R46" s="4705">
        <v>1</v>
      </c>
      <c r="S46" s="4706" t="s">
        <v>606</v>
      </c>
      <c r="T46" s="4706" t="s">
        <v>2709</v>
      </c>
      <c r="U46" s="4707">
        <v>1</v>
      </c>
      <c r="V46" s="4707">
        <v>6</v>
      </c>
      <c r="W46" s="4722"/>
      <c r="Y46" s="36"/>
      <c r="Z46" s="36"/>
      <c r="AA46" s="36"/>
      <c r="AB46" s="36" t="s">
        <v>15</v>
      </c>
      <c r="AC46" s="1681"/>
      <c r="AD46" s="1681"/>
      <c r="AE46" s="1681"/>
      <c r="AF46" s="1681"/>
      <c r="AG46" s="1681"/>
      <c r="AH46" s="1681"/>
      <c r="AI46" s="1681">
        <v>18</v>
      </c>
      <c r="AJ46" s="1681"/>
      <c r="AK46" s="1681"/>
      <c r="AL46" s="95"/>
      <c r="AM46" s="95">
        <v>18</v>
      </c>
      <c r="AN46" s="4545">
        <v>0</v>
      </c>
      <c r="AS46" s="3868" t="s">
        <v>1076</v>
      </c>
      <c r="AT46" s="3721"/>
      <c r="AU46" s="3721">
        <v>0</v>
      </c>
      <c r="AV46" s="3721">
        <v>0</v>
      </c>
      <c r="AW46" s="3721"/>
      <c r="AX46" s="3721"/>
      <c r="AY46" s="3721"/>
      <c r="AZ46" s="3721">
        <v>3</v>
      </c>
      <c r="BA46" s="3721">
        <v>0</v>
      </c>
      <c r="BB46" s="3721"/>
      <c r="BC46" s="2110"/>
      <c r="BD46" s="2110"/>
      <c r="BE46" s="2110">
        <v>3</v>
      </c>
      <c r="BF46" s="2110"/>
      <c r="BG46" s="2110"/>
      <c r="BK46" s="32" t="s">
        <v>1080</v>
      </c>
      <c r="BL46" s="3871">
        <v>0</v>
      </c>
      <c r="BM46" s="3871"/>
      <c r="BN46" s="3871"/>
      <c r="BO46" s="3871"/>
      <c r="BP46" s="3871">
        <v>0</v>
      </c>
      <c r="BQ46" s="3871">
        <v>0</v>
      </c>
      <c r="BR46" s="3871">
        <v>2</v>
      </c>
      <c r="BS46" s="3871"/>
      <c r="BT46" s="1518"/>
      <c r="BU46" s="1518">
        <v>2</v>
      </c>
      <c r="BX46" s="36"/>
      <c r="BY46" s="36"/>
      <c r="BZ46" s="36"/>
      <c r="CA46" s="36" t="s">
        <v>1072</v>
      </c>
      <c r="CB46" s="1681">
        <v>0</v>
      </c>
      <c r="CC46" s="1681"/>
      <c r="CD46" s="1681"/>
      <c r="CE46" s="1681"/>
      <c r="CF46" s="1681"/>
      <c r="CG46" s="1681">
        <v>0</v>
      </c>
      <c r="CH46" s="1681">
        <v>4</v>
      </c>
      <c r="CI46" s="1681">
        <v>0</v>
      </c>
      <c r="CJ46" s="95"/>
      <c r="CK46" s="95"/>
      <c r="CL46" s="95">
        <v>4</v>
      </c>
      <c r="CM46" s="36"/>
      <c r="CO46" s="37"/>
      <c r="CP46" s="37"/>
      <c r="CQ46" s="37"/>
      <c r="CR46" s="37" t="s">
        <v>1072</v>
      </c>
      <c r="CS46" s="1678"/>
      <c r="CT46" s="1678">
        <v>1</v>
      </c>
      <c r="CU46" s="1678"/>
      <c r="CV46" s="1678"/>
      <c r="CW46" s="1678">
        <v>0</v>
      </c>
      <c r="CX46" s="1678"/>
      <c r="CY46" s="1678"/>
      <c r="CZ46" s="1678">
        <v>4</v>
      </c>
      <c r="DA46" s="1678">
        <v>0</v>
      </c>
      <c r="DB46" s="63"/>
      <c r="DC46" s="63"/>
      <c r="DD46" s="63">
        <v>5</v>
      </c>
      <c r="DG46" s="95"/>
      <c r="DH46" s="95"/>
      <c r="DI46" s="36" t="s">
        <v>117</v>
      </c>
      <c r="DJ46" s="36" t="s">
        <v>1072</v>
      </c>
      <c r="DK46" s="1484"/>
      <c r="DL46" s="1484">
        <v>1</v>
      </c>
      <c r="DM46" s="1484"/>
      <c r="DN46" s="1484"/>
      <c r="DO46" s="1484"/>
      <c r="DP46" s="1484"/>
      <c r="DQ46" s="1484"/>
      <c r="DR46" s="1484">
        <v>1</v>
      </c>
      <c r="DS46" s="1484">
        <v>1</v>
      </c>
      <c r="DT46" s="95">
        <v>1</v>
      </c>
      <c r="DU46" s="95">
        <v>0</v>
      </c>
      <c r="DV46" s="95">
        <v>4</v>
      </c>
      <c r="DW46" s="95"/>
      <c r="DY46" s="1209"/>
      <c r="DZ46" s="1209"/>
      <c r="EA46" s="1210"/>
      <c r="EB46" s="1211" t="s">
        <v>1081</v>
      </c>
      <c r="EC46" s="1212"/>
      <c r="ED46" s="1212"/>
      <c r="EE46" s="1213">
        <v>0</v>
      </c>
      <c r="EF46" s="1213">
        <v>0</v>
      </c>
      <c r="EG46" s="1213">
        <v>0</v>
      </c>
      <c r="EH46" s="1213">
        <v>1</v>
      </c>
      <c r="EI46" s="1212"/>
      <c r="EJ46" s="1212"/>
      <c r="EK46" s="611"/>
      <c r="EL46" s="611"/>
      <c r="EM46" s="612">
        <v>1</v>
      </c>
      <c r="EN46" s="36"/>
      <c r="EP46" s="527"/>
      <c r="EQ46" s="527"/>
      <c r="ER46" s="528"/>
      <c r="ES46" s="529" t="s">
        <v>1163</v>
      </c>
      <c r="ET46" s="531">
        <v>0</v>
      </c>
      <c r="EU46" s="530"/>
      <c r="EV46" s="530"/>
      <c r="EW46" s="530"/>
      <c r="EX46" s="530"/>
      <c r="EY46" s="531">
        <v>0</v>
      </c>
      <c r="EZ46" s="531">
        <v>1</v>
      </c>
      <c r="FA46" s="531">
        <v>0</v>
      </c>
      <c r="FB46" s="527"/>
      <c r="FC46" s="527"/>
      <c r="FD46" s="532">
        <v>1</v>
      </c>
      <c r="FE46" s="95"/>
      <c r="FG46" s="533"/>
      <c r="FH46" s="533"/>
      <c r="FI46" s="533"/>
      <c r="FJ46" s="534" t="s">
        <v>1081</v>
      </c>
      <c r="FK46" s="535"/>
      <c r="FL46" s="536">
        <v>0</v>
      </c>
      <c r="FM46" s="535"/>
      <c r="FN46" s="536">
        <v>0</v>
      </c>
      <c r="FO46" s="535"/>
      <c r="FP46" s="535"/>
      <c r="FQ46" s="536">
        <v>2</v>
      </c>
      <c r="FR46" s="536">
        <v>0</v>
      </c>
      <c r="FS46" s="536">
        <v>0</v>
      </c>
      <c r="FT46" s="537"/>
      <c r="FU46" s="537"/>
      <c r="FV46" s="538">
        <v>2</v>
      </c>
      <c r="FW46" s="539"/>
      <c r="GP46" s="63"/>
      <c r="GQ46" s="63"/>
      <c r="GR46" s="37"/>
      <c r="GS46" s="416" t="s">
        <v>15</v>
      </c>
      <c r="GT46" s="386"/>
      <c r="GU46" s="386"/>
      <c r="GV46" s="386">
        <v>27</v>
      </c>
      <c r="GW46" s="386">
        <v>8</v>
      </c>
      <c r="GX46" s="386">
        <v>4</v>
      </c>
      <c r="GY46" s="386">
        <v>5</v>
      </c>
      <c r="GZ46" s="386">
        <v>2</v>
      </c>
      <c r="HA46" s="386"/>
      <c r="HB46" s="386"/>
      <c r="HC46" s="386"/>
      <c r="HD46" s="386">
        <v>46</v>
      </c>
      <c r="HE46" s="466">
        <f>+(HD41+HD44+HD45)/HD46</f>
        <v>0.2391304347826087</v>
      </c>
      <c r="HF46" s="37"/>
      <c r="HG46" s="446"/>
      <c r="HH46" s="446"/>
      <c r="HI46" s="446"/>
      <c r="HJ46" s="446" t="s">
        <v>1074</v>
      </c>
      <c r="HK46" s="446">
        <v>0</v>
      </c>
      <c r="HL46" s="446">
        <v>1</v>
      </c>
      <c r="HM46" s="446">
        <v>1</v>
      </c>
      <c r="HN46" s="446">
        <v>0</v>
      </c>
      <c r="HO46" s="446">
        <v>0</v>
      </c>
      <c r="HP46" s="446">
        <v>0</v>
      </c>
      <c r="HQ46" s="446">
        <v>0</v>
      </c>
      <c r="HR46" s="446">
        <v>0</v>
      </c>
      <c r="HS46" s="446">
        <v>0</v>
      </c>
      <c r="HT46" s="446">
        <v>0</v>
      </c>
      <c r="HU46" s="446">
        <v>0</v>
      </c>
      <c r="HV46" s="447">
        <v>2</v>
      </c>
      <c r="HW46" s="544"/>
      <c r="HX46" s="448"/>
    </row>
    <row r="47" spans="1:232">
      <c r="A47" s="5682"/>
      <c r="B47" s="5682"/>
      <c r="C47" s="5683"/>
      <c r="D47" s="5690" t="s">
        <v>2754</v>
      </c>
      <c r="E47" s="5693">
        <f>SUM(E23:E25,E34:E35,E37,E44:E45)</f>
        <v>13</v>
      </c>
      <c r="F47" s="5682"/>
      <c r="I47" s="4915">
        <v>1</v>
      </c>
      <c r="J47" s="4915">
        <v>2</v>
      </c>
      <c r="K47" s="4916" t="s">
        <v>2748</v>
      </c>
      <c r="L47" s="4916" t="s">
        <v>2731</v>
      </c>
      <c r="M47" s="4915">
        <v>18</v>
      </c>
      <c r="N47" s="4915">
        <v>7</v>
      </c>
      <c r="O47" s="157"/>
      <c r="Q47" s="4705"/>
      <c r="R47" s="4744"/>
      <c r="S47" s="4745"/>
      <c r="T47" s="4745"/>
      <c r="U47" s="4740">
        <f>SUM(U44:U46)</f>
        <v>4</v>
      </c>
      <c r="V47" s="4740"/>
      <c r="W47" s="4722">
        <v>0</v>
      </c>
      <c r="Y47" s="36"/>
      <c r="Z47" s="36"/>
      <c r="AA47" s="393" t="s">
        <v>483</v>
      </c>
      <c r="AB47" s="36" t="s">
        <v>1072</v>
      </c>
      <c r="AC47" s="1681"/>
      <c r="AD47" s="1681"/>
      <c r="AE47" s="1681"/>
      <c r="AF47" s="1681"/>
      <c r="AG47" s="1681"/>
      <c r="AH47" s="1681">
        <v>1</v>
      </c>
      <c r="AI47" s="1681">
        <v>28</v>
      </c>
      <c r="AJ47" s="1681"/>
      <c r="AK47" s="1681"/>
      <c r="AL47" s="95"/>
      <c r="AM47" s="95">
        <v>29</v>
      </c>
      <c r="AN47" s="4545"/>
      <c r="AS47" s="3868" t="s">
        <v>1080</v>
      </c>
      <c r="AT47" s="3721"/>
      <c r="AU47" s="3721">
        <v>0</v>
      </c>
      <c r="AV47" s="3721">
        <v>0</v>
      </c>
      <c r="AW47" s="3721"/>
      <c r="AX47" s="3721"/>
      <c r="AY47" s="3721"/>
      <c r="AZ47" s="3721">
        <v>0</v>
      </c>
      <c r="BA47" s="3721">
        <v>4</v>
      </c>
      <c r="BB47" s="3721"/>
      <c r="BC47" s="2110"/>
      <c r="BD47" s="2110"/>
      <c r="BE47" s="2110">
        <v>4</v>
      </c>
      <c r="BF47" s="2110"/>
      <c r="BG47" s="2110"/>
      <c r="BK47" s="1520" t="s">
        <v>15</v>
      </c>
      <c r="BL47" s="3872">
        <v>2</v>
      </c>
      <c r="BM47" s="3872"/>
      <c r="BN47" s="3872"/>
      <c r="BO47" s="3872"/>
      <c r="BP47" s="3872">
        <v>1</v>
      </c>
      <c r="BQ47" s="3872">
        <v>7</v>
      </c>
      <c r="BR47" s="3872">
        <v>2</v>
      </c>
      <c r="BS47" s="3872"/>
      <c r="BT47" s="3806"/>
      <c r="BU47" s="3806">
        <v>12</v>
      </c>
      <c r="BV47" s="3807">
        <v>0</v>
      </c>
      <c r="BX47" s="36"/>
      <c r="BY47" s="36"/>
      <c r="BZ47" s="36"/>
      <c r="CA47" s="36" t="s">
        <v>1074</v>
      </c>
      <c r="CB47" s="1681">
        <v>1</v>
      </c>
      <c r="CC47" s="1681"/>
      <c r="CD47" s="1681"/>
      <c r="CE47" s="1681"/>
      <c r="CF47" s="1681"/>
      <c r="CG47" s="1681">
        <v>0</v>
      </c>
      <c r="CH47" s="1681">
        <v>0</v>
      </c>
      <c r="CI47" s="1681">
        <v>0</v>
      </c>
      <c r="CJ47" s="95"/>
      <c r="CK47" s="95"/>
      <c r="CL47" s="95">
        <v>1</v>
      </c>
      <c r="CM47" s="36"/>
      <c r="CO47" s="37"/>
      <c r="CP47" s="37"/>
      <c r="CQ47" s="37"/>
      <c r="CR47" s="37" t="s">
        <v>1077</v>
      </c>
      <c r="CS47" s="1678"/>
      <c r="CT47" s="1678">
        <v>0</v>
      </c>
      <c r="CU47" s="1678"/>
      <c r="CV47" s="1678"/>
      <c r="CW47" s="1678">
        <v>1</v>
      </c>
      <c r="CX47" s="1678"/>
      <c r="CY47" s="1678"/>
      <c r="CZ47" s="1678">
        <v>0</v>
      </c>
      <c r="DA47" s="1678">
        <v>0</v>
      </c>
      <c r="DB47" s="63"/>
      <c r="DC47" s="63"/>
      <c r="DD47" s="63">
        <v>1</v>
      </c>
      <c r="DG47" s="95"/>
      <c r="DH47" s="95"/>
      <c r="DI47" s="36"/>
      <c r="DJ47" s="36" t="s">
        <v>1074</v>
      </c>
      <c r="DK47" s="1484"/>
      <c r="DL47" s="1484">
        <v>1</v>
      </c>
      <c r="DM47" s="1484"/>
      <c r="DN47" s="1484"/>
      <c r="DO47" s="1484"/>
      <c r="DP47" s="1484"/>
      <c r="DQ47" s="1484"/>
      <c r="DR47" s="1484">
        <v>0</v>
      </c>
      <c r="DS47" s="1484">
        <v>0</v>
      </c>
      <c r="DT47" s="95">
        <v>0</v>
      </c>
      <c r="DU47" s="95">
        <v>0</v>
      </c>
      <c r="DV47" s="95">
        <v>1</v>
      </c>
      <c r="DW47" s="95"/>
      <c r="DY47" s="1209"/>
      <c r="DZ47" s="1209"/>
      <c r="EA47" s="1210"/>
      <c r="EB47" s="1211" t="s">
        <v>1163</v>
      </c>
      <c r="EC47" s="1212"/>
      <c r="ED47" s="1212"/>
      <c r="EE47" s="1213">
        <v>0</v>
      </c>
      <c r="EF47" s="1213">
        <v>0</v>
      </c>
      <c r="EG47" s="1213">
        <v>0</v>
      </c>
      <c r="EH47" s="1213">
        <v>4</v>
      </c>
      <c r="EI47" s="1212"/>
      <c r="EJ47" s="1212"/>
      <c r="EK47" s="611"/>
      <c r="EL47" s="611"/>
      <c r="EM47" s="612">
        <v>4</v>
      </c>
      <c r="EN47" s="36"/>
      <c r="EP47" s="527"/>
      <c r="EQ47" s="527"/>
      <c r="ER47" s="528"/>
      <c r="ES47" s="555" t="s">
        <v>15</v>
      </c>
      <c r="ET47" s="557">
        <v>1</v>
      </c>
      <c r="EU47" s="556"/>
      <c r="EV47" s="556"/>
      <c r="EW47" s="556"/>
      <c r="EX47" s="556"/>
      <c r="EY47" s="557">
        <v>5</v>
      </c>
      <c r="EZ47" s="557">
        <v>6</v>
      </c>
      <c r="FA47" s="557">
        <v>3</v>
      </c>
      <c r="FB47" s="558"/>
      <c r="FC47" s="558"/>
      <c r="FD47" s="559">
        <v>15</v>
      </c>
      <c r="FE47" s="560">
        <f>+(FD44+FD45+FD46)/FD47</f>
        <v>0.6</v>
      </c>
      <c r="FG47" s="533"/>
      <c r="FH47" s="533"/>
      <c r="FI47" s="533"/>
      <c r="FJ47" s="534" t="s">
        <v>1163</v>
      </c>
      <c r="FK47" s="535"/>
      <c r="FL47" s="536">
        <v>0</v>
      </c>
      <c r="FM47" s="535"/>
      <c r="FN47" s="536">
        <v>0</v>
      </c>
      <c r="FO47" s="535"/>
      <c r="FP47" s="535"/>
      <c r="FQ47" s="536">
        <v>7</v>
      </c>
      <c r="FR47" s="536">
        <v>0</v>
      </c>
      <c r="FS47" s="536">
        <v>0</v>
      </c>
      <c r="FT47" s="537"/>
      <c r="FU47" s="537"/>
      <c r="FV47" s="538">
        <v>7</v>
      </c>
      <c r="FW47" s="539"/>
      <c r="FY47" s="540" t="s">
        <v>25</v>
      </c>
      <c r="FZ47" s="540" t="s">
        <v>4</v>
      </c>
      <c r="GA47" s="540" t="s">
        <v>119</v>
      </c>
      <c r="GB47" s="541" t="s">
        <v>1071</v>
      </c>
      <c r="GC47" s="542"/>
      <c r="GD47" s="542"/>
      <c r="GE47" s="542"/>
      <c r="GF47" s="542"/>
      <c r="GG47" s="542"/>
      <c r="GH47" s="542"/>
      <c r="GI47" s="543">
        <v>0</v>
      </c>
      <c r="GJ47" s="543">
        <v>0</v>
      </c>
      <c r="GK47" s="543">
        <v>1</v>
      </c>
      <c r="GL47" s="542"/>
      <c r="GM47" s="543">
        <v>1</v>
      </c>
      <c r="GN47" s="445"/>
      <c r="GP47" s="63" t="s">
        <v>25</v>
      </c>
      <c r="GQ47" s="63" t="s">
        <v>4</v>
      </c>
      <c r="GR47" s="37" t="s">
        <v>119</v>
      </c>
      <c r="GS47" s="37" t="s">
        <v>1071</v>
      </c>
      <c r="GT47" s="63"/>
      <c r="GU47" s="63"/>
      <c r="GV47" s="63"/>
      <c r="GW47" s="63"/>
      <c r="GX47" s="63"/>
      <c r="GY47" s="63"/>
      <c r="GZ47" s="63">
        <v>0</v>
      </c>
      <c r="HA47" s="63">
        <v>1</v>
      </c>
      <c r="HB47" s="63"/>
      <c r="HC47" s="63">
        <v>1</v>
      </c>
      <c r="HD47" s="63">
        <v>2</v>
      </c>
      <c r="HE47" s="37"/>
      <c r="HF47" s="37"/>
      <c r="HG47" s="446"/>
      <c r="HH47" s="446"/>
      <c r="HI47" s="446"/>
      <c r="HJ47" s="446" t="s">
        <v>1076</v>
      </c>
      <c r="HK47" s="446">
        <v>0</v>
      </c>
      <c r="HL47" s="446">
        <v>0</v>
      </c>
      <c r="HM47" s="446">
        <v>0</v>
      </c>
      <c r="HN47" s="446">
        <v>0</v>
      </c>
      <c r="HO47" s="446">
        <v>0</v>
      </c>
      <c r="HP47" s="446">
        <v>0</v>
      </c>
      <c r="HQ47" s="446">
        <v>0</v>
      </c>
      <c r="HR47" s="446">
        <v>2</v>
      </c>
      <c r="HS47" s="446">
        <v>0</v>
      </c>
      <c r="HT47" s="446">
        <v>0</v>
      </c>
      <c r="HU47" s="446">
        <v>0</v>
      </c>
      <c r="HV47" s="447">
        <v>2</v>
      </c>
      <c r="HW47" s="544"/>
      <c r="HX47" s="448"/>
    </row>
    <row r="48" spans="1:232">
      <c r="A48" s="5682"/>
      <c r="B48" s="5682"/>
      <c r="C48" s="5686" t="s">
        <v>4</v>
      </c>
      <c r="D48" s="5685"/>
      <c r="E48" s="5686">
        <f>SUM(E46,E41,E30,E28,E19,E13)</f>
        <v>60</v>
      </c>
      <c r="F48" s="5691"/>
      <c r="G48" s="5692">
        <f>E47/E48</f>
        <v>0.21666666666666667</v>
      </c>
      <c r="I48" s="4915">
        <v>1</v>
      </c>
      <c r="J48" s="4915">
        <v>2</v>
      </c>
      <c r="K48" s="4916" t="s">
        <v>2748</v>
      </c>
      <c r="L48" s="4916" t="s">
        <v>2703</v>
      </c>
      <c r="M48" s="4915">
        <v>1</v>
      </c>
      <c r="N48" s="4915">
        <v>1</v>
      </c>
      <c r="O48" s="157"/>
      <c r="Q48" s="4705"/>
      <c r="R48" s="4713"/>
      <c r="S48" s="4743"/>
      <c r="T48" s="4743"/>
      <c r="U48" s="4748">
        <f>SUM(U10,U14:U15,U20,U26:U29,U38:U39)</f>
        <v>15</v>
      </c>
      <c r="V48" s="4733"/>
      <c r="W48" s="4722"/>
      <c r="X48" s="4452"/>
      <c r="Y48" s="36"/>
      <c r="Z48" s="36"/>
      <c r="AA48" s="36"/>
      <c r="AB48" s="36" t="s">
        <v>15</v>
      </c>
      <c r="AC48" s="1681"/>
      <c r="AD48" s="1681"/>
      <c r="AE48" s="1681"/>
      <c r="AF48" s="1681"/>
      <c r="AG48" s="1681"/>
      <c r="AH48" s="1681">
        <v>1</v>
      </c>
      <c r="AI48" s="1681">
        <v>28</v>
      </c>
      <c r="AJ48" s="1681"/>
      <c r="AK48" s="1681"/>
      <c r="AL48" s="95"/>
      <c r="AM48" s="95">
        <v>29</v>
      </c>
      <c r="AN48" s="4545">
        <v>0</v>
      </c>
      <c r="AS48" s="27" t="s">
        <v>15</v>
      </c>
      <c r="AT48" s="3722"/>
      <c r="AU48" s="3722">
        <v>1</v>
      </c>
      <c r="AV48" s="3722">
        <v>1</v>
      </c>
      <c r="AW48" s="3722"/>
      <c r="AX48" s="3722"/>
      <c r="AY48" s="3722"/>
      <c r="AZ48" s="3722">
        <v>5</v>
      </c>
      <c r="BA48" s="3722">
        <v>4</v>
      </c>
      <c r="BB48" s="3722"/>
      <c r="BC48" s="3701"/>
      <c r="BD48" s="3701"/>
      <c r="BE48" s="3701">
        <v>11</v>
      </c>
      <c r="BF48" s="1665">
        <f>+BE46/BE48</f>
        <v>0.27272727272727271</v>
      </c>
      <c r="BG48" s="1665"/>
      <c r="BJ48" s="32" t="s">
        <v>117</v>
      </c>
      <c r="BK48" s="32" t="s">
        <v>1072</v>
      </c>
      <c r="BL48" s="3871"/>
      <c r="BM48" s="3871"/>
      <c r="BN48" s="3871">
        <v>0</v>
      </c>
      <c r="BO48" s="3871"/>
      <c r="BP48" s="3871">
        <v>2</v>
      </c>
      <c r="BQ48" s="3871">
        <v>4</v>
      </c>
      <c r="BR48" s="3871">
        <v>0</v>
      </c>
      <c r="BS48" s="3871"/>
      <c r="BT48" s="1518"/>
      <c r="BU48" s="1518">
        <v>6</v>
      </c>
      <c r="BX48" s="36"/>
      <c r="BY48" s="36"/>
      <c r="BZ48" s="36"/>
      <c r="CA48" s="36" t="s">
        <v>1076</v>
      </c>
      <c r="CB48" s="1681">
        <v>0</v>
      </c>
      <c r="CC48" s="1681"/>
      <c r="CD48" s="1681"/>
      <c r="CE48" s="1681"/>
      <c r="CF48" s="1681"/>
      <c r="CG48" s="1681">
        <v>2</v>
      </c>
      <c r="CH48" s="1681">
        <v>2</v>
      </c>
      <c r="CI48" s="1681">
        <v>0</v>
      </c>
      <c r="CJ48" s="95"/>
      <c r="CK48" s="95"/>
      <c r="CL48" s="95">
        <v>4</v>
      </c>
      <c r="CM48" s="36"/>
      <c r="CO48" s="37"/>
      <c r="CP48" s="37"/>
      <c r="CQ48" s="37"/>
      <c r="CR48" s="37" t="s">
        <v>1080</v>
      </c>
      <c r="CS48" s="1678"/>
      <c r="CT48" s="1678">
        <v>0</v>
      </c>
      <c r="CU48" s="1678"/>
      <c r="CV48" s="1678"/>
      <c r="CW48" s="1678">
        <v>0</v>
      </c>
      <c r="CX48" s="1678"/>
      <c r="CY48" s="1678"/>
      <c r="CZ48" s="1678">
        <v>0</v>
      </c>
      <c r="DA48" s="1678">
        <v>6</v>
      </c>
      <c r="DB48" s="63"/>
      <c r="DC48" s="63"/>
      <c r="DD48" s="63">
        <v>6</v>
      </c>
      <c r="DG48" s="95"/>
      <c r="DH48" s="95"/>
      <c r="DI48" s="36"/>
      <c r="DJ48" s="36" t="s">
        <v>1080</v>
      </c>
      <c r="DK48" s="1484"/>
      <c r="DL48" s="1484">
        <v>0</v>
      </c>
      <c r="DM48" s="1484"/>
      <c r="DN48" s="1484"/>
      <c r="DO48" s="1484"/>
      <c r="DP48" s="1484"/>
      <c r="DQ48" s="1484"/>
      <c r="DR48" s="1484">
        <v>0</v>
      </c>
      <c r="DS48" s="1484">
        <v>1</v>
      </c>
      <c r="DT48" s="95">
        <v>2</v>
      </c>
      <c r="DU48" s="95">
        <v>1</v>
      </c>
      <c r="DV48" s="95">
        <v>4</v>
      </c>
      <c r="DW48" s="95"/>
      <c r="DY48" s="1209"/>
      <c r="DZ48" s="1209"/>
      <c r="EA48" s="1210"/>
      <c r="EB48" s="415" t="s">
        <v>15</v>
      </c>
      <c r="EC48" s="1214"/>
      <c r="ED48" s="1214"/>
      <c r="EE48" s="1215">
        <v>2</v>
      </c>
      <c r="EF48" s="1215">
        <v>2</v>
      </c>
      <c r="EG48" s="1215">
        <v>4</v>
      </c>
      <c r="EH48" s="1215">
        <v>17</v>
      </c>
      <c r="EI48" s="1214"/>
      <c r="EJ48" s="1214"/>
      <c r="EK48" s="620"/>
      <c r="EL48" s="620"/>
      <c r="EM48" s="621">
        <v>25</v>
      </c>
      <c r="EN48" s="1178">
        <f>+(EM45+EM46+EM47)/EM48</f>
        <v>0.24</v>
      </c>
      <c r="EP48" s="527"/>
      <c r="EQ48" s="527"/>
      <c r="ER48" s="528" t="s">
        <v>460</v>
      </c>
      <c r="ES48" s="529" t="s">
        <v>1072</v>
      </c>
      <c r="ET48" s="530"/>
      <c r="EU48" s="530"/>
      <c r="EV48" s="530"/>
      <c r="EW48" s="530"/>
      <c r="EX48" s="530"/>
      <c r="EY48" s="531">
        <v>3</v>
      </c>
      <c r="EZ48" s="531">
        <v>3</v>
      </c>
      <c r="FA48" s="531">
        <v>0</v>
      </c>
      <c r="FB48" s="527"/>
      <c r="FC48" s="527"/>
      <c r="FD48" s="532">
        <v>6</v>
      </c>
      <c r="FE48" s="95"/>
      <c r="FG48" s="533"/>
      <c r="FH48" s="533"/>
      <c r="FI48" s="533"/>
      <c r="FJ48" s="545" t="s">
        <v>483</v>
      </c>
      <c r="FK48" s="546"/>
      <c r="FL48" s="547">
        <v>3</v>
      </c>
      <c r="FM48" s="546"/>
      <c r="FN48" s="547">
        <v>1</v>
      </c>
      <c r="FO48" s="546"/>
      <c r="FP48" s="546"/>
      <c r="FQ48" s="547">
        <v>37</v>
      </c>
      <c r="FR48" s="547">
        <v>1</v>
      </c>
      <c r="FS48" s="547">
        <v>6</v>
      </c>
      <c r="FT48" s="548"/>
      <c r="FU48" s="548"/>
      <c r="FV48" s="549">
        <v>48</v>
      </c>
      <c r="FW48" s="539">
        <f>+(FV47+FV46+FV44)/FV48</f>
        <v>0.3125</v>
      </c>
      <c r="FY48" s="540"/>
      <c r="FZ48" s="540"/>
      <c r="GA48" s="540"/>
      <c r="GB48" s="541" t="s">
        <v>1080</v>
      </c>
      <c r="GC48" s="542"/>
      <c r="GD48" s="542"/>
      <c r="GE48" s="542"/>
      <c r="GF48" s="542"/>
      <c r="GG48" s="542"/>
      <c r="GH48" s="542"/>
      <c r="GI48" s="543">
        <v>1</v>
      </c>
      <c r="GJ48" s="543">
        <v>2</v>
      </c>
      <c r="GK48" s="543">
        <v>2</v>
      </c>
      <c r="GL48" s="542"/>
      <c r="GM48" s="543">
        <v>5</v>
      </c>
      <c r="GN48" s="445"/>
      <c r="GP48" s="63"/>
      <c r="GQ48" s="63"/>
      <c r="GR48" s="37"/>
      <c r="GS48" s="37" t="s">
        <v>1072</v>
      </c>
      <c r="GT48" s="63"/>
      <c r="GU48" s="63"/>
      <c r="GV48" s="63"/>
      <c r="GW48" s="63"/>
      <c r="GX48" s="63"/>
      <c r="GY48" s="63"/>
      <c r="GZ48" s="63">
        <v>1</v>
      </c>
      <c r="HA48" s="63">
        <v>0</v>
      </c>
      <c r="HB48" s="63"/>
      <c r="HC48" s="63">
        <v>0</v>
      </c>
      <c r="HD48" s="63">
        <v>1</v>
      </c>
      <c r="HE48" s="37"/>
      <c r="HF48" s="37"/>
      <c r="HG48" s="446"/>
      <c r="HH48" s="446"/>
      <c r="HI48" s="446"/>
      <c r="HJ48" s="446" t="s">
        <v>1077</v>
      </c>
      <c r="HK48" s="446">
        <v>0</v>
      </c>
      <c r="HL48" s="446">
        <v>0</v>
      </c>
      <c r="HM48" s="446">
        <v>0</v>
      </c>
      <c r="HN48" s="446">
        <v>0</v>
      </c>
      <c r="HO48" s="446">
        <v>1</v>
      </c>
      <c r="HP48" s="446">
        <v>0</v>
      </c>
      <c r="HQ48" s="446">
        <v>0</v>
      </c>
      <c r="HR48" s="446">
        <v>0</v>
      </c>
      <c r="HS48" s="446">
        <v>0</v>
      </c>
      <c r="HT48" s="446">
        <v>0</v>
      </c>
      <c r="HU48" s="446">
        <v>0</v>
      </c>
      <c r="HV48" s="447">
        <v>1</v>
      </c>
      <c r="HW48" s="544"/>
      <c r="HX48" s="448"/>
    </row>
    <row r="49" spans="1:232">
      <c r="A49" s="5682">
        <v>1</v>
      </c>
      <c r="B49" s="5682">
        <v>2</v>
      </c>
      <c r="C49" s="5683" t="s">
        <v>270</v>
      </c>
      <c r="D49" s="5685" t="s">
        <v>2707</v>
      </c>
      <c r="E49" s="5682">
        <v>1</v>
      </c>
      <c r="F49" s="5682">
        <v>6</v>
      </c>
      <c r="I49" s="4915"/>
      <c r="J49" s="4915"/>
      <c r="K49" s="4916"/>
      <c r="L49" s="4916"/>
      <c r="M49" s="4920">
        <f>SUM(M47:M48)</f>
        <v>19</v>
      </c>
      <c r="N49" s="4915"/>
      <c r="O49" s="4921">
        <v>0</v>
      </c>
      <c r="Q49" s="4744"/>
      <c r="R49" s="4744"/>
      <c r="S49" s="4749" t="s">
        <v>4</v>
      </c>
      <c r="T49" s="4745"/>
      <c r="U49" s="4740">
        <f>SUM(U47,U43,U33,U22,U16,U12)</f>
        <v>66</v>
      </c>
      <c r="V49" s="4740"/>
      <c r="W49" s="4722">
        <f>(U48)/(U49)</f>
        <v>0.22727272727272727</v>
      </c>
      <c r="X49" s="4452"/>
      <c r="Y49" s="36"/>
      <c r="Z49" s="36" t="s">
        <v>21</v>
      </c>
      <c r="AA49" s="36" t="s">
        <v>1455</v>
      </c>
      <c r="AB49" s="36" t="s">
        <v>1080</v>
      </c>
      <c r="AC49" s="1681">
        <v>0</v>
      </c>
      <c r="AD49" s="1681"/>
      <c r="AE49" s="1681"/>
      <c r="AF49" s="1681"/>
      <c r="AG49" s="1681"/>
      <c r="AH49" s="1681"/>
      <c r="AI49" s="1681"/>
      <c r="AJ49" s="1681">
        <v>4</v>
      </c>
      <c r="AK49" s="1681"/>
      <c r="AL49" s="95"/>
      <c r="AM49" s="95">
        <v>4</v>
      </c>
      <c r="AN49" s="4545"/>
      <c r="AR49" s="3868" t="s">
        <v>238</v>
      </c>
      <c r="AS49" s="3868" t="s">
        <v>1072</v>
      </c>
      <c r="AT49" s="3721"/>
      <c r="AU49" s="3721">
        <v>0</v>
      </c>
      <c r="AV49" s="3721"/>
      <c r="AW49" s="3721"/>
      <c r="AX49" s="3721"/>
      <c r="AY49" s="3721">
        <v>1</v>
      </c>
      <c r="AZ49" s="3721">
        <v>7</v>
      </c>
      <c r="BA49" s="3721">
        <v>0</v>
      </c>
      <c r="BB49" s="3721"/>
      <c r="BC49" s="2110"/>
      <c r="BD49" s="2110"/>
      <c r="BE49" s="2110">
        <v>8</v>
      </c>
      <c r="BF49" s="2110"/>
      <c r="BG49" s="2110"/>
      <c r="BK49" s="32" t="s">
        <v>1074</v>
      </c>
      <c r="BL49" s="3871"/>
      <c r="BM49" s="3871"/>
      <c r="BN49" s="3871">
        <v>1</v>
      </c>
      <c r="BO49" s="3871"/>
      <c r="BP49" s="3871">
        <v>0</v>
      </c>
      <c r="BQ49" s="3871">
        <v>0</v>
      </c>
      <c r="BR49" s="3871">
        <v>0</v>
      </c>
      <c r="BS49" s="3871"/>
      <c r="BT49" s="1518"/>
      <c r="BU49" s="1518">
        <v>1</v>
      </c>
      <c r="BX49" s="36"/>
      <c r="BY49" s="36"/>
      <c r="BZ49" s="36"/>
      <c r="CA49" s="36" t="s">
        <v>1080</v>
      </c>
      <c r="CB49" s="1681">
        <v>0</v>
      </c>
      <c r="CC49" s="1681"/>
      <c r="CD49" s="1681"/>
      <c r="CE49" s="1681"/>
      <c r="CF49" s="1681"/>
      <c r="CG49" s="1681">
        <v>0</v>
      </c>
      <c r="CH49" s="1681">
        <v>0</v>
      </c>
      <c r="CI49" s="1681">
        <v>1</v>
      </c>
      <c r="CJ49" s="95"/>
      <c r="CK49" s="95"/>
      <c r="CL49" s="95">
        <v>1</v>
      </c>
      <c r="CM49" s="36"/>
      <c r="CO49" s="37"/>
      <c r="CP49" s="37"/>
      <c r="CQ49" s="37"/>
      <c r="CR49" s="37" t="s">
        <v>1081</v>
      </c>
      <c r="CS49" s="1678"/>
      <c r="CT49" s="1678">
        <v>0</v>
      </c>
      <c r="CU49" s="1678"/>
      <c r="CV49" s="1678"/>
      <c r="CW49" s="1678">
        <v>0</v>
      </c>
      <c r="CX49" s="1678"/>
      <c r="CY49" s="1678"/>
      <c r="CZ49" s="1678">
        <v>1</v>
      </c>
      <c r="DA49" s="1678">
        <v>0</v>
      </c>
      <c r="DB49" s="63"/>
      <c r="DC49" s="63"/>
      <c r="DD49" s="63">
        <v>1</v>
      </c>
      <c r="DG49" s="95"/>
      <c r="DH49" s="95"/>
      <c r="DI49" s="36"/>
      <c r="DJ49" s="36" t="s">
        <v>1081</v>
      </c>
      <c r="DK49" s="1484"/>
      <c r="DL49" s="1484">
        <v>0</v>
      </c>
      <c r="DM49" s="1484"/>
      <c r="DN49" s="1484"/>
      <c r="DO49" s="1484"/>
      <c r="DP49" s="1484"/>
      <c r="DQ49" s="1484"/>
      <c r="DR49" s="1484">
        <v>3</v>
      </c>
      <c r="DS49" s="1484">
        <v>1</v>
      </c>
      <c r="DT49" s="95">
        <v>0</v>
      </c>
      <c r="DU49" s="95">
        <v>0</v>
      </c>
      <c r="DV49" s="95">
        <v>4</v>
      </c>
      <c r="DW49" s="95"/>
      <c r="DY49" s="1209"/>
      <c r="DZ49" s="1209"/>
      <c r="EA49" s="1210" t="s">
        <v>118</v>
      </c>
      <c r="EB49" s="1211" t="s">
        <v>1072</v>
      </c>
      <c r="EC49" s="1213">
        <v>0</v>
      </c>
      <c r="ED49" s="1213">
        <v>0</v>
      </c>
      <c r="EE49" s="1212"/>
      <c r="EF49" s="1213">
        <v>1</v>
      </c>
      <c r="EG49" s="1212"/>
      <c r="EH49" s="1213">
        <v>0</v>
      </c>
      <c r="EI49" s="1213">
        <v>3</v>
      </c>
      <c r="EJ49" s="1213">
        <v>0</v>
      </c>
      <c r="EK49" s="611"/>
      <c r="EL49" s="611"/>
      <c r="EM49" s="612">
        <v>4</v>
      </c>
      <c r="EN49" s="36"/>
      <c r="EP49" s="527"/>
      <c r="EQ49" s="527"/>
      <c r="ER49" s="528"/>
      <c r="ES49" s="529" t="s">
        <v>1076</v>
      </c>
      <c r="ET49" s="530"/>
      <c r="EU49" s="530"/>
      <c r="EV49" s="530"/>
      <c r="EW49" s="530"/>
      <c r="EX49" s="530"/>
      <c r="EY49" s="531">
        <v>1</v>
      </c>
      <c r="EZ49" s="531">
        <v>0</v>
      </c>
      <c r="FA49" s="531">
        <v>0</v>
      </c>
      <c r="FB49" s="527"/>
      <c r="FC49" s="527"/>
      <c r="FD49" s="532">
        <v>1</v>
      </c>
      <c r="FE49" s="95"/>
      <c r="FG49" s="533"/>
      <c r="FH49" s="533" t="s">
        <v>103</v>
      </c>
      <c r="FI49" s="533" t="s">
        <v>104</v>
      </c>
      <c r="FJ49" s="534" t="s">
        <v>1072</v>
      </c>
      <c r="FK49" s="535"/>
      <c r="FL49" s="536">
        <v>0</v>
      </c>
      <c r="FM49" s="536">
        <v>0</v>
      </c>
      <c r="FN49" s="536">
        <v>1</v>
      </c>
      <c r="FO49" s="536">
        <v>1</v>
      </c>
      <c r="FP49" s="536">
        <v>1</v>
      </c>
      <c r="FQ49" s="536">
        <v>0</v>
      </c>
      <c r="FR49" s="535"/>
      <c r="FS49" s="535"/>
      <c r="FT49" s="537"/>
      <c r="FU49" s="537"/>
      <c r="FV49" s="538">
        <v>3</v>
      </c>
      <c r="FW49" s="539"/>
      <c r="FY49" s="540"/>
      <c r="FZ49" s="540"/>
      <c r="GA49" s="540"/>
      <c r="GB49" s="550" t="s">
        <v>15</v>
      </c>
      <c r="GC49" s="551"/>
      <c r="GD49" s="551"/>
      <c r="GE49" s="551"/>
      <c r="GF49" s="551"/>
      <c r="GG49" s="551"/>
      <c r="GH49" s="551"/>
      <c r="GI49" s="552">
        <v>1</v>
      </c>
      <c r="GJ49" s="552">
        <v>2</v>
      </c>
      <c r="GK49" s="552">
        <v>3</v>
      </c>
      <c r="GL49" s="551"/>
      <c r="GM49" s="552">
        <v>6</v>
      </c>
      <c r="GN49" s="553">
        <v>0</v>
      </c>
      <c r="GP49" s="63"/>
      <c r="GQ49" s="63"/>
      <c r="GR49" s="37"/>
      <c r="GS49" s="416" t="s">
        <v>15</v>
      </c>
      <c r="GT49" s="386"/>
      <c r="GU49" s="386"/>
      <c r="GV49" s="386"/>
      <c r="GW49" s="386"/>
      <c r="GX49" s="386"/>
      <c r="GY49" s="386"/>
      <c r="GZ49" s="386">
        <v>1</v>
      </c>
      <c r="HA49" s="386">
        <v>1</v>
      </c>
      <c r="HB49" s="386"/>
      <c r="HC49" s="386">
        <v>1</v>
      </c>
      <c r="HD49" s="386">
        <v>3</v>
      </c>
      <c r="HE49" s="468">
        <v>0</v>
      </c>
      <c r="HF49" s="37"/>
      <c r="HG49" s="446"/>
      <c r="HH49" s="446"/>
      <c r="HI49" s="446"/>
      <c r="HJ49" s="446" t="s">
        <v>1080</v>
      </c>
      <c r="HK49" s="446">
        <v>0</v>
      </c>
      <c r="HL49" s="446">
        <v>0</v>
      </c>
      <c r="HM49" s="446">
        <v>0</v>
      </c>
      <c r="HN49" s="446">
        <v>0</v>
      </c>
      <c r="HO49" s="446">
        <v>0</v>
      </c>
      <c r="HP49" s="446">
        <v>0</v>
      </c>
      <c r="HQ49" s="446">
        <v>0</v>
      </c>
      <c r="HR49" s="446">
        <v>1</v>
      </c>
      <c r="HS49" s="446">
        <v>6</v>
      </c>
      <c r="HT49" s="446">
        <v>2</v>
      </c>
      <c r="HU49" s="446">
        <v>1</v>
      </c>
      <c r="HV49" s="447">
        <v>10</v>
      </c>
      <c r="HW49" s="544"/>
      <c r="HX49" s="448"/>
    </row>
    <row r="50" spans="1:232">
      <c r="A50" s="5682">
        <v>1</v>
      </c>
      <c r="B50" s="5682">
        <v>2</v>
      </c>
      <c r="C50" s="5683" t="s">
        <v>270</v>
      </c>
      <c r="D50" s="5683" t="s">
        <v>2709</v>
      </c>
      <c r="E50" s="5682">
        <v>12</v>
      </c>
      <c r="F50" s="5682">
        <v>6</v>
      </c>
      <c r="I50" s="4915">
        <v>1</v>
      </c>
      <c r="J50" s="4915">
        <v>2</v>
      </c>
      <c r="K50" s="4916" t="s">
        <v>118</v>
      </c>
      <c r="L50" s="4916" t="s">
        <v>1071</v>
      </c>
      <c r="M50" s="4915">
        <v>3</v>
      </c>
      <c r="N50" s="4915">
        <v>7</v>
      </c>
      <c r="O50" s="157"/>
      <c r="Q50" s="4713">
        <v>1</v>
      </c>
      <c r="R50" s="4713">
        <v>2</v>
      </c>
      <c r="S50" s="4714" t="s">
        <v>1706</v>
      </c>
      <c r="T50" s="4746" t="s">
        <v>2707</v>
      </c>
      <c r="U50" s="4747">
        <v>3</v>
      </c>
      <c r="V50" s="4747">
        <v>6</v>
      </c>
      <c r="W50" s="4722"/>
      <c r="X50" s="4452"/>
      <c r="Y50" s="36"/>
      <c r="Z50" s="36"/>
      <c r="AA50" s="36"/>
      <c r="AB50" s="36" t="s">
        <v>2571</v>
      </c>
      <c r="AC50" s="1681">
        <v>1</v>
      </c>
      <c r="AD50" s="1681"/>
      <c r="AE50" s="1681"/>
      <c r="AF50" s="1681"/>
      <c r="AG50" s="1681"/>
      <c r="AH50" s="1681"/>
      <c r="AI50" s="1681"/>
      <c r="AJ50" s="1681">
        <v>0</v>
      </c>
      <c r="AK50" s="1681"/>
      <c r="AL50" s="95"/>
      <c r="AM50" s="95">
        <v>1</v>
      </c>
      <c r="AN50" s="4545"/>
      <c r="AS50" s="3868" t="s">
        <v>1074</v>
      </c>
      <c r="AT50" s="3721"/>
      <c r="AU50" s="3721">
        <v>2</v>
      </c>
      <c r="AV50" s="3721"/>
      <c r="AW50" s="3721"/>
      <c r="AX50" s="3721"/>
      <c r="AY50" s="3721">
        <v>0</v>
      </c>
      <c r="AZ50" s="3721">
        <v>0</v>
      </c>
      <c r="BA50" s="3721">
        <v>0</v>
      </c>
      <c r="BB50" s="3721"/>
      <c r="BC50" s="2110"/>
      <c r="BD50" s="2110"/>
      <c r="BE50" s="2110">
        <v>2</v>
      </c>
      <c r="BF50" s="2110"/>
      <c r="BG50" s="2110"/>
      <c r="BK50" s="32" t="s">
        <v>1080</v>
      </c>
      <c r="BL50" s="3871"/>
      <c r="BM50" s="3871"/>
      <c r="BN50" s="3871">
        <v>0</v>
      </c>
      <c r="BO50" s="3871"/>
      <c r="BP50" s="3871">
        <v>0</v>
      </c>
      <c r="BQ50" s="3871">
        <v>0</v>
      </c>
      <c r="BR50" s="3871">
        <v>14</v>
      </c>
      <c r="BS50" s="3871"/>
      <c r="BT50" s="1518"/>
      <c r="BU50" s="1518">
        <v>14</v>
      </c>
      <c r="BX50" s="36"/>
      <c r="BY50" s="36"/>
      <c r="BZ50" s="36"/>
      <c r="CA50" s="36" t="s">
        <v>1081</v>
      </c>
      <c r="CB50" s="1681">
        <v>0</v>
      </c>
      <c r="CC50" s="1681"/>
      <c r="CD50" s="1681"/>
      <c r="CE50" s="1681"/>
      <c r="CF50" s="1681"/>
      <c r="CG50" s="1681">
        <v>0</v>
      </c>
      <c r="CH50" s="1681">
        <v>2</v>
      </c>
      <c r="CI50" s="1681">
        <v>0</v>
      </c>
      <c r="CJ50" s="95"/>
      <c r="CK50" s="95"/>
      <c r="CL50" s="95">
        <v>2</v>
      </c>
      <c r="CM50" s="36"/>
      <c r="CO50" s="37"/>
      <c r="CP50" s="37"/>
      <c r="CQ50" s="37"/>
      <c r="CR50" s="416" t="s">
        <v>15</v>
      </c>
      <c r="CS50" s="1679"/>
      <c r="CT50" s="1679">
        <v>1</v>
      </c>
      <c r="CU50" s="1679"/>
      <c r="CV50" s="1679"/>
      <c r="CW50" s="1679">
        <v>1</v>
      </c>
      <c r="CX50" s="1679"/>
      <c r="CY50" s="1679"/>
      <c r="CZ50" s="1679">
        <v>5</v>
      </c>
      <c r="DA50" s="1679">
        <v>10</v>
      </c>
      <c r="DB50" s="386"/>
      <c r="DC50" s="386"/>
      <c r="DD50" s="386">
        <v>17</v>
      </c>
      <c r="DE50" s="2045">
        <f>+DD49/DD50</f>
        <v>5.8823529411764705E-2</v>
      </c>
      <c r="DG50" s="95"/>
      <c r="DH50" s="95"/>
      <c r="DI50" s="36"/>
      <c r="DJ50" s="36" t="s">
        <v>1163</v>
      </c>
      <c r="DK50" s="1484"/>
      <c r="DL50" s="1484">
        <v>0</v>
      </c>
      <c r="DM50" s="1484"/>
      <c r="DN50" s="1484"/>
      <c r="DO50" s="1484"/>
      <c r="DP50" s="1484"/>
      <c r="DQ50" s="1484"/>
      <c r="DR50" s="1484">
        <v>11</v>
      </c>
      <c r="DS50" s="1484">
        <v>0</v>
      </c>
      <c r="DT50" s="95">
        <v>0</v>
      </c>
      <c r="DU50" s="95">
        <v>0</v>
      </c>
      <c r="DV50" s="95">
        <v>11</v>
      </c>
      <c r="DW50" s="95"/>
      <c r="DY50" s="1209"/>
      <c r="DZ50" s="1209"/>
      <c r="EA50" s="1210"/>
      <c r="EB50" s="1211" t="s">
        <v>1074</v>
      </c>
      <c r="EC50" s="1213">
        <v>1</v>
      </c>
      <c r="ED50" s="1213">
        <v>1</v>
      </c>
      <c r="EE50" s="1212"/>
      <c r="EF50" s="1213">
        <v>0</v>
      </c>
      <c r="EG50" s="1212"/>
      <c r="EH50" s="1213">
        <v>0</v>
      </c>
      <c r="EI50" s="1213">
        <v>0</v>
      </c>
      <c r="EJ50" s="1213">
        <v>0</v>
      </c>
      <c r="EK50" s="611"/>
      <c r="EL50" s="611"/>
      <c r="EM50" s="612">
        <v>2</v>
      </c>
      <c r="EN50" s="36"/>
      <c r="EP50" s="527"/>
      <c r="EQ50" s="527"/>
      <c r="ER50" s="528"/>
      <c r="ES50" s="529" t="s">
        <v>1080</v>
      </c>
      <c r="ET50" s="530"/>
      <c r="EU50" s="530"/>
      <c r="EV50" s="530"/>
      <c r="EW50" s="530"/>
      <c r="EX50" s="530"/>
      <c r="EY50" s="531">
        <v>0</v>
      </c>
      <c r="EZ50" s="531">
        <v>0</v>
      </c>
      <c r="FA50" s="531">
        <v>1</v>
      </c>
      <c r="FB50" s="527"/>
      <c r="FC50" s="527"/>
      <c r="FD50" s="532">
        <v>1</v>
      </c>
      <c r="FE50" s="95"/>
      <c r="FG50" s="533"/>
      <c r="FH50" s="533"/>
      <c r="FI50" s="533"/>
      <c r="FJ50" s="534" t="s">
        <v>1076</v>
      </c>
      <c r="FK50" s="535"/>
      <c r="FL50" s="536">
        <v>0</v>
      </c>
      <c r="FM50" s="536">
        <v>0</v>
      </c>
      <c r="FN50" s="536">
        <v>0</v>
      </c>
      <c r="FO50" s="536">
        <v>1</v>
      </c>
      <c r="FP50" s="536">
        <v>0</v>
      </c>
      <c r="FQ50" s="536">
        <v>2</v>
      </c>
      <c r="FR50" s="535"/>
      <c r="FS50" s="535"/>
      <c r="FT50" s="537"/>
      <c r="FU50" s="537"/>
      <c r="FV50" s="538">
        <v>3</v>
      </c>
      <c r="FW50" s="539"/>
      <c r="FY50" s="540"/>
      <c r="FZ50" s="540"/>
      <c r="GA50" s="540" t="s">
        <v>120</v>
      </c>
      <c r="GB50" s="541" t="s">
        <v>1071</v>
      </c>
      <c r="GC50" s="542"/>
      <c r="GD50" s="542"/>
      <c r="GE50" s="542"/>
      <c r="GF50" s="543">
        <v>0</v>
      </c>
      <c r="GG50" s="543">
        <v>0</v>
      </c>
      <c r="GH50" s="542"/>
      <c r="GI50" s="543">
        <v>0</v>
      </c>
      <c r="GJ50" s="543">
        <v>1</v>
      </c>
      <c r="GK50" s="543">
        <v>1</v>
      </c>
      <c r="GL50" s="543">
        <v>3</v>
      </c>
      <c r="GM50" s="543">
        <v>5</v>
      </c>
      <c r="GN50" s="445"/>
      <c r="GP50" s="63"/>
      <c r="GQ50" s="63"/>
      <c r="GR50" s="37" t="s">
        <v>120</v>
      </c>
      <c r="GS50" s="37" t="s">
        <v>1071</v>
      </c>
      <c r="GT50" s="63">
        <v>0</v>
      </c>
      <c r="GU50" s="63"/>
      <c r="GV50" s="63"/>
      <c r="GW50" s="63"/>
      <c r="GX50" s="63">
        <v>0</v>
      </c>
      <c r="GY50" s="63">
        <v>0</v>
      </c>
      <c r="GZ50" s="63"/>
      <c r="HA50" s="63">
        <v>5</v>
      </c>
      <c r="HB50" s="63">
        <v>2</v>
      </c>
      <c r="HC50" s="63"/>
      <c r="HD50" s="63">
        <v>7</v>
      </c>
      <c r="HE50" s="37"/>
      <c r="HF50" s="37"/>
      <c r="HG50" s="446"/>
      <c r="HH50" s="446"/>
      <c r="HI50" s="446"/>
      <c r="HJ50" s="446" t="s">
        <v>1163</v>
      </c>
      <c r="HK50" s="446">
        <v>0</v>
      </c>
      <c r="HL50" s="446">
        <v>0</v>
      </c>
      <c r="HM50" s="446">
        <v>0</v>
      </c>
      <c r="HN50" s="446">
        <v>0</v>
      </c>
      <c r="HO50" s="446">
        <v>0</v>
      </c>
      <c r="HP50" s="446">
        <v>0</v>
      </c>
      <c r="HQ50" s="446">
        <v>1</v>
      </c>
      <c r="HR50" s="446">
        <v>1</v>
      </c>
      <c r="HS50" s="446">
        <v>1</v>
      </c>
      <c r="HT50" s="446">
        <v>0</v>
      </c>
      <c r="HU50" s="446">
        <v>0</v>
      </c>
      <c r="HV50" s="447">
        <v>3</v>
      </c>
      <c r="HW50" s="544"/>
      <c r="HX50" s="448"/>
    </row>
    <row r="51" spans="1:232">
      <c r="A51" s="5682"/>
      <c r="B51" s="5682"/>
      <c r="C51" s="5683"/>
      <c r="D51" s="5683"/>
      <c r="E51" s="5686">
        <f>SUM(E49:E50)</f>
        <v>13</v>
      </c>
      <c r="F51" s="5682"/>
      <c r="G51" s="4921">
        <f>(E49)/(E51)</f>
        <v>7.6923076923076927E-2</v>
      </c>
      <c r="I51" s="4915">
        <v>1</v>
      </c>
      <c r="J51" s="4915">
        <v>2</v>
      </c>
      <c r="K51" s="4916" t="s">
        <v>118</v>
      </c>
      <c r="L51" s="4917" t="s">
        <v>2707</v>
      </c>
      <c r="M51" s="4922">
        <v>1</v>
      </c>
      <c r="N51" s="4915">
        <v>6</v>
      </c>
      <c r="O51" s="157"/>
      <c r="Q51" s="4705">
        <v>1</v>
      </c>
      <c r="R51" s="4705">
        <v>2</v>
      </c>
      <c r="S51" s="4706" t="s">
        <v>1706</v>
      </c>
      <c r="T51" s="4708" t="s">
        <v>1076</v>
      </c>
      <c r="U51" s="4709">
        <v>2</v>
      </c>
      <c r="V51" s="4709">
        <v>6</v>
      </c>
      <c r="W51" s="4722"/>
      <c r="X51" s="4452"/>
      <c r="Y51" s="36"/>
      <c r="Z51" s="36"/>
      <c r="AA51" s="36"/>
      <c r="AB51" s="36" t="s">
        <v>15</v>
      </c>
      <c r="AC51" s="1681">
        <v>1</v>
      </c>
      <c r="AD51" s="1681"/>
      <c r="AE51" s="1681"/>
      <c r="AF51" s="1681"/>
      <c r="AG51" s="1681"/>
      <c r="AH51" s="1681"/>
      <c r="AI51" s="1681"/>
      <c r="AJ51" s="1681">
        <v>4</v>
      </c>
      <c r="AK51" s="1681"/>
      <c r="AL51" s="95"/>
      <c r="AM51" s="95">
        <v>5</v>
      </c>
      <c r="AN51" s="4545">
        <v>0</v>
      </c>
      <c r="AS51" s="3868" t="s">
        <v>1080</v>
      </c>
      <c r="AT51" s="3721"/>
      <c r="AU51" s="3721">
        <v>0</v>
      </c>
      <c r="AV51" s="3721"/>
      <c r="AW51" s="3721"/>
      <c r="AX51" s="3721"/>
      <c r="AY51" s="3721">
        <v>0</v>
      </c>
      <c r="AZ51" s="3721">
        <v>0</v>
      </c>
      <c r="BA51" s="3721">
        <v>2</v>
      </c>
      <c r="BB51" s="3721"/>
      <c r="BC51" s="2110"/>
      <c r="BD51" s="2110"/>
      <c r="BE51" s="2110">
        <v>2</v>
      </c>
      <c r="BF51" s="2110"/>
      <c r="BG51" s="2110"/>
      <c r="BK51" s="1520" t="s">
        <v>15</v>
      </c>
      <c r="BL51" s="3872"/>
      <c r="BM51" s="3872"/>
      <c r="BN51" s="3872">
        <v>1</v>
      </c>
      <c r="BO51" s="3872"/>
      <c r="BP51" s="3872">
        <v>2</v>
      </c>
      <c r="BQ51" s="3872">
        <v>4</v>
      </c>
      <c r="BR51" s="3872">
        <v>14</v>
      </c>
      <c r="BS51" s="3872"/>
      <c r="BT51" s="3806"/>
      <c r="BU51" s="3806">
        <v>21</v>
      </c>
      <c r="BV51" s="3807">
        <v>0</v>
      </c>
      <c r="BX51" s="36"/>
      <c r="BY51" s="36"/>
      <c r="BZ51" s="36"/>
      <c r="CA51" s="393" t="s">
        <v>15</v>
      </c>
      <c r="CB51" s="1682">
        <v>1</v>
      </c>
      <c r="CC51" s="1682"/>
      <c r="CD51" s="1682"/>
      <c r="CE51" s="1682"/>
      <c r="CF51" s="1682"/>
      <c r="CG51" s="1682">
        <v>2</v>
      </c>
      <c r="CH51" s="1682">
        <v>8</v>
      </c>
      <c r="CI51" s="1682">
        <v>2</v>
      </c>
      <c r="CJ51" s="2041"/>
      <c r="CK51" s="2041"/>
      <c r="CL51" s="2041">
        <v>13</v>
      </c>
      <c r="CM51" s="560">
        <f>+(CL50+CL48)/CL51</f>
        <v>0.46153846153846156</v>
      </c>
      <c r="CN51" s="1665"/>
      <c r="CO51" s="37"/>
      <c r="CP51" s="37"/>
      <c r="CQ51" s="37" t="s">
        <v>118</v>
      </c>
      <c r="CR51" s="37" t="s">
        <v>1072</v>
      </c>
      <c r="CS51" s="1678"/>
      <c r="CT51" s="1678">
        <v>1</v>
      </c>
      <c r="CU51" s="1678"/>
      <c r="CV51" s="1678"/>
      <c r="CW51" s="1678"/>
      <c r="CX51" s="1678"/>
      <c r="CY51" s="1678">
        <v>1</v>
      </c>
      <c r="CZ51" s="1678">
        <v>0</v>
      </c>
      <c r="DA51" s="1678"/>
      <c r="DB51" s="63"/>
      <c r="DC51" s="63"/>
      <c r="DD51" s="63">
        <v>2</v>
      </c>
      <c r="DG51" s="95"/>
      <c r="DH51" s="95"/>
      <c r="DI51" s="36"/>
      <c r="DJ51" s="393" t="s">
        <v>15</v>
      </c>
      <c r="DK51" s="1485"/>
      <c r="DL51" s="1485">
        <v>2</v>
      </c>
      <c r="DM51" s="1485"/>
      <c r="DN51" s="1485"/>
      <c r="DO51" s="1485"/>
      <c r="DP51" s="1485"/>
      <c r="DQ51" s="1485"/>
      <c r="DR51" s="1485">
        <v>15</v>
      </c>
      <c r="DS51" s="1485">
        <v>3</v>
      </c>
      <c r="DT51" s="86">
        <v>3</v>
      </c>
      <c r="DU51" s="86">
        <v>1</v>
      </c>
      <c r="DV51" s="86">
        <v>24</v>
      </c>
      <c r="DW51" s="560">
        <f>+(DV49+DV50)/DV51</f>
        <v>0.625</v>
      </c>
      <c r="DY51" s="1209"/>
      <c r="DZ51" s="1209"/>
      <c r="EA51" s="1210"/>
      <c r="EB51" s="1211" t="s">
        <v>1080</v>
      </c>
      <c r="EC51" s="1213">
        <v>0</v>
      </c>
      <c r="ED51" s="1213">
        <v>0</v>
      </c>
      <c r="EE51" s="1212"/>
      <c r="EF51" s="1213">
        <v>0</v>
      </c>
      <c r="EG51" s="1212"/>
      <c r="EH51" s="1213">
        <v>0</v>
      </c>
      <c r="EI51" s="1213">
        <v>0</v>
      </c>
      <c r="EJ51" s="1213">
        <v>5</v>
      </c>
      <c r="EK51" s="611"/>
      <c r="EL51" s="611"/>
      <c r="EM51" s="612">
        <v>5</v>
      </c>
      <c r="EN51" s="36"/>
      <c r="EP51" s="527"/>
      <c r="EQ51" s="527"/>
      <c r="ER51" s="528"/>
      <c r="ES51" s="529" t="s">
        <v>1081</v>
      </c>
      <c r="ET51" s="530"/>
      <c r="EU51" s="530"/>
      <c r="EV51" s="530"/>
      <c r="EW51" s="530"/>
      <c r="EX51" s="530"/>
      <c r="EY51" s="531">
        <v>3</v>
      </c>
      <c r="EZ51" s="531">
        <v>1</v>
      </c>
      <c r="FA51" s="531">
        <v>0</v>
      </c>
      <c r="FB51" s="527"/>
      <c r="FC51" s="527"/>
      <c r="FD51" s="532">
        <v>4</v>
      </c>
      <c r="FE51" s="95"/>
      <c r="FG51" s="533"/>
      <c r="FH51" s="533"/>
      <c r="FI51" s="533"/>
      <c r="FJ51" s="534" t="s">
        <v>1077</v>
      </c>
      <c r="FK51" s="535"/>
      <c r="FL51" s="536">
        <v>1</v>
      </c>
      <c r="FM51" s="536">
        <v>2</v>
      </c>
      <c r="FN51" s="536">
        <v>15</v>
      </c>
      <c r="FO51" s="536">
        <v>10</v>
      </c>
      <c r="FP51" s="536">
        <v>10</v>
      </c>
      <c r="FQ51" s="536">
        <v>5</v>
      </c>
      <c r="FR51" s="535"/>
      <c r="FS51" s="535"/>
      <c r="FT51" s="537"/>
      <c r="FU51" s="537"/>
      <c r="FV51" s="538">
        <v>43</v>
      </c>
      <c r="FW51" s="539"/>
      <c r="FY51" s="540"/>
      <c r="FZ51" s="540"/>
      <c r="GA51" s="540"/>
      <c r="GB51" s="541" t="s">
        <v>1072</v>
      </c>
      <c r="GC51" s="542"/>
      <c r="GD51" s="542"/>
      <c r="GE51" s="542"/>
      <c r="GF51" s="543">
        <v>1</v>
      </c>
      <c r="GG51" s="543">
        <v>0</v>
      </c>
      <c r="GH51" s="542"/>
      <c r="GI51" s="543">
        <v>1</v>
      </c>
      <c r="GJ51" s="543">
        <v>1</v>
      </c>
      <c r="GK51" s="543">
        <v>1</v>
      </c>
      <c r="GL51" s="543">
        <v>0</v>
      </c>
      <c r="GM51" s="543">
        <v>4</v>
      </c>
      <c r="GN51" s="445"/>
      <c r="GP51" s="63"/>
      <c r="GQ51" s="63"/>
      <c r="GR51" s="37"/>
      <c r="GS51" s="37" t="s">
        <v>1072</v>
      </c>
      <c r="GT51" s="63">
        <v>1</v>
      </c>
      <c r="GU51" s="63"/>
      <c r="GV51" s="63"/>
      <c r="GW51" s="63"/>
      <c r="GX51" s="63">
        <v>0</v>
      </c>
      <c r="GY51" s="63">
        <v>0</v>
      </c>
      <c r="GZ51" s="63"/>
      <c r="HA51" s="63">
        <v>0</v>
      </c>
      <c r="HB51" s="63">
        <v>0</v>
      </c>
      <c r="HC51" s="63"/>
      <c r="HD51" s="63">
        <v>1</v>
      </c>
      <c r="HE51" s="37"/>
      <c r="HF51" s="37"/>
      <c r="HG51" s="446"/>
      <c r="HH51" s="446"/>
      <c r="HI51" s="446"/>
      <c r="HJ51" s="449" t="s">
        <v>15</v>
      </c>
      <c r="HK51" s="449">
        <v>0</v>
      </c>
      <c r="HL51" s="449">
        <v>1</v>
      </c>
      <c r="HM51" s="449">
        <v>1</v>
      </c>
      <c r="HN51" s="449">
        <v>0</v>
      </c>
      <c r="HO51" s="449">
        <v>1</v>
      </c>
      <c r="HP51" s="449">
        <v>0</v>
      </c>
      <c r="HQ51" s="449">
        <v>2</v>
      </c>
      <c r="HR51" s="449">
        <v>5</v>
      </c>
      <c r="HS51" s="449">
        <v>10</v>
      </c>
      <c r="HT51" s="449">
        <v>3</v>
      </c>
      <c r="HU51" s="449">
        <v>2</v>
      </c>
      <c r="HV51" s="507">
        <v>25</v>
      </c>
      <c r="HW51" s="554">
        <f>+(HV50+HV47)/HV51</f>
        <v>0.2</v>
      </c>
      <c r="HX51" s="448">
        <f>+HV47+HV50</f>
        <v>5</v>
      </c>
    </row>
    <row r="52" spans="1:232">
      <c r="A52" s="5682">
        <v>1</v>
      </c>
      <c r="B52" s="5682">
        <v>2</v>
      </c>
      <c r="C52" s="5683" t="s">
        <v>269</v>
      </c>
      <c r="D52" s="5683" t="s">
        <v>2703</v>
      </c>
      <c r="E52" s="5682">
        <v>3</v>
      </c>
      <c r="F52" s="5682">
        <v>1</v>
      </c>
      <c r="I52" s="4915">
        <v>1</v>
      </c>
      <c r="J52" s="4915">
        <v>2</v>
      </c>
      <c r="K52" s="4916" t="s">
        <v>118</v>
      </c>
      <c r="L52" s="4916" t="s">
        <v>2709</v>
      </c>
      <c r="M52" s="4915">
        <v>5</v>
      </c>
      <c r="N52" s="4915">
        <v>6</v>
      </c>
      <c r="O52" s="157"/>
      <c r="Q52" s="4705">
        <v>1</v>
      </c>
      <c r="R52" s="4705">
        <v>2</v>
      </c>
      <c r="S52" s="4706" t="s">
        <v>1706</v>
      </c>
      <c r="T52" s="4706" t="s">
        <v>2709</v>
      </c>
      <c r="U52" s="4707">
        <v>13</v>
      </c>
      <c r="V52" s="4707">
        <v>6</v>
      </c>
      <c r="W52" s="4722"/>
      <c r="X52" s="4541"/>
      <c r="Y52" s="36"/>
      <c r="Z52" s="36"/>
      <c r="AA52" s="36" t="s">
        <v>1454</v>
      </c>
      <c r="AB52" s="36" t="s">
        <v>1072</v>
      </c>
      <c r="AC52" s="1681"/>
      <c r="AD52" s="1681"/>
      <c r="AE52" s="1681"/>
      <c r="AF52" s="1681"/>
      <c r="AG52" s="1681"/>
      <c r="AH52" s="1681"/>
      <c r="AI52" s="1681">
        <v>2</v>
      </c>
      <c r="AJ52" s="1681">
        <v>0</v>
      </c>
      <c r="AK52" s="1681"/>
      <c r="AL52" s="95"/>
      <c r="AM52" s="95">
        <v>2</v>
      </c>
      <c r="AN52" s="4545"/>
      <c r="AS52" s="27" t="s">
        <v>15</v>
      </c>
      <c r="AT52" s="3722"/>
      <c r="AU52" s="3722">
        <v>2</v>
      </c>
      <c r="AV52" s="3722"/>
      <c r="AW52" s="3722"/>
      <c r="AX52" s="3722"/>
      <c r="AY52" s="3722">
        <v>1</v>
      </c>
      <c r="AZ52" s="3722">
        <v>7</v>
      </c>
      <c r="BA52" s="3722">
        <v>2</v>
      </c>
      <c r="BB52" s="3722"/>
      <c r="BC52" s="3701"/>
      <c r="BD52" s="3701"/>
      <c r="BE52" s="3701">
        <v>12</v>
      </c>
      <c r="BF52" s="1665">
        <v>0</v>
      </c>
      <c r="BG52" s="1665"/>
      <c r="BJ52" s="32" t="s">
        <v>118</v>
      </c>
      <c r="BK52" s="32" t="s">
        <v>1072</v>
      </c>
      <c r="BL52" s="3871"/>
      <c r="BM52" s="3871"/>
      <c r="BN52" s="3871"/>
      <c r="BO52" s="3871"/>
      <c r="BP52" s="3871"/>
      <c r="BQ52" s="3871">
        <v>5</v>
      </c>
      <c r="BR52" s="3871"/>
      <c r="BS52" s="3871"/>
      <c r="BT52" s="1518"/>
      <c r="BU52" s="1518">
        <v>5</v>
      </c>
      <c r="BX52" s="36"/>
      <c r="BY52" s="36"/>
      <c r="BZ52" s="36" t="s">
        <v>460</v>
      </c>
      <c r="CA52" s="36" t="s">
        <v>1071</v>
      </c>
      <c r="CB52" s="1681"/>
      <c r="CC52" s="1681"/>
      <c r="CD52" s="1681"/>
      <c r="CE52" s="1681"/>
      <c r="CF52" s="1681"/>
      <c r="CG52" s="1681">
        <v>0</v>
      </c>
      <c r="CH52" s="1681">
        <v>2</v>
      </c>
      <c r="CI52" s="1681"/>
      <c r="CJ52" s="95"/>
      <c r="CK52" s="95"/>
      <c r="CL52" s="95">
        <v>2</v>
      </c>
      <c r="CM52" s="36"/>
      <c r="CO52" s="37"/>
      <c r="CP52" s="37"/>
      <c r="CQ52" s="37"/>
      <c r="CR52" s="37" t="s">
        <v>1080</v>
      </c>
      <c r="CS52" s="1678"/>
      <c r="CT52" s="1678">
        <v>0</v>
      </c>
      <c r="CU52" s="1678"/>
      <c r="CV52" s="1678"/>
      <c r="CW52" s="1678"/>
      <c r="CX52" s="1678"/>
      <c r="CY52" s="1678">
        <v>0</v>
      </c>
      <c r="CZ52" s="1678">
        <v>1</v>
      </c>
      <c r="DA52" s="1678"/>
      <c r="DB52" s="63"/>
      <c r="DC52" s="63"/>
      <c r="DD52" s="63">
        <v>1</v>
      </c>
      <c r="DG52" s="95"/>
      <c r="DH52" s="95"/>
      <c r="DI52" s="36" t="s">
        <v>460</v>
      </c>
      <c r="DJ52" s="36" t="s">
        <v>1071</v>
      </c>
      <c r="DK52" s="1484">
        <v>0</v>
      </c>
      <c r="DL52" s="1484"/>
      <c r="DM52" s="1484"/>
      <c r="DN52" s="1484"/>
      <c r="DO52" s="1484"/>
      <c r="DP52" s="1484"/>
      <c r="DQ52" s="1484">
        <v>0</v>
      </c>
      <c r="DR52" s="1484">
        <v>4</v>
      </c>
      <c r="DS52" s="1484"/>
      <c r="DT52" s="95"/>
      <c r="DU52" s="95"/>
      <c r="DV52" s="95">
        <v>4</v>
      </c>
      <c r="DW52" s="95"/>
      <c r="DY52" s="1209"/>
      <c r="DZ52" s="1209"/>
      <c r="EA52" s="1210"/>
      <c r="EB52" s="1211" t="s">
        <v>1163</v>
      </c>
      <c r="EC52" s="1213">
        <v>0</v>
      </c>
      <c r="ED52" s="1213">
        <v>0</v>
      </c>
      <c r="EE52" s="1212"/>
      <c r="EF52" s="1213">
        <v>0</v>
      </c>
      <c r="EG52" s="1212"/>
      <c r="EH52" s="1213">
        <v>1</v>
      </c>
      <c r="EI52" s="1213">
        <v>0</v>
      </c>
      <c r="EJ52" s="1213">
        <v>0</v>
      </c>
      <c r="EK52" s="611"/>
      <c r="EL52" s="611"/>
      <c r="EM52" s="612">
        <v>1</v>
      </c>
      <c r="EN52" s="36"/>
      <c r="EP52" s="527"/>
      <c r="EQ52" s="527"/>
      <c r="ER52" s="528"/>
      <c r="ES52" s="555" t="s">
        <v>15</v>
      </c>
      <c r="ET52" s="556"/>
      <c r="EU52" s="556"/>
      <c r="EV52" s="556"/>
      <c r="EW52" s="556"/>
      <c r="EX52" s="556"/>
      <c r="EY52" s="557">
        <v>7</v>
      </c>
      <c r="EZ52" s="557">
        <v>4</v>
      </c>
      <c r="FA52" s="557">
        <v>1</v>
      </c>
      <c r="FB52" s="558"/>
      <c r="FC52" s="558"/>
      <c r="FD52" s="559">
        <v>12</v>
      </c>
      <c r="FE52" s="560">
        <f>+(FD49+FD51)/FD52</f>
        <v>0.41666666666666669</v>
      </c>
      <c r="FG52" s="533"/>
      <c r="FH52" s="533"/>
      <c r="FI52" s="533"/>
      <c r="FJ52" s="534" t="s">
        <v>1080</v>
      </c>
      <c r="FK52" s="535"/>
      <c r="FL52" s="536">
        <v>0</v>
      </c>
      <c r="FM52" s="536">
        <v>0</v>
      </c>
      <c r="FN52" s="536">
        <v>0</v>
      </c>
      <c r="FO52" s="536">
        <v>0</v>
      </c>
      <c r="FP52" s="536">
        <v>2</v>
      </c>
      <c r="FQ52" s="536">
        <v>0</v>
      </c>
      <c r="FR52" s="535"/>
      <c r="FS52" s="535"/>
      <c r="FT52" s="537"/>
      <c r="FU52" s="537"/>
      <c r="FV52" s="538">
        <v>2</v>
      </c>
      <c r="FW52" s="539"/>
      <c r="FY52" s="540"/>
      <c r="FZ52" s="540"/>
      <c r="GA52" s="540"/>
      <c r="GB52" s="541" t="s">
        <v>1076</v>
      </c>
      <c r="GC52" s="542"/>
      <c r="GD52" s="542"/>
      <c r="GE52" s="542"/>
      <c r="GF52" s="543">
        <v>0</v>
      </c>
      <c r="GG52" s="543">
        <v>0</v>
      </c>
      <c r="GH52" s="542"/>
      <c r="GI52" s="543">
        <v>3</v>
      </c>
      <c r="GJ52" s="543">
        <v>0</v>
      </c>
      <c r="GK52" s="543">
        <v>0</v>
      </c>
      <c r="GL52" s="543">
        <v>0</v>
      </c>
      <c r="GM52" s="543">
        <v>3</v>
      </c>
      <c r="GN52" s="445"/>
      <c r="GP52" s="63"/>
      <c r="GQ52" s="63"/>
      <c r="GR52" s="37"/>
      <c r="GS52" s="37" t="s">
        <v>1076</v>
      </c>
      <c r="GT52" s="63">
        <v>0</v>
      </c>
      <c r="GU52" s="63"/>
      <c r="GV52" s="63"/>
      <c r="GW52" s="63"/>
      <c r="GX52" s="63">
        <v>0</v>
      </c>
      <c r="GY52" s="63">
        <v>2</v>
      </c>
      <c r="GZ52" s="63"/>
      <c r="HA52" s="63">
        <v>0</v>
      </c>
      <c r="HB52" s="63">
        <v>0</v>
      </c>
      <c r="HC52" s="63"/>
      <c r="HD52" s="63">
        <v>2</v>
      </c>
      <c r="HE52" s="37"/>
      <c r="HF52" s="37"/>
      <c r="HG52" s="446"/>
      <c r="HH52" s="446"/>
      <c r="HI52" s="446" t="s">
        <v>121</v>
      </c>
      <c r="HJ52" s="446" t="s">
        <v>1071</v>
      </c>
      <c r="HK52" s="446">
        <v>0</v>
      </c>
      <c r="HL52" s="446">
        <v>0</v>
      </c>
      <c r="HM52" s="446">
        <v>0</v>
      </c>
      <c r="HN52" s="446">
        <v>0</v>
      </c>
      <c r="HO52" s="446">
        <v>0</v>
      </c>
      <c r="HP52" s="446">
        <v>0</v>
      </c>
      <c r="HQ52" s="446">
        <v>0</v>
      </c>
      <c r="HR52" s="446">
        <v>1</v>
      </c>
      <c r="HS52" s="446">
        <v>5</v>
      </c>
      <c r="HT52" s="446">
        <v>1</v>
      </c>
      <c r="HU52" s="446">
        <v>1</v>
      </c>
      <c r="HV52" s="447">
        <v>8</v>
      </c>
      <c r="HW52" s="544"/>
      <c r="HX52" s="448"/>
    </row>
    <row r="53" spans="1:232">
      <c r="A53" s="5682">
        <v>1</v>
      </c>
      <c r="B53" s="5682">
        <v>2</v>
      </c>
      <c r="C53" s="5683" t="s">
        <v>269</v>
      </c>
      <c r="D53" s="5685" t="s">
        <v>2707</v>
      </c>
      <c r="E53" s="5682">
        <v>1</v>
      </c>
      <c r="F53" s="5682">
        <v>6</v>
      </c>
      <c r="I53" s="4915"/>
      <c r="J53" s="4915"/>
      <c r="K53" s="4916"/>
      <c r="L53" s="4916"/>
      <c r="M53" s="4920">
        <f>SUM(M50:M52)</f>
        <v>9</v>
      </c>
      <c r="N53" s="4915"/>
      <c r="O53" s="4921">
        <f>(M51)/(M53)</f>
        <v>0.1111111111111111</v>
      </c>
      <c r="Q53" s="4705"/>
      <c r="R53" s="4705"/>
      <c r="S53" s="4742"/>
      <c r="T53" s="4742"/>
      <c r="U53" s="4741">
        <f>SUM(U50:U52)</f>
        <v>18</v>
      </c>
      <c r="V53" s="4741"/>
      <c r="W53" s="4722">
        <f>(U50+U51)/(U53)</f>
        <v>0.27777777777777779</v>
      </c>
      <c r="Y53" s="36"/>
      <c r="Z53" s="36"/>
      <c r="AA53" s="36"/>
      <c r="AB53" s="36" t="s">
        <v>1080</v>
      </c>
      <c r="AC53" s="1681"/>
      <c r="AD53" s="1681"/>
      <c r="AE53" s="1681"/>
      <c r="AF53" s="1681"/>
      <c r="AG53" s="1681"/>
      <c r="AH53" s="1681"/>
      <c r="AI53" s="1681">
        <v>0</v>
      </c>
      <c r="AJ53" s="1681">
        <v>2</v>
      </c>
      <c r="AK53" s="1681"/>
      <c r="AL53" s="95"/>
      <c r="AM53" s="95">
        <v>2</v>
      </c>
      <c r="AN53" s="4545"/>
      <c r="AR53" s="3868" t="s">
        <v>117</v>
      </c>
      <c r="AS53" s="3868" t="s">
        <v>1072</v>
      </c>
      <c r="AT53" s="3721">
        <v>0</v>
      </c>
      <c r="AU53" s="3721"/>
      <c r="AV53" s="3721"/>
      <c r="AW53" s="3721">
        <v>0</v>
      </c>
      <c r="AX53" s="3721"/>
      <c r="AY53" s="3721">
        <v>2</v>
      </c>
      <c r="AZ53" s="3721">
        <v>4</v>
      </c>
      <c r="BA53" s="3721">
        <v>0</v>
      </c>
      <c r="BB53" s="3721"/>
      <c r="BC53" s="2110"/>
      <c r="BD53" s="2110"/>
      <c r="BE53" s="2110">
        <v>6</v>
      </c>
      <c r="BF53" s="2110"/>
      <c r="BG53" s="2110"/>
      <c r="BK53" s="32" t="s">
        <v>1076</v>
      </c>
      <c r="BL53" s="3871"/>
      <c r="BM53" s="3871"/>
      <c r="BN53" s="3871"/>
      <c r="BO53" s="3871"/>
      <c r="BP53" s="3871"/>
      <c r="BQ53" s="3871">
        <v>1</v>
      </c>
      <c r="BR53" s="3871"/>
      <c r="BS53" s="3871"/>
      <c r="BT53" s="1518"/>
      <c r="BU53" s="1518">
        <v>1</v>
      </c>
      <c r="BX53" s="36"/>
      <c r="BY53" s="36"/>
      <c r="BZ53" s="36"/>
      <c r="CA53" s="36" t="s">
        <v>1072</v>
      </c>
      <c r="CB53" s="1681"/>
      <c r="CC53" s="1681"/>
      <c r="CD53" s="1681"/>
      <c r="CE53" s="1681"/>
      <c r="CF53" s="1681"/>
      <c r="CG53" s="1681">
        <v>12</v>
      </c>
      <c r="CH53" s="1681">
        <v>0</v>
      </c>
      <c r="CI53" s="1681"/>
      <c r="CJ53" s="95"/>
      <c r="CK53" s="95"/>
      <c r="CL53" s="95">
        <v>12</v>
      </c>
      <c r="CM53" s="36"/>
      <c r="CO53" s="37"/>
      <c r="CP53" s="37"/>
      <c r="CQ53" s="37"/>
      <c r="CR53" s="37" t="s">
        <v>1081</v>
      </c>
      <c r="CS53" s="1678"/>
      <c r="CT53" s="1678">
        <v>0</v>
      </c>
      <c r="CU53" s="1678"/>
      <c r="CV53" s="1678"/>
      <c r="CW53" s="1678"/>
      <c r="CX53" s="1678"/>
      <c r="CY53" s="1678">
        <v>3</v>
      </c>
      <c r="CZ53" s="1678">
        <v>0</v>
      </c>
      <c r="DA53" s="1678"/>
      <c r="DB53" s="63"/>
      <c r="DC53" s="63"/>
      <c r="DD53" s="63">
        <v>3</v>
      </c>
      <c r="DG53" s="95"/>
      <c r="DH53" s="95"/>
      <c r="DI53" s="36"/>
      <c r="DJ53" s="36" t="s">
        <v>1072</v>
      </c>
      <c r="DK53" s="1484">
        <v>0</v>
      </c>
      <c r="DL53" s="1484"/>
      <c r="DM53" s="1484"/>
      <c r="DN53" s="1484"/>
      <c r="DO53" s="1484"/>
      <c r="DP53" s="1484"/>
      <c r="DQ53" s="1484">
        <v>6</v>
      </c>
      <c r="DR53" s="1484">
        <v>0</v>
      </c>
      <c r="DS53" s="1484"/>
      <c r="DT53" s="95"/>
      <c r="DU53" s="95"/>
      <c r="DV53" s="95">
        <v>6</v>
      </c>
      <c r="DW53" s="95"/>
      <c r="DY53" s="1209"/>
      <c r="DZ53" s="1209"/>
      <c r="EA53" s="1210"/>
      <c r="EB53" s="415" t="s">
        <v>15</v>
      </c>
      <c r="EC53" s="1215">
        <v>1</v>
      </c>
      <c r="ED53" s="1215">
        <v>1</v>
      </c>
      <c r="EE53" s="1214"/>
      <c r="EF53" s="1215">
        <v>1</v>
      </c>
      <c r="EG53" s="1214"/>
      <c r="EH53" s="1215">
        <v>1</v>
      </c>
      <c r="EI53" s="1215">
        <v>3</v>
      </c>
      <c r="EJ53" s="1215">
        <v>5</v>
      </c>
      <c r="EK53" s="620"/>
      <c r="EL53" s="620"/>
      <c r="EM53" s="621">
        <v>12</v>
      </c>
      <c r="EN53" s="1178">
        <f>+EM52/EM53</f>
        <v>8.3333333333333329E-2</v>
      </c>
      <c r="EP53" s="527"/>
      <c r="EQ53" s="527"/>
      <c r="ER53" s="528" t="s">
        <v>483</v>
      </c>
      <c r="ES53" s="529" t="s">
        <v>1072</v>
      </c>
      <c r="ET53" s="531">
        <v>0</v>
      </c>
      <c r="EU53" s="530"/>
      <c r="EV53" s="530"/>
      <c r="EW53" s="530"/>
      <c r="EX53" s="530"/>
      <c r="EY53" s="531">
        <v>10</v>
      </c>
      <c r="EZ53" s="531">
        <v>6</v>
      </c>
      <c r="FA53" s="531">
        <v>3</v>
      </c>
      <c r="FB53" s="527"/>
      <c r="FC53" s="527"/>
      <c r="FD53" s="532">
        <v>19</v>
      </c>
      <c r="FE53" s="95"/>
      <c r="FG53" s="533"/>
      <c r="FH53" s="533"/>
      <c r="FI53" s="533"/>
      <c r="FJ53" s="534" t="s">
        <v>1081</v>
      </c>
      <c r="FK53" s="535"/>
      <c r="FL53" s="536">
        <v>0</v>
      </c>
      <c r="FM53" s="536">
        <v>0</v>
      </c>
      <c r="FN53" s="536">
        <v>0</v>
      </c>
      <c r="FO53" s="536">
        <v>1</v>
      </c>
      <c r="FP53" s="536">
        <v>1</v>
      </c>
      <c r="FQ53" s="536">
        <v>0</v>
      </c>
      <c r="FR53" s="535"/>
      <c r="FS53" s="535"/>
      <c r="FT53" s="537"/>
      <c r="FU53" s="537"/>
      <c r="FV53" s="538">
        <v>2</v>
      </c>
      <c r="FW53" s="539"/>
      <c r="FY53" s="540"/>
      <c r="FZ53" s="540"/>
      <c r="GA53" s="540"/>
      <c r="GB53" s="541" t="s">
        <v>1077</v>
      </c>
      <c r="GC53" s="542"/>
      <c r="GD53" s="542"/>
      <c r="GE53" s="542"/>
      <c r="GF53" s="543">
        <v>0</v>
      </c>
      <c r="GG53" s="543">
        <v>1</v>
      </c>
      <c r="GH53" s="542"/>
      <c r="GI53" s="543">
        <v>0</v>
      </c>
      <c r="GJ53" s="543">
        <v>0</v>
      </c>
      <c r="GK53" s="543">
        <v>0</v>
      </c>
      <c r="GL53" s="543">
        <v>0</v>
      </c>
      <c r="GM53" s="543">
        <v>1</v>
      </c>
      <c r="GN53" s="445"/>
      <c r="GP53" s="63"/>
      <c r="GQ53" s="63"/>
      <c r="GR53" s="37"/>
      <c r="GS53" s="37" t="s">
        <v>1077</v>
      </c>
      <c r="GT53" s="63">
        <v>0</v>
      </c>
      <c r="GU53" s="63"/>
      <c r="GV53" s="63"/>
      <c r="GW53" s="63"/>
      <c r="GX53" s="63">
        <v>1</v>
      </c>
      <c r="GY53" s="63">
        <v>0</v>
      </c>
      <c r="GZ53" s="63"/>
      <c r="HA53" s="63">
        <v>0</v>
      </c>
      <c r="HB53" s="63">
        <v>0</v>
      </c>
      <c r="HC53" s="63"/>
      <c r="HD53" s="63">
        <v>1</v>
      </c>
      <c r="HE53" s="37"/>
      <c r="HF53" s="37"/>
      <c r="HG53" s="446"/>
      <c r="HH53" s="446"/>
      <c r="HI53" s="446"/>
      <c r="HJ53" s="446" t="s">
        <v>1072</v>
      </c>
      <c r="HK53" s="446">
        <v>0</v>
      </c>
      <c r="HL53" s="446">
        <v>0</v>
      </c>
      <c r="HM53" s="446">
        <v>0</v>
      </c>
      <c r="HN53" s="446">
        <v>1</v>
      </c>
      <c r="HO53" s="446">
        <v>0</v>
      </c>
      <c r="HP53" s="446">
        <v>0</v>
      </c>
      <c r="HQ53" s="446">
        <v>0</v>
      </c>
      <c r="HR53" s="446">
        <v>0</v>
      </c>
      <c r="HS53" s="446">
        <v>0</v>
      </c>
      <c r="HT53" s="446">
        <v>0</v>
      </c>
      <c r="HU53" s="446">
        <v>0</v>
      </c>
      <c r="HV53" s="447">
        <v>1</v>
      </c>
      <c r="HW53" s="544"/>
      <c r="HX53" s="448"/>
    </row>
    <row r="54" spans="1:232">
      <c r="A54" s="5682">
        <v>1</v>
      </c>
      <c r="B54" s="5682">
        <v>2</v>
      </c>
      <c r="C54" s="5683" t="s">
        <v>269</v>
      </c>
      <c r="D54" s="5685" t="s">
        <v>1076</v>
      </c>
      <c r="E54" s="5682">
        <v>2</v>
      </c>
      <c r="F54" s="5682">
        <v>6</v>
      </c>
      <c r="I54" s="4915">
        <v>1</v>
      </c>
      <c r="J54" s="4915">
        <v>2</v>
      </c>
      <c r="K54" s="4916" t="s">
        <v>2068</v>
      </c>
      <c r="L54" s="4916" t="s">
        <v>1071</v>
      </c>
      <c r="M54" s="4915">
        <v>2</v>
      </c>
      <c r="N54" s="4915">
        <v>7</v>
      </c>
      <c r="O54" s="157"/>
      <c r="Q54" s="4705">
        <v>1</v>
      </c>
      <c r="R54" s="4705">
        <v>2</v>
      </c>
      <c r="S54" s="4706" t="s">
        <v>270</v>
      </c>
      <c r="T54" s="4708" t="s">
        <v>2707</v>
      </c>
      <c r="U54" s="4709">
        <v>1</v>
      </c>
      <c r="V54" s="4709">
        <v>6</v>
      </c>
      <c r="W54" s="4722"/>
      <c r="Y54" s="36"/>
      <c r="Z54" s="36"/>
      <c r="AA54" s="36"/>
      <c r="AB54" s="36" t="s">
        <v>15</v>
      </c>
      <c r="AC54" s="1681"/>
      <c r="AD54" s="1681"/>
      <c r="AE54" s="1681"/>
      <c r="AF54" s="1681"/>
      <c r="AG54" s="1681"/>
      <c r="AH54" s="1681"/>
      <c r="AI54" s="1681">
        <v>2</v>
      </c>
      <c r="AJ54" s="1681">
        <v>2</v>
      </c>
      <c r="AK54" s="1681"/>
      <c r="AL54" s="95"/>
      <c r="AM54" s="95">
        <v>4</v>
      </c>
      <c r="AN54" s="4545">
        <v>0</v>
      </c>
      <c r="AS54" s="3868" t="s">
        <v>1074</v>
      </c>
      <c r="AT54" s="3721">
        <v>0</v>
      </c>
      <c r="AU54" s="3721"/>
      <c r="AV54" s="3721"/>
      <c r="AW54" s="3721">
        <v>1</v>
      </c>
      <c r="AX54" s="3721"/>
      <c r="AY54" s="3721">
        <v>0</v>
      </c>
      <c r="AZ54" s="3721">
        <v>0</v>
      </c>
      <c r="BA54" s="3721">
        <v>0</v>
      </c>
      <c r="BB54" s="3721"/>
      <c r="BC54" s="2110"/>
      <c r="BD54" s="2110"/>
      <c r="BE54" s="2110">
        <v>1</v>
      </c>
      <c r="BF54" s="2110"/>
      <c r="BG54" s="2110"/>
      <c r="BK54" s="32" t="s">
        <v>1081</v>
      </c>
      <c r="BL54" s="3871"/>
      <c r="BM54" s="3871"/>
      <c r="BN54" s="3871"/>
      <c r="BO54" s="3871"/>
      <c r="BP54" s="3871"/>
      <c r="BQ54" s="3871">
        <v>1</v>
      </c>
      <c r="BR54" s="3871"/>
      <c r="BS54" s="3871"/>
      <c r="BT54" s="1518"/>
      <c r="BU54" s="1518">
        <v>1</v>
      </c>
      <c r="BX54" s="36"/>
      <c r="BY54" s="36"/>
      <c r="BZ54" s="36"/>
      <c r="CA54" s="36" t="s">
        <v>1076</v>
      </c>
      <c r="CB54" s="1681"/>
      <c r="CC54" s="1681"/>
      <c r="CD54" s="1681"/>
      <c r="CE54" s="1681"/>
      <c r="CF54" s="1681"/>
      <c r="CG54" s="1681">
        <v>2</v>
      </c>
      <c r="CH54" s="1681">
        <v>0</v>
      </c>
      <c r="CI54" s="1681"/>
      <c r="CJ54" s="95"/>
      <c r="CK54" s="95"/>
      <c r="CL54" s="95">
        <v>2</v>
      </c>
      <c r="CM54" s="36"/>
      <c r="CO54" s="37"/>
      <c r="CP54" s="37"/>
      <c r="CQ54" s="37"/>
      <c r="CR54" s="416" t="s">
        <v>15</v>
      </c>
      <c r="CS54" s="1679"/>
      <c r="CT54" s="1679">
        <v>1</v>
      </c>
      <c r="CU54" s="1679"/>
      <c r="CV54" s="1679"/>
      <c r="CW54" s="1679"/>
      <c r="CX54" s="1679"/>
      <c r="CY54" s="1679">
        <v>4</v>
      </c>
      <c r="CZ54" s="1679">
        <v>1</v>
      </c>
      <c r="DA54" s="1679"/>
      <c r="DB54" s="386"/>
      <c r="DC54" s="386"/>
      <c r="DD54" s="386">
        <v>6</v>
      </c>
      <c r="DE54" s="2045">
        <f>+DD53/DD54</f>
        <v>0.5</v>
      </c>
      <c r="DG54" s="95"/>
      <c r="DH54" s="95"/>
      <c r="DI54" s="36"/>
      <c r="DJ54" s="36" t="s">
        <v>1076</v>
      </c>
      <c r="DK54" s="1484">
        <v>0</v>
      </c>
      <c r="DL54" s="1484"/>
      <c r="DM54" s="1484"/>
      <c r="DN54" s="1484"/>
      <c r="DO54" s="1484"/>
      <c r="DP54" s="1484"/>
      <c r="DQ54" s="1484">
        <v>1</v>
      </c>
      <c r="DR54" s="1484">
        <v>0</v>
      </c>
      <c r="DS54" s="1484"/>
      <c r="DT54" s="95"/>
      <c r="DU54" s="95"/>
      <c r="DV54" s="95">
        <v>1</v>
      </c>
      <c r="DW54" s="95"/>
      <c r="DY54" s="1209"/>
      <c r="DZ54" s="1209"/>
      <c r="EA54" s="1210" t="s">
        <v>483</v>
      </c>
      <c r="EB54" s="1211" t="s">
        <v>1071</v>
      </c>
      <c r="EC54" s="1213">
        <v>0</v>
      </c>
      <c r="ED54" s="1213">
        <v>0</v>
      </c>
      <c r="EE54" s="1213">
        <v>0</v>
      </c>
      <c r="EF54" s="1213">
        <v>0</v>
      </c>
      <c r="EG54" s="1213">
        <v>0</v>
      </c>
      <c r="EH54" s="1213">
        <v>0</v>
      </c>
      <c r="EI54" s="1213">
        <v>2</v>
      </c>
      <c r="EJ54" s="1213">
        <v>3</v>
      </c>
      <c r="EK54" s="611"/>
      <c r="EL54" s="611"/>
      <c r="EM54" s="612">
        <v>5</v>
      </c>
      <c r="EN54" s="36"/>
      <c r="EP54" s="527"/>
      <c r="EQ54" s="527"/>
      <c r="ER54" s="528"/>
      <c r="ES54" s="529" t="s">
        <v>1074</v>
      </c>
      <c r="ET54" s="531">
        <v>1</v>
      </c>
      <c r="EU54" s="530"/>
      <c r="EV54" s="530"/>
      <c r="EW54" s="530"/>
      <c r="EX54" s="530"/>
      <c r="EY54" s="531">
        <v>0</v>
      </c>
      <c r="EZ54" s="531">
        <v>0</v>
      </c>
      <c r="FA54" s="531">
        <v>0</v>
      </c>
      <c r="FB54" s="527"/>
      <c r="FC54" s="527"/>
      <c r="FD54" s="532">
        <v>1</v>
      </c>
      <c r="FE54" s="95"/>
      <c r="FG54" s="533"/>
      <c r="FH54" s="533"/>
      <c r="FI54" s="533"/>
      <c r="FJ54" s="534" t="s">
        <v>1163</v>
      </c>
      <c r="FK54" s="535"/>
      <c r="FL54" s="536">
        <v>0</v>
      </c>
      <c r="FM54" s="536">
        <v>0</v>
      </c>
      <c r="FN54" s="536">
        <v>2</v>
      </c>
      <c r="FO54" s="536">
        <v>4</v>
      </c>
      <c r="FP54" s="536">
        <v>2</v>
      </c>
      <c r="FQ54" s="536">
        <v>0</v>
      </c>
      <c r="FR54" s="535"/>
      <c r="FS54" s="535"/>
      <c r="FT54" s="537"/>
      <c r="FU54" s="537"/>
      <c r="FV54" s="538">
        <v>8</v>
      </c>
      <c r="FW54" s="539"/>
      <c r="FY54" s="540"/>
      <c r="FZ54" s="540"/>
      <c r="GA54" s="540"/>
      <c r="GB54" s="541" t="s">
        <v>1080</v>
      </c>
      <c r="GC54" s="542"/>
      <c r="GD54" s="542"/>
      <c r="GE54" s="542"/>
      <c r="GF54" s="543">
        <v>0</v>
      </c>
      <c r="GG54" s="543">
        <v>0</v>
      </c>
      <c r="GH54" s="542"/>
      <c r="GI54" s="543">
        <v>0</v>
      </c>
      <c r="GJ54" s="543">
        <v>6</v>
      </c>
      <c r="GK54" s="543">
        <v>1</v>
      </c>
      <c r="GL54" s="543">
        <v>0</v>
      </c>
      <c r="GM54" s="543">
        <v>7</v>
      </c>
      <c r="GN54" s="445"/>
      <c r="GP54" s="63"/>
      <c r="GQ54" s="63"/>
      <c r="GR54" s="37"/>
      <c r="GS54" s="37" t="s">
        <v>1080</v>
      </c>
      <c r="GT54" s="63">
        <v>0</v>
      </c>
      <c r="GU54" s="63"/>
      <c r="GV54" s="63"/>
      <c r="GW54" s="63"/>
      <c r="GX54" s="63">
        <v>0</v>
      </c>
      <c r="GY54" s="63">
        <v>0</v>
      </c>
      <c r="GZ54" s="63"/>
      <c r="HA54" s="63">
        <v>9</v>
      </c>
      <c r="HB54" s="63">
        <v>0</v>
      </c>
      <c r="HC54" s="63"/>
      <c r="HD54" s="63">
        <v>9</v>
      </c>
      <c r="HE54" s="37"/>
      <c r="HF54" s="37"/>
      <c r="HG54" s="446"/>
      <c r="HH54" s="446"/>
      <c r="HI54" s="446"/>
      <c r="HJ54" s="446" t="s">
        <v>1076</v>
      </c>
      <c r="HK54" s="446">
        <v>0</v>
      </c>
      <c r="HL54" s="446">
        <v>0</v>
      </c>
      <c r="HM54" s="446">
        <v>0</v>
      </c>
      <c r="HN54" s="446">
        <v>0</v>
      </c>
      <c r="HO54" s="446">
        <v>0</v>
      </c>
      <c r="HP54" s="446">
        <v>0</v>
      </c>
      <c r="HQ54" s="446">
        <v>0</v>
      </c>
      <c r="HR54" s="446">
        <v>1</v>
      </c>
      <c r="HS54" s="446">
        <v>0</v>
      </c>
      <c r="HT54" s="446">
        <v>0</v>
      </c>
      <c r="HU54" s="446">
        <v>0</v>
      </c>
      <c r="HV54" s="447">
        <v>1</v>
      </c>
      <c r="HW54" s="544"/>
      <c r="HX54" s="448"/>
    </row>
    <row r="55" spans="1:232">
      <c r="A55" s="5682">
        <v>1</v>
      </c>
      <c r="B55" s="5682">
        <v>2</v>
      </c>
      <c r="C55" s="5683" t="s">
        <v>269</v>
      </c>
      <c r="D55" s="5683" t="s">
        <v>2709</v>
      </c>
      <c r="E55" s="5682">
        <v>10</v>
      </c>
      <c r="F55" s="5682">
        <v>6</v>
      </c>
      <c r="I55" s="4915">
        <v>1</v>
      </c>
      <c r="J55" s="4915">
        <v>2</v>
      </c>
      <c r="K55" s="4916" t="s">
        <v>2068</v>
      </c>
      <c r="L55" s="4916" t="s">
        <v>2703</v>
      </c>
      <c r="M55" s="4915">
        <v>1</v>
      </c>
      <c r="N55" s="4915">
        <v>2</v>
      </c>
      <c r="O55" s="157"/>
      <c r="Q55" s="4705">
        <v>1</v>
      </c>
      <c r="R55" s="4705">
        <v>2</v>
      </c>
      <c r="S55" s="4706" t="s">
        <v>270</v>
      </c>
      <c r="T55" s="4706" t="s">
        <v>2709</v>
      </c>
      <c r="U55" s="4707">
        <v>1</v>
      </c>
      <c r="V55" s="4707">
        <v>5</v>
      </c>
      <c r="W55" s="4722"/>
      <c r="Y55" s="36"/>
      <c r="Z55" s="36"/>
      <c r="AA55" s="393" t="s">
        <v>484</v>
      </c>
      <c r="AB55" s="36" t="s">
        <v>1072</v>
      </c>
      <c r="AC55" s="1681">
        <v>0</v>
      </c>
      <c r="AD55" s="1681"/>
      <c r="AE55" s="1681"/>
      <c r="AF55" s="1681"/>
      <c r="AG55" s="1681"/>
      <c r="AH55" s="1681"/>
      <c r="AI55" s="1681">
        <v>2</v>
      </c>
      <c r="AJ55" s="1681">
        <v>0</v>
      </c>
      <c r="AK55" s="1681"/>
      <c r="AL55" s="95"/>
      <c r="AM55" s="95">
        <v>2</v>
      </c>
      <c r="AN55" s="4545"/>
      <c r="AS55" s="3868" t="s">
        <v>1080</v>
      </c>
      <c r="AT55" s="3721">
        <v>0</v>
      </c>
      <c r="AU55" s="3721"/>
      <c r="AV55" s="3721"/>
      <c r="AW55" s="3721">
        <v>0</v>
      </c>
      <c r="AX55" s="3721"/>
      <c r="AY55" s="3721">
        <v>0</v>
      </c>
      <c r="AZ55" s="3721">
        <v>0</v>
      </c>
      <c r="BA55" s="3721">
        <v>14</v>
      </c>
      <c r="BB55" s="3721"/>
      <c r="BC55" s="2110"/>
      <c r="BD55" s="2110"/>
      <c r="BE55" s="2110">
        <v>14</v>
      </c>
      <c r="BF55" s="2110"/>
      <c r="BG55" s="2110"/>
      <c r="BK55" s="1520" t="s">
        <v>15</v>
      </c>
      <c r="BL55" s="3872"/>
      <c r="BM55" s="3872"/>
      <c r="BN55" s="3872"/>
      <c r="BO55" s="3872"/>
      <c r="BP55" s="3872"/>
      <c r="BQ55" s="3872">
        <v>7</v>
      </c>
      <c r="BR55" s="3872"/>
      <c r="BS55" s="3872"/>
      <c r="BT55" s="3806"/>
      <c r="BU55" s="3806">
        <v>7</v>
      </c>
      <c r="BV55" s="3807">
        <f>+(BU53+BU54)/BU55</f>
        <v>0.2857142857142857</v>
      </c>
      <c r="BX55" s="36"/>
      <c r="BY55" s="36"/>
      <c r="BZ55" s="36"/>
      <c r="CA55" s="36" t="s">
        <v>1081</v>
      </c>
      <c r="CB55" s="1681"/>
      <c r="CC55" s="1681"/>
      <c r="CD55" s="1681"/>
      <c r="CE55" s="1681"/>
      <c r="CF55" s="1681"/>
      <c r="CG55" s="1681">
        <v>1</v>
      </c>
      <c r="CH55" s="1681">
        <v>0</v>
      </c>
      <c r="CI55" s="1681"/>
      <c r="CJ55" s="95"/>
      <c r="CK55" s="95"/>
      <c r="CL55" s="95">
        <v>1</v>
      </c>
      <c r="CM55" s="36"/>
      <c r="CO55" s="37"/>
      <c r="CP55" s="37"/>
      <c r="CQ55" s="37" t="s">
        <v>483</v>
      </c>
      <c r="CR55" s="37" t="s">
        <v>1071</v>
      </c>
      <c r="CS55" s="1678"/>
      <c r="CT55" s="1678">
        <v>0</v>
      </c>
      <c r="CU55" s="1678"/>
      <c r="CV55" s="1678"/>
      <c r="CW55" s="1678">
        <v>0</v>
      </c>
      <c r="CX55" s="1678">
        <v>0</v>
      </c>
      <c r="CY55" s="1678">
        <v>0</v>
      </c>
      <c r="CZ55" s="1678">
        <v>0</v>
      </c>
      <c r="DA55" s="1678">
        <v>4</v>
      </c>
      <c r="DB55" s="63"/>
      <c r="DC55" s="63"/>
      <c r="DD55" s="63">
        <v>4</v>
      </c>
      <c r="DG55" s="95"/>
      <c r="DH55" s="95"/>
      <c r="DI55" s="36"/>
      <c r="DJ55" s="36" t="s">
        <v>1663</v>
      </c>
      <c r="DK55" s="1484">
        <v>1</v>
      </c>
      <c r="DL55" s="1484"/>
      <c r="DM55" s="1484"/>
      <c r="DN55" s="1484"/>
      <c r="DO55" s="1484"/>
      <c r="DP55" s="1484"/>
      <c r="DQ55" s="1484">
        <v>0</v>
      </c>
      <c r="DR55" s="1484">
        <v>0</v>
      </c>
      <c r="DS55" s="1484"/>
      <c r="DT55" s="95"/>
      <c r="DU55" s="95"/>
      <c r="DV55" s="95">
        <v>1</v>
      </c>
      <c r="DW55" s="95"/>
      <c r="DY55" s="1209"/>
      <c r="DZ55" s="1209"/>
      <c r="EA55" s="1210"/>
      <c r="EB55" s="1211" t="s">
        <v>1072</v>
      </c>
      <c r="EC55" s="1213">
        <v>0</v>
      </c>
      <c r="ED55" s="1213">
        <v>0</v>
      </c>
      <c r="EE55" s="1213">
        <v>2</v>
      </c>
      <c r="EF55" s="1213">
        <v>3</v>
      </c>
      <c r="EG55" s="1213">
        <v>4</v>
      </c>
      <c r="EH55" s="1213">
        <v>17</v>
      </c>
      <c r="EI55" s="1213">
        <v>9</v>
      </c>
      <c r="EJ55" s="1213">
        <v>0</v>
      </c>
      <c r="EK55" s="611"/>
      <c r="EL55" s="611"/>
      <c r="EM55" s="612">
        <v>35</v>
      </c>
      <c r="EN55" s="36"/>
      <c r="EP55" s="527"/>
      <c r="EQ55" s="527"/>
      <c r="ER55" s="528"/>
      <c r="ES55" s="529" t="s">
        <v>1076</v>
      </c>
      <c r="ET55" s="531">
        <v>0</v>
      </c>
      <c r="EU55" s="530"/>
      <c r="EV55" s="530"/>
      <c r="EW55" s="530"/>
      <c r="EX55" s="530"/>
      <c r="EY55" s="531">
        <v>3</v>
      </c>
      <c r="EZ55" s="531">
        <v>3</v>
      </c>
      <c r="FA55" s="531">
        <v>0</v>
      </c>
      <c r="FB55" s="527"/>
      <c r="FC55" s="527"/>
      <c r="FD55" s="532">
        <v>6</v>
      </c>
      <c r="FE55" s="95"/>
      <c r="FG55" s="533"/>
      <c r="FH55" s="533"/>
      <c r="FI55" s="533"/>
      <c r="FJ55" s="545" t="s">
        <v>15</v>
      </c>
      <c r="FK55" s="546"/>
      <c r="FL55" s="547">
        <v>1</v>
      </c>
      <c r="FM55" s="547">
        <v>2</v>
      </c>
      <c r="FN55" s="547">
        <v>18</v>
      </c>
      <c r="FO55" s="547">
        <v>17</v>
      </c>
      <c r="FP55" s="547">
        <v>16</v>
      </c>
      <c r="FQ55" s="547">
        <v>7</v>
      </c>
      <c r="FR55" s="546"/>
      <c r="FS55" s="546"/>
      <c r="FT55" s="548"/>
      <c r="FU55" s="548"/>
      <c r="FV55" s="549">
        <v>61</v>
      </c>
      <c r="FW55" s="539">
        <f>+(FV54+FV53+FV50)/FV55</f>
        <v>0.21311475409836064</v>
      </c>
      <c r="FY55" s="540"/>
      <c r="FZ55" s="540"/>
      <c r="GA55" s="540"/>
      <c r="GB55" s="550" t="s">
        <v>15</v>
      </c>
      <c r="GC55" s="551"/>
      <c r="GD55" s="551"/>
      <c r="GE55" s="551"/>
      <c r="GF55" s="552">
        <v>1</v>
      </c>
      <c r="GG55" s="552">
        <v>1</v>
      </c>
      <c r="GH55" s="551"/>
      <c r="GI55" s="552">
        <v>4</v>
      </c>
      <c r="GJ55" s="552">
        <v>8</v>
      </c>
      <c r="GK55" s="552">
        <v>3</v>
      </c>
      <c r="GL55" s="552">
        <v>3</v>
      </c>
      <c r="GM55" s="552">
        <v>20</v>
      </c>
      <c r="GN55" s="553">
        <f>+GM52/GM55</f>
        <v>0.15</v>
      </c>
      <c r="GP55" s="63"/>
      <c r="GQ55" s="63"/>
      <c r="GR55" s="37"/>
      <c r="GS55" s="416" t="s">
        <v>15</v>
      </c>
      <c r="GT55" s="386">
        <v>1</v>
      </c>
      <c r="GU55" s="386"/>
      <c r="GV55" s="386"/>
      <c r="GW55" s="386"/>
      <c r="GX55" s="386">
        <v>1</v>
      </c>
      <c r="GY55" s="386">
        <v>2</v>
      </c>
      <c r="GZ55" s="386"/>
      <c r="HA55" s="386">
        <v>14</v>
      </c>
      <c r="HB55" s="386">
        <v>2</v>
      </c>
      <c r="HC55" s="386"/>
      <c r="HD55" s="386">
        <v>20</v>
      </c>
      <c r="HE55" s="466">
        <f>+HD52/HD55</f>
        <v>0.1</v>
      </c>
      <c r="HF55" s="37"/>
      <c r="HG55" s="446"/>
      <c r="HH55" s="446"/>
      <c r="HI55" s="446"/>
      <c r="HJ55" s="446" t="s">
        <v>1080</v>
      </c>
      <c r="HK55" s="446">
        <v>0</v>
      </c>
      <c r="HL55" s="446">
        <v>0</v>
      </c>
      <c r="HM55" s="446">
        <v>0</v>
      </c>
      <c r="HN55" s="446">
        <v>0</v>
      </c>
      <c r="HO55" s="446">
        <v>0</v>
      </c>
      <c r="HP55" s="446">
        <v>0</v>
      </c>
      <c r="HQ55" s="446">
        <v>0</v>
      </c>
      <c r="HR55" s="446">
        <v>1</v>
      </c>
      <c r="HS55" s="446">
        <v>0</v>
      </c>
      <c r="HT55" s="446">
        <v>0</v>
      </c>
      <c r="HU55" s="446">
        <v>0</v>
      </c>
      <c r="HV55" s="447">
        <v>1</v>
      </c>
      <c r="HW55" s="544"/>
      <c r="HX55" s="448"/>
    </row>
    <row r="56" spans="1:232">
      <c r="A56" s="5682"/>
      <c r="B56" s="5682"/>
      <c r="C56" s="5683"/>
      <c r="D56" s="5683"/>
      <c r="E56" s="5686">
        <f>SUM(E52:E55)</f>
        <v>16</v>
      </c>
      <c r="F56" s="5682"/>
      <c r="G56" s="4921">
        <f>(E53+E54)/(E56)</f>
        <v>0.1875</v>
      </c>
      <c r="I56" s="4915">
        <v>1</v>
      </c>
      <c r="J56" s="4915">
        <v>2</v>
      </c>
      <c r="K56" s="4916" t="s">
        <v>2068</v>
      </c>
      <c r="L56" s="4917" t="s">
        <v>2707</v>
      </c>
      <c r="M56" s="4922">
        <v>1</v>
      </c>
      <c r="N56" s="4915">
        <v>6</v>
      </c>
      <c r="O56" s="157"/>
      <c r="Q56" s="4705">
        <v>1</v>
      </c>
      <c r="R56" s="4705">
        <v>2</v>
      </c>
      <c r="S56" s="4706" t="s">
        <v>270</v>
      </c>
      <c r="T56" s="4706" t="s">
        <v>2709</v>
      </c>
      <c r="U56" s="4707">
        <v>9</v>
      </c>
      <c r="V56" s="4707">
        <v>6</v>
      </c>
      <c r="W56" s="4722"/>
      <c r="Y56" s="36"/>
      <c r="Z56" s="36"/>
      <c r="AA56" s="36"/>
      <c r="AB56" s="36" t="s">
        <v>1080</v>
      </c>
      <c r="AC56" s="1681">
        <v>0</v>
      </c>
      <c r="AD56" s="1681"/>
      <c r="AE56" s="1681"/>
      <c r="AF56" s="1681"/>
      <c r="AG56" s="1681"/>
      <c r="AH56" s="1681"/>
      <c r="AI56" s="1681">
        <v>0</v>
      </c>
      <c r="AJ56" s="1681">
        <v>6</v>
      </c>
      <c r="AK56" s="1681"/>
      <c r="AL56" s="95"/>
      <c r="AM56" s="95">
        <v>6</v>
      </c>
      <c r="AN56" s="4545"/>
      <c r="AS56" s="3868" t="s">
        <v>2571</v>
      </c>
      <c r="AT56" s="3721">
        <v>1</v>
      </c>
      <c r="AU56" s="3721"/>
      <c r="AV56" s="3721"/>
      <c r="AW56" s="3721">
        <v>0</v>
      </c>
      <c r="AX56" s="3721"/>
      <c r="AY56" s="3721">
        <v>0</v>
      </c>
      <c r="AZ56" s="3721">
        <v>0</v>
      </c>
      <c r="BA56" s="3721">
        <v>0</v>
      </c>
      <c r="BB56" s="3721"/>
      <c r="BC56" s="2110"/>
      <c r="BD56" s="2110"/>
      <c r="BE56" s="2110">
        <v>1</v>
      </c>
      <c r="BF56" s="2110"/>
      <c r="BG56" s="2110"/>
      <c r="BJ56" s="32" t="s">
        <v>2057</v>
      </c>
      <c r="BK56" s="32" t="s">
        <v>1071</v>
      </c>
      <c r="BL56" s="3871">
        <v>0</v>
      </c>
      <c r="BM56" s="3871">
        <v>0</v>
      </c>
      <c r="BN56" s="3871">
        <v>0</v>
      </c>
      <c r="BO56" s="3871">
        <v>1</v>
      </c>
      <c r="BP56" s="3871">
        <v>0</v>
      </c>
      <c r="BQ56" s="3871"/>
      <c r="BR56" s="3871">
        <v>0</v>
      </c>
      <c r="BS56" s="3871">
        <v>0</v>
      </c>
      <c r="BT56" s="1518">
        <v>0</v>
      </c>
      <c r="BU56" s="1518">
        <v>1</v>
      </c>
      <c r="BX56" s="36"/>
      <c r="BY56" s="36"/>
      <c r="BZ56" s="36"/>
      <c r="CA56" s="36" t="s">
        <v>1163</v>
      </c>
      <c r="CB56" s="1681"/>
      <c r="CC56" s="1681"/>
      <c r="CD56" s="1681"/>
      <c r="CE56" s="1681"/>
      <c r="CF56" s="1681"/>
      <c r="CG56" s="1681">
        <v>1</v>
      </c>
      <c r="CH56" s="1681">
        <v>0</v>
      </c>
      <c r="CI56" s="1681"/>
      <c r="CJ56" s="95"/>
      <c r="CK56" s="95"/>
      <c r="CL56" s="95">
        <v>1</v>
      </c>
      <c r="CM56" s="36"/>
      <c r="CO56" s="37"/>
      <c r="CP56" s="37"/>
      <c r="CQ56" s="37"/>
      <c r="CR56" s="37" t="s">
        <v>1072</v>
      </c>
      <c r="CS56" s="1678"/>
      <c r="CT56" s="1678">
        <v>2</v>
      </c>
      <c r="CU56" s="1678"/>
      <c r="CV56" s="1678"/>
      <c r="CW56" s="1678">
        <v>0</v>
      </c>
      <c r="CX56" s="1678">
        <v>1</v>
      </c>
      <c r="CY56" s="1678">
        <v>10</v>
      </c>
      <c r="CZ56" s="1678">
        <v>4</v>
      </c>
      <c r="DA56" s="1678">
        <v>0</v>
      </c>
      <c r="DB56" s="63"/>
      <c r="DC56" s="63"/>
      <c r="DD56" s="63">
        <v>17</v>
      </c>
      <c r="DG56" s="95"/>
      <c r="DH56" s="95"/>
      <c r="DI56" s="36"/>
      <c r="DJ56" s="36" t="s">
        <v>1081</v>
      </c>
      <c r="DK56" s="1484">
        <v>0</v>
      </c>
      <c r="DL56" s="1484"/>
      <c r="DM56" s="1484"/>
      <c r="DN56" s="1484"/>
      <c r="DO56" s="1484"/>
      <c r="DP56" s="1484"/>
      <c r="DQ56" s="1484">
        <v>6</v>
      </c>
      <c r="DR56" s="1484">
        <v>0</v>
      </c>
      <c r="DS56" s="1484"/>
      <c r="DT56" s="95"/>
      <c r="DU56" s="95"/>
      <c r="DV56" s="95">
        <v>6</v>
      </c>
      <c r="DW56" s="95"/>
      <c r="DY56" s="1209"/>
      <c r="DZ56" s="1209"/>
      <c r="EA56" s="1210"/>
      <c r="EB56" s="1211" t="s">
        <v>1074</v>
      </c>
      <c r="EC56" s="1213">
        <v>1</v>
      </c>
      <c r="ED56" s="1213">
        <v>1</v>
      </c>
      <c r="EE56" s="1213">
        <v>0</v>
      </c>
      <c r="EF56" s="1213">
        <v>0</v>
      </c>
      <c r="EG56" s="1213">
        <v>0</v>
      </c>
      <c r="EH56" s="1213">
        <v>0</v>
      </c>
      <c r="EI56" s="1213">
        <v>0</v>
      </c>
      <c r="EJ56" s="1213">
        <v>0</v>
      </c>
      <c r="EK56" s="611"/>
      <c r="EL56" s="611"/>
      <c r="EM56" s="612">
        <v>2</v>
      </c>
      <c r="EN56" s="36"/>
      <c r="EP56" s="527"/>
      <c r="EQ56" s="527"/>
      <c r="ER56" s="528"/>
      <c r="ES56" s="529" t="s">
        <v>1080</v>
      </c>
      <c r="ET56" s="531">
        <v>0</v>
      </c>
      <c r="EU56" s="530"/>
      <c r="EV56" s="530"/>
      <c r="EW56" s="530"/>
      <c r="EX56" s="530"/>
      <c r="EY56" s="531">
        <v>0</v>
      </c>
      <c r="EZ56" s="531">
        <v>4</v>
      </c>
      <c r="FA56" s="531">
        <v>1</v>
      </c>
      <c r="FB56" s="527"/>
      <c r="FC56" s="527"/>
      <c r="FD56" s="532">
        <v>5</v>
      </c>
      <c r="FE56" s="95"/>
      <c r="FG56" s="533"/>
      <c r="FH56" s="533"/>
      <c r="FI56" s="545" t="s">
        <v>726</v>
      </c>
      <c r="FJ56" s="534" t="s">
        <v>1072</v>
      </c>
      <c r="FK56" s="535"/>
      <c r="FL56" s="536">
        <v>0</v>
      </c>
      <c r="FM56" s="536">
        <v>0</v>
      </c>
      <c r="FN56" s="536">
        <v>1</v>
      </c>
      <c r="FO56" s="536">
        <v>1</v>
      </c>
      <c r="FP56" s="536">
        <v>1</v>
      </c>
      <c r="FQ56" s="536">
        <v>0</v>
      </c>
      <c r="FR56" s="535"/>
      <c r="FS56" s="535"/>
      <c r="FT56" s="537"/>
      <c r="FU56" s="537"/>
      <c r="FV56" s="538">
        <v>3</v>
      </c>
      <c r="FW56" s="539"/>
      <c r="FY56" s="540"/>
      <c r="FZ56" s="540"/>
      <c r="GA56" s="540" t="s">
        <v>121</v>
      </c>
      <c r="GB56" s="541" t="s">
        <v>1071</v>
      </c>
      <c r="GC56" s="542"/>
      <c r="GD56" s="542"/>
      <c r="GE56" s="542"/>
      <c r="GF56" s="542"/>
      <c r="GG56" s="543">
        <v>0</v>
      </c>
      <c r="GH56" s="543">
        <v>0</v>
      </c>
      <c r="GI56" s="543">
        <v>1</v>
      </c>
      <c r="GJ56" s="543">
        <v>5</v>
      </c>
      <c r="GK56" s="543">
        <v>2</v>
      </c>
      <c r="GL56" s="543">
        <v>6</v>
      </c>
      <c r="GM56" s="543">
        <v>14</v>
      </c>
      <c r="GN56" s="445"/>
      <c r="GP56" s="63"/>
      <c r="GQ56" s="63"/>
      <c r="GR56" s="37" t="s">
        <v>121</v>
      </c>
      <c r="GS56" s="37" t="s">
        <v>1071</v>
      </c>
      <c r="GT56" s="63"/>
      <c r="GU56" s="63">
        <v>0</v>
      </c>
      <c r="GV56" s="63">
        <v>0</v>
      </c>
      <c r="GW56" s="63"/>
      <c r="GX56" s="63"/>
      <c r="GY56" s="63"/>
      <c r="GZ56" s="63">
        <v>1</v>
      </c>
      <c r="HA56" s="63">
        <v>7</v>
      </c>
      <c r="HB56" s="63"/>
      <c r="HC56" s="63">
        <v>1</v>
      </c>
      <c r="HD56" s="63">
        <v>9</v>
      </c>
      <c r="HE56" s="37"/>
      <c r="HF56" s="37"/>
      <c r="HG56" s="446"/>
      <c r="HH56" s="446"/>
      <c r="HI56" s="446"/>
      <c r="HJ56" s="446" t="s">
        <v>1163</v>
      </c>
      <c r="HK56" s="446">
        <v>0</v>
      </c>
      <c r="HL56" s="446">
        <v>0</v>
      </c>
      <c r="HM56" s="446">
        <v>0</v>
      </c>
      <c r="HN56" s="446">
        <v>0</v>
      </c>
      <c r="HO56" s="446">
        <v>0</v>
      </c>
      <c r="HP56" s="446">
        <v>0</v>
      </c>
      <c r="HQ56" s="446">
        <v>0</v>
      </c>
      <c r="HR56" s="446">
        <v>0</v>
      </c>
      <c r="HS56" s="446">
        <v>1</v>
      </c>
      <c r="HT56" s="446">
        <v>0</v>
      </c>
      <c r="HU56" s="446">
        <v>0</v>
      </c>
      <c r="HV56" s="447">
        <v>1</v>
      </c>
      <c r="HW56" s="544"/>
      <c r="HX56" s="448"/>
    </row>
    <row r="57" spans="1:232">
      <c r="A57" s="5682">
        <v>1</v>
      </c>
      <c r="B57" s="5682">
        <v>2</v>
      </c>
      <c r="C57" s="5683" t="s">
        <v>2748</v>
      </c>
      <c r="D57" s="5683" t="s">
        <v>2731</v>
      </c>
      <c r="E57" s="5682">
        <v>16</v>
      </c>
      <c r="F57" s="5682">
        <v>8</v>
      </c>
      <c r="I57" s="4915">
        <v>1</v>
      </c>
      <c r="J57" s="4915">
        <v>2</v>
      </c>
      <c r="K57" s="4916" t="s">
        <v>2068</v>
      </c>
      <c r="L57" s="4917" t="s">
        <v>1076</v>
      </c>
      <c r="M57" s="4922">
        <v>1</v>
      </c>
      <c r="N57" s="4915">
        <v>6</v>
      </c>
      <c r="O57" s="157"/>
      <c r="Q57" s="4705"/>
      <c r="R57" s="4744"/>
      <c r="S57" s="4745"/>
      <c r="T57" s="4745"/>
      <c r="U57" s="4740">
        <f>SUM(U54:U56)</f>
        <v>11</v>
      </c>
      <c r="V57" s="4740"/>
      <c r="W57" s="4752">
        <f>(U54)/(U57)</f>
        <v>9.0909090909090912E-2</v>
      </c>
      <c r="Y57" s="36"/>
      <c r="Z57" s="36"/>
      <c r="AA57" s="36"/>
      <c r="AB57" s="36" t="s">
        <v>2571</v>
      </c>
      <c r="AC57" s="1681">
        <v>1</v>
      </c>
      <c r="AD57" s="1681"/>
      <c r="AE57" s="1681"/>
      <c r="AF57" s="1681"/>
      <c r="AG57" s="1681"/>
      <c r="AH57" s="1681"/>
      <c r="AI57" s="1681">
        <v>0</v>
      </c>
      <c r="AJ57" s="1681">
        <v>0</v>
      </c>
      <c r="AK57" s="1681"/>
      <c r="AL57" s="95"/>
      <c r="AM57" s="95">
        <v>1</v>
      </c>
      <c r="AN57" s="4545"/>
      <c r="AS57" s="27" t="s">
        <v>15</v>
      </c>
      <c r="AT57" s="3722">
        <v>1</v>
      </c>
      <c r="AU57" s="3722"/>
      <c r="AV57" s="3722"/>
      <c r="AW57" s="3722">
        <v>1</v>
      </c>
      <c r="AX57" s="3722"/>
      <c r="AY57" s="3722">
        <v>2</v>
      </c>
      <c r="AZ57" s="3722">
        <v>4</v>
      </c>
      <c r="BA57" s="3722">
        <v>14</v>
      </c>
      <c r="BB57" s="3722"/>
      <c r="BC57" s="3701"/>
      <c r="BD57" s="3701"/>
      <c r="BE57" s="3701">
        <v>22</v>
      </c>
      <c r="BF57" s="1665">
        <v>0</v>
      </c>
      <c r="BG57" s="1665"/>
      <c r="BK57" s="32" t="s">
        <v>1072</v>
      </c>
      <c r="BL57" s="3871">
        <v>10</v>
      </c>
      <c r="BM57" s="3871">
        <v>3</v>
      </c>
      <c r="BN57" s="3871">
        <v>1</v>
      </c>
      <c r="BO57" s="3871">
        <v>0</v>
      </c>
      <c r="BP57" s="3871">
        <v>1</v>
      </c>
      <c r="BQ57" s="3871"/>
      <c r="BR57" s="3871">
        <v>12</v>
      </c>
      <c r="BS57" s="3871">
        <v>15</v>
      </c>
      <c r="BT57" s="1518">
        <v>0</v>
      </c>
      <c r="BU57" s="1518">
        <v>42</v>
      </c>
      <c r="BX57" s="36"/>
      <c r="BY57" s="36"/>
      <c r="BZ57" s="36"/>
      <c r="CA57" s="393" t="s">
        <v>15</v>
      </c>
      <c r="CB57" s="1682"/>
      <c r="CC57" s="1682"/>
      <c r="CD57" s="1682"/>
      <c r="CE57" s="1682"/>
      <c r="CF57" s="1682"/>
      <c r="CG57" s="1682">
        <v>16</v>
      </c>
      <c r="CH57" s="1682">
        <v>2</v>
      </c>
      <c r="CI57" s="1682"/>
      <c r="CJ57" s="2041"/>
      <c r="CK57" s="2041"/>
      <c r="CL57" s="2041">
        <v>18</v>
      </c>
      <c r="CM57" s="560">
        <f>+(CL56+CL55+CL54)/CL57</f>
        <v>0.22222222222222221</v>
      </c>
      <c r="CN57" s="1665"/>
      <c r="CO57" s="37"/>
      <c r="CP57" s="37"/>
      <c r="CQ57" s="37"/>
      <c r="CR57" s="37" t="s">
        <v>1076</v>
      </c>
      <c r="CS57" s="1678"/>
      <c r="CT57" s="1678">
        <v>0</v>
      </c>
      <c r="CU57" s="1678"/>
      <c r="CV57" s="1678"/>
      <c r="CW57" s="1678">
        <v>0</v>
      </c>
      <c r="CX57" s="1678">
        <v>0</v>
      </c>
      <c r="CY57" s="1678">
        <v>1</v>
      </c>
      <c r="CZ57" s="1678">
        <v>0</v>
      </c>
      <c r="DA57" s="1678">
        <v>0</v>
      </c>
      <c r="DB57" s="63"/>
      <c r="DC57" s="63"/>
      <c r="DD57" s="63">
        <v>1</v>
      </c>
      <c r="DG57" s="95"/>
      <c r="DH57" s="95"/>
      <c r="DI57" s="36"/>
      <c r="DJ57" s="36" t="s">
        <v>1163</v>
      </c>
      <c r="DK57" s="1484">
        <v>0</v>
      </c>
      <c r="DL57" s="1484"/>
      <c r="DM57" s="1484"/>
      <c r="DN57" s="1484"/>
      <c r="DO57" s="1484"/>
      <c r="DP57" s="1484"/>
      <c r="DQ57" s="1484">
        <v>1</v>
      </c>
      <c r="DR57" s="1484">
        <v>0</v>
      </c>
      <c r="DS57" s="1484"/>
      <c r="DT57" s="95"/>
      <c r="DU57" s="95"/>
      <c r="DV57" s="95">
        <v>1</v>
      </c>
      <c r="DW57" s="95"/>
      <c r="DY57" s="1209"/>
      <c r="DZ57" s="1209"/>
      <c r="EA57" s="1210"/>
      <c r="EB57" s="1211" t="s">
        <v>1076</v>
      </c>
      <c r="EC57" s="1213">
        <v>0</v>
      </c>
      <c r="ED57" s="1213">
        <v>0</v>
      </c>
      <c r="EE57" s="1213">
        <v>0</v>
      </c>
      <c r="EF57" s="1213">
        <v>0</v>
      </c>
      <c r="EG57" s="1213">
        <v>0</v>
      </c>
      <c r="EH57" s="1213">
        <v>1</v>
      </c>
      <c r="EI57" s="1213">
        <v>0</v>
      </c>
      <c r="EJ57" s="1213">
        <v>0</v>
      </c>
      <c r="EK57" s="611"/>
      <c r="EL57" s="611"/>
      <c r="EM57" s="612">
        <v>1</v>
      </c>
      <c r="EN57" s="36"/>
      <c r="EP57" s="527"/>
      <c r="EQ57" s="527"/>
      <c r="ER57" s="528"/>
      <c r="ES57" s="529" t="s">
        <v>1081</v>
      </c>
      <c r="ET57" s="531">
        <v>0</v>
      </c>
      <c r="EU57" s="530"/>
      <c r="EV57" s="530"/>
      <c r="EW57" s="530"/>
      <c r="EX57" s="530"/>
      <c r="EY57" s="531">
        <v>4</v>
      </c>
      <c r="EZ57" s="531">
        <v>3</v>
      </c>
      <c r="FA57" s="531">
        <v>0</v>
      </c>
      <c r="FB57" s="527"/>
      <c r="FC57" s="527"/>
      <c r="FD57" s="532">
        <v>7</v>
      </c>
      <c r="FE57" s="95"/>
      <c r="FG57" s="533"/>
      <c r="FH57" s="533"/>
      <c r="FI57" s="533"/>
      <c r="FJ57" s="534" t="s">
        <v>1076</v>
      </c>
      <c r="FK57" s="535"/>
      <c r="FL57" s="536">
        <v>0</v>
      </c>
      <c r="FM57" s="536">
        <v>0</v>
      </c>
      <c r="FN57" s="536">
        <v>0</v>
      </c>
      <c r="FO57" s="536">
        <v>1</v>
      </c>
      <c r="FP57" s="536">
        <v>0</v>
      </c>
      <c r="FQ57" s="536">
        <v>2</v>
      </c>
      <c r="FR57" s="535"/>
      <c r="FS57" s="535"/>
      <c r="FT57" s="537"/>
      <c r="FU57" s="537"/>
      <c r="FV57" s="538">
        <v>3</v>
      </c>
      <c r="FW57" s="539"/>
      <c r="FY57" s="540"/>
      <c r="FZ57" s="540"/>
      <c r="GA57" s="540"/>
      <c r="GB57" s="541" t="s">
        <v>1072</v>
      </c>
      <c r="GC57" s="542"/>
      <c r="GD57" s="542"/>
      <c r="GE57" s="542"/>
      <c r="GF57" s="542"/>
      <c r="GG57" s="543">
        <v>1</v>
      </c>
      <c r="GH57" s="543">
        <v>1</v>
      </c>
      <c r="GI57" s="543">
        <v>1</v>
      </c>
      <c r="GJ57" s="543">
        <v>2</v>
      </c>
      <c r="GK57" s="543">
        <v>2</v>
      </c>
      <c r="GL57" s="543">
        <v>0</v>
      </c>
      <c r="GM57" s="543">
        <v>7</v>
      </c>
      <c r="GN57" s="445"/>
      <c r="GP57" s="63"/>
      <c r="GQ57" s="63"/>
      <c r="GR57" s="37"/>
      <c r="GS57" s="37" t="s">
        <v>1072</v>
      </c>
      <c r="GT57" s="63"/>
      <c r="GU57" s="63">
        <v>0</v>
      </c>
      <c r="GV57" s="63">
        <v>2</v>
      </c>
      <c r="GW57" s="63"/>
      <c r="GX57" s="63"/>
      <c r="GY57" s="63"/>
      <c r="GZ57" s="63">
        <v>1</v>
      </c>
      <c r="HA57" s="63">
        <v>2</v>
      </c>
      <c r="HB57" s="63"/>
      <c r="HC57" s="63">
        <v>0</v>
      </c>
      <c r="HD57" s="63">
        <v>5</v>
      </c>
      <c r="HE57" s="37"/>
      <c r="HF57" s="37"/>
      <c r="HG57" s="446"/>
      <c r="HH57" s="446"/>
      <c r="HI57" s="446"/>
      <c r="HJ57" s="449" t="s">
        <v>15</v>
      </c>
      <c r="HK57" s="449">
        <v>0</v>
      </c>
      <c r="HL57" s="449">
        <v>0</v>
      </c>
      <c r="HM57" s="449">
        <v>0</v>
      </c>
      <c r="HN57" s="449">
        <v>1</v>
      </c>
      <c r="HO57" s="449">
        <v>0</v>
      </c>
      <c r="HP57" s="449">
        <v>0</v>
      </c>
      <c r="HQ57" s="449">
        <v>0</v>
      </c>
      <c r="HR57" s="449">
        <v>3</v>
      </c>
      <c r="HS57" s="449">
        <v>6</v>
      </c>
      <c r="HT57" s="449">
        <v>1</v>
      </c>
      <c r="HU57" s="449">
        <v>1</v>
      </c>
      <c r="HV57" s="507">
        <v>12</v>
      </c>
      <c r="HW57" s="554">
        <f>+(HV56+HV54)/HV57</f>
        <v>0.16666666666666666</v>
      </c>
      <c r="HX57" s="448">
        <f>+HV54+HV56</f>
        <v>2</v>
      </c>
    </row>
    <row r="58" spans="1:232">
      <c r="A58" s="5682">
        <v>1</v>
      </c>
      <c r="B58" s="5682">
        <v>2</v>
      </c>
      <c r="C58" s="5683" t="s">
        <v>2748</v>
      </c>
      <c r="D58" s="5683" t="s">
        <v>2703</v>
      </c>
      <c r="E58" s="5682">
        <v>1</v>
      </c>
      <c r="F58" s="5682">
        <v>1</v>
      </c>
      <c r="I58" s="4915">
        <v>1</v>
      </c>
      <c r="J58" s="4915">
        <v>2</v>
      </c>
      <c r="K58" s="4916" t="s">
        <v>2068</v>
      </c>
      <c r="L58" s="4916" t="s">
        <v>2709</v>
      </c>
      <c r="M58" s="4915">
        <v>3</v>
      </c>
      <c r="N58" s="4915">
        <v>1</v>
      </c>
      <c r="O58" s="157"/>
      <c r="Q58" s="4705"/>
      <c r="R58" s="4713"/>
      <c r="S58" s="4743"/>
      <c r="T58" s="4743"/>
      <c r="U58" s="4748">
        <f>SUM(U50:U51,U54)</f>
        <v>6</v>
      </c>
      <c r="V58" s="4733"/>
      <c r="W58" s="4743"/>
      <c r="X58" s="4452"/>
      <c r="Y58" s="36"/>
      <c r="Z58" s="36"/>
      <c r="AA58" s="36"/>
      <c r="AB58" s="36" t="s">
        <v>15</v>
      </c>
      <c r="AC58" s="1681">
        <v>1</v>
      </c>
      <c r="AD58" s="1681"/>
      <c r="AE58" s="1681"/>
      <c r="AF58" s="1681"/>
      <c r="AG58" s="1681"/>
      <c r="AH58" s="1681"/>
      <c r="AI58" s="1681">
        <v>2</v>
      </c>
      <c r="AJ58" s="1681">
        <v>6</v>
      </c>
      <c r="AK58" s="1681"/>
      <c r="AL58" s="95"/>
      <c r="AM58" s="95">
        <v>9</v>
      </c>
      <c r="AN58" s="4545">
        <v>0</v>
      </c>
      <c r="AR58" s="3868" t="s">
        <v>118</v>
      </c>
      <c r="AS58" s="3868" t="s">
        <v>1072</v>
      </c>
      <c r="AT58" s="3721">
        <v>0</v>
      </c>
      <c r="AU58" s="3721"/>
      <c r="AV58" s="3721"/>
      <c r="AW58" s="3721"/>
      <c r="AX58" s="3721"/>
      <c r="AY58" s="3721"/>
      <c r="AZ58" s="3721">
        <v>3</v>
      </c>
      <c r="BA58" s="3721"/>
      <c r="BB58" s="3721"/>
      <c r="BC58" s="2110"/>
      <c r="BD58" s="2110"/>
      <c r="BE58" s="2110">
        <v>3</v>
      </c>
      <c r="BF58" s="2110"/>
      <c r="BG58" s="2110"/>
      <c r="BK58" s="32" t="s">
        <v>1077</v>
      </c>
      <c r="BL58" s="3871">
        <v>0</v>
      </c>
      <c r="BM58" s="3871">
        <v>0</v>
      </c>
      <c r="BN58" s="3871">
        <v>1</v>
      </c>
      <c r="BO58" s="3871">
        <v>0</v>
      </c>
      <c r="BP58" s="3871">
        <v>0</v>
      </c>
      <c r="BQ58" s="3871"/>
      <c r="BR58" s="3871">
        <v>0</v>
      </c>
      <c r="BS58" s="3871">
        <v>0</v>
      </c>
      <c r="BT58" s="1518">
        <v>0</v>
      </c>
      <c r="BU58" s="1518">
        <v>1</v>
      </c>
      <c r="BX58" s="36"/>
      <c r="BY58" s="36"/>
      <c r="BZ58" s="393" t="s">
        <v>483</v>
      </c>
      <c r="CA58" s="393" t="s">
        <v>1071</v>
      </c>
      <c r="CB58" s="1682">
        <v>0</v>
      </c>
      <c r="CC58" s="1682"/>
      <c r="CD58" s="1682"/>
      <c r="CE58" s="1682"/>
      <c r="CF58" s="1682"/>
      <c r="CG58" s="1682">
        <v>0</v>
      </c>
      <c r="CH58" s="1682">
        <v>2</v>
      </c>
      <c r="CI58" s="1682">
        <v>1</v>
      </c>
      <c r="CJ58" s="2041"/>
      <c r="CK58" s="2041"/>
      <c r="CL58" s="2041">
        <v>3</v>
      </c>
      <c r="CM58" s="36"/>
      <c r="CO58" s="37"/>
      <c r="CP58" s="37"/>
      <c r="CQ58" s="37"/>
      <c r="CR58" s="37" t="s">
        <v>1077</v>
      </c>
      <c r="CS58" s="1678"/>
      <c r="CT58" s="1678">
        <v>0</v>
      </c>
      <c r="CU58" s="1678"/>
      <c r="CV58" s="1678"/>
      <c r="CW58" s="1678">
        <v>1</v>
      </c>
      <c r="CX58" s="1678">
        <v>0</v>
      </c>
      <c r="CY58" s="1678">
        <v>0</v>
      </c>
      <c r="CZ58" s="1678">
        <v>0</v>
      </c>
      <c r="DA58" s="1678">
        <v>0</v>
      </c>
      <c r="DB58" s="63"/>
      <c r="DC58" s="63"/>
      <c r="DD58" s="63">
        <v>1</v>
      </c>
      <c r="DG58" s="95"/>
      <c r="DH58" s="95"/>
      <c r="DI58" s="36"/>
      <c r="DJ58" s="393" t="s">
        <v>15</v>
      </c>
      <c r="DK58" s="1485">
        <v>1</v>
      </c>
      <c r="DL58" s="1485"/>
      <c r="DM58" s="1485"/>
      <c r="DN58" s="1485"/>
      <c r="DO58" s="1485"/>
      <c r="DP58" s="1485"/>
      <c r="DQ58" s="1485">
        <v>14</v>
      </c>
      <c r="DR58" s="1485">
        <v>4</v>
      </c>
      <c r="DS58" s="1485"/>
      <c r="DT58" s="86"/>
      <c r="DU58" s="86"/>
      <c r="DV58" s="86">
        <v>19</v>
      </c>
      <c r="DW58" s="560">
        <f>+(DV54+DV56+DV57)/DV58</f>
        <v>0.42105263157894735</v>
      </c>
      <c r="DY58" s="1209"/>
      <c r="DZ58" s="1209"/>
      <c r="EA58" s="1210"/>
      <c r="EB58" s="1211" t="s">
        <v>1080</v>
      </c>
      <c r="EC58" s="1213">
        <v>0</v>
      </c>
      <c r="ED58" s="1213">
        <v>0</v>
      </c>
      <c r="EE58" s="1213">
        <v>0</v>
      </c>
      <c r="EF58" s="1213">
        <v>0</v>
      </c>
      <c r="EG58" s="1213">
        <v>0</v>
      </c>
      <c r="EH58" s="1213">
        <v>0</v>
      </c>
      <c r="EI58" s="1213">
        <v>0</v>
      </c>
      <c r="EJ58" s="1213">
        <v>5</v>
      </c>
      <c r="EK58" s="611"/>
      <c r="EL58" s="611"/>
      <c r="EM58" s="612">
        <v>5</v>
      </c>
      <c r="EN58" s="36"/>
      <c r="EP58" s="527"/>
      <c r="EQ58" s="527"/>
      <c r="ER58" s="528"/>
      <c r="ES58" s="529" t="s">
        <v>1163</v>
      </c>
      <c r="ET58" s="531">
        <v>0</v>
      </c>
      <c r="EU58" s="530"/>
      <c r="EV58" s="530"/>
      <c r="EW58" s="530"/>
      <c r="EX58" s="530"/>
      <c r="EY58" s="531">
        <v>0</v>
      </c>
      <c r="EZ58" s="531">
        <v>1</v>
      </c>
      <c r="FA58" s="531">
        <v>0</v>
      </c>
      <c r="FB58" s="527"/>
      <c r="FC58" s="527"/>
      <c r="FD58" s="532">
        <v>1</v>
      </c>
      <c r="FE58" s="95"/>
      <c r="FG58" s="533"/>
      <c r="FH58" s="533"/>
      <c r="FI58" s="533"/>
      <c r="FJ58" s="534" t="s">
        <v>1077</v>
      </c>
      <c r="FK58" s="535"/>
      <c r="FL58" s="536">
        <v>1</v>
      </c>
      <c r="FM58" s="536">
        <v>2</v>
      </c>
      <c r="FN58" s="536">
        <v>15</v>
      </c>
      <c r="FO58" s="536">
        <v>10</v>
      </c>
      <c r="FP58" s="536">
        <v>10</v>
      </c>
      <c r="FQ58" s="536">
        <v>5</v>
      </c>
      <c r="FR58" s="535"/>
      <c r="FS58" s="535"/>
      <c r="FT58" s="537"/>
      <c r="FU58" s="537"/>
      <c r="FV58" s="538">
        <v>43</v>
      </c>
      <c r="FW58" s="539"/>
      <c r="FY58" s="540"/>
      <c r="FZ58" s="540"/>
      <c r="GA58" s="540"/>
      <c r="GB58" s="541" t="s">
        <v>1076</v>
      </c>
      <c r="GC58" s="542"/>
      <c r="GD58" s="542"/>
      <c r="GE58" s="542"/>
      <c r="GF58" s="542"/>
      <c r="GG58" s="543">
        <v>0</v>
      </c>
      <c r="GH58" s="543">
        <v>1</v>
      </c>
      <c r="GI58" s="543">
        <v>2</v>
      </c>
      <c r="GJ58" s="543">
        <v>0</v>
      </c>
      <c r="GK58" s="543">
        <v>0</v>
      </c>
      <c r="GL58" s="543">
        <v>0</v>
      </c>
      <c r="GM58" s="543">
        <v>3</v>
      </c>
      <c r="GN58" s="445"/>
      <c r="GP58" s="63"/>
      <c r="GQ58" s="63"/>
      <c r="GR58" s="37"/>
      <c r="GS58" s="37" t="s">
        <v>1077</v>
      </c>
      <c r="GT58" s="63"/>
      <c r="GU58" s="63">
        <v>1</v>
      </c>
      <c r="GV58" s="63">
        <v>0</v>
      </c>
      <c r="GW58" s="63"/>
      <c r="GX58" s="63"/>
      <c r="GY58" s="63"/>
      <c r="GZ58" s="63">
        <v>0</v>
      </c>
      <c r="HA58" s="63">
        <v>0</v>
      </c>
      <c r="HB58" s="63"/>
      <c r="HC58" s="63">
        <v>0</v>
      </c>
      <c r="HD58" s="63">
        <v>1</v>
      </c>
      <c r="HE58" s="37"/>
      <c r="HF58" s="37"/>
      <c r="HG58" s="446"/>
      <c r="HH58" s="446"/>
      <c r="HI58" s="446" t="s">
        <v>122</v>
      </c>
      <c r="HJ58" s="446" t="s">
        <v>1071</v>
      </c>
      <c r="HK58" s="446">
        <v>0</v>
      </c>
      <c r="HL58" s="446">
        <v>0</v>
      </c>
      <c r="HM58" s="446">
        <v>0</v>
      </c>
      <c r="HN58" s="446">
        <v>0</v>
      </c>
      <c r="HO58" s="446">
        <v>0</v>
      </c>
      <c r="HP58" s="446">
        <v>0</v>
      </c>
      <c r="HQ58" s="446">
        <v>0</v>
      </c>
      <c r="HR58" s="446">
        <v>0</v>
      </c>
      <c r="HS58" s="446">
        <v>1</v>
      </c>
      <c r="HT58" s="446">
        <v>0</v>
      </c>
      <c r="HU58" s="446">
        <v>2</v>
      </c>
      <c r="HV58" s="447">
        <v>3</v>
      </c>
      <c r="HW58" s="544"/>
      <c r="HX58" s="448"/>
    </row>
    <row r="59" spans="1:232">
      <c r="A59" s="5682">
        <v>1</v>
      </c>
      <c r="B59" s="5682">
        <v>2</v>
      </c>
      <c r="C59" s="5683" t="s">
        <v>2748</v>
      </c>
      <c r="D59" s="5685" t="s">
        <v>2707</v>
      </c>
      <c r="E59" s="5682">
        <v>1</v>
      </c>
      <c r="F59" s="5682">
        <v>7</v>
      </c>
      <c r="I59" s="4915">
        <v>1</v>
      </c>
      <c r="J59" s="4915">
        <v>2</v>
      </c>
      <c r="K59" s="4916" t="s">
        <v>2068</v>
      </c>
      <c r="L59" s="4916" t="s">
        <v>2709</v>
      </c>
      <c r="M59" s="4915">
        <v>1</v>
      </c>
      <c r="N59" s="4915">
        <v>4</v>
      </c>
      <c r="O59" s="157"/>
      <c r="Q59" s="4744"/>
      <c r="R59" s="4744"/>
      <c r="S59" s="4749" t="s">
        <v>16</v>
      </c>
      <c r="T59" s="4745"/>
      <c r="U59" s="4740">
        <f>SUM(U53,U57)</f>
        <v>29</v>
      </c>
      <c r="V59" s="4740"/>
      <c r="W59" s="4753">
        <f>(U58)/(U59)</f>
        <v>0.20689655172413793</v>
      </c>
      <c r="Y59" s="36"/>
      <c r="Z59" s="36"/>
      <c r="AA59" s="393" t="s">
        <v>105</v>
      </c>
      <c r="AB59" s="36" t="s">
        <v>1071</v>
      </c>
      <c r="AC59" s="1681">
        <v>0</v>
      </c>
      <c r="AD59" s="1681">
        <v>0</v>
      </c>
      <c r="AE59" s="1681"/>
      <c r="AF59" s="1681">
        <v>0</v>
      </c>
      <c r="AG59" s="1681">
        <v>0</v>
      </c>
      <c r="AH59" s="1681">
        <v>0</v>
      </c>
      <c r="AI59" s="1681">
        <v>0</v>
      </c>
      <c r="AJ59" s="1681">
        <v>7</v>
      </c>
      <c r="AK59" s="1681">
        <v>0</v>
      </c>
      <c r="AL59" s="95">
        <v>0</v>
      </c>
      <c r="AM59" s="95">
        <v>7</v>
      </c>
      <c r="AN59" s="4545"/>
      <c r="AS59" s="3868" t="s">
        <v>1076</v>
      </c>
      <c r="AT59" s="3721">
        <v>0</v>
      </c>
      <c r="AU59" s="3721"/>
      <c r="AV59" s="3721"/>
      <c r="AW59" s="3721"/>
      <c r="AX59" s="3721"/>
      <c r="AY59" s="3721"/>
      <c r="AZ59" s="3721">
        <v>1</v>
      </c>
      <c r="BA59" s="3721"/>
      <c r="BB59" s="3721"/>
      <c r="BC59" s="2110"/>
      <c r="BD59" s="2110"/>
      <c r="BE59" s="2110">
        <v>1</v>
      </c>
      <c r="BF59" s="2110"/>
      <c r="BG59" s="2110"/>
      <c r="BK59" s="32" t="s">
        <v>1080</v>
      </c>
      <c r="BL59" s="3871">
        <v>0</v>
      </c>
      <c r="BM59" s="3871">
        <v>0</v>
      </c>
      <c r="BN59" s="3871">
        <v>0</v>
      </c>
      <c r="BO59" s="3871">
        <v>0</v>
      </c>
      <c r="BP59" s="3871">
        <v>0</v>
      </c>
      <c r="BQ59" s="3871"/>
      <c r="BR59" s="3871">
        <v>0</v>
      </c>
      <c r="BS59" s="3871">
        <v>0</v>
      </c>
      <c r="BT59" s="1518">
        <v>8</v>
      </c>
      <c r="BU59" s="1518">
        <v>8</v>
      </c>
      <c r="BX59" s="36"/>
      <c r="BY59" s="36"/>
      <c r="BZ59" s="393"/>
      <c r="CA59" s="393" t="s">
        <v>1072</v>
      </c>
      <c r="CB59" s="1682">
        <v>0</v>
      </c>
      <c r="CC59" s="1682"/>
      <c r="CD59" s="1682"/>
      <c r="CE59" s="1682"/>
      <c r="CF59" s="1682"/>
      <c r="CG59" s="1682">
        <v>12</v>
      </c>
      <c r="CH59" s="1682">
        <v>4</v>
      </c>
      <c r="CI59" s="1682">
        <v>0</v>
      </c>
      <c r="CJ59" s="2041"/>
      <c r="CK59" s="2041"/>
      <c r="CL59" s="2041">
        <v>16</v>
      </c>
      <c r="CM59" s="36"/>
      <c r="CO59" s="37"/>
      <c r="CP59" s="37"/>
      <c r="CQ59" s="37"/>
      <c r="CR59" s="37" t="s">
        <v>1080</v>
      </c>
      <c r="CS59" s="1678"/>
      <c r="CT59" s="1678">
        <v>0</v>
      </c>
      <c r="CU59" s="1678"/>
      <c r="CV59" s="1678"/>
      <c r="CW59" s="1678">
        <v>0</v>
      </c>
      <c r="CX59" s="1678">
        <v>0</v>
      </c>
      <c r="CY59" s="1678">
        <v>0</v>
      </c>
      <c r="CZ59" s="1678">
        <v>1</v>
      </c>
      <c r="DA59" s="1678">
        <v>6</v>
      </c>
      <c r="DB59" s="63"/>
      <c r="DC59" s="63"/>
      <c r="DD59" s="63">
        <v>7</v>
      </c>
      <c r="DG59" s="95"/>
      <c r="DH59" s="95"/>
      <c r="DI59" s="36" t="s">
        <v>483</v>
      </c>
      <c r="DJ59" s="36" t="s">
        <v>1071</v>
      </c>
      <c r="DK59" s="1484">
        <v>0</v>
      </c>
      <c r="DL59" s="1484">
        <v>0</v>
      </c>
      <c r="DM59" s="1484"/>
      <c r="DN59" s="1484"/>
      <c r="DO59" s="1484"/>
      <c r="DP59" s="1484"/>
      <c r="DQ59" s="1484">
        <v>0</v>
      </c>
      <c r="DR59" s="1484">
        <v>4</v>
      </c>
      <c r="DS59" s="1484">
        <v>0</v>
      </c>
      <c r="DT59" s="95">
        <v>0</v>
      </c>
      <c r="DU59" s="95">
        <v>0</v>
      </c>
      <c r="DV59" s="95">
        <v>4</v>
      </c>
      <c r="DW59" s="95"/>
      <c r="DY59" s="1209"/>
      <c r="DZ59" s="1209"/>
      <c r="EA59" s="1210"/>
      <c r="EB59" s="1211" t="s">
        <v>1081</v>
      </c>
      <c r="EC59" s="1213">
        <v>0</v>
      </c>
      <c r="ED59" s="1213">
        <v>0</v>
      </c>
      <c r="EE59" s="1213">
        <v>0</v>
      </c>
      <c r="EF59" s="1213">
        <v>0</v>
      </c>
      <c r="EG59" s="1213">
        <v>0</v>
      </c>
      <c r="EH59" s="1213">
        <v>1</v>
      </c>
      <c r="EI59" s="1213">
        <v>1</v>
      </c>
      <c r="EJ59" s="1213">
        <v>0</v>
      </c>
      <c r="EK59" s="611"/>
      <c r="EL59" s="611"/>
      <c r="EM59" s="612">
        <v>2</v>
      </c>
      <c r="EN59" s="36"/>
      <c r="EP59" s="527"/>
      <c r="EQ59" s="527"/>
      <c r="ER59" s="528"/>
      <c r="ES59" s="555" t="s">
        <v>483</v>
      </c>
      <c r="ET59" s="557">
        <v>1</v>
      </c>
      <c r="EU59" s="556"/>
      <c r="EV59" s="556"/>
      <c r="EW59" s="556"/>
      <c r="EX59" s="556"/>
      <c r="EY59" s="557">
        <v>17</v>
      </c>
      <c r="EZ59" s="557">
        <v>17</v>
      </c>
      <c r="FA59" s="557">
        <v>4</v>
      </c>
      <c r="FB59" s="558"/>
      <c r="FC59" s="558"/>
      <c r="FD59" s="559">
        <v>39</v>
      </c>
      <c r="FE59" s="560">
        <f>+(FD55+FD57+FD58)/FD59</f>
        <v>0.35897435897435898</v>
      </c>
      <c r="FG59" s="533"/>
      <c r="FH59" s="533"/>
      <c r="FI59" s="533"/>
      <c r="FJ59" s="534" t="s">
        <v>1080</v>
      </c>
      <c r="FK59" s="535"/>
      <c r="FL59" s="536">
        <v>0</v>
      </c>
      <c r="FM59" s="536">
        <v>0</v>
      </c>
      <c r="FN59" s="536">
        <v>0</v>
      </c>
      <c r="FO59" s="536">
        <v>0</v>
      </c>
      <c r="FP59" s="536">
        <v>2</v>
      </c>
      <c r="FQ59" s="536">
        <v>0</v>
      </c>
      <c r="FR59" s="535"/>
      <c r="FS59" s="535"/>
      <c r="FT59" s="537"/>
      <c r="FU59" s="537"/>
      <c r="FV59" s="538">
        <v>2</v>
      </c>
      <c r="FW59" s="539"/>
      <c r="FY59" s="540"/>
      <c r="FZ59" s="540"/>
      <c r="GA59" s="540"/>
      <c r="GB59" s="550" t="s">
        <v>15</v>
      </c>
      <c r="GC59" s="551"/>
      <c r="GD59" s="551"/>
      <c r="GE59" s="551"/>
      <c r="GF59" s="551"/>
      <c r="GG59" s="552">
        <v>1</v>
      </c>
      <c r="GH59" s="552">
        <v>2</v>
      </c>
      <c r="GI59" s="552">
        <v>4</v>
      </c>
      <c r="GJ59" s="552">
        <v>7</v>
      </c>
      <c r="GK59" s="552">
        <v>4</v>
      </c>
      <c r="GL59" s="552">
        <v>6</v>
      </c>
      <c r="GM59" s="552">
        <v>24</v>
      </c>
      <c r="GN59" s="553">
        <f>+GM58/GM59</f>
        <v>0.125</v>
      </c>
      <c r="GP59" s="63"/>
      <c r="GQ59" s="63"/>
      <c r="GR59" s="37"/>
      <c r="GS59" s="37" t="s">
        <v>1080</v>
      </c>
      <c r="GT59" s="63"/>
      <c r="GU59" s="63">
        <v>0</v>
      </c>
      <c r="GV59" s="63">
        <v>0</v>
      </c>
      <c r="GW59" s="63"/>
      <c r="GX59" s="63"/>
      <c r="GY59" s="63"/>
      <c r="GZ59" s="63">
        <v>0</v>
      </c>
      <c r="HA59" s="63">
        <v>1</v>
      </c>
      <c r="HB59" s="63"/>
      <c r="HC59" s="63">
        <v>0</v>
      </c>
      <c r="HD59" s="63">
        <v>1</v>
      </c>
      <c r="HE59" s="37"/>
      <c r="HF59" s="37"/>
      <c r="HG59" s="446"/>
      <c r="HH59" s="446"/>
      <c r="HI59" s="446"/>
      <c r="HJ59" s="446" t="s">
        <v>1076</v>
      </c>
      <c r="HK59" s="446">
        <v>0</v>
      </c>
      <c r="HL59" s="446">
        <v>0</v>
      </c>
      <c r="HM59" s="446">
        <v>0</v>
      </c>
      <c r="HN59" s="446">
        <v>0</v>
      </c>
      <c r="HO59" s="446">
        <v>0</v>
      </c>
      <c r="HP59" s="446">
        <v>0</v>
      </c>
      <c r="HQ59" s="446">
        <v>0</v>
      </c>
      <c r="HR59" s="446">
        <v>2</v>
      </c>
      <c r="HS59" s="446">
        <v>0</v>
      </c>
      <c r="HT59" s="446">
        <v>0</v>
      </c>
      <c r="HU59" s="446">
        <v>0</v>
      </c>
      <c r="HV59" s="447">
        <v>2</v>
      </c>
      <c r="HW59" s="544"/>
      <c r="HX59" s="448"/>
    </row>
    <row r="60" spans="1:232">
      <c r="A60" s="5682">
        <v>1</v>
      </c>
      <c r="B60" s="5682">
        <v>2</v>
      </c>
      <c r="C60" s="5683" t="s">
        <v>2748</v>
      </c>
      <c r="D60" s="5683" t="s">
        <v>2709</v>
      </c>
      <c r="E60" s="5682">
        <v>1</v>
      </c>
      <c r="F60" s="5682">
        <v>7</v>
      </c>
      <c r="I60" s="4915">
        <v>1</v>
      </c>
      <c r="J60" s="4915">
        <v>2</v>
      </c>
      <c r="K60" s="4916" t="s">
        <v>2068</v>
      </c>
      <c r="L60" s="4916" t="s">
        <v>2709</v>
      </c>
      <c r="M60" s="4915">
        <v>24</v>
      </c>
      <c r="N60" s="4915">
        <v>6</v>
      </c>
      <c r="O60" s="157"/>
      <c r="Q60" s="4713">
        <v>1</v>
      </c>
      <c r="R60" s="4713">
        <v>4</v>
      </c>
      <c r="S60" s="4714" t="s">
        <v>2724</v>
      </c>
      <c r="T60" s="4714" t="s">
        <v>2731</v>
      </c>
      <c r="U60" s="4732">
        <v>4</v>
      </c>
      <c r="V60" s="4732">
        <v>8</v>
      </c>
      <c r="W60" s="4722"/>
      <c r="Y60" s="36"/>
      <c r="Z60" s="36"/>
      <c r="AA60" s="36"/>
      <c r="AB60" s="36" t="s">
        <v>1072</v>
      </c>
      <c r="AC60" s="1681">
        <v>0</v>
      </c>
      <c r="AD60" s="1681">
        <v>1</v>
      </c>
      <c r="AE60" s="1681"/>
      <c r="AF60" s="1681">
        <v>1</v>
      </c>
      <c r="AG60" s="1681">
        <v>0</v>
      </c>
      <c r="AH60" s="1681">
        <v>4</v>
      </c>
      <c r="AI60" s="1681">
        <v>35</v>
      </c>
      <c r="AJ60" s="1681">
        <v>1</v>
      </c>
      <c r="AK60" s="1681">
        <v>5</v>
      </c>
      <c r="AL60" s="95">
        <v>0</v>
      </c>
      <c r="AM60" s="95">
        <v>47</v>
      </c>
      <c r="AN60" s="4545"/>
      <c r="AS60" s="3868" t="s">
        <v>1081</v>
      </c>
      <c r="AT60" s="3721">
        <v>0</v>
      </c>
      <c r="AU60" s="3721"/>
      <c r="AV60" s="3721"/>
      <c r="AW60" s="3721"/>
      <c r="AX60" s="3721"/>
      <c r="AY60" s="3721"/>
      <c r="AZ60" s="3721">
        <v>1</v>
      </c>
      <c r="BA60" s="3721"/>
      <c r="BB60" s="3721"/>
      <c r="BC60" s="2110"/>
      <c r="BD60" s="2110"/>
      <c r="BE60" s="2110">
        <v>1</v>
      </c>
      <c r="BF60" s="2110"/>
      <c r="BG60" s="2110"/>
      <c r="BK60" s="1520" t="s">
        <v>15</v>
      </c>
      <c r="BL60" s="3872">
        <v>10</v>
      </c>
      <c r="BM60" s="3872">
        <v>3</v>
      </c>
      <c r="BN60" s="3872">
        <v>2</v>
      </c>
      <c r="BO60" s="3872">
        <v>1</v>
      </c>
      <c r="BP60" s="3872">
        <v>1</v>
      </c>
      <c r="BQ60" s="3872"/>
      <c r="BR60" s="3872">
        <v>12</v>
      </c>
      <c r="BS60" s="3872">
        <v>15</v>
      </c>
      <c r="BT60" s="3806">
        <v>8</v>
      </c>
      <c r="BU60" s="3806">
        <v>52</v>
      </c>
      <c r="BV60" s="3807">
        <v>0</v>
      </c>
      <c r="BX60" s="36"/>
      <c r="BY60" s="36"/>
      <c r="BZ60" s="393"/>
      <c r="CA60" s="393" t="s">
        <v>1074</v>
      </c>
      <c r="CB60" s="1682">
        <v>1</v>
      </c>
      <c r="CC60" s="1682"/>
      <c r="CD60" s="1682"/>
      <c r="CE60" s="1682"/>
      <c r="CF60" s="1682"/>
      <c r="CG60" s="1682">
        <v>0</v>
      </c>
      <c r="CH60" s="1682">
        <v>0</v>
      </c>
      <c r="CI60" s="1682">
        <v>0</v>
      </c>
      <c r="CJ60" s="2041"/>
      <c r="CK60" s="2041"/>
      <c r="CL60" s="2041">
        <v>1</v>
      </c>
      <c r="CM60" s="36"/>
      <c r="CO60" s="37"/>
      <c r="CP60" s="37"/>
      <c r="CQ60" s="37"/>
      <c r="CR60" s="37" t="s">
        <v>1081</v>
      </c>
      <c r="CS60" s="1678"/>
      <c r="CT60" s="1678">
        <v>0</v>
      </c>
      <c r="CU60" s="1678"/>
      <c r="CV60" s="1678"/>
      <c r="CW60" s="1678">
        <v>0</v>
      </c>
      <c r="CX60" s="1678">
        <v>0</v>
      </c>
      <c r="CY60" s="1678">
        <v>3</v>
      </c>
      <c r="CZ60" s="1678">
        <v>1</v>
      </c>
      <c r="DA60" s="1678">
        <v>0</v>
      </c>
      <c r="DB60" s="63"/>
      <c r="DC60" s="63"/>
      <c r="DD60" s="63">
        <v>4</v>
      </c>
      <c r="DG60" s="95"/>
      <c r="DH60" s="95"/>
      <c r="DI60" s="36"/>
      <c r="DJ60" s="36" t="s">
        <v>1072</v>
      </c>
      <c r="DK60" s="1484">
        <v>0</v>
      </c>
      <c r="DL60" s="1484">
        <v>1</v>
      </c>
      <c r="DM60" s="1484"/>
      <c r="DN60" s="1484"/>
      <c r="DO60" s="1484"/>
      <c r="DP60" s="1484"/>
      <c r="DQ60" s="1484">
        <v>13</v>
      </c>
      <c r="DR60" s="1484">
        <v>2</v>
      </c>
      <c r="DS60" s="1484">
        <v>1</v>
      </c>
      <c r="DT60" s="95">
        <v>1</v>
      </c>
      <c r="DU60" s="95">
        <v>0</v>
      </c>
      <c r="DV60" s="95">
        <v>18</v>
      </c>
      <c r="DW60" s="95"/>
      <c r="DY60" s="1209"/>
      <c r="DZ60" s="1209"/>
      <c r="EA60" s="1210"/>
      <c r="EB60" s="1211" t="s">
        <v>1163</v>
      </c>
      <c r="EC60" s="1213">
        <v>0</v>
      </c>
      <c r="ED60" s="1213">
        <v>0</v>
      </c>
      <c r="EE60" s="1213">
        <v>0</v>
      </c>
      <c r="EF60" s="1213">
        <v>0</v>
      </c>
      <c r="EG60" s="1213">
        <v>0</v>
      </c>
      <c r="EH60" s="1213">
        <v>5</v>
      </c>
      <c r="EI60" s="1213">
        <v>0</v>
      </c>
      <c r="EJ60" s="1213">
        <v>0</v>
      </c>
      <c r="EK60" s="611"/>
      <c r="EL60" s="611"/>
      <c r="EM60" s="612">
        <v>5</v>
      </c>
      <c r="EN60" s="36"/>
      <c r="EP60" s="527"/>
      <c r="EQ60" s="527" t="s">
        <v>103</v>
      </c>
      <c r="ER60" s="528" t="s">
        <v>104</v>
      </c>
      <c r="ES60" s="529" t="s">
        <v>1077</v>
      </c>
      <c r="ET60" s="530"/>
      <c r="EU60" s="530"/>
      <c r="EV60" s="531">
        <v>1</v>
      </c>
      <c r="EW60" s="530"/>
      <c r="EX60" s="531">
        <v>2</v>
      </c>
      <c r="EY60" s="531">
        <v>2</v>
      </c>
      <c r="EZ60" s="530"/>
      <c r="FA60" s="530"/>
      <c r="FB60" s="527"/>
      <c r="FC60" s="527"/>
      <c r="FD60" s="532">
        <v>5</v>
      </c>
      <c r="FE60" s="95"/>
      <c r="FG60" s="533"/>
      <c r="FH60" s="533"/>
      <c r="FI60" s="533"/>
      <c r="FJ60" s="534" t="s">
        <v>1081</v>
      </c>
      <c r="FK60" s="535"/>
      <c r="FL60" s="536">
        <v>0</v>
      </c>
      <c r="FM60" s="536">
        <v>0</v>
      </c>
      <c r="FN60" s="536">
        <v>0</v>
      </c>
      <c r="FO60" s="536">
        <v>1</v>
      </c>
      <c r="FP60" s="536">
        <v>1</v>
      </c>
      <c r="FQ60" s="536">
        <v>0</v>
      </c>
      <c r="FR60" s="535"/>
      <c r="FS60" s="535"/>
      <c r="FT60" s="537"/>
      <c r="FU60" s="537"/>
      <c r="FV60" s="538">
        <v>2</v>
      </c>
      <c r="FW60" s="539"/>
      <c r="FY60" s="540"/>
      <c r="FZ60" s="540"/>
      <c r="GA60" s="540" t="s">
        <v>122</v>
      </c>
      <c r="GB60" s="541" t="s">
        <v>1071</v>
      </c>
      <c r="GC60" s="542"/>
      <c r="GD60" s="542"/>
      <c r="GE60" s="542"/>
      <c r="GF60" s="542"/>
      <c r="GG60" s="542"/>
      <c r="GH60" s="543">
        <v>0</v>
      </c>
      <c r="GI60" s="543">
        <v>0</v>
      </c>
      <c r="GJ60" s="543">
        <v>1</v>
      </c>
      <c r="GK60" s="542"/>
      <c r="GL60" s="542"/>
      <c r="GM60" s="543">
        <v>1</v>
      </c>
      <c r="GN60" s="445"/>
      <c r="GP60" s="63"/>
      <c r="GQ60" s="63"/>
      <c r="GR60" s="37"/>
      <c r="GS60" s="416" t="s">
        <v>15</v>
      </c>
      <c r="GT60" s="386"/>
      <c r="GU60" s="386">
        <v>1</v>
      </c>
      <c r="GV60" s="386">
        <v>2</v>
      </c>
      <c r="GW60" s="386"/>
      <c r="GX60" s="386"/>
      <c r="GY60" s="386"/>
      <c r="GZ60" s="386">
        <v>2</v>
      </c>
      <c r="HA60" s="386">
        <v>10</v>
      </c>
      <c r="HB60" s="386"/>
      <c r="HC60" s="386">
        <v>1</v>
      </c>
      <c r="HD60" s="386">
        <v>16</v>
      </c>
      <c r="HE60" s="468">
        <v>0</v>
      </c>
      <c r="HF60" s="37"/>
      <c r="HG60" s="446"/>
      <c r="HH60" s="446"/>
      <c r="HI60" s="446"/>
      <c r="HJ60" s="446" t="s">
        <v>1080</v>
      </c>
      <c r="HK60" s="446">
        <v>0</v>
      </c>
      <c r="HL60" s="446">
        <v>0</v>
      </c>
      <c r="HM60" s="446">
        <v>0</v>
      </c>
      <c r="HN60" s="446">
        <v>0</v>
      </c>
      <c r="HO60" s="446">
        <v>0</v>
      </c>
      <c r="HP60" s="446">
        <v>0</v>
      </c>
      <c r="HQ60" s="446">
        <v>0</v>
      </c>
      <c r="HR60" s="446">
        <v>1</v>
      </c>
      <c r="HS60" s="446">
        <v>4</v>
      </c>
      <c r="HT60" s="446">
        <v>0</v>
      </c>
      <c r="HU60" s="446">
        <v>0</v>
      </c>
      <c r="HV60" s="447">
        <v>5</v>
      </c>
      <c r="HW60" s="544"/>
      <c r="HX60" s="448"/>
    </row>
    <row r="61" spans="1:232">
      <c r="A61" s="5682"/>
      <c r="B61" s="5682"/>
      <c r="C61" s="5683"/>
      <c r="D61" s="5683"/>
      <c r="E61" s="5686">
        <f>SUM(E57:E60)</f>
        <v>19</v>
      </c>
      <c r="F61" s="5682"/>
      <c r="G61" s="4921">
        <f>(E59)/(E61)</f>
        <v>5.2631578947368418E-2</v>
      </c>
      <c r="I61" s="4915">
        <v>1</v>
      </c>
      <c r="J61" s="4915">
        <v>2</v>
      </c>
      <c r="K61" s="4916" t="s">
        <v>2068</v>
      </c>
      <c r="L61" s="4916" t="s">
        <v>2709</v>
      </c>
      <c r="M61" s="4915">
        <v>1</v>
      </c>
      <c r="N61" s="4915">
        <v>8</v>
      </c>
      <c r="O61" s="157"/>
      <c r="Q61" s="4705"/>
      <c r="R61" s="4705"/>
      <c r="S61" s="4706"/>
      <c r="T61" s="4706"/>
      <c r="U61" s="4741">
        <f>SUM(U60)</f>
        <v>4</v>
      </c>
      <c r="V61" s="4707"/>
      <c r="W61" s="4722">
        <v>0</v>
      </c>
      <c r="Y61" s="36"/>
      <c r="Z61" s="36"/>
      <c r="AA61" s="36"/>
      <c r="AB61" s="36" t="s">
        <v>1074</v>
      </c>
      <c r="AC61" s="1681">
        <v>0</v>
      </c>
      <c r="AD61" s="1681">
        <v>1</v>
      </c>
      <c r="AE61" s="1681"/>
      <c r="AF61" s="1681">
        <v>0</v>
      </c>
      <c r="AG61" s="1681">
        <v>0</v>
      </c>
      <c r="AH61" s="1681">
        <v>0</v>
      </c>
      <c r="AI61" s="1681">
        <v>0</v>
      </c>
      <c r="AJ61" s="1681">
        <v>0</v>
      </c>
      <c r="AK61" s="1681">
        <v>0</v>
      </c>
      <c r="AL61" s="95">
        <v>0</v>
      </c>
      <c r="AM61" s="95">
        <v>1</v>
      </c>
      <c r="AN61" s="4545"/>
      <c r="AS61" s="3868" t="s">
        <v>2571</v>
      </c>
      <c r="AT61" s="3721">
        <v>2</v>
      </c>
      <c r="AU61" s="3721"/>
      <c r="AV61" s="3721"/>
      <c r="AW61" s="3721"/>
      <c r="AX61" s="3721"/>
      <c r="AY61" s="3721"/>
      <c r="AZ61" s="3721">
        <v>0</v>
      </c>
      <c r="BA61" s="3721"/>
      <c r="BB61" s="3721"/>
      <c r="BC61" s="2110"/>
      <c r="BD61" s="2110"/>
      <c r="BE61" s="2110">
        <v>2</v>
      </c>
      <c r="BF61" s="2110"/>
      <c r="BG61" s="2110"/>
      <c r="BJ61" s="32" t="s">
        <v>2058</v>
      </c>
      <c r="BK61" s="32" t="s">
        <v>1071</v>
      </c>
      <c r="BL61" s="3871"/>
      <c r="BM61" s="3871">
        <v>0</v>
      </c>
      <c r="BN61" s="3871">
        <v>0</v>
      </c>
      <c r="BO61" s="3871"/>
      <c r="BP61" s="3871"/>
      <c r="BQ61" s="3871">
        <v>0</v>
      </c>
      <c r="BR61" s="3871">
        <v>0</v>
      </c>
      <c r="BS61" s="3871"/>
      <c r="BT61" s="1518">
        <v>2</v>
      </c>
      <c r="BU61" s="1518">
        <v>2</v>
      </c>
      <c r="BX61" s="36"/>
      <c r="BY61" s="36"/>
      <c r="BZ61" s="393"/>
      <c r="CA61" s="393" t="s">
        <v>1076</v>
      </c>
      <c r="CB61" s="1682">
        <v>0</v>
      </c>
      <c r="CC61" s="1682"/>
      <c r="CD61" s="1682"/>
      <c r="CE61" s="1682"/>
      <c r="CF61" s="1682"/>
      <c r="CG61" s="1682">
        <v>4</v>
      </c>
      <c r="CH61" s="1682">
        <v>2</v>
      </c>
      <c r="CI61" s="1682">
        <v>0</v>
      </c>
      <c r="CJ61" s="2041"/>
      <c r="CK61" s="2041"/>
      <c r="CL61" s="2041">
        <v>6</v>
      </c>
      <c r="CM61" s="36"/>
      <c r="CO61" s="37"/>
      <c r="CP61" s="37"/>
      <c r="CQ61" s="37"/>
      <c r="CR61" s="416" t="s">
        <v>483</v>
      </c>
      <c r="CS61" s="1679"/>
      <c r="CT61" s="1679">
        <v>2</v>
      </c>
      <c r="CU61" s="1679"/>
      <c r="CV61" s="1679"/>
      <c r="CW61" s="1679">
        <v>1</v>
      </c>
      <c r="CX61" s="1679">
        <v>1</v>
      </c>
      <c r="CY61" s="1679">
        <v>14</v>
      </c>
      <c r="CZ61" s="1679">
        <v>6</v>
      </c>
      <c r="DA61" s="1679">
        <v>10</v>
      </c>
      <c r="DB61" s="386"/>
      <c r="DC61" s="386"/>
      <c r="DD61" s="386">
        <v>34</v>
      </c>
      <c r="DE61" s="2045">
        <f>+(DD57+DD60)/DD61</f>
        <v>0.14705882352941177</v>
      </c>
      <c r="DG61" s="95"/>
      <c r="DH61" s="95"/>
      <c r="DI61" s="36"/>
      <c r="DJ61" s="36" t="s">
        <v>1074</v>
      </c>
      <c r="DK61" s="1484">
        <v>0</v>
      </c>
      <c r="DL61" s="1484">
        <v>1</v>
      </c>
      <c r="DM61" s="1484"/>
      <c r="DN61" s="1484"/>
      <c r="DO61" s="1484"/>
      <c r="DP61" s="1484"/>
      <c r="DQ61" s="1484">
        <v>0</v>
      </c>
      <c r="DR61" s="1484">
        <v>0</v>
      </c>
      <c r="DS61" s="1484">
        <v>0</v>
      </c>
      <c r="DT61" s="95">
        <v>0</v>
      </c>
      <c r="DU61" s="95">
        <v>0</v>
      </c>
      <c r="DV61" s="95">
        <v>1</v>
      </c>
      <c r="DW61" s="95"/>
      <c r="DY61" s="1209"/>
      <c r="DZ61" s="1209"/>
      <c r="EA61" s="1210"/>
      <c r="EB61" s="415" t="s">
        <v>483</v>
      </c>
      <c r="EC61" s="1215">
        <v>1</v>
      </c>
      <c r="ED61" s="1215">
        <v>1</v>
      </c>
      <c r="EE61" s="1215">
        <v>2</v>
      </c>
      <c r="EF61" s="1215">
        <v>3</v>
      </c>
      <c r="EG61" s="1215">
        <v>4</v>
      </c>
      <c r="EH61" s="1215">
        <v>24</v>
      </c>
      <c r="EI61" s="1215">
        <v>12</v>
      </c>
      <c r="EJ61" s="1215">
        <v>8</v>
      </c>
      <c r="EK61" s="620"/>
      <c r="EL61" s="620"/>
      <c r="EM61" s="621">
        <v>55</v>
      </c>
      <c r="EN61" s="1178">
        <f>+(EM57+EM59+EM60)/EM61</f>
        <v>0.14545454545454545</v>
      </c>
      <c r="EP61" s="527"/>
      <c r="EQ61" s="527"/>
      <c r="ER61" s="528"/>
      <c r="ES61" s="529" t="s">
        <v>1163</v>
      </c>
      <c r="ET61" s="530"/>
      <c r="EU61" s="530"/>
      <c r="EV61" s="531">
        <v>3</v>
      </c>
      <c r="EW61" s="530"/>
      <c r="EX61" s="531">
        <v>0</v>
      </c>
      <c r="EY61" s="531">
        <v>0</v>
      </c>
      <c r="EZ61" s="530"/>
      <c r="FA61" s="530"/>
      <c r="FB61" s="527"/>
      <c r="FC61" s="527"/>
      <c r="FD61" s="532">
        <v>3</v>
      </c>
      <c r="FE61" s="95"/>
      <c r="FG61" s="533"/>
      <c r="FH61" s="533"/>
      <c r="FI61" s="533"/>
      <c r="FJ61" s="534" t="s">
        <v>1163</v>
      </c>
      <c r="FK61" s="535"/>
      <c r="FL61" s="536">
        <v>0</v>
      </c>
      <c r="FM61" s="536">
        <v>0</v>
      </c>
      <c r="FN61" s="536">
        <v>2</v>
      </c>
      <c r="FO61" s="536">
        <v>4</v>
      </c>
      <c r="FP61" s="536">
        <v>2</v>
      </c>
      <c r="FQ61" s="536">
        <v>0</v>
      </c>
      <c r="FR61" s="535"/>
      <c r="FS61" s="535"/>
      <c r="FT61" s="537"/>
      <c r="FU61" s="537"/>
      <c r="FV61" s="538">
        <v>8</v>
      </c>
      <c r="FW61" s="539"/>
      <c r="FY61" s="540"/>
      <c r="FZ61" s="540"/>
      <c r="GA61" s="540"/>
      <c r="GB61" s="541" t="s">
        <v>1076</v>
      </c>
      <c r="GC61" s="542"/>
      <c r="GD61" s="542"/>
      <c r="GE61" s="542"/>
      <c r="GF61" s="542"/>
      <c r="GG61" s="542"/>
      <c r="GH61" s="543">
        <v>0</v>
      </c>
      <c r="GI61" s="543">
        <v>2</v>
      </c>
      <c r="GJ61" s="543">
        <v>0</v>
      </c>
      <c r="GK61" s="542"/>
      <c r="GL61" s="542"/>
      <c r="GM61" s="543">
        <v>2</v>
      </c>
      <c r="GN61" s="445"/>
      <c r="GP61" s="63"/>
      <c r="GQ61" s="63"/>
      <c r="GR61" s="37" t="s">
        <v>122</v>
      </c>
      <c r="GS61" s="37" t="s">
        <v>1071</v>
      </c>
      <c r="GT61" s="63"/>
      <c r="GU61" s="63">
        <v>0</v>
      </c>
      <c r="GV61" s="63"/>
      <c r="GW61" s="63"/>
      <c r="GX61" s="63"/>
      <c r="GY61" s="63">
        <v>0</v>
      </c>
      <c r="GZ61" s="63">
        <v>0</v>
      </c>
      <c r="HA61" s="63">
        <v>2</v>
      </c>
      <c r="HB61" s="63"/>
      <c r="HC61" s="63"/>
      <c r="HD61" s="63">
        <v>2</v>
      </c>
      <c r="HE61" s="37"/>
      <c r="HF61" s="37"/>
      <c r="HG61" s="446"/>
      <c r="HH61" s="446"/>
      <c r="HI61" s="446"/>
      <c r="HJ61" s="449" t="s">
        <v>15</v>
      </c>
      <c r="HK61" s="449">
        <v>0</v>
      </c>
      <c r="HL61" s="449">
        <v>0</v>
      </c>
      <c r="HM61" s="449">
        <v>0</v>
      </c>
      <c r="HN61" s="449">
        <v>0</v>
      </c>
      <c r="HO61" s="449">
        <v>0</v>
      </c>
      <c r="HP61" s="449">
        <v>0</v>
      </c>
      <c r="HQ61" s="449">
        <v>0</v>
      </c>
      <c r="HR61" s="449">
        <v>3</v>
      </c>
      <c r="HS61" s="449">
        <v>5</v>
      </c>
      <c r="HT61" s="449">
        <v>0</v>
      </c>
      <c r="HU61" s="449">
        <v>2</v>
      </c>
      <c r="HV61" s="507">
        <v>10</v>
      </c>
      <c r="HW61" s="554">
        <f>+HV59/HV61</f>
        <v>0.2</v>
      </c>
      <c r="HX61" s="448">
        <f>+HV59</f>
        <v>2</v>
      </c>
    </row>
    <row r="62" spans="1:232">
      <c r="A62" s="5682">
        <v>1</v>
      </c>
      <c r="B62" s="5682">
        <v>2</v>
      </c>
      <c r="C62" s="5683" t="s">
        <v>118</v>
      </c>
      <c r="D62" s="5685" t="s">
        <v>2707</v>
      </c>
      <c r="E62" s="5682">
        <v>1</v>
      </c>
      <c r="F62" s="5682">
        <v>6</v>
      </c>
      <c r="I62" s="4915"/>
      <c r="J62" s="4915"/>
      <c r="K62" s="4916"/>
      <c r="L62" s="4916"/>
      <c r="M62" s="4920">
        <f>SUM(M54:M61)</f>
        <v>34</v>
      </c>
      <c r="N62" s="4915"/>
      <c r="O62" s="4921">
        <f>(M56+M57)/(M62)</f>
        <v>5.8823529411764705E-2</v>
      </c>
      <c r="Q62" s="4705">
        <v>1</v>
      </c>
      <c r="R62" s="4705">
        <v>4</v>
      </c>
      <c r="S62" s="4706" t="s">
        <v>1454</v>
      </c>
      <c r="T62" s="4706" t="s">
        <v>2731</v>
      </c>
      <c r="U62" s="4707">
        <v>2</v>
      </c>
      <c r="V62" s="4707">
        <v>7</v>
      </c>
      <c r="W62" s="4722"/>
      <c r="Y62" s="36"/>
      <c r="Z62" s="36"/>
      <c r="AA62" s="36"/>
      <c r="AB62" s="36" t="s">
        <v>1076</v>
      </c>
      <c r="AC62" s="1681">
        <v>0</v>
      </c>
      <c r="AD62" s="1681">
        <v>0</v>
      </c>
      <c r="AE62" s="1681"/>
      <c r="AF62" s="1681">
        <v>0</v>
      </c>
      <c r="AG62" s="1681">
        <v>0</v>
      </c>
      <c r="AH62" s="1681">
        <v>0</v>
      </c>
      <c r="AI62" s="1681">
        <v>3</v>
      </c>
      <c r="AJ62" s="1681">
        <v>0</v>
      </c>
      <c r="AK62" s="1681">
        <v>0</v>
      </c>
      <c r="AL62" s="95">
        <v>0</v>
      </c>
      <c r="AM62" s="95">
        <v>3</v>
      </c>
      <c r="AN62" s="4545"/>
      <c r="AS62" s="3868" t="s">
        <v>1163</v>
      </c>
      <c r="AT62" s="3721">
        <v>0</v>
      </c>
      <c r="AU62" s="3721"/>
      <c r="AV62" s="3721"/>
      <c r="AW62" s="3721"/>
      <c r="AX62" s="3721"/>
      <c r="AY62" s="3721"/>
      <c r="AZ62" s="3721">
        <v>2</v>
      </c>
      <c r="BA62" s="3721"/>
      <c r="BB62" s="3721"/>
      <c r="BC62" s="2110"/>
      <c r="BD62" s="2110"/>
      <c r="BE62" s="2110">
        <v>2</v>
      </c>
      <c r="BF62" s="2110"/>
      <c r="BG62" s="2110"/>
      <c r="BK62" s="32" t="s">
        <v>1072</v>
      </c>
      <c r="BL62" s="3871"/>
      <c r="BM62" s="3871">
        <v>0</v>
      </c>
      <c r="BN62" s="3871">
        <v>1</v>
      </c>
      <c r="BO62" s="3871"/>
      <c r="BP62" s="3871"/>
      <c r="BQ62" s="3871">
        <v>3</v>
      </c>
      <c r="BR62" s="3871">
        <v>3</v>
      </c>
      <c r="BS62" s="3871"/>
      <c r="BT62" s="1518">
        <v>0</v>
      </c>
      <c r="BU62" s="1518">
        <v>7</v>
      </c>
      <c r="BX62" s="36"/>
      <c r="BY62" s="36"/>
      <c r="BZ62" s="393"/>
      <c r="CA62" s="393" t="s">
        <v>1080</v>
      </c>
      <c r="CB62" s="1682">
        <v>0</v>
      </c>
      <c r="CC62" s="1682"/>
      <c r="CD62" s="1682"/>
      <c r="CE62" s="1682"/>
      <c r="CF62" s="1682"/>
      <c r="CG62" s="1682">
        <v>0</v>
      </c>
      <c r="CH62" s="1682">
        <v>0</v>
      </c>
      <c r="CI62" s="1682">
        <v>1</v>
      </c>
      <c r="CJ62" s="2041"/>
      <c r="CK62" s="2041"/>
      <c r="CL62" s="2041">
        <v>1</v>
      </c>
      <c r="CM62" s="36"/>
      <c r="CO62" s="37"/>
      <c r="CP62" s="37" t="s">
        <v>21</v>
      </c>
      <c r="CQ62" s="37" t="s">
        <v>104</v>
      </c>
      <c r="CR62" s="37" t="s">
        <v>1076</v>
      </c>
      <c r="CS62" s="1678"/>
      <c r="CT62" s="1678"/>
      <c r="CU62" s="1678"/>
      <c r="CV62" s="1678"/>
      <c r="CW62" s="1678"/>
      <c r="CX62" s="1678"/>
      <c r="CY62" s="1678">
        <v>1</v>
      </c>
      <c r="CZ62" s="1678"/>
      <c r="DA62" s="1678"/>
      <c r="DB62" s="63"/>
      <c r="DC62" s="63"/>
      <c r="DD62" s="63">
        <v>1</v>
      </c>
      <c r="DG62" s="95"/>
      <c r="DH62" s="95"/>
      <c r="DI62" s="36"/>
      <c r="DJ62" s="36" t="s">
        <v>1076</v>
      </c>
      <c r="DK62" s="1484">
        <v>0</v>
      </c>
      <c r="DL62" s="1484">
        <v>0</v>
      </c>
      <c r="DM62" s="1484"/>
      <c r="DN62" s="1484"/>
      <c r="DO62" s="1484"/>
      <c r="DP62" s="1484"/>
      <c r="DQ62" s="1484">
        <v>1</v>
      </c>
      <c r="DR62" s="1484">
        <v>0</v>
      </c>
      <c r="DS62" s="1484">
        <v>0</v>
      </c>
      <c r="DT62" s="95">
        <v>0</v>
      </c>
      <c r="DU62" s="95">
        <v>0</v>
      </c>
      <c r="DV62" s="95">
        <v>1</v>
      </c>
      <c r="DW62" s="95"/>
      <c r="DY62" s="1209"/>
      <c r="DZ62" s="1209" t="s">
        <v>103</v>
      </c>
      <c r="EA62" s="1210" t="s">
        <v>104</v>
      </c>
      <c r="EB62" s="1211" t="s">
        <v>1072</v>
      </c>
      <c r="EC62" s="1212"/>
      <c r="ED62" s="1212"/>
      <c r="EE62" s="1213">
        <v>0</v>
      </c>
      <c r="EF62" s="1213">
        <v>0</v>
      </c>
      <c r="EG62" s="1213">
        <v>1</v>
      </c>
      <c r="EH62" s="1213">
        <v>0</v>
      </c>
      <c r="EI62" s="1212"/>
      <c r="EJ62" s="1212"/>
      <c r="EK62" s="611"/>
      <c r="EL62" s="611"/>
      <c r="EM62" s="612">
        <v>1</v>
      </c>
      <c r="EN62" s="36"/>
      <c r="EP62" s="527"/>
      <c r="EQ62" s="527"/>
      <c r="ER62" s="528"/>
      <c r="ES62" s="555" t="s">
        <v>15</v>
      </c>
      <c r="ET62" s="556"/>
      <c r="EU62" s="556"/>
      <c r="EV62" s="557">
        <v>4</v>
      </c>
      <c r="EW62" s="556"/>
      <c r="EX62" s="557">
        <v>2</v>
      </c>
      <c r="EY62" s="557">
        <v>2</v>
      </c>
      <c r="EZ62" s="556"/>
      <c r="FA62" s="556"/>
      <c r="FB62" s="558"/>
      <c r="FC62" s="558"/>
      <c r="FD62" s="559">
        <v>8</v>
      </c>
      <c r="FE62" s="560">
        <f>+FD61/FD62</f>
        <v>0.375</v>
      </c>
      <c r="FG62" s="533"/>
      <c r="FH62" s="533"/>
      <c r="FI62" s="533"/>
      <c r="FJ62" s="545" t="s">
        <v>726</v>
      </c>
      <c r="FK62" s="546"/>
      <c r="FL62" s="547">
        <v>1</v>
      </c>
      <c r="FM62" s="547">
        <v>2</v>
      </c>
      <c r="FN62" s="547">
        <v>18</v>
      </c>
      <c r="FO62" s="547">
        <v>17</v>
      </c>
      <c r="FP62" s="547">
        <v>16</v>
      </c>
      <c r="FQ62" s="547">
        <v>7</v>
      </c>
      <c r="FR62" s="546"/>
      <c r="FS62" s="546"/>
      <c r="FT62" s="548"/>
      <c r="FU62" s="548"/>
      <c r="FV62" s="549">
        <v>61</v>
      </c>
      <c r="FW62" s="539">
        <f>+(FV61+FV60+FV57)/FV62</f>
        <v>0.21311475409836064</v>
      </c>
      <c r="FY62" s="540"/>
      <c r="FZ62" s="540"/>
      <c r="GA62" s="540"/>
      <c r="GB62" s="541" t="s">
        <v>1080</v>
      </c>
      <c r="GC62" s="542"/>
      <c r="GD62" s="542"/>
      <c r="GE62" s="542"/>
      <c r="GF62" s="542"/>
      <c r="GG62" s="542"/>
      <c r="GH62" s="543">
        <v>0</v>
      </c>
      <c r="GI62" s="543">
        <v>0</v>
      </c>
      <c r="GJ62" s="543">
        <v>5</v>
      </c>
      <c r="GK62" s="542"/>
      <c r="GL62" s="542"/>
      <c r="GM62" s="543">
        <v>5</v>
      </c>
      <c r="GN62" s="445"/>
      <c r="GP62" s="63"/>
      <c r="GQ62" s="63"/>
      <c r="GR62" s="37"/>
      <c r="GS62" s="37" t="s">
        <v>1072</v>
      </c>
      <c r="GT62" s="63"/>
      <c r="GU62" s="63">
        <v>1</v>
      </c>
      <c r="GV62" s="63"/>
      <c r="GW62" s="63"/>
      <c r="GX62" s="63"/>
      <c r="GY62" s="63">
        <v>0</v>
      </c>
      <c r="GZ62" s="63">
        <v>0</v>
      </c>
      <c r="HA62" s="63">
        <v>0</v>
      </c>
      <c r="HB62" s="63"/>
      <c r="HC62" s="63"/>
      <c r="HD62" s="63">
        <v>1</v>
      </c>
      <c r="HE62" s="37"/>
      <c r="HF62" s="37"/>
      <c r="HG62" s="446"/>
      <c r="HH62" s="446"/>
      <c r="HI62" s="446" t="s">
        <v>123</v>
      </c>
      <c r="HJ62" s="446" t="s">
        <v>1072</v>
      </c>
      <c r="HK62" s="446">
        <v>0</v>
      </c>
      <c r="HL62" s="446">
        <v>0</v>
      </c>
      <c r="HM62" s="446">
        <v>0</v>
      </c>
      <c r="HN62" s="446">
        <v>0</v>
      </c>
      <c r="HO62" s="446">
        <v>0</v>
      </c>
      <c r="HP62" s="446">
        <v>0</v>
      </c>
      <c r="HQ62" s="446">
        <v>0</v>
      </c>
      <c r="HR62" s="446">
        <v>2</v>
      </c>
      <c r="HS62" s="446">
        <v>0</v>
      </c>
      <c r="HT62" s="446">
        <v>0</v>
      </c>
      <c r="HU62" s="446">
        <v>0</v>
      </c>
      <c r="HV62" s="447">
        <v>2</v>
      </c>
      <c r="HW62" s="544"/>
      <c r="HX62" s="448"/>
    </row>
    <row r="63" spans="1:232">
      <c r="A63" s="5682">
        <v>1</v>
      </c>
      <c r="B63" s="5682">
        <v>2</v>
      </c>
      <c r="C63" s="5683" t="s">
        <v>118</v>
      </c>
      <c r="D63" s="5685" t="s">
        <v>2707</v>
      </c>
      <c r="E63" s="5682">
        <v>3</v>
      </c>
      <c r="F63" s="5682">
        <v>7</v>
      </c>
      <c r="I63" s="4915">
        <v>1</v>
      </c>
      <c r="J63" s="4915">
        <v>2</v>
      </c>
      <c r="K63" s="4916" t="s">
        <v>2058</v>
      </c>
      <c r="L63" s="4916" t="s">
        <v>2731</v>
      </c>
      <c r="M63" s="4915">
        <v>1</v>
      </c>
      <c r="N63" s="4915">
        <v>9</v>
      </c>
      <c r="O63" s="157"/>
      <c r="Q63" s="4705">
        <v>1</v>
      </c>
      <c r="R63" s="4705">
        <v>4</v>
      </c>
      <c r="S63" s="4706" t="s">
        <v>1454</v>
      </c>
      <c r="T63" s="4706" t="s">
        <v>2731</v>
      </c>
      <c r="U63" s="4707">
        <v>1</v>
      </c>
      <c r="V63" s="4707">
        <v>8</v>
      </c>
      <c r="W63" s="4722"/>
      <c r="Y63" s="36"/>
      <c r="Z63" s="36"/>
      <c r="AA63" s="36"/>
      <c r="AB63" s="36" t="s">
        <v>1077</v>
      </c>
      <c r="AC63" s="1681">
        <v>0</v>
      </c>
      <c r="AD63" s="1681">
        <v>0</v>
      </c>
      <c r="AE63" s="1681"/>
      <c r="AF63" s="1681">
        <v>0</v>
      </c>
      <c r="AG63" s="1681">
        <v>1</v>
      </c>
      <c r="AH63" s="1681">
        <v>0</v>
      </c>
      <c r="AI63" s="1681">
        <v>0</v>
      </c>
      <c r="AJ63" s="1681">
        <v>0</v>
      </c>
      <c r="AK63" s="1681">
        <v>0</v>
      </c>
      <c r="AL63" s="95">
        <v>0</v>
      </c>
      <c r="AM63" s="95">
        <v>1</v>
      </c>
      <c r="AN63" s="4545"/>
      <c r="AS63" s="27" t="s">
        <v>15</v>
      </c>
      <c r="AT63" s="3722">
        <v>2</v>
      </c>
      <c r="AU63" s="3722"/>
      <c r="AV63" s="3722"/>
      <c r="AW63" s="3722"/>
      <c r="AX63" s="3722"/>
      <c r="AY63" s="3722"/>
      <c r="AZ63" s="3722">
        <v>7</v>
      </c>
      <c r="BA63" s="3722"/>
      <c r="BB63" s="3722"/>
      <c r="BC63" s="3701"/>
      <c r="BD63" s="3701"/>
      <c r="BE63" s="3701">
        <v>9</v>
      </c>
      <c r="BF63" s="1665">
        <f>+(BE59+BE60+BE62)/(BE63-BE61)</f>
        <v>0.5714285714285714</v>
      </c>
      <c r="BG63" s="1665"/>
      <c r="BK63" s="32" t="s">
        <v>1080</v>
      </c>
      <c r="BL63" s="3871"/>
      <c r="BM63" s="3871">
        <v>0</v>
      </c>
      <c r="BN63" s="3871">
        <v>0</v>
      </c>
      <c r="BO63" s="3871"/>
      <c r="BP63" s="3871"/>
      <c r="BQ63" s="3871">
        <v>0</v>
      </c>
      <c r="BR63" s="3871">
        <v>0</v>
      </c>
      <c r="BS63" s="3871"/>
      <c r="BT63" s="1518">
        <v>1</v>
      </c>
      <c r="BU63" s="1518">
        <v>1</v>
      </c>
      <c r="BX63" s="36"/>
      <c r="BY63" s="36"/>
      <c r="BZ63" s="393"/>
      <c r="CA63" s="393" t="s">
        <v>1081</v>
      </c>
      <c r="CB63" s="1682">
        <v>0</v>
      </c>
      <c r="CC63" s="1682"/>
      <c r="CD63" s="1682"/>
      <c r="CE63" s="1682"/>
      <c r="CF63" s="1682"/>
      <c r="CG63" s="1682">
        <v>1</v>
      </c>
      <c r="CH63" s="1682">
        <v>2</v>
      </c>
      <c r="CI63" s="1682">
        <v>0</v>
      </c>
      <c r="CJ63" s="2041"/>
      <c r="CK63" s="2041"/>
      <c r="CL63" s="2041">
        <v>3</v>
      </c>
      <c r="CM63" s="36"/>
      <c r="CO63" s="37"/>
      <c r="CP63" s="37"/>
      <c r="CQ63" s="37"/>
      <c r="CR63" s="416" t="s">
        <v>15</v>
      </c>
      <c r="CS63" s="1679"/>
      <c r="CT63" s="1679"/>
      <c r="CU63" s="1679"/>
      <c r="CV63" s="1679"/>
      <c r="CW63" s="1679"/>
      <c r="CX63" s="1679"/>
      <c r="CY63" s="1679">
        <v>1</v>
      </c>
      <c r="CZ63" s="1679"/>
      <c r="DA63" s="1679"/>
      <c r="DB63" s="386"/>
      <c r="DC63" s="386"/>
      <c r="DD63" s="386">
        <v>1</v>
      </c>
      <c r="DE63" s="2045">
        <f>+DD62/DD63</f>
        <v>1</v>
      </c>
      <c r="DG63" s="95"/>
      <c r="DH63" s="95"/>
      <c r="DI63" s="36"/>
      <c r="DJ63" s="36" t="s">
        <v>1080</v>
      </c>
      <c r="DK63" s="1484">
        <v>0</v>
      </c>
      <c r="DL63" s="1484">
        <v>0</v>
      </c>
      <c r="DM63" s="1484"/>
      <c r="DN63" s="1484"/>
      <c r="DO63" s="1484"/>
      <c r="DP63" s="1484"/>
      <c r="DQ63" s="1484">
        <v>0</v>
      </c>
      <c r="DR63" s="1484">
        <v>1</v>
      </c>
      <c r="DS63" s="1484">
        <v>1</v>
      </c>
      <c r="DT63" s="95">
        <v>2</v>
      </c>
      <c r="DU63" s="95">
        <v>1</v>
      </c>
      <c r="DV63" s="95">
        <v>5</v>
      </c>
      <c r="DW63" s="95"/>
      <c r="DY63" s="1209"/>
      <c r="DZ63" s="1209"/>
      <c r="EA63" s="1210"/>
      <c r="EB63" s="1211" t="s">
        <v>1076</v>
      </c>
      <c r="EC63" s="1212"/>
      <c r="ED63" s="1212"/>
      <c r="EE63" s="1213">
        <v>0</v>
      </c>
      <c r="EF63" s="1213">
        <v>2</v>
      </c>
      <c r="EG63" s="1213">
        <v>0</v>
      </c>
      <c r="EH63" s="1213">
        <v>0</v>
      </c>
      <c r="EI63" s="1212"/>
      <c r="EJ63" s="1212"/>
      <c r="EK63" s="611"/>
      <c r="EL63" s="611"/>
      <c r="EM63" s="612">
        <v>2</v>
      </c>
      <c r="EN63" s="36"/>
      <c r="EP63" s="527"/>
      <c r="EQ63" s="527"/>
      <c r="ER63" s="528" t="s">
        <v>726</v>
      </c>
      <c r="ES63" s="529" t="s">
        <v>1077</v>
      </c>
      <c r="ET63" s="530"/>
      <c r="EU63" s="530"/>
      <c r="EV63" s="531">
        <v>1</v>
      </c>
      <c r="EW63" s="530"/>
      <c r="EX63" s="531">
        <v>2</v>
      </c>
      <c r="EY63" s="531">
        <v>2</v>
      </c>
      <c r="EZ63" s="530"/>
      <c r="FA63" s="530"/>
      <c r="FB63" s="527"/>
      <c r="FC63" s="527"/>
      <c r="FD63" s="532">
        <v>5</v>
      </c>
      <c r="FE63" s="95"/>
      <c r="FG63" s="533"/>
      <c r="FH63" s="533"/>
      <c r="FI63" s="545" t="s">
        <v>105</v>
      </c>
      <c r="FJ63" s="534" t="s">
        <v>1071</v>
      </c>
      <c r="FK63" s="535"/>
      <c r="FL63" s="536">
        <v>0</v>
      </c>
      <c r="FM63" s="536">
        <v>0</v>
      </c>
      <c r="FN63" s="536">
        <v>1</v>
      </c>
      <c r="FO63" s="536">
        <v>0</v>
      </c>
      <c r="FP63" s="536">
        <v>0</v>
      </c>
      <c r="FQ63" s="536">
        <v>0</v>
      </c>
      <c r="FR63" s="536">
        <v>0</v>
      </c>
      <c r="FS63" s="536">
        <v>2</v>
      </c>
      <c r="FT63" s="537"/>
      <c r="FU63" s="537"/>
      <c r="FV63" s="538">
        <v>3</v>
      </c>
      <c r="FW63" s="539"/>
      <c r="FY63" s="540"/>
      <c r="FZ63" s="540"/>
      <c r="GA63" s="540"/>
      <c r="GB63" s="541" t="s">
        <v>1163</v>
      </c>
      <c r="GC63" s="542"/>
      <c r="GD63" s="542"/>
      <c r="GE63" s="542"/>
      <c r="GF63" s="542"/>
      <c r="GG63" s="542"/>
      <c r="GH63" s="543">
        <v>1</v>
      </c>
      <c r="GI63" s="543">
        <v>2</v>
      </c>
      <c r="GJ63" s="543">
        <v>0</v>
      </c>
      <c r="GK63" s="542"/>
      <c r="GL63" s="542"/>
      <c r="GM63" s="543">
        <v>3</v>
      </c>
      <c r="GN63" s="445"/>
      <c r="GP63" s="63"/>
      <c r="GQ63" s="63"/>
      <c r="GR63" s="37"/>
      <c r="GS63" s="37" t="s">
        <v>1076</v>
      </c>
      <c r="GT63" s="63"/>
      <c r="GU63" s="63">
        <v>0</v>
      </c>
      <c r="GV63" s="63"/>
      <c r="GW63" s="63"/>
      <c r="GX63" s="63"/>
      <c r="GY63" s="63">
        <v>1</v>
      </c>
      <c r="GZ63" s="63">
        <v>1</v>
      </c>
      <c r="HA63" s="63">
        <v>0</v>
      </c>
      <c r="HB63" s="63"/>
      <c r="HC63" s="63"/>
      <c r="HD63" s="63">
        <v>2</v>
      </c>
      <c r="HE63" s="37"/>
      <c r="HF63" s="37"/>
      <c r="HG63" s="446"/>
      <c r="HH63" s="446"/>
      <c r="HI63" s="446"/>
      <c r="HJ63" s="446" t="s">
        <v>1076</v>
      </c>
      <c r="HK63" s="446">
        <v>0</v>
      </c>
      <c r="HL63" s="446">
        <v>0</v>
      </c>
      <c r="HM63" s="446">
        <v>0</v>
      </c>
      <c r="HN63" s="446">
        <v>0</v>
      </c>
      <c r="HO63" s="446">
        <v>0</v>
      </c>
      <c r="HP63" s="446">
        <v>0</v>
      </c>
      <c r="HQ63" s="446">
        <v>0</v>
      </c>
      <c r="HR63" s="446">
        <v>0</v>
      </c>
      <c r="HS63" s="446">
        <v>0</v>
      </c>
      <c r="HT63" s="446">
        <v>1</v>
      </c>
      <c r="HU63" s="446">
        <v>0</v>
      </c>
      <c r="HV63" s="447">
        <v>1</v>
      </c>
      <c r="HW63" s="544"/>
      <c r="HX63" s="448"/>
    </row>
    <row r="64" spans="1:232">
      <c r="A64" s="5682">
        <v>1</v>
      </c>
      <c r="B64" s="5682">
        <v>2</v>
      </c>
      <c r="C64" s="5683" t="s">
        <v>118</v>
      </c>
      <c r="D64" s="5683" t="s">
        <v>2709</v>
      </c>
      <c r="E64" s="5682">
        <v>5</v>
      </c>
      <c r="F64" s="5682">
        <v>6</v>
      </c>
      <c r="I64" s="4915">
        <v>1</v>
      </c>
      <c r="J64" s="4915">
        <v>2</v>
      </c>
      <c r="K64" s="4916" t="s">
        <v>2058</v>
      </c>
      <c r="L64" s="4916" t="s">
        <v>1071</v>
      </c>
      <c r="M64" s="4915">
        <v>1</v>
      </c>
      <c r="N64" s="4915">
        <v>8</v>
      </c>
      <c r="O64" s="157"/>
      <c r="Q64" s="4705">
        <v>1</v>
      </c>
      <c r="R64" s="4705">
        <v>4</v>
      </c>
      <c r="S64" s="4706" t="s">
        <v>1454</v>
      </c>
      <c r="T64" s="4706" t="s">
        <v>2709</v>
      </c>
      <c r="U64" s="4707">
        <v>1</v>
      </c>
      <c r="V64" s="4707">
        <v>7</v>
      </c>
      <c r="W64" s="4722"/>
      <c r="Y64" s="36"/>
      <c r="Z64" s="36"/>
      <c r="AA64" s="36"/>
      <c r="AB64" s="36" t="s">
        <v>1080</v>
      </c>
      <c r="AC64" s="1681">
        <v>0</v>
      </c>
      <c r="AD64" s="1681">
        <v>0</v>
      </c>
      <c r="AE64" s="1681"/>
      <c r="AF64" s="1681">
        <v>0</v>
      </c>
      <c r="AG64" s="1681">
        <v>0</v>
      </c>
      <c r="AH64" s="1681">
        <v>0</v>
      </c>
      <c r="AI64" s="1681">
        <v>2</v>
      </c>
      <c r="AJ64" s="1681">
        <v>39</v>
      </c>
      <c r="AK64" s="1681">
        <v>0</v>
      </c>
      <c r="AL64" s="95">
        <v>1</v>
      </c>
      <c r="AM64" s="95">
        <v>42</v>
      </c>
      <c r="AN64" s="4545"/>
      <c r="AR64" s="3868" t="s">
        <v>2057</v>
      </c>
      <c r="AS64" s="3868" t="s">
        <v>1071</v>
      </c>
      <c r="AT64" s="3721">
        <v>0</v>
      </c>
      <c r="AU64" s="3721">
        <v>0</v>
      </c>
      <c r="AV64" s="3721">
        <v>0</v>
      </c>
      <c r="AW64" s="3721">
        <v>0</v>
      </c>
      <c r="AX64" s="3721"/>
      <c r="AY64" s="3721">
        <v>1</v>
      </c>
      <c r="AZ64" s="3721"/>
      <c r="BA64" s="3721">
        <v>0</v>
      </c>
      <c r="BB64" s="3721">
        <v>0</v>
      </c>
      <c r="BC64" s="2110">
        <v>0</v>
      </c>
      <c r="BD64" s="2110">
        <v>0</v>
      </c>
      <c r="BE64" s="2110">
        <v>1</v>
      </c>
      <c r="BF64" s="2110"/>
      <c r="BG64" s="2110"/>
      <c r="BK64" s="32" t="s">
        <v>1081</v>
      </c>
      <c r="BL64" s="3871"/>
      <c r="BM64" s="3871">
        <v>0</v>
      </c>
      <c r="BN64" s="3871">
        <v>0</v>
      </c>
      <c r="BO64" s="3871"/>
      <c r="BP64" s="3871"/>
      <c r="BQ64" s="3871">
        <v>1</v>
      </c>
      <c r="BR64" s="3871">
        <v>0</v>
      </c>
      <c r="BS64" s="3871"/>
      <c r="BT64" s="1518">
        <v>0</v>
      </c>
      <c r="BU64" s="1518">
        <v>1</v>
      </c>
      <c r="BX64" s="36"/>
      <c r="BY64" s="36"/>
      <c r="BZ64" s="393"/>
      <c r="CA64" s="393" t="s">
        <v>1163</v>
      </c>
      <c r="CB64" s="1682">
        <v>0</v>
      </c>
      <c r="CC64" s="1682"/>
      <c r="CD64" s="1682"/>
      <c r="CE64" s="1682"/>
      <c r="CF64" s="1682"/>
      <c r="CG64" s="1682">
        <v>1</v>
      </c>
      <c r="CH64" s="1682">
        <v>0</v>
      </c>
      <c r="CI64" s="1682">
        <v>0</v>
      </c>
      <c r="CJ64" s="2041"/>
      <c r="CK64" s="2041"/>
      <c r="CL64" s="2041">
        <v>1</v>
      </c>
      <c r="CM64" s="36"/>
      <c r="CO64" s="37"/>
      <c r="CP64" s="37"/>
      <c r="CQ64" s="37" t="s">
        <v>1455</v>
      </c>
      <c r="CR64" s="37" t="s">
        <v>1072</v>
      </c>
      <c r="CS64" s="1678"/>
      <c r="CT64" s="1678"/>
      <c r="CU64" s="1678"/>
      <c r="CV64" s="1678"/>
      <c r="CW64" s="1678">
        <v>0</v>
      </c>
      <c r="CX64" s="1678">
        <v>3</v>
      </c>
      <c r="CY64" s="1678">
        <v>0</v>
      </c>
      <c r="CZ64" s="1678">
        <v>2</v>
      </c>
      <c r="DA64" s="1678">
        <v>0</v>
      </c>
      <c r="DB64" s="63"/>
      <c r="DC64" s="63"/>
      <c r="DD64" s="63">
        <v>5</v>
      </c>
      <c r="DG64" s="95"/>
      <c r="DH64" s="95"/>
      <c r="DI64" s="36"/>
      <c r="DJ64" s="36" t="s">
        <v>1663</v>
      </c>
      <c r="DK64" s="1484">
        <v>1</v>
      </c>
      <c r="DL64" s="1484">
        <v>0</v>
      </c>
      <c r="DM64" s="1484"/>
      <c r="DN64" s="1484"/>
      <c r="DO64" s="1484"/>
      <c r="DP64" s="1484"/>
      <c r="DQ64" s="1484">
        <v>0</v>
      </c>
      <c r="DR64" s="1484">
        <v>0</v>
      </c>
      <c r="DS64" s="1484">
        <v>0</v>
      </c>
      <c r="DT64" s="95">
        <v>0</v>
      </c>
      <c r="DU64" s="95">
        <v>0</v>
      </c>
      <c r="DV64" s="95">
        <v>1</v>
      </c>
      <c r="DW64" s="95"/>
      <c r="DY64" s="1209"/>
      <c r="DZ64" s="1209"/>
      <c r="EA64" s="1210"/>
      <c r="EB64" s="1211" t="s">
        <v>1077</v>
      </c>
      <c r="EC64" s="1212"/>
      <c r="ED64" s="1212"/>
      <c r="EE64" s="1213">
        <v>4</v>
      </c>
      <c r="EF64" s="1213">
        <v>4</v>
      </c>
      <c r="EG64" s="1213">
        <v>6</v>
      </c>
      <c r="EH64" s="1213">
        <v>10</v>
      </c>
      <c r="EI64" s="1212"/>
      <c r="EJ64" s="1212"/>
      <c r="EK64" s="611"/>
      <c r="EL64" s="611"/>
      <c r="EM64" s="612">
        <v>24</v>
      </c>
      <c r="EN64" s="36"/>
      <c r="EP64" s="527"/>
      <c r="EQ64" s="527"/>
      <c r="ER64" s="528"/>
      <c r="ES64" s="529" t="s">
        <v>1163</v>
      </c>
      <c r="ET64" s="530"/>
      <c r="EU64" s="530"/>
      <c r="EV64" s="531">
        <v>3</v>
      </c>
      <c r="EW64" s="530"/>
      <c r="EX64" s="531">
        <v>0</v>
      </c>
      <c r="EY64" s="531">
        <v>0</v>
      </c>
      <c r="EZ64" s="530"/>
      <c r="FA64" s="530"/>
      <c r="FB64" s="527"/>
      <c r="FC64" s="527"/>
      <c r="FD64" s="532">
        <v>3</v>
      </c>
      <c r="FE64" s="95"/>
      <c r="FG64" s="533"/>
      <c r="FH64" s="533"/>
      <c r="FI64" s="533"/>
      <c r="FJ64" s="534" t="s">
        <v>1072</v>
      </c>
      <c r="FK64" s="535"/>
      <c r="FL64" s="536">
        <v>2</v>
      </c>
      <c r="FM64" s="536">
        <v>2</v>
      </c>
      <c r="FN64" s="536">
        <v>1</v>
      </c>
      <c r="FO64" s="536">
        <v>1</v>
      </c>
      <c r="FP64" s="536">
        <v>4</v>
      </c>
      <c r="FQ64" s="536">
        <v>28</v>
      </c>
      <c r="FR64" s="536">
        <v>9</v>
      </c>
      <c r="FS64" s="536">
        <v>0</v>
      </c>
      <c r="FT64" s="537"/>
      <c r="FU64" s="537"/>
      <c r="FV64" s="538">
        <v>47</v>
      </c>
      <c r="FW64" s="539"/>
      <c r="FY64" s="540"/>
      <c r="FZ64" s="540"/>
      <c r="GA64" s="540"/>
      <c r="GB64" s="550" t="s">
        <v>15</v>
      </c>
      <c r="GC64" s="551"/>
      <c r="GD64" s="551"/>
      <c r="GE64" s="551"/>
      <c r="GF64" s="551"/>
      <c r="GG64" s="551"/>
      <c r="GH64" s="552">
        <v>1</v>
      </c>
      <c r="GI64" s="552">
        <v>4</v>
      </c>
      <c r="GJ64" s="552">
        <v>6</v>
      </c>
      <c r="GK64" s="551"/>
      <c r="GL64" s="551"/>
      <c r="GM64" s="552">
        <v>11</v>
      </c>
      <c r="GN64" s="553">
        <f>+(GM63+GM61)/GM64</f>
        <v>0.45454545454545453</v>
      </c>
      <c r="GP64" s="63"/>
      <c r="GQ64" s="63"/>
      <c r="GR64" s="37"/>
      <c r="GS64" s="37" t="s">
        <v>1080</v>
      </c>
      <c r="GT64" s="63"/>
      <c r="GU64" s="63">
        <v>0</v>
      </c>
      <c r="GV64" s="63"/>
      <c r="GW64" s="63"/>
      <c r="GX64" s="63"/>
      <c r="GY64" s="63">
        <v>0</v>
      </c>
      <c r="GZ64" s="63">
        <v>0</v>
      </c>
      <c r="HA64" s="63">
        <v>9</v>
      </c>
      <c r="HB64" s="63"/>
      <c r="HC64" s="63"/>
      <c r="HD64" s="63">
        <v>9</v>
      </c>
      <c r="HE64" s="37"/>
      <c r="HF64" s="37"/>
      <c r="HG64" s="446"/>
      <c r="HH64" s="446"/>
      <c r="HI64" s="446"/>
      <c r="HJ64" s="446" t="s">
        <v>1080</v>
      </c>
      <c r="HK64" s="446">
        <v>0</v>
      </c>
      <c r="HL64" s="446">
        <v>0</v>
      </c>
      <c r="HM64" s="446">
        <v>0</v>
      </c>
      <c r="HN64" s="446">
        <v>0</v>
      </c>
      <c r="HO64" s="446">
        <v>0</v>
      </c>
      <c r="HP64" s="446">
        <v>0</v>
      </c>
      <c r="HQ64" s="446">
        <v>0</v>
      </c>
      <c r="HR64" s="446">
        <v>3</v>
      </c>
      <c r="HS64" s="446">
        <v>2</v>
      </c>
      <c r="HT64" s="446">
        <v>1</v>
      </c>
      <c r="HU64" s="446">
        <v>1</v>
      </c>
      <c r="HV64" s="447">
        <v>7</v>
      </c>
      <c r="HW64" s="544"/>
      <c r="HX64" s="448"/>
    </row>
    <row r="65" spans="1:232">
      <c r="A65" s="5682"/>
      <c r="B65" s="5682"/>
      <c r="C65" s="5683"/>
      <c r="D65" s="5683"/>
      <c r="E65" s="5686">
        <f>SUM(E62:E64)</f>
        <v>9</v>
      </c>
      <c r="F65" s="5682"/>
      <c r="G65" s="4921">
        <f>(E62+E63)/(E65)</f>
        <v>0.44444444444444442</v>
      </c>
      <c r="I65" s="4915">
        <v>1</v>
      </c>
      <c r="J65" s="4915">
        <v>2</v>
      </c>
      <c r="K65" s="4916" t="s">
        <v>2058</v>
      </c>
      <c r="L65" s="4916" t="s">
        <v>1071</v>
      </c>
      <c r="M65" s="4915">
        <v>2</v>
      </c>
      <c r="N65" s="4915">
        <v>9</v>
      </c>
      <c r="O65" s="157"/>
      <c r="Q65" s="4705"/>
      <c r="R65" s="4755"/>
      <c r="S65" s="4448"/>
      <c r="T65" s="4448"/>
      <c r="U65" s="4740">
        <f>SUM(U62:U64)</f>
        <v>4</v>
      </c>
      <c r="V65" s="4448"/>
      <c r="W65" s="4752">
        <v>0</v>
      </c>
      <c r="Y65" s="36"/>
      <c r="Z65" s="36"/>
      <c r="AA65" s="36"/>
      <c r="AB65" s="36" t="s">
        <v>1081</v>
      </c>
      <c r="AC65" s="1681">
        <v>0</v>
      </c>
      <c r="AD65" s="1681">
        <v>0</v>
      </c>
      <c r="AE65" s="1681"/>
      <c r="AF65" s="1681">
        <v>0</v>
      </c>
      <c r="AG65" s="1681">
        <v>0</v>
      </c>
      <c r="AH65" s="1681">
        <v>0</v>
      </c>
      <c r="AI65" s="1681">
        <v>1</v>
      </c>
      <c r="AJ65" s="1681">
        <v>1</v>
      </c>
      <c r="AK65" s="1681">
        <v>0</v>
      </c>
      <c r="AL65" s="95">
        <v>0</v>
      </c>
      <c r="AM65" s="95">
        <v>2</v>
      </c>
      <c r="AN65" s="4545"/>
      <c r="AS65" s="3868" t="s">
        <v>1072</v>
      </c>
      <c r="AT65" s="3721">
        <v>0</v>
      </c>
      <c r="AU65" s="3721">
        <v>10</v>
      </c>
      <c r="AV65" s="3721">
        <v>3</v>
      </c>
      <c r="AW65" s="3721">
        <v>1</v>
      </c>
      <c r="AX65" s="3721"/>
      <c r="AY65" s="3721">
        <v>1</v>
      </c>
      <c r="AZ65" s="3721"/>
      <c r="BA65" s="3721">
        <v>12</v>
      </c>
      <c r="BB65" s="3721">
        <v>14</v>
      </c>
      <c r="BC65" s="2110">
        <v>0</v>
      </c>
      <c r="BD65" s="2110">
        <v>0</v>
      </c>
      <c r="BE65" s="2110">
        <v>41</v>
      </c>
      <c r="BF65" s="2110"/>
      <c r="BG65" s="2110"/>
      <c r="BK65" s="32" t="s">
        <v>1163</v>
      </c>
      <c r="BL65" s="3871"/>
      <c r="BM65" s="3871">
        <v>0</v>
      </c>
      <c r="BN65" s="3871">
        <v>0</v>
      </c>
      <c r="BO65" s="3871"/>
      <c r="BP65" s="3871"/>
      <c r="BQ65" s="3871">
        <v>3</v>
      </c>
      <c r="BR65" s="3871">
        <v>1</v>
      </c>
      <c r="BS65" s="3871"/>
      <c r="BT65" s="1518">
        <v>0</v>
      </c>
      <c r="BU65" s="1518">
        <v>4</v>
      </c>
      <c r="BX65" s="36"/>
      <c r="BY65" s="36"/>
      <c r="BZ65" s="36"/>
      <c r="CA65" s="393" t="s">
        <v>483</v>
      </c>
      <c r="CB65" s="1682">
        <v>1</v>
      </c>
      <c r="CC65" s="1682"/>
      <c r="CD65" s="1682"/>
      <c r="CE65" s="1682"/>
      <c r="CF65" s="1682"/>
      <c r="CG65" s="1682">
        <v>18</v>
      </c>
      <c r="CH65" s="1682">
        <v>10</v>
      </c>
      <c r="CI65" s="1682">
        <v>2</v>
      </c>
      <c r="CJ65" s="2041"/>
      <c r="CK65" s="2041"/>
      <c r="CL65" s="2041">
        <v>31</v>
      </c>
      <c r="CM65" s="560">
        <f>+(CL64+CL63+CL61)/CL65</f>
        <v>0.32258064516129031</v>
      </c>
      <c r="CN65" s="1665"/>
      <c r="CO65" s="37"/>
      <c r="CP65" s="37"/>
      <c r="CQ65" s="37"/>
      <c r="CR65" s="37" t="s">
        <v>1076</v>
      </c>
      <c r="CS65" s="1678"/>
      <c r="CT65" s="1678"/>
      <c r="CU65" s="1678"/>
      <c r="CV65" s="1678"/>
      <c r="CW65" s="1678">
        <v>1</v>
      </c>
      <c r="CX65" s="1678">
        <v>0</v>
      </c>
      <c r="CY65" s="1678">
        <v>1</v>
      </c>
      <c r="CZ65" s="1678">
        <v>0</v>
      </c>
      <c r="DA65" s="1678">
        <v>0</v>
      </c>
      <c r="DB65" s="63"/>
      <c r="DC65" s="63"/>
      <c r="DD65" s="63">
        <v>2</v>
      </c>
      <c r="DG65" s="95"/>
      <c r="DH65" s="95"/>
      <c r="DI65" s="36"/>
      <c r="DJ65" s="36" t="s">
        <v>1081</v>
      </c>
      <c r="DK65" s="1484">
        <v>0</v>
      </c>
      <c r="DL65" s="1484">
        <v>0</v>
      </c>
      <c r="DM65" s="1484"/>
      <c r="DN65" s="1484"/>
      <c r="DO65" s="1484"/>
      <c r="DP65" s="1484"/>
      <c r="DQ65" s="1484">
        <v>7</v>
      </c>
      <c r="DR65" s="1484">
        <v>3</v>
      </c>
      <c r="DS65" s="1484">
        <v>1</v>
      </c>
      <c r="DT65" s="95">
        <v>0</v>
      </c>
      <c r="DU65" s="95">
        <v>0</v>
      </c>
      <c r="DV65" s="95">
        <v>11</v>
      </c>
      <c r="DW65" s="95"/>
      <c r="DY65" s="1209"/>
      <c r="DZ65" s="1209"/>
      <c r="EA65" s="1210"/>
      <c r="EB65" s="1211" t="s">
        <v>1163</v>
      </c>
      <c r="EC65" s="1212"/>
      <c r="ED65" s="1212"/>
      <c r="EE65" s="1213">
        <v>0</v>
      </c>
      <c r="EF65" s="1213">
        <v>0</v>
      </c>
      <c r="EG65" s="1213">
        <v>1</v>
      </c>
      <c r="EH65" s="1213">
        <v>2</v>
      </c>
      <c r="EI65" s="1212"/>
      <c r="EJ65" s="1212"/>
      <c r="EK65" s="611"/>
      <c r="EL65" s="611"/>
      <c r="EM65" s="612">
        <v>3</v>
      </c>
      <c r="EN65" s="36"/>
      <c r="EP65" s="527"/>
      <c r="EQ65" s="527"/>
      <c r="ER65" s="528"/>
      <c r="ES65" s="555" t="s">
        <v>726</v>
      </c>
      <c r="ET65" s="556"/>
      <c r="EU65" s="556"/>
      <c r="EV65" s="557">
        <v>4</v>
      </c>
      <c r="EW65" s="556"/>
      <c r="EX65" s="557">
        <v>2</v>
      </c>
      <c r="EY65" s="557">
        <v>2</v>
      </c>
      <c r="EZ65" s="556"/>
      <c r="FA65" s="556"/>
      <c r="FB65" s="558"/>
      <c r="FC65" s="558"/>
      <c r="FD65" s="559">
        <v>8</v>
      </c>
      <c r="FE65" s="560">
        <f>+FD64/FD65</f>
        <v>0.375</v>
      </c>
      <c r="FG65" s="533"/>
      <c r="FH65" s="533"/>
      <c r="FI65" s="533"/>
      <c r="FJ65" s="534" t="s">
        <v>1074</v>
      </c>
      <c r="FK65" s="535"/>
      <c r="FL65" s="536">
        <v>3</v>
      </c>
      <c r="FM65" s="536">
        <v>0</v>
      </c>
      <c r="FN65" s="536">
        <v>0</v>
      </c>
      <c r="FO65" s="536">
        <v>0</v>
      </c>
      <c r="FP65" s="536">
        <v>0</v>
      </c>
      <c r="FQ65" s="536">
        <v>0</v>
      </c>
      <c r="FR65" s="536">
        <v>0</v>
      </c>
      <c r="FS65" s="536">
        <v>0</v>
      </c>
      <c r="FT65" s="537"/>
      <c r="FU65" s="537"/>
      <c r="FV65" s="538">
        <v>3</v>
      </c>
      <c r="FW65" s="539"/>
      <c r="FY65" s="540"/>
      <c r="FZ65" s="540"/>
      <c r="GA65" s="540" t="s">
        <v>123</v>
      </c>
      <c r="GB65" s="541" t="s">
        <v>1071</v>
      </c>
      <c r="GC65" s="543">
        <v>0</v>
      </c>
      <c r="GD65" s="542"/>
      <c r="GE65" s="542"/>
      <c r="GF65" s="542"/>
      <c r="GG65" s="542"/>
      <c r="GH65" s="543">
        <v>0</v>
      </c>
      <c r="GI65" s="543">
        <v>0</v>
      </c>
      <c r="GJ65" s="543">
        <v>1</v>
      </c>
      <c r="GK65" s="543">
        <v>0</v>
      </c>
      <c r="GL65" s="543">
        <v>2</v>
      </c>
      <c r="GM65" s="543">
        <v>3</v>
      </c>
      <c r="GN65" s="445"/>
      <c r="GP65" s="63"/>
      <c r="GQ65" s="63"/>
      <c r="GR65" s="37"/>
      <c r="GS65" s="416" t="s">
        <v>15</v>
      </c>
      <c r="GT65" s="386"/>
      <c r="GU65" s="386">
        <v>1</v>
      </c>
      <c r="GV65" s="386"/>
      <c r="GW65" s="386"/>
      <c r="GX65" s="386"/>
      <c r="GY65" s="386">
        <v>1</v>
      </c>
      <c r="GZ65" s="386">
        <v>1</v>
      </c>
      <c r="HA65" s="386">
        <v>11</v>
      </c>
      <c r="HB65" s="386"/>
      <c r="HC65" s="386"/>
      <c r="HD65" s="386">
        <v>14</v>
      </c>
      <c r="HE65" s="466">
        <f>+HD63/HD65</f>
        <v>0.14285714285714285</v>
      </c>
      <c r="HF65" s="37"/>
      <c r="HG65" s="446"/>
      <c r="HH65" s="446"/>
      <c r="HI65" s="446"/>
      <c r="HJ65" s="446" t="s">
        <v>1163</v>
      </c>
      <c r="HK65" s="446">
        <v>0</v>
      </c>
      <c r="HL65" s="446">
        <v>0</v>
      </c>
      <c r="HM65" s="446">
        <v>0</v>
      </c>
      <c r="HN65" s="446">
        <v>0</v>
      </c>
      <c r="HO65" s="446">
        <v>0</v>
      </c>
      <c r="HP65" s="446">
        <v>0</v>
      </c>
      <c r="HQ65" s="446">
        <v>2</v>
      </c>
      <c r="HR65" s="446">
        <v>3</v>
      </c>
      <c r="HS65" s="446">
        <v>0</v>
      </c>
      <c r="HT65" s="446">
        <v>0</v>
      </c>
      <c r="HU65" s="446">
        <v>0</v>
      </c>
      <c r="HV65" s="447">
        <v>5</v>
      </c>
      <c r="HW65" s="544"/>
      <c r="HX65" s="448"/>
    </row>
    <row r="66" spans="1:232">
      <c r="A66" s="5682">
        <v>1</v>
      </c>
      <c r="B66" s="5682">
        <v>2</v>
      </c>
      <c r="C66" s="5683" t="s">
        <v>2068</v>
      </c>
      <c r="D66" s="5683" t="s">
        <v>2703</v>
      </c>
      <c r="E66" s="5682">
        <v>1</v>
      </c>
      <c r="F66" s="5682">
        <v>2</v>
      </c>
      <c r="I66" s="4915">
        <v>1</v>
      </c>
      <c r="J66" s="4915">
        <v>2</v>
      </c>
      <c r="K66" s="4916" t="s">
        <v>2058</v>
      </c>
      <c r="L66" s="4916" t="s">
        <v>2703</v>
      </c>
      <c r="M66" s="4915">
        <v>2</v>
      </c>
      <c r="N66" s="4915">
        <v>1</v>
      </c>
      <c r="O66" s="157"/>
      <c r="Q66" s="4705"/>
      <c r="R66" s="4832"/>
      <c r="S66" s="4634"/>
      <c r="T66" s="4634"/>
      <c r="U66" s="4758">
        <v>0</v>
      </c>
      <c r="V66" s="4634"/>
      <c r="W66" s="4722"/>
      <c r="Y66" s="36"/>
      <c r="Z66" s="36"/>
      <c r="AA66" s="36"/>
      <c r="AB66" s="36" t="s">
        <v>2571</v>
      </c>
      <c r="AC66" s="1681">
        <v>4</v>
      </c>
      <c r="AD66" s="1681">
        <v>0</v>
      </c>
      <c r="AE66" s="1681"/>
      <c r="AF66" s="1681">
        <v>0</v>
      </c>
      <c r="AG66" s="1681">
        <v>0</v>
      </c>
      <c r="AH66" s="1681">
        <v>0</v>
      </c>
      <c r="AI66" s="1681">
        <v>0</v>
      </c>
      <c r="AJ66" s="1681">
        <v>0</v>
      </c>
      <c r="AK66" s="1681">
        <v>0</v>
      </c>
      <c r="AL66" s="95">
        <v>0</v>
      </c>
      <c r="AM66" s="95">
        <v>4</v>
      </c>
      <c r="AN66" s="4545"/>
      <c r="AS66" s="3868" t="s">
        <v>1077</v>
      </c>
      <c r="AT66" s="3721">
        <v>0</v>
      </c>
      <c r="AU66" s="3721">
        <v>0</v>
      </c>
      <c r="AV66" s="3721">
        <v>0</v>
      </c>
      <c r="AW66" s="3721">
        <v>1</v>
      </c>
      <c r="AX66" s="3721"/>
      <c r="AY66" s="3721">
        <v>0</v>
      </c>
      <c r="AZ66" s="3721"/>
      <c r="BA66" s="3721">
        <v>0</v>
      </c>
      <c r="BB66" s="3721">
        <v>0</v>
      </c>
      <c r="BC66" s="2110">
        <v>0</v>
      </c>
      <c r="BD66" s="2110">
        <v>0</v>
      </c>
      <c r="BE66" s="2110">
        <v>1</v>
      </c>
      <c r="BF66" s="2110"/>
      <c r="BG66" s="2110"/>
      <c r="BK66" s="32" t="s">
        <v>2264</v>
      </c>
      <c r="BL66" s="3871"/>
      <c r="BM66" s="3871">
        <v>1</v>
      </c>
      <c r="BN66" s="3871">
        <v>0</v>
      </c>
      <c r="BO66" s="3871"/>
      <c r="BP66" s="3871"/>
      <c r="BQ66" s="3871">
        <v>0</v>
      </c>
      <c r="BR66" s="3871">
        <v>0</v>
      </c>
      <c r="BS66" s="3871"/>
      <c r="BT66" s="1518">
        <v>0</v>
      </c>
      <c r="BU66" s="1518">
        <v>1</v>
      </c>
      <c r="BX66" s="36"/>
      <c r="BY66" s="36" t="s">
        <v>21</v>
      </c>
      <c r="BZ66" s="36" t="s">
        <v>1455</v>
      </c>
      <c r="CA66" s="36" t="s">
        <v>1076</v>
      </c>
      <c r="CB66" s="1681"/>
      <c r="CC66" s="1681"/>
      <c r="CD66" s="1681"/>
      <c r="CE66" s="1681"/>
      <c r="CF66" s="1681"/>
      <c r="CG66" s="1681"/>
      <c r="CH66" s="1681">
        <v>1</v>
      </c>
      <c r="CI66" s="1681">
        <v>0</v>
      </c>
      <c r="CJ66" s="95"/>
      <c r="CK66" s="95"/>
      <c r="CL66" s="95">
        <v>1</v>
      </c>
      <c r="CM66" s="36"/>
      <c r="CO66" s="37"/>
      <c r="CP66" s="37"/>
      <c r="CQ66" s="37"/>
      <c r="CR66" s="37" t="s">
        <v>1080</v>
      </c>
      <c r="CS66" s="1678"/>
      <c r="CT66" s="1678"/>
      <c r="CU66" s="1678"/>
      <c r="CV66" s="1678"/>
      <c r="CW66" s="1678">
        <v>0</v>
      </c>
      <c r="CX66" s="1678">
        <v>0</v>
      </c>
      <c r="CY66" s="1678">
        <v>0</v>
      </c>
      <c r="CZ66" s="1678">
        <v>0</v>
      </c>
      <c r="DA66" s="1678">
        <v>1</v>
      </c>
      <c r="DB66" s="63"/>
      <c r="DC66" s="63"/>
      <c r="DD66" s="63">
        <v>1</v>
      </c>
      <c r="DG66" s="95"/>
      <c r="DH66" s="95"/>
      <c r="DI66" s="36"/>
      <c r="DJ66" s="36" t="s">
        <v>1163</v>
      </c>
      <c r="DK66" s="1484">
        <v>0</v>
      </c>
      <c r="DL66" s="1484">
        <v>0</v>
      </c>
      <c r="DM66" s="1484"/>
      <c r="DN66" s="1484"/>
      <c r="DO66" s="1484"/>
      <c r="DP66" s="1484"/>
      <c r="DQ66" s="1484">
        <v>1</v>
      </c>
      <c r="DR66" s="1484">
        <v>11</v>
      </c>
      <c r="DS66" s="1484">
        <v>0</v>
      </c>
      <c r="DT66" s="95">
        <v>0</v>
      </c>
      <c r="DU66" s="95">
        <v>0</v>
      </c>
      <c r="DV66" s="95">
        <v>12</v>
      </c>
      <c r="DW66" s="95"/>
      <c r="DY66" s="1209"/>
      <c r="DZ66" s="1209"/>
      <c r="EA66" s="1210"/>
      <c r="EB66" s="415" t="s">
        <v>15</v>
      </c>
      <c r="EC66" s="1214"/>
      <c r="ED66" s="1214"/>
      <c r="EE66" s="1215">
        <v>4</v>
      </c>
      <c r="EF66" s="1215">
        <v>6</v>
      </c>
      <c r="EG66" s="1215">
        <v>8</v>
      </c>
      <c r="EH66" s="1215">
        <v>12</v>
      </c>
      <c r="EI66" s="1214"/>
      <c r="EJ66" s="1214"/>
      <c r="EK66" s="620"/>
      <c r="EL66" s="620"/>
      <c r="EM66" s="621">
        <v>30</v>
      </c>
      <c r="EN66" s="1178">
        <f>+(EM63+EM65)/EM66</f>
        <v>0.16666666666666666</v>
      </c>
      <c r="EP66" s="527"/>
      <c r="EQ66" s="527"/>
      <c r="ER66" s="555" t="s">
        <v>105</v>
      </c>
      <c r="ES66" s="529" t="s">
        <v>1071</v>
      </c>
      <c r="ET66" s="531">
        <v>0</v>
      </c>
      <c r="EU66" s="531">
        <v>0</v>
      </c>
      <c r="EV66" s="531">
        <v>0</v>
      </c>
      <c r="EW66" s="530"/>
      <c r="EX66" s="531">
        <v>0</v>
      </c>
      <c r="EY66" s="531">
        <v>0</v>
      </c>
      <c r="EZ66" s="531">
        <v>1</v>
      </c>
      <c r="FA66" s="531">
        <v>5</v>
      </c>
      <c r="FB66" s="527"/>
      <c r="FC66" s="527"/>
      <c r="FD66" s="532">
        <v>6</v>
      </c>
      <c r="FE66" s="95"/>
      <c r="FG66" s="533"/>
      <c r="FH66" s="533"/>
      <c r="FI66" s="533"/>
      <c r="FJ66" s="534" t="s">
        <v>1076</v>
      </c>
      <c r="FK66" s="535"/>
      <c r="FL66" s="536">
        <v>0</v>
      </c>
      <c r="FM66" s="536">
        <v>0</v>
      </c>
      <c r="FN66" s="536">
        <v>0</v>
      </c>
      <c r="FO66" s="536">
        <v>1</v>
      </c>
      <c r="FP66" s="536">
        <v>0</v>
      </c>
      <c r="FQ66" s="536">
        <v>8</v>
      </c>
      <c r="FR66" s="536">
        <v>1</v>
      </c>
      <c r="FS66" s="536">
        <v>0</v>
      </c>
      <c r="FT66" s="537"/>
      <c r="FU66" s="537"/>
      <c r="FV66" s="538">
        <v>10</v>
      </c>
      <c r="FW66" s="539"/>
      <c r="FY66" s="540"/>
      <c r="FZ66" s="540"/>
      <c r="GA66" s="540"/>
      <c r="GB66" s="541" t="s">
        <v>1072</v>
      </c>
      <c r="GC66" s="543">
        <v>1</v>
      </c>
      <c r="GD66" s="542"/>
      <c r="GE66" s="542"/>
      <c r="GF66" s="542"/>
      <c r="GG66" s="542"/>
      <c r="GH66" s="543">
        <v>2</v>
      </c>
      <c r="GI66" s="543">
        <v>1</v>
      </c>
      <c r="GJ66" s="543">
        <v>3</v>
      </c>
      <c r="GK66" s="543">
        <v>0</v>
      </c>
      <c r="GL66" s="543">
        <v>0</v>
      </c>
      <c r="GM66" s="543">
        <v>7</v>
      </c>
      <c r="GN66" s="445"/>
      <c r="GP66" s="63"/>
      <c r="GQ66" s="63"/>
      <c r="GR66" s="37" t="s">
        <v>123</v>
      </c>
      <c r="GS66" s="37" t="s">
        <v>1071</v>
      </c>
      <c r="GT66" s="63">
        <v>0</v>
      </c>
      <c r="GU66" s="63"/>
      <c r="GV66" s="63"/>
      <c r="GW66" s="63"/>
      <c r="GX66" s="63"/>
      <c r="GY66" s="63"/>
      <c r="GZ66" s="63">
        <v>0</v>
      </c>
      <c r="HA66" s="63">
        <v>1</v>
      </c>
      <c r="HB66" s="63"/>
      <c r="HC66" s="63">
        <v>0</v>
      </c>
      <c r="HD66" s="63">
        <v>1</v>
      </c>
      <c r="HE66" s="37"/>
      <c r="HF66" s="37"/>
      <c r="HG66" s="446"/>
      <c r="HH66" s="446"/>
      <c r="HI66" s="446"/>
      <c r="HJ66" s="449" t="s">
        <v>15</v>
      </c>
      <c r="HK66" s="449">
        <v>0</v>
      </c>
      <c r="HL66" s="449">
        <v>0</v>
      </c>
      <c r="HM66" s="449">
        <v>0</v>
      </c>
      <c r="HN66" s="449">
        <v>0</v>
      </c>
      <c r="HO66" s="449">
        <v>0</v>
      </c>
      <c r="HP66" s="449">
        <v>0</v>
      </c>
      <c r="HQ66" s="449">
        <v>2</v>
      </c>
      <c r="HR66" s="449">
        <v>8</v>
      </c>
      <c r="HS66" s="449">
        <v>2</v>
      </c>
      <c r="HT66" s="449">
        <v>2</v>
      </c>
      <c r="HU66" s="449">
        <v>1</v>
      </c>
      <c r="HV66" s="507">
        <v>15</v>
      </c>
      <c r="HW66" s="554">
        <f>+(HV65+HV63-HT63)/HV66</f>
        <v>0.33333333333333331</v>
      </c>
      <c r="HX66" s="448">
        <f>+HV63+HV65-HT63</f>
        <v>5</v>
      </c>
    </row>
    <row r="67" spans="1:232">
      <c r="A67" s="5682">
        <v>1</v>
      </c>
      <c r="B67" s="5682">
        <v>2</v>
      </c>
      <c r="C67" s="5683" t="s">
        <v>2068</v>
      </c>
      <c r="D67" s="5685" t="s">
        <v>2707</v>
      </c>
      <c r="E67" s="5682">
        <v>1</v>
      </c>
      <c r="F67" s="5682">
        <v>6</v>
      </c>
      <c r="I67" s="4915">
        <v>1</v>
      </c>
      <c r="J67" s="4915">
        <v>2</v>
      </c>
      <c r="K67" s="4916" t="s">
        <v>2058</v>
      </c>
      <c r="L67" s="4917" t="s">
        <v>2707</v>
      </c>
      <c r="M67" s="4922">
        <v>1</v>
      </c>
      <c r="N67" s="4915">
        <v>8</v>
      </c>
      <c r="O67" s="157"/>
      <c r="Q67" s="4705"/>
      <c r="R67" s="4744"/>
      <c r="S67" s="4749" t="s">
        <v>21</v>
      </c>
      <c r="T67" s="4737"/>
      <c r="U67" s="4740">
        <f>SUM(U65,U61)</f>
        <v>8</v>
      </c>
      <c r="V67" s="4751"/>
      <c r="W67" s="4752">
        <v>0</v>
      </c>
      <c r="Y67" s="36"/>
      <c r="Z67" s="36"/>
      <c r="AA67" s="36"/>
      <c r="AB67" s="36" t="s">
        <v>15</v>
      </c>
      <c r="AC67" s="1681">
        <v>4</v>
      </c>
      <c r="AD67" s="1681">
        <v>2</v>
      </c>
      <c r="AE67" s="1681"/>
      <c r="AF67" s="1681">
        <v>1</v>
      </c>
      <c r="AG67" s="1681">
        <v>1</v>
      </c>
      <c r="AH67" s="1681">
        <v>4</v>
      </c>
      <c r="AI67" s="1681">
        <v>41</v>
      </c>
      <c r="AJ67" s="1681">
        <v>48</v>
      </c>
      <c r="AK67" s="1681">
        <v>5</v>
      </c>
      <c r="AL67" s="95">
        <v>1</v>
      </c>
      <c r="AM67" s="95">
        <v>107</v>
      </c>
      <c r="AN67" s="560">
        <f>+(AI62+AI65+AJ65)/(AM67-AM66)</f>
        <v>4.8543689320388349E-2</v>
      </c>
      <c r="AS67" s="3868" t="s">
        <v>1080</v>
      </c>
      <c r="AT67" s="3721">
        <v>0</v>
      </c>
      <c r="AU67" s="3721">
        <v>0</v>
      </c>
      <c r="AV67" s="3721">
        <v>0</v>
      </c>
      <c r="AW67" s="3721">
        <v>0</v>
      </c>
      <c r="AX67" s="3721"/>
      <c r="AY67" s="3721">
        <v>0</v>
      </c>
      <c r="AZ67" s="3721"/>
      <c r="BA67" s="3721">
        <v>0</v>
      </c>
      <c r="BB67" s="3721">
        <v>0</v>
      </c>
      <c r="BC67" s="2110">
        <v>8</v>
      </c>
      <c r="BD67" s="2110">
        <v>1</v>
      </c>
      <c r="BE67" s="2110">
        <v>9</v>
      </c>
      <c r="BF67" s="2110"/>
      <c r="BG67" s="2110"/>
      <c r="BK67" s="1520" t="s">
        <v>15</v>
      </c>
      <c r="BL67" s="3872"/>
      <c r="BM67" s="3872">
        <v>1</v>
      </c>
      <c r="BN67" s="3872">
        <v>1</v>
      </c>
      <c r="BO67" s="3872"/>
      <c r="BP67" s="3872"/>
      <c r="BQ67" s="3872">
        <v>7</v>
      </c>
      <c r="BR67" s="3872">
        <v>4</v>
      </c>
      <c r="BS67" s="3872"/>
      <c r="BT67" s="3806">
        <v>3</v>
      </c>
      <c r="BU67" s="3806">
        <v>16</v>
      </c>
      <c r="BV67" s="3807">
        <f>+(BU64+BU65)/BU67</f>
        <v>0.3125</v>
      </c>
      <c r="BX67" s="36"/>
      <c r="BY67" s="36"/>
      <c r="BZ67" s="36"/>
      <c r="CA67" s="36" t="s">
        <v>1080</v>
      </c>
      <c r="CB67" s="1681"/>
      <c r="CC67" s="1681"/>
      <c r="CD67" s="1681"/>
      <c r="CE67" s="1681"/>
      <c r="CF67" s="1681"/>
      <c r="CG67" s="1681"/>
      <c r="CH67" s="1681">
        <v>0</v>
      </c>
      <c r="CI67" s="1681">
        <v>1</v>
      </c>
      <c r="CJ67" s="95"/>
      <c r="CK67" s="95"/>
      <c r="CL67" s="95">
        <v>1</v>
      </c>
      <c r="CM67" s="36"/>
      <c r="CO67" s="37"/>
      <c r="CP67" s="37"/>
      <c r="CQ67" s="37"/>
      <c r="CR67" s="37" t="s">
        <v>1081</v>
      </c>
      <c r="CS67" s="1678"/>
      <c r="CT67" s="1678"/>
      <c r="CU67" s="1678"/>
      <c r="CV67" s="1678"/>
      <c r="CW67" s="1678">
        <v>0</v>
      </c>
      <c r="CX67" s="1678">
        <v>2</v>
      </c>
      <c r="CY67" s="1678">
        <v>0</v>
      </c>
      <c r="CZ67" s="1678">
        <v>0</v>
      </c>
      <c r="DA67" s="1678">
        <v>0</v>
      </c>
      <c r="DB67" s="63"/>
      <c r="DC67" s="63"/>
      <c r="DD67" s="63">
        <v>2</v>
      </c>
      <c r="DG67" s="95"/>
      <c r="DH67" s="95"/>
      <c r="DI67" s="36"/>
      <c r="DJ67" s="393" t="s">
        <v>483</v>
      </c>
      <c r="DK67" s="1485">
        <v>1</v>
      </c>
      <c r="DL67" s="1485">
        <v>2</v>
      </c>
      <c r="DM67" s="1485"/>
      <c r="DN67" s="1485"/>
      <c r="DO67" s="1485"/>
      <c r="DP67" s="1485"/>
      <c r="DQ67" s="1485">
        <v>22</v>
      </c>
      <c r="DR67" s="1485">
        <v>21</v>
      </c>
      <c r="DS67" s="1485">
        <v>3</v>
      </c>
      <c r="DT67" s="86">
        <v>3</v>
      </c>
      <c r="DU67" s="86">
        <v>1</v>
      </c>
      <c r="DV67" s="86">
        <v>53</v>
      </c>
      <c r="DW67" s="560">
        <f>+(DV62+DV65+DV66)/DV67</f>
        <v>0.45283018867924529</v>
      </c>
      <c r="DY67" s="1209"/>
      <c r="DZ67" s="1209"/>
      <c r="EA67" s="1210" t="s">
        <v>1455</v>
      </c>
      <c r="EB67" s="1211" t="s">
        <v>1072</v>
      </c>
      <c r="EC67" s="1212"/>
      <c r="ED67" s="1212"/>
      <c r="EE67" s="1212"/>
      <c r="EF67" s="1212"/>
      <c r="EG67" s="1213">
        <v>0</v>
      </c>
      <c r="EH67" s="1212"/>
      <c r="EI67" s="1213">
        <v>1</v>
      </c>
      <c r="EJ67" s="1213">
        <v>0</v>
      </c>
      <c r="EK67" s="611"/>
      <c r="EL67" s="611"/>
      <c r="EM67" s="612">
        <v>1</v>
      </c>
      <c r="EN67" s="36"/>
      <c r="EP67" s="527"/>
      <c r="EQ67" s="527"/>
      <c r="ER67" s="528"/>
      <c r="ES67" s="529" t="s">
        <v>1072</v>
      </c>
      <c r="ET67" s="531">
        <v>1</v>
      </c>
      <c r="EU67" s="531">
        <v>0</v>
      </c>
      <c r="EV67" s="531">
        <v>0</v>
      </c>
      <c r="EW67" s="530"/>
      <c r="EX67" s="531">
        <v>1</v>
      </c>
      <c r="EY67" s="531">
        <v>10</v>
      </c>
      <c r="EZ67" s="531">
        <v>15</v>
      </c>
      <c r="FA67" s="531">
        <v>3</v>
      </c>
      <c r="FB67" s="527"/>
      <c r="FC67" s="527"/>
      <c r="FD67" s="532">
        <v>30</v>
      </c>
      <c r="FE67" s="95"/>
      <c r="FG67" s="533"/>
      <c r="FH67" s="533"/>
      <c r="FI67" s="533"/>
      <c r="FJ67" s="534" t="s">
        <v>1077</v>
      </c>
      <c r="FK67" s="535"/>
      <c r="FL67" s="536">
        <v>1</v>
      </c>
      <c r="FM67" s="536">
        <v>2</v>
      </c>
      <c r="FN67" s="536">
        <v>15</v>
      </c>
      <c r="FO67" s="536">
        <v>10</v>
      </c>
      <c r="FP67" s="536">
        <v>10</v>
      </c>
      <c r="FQ67" s="536">
        <v>5</v>
      </c>
      <c r="FR67" s="536">
        <v>0</v>
      </c>
      <c r="FS67" s="536">
        <v>0</v>
      </c>
      <c r="FT67" s="537"/>
      <c r="FU67" s="537"/>
      <c r="FV67" s="538">
        <v>43</v>
      </c>
      <c r="FW67" s="539"/>
      <c r="FY67" s="540"/>
      <c r="FZ67" s="540"/>
      <c r="GA67" s="540"/>
      <c r="GB67" s="541" t="s">
        <v>1076</v>
      </c>
      <c r="GC67" s="543">
        <v>0</v>
      </c>
      <c r="GD67" s="542"/>
      <c r="GE67" s="542"/>
      <c r="GF67" s="542"/>
      <c r="GG67" s="542"/>
      <c r="GH67" s="543">
        <v>0</v>
      </c>
      <c r="GI67" s="543">
        <v>0</v>
      </c>
      <c r="GJ67" s="543">
        <v>0</v>
      </c>
      <c r="GK67" s="543">
        <v>1</v>
      </c>
      <c r="GL67" s="543">
        <v>0</v>
      </c>
      <c r="GM67" s="543">
        <v>1</v>
      </c>
      <c r="GN67" s="445"/>
      <c r="GP67" s="63"/>
      <c r="GQ67" s="63"/>
      <c r="GR67" s="37"/>
      <c r="GS67" s="37" t="s">
        <v>1072</v>
      </c>
      <c r="GT67" s="63">
        <v>1</v>
      </c>
      <c r="GU67" s="63"/>
      <c r="GV67" s="63"/>
      <c r="GW67" s="63"/>
      <c r="GX67" s="63"/>
      <c r="GY67" s="63"/>
      <c r="GZ67" s="63">
        <v>2</v>
      </c>
      <c r="HA67" s="63">
        <v>0</v>
      </c>
      <c r="HB67" s="63"/>
      <c r="HC67" s="63">
        <v>0</v>
      </c>
      <c r="HD67" s="63">
        <v>3</v>
      </c>
      <c r="HE67" s="37"/>
      <c r="HF67" s="37"/>
      <c r="HG67" s="446"/>
      <c r="HH67" s="446"/>
      <c r="HI67" s="446" t="s">
        <v>1164</v>
      </c>
      <c r="HJ67" s="446" t="s">
        <v>1077</v>
      </c>
      <c r="HK67" s="446">
        <v>0</v>
      </c>
      <c r="HL67" s="446">
        <v>0</v>
      </c>
      <c r="HM67" s="446">
        <v>0</v>
      </c>
      <c r="HN67" s="446">
        <v>0</v>
      </c>
      <c r="HO67" s="446">
        <v>0</v>
      </c>
      <c r="HP67" s="446">
        <v>0</v>
      </c>
      <c r="HQ67" s="446">
        <v>1</v>
      </c>
      <c r="HR67" s="446">
        <v>0</v>
      </c>
      <c r="HS67" s="446">
        <v>0</v>
      </c>
      <c r="HT67" s="446">
        <v>0</v>
      </c>
      <c r="HU67" s="446">
        <v>0</v>
      </c>
      <c r="HV67" s="447">
        <v>1</v>
      </c>
      <c r="HW67" s="544"/>
      <c r="HX67" s="448"/>
    </row>
    <row r="68" spans="1:232">
      <c r="A68" s="5682">
        <v>1</v>
      </c>
      <c r="B68" s="5682">
        <v>2</v>
      </c>
      <c r="C68" s="5683" t="s">
        <v>2068</v>
      </c>
      <c r="D68" s="5685" t="s">
        <v>1076</v>
      </c>
      <c r="E68" s="5682">
        <v>2</v>
      </c>
      <c r="F68" s="5682">
        <v>6</v>
      </c>
      <c r="I68" s="4915">
        <v>1</v>
      </c>
      <c r="J68" s="4915">
        <v>2</v>
      </c>
      <c r="K68" s="4916" t="s">
        <v>2058</v>
      </c>
      <c r="L68" s="4916" t="s">
        <v>2709</v>
      </c>
      <c r="M68" s="4915">
        <v>2</v>
      </c>
      <c r="N68" s="4915">
        <v>7</v>
      </c>
      <c r="O68" s="157"/>
      <c r="Q68" s="4705"/>
      <c r="R68" s="4756"/>
      <c r="S68" s="4754"/>
      <c r="T68" s="4734"/>
      <c r="U68" s="4748">
        <f>SUM(U48,U58,U66)</f>
        <v>21</v>
      </c>
      <c r="V68" s="4735"/>
      <c r="W68" s="4757"/>
      <c r="X68" s="4452"/>
      <c r="Y68" s="36" t="s">
        <v>25</v>
      </c>
      <c r="Z68" s="36" t="s">
        <v>4</v>
      </c>
      <c r="AA68" s="36" t="s">
        <v>119</v>
      </c>
      <c r="AB68" s="36" t="s">
        <v>1071</v>
      </c>
      <c r="AC68" s="1681">
        <v>0</v>
      </c>
      <c r="AD68" s="1681"/>
      <c r="AE68" s="1681">
        <v>0</v>
      </c>
      <c r="AF68" s="1681"/>
      <c r="AG68" s="1681"/>
      <c r="AH68" s="1681"/>
      <c r="AI68" s="1681"/>
      <c r="AJ68" s="1681">
        <v>1</v>
      </c>
      <c r="AK68" s="1681">
        <v>0</v>
      </c>
      <c r="AL68" s="95">
        <v>0</v>
      </c>
      <c r="AM68" s="95">
        <v>1</v>
      </c>
      <c r="AN68" s="4545"/>
      <c r="AS68" s="3868" t="s">
        <v>2571</v>
      </c>
      <c r="AT68" s="3721">
        <v>6</v>
      </c>
      <c r="AU68" s="3721">
        <v>0</v>
      </c>
      <c r="AV68" s="3721">
        <v>0</v>
      </c>
      <c r="AW68" s="3721">
        <v>0</v>
      </c>
      <c r="AX68" s="3721"/>
      <c r="AY68" s="3721">
        <v>0</v>
      </c>
      <c r="AZ68" s="3721"/>
      <c r="BA68" s="3721">
        <v>0</v>
      </c>
      <c r="BB68" s="3721">
        <v>0</v>
      </c>
      <c r="BC68" s="2110">
        <v>0</v>
      </c>
      <c r="BD68" s="2110">
        <v>0</v>
      </c>
      <c r="BE68" s="2110">
        <v>6</v>
      </c>
      <c r="BF68" s="2110"/>
      <c r="BG68" s="2110"/>
      <c r="BJ68" s="1520" t="s">
        <v>483</v>
      </c>
      <c r="BK68" s="1520" t="s">
        <v>1071</v>
      </c>
      <c r="BL68" s="3872">
        <v>0</v>
      </c>
      <c r="BM68" s="3872">
        <v>0</v>
      </c>
      <c r="BN68" s="3872">
        <v>0</v>
      </c>
      <c r="BO68" s="3872">
        <v>1</v>
      </c>
      <c r="BP68" s="3872">
        <v>0</v>
      </c>
      <c r="BQ68" s="3872">
        <v>0</v>
      </c>
      <c r="BR68" s="3872">
        <v>0</v>
      </c>
      <c r="BS68" s="3872">
        <v>0</v>
      </c>
      <c r="BT68" s="3806">
        <v>2</v>
      </c>
      <c r="BU68" s="3806">
        <v>3</v>
      </c>
      <c r="BX68" s="36"/>
      <c r="BY68" s="36"/>
      <c r="BZ68" s="36"/>
      <c r="CA68" s="393" t="s">
        <v>15</v>
      </c>
      <c r="CB68" s="1682"/>
      <c r="CC68" s="1682"/>
      <c r="CD68" s="1682"/>
      <c r="CE68" s="1682"/>
      <c r="CF68" s="1682"/>
      <c r="CG68" s="1682"/>
      <c r="CH68" s="1682">
        <v>1</v>
      </c>
      <c r="CI68" s="1682">
        <v>1</v>
      </c>
      <c r="CJ68" s="2041"/>
      <c r="CK68" s="2041"/>
      <c r="CL68" s="2041">
        <v>2</v>
      </c>
      <c r="CM68" s="560">
        <f>+CL66/CL68</f>
        <v>0.5</v>
      </c>
      <c r="CN68" s="1665"/>
      <c r="CO68" s="37"/>
      <c r="CP68" s="37"/>
      <c r="CQ68" s="37"/>
      <c r="CR68" s="37" t="s">
        <v>1163</v>
      </c>
      <c r="CS68" s="1678"/>
      <c r="CT68" s="1678"/>
      <c r="CU68" s="1678"/>
      <c r="CV68" s="1678"/>
      <c r="CW68" s="1678">
        <v>0</v>
      </c>
      <c r="CX68" s="1678">
        <v>1</v>
      </c>
      <c r="CY68" s="1678">
        <v>0</v>
      </c>
      <c r="CZ68" s="1678">
        <v>0</v>
      </c>
      <c r="DA68" s="1678">
        <v>0</v>
      </c>
      <c r="DB68" s="63"/>
      <c r="DC68" s="63"/>
      <c r="DD68" s="63">
        <v>1</v>
      </c>
      <c r="DG68" s="95"/>
      <c r="DH68" s="95" t="s">
        <v>103</v>
      </c>
      <c r="DI68" s="36" t="s">
        <v>1456</v>
      </c>
      <c r="DJ68" s="36" t="s">
        <v>1072</v>
      </c>
      <c r="DK68" s="1484"/>
      <c r="DL68" s="1484"/>
      <c r="DM68" s="1484"/>
      <c r="DN68" s="1484"/>
      <c r="DO68" s="1484"/>
      <c r="DP68" s="1484">
        <v>1</v>
      </c>
      <c r="DQ68" s="1484">
        <v>1</v>
      </c>
      <c r="DR68" s="1484"/>
      <c r="DS68" s="1484">
        <v>0</v>
      </c>
      <c r="DT68" s="95"/>
      <c r="DU68" s="95"/>
      <c r="DV68" s="95">
        <v>2</v>
      </c>
      <c r="DW68" s="95"/>
      <c r="DY68" s="1209"/>
      <c r="DZ68" s="1209"/>
      <c r="EA68" s="1210"/>
      <c r="EB68" s="1211" t="s">
        <v>1080</v>
      </c>
      <c r="EC68" s="1212"/>
      <c r="ED68" s="1212"/>
      <c r="EE68" s="1212"/>
      <c r="EF68" s="1212"/>
      <c r="EG68" s="1213">
        <v>1</v>
      </c>
      <c r="EH68" s="1212"/>
      <c r="EI68" s="1213">
        <v>1</v>
      </c>
      <c r="EJ68" s="1213">
        <v>2</v>
      </c>
      <c r="EK68" s="611"/>
      <c r="EL68" s="611"/>
      <c r="EM68" s="612">
        <v>4</v>
      </c>
      <c r="EN68" s="36"/>
      <c r="EP68" s="527"/>
      <c r="EQ68" s="527"/>
      <c r="ER68" s="528"/>
      <c r="ES68" s="529" t="s">
        <v>1074</v>
      </c>
      <c r="ET68" s="531">
        <v>2</v>
      </c>
      <c r="EU68" s="531">
        <v>1</v>
      </c>
      <c r="EV68" s="531">
        <v>0</v>
      </c>
      <c r="EW68" s="530"/>
      <c r="EX68" s="531">
        <v>0</v>
      </c>
      <c r="EY68" s="531">
        <v>0</v>
      </c>
      <c r="EZ68" s="531">
        <v>0</v>
      </c>
      <c r="FA68" s="531">
        <v>0</v>
      </c>
      <c r="FB68" s="527"/>
      <c r="FC68" s="527"/>
      <c r="FD68" s="532">
        <v>3</v>
      </c>
      <c r="FE68" s="95"/>
      <c r="FG68" s="533"/>
      <c r="FH68" s="533"/>
      <c r="FI68" s="533"/>
      <c r="FJ68" s="534" t="s">
        <v>1080</v>
      </c>
      <c r="FK68" s="535"/>
      <c r="FL68" s="536">
        <v>0</v>
      </c>
      <c r="FM68" s="536">
        <v>0</v>
      </c>
      <c r="FN68" s="536">
        <v>0</v>
      </c>
      <c r="FO68" s="536">
        <v>0</v>
      </c>
      <c r="FP68" s="536">
        <v>2</v>
      </c>
      <c r="FQ68" s="536">
        <v>0</v>
      </c>
      <c r="FR68" s="536">
        <v>0</v>
      </c>
      <c r="FS68" s="536">
        <v>9</v>
      </c>
      <c r="FT68" s="537"/>
      <c r="FU68" s="537"/>
      <c r="FV68" s="538">
        <v>11</v>
      </c>
      <c r="FW68" s="539"/>
      <c r="FY68" s="540"/>
      <c r="FZ68" s="540"/>
      <c r="GA68" s="540"/>
      <c r="GB68" s="541" t="s">
        <v>1080</v>
      </c>
      <c r="GC68" s="543">
        <v>0</v>
      </c>
      <c r="GD68" s="542"/>
      <c r="GE68" s="542"/>
      <c r="GF68" s="542"/>
      <c r="GG68" s="542"/>
      <c r="GH68" s="543">
        <v>0</v>
      </c>
      <c r="GI68" s="543">
        <v>0</v>
      </c>
      <c r="GJ68" s="543">
        <v>0</v>
      </c>
      <c r="GK68" s="543">
        <v>2</v>
      </c>
      <c r="GL68" s="543">
        <v>2</v>
      </c>
      <c r="GM68" s="543">
        <v>4</v>
      </c>
      <c r="GN68" s="445"/>
      <c r="GP68" s="63"/>
      <c r="GQ68" s="63"/>
      <c r="GR68" s="37"/>
      <c r="GS68" s="37" t="s">
        <v>1076</v>
      </c>
      <c r="GT68" s="63">
        <v>0</v>
      </c>
      <c r="GU68" s="63"/>
      <c r="GV68" s="63"/>
      <c r="GW68" s="63"/>
      <c r="GX68" s="63"/>
      <c r="GY68" s="63"/>
      <c r="GZ68" s="63">
        <v>0</v>
      </c>
      <c r="HA68" s="63">
        <v>2</v>
      </c>
      <c r="HB68" s="63"/>
      <c r="HC68" s="63">
        <v>0</v>
      </c>
      <c r="HD68" s="63">
        <v>2</v>
      </c>
      <c r="HE68" s="37"/>
      <c r="HF68" s="37"/>
      <c r="HG68" s="446"/>
      <c r="HH68" s="446"/>
      <c r="HI68" s="446"/>
      <c r="HJ68" s="446" t="s">
        <v>1163</v>
      </c>
      <c r="HK68" s="446">
        <v>0</v>
      </c>
      <c r="HL68" s="446">
        <v>0</v>
      </c>
      <c r="HM68" s="446">
        <v>0</v>
      </c>
      <c r="HN68" s="446">
        <v>0</v>
      </c>
      <c r="HO68" s="446">
        <v>0</v>
      </c>
      <c r="HP68" s="446">
        <v>0</v>
      </c>
      <c r="HQ68" s="446">
        <v>1</v>
      </c>
      <c r="HR68" s="446">
        <v>0</v>
      </c>
      <c r="HS68" s="446">
        <v>0</v>
      </c>
      <c r="HT68" s="446">
        <v>0</v>
      </c>
      <c r="HU68" s="446">
        <v>0</v>
      </c>
      <c r="HV68" s="447">
        <v>1</v>
      </c>
      <c r="HW68" s="544"/>
      <c r="HX68" s="448"/>
    </row>
    <row r="69" spans="1:232">
      <c r="A69" s="5682">
        <v>1</v>
      </c>
      <c r="B69" s="5682">
        <v>2</v>
      </c>
      <c r="C69" s="5683" t="s">
        <v>2068</v>
      </c>
      <c r="D69" s="5683" t="s">
        <v>2709</v>
      </c>
      <c r="E69" s="5682">
        <v>3</v>
      </c>
      <c r="F69" s="5682">
        <v>1</v>
      </c>
      <c r="I69" s="4915">
        <v>1</v>
      </c>
      <c r="J69" s="4915">
        <v>2</v>
      </c>
      <c r="K69" s="4916" t="s">
        <v>2058</v>
      </c>
      <c r="L69" s="4916" t="s">
        <v>2709</v>
      </c>
      <c r="M69" s="4915">
        <v>1</v>
      </c>
      <c r="N69" s="4915">
        <v>8</v>
      </c>
      <c r="O69" s="157"/>
      <c r="Q69" s="4744"/>
      <c r="R69" s="4744"/>
      <c r="S69" s="4760" t="s">
        <v>3</v>
      </c>
      <c r="T69" s="4761"/>
      <c r="U69" s="4762">
        <f>SUM(U49,U59,U67)</f>
        <v>103</v>
      </c>
      <c r="V69" s="4763"/>
      <c r="W69" s="4764">
        <f>(U68)/(U69)</f>
        <v>0.20388349514563106</v>
      </c>
      <c r="Y69" s="36"/>
      <c r="Z69" s="36"/>
      <c r="AA69" s="36"/>
      <c r="AB69" s="36" t="s">
        <v>1072</v>
      </c>
      <c r="AC69" s="1681">
        <v>0</v>
      </c>
      <c r="AD69" s="1681"/>
      <c r="AE69" s="1681">
        <v>0</v>
      </c>
      <c r="AF69" s="1681"/>
      <c r="AG69" s="1681"/>
      <c r="AH69" s="1681"/>
      <c r="AI69" s="1681"/>
      <c r="AJ69" s="1681">
        <v>2</v>
      </c>
      <c r="AK69" s="1681">
        <v>0</v>
      </c>
      <c r="AL69" s="95">
        <v>0</v>
      </c>
      <c r="AM69" s="95">
        <v>2</v>
      </c>
      <c r="AN69" s="4545"/>
      <c r="AS69" s="27" t="s">
        <v>15</v>
      </c>
      <c r="AT69" s="3722">
        <v>6</v>
      </c>
      <c r="AU69" s="3722">
        <v>10</v>
      </c>
      <c r="AV69" s="3722">
        <v>3</v>
      </c>
      <c r="AW69" s="3722">
        <v>2</v>
      </c>
      <c r="AX69" s="3722"/>
      <c r="AY69" s="3722">
        <v>2</v>
      </c>
      <c r="AZ69" s="3722"/>
      <c r="BA69" s="3722">
        <v>12</v>
      </c>
      <c r="BB69" s="3722">
        <v>14</v>
      </c>
      <c r="BC69" s="3701">
        <v>8</v>
      </c>
      <c r="BD69" s="3701">
        <v>1</v>
      </c>
      <c r="BE69" s="3701">
        <v>58</v>
      </c>
      <c r="BF69" s="1665">
        <v>0</v>
      </c>
      <c r="BG69" s="1665"/>
      <c r="BJ69" s="1520"/>
      <c r="BK69" s="1520" t="s">
        <v>1072</v>
      </c>
      <c r="BL69" s="3872">
        <v>10</v>
      </c>
      <c r="BM69" s="3872">
        <v>3</v>
      </c>
      <c r="BN69" s="3872">
        <v>2</v>
      </c>
      <c r="BO69" s="3872">
        <v>0</v>
      </c>
      <c r="BP69" s="3872">
        <v>4</v>
      </c>
      <c r="BQ69" s="3872">
        <v>24</v>
      </c>
      <c r="BR69" s="3872">
        <v>15</v>
      </c>
      <c r="BS69" s="3872">
        <v>15</v>
      </c>
      <c r="BT69" s="3806">
        <v>0</v>
      </c>
      <c r="BU69" s="3806">
        <v>73</v>
      </c>
      <c r="BX69" s="36"/>
      <c r="BY69" s="36"/>
      <c r="BZ69" s="36" t="s">
        <v>1456</v>
      </c>
      <c r="CA69" s="36" t="s">
        <v>1072</v>
      </c>
      <c r="CB69" s="1681"/>
      <c r="CC69" s="1681">
        <v>1</v>
      </c>
      <c r="CD69" s="1681"/>
      <c r="CE69" s="1681"/>
      <c r="CF69" s="1681"/>
      <c r="CG69" s="1681"/>
      <c r="CH69" s="1681"/>
      <c r="CI69" s="1681">
        <v>0</v>
      </c>
      <c r="CJ69" s="95"/>
      <c r="CK69" s="95"/>
      <c r="CL69" s="95">
        <v>1</v>
      </c>
      <c r="CM69" s="36"/>
      <c r="CO69" s="37"/>
      <c r="CP69" s="37"/>
      <c r="CQ69" s="37"/>
      <c r="CR69" s="416" t="s">
        <v>15</v>
      </c>
      <c r="CS69" s="1679"/>
      <c r="CT69" s="1679"/>
      <c r="CU69" s="1679"/>
      <c r="CV69" s="1679"/>
      <c r="CW69" s="1679">
        <v>1</v>
      </c>
      <c r="CX69" s="1679">
        <v>6</v>
      </c>
      <c r="CY69" s="1679">
        <v>1</v>
      </c>
      <c r="CZ69" s="1679">
        <v>2</v>
      </c>
      <c r="DA69" s="1679">
        <v>1</v>
      </c>
      <c r="DB69" s="386"/>
      <c r="DC69" s="386"/>
      <c r="DD69" s="386">
        <v>11</v>
      </c>
      <c r="DE69" s="2045">
        <f>+(DD65+DD67+DD68)/DD69</f>
        <v>0.45454545454545453</v>
      </c>
      <c r="DG69" s="95"/>
      <c r="DH69" s="95"/>
      <c r="DI69" s="36"/>
      <c r="DJ69" s="36" t="s">
        <v>1080</v>
      </c>
      <c r="DK69" s="1484"/>
      <c r="DL69" s="1484"/>
      <c r="DM69" s="1484"/>
      <c r="DN69" s="1484"/>
      <c r="DO69" s="1484"/>
      <c r="DP69" s="1484">
        <v>0</v>
      </c>
      <c r="DQ69" s="1484">
        <v>0</v>
      </c>
      <c r="DR69" s="1484"/>
      <c r="DS69" s="1484">
        <v>2</v>
      </c>
      <c r="DT69" s="95"/>
      <c r="DU69" s="95"/>
      <c r="DV69" s="95">
        <v>2</v>
      </c>
      <c r="DW69" s="95"/>
      <c r="DY69" s="1209"/>
      <c r="DZ69" s="1209"/>
      <c r="EA69" s="1210"/>
      <c r="EB69" s="415" t="s">
        <v>15</v>
      </c>
      <c r="EC69" s="1214"/>
      <c r="ED69" s="1214"/>
      <c r="EE69" s="1214"/>
      <c r="EF69" s="1214"/>
      <c r="EG69" s="1215">
        <v>1</v>
      </c>
      <c r="EH69" s="1214"/>
      <c r="EI69" s="1215">
        <v>2</v>
      </c>
      <c r="EJ69" s="1215">
        <v>2</v>
      </c>
      <c r="EK69" s="620"/>
      <c r="EL69" s="620"/>
      <c r="EM69" s="621">
        <v>5</v>
      </c>
      <c r="EN69" s="1178">
        <v>0</v>
      </c>
      <c r="EP69" s="527"/>
      <c r="EQ69" s="527"/>
      <c r="ER69" s="528"/>
      <c r="ES69" s="529" t="s">
        <v>1076</v>
      </c>
      <c r="ET69" s="531">
        <v>0</v>
      </c>
      <c r="EU69" s="531">
        <v>0</v>
      </c>
      <c r="EV69" s="531">
        <v>0</v>
      </c>
      <c r="EW69" s="530"/>
      <c r="EX69" s="531">
        <v>1</v>
      </c>
      <c r="EY69" s="531">
        <v>3</v>
      </c>
      <c r="EZ69" s="531">
        <v>5</v>
      </c>
      <c r="FA69" s="531">
        <v>1</v>
      </c>
      <c r="FB69" s="527"/>
      <c r="FC69" s="527"/>
      <c r="FD69" s="532">
        <v>10</v>
      </c>
      <c r="FE69" s="95"/>
      <c r="FG69" s="533"/>
      <c r="FH69" s="533"/>
      <c r="FI69" s="533"/>
      <c r="FJ69" s="534" t="s">
        <v>1081</v>
      </c>
      <c r="FK69" s="535"/>
      <c r="FL69" s="536">
        <v>0</v>
      </c>
      <c r="FM69" s="536">
        <v>0</v>
      </c>
      <c r="FN69" s="536">
        <v>0</v>
      </c>
      <c r="FO69" s="536">
        <v>1</v>
      </c>
      <c r="FP69" s="536">
        <v>2</v>
      </c>
      <c r="FQ69" s="536">
        <v>3</v>
      </c>
      <c r="FR69" s="536">
        <v>0</v>
      </c>
      <c r="FS69" s="536">
        <v>0</v>
      </c>
      <c r="FT69" s="537"/>
      <c r="FU69" s="537"/>
      <c r="FV69" s="538">
        <v>6</v>
      </c>
      <c r="FW69" s="539"/>
      <c r="FY69" s="540"/>
      <c r="FZ69" s="540"/>
      <c r="GA69" s="540"/>
      <c r="GB69" s="550" t="s">
        <v>15</v>
      </c>
      <c r="GC69" s="552">
        <v>1</v>
      </c>
      <c r="GD69" s="551"/>
      <c r="GE69" s="551"/>
      <c r="GF69" s="551"/>
      <c r="GG69" s="551"/>
      <c r="GH69" s="552">
        <v>2</v>
      </c>
      <c r="GI69" s="552">
        <v>1</v>
      </c>
      <c r="GJ69" s="552">
        <v>4</v>
      </c>
      <c r="GK69" s="552">
        <v>3</v>
      </c>
      <c r="GL69" s="552">
        <v>4</v>
      </c>
      <c r="GM69" s="552">
        <v>15</v>
      </c>
      <c r="GN69" s="553">
        <f>+GM67/GM69</f>
        <v>6.6666666666666666E-2</v>
      </c>
      <c r="GP69" s="63"/>
      <c r="GQ69" s="63"/>
      <c r="GR69" s="37"/>
      <c r="GS69" s="37" t="s">
        <v>1080</v>
      </c>
      <c r="GT69" s="63">
        <v>0</v>
      </c>
      <c r="GU69" s="63"/>
      <c r="GV69" s="63"/>
      <c r="GW69" s="63"/>
      <c r="GX69" s="63"/>
      <c r="GY69" s="63"/>
      <c r="GZ69" s="63">
        <v>0</v>
      </c>
      <c r="HA69" s="63">
        <v>6</v>
      </c>
      <c r="HB69" s="63"/>
      <c r="HC69" s="63">
        <v>3</v>
      </c>
      <c r="HD69" s="63">
        <v>9</v>
      </c>
      <c r="HE69" s="37"/>
      <c r="HF69" s="37"/>
      <c r="HG69" s="446"/>
      <c r="HH69" s="446"/>
      <c r="HI69" s="446"/>
      <c r="HJ69" s="449" t="s">
        <v>15</v>
      </c>
      <c r="HK69" s="449">
        <v>0</v>
      </c>
      <c r="HL69" s="449">
        <v>0</v>
      </c>
      <c r="HM69" s="449">
        <v>0</v>
      </c>
      <c r="HN69" s="449">
        <v>0</v>
      </c>
      <c r="HO69" s="449">
        <v>0</v>
      </c>
      <c r="HP69" s="449">
        <v>0</v>
      </c>
      <c r="HQ69" s="449">
        <v>2</v>
      </c>
      <c r="HR69" s="449">
        <v>0</v>
      </c>
      <c r="HS69" s="449">
        <v>0</v>
      </c>
      <c r="HT69" s="449">
        <v>0</v>
      </c>
      <c r="HU69" s="449">
        <v>0</v>
      </c>
      <c r="HV69" s="507">
        <v>2</v>
      </c>
      <c r="HW69" s="554">
        <f>+HV68/HV69</f>
        <v>0.5</v>
      </c>
      <c r="HX69" s="448">
        <f>+HV68</f>
        <v>1</v>
      </c>
    </row>
    <row r="70" spans="1:232">
      <c r="A70" s="5682">
        <v>1</v>
      </c>
      <c r="B70" s="5682">
        <v>2</v>
      </c>
      <c r="C70" s="5683" t="s">
        <v>2068</v>
      </c>
      <c r="D70" s="5683" t="s">
        <v>2709</v>
      </c>
      <c r="E70" s="5682">
        <v>1</v>
      </c>
      <c r="F70" s="5682">
        <v>4</v>
      </c>
      <c r="I70" s="4915"/>
      <c r="J70" s="4915"/>
      <c r="K70" s="4916"/>
      <c r="L70" s="4916"/>
      <c r="M70" s="4920">
        <f>SUM(M63:M69)</f>
        <v>10</v>
      </c>
      <c r="N70" s="4915"/>
      <c r="O70" s="4921">
        <f>(M67)/(M70)</f>
        <v>0.1</v>
      </c>
      <c r="Q70" s="4713">
        <v>2</v>
      </c>
      <c r="R70" s="4713">
        <v>1</v>
      </c>
      <c r="S70" s="4714" t="s">
        <v>388</v>
      </c>
      <c r="T70" s="4714" t="s">
        <v>2731</v>
      </c>
      <c r="U70" s="4732">
        <v>1</v>
      </c>
      <c r="V70" s="4732">
        <v>8</v>
      </c>
      <c r="W70" s="4722"/>
      <c r="X70" s="4634"/>
      <c r="Y70" s="36"/>
      <c r="Z70" s="36"/>
      <c r="AA70" s="36"/>
      <c r="AB70" s="36" t="s">
        <v>1074</v>
      </c>
      <c r="AC70" s="1681">
        <v>0</v>
      </c>
      <c r="AD70" s="1681"/>
      <c r="AE70" s="1681">
        <v>1</v>
      </c>
      <c r="AF70" s="1681"/>
      <c r="AG70" s="1681"/>
      <c r="AH70" s="1681"/>
      <c r="AI70" s="1681"/>
      <c r="AJ70" s="1681">
        <v>0</v>
      </c>
      <c r="AK70" s="1681">
        <v>0</v>
      </c>
      <c r="AL70" s="95">
        <v>0</v>
      </c>
      <c r="AM70" s="95">
        <v>1</v>
      </c>
      <c r="AN70" s="4545"/>
      <c r="AR70" s="3868" t="s">
        <v>2058</v>
      </c>
      <c r="AS70" s="3868" t="s">
        <v>1071</v>
      </c>
      <c r="AT70" s="3721"/>
      <c r="AU70" s="3721"/>
      <c r="AV70" s="3721">
        <v>0</v>
      </c>
      <c r="AW70" s="3721">
        <v>0</v>
      </c>
      <c r="AX70" s="3721"/>
      <c r="AY70" s="3721"/>
      <c r="AZ70" s="3721">
        <v>0</v>
      </c>
      <c r="BA70" s="3721">
        <v>0</v>
      </c>
      <c r="BB70" s="3721"/>
      <c r="BC70" s="2110"/>
      <c r="BD70" s="2110">
        <v>2</v>
      </c>
      <c r="BE70" s="2110">
        <v>2</v>
      </c>
      <c r="BF70" s="2110"/>
      <c r="BG70" s="2110"/>
      <c r="BJ70" s="1520"/>
      <c r="BK70" s="1520" t="s">
        <v>1074</v>
      </c>
      <c r="BL70" s="3872">
        <v>3</v>
      </c>
      <c r="BM70" s="3872">
        <v>1</v>
      </c>
      <c r="BN70" s="3872">
        <v>1</v>
      </c>
      <c r="BO70" s="3872">
        <v>0</v>
      </c>
      <c r="BP70" s="3872">
        <v>0</v>
      </c>
      <c r="BQ70" s="3872">
        <v>0</v>
      </c>
      <c r="BR70" s="3872">
        <v>0</v>
      </c>
      <c r="BS70" s="3872">
        <v>0</v>
      </c>
      <c r="BT70" s="3806">
        <v>0</v>
      </c>
      <c r="BU70" s="3806">
        <v>5</v>
      </c>
      <c r="BX70" s="36"/>
      <c r="BY70" s="36"/>
      <c r="BZ70" s="36"/>
      <c r="CA70" s="36" t="s">
        <v>1080</v>
      </c>
      <c r="CB70" s="1681"/>
      <c r="CC70" s="1681">
        <v>0</v>
      </c>
      <c r="CD70" s="1681"/>
      <c r="CE70" s="1681"/>
      <c r="CF70" s="1681"/>
      <c r="CG70" s="1681"/>
      <c r="CH70" s="1681"/>
      <c r="CI70" s="1681">
        <v>1</v>
      </c>
      <c r="CJ70" s="95"/>
      <c r="CK70" s="95"/>
      <c r="CL70" s="95">
        <v>1</v>
      </c>
      <c r="CM70" s="36"/>
      <c r="CO70" s="37"/>
      <c r="CP70" s="37"/>
      <c r="CQ70" s="37" t="s">
        <v>1456</v>
      </c>
      <c r="CR70" s="37" t="s">
        <v>1072</v>
      </c>
      <c r="CS70" s="1678">
        <v>2</v>
      </c>
      <c r="CT70" s="1678"/>
      <c r="CU70" s="1678"/>
      <c r="CV70" s="1678"/>
      <c r="CW70" s="1678"/>
      <c r="CX70" s="1678"/>
      <c r="CY70" s="1678"/>
      <c r="CZ70" s="1678">
        <v>2</v>
      </c>
      <c r="DA70" s="1678">
        <v>0</v>
      </c>
      <c r="DB70" s="63">
        <v>0</v>
      </c>
      <c r="DC70" s="63"/>
      <c r="DD70" s="63">
        <v>4</v>
      </c>
      <c r="DG70" s="95"/>
      <c r="DH70" s="95"/>
      <c r="DI70" s="36"/>
      <c r="DJ70" s="393" t="s">
        <v>15</v>
      </c>
      <c r="DK70" s="1485"/>
      <c r="DL70" s="1485"/>
      <c r="DM70" s="1485"/>
      <c r="DN70" s="1485"/>
      <c r="DO70" s="1485"/>
      <c r="DP70" s="1485">
        <v>1</v>
      </c>
      <c r="DQ70" s="1485">
        <v>1</v>
      </c>
      <c r="DR70" s="1485"/>
      <c r="DS70" s="1485">
        <v>2</v>
      </c>
      <c r="DT70" s="86"/>
      <c r="DU70" s="86"/>
      <c r="DV70" s="86">
        <v>4</v>
      </c>
      <c r="DW70" s="560">
        <v>0</v>
      </c>
      <c r="DY70" s="1209"/>
      <c r="DZ70" s="1209"/>
      <c r="EA70" s="1210" t="s">
        <v>1456</v>
      </c>
      <c r="EB70" s="1211" t="s">
        <v>1080</v>
      </c>
      <c r="EC70" s="1212"/>
      <c r="ED70" s="1212"/>
      <c r="EE70" s="1213">
        <v>0</v>
      </c>
      <c r="EF70" s="1213">
        <v>1</v>
      </c>
      <c r="EG70" s="1212"/>
      <c r="EH70" s="1212"/>
      <c r="EI70" s="1213">
        <v>1</v>
      </c>
      <c r="EJ70" s="1212"/>
      <c r="EK70" s="611"/>
      <c r="EL70" s="611"/>
      <c r="EM70" s="612">
        <v>2</v>
      </c>
      <c r="EN70" s="36"/>
      <c r="EP70" s="527"/>
      <c r="EQ70" s="527"/>
      <c r="ER70" s="528"/>
      <c r="ES70" s="529" t="s">
        <v>1077</v>
      </c>
      <c r="ET70" s="531">
        <v>0</v>
      </c>
      <c r="EU70" s="531">
        <v>0</v>
      </c>
      <c r="EV70" s="531">
        <v>1</v>
      </c>
      <c r="EW70" s="530"/>
      <c r="EX70" s="531">
        <v>2</v>
      </c>
      <c r="EY70" s="531">
        <v>2</v>
      </c>
      <c r="EZ70" s="531">
        <v>1</v>
      </c>
      <c r="FA70" s="531">
        <v>0</v>
      </c>
      <c r="FB70" s="527"/>
      <c r="FC70" s="527"/>
      <c r="FD70" s="532">
        <v>6</v>
      </c>
      <c r="FE70" s="95"/>
      <c r="FG70" s="533"/>
      <c r="FH70" s="533"/>
      <c r="FI70" s="533"/>
      <c r="FJ70" s="534" t="s">
        <v>1163</v>
      </c>
      <c r="FK70" s="535"/>
      <c r="FL70" s="536">
        <v>0</v>
      </c>
      <c r="FM70" s="536">
        <v>0</v>
      </c>
      <c r="FN70" s="536">
        <v>2</v>
      </c>
      <c r="FO70" s="536">
        <v>4</v>
      </c>
      <c r="FP70" s="536">
        <v>3</v>
      </c>
      <c r="FQ70" s="536">
        <v>8</v>
      </c>
      <c r="FR70" s="536">
        <v>0</v>
      </c>
      <c r="FS70" s="536">
        <v>1</v>
      </c>
      <c r="FT70" s="537"/>
      <c r="FU70" s="537"/>
      <c r="FV70" s="538">
        <v>18</v>
      </c>
      <c r="FW70" s="539"/>
      <c r="FY70" s="540"/>
      <c r="FZ70" s="540"/>
      <c r="GA70" s="540" t="s">
        <v>388</v>
      </c>
      <c r="GB70" s="541" t="s">
        <v>1072</v>
      </c>
      <c r="GC70" s="542"/>
      <c r="GD70" s="542"/>
      <c r="GE70" s="542"/>
      <c r="GF70" s="542"/>
      <c r="GG70" s="542"/>
      <c r="GH70" s="543">
        <v>0</v>
      </c>
      <c r="GI70" s="543">
        <v>1</v>
      </c>
      <c r="GJ70" s="543">
        <v>0</v>
      </c>
      <c r="GK70" s="542"/>
      <c r="GL70" s="542"/>
      <c r="GM70" s="543">
        <v>1</v>
      </c>
      <c r="GN70" s="445"/>
      <c r="GP70" s="63"/>
      <c r="GQ70" s="63"/>
      <c r="GR70" s="37"/>
      <c r="GS70" s="416" t="s">
        <v>15</v>
      </c>
      <c r="GT70" s="386">
        <v>1</v>
      </c>
      <c r="GU70" s="386"/>
      <c r="GV70" s="386"/>
      <c r="GW70" s="386"/>
      <c r="GX70" s="386"/>
      <c r="GY70" s="386"/>
      <c r="GZ70" s="386">
        <v>2</v>
      </c>
      <c r="HA70" s="386">
        <v>9</v>
      </c>
      <c r="HB70" s="386"/>
      <c r="HC70" s="386">
        <v>3</v>
      </c>
      <c r="HD70" s="386">
        <v>15</v>
      </c>
      <c r="HE70" s="466">
        <f>+HD68/HD70</f>
        <v>0.13333333333333333</v>
      </c>
      <c r="HF70" s="37"/>
      <c r="HG70" s="446"/>
      <c r="HH70" s="446"/>
      <c r="HI70" s="446" t="s">
        <v>727</v>
      </c>
      <c r="HJ70" s="446" t="s">
        <v>1072</v>
      </c>
      <c r="HK70" s="446">
        <v>0</v>
      </c>
      <c r="HL70" s="446">
        <v>0</v>
      </c>
      <c r="HM70" s="446">
        <v>0</v>
      </c>
      <c r="HN70" s="446">
        <v>0</v>
      </c>
      <c r="HO70" s="446">
        <v>0</v>
      </c>
      <c r="HP70" s="446">
        <v>0</v>
      </c>
      <c r="HQ70" s="446">
        <v>1</v>
      </c>
      <c r="HR70" s="446">
        <v>0</v>
      </c>
      <c r="HS70" s="446">
        <v>0</v>
      </c>
      <c r="HT70" s="446">
        <v>0</v>
      </c>
      <c r="HU70" s="446">
        <v>0</v>
      </c>
      <c r="HV70" s="447">
        <v>1</v>
      </c>
      <c r="HW70" s="544"/>
      <c r="HX70" s="448"/>
    </row>
    <row r="71" spans="1:232">
      <c r="A71" s="5682">
        <v>1</v>
      </c>
      <c r="B71" s="5682">
        <v>2</v>
      </c>
      <c r="C71" s="5683" t="s">
        <v>2068</v>
      </c>
      <c r="D71" s="5683" t="s">
        <v>2709</v>
      </c>
      <c r="E71" s="5682">
        <v>23</v>
      </c>
      <c r="F71" s="5682">
        <v>6</v>
      </c>
      <c r="I71" s="4915"/>
      <c r="J71" s="4915"/>
      <c r="K71" s="4932" t="s">
        <v>2754</v>
      </c>
      <c r="L71" s="4916"/>
      <c r="M71" s="4936">
        <f>SUM(M51,M56:M57,M67)</f>
        <v>4</v>
      </c>
      <c r="N71" s="4915"/>
      <c r="O71" s="157"/>
      <c r="Q71" s="4705">
        <v>2</v>
      </c>
      <c r="R71" s="4705">
        <v>1</v>
      </c>
      <c r="S71" s="4706" t="s">
        <v>388</v>
      </c>
      <c r="T71" s="4708" t="s">
        <v>1076</v>
      </c>
      <c r="U71" s="4709">
        <v>4</v>
      </c>
      <c r="V71" s="4709">
        <v>7</v>
      </c>
      <c r="W71" s="4722"/>
      <c r="X71" s="4634"/>
      <c r="Y71" s="36"/>
      <c r="Z71" s="36"/>
      <c r="AA71" s="36"/>
      <c r="AB71" s="36" t="s">
        <v>1076</v>
      </c>
      <c r="AC71" s="1681">
        <v>0</v>
      </c>
      <c r="AD71" s="1681"/>
      <c r="AE71" s="1681">
        <v>0</v>
      </c>
      <c r="AF71" s="1681"/>
      <c r="AG71" s="1681"/>
      <c r="AH71" s="1681"/>
      <c r="AI71" s="1681"/>
      <c r="AJ71" s="1681">
        <v>0</v>
      </c>
      <c r="AK71" s="1681">
        <v>1</v>
      </c>
      <c r="AL71" s="95">
        <v>0</v>
      </c>
      <c r="AM71" s="95">
        <v>1</v>
      </c>
      <c r="AN71" s="4545"/>
      <c r="AS71" s="3868" t="s">
        <v>1072</v>
      </c>
      <c r="AT71" s="3721"/>
      <c r="AU71" s="3721"/>
      <c r="AV71" s="3721">
        <v>0</v>
      </c>
      <c r="AW71" s="3721">
        <v>1</v>
      </c>
      <c r="AX71" s="3721"/>
      <c r="AY71" s="3721"/>
      <c r="AZ71" s="3721">
        <v>3</v>
      </c>
      <c r="BA71" s="3721">
        <v>3</v>
      </c>
      <c r="BB71" s="3721"/>
      <c r="BC71" s="2110"/>
      <c r="BD71" s="2110">
        <v>0</v>
      </c>
      <c r="BE71" s="2110">
        <v>7</v>
      </c>
      <c r="BF71" s="2110"/>
      <c r="BG71" s="2110"/>
      <c r="BJ71" s="1520"/>
      <c r="BK71" s="1520" t="s">
        <v>1076</v>
      </c>
      <c r="BL71" s="3872">
        <v>0</v>
      </c>
      <c r="BM71" s="3872">
        <v>0</v>
      </c>
      <c r="BN71" s="3872">
        <v>0</v>
      </c>
      <c r="BO71" s="3872">
        <v>0</v>
      </c>
      <c r="BP71" s="3872">
        <v>0</v>
      </c>
      <c r="BQ71" s="3872">
        <v>1</v>
      </c>
      <c r="BR71" s="3872">
        <v>0</v>
      </c>
      <c r="BS71" s="3872">
        <v>0</v>
      </c>
      <c r="BT71" s="3806">
        <v>0</v>
      </c>
      <c r="BU71" s="3806">
        <v>1</v>
      </c>
      <c r="BX71" s="36"/>
      <c r="BY71" s="36"/>
      <c r="BZ71" s="36"/>
      <c r="CA71" s="393" t="s">
        <v>15</v>
      </c>
      <c r="CB71" s="1682"/>
      <c r="CC71" s="1682">
        <v>1</v>
      </c>
      <c r="CD71" s="1682"/>
      <c r="CE71" s="1682"/>
      <c r="CF71" s="1682"/>
      <c r="CG71" s="1682"/>
      <c r="CH71" s="1682"/>
      <c r="CI71" s="1682">
        <v>1</v>
      </c>
      <c r="CJ71" s="2041"/>
      <c r="CK71" s="2041"/>
      <c r="CL71" s="2041">
        <v>2</v>
      </c>
      <c r="CM71" s="560">
        <v>0</v>
      </c>
      <c r="CN71" s="1665"/>
      <c r="CO71" s="37"/>
      <c r="CP71" s="37"/>
      <c r="CQ71" s="37"/>
      <c r="CR71" s="37" t="s">
        <v>1080</v>
      </c>
      <c r="CS71" s="1678">
        <v>0</v>
      </c>
      <c r="CT71" s="1678"/>
      <c r="CU71" s="1678"/>
      <c r="CV71" s="1678"/>
      <c r="CW71" s="1678"/>
      <c r="CX71" s="1678"/>
      <c r="CY71" s="1678"/>
      <c r="CZ71" s="1678">
        <v>0</v>
      </c>
      <c r="DA71" s="1678">
        <v>5</v>
      </c>
      <c r="DB71" s="63">
        <v>1</v>
      </c>
      <c r="DC71" s="63"/>
      <c r="DD71" s="63">
        <v>6</v>
      </c>
      <c r="DG71" s="95"/>
      <c r="DH71" s="95"/>
      <c r="DI71" s="36" t="s">
        <v>1454</v>
      </c>
      <c r="DJ71" s="36" t="s">
        <v>1072</v>
      </c>
      <c r="DK71" s="1484"/>
      <c r="DL71" s="1484"/>
      <c r="DM71" s="1484"/>
      <c r="DN71" s="1484">
        <v>1</v>
      </c>
      <c r="DO71" s="1484"/>
      <c r="DP71" s="1484"/>
      <c r="DQ71" s="1484"/>
      <c r="DR71" s="1484"/>
      <c r="DS71" s="1484">
        <v>0</v>
      </c>
      <c r="DT71" s="95"/>
      <c r="DU71" s="95"/>
      <c r="DV71" s="95">
        <v>1</v>
      </c>
      <c r="DW71" s="95"/>
      <c r="DY71" s="1209"/>
      <c r="DZ71" s="1209"/>
      <c r="EA71" s="1210"/>
      <c r="EB71" s="1211" t="s">
        <v>1163</v>
      </c>
      <c r="EC71" s="1212"/>
      <c r="ED71" s="1212"/>
      <c r="EE71" s="1213">
        <v>1</v>
      </c>
      <c r="EF71" s="1213">
        <v>0</v>
      </c>
      <c r="EG71" s="1212"/>
      <c r="EH71" s="1212"/>
      <c r="EI71" s="1213">
        <v>0</v>
      </c>
      <c r="EJ71" s="1212"/>
      <c r="EK71" s="611"/>
      <c r="EL71" s="611"/>
      <c r="EM71" s="612">
        <v>1</v>
      </c>
      <c r="EN71" s="36"/>
      <c r="EP71" s="527"/>
      <c r="EQ71" s="527"/>
      <c r="ER71" s="528"/>
      <c r="ES71" s="529" t="s">
        <v>1080</v>
      </c>
      <c r="ET71" s="531">
        <v>0</v>
      </c>
      <c r="EU71" s="531">
        <v>0</v>
      </c>
      <c r="EV71" s="531">
        <v>0</v>
      </c>
      <c r="EW71" s="530"/>
      <c r="EX71" s="531">
        <v>0</v>
      </c>
      <c r="EY71" s="531">
        <v>0</v>
      </c>
      <c r="EZ71" s="531">
        <v>5</v>
      </c>
      <c r="FA71" s="531">
        <v>7</v>
      </c>
      <c r="FB71" s="527"/>
      <c r="FC71" s="527"/>
      <c r="FD71" s="532">
        <v>12</v>
      </c>
      <c r="FE71" s="95"/>
      <c r="FG71" s="533"/>
      <c r="FH71" s="533"/>
      <c r="FI71" s="533"/>
      <c r="FJ71" s="545" t="s">
        <v>105</v>
      </c>
      <c r="FK71" s="546"/>
      <c r="FL71" s="547">
        <v>6</v>
      </c>
      <c r="FM71" s="547">
        <v>4</v>
      </c>
      <c r="FN71" s="547">
        <v>19</v>
      </c>
      <c r="FO71" s="547">
        <v>17</v>
      </c>
      <c r="FP71" s="547">
        <v>21</v>
      </c>
      <c r="FQ71" s="547">
        <v>52</v>
      </c>
      <c r="FR71" s="547">
        <v>10</v>
      </c>
      <c r="FS71" s="547">
        <v>12</v>
      </c>
      <c r="FT71" s="548"/>
      <c r="FU71" s="548"/>
      <c r="FV71" s="549">
        <v>141</v>
      </c>
      <c r="FW71" s="539">
        <f>+(FV70+FV69+FV66)/FV71</f>
        <v>0.24113475177304963</v>
      </c>
      <c r="FY71" s="540"/>
      <c r="FZ71" s="540"/>
      <c r="GA71" s="540"/>
      <c r="GB71" s="541" t="s">
        <v>1076</v>
      </c>
      <c r="GC71" s="542"/>
      <c r="GD71" s="542"/>
      <c r="GE71" s="542"/>
      <c r="GF71" s="542"/>
      <c r="GG71" s="542"/>
      <c r="GH71" s="543">
        <v>0</v>
      </c>
      <c r="GI71" s="543">
        <v>2</v>
      </c>
      <c r="GJ71" s="543">
        <v>0</v>
      </c>
      <c r="GK71" s="542"/>
      <c r="GL71" s="542"/>
      <c r="GM71" s="543">
        <v>2</v>
      </c>
      <c r="GN71" s="445"/>
      <c r="GP71" s="63"/>
      <c r="GQ71" s="63"/>
      <c r="GR71" s="37" t="s">
        <v>388</v>
      </c>
      <c r="GS71" s="37" t="s">
        <v>1071</v>
      </c>
      <c r="GT71" s="63"/>
      <c r="GU71" s="63"/>
      <c r="GV71" s="63"/>
      <c r="GW71" s="63"/>
      <c r="GX71" s="63"/>
      <c r="GY71" s="63">
        <v>0</v>
      </c>
      <c r="GZ71" s="63">
        <v>1</v>
      </c>
      <c r="HA71" s="63">
        <v>0</v>
      </c>
      <c r="HB71" s="63"/>
      <c r="HC71" s="63"/>
      <c r="HD71" s="63">
        <v>1</v>
      </c>
      <c r="HE71" s="37"/>
      <c r="HF71" s="37"/>
      <c r="HG71" s="446"/>
      <c r="HH71" s="446"/>
      <c r="HI71" s="446"/>
      <c r="HJ71" s="446" t="s">
        <v>1076</v>
      </c>
      <c r="HK71" s="446">
        <v>0</v>
      </c>
      <c r="HL71" s="446">
        <v>0</v>
      </c>
      <c r="HM71" s="446">
        <v>0</v>
      </c>
      <c r="HN71" s="446">
        <v>0</v>
      </c>
      <c r="HO71" s="446">
        <v>0</v>
      </c>
      <c r="HP71" s="446">
        <v>0</v>
      </c>
      <c r="HQ71" s="446">
        <v>0</v>
      </c>
      <c r="HR71" s="446">
        <v>1</v>
      </c>
      <c r="HS71" s="446">
        <v>0</v>
      </c>
      <c r="HT71" s="446">
        <v>0</v>
      </c>
      <c r="HU71" s="446">
        <v>0</v>
      </c>
      <c r="HV71" s="447">
        <v>1</v>
      </c>
      <c r="HW71" s="544"/>
      <c r="HX71" s="448"/>
    </row>
    <row r="72" spans="1:232">
      <c r="A72" s="5682">
        <v>1</v>
      </c>
      <c r="B72" s="5682">
        <v>2</v>
      </c>
      <c r="C72" s="5683" t="s">
        <v>2068</v>
      </c>
      <c r="D72" s="5683" t="s">
        <v>2709</v>
      </c>
      <c r="E72" s="5682">
        <v>2</v>
      </c>
      <c r="F72" s="5682">
        <v>7</v>
      </c>
      <c r="I72" s="4915"/>
      <c r="J72" s="4915"/>
      <c r="K72" s="4929" t="s">
        <v>16</v>
      </c>
      <c r="L72" s="4926"/>
      <c r="M72" s="4929">
        <f>SUM(M43,M46,M49,M62,M53,M70)</f>
        <v>101</v>
      </c>
      <c r="N72" s="4925"/>
      <c r="O72" s="4934">
        <f>M71/M72</f>
        <v>3.9603960396039604E-2</v>
      </c>
      <c r="Q72" s="4705">
        <v>2</v>
      </c>
      <c r="R72" s="4705">
        <v>1</v>
      </c>
      <c r="S72" s="4706" t="s">
        <v>388</v>
      </c>
      <c r="T72" s="4706" t="s">
        <v>2709</v>
      </c>
      <c r="U72" s="4707">
        <v>1</v>
      </c>
      <c r="V72" s="4707">
        <v>2</v>
      </c>
      <c r="W72" s="4722"/>
      <c r="X72" s="4634"/>
      <c r="Y72" s="36"/>
      <c r="Z72" s="36"/>
      <c r="AA72" s="36"/>
      <c r="AB72" s="36" t="s">
        <v>1080</v>
      </c>
      <c r="AC72" s="1681">
        <v>0</v>
      </c>
      <c r="AD72" s="1681"/>
      <c r="AE72" s="1681">
        <v>0</v>
      </c>
      <c r="AF72" s="1681"/>
      <c r="AG72" s="1681"/>
      <c r="AH72" s="1681"/>
      <c r="AI72" s="1681"/>
      <c r="AJ72" s="1681">
        <v>3</v>
      </c>
      <c r="AK72" s="1681">
        <v>9</v>
      </c>
      <c r="AL72" s="95">
        <v>2</v>
      </c>
      <c r="AM72" s="95">
        <v>14</v>
      </c>
      <c r="AN72" s="4545"/>
      <c r="AS72" s="3868" t="s">
        <v>1076</v>
      </c>
      <c r="AT72" s="3721"/>
      <c r="AU72" s="3721"/>
      <c r="AV72" s="3721">
        <v>0</v>
      </c>
      <c r="AW72" s="3721">
        <v>0</v>
      </c>
      <c r="AX72" s="3721"/>
      <c r="AY72" s="3721"/>
      <c r="AZ72" s="3721">
        <v>1</v>
      </c>
      <c r="BA72" s="3721">
        <v>0</v>
      </c>
      <c r="BB72" s="3721"/>
      <c r="BC72" s="2110"/>
      <c r="BD72" s="2110">
        <v>0</v>
      </c>
      <c r="BE72" s="2110">
        <v>1</v>
      </c>
      <c r="BF72" s="2110"/>
      <c r="BG72" s="2110"/>
      <c r="BJ72" s="1520"/>
      <c r="BK72" s="1520" t="s">
        <v>1077</v>
      </c>
      <c r="BL72" s="3872">
        <v>0</v>
      </c>
      <c r="BM72" s="3872">
        <v>0</v>
      </c>
      <c r="BN72" s="3872">
        <v>1</v>
      </c>
      <c r="BO72" s="3872">
        <v>0</v>
      </c>
      <c r="BP72" s="3872">
        <v>0</v>
      </c>
      <c r="BQ72" s="3872">
        <v>0</v>
      </c>
      <c r="BR72" s="3872">
        <v>0</v>
      </c>
      <c r="BS72" s="3872">
        <v>0</v>
      </c>
      <c r="BT72" s="3806">
        <v>0</v>
      </c>
      <c r="BU72" s="3806">
        <v>1</v>
      </c>
      <c r="BX72" s="36"/>
      <c r="BY72" s="36"/>
      <c r="BZ72" s="36" t="s">
        <v>1457</v>
      </c>
      <c r="CA72" s="36" t="s">
        <v>1072</v>
      </c>
      <c r="CB72" s="1681"/>
      <c r="CC72" s="1681"/>
      <c r="CD72" s="1681"/>
      <c r="CE72" s="1681"/>
      <c r="CF72" s="1681"/>
      <c r="CG72" s="1681">
        <v>2</v>
      </c>
      <c r="CH72" s="1681"/>
      <c r="CI72" s="1681">
        <v>0</v>
      </c>
      <c r="CJ72" s="95"/>
      <c r="CK72" s="95"/>
      <c r="CL72" s="95">
        <v>2</v>
      </c>
      <c r="CM72" s="36"/>
      <c r="CO72" s="37"/>
      <c r="CP72" s="37"/>
      <c r="CQ72" s="37"/>
      <c r="CR72" s="416" t="s">
        <v>15</v>
      </c>
      <c r="CS72" s="1679">
        <v>2</v>
      </c>
      <c r="CT72" s="1679"/>
      <c r="CU72" s="1679"/>
      <c r="CV72" s="1679"/>
      <c r="CW72" s="1679"/>
      <c r="CX72" s="1679"/>
      <c r="CY72" s="1679"/>
      <c r="CZ72" s="1679">
        <v>2</v>
      </c>
      <c r="DA72" s="1679">
        <v>5</v>
      </c>
      <c r="DB72" s="386">
        <v>1</v>
      </c>
      <c r="DC72" s="386"/>
      <c r="DD72" s="386">
        <v>10</v>
      </c>
      <c r="DE72" s="2045">
        <v>0</v>
      </c>
      <c r="DG72" s="95"/>
      <c r="DH72" s="95"/>
      <c r="DI72" s="36"/>
      <c r="DJ72" s="36" t="s">
        <v>1080</v>
      </c>
      <c r="DK72" s="1484"/>
      <c r="DL72" s="1484"/>
      <c r="DM72" s="1484"/>
      <c r="DN72" s="1484">
        <v>0</v>
      </c>
      <c r="DO72" s="1484"/>
      <c r="DP72" s="1484"/>
      <c r="DQ72" s="1484"/>
      <c r="DR72" s="1484"/>
      <c r="DS72" s="1484">
        <v>1</v>
      </c>
      <c r="DT72" s="95"/>
      <c r="DU72" s="95"/>
      <c r="DV72" s="95">
        <v>1</v>
      </c>
      <c r="DW72" s="95"/>
      <c r="DY72" s="1209"/>
      <c r="DZ72" s="1209"/>
      <c r="EA72" s="1210"/>
      <c r="EB72" s="415" t="s">
        <v>15</v>
      </c>
      <c r="EC72" s="1214"/>
      <c r="ED72" s="1214"/>
      <c r="EE72" s="1215">
        <v>1</v>
      </c>
      <c r="EF72" s="1215">
        <v>1</v>
      </c>
      <c r="EG72" s="1214"/>
      <c r="EH72" s="1214"/>
      <c r="EI72" s="1215">
        <v>1</v>
      </c>
      <c r="EJ72" s="1214"/>
      <c r="EK72" s="620"/>
      <c r="EL72" s="620"/>
      <c r="EM72" s="621">
        <v>3</v>
      </c>
      <c r="EN72" s="1178">
        <f>+EM71/EM72</f>
        <v>0.33333333333333331</v>
      </c>
      <c r="EP72" s="527"/>
      <c r="EQ72" s="527"/>
      <c r="ER72" s="528"/>
      <c r="ES72" s="529" t="s">
        <v>1081</v>
      </c>
      <c r="ET72" s="531">
        <v>0</v>
      </c>
      <c r="EU72" s="531">
        <v>0</v>
      </c>
      <c r="EV72" s="531">
        <v>0</v>
      </c>
      <c r="EW72" s="530"/>
      <c r="EX72" s="531">
        <v>2</v>
      </c>
      <c r="EY72" s="531">
        <v>5</v>
      </c>
      <c r="EZ72" s="531">
        <v>4</v>
      </c>
      <c r="FA72" s="531">
        <v>1</v>
      </c>
      <c r="FB72" s="527"/>
      <c r="FC72" s="527"/>
      <c r="FD72" s="532">
        <v>12</v>
      </c>
      <c r="FE72" s="95"/>
      <c r="FG72" s="533" t="s">
        <v>25</v>
      </c>
      <c r="FH72" s="533" t="s">
        <v>4</v>
      </c>
      <c r="FI72" s="533" t="s">
        <v>119</v>
      </c>
      <c r="FJ72" s="534" t="s">
        <v>1072</v>
      </c>
      <c r="FK72" s="535"/>
      <c r="FL72" s="535"/>
      <c r="FM72" s="535"/>
      <c r="FN72" s="535"/>
      <c r="FO72" s="535"/>
      <c r="FP72" s="535"/>
      <c r="FQ72" s="535"/>
      <c r="FR72" s="536">
        <v>2</v>
      </c>
      <c r="FS72" s="535"/>
      <c r="FT72" s="538">
        <v>0</v>
      </c>
      <c r="FU72" s="537"/>
      <c r="FV72" s="538">
        <v>2</v>
      </c>
      <c r="FW72" s="539"/>
      <c r="FY72" s="540"/>
      <c r="FZ72" s="540"/>
      <c r="GA72" s="540"/>
      <c r="GB72" s="541" t="s">
        <v>1077</v>
      </c>
      <c r="GC72" s="542"/>
      <c r="GD72" s="542"/>
      <c r="GE72" s="542"/>
      <c r="GF72" s="542"/>
      <c r="GG72" s="542"/>
      <c r="GH72" s="543">
        <v>0</v>
      </c>
      <c r="GI72" s="543">
        <v>1</v>
      </c>
      <c r="GJ72" s="543">
        <v>0</v>
      </c>
      <c r="GK72" s="542"/>
      <c r="GL72" s="542"/>
      <c r="GM72" s="543">
        <v>1</v>
      </c>
      <c r="GN72" s="445"/>
      <c r="GP72" s="63"/>
      <c r="GQ72" s="63"/>
      <c r="GR72" s="37"/>
      <c r="GS72" s="37" t="s">
        <v>1072</v>
      </c>
      <c r="GT72" s="63"/>
      <c r="GU72" s="63"/>
      <c r="GV72" s="63"/>
      <c r="GW72" s="63"/>
      <c r="GX72" s="63"/>
      <c r="GY72" s="63">
        <v>2</v>
      </c>
      <c r="GZ72" s="63">
        <v>3</v>
      </c>
      <c r="HA72" s="63">
        <v>0</v>
      </c>
      <c r="HB72" s="63"/>
      <c r="HC72" s="63"/>
      <c r="HD72" s="63">
        <v>5</v>
      </c>
      <c r="HE72" s="37"/>
      <c r="HF72" s="37"/>
      <c r="HG72" s="446"/>
      <c r="HH72" s="446"/>
      <c r="HI72" s="446"/>
      <c r="HJ72" s="446" t="s">
        <v>1080</v>
      </c>
      <c r="HK72" s="446">
        <v>0</v>
      </c>
      <c r="HL72" s="446">
        <v>0</v>
      </c>
      <c r="HM72" s="446">
        <v>0</v>
      </c>
      <c r="HN72" s="446">
        <v>0</v>
      </c>
      <c r="HO72" s="446">
        <v>0</v>
      </c>
      <c r="HP72" s="446">
        <v>0</v>
      </c>
      <c r="HQ72" s="446">
        <v>0</v>
      </c>
      <c r="HR72" s="446">
        <v>3</v>
      </c>
      <c r="HS72" s="446">
        <v>5</v>
      </c>
      <c r="HT72" s="446">
        <v>0</v>
      </c>
      <c r="HU72" s="446">
        <v>0</v>
      </c>
      <c r="HV72" s="447">
        <v>8</v>
      </c>
      <c r="HW72" s="544"/>
      <c r="HX72" s="448"/>
    </row>
    <row r="73" spans="1:232">
      <c r="A73" s="5682">
        <v>1</v>
      </c>
      <c r="B73" s="5682">
        <v>2</v>
      </c>
      <c r="C73" s="5683" t="s">
        <v>2068</v>
      </c>
      <c r="D73" s="5683" t="s">
        <v>2709</v>
      </c>
      <c r="E73" s="5682">
        <v>1</v>
      </c>
      <c r="F73" s="5682">
        <v>8</v>
      </c>
      <c r="I73" s="4915">
        <v>1</v>
      </c>
      <c r="J73" s="4915">
        <v>4</v>
      </c>
      <c r="K73" s="4924" t="s">
        <v>1456</v>
      </c>
      <c r="L73" s="4924" t="s">
        <v>2731</v>
      </c>
      <c r="M73" s="4923">
        <v>1</v>
      </c>
      <c r="N73" s="4923">
        <v>8</v>
      </c>
      <c r="O73" s="157"/>
      <c r="Q73" s="4705">
        <v>2</v>
      </c>
      <c r="R73" s="4705">
        <v>1</v>
      </c>
      <c r="S73" s="4706" t="s">
        <v>388</v>
      </c>
      <c r="T73" s="4706" t="s">
        <v>2709</v>
      </c>
      <c r="U73" s="4707">
        <v>1</v>
      </c>
      <c r="V73" s="4707">
        <v>5</v>
      </c>
      <c r="W73" s="4722"/>
      <c r="X73" s="4634"/>
      <c r="Y73" s="36"/>
      <c r="Z73" s="36"/>
      <c r="AA73" s="36"/>
      <c r="AB73" s="36" t="s">
        <v>2571</v>
      </c>
      <c r="AC73" s="1681">
        <v>1</v>
      </c>
      <c r="AD73" s="1681"/>
      <c r="AE73" s="1681">
        <v>0</v>
      </c>
      <c r="AF73" s="1681"/>
      <c r="AG73" s="1681"/>
      <c r="AH73" s="1681"/>
      <c r="AI73" s="1681"/>
      <c r="AJ73" s="1681">
        <v>0</v>
      </c>
      <c r="AK73" s="1681">
        <v>0</v>
      </c>
      <c r="AL73" s="95">
        <v>0</v>
      </c>
      <c r="AM73" s="95">
        <v>1</v>
      </c>
      <c r="AN73" s="4545"/>
      <c r="AS73" s="3868" t="s">
        <v>1080</v>
      </c>
      <c r="AT73" s="3721"/>
      <c r="AU73" s="3721"/>
      <c r="AV73" s="3721">
        <v>0</v>
      </c>
      <c r="AW73" s="3721">
        <v>0</v>
      </c>
      <c r="AX73" s="3721"/>
      <c r="AY73" s="3721"/>
      <c r="AZ73" s="3721">
        <v>0</v>
      </c>
      <c r="BA73" s="3721">
        <v>0</v>
      </c>
      <c r="BB73" s="3721"/>
      <c r="BC73" s="2110"/>
      <c r="BD73" s="2110">
        <v>1</v>
      </c>
      <c r="BE73" s="2110">
        <v>1</v>
      </c>
      <c r="BF73" s="2110"/>
      <c r="BG73" s="2110"/>
      <c r="BJ73" s="1520"/>
      <c r="BK73" s="1520" t="s">
        <v>1080</v>
      </c>
      <c r="BL73" s="3872">
        <v>0</v>
      </c>
      <c r="BM73" s="3872">
        <v>0</v>
      </c>
      <c r="BN73" s="3872">
        <v>0</v>
      </c>
      <c r="BO73" s="3872">
        <v>0</v>
      </c>
      <c r="BP73" s="3872">
        <v>0</v>
      </c>
      <c r="BQ73" s="3872">
        <v>0</v>
      </c>
      <c r="BR73" s="3872">
        <v>20</v>
      </c>
      <c r="BS73" s="3872">
        <v>0</v>
      </c>
      <c r="BT73" s="3806">
        <v>9</v>
      </c>
      <c r="BU73" s="3806">
        <v>29</v>
      </c>
      <c r="BX73" s="36"/>
      <c r="BY73" s="36"/>
      <c r="BZ73" s="36"/>
      <c r="CA73" s="36" t="s">
        <v>1077</v>
      </c>
      <c r="CB73" s="1681"/>
      <c r="CC73" s="1681"/>
      <c r="CD73" s="1681"/>
      <c r="CE73" s="1681"/>
      <c r="CF73" s="1681"/>
      <c r="CG73" s="1681">
        <v>1</v>
      </c>
      <c r="CH73" s="1681"/>
      <c r="CI73" s="1681">
        <v>0</v>
      </c>
      <c r="CJ73" s="95"/>
      <c r="CK73" s="95"/>
      <c r="CL73" s="95">
        <v>1</v>
      </c>
      <c r="CM73" s="36"/>
      <c r="CO73" s="37"/>
      <c r="CP73" s="37"/>
      <c r="CQ73" s="37" t="s">
        <v>1457</v>
      </c>
      <c r="CR73" s="37" t="s">
        <v>1072</v>
      </c>
      <c r="CS73" s="1678"/>
      <c r="CT73" s="1678">
        <v>1</v>
      </c>
      <c r="CU73" s="1678"/>
      <c r="CV73" s="1678"/>
      <c r="CW73" s="1678">
        <v>3</v>
      </c>
      <c r="CX73" s="1678">
        <v>2</v>
      </c>
      <c r="CY73" s="1678">
        <v>2</v>
      </c>
      <c r="CZ73" s="1678">
        <v>3</v>
      </c>
      <c r="DA73" s="1678"/>
      <c r="DB73" s="63">
        <v>0</v>
      </c>
      <c r="DC73" s="63"/>
      <c r="DD73" s="63">
        <v>11</v>
      </c>
      <c r="DG73" s="95"/>
      <c r="DH73" s="95"/>
      <c r="DI73" s="36"/>
      <c r="DJ73" s="393" t="s">
        <v>15</v>
      </c>
      <c r="DK73" s="1485"/>
      <c r="DL73" s="1485"/>
      <c r="DM73" s="1485"/>
      <c r="DN73" s="1485">
        <v>1</v>
      </c>
      <c r="DO73" s="1485"/>
      <c r="DP73" s="1485"/>
      <c r="DQ73" s="1485"/>
      <c r="DR73" s="1485"/>
      <c r="DS73" s="1485">
        <v>1</v>
      </c>
      <c r="DT73" s="86"/>
      <c r="DU73" s="86"/>
      <c r="DV73" s="86">
        <v>2</v>
      </c>
      <c r="DW73" s="560">
        <v>0</v>
      </c>
      <c r="DY73" s="1209"/>
      <c r="DZ73" s="1209"/>
      <c r="EA73" s="1210" t="s">
        <v>1457</v>
      </c>
      <c r="EB73" s="1211" t="s">
        <v>1080</v>
      </c>
      <c r="EC73" s="1212"/>
      <c r="ED73" s="1212"/>
      <c r="EE73" s="1212"/>
      <c r="EF73" s="1213">
        <v>0</v>
      </c>
      <c r="EG73" s="1212"/>
      <c r="EH73" s="1212"/>
      <c r="EI73" s="1213">
        <v>1</v>
      </c>
      <c r="EJ73" s="1212"/>
      <c r="EK73" s="611"/>
      <c r="EL73" s="611"/>
      <c r="EM73" s="612">
        <v>1</v>
      </c>
      <c r="EN73" s="36"/>
      <c r="EP73" s="527"/>
      <c r="EQ73" s="527"/>
      <c r="ER73" s="528"/>
      <c r="ES73" s="529" t="s">
        <v>1163</v>
      </c>
      <c r="ET73" s="531">
        <v>0</v>
      </c>
      <c r="EU73" s="531">
        <v>0</v>
      </c>
      <c r="EV73" s="531">
        <v>3</v>
      </c>
      <c r="EW73" s="530"/>
      <c r="EX73" s="531">
        <v>0</v>
      </c>
      <c r="EY73" s="531">
        <v>2</v>
      </c>
      <c r="EZ73" s="531">
        <v>5</v>
      </c>
      <c r="FA73" s="531">
        <v>3</v>
      </c>
      <c r="FB73" s="527"/>
      <c r="FC73" s="527"/>
      <c r="FD73" s="532">
        <v>13</v>
      </c>
      <c r="FE73" s="95"/>
      <c r="FG73" s="533"/>
      <c r="FH73" s="533"/>
      <c r="FI73" s="533"/>
      <c r="FJ73" s="534" t="s">
        <v>1076</v>
      </c>
      <c r="FK73" s="535"/>
      <c r="FL73" s="535"/>
      <c r="FM73" s="535"/>
      <c r="FN73" s="535"/>
      <c r="FO73" s="535"/>
      <c r="FP73" s="535"/>
      <c r="FQ73" s="535"/>
      <c r="FR73" s="536">
        <v>1</v>
      </c>
      <c r="FS73" s="535"/>
      <c r="FT73" s="538">
        <v>0</v>
      </c>
      <c r="FU73" s="537"/>
      <c r="FV73" s="538">
        <v>1</v>
      </c>
      <c r="FW73" s="539"/>
      <c r="FY73" s="540"/>
      <c r="FZ73" s="540"/>
      <c r="GA73" s="540"/>
      <c r="GB73" s="541" t="s">
        <v>1080</v>
      </c>
      <c r="GC73" s="542"/>
      <c r="GD73" s="542"/>
      <c r="GE73" s="542"/>
      <c r="GF73" s="542"/>
      <c r="GG73" s="542"/>
      <c r="GH73" s="543">
        <v>0</v>
      </c>
      <c r="GI73" s="543">
        <v>0</v>
      </c>
      <c r="GJ73" s="543">
        <v>10</v>
      </c>
      <c r="GK73" s="542"/>
      <c r="GL73" s="542"/>
      <c r="GM73" s="543">
        <v>10</v>
      </c>
      <c r="GN73" s="445"/>
      <c r="GP73" s="63"/>
      <c r="GQ73" s="63"/>
      <c r="GR73" s="37"/>
      <c r="GS73" s="37" t="s">
        <v>1076</v>
      </c>
      <c r="GT73" s="63"/>
      <c r="GU73" s="63"/>
      <c r="GV73" s="63"/>
      <c r="GW73" s="63"/>
      <c r="GX73" s="63"/>
      <c r="GY73" s="63">
        <v>2</v>
      </c>
      <c r="GZ73" s="63">
        <v>2</v>
      </c>
      <c r="HA73" s="63">
        <v>0</v>
      </c>
      <c r="HB73" s="63"/>
      <c r="HC73" s="63"/>
      <c r="HD73" s="63">
        <v>4</v>
      </c>
      <c r="HE73" s="37"/>
      <c r="HF73" s="37"/>
      <c r="HG73" s="446"/>
      <c r="HH73" s="446"/>
      <c r="HI73" s="446"/>
      <c r="HJ73" s="449" t="s">
        <v>15</v>
      </c>
      <c r="HK73" s="449">
        <v>0</v>
      </c>
      <c r="HL73" s="449">
        <v>0</v>
      </c>
      <c r="HM73" s="449">
        <v>0</v>
      </c>
      <c r="HN73" s="449">
        <v>0</v>
      </c>
      <c r="HO73" s="449">
        <v>0</v>
      </c>
      <c r="HP73" s="449">
        <v>0</v>
      </c>
      <c r="HQ73" s="449">
        <v>1</v>
      </c>
      <c r="HR73" s="449">
        <v>4</v>
      </c>
      <c r="HS73" s="449">
        <v>5</v>
      </c>
      <c r="HT73" s="449">
        <v>0</v>
      </c>
      <c r="HU73" s="449">
        <v>0</v>
      </c>
      <c r="HV73" s="507">
        <v>10</v>
      </c>
      <c r="HW73" s="554">
        <f>+HV71/HV73</f>
        <v>0.1</v>
      </c>
      <c r="HX73" s="448">
        <f>+HV71</f>
        <v>1</v>
      </c>
    </row>
    <row r="74" spans="1:232">
      <c r="A74" s="5682"/>
      <c r="B74" s="5682"/>
      <c r="C74" s="5683"/>
      <c r="D74" s="5683"/>
      <c r="E74" s="5686">
        <f>SUM(E66:E73)</f>
        <v>34</v>
      </c>
      <c r="F74" s="5682"/>
      <c r="G74" s="4921">
        <f>(E67+E68)/(E74)</f>
        <v>8.8235294117647065E-2</v>
      </c>
      <c r="I74" s="4915">
        <v>1</v>
      </c>
      <c r="J74" s="4915">
        <v>4</v>
      </c>
      <c r="K74" s="4916" t="s">
        <v>1456</v>
      </c>
      <c r="L74" s="4916" t="s">
        <v>2731</v>
      </c>
      <c r="M74" s="4915">
        <v>3</v>
      </c>
      <c r="N74" s="4915">
        <v>9</v>
      </c>
      <c r="O74" s="157"/>
      <c r="Q74" s="4705">
        <v>2</v>
      </c>
      <c r="R74" s="4705">
        <v>1</v>
      </c>
      <c r="S74" s="4706" t="s">
        <v>388</v>
      </c>
      <c r="T74" s="4706" t="s">
        <v>2709</v>
      </c>
      <c r="U74" s="4707">
        <v>1</v>
      </c>
      <c r="V74" s="4707">
        <v>6</v>
      </c>
      <c r="W74" s="4722"/>
      <c r="X74" s="4634"/>
      <c r="Y74" s="36"/>
      <c r="Z74" s="36"/>
      <c r="AA74" s="36"/>
      <c r="AB74" s="36" t="s">
        <v>15</v>
      </c>
      <c r="AC74" s="1681">
        <v>1</v>
      </c>
      <c r="AD74" s="1681"/>
      <c r="AE74" s="1681">
        <v>1</v>
      </c>
      <c r="AF74" s="1681"/>
      <c r="AG74" s="1681"/>
      <c r="AH74" s="1681"/>
      <c r="AI74" s="1681"/>
      <c r="AJ74" s="1681">
        <v>6</v>
      </c>
      <c r="AK74" s="1681">
        <v>10</v>
      </c>
      <c r="AL74" s="95">
        <v>2</v>
      </c>
      <c r="AM74" s="95">
        <v>20</v>
      </c>
      <c r="AN74" s="560">
        <f>+AK71/(AM74-AM73)</f>
        <v>5.2631578947368418E-2</v>
      </c>
      <c r="AS74" s="3868" t="s">
        <v>1163</v>
      </c>
      <c r="AT74" s="3721"/>
      <c r="AU74" s="3721"/>
      <c r="AV74" s="3721">
        <v>0</v>
      </c>
      <c r="AW74" s="3721">
        <v>0</v>
      </c>
      <c r="AX74" s="3721"/>
      <c r="AY74" s="3721"/>
      <c r="AZ74" s="3721">
        <v>3</v>
      </c>
      <c r="BA74" s="3721">
        <v>1</v>
      </c>
      <c r="BB74" s="3721"/>
      <c r="BC74" s="2110"/>
      <c r="BD74" s="2110">
        <v>0</v>
      </c>
      <c r="BE74" s="2110">
        <v>4</v>
      </c>
      <c r="BF74" s="2110"/>
      <c r="BG74" s="2110"/>
      <c r="BJ74" s="1520"/>
      <c r="BK74" s="1520" t="s">
        <v>1081</v>
      </c>
      <c r="BL74" s="3872">
        <v>0</v>
      </c>
      <c r="BM74" s="3872">
        <v>0</v>
      </c>
      <c r="BN74" s="3872">
        <v>0</v>
      </c>
      <c r="BO74" s="3872">
        <v>0</v>
      </c>
      <c r="BP74" s="3872">
        <v>0</v>
      </c>
      <c r="BQ74" s="3872">
        <v>2</v>
      </c>
      <c r="BR74" s="3872">
        <v>0</v>
      </c>
      <c r="BS74" s="3872">
        <v>0</v>
      </c>
      <c r="BT74" s="3806">
        <v>0</v>
      </c>
      <c r="BU74" s="3806">
        <v>2</v>
      </c>
      <c r="BX74" s="36"/>
      <c r="BY74" s="36"/>
      <c r="BZ74" s="36"/>
      <c r="CA74" s="36" t="s">
        <v>1080</v>
      </c>
      <c r="CB74" s="1681"/>
      <c r="CC74" s="1681"/>
      <c r="CD74" s="1681"/>
      <c r="CE74" s="1681"/>
      <c r="CF74" s="1681"/>
      <c r="CG74" s="1681">
        <v>0</v>
      </c>
      <c r="CH74" s="1681"/>
      <c r="CI74" s="1681">
        <v>2</v>
      </c>
      <c r="CJ74" s="95"/>
      <c r="CK74" s="95"/>
      <c r="CL74" s="95">
        <v>2</v>
      </c>
      <c r="CM74" s="36"/>
      <c r="CO74" s="37"/>
      <c r="CP74" s="37"/>
      <c r="CQ74" s="37"/>
      <c r="CR74" s="37" t="s">
        <v>1076</v>
      </c>
      <c r="CS74" s="1678"/>
      <c r="CT74" s="1678">
        <v>0</v>
      </c>
      <c r="CU74" s="1678"/>
      <c r="CV74" s="1678"/>
      <c r="CW74" s="1678">
        <v>2</v>
      </c>
      <c r="CX74" s="1678">
        <v>1</v>
      </c>
      <c r="CY74" s="1678">
        <v>1</v>
      </c>
      <c r="CZ74" s="1678">
        <v>0</v>
      </c>
      <c r="DA74" s="1678"/>
      <c r="DB74" s="63">
        <v>0</v>
      </c>
      <c r="DC74" s="63"/>
      <c r="DD74" s="63">
        <v>4</v>
      </c>
      <c r="DG74" s="95"/>
      <c r="DH74" s="95"/>
      <c r="DI74" s="36" t="s">
        <v>1458</v>
      </c>
      <c r="DJ74" s="36" t="s">
        <v>1072</v>
      </c>
      <c r="DK74" s="1484"/>
      <c r="DL74" s="1484"/>
      <c r="DM74" s="1484"/>
      <c r="DN74" s="1484"/>
      <c r="DO74" s="1484">
        <v>1</v>
      </c>
      <c r="DP74" s="1484"/>
      <c r="DQ74" s="1484"/>
      <c r="DR74" s="1484"/>
      <c r="DS74" s="1484">
        <v>0</v>
      </c>
      <c r="DT74" s="95"/>
      <c r="DU74" s="95"/>
      <c r="DV74" s="95">
        <v>1</v>
      </c>
      <c r="DW74" s="95"/>
      <c r="DY74" s="1209"/>
      <c r="DZ74" s="1209"/>
      <c r="EA74" s="1210"/>
      <c r="EB74" s="1211" t="s">
        <v>1163</v>
      </c>
      <c r="EC74" s="1212"/>
      <c r="ED74" s="1212"/>
      <c r="EE74" s="1212"/>
      <c r="EF74" s="1213">
        <v>3</v>
      </c>
      <c r="EG74" s="1212"/>
      <c r="EH74" s="1212"/>
      <c r="EI74" s="1213">
        <v>0</v>
      </c>
      <c r="EJ74" s="1212"/>
      <c r="EK74" s="611"/>
      <c r="EL74" s="611"/>
      <c r="EM74" s="612">
        <v>3</v>
      </c>
      <c r="EN74" s="36"/>
      <c r="EP74" s="527"/>
      <c r="EQ74" s="527"/>
      <c r="ER74" s="528"/>
      <c r="ES74" s="555" t="s">
        <v>105</v>
      </c>
      <c r="ET74" s="557">
        <v>3</v>
      </c>
      <c r="EU74" s="557">
        <v>1</v>
      </c>
      <c r="EV74" s="557">
        <v>4</v>
      </c>
      <c r="EW74" s="556"/>
      <c r="EX74" s="557">
        <v>6</v>
      </c>
      <c r="EY74" s="557">
        <v>22</v>
      </c>
      <c r="EZ74" s="557">
        <v>36</v>
      </c>
      <c r="FA74" s="557">
        <v>20</v>
      </c>
      <c r="FB74" s="558"/>
      <c r="FC74" s="558"/>
      <c r="FD74" s="559">
        <v>92</v>
      </c>
      <c r="FE74" s="560">
        <f>+(FD69+FD72+FD73)/FD74</f>
        <v>0.38043478260869568</v>
      </c>
      <c r="FG74" s="533"/>
      <c r="FH74" s="533"/>
      <c r="FI74" s="533"/>
      <c r="FJ74" s="534" t="s">
        <v>1080</v>
      </c>
      <c r="FK74" s="535"/>
      <c r="FL74" s="535"/>
      <c r="FM74" s="535"/>
      <c r="FN74" s="535"/>
      <c r="FO74" s="535"/>
      <c r="FP74" s="535"/>
      <c r="FQ74" s="535"/>
      <c r="FR74" s="536">
        <v>0</v>
      </c>
      <c r="FS74" s="535"/>
      <c r="FT74" s="538">
        <v>1</v>
      </c>
      <c r="FU74" s="537"/>
      <c r="FV74" s="538">
        <v>1</v>
      </c>
      <c r="FW74" s="539"/>
      <c r="FY74" s="540"/>
      <c r="FZ74" s="540"/>
      <c r="GA74" s="540"/>
      <c r="GB74" s="541" t="s">
        <v>1163</v>
      </c>
      <c r="GC74" s="542"/>
      <c r="GD74" s="542"/>
      <c r="GE74" s="542"/>
      <c r="GF74" s="542"/>
      <c r="GG74" s="542"/>
      <c r="GH74" s="543">
        <v>1</v>
      </c>
      <c r="GI74" s="543">
        <v>0</v>
      </c>
      <c r="GJ74" s="543">
        <v>0</v>
      </c>
      <c r="GK74" s="542"/>
      <c r="GL74" s="542"/>
      <c r="GM74" s="543">
        <v>1</v>
      </c>
      <c r="GN74" s="445"/>
      <c r="GP74" s="63"/>
      <c r="GQ74" s="63"/>
      <c r="GR74" s="37"/>
      <c r="GS74" s="37" t="s">
        <v>1080</v>
      </c>
      <c r="GT74" s="63"/>
      <c r="GU74" s="63"/>
      <c r="GV74" s="63"/>
      <c r="GW74" s="63"/>
      <c r="GX74" s="63"/>
      <c r="GY74" s="63">
        <v>0</v>
      </c>
      <c r="GZ74" s="63">
        <v>0</v>
      </c>
      <c r="HA74" s="63">
        <v>2</v>
      </c>
      <c r="HB74" s="63"/>
      <c r="HC74" s="63"/>
      <c r="HD74" s="63">
        <v>2</v>
      </c>
      <c r="HE74" s="37"/>
      <c r="HF74" s="37"/>
      <c r="HG74" s="446"/>
      <c r="HH74" s="446" t="s">
        <v>16</v>
      </c>
      <c r="HI74" s="446" t="s">
        <v>106</v>
      </c>
      <c r="HJ74" s="446" t="s">
        <v>1072</v>
      </c>
      <c r="HK74" s="446">
        <v>0</v>
      </c>
      <c r="HL74" s="446">
        <v>0</v>
      </c>
      <c r="HM74" s="446">
        <v>0</v>
      </c>
      <c r="HN74" s="446">
        <v>1</v>
      </c>
      <c r="HO74" s="446">
        <v>0</v>
      </c>
      <c r="HP74" s="446">
        <v>0</v>
      </c>
      <c r="HQ74" s="446">
        <v>0</v>
      </c>
      <c r="HR74" s="446">
        <v>0</v>
      </c>
      <c r="HS74" s="446">
        <v>0</v>
      </c>
      <c r="HT74" s="446">
        <v>0</v>
      </c>
      <c r="HU74" s="446">
        <v>0</v>
      </c>
      <c r="HV74" s="447">
        <v>1</v>
      </c>
      <c r="HW74" s="544"/>
      <c r="HX74" s="448"/>
    </row>
    <row r="75" spans="1:232">
      <c r="A75" s="5682">
        <v>1</v>
      </c>
      <c r="B75" s="5682">
        <v>2</v>
      </c>
      <c r="C75" s="5683" t="s">
        <v>2058</v>
      </c>
      <c r="D75" s="5683" t="s">
        <v>2703</v>
      </c>
      <c r="E75" s="5682">
        <v>2</v>
      </c>
      <c r="F75" s="5682">
        <v>1</v>
      </c>
      <c r="I75" s="4915">
        <v>1</v>
      </c>
      <c r="J75" s="4915">
        <v>4</v>
      </c>
      <c r="K75" s="4916" t="s">
        <v>1456</v>
      </c>
      <c r="L75" s="4917" t="s">
        <v>2707</v>
      </c>
      <c r="M75" s="4922">
        <v>1</v>
      </c>
      <c r="N75" s="4915">
        <v>8</v>
      </c>
      <c r="O75" s="157"/>
      <c r="Q75" s="4705">
        <v>2</v>
      </c>
      <c r="R75" s="4705">
        <v>1</v>
      </c>
      <c r="S75" s="4706" t="s">
        <v>388</v>
      </c>
      <c r="T75" s="4706" t="s">
        <v>2709</v>
      </c>
      <c r="U75" s="4707">
        <v>2</v>
      </c>
      <c r="V75" s="4707">
        <v>7</v>
      </c>
      <c r="W75" s="4722"/>
      <c r="X75" s="4634"/>
      <c r="Y75" s="36"/>
      <c r="Z75" s="36"/>
      <c r="AA75" s="36" t="s">
        <v>120</v>
      </c>
      <c r="AB75" s="36" t="s">
        <v>1072</v>
      </c>
      <c r="AC75" s="1681">
        <v>0</v>
      </c>
      <c r="AD75" s="1681"/>
      <c r="AE75" s="1681"/>
      <c r="AF75" s="1681">
        <v>1</v>
      </c>
      <c r="AG75" s="1681"/>
      <c r="AH75" s="1681"/>
      <c r="AI75" s="1681">
        <v>1</v>
      </c>
      <c r="AJ75" s="1681">
        <v>0</v>
      </c>
      <c r="AK75" s="1681">
        <v>0</v>
      </c>
      <c r="AL75" s="95"/>
      <c r="AM75" s="95">
        <v>2</v>
      </c>
      <c r="AN75" s="4545"/>
      <c r="AS75" s="3868" t="s">
        <v>2264</v>
      </c>
      <c r="AT75" s="3721"/>
      <c r="AU75" s="3721"/>
      <c r="AV75" s="3721">
        <v>1</v>
      </c>
      <c r="AW75" s="3721">
        <v>0</v>
      </c>
      <c r="AX75" s="3721"/>
      <c r="AY75" s="3721"/>
      <c r="AZ75" s="3721">
        <v>0</v>
      </c>
      <c r="BA75" s="3721">
        <v>0</v>
      </c>
      <c r="BB75" s="3721"/>
      <c r="BC75" s="2110"/>
      <c r="BD75" s="2110">
        <v>0</v>
      </c>
      <c r="BE75" s="2110">
        <v>1</v>
      </c>
      <c r="BF75" s="2110"/>
      <c r="BG75" s="2110"/>
      <c r="BJ75" s="1520"/>
      <c r="BK75" s="1520" t="s">
        <v>1163</v>
      </c>
      <c r="BL75" s="3872">
        <v>0</v>
      </c>
      <c r="BM75" s="3872">
        <v>0</v>
      </c>
      <c r="BN75" s="3872">
        <v>0</v>
      </c>
      <c r="BO75" s="3872">
        <v>0</v>
      </c>
      <c r="BP75" s="3872">
        <v>0</v>
      </c>
      <c r="BQ75" s="3872">
        <v>3</v>
      </c>
      <c r="BR75" s="3872">
        <v>1</v>
      </c>
      <c r="BS75" s="3872">
        <v>0</v>
      </c>
      <c r="BT75" s="3806">
        <v>0</v>
      </c>
      <c r="BU75" s="3806">
        <v>4</v>
      </c>
      <c r="BX75" s="36"/>
      <c r="BY75" s="36"/>
      <c r="BZ75" s="36"/>
      <c r="CA75" s="393" t="s">
        <v>15</v>
      </c>
      <c r="CB75" s="1682"/>
      <c r="CC75" s="1682"/>
      <c r="CD75" s="1682"/>
      <c r="CE75" s="1682"/>
      <c r="CF75" s="1682"/>
      <c r="CG75" s="1682">
        <v>3</v>
      </c>
      <c r="CH75" s="1682"/>
      <c r="CI75" s="1682">
        <v>2</v>
      </c>
      <c r="CJ75" s="2041"/>
      <c r="CK75" s="2041"/>
      <c r="CL75" s="2041">
        <v>5</v>
      </c>
      <c r="CM75" s="560">
        <v>0</v>
      </c>
      <c r="CN75" s="1665"/>
      <c r="CO75" s="37"/>
      <c r="CP75" s="37"/>
      <c r="CQ75" s="37"/>
      <c r="CR75" s="37" t="s">
        <v>1077</v>
      </c>
      <c r="CS75" s="1678"/>
      <c r="CT75" s="1678">
        <v>0</v>
      </c>
      <c r="CU75" s="1678"/>
      <c r="CV75" s="1678"/>
      <c r="CW75" s="1678">
        <v>0</v>
      </c>
      <c r="CX75" s="1678">
        <v>1</v>
      </c>
      <c r="CY75" s="1678">
        <v>0</v>
      </c>
      <c r="CZ75" s="1678">
        <v>0</v>
      </c>
      <c r="DA75" s="1678"/>
      <c r="DB75" s="63">
        <v>0</v>
      </c>
      <c r="DC75" s="63"/>
      <c r="DD75" s="63">
        <v>1</v>
      </c>
      <c r="DG75" s="95"/>
      <c r="DH75" s="95"/>
      <c r="DI75" s="36"/>
      <c r="DJ75" s="36" t="s">
        <v>1080</v>
      </c>
      <c r="DK75" s="1484"/>
      <c r="DL75" s="1484"/>
      <c r="DM75" s="1484"/>
      <c r="DN75" s="1484"/>
      <c r="DO75" s="1484">
        <v>0</v>
      </c>
      <c r="DP75" s="1484"/>
      <c r="DQ75" s="1484"/>
      <c r="DR75" s="1484"/>
      <c r="DS75" s="1484">
        <v>2</v>
      </c>
      <c r="DT75" s="95"/>
      <c r="DU75" s="95"/>
      <c r="DV75" s="95">
        <v>2</v>
      </c>
      <c r="DW75" s="95"/>
      <c r="DY75" s="1209"/>
      <c r="DZ75" s="1209"/>
      <c r="EA75" s="1210"/>
      <c r="EB75" s="415" t="s">
        <v>15</v>
      </c>
      <c r="EC75" s="1214"/>
      <c r="ED75" s="1214"/>
      <c r="EE75" s="1214"/>
      <c r="EF75" s="1215">
        <v>3</v>
      </c>
      <c r="EG75" s="1214"/>
      <c r="EH75" s="1214"/>
      <c r="EI75" s="1215">
        <v>1</v>
      </c>
      <c r="EJ75" s="1214"/>
      <c r="EK75" s="620"/>
      <c r="EL75" s="620"/>
      <c r="EM75" s="621">
        <v>4</v>
      </c>
      <c r="EN75" s="1178">
        <f>+EM74/EM75</f>
        <v>0.75</v>
      </c>
      <c r="EP75" s="527" t="s">
        <v>25</v>
      </c>
      <c r="EQ75" s="527" t="s">
        <v>4</v>
      </c>
      <c r="ER75" s="528" t="s">
        <v>119</v>
      </c>
      <c r="ES75" s="529" t="s">
        <v>1071</v>
      </c>
      <c r="ET75" s="531">
        <v>0</v>
      </c>
      <c r="EU75" s="530"/>
      <c r="EV75" s="530"/>
      <c r="EW75" s="530"/>
      <c r="EX75" s="530"/>
      <c r="EY75" s="530"/>
      <c r="EZ75" s="531">
        <v>1</v>
      </c>
      <c r="FA75" s="531">
        <v>0</v>
      </c>
      <c r="FB75" s="532">
        <v>1</v>
      </c>
      <c r="FC75" s="532">
        <v>0</v>
      </c>
      <c r="FD75" s="532">
        <v>2</v>
      </c>
      <c r="FE75" s="95"/>
      <c r="FG75" s="533"/>
      <c r="FH75" s="533"/>
      <c r="FI75" s="533"/>
      <c r="FJ75" s="534" t="s">
        <v>1163</v>
      </c>
      <c r="FK75" s="535"/>
      <c r="FL75" s="535"/>
      <c r="FM75" s="535"/>
      <c r="FN75" s="535"/>
      <c r="FO75" s="535"/>
      <c r="FP75" s="535"/>
      <c r="FQ75" s="535"/>
      <c r="FR75" s="536">
        <v>2</v>
      </c>
      <c r="FS75" s="535"/>
      <c r="FT75" s="538">
        <v>0</v>
      </c>
      <c r="FU75" s="537"/>
      <c r="FV75" s="538">
        <v>2</v>
      </c>
      <c r="FW75" s="539"/>
      <c r="FY75" s="540"/>
      <c r="FZ75" s="540"/>
      <c r="GA75" s="540"/>
      <c r="GB75" s="550" t="s">
        <v>15</v>
      </c>
      <c r="GC75" s="551"/>
      <c r="GD75" s="551"/>
      <c r="GE75" s="551"/>
      <c r="GF75" s="551"/>
      <c r="GG75" s="551"/>
      <c r="GH75" s="552">
        <v>1</v>
      </c>
      <c r="GI75" s="552">
        <v>4</v>
      </c>
      <c r="GJ75" s="552">
        <v>10</v>
      </c>
      <c r="GK75" s="551"/>
      <c r="GL75" s="551"/>
      <c r="GM75" s="552">
        <v>15</v>
      </c>
      <c r="GN75" s="553">
        <f>+(GM74+GM71)/GM75</f>
        <v>0.2</v>
      </c>
      <c r="GP75" s="63"/>
      <c r="GQ75" s="63"/>
      <c r="GR75" s="37"/>
      <c r="GS75" s="37" t="s">
        <v>1163</v>
      </c>
      <c r="GT75" s="63"/>
      <c r="GU75" s="63"/>
      <c r="GV75" s="63"/>
      <c r="GW75" s="63"/>
      <c r="GX75" s="63"/>
      <c r="GY75" s="63">
        <v>3</v>
      </c>
      <c r="GZ75" s="63">
        <v>1</v>
      </c>
      <c r="HA75" s="63">
        <v>0</v>
      </c>
      <c r="HB75" s="63"/>
      <c r="HC75" s="63"/>
      <c r="HD75" s="63">
        <v>4</v>
      </c>
      <c r="HE75" s="37"/>
      <c r="HF75" s="37"/>
      <c r="HG75" s="446"/>
      <c r="HH75" s="446"/>
      <c r="HI75" s="446"/>
      <c r="HJ75" s="446" t="s">
        <v>1076</v>
      </c>
      <c r="HK75" s="446">
        <v>0</v>
      </c>
      <c r="HL75" s="446">
        <v>0</v>
      </c>
      <c r="HM75" s="446">
        <v>0</v>
      </c>
      <c r="HN75" s="446">
        <v>10</v>
      </c>
      <c r="HO75" s="446">
        <v>2</v>
      </c>
      <c r="HP75" s="446">
        <v>0</v>
      </c>
      <c r="HQ75" s="446">
        <v>0</v>
      </c>
      <c r="HR75" s="446">
        <v>0</v>
      </c>
      <c r="HS75" s="446">
        <v>0</v>
      </c>
      <c r="HT75" s="446">
        <v>0</v>
      </c>
      <c r="HU75" s="446">
        <v>0</v>
      </c>
      <c r="HV75" s="447">
        <v>12</v>
      </c>
      <c r="HW75" s="544"/>
      <c r="HX75" s="448"/>
    </row>
    <row r="76" spans="1:232">
      <c r="A76" s="5682">
        <v>1</v>
      </c>
      <c r="B76" s="5682">
        <v>2</v>
      </c>
      <c r="C76" s="5683" t="s">
        <v>2058</v>
      </c>
      <c r="D76" s="5685" t="s">
        <v>2707</v>
      </c>
      <c r="E76" s="5682">
        <v>1</v>
      </c>
      <c r="F76" s="5682">
        <v>8</v>
      </c>
      <c r="I76" s="4915">
        <v>1</v>
      </c>
      <c r="J76" s="4915">
        <v>4</v>
      </c>
      <c r="K76" s="4916" t="s">
        <v>1456</v>
      </c>
      <c r="L76" s="4916" t="s">
        <v>2709</v>
      </c>
      <c r="M76" s="4915">
        <v>1</v>
      </c>
      <c r="N76" s="4915">
        <v>1</v>
      </c>
      <c r="O76" s="157"/>
      <c r="Q76" s="4705">
        <v>2</v>
      </c>
      <c r="R76" s="4705">
        <v>1</v>
      </c>
      <c r="S76" s="4706" t="s">
        <v>388</v>
      </c>
      <c r="T76" s="4706" t="s">
        <v>2709</v>
      </c>
      <c r="U76" s="4707">
        <v>1</v>
      </c>
      <c r="V76" s="4707">
        <v>9</v>
      </c>
      <c r="W76" s="4722"/>
      <c r="X76" s="4634"/>
      <c r="Y76" s="36"/>
      <c r="Z76" s="36"/>
      <c r="AA76" s="36"/>
      <c r="AB76" s="36" t="s">
        <v>1076</v>
      </c>
      <c r="AC76" s="1681">
        <v>0</v>
      </c>
      <c r="AD76" s="1681"/>
      <c r="AE76" s="1681"/>
      <c r="AF76" s="1681">
        <v>0</v>
      </c>
      <c r="AG76" s="1681"/>
      <c r="AH76" s="1681"/>
      <c r="AI76" s="1681">
        <v>0</v>
      </c>
      <c r="AJ76" s="1681">
        <v>1</v>
      </c>
      <c r="AK76" s="1681">
        <v>0</v>
      </c>
      <c r="AL76" s="95"/>
      <c r="AM76" s="95">
        <v>1</v>
      </c>
      <c r="AN76" s="4545"/>
      <c r="AS76" s="27" t="s">
        <v>15</v>
      </c>
      <c r="AT76" s="3722"/>
      <c r="AU76" s="3722"/>
      <c r="AV76" s="3722">
        <v>1</v>
      </c>
      <c r="AW76" s="3722">
        <v>1</v>
      </c>
      <c r="AX76" s="3722"/>
      <c r="AY76" s="3722"/>
      <c r="AZ76" s="3722">
        <v>7</v>
      </c>
      <c r="BA76" s="3722">
        <v>4</v>
      </c>
      <c r="BB76" s="3722"/>
      <c r="BC76" s="3701"/>
      <c r="BD76" s="3701">
        <v>3</v>
      </c>
      <c r="BE76" s="3701">
        <v>16</v>
      </c>
      <c r="BF76" s="1665">
        <f>+(BE72+BE74)/BE76</f>
        <v>0.3125</v>
      </c>
      <c r="BG76" s="1665"/>
      <c r="BJ76" s="1520"/>
      <c r="BK76" s="1520" t="s">
        <v>2264</v>
      </c>
      <c r="BL76" s="3872">
        <v>0</v>
      </c>
      <c r="BM76" s="3872">
        <v>1</v>
      </c>
      <c r="BN76" s="3872">
        <v>0</v>
      </c>
      <c r="BO76" s="3872">
        <v>0</v>
      </c>
      <c r="BP76" s="3872">
        <v>0</v>
      </c>
      <c r="BQ76" s="3872">
        <v>0</v>
      </c>
      <c r="BR76" s="3872">
        <v>0</v>
      </c>
      <c r="BS76" s="3872">
        <v>0</v>
      </c>
      <c r="BT76" s="3806">
        <v>0</v>
      </c>
      <c r="BU76" s="3806">
        <v>1</v>
      </c>
      <c r="BX76" s="36"/>
      <c r="BY76" s="36"/>
      <c r="BZ76" s="36" t="s">
        <v>1458</v>
      </c>
      <c r="CA76" s="36" t="s">
        <v>1071</v>
      </c>
      <c r="CB76" s="1681"/>
      <c r="CC76" s="1681"/>
      <c r="CD76" s="1681"/>
      <c r="CE76" s="1681"/>
      <c r="CF76" s="1681">
        <v>0</v>
      </c>
      <c r="CG76" s="1681">
        <v>0</v>
      </c>
      <c r="CH76" s="1681">
        <v>1</v>
      </c>
      <c r="CI76" s="1681">
        <v>0</v>
      </c>
      <c r="CJ76" s="95"/>
      <c r="CK76" s="95"/>
      <c r="CL76" s="95">
        <v>1</v>
      </c>
      <c r="CM76" s="36"/>
      <c r="CO76" s="37"/>
      <c r="CP76" s="37"/>
      <c r="CQ76" s="37"/>
      <c r="CR76" s="37" t="s">
        <v>1080</v>
      </c>
      <c r="CS76" s="1678"/>
      <c r="CT76" s="1678">
        <v>0</v>
      </c>
      <c r="CU76" s="1678"/>
      <c r="CV76" s="1678"/>
      <c r="CW76" s="1678">
        <v>0</v>
      </c>
      <c r="CX76" s="1678">
        <v>0</v>
      </c>
      <c r="CY76" s="1678">
        <v>0</v>
      </c>
      <c r="CZ76" s="1678">
        <v>0</v>
      </c>
      <c r="DA76" s="1678"/>
      <c r="DB76" s="63">
        <v>2</v>
      </c>
      <c r="DC76" s="63"/>
      <c r="DD76" s="63">
        <v>2</v>
      </c>
      <c r="DG76" s="95"/>
      <c r="DH76" s="95"/>
      <c r="DI76" s="36"/>
      <c r="DJ76" s="393" t="s">
        <v>15</v>
      </c>
      <c r="DK76" s="1485"/>
      <c r="DL76" s="1485"/>
      <c r="DM76" s="1485"/>
      <c r="DN76" s="1485"/>
      <c r="DO76" s="1485">
        <v>1</v>
      </c>
      <c r="DP76" s="1485"/>
      <c r="DQ76" s="1485"/>
      <c r="DR76" s="1485"/>
      <c r="DS76" s="1485">
        <v>2</v>
      </c>
      <c r="DT76" s="86"/>
      <c r="DU76" s="86"/>
      <c r="DV76" s="86">
        <v>3</v>
      </c>
      <c r="DW76" s="560">
        <v>0</v>
      </c>
      <c r="DY76" s="1209"/>
      <c r="DZ76" s="1209"/>
      <c r="EA76" s="1210" t="s">
        <v>1454</v>
      </c>
      <c r="EB76" s="1211" t="s">
        <v>1072</v>
      </c>
      <c r="EC76" s="1212"/>
      <c r="ED76" s="1212"/>
      <c r="EE76" s="1212"/>
      <c r="EF76" s="1212"/>
      <c r="EG76" s="1213">
        <v>0</v>
      </c>
      <c r="EH76" s="1213">
        <v>1</v>
      </c>
      <c r="EI76" s="1213">
        <v>0</v>
      </c>
      <c r="EJ76" s="1212"/>
      <c r="EK76" s="611"/>
      <c r="EL76" s="611"/>
      <c r="EM76" s="612">
        <v>1</v>
      </c>
      <c r="EN76" s="36"/>
      <c r="EP76" s="527"/>
      <c r="EQ76" s="527"/>
      <c r="ER76" s="528"/>
      <c r="ES76" s="529" t="s">
        <v>1072</v>
      </c>
      <c r="ET76" s="531">
        <v>0</v>
      </c>
      <c r="EU76" s="530"/>
      <c r="EV76" s="530"/>
      <c r="EW76" s="530"/>
      <c r="EX76" s="530"/>
      <c r="EY76" s="530"/>
      <c r="EZ76" s="531">
        <v>1</v>
      </c>
      <c r="FA76" s="531">
        <v>0</v>
      </c>
      <c r="FB76" s="532">
        <v>0</v>
      </c>
      <c r="FC76" s="532">
        <v>0</v>
      </c>
      <c r="FD76" s="532">
        <v>1</v>
      </c>
      <c r="FE76" s="95"/>
      <c r="FG76" s="533"/>
      <c r="FH76" s="533"/>
      <c r="FI76" s="533"/>
      <c r="FJ76" s="545" t="s">
        <v>15</v>
      </c>
      <c r="FK76" s="546"/>
      <c r="FL76" s="546"/>
      <c r="FM76" s="546"/>
      <c r="FN76" s="546"/>
      <c r="FO76" s="546"/>
      <c r="FP76" s="546"/>
      <c r="FQ76" s="546"/>
      <c r="FR76" s="547">
        <v>5</v>
      </c>
      <c r="FS76" s="546"/>
      <c r="FT76" s="549">
        <v>1</v>
      </c>
      <c r="FU76" s="548"/>
      <c r="FV76" s="549">
        <v>6</v>
      </c>
      <c r="FW76" s="539">
        <f>+(FV75+FV73)/FV76</f>
        <v>0.5</v>
      </c>
      <c r="FY76" s="540"/>
      <c r="FZ76" s="540" t="s">
        <v>16</v>
      </c>
      <c r="GA76" s="540" t="s">
        <v>106</v>
      </c>
      <c r="GB76" s="541" t="s">
        <v>1076</v>
      </c>
      <c r="GC76" s="542"/>
      <c r="GD76" s="542"/>
      <c r="GE76" s="543">
        <v>9</v>
      </c>
      <c r="GF76" s="543">
        <v>0</v>
      </c>
      <c r="GG76" s="542"/>
      <c r="GH76" s="543">
        <v>0</v>
      </c>
      <c r="GI76" s="542"/>
      <c r="GJ76" s="542"/>
      <c r="GK76" s="542"/>
      <c r="GL76" s="542"/>
      <c r="GM76" s="543">
        <v>9</v>
      </c>
      <c r="GN76" s="445"/>
      <c r="GP76" s="63"/>
      <c r="GQ76" s="63"/>
      <c r="GR76" s="37"/>
      <c r="GS76" s="416" t="s">
        <v>15</v>
      </c>
      <c r="GT76" s="386"/>
      <c r="GU76" s="386"/>
      <c r="GV76" s="386"/>
      <c r="GW76" s="386"/>
      <c r="GX76" s="386"/>
      <c r="GY76" s="386">
        <v>7</v>
      </c>
      <c r="GZ76" s="386">
        <v>7</v>
      </c>
      <c r="HA76" s="386">
        <v>2</v>
      </c>
      <c r="HB76" s="386"/>
      <c r="HC76" s="386"/>
      <c r="HD76" s="386">
        <v>16</v>
      </c>
      <c r="HE76" s="466">
        <f>+(HD73+HD75)/HD76</f>
        <v>0.5</v>
      </c>
      <c r="HF76" s="37"/>
      <c r="HG76" s="446"/>
      <c r="HH76" s="446"/>
      <c r="HI76" s="446"/>
      <c r="HJ76" s="446" t="s">
        <v>1077</v>
      </c>
      <c r="HK76" s="446">
        <v>0</v>
      </c>
      <c r="HL76" s="446">
        <v>0</v>
      </c>
      <c r="HM76" s="446">
        <v>0</v>
      </c>
      <c r="HN76" s="446">
        <v>1</v>
      </c>
      <c r="HO76" s="446">
        <v>0</v>
      </c>
      <c r="HP76" s="446">
        <v>0</v>
      </c>
      <c r="HQ76" s="446">
        <v>0</v>
      </c>
      <c r="HR76" s="446">
        <v>0</v>
      </c>
      <c r="HS76" s="446">
        <v>0</v>
      </c>
      <c r="HT76" s="446">
        <v>0</v>
      </c>
      <c r="HU76" s="446">
        <v>0</v>
      </c>
      <c r="HV76" s="447">
        <v>1</v>
      </c>
      <c r="HW76" s="544"/>
      <c r="HX76" s="448"/>
    </row>
    <row r="77" spans="1:232">
      <c r="A77" s="5687">
        <v>1</v>
      </c>
      <c r="B77" s="5687">
        <v>2</v>
      </c>
      <c r="C77" s="5688" t="s">
        <v>2058</v>
      </c>
      <c r="D77" s="5688" t="s">
        <v>2707</v>
      </c>
      <c r="E77" s="5687">
        <v>1</v>
      </c>
      <c r="F77" s="5687">
        <v>9</v>
      </c>
      <c r="I77" s="4915">
        <v>1</v>
      </c>
      <c r="J77" s="4915">
        <v>4</v>
      </c>
      <c r="K77" s="4916" t="s">
        <v>1456</v>
      </c>
      <c r="L77" s="4916" t="s">
        <v>2709</v>
      </c>
      <c r="M77" s="4915">
        <v>1</v>
      </c>
      <c r="N77" s="4915">
        <v>3</v>
      </c>
      <c r="O77" s="157"/>
      <c r="Q77" s="4705"/>
      <c r="R77" s="4705"/>
      <c r="S77" s="4706"/>
      <c r="T77" s="4706"/>
      <c r="U77" s="4741">
        <f>SUM(U70:U76)</f>
        <v>11</v>
      </c>
      <c r="V77" s="4741"/>
      <c r="W77" s="4722">
        <f>(U71)/(U77)</f>
        <v>0.36363636363636365</v>
      </c>
      <c r="X77" s="4634"/>
      <c r="Y77" s="36"/>
      <c r="Z77" s="36"/>
      <c r="AA77" s="36"/>
      <c r="AB77" s="36" t="s">
        <v>1080</v>
      </c>
      <c r="AC77" s="1681">
        <v>0</v>
      </c>
      <c r="AD77" s="1681"/>
      <c r="AE77" s="1681"/>
      <c r="AF77" s="1681">
        <v>0</v>
      </c>
      <c r="AG77" s="1681"/>
      <c r="AH77" s="1681"/>
      <c r="AI77" s="1681">
        <v>0</v>
      </c>
      <c r="AJ77" s="1681">
        <v>10</v>
      </c>
      <c r="AK77" s="1681">
        <v>2</v>
      </c>
      <c r="AL77" s="95"/>
      <c r="AM77" s="95">
        <v>12</v>
      </c>
      <c r="AN77" s="4545"/>
      <c r="AR77" s="27" t="s">
        <v>483</v>
      </c>
      <c r="AS77" s="27" t="s">
        <v>1071</v>
      </c>
      <c r="AT77" s="3722">
        <v>0</v>
      </c>
      <c r="AU77" s="3722">
        <v>0</v>
      </c>
      <c r="AV77" s="3722">
        <v>0</v>
      </c>
      <c r="AW77" s="3722">
        <v>0</v>
      </c>
      <c r="AX77" s="3722"/>
      <c r="AY77" s="3722">
        <v>1</v>
      </c>
      <c r="AZ77" s="3722">
        <v>0</v>
      </c>
      <c r="BA77" s="3722">
        <v>0</v>
      </c>
      <c r="BB77" s="3722">
        <v>0</v>
      </c>
      <c r="BC77" s="3701">
        <v>0</v>
      </c>
      <c r="BD77" s="3701">
        <v>2</v>
      </c>
      <c r="BE77" s="3701">
        <v>3</v>
      </c>
      <c r="BF77" s="2110"/>
      <c r="BG77" s="2110"/>
      <c r="BJ77" s="1520"/>
      <c r="BK77" s="1520" t="s">
        <v>483</v>
      </c>
      <c r="BL77" s="3872">
        <v>13</v>
      </c>
      <c r="BM77" s="3872">
        <v>5</v>
      </c>
      <c r="BN77" s="3872">
        <v>4</v>
      </c>
      <c r="BO77" s="3872">
        <v>1</v>
      </c>
      <c r="BP77" s="3872">
        <v>4</v>
      </c>
      <c r="BQ77" s="3872">
        <v>30</v>
      </c>
      <c r="BR77" s="3872">
        <v>36</v>
      </c>
      <c r="BS77" s="3872">
        <v>15</v>
      </c>
      <c r="BT77" s="3806">
        <v>11</v>
      </c>
      <c r="BU77" s="3806">
        <v>119</v>
      </c>
      <c r="BV77" s="3807">
        <f>+(BU71+BU74+BU75)/BU77</f>
        <v>5.8823529411764705E-2</v>
      </c>
      <c r="BX77" s="36"/>
      <c r="BY77" s="36"/>
      <c r="BZ77" s="36"/>
      <c r="CA77" s="36" t="s">
        <v>1072</v>
      </c>
      <c r="CB77" s="1681"/>
      <c r="CC77" s="1681"/>
      <c r="CD77" s="1681"/>
      <c r="CE77" s="1681"/>
      <c r="CF77" s="1681">
        <v>0</v>
      </c>
      <c r="CG77" s="1681">
        <v>1</v>
      </c>
      <c r="CH77" s="1681">
        <v>0</v>
      </c>
      <c r="CI77" s="1681">
        <v>0</v>
      </c>
      <c r="CJ77" s="95"/>
      <c r="CK77" s="95"/>
      <c r="CL77" s="95">
        <v>1</v>
      </c>
      <c r="CM77" s="36"/>
      <c r="CO77" s="37"/>
      <c r="CP77" s="37"/>
      <c r="CQ77" s="37"/>
      <c r="CR77" s="37" t="s">
        <v>1081</v>
      </c>
      <c r="CS77" s="1678"/>
      <c r="CT77" s="1678">
        <v>0</v>
      </c>
      <c r="CU77" s="1678"/>
      <c r="CV77" s="1678"/>
      <c r="CW77" s="1678">
        <v>0</v>
      </c>
      <c r="CX77" s="1678">
        <v>0</v>
      </c>
      <c r="CY77" s="1678">
        <v>1</v>
      </c>
      <c r="CZ77" s="1678">
        <v>1</v>
      </c>
      <c r="DA77" s="1678"/>
      <c r="DB77" s="63">
        <v>0</v>
      </c>
      <c r="DC77" s="63"/>
      <c r="DD77" s="63">
        <v>2</v>
      </c>
      <c r="DG77" s="95"/>
      <c r="DH77" s="95"/>
      <c r="DI77" s="36" t="s">
        <v>726</v>
      </c>
      <c r="DJ77" s="36" t="s">
        <v>1072</v>
      </c>
      <c r="DK77" s="1484"/>
      <c r="DL77" s="1484"/>
      <c r="DM77" s="1484"/>
      <c r="DN77" s="1484">
        <v>1</v>
      </c>
      <c r="DO77" s="1484">
        <v>1</v>
      </c>
      <c r="DP77" s="1484">
        <v>1</v>
      </c>
      <c r="DQ77" s="1484">
        <v>1</v>
      </c>
      <c r="DR77" s="1484"/>
      <c r="DS77" s="1484">
        <v>0</v>
      </c>
      <c r="DT77" s="95"/>
      <c r="DU77" s="95"/>
      <c r="DV77" s="95">
        <v>4</v>
      </c>
      <c r="DW77" s="95"/>
      <c r="DY77" s="1209"/>
      <c r="DZ77" s="1209"/>
      <c r="EA77" s="1210"/>
      <c r="EB77" s="1211" t="s">
        <v>1080</v>
      </c>
      <c r="EC77" s="1212"/>
      <c r="ED77" s="1212"/>
      <c r="EE77" s="1212"/>
      <c r="EF77" s="1212"/>
      <c r="EG77" s="1213">
        <v>1</v>
      </c>
      <c r="EH77" s="1213">
        <v>0</v>
      </c>
      <c r="EI77" s="1213">
        <v>1</v>
      </c>
      <c r="EJ77" s="1212"/>
      <c r="EK77" s="611"/>
      <c r="EL77" s="611"/>
      <c r="EM77" s="612">
        <v>2</v>
      </c>
      <c r="EN77" s="36"/>
      <c r="EP77" s="527"/>
      <c r="EQ77" s="527"/>
      <c r="ER77" s="528"/>
      <c r="ES77" s="529" t="s">
        <v>1074</v>
      </c>
      <c r="ET77" s="531">
        <v>2</v>
      </c>
      <c r="EU77" s="530"/>
      <c r="EV77" s="530"/>
      <c r="EW77" s="530"/>
      <c r="EX77" s="530"/>
      <c r="EY77" s="530"/>
      <c r="EZ77" s="531">
        <v>0</v>
      </c>
      <c r="FA77" s="531">
        <v>0</v>
      </c>
      <c r="FB77" s="532">
        <v>0</v>
      </c>
      <c r="FC77" s="532">
        <v>0</v>
      </c>
      <c r="FD77" s="532">
        <v>2</v>
      </c>
      <c r="FE77" s="95"/>
      <c r="FG77" s="533"/>
      <c r="FH77" s="533"/>
      <c r="FI77" s="533" t="s">
        <v>120</v>
      </c>
      <c r="FJ77" s="534" t="s">
        <v>1071</v>
      </c>
      <c r="FK77" s="535"/>
      <c r="FL77" s="535"/>
      <c r="FM77" s="536">
        <v>0</v>
      </c>
      <c r="FN77" s="536">
        <v>0</v>
      </c>
      <c r="FO77" s="535"/>
      <c r="FP77" s="535"/>
      <c r="FQ77" s="536">
        <v>0</v>
      </c>
      <c r="FR77" s="536">
        <v>0</v>
      </c>
      <c r="FS77" s="536">
        <v>3</v>
      </c>
      <c r="FT77" s="538">
        <v>0</v>
      </c>
      <c r="FU77" s="538">
        <v>2</v>
      </c>
      <c r="FV77" s="538">
        <v>5</v>
      </c>
      <c r="FW77" s="539"/>
      <c r="FY77" s="540"/>
      <c r="FZ77" s="540"/>
      <c r="GA77" s="540"/>
      <c r="GB77" s="541" t="s">
        <v>1077</v>
      </c>
      <c r="GC77" s="542"/>
      <c r="GD77" s="542"/>
      <c r="GE77" s="543">
        <v>0</v>
      </c>
      <c r="GF77" s="543">
        <v>0</v>
      </c>
      <c r="GG77" s="542"/>
      <c r="GH77" s="543">
        <v>1</v>
      </c>
      <c r="GI77" s="542"/>
      <c r="GJ77" s="542"/>
      <c r="GK77" s="542"/>
      <c r="GL77" s="542"/>
      <c r="GM77" s="543">
        <v>1</v>
      </c>
      <c r="GN77" s="445"/>
      <c r="GP77" s="63"/>
      <c r="GQ77" s="63" t="s">
        <v>16</v>
      </c>
      <c r="GR77" s="37" t="s">
        <v>124</v>
      </c>
      <c r="GS77" s="37" t="s">
        <v>1071</v>
      </c>
      <c r="GT77" s="63"/>
      <c r="GU77" s="63"/>
      <c r="GV77" s="63"/>
      <c r="GW77" s="63"/>
      <c r="GX77" s="63"/>
      <c r="GY77" s="63">
        <v>0</v>
      </c>
      <c r="GZ77" s="63">
        <v>0</v>
      </c>
      <c r="HA77" s="63">
        <v>2</v>
      </c>
      <c r="HB77" s="63"/>
      <c r="HC77" s="63"/>
      <c r="HD77" s="63">
        <v>2</v>
      </c>
      <c r="HE77" s="37"/>
      <c r="HF77" s="37"/>
      <c r="HG77" s="446"/>
      <c r="HH77" s="446"/>
      <c r="HI77" s="446"/>
      <c r="HJ77" s="446" t="s">
        <v>1163</v>
      </c>
      <c r="HK77" s="446">
        <v>0</v>
      </c>
      <c r="HL77" s="446">
        <v>0</v>
      </c>
      <c r="HM77" s="446">
        <v>0</v>
      </c>
      <c r="HN77" s="446">
        <v>3</v>
      </c>
      <c r="HO77" s="446">
        <v>0</v>
      </c>
      <c r="HP77" s="446">
        <v>0</v>
      </c>
      <c r="HQ77" s="446">
        <v>1</v>
      </c>
      <c r="HR77" s="446">
        <v>0</v>
      </c>
      <c r="HS77" s="446">
        <v>0</v>
      </c>
      <c r="HT77" s="446">
        <v>0</v>
      </c>
      <c r="HU77" s="446">
        <v>0</v>
      </c>
      <c r="HV77" s="447">
        <v>4</v>
      </c>
      <c r="HW77" s="544"/>
      <c r="HX77" s="448"/>
    </row>
    <row r="78" spans="1:232">
      <c r="A78" s="5682">
        <v>1</v>
      </c>
      <c r="B78" s="5682">
        <v>2</v>
      </c>
      <c r="C78" s="5683" t="s">
        <v>2058</v>
      </c>
      <c r="D78" s="5683" t="s">
        <v>3027</v>
      </c>
      <c r="E78" s="5682">
        <v>1</v>
      </c>
      <c r="F78" s="5682">
        <v>9</v>
      </c>
      <c r="I78" s="4915"/>
      <c r="J78" s="4915"/>
      <c r="K78" s="4916"/>
      <c r="L78" s="4916"/>
      <c r="M78" s="4920">
        <f>SUM(M73:M77)</f>
        <v>7</v>
      </c>
      <c r="N78" s="4915"/>
      <c r="O78" s="4921">
        <f>(M75)/(M78)</f>
        <v>0.14285714285714285</v>
      </c>
      <c r="Q78" s="4705">
        <v>2</v>
      </c>
      <c r="R78" s="4705">
        <v>1</v>
      </c>
      <c r="S78" s="4706" t="s">
        <v>681</v>
      </c>
      <c r="T78" s="4706" t="s">
        <v>2731</v>
      </c>
      <c r="U78" s="4707">
        <v>9</v>
      </c>
      <c r="V78" s="4707">
        <v>10</v>
      </c>
      <c r="W78" s="4722"/>
      <c r="X78" s="4634"/>
      <c r="Y78" s="36"/>
      <c r="Z78" s="36"/>
      <c r="AA78" s="36"/>
      <c r="AB78" s="36" t="s">
        <v>2571</v>
      </c>
      <c r="AC78" s="1681">
        <v>1</v>
      </c>
      <c r="AD78" s="1681"/>
      <c r="AE78" s="1681"/>
      <c r="AF78" s="1681">
        <v>0</v>
      </c>
      <c r="AG78" s="1681"/>
      <c r="AH78" s="1681"/>
      <c r="AI78" s="1681">
        <v>0</v>
      </c>
      <c r="AJ78" s="1681">
        <v>0</v>
      </c>
      <c r="AK78" s="1681">
        <v>0</v>
      </c>
      <c r="AL78" s="95"/>
      <c r="AM78" s="95">
        <v>1</v>
      </c>
      <c r="AN78" s="4545"/>
      <c r="AR78" s="27"/>
      <c r="AS78" s="27" t="s">
        <v>1072</v>
      </c>
      <c r="AT78" s="3722">
        <v>0</v>
      </c>
      <c r="AU78" s="3722">
        <v>10</v>
      </c>
      <c r="AV78" s="3722">
        <v>3</v>
      </c>
      <c r="AW78" s="3722">
        <v>2</v>
      </c>
      <c r="AX78" s="3722"/>
      <c r="AY78" s="3722">
        <v>4</v>
      </c>
      <c r="AZ78" s="3722">
        <v>19</v>
      </c>
      <c r="BA78" s="3722">
        <v>15</v>
      </c>
      <c r="BB78" s="3722">
        <v>14</v>
      </c>
      <c r="BC78" s="3701">
        <v>0</v>
      </c>
      <c r="BD78" s="3701">
        <v>0</v>
      </c>
      <c r="BE78" s="3701">
        <v>67</v>
      </c>
      <c r="BF78" s="2110"/>
      <c r="BG78" s="2110"/>
      <c r="BI78" s="32" t="s">
        <v>21</v>
      </c>
      <c r="BJ78" s="32" t="s">
        <v>1456</v>
      </c>
      <c r="BK78" s="32" t="s">
        <v>1080</v>
      </c>
      <c r="BL78" s="3871"/>
      <c r="BM78" s="3871"/>
      <c r="BN78" s="3871"/>
      <c r="BO78" s="3871"/>
      <c r="BP78" s="3871"/>
      <c r="BQ78" s="3871"/>
      <c r="BR78" s="3871">
        <v>4</v>
      </c>
      <c r="BS78" s="3871"/>
      <c r="BT78" s="1518"/>
      <c r="BU78" s="1518">
        <v>4</v>
      </c>
      <c r="BX78" s="36"/>
      <c r="BY78" s="36"/>
      <c r="BZ78" s="36"/>
      <c r="CA78" s="36" t="s">
        <v>1076</v>
      </c>
      <c r="CB78" s="1681"/>
      <c r="CC78" s="1681"/>
      <c r="CD78" s="1681"/>
      <c r="CE78" s="1681"/>
      <c r="CF78" s="1681">
        <v>1</v>
      </c>
      <c r="CG78" s="1681">
        <v>0</v>
      </c>
      <c r="CH78" s="1681">
        <v>0</v>
      </c>
      <c r="CI78" s="1681">
        <v>0</v>
      </c>
      <c r="CJ78" s="95"/>
      <c r="CK78" s="95"/>
      <c r="CL78" s="95">
        <v>1</v>
      </c>
      <c r="CM78" s="36"/>
      <c r="CO78" s="37"/>
      <c r="CP78" s="37"/>
      <c r="CQ78" s="37"/>
      <c r="CR78" s="37" t="s">
        <v>1163</v>
      </c>
      <c r="CS78" s="1678"/>
      <c r="CT78" s="1678">
        <v>0</v>
      </c>
      <c r="CU78" s="1678"/>
      <c r="CV78" s="1678"/>
      <c r="CW78" s="1678">
        <v>0</v>
      </c>
      <c r="CX78" s="1678">
        <v>1</v>
      </c>
      <c r="CY78" s="1678">
        <v>0</v>
      </c>
      <c r="CZ78" s="1678">
        <v>0</v>
      </c>
      <c r="DA78" s="1678"/>
      <c r="DB78" s="63">
        <v>0</v>
      </c>
      <c r="DC78" s="63"/>
      <c r="DD78" s="63">
        <v>1</v>
      </c>
      <c r="DG78" s="95"/>
      <c r="DH78" s="95"/>
      <c r="DI78" s="36"/>
      <c r="DJ78" s="36" t="s">
        <v>1080</v>
      </c>
      <c r="DK78" s="1484"/>
      <c r="DL78" s="1484"/>
      <c r="DM78" s="1484"/>
      <c r="DN78" s="1484">
        <v>0</v>
      </c>
      <c r="DO78" s="1484">
        <v>0</v>
      </c>
      <c r="DP78" s="1484">
        <v>0</v>
      </c>
      <c r="DQ78" s="1484">
        <v>0</v>
      </c>
      <c r="DR78" s="1484"/>
      <c r="DS78" s="1484">
        <v>5</v>
      </c>
      <c r="DT78" s="95"/>
      <c r="DU78" s="95"/>
      <c r="DV78" s="95">
        <v>5</v>
      </c>
      <c r="DW78" s="95"/>
      <c r="DY78" s="1209"/>
      <c r="DZ78" s="1209"/>
      <c r="EA78" s="1210"/>
      <c r="EB78" s="1211" t="s">
        <v>1081</v>
      </c>
      <c r="EC78" s="1212"/>
      <c r="ED78" s="1212"/>
      <c r="EE78" s="1212"/>
      <c r="EF78" s="1212"/>
      <c r="EG78" s="1213">
        <v>0</v>
      </c>
      <c r="EH78" s="1213">
        <v>1</v>
      </c>
      <c r="EI78" s="1213">
        <v>0</v>
      </c>
      <c r="EJ78" s="1212"/>
      <c r="EK78" s="611"/>
      <c r="EL78" s="611"/>
      <c r="EM78" s="612">
        <v>1</v>
      </c>
      <c r="EN78" s="36"/>
      <c r="EP78" s="527"/>
      <c r="EQ78" s="527"/>
      <c r="ER78" s="528"/>
      <c r="ES78" s="529" t="s">
        <v>1076</v>
      </c>
      <c r="ET78" s="531">
        <v>0</v>
      </c>
      <c r="EU78" s="530"/>
      <c r="EV78" s="530"/>
      <c r="EW78" s="530"/>
      <c r="EX78" s="530"/>
      <c r="EY78" s="530"/>
      <c r="EZ78" s="531">
        <v>2</v>
      </c>
      <c r="FA78" s="531">
        <v>0</v>
      </c>
      <c r="FB78" s="532">
        <v>1</v>
      </c>
      <c r="FC78" s="532">
        <v>0</v>
      </c>
      <c r="FD78" s="532">
        <v>3</v>
      </c>
      <c r="FE78" s="95"/>
      <c r="FG78" s="533"/>
      <c r="FH78" s="533"/>
      <c r="FI78" s="533"/>
      <c r="FJ78" s="534" t="s">
        <v>1072</v>
      </c>
      <c r="FK78" s="535"/>
      <c r="FL78" s="535"/>
      <c r="FM78" s="536">
        <v>2</v>
      </c>
      <c r="FN78" s="536">
        <v>1</v>
      </c>
      <c r="FO78" s="535"/>
      <c r="FP78" s="535"/>
      <c r="FQ78" s="536">
        <v>1</v>
      </c>
      <c r="FR78" s="536">
        <v>1</v>
      </c>
      <c r="FS78" s="536">
        <v>1</v>
      </c>
      <c r="FT78" s="538">
        <v>0</v>
      </c>
      <c r="FU78" s="538">
        <v>0</v>
      </c>
      <c r="FV78" s="538">
        <v>6</v>
      </c>
      <c r="FW78" s="539"/>
      <c r="FY78" s="540"/>
      <c r="FZ78" s="540"/>
      <c r="GA78" s="540"/>
      <c r="GB78" s="541" t="s">
        <v>1163</v>
      </c>
      <c r="GC78" s="542"/>
      <c r="GD78" s="542"/>
      <c r="GE78" s="543">
        <v>3</v>
      </c>
      <c r="GF78" s="543">
        <v>2</v>
      </c>
      <c r="GG78" s="542"/>
      <c r="GH78" s="543">
        <v>0</v>
      </c>
      <c r="GI78" s="542"/>
      <c r="GJ78" s="542"/>
      <c r="GK78" s="542"/>
      <c r="GL78" s="542"/>
      <c r="GM78" s="543">
        <v>5</v>
      </c>
      <c r="GN78" s="445"/>
      <c r="GP78" s="63"/>
      <c r="GQ78" s="63"/>
      <c r="GR78" s="37"/>
      <c r="GS78" s="37" t="s">
        <v>1072</v>
      </c>
      <c r="GT78" s="63"/>
      <c r="GU78" s="63"/>
      <c r="GV78" s="63"/>
      <c r="GW78" s="63"/>
      <c r="GX78" s="63"/>
      <c r="GY78" s="63">
        <v>0</v>
      </c>
      <c r="GZ78" s="63">
        <v>1</v>
      </c>
      <c r="HA78" s="63">
        <v>0</v>
      </c>
      <c r="HB78" s="63"/>
      <c r="HC78" s="63"/>
      <c r="HD78" s="63">
        <v>1</v>
      </c>
      <c r="HE78" s="37"/>
      <c r="HF78" s="37"/>
      <c r="HG78" s="446"/>
      <c r="HH78" s="446"/>
      <c r="HI78" s="446"/>
      <c r="HJ78" s="449" t="s">
        <v>15</v>
      </c>
      <c r="HK78" s="449">
        <v>0</v>
      </c>
      <c r="HL78" s="449">
        <v>0</v>
      </c>
      <c r="HM78" s="449">
        <v>0</v>
      </c>
      <c r="HN78" s="449">
        <v>15</v>
      </c>
      <c r="HO78" s="449">
        <v>2</v>
      </c>
      <c r="HP78" s="449">
        <v>0</v>
      </c>
      <c r="HQ78" s="449">
        <v>1</v>
      </c>
      <c r="HR78" s="449">
        <v>0</v>
      </c>
      <c r="HS78" s="449">
        <v>0</v>
      </c>
      <c r="HT78" s="449">
        <v>0</v>
      </c>
      <c r="HU78" s="449">
        <v>0</v>
      </c>
      <c r="HV78" s="507">
        <v>18</v>
      </c>
      <c r="HW78" s="554">
        <f>+(HV77+HV75)/HV78</f>
        <v>0.88888888888888884</v>
      </c>
      <c r="HX78" s="448">
        <f>+HV75+HV77</f>
        <v>16</v>
      </c>
    </row>
    <row r="79" spans="1:232">
      <c r="A79" s="5682">
        <v>1</v>
      </c>
      <c r="B79" s="5682">
        <v>2</v>
      </c>
      <c r="C79" s="5683" t="s">
        <v>2058</v>
      </c>
      <c r="D79" s="5683" t="s">
        <v>3027</v>
      </c>
      <c r="E79" s="5682">
        <v>2</v>
      </c>
      <c r="F79" s="5682">
        <v>10</v>
      </c>
      <c r="I79" s="4915">
        <v>1</v>
      </c>
      <c r="J79" s="4915">
        <v>4</v>
      </c>
      <c r="K79" s="4916" t="s">
        <v>1457</v>
      </c>
      <c r="L79" s="4916" t="s">
        <v>2731</v>
      </c>
      <c r="M79" s="4915">
        <v>4</v>
      </c>
      <c r="N79" s="4915">
        <v>9</v>
      </c>
      <c r="O79" s="157"/>
      <c r="Q79" s="4705">
        <v>2</v>
      </c>
      <c r="R79" s="4705">
        <v>1</v>
      </c>
      <c r="S79" s="4706" t="s">
        <v>681</v>
      </c>
      <c r="T79" s="4708" t="s">
        <v>2732</v>
      </c>
      <c r="U79" s="4709">
        <v>1</v>
      </c>
      <c r="V79" s="4709">
        <v>7</v>
      </c>
      <c r="W79" s="4722"/>
      <c r="X79" s="4634"/>
      <c r="Y79" s="36"/>
      <c r="Z79" s="36"/>
      <c r="AA79" s="36"/>
      <c r="AB79" s="36" t="s">
        <v>15</v>
      </c>
      <c r="AC79" s="1681">
        <v>1</v>
      </c>
      <c r="AD79" s="1681"/>
      <c r="AE79" s="1681"/>
      <c r="AF79" s="1681">
        <v>1</v>
      </c>
      <c r="AG79" s="1681"/>
      <c r="AH79" s="1681"/>
      <c r="AI79" s="1681">
        <v>1</v>
      </c>
      <c r="AJ79" s="1681">
        <v>11</v>
      </c>
      <c r="AK79" s="1681">
        <v>2</v>
      </c>
      <c r="AL79" s="95"/>
      <c r="AM79" s="95">
        <v>16</v>
      </c>
      <c r="AN79" s="560">
        <f>+AJ76/(AM79-AM78)</f>
        <v>6.6666666666666666E-2</v>
      </c>
      <c r="AR79" s="27"/>
      <c r="AS79" s="27" t="s">
        <v>1074</v>
      </c>
      <c r="AT79" s="3722">
        <v>0</v>
      </c>
      <c r="AU79" s="3722">
        <v>3</v>
      </c>
      <c r="AV79" s="3722">
        <v>1</v>
      </c>
      <c r="AW79" s="3722">
        <v>1</v>
      </c>
      <c r="AX79" s="3722"/>
      <c r="AY79" s="3722">
        <v>0</v>
      </c>
      <c r="AZ79" s="3722">
        <v>0</v>
      </c>
      <c r="BA79" s="3722">
        <v>0</v>
      </c>
      <c r="BB79" s="3722">
        <v>0</v>
      </c>
      <c r="BC79" s="3701">
        <v>0</v>
      </c>
      <c r="BD79" s="3701">
        <v>0</v>
      </c>
      <c r="BE79" s="3701">
        <v>5</v>
      </c>
      <c r="BF79" s="2110"/>
      <c r="BG79" s="2110"/>
      <c r="BK79" s="1520" t="s">
        <v>15</v>
      </c>
      <c r="BL79" s="3872"/>
      <c r="BM79" s="3872"/>
      <c r="BN79" s="3872"/>
      <c r="BO79" s="3872"/>
      <c r="BP79" s="3872"/>
      <c r="BQ79" s="3872"/>
      <c r="BR79" s="3872">
        <v>4</v>
      </c>
      <c r="BS79" s="3872"/>
      <c r="BT79" s="3806"/>
      <c r="BU79" s="3806">
        <v>4</v>
      </c>
      <c r="BV79" s="3807">
        <v>0</v>
      </c>
      <c r="BX79" s="36"/>
      <c r="BY79" s="36"/>
      <c r="BZ79" s="36"/>
      <c r="CA79" s="36" t="s">
        <v>1080</v>
      </c>
      <c r="CB79" s="1681"/>
      <c r="CC79" s="1681"/>
      <c r="CD79" s="1681"/>
      <c r="CE79" s="1681"/>
      <c r="CF79" s="1681">
        <v>0</v>
      </c>
      <c r="CG79" s="1681">
        <v>0</v>
      </c>
      <c r="CH79" s="1681">
        <v>0</v>
      </c>
      <c r="CI79" s="1681">
        <v>1</v>
      </c>
      <c r="CJ79" s="95"/>
      <c r="CK79" s="95"/>
      <c r="CL79" s="95">
        <v>1</v>
      </c>
      <c r="CM79" s="36"/>
      <c r="CO79" s="37"/>
      <c r="CP79" s="37"/>
      <c r="CQ79" s="37"/>
      <c r="CR79" s="416" t="s">
        <v>15</v>
      </c>
      <c r="CS79" s="1679"/>
      <c r="CT79" s="1679">
        <v>1</v>
      </c>
      <c r="CU79" s="1679"/>
      <c r="CV79" s="1679"/>
      <c r="CW79" s="1679">
        <v>5</v>
      </c>
      <c r="CX79" s="1679">
        <v>5</v>
      </c>
      <c r="CY79" s="1679">
        <v>4</v>
      </c>
      <c r="CZ79" s="1679">
        <v>4</v>
      </c>
      <c r="DA79" s="1679"/>
      <c r="DB79" s="386">
        <v>2</v>
      </c>
      <c r="DC79" s="386"/>
      <c r="DD79" s="386">
        <v>21</v>
      </c>
      <c r="DE79" s="2045">
        <f>+(DD74+DD77+DD78)/DD79</f>
        <v>0.33333333333333331</v>
      </c>
      <c r="DG79" s="95"/>
      <c r="DH79" s="95"/>
      <c r="DI79" s="36"/>
      <c r="DJ79" s="393" t="s">
        <v>726</v>
      </c>
      <c r="DK79" s="1485"/>
      <c r="DL79" s="1485"/>
      <c r="DM79" s="1485"/>
      <c r="DN79" s="1485">
        <v>1</v>
      </c>
      <c r="DO79" s="1485">
        <v>1</v>
      </c>
      <c r="DP79" s="1485">
        <v>1</v>
      </c>
      <c r="DQ79" s="1485">
        <v>1</v>
      </c>
      <c r="DR79" s="1485"/>
      <c r="DS79" s="1485">
        <v>5</v>
      </c>
      <c r="DT79" s="86"/>
      <c r="DU79" s="86"/>
      <c r="DV79" s="86">
        <v>9</v>
      </c>
      <c r="DW79" s="560">
        <v>0</v>
      </c>
      <c r="DY79" s="1209"/>
      <c r="DZ79" s="1209"/>
      <c r="EA79" s="1210"/>
      <c r="EB79" s="415" t="s">
        <v>15</v>
      </c>
      <c r="EC79" s="1214"/>
      <c r="ED79" s="1214"/>
      <c r="EE79" s="1214"/>
      <c r="EF79" s="1214"/>
      <c r="EG79" s="1215">
        <v>1</v>
      </c>
      <c r="EH79" s="1215">
        <v>2</v>
      </c>
      <c r="EI79" s="1215">
        <v>1</v>
      </c>
      <c r="EJ79" s="1214"/>
      <c r="EK79" s="620"/>
      <c r="EL79" s="620"/>
      <c r="EM79" s="621">
        <v>4</v>
      </c>
      <c r="EN79" s="1178">
        <f>+EM78/EM79</f>
        <v>0.25</v>
      </c>
      <c r="EP79" s="527"/>
      <c r="EQ79" s="527"/>
      <c r="ER79" s="528"/>
      <c r="ES79" s="529" t="s">
        <v>1080</v>
      </c>
      <c r="ET79" s="531">
        <v>0</v>
      </c>
      <c r="EU79" s="530"/>
      <c r="EV79" s="530"/>
      <c r="EW79" s="530"/>
      <c r="EX79" s="530"/>
      <c r="EY79" s="530"/>
      <c r="EZ79" s="531">
        <v>0</v>
      </c>
      <c r="FA79" s="531">
        <v>4</v>
      </c>
      <c r="FB79" s="532">
        <v>1</v>
      </c>
      <c r="FC79" s="532">
        <v>1</v>
      </c>
      <c r="FD79" s="532">
        <v>6</v>
      </c>
      <c r="FE79" s="95"/>
      <c r="FG79" s="533"/>
      <c r="FH79" s="533"/>
      <c r="FI79" s="533"/>
      <c r="FJ79" s="534" t="s">
        <v>1074</v>
      </c>
      <c r="FK79" s="535"/>
      <c r="FL79" s="535"/>
      <c r="FM79" s="536">
        <v>1</v>
      </c>
      <c r="FN79" s="536">
        <v>0</v>
      </c>
      <c r="FO79" s="535"/>
      <c r="FP79" s="535"/>
      <c r="FQ79" s="536">
        <v>0</v>
      </c>
      <c r="FR79" s="536">
        <v>0</v>
      </c>
      <c r="FS79" s="536">
        <v>0</v>
      </c>
      <c r="FT79" s="538">
        <v>0</v>
      </c>
      <c r="FU79" s="538">
        <v>0</v>
      </c>
      <c r="FV79" s="538">
        <v>1</v>
      </c>
      <c r="FW79" s="539"/>
      <c r="FY79" s="540"/>
      <c r="FZ79" s="540"/>
      <c r="GA79" s="540"/>
      <c r="GB79" s="550" t="s">
        <v>15</v>
      </c>
      <c r="GC79" s="551"/>
      <c r="GD79" s="551"/>
      <c r="GE79" s="552">
        <v>12</v>
      </c>
      <c r="GF79" s="552">
        <v>2</v>
      </c>
      <c r="GG79" s="551"/>
      <c r="GH79" s="552">
        <v>1</v>
      </c>
      <c r="GI79" s="551"/>
      <c r="GJ79" s="551"/>
      <c r="GK79" s="551"/>
      <c r="GL79" s="551"/>
      <c r="GM79" s="552">
        <v>15</v>
      </c>
      <c r="GN79" s="553">
        <f>+(GM78+GM76)/GM79</f>
        <v>0.93333333333333335</v>
      </c>
      <c r="GP79" s="63"/>
      <c r="GQ79" s="63"/>
      <c r="GR79" s="37"/>
      <c r="GS79" s="37" t="s">
        <v>1076</v>
      </c>
      <c r="GT79" s="63"/>
      <c r="GU79" s="63"/>
      <c r="GV79" s="63"/>
      <c r="GW79" s="63"/>
      <c r="GX79" s="63"/>
      <c r="GY79" s="63">
        <v>1</v>
      </c>
      <c r="GZ79" s="63">
        <v>2</v>
      </c>
      <c r="HA79" s="63">
        <v>0</v>
      </c>
      <c r="HB79" s="63"/>
      <c r="HC79" s="63"/>
      <c r="HD79" s="63">
        <v>3</v>
      </c>
      <c r="HE79" s="37"/>
      <c r="HF79" s="37"/>
      <c r="HG79" s="446"/>
      <c r="HH79" s="446"/>
      <c r="HI79" s="446" t="s">
        <v>124</v>
      </c>
      <c r="HJ79" s="446" t="s">
        <v>1072</v>
      </c>
      <c r="HK79" s="446">
        <v>0</v>
      </c>
      <c r="HL79" s="446">
        <v>1</v>
      </c>
      <c r="HM79" s="446">
        <v>0</v>
      </c>
      <c r="HN79" s="446">
        <v>0</v>
      </c>
      <c r="HO79" s="446">
        <v>0</v>
      </c>
      <c r="HP79" s="446">
        <v>0</v>
      </c>
      <c r="HQ79" s="446">
        <v>1</v>
      </c>
      <c r="HR79" s="446">
        <v>1</v>
      </c>
      <c r="HS79" s="446">
        <v>0</v>
      </c>
      <c r="HT79" s="446">
        <v>0</v>
      </c>
      <c r="HU79" s="446">
        <v>0</v>
      </c>
      <c r="HV79" s="447">
        <v>3</v>
      </c>
      <c r="HW79" s="544"/>
      <c r="HX79" s="448"/>
    </row>
    <row r="80" spans="1:232">
      <c r="A80" s="5682">
        <v>1</v>
      </c>
      <c r="B80" s="5682">
        <v>2</v>
      </c>
      <c r="C80" s="5683" t="s">
        <v>2058</v>
      </c>
      <c r="D80" s="5683" t="s">
        <v>2709</v>
      </c>
      <c r="E80" s="5682">
        <v>2</v>
      </c>
      <c r="F80" s="5682">
        <v>7</v>
      </c>
      <c r="I80" s="4915">
        <v>1</v>
      </c>
      <c r="J80" s="4915">
        <v>4</v>
      </c>
      <c r="K80" s="4916" t="s">
        <v>1457</v>
      </c>
      <c r="L80" s="4916" t="s">
        <v>2709</v>
      </c>
      <c r="M80" s="4915">
        <v>1</v>
      </c>
      <c r="N80" s="4915">
        <v>8</v>
      </c>
      <c r="O80" s="157"/>
      <c r="Q80" s="4705">
        <v>2</v>
      </c>
      <c r="R80" s="4705">
        <v>1</v>
      </c>
      <c r="S80" s="4706" t="s">
        <v>681</v>
      </c>
      <c r="T80" s="4708" t="s">
        <v>2707</v>
      </c>
      <c r="U80" s="4709">
        <v>1</v>
      </c>
      <c r="V80" s="4709">
        <v>8</v>
      </c>
      <c r="W80" s="4722"/>
      <c r="X80" s="4634"/>
      <c r="Y80" s="36"/>
      <c r="Z80" s="36"/>
      <c r="AA80" s="36" t="s">
        <v>121</v>
      </c>
      <c r="AB80" s="36" t="s">
        <v>1076</v>
      </c>
      <c r="AC80" s="1681"/>
      <c r="AD80" s="1681"/>
      <c r="AE80" s="1681"/>
      <c r="AF80" s="1681"/>
      <c r="AG80" s="1681"/>
      <c r="AH80" s="1681"/>
      <c r="AI80" s="1681"/>
      <c r="AJ80" s="1681">
        <v>3</v>
      </c>
      <c r="AK80" s="1681"/>
      <c r="AL80" s="95"/>
      <c r="AM80" s="95">
        <v>3</v>
      </c>
      <c r="AN80" s="4545"/>
      <c r="AR80" s="27"/>
      <c r="AS80" s="27" t="s">
        <v>1076</v>
      </c>
      <c r="AT80" s="3722">
        <v>0</v>
      </c>
      <c r="AU80" s="3722">
        <v>0</v>
      </c>
      <c r="AV80" s="3722">
        <v>0</v>
      </c>
      <c r="AW80" s="3722">
        <v>0</v>
      </c>
      <c r="AX80" s="3722"/>
      <c r="AY80" s="3722">
        <v>0</v>
      </c>
      <c r="AZ80" s="3722">
        <v>5</v>
      </c>
      <c r="BA80" s="3722">
        <v>0</v>
      </c>
      <c r="BB80" s="3722">
        <v>0</v>
      </c>
      <c r="BC80" s="3701">
        <v>0</v>
      </c>
      <c r="BD80" s="3701">
        <v>0</v>
      </c>
      <c r="BE80" s="3701">
        <v>5</v>
      </c>
      <c r="BF80" s="2110"/>
      <c r="BG80" s="2110"/>
      <c r="BJ80" s="32" t="s">
        <v>1457</v>
      </c>
      <c r="BK80" s="32" t="s">
        <v>1071</v>
      </c>
      <c r="BL80" s="3871"/>
      <c r="BM80" s="3871"/>
      <c r="BN80" s="3871"/>
      <c r="BO80" s="3871">
        <v>1</v>
      </c>
      <c r="BP80" s="3871">
        <v>0</v>
      </c>
      <c r="BQ80" s="3871">
        <v>0</v>
      </c>
      <c r="BR80" s="3871">
        <v>0</v>
      </c>
      <c r="BS80" s="3871"/>
      <c r="BT80" s="1518"/>
      <c r="BU80" s="1518">
        <v>1</v>
      </c>
      <c r="BX80" s="36"/>
      <c r="BY80" s="36"/>
      <c r="BZ80" s="36"/>
      <c r="CA80" s="36" t="s">
        <v>1081</v>
      </c>
      <c r="CB80" s="1681"/>
      <c r="CC80" s="1681"/>
      <c r="CD80" s="1681"/>
      <c r="CE80" s="1681"/>
      <c r="CF80" s="1681">
        <v>0</v>
      </c>
      <c r="CG80" s="1681">
        <v>0</v>
      </c>
      <c r="CH80" s="1681">
        <v>1</v>
      </c>
      <c r="CI80" s="1681">
        <v>0</v>
      </c>
      <c r="CJ80" s="95"/>
      <c r="CK80" s="95"/>
      <c r="CL80" s="95">
        <v>1</v>
      </c>
      <c r="CM80" s="36"/>
      <c r="CO80" s="37"/>
      <c r="CP80" s="37"/>
      <c r="CQ80" s="37" t="s">
        <v>1454</v>
      </c>
      <c r="CR80" s="37" t="s">
        <v>1071</v>
      </c>
      <c r="CS80" s="1678"/>
      <c r="CT80" s="1678"/>
      <c r="CU80" s="1678"/>
      <c r="CV80" s="1678"/>
      <c r="CW80" s="1678">
        <v>0</v>
      </c>
      <c r="CX80" s="1678"/>
      <c r="CY80" s="1678">
        <v>0</v>
      </c>
      <c r="CZ80" s="1678">
        <v>1</v>
      </c>
      <c r="DA80" s="1678">
        <v>0</v>
      </c>
      <c r="DB80" s="63">
        <v>0</v>
      </c>
      <c r="DC80" s="63"/>
      <c r="DD80" s="63">
        <v>1</v>
      </c>
      <c r="DG80" s="95"/>
      <c r="DH80" s="95"/>
      <c r="DI80" s="36" t="s">
        <v>105</v>
      </c>
      <c r="DJ80" s="36" t="s">
        <v>1071</v>
      </c>
      <c r="DK80" s="1484">
        <v>0</v>
      </c>
      <c r="DL80" s="1484">
        <v>0</v>
      </c>
      <c r="DM80" s="1484">
        <v>0</v>
      </c>
      <c r="DN80" s="1484">
        <v>0</v>
      </c>
      <c r="DO80" s="1484">
        <v>0</v>
      </c>
      <c r="DP80" s="1484">
        <v>1</v>
      </c>
      <c r="DQ80" s="1484">
        <v>0</v>
      </c>
      <c r="DR80" s="1484">
        <v>4</v>
      </c>
      <c r="DS80" s="1484">
        <v>4</v>
      </c>
      <c r="DT80" s="95">
        <v>0</v>
      </c>
      <c r="DU80" s="95">
        <v>0</v>
      </c>
      <c r="DV80" s="95">
        <v>9</v>
      </c>
      <c r="DW80" s="95"/>
      <c r="DY80" s="1209"/>
      <c r="DZ80" s="1209"/>
      <c r="EA80" s="1210" t="s">
        <v>1458</v>
      </c>
      <c r="EB80" s="1211" t="s">
        <v>1080</v>
      </c>
      <c r="EC80" s="1212"/>
      <c r="ED80" s="1212"/>
      <c r="EE80" s="1213">
        <v>0</v>
      </c>
      <c r="EF80" s="1213">
        <v>1</v>
      </c>
      <c r="EG80" s="1212"/>
      <c r="EH80" s="1212"/>
      <c r="EI80" s="1212"/>
      <c r="EJ80" s="1212"/>
      <c r="EK80" s="611"/>
      <c r="EL80" s="611"/>
      <c r="EM80" s="612">
        <v>1</v>
      </c>
      <c r="EN80" s="36"/>
      <c r="EP80" s="527"/>
      <c r="EQ80" s="527"/>
      <c r="ER80" s="528"/>
      <c r="ES80" s="529" t="s">
        <v>1163</v>
      </c>
      <c r="ET80" s="531">
        <v>0</v>
      </c>
      <c r="EU80" s="530"/>
      <c r="EV80" s="530"/>
      <c r="EW80" s="530"/>
      <c r="EX80" s="530"/>
      <c r="EY80" s="530"/>
      <c r="EZ80" s="531">
        <v>0</v>
      </c>
      <c r="FA80" s="531">
        <v>1</v>
      </c>
      <c r="FB80" s="532">
        <v>0</v>
      </c>
      <c r="FC80" s="532">
        <v>0</v>
      </c>
      <c r="FD80" s="532">
        <v>1</v>
      </c>
      <c r="FE80" s="95"/>
      <c r="FG80" s="533"/>
      <c r="FH80" s="533"/>
      <c r="FI80" s="533"/>
      <c r="FJ80" s="534" t="s">
        <v>1076</v>
      </c>
      <c r="FK80" s="535"/>
      <c r="FL80" s="535"/>
      <c r="FM80" s="536">
        <v>0</v>
      </c>
      <c r="FN80" s="536">
        <v>0</v>
      </c>
      <c r="FO80" s="535"/>
      <c r="FP80" s="535"/>
      <c r="FQ80" s="536">
        <v>0</v>
      </c>
      <c r="FR80" s="536">
        <v>7</v>
      </c>
      <c r="FS80" s="536">
        <v>0</v>
      </c>
      <c r="FT80" s="538">
        <v>1</v>
      </c>
      <c r="FU80" s="538">
        <v>0</v>
      </c>
      <c r="FV80" s="538">
        <v>8</v>
      </c>
      <c r="FW80" s="539"/>
      <c r="FY80" s="540"/>
      <c r="FZ80" s="540"/>
      <c r="GA80" s="540" t="s">
        <v>125</v>
      </c>
      <c r="GB80" s="541" t="s">
        <v>1072</v>
      </c>
      <c r="GC80" s="542"/>
      <c r="GD80" s="543">
        <v>0</v>
      </c>
      <c r="GE80" s="543">
        <v>0</v>
      </c>
      <c r="GF80" s="543">
        <v>1</v>
      </c>
      <c r="GG80" s="543">
        <v>0</v>
      </c>
      <c r="GH80" s="543">
        <v>1</v>
      </c>
      <c r="GI80" s="543">
        <v>15</v>
      </c>
      <c r="GJ80" s="543">
        <v>0</v>
      </c>
      <c r="GK80" s="542"/>
      <c r="GL80" s="542"/>
      <c r="GM80" s="543">
        <v>17</v>
      </c>
      <c r="GN80" s="445"/>
      <c r="GP80" s="63"/>
      <c r="GQ80" s="63"/>
      <c r="GR80" s="37"/>
      <c r="GS80" s="37" t="s">
        <v>1080</v>
      </c>
      <c r="GT80" s="63"/>
      <c r="GU80" s="63"/>
      <c r="GV80" s="63"/>
      <c r="GW80" s="63"/>
      <c r="GX80" s="63"/>
      <c r="GY80" s="63">
        <v>0</v>
      </c>
      <c r="GZ80" s="63">
        <v>0</v>
      </c>
      <c r="HA80" s="63">
        <v>8</v>
      </c>
      <c r="HB80" s="63"/>
      <c r="HC80" s="63"/>
      <c r="HD80" s="63">
        <v>8</v>
      </c>
      <c r="HE80" s="37"/>
      <c r="HF80" s="37"/>
      <c r="HG80" s="446"/>
      <c r="HH80" s="446"/>
      <c r="HI80" s="446"/>
      <c r="HJ80" s="446" t="s">
        <v>1076</v>
      </c>
      <c r="HK80" s="446">
        <v>0</v>
      </c>
      <c r="HL80" s="446">
        <v>0</v>
      </c>
      <c r="HM80" s="446">
        <v>0</v>
      </c>
      <c r="HN80" s="446">
        <v>0</v>
      </c>
      <c r="HO80" s="446">
        <v>0</v>
      </c>
      <c r="HP80" s="446">
        <v>0</v>
      </c>
      <c r="HQ80" s="446">
        <v>0</v>
      </c>
      <c r="HR80" s="446">
        <v>1</v>
      </c>
      <c r="HS80" s="446">
        <v>0</v>
      </c>
      <c r="HT80" s="446">
        <v>0</v>
      </c>
      <c r="HU80" s="446">
        <v>0</v>
      </c>
      <c r="HV80" s="447">
        <v>1</v>
      </c>
      <c r="HW80" s="544"/>
      <c r="HX80" s="448"/>
    </row>
    <row r="81" spans="1:232">
      <c r="A81" s="5682">
        <v>1</v>
      </c>
      <c r="B81" s="5682">
        <v>2</v>
      </c>
      <c r="C81" s="5683" t="s">
        <v>2058</v>
      </c>
      <c r="D81" s="5683" t="s">
        <v>2709</v>
      </c>
      <c r="E81" s="5682">
        <v>1</v>
      </c>
      <c r="F81" s="5682">
        <v>8</v>
      </c>
      <c r="I81" s="4915"/>
      <c r="J81" s="4915"/>
      <c r="K81" s="4916"/>
      <c r="L81" s="4916"/>
      <c r="M81" s="4920">
        <f>SUM(M79:M80)</f>
        <v>5</v>
      </c>
      <c r="N81" s="4915"/>
      <c r="O81" s="4921">
        <v>0</v>
      </c>
      <c r="Q81" s="4705">
        <v>2</v>
      </c>
      <c r="R81" s="4705">
        <v>1</v>
      </c>
      <c r="S81" s="4706" t="s">
        <v>681</v>
      </c>
      <c r="T81" s="4708" t="s">
        <v>1076</v>
      </c>
      <c r="U81" s="4709">
        <v>1</v>
      </c>
      <c r="V81" s="4709">
        <v>6</v>
      </c>
      <c r="W81" s="4722"/>
      <c r="X81" s="4452"/>
      <c r="Y81" s="36"/>
      <c r="Z81" s="36"/>
      <c r="AA81" s="36"/>
      <c r="AB81" s="36" t="s">
        <v>15</v>
      </c>
      <c r="AC81" s="1681"/>
      <c r="AD81" s="1681"/>
      <c r="AE81" s="1681"/>
      <c r="AF81" s="1681"/>
      <c r="AG81" s="1681"/>
      <c r="AH81" s="1681"/>
      <c r="AI81" s="1681"/>
      <c r="AJ81" s="1681">
        <v>3</v>
      </c>
      <c r="AK81" s="1681"/>
      <c r="AL81" s="95"/>
      <c r="AM81" s="95">
        <v>3</v>
      </c>
      <c r="AN81" s="4545">
        <f>+AJ80/AM81</f>
        <v>1</v>
      </c>
      <c r="AR81" s="27"/>
      <c r="AS81" s="27" t="s">
        <v>1077</v>
      </c>
      <c r="AT81" s="3722">
        <v>0</v>
      </c>
      <c r="AU81" s="3722">
        <v>0</v>
      </c>
      <c r="AV81" s="3722">
        <v>0</v>
      </c>
      <c r="AW81" s="3722">
        <v>1</v>
      </c>
      <c r="AX81" s="3722"/>
      <c r="AY81" s="3722">
        <v>0</v>
      </c>
      <c r="AZ81" s="3722">
        <v>0</v>
      </c>
      <c r="BA81" s="3722">
        <v>0</v>
      </c>
      <c r="BB81" s="3722">
        <v>0</v>
      </c>
      <c r="BC81" s="3701">
        <v>0</v>
      </c>
      <c r="BD81" s="3701">
        <v>0</v>
      </c>
      <c r="BE81" s="3701">
        <v>1</v>
      </c>
      <c r="BF81" s="2110"/>
      <c r="BG81" s="2110"/>
      <c r="BK81" s="32" t="s">
        <v>1072</v>
      </c>
      <c r="BL81" s="3871"/>
      <c r="BM81" s="3871"/>
      <c r="BN81" s="3871"/>
      <c r="BO81" s="3871">
        <v>0</v>
      </c>
      <c r="BP81" s="3871">
        <v>1</v>
      </c>
      <c r="BQ81" s="3871">
        <v>1</v>
      </c>
      <c r="BR81" s="3871">
        <v>0</v>
      </c>
      <c r="BS81" s="3871"/>
      <c r="BT81" s="1518"/>
      <c r="BU81" s="1518">
        <v>2</v>
      </c>
      <c r="BX81" s="36"/>
      <c r="BY81" s="36"/>
      <c r="BZ81" s="36"/>
      <c r="CA81" s="393" t="s">
        <v>15</v>
      </c>
      <c r="CB81" s="1682"/>
      <c r="CC81" s="1682"/>
      <c r="CD81" s="1682"/>
      <c r="CE81" s="1682"/>
      <c r="CF81" s="1682">
        <v>1</v>
      </c>
      <c r="CG81" s="1682">
        <v>1</v>
      </c>
      <c r="CH81" s="1682">
        <v>2</v>
      </c>
      <c r="CI81" s="1682">
        <v>1</v>
      </c>
      <c r="CJ81" s="2041"/>
      <c r="CK81" s="2041"/>
      <c r="CL81" s="2041">
        <v>5</v>
      </c>
      <c r="CM81" s="560">
        <f>+(CL80+CL78)/CL81</f>
        <v>0.4</v>
      </c>
      <c r="CN81" s="1665"/>
      <c r="CO81" s="37"/>
      <c r="CP81" s="37"/>
      <c r="CQ81" s="37"/>
      <c r="CR81" s="37" t="s">
        <v>1072</v>
      </c>
      <c r="CS81" s="1678"/>
      <c r="CT81" s="1678"/>
      <c r="CU81" s="1678"/>
      <c r="CV81" s="1678"/>
      <c r="CW81" s="1678">
        <v>0</v>
      </c>
      <c r="CX81" s="1678"/>
      <c r="CY81" s="1678">
        <v>3</v>
      </c>
      <c r="CZ81" s="1678">
        <v>3</v>
      </c>
      <c r="DA81" s="1678">
        <v>0</v>
      </c>
      <c r="DB81" s="63">
        <v>0</v>
      </c>
      <c r="DC81" s="63"/>
      <c r="DD81" s="63">
        <v>6</v>
      </c>
      <c r="DG81" s="95"/>
      <c r="DH81" s="95"/>
      <c r="DI81" s="36"/>
      <c r="DJ81" s="36" t="s">
        <v>1072</v>
      </c>
      <c r="DK81" s="1484">
        <v>0</v>
      </c>
      <c r="DL81" s="1484">
        <v>2</v>
      </c>
      <c r="DM81" s="1484">
        <v>1</v>
      </c>
      <c r="DN81" s="1484">
        <v>1</v>
      </c>
      <c r="DO81" s="1484">
        <v>1</v>
      </c>
      <c r="DP81" s="1484">
        <v>2</v>
      </c>
      <c r="DQ81" s="1484">
        <v>24</v>
      </c>
      <c r="DR81" s="1484">
        <v>19</v>
      </c>
      <c r="DS81" s="1484">
        <v>2</v>
      </c>
      <c r="DT81" s="95">
        <v>2</v>
      </c>
      <c r="DU81" s="95">
        <v>0</v>
      </c>
      <c r="DV81" s="95">
        <v>54</v>
      </c>
      <c r="DW81" s="95"/>
      <c r="DY81" s="1209"/>
      <c r="DZ81" s="1209"/>
      <c r="EA81" s="1210"/>
      <c r="EB81" s="1211" t="s">
        <v>1163</v>
      </c>
      <c r="EC81" s="1212"/>
      <c r="ED81" s="1212"/>
      <c r="EE81" s="1213">
        <v>1</v>
      </c>
      <c r="EF81" s="1213">
        <v>0</v>
      </c>
      <c r="EG81" s="1212"/>
      <c r="EH81" s="1212"/>
      <c r="EI81" s="1212"/>
      <c r="EJ81" s="1212"/>
      <c r="EK81" s="611"/>
      <c r="EL81" s="611"/>
      <c r="EM81" s="612">
        <v>1</v>
      </c>
      <c r="EN81" s="36"/>
      <c r="EP81" s="527"/>
      <c r="EQ81" s="527"/>
      <c r="ER81" s="528"/>
      <c r="ES81" s="555" t="s">
        <v>15</v>
      </c>
      <c r="ET81" s="557">
        <v>2</v>
      </c>
      <c r="EU81" s="556"/>
      <c r="EV81" s="556"/>
      <c r="EW81" s="556"/>
      <c r="EX81" s="556"/>
      <c r="EY81" s="556"/>
      <c r="EZ81" s="557">
        <v>4</v>
      </c>
      <c r="FA81" s="557">
        <v>5</v>
      </c>
      <c r="FB81" s="559">
        <v>3</v>
      </c>
      <c r="FC81" s="559">
        <v>1</v>
      </c>
      <c r="FD81" s="559">
        <v>15</v>
      </c>
      <c r="FE81" s="560">
        <f>+(FD78+FD80-FB78)/FD81</f>
        <v>0.2</v>
      </c>
      <c r="FG81" s="533"/>
      <c r="FH81" s="533"/>
      <c r="FI81" s="533"/>
      <c r="FJ81" s="534" t="s">
        <v>1077</v>
      </c>
      <c r="FK81" s="535"/>
      <c r="FL81" s="535"/>
      <c r="FM81" s="536">
        <v>0</v>
      </c>
      <c r="FN81" s="536">
        <v>1</v>
      </c>
      <c r="FO81" s="535"/>
      <c r="FP81" s="535"/>
      <c r="FQ81" s="536">
        <v>0</v>
      </c>
      <c r="FR81" s="536">
        <v>0</v>
      </c>
      <c r="FS81" s="536">
        <v>0</v>
      </c>
      <c r="FT81" s="538">
        <v>0</v>
      </c>
      <c r="FU81" s="538">
        <v>0</v>
      </c>
      <c r="FV81" s="538">
        <v>1</v>
      </c>
      <c r="FW81" s="539"/>
      <c r="FY81" s="540"/>
      <c r="FZ81" s="540"/>
      <c r="GA81" s="540"/>
      <c r="GB81" s="541" t="s">
        <v>1074</v>
      </c>
      <c r="GC81" s="542"/>
      <c r="GD81" s="543">
        <v>1</v>
      </c>
      <c r="GE81" s="543">
        <v>0</v>
      </c>
      <c r="GF81" s="543">
        <v>0</v>
      </c>
      <c r="GG81" s="543">
        <v>0</v>
      </c>
      <c r="GH81" s="543">
        <v>0</v>
      </c>
      <c r="GI81" s="543">
        <v>0</v>
      </c>
      <c r="GJ81" s="543">
        <v>0</v>
      </c>
      <c r="GK81" s="542"/>
      <c r="GL81" s="542"/>
      <c r="GM81" s="543">
        <v>1</v>
      </c>
      <c r="GN81" s="445"/>
      <c r="GP81" s="63"/>
      <c r="GQ81" s="63"/>
      <c r="GR81" s="37"/>
      <c r="GS81" s="416" t="s">
        <v>15</v>
      </c>
      <c r="GT81" s="386"/>
      <c r="GU81" s="386"/>
      <c r="GV81" s="386"/>
      <c r="GW81" s="386"/>
      <c r="GX81" s="386"/>
      <c r="GY81" s="386">
        <v>1</v>
      </c>
      <c r="GZ81" s="386">
        <v>3</v>
      </c>
      <c r="HA81" s="386">
        <v>10</v>
      </c>
      <c r="HB81" s="386"/>
      <c r="HC81" s="386"/>
      <c r="HD81" s="386">
        <v>14</v>
      </c>
      <c r="HE81" s="466">
        <f>+HD79/HD81</f>
        <v>0.21428571428571427</v>
      </c>
      <c r="HF81" s="37"/>
      <c r="HG81" s="446"/>
      <c r="HH81" s="446"/>
      <c r="HI81" s="446"/>
      <c r="HJ81" s="446" t="s">
        <v>1080</v>
      </c>
      <c r="HK81" s="446">
        <v>0</v>
      </c>
      <c r="HL81" s="446">
        <v>0</v>
      </c>
      <c r="HM81" s="446">
        <v>0</v>
      </c>
      <c r="HN81" s="446">
        <v>0</v>
      </c>
      <c r="HO81" s="446">
        <v>0</v>
      </c>
      <c r="HP81" s="446">
        <v>0</v>
      </c>
      <c r="HQ81" s="446">
        <v>0</v>
      </c>
      <c r="HR81" s="446">
        <v>4</v>
      </c>
      <c r="HS81" s="446">
        <v>5</v>
      </c>
      <c r="HT81" s="446">
        <v>0</v>
      </c>
      <c r="HU81" s="446">
        <v>0</v>
      </c>
      <c r="HV81" s="447">
        <v>9</v>
      </c>
      <c r="HW81" s="544"/>
      <c r="HX81" s="448"/>
    </row>
    <row r="82" spans="1:232">
      <c r="A82" s="5682"/>
      <c r="B82" s="5682"/>
      <c r="C82" s="5683"/>
      <c r="D82" s="5683"/>
      <c r="E82" s="5686">
        <f>SUM(E75:E81)</f>
        <v>10</v>
      </c>
      <c r="F82" s="5682"/>
      <c r="G82" s="4921">
        <f>(E76)/(E82)</f>
        <v>0.1</v>
      </c>
      <c r="I82" s="4915">
        <v>1</v>
      </c>
      <c r="J82" s="4915">
        <v>4</v>
      </c>
      <c r="K82" s="4916" t="s">
        <v>1458</v>
      </c>
      <c r="L82" s="4916" t="s">
        <v>2731</v>
      </c>
      <c r="M82" s="4915">
        <v>2</v>
      </c>
      <c r="N82" s="4915">
        <v>9</v>
      </c>
      <c r="O82" s="157"/>
      <c r="Q82" s="4705">
        <v>2</v>
      </c>
      <c r="R82" s="4705">
        <v>1</v>
      </c>
      <c r="S82" s="4706" t="s">
        <v>681</v>
      </c>
      <c r="T82" s="4708" t="s">
        <v>1076</v>
      </c>
      <c r="U82" s="4709">
        <v>1</v>
      </c>
      <c r="V82" s="4731">
        <v>9</v>
      </c>
      <c r="W82" s="4722"/>
      <c r="Y82" s="36"/>
      <c r="Z82" s="36"/>
      <c r="AA82" s="36" t="s">
        <v>122</v>
      </c>
      <c r="AB82" s="36" t="s">
        <v>1072</v>
      </c>
      <c r="AC82" s="1681">
        <v>0</v>
      </c>
      <c r="AD82" s="1681">
        <v>0</v>
      </c>
      <c r="AE82" s="1681"/>
      <c r="AF82" s="1681"/>
      <c r="AG82" s="1681"/>
      <c r="AH82" s="1681">
        <v>2</v>
      </c>
      <c r="AI82" s="1681"/>
      <c r="AJ82" s="1681">
        <v>0</v>
      </c>
      <c r="AK82" s="1681"/>
      <c r="AL82" s="95"/>
      <c r="AM82" s="95">
        <v>2</v>
      </c>
      <c r="AN82" s="4545"/>
      <c r="AR82" s="27"/>
      <c r="AS82" s="27" t="s">
        <v>1080</v>
      </c>
      <c r="AT82" s="3722">
        <v>0</v>
      </c>
      <c r="AU82" s="3722">
        <v>0</v>
      </c>
      <c r="AV82" s="3722">
        <v>0</v>
      </c>
      <c r="AW82" s="3722">
        <v>0</v>
      </c>
      <c r="AX82" s="3722"/>
      <c r="AY82" s="3722">
        <v>0</v>
      </c>
      <c r="AZ82" s="3722">
        <v>0</v>
      </c>
      <c r="BA82" s="3722">
        <v>20</v>
      </c>
      <c r="BB82" s="3722">
        <v>0</v>
      </c>
      <c r="BC82" s="3701">
        <v>8</v>
      </c>
      <c r="BD82" s="3701">
        <v>2</v>
      </c>
      <c r="BE82" s="3701">
        <v>30</v>
      </c>
      <c r="BF82" s="2110"/>
      <c r="BG82" s="2110"/>
      <c r="BK82" s="32" t="s">
        <v>1080</v>
      </c>
      <c r="BL82" s="3871"/>
      <c r="BM82" s="3871"/>
      <c r="BN82" s="3871"/>
      <c r="BO82" s="3871">
        <v>0</v>
      </c>
      <c r="BP82" s="3871">
        <v>0</v>
      </c>
      <c r="BQ82" s="3871">
        <v>0</v>
      </c>
      <c r="BR82" s="3871">
        <v>2</v>
      </c>
      <c r="BS82" s="3871"/>
      <c r="BT82" s="1518"/>
      <c r="BU82" s="1518">
        <v>2</v>
      </c>
      <c r="BX82" s="36"/>
      <c r="BY82" s="36"/>
      <c r="BZ82" s="36" t="s">
        <v>2271</v>
      </c>
      <c r="CA82" s="36" t="s">
        <v>1080</v>
      </c>
      <c r="CB82" s="1681"/>
      <c r="CC82" s="1681"/>
      <c r="CD82" s="1681"/>
      <c r="CE82" s="1681"/>
      <c r="CF82" s="1681"/>
      <c r="CG82" s="1681"/>
      <c r="CH82" s="1681"/>
      <c r="CI82" s="1681">
        <v>2</v>
      </c>
      <c r="CJ82" s="95"/>
      <c r="CK82" s="95"/>
      <c r="CL82" s="95">
        <v>2</v>
      </c>
      <c r="CM82" s="36"/>
      <c r="CO82" s="37"/>
      <c r="CP82" s="37"/>
      <c r="CQ82" s="37"/>
      <c r="CR82" s="37" t="s">
        <v>1080</v>
      </c>
      <c r="CS82" s="1678"/>
      <c r="CT82" s="1678"/>
      <c r="CU82" s="1678"/>
      <c r="CV82" s="1678"/>
      <c r="CW82" s="1678">
        <v>0</v>
      </c>
      <c r="CX82" s="1678"/>
      <c r="CY82" s="1678">
        <v>0</v>
      </c>
      <c r="CZ82" s="1678">
        <v>0</v>
      </c>
      <c r="DA82" s="1678">
        <v>8</v>
      </c>
      <c r="DB82" s="63">
        <v>0</v>
      </c>
      <c r="DC82" s="63"/>
      <c r="DD82" s="63">
        <v>8</v>
      </c>
      <c r="DG82" s="95"/>
      <c r="DH82" s="95"/>
      <c r="DI82" s="36"/>
      <c r="DJ82" s="36" t="s">
        <v>1074</v>
      </c>
      <c r="DK82" s="1484">
        <v>0</v>
      </c>
      <c r="DL82" s="1484">
        <v>2</v>
      </c>
      <c r="DM82" s="1484">
        <v>0</v>
      </c>
      <c r="DN82" s="1484">
        <v>0</v>
      </c>
      <c r="DO82" s="1484">
        <v>0</v>
      </c>
      <c r="DP82" s="1484">
        <v>0</v>
      </c>
      <c r="DQ82" s="1484">
        <v>0</v>
      </c>
      <c r="DR82" s="1484">
        <v>0</v>
      </c>
      <c r="DS82" s="1484">
        <v>0</v>
      </c>
      <c r="DT82" s="95">
        <v>0</v>
      </c>
      <c r="DU82" s="95">
        <v>0</v>
      </c>
      <c r="DV82" s="95">
        <v>2</v>
      </c>
      <c r="DW82" s="95"/>
      <c r="DY82" s="1209"/>
      <c r="DZ82" s="1209"/>
      <c r="EA82" s="1210"/>
      <c r="EB82" s="415" t="s">
        <v>15</v>
      </c>
      <c r="EC82" s="1214"/>
      <c r="ED82" s="1214"/>
      <c r="EE82" s="1215">
        <v>1</v>
      </c>
      <c r="EF82" s="1215">
        <v>1</v>
      </c>
      <c r="EG82" s="1214"/>
      <c r="EH82" s="1214"/>
      <c r="EI82" s="1214"/>
      <c r="EJ82" s="1214"/>
      <c r="EK82" s="620"/>
      <c r="EL82" s="620"/>
      <c r="EM82" s="621">
        <v>2</v>
      </c>
      <c r="EN82" s="1178">
        <f>+EM81/EM82</f>
        <v>0.5</v>
      </c>
      <c r="EP82" s="527"/>
      <c r="EQ82" s="527"/>
      <c r="ER82" s="528" t="s">
        <v>120</v>
      </c>
      <c r="ES82" s="529" t="s">
        <v>1071</v>
      </c>
      <c r="ET82" s="530"/>
      <c r="EU82" s="530"/>
      <c r="EV82" s="530"/>
      <c r="EW82" s="530"/>
      <c r="EX82" s="531">
        <v>0</v>
      </c>
      <c r="EY82" s="530"/>
      <c r="EZ82" s="531">
        <v>0</v>
      </c>
      <c r="FA82" s="531">
        <v>5</v>
      </c>
      <c r="FB82" s="527"/>
      <c r="FC82" s="532">
        <v>2</v>
      </c>
      <c r="FD82" s="532">
        <v>7</v>
      </c>
      <c r="FE82" s="95"/>
      <c r="FG82" s="533"/>
      <c r="FH82" s="533"/>
      <c r="FI82" s="533"/>
      <c r="FJ82" s="534" t="s">
        <v>1080</v>
      </c>
      <c r="FK82" s="535"/>
      <c r="FL82" s="535"/>
      <c r="FM82" s="536">
        <v>0</v>
      </c>
      <c r="FN82" s="536">
        <v>0</v>
      </c>
      <c r="FO82" s="535"/>
      <c r="FP82" s="535"/>
      <c r="FQ82" s="536">
        <v>0</v>
      </c>
      <c r="FR82" s="536">
        <v>0</v>
      </c>
      <c r="FS82" s="536">
        <v>13</v>
      </c>
      <c r="FT82" s="538">
        <v>4</v>
      </c>
      <c r="FU82" s="538">
        <v>1</v>
      </c>
      <c r="FV82" s="538">
        <v>18</v>
      </c>
      <c r="FW82" s="539"/>
      <c r="FY82" s="540"/>
      <c r="FZ82" s="540"/>
      <c r="GA82" s="540"/>
      <c r="GB82" s="541" t="s">
        <v>1076</v>
      </c>
      <c r="GC82" s="542"/>
      <c r="GD82" s="543">
        <v>0</v>
      </c>
      <c r="GE82" s="543">
        <v>0</v>
      </c>
      <c r="GF82" s="543">
        <v>0</v>
      </c>
      <c r="GG82" s="543">
        <v>0</v>
      </c>
      <c r="GH82" s="543">
        <v>1</v>
      </c>
      <c r="GI82" s="543">
        <v>5</v>
      </c>
      <c r="GJ82" s="543">
        <v>1</v>
      </c>
      <c r="GK82" s="542"/>
      <c r="GL82" s="542"/>
      <c r="GM82" s="543">
        <v>7</v>
      </c>
      <c r="GN82" s="445"/>
      <c r="GP82" s="63"/>
      <c r="GQ82" s="63"/>
      <c r="GR82" s="37" t="s">
        <v>125</v>
      </c>
      <c r="GS82" s="37" t="s">
        <v>1072</v>
      </c>
      <c r="GT82" s="63"/>
      <c r="GU82" s="63"/>
      <c r="GV82" s="63"/>
      <c r="GW82" s="63"/>
      <c r="GX82" s="63"/>
      <c r="GY82" s="63">
        <v>1</v>
      </c>
      <c r="GZ82" s="63">
        <v>2</v>
      </c>
      <c r="HA82" s="63">
        <v>0</v>
      </c>
      <c r="HB82" s="63"/>
      <c r="HC82" s="63"/>
      <c r="HD82" s="63">
        <v>3</v>
      </c>
      <c r="HE82" s="37"/>
      <c r="HF82" s="37"/>
      <c r="HG82" s="446"/>
      <c r="HH82" s="446"/>
      <c r="HI82" s="446"/>
      <c r="HJ82" s="446" t="s">
        <v>1163</v>
      </c>
      <c r="HK82" s="446">
        <v>0</v>
      </c>
      <c r="HL82" s="446">
        <v>0</v>
      </c>
      <c r="HM82" s="446">
        <v>0</v>
      </c>
      <c r="HN82" s="446">
        <v>0</v>
      </c>
      <c r="HO82" s="446">
        <v>0</v>
      </c>
      <c r="HP82" s="446">
        <v>0</v>
      </c>
      <c r="HQ82" s="446">
        <v>8</v>
      </c>
      <c r="HR82" s="446">
        <v>0</v>
      </c>
      <c r="HS82" s="446">
        <v>0</v>
      </c>
      <c r="HT82" s="446">
        <v>0</v>
      </c>
      <c r="HU82" s="446">
        <v>0</v>
      </c>
      <c r="HV82" s="447">
        <v>8</v>
      </c>
      <c r="HW82" s="544"/>
      <c r="HX82" s="448"/>
    </row>
    <row r="83" spans="1:232">
      <c r="A83" s="5682"/>
      <c r="B83" s="5682"/>
      <c r="C83" s="5683"/>
      <c r="D83" s="5690" t="s">
        <v>2754</v>
      </c>
      <c r="E83" s="5693">
        <f>SUM(E49,E53:E54,E59,E62:E63,E67:E68,E76)</f>
        <v>13</v>
      </c>
      <c r="F83" s="5682"/>
      <c r="I83" s="4915">
        <v>1</v>
      </c>
      <c r="J83" s="4915">
        <v>4</v>
      </c>
      <c r="K83" s="4916" t="s">
        <v>1458</v>
      </c>
      <c r="L83" s="4917" t="s">
        <v>2732</v>
      </c>
      <c r="M83" s="4922">
        <v>1</v>
      </c>
      <c r="N83" s="4915">
        <v>7</v>
      </c>
      <c r="O83" s="157"/>
      <c r="Q83" s="4705">
        <v>2</v>
      </c>
      <c r="R83" s="4705">
        <v>1</v>
      </c>
      <c r="S83" s="4706" t="s">
        <v>681</v>
      </c>
      <c r="T83" s="4706" t="s">
        <v>2709</v>
      </c>
      <c r="U83" s="4707">
        <v>2</v>
      </c>
      <c r="V83" s="4707">
        <v>8</v>
      </c>
      <c r="W83" s="4722"/>
      <c r="Y83" s="36"/>
      <c r="Z83" s="36"/>
      <c r="AA83" s="36"/>
      <c r="AB83" s="36" t="s">
        <v>1074</v>
      </c>
      <c r="AC83" s="1681">
        <v>0</v>
      </c>
      <c r="AD83" s="1681">
        <v>2</v>
      </c>
      <c r="AE83" s="1681"/>
      <c r="AF83" s="1681"/>
      <c r="AG83" s="1681"/>
      <c r="AH83" s="1681">
        <v>0</v>
      </c>
      <c r="AI83" s="1681"/>
      <c r="AJ83" s="1681">
        <v>0</v>
      </c>
      <c r="AK83" s="1681"/>
      <c r="AL83" s="95"/>
      <c r="AM83" s="95">
        <v>2</v>
      </c>
      <c r="AN83" s="4545"/>
      <c r="AR83" s="27"/>
      <c r="AS83" s="27" t="s">
        <v>1081</v>
      </c>
      <c r="AT83" s="3722">
        <v>0</v>
      </c>
      <c r="AU83" s="3722">
        <v>0</v>
      </c>
      <c r="AV83" s="3722">
        <v>0</v>
      </c>
      <c r="AW83" s="3722">
        <v>0</v>
      </c>
      <c r="AX83" s="3722"/>
      <c r="AY83" s="3722">
        <v>0</v>
      </c>
      <c r="AZ83" s="3722">
        <v>1</v>
      </c>
      <c r="BA83" s="3722">
        <v>0</v>
      </c>
      <c r="BB83" s="3722">
        <v>0</v>
      </c>
      <c r="BC83" s="3701">
        <v>0</v>
      </c>
      <c r="BD83" s="3701">
        <v>0</v>
      </c>
      <c r="BE83" s="3701">
        <v>1</v>
      </c>
      <c r="BF83" s="2110"/>
      <c r="BG83" s="2110"/>
      <c r="BK83" s="1520" t="s">
        <v>15</v>
      </c>
      <c r="BL83" s="3872"/>
      <c r="BM83" s="3872"/>
      <c r="BN83" s="3872"/>
      <c r="BO83" s="3872">
        <v>1</v>
      </c>
      <c r="BP83" s="3872">
        <v>1</v>
      </c>
      <c r="BQ83" s="3872">
        <v>1</v>
      </c>
      <c r="BR83" s="3872">
        <v>2</v>
      </c>
      <c r="BS83" s="3872"/>
      <c r="BT83" s="3806"/>
      <c r="BU83" s="3806">
        <v>5</v>
      </c>
      <c r="BV83" s="3807">
        <v>0</v>
      </c>
      <c r="BX83" s="36"/>
      <c r="BY83" s="36"/>
      <c r="BZ83" s="36"/>
      <c r="CA83" s="393" t="s">
        <v>15</v>
      </c>
      <c r="CB83" s="1682"/>
      <c r="CC83" s="1682"/>
      <c r="CD83" s="1682"/>
      <c r="CE83" s="1682"/>
      <c r="CF83" s="1682"/>
      <c r="CG83" s="1682"/>
      <c r="CH83" s="1682"/>
      <c r="CI83" s="1682">
        <v>2</v>
      </c>
      <c r="CJ83" s="2041"/>
      <c r="CK83" s="2041"/>
      <c r="CL83" s="2041">
        <v>2</v>
      </c>
      <c r="CM83" s="560">
        <v>0</v>
      </c>
      <c r="CN83" s="1665"/>
      <c r="CO83" s="37"/>
      <c r="CP83" s="37"/>
      <c r="CQ83" s="37"/>
      <c r="CR83" s="37" t="s">
        <v>1081</v>
      </c>
      <c r="CS83" s="1678"/>
      <c r="CT83" s="1678"/>
      <c r="CU83" s="1678"/>
      <c r="CV83" s="1678"/>
      <c r="CW83" s="1678">
        <v>1</v>
      </c>
      <c r="CX83" s="1678"/>
      <c r="CY83" s="1678">
        <v>0</v>
      </c>
      <c r="CZ83" s="1678">
        <v>0</v>
      </c>
      <c r="DA83" s="1678">
        <v>0</v>
      </c>
      <c r="DB83" s="63">
        <v>1</v>
      </c>
      <c r="DC83" s="63"/>
      <c r="DD83" s="63">
        <v>2</v>
      </c>
      <c r="DG83" s="95"/>
      <c r="DH83" s="95"/>
      <c r="DI83" s="36"/>
      <c r="DJ83" s="36" t="s">
        <v>1076</v>
      </c>
      <c r="DK83" s="1484">
        <v>0</v>
      </c>
      <c r="DL83" s="1484">
        <v>0</v>
      </c>
      <c r="DM83" s="1484">
        <v>0</v>
      </c>
      <c r="DN83" s="1484">
        <v>0</v>
      </c>
      <c r="DO83" s="1484">
        <v>0</v>
      </c>
      <c r="DP83" s="1484">
        <v>0</v>
      </c>
      <c r="DQ83" s="1484">
        <v>3</v>
      </c>
      <c r="DR83" s="1484">
        <v>0</v>
      </c>
      <c r="DS83" s="1484">
        <v>1</v>
      </c>
      <c r="DT83" s="95">
        <v>1</v>
      </c>
      <c r="DU83" s="95">
        <v>0</v>
      </c>
      <c r="DV83" s="95">
        <v>5</v>
      </c>
      <c r="DW83" s="95"/>
      <c r="DY83" s="1209"/>
      <c r="DZ83" s="1209"/>
      <c r="EA83" s="1210" t="s">
        <v>726</v>
      </c>
      <c r="EB83" s="1211" t="s">
        <v>1072</v>
      </c>
      <c r="EC83" s="1212"/>
      <c r="ED83" s="1212"/>
      <c r="EE83" s="1213">
        <v>0</v>
      </c>
      <c r="EF83" s="1213">
        <v>0</v>
      </c>
      <c r="EG83" s="1213">
        <v>1</v>
      </c>
      <c r="EH83" s="1213">
        <v>1</v>
      </c>
      <c r="EI83" s="1213">
        <v>1</v>
      </c>
      <c r="EJ83" s="1213">
        <v>0</v>
      </c>
      <c r="EK83" s="611"/>
      <c r="EL83" s="611"/>
      <c r="EM83" s="612">
        <v>3</v>
      </c>
      <c r="EN83" s="36"/>
      <c r="EP83" s="527"/>
      <c r="EQ83" s="527"/>
      <c r="ER83" s="528"/>
      <c r="ES83" s="529" t="s">
        <v>1072</v>
      </c>
      <c r="ET83" s="530"/>
      <c r="EU83" s="530"/>
      <c r="EV83" s="530"/>
      <c r="EW83" s="530"/>
      <c r="EX83" s="531">
        <v>0</v>
      </c>
      <c r="EY83" s="530"/>
      <c r="EZ83" s="531">
        <v>2</v>
      </c>
      <c r="FA83" s="531">
        <v>0</v>
      </c>
      <c r="FB83" s="527"/>
      <c r="FC83" s="532">
        <v>0</v>
      </c>
      <c r="FD83" s="532">
        <v>2</v>
      </c>
      <c r="FE83" s="95"/>
      <c r="FG83" s="533"/>
      <c r="FH83" s="533"/>
      <c r="FI83" s="533"/>
      <c r="FJ83" s="545" t="s">
        <v>15</v>
      </c>
      <c r="FK83" s="546"/>
      <c r="FL83" s="546"/>
      <c r="FM83" s="547">
        <v>3</v>
      </c>
      <c r="FN83" s="547">
        <v>2</v>
      </c>
      <c r="FO83" s="546"/>
      <c r="FP83" s="546"/>
      <c r="FQ83" s="547">
        <v>1</v>
      </c>
      <c r="FR83" s="547">
        <v>8</v>
      </c>
      <c r="FS83" s="547">
        <v>17</v>
      </c>
      <c r="FT83" s="549">
        <v>5</v>
      </c>
      <c r="FU83" s="549">
        <v>3</v>
      </c>
      <c r="FV83" s="549">
        <v>39</v>
      </c>
      <c r="FW83" s="539">
        <f>+(FV80-FT80)/FV83</f>
        <v>0.17948717948717949</v>
      </c>
      <c r="FY83" s="540"/>
      <c r="FZ83" s="540"/>
      <c r="GA83" s="540"/>
      <c r="GB83" s="541" t="s">
        <v>1077</v>
      </c>
      <c r="GC83" s="542"/>
      <c r="GD83" s="543">
        <v>0</v>
      </c>
      <c r="GE83" s="543">
        <v>1</v>
      </c>
      <c r="GF83" s="543">
        <v>0</v>
      </c>
      <c r="GG83" s="543">
        <v>1</v>
      </c>
      <c r="GH83" s="543">
        <v>1</v>
      </c>
      <c r="GI83" s="543">
        <v>0</v>
      </c>
      <c r="GJ83" s="543">
        <v>0</v>
      </c>
      <c r="GK83" s="542"/>
      <c r="GL83" s="542"/>
      <c r="GM83" s="543">
        <v>3</v>
      </c>
      <c r="GN83" s="445"/>
      <c r="GP83" s="63"/>
      <c r="GQ83" s="63"/>
      <c r="GR83" s="37"/>
      <c r="GS83" s="37" t="s">
        <v>1076</v>
      </c>
      <c r="GT83" s="63"/>
      <c r="GU83" s="63"/>
      <c r="GV83" s="63"/>
      <c r="GW83" s="63"/>
      <c r="GX83" s="63"/>
      <c r="GY83" s="63">
        <v>0</v>
      </c>
      <c r="GZ83" s="63">
        <v>1</v>
      </c>
      <c r="HA83" s="63">
        <v>0</v>
      </c>
      <c r="HB83" s="63"/>
      <c r="HC83" s="63"/>
      <c r="HD83" s="63">
        <v>1</v>
      </c>
      <c r="HE83" s="37"/>
      <c r="HF83" s="37"/>
      <c r="HG83" s="446"/>
      <c r="HH83" s="446"/>
      <c r="HI83" s="446"/>
      <c r="HJ83" s="449" t="s">
        <v>15</v>
      </c>
      <c r="HK83" s="449">
        <v>0</v>
      </c>
      <c r="HL83" s="449">
        <v>1</v>
      </c>
      <c r="HM83" s="449">
        <v>0</v>
      </c>
      <c r="HN83" s="449">
        <v>0</v>
      </c>
      <c r="HO83" s="449">
        <v>0</v>
      </c>
      <c r="HP83" s="449">
        <v>0</v>
      </c>
      <c r="HQ83" s="449">
        <v>9</v>
      </c>
      <c r="HR83" s="449">
        <v>6</v>
      </c>
      <c r="HS83" s="449">
        <v>5</v>
      </c>
      <c r="HT83" s="449">
        <v>0</v>
      </c>
      <c r="HU83" s="449">
        <v>0</v>
      </c>
      <c r="HV83" s="507">
        <v>21</v>
      </c>
      <c r="HW83" s="554">
        <f>+(HV82+HV80)/HV83</f>
        <v>0.42857142857142855</v>
      </c>
      <c r="HX83" s="448">
        <f>+HV80+HV82</f>
        <v>9</v>
      </c>
    </row>
    <row r="84" spans="1:232">
      <c r="A84" s="5682"/>
      <c r="B84" s="5682"/>
      <c r="C84" s="5686" t="s">
        <v>16</v>
      </c>
      <c r="D84" s="5683"/>
      <c r="E84" s="5686">
        <f>SUM(E82,E74,E65,E61,E56,E51)</f>
        <v>101</v>
      </c>
      <c r="F84" s="5682"/>
      <c r="G84" s="5692">
        <f>E83/E84</f>
        <v>0.12871287128712872</v>
      </c>
      <c r="I84" s="4915">
        <v>1</v>
      </c>
      <c r="J84" s="4915">
        <v>4</v>
      </c>
      <c r="K84" s="4916" t="s">
        <v>1458</v>
      </c>
      <c r="L84" s="4916" t="s">
        <v>2709</v>
      </c>
      <c r="M84" s="4915">
        <v>1</v>
      </c>
      <c r="N84" s="4915">
        <v>1</v>
      </c>
      <c r="O84" s="157"/>
      <c r="Q84" s="4705"/>
      <c r="R84" s="4705"/>
      <c r="S84" s="4706"/>
      <c r="T84" s="4706"/>
      <c r="U84" s="4741">
        <f>SUM(U78:U83)</f>
        <v>15</v>
      </c>
      <c r="V84" s="4741"/>
      <c r="W84" s="4722">
        <f>(U79+U80+U81)/(U84)</f>
        <v>0.2</v>
      </c>
      <c r="Y84" s="36"/>
      <c r="Z84" s="36"/>
      <c r="AA84" s="36"/>
      <c r="AB84" s="36" t="s">
        <v>1080</v>
      </c>
      <c r="AC84" s="1681">
        <v>0</v>
      </c>
      <c r="AD84" s="1681">
        <v>0</v>
      </c>
      <c r="AE84" s="1681"/>
      <c r="AF84" s="1681"/>
      <c r="AG84" s="1681"/>
      <c r="AH84" s="1681">
        <v>0</v>
      </c>
      <c r="AI84" s="1681"/>
      <c r="AJ84" s="1681">
        <v>11</v>
      </c>
      <c r="AK84" s="1681"/>
      <c r="AL84" s="95"/>
      <c r="AM84" s="95">
        <v>11</v>
      </c>
      <c r="AN84" s="4545"/>
      <c r="AR84" s="27"/>
      <c r="AS84" s="27" t="s">
        <v>2571</v>
      </c>
      <c r="AT84" s="3722">
        <v>9</v>
      </c>
      <c r="AU84" s="3722">
        <v>0</v>
      </c>
      <c r="AV84" s="3722">
        <v>0</v>
      </c>
      <c r="AW84" s="3722">
        <v>0</v>
      </c>
      <c r="AX84" s="3722"/>
      <c r="AY84" s="3722">
        <v>0</v>
      </c>
      <c r="AZ84" s="3722">
        <v>0</v>
      </c>
      <c r="BA84" s="3722">
        <v>0</v>
      </c>
      <c r="BB84" s="3722">
        <v>0</v>
      </c>
      <c r="BC84" s="3701">
        <v>0</v>
      </c>
      <c r="BD84" s="3701">
        <v>0</v>
      </c>
      <c r="BE84" s="3701">
        <v>9</v>
      </c>
      <c r="BF84" s="2110"/>
      <c r="BG84" s="2110"/>
      <c r="BJ84" s="32" t="s">
        <v>1454</v>
      </c>
      <c r="BK84" s="32" t="s">
        <v>1080</v>
      </c>
      <c r="BL84" s="3871"/>
      <c r="BM84" s="3871"/>
      <c r="BN84" s="3871"/>
      <c r="BO84" s="3871"/>
      <c r="BP84" s="3871"/>
      <c r="BQ84" s="3871"/>
      <c r="BR84" s="3871">
        <v>8</v>
      </c>
      <c r="BS84" s="3871"/>
      <c r="BT84" s="1518"/>
      <c r="BU84" s="1518">
        <v>8</v>
      </c>
      <c r="BX84" s="36"/>
      <c r="BY84" s="36"/>
      <c r="BZ84" s="393" t="s">
        <v>484</v>
      </c>
      <c r="CA84" s="393" t="s">
        <v>1071</v>
      </c>
      <c r="CB84" s="1682"/>
      <c r="CC84" s="1682">
        <v>0</v>
      </c>
      <c r="CD84" s="1682"/>
      <c r="CE84" s="1682"/>
      <c r="CF84" s="1682">
        <v>0</v>
      </c>
      <c r="CG84" s="1682">
        <v>0</v>
      </c>
      <c r="CH84" s="1682">
        <v>1</v>
      </c>
      <c r="CI84" s="1682">
        <v>0</v>
      </c>
      <c r="CJ84" s="2041"/>
      <c r="CK84" s="2041"/>
      <c r="CL84" s="2041">
        <v>1</v>
      </c>
      <c r="CM84" s="36"/>
      <c r="CO84" s="37"/>
      <c r="CP84" s="37"/>
      <c r="CQ84" s="37"/>
      <c r="CR84" s="416" t="s">
        <v>15</v>
      </c>
      <c r="CS84" s="1679"/>
      <c r="CT84" s="1679"/>
      <c r="CU84" s="1679"/>
      <c r="CV84" s="1679"/>
      <c r="CW84" s="1679">
        <v>1</v>
      </c>
      <c r="CX84" s="1679"/>
      <c r="CY84" s="1679">
        <v>3</v>
      </c>
      <c r="CZ84" s="1679">
        <v>4</v>
      </c>
      <c r="DA84" s="1679">
        <v>8</v>
      </c>
      <c r="DB84" s="386">
        <v>1</v>
      </c>
      <c r="DC84" s="386"/>
      <c r="DD84" s="386">
        <v>17</v>
      </c>
      <c r="DE84" s="2045">
        <f>+(DD83-DB83)/DD84</f>
        <v>5.8823529411764705E-2</v>
      </c>
      <c r="DG84" s="95"/>
      <c r="DH84" s="95"/>
      <c r="DI84" s="36"/>
      <c r="DJ84" s="36" t="s">
        <v>1077</v>
      </c>
      <c r="DK84" s="1484">
        <v>0</v>
      </c>
      <c r="DL84" s="1484">
        <v>0</v>
      </c>
      <c r="DM84" s="1484">
        <v>0</v>
      </c>
      <c r="DN84" s="1484">
        <v>0</v>
      </c>
      <c r="DO84" s="1484">
        <v>1</v>
      </c>
      <c r="DP84" s="1484">
        <v>0</v>
      </c>
      <c r="DQ84" s="1484">
        <v>0</v>
      </c>
      <c r="DR84" s="1484">
        <v>0</v>
      </c>
      <c r="DS84" s="1484">
        <v>0</v>
      </c>
      <c r="DT84" s="95">
        <v>0</v>
      </c>
      <c r="DU84" s="95">
        <v>0</v>
      </c>
      <c r="DV84" s="95">
        <v>1</v>
      </c>
      <c r="DW84" s="95"/>
      <c r="DY84" s="1209"/>
      <c r="DZ84" s="1209"/>
      <c r="EA84" s="1210"/>
      <c r="EB84" s="1211" t="s">
        <v>1076</v>
      </c>
      <c r="EC84" s="1212"/>
      <c r="ED84" s="1212"/>
      <c r="EE84" s="1213">
        <v>0</v>
      </c>
      <c r="EF84" s="1213">
        <v>2</v>
      </c>
      <c r="EG84" s="1213">
        <v>0</v>
      </c>
      <c r="EH84" s="1213">
        <v>0</v>
      </c>
      <c r="EI84" s="1213">
        <v>0</v>
      </c>
      <c r="EJ84" s="1213">
        <v>0</v>
      </c>
      <c r="EK84" s="611"/>
      <c r="EL84" s="611"/>
      <c r="EM84" s="612">
        <v>2</v>
      </c>
      <c r="EN84" s="36"/>
      <c r="EP84" s="527"/>
      <c r="EQ84" s="527"/>
      <c r="ER84" s="528"/>
      <c r="ES84" s="529" t="s">
        <v>1076</v>
      </c>
      <c r="ET84" s="530"/>
      <c r="EU84" s="530"/>
      <c r="EV84" s="530"/>
      <c r="EW84" s="530"/>
      <c r="EX84" s="531">
        <v>0</v>
      </c>
      <c r="EY84" s="530"/>
      <c r="EZ84" s="531">
        <v>1</v>
      </c>
      <c r="FA84" s="531">
        <v>1</v>
      </c>
      <c r="FB84" s="527"/>
      <c r="FC84" s="532">
        <v>0</v>
      </c>
      <c r="FD84" s="532">
        <v>2</v>
      </c>
      <c r="FE84" s="95"/>
      <c r="FG84" s="533"/>
      <c r="FH84" s="533"/>
      <c r="FI84" s="533" t="s">
        <v>121</v>
      </c>
      <c r="FJ84" s="534" t="s">
        <v>1071</v>
      </c>
      <c r="FK84" s="535"/>
      <c r="FL84" s="535"/>
      <c r="FM84" s="535"/>
      <c r="FN84" s="535"/>
      <c r="FO84" s="535"/>
      <c r="FP84" s="535"/>
      <c r="FQ84" s="536">
        <v>0</v>
      </c>
      <c r="FR84" s="535"/>
      <c r="FS84" s="536">
        <v>3</v>
      </c>
      <c r="FT84" s="537"/>
      <c r="FU84" s="538">
        <v>4</v>
      </c>
      <c r="FV84" s="538">
        <v>7</v>
      </c>
      <c r="FW84" s="539"/>
      <c r="FY84" s="540"/>
      <c r="FZ84" s="540"/>
      <c r="GA84" s="540"/>
      <c r="GB84" s="541" t="s">
        <v>1080</v>
      </c>
      <c r="GC84" s="542"/>
      <c r="GD84" s="543">
        <v>0</v>
      </c>
      <c r="GE84" s="543">
        <v>0</v>
      </c>
      <c r="GF84" s="543">
        <v>0</v>
      </c>
      <c r="GG84" s="543">
        <v>0</v>
      </c>
      <c r="GH84" s="543">
        <v>0</v>
      </c>
      <c r="GI84" s="543">
        <v>1</v>
      </c>
      <c r="GJ84" s="543">
        <v>33</v>
      </c>
      <c r="GK84" s="542"/>
      <c r="GL84" s="542"/>
      <c r="GM84" s="543">
        <v>34</v>
      </c>
      <c r="GN84" s="445"/>
      <c r="GP84" s="63"/>
      <c r="GQ84" s="63"/>
      <c r="GR84" s="37"/>
      <c r="GS84" s="37" t="s">
        <v>1080</v>
      </c>
      <c r="GT84" s="63"/>
      <c r="GU84" s="63"/>
      <c r="GV84" s="63"/>
      <c r="GW84" s="63"/>
      <c r="GX84" s="63"/>
      <c r="GY84" s="63">
        <v>0</v>
      </c>
      <c r="GZ84" s="63">
        <v>0</v>
      </c>
      <c r="HA84" s="63">
        <v>2</v>
      </c>
      <c r="HB84" s="63"/>
      <c r="HC84" s="63"/>
      <c r="HD84" s="63">
        <v>2</v>
      </c>
      <c r="HE84" s="37"/>
      <c r="HF84" s="37"/>
      <c r="HG84" s="446"/>
      <c r="HH84" s="446"/>
      <c r="HI84" s="446" t="s">
        <v>125</v>
      </c>
      <c r="HJ84" s="446" t="s">
        <v>1071</v>
      </c>
      <c r="HK84" s="446">
        <v>0</v>
      </c>
      <c r="HL84" s="446">
        <v>0</v>
      </c>
      <c r="HM84" s="446">
        <v>0</v>
      </c>
      <c r="HN84" s="446">
        <v>0</v>
      </c>
      <c r="HO84" s="446">
        <v>0</v>
      </c>
      <c r="HP84" s="446">
        <v>0</v>
      </c>
      <c r="HQ84" s="446">
        <v>0</v>
      </c>
      <c r="HR84" s="446">
        <v>0</v>
      </c>
      <c r="HS84" s="446">
        <v>3</v>
      </c>
      <c r="HT84" s="446">
        <v>0</v>
      </c>
      <c r="HU84" s="446">
        <v>0</v>
      </c>
      <c r="HV84" s="447">
        <v>3</v>
      </c>
      <c r="HW84" s="544"/>
      <c r="HX84" s="448"/>
    </row>
    <row r="85" spans="1:232">
      <c r="A85" s="5682">
        <v>1</v>
      </c>
      <c r="B85" s="5682">
        <v>4</v>
      </c>
      <c r="C85" s="5683" t="s">
        <v>1456</v>
      </c>
      <c r="D85" s="5683" t="s">
        <v>2731</v>
      </c>
      <c r="E85" s="5682">
        <v>2</v>
      </c>
      <c r="F85" s="5682">
        <v>10</v>
      </c>
      <c r="I85" s="4915"/>
      <c r="J85" s="4915"/>
      <c r="K85" s="4916"/>
      <c r="L85" s="4916"/>
      <c r="M85" s="4920">
        <f>SUM(M82:M84)</f>
        <v>4</v>
      </c>
      <c r="N85" s="4915"/>
      <c r="O85" s="4921">
        <f>(M83)/(M85)</f>
        <v>0.25</v>
      </c>
      <c r="Q85" s="4705">
        <v>2</v>
      </c>
      <c r="R85" s="4705">
        <v>1</v>
      </c>
      <c r="S85" s="4706" t="s">
        <v>119</v>
      </c>
      <c r="T85" s="4706" t="s">
        <v>2731</v>
      </c>
      <c r="U85" s="4707">
        <v>4</v>
      </c>
      <c r="V85" s="4707">
        <v>8</v>
      </c>
      <c r="W85" s="4722"/>
      <c r="Y85" s="36"/>
      <c r="Z85" s="36"/>
      <c r="AA85" s="36"/>
      <c r="AB85" s="36" t="s">
        <v>2571</v>
      </c>
      <c r="AC85" s="1681">
        <v>1</v>
      </c>
      <c r="AD85" s="1681">
        <v>0</v>
      </c>
      <c r="AE85" s="1681"/>
      <c r="AF85" s="1681"/>
      <c r="AG85" s="1681"/>
      <c r="AH85" s="1681">
        <v>0</v>
      </c>
      <c r="AI85" s="1681"/>
      <c r="AJ85" s="1681">
        <v>0</v>
      </c>
      <c r="AK85" s="1681"/>
      <c r="AL85" s="95"/>
      <c r="AM85" s="95">
        <v>1</v>
      </c>
      <c r="AN85" s="4545"/>
      <c r="AR85" s="27"/>
      <c r="AS85" s="27" t="s">
        <v>1163</v>
      </c>
      <c r="AT85" s="3722">
        <v>0</v>
      </c>
      <c r="AU85" s="3722">
        <v>0</v>
      </c>
      <c r="AV85" s="3722">
        <v>0</v>
      </c>
      <c r="AW85" s="3722">
        <v>0</v>
      </c>
      <c r="AX85" s="3722"/>
      <c r="AY85" s="3722">
        <v>0</v>
      </c>
      <c r="AZ85" s="3722">
        <v>5</v>
      </c>
      <c r="BA85" s="3722">
        <v>1</v>
      </c>
      <c r="BB85" s="3722">
        <v>0</v>
      </c>
      <c r="BC85" s="3701">
        <v>0</v>
      </c>
      <c r="BD85" s="3701">
        <v>0</v>
      </c>
      <c r="BE85" s="3701">
        <v>6</v>
      </c>
      <c r="BF85" s="2110"/>
      <c r="BG85" s="2110"/>
      <c r="BK85" s="1520" t="s">
        <v>15</v>
      </c>
      <c r="BL85" s="3872"/>
      <c r="BM85" s="3872"/>
      <c r="BN85" s="3872"/>
      <c r="BO85" s="3872"/>
      <c r="BP85" s="3872"/>
      <c r="BQ85" s="3872"/>
      <c r="BR85" s="3872">
        <v>8</v>
      </c>
      <c r="BS85" s="3872"/>
      <c r="BT85" s="3806"/>
      <c r="BU85" s="3806">
        <v>8</v>
      </c>
      <c r="BV85" s="3807">
        <v>0</v>
      </c>
      <c r="BX85" s="36"/>
      <c r="BY85" s="36"/>
      <c r="BZ85" s="393"/>
      <c r="CA85" s="393" t="s">
        <v>1072</v>
      </c>
      <c r="CB85" s="1682"/>
      <c r="CC85" s="1682">
        <v>1</v>
      </c>
      <c r="CD85" s="1682"/>
      <c r="CE85" s="1682"/>
      <c r="CF85" s="1682">
        <v>0</v>
      </c>
      <c r="CG85" s="1682">
        <v>3</v>
      </c>
      <c r="CH85" s="1682">
        <v>0</v>
      </c>
      <c r="CI85" s="1682">
        <v>0</v>
      </c>
      <c r="CJ85" s="2041"/>
      <c r="CK85" s="2041"/>
      <c r="CL85" s="2041">
        <v>4</v>
      </c>
      <c r="CM85" s="36"/>
      <c r="CO85" s="37"/>
      <c r="CP85" s="37"/>
      <c r="CQ85" s="37" t="s">
        <v>1458</v>
      </c>
      <c r="CR85" s="37" t="s">
        <v>1072</v>
      </c>
      <c r="CS85" s="1678">
        <v>0</v>
      </c>
      <c r="CT85" s="1678">
        <v>2</v>
      </c>
      <c r="CU85" s="1678">
        <v>0</v>
      </c>
      <c r="CV85" s="1678"/>
      <c r="CW85" s="1678">
        <v>1</v>
      </c>
      <c r="CX85" s="1678">
        <v>1</v>
      </c>
      <c r="CY85" s="1678">
        <v>1</v>
      </c>
      <c r="CZ85" s="1678"/>
      <c r="DA85" s="1678">
        <v>1</v>
      </c>
      <c r="DB85" s="63">
        <v>0</v>
      </c>
      <c r="DC85" s="63"/>
      <c r="DD85" s="63">
        <v>6</v>
      </c>
      <c r="DG85" s="95"/>
      <c r="DH85" s="95"/>
      <c r="DI85" s="36"/>
      <c r="DJ85" s="36" t="s">
        <v>1080</v>
      </c>
      <c r="DK85" s="1484">
        <v>0</v>
      </c>
      <c r="DL85" s="1484">
        <v>0</v>
      </c>
      <c r="DM85" s="1484">
        <v>0</v>
      </c>
      <c r="DN85" s="1484">
        <v>0</v>
      </c>
      <c r="DO85" s="1484">
        <v>0</v>
      </c>
      <c r="DP85" s="1484">
        <v>0</v>
      </c>
      <c r="DQ85" s="1484">
        <v>0</v>
      </c>
      <c r="DR85" s="1484">
        <v>2</v>
      </c>
      <c r="DS85" s="1484">
        <v>17</v>
      </c>
      <c r="DT85" s="95">
        <v>2</v>
      </c>
      <c r="DU85" s="95">
        <v>2</v>
      </c>
      <c r="DV85" s="95">
        <v>23</v>
      </c>
      <c r="DW85" s="95"/>
      <c r="DY85" s="1209"/>
      <c r="DZ85" s="1209"/>
      <c r="EA85" s="1210"/>
      <c r="EB85" s="1211" t="s">
        <v>1077</v>
      </c>
      <c r="EC85" s="1212"/>
      <c r="ED85" s="1212"/>
      <c r="EE85" s="1213">
        <v>4</v>
      </c>
      <c r="EF85" s="1213">
        <v>4</v>
      </c>
      <c r="EG85" s="1213">
        <v>6</v>
      </c>
      <c r="EH85" s="1213">
        <v>10</v>
      </c>
      <c r="EI85" s="1213">
        <v>0</v>
      </c>
      <c r="EJ85" s="1213">
        <v>0</v>
      </c>
      <c r="EK85" s="611"/>
      <c r="EL85" s="611"/>
      <c r="EM85" s="612">
        <v>24</v>
      </c>
      <c r="EN85" s="36"/>
      <c r="EP85" s="527"/>
      <c r="EQ85" s="527"/>
      <c r="ER85" s="528"/>
      <c r="ES85" s="529" t="s">
        <v>1077</v>
      </c>
      <c r="ET85" s="530"/>
      <c r="EU85" s="530"/>
      <c r="EV85" s="530"/>
      <c r="EW85" s="530"/>
      <c r="EX85" s="531">
        <v>1</v>
      </c>
      <c r="EY85" s="530"/>
      <c r="EZ85" s="531">
        <v>0</v>
      </c>
      <c r="FA85" s="531">
        <v>0</v>
      </c>
      <c r="FB85" s="527"/>
      <c r="FC85" s="532">
        <v>0</v>
      </c>
      <c r="FD85" s="532">
        <v>1</v>
      </c>
      <c r="FE85" s="95"/>
      <c r="FG85" s="533"/>
      <c r="FH85" s="533"/>
      <c r="FI85" s="533"/>
      <c r="FJ85" s="534" t="s">
        <v>1076</v>
      </c>
      <c r="FK85" s="535"/>
      <c r="FL85" s="535"/>
      <c r="FM85" s="535"/>
      <c r="FN85" s="535"/>
      <c r="FO85" s="535"/>
      <c r="FP85" s="535"/>
      <c r="FQ85" s="536">
        <v>1</v>
      </c>
      <c r="FR85" s="535"/>
      <c r="FS85" s="536">
        <v>0</v>
      </c>
      <c r="FT85" s="537"/>
      <c r="FU85" s="538">
        <v>0</v>
      </c>
      <c r="FV85" s="538">
        <v>1</v>
      </c>
      <c r="FW85" s="539"/>
      <c r="FY85" s="540"/>
      <c r="FZ85" s="540"/>
      <c r="GA85" s="540"/>
      <c r="GB85" s="541" t="s">
        <v>1163</v>
      </c>
      <c r="GC85" s="542"/>
      <c r="GD85" s="543">
        <v>0</v>
      </c>
      <c r="GE85" s="543">
        <v>0</v>
      </c>
      <c r="GF85" s="543">
        <v>0</v>
      </c>
      <c r="GG85" s="543">
        <v>0</v>
      </c>
      <c r="GH85" s="543">
        <v>4</v>
      </c>
      <c r="GI85" s="543">
        <v>0</v>
      </c>
      <c r="GJ85" s="543">
        <v>0</v>
      </c>
      <c r="GK85" s="542"/>
      <c r="GL85" s="542"/>
      <c r="GM85" s="543">
        <v>4</v>
      </c>
      <c r="GN85" s="445"/>
      <c r="GP85" s="63"/>
      <c r="GQ85" s="63"/>
      <c r="GR85" s="37"/>
      <c r="GS85" s="416" t="s">
        <v>15</v>
      </c>
      <c r="GT85" s="386"/>
      <c r="GU85" s="386"/>
      <c r="GV85" s="386"/>
      <c r="GW85" s="386"/>
      <c r="GX85" s="386"/>
      <c r="GY85" s="386">
        <v>1</v>
      </c>
      <c r="GZ85" s="386">
        <v>3</v>
      </c>
      <c r="HA85" s="386">
        <v>2</v>
      </c>
      <c r="HB85" s="386"/>
      <c r="HC85" s="386"/>
      <c r="HD85" s="386">
        <v>6</v>
      </c>
      <c r="HE85" s="466">
        <f>+HD83/HD85</f>
        <v>0.16666666666666666</v>
      </c>
      <c r="HF85" s="37"/>
      <c r="HG85" s="446"/>
      <c r="HH85" s="446"/>
      <c r="HI85" s="446"/>
      <c r="HJ85" s="446" t="s">
        <v>1072</v>
      </c>
      <c r="HK85" s="446">
        <v>0</v>
      </c>
      <c r="HL85" s="446">
        <v>0</v>
      </c>
      <c r="HM85" s="446">
        <v>0</v>
      </c>
      <c r="HN85" s="446">
        <v>1</v>
      </c>
      <c r="HO85" s="446">
        <v>1</v>
      </c>
      <c r="HP85" s="446">
        <v>0</v>
      </c>
      <c r="HQ85" s="446">
        <v>3</v>
      </c>
      <c r="HR85" s="446">
        <v>1</v>
      </c>
      <c r="HS85" s="446">
        <v>0</v>
      </c>
      <c r="HT85" s="446">
        <v>0</v>
      </c>
      <c r="HU85" s="446">
        <v>0</v>
      </c>
      <c r="HV85" s="447">
        <v>6</v>
      </c>
      <c r="HW85" s="544"/>
      <c r="HX85" s="448"/>
    </row>
    <row r="86" spans="1:232" ht="24">
      <c r="A86" s="5682">
        <v>1</v>
      </c>
      <c r="B86" s="5682">
        <v>4</v>
      </c>
      <c r="C86" s="5683" t="s">
        <v>1456</v>
      </c>
      <c r="D86" s="5685" t="s">
        <v>2707</v>
      </c>
      <c r="E86" s="5682">
        <v>1</v>
      </c>
      <c r="F86" s="5682">
        <v>8</v>
      </c>
      <c r="I86" s="4915">
        <v>1</v>
      </c>
      <c r="J86" s="4915">
        <v>4</v>
      </c>
      <c r="K86" s="4916" t="s">
        <v>1527</v>
      </c>
      <c r="L86" s="4916" t="s">
        <v>2731</v>
      </c>
      <c r="M86" s="4915">
        <v>1</v>
      </c>
      <c r="N86" s="4915">
        <v>9</v>
      </c>
      <c r="O86" s="157"/>
      <c r="Q86" s="4705">
        <v>2</v>
      </c>
      <c r="R86" s="4705">
        <v>1</v>
      </c>
      <c r="S86" s="4706" t="s">
        <v>119</v>
      </c>
      <c r="T86" s="4706" t="s">
        <v>2731</v>
      </c>
      <c r="U86" s="4707">
        <v>7</v>
      </c>
      <c r="V86" s="4707">
        <v>9</v>
      </c>
      <c r="W86" s="4722"/>
      <c r="Y86" s="36"/>
      <c r="Z86" s="36"/>
      <c r="AA86" s="36"/>
      <c r="AB86" s="36" t="s">
        <v>15</v>
      </c>
      <c r="AC86" s="1681">
        <v>1</v>
      </c>
      <c r="AD86" s="1681">
        <v>2</v>
      </c>
      <c r="AE86" s="1681"/>
      <c r="AF86" s="1681"/>
      <c r="AG86" s="1681"/>
      <c r="AH86" s="1681">
        <v>2</v>
      </c>
      <c r="AI86" s="1681"/>
      <c r="AJ86" s="1681">
        <v>11</v>
      </c>
      <c r="AK86" s="1681"/>
      <c r="AL86" s="95"/>
      <c r="AM86" s="95">
        <v>16</v>
      </c>
      <c r="AN86" s="4545">
        <v>0</v>
      </c>
      <c r="AR86" s="27"/>
      <c r="AS86" s="27" t="s">
        <v>2264</v>
      </c>
      <c r="AT86" s="3722">
        <v>0</v>
      </c>
      <c r="AU86" s="3722">
        <v>0</v>
      </c>
      <c r="AV86" s="3722">
        <v>1</v>
      </c>
      <c r="AW86" s="3722">
        <v>0</v>
      </c>
      <c r="AX86" s="3722"/>
      <c r="AY86" s="3722">
        <v>0</v>
      </c>
      <c r="AZ86" s="3722">
        <v>0</v>
      </c>
      <c r="BA86" s="3722">
        <v>0</v>
      </c>
      <c r="BB86" s="3722">
        <v>0</v>
      </c>
      <c r="BC86" s="3701">
        <v>0</v>
      </c>
      <c r="BD86" s="3701">
        <v>0</v>
      </c>
      <c r="BE86" s="3701">
        <v>1</v>
      </c>
      <c r="BF86" s="2110"/>
      <c r="BG86" s="2110"/>
      <c r="BJ86" s="32" t="s">
        <v>1458</v>
      </c>
      <c r="BK86" s="32" t="s">
        <v>1080</v>
      </c>
      <c r="BL86" s="3871"/>
      <c r="BM86" s="3871"/>
      <c r="BN86" s="3871"/>
      <c r="BO86" s="3871"/>
      <c r="BP86" s="3871"/>
      <c r="BQ86" s="3871"/>
      <c r="BR86" s="3871">
        <v>5</v>
      </c>
      <c r="BS86" s="3871"/>
      <c r="BT86" s="1518"/>
      <c r="BU86" s="1518">
        <v>5</v>
      </c>
      <c r="BX86" s="36"/>
      <c r="BY86" s="36"/>
      <c r="BZ86" s="393"/>
      <c r="CA86" s="393" t="s">
        <v>1076</v>
      </c>
      <c r="CB86" s="1682"/>
      <c r="CC86" s="1682">
        <v>0</v>
      </c>
      <c r="CD86" s="1682"/>
      <c r="CE86" s="1682"/>
      <c r="CF86" s="1682">
        <v>1</v>
      </c>
      <c r="CG86" s="1682">
        <v>0</v>
      </c>
      <c r="CH86" s="1682">
        <v>1</v>
      </c>
      <c r="CI86" s="1682">
        <v>0</v>
      </c>
      <c r="CJ86" s="2041"/>
      <c r="CK86" s="2041"/>
      <c r="CL86" s="2041">
        <v>2</v>
      </c>
      <c r="CM86" s="36"/>
      <c r="CO86" s="37"/>
      <c r="CP86" s="37"/>
      <c r="CQ86" s="37"/>
      <c r="CR86" s="37" t="s">
        <v>1074</v>
      </c>
      <c r="CS86" s="1678">
        <v>1</v>
      </c>
      <c r="CT86" s="1678">
        <v>0</v>
      </c>
      <c r="CU86" s="1678">
        <v>1</v>
      </c>
      <c r="CV86" s="1678"/>
      <c r="CW86" s="1678">
        <v>0</v>
      </c>
      <c r="CX86" s="1678">
        <v>0</v>
      </c>
      <c r="CY86" s="1678">
        <v>0</v>
      </c>
      <c r="CZ86" s="1678"/>
      <c r="DA86" s="1678">
        <v>0</v>
      </c>
      <c r="DB86" s="63">
        <v>0</v>
      </c>
      <c r="DC86" s="63"/>
      <c r="DD86" s="63">
        <v>2</v>
      </c>
      <c r="DG86" s="95"/>
      <c r="DH86" s="95"/>
      <c r="DI86" s="36"/>
      <c r="DJ86" s="36" t="s">
        <v>1663</v>
      </c>
      <c r="DK86" s="1484">
        <v>4</v>
      </c>
      <c r="DL86" s="1484">
        <v>0</v>
      </c>
      <c r="DM86" s="1484">
        <v>0</v>
      </c>
      <c r="DN86" s="1484">
        <v>0</v>
      </c>
      <c r="DO86" s="1484">
        <v>0</v>
      </c>
      <c r="DP86" s="1484">
        <v>0</v>
      </c>
      <c r="DQ86" s="1484">
        <v>0</v>
      </c>
      <c r="DR86" s="1484">
        <v>0</v>
      </c>
      <c r="DS86" s="1484">
        <v>0</v>
      </c>
      <c r="DT86" s="95">
        <v>0</v>
      </c>
      <c r="DU86" s="95">
        <v>0</v>
      </c>
      <c r="DV86" s="95">
        <v>4</v>
      </c>
      <c r="DW86" s="95"/>
      <c r="DY86" s="1209"/>
      <c r="DZ86" s="1209"/>
      <c r="EA86" s="1210"/>
      <c r="EB86" s="1211" t="s">
        <v>1080</v>
      </c>
      <c r="EC86" s="1212"/>
      <c r="ED86" s="1212"/>
      <c r="EE86" s="1213">
        <v>0</v>
      </c>
      <c r="EF86" s="1213">
        <v>2</v>
      </c>
      <c r="EG86" s="1213">
        <v>2</v>
      </c>
      <c r="EH86" s="1213">
        <v>0</v>
      </c>
      <c r="EI86" s="1213">
        <v>4</v>
      </c>
      <c r="EJ86" s="1213">
        <v>2</v>
      </c>
      <c r="EK86" s="611"/>
      <c r="EL86" s="611"/>
      <c r="EM86" s="612">
        <v>10</v>
      </c>
      <c r="EN86" s="36"/>
      <c r="EP86" s="527"/>
      <c r="EQ86" s="527"/>
      <c r="ER86" s="528"/>
      <c r="ES86" s="529" t="s">
        <v>1080</v>
      </c>
      <c r="ET86" s="530"/>
      <c r="EU86" s="530"/>
      <c r="EV86" s="530"/>
      <c r="EW86" s="530"/>
      <c r="EX86" s="531">
        <v>0</v>
      </c>
      <c r="EY86" s="530"/>
      <c r="EZ86" s="531">
        <v>0</v>
      </c>
      <c r="FA86" s="531">
        <v>12</v>
      </c>
      <c r="FB86" s="527"/>
      <c r="FC86" s="532">
        <v>1</v>
      </c>
      <c r="FD86" s="532">
        <v>13</v>
      </c>
      <c r="FE86" s="95"/>
      <c r="FG86" s="533"/>
      <c r="FH86" s="533"/>
      <c r="FI86" s="533"/>
      <c r="FJ86" s="534" t="s">
        <v>1080</v>
      </c>
      <c r="FK86" s="535"/>
      <c r="FL86" s="535"/>
      <c r="FM86" s="535"/>
      <c r="FN86" s="535"/>
      <c r="FO86" s="535"/>
      <c r="FP86" s="535"/>
      <c r="FQ86" s="536">
        <v>0</v>
      </c>
      <c r="FR86" s="535"/>
      <c r="FS86" s="536">
        <v>1</v>
      </c>
      <c r="FT86" s="537"/>
      <c r="FU86" s="538">
        <v>0</v>
      </c>
      <c r="FV86" s="538">
        <v>1</v>
      </c>
      <c r="FW86" s="539"/>
      <c r="FY86" s="540"/>
      <c r="FZ86" s="540"/>
      <c r="GA86" s="540"/>
      <c r="GB86" s="550" t="s">
        <v>15</v>
      </c>
      <c r="GC86" s="551"/>
      <c r="GD86" s="552">
        <v>1</v>
      </c>
      <c r="GE86" s="552">
        <v>1</v>
      </c>
      <c r="GF86" s="552">
        <v>1</v>
      </c>
      <c r="GG86" s="552">
        <v>1</v>
      </c>
      <c r="GH86" s="552">
        <v>7</v>
      </c>
      <c r="GI86" s="552">
        <v>21</v>
      </c>
      <c r="GJ86" s="552">
        <v>34</v>
      </c>
      <c r="GK86" s="551"/>
      <c r="GL86" s="551"/>
      <c r="GM86" s="552">
        <v>66</v>
      </c>
      <c r="GN86" s="553">
        <f>+(GM85+GM82)/GM86</f>
        <v>0.16666666666666666</v>
      </c>
      <c r="GP86" s="63"/>
      <c r="GQ86" s="63"/>
      <c r="GR86" s="37" t="s">
        <v>127</v>
      </c>
      <c r="GS86" s="37" t="s">
        <v>1076</v>
      </c>
      <c r="GT86" s="63"/>
      <c r="GU86" s="63"/>
      <c r="GV86" s="63"/>
      <c r="GW86" s="63"/>
      <c r="GX86" s="63"/>
      <c r="GY86" s="63"/>
      <c r="GZ86" s="63">
        <v>4</v>
      </c>
      <c r="HA86" s="63"/>
      <c r="HB86" s="63">
        <v>0</v>
      </c>
      <c r="HC86" s="63"/>
      <c r="HD86" s="63">
        <v>4</v>
      </c>
      <c r="HE86" s="37"/>
      <c r="HF86" s="37"/>
      <c r="HG86" s="446"/>
      <c r="HH86" s="446"/>
      <c r="HI86" s="446"/>
      <c r="HJ86" s="446" t="s">
        <v>1076</v>
      </c>
      <c r="HK86" s="446">
        <v>0</v>
      </c>
      <c r="HL86" s="446">
        <v>0</v>
      </c>
      <c r="HM86" s="446">
        <v>0</v>
      </c>
      <c r="HN86" s="446">
        <v>0</v>
      </c>
      <c r="HO86" s="446">
        <v>0</v>
      </c>
      <c r="HP86" s="446">
        <v>0</v>
      </c>
      <c r="HQ86" s="446">
        <v>1</v>
      </c>
      <c r="HR86" s="446">
        <v>1</v>
      </c>
      <c r="HS86" s="446">
        <v>0</v>
      </c>
      <c r="HT86" s="446">
        <v>0</v>
      </c>
      <c r="HU86" s="446">
        <v>0</v>
      </c>
      <c r="HV86" s="447">
        <v>2</v>
      </c>
      <c r="HW86" s="544"/>
      <c r="HX86" s="448"/>
    </row>
    <row r="87" spans="1:232" ht="24">
      <c r="A87" s="5687">
        <v>1</v>
      </c>
      <c r="B87" s="5687">
        <v>4</v>
      </c>
      <c r="C87" s="5688" t="s">
        <v>1456</v>
      </c>
      <c r="D87" s="5688" t="s">
        <v>2707</v>
      </c>
      <c r="E87" s="5687">
        <v>1</v>
      </c>
      <c r="F87" s="5687">
        <v>9</v>
      </c>
      <c r="I87" s="4915">
        <v>1</v>
      </c>
      <c r="J87" s="4915">
        <v>4</v>
      </c>
      <c r="K87" s="4916" t="s">
        <v>1527</v>
      </c>
      <c r="L87" s="4916" t="s">
        <v>2709</v>
      </c>
      <c r="M87" s="4915">
        <v>1</v>
      </c>
      <c r="N87" s="4915">
        <v>1</v>
      </c>
      <c r="O87" s="157"/>
      <c r="Q87" s="4705">
        <v>2</v>
      </c>
      <c r="R87" s="4705">
        <v>1</v>
      </c>
      <c r="S87" s="4706" t="s">
        <v>119</v>
      </c>
      <c r="T87" s="4706" t="s">
        <v>2731</v>
      </c>
      <c r="U87" s="4707">
        <v>2</v>
      </c>
      <c r="V87" s="4707">
        <v>10</v>
      </c>
      <c r="W87" s="4722"/>
      <c r="X87" s="4452"/>
      <c r="Y87" s="36"/>
      <c r="Z87" s="36"/>
      <c r="AA87" s="36" t="s">
        <v>123</v>
      </c>
      <c r="AB87" s="36" t="s">
        <v>1072</v>
      </c>
      <c r="AC87" s="1681"/>
      <c r="AD87" s="1681"/>
      <c r="AE87" s="1681"/>
      <c r="AF87" s="1681">
        <v>0</v>
      </c>
      <c r="AG87" s="1681">
        <v>1</v>
      </c>
      <c r="AH87" s="1681">
        <v>0</v>
      </c>
      <c r="AI87" s="1681"/>
      <c r="AJ87" s="1681">
        <v>0</v>
      </c>
      <c r="AK87" s="1681">
        <v>0</v>
      </c>
      <c r="AL87" s="95">
        <v>0</v>
      </c>
      <c r="AM87" s="95">
        <v>1</v>
      </c>
      <c r="AN87" s="4545"/>
      <c r="AS87" s="27" t="s">
        <v>15</v>
      </c>
      <c r="AT87" s="3722">
        <v>9</v>
      </c>
      <c r="AU87" s="3722">
        <v>13</v>
      </c>
      <c r="AV87" s="3722">
        <v>5</v>
      </c>
      <c r="AW87" s="3722">
        <v>4</v>
      </c>
      <c r="AX87" s="3722"/>
      <c r="AY87" s="3722">
        <v>5</v>
      </c>
      <c r="AZ87" s="3722">
        <v>30</v>
      </c>
      <c r="BA87" s="3722">
        <v>36</v>
      </c>
      <c r="BB87" s="3722">
        <v>14</v>
      </c>
      <c r="BC87" s="3701">
        <v>8</v>
      </c>
      <c r="BD87" s="3701">
        <v>4</v>
      </c>
      <c r="BE87" s="3701">
        <v>128</v>
      </c>
      <c r="BF87" s="1665">
        <f>+(BE80+BE83+BE85)/(BE87-BE84)</f>
        <v>0.10084033613445378</v>
      </c>
      <c r="BG87" s="1665"/>
      <c r="BK87" s="1520" t="s">
        <v>15</v>
      </c>
      <c r="BL87" s="3872"/>
      <c r="BM87" s="3872"/>
      <c r="BN87" s="3872"/>
      <c r="BO87" s="3872"/>
      <c r="BP87" s="3872"/>
      <c r="BQ87" s="3872"/>
      <c r="BR87" s="3872">
        <v>5</v>
      </c>
      <c r="BS87" s="3872"/>
      <c r="BT87" s="3806"/>
      <c r="BU87" s="3806">
        <v>5</v>
      </c>
      <c r="BV87" s="3807">
        <v>0</v>
      </c>
      <c r="BX87" s="36"/>
      <c r="BY87" s="36"/>
      <c r="BZ87" s="393"/>
      <c r="CA87" s="393" t="s">
        <v>1077</v>
      </c>
      <c r="CB87" s="1682"/>
      <c r="CC87" s="1682">
        <v>0</v>
      </c>
      <c r="CD87" s="1682"/>
      <c r="CE87" s="1682"/>
      <c r="CF87" s="1682">
        <v>0</v>
      </c>
      <c r="CG87" s="1682">
        <v>1</v>
      </c>
      <c r="CH87" s="1682">
        <v>0</v>
      </c>
      <c r="CI87" s="1682">
        <v>0</v>
      </c>
      <c r="CJ87" s="2041"/>
      <c r="CK87" s="2041"/>
      <c r="CL87" s="2041">
        <v>1</v>
      </c>
      <c r="CM87" s="36"/>
      <c r="CO87" s="37"/>
      <c r="CP87" s="37"/>
      <c r="CQ87" s="37"/>
      <c r="CR87" s="37" t="s">
        <v>1080</v>
      </c>
      <c r="CS87" s="1678">
        <v>0</v>
      </c>
      <c r="CT87" s="1678">
        <v>0</v>
      </c>
      <c r="CU87" s="1678">
        <v>0</v>
      </c>
      <c r="CV87" s="1678"/>
      <c r="CW87" s="1678">
        <v>0</v>
      </c>
      <c r="CX87" s="1678">
        <v>0</v>
      </c>
      <c r="CY87" s="1678">
        <v>0</v>
      </c>
      <c r="CZ87" s="1678"/>
      <c r="DA87" s="1678">
        <v>3</v>
      </c>
      <c r="DB87" s="63">
        <v>1</v>
      </c>
      <c r="DC87" s="63"/>
      <c r="DD87" s="63">
        <v>4</v>
      </c>
      <c r="DG87" s="95"/>
      <c r="DH87" s="95"/>
      <c r="DI87" s="36"/>
      <c r="DJ87" s="36" t="s">
        <v>1081</v>
      </c>
      <c r="DK87" s="1484">
        <v>0</v>
      </c>
      <c r="DL87" s="1484">
        <v>0</v>
      </c>
      <c r="DM87" s="1484">
        <v>0</v>
      </c>
      <c r="DN87" s="1484">
        <v>0</v>
      </c>
      <c r="DO87" s="1484">
        <v>0</v>
      </c>
      <c r="DP87" s="1484">
        <v>0</v>
      </c>
      <c r="DQ87" s="1484">
        <v>11</v>
      </c>
      <c r="DR87" s="1484">
        <v>7</v>
      </c>
      <c r="DS87" s="1484">
        <v>2</v>
      </c>
      <c r="DT87" s="95">
        <v>0</v>
      </c>
      <c r="DU87" s="95">
        <v>0</v>
      </c>
      <c r="DV87" s="95">
        <v>20</v>
      </c>
      <c r="DW87" s="95"/>
      <c r="DY87" s="1209"/>
      <c r="DZ87" s="1209"/>
      <c r="EA87" s="1210"/>
      <c r="EB87" s="1211" t="s">
        <v>1081</v>
      </c>
      <c r="EC87" s="1212"/>
      <c r="ED87" s="1212"/>
      <c r="EE87" s="1213">
        <v>0</v>
      </c>
      <c r="EF87" s="1213">
        <v>0</v>
      </c>
      <c r="EG87" s="1213">
        <v>0</v>
      </c>
      <c r="EH87" s="1213">
        <v>1</v>
      </c>
      <c r="EI87" s="1213">
        <v>0</v>
      </c>
      <c r="EJ87" s="1213">
        <v>0</v>
      </c>
      <c r="EK87" s="611"/>
      <c r="EL87" s="611"/>
      <c r="EM87" s="612">
        <v>1</v>
      </c>
      <c r="EN87" s="36"/>
      <c r="EP87" s="527"/>
      <c r="EQ87" s="527"/>
      <c r="ER87" s="528"/>
      <c r="ES87" s="555" t="s">
        <v>15</v>
      </c>
      <c r="ET87" s="556"/>
      <c r="EU87" s="556"/>
      <c r="EV87" s="556"/>
      <c r="EW87" s="556"/>
      <c r="EX87" s="557">
        <v>1</v>
      </c>
      <c r="EY87" s="556"/>
      <c r="EZ87" s="557">
        <v>3</v>
      </c>
      <c r="FA87" s="557">
        <v>18</v>
      </c>
      <c r="FB87" s="558"/>
      <c r="FC87" s="559">
        <v>3</v>
      </c>
      <c r="FD87" s="559">
        <v>25</v>
      </c>
      <c r="FE87" s="86"/>
      <c r="FG87" s="533"/>
      <c r="FH87" s="533"/>
      <c r="FI87" s="533"/>
      <c r="FJ87" s="534" t="s">
        <v>1163</v>
      </c>
      <c r="FK87" s="535"/>
      <c r="FL87" s="535"/>
      <c r="FM87" s="535"/>
      <c r="FN87" s="535"/>
      <c r="FO87" s="535"/>
      <c r="FP87" s="535"/>
      <c r="FQ87" s="536">
        <v>3</v>
      </c>
      <c r="FR87" s="535"/>
      <c r="FS87" s="536">
        <v>0</v>
      </c>
      <c r="FT87" s="537"/>
      <c r="FU87" s="538">
        <v>0</v>
      </c>
      <c r="FV87" s="538">
        <v>3</v>
      </c>
      <c r="FW87" s="539"/>
      <c r="FY87" s="540"/>
      <c r="FZ87" s="540"/>
      <c r="GA87" s="540" t="s">
        <v>126</v>
      </c>
      <c r="GB87" s="541" t="s">
        <v>1071</v>
      </c>
      <c r="GC87" s="542"/>
      <c r="GD87" s="542"/>
      <c r="GE87" s="542"/>
      <c r="GF87" s="542"/>
      <c r="GG87" s="543">
        <v>0</v>
      </c>
      <c r="GH87" s="543">
        <v>0</v>
      </c>
      <c r="GI87" s="543">
        <v>0</v>
      </c>
      <c r="GJ87" s="543">
        <v>1</v>
      </c>
      <c r="GK87" s="542"/>
      <c r="GL87" s="542"/>
      <c r="GM87" s="543">
        <v>1</v>
      </c>
      <c r="GN87" s="445"/>
      <c r="GP87" s="63"/>
      <c r="GQ87" s="63"/>
      <c r="GR87" s="37"/>
      <c r="GS87" s="37" t="s">
        <v>1080</v>
      </c>
      <c r="GT87" s="63"/>
      <c r="GU87" s="63"/>
      <c r="GV87" s="63"/>
      <c r="GW87" s="63"/>
      <c r="GX87" s="63"/>
      <c r="GY87" s="63"/>
      <c r="GZ87" s="63">
        <v>0</v>
      </c>
      <c r="HA87" s="63"/>
      <c r="HB87" s="63">
        <v>1</v>
      </c>
      <c r="HC87" s="63"/>
      <c r="HD87" s="63">
        <v>1</v>
      </c>
      <c r="HE87" s="37"/>
      <c r="HF87" s="37"/>
      <c r="HG87" s="446"/>
      <c r="HH87" s="446"/>
      <c r="HI87" s="446"/>
      <c r="HJ87" s="446" t="s">
        <v>1077</v>
      </c>
      <c r="HK87" s="446">
        <v>0</v>
      </c>
      <c r="HL87" s="446">
        <v>0</v>
      </c>
      <c r="HM87" s="446">
        <v>0</v>
      </c>
      <c r="HN87" s="446">
        <v>0</v>
      </c>
      <c r="HO87" s="446">
        <v>0</v>
      </c>
      <c r="HP87" s="446">
        <v>1</v>
      </c>
      <c r="HQ87" s="446">
        <v>1</v>
      </c>
      <c r="HR87" s="446">
        <v>0</v>
      </c>
      <c r="HS87" s="446">
        <v>0</v>
      </c>
      <c r="HT87" s="446">
        <v>0</v>
      </c>
      <c r="HU87" s="446">
        <v>0</v>
      </c>
      <c r="HV87" s="447">
        <v>2</v>
      </c>
      <c r="HW87" s="544"/>
      <c r="HX87" s="448"/>
    </row>
    <row r="88" spans="1:232" ht="24">
      <c r="A88" s="5682">
        <v>1</v>
      </c>
      <c r="B88" s="5682">
        <v>4</v>
      </c>
      <c r="C88" s="5683" t="s">
        <v>1456</v>
      </c>
      <c r="D88" s="5683" t="s">
        <v>2709</v>
      </c>
      <c r="E88" s="5682">
        <v>1</v>
      </c>
      <c r="F88" s="5682">
        <v>1</v>
      </c>
      <c r="I88" s="4915">
        <v>1</v>
      </c>
      <c r="J88" s="4915">
        <v>4</v>
      </c>
      <c r="K88" s="4916" t="s">
        <v>1527</v>
      </c>
      <c r="L88" s="4916" t="s">
        <v>2709</v>
      </c>
      <c r="M88" s="4915">
        <v>1</v>
      </c>
      <c r="N88" s="4915">
        <v>8</v>
      </c>
      <c r="O88" s="157"/>
      <c r="Q88" s="4705">
        <v>2</v>
      </c>
      <c r="R88" s="4705">
        <v>1</v>
      </c>
      <c r="S88" s="4706" t="s">
        <v>119</v>
      </c>
      <c r="T88" s="4706" t="s">
        <v>2703</v>
      </c>
      <c r="U88" s="4707">
        <v>1</v>
      </c>
      <c r="V88" s="4707">
        <v>2</v>
      </c>
      <c r="W88" s="4722"/>
      <c r="Y88" s="36"/>
      <c r="Z88" s="36"/>
      <c r="AA88" s="36"/>
      <c r="AB88" s="36" t="s">
        <v>1080</v>
      </c>
      <c r="AC88" s="1681"/>
      <c r="AD88" s="1681"/>
      <c r="AE88" s="1681"/>
      <c r="AF88" s="1681">
        <v>0</v>
      </c>
      <c r="AG88" s="1681">
        <v>0</v>
      </c>
      <c r="AH88" s="1681">
        <v>0</v>
      </c>
      <c r="AI88" s="1681"/>
      <c r="AJ88" s="1681">
        <v>4</v>
      </c>
      <c r="AK88" s="1681">
        <v>2</v>
      </c>
      <c r="AL88" s="95">
        <v>1</v>
      </c>
      <c r="AM88" s="95">
        <v>7</v>
      </c>
      <c r="AN88" s="4545"/>
      <c r="AQ88" s="157" t="s">
        <v>21</v>
      </c>
      <c r="AR88" s="3868" t="s">
        <v>1456</v>
      </c>
      <c r="AS88" s="3868" t="s">
        <v>1080</v>
      </c>
      <c r="AT88" s="3721"/>
      <c r="AU88" s="3721"/>
      <c r="AV88" s="3721"/>
      <c r="AW88" s="3721"/>
      <c r="AX88" s="3721"/>
      <c r="AY88" s="3721"/>
      <c r="AZ88" s="3721"/>
      <c r="BA88" s="3721">
        <v>2</v>
      </c>
      <c r="BB88" s="3721">
        <v>2</v>
      </c>
      <c r="BC88" s="2110"/>
      <c r="BD88" s="2110"/>
      <c r="BE88" s="2110">
        <v>4</v>
      </c>
      <c r="BF88" s="2110"/>
      <c r="BG88" s="2110"/>
      <c r="BJ88" s="1520" t="s">
        <v>484</v>
      </c>
      <c r="BK88" s="1520" t="s">
        <v>1071</v>
      </c>
      <c r="BL88" s="3872"/>
      <c r="BM88" s="3872"/>
      <c r="BN88" s="3872"/>
      <c r="BO88" s="3872">
        <v>1</v>
      </c>
      <c r="BP88" s="3872">
        <v>0</v>
      </c>
      <c r="BQ88" s="3872">
        <v>0</v>
      </c>
      <c r="BR88" s="3872">
        <v>0</v>
      </c>
      <c r="BS88" s="3872"/>
      <c r="BT88" s="3806"/>
      <c r="BU88" s="3806">
        <v>1</v>
      </c>
      <c r="BV88" s="1520"/>
      <c r="BX88" s="36"/>
      <c r="BY88" s="36"/>
      <c r="BZ88" s="393"/>
      <c r="CA88" s="393" t="s">
        <v>1080</v>
      </c>
      <c r="CB88" s="1682"/>
      <c r="CC88" s="1682">
        <v>0</v>
      </c>
      <c r="CD88" s="1682"/>
      <c r="CE88" s="1682"/>
      <c r="CF88" s="1682">
        <v>0</v>
      </c>
      <c r="CG88" s="1682">
        <v>0</v>
      </c>
      <c r="CH88" s="1682">
        <v>0</v>
      </c>
      <c r="CI88" s="1682">
        <v>7</v>
      </c>
      <c r="CJ88" s="2041"/>
      <c r="CK88" s="2041"/>
      <c r="CL88" s="2041">
        <v>7</v>
      </c>
      <c r="CM88" s="36"/>
      <c r="CO88" s="37"/>
      <c r="CP88" s="37"/>
      <c r="CQ88" s="37"/>
      <c r="CR88" s="37" t="s">
        <v>1081</v>
      </c>
      <c r="CS88" s="1678">
        <v>0</v>
      </c>
      <c r="CT88" s="1678">
        <v>0</v>
      </c>
      <c r="CU88" s="1678">
        <v>0</v>
      </c>
      <c r="CV88" s="1678"/>
      <c r="CW88" s="1678">
        <v>0</v>
      </c>
      <c r="CX88" s="1678">
        <v>0</v>
      </c>
      <c r="CY88" s="1678">
        <v>0</v>
      </c>
      <c r="CZ88" s="1678"/>
      <c r="DA88" s="1678">
        <v>1</v>
      </c>
      <c r="DB88" s="63">
        <v>0</v>
      </c>
      <c r="DC88" s="63"/>
      <c r="DD88" s="63">
        <v>1</v>
      </c>
      <c r="DG88" s="95"/>
      <c r="DH88" s="95"/>
      <c r="DI88" s="36"/>
      <c r="DJ88" s="36" t="s">
        <v>1163</v>
      </c>
      <c r="DK88" s="1484">
        <v>0</v>
      </c>
      <c r="DL88" s="1484">
        <v>0</v>
      </c>
      <c r="DM88" s="1484">
        <v>0</v>
      </c>
      <c r="DN88" s="1484">
        <v>0</v>
      </c>
      <c r="DO88" s="1484">
        <v>0</v>
      </c>
      <c r="DP88" s="1484">
        <v>0</v>
      </c>
      <c r="DQ88" s="1484">
        <v>5</v>
      </c>
      <c r="DR88" s="1484">
        <v>17</v>
      </c>
      <c r="DS88" s="1484">
        <v>3</v>
      </c>
      <c r="DT88" s="95">
        <v>0</v>
      </c>
      <c r="DU88" s="95">
        <v>0</v>
      </c>
      <c r="DV88" s="95">
        <v>25</v>
      </c>
      <c r="DW88" s="95"/>
      <c r="DY88" s="1209"/>
      <c r="DZ88" s="1209"/>
      <c r="EA88" s="1210"/>
      <c r="EB88" s="1211" t="s">
        <v>1163</v>
      </c>
      <c r="EC88" s="1212"/>
      <c r="ED88" s="1212"/>
      <c r="EE88" s="1213">
        <v>2</v>
      </c>
      <c r="EF88" s="1213">
        <v>3</v>
      </c>
      <c r="EG88" s="1213">
        <v>1</v>
      </c>
      <c r="EH88" s="1213">
        <v>2</v>
      </c>
      <c r="EI88" s="1213">
        <v>0</v>
      </c>
      <c r="EJ88" s="1213">
        <v>0</v>
      </c>
      <c r="EK88" s="611"/>
      <c r="EL88" s="611"/>
      <c r="EM88" s="612">
        <v>8</v>
      </c>
      <c r="EN88" s="36"/>
      <c r="EP88" s="527"/>
      <c r="EQ88" s="527"/>
      <c r="ER88" s="528" t="s">
        <v>121</v>
      </c>
      <c r="ES88" s="529" t="s">
        <v>1071</v>
      </c>
      <c r="ET88" s="531">
        <v>0</v>
      </c>
      <c r="EU88" s="530"/>
      <c r="EV88" s="530"/>
      <c r="EW88" s="530"/>
      <c r="EX88" s="530"/>
      <c r="EY88" s="531">
        <v>0</v>
      </c>
      <c r="EZ88" s="531">
        <v>0</v>
      </c>
      <c r="FA88" s="531">
        <v>11</v>
      </c>
      <c r="FB88" s="532">
        <v>0</v>
      </c>
      <c r="FC88" s="532">
        <v>4</v>
      </c>
      <c r="FD88" s="532">
        <v>15</v>
      </c>
      <c r="FE88" s="560">
        <f>+FD84/FD87</f>
        <v>0.08</v>
      </c>
      <c r="FG88" s="533"/>
      <c r="FH88" s="533"/>
      <c r="FI88" s="533"/>
      <c r="FJ88" s="545" t="s">
        <v>15</v>
      </c>
      <c r="FK88" s="546"/>
      <c r="FL88" s="546"/>
      <c r="FM88" s="546"/>
      <c r="FN88" s="546"/>
      <c r="FO88" s="546"/>
      <c r="FP88" s="546"/>
      <c r="FQ88" s="547">
        <v>4</v>
      </c>
      <c r="FR88" s="546"/>
      <c r="FS88" s="547">
        <v>4</v>
      </c>
      <c r="FT88" s="548"/>
      <c r="FU88" s="549">
        <v>4</v>
      </c>
      <c r="FV88" s="549">
        <v>12</v>
      </c>
      <c r="FW88" s="539">
        <f>+(FV87+FV85)/FV88</f>
        <v>0.33333333333333331</v>
      </c>
      <c r="FY88" s="540"/>
      <c r="FZ88" s="540"/>
      <c r="GA88" s="540"/>
      <c r="GB88" s="541" t="s">
        <v>1072</v>
      </c>
      <c r="GC88" s="542"/>
      <c r="GD88" s="542"/>
      <c r="GE88" s="542"/>
      <c r="GF88" s="542"/>
      <c r="GG88" s="543">
        <v>0</v>
      </c>
      <c r="GH88" s="543">
        <v>3</v>
      </c>
      <c r="GI88" s="543">
        <v>3</v>
      </c>
      <c r="GJ88" s="543">
        <v>0</v>
      </c>
      <c r="GK88" s="542"/>
      <c r="GL88" s="542"/>
      <c r="GM88" s="543">
        <v>6</v>
      </c>
      <c r="GN88" s="445"/>
      <c r="GP88" s="63"/>
      <c r="GQ88" s="63"/>
      <c r="GR88" s="37"/>
      <c r="GS88" s="37" t="s">
        <v>1081</v>
      </c>
      <c r="GT88" s="63"/>
      <c r="GU88" s="63"/>
      <c r="GV88" s="63"/>
      <c r="GW88" s="63"/>
      <c r="GX88" s="63"/>
      <c r="GY88" s="63"/>
      <c r="GZ88" s="63">
        <v>4</v>
      </c>
      <c r="HA88" s="63"/>
      <c r="HB88" s="63">
        <v>0</v>
      </c>
      <c r="HC88" s="63"/>
      <c r="HD88" s="63">
        <v>4</v>
      </c>
      <c r="HE88" s="37"/>
      <c r="HF88" s="37"/>
      <c r="HG88" s="446"/>
      <c r="HH88" s="446"/>
      <c r="HI88" s="446"/>
      <c r="HJ88" s="446" t="s">
        <v>1080</v>
      </c>
      <c r="HK88" s="446">
        <v>0</v>
      </c>
      <c r="HL88" s="446">
        <v>0</v>
      </c>
      <c r="HM88" s="446">
        <v>0</v>
      </c>
      <c r="HN88" s="446">
        <v>0</v>
      </c>
      <c r="HO88" s="446">
        <v>0</v>
      </c>
      <c r="HP88" s="446">
        <v>0</v>
      </c>
      <c r="HQ88" s="446">
        <v>0</v>
      </c>
      <c r="HR88" s="446">
        <v>12</v>
      </c>
      <c r="HS88" s="446">
        <v>51</v>
      </c>
      <c r="HT88" s="446">
        <v>0</v>
      </c>
      <c r="HU88" s="446">
        <v>0</v>
      </c>
      <c r="HV88" s="447">
        <v>63</v>
      </c>
      <c r="HW88" s="544"/>
      <c r="HX88" s="448"/>
    </row>
    <row r="89" spans="1:232">
      <c r="A89" s="5682">
        <v>1</v>
      </c>
      <c r="B89" s="5682">
        <v>4</v>
      </c>
      <c r="C89" s="5683" t="s">
        <v>1456</v>
      </c>
      <c r="D89" s="5683" t="s">
        <v>2709</v>
      </c>
      <c r="E89" s="5682">
        <v>1</v>
      </c>
      <c r="F89" s="5682">
        <v>3</v>
      </c>
      <c r="I89" s="4915"/>
      <c r="J89" s="4915"/>
      <c r="K89" s="4916"/>
      <c r="L89" s="4916"/>
      <c r="M89" s="4920">
        <f>SUM(M86:M88)</f>
        <v>3</v>
      </c>
      <c r="N89" s="4915"/>
      <c r="O89" s="4921">
        <v>0</v>
      </c>
      <c r="Q89" s="4705">
        <v>2</v>
      </c>
      <c r="R89" s="4705">
        <v>1</v>
      </c>
      <c r="S89" s="4706" t="s">
        <v>119</v>
      </c>
      <c r="T89" s="4708" t="s">
        <v>1076</v>
      </c>
      <c r="U89" s="4709">
        <v>1</v>
      </c>
      <c r="V89" s="4709">
        <v>8</v>
      </c>
      <c r="W89" s="4722"/>
      <c r="Y89" s="36"/>
      <c r="Z89" s="36"/>
      <c r="AA89" s="36"/>
      <c r="AB89" s="36" t="s">
        <v>1163</v>
      </c>
      <c r="AC89" s="1681"/>
      <c r="AD89" s="1681"/>
      <c r="AE89" s="1681"/>
      <c r="AF89" s="1681">
        <v>0</v>
      </c>
      <c r="AG89" s="1681">
        <v>0</v>
      </c>
      <c r="AH89" s="1681">
        <v>1</v>
      </c>
      <c r="AI89" s="1681"/>
      <c r="AJ89" s="1681">
        <v>0</v>
      </c>
      <c r="AK89" s="1681">
        <v>0</v>
      </c>
      <c r="AL89" s="95">
        <v>0</v>
      </c>
      <c r="AM89" s="95">
        <v>1</v>
      </c>
      <c r="AN89" s="4545"/>
      <c r="AS89" s="27" t="s">
        <v>15</v>
      </c>
      <c r="AT89" s="3722"/>
      <c r="AU89" s="3722"/>
      <c r="AV89" s="3722"/>
      <c r="AW89" s="3722"/>
      <c r="AX89" s="3722"/>
      <c r="AY89" s="3722"/>
      <c r="AZ89" s="3722"/>
      <c r="BA89" s="3722">
        <v>2</v>
      </c>
      <c r="BB89" s="3722">
        <v>2</v>
      </c>
      <c r="BC89" s="3701"/>
      <c r="BD89" s="3701"/>
      <c r="BE89" s="3701">
        <v>4</v>
      </c>
      <c r="BF89" s="1665">
        <v>0</v>
      </c>
      <c r="BG89" s="1665"/>
      <c r="BJ89" s="1520"/>
      <c r="BK89" s="1520" t="s">
        <v>1072</v>
      </c>
      <c r="BL89" s="3872"/>
      <c r="BM89" s="3872"/>
      <c r="BN89" s="3872"/>
      <c r="BO89" s="3872">
        <v>0</v>
      </c>
      <c r="BP89" s="3872">
        <v>1</v>
      </c>
      <c r="BQ89" s="3872">
        <v>1</v>
      </c>
      <c r="BR89" s="3872">
        <v>0</v>
      </c>
      <c r="BS89" s="3872"/>
      <c r="BT89" s="3806"/>
      <c r="BU89" s="3806">
        <v>2</v>
      </c>
      <c r="BV89" s="1520"/>
      <c r="BX89" s="36"/>
      <c r="BY89" s="36"/>
      <c r="BZ89" s="393"/>
      <c r="CA89" s="393" t="s">
        <v>1081</v>
      </c>
      <c r="CB89" s="1682"/>
      <c r="CC89" s="1682">
        <v>0</v>
      </c>
      <c r="CD89" s="1682"/>
      <c r="CE89" s="1682"/>
      <c r="CF89" s="1682">
        <v>0</v>
      </c>
      <c r="CG89" s="1682">
        <v>0</v>
      </c>
      <c r="CH89" s="1682">
        <v>1</v>
      </c>
      <c r="CI89" s="1682">
        <v>0</v>
      </c>
      <c r="CJ89" s="2041"/>
      <c r="CK89" s="2041"/>
      <c r="CL89" s="2041">
        <v>1</v>
      </c>
      <c r="CM89" s="36"/>
      <c r="CO89" s="37"/>
      <c r="CP89" s="37"/>
      <c r="CQ89" s="37"/>
      <c r="CR89" s="416" t="s">
        <v>15</v>
      </c>
      <c r="CS89" s="1679">
        <v>1</v>
      </c>
      <c r="CT89" s="1679">
        <v>2</v>
      </c>
      <c r="CU89" s="1679">
        <v>1</v>
      </c>
      <c r="CV89" s="1679"/>
      <c r="CW89" s="1679">
        <v>1</v>
      </c>
      <c r="CX89" s="1679">
        <v>1</v>
      </c>
      <c r="CY89" s="1679">
        <v>1</v>
      </c>
      <c r="CZ89" s="1679"/>
      <c r="DA89" s="1679">
        <v>5</v>
      </c>
      <c r="DB89" s="386">
        <v>1</v>
      </c>
      <c r="DC89" s="386"/>
      <c r="DD89" s="386">
        <v>13</v>
      </c>
      <c r="DE89" s="2045">
        <f>+DD88/DD89</f>
        <v>7.6923076923076927E-2</v>
      </c>
      <c r="DG89" s="95"/>
      <c r="DH89" s="95"/>
      <c r="DI89" s="36"/>
      <c r="DJ89" s="393" t="s">
        <v>105</v>
      </c>
      <c r="DK89" s="1485">
        <v>4</v>
      </c>
      <c r="DL89" s="1485">
        <v>4</v>
      </c>
      <c r="DM89" s="1485">
        <v>1</v>
      </c>
      <c r="DN89" s="1485">
        <v>1</v>
      </c>
      <c r="DO89" s="1485">
        <v>2</v>
      </c>
      <c r="DP89" s="1485">
        <v>3</v>
      </c>
      <c r="DQ89" s="1485">
        <v>43</v>
      </c>
      <c r="DR89" s="1485">
        <v>49</v>
      </c>
      <c r="DS89" s="1485">
        <v>29</v>
      </c>
      <c r="DT89" s="86">
        <v>5</v>
      </c>
      <c r="DU89" s="86">
        <v>2</v>
      </c>
      <c r="DV89" s="86">
        <v>143</v>
      </c>
      <c r="DW89" s="560">
        <f>+(DV83+DV87+DV88-DT83)/DV89</f>
        <v>0.34265734265734266</v>
      </c>
      <c r="DY89" s="1209"/>
      <c r="DZ89" s="1209"/>
      <c r="EA89" s="1210"/>
      <c r="EB89" s="415" t="s">
        <v>726</v>
      </c>
      <c r="EC89" s="1214"/>
      <c r="ED89" s="1214"/>
      <c r="EE89" s="1215">
        <v>6</v>
      </c>
      <c r="EF89" s="1215">
        <v>11</v>
      </c>
      <c r="EG89" s="1215">
        <v>10</v>
      </c>
      <c r="EH89" s="1215">
        <v>14</v>
      </c>
      <c r="EI89" s="1215">
        <v>5</v>
      </c>
      <c r="EJ89" s="1215">
        <v>2</v>
      </c>
      <c r="EK89" s="620"/>
      <c r="EL89" s="620"/>
      <c r="EM89" s="621">
        <v>48</v>
      </c>
      <c r="EN89" s="1178">
        <f>+(EM84+EM87+EM88)/EM89</f>
        <v>0.22916666666666666</v>
      </c>
      <c r="EP89" s="527"/>
      <c r="EQ89" s="527"/>
      <c r="ER89" s="528"/>
      <c r="ES89" s="529" t="s">
        <v>1072</v>
      </c>
      <c r="ET89" s="531">
        <v>0</v>
      </c>
      <c r="EU89" s="530"/>
      <c r="EV89" s="530"/>
      <c r="EW89" s="530"/>
      <c r="EX89" s="530"/>
      <c r="EY89" s="531">
        <v>0</v>
      </c>
      <c r="EZ89" s="531">
        <v>0</v>
      </c>
      <c r="FA89" s="531">
        <v>0</v>
      </c>
      <c r="FB89" s="532">
        <v>1</v>
      </c>
      <c r="FC89" s="532">
        <v>0</v>
      </c>
      <c r="FD89" s="532">
        <v>1</v>
      </c>
      <c r="FE89" s="95"/>
      <c r="FG89" s="533"/>
      <c r="FH89" s="533"/>
      <c r="FI89" s="533" t="s">
        <v>122</v>
      </c>
      <c r="FJ89" s="534" t="s">
        <v>1071</v>
      </c>
      <c r="FK89" s="536">
        <v>0</v>
      </c>
      <c r="FL89" s="535"/>
      <c r="FM89" s="535"/>
      <c r="FN89" s="535"/>
      <c r="FO89" s="535"/>
      <c r="FP89" s="536">
        <v>0</v>
      </c>
      <c r="FQ89" s="535"/>
      <c r="FR89" s="536">
        <v>0</v>
      </c>
      <c r="FS89" s="536">
        <v>4</v>
      </c>
      <c r="FT89" s="537"/>
      <c r="FU89" s="538">
        <v>1</v>
      </c>
      <c r="FV89" s="538">
        <v>5</v>
      </c>
      <c r="FW89" s="539"/>
      <c r="FY89" s="540"/>
      <c r="FZ89" s="540"/>
      <c r="GA89" s="540"/>
      <c r="GB89" s="541" t="s">
        <v>1076</v>
      </c>
      <c r="GC89" s="542"/>
      <c r="GD89" s="542"/>
      <c r="GE89" s="542"/>
      <c r="GF89" s="542"/>
      <c r="GG89" s="543">
        <v>0</v>
      </c>
      <c r="GH89" s="543">
        <v>9</v>
      </c>
      <c r="GI89" s="543">
        <v>14</v>
      </c>
      <c r="GJ89" s="543">
        <v>0</v>
      </c>
      <c r="GK89" s="542"/>
      <c r="GL89" s="542"/>
      <c r="GM89" s="543">
        <v>23</v>
      </c>
      <c r="GN89" s="445"/>
      <c r="GP89" s="63"/>
      <c r="GQ89" s="63"/>
      <c r="GR89" s="37"/>
      <c r="GS89" s="37" t="s">
        <v>1163</v>
      </c>
      <c r="GT89" s="63"/>
      <c r="GU89" s="63"/>
      <c r="GV89" s="63"/>
      <c r="GW89" s="63"/>
      <c r="GX89" s="63"/>
      <c r="GY89" s="63"/>
      <c r="GZ89" s="63">
        <v>1</v>
      </c>
      <c r="HA89" s="63"/>
      <c r="HB89" s="63">
        <v>0</v>
      </c>
      <c r="HC89" s="63"/>
      <c r="HD89" s="63">
        <v>1</v>
      </c>
      <c r="HE89" s="37"/>
      <c r="HF89" s="37"/>
      <c r="HG89" s="446"/>
      <c r="HH89" s="446"/>
      <c r="HI89" s="446"/>
      <c r="HJ89" s="446" t="s">
        <v>1163</v>
      </c>
      <c r="HK89" s="446">
        <v>0</v>
      </c>
      <c r="HL89" s="446">
        <v>0</v>
      </c>
      <c r="HM89" s="446">
        <v>0</v>
      </c>
      <c r="HN89" s="446">
        <v>0</v>
      </c>
      <c r="HO89" s="446">
        <v>0</v>
      </c>
      <c r="HP89" s="446">
        <v>0</v>
      </c>
      <c r="HQ89" s="446">
        <v>3</v>
      </c>
      <c r="HR89" s="446">
        <v>1</v>
      </c>
      <c r="HS89" s="446">
        <v>0</v>
      </c>
      <c r="HT89" s="446">
        <v>0</v>
      </c>
      <c r="HU89" s="446">
        <v>0</v>
      </c>
      <c r="HV89" s="447">
        <v>4</v>
      </c>
      <c r="HW89" s="544"/>
      <c r="HX89" s="448"/>
    </row>
    <row r="90" spans="1:232">
      <c r="A90" s="5682">
        <v>1</v>
      </c>
      <c r="B90" s="5682">
        <v>4</v>
      </c>
      <c r="C90" s="5683" t="s">
        <v>1456</v>
      </c>
      <c r="D90" s="5683" t="s">
        <v>2709</v>
      </c>
      <c r="E90" s="5682">
        <v>1</v>
      </c>
      <c r="F90" s="5682">
        <v>8</v>
      </c>
      <c r="I90" s="4915"/>
      <c r="J90" s="4915"/>
      <c r="K90" s="4932" t="s">
        <v>2754</v>
      </c>
      <c r="L90" s="4916"/>
      <c r="M90" s="4936">
        <f>SUM(M75,M83)</f>
        <v>2</v>
      </c>
      <c r="N90" s="4915"/>
      <c r="O90" s="157"/>
      <c r="Q90" s="4705">
        <v>2</v>
      </c>
      <c r="R90" s="4705">
        <v>1</v>
      </c>
      <c r="S90" s="4706" t="s">
        <v>119</v>
      </c>
      <c r="T90" s="4706" t="s">
        <v>2709</v>
      </c>
      <c r="U90" s="4707">
        <v>2</v>
      </c>
      <c r="V90" s="4707">
        <v>7</v>
      </c>
      <c r="W90" s="4722"/>
      <c r="Y90" s="36"/>
      <c r="Z90" s="36"/>
      <c r="AA90" s="36"/>
      <c r="AB90" s="36">
        <v>22</v>
      </c>
      <c r="AC90" s="1681"/>
      <c r="AD90" s="1681"/>
      <c r="AE90" s="1681"/>
      <c r="AF90" s="1681">
        <v>1</v>
      </c>
      <c r="AG90" s="1681">
        <v>0</v>
      </c>
      <c r="AH90" s="1681">
        <v>0</v>
      </c>
      <c r="AI90" s="1681"/>
      <c r="AJ90" s="1681">
        <v>0</v>
      </c>
      <c r="AK90" s="1681">
        <v>0</v>
      </c>
      <c r="AL90" s="95">
        <v>0</v>
      </c>
      <c r="AM90" s="95">
        <v>1</v>
      </c>
      <c r="AN90" s="4545"/>
      <c r="AR90" s="3868" t="s">
        <v>1457</v>
      </c>
      <c r="AS90" s="3868" t="s">
        <v>1071</v>
      </c>
      <c r="AT90" s="3721"/>
      <c r="AU90" s="3721"/>
      <c r="AV90" s="3721"/>
      <c r="AW90" s="3721"/>
      <c r="AX90" s="3721"/>
      <c r="AY90" s="3721">
        <v>1</v>
      </c>
      <c r="AZ90" s="3721">
        <v>0</v>
      </c>
      <c r="BA90" s="3721"/>
      <c r="BB90" s="3721">
        <v>0</v>
      </c>
      <c r="BC90" s="2110"/>
      <c r="BD90" s="2110"/>
      <c r="BE90" s="2110">
        <v>1</v>
      </c>
      <c r="BF90" s="2110"/>
      <c r="BG90" s="2110"/>
      <c r="BJ90" s="1520"/>
      <c r="BK90" s="1520" t="s">
        <v>1080</v>
      </c>
      <c r="BL90" s="3872"/>
      <c r="BM90" s="3872"/>
      <c r="BN90" s="3872"/>
      <c r="BO90" s="3872">
        <v>0</v>
      </c>
      <c r="BP90" s="3872">
        <v>0</v>
      </c>
      <c r="BQ90" s="3872">
        <v>0</v>
      </c>
      <c r="BR90" s="3872">
        <v>19</v>
      </c>
      <c r="BS90" s="3872"/>
      <c r="BT90" s="3806"/>
      <c r="BU90" s="3806">
        <v>19</v>
      </c>
      <c r="BV90" s="1520"/>
      <c r="BX90" s="36"/>
      <c r="BY90" s="36"/>
      <c r="BZ90" s="393"/>
      <c r="CA90" s="393" t="s">
        <v>484</v>
      </c>
      <c r="CB90" s="1682"/>
      <c r="CC90" s="1682">
        <v>1</v>
      </c>
      <c r="CD90" s="1682"/>
      <c r="CE90" s="1682"/>
      <c r="CF90" s="1682">
        <v>1</v>
      </c>
      <c r="CG90" s="1682">
        <v>4</v>
      </c>
      <c r="CH90" s="1682">
        <v>3</v>
      </c>
      <c r="CI90" s="1682">
        <v>7</v>
      </c>
      <c r="CJ90" s="2041"/>
      <c r="CK90" s="2041"/>
      <c r="CL90" s="2041">
        <v>16</v>
      </c>
      <c r="CM90" s="560">
        <f>+(CL89+CL86)/CL90</f>
        <v>0.1875</v>
      </c>
      <c r="CN90" s="1665"/>
      <c r="CO90" s="37"/>
      <c r="CP90" s="37"/>
      <c r="CQ90" s="37" t="s">
        <v>2271</v>
      </c>
      <c r="CR90" s="37" t="s">
        <v>1072</v>
      </c>
      <c r="CS90" s="1678"/>
      <c r="CT90" s="1678"/>
      <c r="CU90" s="1678"/>
      <c r="CV90" s="1678"/>
      <c r="CW90" s="1678"/>
      <c r="CX90" s="1678"/>
      <c r="CY90" s="1678">
        <v>1</v>
      </c>
      <c r="CZ90" s="1678">
        <v>1</v>
      </c>
      <c r="DA90" s="1678">
        <v>0</v>
      </c>
      <c r="DB90" s="63">
        <v>0</v>
      </c>
      <c r="DC90" s="63"/>
      <c r="DD90" s="63">
        <v>2</v>
      </c>
      <c r="DG90" s="95" t="s">
        <v>25</v>
      </c>
      <c r="DH90" s="95" t="s">
        <v>4</v>
      </c>
      <c r="DI90" s="36" t="s">
        <v>119</v>
      </c>
      <c r="DJ90" s="36" t="s">
        <v>1072</v>
      </c>
      <c r="DK90" s="1484"/>
      <c r="DL90" s="1484"/>
      <c r="DM90" s="1484"/>
      <c r="DN90" s="1484">
        <v>1</v>
      </c>
      <c r="DO90" s="1484">
        <v>0</v>
      </c>
      <c r="DP90" s="1484"/>
      <c r="DQ90" s="1484"/>
      <c r="DR90" s="1484">
        <v>1</v>
      </c>
      <c r="DS90" s="1484">
        <v>0</v>
      </c>
      <c r="DT90" s="95">
        <v>0</v>
      </c>
      <c r="DU90" s="95">
        <v>0</v>
      </c>
      <c r="DV90" s="95">
        <v>2</v>
      </c>
      <c r="DW90" s="95"/>
      <c r="DY90" s="1209"/>
      <c r="DZ90" s="1209"/>
      <c r="EA90" s="1210" t="s">
        <v>105</v>
      </c>
      <c r="EB90" s="1211" t="s">
        <v>1071</v>
      </c>
      <c r="EC90" s="1213">
        <v>0</v>
      </c>
      <c r="ED90" s="1213">
        <v>0</v>
      </c>
      <c r="EE90" s="1213">
        <v>0</v>
      </c>
      <c r="EF90" s="1213">
        <v>0</v>
      </c>
      <c r="EG90" s="1213">
        <v>0</v>
      </c>
      <c r="EH90" s="1213">
        <v>2</v>
      </c>
      <c r="EI90" s="1213">
        <v>3</v>
      </c>
      <c r="EJ90" s="1213">
        <v>7</v>
      </c>
      <c r="EK90" s="611"/>
      <c r="EL90" s="612">
        <v>0</v>
      </c>
      <c r="EM90" s="612">
        <v>12</v>
      </c>
      <c r="EN90" s="36"/>
      <c r="EP90" s="527"/>
      <c r="EQ90" s="527"/>
      <c r="ER90" s="528"/>
      <c r="ES90" s="529" t="s">
        <v>1074</v>
      </c>
      <c r="ET90" s="531">
        <v>2</v>
      </c>
      <c r="EU90" s="530"/>
      <c r="EV90" s="530"/>
      <c r="EW90" s="530"/>
      <c r="EX90" s="530"/>
      <c r="EY90" s="531">
        <v>0</v>
      </c>
      <c r="EZ90" s="531">
        <v>0</v>
      </c>
      <c r="FA90" s="531">
        <v>0</v>
      </c>
      <c r="FB90" s="532">
        <v>0</v>
      </c>
      <c r="FC90" s="532">
        <v>0</v>
      </c>
      <c r="FD90" s="532">
        <v>2</v>
      </c>
      <c r="FE90" s="95"/>
      <c r="FG90" s="533"/>
      <c r="FH90" s="533"/>
      <c r="FI90" s="533"/>
      <c r="FJ90" s="534" t="s">
        <v>1072</v>
      </c>
      <c r="FK90" s="536">
        <v>1</v>
      </c>
      <c r="FL90" s="535"/>
      <c r="FM90" s="535"/>
      <c r="FN90" s="535"/>
      <c r="FO90" s="535"/>
      <c r="FP90" s="536">
        <v>0</v>
      </c>
      <c r="FQ90" s="535"/>
      <c r="FR90" s="536">
        <v>0</v>
      </c>
      <c r="FS90" s="536">
        <v>0</v>
      </c>
      <c r="FT90" s="537"/>
      <c r="FU90" s="538">
        <v>0</v>
      </c>
      <c r="FV90" s="538">
        <v>1</v>
      </c>
      <c r="FW90" s="539"/>
      <c r="FY90" s="540"/>
      <c r="FZ90" s="540"/>
      <c r="GA90" s="540"/>
      <c r="GB90" s="541" t="s">
        <v>1077</v>
      </c>
      <c r="GC90" s="542"/>
      <c r="GD90" s="542"/>
      <c r="GE90" s="542"/>
      <c r="GF90" s="542"/>
      <c r="GG90" s="543">
        <v>1</v>
      </c>
      <c r="GH90" s="543">
        <v>1</v>
      </c>
      <c r="GI90" s="543">
        <v>0</v>
      </c>
      <c r="GJ90" s="543">
        <v>0</v>
      </c>
      <c r="GK90" s="542"/>
      <c r="GL90" s="542"/>
      <c r="GM90" s="543">
        <v>2</v>
      </c>
      <c r="GN90" s="445"/>
      <c r="GP90" s="63"/>
      <c r="GQ90" s="63"/>
      <c r="GR90" s="37"/>
      <c r="GS90" s="416" t="s">
        <v>15</v>
      </c>
      <c r="GT90" s="386"/>
      <c r="GU90" s="386"/>
      <c r="GV90" s="386"/>
      <c r="GW90" s="386"/>
      <c r="GX90" s="386"/>
      <c r="GY90" s="386"/>
      <c r="GZ90" s="386">
        <v>9</v>
      </c>
      <c r="HA90" s="386"/>
      <c r="HB90" s="386">
        <v>1</v>
      </c>
      <c r="HC90" s="386"/>
      <c r="HD90" s="386">
        <v>10</v>
      </c>
      <c r="HE90" s="466">
        <f>+(HD86+HD88+HD89)/HD90</f>
        <v>0.9</v>
      </c>
      <c r="HF90" s="37"/>
      <c r="HG90" s="446"/>
      <c r="HH90" s="446"/>
      <c r="HI90" s="446"/>
      <c r="HJ90" s="449" t="s">
        <v>15</v>
      </c>
      <c r="HK90" s="449">
        <v>0</v>
      </c>
      <c r="HL90" s="449">
        <v>0</v>
      </c>
      <c r="HM90" s="449">
        <v>0</v>
      </c>
      <c r="HN90" s="449">
        <v>1</v>
      </c>
      <c r="HO90" s="449">
        <v>1</v>
      </c>
      <c r="HP90" s="449">
        <v>1</v>
      </c>
      <c r="HQ90" s="449">
        <v>8</v>
      </c>
      <c r="HR90" s="449">
        <v>15</v>
      </c>
      <c r="HS90" s="449">
        <v>54</v>
      </c>
      <c r="HT90" s="449">
        <v>0</v>
      </c>
      <c r="HU90" s="449">
        <v>0</v>
      </c>
      <c r="HV90" s="507">
        <v>80</v>
      </c>
      <c r="HW90" s="554">
        <f>+(HV89+HV86)/HV90</f>
        <v>7.4999999999999997E-2</v>
      </c>
      <c r="HX90" s="448">
        <f>+HV86+HV89</f>
        <v>6</v>
      </c>
    </row>
    <row r="91" spans="1:232">
      <c r="A91" s="5682"/>
      <c r="B91" s="5682"/>
      <c r="C91" s="5683"/>
      <c r="D91" s="5683"/>
      <c r="E91" s="5686">
        <f>SUM(E85:E90)</f>
        <v>7</v>
      </c>
      <c r="F91" s="5682"/>
      <c r="G91" s="4921">
        <f>(E86)/(E91)</f>
        <v>0.14285714285714285</v>
      </c>
      <c r="I91" s="4915"/>
      <c r="J91" s="4915"/>
      <c r="K91" s="4929" t="s">
        <v>21</v>
      </c>
      <c r="L91" s="4926"/>
      <c r="M91" s="4929">
        <f>SUM(M89,M85,M81,M78)</f>
        <v>19</v>
      </c>
      <c r="N91" s="4925"/>
      <c r="O91" s="4934">
        <f>M90/M91</f>
        <v>0.10526315789473684</v>
      </c>
      <c r="Q91" s="4705">
        <v>2</v>
      </c>
      <c r="R91" s="4705">
        <v>1</v>
      </c>
      <c r="S91" s="4706" t="s">
        <v>119</v>
      </c>
      <c r="T91" s="4706" t="s">
        <v>2709</v>
      </c>
      <c r="U91" s="4707">
        <v>2</v>
      </c>
      <c r="V91" s="4707">
        <v>8</v>
      </c>
      <c r="W91" s="4722"/>
      <c r="X91" s="4452"/>
      <c r="Y91" s="36"/>
      <c r="Z91" s="36"/>
      <c r="AA91" s="36"/>
      <c r="AB91" s="36" t="s">
        <v>15</v>
      </c>
      <c r="AC91" s="1681"/>
      <c r="AD91" s="1681"/>
      <c r="AE91" s="1681"/>
      <c r="AF91" s="1681">
        <v>1</v>
      </c>
      <c r="AG91" s="1681">
        <v>1</v>
      </c>
      <c r="AH91" s="1681">
        <v>1</v>
      </c>
      <c r="AI91" s="1681"/>
      <c r="AJ91" s="1681">
        <v>4</v>
      </c>
      <c r="AK91" s="1681">
        <v>2</v>
      </c>
      <c r="AL91" s="95">
        <v>1</v>
      </c>
      <c r="AM91" s="95">
        <v>10</v>
      </c>
      <c r="AN91" s="560">
        <f>+AH89/AM91</f>
        <v>0.1</v>
      </c>
      <c r="AS91" s="3868" t="s">
        <v>1072</v>
      </c>
      <c r="AT91" s="3721"/>
      <c r="AU91" s="3721"/>
      <c r="AV91" s="3721"/>
      <c r="AW91" s="3721"/>
      <c r="AX91" s="3721"/>
      <c r="AY91" s="3721">
        <v>1</v>
      </c>
      <c r="AZ91" s="3721">
        <v>1</v>
      </c>
      <c r="BA91" s="3721"/>
      <c r="BB91" s="3721">
        <v>0</v>
      </c>
      <c r="BC91" s="2110"/>
      <c r="BD91" s="2110"/>
      <c r="BE91" s="2110">
        <v>2</v>
      </c>
      <c r="BF91" s="2110"/>
      <c r="BG91" s="2110"/>
      <c r="BJ91" s="1520"/>
      <c r="BK91" s="1520" t="s">
        <v>484</v>
      </c>
      <c r="BL91" s="3872"/>
      <c r="BM91" s="3872"/>
      <c r="BN91" s="3872"/>
      <c r="BO91" s="3872">
        <v>1</v>
      </c>
      <c r="BP91" s="3872">
        <v>1</v>
      </c>
      <c r="BQ91" s="3872">
        <v>1</v>
      </c>
      <c r="BR91" s="3872">
        <v>19</v>
      </c>
      <c r="BS91" s="3872"/>
      <c r="BT91" s="3806"/>
      <c r="BU91" s="3806">
        <v>22</v>
      </c>
      <c r="BV91" s="3807">
        <v>0</v>
      </c>
      <c r="BX91" s="36"/>
      <c r="BY91" s="36"/>
      <c r="BZ91" s="393" t="s">
        <v>105</v>
      </c>
      <c r="CA91" s="393" t="s">
        <v>1071</v>
      </c>
      <c r="CB91" s="1682">
        <v>0</v>
      </c>
      <c r="CC91" s="1682">
        <v>0</v>
      </c>
      <c r="CD91" s="1682">
        <v>0</v>
      </c>
      <c r="CE91" s="1682">
        <v>0</v>
      </c>
      <c r="CF91" s="1682">
        <v>0</v>
      </c>
      <c r="CG91" s="1682">
        <v>1</v>
      </c>
      <c r="CH91" s="1682">
        <v>3</v>
      </c>
      <c r="CI91" s="1682">
        <v>5</v>
      </c>
      <c r="CJ91" s="2041">
        <v>0</v>
      </c>
      <c r="CK91" s="2041">
        <v>0</v>
      </c>
      <c r="CL91" s="2041">
        <v>9</v>
      </c>
      <c r="CM91" s="36"/>
      <c r="CO91" s="37"/>
      <c r="CP91" s="37"/>
      <c r="CQ91" s="37"/>
      <c r="CR91" s="37" t="s">
        <v>1080</v>
      </c>
      <c r="CS91" s="1678"/>
      <c r="CT91" s="1678"/>
      <c r="CU91" s="1678"/>
      <c r="CV91" s="1678"/>
      <c r="CW91" s="1678"/>
      <c r="CX91" s="1678"/>
      <c r="CY91" s="1678">
        <v>0</v>
      </c>
      <c r="CZ91" s="1678">
        <v>0</v>
      </c>
      <c r="DA91" s="1678">
        <v>4</v>
      </c>
      <c r="DB91" s="63">
        <v>1</v>
      </c>
      <c r="DC91" s="63"/>
      <c r="DD91" s="63">
        <v>5</v>
      </c>
      <c r="DG91" s="95"/>
      <c r="DH91" s="95"/>
      <c r="DI91" s="36"/>
      <c r="DJ91" s="36" t="s">
        <v>1077</v>
      </c>
      <c r="DK91" s="1484"/>
      <c r="DL91" s="1484"/>
      <c r="DM91" s="1484"/>
      <c r="DN91" s="1484">
        <v>0</v>
      </c>
      <c r="DO91" s="1484">
        <v>2</v>
      </c>
      <c r="DP91" s="1484"/>
      <c r="DQ91" s="1484"/>
      <c r="DR91" s="1484">
        <v>0</v>
      </c>
      <c r="DS91" s="1484">
        <v>0</v>
      </c>
      <c r="DT91" s="95">
        <v>0</v>
      </c>
      <c r="DU91" s="95">
        <v>0</v>
      </c>
      <c r="DV91" s="95">
        <v>2</v>
      </c>
      <c r="DW91" s="95"/>
      <c r="DY91" s="1209"/>
      <c r="DZ91" s="1209"/>
      <c r="EA91" s="1210"/>
      <c r="EB91" s="1211" t="s">
        <v>1072</v>
      </c>
      <c r="EC91" s="1213">
        <v>1</v>
      </c>
      <c r="ED91" s="1213">
        <v>1</v>
      </c>
      <c r="EE91" s="1213">
        <v>3</v>
      </c>
      <c r="EF91" s="1213">
        <v>3</v>
      </c>
      <c r="EG91" s="1213">
        <v>7</v>
      </c>
      <c r="EH91" s="1213">
        <v>29</v>
      </c>
      <c r="EI91" s="1213">
        <v>15</v>
      </c>
      <c r="EJ91" s="1213">
        <v>0</v>
      </c>
      <c r="EK91" s="611"/>
      <c r="EL91" s="612">
        <v>0</v>
      </c>
      <c r="EM91" s="612">
        <v>59</v>
      </c>
      <c r="EN91" s="36"/>
      <c r="EP91" s="527"/>
      <c r="EQ91" s="527"/>
      <c r="ER91" s="528"/>
      <c r="ES91" s="529" t="s">
        <v>1076</v>
      </c>
      <c r="ET91" s="531">
        <v>0</v>
      </c>
      <c r="EU91" s="530"/>
      <c r="EV91" s="530"/>
      <c r="EW91" s="530"/>
      <c r="EX91" s="530"/>
      <c r="EY91" s="531">
        <v>1</v>
      </c>
      <c r="EZ91" s="531">
        <v>1</v>
      </c>
      <c r="FA91" s="531">
        <v>3</v>
      </c>
      <c r="FB91" s="532">
        <v>0</v>
      </c>
      <c r="FC91" s="532">
        <v>0</v>
      </c>
      <c r="FD91" s="532">
        <v>5</v>
      </c>
      <c r="FE91" s="95"/>
      <c r="FG91" s="533"/>
      <c r="FH91" s="533"/>
      <c r="FI91" s="533"/>
      <c r="FJ91" s="534" t="s">
        <v>1076</v>
      </c>
      <c r="FK91" s="536">
        <v>0</v>
      </c>
      <c r="FL91" s="535"/>
      <c r="FM91" s="535"/>
      <c r="FN91" s="535"/>
      <c r="FO91" s="535"/>
      <c r="FP91" s="536">
        <v>0</v>
      </c>
      <c r="FQ91" s="535"/>
      <c r="FR91" s="536">
        <v>2</v>
      </c>
      <c r="FS91" s="536">
        <v>0</v>
      </c>
      <c r="FT91" s="537"/>
      <c r="FU91" s="538">
        <v>0</v>
      </c>
      <c r="FV91" s="538">
        <v>2</v>
      </c>
      <c r="FW91" s="539"/>
      <c r="FY91" s="540"/>
      <c r="FZ91" s="540"/>
      <c r="GA91" s="540"/>
      <c r="GB91" s="541" t="s">
        <v>1080</v>
      </c>
      <c r="GC91" s="542"/>
      <c r="GD91" s="542"/>
      <c r="GE91" s="542"/>
      <c r="GF91" s="542"/>
      <c r="GG91" s="543">
        <v>0</v>
      </c>
      <c r="GH91" s="543">
        <v>0</v>
      </c>
      <c r="GI91" s="543">
        <v>0</v>
      </c>
      <c r="GJ91" s="543">
        <v>1</v>
      </c>
      <c r="GK91" s="542"/>
      <c r="GL91" s="542"/>
      <c r="GM91" s="543">
        <v>1</v>
      </c>
      <c r="GN91" s="445"/>
      <c r="GP91" s="63"/>
      <c r="GQ91" s="63" t="s">
        <v>41</v>
      </c>
      <c r="GR91" s="37" t="s">
        <v>128</v>
      </c>
      <c r="GS91" s="37" t="s">
        <v>1071</v>
      </c>
      <c r="GT91" s="63"/>
      <c r="GU91" s="63">
        <v>0</v>
      </c>
      <c r="GV91" s="63"/>
      <c r="GW91" s="63"/>
      <c r="GX91" s="63"/>
      <c r="GY91" s="63">
        <v>0</v>
      </c>
      <c r="GZ91" s="63">
        <v>0</v>
      </c>
      <c r="HA91" s="63">
        <v>1</v>
      </c>
      <c r="HB91" s="63"/>
      <c r="HC91" s="63"/>
      <c r="HD91" s="63">
        <v>1</v>
      </c>
      <c r="HE91" s="37"/>
      <c r="HF91" s="37"/>
      <c r="HG91" s="446"/>
      <c r="HH91" s="446"/>
      <c r="HI91" s="446" t="s">
        <v>126</v>
      </c>
      <c r="HJ91" s="446" t="s">
        <v>1072</v>
      </c>
      <c r="HK91" s="446">
        <v>0</v>
      </c>
      <c r="HL91" s="446">
        <v>0</v>
      </c>
      <c r="HM91" s="446">
        <v>1</v>
      </c>
      <c r="HN91" s="446">
        <v>0</v>
      </c>
      <c r="HO91" s="446">
        <v>0</v>
      </c>
      <c r="HP91" s="446">
        <v>0</v>
      </c>
      <c r="HQ91" s="446">
        <v>2</v>
      </c>
      <c r="HR91" s="446">
        <v>2</v>
      </c>
      <c r="HS91" s="446">
        <v>0</v>
      </c>
      <c r="HT91" s="446">
        <v>0</v>
      </c>
      <c r="HU91" s="446">
        <v>0</v>
      </c>
      <c r="HV91" s="447">
        <v>5</v>
      </c>
      <c r="HW91" s="544"/>
      <c r="HX91" s="448"/>
    </row>
    <row r="92" spans="1:232">
      <c r="A92" s="5682">
        <v>1</v>
      </c>
      <c r="B92" s="5682">
        <v>4</v>
      </c>
      <c r="C92" s="5683" t="s">
        <v>1457</v>
      </c>
      <c r="D92" s="5683" t="s">
        <v>2731</v>
      </c>
      <c r="E92" s="5682">
        <v>4</v>
      </c>
      <c r="F92" s="5682">
        <v>10</v>
      </c>
      <c r="I92" s="4915"/>
      <c r="J92" s="4915"/>
      <c r="K92" s="4932" t="s">
        <v>2754</v>
      </c>
      <c r="L92" s="4938"/>
      <c r="M92" s="4941">
        <f>SUM(M40,M71,M90)</f>
        <v>14</v>
      </c>
      <c r="N92" s="4939"/>
      <c r="O92" s="4940"/>
      <c r="Q92" s="4705"/>
      <c r="R92" s="4705"/>
      <c r="S92" s="4706"/>
      <c r="T92" s="4706"/>
      <c r="U92" s="4741">
        <f>SUM(U85:U91)</f>
        <v>19</v>
      </c>
      <c r="V92" s="4741"/>
      <c r="W92" s="4722">
        <f>(U89)/(U92)</f>
        <v>5.2631578947368418E-2</v>
      </c>
      <c r="Y92" s="36"/>
      <c r="Z92" s="36"/>
      <c r="AA92" s="36" t="s">
        <v>388</v>
      </c>
      <c r="AB92" s="36" t="s">
        <v>1071</v>
      </c>
      <c r="AC92" s="1681">
        <v>0</v>
      </c>
      <c r="AD92" s="1681"/>
      <c r="AE92" s="1681">
        <v>0</v>
      </c>
      <c r="AF92" s="1681"/>
      <c r="AG92" s="1681"/>
      <c r="AH92" s="1681">
        <v>0</v>
      </c>
      <c r="AI92" s="1681">
        <v>0</v>
      </c>
      <c r="AJ92" s="1681">
        <v>0</v>
      </c>
      <c r="AK92" s="1681"/>
      <c r="AL92" s="95">
        <v>1</v>
      </c>
      <c r="AM92" s="95">
        <v>1</v>
      </c>
      <c r="AN92" s="4545"/>
      <c r="AS92" s="3868" t="s">
        <v>1080</v>
      </c>
      <c r="AT92" s="3721"/>
      <c r="AU92" s="3721"/>
      <c r="AV92" s="3721"/>
      <c r="AW92" s="3721"/>
      <c r="AX92" s="3721"/>
      <c r="AY92" s="3721">
        <v>0</v>
      </c>
      <c r="AZ92" s="3721">
        <v>0</v>
      </c>
      <c r="BA92" s="3721"/>
      <c r="BB92" s="3721">
        <v>2</v>
      </c>
      <c r="BC92" s="2110"/>
      <c r="BD92" s="2110"/>
      <c r="BE92" s="2110">
        <v>2</v>
      </c>
      <c r="BF92" s="2110"/>
      <c r="BG92" s="2110"/>
      <c r="BJ92" s="1520" t="s">
        <v>105</v>
      </c>
      <c r="BK92" s="1520" t="s">
        <v>1071</v>
      </c>
      <c r="BL92" s="3872">
        <v>0</v>
      </c>
      <c r="BM92" s="3872">
        <v>0</v>
      </c>
      <c r="BN92" s="3872">
        <v>0</v>
      </c>
      <c r="BO92" s="3872">
        <v>2</v>
      </c>
      <c r="BP92" s="3872">
        <v>0</v>
      </c>
      <c r="BQ92" s="3872">
        <v>0</v>
      </c>
      <c r="BR92" s="3872">
        <v>6</v>
      </c>
      <c r="BS92" s="3872">
        <v>0</v>
      </c>
      <c r="BT92" s="3806">
        <v>2</v>
      </c>
      <c r="BU92" s="3806">
        <v>10</v>
      </c>
      <c r="BV92" s="1520"/>
      <c r="BX92" s="36"/>
      <c r="BY92" s="36"/>
      <c r="BZ92" s="393"/>
      <c r="CA92" s="393" t="s">
        <v>1072</v>
      </c>
      <c r="CB92" s="1682">
        <v>2</v>
      </c>
      <c r="CC92" s="1682">
        <v>1</v>
      </c>
      <c r="CD92" s="1682">
        <v>1</v>
      </c>
      <c r="CE92" s="1682">
        <v>1</v>
      </c>
      <c r="CF92" s="1682">
        <v>0</v>
      </c>
      <c r="CG92" s="1682">
        <v>23</v>
      </c>
      <c r="CH92" s="1682">
        <v>17</v>
      </c>
      <c r="CI92" s="1682">
        <v>1</v>
      </c>
      <c r="CJ92" s="2041">
        <v>1</v>
      </c>
      <c r="CK92" s="2041">
        <v>0</v>
      </c>
      <c r="CL92" s="2041">
        <v>47</v>
      </c>
      <c r="CM92" s="36"/>
      <c r="CO92" s="37"/>
      <c r="CP92" s="37"/>
      <c r="CQ92" s="37"/>
      <c r="CR92" s="416" t="s">
        <v>15</v>
      </c>
      <c r="CS92" s="1679"/>
      <c r="CT92" s="1679"/>
      <c r="CU92" s="1679"/>
      <c r="CV92" s="1679"/>
      <c r="CW92" s="1679"/>
      <c r="CX92" s="1679"/>
      <c r="CY92" s="1679">
        <v>1</v>
      </c>
      <c r="CZ92" s="1679">
        <v>1</v>
      </c>
      <c r="DA92" s="1679">
        <v>4</v>
      </c>
      <c r="DB92" s="386">
        <v>1</v>
      </c>
      <c r="DC92" s="386"/>
      <c r="DD92" s="386">
        <v>7</v>
      </c>
      <c r="DE92" s="2045">
        <v>0</v>
      </c>
      <c r="DG92" s="95"/>
      <c r="DH92" s="95"/>
      <c r="DI92" s="36"/>
      <c r="DJ92" s="36" t="s">
        <v>1080</v>
      </c>
      <c r="DK92" s="1484"/>
      <c r="DL92" s="1484"/>
      <c r="DM92" s="1484"/>
      <c r="DN92" s="1484">
        <v>0</v>
      </c>
      <c r="DO92" s="1484">
        <v>0</v>
      </c>
      <c r="DP92" s="1484"/>
      <c r="DQ92" s="1484"/>
      <c r="DR92" s="1484">
        <v>0</v>
      </c>
      <c r="DS92" s="1484">
        <v>4</v>
      </c>
      <c r="DT92" s="95">
        <v>1</v>
      </c>
      <c r="DU92" s="95">
        <v>1</v>
      </c>
      <c r="DV92" s="95">
        <v>6</v>
      </c>
      <c r="DW92" s="95"/>
      <c r="DY92" s="1209"/>
      <c r="DZ92" s="1209"/>
      <c r="EA92" s="1210"/>
      <c r="EB92" s="1211" t="s">
        <v>1074</v>
      </c>
      <c r="EC92" s="1213">
        <v>1</v>
      </c>
      <c r="ED92" s="1213">
        <v>1</v>
      </c>
      <c r="EE92" s="1213">
        <v>1</v>
      </c>
      <c r="EF92" s="1213">
        <v>0</v>
      </c>
      <c r="EG92" s="1213">
        <v>0</v>
      </c>
      <c r="EH92" s="1213">
        <v>0</v>
      </c>
      <c r="EI92" s="1213">
        <v>0</v>
      </c>
      <c r="EJ92" s="1213">
        <v>0</v>
      </c>
      <c r="EK92" s="611"/>
      <c r="EL92" s="612">
        <v>0</v>
      </c>
      <c r="EM92" s="612">
        <v>3</v>
      </c>
      <c r="EN92" s="36"/>
      <c r="EP92" s="527"/>
      <c r="EQ92" s="527"/>
      <c r="ER92" s="528"/>
      <c r="ES92" s="529" t="s">
        <v>1080</v>
      </c>
      <c r="ET92" s="531">
        <v>0</v>
      </c>
      <c r="EU92" s="530"/>
      <c r="EV92" s="530"/>
      <c r="EW92" s="530"/>
      <c r="EX92" s="530"/>
      <c r="EY92" s="531">
        <v>0</v>
      </c>
      <c r="EZ92" s="531">
        <v>0</v>
      </c>
      <c r="FA92" s="531">
        <v>1</v>
      </c>
      <c r="FB92" s="532">
        <v>0</v>
      </c>
      <c r="FC92" s="532">
        <v>1</v>
      </c>
      <c r="FD92" s="532">
        <v>2</v>
      </c>
      <c r="FE92" s="95"/>
      <c r="FG92" s="533"/>
      <c r="FH92" s="533"/>
      <c r="FI92" s="533"/>
      <c r="FJ92" s="534" t="s">
        <v>1080</v>
      </c>
      <c r="FK92" s="536">
        <v>0</v>
      </c>
      <c r="FL92" s="535"/>
      <c r="FM92" s="535"/>
      <c r="FN92" s="535"/>
      <c r="FO92" s="535"/>
      <c r="FP92" s="536">
        <v>0</v>
      </c>
      <c r="FQ92" s="535"/>
      <c r="FR92" s="536">
        <v>0</v>
      </c>
      <c r="FS92" s="536">
        <v>3</v>
      </c>
      <c r="FT92" s="537"/>
      <c r="FU92" s="538">
        <v>0</v>
      </c>
      <c r="FV92" s="538">
        <v>3</v>
      </c>
      <c r="FW92" s="539"/>
      <c r="FY92" s="540"/>
      <c r="FZ92" s="540"/>
      <c r="GA92" s="540"/>
      <c r="GB92" s="541" t="s">
        <v>1163</v>
      </c>
      <c r="GC92" s="542"/>
      <c r="GD92" s="542"/>
      <c r="GE92" s="542"/>
      <c r="GF92" s="542"/>
      <c r="GG92" s="543">
        <v>0</v>
      </c>
      <c r="GH92" s="543">
        <v>1</v>
      </c>
      <c r="GI92" s="543">
        <v>2</v>
      </c>
      <c r="GJ92" s="543">
        <v>0</v>
      </c>
      <c r="GK92" s="542"/>
      <c r="GL92" s="542"/>
      <c r="GM92" s="543">
        <v>3</v>
      </c>
      <c r="GN92" s="445"/>
      <c r="GP92" s="63"/>
      <c r="GQ92" s="63"/>
      <c r="GR92" s="37"/>
      <c r="GS92" s="37" t="s">
        <v>1072</v>
      </c>
      <c r="GT92" s="63"/>
      <c r="GU92" s="63">
        <v>2</v>
      </c>
      <c r="GV92" s="63"/>
      <c r="GW92" s="63"/>
      <c r="GX92" s="63"/>
      <c r="GY92" s="63">
        <v>1</v>
      </c>
      <c r="GZ92" s="63">
        <v>1</v>
      </c>
      <c r="HA92" s="63">
        <v>0</v>
      </c>
      <c r="HB92" s="63"/>
      <c r="HC92" s="63"/>
      <c r="HD92" s="63">
        <v>4</v>
      </c>
      <c r="HE92" s="37"/>
      <c r="HF92" s="37"/>
      <c r="HG92" s="446"/>
      <c r="HH92" s="446"/>
      <c r="HI92" s="446"/>
      <c r="HJ92" s="446" t="s">
        <v>1074</v>
      </c>
      <c r="HK92" s="446">
        <v>0</v>
      </c>
      <c r="HL92" s="446">
        <v>0</v>
      </c>
      <c r="HM92" s="446">
        <v>0</v>
      </c>
      <c r="HN92" s="446">
        <v>1</v>
      </c>
      <c r="HO92" s="446">
        <v>0</v>
      </c>
      <c r="HP92" s="446">
        <v>0</v>
      </c>
      <c r="HQ92" s="446">
        <v>0</v>
      </c>
      <c r="HR92" s="446">
        <v>0</v>
      </c>
      <c r="HS92" s="446">
        <v>0</v>
      </c>
      <c r="HT92" s="446">
        <v>0</v>
      </c>
      <c r="HU92" s="446">
        <v>0</v>
      </c>
      <c r="HV92" s="447">
        <v>1</v>
      </c>
      <c r="HW92" s="544"/>
      <c r="HX92" s="448"/>
    </row>
    <row r="93" spans="1:232">
      <c r="A93" s="5682">
        <v>1</v>
      </c>
      <c r="B93" s="5682">
        <v>4</v>
      </c>
      <c r="C93" s="5683" t="s">
        <v>1457</v>
      </c>
      <c r="D93" s="5683" t="s">
        <v>2709</v>
      </c>
      <c r="E93" s="5682">
        <v>1</v>
      </c>
      <c r="F93" s="5682">
        <v>8</v>
      </c>
      <c r="I93" s="4937"/>
      <c r="J93" s="4937"/>
      <c r="K93" s="4943" t="s">
        <v>3</v>
      </c>
      <c r="L93" s="4943"/>
      <c r="M93" s="4944">
        <f>SUM(M41,M72,M91)</f>
        <v>180</v>
      </c>
      <c r="N93" s="4945"/>
      <c r="O93" s="4946">
        <f>M92/M93</f>
        <v>7.7777777777777779E-2</v>
      </c>
      <c r="Q93" s="4705">
        <v>2</v>
      </c>
      <c r="R93" s="4705">
        <v>1</v>
      </c>
      <c r="S93" s="4706" t="s">
        <v>123</v>
      </c>
      <c r="T93" s="4706" t="s">
        <v>2731</v>
      </c>
      <c r="U93" s="4707">
        <v>4</v>
      </c>
      <c r="V93" s="4707">
        <v>8</v>
      </c>
      <c r="W93" s="4722"/>
      <c r="Y93" s="36"/>
      <c r="Z93" s="36"/>
      <c r="AA93" s="36"/>
      <c r="AB93" s="36" t="s">
        <v>1072</v>
      </c>
      <c r="AC93" s="1681">
        <v>0</v>
      </c>
      <c r="AD93" s="1681"/>
      <c r="AE93" s="1681">
        <v>1</v>
      </c>
      <c r="AF93" s="1681"/>
      <c r="AG93" s="1681"/>
      <c r="AH93" s="1681">
        <v>1</v>
      </c>
      <c r="AI93" s="1681">
        <v>2</v>
      </c>
      <c r="AJ93" s="1681">
        <v>0</v>
      </c>
      <c r="AK93" s="1681"/>
      <c r="AL93" s="95">
        <v>0</v>
      </c>
      <c r="AM93" s="95">
        <v>4</v>
      </c>
      <c r="AN93" s="4545"/>
      <c r="AS93" s="27" t="s">
        <v>15</v>
      </c>
      <c r="AT93" s="3722"/>
      <c r="AU93" s="3722"/>
      <c r="AV93" s="3722"/>
      <c r="AW93" s="3722"/>
      <c r="AX93" s="3722"/>
      <c r="AY93" s="3722">
        <v>2</v>
      </c>
      <c r="AZ93" s="3722">
        <v>1</v>
      </c>
      <c r="BA93" s="3722"/>
      <c r="BB93" s="3722">
        <v>2</v>
      </c>
      <c r="BC93" s="3701"/>
      <c r="BD93" s="3701"/>
      <c r="BE93" s="3701">
        <v>5</v>
      </c>
      <c r="BF93" s="1665">
        <v>0</v>
      </c>
      <c r="BG93" s="1665"/>
      <c r="BJ93" s="1520"/>
      <c r="BK93" s="1520" t="s">
        <v>1072</v>
      </c>
      <c r="BL93" s="3872">
        <v>13</v>
      </c>
      <c r="BM93" s="3872">
        <v>3</v>
      </c>
      <c r="BN93" s="3872">
        <v>3</v>
      </c>
      <c r="BO93" s="3872">
        <v>0</v>
      </c>
      <c r="BP93" s="3872">
        <v>7</v>
      </c>
      <c r="BQ93" s="3872">
        <v>49</v>
      </c>
      <c r="BR93" s="3872">
        <v>16</v>
      </c>
      <c r="BS93" s="3872">
        <v>16</v>
      </c>
      <c r="BT93" s="3806">
        <v>0</v>
      </c>
      <c r="BU93" s="3806">
        <v>107</v>
      </c>
      <c r="BV93" s="1520"/>
      <c r="BX93" s="36"/>
      <c r="BY93" s="36"/>
      <c r="BZ93" s="393"/>
      <c r="CA93" s="393" t="s">
        <v>1074</v>
      </c>
      <c r="CB93" s="1682">
        <v>1</v>
      </c>
      <c r="CC93" s="1682">
        <v>0</v>
      </c>
      <c r="CD93" s="1682">
        <v>0</v>
      </c>
      <c r="CE93" s="1682">
        <v>0</v>
      </c>
      <c r="CF93" s="1682">
        <v>0</v>
      </c>
      <c r="CG93" s="1682">
        <v>0</v>
      </c>
      <c r="CH93" s="1682">
        <v>0</v>
      </c>
      <c r="CI93" s="1682">
        <v>0</v>
      </c>
      <c r="CJ93" s="2041">
        <v>0</v>
      </c>
      <c r="CK93" s="2041">
        <v>0</v>
      </c>
      <c r="CL93" s="2041">
        <v>1</v>
      </c>
      <c r="CM93" s="36"/>
      <c r="CO93" s="37"/>
      <c r="CP93" s="37"/>
      <c r="CQ93" s="37" t="s">
        <v>484</v>
      </c>
      <c r="CR93" s="37" t="s">
        <v>1071</v>
      </c>
      <c r="CS93" s="1678">
        <v>0</v>
      </c>
      <c r="CT93" s="1678">
        <v>0</v>
      </c>
      <c r="CU93" s="1678">
        <v>0</v>
      </c>
      <c r="CV93" s="1678"/>
      <c r="CW93" s="1678">
        <v>0</v>
      </c>
      <c r="CX93" s="1678">
        <v>0</v>
      </c>
      <c r="CY93" s="1678">
        <v>0</v>
      </c>
      <c r="CZ93" s="1678">
        <v>1</v>
      </c>
      <c r="DA93" s="1678">
        <v>0</v>
      </c>
      <c r="DB93" s="63">
        <v>0</v>
      </c>
      <c r="DC93" s="63"/>
      <c r="DD93" s="63">
        <v>1</v>
      </c>
      <c r="DG93" s="95"/>
      <c r="DH93" s="95"/>
      <c r="DI93" s="36"/>
      <c r="DJ93" s="36" t="s">
        <v>1163</v>
      </c>
      <c r="DK93" s="1484"/>
      <c r="DL93" s="1484"/>
      <c r="DM93" s="1484"/>
      <c r="DN93" s="1484">
        <v>0</v>
      </c>
      <c r="DO93" s="1484">
        <v>0</v>
      </c>
      <c r="DP93" s="1484"/>
      <c r="DQ93" s="1484"/>
      <c r="DR93" s="1484">
        <v>0</v>
      </c>
      <c r="DS93" s="1484">
        <v>2</v>
      </c>
      <c r="DT93" s="95">
        <v>0</v>
      </c>
      <c r="DU93" s="95">
        <v>0</v>
      </c>
      <c r="DV93" s="95">
        <v>2</v>
      </c>
      <c r="DW93" s="95"/>
      <c r="DY93" s="1209"/>
      <c r="DZ93" s="1209"/>
      <c r="EA93" s="1210"/>
      <c r="EB93" s="1211" t="s">
        <v>1076</v>
      </c>
      <c r="EC93" s="1213">
        <v>0</v>
      </c>
      <c r="ED93" s="1213">
        <v>0</v>
      </c>
      <c r="EE93" s="1213">
        <v>0</v>
      </c>
      <c r="EF93" s="1213">
        <v>2</v>
      </c>
      <c r="EG93" s="1213">
        <v>1</v>
      </c>
      <c r="EH93" s="1213">
        <v>1</v>
      </c>
      <c r="EI93" s="1213">
        <v>2</v>
      </c>
      <c r="EJ93" s="1213">
        <v>0</v>
      </c>
      <c r="EK93" s="611"/>
      <c r="EL93" s="612">
        <v>0</v>
      </c>
      <c r="EM93" s="612">
        <v>6</v>
      </c>
      <c r="EN93" s="36"/>
      <c r="EP93" s="527"/>
      <c r="EQ93" s="527"/>
      <c r="ER93" s="528"/>
      <c r="ES93" s="529" t="s">
        <v>1163</v>
      </c>
      <c r="ET93" s="531">
        <v>0</v>
      </c>
      <c r="EU93" s="530"/>
      <c r="EV93" s="530"/>
      <c r="EW93" s="530"/>
      <c r="EX93" s="530"/>
      <c r="EY93" s="531">
        <v>0</v>
      </c>
      <c r="EZ93" s="531">
        <v>1</v>
      </c>
      <c r="FA93" s="531">
        <v>0</v>
      </c>
      <c r="FB93" s="532">
        <v>0</v>
      </c>
      <c r="FC93" s="532">
        <v>0</v>
      </c>
      <c r="FD93" s="532">
        <v>1</v>
      </c>
      <c r="FE93" s="95"/>
      <c r="FG93" s="533"/>
      <c r="FH93" s="533"/>
      <c r="FI93" s="533"/>
      <c r="FJ93" s="534" t="s">
        <v>1163</v>
      </c>
      <c r="FK93" s="536">
        <v>0</v>
      </c>
      <c r="FL93" s="535"/>
      <c r="FM93" s="535"/>
      <c r="FN93" s="535"/>
      <c r="FO93" s="535"/>
      <c r="FP93" s="536">
        <v>1</v>
      </c>
      <c r="FQ93" s="535"/>
      <c r="FR93" s="536">
        <v>0</v>
      </c>
      <c r="FS93" s="536">
        <v>0</v>
      </c>
      <c r="FT93" s="537"/>
      <c r="FU93" s="538">
        <v>0</v>
      </c>
      <c r="FV93" s="538">
        <v>1</v>
      </c>
      <c r="FW93" s="539"/>
      <c r="FY93" s="540"/>
      <c r="FZ93" s="540"/>
      <c r="GA93" s="540"/>
      <c r="GB93" s="550" t="s">
        <v>15</v>
      </c>
      <c r="GC93" s="551"/>
      <c r="GD93" s="551"/>
      <c r="GE93" s="551"/>
      <c r="GF93" s="551"/>
      <c r="GG93" s="552">
        <v>1</v>
      </c>
      <c r="GH93" s="552">
        <v>14</v>
      </c>
      <c r="GI93" s="552">
        <v>19</v>
      </c>
      <c r="GJ93" s="552">
        <v>2</v>
      </c>
      <c r="GK93" s="551"/>
      <c r="GL93" s="551"/>
      <c r="GM93" s="552">
        <v>36</v>
      </c>
      <c r="GN93" s="553">
        <f>+(GM92+GM89)/GM93</f>
        <v>0.72222222222222221</v>
      </c>
      <c r="GP93" s="63"/>
      <c r="GQ93" s="63"/>
      <c r="GR93" s="37"/>
      <c r="GS93" s="37" t="s">
        <v>1076</v>
      </c>
      <c r="GT93" s="63"/>
      <c r="GU93" s="63">
        <v>0</v>
      </c>
      <c r="GV93" s="63"/>
      <c r="GW93" s="63"/>
      <c r="GX93" s="63"/>
      <c r="GY93" s="63">
        <v>2</v>
      </c>
      <c r="GZ93" s="63">
        <v>2</v>
      </c>
      <c r="HA93" s="63">
        <v>0</v>
      </c>
      <c r="HB93" s="63"/>
      <c r="HC93" s="63"/>
      <c r="HD93" s="63">
        <v>4</v>
      </c>
      <c r="HE93" s="37"/>
      <c r="HF93" s="37"/>
      <c r="HG93" s="446"/>
      <c r="HH93" s="446"/>
      <c r="HI93" s="446"/>
      <c r="HJ93" s="446" t="s">
        <v>1076</v>
      </c>
      <c r="HK93" s="446">
        <v>0</v>
      </c>
      <c r="HL93" s="446">
        <v>0</v>
      </c>
      <c r="HM93" s="446">
        <v>0</v>
      </c>
      <c r="HN93" s="446">
        <v>0</v>
      </c>
      <c r="HO93" s="446">
        <v>0</v>
      </c>
      <c r="HP93" s="446">
        <v>0</v>
      </c>
      <c r="HQ93" s="446">
        <v>7</v>
      </c>
      <c r="HR93" s="446">
        <v>0</v>
      </c>
      <c r="HS93" s="446">
        <v>0</v>
      </c>
      <c r="HT93" s="446">
        <v>0</v>
      </c>
      <c r="HU93" s="446">
        <v>0</v>
      </c>
      <c r="HV93" s="447">
        <v>7</v>
      </c>
      <c r="HW93" s="544"/>
      <c r="HX93" s="448"/>
    </row>
    <row r="94" spans="1:232">
      <c r="A94" s="5682"/>
      <c r="B94" s="5682"/>
      <c r="C94" s="5683"/>
      <c r="D94" s="5683"/>
      <c r="E94" s="5686">
        <f>SUM(E92:E93)</f>
        <v>5</v>
      </c>
      <c r="F94" s="5682"/>
      <c r="G94" s="4921">
        <v>0</v>
      </c>
      <c r="I94" s="4915">
        <v>2</v>
      </c>
      <c r="J94" s="4915">
        <v>1</v>
      </c>
      <c r="K94" s="4916" t="s">
        <v>119</v>
      </c>
      <c r="L94" s="4916" t="s">
        <v>2731</v>
      </c>
      <c r="M94" s="4915">
        <v>3</v>
      </c>
      <c r="N94" s="4915">
        <v>7</v>
      </c>
      <c r="O94" s="157"/>
      <c r="Q94" s="4705">
        <v>2</v>
      </c>
      <c r="R94" s="4705">
        <v>1</v>
      </c>
      <c r="S94" s="4706" t="s">
        <v>123</v>
      </c>
      <c r="T94" s="4706" t="s">
        <v>2731</v>
      </c>
      <c r="U94" s="4707">
        <v>2</v>
      </c>
      <c r="V94" s="4707">
        <v>9</v>
      </c>
      <c r="W94" s="4722"/>
      <c r="Y94" s="36"/>
      <c r="Z94" s="36"/>
      <c r="AA94" s="36"/>
      <c r="AB94" s="36" t="s">
        <v>1080</v>
      </c>
      <c r="AC94" s="1681">
        <v>0</v>
      </c>
      <c r="AD94" s="1681"/>
      <c r="AE94" s="1681">
        <v>0</v>
      </c>
      <c r="AF94" s="1681"/>
      <c r="AG94" s="1681"/>
      <c r="AH94" s="1681">
        <v>0</v>
      </c>
      <c r="AI94" s="1681">
        <v>0</v>
      </c>
      <c r="AJ94" s="1681">
        <v>6</v>
      </c>
      <c r="AK94" s="1681"/>
      <c r="AL94" s="95">
        <v>0</v>
      </c>
      <c r="AM94" s="95">
        <v>6</v>
      </c>
      <c r="AN94" s="4545"/>
      <c r="AR94" s="3868" t="s">
        <v>1454</v>
      </c>
      <c r="AS94" s="3868" t="s">
        <v>1080</v>
      </c>
      <c r="AT94" s="3721">
        <v>0</v>
      </c>
      <c r="AU94" s="3721"/>
      <c r="AV94" s="3721"/>
      <c r="AW94" s="3721"/>
      <c r="AX94" s="3721"/>
      <c r="AY94" s="3721"/>
      <c r="AZ94" s="3721"/>
      <c r="BA94" s="3721"/>
      <c r="BB94" s="3721">
        <v>8</v>
      </c>
      <c r="BC94" s="2110"/>
      <c r="BD94" s="2110"/>
      <c r="BE94" s="2110">
        <v>8</v>
      </c>
      <c r="BF94" s="2110"/>
      <c r="BG94" s="2110"/>
      <c r="BJ94" s="1520"/>
      <c r="BK94" s="1520" t="s">
        <v>1074</v>
      </c>
      <c r="BL94" s="3872">
        <v>4</v>
      </c>
      <c r="BM94" s="3872">
        <v>2</v>
      </c>
      <c r="BN94" s="3872">
        <v>1</v>
      </c>
      <c r="BO94" s="3872">
        <v>0</v>
      </c>
      <c r="BP94" s="3872">
        <v>0</v>
      </c>
      <c r="BQ94" s="3872">
        <v>0</v>
      </c>
      <c r="BR94" s="3872">
        <v>0</v>
      </c>
      <c r="BS94" s="3872">
        <v>0</v>
      </c>
      <c r="BT94" s="3806">
        <v>0</v>
      </c>
      <c r="BU94" s="3806">
        <v>7</v>
      </c>
      <c r="BV94" s="1520"/>
      <c r="BX94" s="36"/>
      <c r="BY94" s="36"/>
      <c r="BZ94" s="393"/>
      <c r="CA94" s="393" t="s">
        <v>1076</v>
      </c>
      <c r="CB94" s="1682">
        <v>0</v>
      </c>
      <c r="CC94" s="1682">
        <v>0</v>
      </c>
      <c r="CD94" s="1682">
        <v>0</v>
      </c>
      <c r="CE94" s="1682">
        <v>0</v>
      </c>
      <c r="CF94" s="1682">
        <v>1</v>
      </c>
      <c r="CG94" s="1682">
        <v>5</v>
      </c>
      <c r="CH94" s="1682">
        <v>7</v>
      </c>
      <c r="CI94" s="1682">
        <v>1</v>
      </c>
      <c r="CJ94" s="2041">
        <v>0</v>
      </c>
      <c r="CK94" s="2041">
        <v>0</v>
      </c>
      <c r="CL94" s="2041">
        <v>14</v>
      </c>
      <c r="CM94" s="36"/>
      <c r="CO94" s="37"/>
      <c r="CP94" s="37"/>
      <c r="CQ94" s="37"/>
      <c r="CR94" s="37" t="s">
        <v>1072</v>
      </c>
      <c r="CS94" s="1678">
        <v>2</v>
      </c>
      <c r="CT94" s="1678">
        <v>3</v>
      </c>
      <c r="CU94" s="1678">
        <v>0</v>
      </c>
      <c r="CV94" s="1678"/>
      <c r="CW94" s="1678">
        <v>4</v>
      </c>
      <c r="CX94" s="1678">
        <v>6</v>
      </c>
      <c r="CY94" s="1678">
        <v>7</v>
      </c>
      <c r="CZ94" s="1678">
        <v>11</v>
      </c>
      <c r="DA94" s="1678">
        <v>1</v>
      </c>
      <c r="DB94" s="63">
        <v>0</v>
      </c>
      <c r="DC94" s="63"/>
      <c r="DD94" s="63">
        <v>34</v>
      </c>
      <c r="DG94" s="95"/>
      <c r="DH94" s="95"/>
      <c r="DI94" s="36"/>
      <c r="DJ94" s="393" t="s">
        <v>15</v>
      </c>
      <c r="DK94" s="1485"/>
      <c r="DL94" s="1485"/>
      <c r="DM94" s="1485"/>
      <c r="DN94" s="1485">
        <v>1</v>
      </c>
      <c r="DO94" s="1485">
        <v>2</v>
      </c>
      <c r="DP94" s="1485"/>
      <c r="DQ94" s="1485"/>
      <c r="DR94" s="1485">
        <v>1</v>
      </c>
      <c r="DS94" s="1485">
        <v>6</v>
      </c>
      <c r="DT94" s="86">
        <v>1</v>
      </c>
      <c r="DU94" s="86">
        <v>1</v>
      </c>
      <c r="DV94" s="86">
        <v>12</v>
      </c>
      <c r="DW94" s="560">
        <f>+DV93/DV94</f>
        <v>0.16666666666666666</v>
      </c>
      <c r="DY94" s="1209"/>
      <c r="DZ94" s="1209"/>
      <c r="EA94" s="1210"/>
      <c r="EB94" s="1211" t="s">
        <v>1077</v>
      </c>
      <c r="EC94" s="1213">
        <v>0</v>
      </c>
      <c r="ED94" s="1213">
        <v>0</v>
      </c>
      <c r="EE94" s="1213">
        <v>4</v>
      </c>
      <c r="EF94" s="1213">
        <v>7</v>
      </c>
      <c r="EG94" s="1213">
        <v>6</v>
      </c>
      <c r="EH94" s="1213">
        <v>10</v>
      </c>
      <c r="EI94" s="1213">
        <v>0</v>
      </c>
      <c r="EJ94" s="1213">
        <v>0</v>
      </c>
      <c r="EK94" s="611"/>
      <c r="EL94" s="612">
        <v>0</v>
      </c>
      <c r="EM94" s="612">
        <v>27</v>
      </c>
      <c r="EN94" s="36"/>
      <c r="EP94" s="527"/>
      <c r="EQ94" s="527"/>
      <c r="ER94" s="528"/>
      <c r="ES94" s="555" t="s">
        <v>15</v>
      </c>
      <c r="ET94" s="557">
        <v>2</v>
      </c>
      <c r="EU94" s="556"/>
      <c r="EV94" s="556"/>
      <c r="EW94" s="556"/>
      <c r="EX94" s="556"/>
      <c r="EY94" s="557">
        <v>1</v>
      </c>
      <c r="EZ94" s="557">
        <v>2</v>
      </c>
      <c r="FA94" s="557">
        <v>15</v>
      </c>
      <c r="FB94" s="559">
        <v>1</v>
      </c>
      <c r="FC94" s="559">
        <v>5</v>
      </c>
      <c r="FD94" s="559">
        <v>26</v>
      </c>
      <c r="FE94" s="560">
        <f>+(FD91+FD93)/FD94</f>
        <v>0.23076923076923078</v>
      </c>
      <c r="FG94" s="533"/>
      <c r="FH94" s="533"/>
      <c r="FI94" s="533"/>
      <c r="FJ94" s="545" t="s">
        <v>15</v>
      </c>
      <c r="FK94" s="547">
        <v>1</v>
      </c>
      <c r="FL94" s="546"/>
      <c r="FM94" s="546"/>
      <c r="FN94" s="546"/>
      <c r="FO94" s="546"/>
      <c r="FP94" s="547">
        <v>1</v>
      </c>
      <c r="FQ94" s="546"/>
      <c r="FR94" s="547">
        <v>2</v>
      </c>
      <c r="FS94" s="547">
        <v>7</v>
      </c>
      <c r="FT94" s="548"/>
      <c r="FU94" s="549">
        <v>1</v>
      </c>
      <c r="FV94" s="549">
        <v>12</v>
      </c>
      <c r="FW94" s="539">
        <f>+(FV93+FV91)/FV94</f>
        <v>0.25</v>
      </c>
      <c r="FY94" s="540"/>
      <c r="FZ94" s="540"/>
      <c r="GA94" s="540" t="s">
        <v>127</v>
      </c>
      <c r="GB94" s="541" t="s">
        <v>1072</v>
      </c>
      <c r="GC94" s="542"/>
      <c r="GD94" s="542"/>
      <c r="GE94" s="542"/>
      <c r="GF94" s="542"/>
      <c r="GG94" s="542"/>
      <c r="GH94" s="543">
        <v>1</v>
      </c>
      <c r="GI94" s="543">
        <v>2</v>
      </c>
      <c r="GJ94" s="543">
        <v>0</v>
      </c>
      <c r="GK94" s="542"/>
      <c r="GL94" s="542"/>
      <c r="GM94" s="543">
        <v>3</v>
      </c>
      <c r="GN94" s="445"/>
      <c r="GP94" s="63"/>
      <c r="GQ94" s="63"/>
      <c r="GR94" s="37"/>
      <c r="GS94" s="37" t="s">
        <v>1080</v>
      </c>
      <c r="GT94" s="63"/>
      <c r="GU94" s="63">
        <v>0</v>
      </c>
      <c r="GV94" s="63"/>
      <c r="GW94" s="63"/>
      <c r="GX94" s="63"/>
      <c r="GY94" s="63">
        <v>0</v>
      </c>
      <c r="GZ94" s="63">
        <v>0</v>
      </c>
      <c r="HA94" s="63">
        <v>3</v>
      </c>
      <c r="HB94" s="63"/>
      <c r="HC94" s="63"/>
      <c r="HD94" s="63">
        <v>3</v>
      </c>
      <c r="HE94" s="37"/>
      <c r="HF94" s="37"/>
      <c r="HG94" s="446"/>
      <c r="HH94" s="446"/>
      <c r="HI94" s="446"/>
      <c r="HJ94" s="446" t="s">
        <v>1077</v>
      </c>
      <c r="HK94" s="446">
        <v>0</v>
      </c>
      <c r="HL94" s="446">
        <v>0</v>
      </c>
      <c r="HM94" s="446">
        <v>1</v>
      </c>
      <c r="HN94" s="446">
        <v>0</v>
      </c>
      <c r="HO94" s="446">
        <v>0</v>
      </c>
      <c r="HP94" s="446">
        <v>0</v>
      </c>
      <c r="HQ94" s="446">
        <v>0</v>
      </c>
      <c r="HR94" s="446">
        <v>0</v>
      </c>
      <c r="HS94" s="446">
        <v>0</v>
      </c>
      <c r="HT94" s="446">
        <v>0</v>
      </c>
      <c r="HU94" s="446">
        <v>0</v>
      </c>
      <c r="HV94" s="447">
        <v>1</v>
      </c>
      <c r="HW94" s="544"/>
      <c r="HX94" s="448"/>
    </row>
    <row r="95" spans="1:232">
      <c r="A95" s="5682">
        <v>1</v>
      </c>
      <c r="B95" s="5682">
        <v>4</v>
      </c>
      <c r="C95" s="5683" t="s">
        <v>1458</v>
      </c>
      <c r="D95" s="5683" t="s">
        <v>2731</v>
      </c>
      <c r="E95" s="5682">
        <v>2</v>
      </c>
      <c r="F95" s="5682">
        <v>10</v>
      </c>
      <c r="I95" s="4915">
        <v>2</v>
      </c>
      <c r="J95" s="4915">
        <v>1</v>
      </c>
      <c r="K95" s="4916" t="s">
        <v>119</v>
      </c>
      <c r="L95" s="4916" t="s">
        <v>2731</v>
      </c>
      <c r="M95" s="4915">
        <v>7</v>
      </c>
      <c r="N95" s="4915">
        <v>8</v>
      </c>
      <c r="O95" s="157"/>
      <c r="Q95" s="4705">
        <v>2</v>
      </c>
      <c r="R95" s="4705">
        <v>1</v>
      </c>
      <c r="S95" s="4706" t="s">
        <v>123</v>
      </c>
      <c r="T95" s="4706" t="s">
        <v>2731</v>
      </c>
      <c r="U95" s="4707">
        <v>1</v>
      </c>
      <c r="V95" s="4707">
        <v>10</v>
      </c>
      <c r="W95" s="4722"/>
      <c r="Y95" s="36"/>
      <c r="Z95" s="36"/>
      <c r="AA95" s="36"/>
      <c r="AB95" s="36" t="s">
        <v>2571</v>
      </c>
      <c r="AC95" s="1681">
        <v>3</v>
      </c>
      <c r="AD95" s="1681"/>
      <c r="AE95" s="1681">
        <v>0</v>
      </c>
      <c r="AF95" s="1681"/>
      <c r="AG95" s="1681"/>
      <c r="AH95" s="1681">
        <v>0</v>
      </c>
      <c r="AI95" s="1681">
        <v>0</v>
      </c>
      <c r="AJ95" s="1681">
        <v>0</v>
      </c>
      <c r="AK95" s="1681"/>
      <c r="AL95" s="95">
        <v>0</v>
      </c>
      <c r="AM95" s="95">
        <v>3</v>
      </c>
      <c r="AN95" s="4545"/>
      <c r="AS95" s="3868" t="s">
        <v>2571</v>
      </c>
      <c r="AT95" s="3721">
        <v>1</v>
      </c>
      <c r="AU95" s="3721"/>
      <c r="AV95" s="3721"/>
      <c r="AW95" s="3721"/>
      <c r="AX95" s="3721"/>
      <c r="AY95" s="3721"/>
      <c r="AZ95" s="3721"/>
      <c r="BA95" s="3721"/>
      <c r="BB95" s="3721">
        <v>0</v>
      </c>
      <c r="BC95" s="2110"/>
      <c r="BD95" s="2110"/>
      <c r="BE95" s="2110">
        <v>1</v>
      </c>
      <c r="BF95" s="2110"/>
      <c r="BG95" s="2110"/>
      <c r="BJ95" s="1520"/>
      <c r="BK95" s="1520" t="s">
        <v>1076</v>
      </c>
      <c r="BL95" s="3872">
        <v>0</v>
      </c>
      <c r="BM95" s="3872">
        <v>0</v>
      </c>
      <c r="BN95" s="3872">
        <v>0</v>
      </c>
      <c r="BO95" s="3872">
        <v>0</v>
      </c>
      <c r="BP95" s="3872">
        <v>0</v>
      </c>
      <c r="BQ95" s="3872">
        <v>1</v>
      </c>
      <c r="BR95" s="3872">
        <v>5</v>
      </c>
      <c r="BS95" s="3872">
        <v>0</v>
      </c>
      <c r="BT95" s="3806">
        <v>0</v>
      </c>
      <c r="BU95" s="3806">
        <v>6</v>
      </c>
      <c r="BV95" s="1520"/>
      <c r="BX95" s="36"/>
      <c r="BY95" s="36"/>
      <c r="BZ95" s="393"/>
      <c r="CA95" s="393" t="s">
        <v>1077</v>
      </c>
      <c r="CB95" s="1682">
        <v>0</v>
      </c>
      <c r="CC95" s="1682">
        <v>0</v>
      </c>
      <c r="CD95" s="1682">
        <v>0</v>
      </c>
      <c r="CE95" s="1682">
        <v>0</v>
      </c>
      <c r="CF95" s="1682">
        <v>2</v>
      </c>
      <c r="CG95" s="1682">
        <v>1</v>
      </c>
      <c r="CH95" s="1682">
        <v>0</v>
      </c>
      <c r="CI95" s="1682">
        <v>0</v>
      </c>
      <c r="CJ95" s="2041">
        <v>0</v>
      </c>
      <c r="CK95" s="2041">
        <v>0</v>
      </c>
      <c r="CL95" s="2041">
        <v>3</v>
      </c>
      <c r="CM95" s="36"/>
      <c r="CO95" s="37"/>
      <c r="CP95" s="37"/>
      <c r="CQ95" s="37"/>
      <c r="CR95" s="37" t="s">
        <v>1074</v>
      </c>
      <c r="CS95" s="1678">
        <v>1</v>
      </c>
      <c r="CT95" s="1678">
        <v>0</v>
      </c>
      <c r="CU95" s="1678">
        <v>1</v>
      </c>
      <c r="CV95" s="1678"/>
      <c r="CW95" s="1678">
        <v>0</v>
      </c>
      <c r="CX95" s="1678">
        <v>0</v>
      </c>
      <c r="CY95" s="1678">
        <v>0</v>
      </c>
      <c r="CZ95" s="1678">
        <v>0</v>
      </c>
      <c r="DA95" s="1678">
        <v>0</v>
      </c>
      <c r="DB95" s="63">
        <v>0</v>
      </c>
      <c r="DC95" s="63"/>
      <c r="DD95" s="63">
        <v>2</v>
      </c>
      <c r="DG95" s="95"/>
      <c r="DH95" s="95"/>
      <c r="DI95" s="36" t="s">
        <v>120</v>
      </c>
      <c r="DJ95" s="36" t="s">
        <v>1071</v>
      </c>
      <c r="DK95" s="1484"/>
      <c r="DL95" s="1484"/>
      <c r="DM95" s="1484">
        <v>0</v>
      </c>
      <c r="DN95" s="1484"/>
      <c r="DO95" s="1484"/>
      <c r="DP95" s="1484"/>
      <c r="DQ95" s="1484">
        <v>0</v>
      </c>
      <c r="DR95" s="1484">
        <v>0</v>
      </c>
      <c r="DS95" s="1484">
        <v>2</v>
      </c>
      <c r="DT95" s="95">
        <v>3</v>
      </c>
      <c r="DU95" s="95"/>
      <c r="DV95" s="95">
        <v>5</v>
      </c>
      <c r="DW95" s="95"/>
      <c r="DY95" s="1209"/>
      <c r="DZ95" s="1209"/>
      <c r="EA95" s="1210"/>
      <c r="EB95" s="1211" t="s">
        <v>1080</v>
      </c>
      <c r="EC95" s="1213">
        <v>0</v>
      </c>
      <c r="ED95" s="1213">
        <v>0</v>
      </c>
      <c r="EE95" s="1213">
        <v>0</v>
      </c>
      <c r="EF95" s="1213">
        <v>2</v>
      </c>
      <c r="EG95" s="1213">
        <v>2</v>
      </c>
      <c r="EH95" s="1213">
        <v>0</v>
      </c>
      <c r="EI95" s="1213">
        <v>5</v>
      </c>
      <c r="EJ95" s="1213">
        <v>17</v>
      </c>
      <c r="EK95" s="611"/>
      <c r="EL95" s="612">
        <v>2</v>
      </c>
      <c r="EM95" s="612">
        <v>28</v>
      </c>
      <c r="EN95" s="36"/>
      <c r="EP95" s="527"/>
      <c r="EQ95" s="527"/>
      <c r="ER95" s="528" t="s">
        <v>122</v>
      </c>
      <c r="ES95" s="529" t="s">
        <v>1071</v>
      </c>
      <c r="ET95" s="531">
        <v>0</v>
      </c>
      <c r="EU95" s="531">
        <v>0</v>
      </c>
      <c r="EV95" s="531">
        <v>0</v>
      </c>
      <c r="EW95" s="530"/>
      <c r="EX95" s="530"/>
      <c r="EY95" s="531">
        <v>0</v>
      </c>
      <c r="EZ95" s="531">
        <v>0</v>
      </c>
      <c r="FA95" s="531">
        <v>2</v>
      </c>
      <c r="FB95" s="527"/>
      <c r="FC95" s="527"/>
      <c r="FD95" s="532">
        <v>2</v>
      </c>
      <c r="FE95" s="95"/>
      <c r="FG95" s="533"/>
      <c r="FH95" s="533"/>
      <c r="FI95" s="533" t="s">
        <v>123</v>
      </c>
      <c r="FJ95" s="534" t="s">
        <v>1071</v>
      </c>
      <c r="FK95" s="535"/>
      <c r="FL95" s="536">
        <v>0</v>
      </c>
      <c r="FM95" s="535"/>
      <c r="FN95" s="536">
        <v>0</v>
      </c>
      <c r="FO95" s="535"/>
      <c r="FP95" s="535"/>
      <c r="FQ95" s="535"/>
      <c r="FR95" s="536">
        <v>0</v>
      </c>
      <c r="FS95" s="536">
        <v>2</v>
      </c>
      <c r="FT95" s="538">
        <v>0</v>
      </c>
      <c r="FU95" s="538">
        <v>0</v>
      </c>
      <c r="FV95" s="538">
        <v>2</v>
      </c>
      <c r="FW95" s="539"/>
      <c r="FY95" s="540"/>
      <c r="FZ95" s="540"/>
      <c r="GA95" s="540"/>
      <c r="GB95" s="541" t="s">
        <v>1076</v>
      </c>
      <c r="GC95" s="542"/>
      <c r="GD95" s="542"/>
      <c r="GE95" s="542"/>
      <c r="GF95" s="542"/>
      <c r="GG95" s="542"/>
      <c r="GH95" s="543">
        <v>1</v>
      </c>
      <c r="GI95" s="543">
        <v>3</v>
      </c>
      <c r="GJ95" s="543">
        <v>0</v>
      </c>
      <c r="GK95" s="542"/>
      <c r="GL95" s="542"/>
      <c r="GM95" s="543">
        <v>4</v>
      </c>
      <c r="GN95" s="445"/>
      <c r="GP95" s="63"/>
      <c r="GQ95" s="63"/>
      <c r="GR95" s="37"/>
      <c r="GS95" s="37" t="s">
        <v>1163</v>
      </c>
      <c r="GT95" s="63"/>
      <c r="GU95" s="63">
        <v>0</v>
      </c>
      <c r="GV95" s="63"/>
      <c r="GW95" s="63"/>
      <c r="GX95" s="63"/>
      <c r="GY95" s="63">
        <v>7</v>
      </c>
      <c r="GZ95" s="63">
        <v>2</v>
      </c>
      <c r="HA95" s="63">
        <v>0</v>
      </c>
      <c r="HB95" s="63"/>
      <c r="HC95" s="63"/>
      <c r="HD95" s="63">
        <v>9</v>
      </c>
      <c r="HE95" s="37"/>
      <c r="HF95" s="37"/>
      <c r="HG95" s="446"/>
      <c r="HH95" s="446"/>
      <c r="HI95" s="446"/>
      <c r="HJ95" s="446" t="s">
        <v>1080</v>
      </c>
      <c r="HK95" s="446">
        <v>0</v>
      </c>
      <c r="HL95" s="446">
        <v>0</v>
      </c>
      <c r="HM95" s="446">
        <v>0</v>
      </c>
      <c r="HN95" s="446">
        <v>0</v>
      </c>
      <c r="HO95" s="446">
        <v>0</v>
      </c>
      <c r="HP95" s="446">
        <v>0</v>
      </c>
      <c r="HQ95" s="446">
        <v>0</v>
      </c>
      <c r="HR95" s="446">
        <v>2</v>
      </c>
      <c r="HS95" s="446">
        <v>4</v>
      </c>
      <c r="HT95" s="446">
        <v>0</v>
      </c>
      <c r="HU95" s="446">
        <v>0</v>
      </c>
      <c r="HV95" s="447">
        <v>6</v>
      </c>
      <c r="HW95" s="544"/>
      <c r="HX95" s="448"/>
    </row>
    <row r="96" spans="1:232">
      <c r="A96" s="5682">
        <v>1</v>
      </c>
      <c r="B96" s="5682">
        <v>4</v>
      </c>
      <c r="C96" s="5683" t="s">
        <v>1458</v>
      </c>
      <c r="D96" s="5685" t="s">
        <v>2732</v>
      </c>
      <c r="E96" s="5682">
        <v>1</v>
      </c>
      <c r="F96" s="5682">
        <v>7</v>
      </c>
      <c r="I96" s="4915">
        <v>2</v>
      </c>
      <c r="J96" s="4915">
        <v>1</v>
      </c>
      <c r="K96" s="4916" t="s">
        <v>119</v>
      </c>
      <c r="L96" s="4916" t="s">
        <v>2731</v>
      </c>
      <c r="M96" s="4915">
        <v>2</v>
      </c>
      <c r="N96" s="4915">
        <v>9</v>
      </c>
      <c r="O96" s="157"/>
      <c r="Q96" s="4705">
        <v>2</v>
      </c>
      <c r="R96" s="4705">
        <v>1</v>
      </c>
      <c r="S96" s="4706" t="s">
        <v>123</v>
      </c>
      <c r="T96" s="4708" t="s">
        <v>2732</v>
      </c>
      <c r="U96" s="4709">
        <v>1</v>
      </c>
      <c r="V96" s="4709">
        <v>5</v>
      </c>
      <c r="W96" s="4722"/>
      <c r="Y96" s="36"/>
      <c r="Z96" s="36"/>
      <c r="AA96" s="36"/>
      <c r="AB96" s="36" t="s">
        <v>15</v>
      </c>
      <c r="AC96" s="1681">
        <v>3</v>
      </c>
      <c r="AD96" s="1681"/>
      <c r="AE96" s="1681">
        <v>1</v>
      </c>
      <c r="AF96" s="1681"/>
      <c r="AG96" s="1681"/>
      <c r="AH96" s="1681">
        <v>1</v>
      </c>
      <c r="AI96" s="1681">
        <v>2</v>
      </c>
      <c r="AJ96" s="1681">
        <v>6</v>
      </c>
      <c r="AK96" s="1681"/>
      <c r="AL96" s="95">
        <v>1</v>
      </c>
      <c r="AM96" s="95">
        <v>14</v>
      </c>
      <c r="AN96" s="4545">
        <v>0</v>
      </c>
      <c r="AS96" s="27" t="s">
        <v>15</v>
      </c>
      <c r="AT96" s="3722">
        <v>1</v>
      </c>
      <c r="AU96" s="3722"/>
      <c r="AV96" s="3722"/>
      <c r="AW96" s="3722"/>
      <c r="AX96" s="3722"/>
      <c r="AY96" s="3722"/>
      <c r="AZ96" s="3722"/>
      <c r="BA96" s="3722"/>
      <c r="BB96" s="3722">
        <v>8</v>
      </c>
      <c r="BC96" s="3701"/>
      <c r="BD96" s="3701"/>
      <c r="BE96" s="3701">
        <v>9</v>
      </c>
      <c r="BF96" s="1665">
        <v>0</v>
      </c>
      <c r="BG96" s="1665"/>
      <c r="BJ96" s="1520"/>
      <c r="BK96" s="1520" t="s">
        <v>1077</v>
      </c>
      <c r="BL96" s="3872">
        <v>0</v>
      </c>
      <c r="BM96" s="3872">
        <v>0</v>
      </c>
      <c r="BN96" s="3872">
        <v>1</v>
      </c>
      <c r="BO96" s="3872">
        <v>2</v>
      </c>
      <c r="BP96" s="3872">
        <v>0</v>
      </c>
      <c r="BQ96" s="3872">
        <v>0</v>
      </c>
      <c r="BR96" s="3872">
        <v>0</v>
      </c>
      <c r="BS96" s="3872">
        <v>0</v>
      </c>
      <c r="BT96" s="3806">
        <v>0</v>
      </c>
      <c r="BU96" s="3806">
        <v>3</v>
      </c>
      <c r="BV96" s="1520"/>
      <c r="BX96" s="36"/>
      <c r="BY96" s="36"/>
      <c r="BZ96" s="393"/>
      <c r="CA96" s="393" t="s">
        <v>1080</v>
      </c>
      <c r="CB96" s="1682">
        <v>0</v>
      </c>
      <c r="CC96" s="1682">
        <v>0</v>
      </c>
      <c r="CD96" s="1682">
        <v>0</v>
      </c>
      <c r="CE96" s="1682">
        <v>0</v>
      </c>
      <c r="CF96" s="1682">
        <v>0</v>
      </c>
      <c r="CG96" s="1682">
        <v>0</v>
      </c>
      <c r="CH96" s="1682">
        <v>1</v>
      </c>
      <c r="CI96" s="1682">
        <v>18</v>
      </c>
      <c r="CJ96" s="2041">
        <v>1</v>
      </c>
      <c r="CK96" s="2041">
        <v>3</v>
      </c>
      <c r="CL96" s="2041">
        <v>23</v>
      </c>
      <c r="CM96" s="36"/>
      <c r="CO96" s="37"/>
      <c r="CP96" s="37"/>
      <c r="CQ96" s="37"/>
      <c r="CR96" s="37" t="s">
        <v>1076</v>
      </c>
      <c r="CS96" s="1678">
        <v>0</v>
      </c>
      <c r="CT96" s="1678">
        <v>0</v>
      </c>
      <c r="CU96" s="1678">
        <v>0</v>
      </c>
      <c r="CV96" s="1678"/>
      <c r="CW96" s="1678">
        <v>3</v>
      </c>
      <c r="CX96" s="1678">
        <v>1</v>
      </c>
      <c r="CY96" s="1678">
        <v>3</v>
      </c>
      <c r="CZ96" s="1678">
        <v>0</v>
      </c>
      <c r="DA96" s="1678">
        <v>0</v>
      </c>
      <c r="DB96" s="63">
        <v>0</v>
      </c>
      <c r="DC96" s="63"/>
      <c r="DD96" s="63">
        <v>7</v>
      </c>
      <c r="DG96" s="95"/>
      <c r="DH96" s="95"/>
      <c r="DI96" s="36"/>
      <c r="DJ96" s="36" t="s">
        <v>1072</v>
      </c>
      <c r="DK96" s="1484"/>
      <c r="DL96" s="1484"/>
      <c r="DM96" s="1484">
        <v>0</v>
      </c>
      <c r="DN96" s="1484"/>
      <c r="DO96" s="1484"/>
      <c r="DP96" s="1484"/>
      <c r="DQ96" s="1484">
        <v>2</v>
      </c>
      <c r="DR96" s="1484">
        <v>6</v>
      </c>
      <c r="DS96" s="1484">
        <v>0</v>
      </c>
      <c r="DT96" s="95">
        <v>0</v>
      </c>
      <c r="DU96" s="95"/>
      <c r="DV96" s="95">
        <v>8</v>
      </c>
      <c r="DW96" s="95"/>
      <c r="DY96" s="1209"/>
      <c r="DZ96" s="1209"/>
      <c r="EA96" s="1210"/>
      <c r="EB96" s="1211" t="s">
        <v>1081</v>
      </c>
      <c r="EC96" s="1213">
        <v>0</v>
      </c>
      <c r="ED96" s="1213">
        <v>0</v>
      </c>
      <c r="EE96" s="1213">
        <v>0</v>
      </c>
      <c r="EF96" s="1213">
        <v>0</v>
      </c>
      <c r="EG96" s="1213">
        <v>1</v>
      </c>
      <c r="EH96" s="1213">
        <v>8</v>
      </c>
      <c r="EI96" s="1213">
        <v>1</v>
      </c>
      <c r="EJ96" s="1213">
        <v>1</v>
      </c>
      <c r="EK96" s="611"/>
      <c r="EL96" s="612">
        <v>0</v>
      </c>
      <c r="EM96" s="612">
        <v>11</v>
      </c>
      <c r="EN96" s="36"/>
      <c r="EP96" s="527"/>
      <c r="EQ96" s="527"/>
      <c r="ER96" s="528"/>
      <c r="ES96" s="529" t="s">
        <v>1072</v>
      </c>
      <c r="ET96" s="531">
        <v>1</v>
      </c>
      <c r="EU96" s="531">
        <v>1</v>
      </c>
      <c r="EV96" s="531">
        <v>1</v>
      </c>
      <c r="EW96" s="530"/>
      <c r="EX96" s="530"/>
      <c r="EY96" s="531">
        <v>0</v>
      </c>
      <c r="EZ96" s="531">
        <v>0</v>
      </c>
      <c r="FA96" s="531">
        <v>0</v>
      </c>
      <c r="FB96" s="527"/>
      <c r="FC96" s="527"/>
      <c r="FD96" s="532">
        <v>3</v>
      </c>
      <c r="FE96" s="95"/>
      <c r="FG96" s="533"/>
      <c r="FH96" s="533"/>
      <c r="FI96" s="533"/>
      <c r="FJ96" s="534" t="s">
        <v>1072</v>
      </c>
      <c r="FK96" s="535"/>
      <c r="FL96" s="536">
        <v>3</v>
      </c>
      <c r="FM96" s="535"/>
      <c r="FN96" s="536">
        <v>0</v>
      </c>
      <c r="FO96" s="535"/>
      <c r="FP96" s="535"/>
      <c r="FQ96" s="535"/>
      <c r="FR96" s="536">
        <v>0</v>
      </c>
      <c r="FS96" s="536">
        <v>2</v>
      </c>
      <c r="FT96" s="538">
        <v>0</v>
      </c>
      <c r="FU96" s="538">
        <v>0</v>
      </c>
      <c r="FV96" s="538">
        <v>5</v>
      </c>
      <c r="FW96" s="539"/>
      <c r="FY96" s="540"/>
      <c r="FZ96" s="540"/>
      <c r="GA96" s="540"/>
      <c r="GB96" s="541" t="s">
        <v>1081</v>
      </c>
      <c r="GC96" s="542"/>
      <c r="GD96" s="542"/>
      <c r="GE96" s="542"/>
      <c r="GF96" s="542"/>
      <c r="GG96" s="542"/>
      <c r="GH96" s="543">
        <v>0</v>
      </c>
      <c r="GI96" s="543">
        <v>3</v>
      </c>
      <c r="GJ96" s="543">
        <v>0</v>
      </c>
      <c r="GK96" s="542"/>
      <c r="GL96" s="542"/>
      <c r="GM96" s="543">
        <v>3</v>
      </c>
      <c r="GN96" s="445"/>
      <c r="GP96" s="63"/>
      <c r="GQ96" s="63"/>
      <c r="GR96" s="37"/>
      <c r="GS96" s="416" t="s">
        <v>15</v>
      </c>
      <c r="GT96" s="386"/>
      <c r="GU96" s="386">
        <v>2</v>
      </c>
      <c r="GV96" s="386"/>
      <c r="GW96" s="386"/>
      <c r="GX96" s="386"/>
      <c r="GY96" s="386">
        <v>10</v>
      </c>
      <c r="GZ96" s="386">
        <v>5</v>
      </c>
      <c r="HA96" s="386">
        <v>4</v>
      </c>
      <c r="HB96" s="386"/>
      <c r="HC96" s="386"/>
      <c r="HD96" s="386">
        <v>21</v>
      </c>
      <c r="HE96" s="466">
        <f>+(HD93+HD95)/HD96</f>
        <v>0.61904761904761907</v>
      </c>
      <c r="HF96" s="37"/>
      <c r="HG96" s="446"/>
      <c r="HH96" s="446"/>
      <c r="HI96" s="446"/>
      <c r="HJ96" s="446" t="s">
        <v>1163</v>
      </c>
      <c r="HK96" s="446">
        <v>0</v>
      </c>
      <c r="HL96" s="446">
        <v>0</v>
      </c>
      <c r="HM96" s="446">
        <v>0</v>
      </c>
      <c r="HN96" s="446">
        <v>0</v>
      </c>
      <c r="HO96" s="446">
        <v>0</v>
      </c>
      <c r="HP96" s="446">
        <v>0</v>
      </c>
      <c r="HQ96" s="446">
        <v>10</v>
      </c>
      <c r="HR96" s="446">
        <v>1</v>
      </c>
      <c r="HS96" s="446">
        <v>0</v>
      </c>
      <c r="HT96" s="446">
        <v>0</v>
      </c>
      <c r="HU96" s="446">
        <v>0</v>
      </c>
      <c r="HV96" s="447">
        <v>11</v>
      </c>
      <c r="HW96" s="544"/>
      <c r="HX96" s="448"/>
    </row>
    <row r="97" spans="1:232">
      <c r="A97" s="5682">
        <v>1</v>
      </c>
      <c r="B97" s="5682">
        <v>4</v>
      </c>
      <c r="C97" s="5683" t="s">
        <v>1458</v>
      </c>
      <c r="D97" s="5683" t="s">
        <v>2709</v>
      </c>
      <c r="E97" s="5682">
        <v>1</v>
      </c>
      <c r="F97" s="5682">
        <v>1</v>
      </c>
      <c r="I97" s="4915">
        <v>2</v>
      </c>
      <c r="J97" s="4915">
        <v>1</v>
      </c>
      <c r="K97" s="4916" t="s">
        <v>119</v>
      </c>
      <c r="L97" s="4916" t="s">
        <v>1071</v>
      </c>
      <c r="M97" s="4915">
        <v>1</v>
      </c>
      <c r="N97" s="4915">
        <v>7</v>
      </c>
      <c r="O97" s="157"/>
      <c r="Q97" s="4705">
        <v>2</v>
      </c>
      <c r="R97" s="4705">
        <v>1</v>
      </c>
      <c r="S97" s="4706" t="s">
        <v>123</v>
      </c>
      <c r="T97" s="4706" t="s">
        <v>2709</v>
      </c>
      <c r="U97" s="4707">
        <v>1</v>
      </c>
      <c r="V97" s="4707">
        <v>4</v>
      </c>
      <c r="W97" s="4722"/>
      <c r="Y97" s="36"/>
      <c r="Z97" s="36"/>
      <c r="AA97" s="36" t="s">
        <v>681</v>
      </c>
      <c r="AB97" s="36" t="s">
        <v>1072</v>
      </c>
      <c r="AC97" s="1681">
        <v>0</v>
      </c>
      <c r="AD97" s="1681"/>
      <c r="AE97" s="1681"/>
      <c r="AF97" s="1681"/>
      <c r="AG97" s="1681"/>
      <c r="AH97" s="1681"/>
      <c r="AI97" s="1681">
        <v>0</v>
      </c>
      <c r="AJ97" s="1681">
        <v>0</v>
      </c>
      <c r="AK97" s="1681">
        <v>3</v>
      </c>
      <c r="AL97" s="95">
        <v>0</v>
      </c>
      <c r="AM97" s="95">
        <v>3</v>
      </c>
      <c r="AN97" s="4545"/>
      <c r="AR97" s="3868" t="s">
        <v>1458</v>
      </c>
      <c r="AS97" s="3868" t="s">
        <v>1080</v>
      </c>
      <c r="AT97" s="3721"/>
      <c r="AU97" s="3721"/>
      <c r="AV97" s="3721"/>
      <c r="AW97" s="3721"/>
      <c r="AX97" s="3721"/>
      <c r="AY97" s="3721"/>
      <c r="AZ97" s="3721"/>
      <c r="BA97" s="3721"/>
      <c r="BB97" s="3721">
        <v>5</v>
      </c>
      <c r="BC97" s="2110"/>
      <c r="BD97" s="2110"/>
      <c r="BE97" s="2110">
        <v>5</v>
      </c>
      <c r="BF97" s="2110"/>
      <c r="BG97" s="2110"/>
      <c r="BJ97" s="1520"/>
      <c r="BK97" s="1520" t="s">
        <v>1080</v>
      </c>
      <c r="BL97" s="3872">
        <v>0</v>
      </c>
      <c r="BM97" s="3872">
        <v>0</v>
      </c>
      <c r="BN97" s="3872">
        <v>0</v>
      </c>
      <c r="BO97" s="3872">
        <v>0</v>
      </c>
      <c r="BP97" s="3872">
        <v>0</v>
      </c>
      <c r="BQ97" s="3872">
        <v>0</v>
      </c>
      <c r="BR97" s="3872">
        <v>57</v>
      </c>
      <c r="BS97" s="3872">
        <v>0</v>
      </c>
      <c r="BT97" s="3806">
        <v>11</v>
      </c>
      <c r="BU97" s="3806">
        <v>68</v>
      </c>
      <c r="BV97" s="1520"/>
      <c r="BX97" s="36"/>
      <c r="BY97" s="36"/>
      <c r="BZ97" s="393"/>
      <c r="CA97" s="393" t="s">
        <v>1081</v>
      </c>
      <c r="CB97" s="1682">
        <v>0</v>
      </c>
      <c r="CC97" s="1682">
        <v>0</v>
      </c>
      <c r="CD97" s="1682">
        <v>0</v>
      </c>
      <c r="CE97" s="1682">
        <v>0</v>
      </c>
      <c r="CF97" s="1682">
        <v>0</v>
      </c>
      <c r="CG97" s="1682">
        <v>3</v>
      </c>
      <c r="CH97" s="1682">
        <v>11</v>
      </c>
      <c r="CI97" s="1682">
        <v>5</v>
      </c>
      <c r="CJ97" s="2041">
        <v>0</v>
      </c>
      <c r="CK97" s="2041">
        <v>0</v>
      </c>
      <c r="CL97" s="2041">
        <v>19</v>
      </c>
      <c r="CM97" s="36"/>
      <c r="CO97" s="37"/>
      <c r="CP97" s="37"/>
      <c r="CQ97" s="37"/>
      <c r="CR97" s="37" t="s">
        <v>1077</v>
      </c>
      <c r="CS97" s="1678">
        <v>0</v>
      </c>
      <c r="CT97" s="1678">
        <v>0</v>
      </c>
      <c r="CU97" s="1678">
        <v>0</v>
      </c>
      <c r="CV97" s="1678"/>
      <c r="CW97" s="1678">
        <v>0</v>
      </c>
      <c r="CX97" s="1678">
        <v>1</v>
      </c>
      <c r="CY97" s="1678">
        <v>0</v>
      </c>
      <c r="CZ97" s="1678">
        <v>0</v>
      </c>
      <c r="DA97" s="1678">
        <v>0</v>
      </c>
      <c r="DB97" s="63">
        <v>0</v>
      </c>
      <c r="DC97" s="63"/>
      <c r="DD97" s="63">
        <v>1</v>
      </c>
      <c r="DG97" s="95"/>
      <c r="DH97" s="95"/>
      <c r="DI97" s="36"/>
      <c r="DJ97" s="36" t="s">
        <v>1074</v>
      </c>
      <c r="DK97" s="1484"/>
      <c r="DL97" s="1484"/>
      <c r="DM97" s="1484">
        <v>1</v>
      </c>
      <c r="DN97" s="1484"/>
      <c r="DO97" s="1484"/>
      <c r="DP97" s="1484"/>
      <c r="DQ97" s="1484">
        <v>0</v>
      </c>
      <c r="DR97" s="1484">
        <v>0</v>
      </c>
      <c r="DS97" s="1484">
        <v>0</v>
      </c>
      <c r="DT97" s="95">
        <v>0</v>
      </c>
      <c r="DU97" s="95"/>
      <c r="DV97" s="95">
        <v>1</v>
      </c>
      <c r="DW97" s="95"/>
      <c r="DY97" s="1209"/>
      <c r="DZ97" s="1209"/>
      <c r="EA97" s="1210"/>
      <c r="EB97" s="1211" t="s">
        <v>1163</v>
      </c>
      <c r="EC97" s="1213">
        <v>0</v>
      </c>
      <c r="ED97" s="1213">
        <v>0</v>
      </c>
      <c r="EE97" s="1213">
        <v>2</v>
      </c>
      <c r="EF97" s="1213">
        <v>3</v>
      </c>
      <c r="EG97" s="1213">
        <v>2</v>
      </c>
      <c r="EH97" s="1213">
        <v>10</v>
      </c>
      <c r="EI97" s="1213">
        <v>2</v>
      </c>
      <c r="EJ97" s="1213">
        <v>1</v>
      </c>
      <c r="EK97" s="611"/>
      <c r="EL97" s="612">
        <v>0</v>
      </c>
      <c r="EM97" s="612">
        <v>20</v>
      </c>
      <c r="EN97" s="36"/>
      <c r="EP97" s="527"/>
      <c r="EQ97" s="527"/>
      <c r="ER97" s="528"/>
      <c r="ES97" s="529" t="s">
        <v>1076</v>
      </c>
      <c r="ET97" s="531">
        <v>0</v>
      </c>
      <c r="EU97" s="531">
        <v>0</v>
      </c>
      <c r="EV97" s="531">
        <v>0</v>
      </c>
      <c r="EW97" s="530"/>
      <c r="EX97" s="530"/>
      <c r="EY97" s="531">
        <v>0</v>
      </c>
      <c r="EZ97" s="531">
        <v>2</v>
      </c>
      <c r="FA97" s="531">
        <v>0</v>
      </c>
      <c r="FB97" s="527"/>
      <c r="FC97" s="527"/>
      <c r="FD97" s="532">
        <v>2</v>
      </c>
      <c r="FE97" s="95"/>
      <c r="FG97" s="533"/>
      <c r="FH97" s="533"/>
      <c r="FI97" s="533"/>
      <c r="FJ97" s="534" t="s">
        <v>1074</v>
      </c>
      <c r="FK97" s="535"/>
      <c r="FL97" s="536">
        <v>0</v>
      </c>
      <c r="FM97" s="535"/>
      <c r="FN97" s="536">
        <v>1</v>
      </c>
      <c r="FO97" s="535"/>
      <c r="FP97" s="535"/>
      <c r="FQ97" s="535"/>
      <c r="FR97" s="536">
        <v>0</v>
      </c>
      <c r="FS97" s="536">
        <v>0</v>
      </c>
      <c r="FT97" s="538">
        <v>0</v>
      </c>
      <c r="FU97" s="538">
        <v>0</v>
      </c>
      <c r="FV97" s="538">
        <v>1</v>
      </c>
      <c r="FW97" s="539"/>
      <c r="FY97" s="540"/>
      <c r="FZ97" s="540"/>
      <c r="GA97" s="540"/>
      <c r="GB97" s="541" t="s">
        <v>1163</v>
      </c>
      <c r="GC97" s="542"/>
      <c r="GD97" s="542"/>
      <c r="GE97" s="542"/>
      <c r="GF97" s="542"/>
      <c r="GG97" s="542"/>
      <c r="GH97" s="543">
        <v>0</v>
      </c>
      <c r="GI97" s="543">
        <v>3</v>
      </c>
      <c r="GJ97" s="543">
        <v>1</v>
      </c>
      <c r="GK97" s="542"/>
      <c r="GL97" s="542"/>
      <c r="GM97" s="543">
        <v>4</v>
      </c>
      <c r="GN97" s="445"/>
      <c r="GP97" s="63"/>
      <c r="GQ97" s="63"/>
      <c r="GR97" s="37" t="s">
        <v>129</v>
      </c>
      <c r="GS97" s="37" t="s">
        <v>1072</v>
      </c>
      <c r="GT97" s="63"/>
      <c r="GU97" s="63"/>
      <c r="GV97" s="63"/>
      <c r="GW97" s="63"/>
      <c r="GX97" s="63"/>
      <c r="GY97" s="63">
        <v>0</v>
      </c>
      <c r="GZ97" s="63">
        <v>1</v>
      </c>
      <c r="HA97" s="63">
        <v>0</v>
      </c>
      <c r="HB97" s="63"/>
      <c r="HC97" s="63"/>
      <c r="HD97" s="63">
        <v>1</v>
      </c>
      <c r="HE97" s="37"/>
      <c r="HF97" s="37"/>
      <c r="HG97" s="446"/>
      <c r="HH97" s="446"/>
      <c r="HI97" s="446"/>
      <c r="HJ97" s="449" t="s">
        <v>15</v>
      </c>
      <c r="HK97" s="449">
        <v>0</v>
      </c>
      <c r="HL97" s="449">
        <v>0</v>
      </c>
      <c r="HM97" s="449">
        <v>2</v>
      </c>
      <c r="HN97" s="449">
        <v>1</v>
      </c>
      <c r="HO97" s="449">
        <v>0</v>
      </c>
      <c r="HP97" s="449">
        <v>0</v>
      </c>
      <c r="HQ97" s="449">
        <v>19</v>
      </c>
      <c r="HR97" s="449">
        <v>5</v>
      </c>
      <c r="HS97" s="449">
        <v>4</v>
      </c>
      <c r="HT97" s="449">
        <v>0</v>
      </c>
      <c r="HU97" s="449">
        <v>0</v>
      </c>
      <c r="HV97" s="507">
        <v>31</v>
      </c>
      <c r="HW97" s="554">
        <f>+(HV96+HV93)/HV97</f>
        <v>0.58064516129032262</v>
      </c>
      <c r="HX97" s="448">
        <f>+HV93+HV96</f>
        <v>18</v>
      </c>
    </row>
    <row r="98" spans="1:232">
      <c r="A98" s="5682"/>
      <c r="B98" s="5682"/>
      <c r="C98" s="5683"/>
      <c r="D98" s="5683"/>
      <c r="E98" s="5686">
        <f>SUM(E95:E97)</f>
        <v>4</v>
      </c>
      <c r="F98" s="5682"/>
      <c r="G98" s="4921">
        <f>(E96)/(E98)</f>
        <v>0.25</v>
      </c>
      <c r="I98" s="4915">
        <v>2</v>
      </c>
      <c r="J98" s="4915">
        <v>1</v>
      </c>
      <c r="K98" s="4916" t="s">
        <v>119</v>
      </c>
      <c r="L98" s="4917" t="s">
        <v>2732</v>
      </c>
      <c r="M98" s="4922">
        <v>1</v>
      </c>
      <c r="N98" s="4915">
        <v>6</v>
      </c>
      <c r="O98" s="157"/>
      <c r="Q98" s="4705"/>
      <c r="R98" s="4705"/>
      <c r="S98" s="4706"/>
      <c r="T98" s="4706"/>
      <c r="U98" s="4741">
        <f>SUM(U93:U97)</f>
        <v>9</v>
      </c>
      <c r="V98" s="4741"/>
      <c r="W98" s="4722">
        <f>(U96)/(U98)</f>
        <v>0.1111111111111111</v>
      </c>
      <c r="X98" s="4452"/>
      <c r="Y98" s="36"/>
      <c r="Z98" s="36"/>
      <c r="AA98" s="36"/>
      <c r="AB98" s="36" t="s">
        <v>1076</v>
      </c>
      <c r="AC98" s="1681">
        <v>0</v>
      </c>
      <c r="AD98" s="1681"/>
      <c r="AE98" s="1681"/>
      <c r="AF98" s="1681"/>
      <c r="AG98" s="1681"/>
      <c r="AH98" s="1681"/>
      <c r="AI98" s="1681">
        <v>1</v>
      </c>
      <c r="AJ98" s="1681">
        <v>1</v>
      </c>
      <c r="AK98" s="1681">
        <v>0</v>
      </c>
      <c r="AL98" s="95">
        <v>1</v>
      </c>
      <c r="AM98" s="95">
        <v>3</v>
      </c>
      <c r="AN98" s="4545"/>
      <c r="AS98" s="27" t="s">
        <v>15</v>
      </c>
      <c r="AT98" s="3722"/>
      <c r="AU98" s="3722"/>
      <c r="AV98" s="3722"/>
      <c r="AW98" s="3722"/>
      <c r="AX98" s="3722"/>
      <c r="AY98" s="3722"/>
      <c r="AZ98" s="3722"/>
      <c r="BA98" s="3722"/>
      <c r="BB98" s="3722">
        <v>5</v>
      </c>
      <c r="BC98" s="3701"/>
      <c r="BD98" s="3701"/>
      <c r="BE98" s="3701">
        <v>5</v>
      </c>
      <c r="BF98" s="1665">
        <v>0</v>
      </c>
      <c r="BG98" s="1665"/>
      <c r="BJ98" s="1520"/>
      <c r="BK98" s="1520" t="s">
        <v>1081</v>
      </c>
      <c r="BL98" s="3872">
        <v>0</v>
      </c>
      <c r="BM98" s="3872">
        <v>0</v>
      </c>
      <c r="BN98" s="3872">
        <v>0</v>
      </c>
      <c r="BO98" s="3872">
        <v>0</v>
      </c>
      <c r="BP98" s="3872">
        <v>0</v>
      </c>
      <c r="BQ98" s="3872">
        <v>2</v>
      </c>
      <c r="BR98" s="3872">
        <v>2</v>
      </c>
      <c r="BS98" s="3872">
        <v>1</v>
      </c>
      <c r="BT98" s="3806">
        <v>0</v>
      </c>
      <c r="BU98" s="3806">
        <v>5</v>
      </c>
      <c r="BV98" s="1520"/>
      <c r="BX98" s="36"/>
      <c r="BY98" s="36"/>
      <c r="BZ98" s="393"/>
      <c r="CA98" s="393" t="s">
        <v>1163</v>
      </c>
      <c r="CB98" s="1682">
        <v>0</v>
      </c>
      <c r="CC98" s="1682">
        <v>0</v>
      </c>
      <c r="CD98" s="1682">
        <v>0</v>
      </c>
      <c r="CE98" s="1682">
        <v>0</v>
      </c>
      <c r="CF98" s="1682">
        <v>0</v>
      </c>
      <c r="CG98" s="1682">
        <v>4</v>
      </c>
      <c r="CH98" s="1682">
        <v>6</v>
      </c>
      <c r="CI98" s="1682">
        <v>1</v>
      </c>
      <c r="CJ98" s="2041">
        <v>0</v>
      </c>
      <c r="CK98" s="2041">
        <v>0</v>
      </c>
      <c r="CL98" s="2041">
        <v>11</v>
      </c>
      <c r="CM98" s="36"/>
      <c r="CO98" s="37"/>
      <c r="CP98" s="37"/>
      <c r="CQ98" s="37"/>
      <c r="CR98" s="37" t="s">
        <v>1080</v>
      </c>
      <c r="CS98" s="1678">
        <v>0</v>
      </c>
      <c r="CT98" s="1678">
        <v>0</v>
      </c>
      <c r="CU98" s="1678">
        <v>0</v>
      </c>
      <c r="CV98" s="1678"/>
      <c r="CW98" s="1678">
        <v>0</v>
      </c>
      <c r="CX98" s="1678">
        <v>0</v>
      </c>
      <c r="CY98" s="1678">
        <v>0</v>
      </c>
      <c r="CZ98" s="1678">
        <v>0</v>
      </c>
      <c r="DA98" s="1678">
        <v>21</v>
      </c>
      <c r="DB98" s="63">
        <v>5</v>
      </c>
      <c r="DC98" s="63"/>
      <c r="DD98" s="63">
        <v>26</v>
      </c>
      <c r="DG98" s="95"/>
      <c r="DH98" s="95"/>
      <c r="DI98" s="36"/>
      <c r="DJ98" s="36" t="s">
        <v>1076</v>
      </c>
      <c r="DK98" s="1484"/>
      <c r="DL98" s="1484"/>
      <c r="DM98" s="1484">
        <v>0</v>
      </c>
      <c r="DN98" s="1484"/>
      <c r="DO98" s="1484"/>
      <c r="DP98" s="1484"/>
      <c r="DQ98" s="1484">
        <v>1</v>
      </c>
      <c r="DR98" s="1484">
        <v>0</v>
      </c>
      <c r="DS98" s="1484">
        <v>0</v>
      </c>
      <c r="DT98" s="95">
        <v>0</v>
      </c>
      <c r="DU98" s="95"/>
      <c r="DV98" s="95">
        <v>1</v>
      </c>
      <c r="DW98" s="95"/>
      <c r="DY98" s="1209"/>
      <c r="DZ98" s="1209"/>
      <c r="EA98" s="1210"/>
      <c r="EB98" s="415" t="s">
        <v>105</v>
      </c>
      <c r="EC98" s="1215">
        <v>2</v>
      </c>
      <c r="ED98" s="1215">
        <v>2</v>
      </c>
      <c r="EE98" s="1215">
        <v>10</v>
      </c>
      <c r="EF98" s="1215">
        <v>17</v>
      </c>
      <c r="EG98" s="1215">
        <v>19</v>
      </c>
      <c r="EH98" s="1215">
        <v>60</v>
      </c>
      <c r="EI98" s="1215">
        <v>28</v>
      </c>
      <c r="EJ98" s="1215">
        <v>26</v>
      </c>
      <c r="EK98" s="620"/>
      <c r="EL98" s="621">
        <v>2</v>
      </c>
      <c r="EM98" s="621">
        <v>166</v>
      </c>
      <c r="EN98" s="1178">
        <f>+(EM93+EM96+EM97)/EM98</f>
        <v>0.22289156626506024</v>
      </c>
      <c r="EP98" s="527"/>
      <c r="EQ98" s="527"/>
      <c r="ER98" s="528"/>
      <c r="ES98" s="529" t="s">
        <v>1080</v>
      </c>
      <c r="ET98" s="531">
        <v>0</v>
      </c>
      <c r="EU98" s="531">
        <v>0</v>
      </c>
      <c r="EV98" s="531">
        <v>0</v>
      </c>
      <c r="EW98" s="530"/>
      <c r="EX98" s="530"/>
      <c r="EY98" s="531">
        <v>0</v>
      </c>
      <c r="EZ98" s="531">
        <v>0</v>
      </c>
      <c r="FA98" s="531">
        <v>2</v>
      </c>
      <c r="FB98" s="527"/>
      <c r="FC98" s="527"/>
      <c r="FD98" s="532">
        <v>2</v>
      </c>
      <c r="FE98" s="95"/>
      <c r="FG98" s="533"/>
      <c r="FH98" s="533"/>
      <c r="FI98" s="533"/>
      <c r="FJ98" s="534" t="s">
        <v>1076</v>
      </c>
      <c r="FK98" s="535"/>
      <c r="FL98" s="536">
        <v>0</v>
      </c>
      <c r="FM98" s="535"/>
      <c r="FN98" s="536">
        <v>0</v>
      </c>
      <c r="FO98" s="535"/>
      <c r="FP98" s="535"/>
      <c r="FQ98" s="535"/>
      <c r="FR98" s="536">
        <v>2</v>
      </c>
      <c r="FS98" s="536">
        <v>2</v>
      </c>
      <c r="FT98" s="538">
        <v>1</v>
      </c>
      <c r="FU98" s="538">
        <v>0</v>
      </c>
      <c r="FV98" s="538">
        <v>5</v>
      </c>
      <c r="FW98" s="539"/>
      <c r="FY98" s="540"/>
      <c r="FZ98" s="540"/>
      <c r="GA98" s="540"/>
      <c r="GB98" s="550" t="s">
        <v>15</v>
      </c>
      <c r="GC98" s="551"/>
      <c r="GD98" s="551"/>
      <c r="GE98" s="551"/>
      <c r="GF98" s="551"/>
      <c r="GG98" s="551"/>
      <c r="GH98" s="552">
        <v>2</v>
      </c>
      <c r="GI98" s="552">
        <v>11</v>
      </c>
      <c r="GJ98" s="552">
        <v>1</v>
      </c>
      <c r="GK98" s="551"/>
      <c r="GL98" s="551"/>
      <c r="GM98" s="552">
        <v>14</v>
      </c>
      <c r="GN98" s="553">
        <f>+(GM97+GM96+GM95)/GM98</f>
        <v>0.7857142857142857</v>
      </c>
      <c r="GP98" s="63"/>
      <c r="GQ98" s="63"/>
      <c r="GR98" s="37"/>
      <c r="GS98" s="37" t="s">
        <v>1076</v>
      </c>
      <c r="GT98" s="63"/>
      <c r="GU98" s="63"/>
      <c r="GV98" s="63"/>
      <c r="GW98" s="63"/>
      <c r="GX98" s="63"/>
      <c r="GY98" s="63">
        <v>0</v>
      </c>
      <c r="GZ98" s="63">
        <v>9</v>
      </c>
      <c r="HA98" s="63">
        <v>0</v>
      </c>
      <c r="HB98" s="63"/>
      <c r="HC98" s="63"/>
      <c r="HD98" s="63">
        <v>9</v>
      </c>
      <c r="HE98" s="37"/>
      <c r="HF98" s="37"/>
      <c r="HG98" s="446"/>
      <c r="HH98" s="446"/>
      <c r="HI98" s="446" t="s">
        <v>127</v>
      </c>
      <c r="HJ98" s="446" t="s">
        <v>1071</v>
      </c>
      <c r="HK98" s="446">
        <v>0</v>
      </c>
      <c r="HL98" s="446">
        <v>0</v>
      </c>
      <c r="HM98" s="446">
        <v>0</v>
      </c>
      <c r="HN98" s="446">
        <v>0</v>
      </c>
      <c r="HO98" s="446">
        <v>0</v>
      </c>
      <c r="HP98" s="446">
        <v>0</v>
      </c>
      <c r="HQ98" s="446">
        <v>0</v>
      </c>
      <c r="HR98" s="446">
        <v>0</v>
      </c>
      <c r="HS98" s="446">
        <v>0</v>
      </c>
      <c r="HT98" s="446">
        <v>0</v>
      </c>
      <c r="HU98" s="446">
        <v>1</v>
      </c>
      <c r="HV98" s="447">
        <v>1</v>
      </c>
      <c r="HW98" s="544"/>
      <c r="HX98" s="448"/>
    </row>
    <row r="99" spans="1:232" ht="24">
      <c r="A99" s="5682">
        <v>1</v>
      </c>
      <c r="B99" s="5682">
        <v>4</v>
      </c>
      <c r="C99" s="5683" t="s">
        <v>1527</v>
      </c>
      <c r="D99" s="5683" t="s">
        <v>2731</v>
      </c>
      <c r="E99" s="5682">
        <v>1</v>
      </c>
      <c r="F99" s="5682">
        <v>10</v>
      </c>
      <c r="I99" s="4915">
        <v>2</v>
      </c>
      <c r="J99" s="4915">
        <v>1</v>
      </c>
      <c r="K99" s="4916" t="s">
        <v>119</v>
      </c>
      <c r="L99" s="4916" t="s">
        <v>2703</v>
      </c>
      <c r="M99" s="4915">
        <v>1</v>
      </c>
      <c r="N99" s="4915">
        <v>1</v>
      </c>
      <c r="O99" s="157"/>
      <c r="Q99" s="4705">
        <v>2</v>
      </c>
      <c r="R99" s="4705">
        <v>1</v>
      </c>
      <c r="S99" s="4706" t="s">
        <v>122</v>
      </c>
      <c r="T99" s="4706" t="s">
        <v>2731</v>
      </c>
      <c r="U99" s="4707">
        <v>5</v>
      </c>
      <c r="V99" s="4707">
        <v>8</v>
      </c>
      <c r="W99" s="4722"/>
      <c r="Y99" s="36"/>
      <c r="Z99" s="36"/>
      <c r="AA99" s="36"/>
      <c r="AB99" s="36" t="s">
        <v>1080</v>
      </c>
      <c r="AC99" s="1681">
        <v>0</v>
      </c>
      <c r="AD99" s="1681"/>
      <c r="AE99" s="1681"/>
      <c r="AF99" s="1681"/>
      <c r="AG99" s="1681"/>
      <c r="AH99" s="1681"/>
      <c r="AI99" s="1681">
        <v>0</v>
      </c>
      <c r="AJ99" s="1681">
        <v>0</v>
      </c>
      <c r="AK99" s="1681">
        <v>0</v>
      </c>
      <c r="AL99" s="95">
        <v>9</v>
      </c>
      <c r="AM99" s="95">
        <v>9</v>
      </c>
      <c r="AN99" s="4545"/>
      <c r="AR99" s="3868" t="s">
        <v>484</v>
      </c>
      <c r="AS99" s="3868" t="s">
        <v>1071</v>
      </c>
      <c r="AT99" s="3721">
        <v>0</v>
      </c>
      <c r="AU99" s="3721"/>
      <c r="AV99" s="3721"/>
      <c r="AW99" s="3721"/>
      <c r="AX99" s="3721"/>
      <c r="AY99" s="3721">
        <v>1</v>
      </c>
      <c r="AZ99" s="3721">
        <v>0</v>
      </c>
      <c r="BA99" s="3721">
        <v>0</v>
      </c>
      <c r="BB99" s="3721">
        <v>0</v>
      </c>
      <c r="BC99" s="2110"/>
      <c r="BD99" s="2110"/>
      <c r="BE99" s="2110">
        <v>1</v>
      </c>
      <c r="BF99" s="2110"/>
      <c r="BG99" s="2110"/>
      <c r="BJ99" s="1520"/>
      <c r="BK99" s="1520" t="s">
        <v>1163</v>
      </c>
      <c r="BL99" s="3872">
        <v>0</v>
      </c>
      <c r="BM99" s="3872">
        <v>0</v>
      </c>
      <c r="BN99" s="3872">
        <v>0</v>
      </c>
      <c r="BO99" s="3872">
        <v>0</v>
      </c>
      <c r="BP99" s="3872">
        <v>0</v>
      </c>
      <c r="BQ99" s="3872">
        <v>3</v>
      </c>
      <c r="BR99" s="3872">
        <v>3</v>
      </c>
      <c r="BS99" s="3872">
        <v>0</v>
      </c>
      <c r="BT99" s="3806">
        <v>0</v>
      </c>
      <c r="BU99" s="3806">
        <v>6</v>
      </c>
      <c r="BV99" s="1520"/>
      <c r="BX99" s="36"/>
      <c r="BY99" s="36"/>
      <c r="BZ99" s="393"/>
      <c r="CA99" s="393" t="s">
        <v>105</v>
      </c>
      <c r="CB99" s="1682">
        <v>3</v>
      </c>
      <c r="CC99" s="1682">
        <v>1</v>
      </c>
      <c r="CD99" s="1682">
        <v>1</v>
      </c>
      <c r="CE99" s="1682">
        <v>1</v>
      </c>
      <c r="CF99" s="1682">
        <v>3</v>
      </c>
      <c r="CG99" s="1682">
        <v>37</v>
      </c>
      <c r="CH99" s="1682">
        <v>45</v>
      </c>
      <c r="CI99" s="1682">
        <v>31</v>
      </c>
      <c r="CJ99" s="2041">
        <v>2</v>
      </c>
      <c r="CK99" s="2041">
        <v>3</v>
      </c>
      <c r="CL99" s="2041">
        <v>127</v>
      </c>
      <c r="CM99" s="560">
        <f>+(CL98+CL97+CL94)/CL99</f>
        <v>0.34645669291338582</v>
      </c>
      <c r="CN99" s="1665"/>
      <c r="CO99" s="37"/>
      <c r="CP99" s="37"/>
      <c r="CQ99" s="37"/>
      <c r="CR99" s="37" t="s">
        <v>1081</v>
      </c>
      <c r="CS99" s="1678">
        <v>0</v>
      </c>
      <c r="CT99" s="1678">
        <v>0</v>
      </c>
      <c r="CU99" s="1678">
        <v>0</v>
      </c>
      <c r="CV99" s="1678"/>
      <c r="CW99" s="1678">
        <v>1</v>
      </c>
      <c r="CX99" s="1678">
        <v>2</v>
      </c>
      <c r="CY99" s="1678">
        <v>1</v>
      </c>
      <c r="CZ99" s="1678">
        <v>1</v>
      </c>
      <c r="DA99" s="1678">
        <v>1</v>
      </c>
      <c r="DB99" s="63">
        <v>1</v>
      </c>
      <c r="DC99" s="63"/>
      <c r="DD99" s="63">
        <v>7</v>
      </c>
      <c r="DG99" s="95"/>
      <c r="DH99" s="95"/>
      <c r="DI99" s="36"/>
      <c r="DJ99" s="36" t="s">
        <v>1080</v>
      </c>
      <c r="DK99" s="1484"/>
      <c r="DL99" s="1484"/>
      <c r="DM99" s="1484">
        <v>0</v>
      </c>
      <c r="DN99" s="1484"/>
      <c r="DO99" s="1484"/>
      <c r="DP99" s="1484"/>
      <c r="DQ99" s="1484">
        <v>0</v>
      </c>
      <c r="DR99" s="1484">
        <v>0</v>
      </c>
      <c r="DS99" s="1484">
        <v>8</v>
      </c>
      <c r="DT99" s="95">
        <v>2</v>
      </c>
      <c r="DU99" s="95"/>
      <c r="DV99" s="95">
        <v>10</v>
      </c>
      <c r="DW99" s="95"/>
      <c r="DY99" s="1209" t="s">
        <v>25</v>
      </c>
      <c r="DZ99" s="1209" t="s">
        <v>4</v>
      </c>
      <c r="EA99" s="1210" t="s">
        <v>119</v>
      </c>
      <c r="EB99" s="1211" t="s">
        <v>1074</v>
      </c>
      <c r="EC99" s="1213">
        <v>1</v>
      </c>
      <c r="ED99" s="1212"/>
      <c r="EE99" s="1213">
        <v>1</v>
      </c>
      <c r="EF99" s="1212"/>
      <c r="EG99" s="1212"/>
      <c r="EH99" s="1212"/>
      <c r="EI99" s="1213">
        <v>0</v>
      </c>
      <c r="EJ99" s="1213">
        <v>0</v>
      </c>
      <c r="EK99" s="612">
        <v>0</v>
      </c>
      <c r="EL99" s="612">
        <v>0</v>
      </c>
      <c r="EM99" s="612">
        <v>2</v>
      </c>
      <c r="EN99" s="36"/>
      <c r="EP99" s="527"/>
      <c r="EQ99" s="527"/>
      <c r="ER99" s="528"/>
      <c r="ES99" s="529" t="s">
        <v>1163</v>
      </c>
      <c r="ET99" s="531">
        <v>0</v>
      </c>
      <c r="EU99" s="531">
        <v>0</v>
      </c>
      <c r="EV99" s="531">
        <v>0</v>
      </c>
      <c r="EW99" s="530"/>
      <c r="EX99" s="530"/>
      <c r="EY99" s="531">
        <v>1</v>
      </c>
      <c r="EZ99" s="531">
        <v>1</v>
      </c>
      <c r="FA99" s="531">
        <v>0</v>
      </c>
      <c r="FB99" s="527"/>
      <c r="FC99" s="527"/>
      <c r="FD99" s="532">
        <v>2</v>
      </c>
      <c r="FE99" s="95"/>
      <c r="FG99" s="533"/>
      <c r="FH99" s="533"/>
      <c r="FI99" s="533"/>
      <c r="FJ99" s="534" t="s">
        <v>1080</v>
      </c>
      <c r="FK99" s="535"/>
      <c r="FL99" s="536">
        <v>0</v>
      </c>
      <c r="FM99" s="535"/>
      <c r="FN99" s="536">
        <v>0</v>
      </c>
      <c r="FO99" s="535"/>
      <c r="FP99" s="535"/>
      <c r="FQ99" s="535"/>
      <c r="FR99" s="536">
        <v>0</v>
      </c>
      <c r="FS99" s="536">
        <v>2</v>
      </c>
      <c r="FT99" s="538">
        <v>2</v>
      </c>
      <c r="FU99" s="538">
        <v>2</v>
      </c>
      <c r="FV99" s="538">
        <v>6</v>
      </c>
      <c r="FW99" s="539"/>
      <c r="FY99" s="540"/>
      <c r="FZ99" s="540" t="s">
        <v>41</v>
      </c>
      <c r="GA99" s="540" t="s">
        <v>128</v>
      </c>
      <c r="GB99" s="541" t="s">
        <v>1072</v>
      </c>
      <c r="GC99" s="542"/>
      <c r="GD99" s="542"/>
      <c r="GE99" s="542"/>
      <c r="GF99" s="542"/>
      <c r="GG99" s="542"/>
      <c r="GH99" s="543">
        <v>0</v>
      </c>
      <c r="GI99" s="543">
        <v>2</v>
      </c>
      <c r="GJ99" s="543">
        <v>0</v>
      </c>
      <c r="GK99" s="542"/>
      <c r="GL99" s="542"/>
      <c r="GM99" s="543">
        <v>2</v>
      </c>
      <c r="GN99" s="445"/>
      <c r="GP99" s="63"/>
      <c r="GQ99" s="63"/>
      <c r="GR99" s="37"/>
      <c r="GS99" s="37" t="s">
        <v>1080</v>
      </c>
      <c r="GT99" s="63"/>
      <c r="GU99" s="63"/>
      <c r="GV99" s="63"/>
      <c r="GW99" s="63"/>
      <c r="GX99" s="63"/>
      <c r="GY99" s="63">
        <v>0</v>
      </c>
      <c r="GZ99" s="63">
        <v>0</v>
      </c>
      <c r="HA99" s="63">
        <v>9</v>
      </c>
      <c r="HB99" s="63"/>
      <c r="HC99" s="63"/>
      <c r="HD99" s="63">
        <v>9</v>
      </c>
      <c r="HE99" s="37"/>
      <c r="HF99" s="37"/>
      <c r="HG99" s="446"/>
      <c r="HH99" s="446"/>
      <c r="HI99" s="446"/>
      <c r="HJ99" s="446" t="s">
        <v>1072</v>
      </c>
      <c r="HK99" s="446">
        <v>0</v>
      </c>
      <c r="HL99" s="446">
        <v>0</v>
      </c>
      <c r="HM99" s="446">
        <v>1</v>
      </c>
      <c r="HN99" s="446">
        <v>0</v>
      </c>
      <c r="HO99" s="446">
        <v>0</v>
      </c>
      <c r="HP99" s="446">
        <v>0</v>
      </c>
      <c r="HQ99" s="446">
        <v>0</v>
      </c>
      <c r="HR99" s="446">
        <v>0</v>
      </c>
      <c r="HS99" s="446">
        <v>0</v>
      </c>
      <c r="HT99" s="446">
        <v>0</v>
      </c>
      <c r="HU99" s="446">
        <v>0</v>
      </c>
      <c r="HV99" s="447">
        <v>1</v>
      </c>
      <c r="HW99" s="544"/>
      <c r="HX99" s="448"/>
    </row>
    <row r="100" spans="1:232" ht="24">
      <c r="A100" s="5682">
        <v>1</v>
      </c>
      <c r="B100" s="5682">
        <v>4</v>
      </c>
      <c r="C100" s="5683" t="s">
        <v>1527</v>
      </c>
      <c r="D100" s="5683" t="s">
        <v>2709</v>
      </c>
      <c r="E100" s="5682">
        <v>1</v>
      </c>
      <c r="F100" s="5682">
        <v>1</v>
      </c>
      <c r="I100" s="4915">
        <v>2</v>
      </c>
      <c r="J100" s="4915">
        <v>1</v>
      </c>
      <c r="K100" s="4916" t="s">
        <v>119</v>
      </c>
      <c r="L100" s="4916" t="s">
        <v>2703</v>
      </c>
      <c r="M100" s="4915">
        <v>1</v>
      </c>
      <c r="N100" s="4915">
        <v>2</v>
      </c>
      <c r="O100" s="157"/>
      <c r="Q100" s="4705">
        <v>2</v>
      </c>
      <c r="R100" s="4705">
        <v>1</v>
      </c>
      <c r="S100" s="4706" t="s">
        <v>122</v>
      </c>
      <c r="T100" s="4706" t="s">
        <v>1071</v>
      </c>
      <c r="U100" s="4707">
        <v>4</v>
      </c>
      <c r="V100" s="4707">
        <v>8</v>
      </c>
      <c r="W100" s="4722"/>
      <c r="Y100" s="36"/>
      <c r="Z100" s="36"/>
      <c r="AA100" s="36"/>
      <c r="AB100" s="36" t="s">
        <v>2571</v>
      </c>
      <c r="AC100" s="1681">
        <v>1</v>
      </c>
      <c r="AD100" s="1681"/>
      <c r="AE100" s="1681"/>
      <c r="AF100" s="1681"/>
      <c r="AG100" s="1681"/>
      <c r="AH100" s="1681"/>
      <c r="AI100" s="1681">
        <v>0</v>
      </c>
      <c r="AJ100" s="1681">
        <v>0</v>
      </c>
      <c r="AK100" s="1681">
        <v>0</v>
      </c>
      <c r="AL100" s="95">
        <v>0</v>
      </c>
      <c r="AM100" s="95">
        <v>1</v>
      </c>
      <c r="AN100" s="4545"/>
      <c r="AS100" s="3868" t="s">
        <v>1072</v>
      </c>
      <c r="AT100" s="3721">
        <v>0</v>
      </c>
      <c r="AU100" s="3721"/>
      <c r="AV100" s="3721"/>
      <c r="AW100" s="3721"/>
      <c r="AX100" s="3721"/>
      <c r="AY100" s="3721">
        <v>1</v>
      </c>
      <c r="AZ100" s="3721">
        <v>1</v>
      </c>
      <c r="BA100" s="3721">
        <v>0</v>
      </c>
      <c r="BB100" s="3721">
        <v>0</v>
      </c>
      <c r="BC100" s="2110"/>
      <c r="BD100" s="2110"/>
      <c r="BE100" s="2110">
        <v>2</v>
      </c>
      <c r="BF100" s="2110"/>
      <c r="BG100" s="2110"/>
      <c r="BJ100" s="1520"/>
      <c r="BK100" s="1520" t="s">
        <v>2264</v>
      </c>
      <c r="BL100" s="3872">
        <v>0</v>
      </c>
      <c r="BM100" s="3872">
        <v>1</v>
      </c>
      <c r="BN100" s="3872">
        <v>0</v>
      </c>
      <c r="BO100" s="3872">
        <v>0</v>
      </c>
      <c r="BP100" s="3872">
        <v>0</v>
      </c>
      <c r="BQ100" s="3872">
        <v>0</v>
      </c>
      <c r="BR100" s="3872">
        <v>0</v>
      </c>
      <c r="BS100" s="3872">
        <v>0</v>
      </c>
      <c r="BT100" s="3806">
        <v>0</v>
      </c>
      <c r="BU100" s="3806">
        <v>1</v>
      </c>
      <c r="BV100" s="1520"/>
      <c r="BX100" s="36" t="s">
        <v>25</v>
      </c>
      <c r="BY100" s="36" t="s">
        <v>4</v>
      </c>
      <c r="BZ100" s="36" t="s">
        <v>119</v>
      </c>
      <c r="CA100" s="36" t="s">
        <v>1072</v>
      </c>
      <c r="CB100" s="1681">
        <v>1</v>
      </c>
      <c r="CC100" s="1681"/>
      <c r="CD100" s="1681">
        <v>0</v>
      </c>
      <c r="CE100" s="1681">
        <v>0</v>
      </c>
      <c r="CF100" s="1681"/>
      <c r="CG100" s="1681">
        <v>0</v>
      </c>
      <c r="CH100" s="1681">
        <v>0</v>
      </c>
      <c r="CI100" s="1681">
        <v>0</v>
      </c>
      <c r="CJ100" s="95">
        <v>0</v>
      </c>
      <c r="CK100" s="95"/>
      <c r="CL100" s="95">
        <v>1</v>
      </c>
      <c r="CM100" s="36"/>
      <c r="CO100" s="37"/>
      <c r="CP100" s="37"/>
      <c r="CQ100" s="37"/>
      <c r="CR100" s="37" t="s">
        <v>1163</v>
      </c>
      <c r="CS100" s="1678">
        <v>0</v>
      </c>
      <c r="CT100" s="1678">
        <v>0</v>
      </c>
      <c r="CU100" s="1678">
        <v>0</v>
      </c>
      <c r="CV100" s="1678"/>
      <c r="CW100" s="1678">
        <v>0</v>
      </c>
      <c r="CX100" s="1678">
        <v>2</v>
      </c>
      <c r="CY100" s="1678">
        <v>0</v>
      </c>
      <c r="CZ100" s="1678">
        <v>0</v>
      </c>
      <c r="DA100" s="1678">
        <v>0</v>
      </c>
      <c r="DB100" s="63">
        <v>0</v>
      </c>
      <c r="DC100" s="63"/>
      <c r="DD100" s="63">
        <v>2</v>
      </c>
      <c r="DG100" s="95"/>
      <c r="DH100" s="95"/>
      <c r="DI100" s="36"/>
      <c r="DJ100" s="36" t="s">
        <v>1163</v>
      </c>
      <c r="DK100" s="1484"/>
      <c r="DL100" s="1484"/>
      <c r="DM100" s="1484">
        <v>0</v>
      </c>
      <c r="DN100" s="1484"/>
      <c r="DO100" s="1484"/>
      <c r="DP100" s="1484"/>
      <c r="DQ100" s="1484">
        <v>0</v>
      </c>
      <c r="DR100" s="1484">
        <v>2</v>
      </c>
      <c r="DS100" s="1484">
        <v>0</v>
      </c>
      <c r="DT100" s="95">
        <v>0</v>
      </c>
      <c r="DU100" s="95"/>
      <c r="DV100" s="95">
        <v>2</v>
      </c>
      <c r="DW100" s="95"/>
      <c r="DY100" s="1209"/>
      <c r="DZ100" s="1209"/>
      <c r="EA100" s="1210"/>
      <c r="EB100" s="1211" t="s">
        <v>1076</v>
      </c>
      <c r="EC100" s="1213">
        <v>0</v>
      </c>
      <c r="ED100" s="1212"/>
      <c r="EE100" s="1213">
        <v>0</v>
      </c>
      <c r="EF100" s="1212"/>
      <c r="EG100" s="1212"/>
      <c r="EH100" s="1212"/>
      <c r="EI100" s="1213">
        <v>1</v>
      </c>
      <c r="EJ100" s="1213">
        <v>0</v>
      </c>
      <c r="EK100" s="612">
        <v>0</v>
      </c>
      <c r="EL100" s="612">
        <v>0</v>
      </c>
      <c r="EM100" s="612">
        <v>1</v>
      </c>
      <c r="EN100" s="36"/>
      <c r="EP100" s="527"/>
      <c r="EQ100" s="527"/>
      <c r="ER100" s="528"/>
      <c r="ES100" s="555" t="s">
        <v>15</v>
      </c>
      <c r="ET100" s="557">
        <v>1</v>
      </c>
      <c r="EU100" s="557">
        <v>1</v>
      </c>
      <c r="EV100" s="557">
        <v>1</v>
      </c>
      <c r="EW100" s="556"/>
      <c r="EX100" s="556"/>
      <c r="EY100" s="557">
        <v>1</v>
      </c>
      <c r="EZ100" s="557">
        <v>3</v>
      </c>
      <c r="FA100" s="557">
        <v>4</v>
      </c>
      <c r="FB100" s="558"/>
      <c r="FC100" s="558"/>
      <c r="FD100" s="559">
        <v>11</v>
      </c>
      <c r="FE100" s="560">
        <f>+(FD97+FD99)/FD100</f>
        <v>0.36363636363636365</v>
      </c>
      <c r="FG100" s="533"/>
      <c r="FH100" s="533"/>
      <c r="FI100" s="533"/>
      <c r="FJ100" s="534" t="s">
        <v>1163</v>
      </c>
      <c r="FK100" s="535"/>
      <c r="FL100" s="536">
        <v>0</v>
      </c>
      <c r="FM100" s="535"/>
      <c r="FN100" s="536">
        <v>0</v>
      </c>
      <c r="FO100" s="535"/>
      <c r="FP100" s="535"/>
      <c r="FQ100" s="535"/>
      <c r="FR100" s="536">
        <v>1</v>
      </c>
      <c r="FS100" s="536">
        <v>0</v>
      </c>
      <c r="FT100" s="538">
        <v>0</v>
      </c>
      <c r="FU100" s="538">
        <v>0</v>
      </c>
      <c r="FV100" s="538">
        <v>1</v>
      </c>
      <c r="FW100" s="539"/>
      <c r="FY100" s="540"/>
      <c r="FZ100" s="540"/>
      <c r="GA100" s="540"/>
      <c r="GB100" s="541" t="s">
        <v>1076</v>
      </c>
      <c r="GC100" s="542"/>
      <c r="GD100" s="542"/>
      <c r="GE100" s="542"/>
      <c r="GF100" s="542"/>
      <c r="GG100" s="542"/>
      <c r="GH100" s="543">
        <v>1</v>
      </c>
      <c r="GI100" s="543">
        <v>5</v>
      </c>
      <c r="GJ100" s="543">
        <v>0</v>
      </c>
      <c r="GK100" s="542"/>
      <c r="GL100" s="542"/>
      <c r="GM100" s="543">
        <v>6</v>
      </c>
      <c r="GN100" s="445"/>
      <c r="GP100" s="63"/>
      <c r="GQ100" s="63"/>
      <c r="GR100" s="37"/>
      <c r="GS100" s="37" t="s">
        <v>1163</v>
      </c>
      <c r="GT100" s="63"/>
      <c r="GU100" s="63"/>
      <c r="GV100" s="63"/>
      <c r="GW100" s="63"/>
      <c r="GX100" s="63"/>
      <c r="GY100" s="63">
        <v>1</v>
      </c>
      <c r="GZ100" s="63">
        <v>3</v>
      </c>
      <c r="HA100" s="63">
        <v>0</v>
      </c>
      <c r="HB100" s="63"/>
      <c r="HC100" s="63"/>
      <c r="HD100" s="63">
        <v>4</v>
      </c>
      <c r="HE100" s="37"/>
      <c r="HF100" s="37"/>
      <c r="HG100" s="446"/>
      <c r="HH100" s="446"/>
      <c r="HI100" s="446"/>
      <c r="HJ100" s="446" t="s">
        <v>1076</v>
      </c>
      <c r="HK100" s="446">
        <v>0</v>
      </c>
      <c r="HL100" s="446">
        <v>0</v>
      </c>
      <c r="HM100" s="446">
        <v>0</v>
      </c>
      <c r="HN100" s="446">
        <v>0</v>
      </c>
      <c r="HO100" s="446">
        <v>0</v>
      </c>
      <c r="HP100" s="446">
        <v>0</v>
      </c>
      <c r="HQ100" s="446">
        <v>0</v>
      </c>
      <c r="HR100" s="446">
        <v>3</v>
      </c>
      <c r="HS100" s="446">
        <v>0</v>
      </c>
      <c r="HT100" s="446">
        <v>0</v>
      </c>
      <c r="HU100" s="446">
        <v>0</v>
      </c>
      <c r="HV100" s="447">
        <v>3</v>
      </c>
      <c r="HW100" s="544"/>
      <c r="HX100" s="448"/>
    </row>
    <row r="101" spans="1:232" ht="24">
      <c r="A101" s="5682">
        <v>1</v>
      </c>
      <c r="B101" s="5682">
        <v>4</v>
      </c>
      <c r="C101" s="5683" t="s">
        <v>1527</v>
      </c>
      <c r="D101" s="5683" t="s">
        <v>2709</v>
      </c>
      <c r="E101" s="5682">
        <v>1</v>
      </c>
      <c r="F101" s="5682">
        <v>8</v>
      </c>
      <c r="I101" s="4915">
        <v>2</v>
      </c>
      <c r="J101" s="4915">
        <v>1</v>
      </c>
      <c r="K101" s="4916" t="s">
        <v>119</v>
      </c>
      <c r="L101" s="4917" t="s">
        <v>1076</v>
      </c>
      <c r="M101" s="4922">
        <v>1</v>
      </c>
      <c r="N101" s="4915">
        <v>7</v>
      </c>
      <c r="O101" s="157"/>
      <c r="Q101" s="4705">
        <v>2</v>
      </c>
      <c r="R101" s="4705">
        <v>1</v>
      </c>
      <c r="S101" s="4706" t="s">
        <v>122</v>
      </c>
      <c r="T101" s="4706" t="s">
        <v>2703</v>
      </c>
      <c r="U101" s="4707">
        <v>2</v>
      </c>
      <c r="V101" s="4707">
        <v>1</v>
      </c>
      <c r="W101" s="4722"/>
      <c r="Y101" s="36"/>
      <c r="Z101" s="36"/>
      <c r="AA101" s="36"/>
      <c r="AB101" s="36" t="s">
        <v>15</v>
      </c>
      <c r="AC101" s="1681">
        <v>1</v>
      </c>
      <c r="AD101" s="1681"/>
      <c r="AE101" s="1681"/>
      <c r="AF101" s="1681"/>
      <c r="AG101" s="1681"/>
      <c r="AH101" s="1681"/>
      <c r="AI101" s="1681">
        <v>1</v>
      </c>
      <c r="AJ101" s="1681">
        <v>1</v>
      </c>
      <c r="AK101" s="1681">
        <v>3</v>
      </c>
      <c r="AL101" s="95">
        <v>10</v>
      </c>
      <c r="AM101" s="95">
        <v>16</v>
      </c>
      <c r="AN101" s="560">
        <f>+(AI98+AJ98)/(AM101-AM100)</f>
        <v>0.13333333333333333</v>
      </c>
      <c r="AS101" s="3868" t="s">
        <v>1080</v>
      </c>
      <c r="AT101" s="3721">
        <v>0</v>
      </c>
      <c r="AU101" s="3721"/>
      <c r="AV101" s="3721"/>
      <c r="AW101" s="3721"/>
      <c r="AX101" s="3721"/>
      <c r="AY101" s="3721">
        <v>0</v>
      </c>
      <c r="AZ101" s="3721">
        <v>0</v>
      </c>
      <c r="BA101" s="3721">
        <v>2</v>
      </c>
      <c r="BB101" s="3721">
        <v>17</v>
      </c>
      <c r="BC101" s="2110"/>
      <c r="BD101" s="2110"/>
      <c r="BE101" s="2110">
        <v>19</v>
      </c>
      <c r="BF101" s="2110"/>
      <c r="BG101" s="2110"/>
      <c r="BJ101" s="1520"/>
      <c r="BK101" s="1520" t="s">
        <v>105</v>
      </c>
      <c r="BL101" s="3872">
        <v>17</v>
      </c>
      <c r="BM101" s="3872">
        <v>6</v>
      </c>
      <c r="BN101" s="3872">
        <v>5</v>
      </c>
      <c r="BO101" s="3872">
        <v>4</v>
      </c>
      <c r="BP101" s="3872">
        <v>7</v>
      </c>
      <c r="BQ101" s="3872">
        <v>55</v>
      </c>
      <c r="BR101" s="3872">
        <v>89</v>
      </c>
      <c r="BS101" s="3872">
        <v>17</v>
      </c>
      <c r="BT101" s="3806">
        <v>13</v>
      </c>
      <c r="BU101" s="3806">
        <v>213</v>
      </c>
      <c r="BV101" s="3807">
        <f>+(BU95+BU98+BU99)/BU101</f>
        <v>7.9812206572769953E-2</v>
      </c>
      <c r="BX101" s="36"/>
      <c r="BY101" s="36"/>
      <c r="BZ101" s="36"/>
      <c r="CA101" s="36" t="s">
        <v>1076</v>
      </c>
      <c r="CB101" s="1681">
        <v>0</v>
      </c>
      <c r="CC101" s="1681"/>
      <c r="CD101" s="1681">
        <v>0</v>
      </c>
      <c r="CE101" s="1681">
        <v>0</v>
      </c>
      <c r="CF101" s="1681"/>
      <c r="CG101" s="1681">
        <v>0</v>
      </c>
      <c r="CH101" s="1681">
        <v>1</v>
      </c>
      <c r="CI101" s="1681">
        <v>1</v>
      </c>
      <c r="CJ101" s="95">
        <v>2</v>
      </c>
      <c r="CK101" s="95"/>
      <c r="CL101" s="95">
        <v>4</v>
      </c>
      <c r="CM101" s="36"/>
      <c r="CO101" s="37"/>
      <c r="CP101" s="37"/>
      <c r="CQ101" s="37"/>
      <c r="CR101" s="416" t="s">
        <v>484</v>
      </c>
      <c r="CS101" s="1679">
        <v>3</v>
      </c>
      <c r="CT101" s="1679">
        <v>3</v>
      </c>
      <c r="CU101" s="1679">
        <v>1</v>
      </c>
      <c r="CV101" s="1679"/>
      <c r="CW101" s="1679">
        <v>8</v>
      </c>
      <c r="CX101" s="1679">
        <v>12</v>
      </c>
      <c r="CY101" s="1679">
        <v>11</v>
      </c>
      <c r="CZ101" s="1679">
        <v>13</v>
      </c>
      <c r="DA101" s="1679">
        <v>23</v>
      </c>
      <c r="DB101" s="386">
        <v>6</v>
      </c>
      <c r="DC101" s="386"/>
      <c r="DD101" s="386">
        <v>80</v>
      </c>
      <c r="DE101" s="2045">
        <f>+(DD96+DD99-DB99+DD100)/DD101</f>
        <v>0.1875</v>
      </c>
      <c r="DG101" s="95"/>
      <c r="DH101" s="95"/>
      <c r="DI101" s="36"/>
      <c r="DJ101" s="393" t="s">
        <v>15</v>
      </c>
      <c r="DK101" s="1485"/>
      <c r="DL101" s="1485"/>
      <c r="DM101" s="1485">
        <v>1</v>
      </c>
      <c r="DN101" s="1485"/>
      <c r="DO101" s="1485"/>
      <c r="DP101" s="1485"/>
      <c r="DQ101" s="1485">
        <v>3</v>
      </c>
      <c r="DR101" s="1485">
        <v>8</v>
      </c>
      <c r="DS101" s="1485">
        <v>10</v>
      </c>
      <c r="DT101" s="86">
        <v>5</v>
      </c>
      <c r="DU101" s="86"/>
      <c r="DV101" s="86">
        <v>27</v>
      </c>
      <c r="DW101" s="560">
        <f>+(DV98+DV100)/DV101</f>
        <v>0.1111111111111111</v>
      </c>
      <c r="DY101" s="1209"/>
      <c r="DZ101" s="1209"/>
      <c r="EA101" s="1210"/>
      <c r="EB101" s="1211" t="s">
        <v>1077</v>
      </c>
      <c r="EC101" s="1213">
        <v>0</v>
      </c>
      <c r="ED101" s="1212"/>
      <c r="EE101" s="1213">
        <v>1</v>
      </c>
      <c r="EF101" s="1212"/>
      <c r="EG101" s="1212"/>
      <c r="EH101" s="1212"/>
      <c r="EI101" s="1213">
        <v>0</v>
      </c>
      <c r="EJ101" s="1213">
        <v>0</v>
      </c>
      <c r="EK101" s="612">
        <v>0</v>
      </c>
      <c r="EL101" s="612">
        <v>0</v>
      </c>
      <c r="EM101" s="612">
        <v>1</v>
      </c>
      <c r="EN101" s="36"/>
      <c r="EP101" s="527"/>
      <c r="EQ101" s="527"/>
      <c r="ER101" s="528" t="s">
        <v>123</v>
      </c>
      <c r="ES101" s="529" t="s">
        <v>1071</v>
      </c>
      <c r="ET101" s="531">
        <v>0</v>
      </c>
      <c r="EU101" s="530"/>
      <c r="EV101" s="530"/>
      <c r="EW101" s="531">
        <v>0</v>
      </c>
      <c r="EX101" s="530"/>
      <c r="EY101" s="531">
        <v>0</v>
      </c>
      <c r="EZ101" s="530"/>
      <c r="FA101" s="531">
        <v>1</v>
      </c>
      <c r="FB101" s="532">
        <v>0</v>
      </c>
      <c r="FC101" s="527"/>
      <c r="FD101" s="532">
        <v>1</v>
      </c>
      <c r="FE101" s="95"/>
      <c r="FG101" s="533"/>
      <c r="FH101" s="533"/>
      <c r="FI101" s="533"/>
      <c r="FJ101" s="545" t="s">
        <v>15</v>
      </c>
      <c r="FK101" s="546"/>
      <c r="FL101" s="547">
        <v>3</v>
      </c>
      <c r="FM101" s="546"/>
      <c r="FN101" s="547">
        <v>1</v>
      </c>
      <c r="FO101" s="546"/>
      <c r="FP101" s="546"/>
      <c r="FQ101" s="546"/>
      <c r="FR101" s="547">
        <v>3</v>
      </c>
      <c r="FS101" s="547">
        <v>8</v>
      </c>
      <c r="FT101" s="549">
        <v>3</v>
      </c>
      <c r="FU101" s="549">
        <v>2</v>
      </c>
      <c r="FV101" s="549">
        <v>20</v>
      </c>
      <c r="FW101" s="539">
        <f>+(FV100+FV98-FT98)/FV101</f>
        <v>0.25</v>
      </c>
      <c r="FY101" s="540"/>
      <c r="FZ101" s="540"/>
      <c r="GA101" s="540"/>
      <c r="GB101" s="541" t="s">
        <v>1080</v>
      </c>
      <c r="GC101" s="542"/>
      <c r="GD101" s="542"/>
      <c r="GE101" s="542"/>
      <c r="GF101" s="542"/>
      <c r="GG101" s="542"/>
      <c r="GH101" s="543">
        <v>0</v>
      </c>
      <c r="GI101" s="543">
        <v>0</v>
      </c>
      <c r="GJ101" s="543">
        <v>2</v>
      </c>
      <c r="GK101" s="542"/>
      <c r="GL101" s="542"/>
      <c r="GM101" s="543">
        <v>2</v>
      </c>
      <c r="GN101" s="445"/>
      <c r="GP101" s="63"/>
      <c r="GQ101" s="63"/>
      <c r="GR101" s="37"/>
      <c r="GS101" s="416" t="s">
        <v>15</v>
      </c>
      <c r="GT101" s="386"/>
      <c r="GU101" s="386"/>
      <c r="GV101" s="386"/>
      <c r="GW101" s="386"/>
      <c r="GX101" s="386"/>
      <c r="GY101" s="386">
        <v>1</v>
      </c>
      <c r="GZ101" s="386">
        <v>13</v>
      </c>
      <c r="HA101" s="386">
        <v>9</v>
      </c>
      <c r="HB101" s="386"/>
      <c r="HC101" s="386"/>
      <c r="HD101" s="386">
        <v>23</v>
      </c>
      <c r="HE101" s="466">
        <f>+(HD98+HD100)/HD101</f>
        <v>0.56521739130434778</v>
      </c>
      <c r="HF101" s="37"/>
      <c r="HG101" s="446"/>
      <c r="HH101" s="446"/>
      <c r="HI101" s="446"/>
      <c r="HJ101" s="446" t="s">
        <v>1163</v>
      </c>
      <c r="HK101" s="446">
        <v>0</v>
      </c>
      <c r="HL101" s="446">
        <v>0</v>
      </c>
      <c r="HM101" s="446">
        <v>0</v>
      </c>
      <c r="HN101" s="446">
        <v>0</v>
      </c>
      <c r="HO101" s="446">
        <v>0</v>
      </c>
      <c r="HP101" s="446">
        <v>0</v>
      </c>
      <c r="HQ101" s="446">
        <v>0</v>
      </c>
      <c r="HR101" s="446">
        <v>4</v>
      </c>
      <c r="HS101" s="446">
        <v>0</v>
      </c>
      <c r="HT101" s="446">
        <v>0</v>
      </c>
      <c r="HU101" s="446">
        <v>0</v>
      </c>
      <c r="HV101" s="447">
        <v>4</v>
      </c>
      <c r="HW101" s="544"/>
      <c r="HX101" s="448"/>
    </row>
    <row r="102" spans="1:232">
      <c r="A102" s="5682"/>
      <c r="B102" s="5682"/>
      <c r="C102" s="5683"/>
      <c r="D102" s="5683"/>
      <c r="E102" s="5686">
        <f>SUM(E99:E101)</f>
        <v>3</v>
      </c>
      <c r="F102" s="5682"/>
      <c r="G102" s="4921">
        <v>0</v>
      </c>
      <c r="I102" s="4915">
        <v>2</v>
      </c>
      <c r="J102" s="4915">
        <v>1</v>
      </c>
      <c r="K102" s="4916" t="s">
        <v>119</v>
      </c>
      <c r="L102" s="4916" t="s">
        <v>2709</v>
      </c>
      <c r="M102" s="4915">
        <v>1</v>
      </c>
      <c r="N102" s="4915">
        <v>6</v>
      </c>
      <c r="O102" s="157"/>
      <c r="Q102" s="4705">
        <v>2</v>
      </c>
      <c r="R102" s="4705">
        <v>1</v>
      </c>
      <c r="S102" s="4706" t="s">
        <v>122</v>
      </c>
      <c r="T102" s="4706" t="s">
        <v>2709</v>
      </c>
      <c r="U102" s="4707">
        <v>2</v>
      </c>
      <c r="V102" s="4707">
        <v>5</v>
      </c>
      <c r="W102" s="4722"/>
      <c r="X102" s="2117"/>
      <c r="Y102" s="36"/>
      <c r="Z102" s="36"/>
      <c r="AA102" s="393" t="s">
        <v>482</v>
      </c>
      <c r="AB102" s="36" t="s">
        <v>1071</v>
      </c>
      <c r="AC102" s="1681">
        <v>0</v>
      </c>
      <c r="AD102" s="1681">
        <v>0</v>
      </c>
      <c r="AE102" s="1681">
        <v>0</v>
      </c>
      <c r="AF102" s="1681">
        <v>0</v>
      </c>
      <c r="AG102" s="1681">
        <v>0</v>
      </c>
      <c r="AH102" s="1681">
        <v>0</v>
      </c>
      <c r="AI102" s="1681">
        <v>0</v>
      </c>
      <c r="AJ102" s="1681">
        <v>1</v>
      </c>
      <c r="AK102" s="1681">
        <v>0</v>
      </c>
      <c r="AL102" s="95">
        <v>1</v>
      </c>
      <c r="AM102" s="95">
        <v>2</v>
      </c>
      <c r="AN102" s="4545"/>
      <c r="AS102" s="3868" t="s">
        <v>2571</v>
      </c>
      <c r="AT102" s="3721">
        <v>1</v>
      </c>
      <c r="AU102" s="3721"/>
      <c r="AV102" s="3721"/>
      <c r="AW102" s="3721"/>
      <c r="AX102" s="3721"/>
      <c r="AY102" s="3721">
        <v>0</v>
      </c>
      <c r="AZ102" s="3721">
        <v>0</v>
      </c>
      <c r="BA102" s="3721">
        <v>0</v>
      </c>
      <c r="BB102" s="3721">
        <v>0</v>
      </c>
      <c r="BC102" s="2110"/>
      <c r="BD102" s="2110"/>
      <c r="BE102" s="2110">
        <v>1</v>
      </c>
      <c r="BF102" s="2110"/>
      <c r="BG102" s="2110"/>
      <c r="BH102" s="32" t="s">
        <v>25</v>
      </c>
      <c r="BI102" s="32" t="s">
        <v>4</v>
      </c>
      <c r="BJ102" s="32" t="s">
        <v>119</v>
      </c>
      <c r="BK102" s="32" t="s">
        <v>1071</v>
      </c>
      <c r="BL102" s="3871"/>
      <c r="BM102" s="3871"/>
      <c r="BN102" s="3871"/>
      <c r="BO102" s="3871"/>
      <c r="BP102" s="3871">
        <v>0</v>
      </c>
      <c r="BQ102" s="3871"/>
      <c r="BR102" s="3871">
        <v>3</v>
      </c>
      <c r="BS102" s="3871">
        <v>0</v>
      </c>
      <c r="BT102" s="1518">
        <v>0</v>
      </c>
      <c r="BU102" s="1518">
        <v>3</v>
      </c>
      <c r="BX102" s="36"/>
      <c r="BY102" s="36"/>
      <c r="BZ102" s="36"/>
      <c r="CA102" s="36" t="s">
        <v>1077</v>
      </c>
      <c r="CB102" s="1681">
        <v>0</v>
      </c>
      <c r="CC102" s="1681"/>
      <c r="CD102" s="1681">
        <v>1</v>
      </c>
      <c r="CE102" s="1681">
        <v>1</v>
      </c>
      <c r="CF102" s="1681"/>
      <c r="CG102" s="1681">
        <v>1</v>
      </c>
      <c r="CH102" s="1681">
        <v>0</v>
      </c>
      <c r="CI102" s="1681">
        <v>0</v>
      </c>
      <c r="CJ102" s="95">
        <v>0</v>
      </c>
      <c r="CK102" s="95"/>
      <c r="CL102" s="95">
        <v>3</v>
      </c>
      <c r="CM102" s="36"/>
      <c r="CO102" s="37"/>
      <c r="CP102" s="37"/>
      <c r="CQ102" s="37" t="s">
        <v>105</v>
      </c>
      <c r="CR102" s="37" t="s">
        <v>1071</v>
      </c>
      <c r="CS102" s="1678">
        <v>0</v>
      </c>
      <c r="CT102" s="1678">
        <v>0</v>
      </c>
      <c r="CU102" s="1678">
        <v>0</v>
      </c>
      <c r="CV102" s="1678">
        <v>0</v>
      </c>
      <c r="CW102" s="1678">
        <v>0</v>
      </c>
      <c r="CX102" s="1678">
        <v>0</v>
      </c>
      <c r="CY102" s="1678">
        <v>0</v>
      </c>
      <c r="CZ102" s="1678">
        <v>2</v>
      </c>
      <c r="DA102" s="1678">
        <v>7</v>
      </c>
      <c r="DB102" s="63">
        <v>0</v>
      </c>
      <c r="DC102" s="63">
        <v>1</v>
      </c>
      <c r="DD102" s="63">
        <v>10</v>
      </c>
      <c r="DG102" s="95"/>
      <c r="DH102" s="95"/>
      <c r="DI102" s="36" t="s">
        <v>121</v>
      </c>
      <c r="DJ102" s="36" t="s">
        <v>1071</v>
      </c>
      <c r="DK102" s="1484"/>
      <c r="DL102" s="1484">
        <v>0</v>
      </c>
      <c r="DM102" s="1484"/>
      <c r="DN102" s="1484"/>
      <c r="DO102" s="1484"/>
      <c r="DP102" s="1484"/>
      <c r="DQ102" s="1484"/>
      <c r="DR102" s="1484">
        <v>1</v>
      </c>
      <c r="DS102" s="1484">
        <v>4</v>
      </c>
      <c r="DT102" s="95"/>
      <c r="DU102" s="95">
        <v>1</v>
      </c>
      <c r="DV102" s="95">
        <v>6</v>
      </c>
      <c r="DW102" s="95"/>
      <c r="DY102" s="1209"/>
      <c r="DZ102" s="1209"/>
      <c r="EA102" s="1210"/>
      <c r="EB102" s="1211" t="s">
        <v>1080</v>
      </c>
      <c r="EC102" s="1213">
        <v>0</v>
      </c>
      <c r="ED102" s="1212"/>
      <c r="EE102" s="1213">
        <v>0</v>
      </c>
      <c r="EF102" s="1212"/>
      <c r="EG102" s="1212"/>
      <c r="EH102" s="1212"/>
      <c r="EI102" s="1213">
        <v>0</v>
      </c>
      <c r="EJ102" s="1213">
        <v>2</v>
      </c>
      <c r="EK102" s="612">
        <v>1</v>
      </c>
      <c r="EL102" s="612">
        <v>1</v>
      </c>
      <c r="EM102" s="612">
        <v>4</v>
      </c>
      <c r="EN102" s="36"/>
      <c r="EP102" s="527"/>
      <c r="EQ102" s="527"/>
      <c r="ER102" s="528"/>
      <c r="ES102" s="529" t="s">
        <v>1072</v>
      </c>
      <c r="ET102" s="531">
        <v>1</v>
      </c>
      <c r="EU102" s="530"/>
      <c r="EV102" s="530"/>
      <c r="EW102" s="531">
        <v>0</v>
      </c>
      <c r="EX102" s="530"/>
      <c r="EY102" s="531">
        <v>0</v>
      </c>
      <c r="EZ102" s="530"/>
      <c r="FA102" s="531">
        <v>1</v>
      </c>
      <c r="FB102" s="532">
        <v>0</v>
      </c>
      <c r="FC102" s="527"/>
      <c r="FD102" s="532">
        <v>2</v>
      </c>
      <c r="FE102" s="95"/>
      <c r="FG102" s="533"/>
      <c r="FH102" s="533"/>
      <c r="FI102" s="533" t="s">
        <v>388</v>
      </c>
      <c r="FJ102" s="534" t="s">
        <v>1071</v>
      </c>
      <c r="FK102" s="535"/>
      <c r="FL102" s="535"/>
      <c r="FM102" s="535"/>
      <c r="FN102" s="535"/>
      <c r="FO102" s="535"/>
      <c r="FP102" s="535"/>
      <c r="FQ102" s="536">
        <v>0</v>
      </c>
      <c r="FR102" s="536">
        <v>1</v>
      </c>
      <c r="FS102" s="536">
        <v>2</v>
      </c>
      <c r="FT102" s="538">
        <v>1</v>
      </c>
      <c r="FU102" s="537"/>
      <c r="FV102" s="538">
        <v>4</v>
      </c>
      <c r="FW102" s="539"/>
      <c r="FY102" s="540"/>
      <c r="FZ102" s="540"/>
      <c r="GA102" s="540"/>
      <c r="GB102" s="541" t="s">
        <v>1163</v>
      </c>
      <c r="GC102" s="542"/>
      <c r="GD102" s="542"/>
      <c r="GE102" s="542"/>
      <c r="GF102" s="542"/>
      <c r="GG102" s="542"/>
      <c r="GH102" s="543">
        <v>0</v>
      </c>
      <c r="GI102" s="543">
        <v>3</v>
      </c>
      <c r="GJ102" s="543">
        <v>0</v>
      </c>
      <c r="GK102" s="542"/>
      <c r="GL102" s="542"/>
      <c r="GM102" s="543">
        <v>3</v>
      </c>
      <c r="GN102" s="445"/>
      <c r="GP102" s="63"/>
      <c r="GQ102" s="63"/>
      <c r="GR102" s="37" t="s">
        <v>130</v>
      </c>
      <c r="GS102" s="37" t="s">
        <v>1072</v>
      </c>
      <c r="GT102" s="63"/>
      <c r="GU102" s="63"/>
      <c r="GV102" s="63"/>
      <c r="GW102" s="63"/>
      <c r="GX102" s="63"/>
      <c r="GY102" s="63"/>
      <c r="GZ102" s="63">
        <v>2</v>
      </c>
      <c r="HA102" s="63">
        <v>0</v>
      </c>
      <c r="HB102" s="63"/>
      <c r="HC102" s="63"/>
      <c r="HD102" s="63">
        <v>2</v>
      </c>
      <c r="HE102" s="37"/>
      <c r="HF102" s="37"/>
      <c r="HG102" s="446"/>
      <c r="HH102" s="446"/>
      <c r="HI102" s="446"/>
      <c r="HJ102" s="449" t="s">
        <v>15</v>
      </c>
      <c r="HK102" s="449">
        <v>0</v>
      </c>
      <c r="HL102" s="449">
        <v>0</v>
      </c>
      <c r="HM102" s="449">
        <v>1</v>
      </c>
      <c r="HN102" s="449">
        <v>0</v>
      </c>
      <c r="HO102" s="449">
        <v>0</v>
      </c>
      <c r="HP102" s="449">
        <v>0</v>
      </c>
      <c r="HQ102" s="449">
        <v>0</v>
      </c>
      <c r="HR102" s="449">
        <v>7</v>
      </c>
      <c r="HS102" s="449">
        <v>0</v>
      </c>
      <c r="HT102" s="449">
        <v>0</v>
      </c>
      <c r="HU102" s="449">
        <v>1</v>
      </c>
      <c r="HV102" s="507">
        <v>9</v>
      </c>
      <c r="HW102" s="554">
        <f>+(HV101+HV100)/HV102</f>
        <v>0.77777777777777779</v>
      </c>
      <c r="HX102" s="448">
        <f>+HV100+HV101</f>
        <v>7</v>
      </c>
    </row>
    <row r="103" spans="1:232">
      <c r="A103" s="5682"/>
      <c r="B103" s="5682"/>
      <c r="C103" s="5683"/>
      <c r="D103" s="5690" t="s">
        <v>2754</v>
      </c>
      <c r="E103" s="5693">
        <f>SUM(E86,E96)</f>
        <v>2</v>
      </c>
      <c r="F103" s="5682"/>
      <c r="I103" s="4915">
        <v>2</v>
      </c>
      <c r="J103" s="4915">
        <v>1</v>
      </c>
      <c r="K103" s="4916" t="s">
        <v>119</v>
      </c>
      <c r="L103" s="4916" t="s">
        <v>2709</v>
      </c>
      <c r="M103" s="4915">
        <v>1</v>
      </c>
      <c r="N103" s="4915">
        <v>7</v>
      </c>
      <c r="O103" s="157"/>
      <c r="Q103" s="4705">
        <v>2</v>
      </c>
      <c r="R103" s="4705">
        <v>1</v>
      </c>
      <c r="S103" s="4706" t="s">
        <v>122</v>
      </c>
      <c r="T103" s="4706" t="s">
        <v>2709</v>
      </c>
      <c r="U103" s="4707">
        <v>2</v>
      </c>
      <c r="V103" s="4707">
        <v>7</v>
      </c>
      <c r="W103" s="4722"/>
      <c r="X103" s="4452"/>
      <c r="Y103" s="36"/>
      <c r="Z103" s="36"/>
      <c r="AA103" s="36"/>
      <c r="AB103" s="36" t="s">
        <v>1072</v>
      </c>
      <c r="AC103" s="1681">
        <v>0</v>
      </c>
      <c r="AD103" s="1681">
        <v>0</v>
      </c>
      <c r="AE103" s="1681">
        <v>1</v>
      </c>
      <c r="AF103" s="1681">
        <v>1</v>
      </c>
      <c r="AG103" s="1681">
        <v>1</v>
      </c>
      <c r="AH103" s="1681">
        <v>3</v>
      </c>
      <c r="AI103" s="1681">
        <v>3</v>
      </c>
      <c r="AJ103" s="1681">
        <v>2</v>
      </c>
      <c r="AK103" s="1681">
        <v>3</v>
      </c>
      <c r="AL103" s="95">
        <v>0</v>
      </c>
      <c r="AM103" s="95">
        <v>14</v>
      </c>
      <c r="AN103" s="4545"/>
      <c r="AS103" s="27" t="s">
        <v>15</v>
      </c>
      <c r="AT103" s="3722">
        <v>1</v>
      </c>
      <c r="AU103" s="3722"/>
      <c r="AV103" s="3722"/>
      <c r="AW103" s="3722"/>
      <c r="AX103" s="3722"/>
      <c r="AY103" s="3722">
        <v>2</v>
      </c>
      <c r="AZ103" s="3722">
        <v>1</v>
      </c>
      <c r="BA103" s="3722">
        <v>2</v>
      </c>
      <c r="BB103" s="3722">
        <v>17</v>
      </c>
      <c r="BC103" s="3701"/>
      <c r="BD103" s="3701"/>
      <c r="BE103" s="3701">
        <v>23</v>
      </c>
      <c r="BF103" s="1665">
        <v>0</v>
      </c>
      <c r="BG103" s="1665"/>
      <c r="BK103" s="32" t="s">
        <v>1072</v>
      </c>
      <c r="BL103" s="3871"/>
      <c r="BM103" s="3871"/>
      <c r="BN103" s="3871"/>
      <c r="BO103" s="3871"/>
      <c r="BP103" s="3871">
        <v>1</v>
      </c>
      <c r="BQ103" s="3871"/>
      <c r="BR103" s="3871">
        <v>1</v>
      </c>
      <c r="BS103" s="3871">
        <v>0</v>
      </c>
      <c r="BT103" s="1518">
        <v>0</v>
      </c>
      <c r="BU103" s="1518">
        <v>2</v>
      </c>
      <c r="BX103" s="36"/>
      <c r="BY103" s="36"/>
      <c r="BZ103" s="36"/>
      <c r="CA103" s="36" t="s">
        <v>1080</v>
      </c>
      <c r="CB103" s="1681">
        <v>0</v>
      </c>
      <c r="CC103" s="1681"/>
      <c r="CD103" s="1681">
        <v>0</v>
      </c>
      <c r="CE103" s="1681">
        <v>0</v>
      </c>
      <c r="CF103" s="1681"/>
      <c r="CG103" s="1681">
        <v>0</v>
      </c>
      <c r="CH103" s="1681">
        <v>0</v>
      </c>
      <c r="CI103" s="1681">
        <v>7</v>
      </c>
      <c r="CJ103" s="95">
        <v>4</v>
      </c>
      <c r="CK103" s="95"/>
      <c r="CL103" s="95">
        <v>11</v>
      </c>
      <c r="CM103" s="36"/>
      <c r="CO103" s="37"/>
      <c r="CP103" s="37"/>
      <c r="CQ103" s="37"/>
      <c r="CR103" s="37" t="s">
        <v>1072</v>
      </c>
      <c r="CS103" s="1678">
        <v>2</v>
      </c>
      <c r="CT103" s="1678">
        <v>9</v>
      </c>
      <c r="CU103" s="1678">
        <v>2</v>
      </c>
      <c r="CV103" s="1678">
        <v>2</v>
      </c>
      <c r="CW103" s="1678">
        <v>5</v>
      </c>
      <c r="CX103" s="1678">
        <v>7</v>
      </c>
      <c r="CY103" s="1678">
        <v>23</v>
      </c>
      <c r="CZ103" s="1678">
        <v>21</v>
      </c>
      <c r="DA103" s="1678">
        <v>1</v>
      </c>
      <c r="DB103" s="63">
        <v>0</v>
      </c>
      <c r="DC103" s="63">
        <v>0</v>
      </c>
      <c r="DD103" s="63">
        <v>72</v>
      </c>
      <c r="DG103" s="95"/>
      <c r="DH103" s="95"/>
      <c r="DI103" s="36"/>
      <c r="DJ103" s="36" t="s">
        <v>1072</v>
      </c>
      <c r="DK103" s="1484"/>
      <c r="DL103" s="1484">
        <v>1</v>
      </c>
      <c r="DM103" s="1484"/>
      <c r="DN103" s="1484"/>
      <c r="DO103" s="1484"/>
      <c r="DP103" s="1484"/>
      <c r="DQ103" s="1484"/>
      <c r="DR103" s="1484">
        <v>0</v>
      </c>
      <c r="DS103" s="1484">
        <v>1</v>
      </c>
      <c r="DT103" s="95"/>
      <c r="DU103" s="95">
        <v>0</v>
      </c>
      <c r="DV103" s="95">
        <v>2</v>
      </c>
      <c r="DW103" s="95"/>
      <c r="DY103" s="1209"/>
      <c r="DZ103" s="1209"/>
      <c r="EA103" s="1210"/>
      <c r="EB103" s="415" t="s">
        <v>15</v>
      </c>
      <c r="EC103" s="1215">
        <v>1</v>
      </c>
      <c r="ED103" s="1214"/>
      <c r="EE103" s="1215">
        <v>2</v>
      </c>
      <c r="EF103" s="1214"/>
      <c r="EG103" s="1214"/>
      <c r="EH103" s="1214"/>
      <c r="EI103" s="1215">
        <v>1</v>
      </c>
      <c r="EJ103" s="1215">
        <v>2</v>
      </c>
      <c r="EK103" s="621">
        <v>1</v>
      </c>
      <c r="EL103" s="621">
        <v>1</v>
      </c>
      <c r="EM103" s="621">
        <v>8</v>
      </c>
      <c r="EN103" s="1178">
        <f>+EM100/EM103</f>
        <v>0.125</v>
      </c>
      <c r="EP103" s="527"/>
      <c r="EQ103" s="527"/>
      <c r="ER103" s="528"/>
      <c r="ES103" s="529" t="s">
        <v>1076</v>
      </c>
      <c r="ET103" s="531">
        <v>0</v>
      </c>
      <c r="EU103" s="530"/>
      <c r="EV103" s="530"/>
      <c r="EW103" s="531">
        <v>0</v>
      </c>
      <c r="EX103" s="530"/>
      <c r="EY103" s="531">
        <v>1</v>
      </c>
      <c r="EZ103" s="530"/>
      <c r="FA103" s="531">
        <v>2</v>
      </c>
      <c r="FB103" s="532">
        <v>0</v>
      </c>
      <c r="FC103" s="527"/>
      <c r="FD103" s="532">
        <v>3</v>
      </c>
      <c r="FE103" s="95"/>
      <c r="FG103" s="533"/>
      <c r="FH103" s="533"/>
      <c r="FI103" s="533"/>
      <c r="FJ103" s="534" t="s">
        <v>1072</v>
      </c>
      <c r="FK103" s="535"/>
      <c r="FL103" s="535"/>
      <c r="FM103" s="535"/>
      <c r="FN103" s="535"/>
      <c r="FO103" s="535"/>
      <c r="FP103" s="535"/>
      <c r="FQ103" s="536">
        <v>3</v>
      </c>
      <c r="FR103" s="536">
        <v>3</v>
      </c>
      <c r="FS103" s="536">
        <v>0</v>
      </c>
      <c r="FT103" s="538">
        <v>2</v>
      </c>
      <c r="FU103" s="537"/>
      <c r="FV103" s="538">
        <v>8</v>
      </c>
      <c r="FW103" s="539"/>
      <c r="FY103" s="540"/>
      <c r="FZ103" s="540"/>
      <c r="GA103" s="540"/>
      <c r="GB103" s="550" t="s">
        <v>15</v>
      </c>
      <c r="GC103" s="551"/>
      <c r="GD103" s="551"/>
      <c r="GE103" s="551"/>
      <c r="GF103" s="551"/>
      <c r="GG103" s="551"/>
      <c r="GH103" s="552">
        <v>1</v>
      </c>
      <c r="GI103" s="552">
        <v>10</v>
      </c>
      <c r="GJ103" s="552">
        <v>2</v>
      </c>
      <c r="GK103" s="551"/>
      <c r="GL103" s="551"/>
      <c r="GM103" s="552">
        <v>13</v>
      </c>
      <c r="GN103" s="553">
        <f>+(GM102+GM100)/GM103</f>
        <v>0.69230769230769229</v>
      </c>
      <c r="GP103" s="63"/>
      <c r="GQ103" s="63"/>
      <c r="GR103" s="37"/>
      <c r="GS103" s="37" t="s">
        <v>1076</v>
      </c>
      <c r="GT103" s="63"/>
      <c r="GU103" s="63"/>
      <c r="GV103" s="63"/>
      <c r="GW103" s="63"/>
      <c r="GX103" s="63"/>
      <c r="GY103" s="63"/>
      <c r="GZ103" s="63">
        <v>3</v>
      </c>
      <c r="HA103" s="63">
        <v>0</v>
      </c>
      <c r="HB103" s="63"/>
      <c r="HC103" s="63"/>
      <c r="HD103" s="63">
        <v>3</v>
      </c>
      <c r="HE103" s="37"/>
      <c r="HF103" s="37"/>
      <c r="HG103" s="446"/>
      <c r="HH103" s="446" t="s">
        <v>41</v>
      </c>
      <c r="HI103" s="446" t="s">
        <v>128</v>
      </c>
      <c r="HJ103" s="446" t="s">
        <v>1071</v>
      </c>
      <c r="HK103" s="446">
        <v>0</v>
      </c>
      <c r="HL103" s="446">
        <v>0</v>
      </c>
      <c r="HM103" s="446">
        <v>0</v>
      </c>
      <c r="HN103" s="446">
        <v>0</v>
      </c>
      <c r="HO103" s="446">
        <v>0</v>
      </c>
      <c r="HP103" s="446">
        <v>0</v>
      </c>
      <c r="HQ103" s="446">
        <v>0</v>
      </c>
      <c r="HR103" s="446">
        <v>0</v>
      </c>
      <c r="HS103" s="446">
        <v>1</v>
      </c>
      <c r="HT103" s="446">
        <v>0</v>
      </c>
      <c r="HU103" s="446">
        <v>0</v>
      </c>
      <c r="HV103" s="447">
        <v>1</v>
      </c>
      <c r="HW103" s="544"/>
      <c r="HX103" s="448"/>
    </row>
    <row r="104" spans="1:232">
      <c r="A104" s="5682"/>
      <c r="B104" s="5682"/>
      <c r="C104" s="5686" t="s">
        <v>21</v>
      </c>
      <c r="D104" s="5683"/>
      <c r="E104" s="5686">
        <f>SUM(E102,E98,E94,E91)</f>
        <v>19</v>
      </c>
      <c r="F104" s="5682"/>
      <c r="G104" s="5692">
        <f>E103/E104</f>
        <v>0.10526315789473684</v>
      </c>
      <c r="I104" s="4915">
        <v>2</v>
      </c>
      <c r="J104" s="4915">
        <v>1</v>
      </c>
      <c r="K104" s="4916" t="s">
        <v>119</v>
      </c>
      <c r="L104" s="4916" t="s">
        <v>2709</v>
      </c>
      <c r="M104" s="4915">
        <v>1</v>
      </c>
      <c r="N104" s="4915">
        <v>8</v>
      </c>
      <c r="O104" s="157"/>
      <c r="Q104" s="4705"/>
      <c r="R104" s="4705"/>
      <c r="S104" s="4706"/>
      <c r="T104" s="4706"/>
      <c r="U104" s="4741">
        <f>SUM(U99:U103)</f>
        <v>15</v>
      </c>
      <c r="V104" s="4741"/>
      <c r="W104" s="4722">
        <v>0</v>
      </c>
      <c r="X104" s="2117"/>
      <c r="Y104" s="36"/>
      <c r="Z104" s="36"/>
      <c r="AA104" s="36"/>
      <c r="AB104" s="36" t="s">
        <v>1074</v>
      </c>
      <c r="AC104" s="1681">
        <v>0</v>
      </c>
      <c r="AD104" s="1681">
        <v>2</v>
      </c>
      <c r="AE104" s="1681">
        <v>1</v>
      </c>
      <c r="AF104" s="1681">
        <v>0</v>
      </c>
      <c r="AG104" s="1681">
        <v>0</v>
      </c>
      <c r="AH104" s="1681">
        <v>0</v>
      </c>
      <c r="AI104" s="1681">
        <v>0</v>
      </c>
      <c r="AJ104" s="1681">
        <v>0</v>
      </c>
      <c r="AK104" s="1681">
        <v>0</v>
      </c>
      <c r="AL104" s="95">
        <v>0</v>
      </c>
      <c r="AM104" s="95">
        <v>3</v>
      </c>
      <c r="AN104" s="4545"/>
      <c r="AR104" s="27" t="s">
        <v>105</v>
      </c>
      <c r="AS104" s="27" t="s">
        <v>1071</v>
      </c>
      <c r="AT104" s="3722">
        <v>0</v>
      </c>
      <c r="AU104" s="3722">
        <v>0</v>
      </c>
      <c r="AV104" s="3722">
        <v>0</v>
      </c>
      <c r="AW104" s="3722">
        <v>0</v>
      </c>
      <c r="AX104" s="3722">
        <v>0</v>
      </c>
      <c r="AY104" s="3722">
        <v>2</v>
      </c>
      <c r="AZ104" s="3722">
        <v>0</v>
      </c>
      <c r="BA104" s="3722">
        <v>0</v>
      </c>
      <c r="BB104" s="3722">
        <v>5</v>
      </c>
      <c r="BC104" s="3701">
        <v>0</v>
      </c>
      <c r="BD104" s="3701">
        <v>2</v>
      </c>
      <c r="BE104" s="3701">
        <v>9</v>
      </c>
      <c r="BF104" s="3701"/>
      <c r="BG104" s="3701"/>
      <c r="BK104" s="32" t="s">
        <v>1076</v>
      </c>
      <c r="BL104" s="3871"/>
      <c r="BM104" s="3871"/>
      <c r="BN104" s="3871"/>
      <c r="BO104" s="3871"/>
      <c r="BP104" s="3871">
        <v>0</v>
      </c>
      <c r="BQ104" s="3871"/>
      <c r="BR104" s="3871">
        <v>1</v>
      </c>
      <c r="BS104" s="3871">
        <v>0</v>
      </c>
      <c r="BT104" s="1518">
        <v>0</v>
      </c>
      <c r="BU104" s="1518">
        <v>1</v>
      </c>
      <c r="BX104" s="36"/>
      <c r="BY104" s="36"/>
      <c r="BZ104" s="36"/>
      <c r="CA104" s="36" t="s">
        <v>1163</v>
      </c>
      <c r="CB104" s="1681">
        <v>0</v>
      </c>
      <c r="CC104" s="1681"/>
      <c r="CD104" s="1681">
        <v>0</v>
      </c>
      <c r="CE104" s="1681">
        <v>0</v>
      </c>
      <c r="CF104" s="1681"/>
      <c r="CG104" s="1681">
        <v>0</v>
      </c>
      <c r="CH104" s="1681">
        <v>1</v>
      </c>
      <c r="CI104" s="1681">
        <v>1</v>
      </c>
      <c r="CJ104" s="95">
        <v>0</v>
      </c>
      <c r="CK104" s="95"/>
      <c r="CL104" s="95">
        <v>2</v>
      </c>
      <c r="CM104" s="36"/>
      <c r="CO104" s="37"/>
      <c r="CP104" s="37"/>
      <c r="CQ104" s="37"/>
      <c r="CR104" s="37" t="s">
        <v>1074</v>
      </c>
      <c r="CS104" s="1678">
        <v>1</v>
      </c>
      <c r="CT104" s="1678">
        <v>0</v>
      </c>
      <c r="CU104" s="1678">
        <v>1</v>
      </c>
      <c r="CV104" s="1678">
        <v>0</v>
      </c>
      <c r="CW104" s="1678">
        <v>0</v>
      </c>
      <c r="CX104" s="1678">
        <v>0</v>
      </c>
      <c r="CY104" s="1678">
        <v>0</v>
      </c>
      <c r="CZ104" s="1678">
        <v>0</v>
      </c>
      <c r="DA104" s="1678">
        <v>0</v>
      </c>
      <c r="DB104" s="63">
        <v>0</v>
      </c>
      <c r="DC104" s="63">
        <v>0</v>
      </c>
      <c r="DD104" s="63">
        <v>2</v>
      </c>
      <c r="DG104" s="95"/>
      <c r="DH104" s="95"/>
      <c r="DI104" s="36"/>
      <c r="DJ104" s="36" t="s">
        <v>1076</v>
      </c>
      <c r="DK104" s="1484"/>
      <c r="DL104" s="1484">
        <v>0</v>
      </c>
      <c r="DM104" s="1484"/>
      <c r="DN104" s="1484"/>
      <c r="DO104" s="1484"/>
      <c r="DP104" s="1484"/>
      <c r="DQ104" s="1484"/>
      <c r="DR104" s="1484">
        <v>1</v>
      </c>
      <c r="DS104" s="1484">
        <v>1</v>
      </c>
      <c r="DT104" s="95"/>
      <c r="DU104" s="95">
        <v>0</v>
      </c>
      <c r="DV104" s="95">
        <v>2</v>
      </c>
      <c r="DW104" s="95"/>
      <c r="DY104" s="1209"/>
      <c r="DZ104" s="1209"/>
      <c r="EA104" s="1210" t="s">
        <v>120</v>
      </c>
      <c r="EB104" s="1211" t="s">
        <v>1071</v>
      </c>
      <c r="EC104" s="1213">
        <v>0</v>
      </c>
      <c r="ED104" s="1212"/>
      <c r="EE104" s="1213">
        <v>0</v>
      </c>
      <c r="EF104" s="1212"/>
      <c r="EG104" s="1212"/>
      <c r="EH104" s="1213">
        <v>0</v>
      </c>
      <c r="EI104" s="1213">
        <v>0</v>
      </c>
      <c r="EJ104" s="1213">
        <v>0</v>
      </c>
      <c r="EK104" s="612">
        <v>0</v>
      </c>
      <c r="EL104" s="612">
        <v>2</v>
      </c>
      <c r="EM104" s="612">
        <v>2</v>
      </c>
      <c r="EN104" s="36"/>
      <c r="EP104" s="527"/>
      <c r="EQ104" s="527"/>
      <c r="ER104" s="528"/>
      <c r="ES104" s="529" t="s">
        <v>1077</v>
      </c>
      <c r="ET104" s="531">
        <v>0</v>
      </c>
      <c r="EU104" s="530"/>
      <c r="EV104" s="530"/>
      <c r="EW104" s="531">
        <v>1</v>
      </c>
      <c r="EX104" s="530"/>
      <c r="EY104" s="531">
        <v>0</v>
      </c>
      <c r="EZ104" s="530"/>
      <c r="FA104" s="531">
        <v>0</v>
      </c>
      <c r="FB104" s="532">
        <v>0</v>
      </c>
      <c r="FC104" s="527"/>
      <c r="FD104" s="532">
        <v>1</v>
      </c>
      <c r="FE104" s="95"/>
      <c r="FG104" s="533"/>
      <c r="FH104" s="533"/>
      <c r="FI104" s="533"/>
      <c r="FJ104" s="534" t="s">
        <v>1076</v>
      </c>
      <c r="FK104" s="535"/>
      <c r="FL104" s="535"/>
      <c r="FM104" s="535"/>
      <c r="FN104" s="535"/>
      <c r="FO104" s="535"/>
      <c r="FP104" s="535"/>
      <c r="FQ104" s="536">
        <v>0</v>
      </c>
      <c r="FR104" s="536">
        <v>3</v>
      </c>
      <c r="FS104" s="536">
        <v>0</v>
      </c>
      <c r="FT104" s="538">
        <v>0</v>
      </c>
      <c r="FU104" s="537"/>
      <c r="FV104" s="538">
        <v>3</v>
      </c>
      <c r="FW104" s="539"/>
      <c r="FY104" s="540"/>
      <c r="FZ104" s="540"/>
      <c r="GA104" s="540" t="s">
        <v>129</v>
      </c>
      <c r="GB104" s="541" t="s">
        <v>1072</v>
      </c>
      <c r="GC104" s="542"/>
      <c r="GD104" s="542"/>
      <c r="GE104" s="542"/>
      <c r="GF104" s="542"/>
      <c r="GG104" s="542"/>
      <c r="GH104" s="543">
        <v>1</v>
      </c>
      <c r="GI104" s="543">
        <v>0</v>
      </c>
      <c r="GJ104" s="543">
        <v>0</v>
      </c>
      <c r="GK104" s="542"/>
      <c r="GL104" s="542"/>
      <c r="GM104" s="543">
        <v>1</v>
      </c>
      <c r="GN104" s="445"/>
      <c r="GP104" s="63"/>
      <c r="GQ104" s="63"/>
      <c r="GR104" s="37"/>
      <c r="GS104" s="37" t="s">
        <v>1080</v>
      </c>
      <c r="GT104" s="63"/>
      <c r="GU104" s="63"/>
      <c r="GV104" s="63"/>
      <c r="GW104" s="63"/>
      <c r="GX104" s="63"/>
      <c r="GY104" s="63"/>
      <c r="GZ104" s="63">
        <v>1</v>
      </c>
      <c r="HA104" s="63">
        <v>6</v>
      </c>
      <c r="HB104" s="63"/>
      <c r="HC104" s="63"/>
      <c r="HD104" s="63">
        <v>7</v>
      </c>
      <c r="HE104" s="37"/>
      <c r="HF104" s="37"/>
      <c r="HG104" s="446"/>
      <c r="HH104" s="446"/>
      <c r="HI104" s="446"/>
      <c r="HJ104" s="446" t="s">
        <v>1076</v>
      </c>
      <c r="HK104" s="446">
        <v>0</v>
      </c>
      <c r="HL104" s="446">
        <v>0</v>
      </c>
      <c r="HM104" s="446">
        <v>0</v>
      </c>
      <c r="HN104" s="446">
        <v>0</v>
      </c>
      <c r="HO104" s="446">
        <v>0</v>
      </c>
      <c r="HP104" s="446">
        <v>0</v>
      </c>
      <c r="HQ104" s="446">
        <v>5</v>
      </c>
      <c r="HR104" s="446">
        <v>3</v>
      </c>
      <c r="HS104" s="446">
        <v>0</v>
      </c>
      <c r="HT104" s="446">
        <v>0</v>
      </c>
      <c r="HU104" s="446">
        <v>0</v>
      </c>
      <c r="HV104" s="447">
        <v>8</v>
      </c>
      <c r="HW104" s="544"/>
      <c r="HX104" s="448"/>
    </row>
    <row r="105" spans="1:232">
      <c r="A105" s="5682"/>
      <c r="B105" s="5682"/>
      <c r="C105" s="5683"/>
      <c r="D105" s="5690" t="s">
        <v>2754</v>
      </c>
      <c r="E105" s="5693">
        <f>SUM(E47,E83,E103)</f>
        <v>28</v>
      </c>
      <c r="F105" s="5682"/>
      <c r="I105" s="4915"/>
      <c r="J105" s="4915"/>
      <c r="K105" s="4916"/>
      <c r="L105" s="4916"/>
      <c r="M105" s="4920">
        <f>SUM(M94:M104)</f>
        <v>20</v>
      </c>
      <c r="N105" s="4915"/>
      <c r="O105" s="4921">
        <f>(M98+M101)/(M105)</f>
        <v>0.1</v>
      </c>
      <c r="Q105" s="4705">
        <v>2</v>
      </c>
      <c r="R105" s="4705">
        <v>1</v>
      </c>
      <c r="S105" s="4706" t="s">
        <v>120</v>
      </c>
      <c r="T105" s="4706" t="s">
        <v>2731</v>
      </c>
      <c r="U105" s="4707">
        <v>6</v>
      </c>
      <c r="V105" s="4707">
        <v>8</v>
      </c>
      <c r="W105" s="4722"/>
      <c r="X105" s="4452"/>
      <c r="Y105" s="36"/>
      <c r="Z105" s="36"/>
      <c r="AA105" s="36"/>
      <c r="AB105" s="36" t="s">
        <v>1076</v>
      </c>
      <c r="AC105" s="1681">
        <v>0</v>
      </c>
      <c r="AD105" s="1681">
        <v>0</v>
      </c>
      <c r="AE105" s="1681">
        <v>0</v>
      </c>
      <c r="AF105" s="1681">
        <v>0</v>
      </c>
      <c r="AG105" s="1681">
        <v>0</v>
      </c>
      <c r="AH105" s="1681">
        <v>0</v>
      </c>
      <c r="AI105" s="1681">
        <v>1</v>
      </c>
      <c r="AJ105" s="1681">
        <v>5</v>
      </c>
      <c r="AK105" s="1681">
        <v>1</v>
      </c>
      <c r="AL105" s="95">
        <v>1</v>
      </c>
      <c r="AM105" s="95">
        <v>8</v>
      </c>
      <c r="AN105" s="4545"/>
      <c r="AR105" s="27"/>
      <c r="AS105" s="27" t="s">
        <v>1072</v>
      </c>
      <c r="AT105" s="3722">
        <v>0</v>
      </c>
      <c r="AU105" s="3722">
        <v>13</v>
      </c>
      <c r="AV105" s="3722">
        <v>3</v>
      </c>
      <c r="AW105" s="3722">
        <v>3</v>
      </c>
      <c r="AX105" s="3722">
        <v>0</v>
      </c>
      <c r="AY105" s="3722">
        <v>7</v>
      </c>
      <c r="AZ105" s="3722">
        <v>38</v>
      </c>
      <c r="BA105" s="3722">
        <v>18</v>
      </c>
      <c r="BB105" s="3722">
        <v>15</v>
      </c>
      <c r="BC105" s="3701">
        <v>0</v>
      </c>
      <c r="BD105" s="3701">
        <v>0</v>
      </c>
      <c r="BE105" s="3701">
        <v>97</v>
      </c>
      <c r="BF105" s="3701"/>
      <c r="BG105" s="3701"/>
      <c r="BK105" s="32" t="s">
        <v>1080</v>
      </c>
      <c r="BL105" s="3871"/>
      <c r="BM105" s="3871"/>
      <c r="BN105" s="3871"/>
      <c r="BO105" s="3871"/>
      <c r="BP105" s="3871">
        <v>0</v>
      </c>
      <c r="BQ105" s="3871"/>
      <c r="BR105" s="3871">
        <v>4</v>
      </c>
      <c r="BS105" s="3871">
        <v>8</v>
      </c>
      <c r="BT105" s="1518">
        <v>3</v>
      </c>
      <c r="BU105" s="1518">
        <v>15</v>
      </c>
      <c r="BX105" s="36"/>
      <c r="BY105" s="36"/>
      <c r="BZ105" s="36"/>
      <c r="CA105" s="393" t="s">
        <v>15</v>
      </c>
      <c r="CB105" s="1682">
        <v>1</v>
      </c>
      <c r="CC105" s="1682"/>
      <c r="CD105" s="1682">
        <v>1</v>
      </c>
      <c r="CE105" s="1682">
        <v>1</v>
      </c>
      <c r="CF105" s="1682"/>
      <c r="CG105" s="1682">
        <v>1</v>
      </c>
      <c r="CH105" s="1682">
        <v>2</v>
      </c>
      <c r="CI105" s="1682">
        <v>9</v>
      </c>
      <c r="CJ105" s="2041">
        <v>6</v>
      </c>
      <c r="CK105" s="2041"/>
      <c r="CL105" s="2041">
        <v>21</v>
      </c>
      <c r="CM105" s="560">
        <f>+(CL104+CL101-CJ101)/CL105</f>
        <v>0.19047619047619047</v>
      </c>
      <c r="CN105" s="1665"/>
      <c r="CO105" s="37"/>
      <c r="CP105" s="37"/>
      <c r="CQ105" s="37"/>
      <c r="CR105" s="37" t="s">
        <v>1076</v>
      </c>
      <c r="CS105" s="1678">
        <v>0</v>
      </c>
      <c r="CT105" s="1678">
        <v>0</v>
      </c>
      <c r="CU105" s="1678">
        <v>0</v>
      </c>
      <c r="CV105" s="1678">
        <v>0</v>
      </c>
      <c r="CW105" s="1678">
        <v>3</v>
      </c>
      <c r="CX105" s="1678">
        <v>2</v>
      </c>
      <c r="CY105" s="1678">
        <v>7</v>
      </c>
      <c r="CZ105" s="1678">
        <v>0</v>
      </c>
      <c r="DA105" s="1678">
        <v>1</v>
      </c>
      <c r="DB105" s="63">
        <v>0</v>
      </c>
      <c r="DC105" s="63">
        <v>0</v>
      </c>
      <c r="DD105" s="63">
        <v>13</v>
      </c>
      <c r="DG105" s="95"/>
      <c r="DH105" s="95"/>
      <c r="DI105" s="36"/>
      <c r="DJ105" s="36" t="s">
        <v>1080</v>
      </c>
      <c r="DK105" s="1484"/>
      <c r="DL105" s="1484">
        <v>0</v>
      </c>
      <c r="DM105" s="1484"/>
      <c r="DN105" s="1484"/>
      <c r="DO105" s="1484"/>
      <c r="DP105" s="1484"/>
      <c r="DQ105" s="1484"/>
      <c r="DR105" s="1484">
        <v>0</v>
      </c>
      <c r="DS105" s="1484">
        <v>2</v>
      </c>
      <c r="DT105" s="95"/>
      <c r="DU105" s="95">
        <v>0</v>
      </c>
      <c r="DV105" s="95">
        <v>2</v>
      </c>
      <c r="DW105" s="95"/>
      <c r="DY105" s="1209"/>
      <c r="DZ105" s="1209"/>
      <c r="EA105" s="1210"/>
      <c r="EB105" s="1211" t="s">
        <v>1072</v>
      </c>
      <c r="EC105" s="1213">
        <v>0</v>
      </c>
      <c r="ED105" s="1212"/>
      <c r="EE105" s="1213">
        <v>2</v>
      </c>
      <c r="EF105" s="1212"/>
      <c r="EG105" s="1212"/>
      <c r="EH105" s="1213">
        <v>1</v>
      </c>
      <c r="EI105" s="1213">
        <v>3</v>
      </c>
      <c r="EJ105" s="1213">
        <v>1</v>
      </c>
      <c r="EK105" s="612">
        <v>0</v>
      </c>
      <c r="EL105" s="612">
        <v>0</v>
      </c>
      <c r="EM105" s="612">
        <v>7</v>
      </c>
      <c r="EN105" s="36"/>
      <c r="EP105" s="527"/>
      <c r="EQ105" s="527"/>
      <c r="ER105" s="528"/>
      <c r="ES105" s="529" t="s">
        <v>1080</v>
      </c>
      <c r="ET105" s="531">
        <v>0</v>
      </c>
      <c r="EU105" s="530"/>
      <c r="EV105" s="530"/>
      <c r="EW105" s="531">
        <v>0</v>
      </c>
      <c r="EX105" s="530"/>
      <c r="EY105" s="531">
        <v>0</v>
      </c>
      <c r="EZ105" s="530"/>
      <c r="FA105" s="531">
        <v>5</v>
      </c>
      <c r="FB105" s="532">
        <v>1</v>
      </c>
      <c r="FC105" s="527"/>
      <c r="FD105" s="532">
        <v>6</v>
      </c>
      <c r="FE105" s="95"/>
      <c r="FG105" s="533"/>
      <c r="FH105" s="533"/>
      <c r="FI105" s="533"/>
      <c r="FJ105" s="534" t="s">
        <v>1080</v>
      </c>
      <c r="FK105" s="535"/>
      <c r="FL105" s="535"/>
      <c r="FM105" s="535"/>
      <c r="FN105" s="535"/>
      <c r="FO105" s="535"/>
      <c r="FP105" s="535"/>
      <c r="FQ105" s="536">
        <v>0</v>
      </c>
      <c r="FR105" s="536">
        <v>0</v>
      </c>
      <c r="FS105" s="536">
        <v>7</v>
      </c>
      <c r="FT105" s="538">
        <v>0</v>
      </c>
      <c r="FU105" s="537"/>
      <c r="FV105" s="538">
        <v>7</v>
      </c>
      <c r="FW105" s="539"/>
      <c r="FY105" s="540"/>
      <c r="FZ105" s="540"/>
      <c r="GA105" s="540"/>
      <c r="GB105" s="541" t="s">
        <v>1076</v>
      </c>
      <c r="GC105" s="542"/>
      <c r="GD105" s="542"/>
      <c r="GE105" s="542"/>
      <c r="GF105" s="542"/>
      <c r="GG105" s="542"/>
      <c r="GH105" s="543">
        <v>0</v>
      </c>
      <c r="GI105" s="543">
        <v>12</v>
      </c>
      <c r="GJ105" s="543">
        <v>0</v>
      </c>
      <c r="GK105" s="542"/>
      <c r="GL105" s="542"/>
      <c r="GM105" s="543">
        <v>12</v>
      </c>
      <c r="GN105" s="445"/>
      <c r="GP105" s="63"/>
      <c r="GQ105" s="63"/>
      <c r="GR105" s="37"/>
      <c r="GS105" s="416" t="s">
        <v>15</v>
      </c>
      <c r="GT105" s="386"/>
      <c r="GU105" s="386"/>
      <c r="GV105" s="386"/>
      <c r="GW105" s="386"/>
      <c r="GX105" s="386"/>
      <c r="GY105" s="386"/>
      <c r="GZ105" s="386">
        <v>6</v>
      </c>
      <c r="HA105" s="386">
        <v>6</v>
      </c>
      <c r="HB105" s="386"/>
      <c r="HC105" s="386"/>
      <c r="HD105" s="386">
        <v>12</v>
      </c>
      <c r="HE105" s="466">
        <f>+HD103/HD105</f>
        <v>0.25</v>
      </c>
      <c r="HF105" s="37"/>
      <c r="HG105" s="446"/>
      <c r="HH105" s="446"/>
      <c r="HI105" s="446"/>
      <c r="HJ105" s="446" t="s">
        <v>1080</v>
      </c>
      <c r="HK105" s="446">
        <v>0</v>
      </c>
      <c r="HL105" s="446">
        <v>0</v>
      </c>
      <c r="HM105" s="446">
        <v>0</v>
      </c>
      <c r="HN105" s="446">
        <v>0</v>
      </c>
      <c r="HO105" s="446">
        <v>0</v>
      </c>
      <c r="HP105" s="446">
        <v>0</v>
      </c>
      <c r="HQ105" s="446">
        <v>0</v>
      </c>
      <c r="HR105" s="446">
        <v>1</v>
      </c>
      <c r="HS105" s="446">
        <v>4</v>
      </c>
      <c r="HT105" s="446">
        <v>0</v>
      </c>
      <c r="HU105" s="446">
        <v>0</v>
      </c>
      <c r="HV105" s="447">
        <v>5</v>
      </c>
      <c r="HW105" s="544"/>
      <c r="HX105" s="448"/>
    </row>
    <row r="106" spans="1:232">
      <c r="A106" s="5696"/>
      <c r="B106" s="5696"/>
      <c r="C106" s="5697" t="s">
        <v>70</v>
      </c>
      <c r="D106" s="5698"/>
      <c r="E106" s="5699">
        <f>SUM(E48,E84,E104)</f>
        <v>180</v>
      </c>
      <c r="F106" s="5699"/>
      <c r="G106" s="5700">
        <f>E105/E106</f>
        <v>0.15555555555555556</v>
      </c>
      <c r="I106" s="4915">
        <v>2</v>
      </c>
      <c r="J106" s="4915">
        <v>1</v>
      </c>
      <c r="K106" s="4916" t="s">
        <v>120</v>
      </c>
      <c r="L106" s="4916" t="s">
        <v>2731</v>
      </c>
      <c r="M106" s="4915">
        <v>7</v>
      </c>
      <c r="N106" s="4915">
        <v>7</v>
      </c>
      <c r="O106" s="157"/>
      <c r="Q106" s="4705">
        <v>2</v>
      </c>
      <c r="R106" s="4705">
        <v>1</v>
      </c>
      <c r="S106" s="4706" t="s">
        <v>120</v>
      </c>
      <c r="T106" s="4708" t="s">
        <v>2732</v>
      </c>
      <c r="U106" s="4709">
        <v>1</v>
      </c>
      <c r="V106" s="4709">
        <v>7</v>
      </c>
      <c r="W106" s="4722"/>
      <c r="Y106" s="36"/>
      <c r="Z106" s="36"/>
      <c r="AA106" s="36"/>
      <c r="AB106" s="36" t="s">
        <v>1080</v>
      </c>
      <c r="AC106" s="1681">
        <v>0</v>
      </c>
      <c r="AD106" s="1681">
        <v>0</v>
      </c>
      <c r="AE106" s="1681">
        <v>0</v>
      </c>
      <c r="AF106" s="1681">
        <v>0</v>
      </c>
      <c r="AG106" s="1681">
        <v>0</v>
      </c>
      <c r="AH106" s="1681">
        <v>0</v>
      </c>
      <c r="AI106" s="1681">
        <v>0</v>
      </c>
      <c r="AJ106" s="1681">
        <v>34</v>
      </c>
      <c r="AK106" s="1681">
        <v>13</v>
      </c>
      <c r="AL106" s="95">
        <v>12</v>
      </c>
      <c r="AM106" s="95">
        <v>59</v>
      </c>
      <c r="AN106" s="4545"/>
      <c r="AR106" s="27"/>
      <c r="AS106" s="27" t="s">
        <v>1074</v>
      </c>
      <c r="AT106" s="3722">
        <v>0</v>
      </c>
      <c r="AU106" s="3722">
        <v>4</v>
      </c>
      <c r="AV106" s="3722">
        <v>2</v>
      </c>
      <c r="AW106" s="3722">
        <v>1</v>
      </c>
      <c r="AX106" s="3722">
        <v>0</v>
      </c>
      <c r="AY106" s="3722">
        <v>0</v>
      </c>
      <c r="AZ106" s="3722">
        <v>0</v>
      </c>
      <c r="BA106" s="3722">
        <v>0</v>
      </c>
      <c r="BB106" s="3722">
        <v>0</v>
      </c>
      <c r="BC106" s="3701">
        <v>0</v>
      </c>
      <c r="BD106" s="3701">
        <v>0</v>
      </c>
      <c r="BE106" s="3701">
        <v>7</v>
      </c>
      <c r="BF106" s="3701"/>
      <c r="BG106" s="3701"/>
      <c r="BK106" s="32" t="s">
        <v>1163</v>
      </c>
      <c r="BL106" s="3871"/>
      <c r="BM106" s="3871"/>
      <c r="BN106" s="3871"/>
      <c r="BO106" s="3871"/>
      <c r="BP106" s="3871">
        <v>0</v>
      </c>
      <c r="BQ106" s="3871"/>
      <c r="BR106" s="3871">
        <v>1</v>
      </c>
      <c r="BS106" s="3871">
        <v>0</v>
      </c>
      <c r="BT106" s="1518">
        <v>0</v>
      </c>
      <c r="BU106" s="1518">
        <v>1</v>
      </c>
      <c r="BX106" s="36"/>
      <c r="BY106" s="36"/>
      <c r="BZ106" s="36" t="s">
        <v>120</v>
      </c>
      <c r="CA106" s="36" t="s">
        <v>1072</v>
      </c>
      <c r="CB106" s="1681"/>
      <c r="CC106" s="1681">
        <v>1</v>
      </c>
      <c r="CD106" s="1681"/>
      <c r="CE106" s="1681">
        <v>1</v>
      </c>
      <c r="CF106" s="1681"/>
      <c r="CG106" s="1681"/>
      <c r="CH106" s="1681">
        <v>1</v>
      </c>
      <c r="CI106" s="1681">
        <v>0</v>
      </c>
      <c r="CJ106" s="95">
        <v>0</v>
      </c>
      <c r="CK106" s="95">
        <v>0</v>
      </c>
      <c r="CL106" s="95">
        <v>3</v>
      </c>
      <c r="CM106" s="36"/>
      <c r="CO106" s="37"/>
      <c r="CP106" s="37"/>
      <c r="CQ106" s="37"/>
      <c r="CR106" s="37" t="s">
        <v>1077</v>
      </c>
      <c r="CS106" s="1678">
        <v>0</v>
      </c>
      <c r="CT106" s="1678">
        <v>0</v>
      </c>
      <c r="CU106" s="1678">
        <v>0</v>
      </c>
      <c r="CV106" s="1678">
        <v>0</v>
      </c>
      <c r="CW106" s="1678">
        <v>1</v>
      </c>
      <c r="CX106" s="1678">
        <v>1</v>
      </c>
      <c r="CY106" s="1678">
        <v>0</v>
      </c>
      <c r="CZ106" s="1678">
        <v>0</v>
      </c>
      <c r="DA106" s="1678">
        <v>0</v>
      </c>
      <c r="DB106" s="63">
        <v>0</v>
      </c>
      <c r="DC106" s="63">
        <v>0</v>
      </c>
      <c r="DD106" s="63">
        <v>2</v>
      </c>
      <c r="DG106" s="95"/>
      <c r="DH106" s="95"/>
      <c r="DI106" s="36"/>
      <c r="DJ106" s="36" t="s">
        <v>1163</v>
      </c>
      <c r="DK106" s="1484"/>
      <c r="DL106" s="1484">
        <v>0</v>
      </c>
      <c r="DM106" s="1484"/>
      <c r="DN106" s="1484"/>
      <c r="DO106" s="1484"/>
      <c r="DP106" s="1484"/>
      <c r="DQ106" s="1484"/>
      <c r="DR106" s="1484">
        <v>1</v>
      </c>
      <c r="DS106" s="1484">
        <v>0</v>
      </c>
      <c r="DT106" s="95"/>
      <c r="DU106" s="95">
        <v>0</v>
      </c>
      <c r="DV106" s="95">
        <v>1</v>
      </c>
      <c r="DW106" s="95"/>
      <c r="DY106" s="1209"/>
      <c r="DZ106" s="1209"/>
      <c r="EA106" s="1210"/>
      <c r="EB106" s="1211" t="s">
        <v>1074</v>
      </c>
      <c r="EC106" s="1213">
        <v>1</v>
      </c>
      <c r="ED106" s="1212"/>
      <c r="EE106" s="1213">
        <v>0</v>
      </c>
      <c r="EF106" s="1212"/>
      <c r="EG106" s="1212"/>
      <c r="EH106" s="1213">
        <v>0</v>
      </c>
      <c r="EI106" s="1213">
        <v>0</v>
      </c>
      <c r="EJ106" s="1213">
        <v>0</v>
      </c>
      <c r="EK106" s="612">
        <v>0</v>
      </c>
      <c r="EL106" s="612">
        <v>0</v>
      </c>
      <c r="EM106" s="612">
        <v>1</v>
      </c>
      <c r="EN106" s="36"/>
      <c r="EP106" s="527"/>
      <c r="EQ106" s="527"/>
      <c r="ER106" s="528"/>
      <c r="ES106" s="529" t="s">
        <v>1163</v>
      </c>
      <c r="ET106" s="531">
        <v>0</v>
      </c>
      <c r="EU106" s="530"/>
      <c r="EV106" s="530"/>
      <c r="EW106" s="531">
        <v>0</v>
      </c>
      <c r="EX106" s="530"/>
      <c r="EY106" s="531">
        <v>0</v>
      </c>
      <c r="EZ106" s="530"/>
      <c r="FA106" s="531">
        <v>2</v>
      </c>
      <c r="FB106" s="532">
        <v>0</v>
      </c>
      <c r="FC106" s="527"/>
      <c r="FD106" s="532">
        <v>2</v>
      </c>
      <c r="FE106" s="95"/>
      <c r="FG106" s="533"/>
      <c r="FH106" s="533"/>
      <c r="FI106" s="533"/>
      <c r="FJ106" s="534" t="s">
        <v>1163</v>
      </c>
      <c r="FK106" s="535"/>
      <c r="FL106" s="535"/>
      <c r="FM106" s="535"/>
      <c r="FN106" s="535"/>
      <c r="FO106" s="535"/>
      <c r="FP106" s="535"/>
      <c r="FQ106" s="536">
        <v>0</v>
      </c>
      <c r="FR106" s="536">
        <v>1</v>
      </c>
      <c r="FS106" s="536">
        <v>0</v>
      </c>
      <c r="FT106" s="538">
        <v>0</v>
      </c>
      <c r="FU106" s="537"/>
      <c r="FV106" s="538">
        <v>1</v>
      </c>
      <c r="FW106" s="539"/>
      <c r="FY106" s="540"/>
      <c r="FZ106" s="540"/>
      <c r="GA106" s="540"/>
      <c r="GB106" s="541" t="s">
        <v>1080</v>
      </c>
      <c r="GC106" s="542"/>
      <c r="GD106" s="542"/>
      <c r="GE106" s="542"/>
      <c r="GF106" s="542"/>
      <c r="GG106" s="542"/>
      <c r="GH106" s="543">
        <v>0</v>
      </c>
      <c r="GI106" s="543">
        <v>0</v>
      </c>
      <c r="GJ106" s="543">
        <v>6</v>
      </c>
      <c r="GK106" s="542"/>
      <c r="GL106" s="542"/>
      <c r="GM106" s="543">
        <v>6</v>
      </c>
      <c r="GN106" s="445"/>
      <c r="GP106" s="63" t="s">
        <v>48</v>
      </c>
      <c r="GQ106" s="63" t="s">
        <v>16</v>
      </c>
      <c r="GR106" s="37" t="s">
        <v>133</v>
      </c>
      <c r="GS106" s="37" t="s">
        <v>1076</v>
      </c>
      <c r="GT106" s="63"/>
      <c r="GU106" s="63"/>
      <c r="GV106" s="63">
        <v>1</v>
      </c>
      <c r="GW106" s="63">
        <v>0</v>
      </c>
      <c r="GX106" s="63"/>
      <c r="GY106" s="63"/>
      <c r="GZ106" s="63"/>
      <c r="HA106" s="63"/>
      <c r="HB106" s="63"/>
      <c r="HC106" s="63"/>
      <c r="HD106" s="63">
        <v>1</v>
      </c>
      <c r="HE106" s="37"/>
      <c r="HF106" s="37"/>
      <c r="HG106" s="446"/>
      <c r="HH106" s="446"/>
      <c r="HI106" s="446"/>
      <c r="HJ106" s="446" t="s">
        <v>1163</v>
      </c>
      <c r="HK106" s="446">
        <v>0</v>
      </c>
      <c r="HL106" s="446">
        <v>0</v>
      </c>
      <c r="HM106" s="446">
        <v>0</v>
      </c>
      <c r="HN106" s="446">
        <v>0</v>
      </c>
      <c r="HO106" s="446">
        <v>0</v>
      </c>
      <c r="HP106" s="446">
        <v>0</v>
      </c>
      <c r="HQ106" s="446">
        <v>2</v>
      </c>
      <c r="HR106" s="446">
        <v>0</v>
      </c>
      <c r="HS106" s="446">
        <v>0</v>
      </c>
      <c r="HT106" s="446">
        <v>0</v>
      </c>
      <c r="HU106" s="446">
        <v>0</v>
      </c>
      <c r="HV106" s="447">
        <v>2</v>
      </c>
      <c r="HW106" s="544"/>
      <c r="HX106" s="448"/>
    </row>
    <row r="107" spans="1:232">
      <c r="A107" s="5694">
        <v>2</v>
      </c>
      <c r="B107" s="5694">
        <v>1</v>
      </c>
      <c r="C107" s="5695" t="s">
        <v>119</v>
      </c>
      <c r="D107" s="5695" t="s">
        <v>2731</v>
      </c>
      <c r="E107" s="5694">
        <v>3</v>
      </c>
      <c r="F107" s="5694">
        <v>8</v>
      </c>
      <c r="I107" s="4915">
        <v>2</v>
      </c>
      <c r="J107" s="4915">
        <v>1</v>
      </c>
      <c r="K107" s="4916" t="s">
        <v>120</v>
      </c>
      <c r="L107" s="4916" t="s">
        <v>2731</v>
      </c>
      <c r="M107" s="4915">
        <v>3</v>
      </c>
      <c r="N107" s="4915">
        <v>8</v>
      </c>
      <c r="O107" s="157"/>
      <c r="Q107" s="4705">
        <v>2</v>
      </c>
      <c r="R107" s="4705">
        <v>1</v>
      </c>
      <c r="S107" s="4706" t="s">
        <v>120</v>
      </c>
      <c r="T107" s="4708" t="s">
        <v>1076</v>
      </c>
      <c r="U107" s="4709">
        <v>1</v>
      </c>
      <c r="V107" s="4709">
        <v>1</v>
      </c>
      <c r="W107" s="4722"/>
      <c r="Y107" s="36"/>
      <c r="Z107" s="36"/>
      <c r="AA107" s="36"/>
      <c r="AB107" s="36" t="s">
        <v>2571</v>
      </c>
      <c r="AC107" s="1681">
        <v>7</v>
      </c>
      <c r="AD107" s="1681">
        <v>0</v>
      </c>
      <c r="AE107" s="1681">
        <v>0</v>
      </c>
      <c r="AF107" s="1681">
        <v>0</v>
      </c>
      <c r="AG107" s="1681">
        <v>0</v>
      </c>
      <c r="AH107" s="1681">
        <v>0</v>
      </c>
      <c r="AI107" s="1681">
        <v>0</v>
      </c>
      <c r="AJ107" s="1681">
        <v>0</v>
      </c>
      <c r="AK107" s="1681">
        <v>0</v>
      </c>
      <c r="AL107" s="95">
        <v>0</v>
      </c>
      <c r="AM107" s="95">
        <v>7</v>
      </c>
      <c r="AN107" s="4545"/>
      <c r="AR107" s="27"/>
      <c r="AS107" s="27" t="s">
        <v>1076</v>
      </c>
      <c r="AT107" s="3722">
        <v>0</v>
      </c>
      <c r="AU107" s="3722">
        <v>0</v>
      </c>
      <c r="AV107" s="3722">
        <v>0</v>
      </c>
      <c r="AW107" s="3722">
        <v>0</v>
      </c>
      <c r="AX107" s="3722">
        <v>0</v>
      </c>
      <c r="AY107" s="3722">
        <v>0</v>
      </c>
      <c r="AZ107" s="3722">
        <v>10</v>
      </c>
      <c r="BA107" s="3722">
        <v>6</v>
      </c>
      <c r="BB107" s="3722">
        <v>0</v>
      </c>
      <c r="BC107" s="3701">
        <v>0</v>
      </c>
      <c r="BD107" s="3701">
        <v>0</v>
      </c>
      <c r="BE107" s="3701">
        <v>16</v>
      </c>
      <c r="BF107" s="3701"/>
      <c r="BG107" s="3701"/>
      <c r="BK107" s="1520" t="s">
        <v>15</v>
      </c>
      <c r="BL107" s="3872"/>
      <c r="BM107" s="3872"/>
      <c r="BN107" s="3872"/>
      <c r="BO107" s="3872"/>
      <c r="BP107" s="3872">
        <v>1</v>
      </c>
      <c r="BQ107" s="3872"/>
      <c r="BR107" s="3872">
        <v>10</v>
      </c>
      <c r="BS107" s="3872">
        <v>8</v>
      </c>
      <c r="BT107" s="3806">
        <v>3</v>
      </c>
      <c r="BU107" s="3806">
        <v>22</v>
      </c>
      <c r="BV107" s="3807">
        <f>+(BU104+BU106)/BU107</f>
        <v>9.0909090909090912E-2</v>
      </c>
      <c r="BX107" s="36"/>
      <c r="BY107" s="36"/>
      <c r="BZ107" s="36"/>
      <c r="CA107" s="36" t="s">
        <v>1080</v>
      </c>
      <c r="CB107" s="1681"/>
      <c r="CC107" s="1681">
        <v>0</v>
      </c>
      <c r="CD107" s="1681"/>
      <c r="CE107" s="1681">
        <v>0</v>
      </c>
      <c r="CF107" s="1681"/>
      <c r="CG107" s="1681"/>
      <c r="CH107" s="1681">
        <v>0</v>
      </c>
      <c r="CI107" s="1681">
        <v>9</v>
      </c>
      <c r="CJ107" s="95">
        <v>2</v>
      </c>
      <c r="CK107" s="95">
        <v>0</v>
      </c>
      <c r="CL107" s="95">
        <v>11</v>
      </c>
      <c r="CM107" s="36"/>
      <c r="CO107" s="37"/>
      <c r="CP107" s="37"/>
      <c r="CQ107" s="37"/>
      <c r="CR107" s="37" t="s">
        <v>1080</v>
      </c>
      <c r="CS107" s="1678">
        <v>0</v>
      </c>
      <c r="CT107" s="1678">
        <v>0</v>
      </c>
      <c r="CU107" s="1678">
        <v>0</v>
      </c>
      <c r="CV107" s="1678">
        <v>0</v>
      </c>
      <c r="CW107" s="1678">
        <v>0</v>
      </c>
      <c r="CX107" s="1678">
        <v>0</v>
      </c>
      <c r="CY107" s="1678">
        <v>0</v>
      </c>
      <c r="CZ107" s="1678">
        <v>1</v>
      </c>
      <c r="DA107" s="1678">
        <v>38</v>
      </c>
      <c r="DB107" s="63">
        <v>5</v>
      </c>
      <c r="DC107" s="63">
        <v>3</v>
      </c>
      <c r="DD107" s="63">
        <v>47</v>
      </c>
      <c r="DG107" s="95"/>
      <c r="DH107" s="95"/>
      <c r="DI107" s="36"/>
      <c r="DJ107" s="393" t="s">
        <v>15</v>
      </c>
      <c r="DK107" s="1485"/>
      <c r="DL107" s="1485">
        <v>1</v>
      </c>
      <c r="DM107" s="1485"/>
      <c r="DN107" s="1485"/>
      <c r="DO107" s="1485"/>
      <c r="DP107" s="1485"/>
      <c r="DQ107" s="1485"/>
      <c r="DR107" s="1485">
        <v>3</v>
      </c>
      <c r="DS107" s="1485">
        <v>8</v>
      </c>
      <c r="DT107" s="86"/>
      <c r="DU107" s="86">
        <v>1</v>
      </c>
      <c r="DV107" s="86">
        <v>13</v>
      </c>
      <c r="DW107" s="560">
        <f>+(DV104+DV106)/DV107</f>
        <v>0.23076923076923078</v>
      </c>
      <c r="DY107" s="1209"/>
      <c r="DZ107" s="1209"/>
      <c r="EA107" s="1210"/>
      <c r="EB107" s="1211" t="s">
        <v>1076</v>
      </c>
      <c r="EC107" s="1213">
        <v>0</v>
      </c>
      <c r="ED107" s="1212"/>
      <c r="EE107" s="1213">
        <v>0</v>
      </c>
      <c r="EF107" s="1212"/>
      <c r="EG107" s="1212"/>
      <c r="EH107" s="1213">
        <v>0</v>
      </c>
      <c r="EI107" s="1213">
        <v>1</v>
      </c>
      <c r="EJ107" s="1213">
        <v>0</v>
      </c>
      <c r="EK107" s="612">
        <v>0</v>
      </c>
      <c r="EL107" s="612">
        <v>0</v>
      </c>
      <c r="EM107" s="612">
        <v>1</v>
      </c>
      <c r="EN107" s="36"/>
      <c r="EP107" s="527"/>
      <c r="EQ107" s="527"/>
      <c r="ER107" s="528"/>
      <c r="ES107" s="555" t="s">
        <v>15</v>
      </c>
      <c r="ET107" s="557">
        <v>1</v>
      </c>
      <c r="EU107" s="556"/>
      <c r="EV107" s="556"/>
      <c r="EW107" s="557">
        <v>1</v>
      </c>
      <c r="EX107" s="556"/>
      <c r="EY107" s="557">
        <v>1</v>
      </c>
      <c r="EZ107" s="556"/>
      <c r="FA107" s="557">
        <v>11</v>
      </c>
      <c r="FB107" s="559">
        <v>1</v>
      </c>
      <c r="FC107" s="558"/>
      <c r="FD107" s="559">
        <v>15</v>
      </c>
      <c r="FE107" s="560">
        <f>+(FD103+FD106)/FD107</f>
        <v>0.33333333333333331</v>
      </c>
      <c r="FG107" s="533"/>
      <c r="FH107" s="533"/>
      <c r="FI107" s="533"/>
      <c r="FJ107" s="545" t="s">
        <v>15</v>
      </c>
      <c r="FK107" s="546"/>
      <c r="FL107" s="546"/>
      <c r="FM107" s="546"/>
      <c r="FN107" s="546"/>
      <c r="FO107" s="546"/>
      <c r="FP107" s="546"/>
      <c r="FQ107" s="547">
        <v>3</v>
      </c>
      <c r="FR107" s="547">
        <v>8</v>
      </c>
      <c r="FS107" s="547">
        <v>9</v>
      </c>
      <c r="FT107" s="549">
        <v>3</v>
      </c>
      <c r="FU107" s="548"/>
      <c r="FV107" s="549">
        <v>23</v>
      </c>
      <c r="FW107" s="539">
        <f>+(FV106+FV104)/FV107</f>
        <v>0.17391304347826086</v>
      </c>
      <c r="FY107" s="540"/>
      <c r="FZ107" s="540"/>
      <c r="GA107" s="540"/>
      <c r="GB107" s="550" t="s">
        <v>15</v>
      </c>
      <c r="GC107" s="551"/>
      <c r="GD107" s="551"/>
      <c r="GE107" s="551"/>
      <c r="GF107" s="551"/>
      <c r="GG107" s="551"/>
      <c r="GH107" s="552">
        <v>1</v>
      </c>
      <c r="GI107" s="552">
        <v>12</v>
      </c>
      <c r="GJ107" s="552">
        <v>6</v>
      </c>
      <c r="GK107" s="551"/>
      <c r="GL107" s="551"/>
      <c r="GM107" s="552">
        <v>19</v>
      </c>
      <c r="GN107" s="553">
        <f>+GM105/GM107</f>
        <v>0.63157894736842102</v>
      </c>
      <c r="GP107" s="63"/>
      <c r="GQ107" s="63"/>
      <c r="GR107" s="37"/>
      <c r="GS107" s="37" t="s">
        <v>1077</v>
      </c>
      <c r="GT107" s="63"/>
      <c r="GU107" s="63"/>
      <c r="GV107" s="63">
        <v>2</v>
      </c>
      <c r="GW107" s="63">
        <v>0</v>
      </c>
      <c r="GX107" s="63"/>
      <c r="GY107" s="63"/>
      <c r="GZ107" s="63"/>
      <c r="HA107" s="63"/>
      <c r="HB107" s="63"/>
      <c r="HC107" s="63"/>
      <c r="HD107" s="63">
        <v>2</v>
      </c>
      <c r="HE107" s="37"/>
      <c r="HF107" s="37"/>
      <c r="HG107" s="446"/>
      <c r="HH107" s="446"/>
      <c r="HI107" s="446"/>
      <c r="HJ107" s="449" t="s">
        <v>15</v>
      </c>
      <c r="HK107" s="449">
        <v>0</v>
      </c>
      <c r="HL107" s="449">
        <v>0</v>
      </c>
      <c r="HM107" s="449">
        <v>0</v>
      </c>
      <c r="HN107" s="449">
        <v>0</v>
      </c>
      <c r="HO107" s="449">
        <v>0</v>
      </c>
      <c r="HP107" s="449">
        <v>0</v>
      </c>
      <c r="HQ107" s="449">
        <v>7</v>
      </c>
      <c r="HR107" s="449">
        <v>4</v>
      </c>
      <c r="HS107" s="449">
        <v>5</v>
      </c>
      <c r="HT107" s="449">
        <v>0</v>
      </c>
      <c r="HU107" s="449">
        <v>0</v>
      </c>
      <c r="HV107" s="507">
        <v>16</v>
      </c>
      <c r="HW107" s="554">
        <f>+(HV106+HV104)/HV107</f>
        <v>0.625</v>
      </c>
      <c r="HX107" s="448">
        <f>+HV104+HV106</f>
        <v>10</v>
      </c>
    </row>
    <row r="108" spans="1:232" s="4387" customFormat="1">
      <c r="A108" s="5682">
        <v>2</v>
      </c>
      <c r="B108" s="5682">
        <v>1</v>
      </c>
      <c r="C108" s="5683" t="s">
        <v>119</v>
      </c>
      <c r="D108" s="5683" t="s">
        <v>2731</v>
      </c>
      <c r="E108" s="5682">
        <v>6</v>
      </c>
      <c r="F108" s="5682">
        <v>9</v>
      </c>
      <c r="G108" s="5317"/>
      <c r="H108" s="5317"/>
      <c r="I108" s="4915">
        <v>2</v>
      </c>
      <c r="J108" s="4915">
        <v>1</v>
      </c>
      <c r="K108" s="4916" t="s">
        <v>120</v>
      </c>
      <c r="L108" s="4916" t="s">
        <v>1071</v>
      </c>
      <c r="M108" s="4915">
        <v>2</v>
      </c>
      <c r="N108" s="4915">
        <v>7</v>
      </c>
      <c r="O108" s="157"/>
      <c r="P108" s="4832"/>
      <c r="Q108" s="4705">
        <v>2</v>
      </c>
      <c r="R108" s="4705">
        <v>1</v>
      </c>
      <c r="S108" s="4706" t="s">
        <v>120</v>
      </c>
      <c r="T108" s="4708" t="s">
        <v>1076</v>
      </c>
      <c r="U108" s="4709">
        <v>1</v>
      </c>
      <c r="V108" s="4709">
        <v>7</v>
      </c>
      <c r="W108" s="4722"/>
      <c r="X108" s="4522"/>
      <c r="Y108" s="36"/>
      <c r="Z108" s="36"/>
      <c r="AA108" s="36"/>
      <c r="AB108" s="36" t="s">
        <v>1163</v>
      </c>
      <c r="AC108" s="1681">
        <v>0</v>
      </c>
      <c r="AD108" s="1681">
        <v>0</v>
      </c>
      <c r="AE108" s="1681">
        <v>0</v>
      </c>
      <c r="AF108" s="1681">
        <v>0</v>
      </c>
      <c r="AG108" s="1681">
        <v>0</v>
      </c>
      <c r="AH108" s="1681">
        <v>1</v>
      </c>
      <c r="AI108" s="1681">
        <v>0</v>
      </c>
      <c r="AJ108" s="1681">
        <v>0</v>
      </c>
      <c r="AK108" s="1681">
        <v>0</v>
      </c>
      <c r="AL108" s="95">
        <v>0</v>
      </c>
      <c r="AM108" s="95">
        <v>1</v>
      </c>
      <c r="AN108" s="4545"/>
      <c r="AP108" s="157"/>
      <c r="AQ108" s="157"/>
      <c r="AR108" s="27"/>
      <c r="AS108" s="27"/>
      <c r="AT108" s="3722"/>
      <c r="AU108" s="3722"/>
      <c r="AV108" s="3722"/>
      <c r="AW108" s="3722"/>
      <c r="AX108" s="3722"/>
      <c r="AY108" s="3722"/>
      <c r="AZ108" s="3722"/>
      <c r="BA108" s="3722"/>
      <c r="BB108" s="3722"/>
      <c r="BC108" s="3701"/>
      <c r="BD108" s="3701"/>
      <c r="BE108" s="3701"/>
      <c r="BF108" s="3701"/>
      <c r="BG108" s="3701"/>
      <c r="BH108" s="32"/>
      <c r="BI108" s="32"/>
      <c r="BJ108" s="32"/>
      <c r="BK108" s="1520"/>
      <c r="BL108" s="3872"/>
      <c r="BM108" s="3872"/>
      <c r="BN108" s="3872"/>
      <c r="BO108" s="3872"/>
      <c r="BP108" s="3872"/>
      <c r="BQ108" s="3872"/>
      <c r="BR108" s="3872"/>
      <c r="BS108" s="3872"/>
      <c r="BT108" s="3806"/>
      <c r="BU108" s="3806"/>
      <c r="BV108" s="3807"/>
      <c r="BX108" s="36"/>
      <c r="BY108" s="36"/>
      <c r="BZ108" s="36"/>
      <c r="CA108" s="36"/>
      <c r="CB108" s="1681"/>
      <c r="CC108" s="1681"/>
      <c r="CD108" s="1681"/>
      <c r="CE108" s="1681"/>
      <c r="CF108" s="1681"/>
      <c r="CG108" s="1681"/>
      <c r="CH108" s="1681"/>
      <c r="CI108" s="1681"/>
      <c r="CJ108" s="95"/>
      <c r="CK108" s="95"/>
      <c r="CL108" s="95"/>
      <c r="CM108" s="36"/>
      <c r="CO108" s="37"/>
      <c r="CP108" s="37"/>
      <c r="CQ108" s="37"/>
      <c r="CR108" s="37"/>
      <c r="CS108" s="1678"/>
      <c r="CT108" s="1678"/>
      <c r="CU108" s="1678"/>
      <c r="CV108" s="1678"/>
      <c r="CW108" s="1678"/>
      <c r="CX108" s="1678"/>
      <c r="CY108" s="1678"/>
      <c r="CZ108" s="1678"/>
      <c r="DA108" s="1678"/>
      <c r="DB108" s="63"/>
      <c r="DC108" s="63"/>
      <c r="DD108" s="63"/>
      <c r="DE108" s="37"/>
      <c r="DG108" s="95"/>
      <c r="DH108" s="95"/>
      <c r="DI108" s="36"/>
      <c r="DJ108" s="393"/>
      <c r="DK108" s="1485"/>
      <c r="DL108" s="1485"/>
      <c r="DM108" s="1485"/>
      <c r="DN108" s="1485"/>
      <c r="DO108" s="1485"/>
      <c r="DP108" s="1485"/>
      <c r="DQ108" s="1485"/>
      <c r="DR108" s="1485"/>
      <c r="DS108" s="1485"/>
      <c r="DT108" s="4386"/>
      <c r="DU108" s="4386"/>
      <c r="DV108" s="4386"/>
      <c r="DW108" s="560"/>
      <c r="DY108" s="1209"/>
      <c r="DZ108" s="1209"/>
      <c r="EA108" s="1210"/>
      <c r="EB108" s="1211"/>
      <c r="EC108" s="1213"/>
      <c r="ED108" s="1212"/>
      <c r="EE108" s="1213"/>
      <c r="EF108" s="1212"/>
      <c r="EG108" s="1212"/>
      <c r="EH108" s="1213"/>
      <c r="EI108" s="1213"/>
      <c r="EJ108" s="1213"/>
      <c r="EK108" s="612"/>
      <c r="EL108" s="612"/>
      <c r="EM108" s="612"/>
      <c r="EN108" s="36"/>
      <c r="EP108" s="527"/>
      <c r="EQ108" s="527"/>
      <c r="ER108" s="528"/>
      <c r="ES108" s="555"/>
      <c r="ET108" s="557"/>
      <c r="EU108" s="556"/>
      <c r="EV108" s="556"/>
      <c r="EW108" s="557"/>
      <c r="EX108" s="556"/>
      <c r="EY108" s="557"/>
      <c r="EZ108" s="556"/>
      <c r="FA108" s="557"/>
      <c r="FB108" s="559"/>
      <c r="FC108" s="558"/>
      <c r="FD108" s="559"/>
      <c r="FE108" s="560"/>
      <c r="FG108" s="533"/>
      <c r="FH108" s="533"/>
      <c r="FI108" s="533"/>
      <c r="FJ108" s="545"/>
      <c r="FK108" s="546"/>
      <c r="FL108" s="546"/>
      <c r="FM108" s="546"/>
      <c r="FN108" s="546"/>
      <c r="FO108" s="546"/>
      <c r="FP108" s="546"/>
      <c r="FQ108" s="547"/>
      <c r="FR108" s="547"/>
      <c r="FS108" s="547"/>
      <c r="FT108" s="549"/>
      <c r="FU108" s="548"/>
      <c r="FV108" s="549"/>
      <c r="FW108" s="539"/>
      <c r="FY108" s="540"/>
      <c r="FZ108" s="540"/>
      <c r="GA108" s="540"/>
      <c r="GB108" s="550"/>
      <c r="GC108" s="551"/>
      <c r="GD108" s="551"/>
      <c r="GE108" s="551"/>
      <c r="GF108" s="551"/>
      <c r="GG108" s="551"/>
      <c r="GH108" s="552"/>
      <c r="GI108" s="552"/>
      <c r="GJ108" s="552"/>
      <c r="GK108" s="551"/>
      <c r="GL108" s="551"/>
      <c r="GM108" s="552"/>
      <c r="GN108" s="553"/>
      <c r="GP108" s="63"/>
      <c r="GQ108" s="63"/>
      <c r="GR108" s="37"/>
      <c r="GS108" s="37"/>
      <c r="GT108" s="63"/>
      <c r="GU108" s="63"/>
      <c r="GV108" s="63"/>
      <c r="GW108" s="63"/>
      <c r="GX108" s="63"/>
      <c r="GY108" s="63"/>
      <c r="GZ108" s="63"/>
      <c r="HA108" s="63"/>
      <c r="HB108" s="63"/>
      <c r="HC108" s="63"/>
      <c r="HD108" s="63"/>
      <c r="HE108" s="37"/>
      <c r="HF108" s="37"/>
      <c r="HG108" s="446"/>
      <c r="HH108" s="446"/>
      <c r="HI108" s="446"/>
      <c r="HJ108" s="449"/>
      <c r="HK108" s="449"/>
      <c r="HL108" s="449"/>
      <c r="HM108" s="449"/>
      <c r="HN108" s="449"/>
      <c r="HO108" s="449"/>
      <c r="HP108" s="449"/>
      <c r="HQ108" s="449"/>
      <c r="HR108" s="449"/>
      <c r="HS108" s="449"/>
      <c r="HT108" s="449"/>
      <c r="HU108" s="449"/>
      <c r="HV108" s="507"/>
      <c r="HW108" s="554"/>
      <c r="HX108" s="448"/>
    </row>
    <row r="109" spans="1:232">
      <c r="A109" s="5682">
        <v>2</v>
      </c>
      <c r="B109" s="5682">
        <v>1</v>
      </c>
      <c r="C109" s="5683" t="s">
        <v>119</v>
      </c>
      <c r="D109" s="5683" t="s">
        <v>2731</v>
      </c>
      <c r="E109" s="5682">
        <v>1</v>
      </c>
      <c r="F109" s="5682">
        <v>10</v>
      </c>
      <c r="I109" s="4915">
        <v>2</v>
      </c>
      <c r="J109" s="4915">
        <v>1</v>
      </c>
      <c r="K109" s="4916" t="s">
        <v>120</v>
      </c>
      <c r="L109" s="4917" t="s">
        <v>1076</v>
      </c>
      <c r="M109" s="4922">
        <v>1</v>
      </c>
      <c r="N109" s="4915">
        <v>7</v>
      </c>
      <c r="O109" s="157"/>
      <c r="Q109" s="4705">
        <v>2</v>
      </c>
      <c r="R109" s="4705">
        <v>1</v>
      </c>
      <c r="S109" s="4706" t="s">
        <v>120</v>
      </c>
      <c r="T109" s="4708" t="s">
        <v>1076</v>
      </c>
      <c r="U109" s="4709">
        <v>2</v>
      </c>
      <c r="V109" s="4709">
        <v>8</v>
      </c>
      <c r="W109" s="4722"/>
      <c r="Y109" s="36"/>
      <c r="Z109" s="36"/>
      <c r="AA109" s="36"/>
      <c r="AB109" s="36">
        <v>22</v>
      </c>
      <c r="AC109" s="1681">
        <v>0</v>
      </c>
      <c r="AD109" s="1681">
        <v>0</v>
      </c>
      <c r="AE109" s="1681">
        <v>0</v>
      </c>
      <c r="AF109" s="1681">
        <v>1</v>
      </c>
      <c r="AG109" s="1681">
        <v>0</v>
      </c>
      <c r="AH109" s="1681">
        <v>0</v>
      </c>
      <c r="AI109" s="1681">
        <v>0</v>
      </c>
      <c r="AJ109" s="1681">
        <v>0</v>
      </c>
      <c r="AK109" s="1681">
        <v>0</v>
      </c>
      <c r="AL109" s="95">
        <v>0</v>
      </c>
      <c r="AM109" s="95">
        <v>1</v>
      </c>
      <c r="AN109" s="4545"/>
      <c r="AR109" s="27"/>
      <c r="AS109" s="27" t="s">
        <v>1077</v>
      </c>
      <c r="AT109" s="3722">
        <v>0</v>
      </c>
      <c r="AU109" s="3722">
        <v>0</v>
      </c>
      <c r="AV109" s="3722">
        <v>0</v>
      </c>
      <c r="AW109" s="3722">
        <v>1</v>
      </c>
      <c r="AX109" s="3722">
        <v>2</v>
      </c>
      <c r="AY109" s="3722">
        <v>0</v>
      </c>
      <c r="AZ109" s="3722">
        <v>0</v>
      </c>
      <c r="BA109" s="3722">
        <v>0</v>
      </c>
      <c r="BB109" s="3722">
        <v>0</v>
      </c>
      <c r="BC109" s="3701">
        <v>0</v>
      </c>
      <c r="BD109" s="3701">
        <v>0</v>
      </c>
      <c r="BE109" s="3701">
        <v>3</v>
      </c>
      <c r="BF109" s="3701"/>
      <c r="BG109" s="3701"/>
      <c r="BJ109" s="32" t="s">
        <v>120</v>
      </c>
      <c r="BK109" s="32" t="s">
        <v>1071</v>
      </c>
      <c r="BL109" s="3871"/>
      <c r="BM109" s="3871"/>
      <c r="BN109" s="3871"/>
      <c r="BO109" s="3871"/>
      <c r="BP109" s="3871">
        <v>0</v>
      </c>
      <c r="BQ109" s="3871">
        <v>1</v>
      </c>
      <c r="BR109" s="3871">
        <v>0</v>
      </c>
      <c r="BS109" s="3871">
        <v>4</v>
      </c>
      <c r="BT109" s="1518">
        <v>1</v>
      </c>
      <c r="BU109" s="1518">
        <v>6</v>
      </c>
      <c r="BX109" s="36"/>
      <c r="BY109" s="36"/>
      <c r="BZ109" s="36"/>
      <c r="CA109" s="36" t="s">
        <v>2416</v>
      </c>
      <c r="CB109" s="1681"/>
      <c r="CC109" s="1681">
        <v>0</v>
      </c>
      <c r="CD109" s="1681"/>
      <c r="CE109" s="1681">
        <v>0</v>
      </c>
      <c r="CF109" s="1681"/>
      <c r="CG109" s="1681"/>
      <c r="CH109" s="1681">
        <v>0</v>
      </c>
      <c r="CI109" s="1681">
        <v>0</v>
      </c>
      <c r="CJ109" s="95">
        <v>2</v>
      </c>
      <c r="CK109" s="95">
        <v>1</v>
      </c>
      <c r="CL109" s="95">
        <v>3</v>
      </c>
      <c r="CM109" s="36"/>
      <c r="CO109" s="37"/>
      <c r="CP109" s="37"/>
      <c r="CQ109" s="37"/>
      <c r="CR109" s="37" t="s">
        <v>1081</v>
      </c>
      <c r="CS109" s="1678">
        <v>0</v>
      </c>
      <c r="CT109" s="1678">
        <v>0</v>
      </c>
      <c r="CU109" s="1678">
        <v>0</v>
      </c>
      <c r="CV109" s="1678">
        <v>0</v>
      </c>
      <c r="CW109" s="1678">
        <v>1</v>
      </c>
      <c r="CX109" s="1678">
        <v>2</v>
      </c>
      <c r="CY109" s="1678">
        <v>13</v>
      </c>
      <c r="CZ109" s="1678">
        <v>8</v>
      </c>
      <c r="DA109" s="1678">
        <v>6</v>
      </c>
      <c r="DB109" s="63">
        <v>1</v>
      </c>
      <c r="DC109" s="63">
        <v>0</v>
      </c>
      <c r="DD109" s="63">
        <v>31</v>
      </c>
      <c r="DG109" s="95"/>
      <c r="DH109" s="95"/>
      <c r="DI109" s="36" t="s">
        <v>122</v>
      </c>
      <c r="DJ109" s="36" t="s">
        <v>1072</v>
      </c>
      <c r="DK109" s="1484"/>
      <c r="DL109" s="1484">
        <v>1</v>
      </c>
      <c r="DM109" s="1484"/>
      <c r="DN109" s="1484"/>
      <c r="DO109" s="1484"/>
      <c r="DP109" s="1484"/>
      <c r="DQ109" s="1484"/>
      <c r="DR109" s="1484">
        <v>0</v>
      </c>
      <c r="DS109" s="1484">
        <v>0</v>
      </c>
      <c r="DT109" s="95"/>
      <c r="DU109" s="95"/>
      <c r="DV109" s="95">
        <v>1</v>
      </c>
      <c r="DW109" s="95"/>
      <c r="DY109" s="1209"/>
      <c r="DZ109" s="1209"/>
      <c r="EA109" s="1210"/>
      <c r="EB109" s="1211" t="s">
        <v>1080</v>
      </c>
      <c r="EC109" s="1213">
        <v>0</v>
      </c>
      <c r="ED109" s="1212"/>
      <c r="EE109" s="1213">
        <v>0</v>
      </c>
      <c r="EF109" s="1212"/>
      <c r="EG109" s="1212"/>
      <c r="EH109" s="1213">
        <v>0</v>
      </c>
      <c r="EI109" s="1213">
        <v>0</v>
      </c>
      <c r="EJ109" s="1213">
        <v>13</v>
      </c>
      <c r="EK109" s="612">
        <v>1</v>
      </c>
      <c r="EL109" s="612">
        <v>0</v>
      </c>
      <c r="EM109" s="612">
        <v>14</v>
      </c>
      <c r="EN109" s="36"/>
      <c r="EP109" s="527"/>
      <c r="EQ109" s="527"/>
      <c r="ER109" s="528" t="s">
        <v>388</v>
      </c>
      <c r="ES109" s="529" t="s">
        <v>1071</v>
      </c>
      <c r="ET109" s="531">
        <v>0</v>
      </c>
      <c r="EU109" s="531">
        <v>0</v>
      </c>
      <c r="EV109" s="530"/>
      <c r="EW109" s="530"/>
      <c r="EX109" s="530"/>
      <c r="EY109" s="531">
        <v>0</v>
      </c>
      <c r="EZ109" s="531">
        <v>1</v>
      </c>
      <c r="FA109" s="531">
        <v>1</v>
      </c>
      <c r="FB109" s="532">
        <v>2</v>
      </c>
      <c r="FC109" s="532">
        <v>1</v>
      </c>
      <c r="FD109" s="532">
        <v>5</v>
      </c>
      <c r="FE109" s="95"/>
      <c r="FG109" s="533"/>
      <c r="FH109" s="533"/>
      <c r="FI109" s="545" t="s">
        <v>482</v>
      </c>
      <c r="FJ109" s="534" t="s">
        <v>1071</v>
      </c>
      <c r="FK109" s="536">
        <v>0</v>
      </c>
      <c r="FL109" s="536">
        <v>0</v>
      </c>
      <c r="FM109" s="536">
        <v>0</v>
      </c>
      <c r="FN109" s="536">
        <v>0</v>
      </c>
      <c r="FO109" s="535"/>
      <c r="FP109" s="536">
        <v>0</v>
      </c>
      <c r="FQ109" s="536">
        <v>0</v>
      </c>
      <c r="FR109" s="536">
        <v>1</v>
      </c>
      <c r="FS109" s="536">
        <v>14</v>
      </c>
      <c r="FT109" s="538">
        <v>1</v>
      </c>
      <c r="FU109" s="538">
        <v>7</v>
      </c>
      <c r="FV109" s="538">
        <v>23</v>
      </c>
      <c r="FW109" s="539"/>
      <c r="FY109" s="540"/>
      <c r="FZ109" s="540"/>
      <c r="GA109" s="540" t="s">
        <v>130</v>
      </c>
      <c r="GB109" s="541" t="s">
        <v>1071</v>
      </c>
      <c r="GC109" s="542"/>
      <c r="GD109" s="542"/>
      <c r="GE109" s="542"/>
      <c r="GF109" s="542"/>
      <c r="GG109" s="542"/>
      <c r="GH109" s="542"/>
      <c r="GI109" s="543">
        <v>0</v>
      </c>
      <c r="GJ109" s="543">
        <v>1</v>
      </c>
      <c r="GK109" s="542"/>
      <c r="GL109" s="542"/>
      <c r="GM109" s="543">
        <v>1</v>
      </c>
      <c r="GN109" s="445"/>
      <c r="GP109" s="63"/>
      <c r="GQ109" s="63"/>
      <c r="GR109" s="37"/>
      <c r="GS109" s="37" t="s">
        <v>1081</v>
      </c>
      <c r="GT109" s="63"/>
      <c r="GU109" s="63"/>
      <c r="GV109" s="63">
        <v>2</v>
      </c>
      <c r="GW109" s="63">
        <v>1</v>
      </c>
      <c r="GX109" s="63"/>
      <c r="GY109" s="63"/>
      <c r="GZ109" s="63"/>
      <c r="HA109" s="63"/>
      <c r="HB109" s="63"/>
      <c r="HC109" s="63"/>
      <c r="HD109" s="63">
        <v>3</v>
      </c>
      <c r="HE109" s="37"/>
      <c r="HF109" s="37"/>
      <c r="HG109" s="446"/>
      <c r="HH109" s="446"/>
      <c r="HI109" s="446" t="s">
        <v>129</v>
      </c>
      <c r="HJ109" s="446" t="s">
        <v>1071</v>
      </c>
      <c r="HK109" s="446">
        <v>0</v>
      </c>
      <c r="HL109" s="446">
        <v>0</v>
      </c>
      <c r="HM109" s="446">
        <v>0</v>
      </c>
      <c r="HN109" s="446">
        <v>0</v>
      </c>
      <c r="HO109" s="446">
        <v>0</v>
      </c>
      <c r="HP109" s="446">
        <v>0</v>
      </c>
      <c r="HQ109" s="446">
        <v>0</v>
      </c>
      <c r="HR109" s="446">
        <v>0</v>
      </c>
      <c r="HS109" s="446">
        <v>1</v>
      </c>
      <c r="HT109" s="446">
        <v>0</v>
      </c>
      <c r="HU109" s="446">
        <v>0</v>
      </c>
      <c r="HV109" s="447">
        <v>1</v>
      </c>
      <c r="HW109" s="544"/>
      <c r="HX109" s="448"/>
    </row>
    <row r="110" spans="1:232">
      <c r="A110" s="5682">
        <v>2</v>
      </c>
      <c r="B110" s="5682">
        <v>1</v>
      </c>
      <c r="C110" s="5683" t="s">
        <v>119</v>
      </c>
      <c r="D110" s="5685" t="s">
        <v>2732</v>
      </c>
      <c r="E110" s="5682">
        <v>1</v>
      </c>
      <c r="F110" s="5682">
        <v>6</v>
      </c>
      <c r="I110" s="4915">
        <v>2</v>
      </c>
      <c r="J110" s="4915">
        <v>1</v>
      </c>
      <c r="K110" s="4916" t="s">
        <v>120</v>
      </c>
      <c r="L110" s="4916" t="s">
        <v>2709</v>
      </c>
      <c r="M110" s="4915">
        <v>2</v>
      </c>
      <c r="N110" s="4915">
        <v>3</v>
      </c>
      <c r="O110" s="157"/>
      <c r="Q110" s="4705">
        <v>2</v>
      </c>
      <c r="R110" s="4705">
        <v>1</v>
      </c>
      <c r="S110" s="4706" t="s">
        <v>120</v>
      </c>
      <c r="T110" s="4706" t="s">
        <v>2709</v>
      </c>
      <c r="U110" s="4707">
        <v>1</v>
      </c>
      <c r="V110" s="4707">
        <v>3</v>
      </c>
      <c r="W110" s="4722"/>
      <c r="Y110" s="36"/>
      <c r="Z110" s="36"/>
      <c r="AA110" s="36"/>
      <c r="AB110" s="36" t="s">
        <v>15</v>
      </c>
      <c r="AC110" s="1681">
        <v>7</v>
      </c>
      <c r="AD110" s="1681">
        <v>2</v>
      </c>
      <c r="AE110" s="1681">
        <v>2</v>
      </c>
      <c r="AF110" s="1681">
        <v>2</v>
      </c>
      <c r="AG110" s="1681">
        <v>1</v>
      </c>
      <c r="AH110" s="1681">
        <v>4</v>
      </c>
      <c r="AI110" s="1681">
        <v>4</v>
      </c>
      <c r="AJ110" s="1681">
        <v>42</v>
      </c>
      <c r="AK110" s="1681">
        <v>17</v>
      </c>
      <c r="AL110" s="95">
        <v>14</v>
      </c>
      <c r="AM110" s="95">
        <v>95</v>
      </c>
      <c r="AN110" s="560">
        <f>+(AI105+AJ105+AH108)/(AM110-AM107)</f>
        <v>7.9545454545454544E-2</v>
      </c>
      <c r="AO110" s="2117"/>
      <c r="AR110" s="27"/>
      <c r="AS110" s="27" t="s">
        <v>1080</v>
      </c>
      <c r="AT110" s="3722">
        <v>0</v>
      </c>
      <c r="AU110" s="3722">
        <v>0</v>
      </c>
      <c r="AV110" s="3722">
        <v>0</v>
      </c>
      <c r="AW110" s="3722">
        <v>0</v>
      </c>
      <c r="AX110" s="3722">
        <v>0</v>
      </c>
      <c r="AY110" s="3722">
        <v>0</v>
      </c>
      <c r="AZ110" s="3722">
        <v>0</v>
      </c>
      <c r="BA110" s="3722">
        <v>29</v>
      </c>
      <c r="BB110" s="3722">
        <v>24</v>
      </c>
      <c r="BC110" s="3701">
        <v>8</v>
      </c>
      <c r="BD110" s="3701">
        <v>4</v>
      </c>
      <c r="BE110" s="3701">
        <v>65</v>
      </c>
      <c r="BF110" s="3701"/>
      <c r="BG110" s="3701"/>
      <c r="BK110" s="32" t="s">
        <v>1072</v>
      </c>
      <c r="BL110" s="3871"/>
      <c r="BM110" s="3871"/>
      <c r="BN110" s="3871"/>
      <c r="BO110" s="3871"/>
      <c r="BP110" s="3871">
        <v>1</v>
      </c>
      <c r="BQ110" s="3871">
        <v>0</v>
      </c>
      <c r="BR110" s="3871">
        <v>0</v>
      </c>
      <c r="BS110" s="3871">
        <v>0</v>
      </c>
      <c r="BT110" s="1518">
        <v>0</v>
      </c>
      <c r="BU110" s="1518">
        <v>1</v>
      </c>
      <c r="BX110" s="36"/>
      <c r="BY110" s="36"/>
      <c r="BZ110" s="36"/>
      <c r="CA110" s="393" t="s">
        <v>15</v>
      </c>
      <c r="CB110" s="1682"/>
      <c r="CC110" s="1682">
        <v>1</v>
      </c>
      <c r="CD110" s="1682"/>
      <c r="CE110" s="1682">
        <v>1</v>
      </c>
      <c r="CF110" s="1682"/>
      <c r="CG110" s="1682"/>
      <c r="CH110" s="1682">
        <v>1</v>
      </c>
      <c r="CI110" s="1682">
        <v>9</v>
      </c>
      <c r="CJ110" s="2041">
        <v>4</v>
      </c>
      <c r="CK110" s="2041">
        <v>1</v>
      </c>
      <c r="CL110" s="2041">
        <v>17</v>
      </c>
      <c r="CM110" s="560">
        <v>0</v>
      </c>
      <c r="CN110" s="1665"/>
      <c r="CO110" s="37"/>
      <c r="CP110" s="37"/>
      <c r="CQ110" s="37"/>
      <c r="CR110" s="37" t="s">
        <v>1163</v>
      </c>
      <c r="CS110" s="1678">
        <v>0</v>
      </c>
      <c r="CT110" s="1678">
        <v>0</v>
      </c>
      <c r="CU110" s="1678">
        <v>0</v>
      </c>
      <c r="CV110" s="1678">
        <v>0</v>
      </c>
      <c r="CW110" s="1678">
        <v>0</v>
      </c>
      <c r="CX110" s="1678">
        <v>3</v>
      </c>
      <c r="CY110" s="1678">
        <v>0</v>
      </c>
      <c r="CZ110" s="1678">
        <v>2</v>
      </c>
      <c r="DA110" s="1678">
        <v>0</v>
      </c>
      <c r="DB110" s="63">
        <v>0</v>
      </c>
      <c r="DC110" s="63">
        <v>0</v>
      </c>
      <c r="DD110" s="63">
        <v>5</v>
      </c>
      <c r="DG110" s="95"/>
      <c r="DH110" s="95"/>
      <c r="DI110" s="36"/>
      <c r="DJ110" s="36" t="s">
        <v>1076</v>
      </c>
      <c r="DK110" s="1484"/>
      <c r="DL110" s="1484">
        <v>0</v>
      </c>
      <c r="DM110" s="1484"/>
      <c r="DN110" s="1484"/>
      <c r="DO110" s="1484"/>
      <c r="DP110" s="1484"/>
      <c r="DQ110" s="1484"/>
      <c r="DR110" s="1484">
        <v>4</v>
      </c>
      <c r="DS110" s="1484">
        <v>0</v>
      </c>
      <c r="DT110" s="95"/>
      <c r="DU110" s="95"/>
      <c r="DV110" s="95">
        <v>4</v>
      </c>
      <c r="DW110" s="95"/>
      <c r="DY110" s="1209"/>
      <c r="DZ110" s="1209"/>
      <c r="EA110" s="1210"/>
      <c r="EB110" s="415" t="s">
        <v>15</v>
      </c>
      <c r="EC110" s="1215">
        <v>1</v>
      </c>
      <c r="ED110" s="1214"/>
      <c r="EE110" s="1215">
        <v>2</v>
      </c>
      <c r="EF110" s="1214"/>
      <c r="EG110" s="1214"/>
      <c r="EH110" s="1215">
        <v>1</v>
      </c>
      <c r="EI110" s="1215">
        <v>4</v>
      </c>
      <c r="EJ110" s="1215">
        <v>14</v>
      </c>
      <c r="EK110" s="621">
        <v>1</v>
      </c>
      <c r="EL110" s="621">
        <v>2</v>
      </c>
      <c r="EM110" s="621">
        <v>25</v>
      </c>
      <c r="EN110" s="1178">
        <f>+EM107/EM110</f>
        <v>0.04</v>
      </c>
      <c r="EP110" s="527"/>
      <c r="EQ110" s="527"/>
      <c r="ER110" s="528"/>
      <c r="ES110" s="529" t="s">
        <v>1072</v>
      </c>
      <c r="ET110" s="531">
        <v>0</v>
      </c>
      <c r="EU110" s="531">
        <v>0</v>
      </c>
      <c r="EV110" s="530"/>
      <c r="EW110" s="530"/>
      <c r="EX110" s="530"/>
      <c r="EY110" s="531">
        <v>2</v>
      </c>
      <c r="EZ110" s="531">
        <v>0</v>
      </c>
      <c r="FA110" s="531">
        <v>0</v>
      </c>
      <c r="FB110" s="532">
        <v>4</v>
      </c>
      <c r="FC110" s="532">
        <v>0</v>
      </c>
      <c r="FD110" s="532">
        <v>6</v>
      </c>
      <c r="FE110" s="95"/>
      <c r="FG110" s="533"/>
      <c r="FH110" s="533"/>
      <c r="FI110" s="533"/>
      <c r="FJ110" s="534" t="s">
        <v>1072</v>
      </c>
      <c r="FK110" s="536">
        <v>1</v>
      </c>
      <c r="FL110" s="536">
        <v>3</v>
      </c>
      <c r="FM110" s="536">
        <v>2</v>
      </c>
      <c r="FN110" s="536">
        <v>1</v>
      </c>
      <c r="FO110" s="535"/>
      <c r="FP110" s="536">
        <v>0</v>
      </c>
      <c r="FQ110" s="536">
        <v>4</v>
      </c>
      <c r="FR110" s="536">
        <v>6</v>
      </c>
      <c r="FS110" s="536">
        <v>3</v>
      </c>
      <c r="FT110" s="538">
        <v>2</v>
      </c>
      <c r="FU110" s="538">
        <v>0</v>
      </c>
      <c r="FV110" s="538">
        <v>22</v>
      </c>
      <c r="FW110" s="539"/>
      <c r="FY110" s="540"/>
      <c r="FZ110" s="540"/>
      <c r="GA110" s="540"/>
      <c r="GB110" s="541" t="s">
        <v>1072</v>
      </c>
      <c r="GC110" s="542"/>
      <c r="GD110" s="542"/>
      <c r="GE110" s="542"/>
      <c r="GF110" s="542"/>
      <c r="GG110" s="542"/>
      <c r="GH110" s="542"/>
      <c r="GI110" s="543">
        <v>1</v>
      </c>
      <c r="GJ110" s="543">
        <v>0</v>
      </c>
      <c r="GK110" s="542"/>
      <c r="GL110" s="542"/>
      <c r="GM110" s="543">
        <v>1</v>
      </c>
      <c r="GN110" s="445"/>
      <c r="GP110" s="63"/>
      <c r="GQ110" s="63"/>
      <c r="GR110" s="37"/>
      <c r="GS110" s="37" t="s">
        <v>1163</v>
      </c>
      <c r="GT110" s="63"/>
      <c r="GU110" s="63"/>
      <c r="GV110" s="63">
        <v>9</v>
      </c>
      <c r="GW110" s="63">
        <v>1</v>
      </c>
      <c r="GX110" s="63"/>
      <c r="GY110" s="63"/>
      <c r="GZ110" s="63"/>
      <c r="HA110" s="63"/>
      <c r="HB110" s="63"/>
      <c r="HC110" s="63"/>
      <c r="HD110" s="63">
        <v>10</v>
      </c>
      <c r="HE110" s="37"/>
      <c r="HF110" s="37"/>
      <c r="HG110" s="446"/>
      <c r="HH110" s="446"/>
      <c r="HI110" s="446"/>
      <c r="HJ110" s="446" t="s">
        <v>1076</v>
      </c>
      <c r="HK110" s="446">
        <v>0</v>
      </c>
      <c r="HL110" s="446">
        <v>0</v>
      </c>
      <c r="HM110" s="446">
        <v>0</v>
      </c>
      <c r="HN110" s="446">
        <v>0</v>
      </c>
      <c r="HO110" s="446">
        <v>0</v>
      </c>
      <c r="HP110" s="446">
        <v>0</v>
      </c>
      <c r="HQ110" s="446">
        <v>1</v>
      </c>
      <c r="HR110" s="446">
        <v>1</v>
      </c>
      <c r="HS110" s="446">
        <v>0</v>
      </c>
      <c r="HT110" s="446">
        <v>0</v>
      </c>
      <c r="HU110" s="446">
        <v>0</v>
      </c>
      <c r="HV110" s="447">
        <v>2</v>
      </c>
      <c r="HW110" s="544"/>
      <c r="HX110" s="448"/>
    </row>
    <row r="111" spans="1:232">
      <c r="A111" s="5682">
        <v>2</v>
      </c>
      <c r="B111" s="5682">
        <v>1</v>
      </c>
      <c r="C111" s="5683" t="s">
        <v>119</v>
      </c>
      <c r="D111" s="5683" t="s">
        <v>2703</v>
      </c>
      <c r="E111" s="5682">
        <v>1</v>
      </c>
      <c r="F111" s="5682">
        <v>1</v>
      </c>
      <c r="I111" s="4915">
        <v>2</v>
      </c>
      <c r="J111" s="4915">
        <v>1</v>
      </c>
      <c r="K111" s="4916" t="s">
        <v>120</v>
      </c>
      <c r="L111" s="4916" t="s">
        <v>2709</v>
      </c>
      <c r="M111" s="4915">
        <v>1</v>
      </c>
      <c r="N111" s="4915">
        <v>6</v>
      </c>
      <c r="O111" s="157"/>
      <c r="Q111" s="4705">
        <v>2</v>
      </c>
      <c r="R111" s="4705">
        <v>1</v>
      </c>
      <c r="S111" s="4706" t="s">
        <v>120</v>
      </c>
      <c r="T111" s="4706" t="s">
        <v>2709</v>
      </c>
      <c r="U111" s="4707">
        <v>1</v>
      </c>
      <c r="V111" s="4707">
        <v>6</v>
      </c>
      <c r="W111" s="4722"/>
      <c r="Y111" s="36"/>
      <c r="Z111" s="36" t="s">
        <v>16</v>
      </c>
      <c r="AA111" s="36" t="s">
        <v>106</v>
      </c>
      <c r="AB111" s="36" t="s">
        <v>2571</v>
      </c>
      <c r="AC111" s="1681">
        <v>1</v>
      </c>
      <c r="AD111" s="1681"/>
      <c r="AE111" s="1681"/>
      <c r="AF111" s="1681"/>
      <c r="AG111" s="1681"/>
      <c r="AH111" s="1681"/>
      <c r="AI111" s="1681"/>
      <c r="AJ111" s="1681"/>
      <c r="AK111" s="1681"/>
      <c r="AL111" s="95"/>
      <c r="AM111" s="95">
        <v>1</v>
      </c>
      <c r="AN111" s="4545"/>
      <c r="AO111" s="2117"/>
      <c r="AR111" s="27"/>
      <c r="AS111" s="27" t="s">
        <v>1081</v>
      </c>
      <c r="AT111" s="3722">
        <v>0</v>
      </c>
      <c r="AU111" s="3722">
        <v>0</v>
      </c>
      <c r="AV111" s="3722">
        <v>0</v>
      </c>
      <c r="AW111" s="3722">
        <v>0</v>
      </c>
      <c r="AX111" s="3722">
        <v>0</v>
      </c>
      <c r="AY111" s="3722">
        <v>0</v>
      </c>
      <c r="AZ111" s="3722">
        <v>2</v>
      </c>
      <c r="BA111" s="3722">
        <v>3</v>
      </c>
      <c r="BB111" s="3722">
        <v>1</v>
      </c>
      <c r="BC111" s="3701">
        <v>0</v>
      </c>
      <c r="BD111" s="3701">
        <v>0</v>
      </c>
      <c r="BE111" s="3701">
        <v>6</v>
      </c>
      <c r="BF111" s="3701"/>
      <c r="BG111" s="3701"/>
      <c r="BK111" s="32" t="s">
        <v>1076</v>
      </c>
      <c r="BL111" s="3871"/>
      <c r="BM111" s="3871"/>
      <c r="BN111" s="3871"/>
      <c r="BO111" s="3871"/>
      <c r="BP111" s="3871">
        <v>0</v>
      </c>
      <c r="BQ111" s="3871">
        <v>0</v>
      </c>
      <c r="BR111" s="3871">
        <v>2</v>
      </c>
      <c r="BS111" s="3871">
        <v>0</v>
      </c>
      <c r="BT111" s="1518">
        <v>0</v>
      </c>
      <c r="BU111" s="1518">
        <v>2</v>
      </c>
      <c r="BX111" s="36"/>
      <c r="BY111" s="36"/>
      <c r="BZ111" s="36" t="s">
        <v>121</v>
      </c>
      <c r="CA111" s="36" t="s">
        <v>1071</v>
      </c>
      <c r="CB111" s="1681"/>
      <c r="CC111" s="1681"/>
      <c r="CD111" s="1681"/>
      <c r="CE111" s="1681"/>
      <c r="CF111" s="1681"/>
      <c r="CG111" s="1681">
        <v>0</v>
      </c>
      <c r="CH111" s="1681">
        <v>0</v>
      </c>
      <c r="CI111" s="1681">
        <v>1</v>
      </c>
      <c r="CJ111" s="95"/>
      <c r="CK111" s="95"/>
      <c r="CL111" s="95">
        <v>1</v>
      </c>
      <c r="CM111" s="36"/>
      <c r="CO111" s="37"/>
      <c r="CP111" s="37"/>
      <c r="CQ111" s="37"/>
      <c r="CR111" s="416" t="s">
        <v>105</v>
      </c>
      <c r="CS111" s="1679">
        <v>3</v>
      </c>
      <c r="CT111" s="1679">
        <v>9</v>
      </c>
      <c r="CU111" s="1679">
        <v>3</v>
      </c>
      <c r="CV111" s="1679">
        <v>2</v>
      </c>
      <c r="CW111" s="1679">
        <v>10</v>
      </c>
      <c r="CX111" s="1679">
        <v>15</v>
      </c>
      <c r="CY111" s="1679">
        <v>43</v>
      </c>
      <c r="CZ111" s="1679">
        <v>34</v>
      </c>
      <c r="DA111" s="1679">
        <v>53</v>
      </c>
      <c r="DB111" s="386">
        <v>6</v>
      </c>
      <c r="DC111" s="386">
        <v>4</v>
      </c>
      <c r="DD111" s="386">
        <v>182</v>
      </c>
      <c r="DE111" s="2045">
        <f>+(DD105+DD109-DB109+DD110)/DD111</f>
        <v>0.26373626373626374</v>
      </c>
      <c r="DG111" s="95"/>
      <c r="DH111" s="95"/>
      <c r="DI111" s="36"/>
      <c r="DJ111" s="36" t="s">
        <v>1080</v>
      </c>
      <c r="DK111" s="1484"/>
      <c r="DL111" s="1484">
        <v>0</v>
      </c>
      <c r="DM111" s="1484"/>
      <c r="DN111" s="1484"/>
      <c r="DO111" s="1484"/>
      <c r="DP111" s="1484"/>
      <c r="DQ111" s="1484"/>
      <c r="DR111" s="1484">
        <v>0</v>
      </c>
      <c r="DS111" s="1484">
        <v>4</v>
      </c>
      <c r="DT111" s="95"/>
      <c r="DU111" s="95"/>
      <c r="DV111" s="95">
        <v>4</v>
      </c>
      <c r="DW111" s="95"/>
      <c r="DY111" s="1209"/>
      <c r="DZ111" s="1209"/>
      <c r="EA111" s="1210" t="s">
        <v>121</v>
      </c>
      <c r="EB111" s="1211" t="s">
        <v>1071</v>
      </c>
      <c r="EC111" s="1213">
        <v>0</v>
      </c>
      <c r="ED111" s="1213">
        <v>0</v>
      </c>
      <c r="EE111" s="1212"/>
      <c r="EF111" s="1212"/>
      <c r="EG111" s="1212"/>
      <c r="EH111" s="1213">
        <v>0</v>
      </c>
      <c r="EI111" s="1213">
        <v>0</v>
      </c>
      <c r="EJ111" s="1213">
        <v>1</v>
      </c>
      <c r="EK111" s="612">
        <v>1</v>
      </c>
      <c r="EL111" s="612">
        <v>8</v>
      </c>
      <c r="EM111" s="612">
        <v>10</v>
      </c>
      <c r="EN111" s="36"/>
      <c r="EP111" s="527"/>
      <c r="EQ111" s="527"/>
      <c r="ER111" s="528"/>
      <c r="ES111" s="529" t="s">
        <v>1074</v>
      </c>
      <c r="ET111" s="531">
        <v>1</v>
      </c>
      <c r="EU111" s="531">
        <v>1</v>
      </c>
      <c r="EV111" s="530"/>
      <c r="EW111" s="530"/>
      <c r="EX111" s="530"/>
      <c r="EY111" s="531">
        <v>0</v>
      </c>
      <c r="EZ111" s="531">
        <v>0</v>
      </c>
      <c r="FA111" s="531">
        <v>0</v>
      </c>
      <c r="FB111" s="532">
        <v>0</v>
      </c>
      <c r="FC111" s="532">
        <v>0</v>
      </c>
      <c r="FD111" s="532">
        <v>2</v>
      </c>
      <c r="FE111" s="95"/>
      <c r="FG111" s="533"/>
      <c r="FH111" s="533"/>
      <c r="FI111" s="533"/>
      <c r="FJ111" s="534" t="s">
        <v>1074</v>
      </c>
      <c r="FK111" s="536">
        <v>0</v>
      </c>
      <c r="FL111" s="536">
        <v>0</v>
      </c>
      <c r="FM111" s="536">
        <v>1</v>
      </c>
      <c r="FN111" s="536">
        <v>1</v>
      </c>
      <c r="FO111" s="535"/>
      <c r="FP111" s="536">
        <v>0</v>
      </c>
      <c r="FQ111" s="536">
        <v>0</v>
      </c>
      <c r="FR111" s="536">
        <v>0</v>
      </c>
      <c r="FS111" s="536">
        <v>0</v>
      </c>
      <c r="FT111" s="538">
        <v>0</v>
      </c>
      <c r="FU111" s="538">
        <v>0</v>
      </c>
      <c r="FV111" s="538">
        <v>2</v>
      </c>
      <c r="FW111" s="539"/>
      <c r="FY111" s="540"/>
      <c r="FZ111" s="540"/>
      <c r="GA111" s="540"/>
      <c r="GB111" s="541" t="s">
        <v>1080</v>
      </c>
      <c r="GC111" s="542"/>
      <c r="GD111" s="542"/>
      <c r="GE111" s="542"/>
      <c r="GF111" s="542"/>
      <c r="GG111" s="542"/>
      <c r="GH111" s="542"/>
      <c r="GI111" s="543">
        <v>0</v>
      </c>
      <c r="GJ111" s="543">
        <v>10</v>
      </c>
      <c r="GK111" s="542"/>
      <c r="GL111" s="542"/>
      <c r="GM111" s="543">
        <v>10</v>
      </c>
      <c r="GN111" s="445"/>
      <c r="GP111" s="63"/>
      <c r="GQ111" s="63"/>
      <c r="GR111" s="37"/>
      <c r="GS111" s="416" t="s">
        <v>15</v>
      </c>
      <c r="GT111" s="386"/>
      <c r="GU111" s="386"/>
      <c r="GV111" s="386">
        <v>14</v>
      </c>
      <c r="GW111" s="386">
        <v>2</v>
      </c>
      <c r="GX111" s="386"/>
      <c r="GY111" s="386"/>
      <c r="GZ111" s="386"/>
      <c r="HA111" s="386"/>
      <c r="HB111" s="386"/>
      <c r="HC111" s="386"/>
      <c r="HD111" s="386">
        <v>16</v>
      </c>
      <c r="HE111" s="466">
        <f>+(HD106+HD109+HD110)/HD111</f>
        <v>0.875</v>
      </c>
      <c r="HF111" s="37"/>
      <c r="HG111" s="446"/>
      <c r="HH111" s="446"/>
      <c r="HI111" s="446"/>
      <c r="HJ111" s="446" t="s">
        <v>1080</v>
      </c>
      <c r="HK111" s="446">
        <v>0</v>
      </c>
      <c r="HL111" s="446">
        <v>0</v>
      </c>
      <c r="HM111" s="446">
        <v>0</v>
      </c>
      <c r="HN111" s="446">
        <v>0</v>
      </c>
      <c r="HO111" s="446">
        <v>0</v>
      </c>
      <c r="HP111" s="446">
        <v>0</v>
      </c>
      <c r="HQ111" s="446">
        <v>0</v>
      </c>
      <c r="HR111" s="446">
        <v>0</v>
      </c>
      <c r="HS111" s="446">
        <v>11</v>
      </c>
      <c r="HT111" s="446">
        <v>0</v>
      </c>
      <c r="HU111" s="446">
        <v>0</v>
      </c>
      <c r="HV111" s="447">
        <v>11</v>
      </c>
      <c r="HW111" s="544"/>
      <c r="HX111" s="448"/>
    </row>
    <row r="112" spans="1:232">
      <c r="A112" s="5682">
        <v>2</v>
      </c>
      <c r="B112" s="5682">
        <v>1</v>
      </c>
      <c r="C112" s="5683" t="s">
        <v>119</v>
      </c>
      <c r="D112" s="5683" t="s">
        <v>2703</v>
      </c>
      <c r="E112" s="5682">
        <v>1</v>
      </c>
      <c r="F112" s="5682">
        <v>2</v>
      </c>
      <c r="I112" s="4915">
        <v>2</v>
      </c>
      <c r="J112" s="4915">
        <v>1</v>
      </c>
      <c r="K112" s="4916" t="s">
        <v>120</v>
      </c>
      <c r="L112" s="4916" t="s">
        <v>2709</v>
      </c>
      <c r="M112" s="4915">
        <v>3</v>
      </c>
      <c r="N112" s="4915">
        <v>7</v>
      </c>
      <c r="O112" s="157"/>
      <c r="Q112" s="4705">
        <v>2</v>
      </c>
      <c r="R112" s="4705">
        <v>1</v>
      </c>
      <c r="S112" s="4706" t="s">
        <v>120</v>
      </c>
      <c r="T112" s="4706" t="s">
        <v>2709</v>
      </c>
      <c r="U112" s="4707">
        <v>1</v>
      </c>
      <c r="V112" s="4707">
        <v>7</v>
      </c>
      <c r="W112" s="4722"/>
      <c r="Y112" s="36"/>
      <c r="Z112" s="36"/>
      <c r="AA112" s="36"/>
      <c r="AB112" s="36" t="s">
        <v>15</v>
      </c>
      <c r="AC112" s="1681">
        <v>1</v>
      </c>
      <c r="AD112" s="1681"/>
      <c r="AE112" s="1681"/>
      <c r="AF112" s="1681"/>
      <c r="AG112" s="1681"/>
      <c r="AH112" s="1681"/>
      <c r="AI112" s="1681"/>
      <c r="AJ112" s="1681"/>
      <c r="AK112" s="1681"/>
      <c r="AL112" s="95"/>
      <c r="AM112" s="95">
        <v>1</v>
      </c>
      <c r="AN112" s="4545">
        <v>0</v>
      </c>
      <c r="AR112" s="27"/>
      <c r="AS112" s="27" t="s">
        <v>2571</v>
      </c>
      <c r="AT112" s="3722">
        <v>17</v>
      </c>
      <c r="AU112" s="3722">
        <v>0</v>
      </c>
      <c r="AV112" s="3722">
        <v>0</v>
      </c>
      <c r="AW112" s="3722">
        <v>0</v>
      </c>
      <c r="AX112" s="3722">
        <v>0</v>
      </c>
      <c r="AY112" s="3722">
        <v>0</v>
      </c>
      <c r="AZ112" s="3722">
        <v>0</v>
      </c>
      <c r="BA112" s="3722">
        <v>0</v>
      </c>
      <c r="BB112" s="3722">
        <v>0</v>
      </c>
      <c r="BC112" s="3701">
        <v>0</v>
      </c>
      <c r="BD112" s="3701">
        <v>0</v>
      </c>
      <c r="BE112" s="3701">
        <v>17</v>
      </c>
      <c r="BF112" s="3701"/>
      <c r="BG112" s="3701"/>
      <c r="BK112" s="32" t="s">
        <v>1080</v>
      </c>
      <c r="BL112" s="3871"/>
      <c r="BM112" s="3871"/>
      <c r="BN112" s="3871"/>
      <c r="BO112" s="3871"/>
      <c r="BP112" s="3871">
        <v>0</v>
      </c>
      <c r="BQ112" s="3871">
        <v>0</v>
      </c>
      <c r="BR112" s="3871">
        <v>13</v>
      </c>
      <c r="BS112" s="3871">
        <v>0</v>
      </c>
      <c r="BT112" s="1518">
        <v>0</v>
      </c>
      <c r="BU112" s="1518">
        <v>13</v>
      </c>
      <c r="BX112" s="36"/>
      <c r="BY112" s="36"/>
      <c r="BZ112" s="36"/>
      <c r="CA112" s="36" t="s">
        <v>1072</v>
      </c>
      <c r="CB112" s="1681"/>
      <c r="CC112" s="1681"/>
      <c r="CD112" s="1681"/>
      <c r="CE112" s="1681"/>
      <c r="CF112" s="1681"/>
      <c r="CG112" s="1681">
        <v>1</v>
      </c>
      <c r="CH112" s="1681">
        <v>0</v>
      </c>
      <c r="CI112" s="1681">
        <v>0</v>
      </c>
      <c r="CJ112" s="95"/>
      <c r="CK112" s="95"/>
      <c r="CL112" s="95">
        <v>1</v>
      </c>
      <c r="CM112" s="36"/>
      <c r="CO112" s="37" t="s">
        <v>25</v>
      </c>
      <c r="CP112" s="37" t="s">
        <v>4</v>
      </c>
      <c r="CQ112" s="37" t="s">
        <v>119</v>
      </c>
      <c r="CR112" s="37" t="s">
        <v>1071</v>
      </c>
      <c r="CS112" s="1678"/>
      <c r="CT112" s="1678"/>
      <c r="CU112" s="1678"/>
      <c r="CV112" s="1678">
        <v>0</v>
      </c>
      <c r="CW112" s="1678">
        <v>0</v>
      </c>
      <c r="CX112" s="1678"/>
      <c r="CY112" s="1678"/>
      <c r="CZ112" s="1678">
        <v>0</v>
      </c>
      <c r="DA112" s="1678">
        <v>1</v>
      </c>
      <c r="DB112" s="63">
        <v>1</v>
      </c>
      <c r="DC112" s="63">
        <v>1</v>
      </c>
      <c r="DD112" s="63">
        <v>3</v>
      </c>
      <c r="DG112" s="95"/>
      <c r="DH112" s="95"/>
      <c r="DI112" s="36"/>
      <c r="DJ112" s="393" t="s">
        <v>15</v>
      </c>
      <c r="DK112" s="1485"/>
      <c r="DL112" s="1485">
        <v>1</v>
      </c>
      <c r="DM112" s="1485"/>
      <c r="DN112" s="1485"/>
      <c r="DO112" s="1485"/>
      <c r="DP112" s="1485"/>
      <c r="DQ112" s="1485"/>
      <c r="DR112" s="1485">
        <v>4</v>
      </c>
      <c r="DS112" s="1485">
        <v>4</v>
      </c>
      <c r="DT112" s="86"/>
      <c r="DU112" s="86"/>
      <c r="DV112" s="86">
        <v>9</v>
      </c>
      <c r="DW112" s="560">
        <f>+DV110/DV112</f>
        <v>0.44444444444444442</v>
      </c>
      <c r="DY112" s="1209"/>
      <c r="DZ112" s="1209"/>
      <c r="EA112" s="1210"/>
      <c r="EB112" s="1211" t="s">
        <v>1072</v>
      </c>
      <c r="EC112" s="1213">
        <v>1</v>
      </c>
      <c r="ED112" s="1213">
        <v>0</v>
      </c>
      <c r="EE112" s="1212"/>
      <c r="EF112" s="1212"/>
      <c r="EG112" s="1212"/>
      <c r="EH112" s="1213">
        <v>0</v>
      </c>
      <c r="EI112" s="1213">
        <v>0</v>
      </c>
      <c r="EJ112" s="1213">
        <v>0</v>
      </c>
      <c r="EK112" s="612">
        <v>0</v>
      </c>
      <c r="EL112" s="612">
        <v>0</v>
      </c>
      <c r="EM112" s="612">
        <v>1</v>
      </c>
      <c r="EN112" s="36"/>
      <c r="EP112" s="527"/>
      <c r="EQ112" s="527"/>
      <c r="ER112" s="528"/>
      <c r="ES112" s="529" t="s">
        <v>1076</v>
      </c>
      <c r="ET112" s="531">
        <v>0</v>
      </c>
      <c r="EU112" s="531">
        <v>0</v>
      </c>
      <c r="EV112" s="530"/>
      <c r="EW112" s="530"/>
      <c r="EX112" s="530"/>
      <c r="EY112" s="531">
        <v>0</v>
      </c>
      <c r="EZ112" s="531">
        <v>1</v>
      </c>
      <c r="FA112" s="531">
        <v>0</v>
      </c>
      <c r="FB112" s="532">
        <v>0</v>
      </c>
      <c r="FC112" s="532">
        <v>0</v>
      </c>
      <c r="FD112" s="532">
        <v>1</v>
      </c>
      <c r="FE112" s="95"/>
      <c r="FG112" s="533"/>
      <c r="FH112" s="533"/>
      <c r="FI112" s="533"/>
      <c r="FJ112" s="534" t="s">
        <v>1076</v>
      </c>
      <c r="FK112" s="536">
        <v>0</v>
      </c>
      <c r="FL112" s="536">
        <v>0</v>
      </c>
      <c r="FM112" s="536">
        <v>0</v>
      </c>
      <c r="FN112" s="536">
        <v>0</v>
      </c>
      <c r="FO112" s="535"/>
      <c r="FP112" s="536">
        <v>0</v>
      </c>
      <c r="FQ112" s="536">
        <v>1</v>
      </c>
      <c r="FR112" s="536">
        <v>15</v>
      </c>
      <c r="FS112" s="536">
        <v>2</v>
      </c>
      <c r="FT112" s="538">
        <v>2</v>
      </c>
      <c r="FU112" s="538">
        <v>0</v>
      </c>
      <c r="FV112" s="538">
        <v>20</v>
      </c>
      <c r="FW112" s="539"/>
      <c r="FY112" s="540"/>
      <c r="FZ112" s="540"/>
      <c r="GA112" s="540"/>
      <c r="GB112" s="550" t="s">
        <v>15</v>
      </c>
      <c r="GC112" s="551"/>
      <c r="GD112" s="551"/>
      <c r="GE112" s="551"/>
      <c r="GF112" s="551"/>
      <c r="GG112" s="551"/>
      <c r="GH112" s="551"/>
      <c r="GI112" s="552">
        <v>1</v>
      </c>
      <c r="GJ112" s="552">
        <v>11</v>
      </c>
      <c r="GK112" s="551"/>
      <c r="GL112" s="551"/>
      <c r="GM112" s="552">
        <v>12</v>
      </c>
      <c r="GN112" s="553">
        <v>0</v>
      </c>
      <c r="GP112" s="63"/>
      <c r="GQ112" s="63" t="s">
        <v>41</v>
      </c>
      <c r="GR112" s="37" t="s">
        <v>137</v>
      </c>
      <c r="GS112" s="37" t="s">
        <v>1072</v>
      </c>
      <c r="GT112" s="63"/>
      <c r="GU112" s="63"/>
      <c r="GV112" s="63"/>
      <c r="GW112" s="63"/>
      <c r="GX112" s="63"/>
      <c r="GY112" s="63">
        <v>9</v>
      </c>
      <c r="GZ112" s="63">
        <v>1</v>
      </c>
      <c r="HA112" s="63">
        <v>0</v>
      </c>
      <c r="HB112" s="63"/>
      <c r="HC112" s="63"/>
      <c r="HD112" s="63">
        <v>10</v>
      </c>
      <c r="HE112" s="37"/>
      <c r="HF112" s="37"/>
      <c r="HG112" s="446"/>
      <c r="HH112" s="446"/>
      <c r="HI112" s="446"/>
      <c r="HJ112" s="449" t="s">
        <v>15</v>
      </c>
      <c r="HK112" s="449">
        <v>0</v>
      </c>
      <c r="HL112" s="449">
        <v>0</v>
      </c>
      <c r="HM112" s="449">
        <v>0</v>
      </c>
      <c r="HN112" s="449">
        <v>0</v>
      </c>
      <c r="HO112" s="449">
        <v>0</v>
      </c>
      <c r="HP112" s="449">
        <v>0</v>
      </c>
      <c r="HQ112" s="449">
        <v>1</v>
      </c>
      <c r="HR112" s="449">
        <v>1</v>
      </c>
      <c r="HS112" s="449">
        <v>12</v>
      </c>
      <c r="HT112" s="449">
        <v>0</v>
      </c>
      <c r="HU112" s="449">
        <v>0</v>
      </c>
      <c r="HV112" s="507">
        <v>14</v>
      </c>
      <c r="HW112" s="554">
        <f>+HV110/HV112</f>
        <v>0.14285714285714285</v>
      </c>
      <c r="HX112" s="448">
        <f>+HV110</f>
        <v>2</v>
      </c>
    </row>
    <row r="113" spans="1:232">
      <c r="A113" s="5682">
        <v>2</v>
      </c>
      <c r="B113" s="5682">
        <v>1</v>
      </c>
      <c r="C113" s="5683" t="s">
        <v>119</v>
      </c>
      <c r="D113" s="5685" t="s">
        <v>1076</v>
      </c>
      <c r="E113" s="5682">
        <v>1</v>
      </c>
      <c r="F113" s="5682">
        <v>7</v>
      </c>
      <c r="I113" s="4915">
        <v>2</v>
      </c>
      <c r="J113" s="4915">
        <v>1</v>
      </c>
      <c r="K113" s="4916" t="s">
        <v>120</v>
      </c>
      <c r="L113" s="4916" t="s">
        <v>2709</v>
      </c>
      <c r="M113" s="4915">
        <v>1</v>
      </c>
      <c r="N113" s="4915">
        <v>8</v>
      </c>
      <c r="O113" s="157"/>
      <c r="Q113" s="4705">
        <v>2</v>
      </c>
      <c r="R113" s="4705">
        <v>1</v>
      </c>
      <c r="S113" s="4706" t="s">
        <v>120</v>
      </c>
      <c r="T113" s="4706" t="s">
        <v>2709</v>
      </c>
      <c r="U113" s="4707">
        <v>1</v>
      </c>
      <c r="V113" s="4707">
        <v>8</v>
      </c>
      <c r="W113" s="4722"/>
      <c r="X113" s="4452"/>
      <c r="Y113" s="36"/>
      <c r="Z113" s="36"/>
      <c r="AA113" s="36" t="s">
        <v>125</v>
      </c>
      <c r="AB113" s="36" t="s">
        <v>1071</v>
      </c>
      <c r="AC113" s="1681">
        <v>0</v>
      </c>
      <c r="AD113" s="1681"/>
      <c r="AE113" s="1681"/>
      <c r="AF113" s="1681">
        <v>0</v>
      </c>
      <c r="AG113" s="1681"/>
      <c r="AH113" s="1681"/>
      <c r="AI113" s="1681">
        <v>0</v>
      </c>
      <c r="AJ113" s="1681">
        <v>1</v>
      </c>
      <c r="AK113" s="1681"/>
      <c r="AL113" s="95"/>
      <c r="AM113" s="95">
        <v>1</v>
      </c>
      <c r="AN113" s="4545"/>
      <c r="AR113" s="27"/>
      <c r="AS113" s="27" t="s">
        <v>1163</v>
      </c>
      <c r="AT113" s="3722">
        <v>0</v>
      </c>
      <c r="AU113" s="3722">
        <v>0</v>
      </c>
      <c r="AV113" s="3722">
        <v>0</v>
      </c>
      <c r="AW113" s="3722">
        <v>0</v>
      </c>
      <c r="AX113" s="3722">
        <v>0</v>
      </c>
      <c r="AY113" s="3722">
        <v>0</v>
      </c>
      <c r="AZ113" s="3722">
        <v>5</v>
      </c>
      <c r="BA113" s="3722">
        <v>4</v>
      </c>
      <c r="BB113" s="3722">
        <v>0</v>
      </c>
      <c r="BC113" s="3701">
        <v>0</v>
      </c>
      <c r="BD113" s="3701">
        <v>0</v>
      </c>
      <c r="BE113" s="3701">
        <v>9</v>
      </c>
      <c r="BF113" s="3701"/>
      <c r="BG113" s="3701"/>
      <c r="BK113" s="32" t="s">
        <v>1163</v>
      </c>
      <c r="BL113" s="3871"/>
      <c r="BM113" s="3871"/>
      <c r="BN113" s="3871"/>
      <c r="BO113" s="3871"/>
      <c r="BP113" s="3871">
        <v>1</v>
      </c>
      <c r="BQ113" s="3871">
        <v>0</v>
      </c>
      <c r="BR113" s="3871">
        <v>0</v>
      </c>
      <c r="BS113" s="3871">
        <v>0</v>
      </c>
      <c r="BT113" s="1518">
        <v>0</v>
      </c>
      <c r="BU113" s="1518">
        <v>1</v>
      </c>
      <c r="BX113" s="36"/>
      <c r="BY113" s="36"/>
      <c r="BZ113" s="36"/>
      <c r="CA113" s="36" t="s">
        <v>1076</v>
      </c>
      <c r="CB113" s="1681"/>
      <c r="CC113" s="1681"/>
      <c r="CD113" s="1681"/>
      <c r="CE113" s="1681"/>
      <c r="CF113" s="1681"/>
      <c r="CG113" s="1681">
        <v>1</v>
      </c>
      <c r="CH113" s="1681">
        <v>2</v>
      </c>
      <c r="CI113" s="1681">
        <v>1</v>
      </c>
      <c r="CJ113" s="95"/>
      <c r="CK113" s="95"/>
      <c r="CL113" s="95">
        <v>4</v>
      </c>
      <c r="CM113" s="36"/>
      <c r="CO113" s="37"/>
      <c r="CP113" s="37"/>
      <c r="CQ113" s="37"/>
      <c r="CR113" s="37" t="s">
        <v>1072</v>
      </c>
      <c r="CS113" s="1678"/>
      <c r="CT113" s="1678"/>
      <c r="CU113" s="1678"/>
      <c r="CV113" s="1678">
        <v>0</v>
      </c>
      <c r="CW113" s="1678">
        <v>1</v>
      </c>
      <c r="CX113" s="1678"/>
      <c r="CY113" s="1678"/>
      <c r="CZ113" s="1678">
        <v>0</v>
      </c>
      <c r="DA113" s="1678">
        <v>1</v>
      </c>
      <c r="DB113" s="63">
        <v>1</v>
      </c>
      <c r="DC113" s="63">
        <v>0</v>
      </c>
      <c r="DD113" s="63">
        <v>3</v>
      </c>
      <c r="DG113" s="95"/>
      <c r="DH113" s="95"/>
      <c r="DI113" s="36" t="s">
        <v>123</v>
      </c>
      <c r="DJ113" s="36" t="s">
        <v>1072</v>
      </c>
      <c r="DK113" s="1484"/>
      <c r="DL113" s="1484"/>
      <c r="DM113" s="1484"/>
      <c r="DN113" s="1484"/>
      <c r="DO113" s="1484"/>
      <c r="DP113" s="1484"/>
      <c r="DQ113" s="1484">
        <v>0</v>
      </c>
      <c r="DR113" s="1484">
        <v>2</v>
      </c>
      <c r="DS113" s="1484">
        <v>0</v>
      </c>
      <c r="DT113" s="95"/>
      <c r="DU113" s="95">
        <v>0</v>
      </c>
      <c r="DV113" s="95">
        <v>2</v>
      </c>
      <c r="DW113" s="95"/>
      <c r="DY113" s="1209"/>
      <c r="DZ113" s="1209"/>
      <c r="EA113" s="1210"/>
      <c r="EB113" s="1211" t="s">
        <v>1076</v>
      </c>
      <c r="EC113" s="1213">
        <v>0</v>
      </c>
      <c r="ED113" s="1213">
        <v>0</v>
      </c>
      <c r="EE113" s="1212"/>
      <c r="EF113" s="1212"/>
      <c r="EG113" s="1212"/>
      <c r="EH113" s="1213">
        <v>0</v>
      </c>
      <c r="EI113" s="1213">
        <v>2</v>
      </c>
      <c r="EJ113" s="1213">
        <v>0</v>
      </c>
      <c r="EK113" s="612">
        <v>0</v>
      </c>
      <c r="EL113" s="612">
        <v>0</v>
      </c>
      <c r="EM113" s="612">
        <v>2</v>
      </c>
      <c r="EN113" s="36"/>
      <c r="EP113" s="527"/>
      <c r="EQ113" s="527"/>
      <c r="ER113" s="528"/>
      <c r="ES113" s="529" t="s">
        <v>1080</v>
      </c>
      <c r="ET113" s="531">
        <v>0</v>
      </c>
      <c r="EU113" s="531">
        <v>0</v>
      </c>
      <c r="EV113" s="530"/>
      <c r="EW113" s="530"/>
      <c r="EX113" s="530"/>
      <c r="EY113" s="531">
        <v>0</v>
      </c>
      <c r="EZ113" s="531">
        <v>0</v>
      </c>
      <c r="FA113" s="531">
        <v>6</v>
      </c>
      <c r="FB113" s="532">
        <v>0</v>
      </c>
      <c r="FC113" s="532">
        <v>0</v>
      </c>
      <c r="FD113" s="532">
        <v>6</v>
      </c>
      <c r="FE113" s="95"/>
      <c r="FG113" s="533"/>
      <c r="FH113" s="533"/>
      <c r="FI113" s="533"/>
      <c r="FJ113" s="534" t="s">
        <v>1077</v>
      </c>
      <c r="FK113" s="536">
        <v>0</v>
      </c>
      <c r="FL113" s="536">
        <v>0</v>
      </c>
      <c r="FM113" s="536">
        <v>0</v>
      </c>
      <c r="FN113" s="536">
        <v>1</v>
      </c>
      <c r="FO113" s="535"/>
      <c r="FP113" s="536">
        <v>0</v>
      </c>
      <c r="FQ113" s="536">
        <v>0</v>
      </c>
      <c r="FR113" s="536">
        <v>0</v>
      </c>
      <c r="FS113" s="536">
        <v>0</v>
      </c>
      <c r="FT113" s="538">
        <v>0</v>
      </c>
      <c r="FU113" s="538">
        <v>0</v>
      </c>
      <c r="FV113" s="538">
        <v>1</v>
      </c>
      <c r="FW113" s="539"/>
      <c r="FY113" s="540" t="s">
        <v>48</v>
      </c>
      <c r="FZ113" s="540" t="s">
        <v>16</v>
      </c>
      <c r="GA113" s="540" t="s">
        <v>131</v>
      </c>
      <c r="GB113" s="541" t="s">
        <v>1072</v>
      </c>
      <c r="GC113" s="542"/>
      <c r="GD113" s="543">
        <v>1</v>
      </c>
      <c r="GE113" s="542"/>
      <c r="GF113" s="542"/>
      <c r="GG113" s="542"/>
      <c r="GH113" s="543">
        <v>9</v>
      </c>
      <c r="GI113" s="543">
        <v>4</v>
      </c>
      <c r="GJ113" s="543">
        <v>0</v>
      </c>
      <c r="GK113" s="542"/>
      <c r="GL113" s="542"/>
      <c r="GM113" s="543">
        <v>14</v>
      </c>
      <c r="GN113" s="445"/>
      <c r="GP113" s="63"/>
      <c r="GQ113" s="63"/>
      <c r="GR113" s="37"/>
      <c r="GS113" s="37" t="s">
        <v>1080</v>
      </c>
      <c r="GT113" s="63"/>
      <c r="GU113" s="63"/>
      <c r="GV113" s="63"/>
      <c r="GW113" s="63"/>
      <c r="GX113" s="63"/>
      <c r="GY113" s="63">
        <v>0</v>
      </c>
      <c r="GZ113" s="63">
        <v>0</v>
      </c>
      <c r="HA113" s="63">
        <v>2</v>
      </c>
      <c r="HB113" s="63"/>
      <c r="HC113" s="63"/>
      <c r="HD113" s="63">
        <v>2</v>
      </c>
      <c r="HE113" s="37"/>
      <c r="HF113" s="37"/>
      <c r="HG113" s="446"/>
      <c r="HH113" s="446"/>
      <c r="HI113" s="446" t="s">
        <v>130</v>
      </c>
      <c r="HJ113" s="446" t="s">
        <v>1076</v>
      </c>
      <c r="HK113" s="446">
        <v>0</v>
      </c>
      <c r="HL113" s="446">
        <v>0</v>
      </c>
      <c r="HM113" s="446">
        <v>0</v>
      </c>
      <c r="HN113" s="446">
        <v>0</v>
      </c>
      <c r="HO113" s="446">
        <v>0</v>
      </c>
      <c r="HP113" s="446">
        <v>0</v>
      </c>
      <c r="HQ113" s="446">
        <v>0</v>
      </c>
      <c r="HR113" s="446">
        <v>2</v>
      </c>
      <c r="HS113" s="446">
        <v>0</v>
      </c>
      <c r="HT113" s="446">
        <v>0</v>
      </c>
      <c r="HU113" s="446">
        <v>0</v>
      </c>
      <c r="HV113" s="447">
        <v>2</v>
      </c>
      <c r="HW113" s="544"/>
      <c r="HX113" s="448"/>
    </row>
    <row r="114" spans="1:232">
      <c r="A114" s="5682">
        <v>2</v>
      </c>
      <c r="B114" s="5682">
        <v>1</v>
      </c>
      <c r="C114" s="5683" t="s">
        <v>119</v>
      </c>
      <c r="D114" s="5685" t="s">
        <v>1076</v>
      </c>
      <c r="E114" s="5682">
        <v>3</v>
      </c>
      <c r="F114" s="5682">
        <v>8</v>
      </c>
      <c r="I114" s="4915"/>
      <c r="J114" s="4915"/>
      <c r="K114" s="4916"/>
      <c r="L114" s="4916"/>
      <c r="M114" s="4920">
        <f>SUM(M106:M113)</f>
        <v>20</v>
      </c>
      <c r="N114" s="4915"/>
      <c r="O114" s="4921">
        <f>(M109)/(M114)</f>
        <v>0.05</v>
      </c>
      <c r="Q114" s="4705"/>
      <c r="R114" s="4705"/>
      <c r="S114" s="4706"/>
      <c r="T114" s="4706"/>
      <c r="U114" s="4741">
        <f>SUM(U105:U113)</f>
        <v>15</v>
      </c>
      <c r="V114" s="4741"/>
      <c r="W114" s="4722">
        <f>(U106+U107+U108+U109)/(U114)</f>
        <v>0.33333333333333331</v>
      </c>
      <c r="X114" s="4452"/>
      <c r="Y114" s="36"/>
      <c r="Z114" s="36"/>
      <c r="AA114" s="36"/>
      <c r="AB114" s="36" t="s">
        <v>1072</v>
      </c>
      <c r="AC114" s="1681">
        <v>0</v>
      </c>
      <c r="AD114" s="1681"/>
      <c r="AE114" s="1681"/>
      <c r="AF114" s="1681">
        <v>1</v>
      </c>
      <c r="AG114" s="1681"/>
      <c r="AH114" s="1681"/>
      <c r="AI114" s="1681">
        <v>10</v>
      </c>
      <c r="AJ114" s="1681">
        <v>0</v>
      </c>
      <c r="AK114" s="1681"/>
      <c r="AL114" s="95"/>
      <c r="AM114" s="95">
        <v>11</v>
      </c>
      <c r="AN114" s="4545"/>
      <c r="AR114" s="27"/>
      <c r="AS114" s="27" t="s">
        <v>2264</v>
      </c>
      <c r="AT114" s="3722">
        <v>0</v>
      </c>
      <c r="AU114" s="3722">
        <v>0</v>
      </c>
      <c r="AV114" s="3722">
        <v>1</v>
      </c>
      <c r="AW114" s="3722">
        <v>0</v>
      </c>
      <c r="AX114" s="3722">
        <v>0</v>
      </c>
      <c r="AY114" s="3722">
        <v>0</v>
      </c>
      <c r="AZ114" s="3722">
        <v>0</v>
      </c>
      <c r="BA114" s="3722">
        <v>0</v>
      </c>
      <c r="BB114" s="3722">
        <v>0</v>
      </c>
      <c r="BC114" s="3701">
        <v>0</v>
      </c>
      <c r="BD114" s="3701">
        <v>0</v>
      </c>
      <c r="BE114" s="3701">
        <v>1</v>
      </c>
      <c r="BF114" s="3701"/>
      <c r="BG114" s="3701"/>
      <c r="BK114" s="1520" t="s">
        <v>15</v>
      </c>
      <c r="BL114" s="3872"/>
      <c r="BM114" s="3872"/>
      <c r="BN114" s="3872"/>
      <c r="BO114" s="3872"/>
      <c r="BP114" s="3872">
        <v>2</v>
      </c>
      <c r="BQ114" s="3872">
        <v>1</v>
      </c>
      <c r="BR114" s="3872">
        <v>15</v>
      </c>
      <c r="BS114" s="3872">
        <v>4</v>
      </c>
      <c r="BT114" s="3806">
        <v>1</v>
      </c>
      <c r="BU114" s="3806">
        <v>23</v>
      </c>
      <c r="BV114" s="3807">
        <f>+(BU111+BU113)/BU114</f>
        <v>0.13043478260869565</v>
      </c>
      <c r="BX114" s="36"/>
      <c r="BY114" s="36"/>
      <c r="BZ114" s="36"/>
      <c r="CA114" s="36" t="s">
        <v>1080</v>
      </c>
      <c r="CB114" s="1681"/>
      <c r="CC114" s="1681"/>
      <c r="CD114" s="1681"/>
      <c r="CE114" s="1681"/>
      <c r="CF114" s="1681"/>
      <c r="CG114" s="1681">
        <v>0</v>
      </c>
      <c r="CH114" s="1681">
        <v>0</v>
      </c>
      <c r="CI114" s="1681">
        <v>2</v>
      </c>
      <c r="CJ114" s="95"/>
      <c r="CK114" s="95"/>
      <c r="CL114" s="95">
        <v>2</v>
      </c>
      <c r="CM114" s="36"/>
      <c r="CO114" s="37"/>
      <c r="CP114" s="37"/>
      <c r="CQ114" s="37"/>
      <c r="CR114" s="37" t="s">
        <v>1076</v>
      </c>
      <c r="CS114" s="1678"/>
      <c r="CT114" s="1678"/>
      <c r="CU114" s="1678"/>
      <c r="CV114" s="1678">
        <v>0</v>
      </c>
      <c r="CW114" s="1678">
        <v>0</v>
      </c>
      <c r="CX114" s="1678"/>
      <c r="CY114" s="1678"/>
      <c r="CZ114" s="1678">
        <v>2</v>
      </c>
      <c r="DA114" s="1678">
        <v>1</v>
      </c>
      <c r="DB114" s="63">
        <v>2</v>
      </c>
      <c r="DC114" s="63">
        <v>0</v>
      </c>
      <c r="DD114" s="63">
        <v>5</v>
      </c>
      <c r="DG114" s="95"/>
      <c r="DH114" s="95"/>
      <c r="DI114" s="36"/>
      <c r="DJ114" s="36" t="s">
        <v>1080</v>
      </c>
      <c r="DK114" s="1484"/>
      <c r="DL114" s="1484"/>
      <c r="DM114" s="1484"/>
      <c r="DN114" s="1484"/>
      <c r="DO114" s="1484"/>
      <c r="DP114" s="1484"/>
      <c r="DQ114" s="1484">
        <v>0</v>
      </c>
      <c r="DR114" s="1484">
        <v>0</v>
      </c>
      <c r="DS114" s="1484">
        <v>1</v>
      </c>
      <c r="DT114" s="95"/>
      <c r="DU114" s="95">
        <v>1</v>
      </c>
      <c r="DV114" s="95">
        <v>2</v>
      </c>
      <c r="DW114" s="95"/>
      <c r="DY114" s="1209"/>
      <c r="DZ114" s="1209"/>
      <c r="EA114" s="1210"/>
      <c r="EB114" s="1211" t="s">
        <v>1077</v>
      </c>
      <c r="EC114" s="1213">
        <v>0</v>
      </c>
      <c r="ED114" s="1213">
        <v>1</v>
      </c>
      <c r="EE114" s="1212"/>
      <c r="EF114" s="1212"/>
      <c r="EG114" s="1212"/>
      <c r="EH114" s="1213">
        <v>0</v>
      </c>
      <c r="EI114" s="1213">
        <v>0</v>
      </c>
      <c r="EJ114" s="1213">
        <v>0</v>
      </c>
      <c r="EK114" s="612">
        <v>0</v>
      </c>
      <c r="EL114" s="612">
        <v>0</v>
      </c>
      <c r="EM114" s="612">
        <v>1</v>
      </c>
      <c r="EN114" s="36"/>
      <c r="EP114" s="527"/>
      <c r="EQ114" s="527"/>
      <c r="ER114" s="528"/>
      <c r="ES114" s="529" t="s">
        <v>1163</v>
      </c>
      <c r="ET114" s="531">
        <v>0</v>
      </c>
      <c r="EU114" s="531">
        <v>0</v>
      </c>
      <c r="EV114" s="530"/>
      <c r="EW114" s="530"/>
      <c r="EX114" s="530"/>
      <c r="EY114" s="531">
        <v>1</v>
      </c>
      <c r="EZ114" s="531">
        <v>0</v>
      </c>
      <c r="FA114" s="531">
        <v>0</v>
      </c>
      <c r="FB114" s="532">
        <v>0</v>
      </c>
      <c r="FC114" s="532">
        <v>0</v>
      </c>
      <c r="FD114" s="532">
        <v>1</v>
      </c>
      <c r="FE114" s="95"/>
      <c r="FG114" s="533"/>
      <c r="FH114" s="533"/>
      <c r="FI114" s="533"/>
      <c r="FJ114" s="534" t="s">
        <v>1080</v>
      </c>
      <c r="FK114" s="536">
        <v>0</v>
      </c>
      <c r="FL114" s="536">
        <v>0</v>
      </c>
      <c r="FM114" s="536">
        <v>0</v>
      </c>
      <c r="FN114" s="536">
        <v>0</v>
      </c>
      <c r="FO114" s="535"/>
      <c r="FP114" s="536">
        <v>0</v>
      </c>
      <c r="FQ114" s="536">
        <v>0</v>
      </c>
      <c r="FR114" s="536">
        <v>0</v>
      </c>
      <c r="FS114" s="536">
        <v>26</v>
      </c>
      <c r="FT114" s="538">
        <v>7</v>
      </c>
      <c r="FU114" s="538">
        <v>3</v>
      </c>
      <c r="FV114" s="538">
        <v>36</v>
      </c>
      <c r="FW114" s="539"/>
      <c r="FY114" s="540"/>
      <c r="FZ114" s="540"/>
      <c r="GA114" s="540"/>
      <c r="GB114" s="541" t="s">
        <v>1080</v>
      </c>
      <c r="GC114" s="542"/>
      <c r="GD114" s="543">
        <v>0</v>
      </c>
      <c r="GE114" s="542"/>
      <c r="GF114" s="542"/>
      <c r="GG114" s="542"/>
      <c r="GH114" s="543">
        <v>0</v>
      </c>
      <c r="GI114" s="543">
        <v>1</v>
      </c>
      <c r="GJ114" s="543">
        <v>5</v>
      </c>
      <c r="GK114" s="542"/>
      <c r="GL114" s="542"/>
      <c r="GM114" s="543">
        <v>6</v>
      </c>
      <c r="GN114" s="445"/>
      <c r="GP114" s="63"/>
      <c r="GQ114" s="63"/>
      <c r="GR114" s="37"/>
      <c r="GS114" s="416" t="s">
        <v>15</v>
      </c>
      <c r="GT114" s="386"/>
      <c r="GU114" s="386"/>
      <c r="GV114" s="386"/>
      <c r="GW114" s="386"/>
      <c r="GX114" s="386"/>
      <c r="GY114" s="386">
        <v>9</v>
      </c>
      <c r="GZ114" s="386">
        <v>1</v>
      </c>
      <c r="HA114" s="386">
        <v>2</v>
      </c>
      <c r="HB114" s="386"/>
      <c r="HC114" s="386"/>
      <c r="HD114" s="386">
        <v>12</v>
      </c>
      <c r="HE114" s="468">
        <v>0</v>
      </c>
      <c r="HF114" s="37"/>
      <c r="HG114" s="446"/>
      <c r="HH114" s="446"/>
      <c r="HI114" s="446"/>
      <c r="HJ114" s="446" t="s">
        <v>1080</v>
      </c>
      <c r="HK114" s="446">
        <v>0</v>
      </c>
      <c r="HL114" s="446">
        <v>0</v>
      </c>
      <c r="HM114" s="446">
        <v>0</v>
      </c>
      <c r="HN114" s="446">
        <v>0</v>
      </c>
      <c r="HO114" s="446">
        <v>0</v>
      </c>
      <c r="HP114" s="446">
        <v>0</v>
      </c>
      <c r="HQ114" s="446">
        <v>0</v>
      </c>
      <c r="HR114" s="446">
        <v>1</v>
      </c>
      <c r="HS114" s="446">
        <v>17</v>
      </c>
      <c r="HT114" s="446">
        <v>0</v>
      </c>
      <c r="HU114" s="446">
        <v>0</v>
      </c>
      <c r="HV114" s="447">
        <v>18</v>
      </c>
      <c r="HW114" s="544"/>
      <c r="HX114" s="448"/>
    </row>
    <row r="115" spans="1:232">
      <c r="A115" s="5687">
        <v>2</v>
      </c>
      <c r="B115" s="5687">
        <v>1</v>
      </c>
      <c r="C115" s="5688" t="s">
        <v>119</v>
      </c>
      <c r="D115" s="5688" t="s">
        <v>1076</v>
      </c>
      <c r="E115" s="5687">
        <v>1</v>
      </c>
      <c r="F115" s="5687">
        <v>9</v>
      </c>
      <c r="I115" s="4915">
        <v>2</v>
      </c>
      <c r="J115" s="4915">
        <v>1</v>
      </c>
      <c r="K115" s="4916" t="s">
        <v>121</v>
      </c>
      <c r="L115" s="4916" t="s">
        <v>2731</v>
      </c>
      <c r="M115" s="4915">
        <v>4</v>
      </c>
      <c r="N115" s="4915">
        <v>7</v>
      </c>
      <c r="O115" s="157"/>
      <c r="Q115" s="4705">
        <v>2</v>
      </c>
      <c r="R115" s="4705">
        <v>1</v>
      </c>
      <c r="S115" s="4706" t="s">
        <v>121</v>
      </c>
      <c r="T115" s="4708" t="s">
        <v>2732</v>
      </c>
      <c r="U115" s="4709">
        <v>3</v>
      </c>
      <c r="V115" s="4709">
        <v>7</v>
      </c>
      <c r="W115" s="4722"/>
      <c r="Y115" s="36"/>
      <c r="Z115" s="36"/>
      <c r="AA115" s="36"/>
      <c r="AB115" s="36" t="s">
        <v>1076</v>
      </c>
      <c r="AC115" s="1681">
        <v>0</v>
      </c>
      <c r="AD115" s="1681"/>
      <c r="AE115" s="1681"/>
      <c r="AF115" s="1681">
        <v>0</v>
      </c>
      <c r="AG115" s="1681"/>
      <c r="AH115" s="1681"/>
      <c r="AI115" s="1681">
        <v>1</v>
      </c>
      <c r="AJ115" s="1681">
        <v>0</v>
      </c>
      <c r="AK115" s="1681"/>
      <c r="AL115" s="95"/>
      <c r="AM115" s="95">
        <v>1</v>
      </c>
      <c r="AN115" s="4545"/>
      <c r="AR115" s="27"/>
      <c r="AS115" s="27" t="s">
        <v>15</v>
      </c>
      <c r="AT115" s="3722">
        <v>17</v>
      </c>
      <c r="AU115" s="3722">
        <v>17</v>
      </c>
      <c r="AV115" s="3722">
        <v>6</v>
      </c>
      <c r="AW115" s="3722">
        <v>5</v>
      </c>
      <c r="AX115" s="3722">
        <v>2</v>
      </c>
      <c r="AY115" s="3722">
        <v>9</v>
      </c>
      <c r="AZ115" s="3722">
        <v>55</v>
      </c>
      <c r="BA115" s="3722">
        <v>60</v>
      </c>
      <c r="BB115" s="3722">
        <v>45</v>
      </c>
      <c r="BC115" s="3701">
        <v>8</v>
      </c>
      <c r="BD115" s="3701">
        <v>6</v>
      </c>
      <c r="BE115" s="3701">
        <v>230</v>
      </c>
      <c r="BF115" s="1665">
        <f>+(BE107+BE111+BE113)/(BE115-BE112)</f>
        <v>0.14553990610328638</v>
      </c>
      <c r="BG115" s="1665"/>
      <c r="BJ115" s="32" t="s">
        <v>121</v>
      </c>
      <c r="BK115" s="32" t="s">
        <v>1071</v>
      </c>
      <c r="BL115" s="3871">
        <v>0</v>
      </c>
      <c r="BM115" s="3871"/>
      <c r="BN115" s="3871"/>
      <c r="BO115" s="3871"/>
      <c r="BP115" s="3871">
        <v>0</v>
      </c>
      <c r="BQ115" s="3871">
        <v>0</v>
      </c>
      <c r="BR115" s="3871">
        <v>1</v>
      </c>
      <c r="BS115" s="3871">
        <v>0</v>
      </c>
      <c r="BT115" s="1518">
        <v>1</v>
      </c>
      <c r="BU115" s="1518">
        <v>2</v>
      </c>
      <c r="BX115" s="36"/>
      <c r="BY115" s="36"/>
      <c r="BZ115" s="36"/>
      <c r="CA115" s="36" t="s">
        <v>1163</v>
      </c>
      <c r="CB115" s="1681"/>
      <c r="CC115" s="1681"/>
      <c r="CD115" s="1681"/>
      <c r="CE115" s="1681"/>
      <c r="CF115" s="1681"/>
      <c r="CG115" s="1681">
        <v>9</v>
      </c>
      <c r="CH115" s="1681">
        <v>1</v>
      </c>
      <c r="CI115" s="1681">
        <v>1</v>
      </c>
      <c r="CJ115" s="95"/>
      <c r="CK115" s="95"/>
      <c r="CL115" s="95">
        <v>11</v>
      </c>
      <c r="CM115" s="36"/>
      <c r="CO115" s="37"/>
      <c r="CP115" s="37"/>
      <c r="CQ115" s="37"/>
      <c r="CR115" s="37" t="s">
        <v>1077</v>
      </c>
      <c r="CS115" s="1678"/>
      <c r="CT115" s="1678"/>
      <c r="CU115" s="1678"/>
      <c r="CV115" s="1678">
        <v>1</v>
      </c>
      <c r="CW115" s="1678">
        <v>1</v>
      </c>
      <c r="CX115" s="1678"/>
      <c r="CY115" s="1678"/>
      <c r="CZ115" s="1678">
        <v>0</v>
      </c>
      <c r="DA115" s="1678">
        <v>0</v>
      </c>
      <c r="DB115" s="63">
        <v>0</v>
      </c>
      <c r="DC115" s="63">
        <v>0</v>
      </c>
      <c r="DD115" s="63">
        <v>2</v>
      </c>
      <c r="DG115" s="95"/>
      <c r="DH115" s="95"/>
      <c r="DI115" s="36"/>
      <c r="DJ115" s="36" t="s">
        <v>1163</v>
      </c>
      <c r="DK115" s="1484"/>
      <c r="DL115" s="1484"/>
      <c r="DM115" s="1484"/>
      <c r="DN115" s="1484"/>
      <c r="DO115" s="1484"/>
      <c r="DP115" s="1484"/>
      <c r="DQ115" s="1484">
        <v>2</v>
      </c>
      <c r="DR115" s="1484">
        <v>0</v>
      </c>
      <c r="DS115" s="1484">
        <v>0</v>
      </c>
      <c r="DT115" s="95"/>
      <c r="DU115" s="95">
        <v>0</v>
      </c>
      <c r="DV115" s="95">
        <v>2</v>
      </c>
      <c r="DW115" s="95"/>
      <c r="DY115" s="1209"/>
      <c r="DZ115" s="1209"/>
      <c r="EA115" s="1210"/>
      <c r="EB115" s="1211" t="s">
        <v>1080</v>
      </c>
      <c r="EC115" s="1213">
        <v>0</v>
      </c>
      <c r="ED115" s="1213">
        <v>0</v>
      </c>
      <c r="EE115" s="1212"/>
      <c r="EF115" s="1212"/>
      <c r="EG115" s="1212"/>
      <c r="EH115" s="1213">
        <v>0</v>
      </c>
      <c r="EI115" s="1213">
        <v>0</v>
      </c>
      <c r="EJ115" s="1213">
        <v>0</v>
      </c>
      <c r="EK115" s="612">
        <v>0</v>
      </c>
      <c r="EL115" s="612">
        <v>3</v>
      </c>
      <c r="EM115" s="612">
        <v>3</v>
      </c>
      <c r="EN115" s="36"/>
      <c r="EP115" s="527"/>
      <c r="EQ115" s="527"/>
      <c r="ER115" s="528"/>
      <c r="ES115" s="555" t="s">
        <v>15</v>
      </c>
      <c r="ET115" s="557">
        <v>1</v>
      </c>
      <c r="EU115" s="557">
        <v>1</v>
      </c>
      <c r="EV115" s="556"/>
      <c r="EW115" s="556"/>
      <c r="EX115" s="556"/>
      <c r="EY115" s="557">
        <v>3</v>
      </c>
      <c r="EZ115" s="557">
        <v>2</v>
      </c>
      <c r="FA115" s="557">
        <v>7</v>
      </c>
      <c r="FB115" s="559">
        <v>6</v>
      </c>
      <c r="FC115" s="559">
        <v>1</v>
      </c>
      <c r="FD115" s="559">
        <v>21</v>
      </c>
      <c r="FE115" s="560">
        <f>+(FD112+FD114)/FD115</f>
        <v>9.5238095238095233E-2</v>
      </c>
      <c r="FG115" s="533"/>
      <c r="FH115" s="533"/>
      <c r="FI115" s="533"/>
      <c r="FJ115" s="534" t="s">
        <v>1163</v>
      </c>
      <c r="FK115" s="536">
        <v>0</v>
      </c>
      <c r="FL115" s="536">
        <v>0</v>
      </c>
      <c r="FM115" s="536">
        <v>0</v>
      </c>
      <c r="FN115" s="536">
        <v>0</v>
      </c>
      <c r="FO115" s="535"/>
      <c r="FP115" s="536">
        <v>1</v>
      </c>
      <c r="FQ115" s="536">
        <v>3</v>
      </c>
      <c r="FR115" s="536">
        <v>4</v>
      </c>
      <c r="FS115" s="536">
        <v>0</v>
      </c>
      <c r="FT115" s="538">
        <v>0</v>
      </c>
      <c r="FU115" s="538">
        <v>0</v>
      </c>
      <c r="FV115" s="538">
        <v>8</v>
      </c>
      <c r="FW115" s="539"/>
      <c r="FY115" s="540"/>
      <c r="FZ115" s="540"/>
      <c r="GA115" s="540"/>
      <c r="GB115" s="541" t="s">
        <v>1081</v>
      </c>
      <c r="GC115" s="542"/>
      <c r="GD115" s="543">
        <v>0</v>
      </c>
      <c r="GE115" s="542"/>
      <c r="GF115" s="542"/>
      <c r="GG115" s="542"/>
      <c r="GH115" s="543">
        <v>1</v>
      </c>
      <c r="GI115" s="543">
        <v>1</v>
      </c>
      <c r="GJ115" s="543">
        <v>0</v>
      </c>
      <c r="GK115" s="542"/>
      <c r="GL115" s="542"/>
      <c r="GM115" s="543">
        <v>2</v>
      </c>
      <c r="GN115" s="445"/>
      <c r="GP115" s="63"/>
      <c r="GQ115" s="63"/>
      <c r="GR115" s="37" t="s">
        <v>138</v>
      </c>
      <c r="GS115" s="37" t="s">
        <v>1071</v>
      </c>
      <c r="GT115" s="63"/>
      <c r="GU115" s="63"/>
      <c r="GV115" s="63">
        <v>0</v>
      </c>
      <c r="GW115" s="63">
        <v>0</v>
      </c>
      <c r="GX115" s="63"/>
      <c r="GY115" s="63">
        <v>0</v>
      </c>
      <c r="GZ115" s="63"/>
      <c r="HA115" s="63">
        <v>1</v>
      </c>
      <c r="HB115" s="63"/>
      <c r="HC115" s="63"/>
      <c r="HD115" s="63">
        <v>1</v>
      </c>
      <c r="HE115" s="37"/>
      <c r="HF115" s="37"/>
      <c r="HG115" s="446"/>
      <c r="HH115" s="446"/>
      <c r="HI115" s="446"/>
      <c r="HJ115" s="446" t="s">
        <v>1163</v>
      </c>
      <c r="HK115" s="446">
        <v>0</v>
      </c>
      <c r="HL115" s="446">
        <v>0</v>
      </c>
      <c r="HM115" s="446">
        <v>0</v>
      </c>
      <c r="HN115" s="446">
        <v>0</v>
      </c>
      <c r="HO115" s="446">
        <v>0</v>
      </c>
      <c r="HP115" s="446">
        <v>0</v>
      </c>
      <c r="HQ115" s="446">
        <v>1</v>
      </c>
      <c r="HR115" s="446">
        <v>1</v>
      </c>
      <c r="HS115" s="446">
        <v>0</v>
      </c>
      <c r="HT115" s="446">
        <v>0</v>
      </c>
      <c r="HU115" s="446">
        <v>0</v>
      </c>
      <c r="HV115" s="447">
        <v>2</v>
      </c>
      <c r="HW115" s="544"/>
      <c r="HX115" s="448"/>
    </row>
    <row r="116" spans="1:232">
      <c r="A116" s="5682">
        <v>2</v>
      </c>
      <c r="B116" s="5682">
        <v>1</v>
      </c>
      <c r="C116" s="5683" t="s">
        <v>119</v>
      </c>
      <c r="D116" s="5683" t="s">
        <v>2709</v>
      </c>
      <c r="E116" s="5682">
        <v>1</v>
      </c>
      <c r="F116" s="5682">
        <v>6</v>
      </c>
      <c r="I116" s="4915">
        <v>2</v>
      </c>
      <c r="J116" s="4915">
        <v>1</v>
      </c>
      <c r="K116" s="4916" t="s">
        <v>121</v>
      </c>
      <c r="L116" s="4917" t="s">
        <v>1076</v>
      </c>
      <c r="M116" s="4922">
        <v>2</v>
      </c>
      <c r="N116" s="4915">
        <v>7</v>
      </c>
      <c r="O116" s="157"/>
      <c r="Q116" s="4705"/>
      <c r="R116" s="4744"/>
      <c r="S116" s="4737"/>
      <c r="T116" s="4738"/>
      <c r="U116" s="4740">
        <f>SUM(U115)</f>
        <v>3</v>
      </c>
      <c r="V116" s="4740"/>
      <c r="W116" s="4752">
        <f>(U115)/(U116)</f>
        <v>1</v>
      </c>
      <c r="Y116" s="36"/>
      <c r="Z116" s="36"/>
      <c r="AA116" s="36"/>
      <c r="AB116" s="36" t="s">
        <v>1077</v>
      </c>
      <c r="AC116" s="1681">
        <v>0</v>
      </c>
      <c r="AD116" s="1681"/>
      <c r="AE116" s="1681"/>
      <c r="AF116" s="1681">
        <v>1</v>
      </c>
      <c r="AG116" s="1681"/>
      <c r="AH116" s="1681"/>
      <c r="AI116" s="1681">
        <v>0</v>
      </c>
      <c r="AJ116" s="1681">
        <v>0</v>
      </c>
      <c r="AK116" s="1681"/>
      <c r="AL116" s="95"/>
      <c r="AM116" s="95">
        <v>1</v>
      </c>
      <c r="AN116" s="4545"/>
      <c r="AP116" s="157" t="s">
        <v>25</v>
      </c>
      <c r="AQ116" s="157" t="s">
        <v>4</v>
      </c>
      <c r="AR116" s="3868" t="s">
        <v>119</v>
      </c>
      <c r="AS116" s="3868" t="s">
        <v>1072</v>
      </c>
      <c r="AT116" s="3721">
        <v>0</v>
      </c>
      <c r="AU116" s="3721"/>
      <c r="AV116" s="3721"/>
      <c r="AW116" s="3721"/>
      <c r="AX116" s="3721"/>
      <c r="AY116" s="3721">
        <v>1</v>
      </c>
      <c r="AZ116" s="3721"/>
      <c r="BA116" s="3721">
        <v>4</v>
      </c>
      <c r="BB116" s="3721">
        <v>0</v>
      </c>
      <c r="BC116" s="2110">
        <v>0</v>
      </c>
      <c r="BD116" s="2110"/>
      <c r="BE116" s="2110">
        <v>5</v>
      </c>
      <c r="BF116" s="2110"/>
      <c r="BG116" s="2110"/>
      <c r="BK116" s="32" t="s">
        <v>1072</v>
      </c>
      <c r="BL116" s="3871">
        <v>1</v>
      </c>
      <c r="BM116" s="3871"/>
      <c r="BN116" s="3871"/>
      <c r="BO116" s="3871"/>
      <c r="BP116" s="3871">
        <v>0</v>
      </c>
      <c r="BQ116" s="3871">
        <v>0</v>
      </c>
      <c r="BR116" s="3871">
        <v>0</v>
      </c>
      <c r="BS116" s="3871">
        <v>0</v>
      </c>
      <c r="BT116" s="1518">
        <v>0</v>
      </c>
      <c r="BU116" s="1518">
        <v>1</v>
      </c>
      <c r="BX116" s="36"/>
      <c r="BY116" s="36"/>
      <c r="BZ116" s="36"/>
      <c r="CA116" s="393" t="s">
        <v>15</v>
      </c>
      <c r="CB116" s="1682"/>
      <c r="CC116" s="1682"/>
      <c r="CD116" s="1682"/>
      <c r="CE116" s="1682"/>
      <c r="CF116" s="1682"/>
      <c r="CG116" s="1682">
        <v>11</v>
      </c>
      <c r="CH116" s="1682">
        <v>3</v>
      </c>
      <c r="CI116" s="1682">
        <v>5</v>
      </c>
      <c r="CJ116" s="2041"/>
      <c r="CK116" s="2041"/>
      <c r="CL116" s="2041">
        <v>19</v>
      </c>
      <c r="CM116" s="560">
        <f>+(CL115+CL113)/CL116</f>
        <v>0.78947368421052633</v>
      </c>
      <c r="CN116" s="1665"/>
      <c r="CO116" s="37"/>
      <c r="CP116" s="37"/>
      <c r="CQ116" s="37"/>
      <c r="CR116" s="37" t="s">
        <v>1080</v>
      </c>
      <c r="CS116" s="1678"/>
      <c r="CT116" s="1678"/>
      <c r="CU116" s="1678"/>
      <c r="CV116" s="1678">
        <v>0</v>
      </c>
      <c r="CW116" s="1678">
        <v>0</v>
      </c>
      <c r="CX116" s="1678"/>
      <c r="CY116" s="1678"/>
      <c r="CZ116" s="1678">
        <v>0</v>
      </c>
      <c r="DA116" s="1678">
        <v>2</v>
      </c>
      <c r="DB116" s="63">
        <v>1</v>
      </c>
      <c r="DC116" s="63">
        <v>1</v>
      </c>
      <c r="DD116" s="63">
        <v>4</v>
      </c>
      <c r="DG116" s="95"/>
      <c r="DH116" s="95"/>
      <c r="DI116" s="36"/>
      <c r="DJ116" s="393" t="s">
        <v>15</v>
      </c>
      <c r="DK116" s="1485"/>
      <c r="DL116" s="1485"/>
      <c r="DM116" s="1485"/>
      <c r="DN116" s="1485"/>
      <c r="DO116" s="1485"/>
      <c r="DP116" s="1485"/>
      <c r="DQ116" s="1485">
        <v>2</v>
      </c>
      <c r="DR116" s="1485">
        <v>2</v>
      </c>
      <c r="DS116" s="1485">
        <v>1</v>
      </c>
      <c r="DT116" s="86"/>
      <c r="DU116" s="86">
        <v>1</v>
      </c>
      <c r="DV116" s="86">
        <v>6</v>
      </c>
      <c r="DW116" s="560">
        <f>+DV115/DV116</f>
        <v>0.33333333333333331</v>
      </c>
      <c r="DY116" s="1209"/>
      <c r="DZ116" s="1209"/>
      <c r="EA116" s="1210"/>
      <c r="EB116" s="1211" t="s">
        <v>1163</v>
      </c>
      <c r="EC116" s="1213">
        <v>0</v>
      </c>
      <c r="ED116" s="1213">
        <v>0</v>
      </c>
      <c r="EE116" s="1212"/>
      <c r="EF116" s="1212"/>
      <c r="EG116" s="1212"/>
      <c r="EH116" s="1213">
        <v>1</v>
      </c>
      <c r="EI116" s="1213">
        <v>1</v>
      </c>
      <c r="EJ116" s="1213">
        <v>0</v>
      </c>
      <c r="EK116" s="612">
        <v>0</v>
      </c>
      <c r="EL116" s="612">
        <v>0</v>
      </c>
      <c r="EM116" s="612">
        <v>2</v>
      </c>
      <c r="EN116" s="36"/>
      <c r="EP116" s="527"/>
      <c r="EQ116" s="527"/>
      <c r="ER116" s="528" t="s">
        <v>482</v>
      </c>
      <c r="ES116" s="529" t="s">
        <v>1071</v>
      </c>
      <c r="ET116" s="531">
        <v>0</v>
      </c>
      <c r="EU116" s="531">
        <v>0</v>
      </c>
      <c r="EV116" s="531">
        <v>0</v>
      </c>
      <c r="EW116" s="531">
        <v>0</v>
      </c>
      <c r="EX116" s="531">
        <v>0</v>
      </c>
      <c r="EY116" s="531">
        <v>0</v>
      </c>
      <c r="EZ116" s="531">
        <v>2</v>
      </c>
      <c r="FA116" s="531">
        <v>20</v>
      </c>
      <c r="FB116" s="532">
        <v>3</v>
      </c>
      <c r="FC116" s="532">
        <v>7</v>
      </c>
      <c r="FD116" s="532">
        <v>32</v>
      </c>
      <c r="FE116" s="95"/>
      <c r="FG116" s="533"/>
      <c r="FH116" s="533"/>
      <c r="FI116" s="533"/>
      <c r="FJ116" s="545" t="s">
        <v>482</v>
      </c>
      <c r="FK116" s="547">
        <v>1</v>
      </c>
      <c r="FL116" s="547">
        <v>3</v>
      </c>
      <c r="FM116" s="547">
        <v>3</v>
      </c>
      <c r="FN116" s="547">
        <v>3</v>
      </c>
      <c r="FO116" s="546"/>
      <c r="FP116" s="547">
        <v>1</v>
      </c>
      <c r="FQ116" s="547">
        <v>8</v>
      </c>
      <c r="FR116" s="547">
        <v>26</v>
      </c>
      <c r="FS116" s="547">
        <v>45</v>
      </c>
      <c r="FT116" s="549">
        <v>12</v>
      </c>
      <c r="FU116" s="549">
        <v>10</v>
      </c>
      <c r="FV116" s="549">
        <v>112</v>
      </c>
      <c r="FW116" s="539">
        <f>+(FV115+FV112-FT112)/FV116</f>
        <v>0.23214285714285715</v>
      </c>
      <c r="FY116" s="540"/>
      <c r="FZ116" s="540"/>
      <c r="GA116" s="540"/>
      <c r="GB116" s="550" t="s">
        <v>15</v>
      </c>
      <c r="GC116" s="551"/>
      <c r="GD116" s="552">
        <v>1</v>
      </c>
      <c r="GE116" s="551"/>
      <c r="GF116" s="551"/>
      <c r="GG116" s="551"/>
      <c r="GH116" s="552">
        <v>10</v>
      </c>
      <c r="GI116" s="552">
        <v>6</v>
      </c>
      <c r="GJ116" s="552">
        <v>5</v>
      </c>
      <c r="GK116" s="551"/>
      <c r="GL116" s="551"/>
      <c r="GM116" s="552">
        <v>22</v>
      </c>
      <c r="GN116" s="553">
        <f>+GM115/GM116</f>
        <v>9.0909090909090912E-2</v>
      </c>
      <c r="GP116" s="63"/>
      <c r="GQ116" s="63"/>
      <c r="GR116" s="37"/>
      <c r="GS116" s="37" t="s">
        <v>1072</v>
      </c>
      <c r="GT116" s="63"/>
      <c r="GU116" s="63"/>
      <c r="GV116" s="63">
        <v>1</v>
      </c>
      <c r="GW116" s="63">
        <v>0</v>
      </c>
      <c r="GX116" s="63"/>
      <c r="GY116" s="63">
        <v>8</v>
      </c>
      <c r="GZ116" s="63"/>
      <c r="HA116" s="63">
        <v>0</v>
      </c>
      <c r="HB116" s="63"/>
      <c r="HC116" s="63"/>
      <c r="HD116" s="63">
        <v>9</v>
      </c>
      <c r="HE116" s="37"/>
      <c r="HF116" s="37"/>
      <c r="HG116" s="446"/>
      <c r="HH116" s="446"/>
      <c r="HI116" s="446"/>
      <c r="HJ116" s="449" t="s">
        <v>15</v>
      </c>
      <c r="HK116" s="449">
        <v>0</v>
      </c>
      <c r="HL116" s="449">
        <v>0</v>
      </c>
      <c r="HM116" s="449">
        <v>0</v>
      </c>
      <c r="HN116" s="449">
        <v>0</v>
      </c>
      <c r="HO116" s="449">
        <v>0</v>
      </c>
      <c r="HP116" s="449">
        <v>0</v>
      </c>
      <c r="HQ116" s="449">
        <v>1</v>
      </c>
      <c r="HR116" s="449">
        <v>4</v>
      </c>
      <c r="HS116" s="449">
        <v>17</v>
      </c>
      <c r="HT116" s="449">
        <v>0</v>
      </c>
      <c r="HU116" s="449">
        <v>0</v>
      </c>
      <c r="HV116" s="507">
        <v>22</v>
      </c>
      <c r="HW116" s="554">
        <f>+(HV115+HV113)/HV116</f>
        <v>0.18181818181818182</v>
      </c>
      <c r="HX116" s="448">
        <f>+HV113+HV115</f>
        <v>4</v>
      </c>
    </row>
    <row r="117" spans="1:232">
      <c r="A117" s="5682">
        <v>2</v>
      </c>
      <c r="B117" s="5682">
        <v>1</v>
      </c>
      <c r="C117" s="5683" t="s">
        <v>119</v>
      </c>
      <c r="D117" s="5683" t="s">
        <v>2709</v>
      </c>
      <c r="E117" s="5682">
        <v>1</v>
      </c>
      <c r="F117" s="5682">
        <v>7</v>
      </c>
      <c r="I117" s="4915">
        <v>2</v>
      </c>
      <c r="J117" s="4915">
        <v>1</v>
      </c>
      <c r="K117" s="4916" t="s">
        <v>121</v>
      </c>
      <c r="L117" s="4917" t="s">
        <v>1076</v>
      </c>
      <c r="M117" s="4922">
        <v>1</v>
      </c>
      <c r="N117" s="4915">
        <v>8</v>
      </c>
      <c r="O117" s="157"/>
      <c r="Q117" s="4705"/>
      <c r="R117" s="4713"/>
      <c r="S117" s="4714"/>
      <c r="T117" s="4746"/>
      <c r="U117" s="4748">
        <f>SUM(U71,U79:U81,U89,U96,U106:U109,U115)</f>
        <v>17</v>
      </c>
      <c r="V117" s="4733"/>
      <c r="W117" s="4722"/>
      <c r="Y117" s="36"/>
      <c r="Z117" s="36"/>
      <c r="AA117" s="36"/>
      <c r="AB117" s="36" t="s">
        <v>1080</v>
      </c>
      <c r="AC117" s="1681">
        <v>0</v>
      </c>
      <c r="AD117" s="1681"/>
      <c r="AE117" s="1681"/>
      <c r="AF117" s="1681">
        <v>0</v>
      </c>
      <c r="AG117" s="1681"/>
      <c r="AH117" s="1681"/>
      <c r="AI117" s="1681">
        <v>0</v>
      </c>
      <c r="AJ117" s="1681">
        <v>44</v>
      </c>
      <c r="AK117" s="1681"/>
      <c r="AL117" s="95"/>
      <c r="AM117" s="95">
        <v>44</v>
      </c>
      <c r="AN117" s="4545"/>
      <c r="AS117" s="3868" t="s">
        <v>1080</v>
      </c>
      <c r="AT117" s="3721">
        <v>0</v>
      </c>
      <c r="AU117" s="3721"/>
      <c r="AV117" s="3721"/>
      <c r="AW117" s="3721"/>
      <c r="AX117" s="3721"/>
      <c r="AY117" s="3721">
        <v>0</v>
      </c>
      <c r="AZ117" s="3721"/>
      <c r="BA117" s="3721">
        <v>4</v>
      </c>
      <c r="BB117" s="3721">
        <v>6</v>
      </c>
      <c r="BC117" s="2110">
        <v>5</v>
      </c>
      <c r="BD117" s="2110"/>
      <c r="BE117" s="2110">
        <v>15</v>
      </c>
      <c r="BF117" s="2110"/>
      <c r="BG117" s="2110"/>
      <c r="BK117" s="32" t="s">
        <v>1076</v>
      </c>
      <c r="BL117" s="3871">
        <v>0</v>
      </c>
      <c r="BM117" s="3871"/>
      <c r="BN117" s="3871"/>
      <c r="BO117" s="3871"/>
      <c r="BP117" s="3871">
        <v>0</v>
      </c>
      <c r="BQ117" s="3871">
        <v>0</v>
      </c>
      <c r="BR117" s="3871">
        <v>0</v>
      </c>
      <c r="BS117" s="3871">
        <v>1</v>
      </c>
      <c r="BT117" s="1518">
        <v>0</v>
      </c>
      <c r="BU117" s="1518">
        <v>1</v>
      </c>
      <c r="BX117" s="36"/>
      <c r="BY117" s="36"/>
      <c r="BZ117" s="36" t="s">
        <v>122</v>
      </c>
      <c r="CA117" s="36" t="s">
        <v>1071</v>
      </c>
      <c r="CB117" s="1681"/>
      <c r="CC117" s="1681"/>
      <c r="CD117" s="1681"/>
      <c r="CE117" s="1681"/>
      <c r="CF117" s="1681">
        <v>1</v>
      </c>
      <c r="CG117" s="1681">
        <v>0</v>
      </c>
      <c r="CH117" s="1681">
        <v>0</v>
      </c>
      <c r="CI117" s="1681">
        <v>1</v>
      </c>
      <c r="CJ117" s="95"/>
      <c r="CK117" s="95">
        <v>0</v>
      </c>
      <c r="CL117" s="95">
        <v>2</v>
      </c>
      <c r="CM117" s="36"/>
      <c r="CO117" s="37"/>
      <c r="CP117" s="37"/>
      <c r="CQ117" s="37"/>
      <c r="CR117" s="37" t="s">
        <v>1163</v>
      </c>
      <c r="CS117" s="1678"/>
      <c r="CT117" s="1678"/>
      <c r="CU117" s="1678"/>
      <c r="CV117" s="1678">
        <v>0</v>
      </c>
      <c r="CW117" s="1678">
        <v>0</v>
      </c>
      <c r="CX117" s="1678"/>
      <c r="CY117" s="1678"/>
      <c r="CZ117" s="1678">
        <v>0</v>
      </c>
      <c r="DA117" s="1678">
        <v>2</v>
      </c>
      <c r="DB117" s="63">
        <v>0</v>
      </c>
      <c r="DC117" s="63">
        <v>0</v>
      </c>
      <c r="DD117" s="63">
        <v>2</v>
      </c>
      <c r="DG117" s="95"/>
      <c r="DH117" s="95"/>
      <c r="DI117" s="36" t="s">
        <v>388</v>
      </c>
      <c r="DJ117" s="36" t="s">
        <v>1071</v>
      </c>
      <c r="DK117" s="1484"/>
      <c r="DL117" s="1484">
        <v>0</v>
      </c>
      <c r="DM117" s="1484">
        <v>0</v>
      </c>
      <c r="DN117" s="1484"/>
      <c r="DO117" s="1484"/>
      <c r="DP117" s="1484">
        <v>0</v>
      </c>
      <c r="DQ117" s="1484">
        <v>0</v>
      </c>
      <c r="DR117" s="1484">
        <v>0</v>
      </c>
      <c r="DS117" s="1484">
        <v>3</v>
      </c>
      <c r="DT117" s="95">
        <v>1</v>
      </c>
      <c r="DU117" s="95">
        <v>1</v>
      </c>
      <c r="DV117" s="95">
        <v>5</v>
      </c>
      <c r="DW117" s="95"/>
      <c r="DY117" s="1209"/>
      <c r="DZ117" s="1209"/>
      <c r="EA117" s="1210"/>
      <c r="EB117" s="415" t="s">
        <v>15</v>
      </c>
      <c r="EC117" s="1215">
        <v>1</v>
      </c>
      <c r="ED117" s="1215">
        <v>1</v>
      </c>
      <c r="EE117" s="1214"/>
      <c r="EF117" s="1214"/>
      <c r="EG117" s="1214"/>
      <c r="EH117" s="1215">
        <v>1</v>
      </c>
      <c r="EI117" s="1215">
        <v>3</v>
      </c>
      <c r="EJ117" s="1215">
        <v>1</v>
      </c>
      <c r="EK117" s="621">
        <v>1</v>
      </c>
      <c r="EL117" s="621">
        <v>11</v>
      </c>
      <c r="EM117" s="621">
        <v>19</v>
      </c>
      <c r="EN117" s="1178">
        <f>+(EM113+EM116)/EM117</f>
        <v>0.21052631578947367</v>
      </c>
      <c r="EP117" s="527"/>
      <c r="EQ117" s="527"/>
      <c r="ER117" s="528"/>
      <c r="ES117" s="529" t="s">
        <v>1072</v>
      </c>
      <c r="ET117" s="531">
        <v>2</v>
      </c>
      <c r="EU117" s="531">
        <v>1</v>
      </c>
      <c r="EV117" s="531">
        <v>1</v>
      </c>
      <c r="EW117" s="531">
        <v>0</v>
      </c>
      <c r="EX117" s="531">
        <v>0</v>
      </c>
      <c r="EY117" s="531">
        <v>2</v>
      </c>
      <c r="EZ117" s="531">
        <v>3</v>
      </c>
      <c r="FA117" s="531">
        <v>1</v>
      </c>
      <c r="FB117" s="532">
        <v>5</v>
      </c>
      <c r="FC117" s="532">
        <v>0</v>
      </c>
      <c r="FD117" s="532">
        <v>15</v>
      </c>
      <c r="FE117" s="95"/>
      <c r="FG117" s="533"/>
      <c r="FH117" s="533" t="s">
        <v>16</v>
      </c>
      <c r="FI117" s="533" t="s">
        <v>124</v>
      </c>
      <c r="FJ117" s="534" t="s">
        <v>1071</v>
      </c>
      <c r="FK117" s="535"/>
      <c r="FL117" s="535"/>
      <c r="FM117" s="535"/>
      <c r="FN117" s="535"/>
      <c r="FO117" s="535"/>
      <c r="FP117" s="535"/>
      <c r="FQ117" s="535"/>
      <c r="FR117" s="536">
        <v>0</v>
      </c>
      <c r="FS117" s="536">
        <v>2</v>
      </c>
      <c r="FT117" s="537"/>
      <c r="FU117" s="537"/>
      <c r="FV117" s="538">
        <v>2</v>
      </c>
      <c r="FW117" s="539"/>
      <c r="FY117" s="540"/>
      <c r="FZ117" s="540"/>
      <c r="GA117" s="540" t="s">
        <v>132</v>
      </c>
      <c r="GB117" s="541" t="s">
        <v>1072</v>
      </c>
      <c r="GC117" s="542"/>
      <c r="GD117" s="542"/>
      <c r="GE117" s="543">
        <v>1</v>
      </c>
      <c r="GF117" s="543">
        <v>2</v>
      </c>
      <c r="GG117" s="542"/>
      <c r="GH117" s="543">
        <v>15</v>
      </c>
      <c r="GI117" s="542"/>
      <c r="GJ117" s="542"/>
      <c r="GK117" s="542"/>
      <c r="GL117" s="542"/>
      <c r="GM117" s="543">
        <v>18</v>
      </c>
      <c r="GN117" s="445"/>
      <c r="GP117" s="63"/>
      <c r="GQ117" s="63"/>
      <c r="GR117" s="37"/>
      <c r="GS117" s="37" t="s">
        <v>1074</v>
      </c>
      <c r="GT117" s="63"/>
      <c r="GU117" s="63"/>
      <c r="GV117" s="63">
        <v>1</v>
      </c>
      <c r="GW117" s="63">
        <v>0</v>
      </c>
      <c r="GX117" s="63"/>
      <c r="GY117" s="63">
        <v>0</v>
      </c>
      <c r="GZ117" s="63"/>
      <c r="HA117" s="63">
        <v>0</v>
      </c>
      <c r="HB117" s="63"/>
      <c r="HC117" s="63"/>
      <c r="HD117" s="63">
        <v>1</v>
      </c>
      <c r="HE117" s="37"/>
      <c r="HF117" s="37"/>
      <c r="HG117" s="446" t="s">
        <v>48</v>
      </c>
      <c r="HH117" s="446" t="s">
        <v>16</v>
      </c>
      <c r="HI117" s="446" t="s">
        <v>131</v>
      </c>
      <c r="HJ117" s="446" t="s">
        <v>1071</v>
      </c>
      <c r="HK117" s="446">
        <v>0</v>
      </c>
      <c r="HL117" s="446">
        <v>0</v>
      </c>
      <c r="HM117" s="446">
        <v>0</v>
      </c>
      <c r="HN117" s="446">
        <v>0</v>
      </c>
      <c r="HO117" s="446">
        <v>0</v>
      </c>
      <c r="HP117" s="446">
        <v>0</v>
      </c>
      <c r="HQ117" s="446">
        <v>2</v>
      </c>
      <c r="HR117" s="446">
        <v>0</v>
      </c>
      <c r="HS117" s="446">
        <v>0</v>
      </c>
      <c r="HT117" s="446">
        <v>0</v>
      </c>
      <c r="HU117" s="446">
        <v>0</v>
      </c>
      <c r="HV117" s="447">
        <v>2</v>
      </c>
      <c r="HW117" s="544"/>
      <c r="HX117" s="448"/>
    </row>
    <row r="118" spans="1:232">
      <c r="A118" s="5682"/>
      <c r="B118" s="5682"/>
      <c r="C118" s="5683"/>
      <c r="D118" s="5683"/>
      <c r="E118" s="5686">
        <f>SUM(E107:E117)</f>
        <v>20</v>
      </c>
      <c r="F118" s="5682"/>
      <c r="G118" s="4921">
        <f>(E110+E113+E114)/(E118)</f>
        <v>0.25</v>
      </c>
      <c r="I118" s="4915">
        <v>2</v>
      </c>
      <c r="J118" s="4915">
        <v>1</v>
      </c>
      <c r="K118" s="4916" t="s">
        <v>121</v>
      </c>
      <c r="L118" s="4916" t="s">
        <v>2709</v>
      </c>
      <c r="M118" s="4915">
        <v>2</v>
      </c>
      <c r="N118" s="4915">
        <v>6</v>
      </c>
      <c r="O118" s="157"/>
      <c r="Q118" s="4705"/>
      <c r="R118" s="4744"/>
      <c r="S118" s="4749" t="s">
        <v>4</v>
      </c>
      <c r="T118" s="4738"/>
      <c r="U118" s="4740">
        <f>SUM(U116,U114,U104,U98,U92,U84,U77)</f>
        <v>87</v>
      </c>
      <c r="V118" s="4740"/>
      <c r="W118" s="4752">
        <f>(U117)/(U118)</f>
        <v>0.19540229885057472</v>
      </c>
      <c r="Y118" s="36"/>
      <c r="Z118" s="36"/>
      <c r="AA118" s="36"/>
      <c r="AB118" s="36" t="s">
        <v>2571</v>
      </c>
      <c r="AC118" s="1681">
        <v>7</v>
      </c>
      <c r="AD118" s="1681"/>
      <c r="AE118" s="1681"/>
      <c r="AF118" s="1681">
        <v>0</v>
      </c>
      <c r="AG118" s="1681"/>
      <c r="AH118" s="1681"/>
      <c r="AI118" s="1681">
        <v>0</v>
      </c>
      <c r="AJ118" s="1681">
        <v>0</v>
      </c>
      <c r="AK118" s="1681"/>
      <c r="AL118" s="95"/>
      <c r="AM118" s="95">
        <v>7</v>
      </c>
      <c r="AN118" s="4545"/>
      <c r="AS118" s="3868" t="s">
        <v>2571</v>
      </c>
      <c r="AT118" s="3721">
        <v>3</v>
      </c>
      <c r="AU118" s="3721"/>
      <c r="AV118" s="3721"/>
      <c r="AW118" s="3721"/>
      <c r="AX118" s="3721"/>
      <c r="AY118" s="3721">
        <v>0</v>
      </c>
      <c r="AZ118" s="3721"/>
      <c r="BA118" s="3721">
        <v>0</v>
      </c>
      <c r="BB118" s="3721">
        <v>0</v>
      </c>
      <c r="BC118" s="2110">
        <v>0</v>
      </c>
      <c r="BD118" s="2110"/>
      <c r="BE118" s="2110">
        <v>3</v>
      </c>
      <c r="BF118" s="2110"/>
      <c r="BG118" s="2110"/>
      <c r="BK118" s="32" t="s">
        <v>1080</v>
      </c>
      <c r="BL118" s="3871">
        <v>0</v>
      </c>
      <c r="BM118" s="3871"/>
      <c r="BN118" s="3871"/>
      <c r="BO118" s="3871"/>
      <c r="BP118" s="3871">
        <v>0</v>
      </c>
      <c r="BQ118" s="3871">
        <v>0</v>
      </c>
      <c r="BR118" s="3871">
        <v>4</v>
      </c>
      <c r="BS118" s="3871">
        <v>0</v>
      </c>
      <c r="BT118" s="1518">
        <v>0</v>
      </c>
      <c r="BU118" s="1518">
        <v>4</v>
      </c>
      <c r="BX118" s="36"/>
      <c r="BY118" s="36"/>
      <c r="BZ118" s="36"/>
      <c r="CA118" s="36" t="s">
        <v>1072</v>
      </c>
      <c r="CB118" s="1681"/>
      <c r="CC118" s="1681"/>
      <c r="CD118" s="1681"/>
      <c r="CE118" s="1681"/>
      <c r="CF118" s="1681">
        <v>0</v>
      </c>
      <c r="CG118" s="1681">
        <v>0</v>
      </c>
      <c r="CH118" s="1681">
        <v>1</v>
      </c>
      <c r="CI118" s="1681">
        <v>0</v>
      </c>
      <c r="CJ118" s="95"/>
      <c r="CK118" s="95">
        <v>0</v>
      </c>
      <c r="CL118" s="95">
        <v>1</v>
      </c>
      <c r="CM118" s="36"/>
      <c r="CO118" s="37"/>
      <c r="CP118" s="37"/>
      <c r="CQ118" s="37"/>
      <c r="CR118" s="416" t="s">
        <v>15</v>
      </c>
      <c r="CS118" s="1679"/>
      <c r="CT118" s="1679"/>
      <c r="CU118" s="1679"/>
      <c r="CV118" s="1679">
        <v>1</v>
      </c>
      <c r="CW118" s="1679">
        <v>2</v>
      </c>
      <c r="CX118" s="1679"/>
      <c r="CY118" s="1679"/>
      <c r="CZ118" s="1679">
        <v>2</v>
      </c>
      <c r="DA118" s="1679">
        <v>7</v>
      </c>
      <c r="DB118" s="386">
        <v>5</v>
      </c>
      <c r="DC118" s="386">
        <v>2</v>
      </c>
      <c r="DD118" s="386">
        <v>19</v>
      </c>
      <c r="DE118" s="2045">
        <f>+(DD114-DB114+DD117)/DD118</f>
        <v>0.26315789473684209</v>
      </c>
      <c r="DG118" s="95"/>
      <c r="DH118" s="95"/>
      <c r="DI118" s="36"/>
      <c r="DJ118" s="36" t="s">
        <v>1072</v>
      </c>
      <c r="DK118" s="1484"/>
      <c r="DL118" s="1484">
        <v>1</v>
      </c>
      <c r="DM118" s="1484">
        <v>1</v>
      </c>
      <c r="DN118" s="1484"/>
      <c r="DO118" s="1484"/>
      <c r="DP118" s="1484">
        <v>0</v>
      </c>
      <c r="DQ118" s="1484">
        <v>1</v>
      </c>
      <c r="DR118" s="1484">
        <v>1</v>
      </c>
      <c r="DS118" s="1484">
        <v>0</v>
      </c>
      <c r="DT118" s="95">
        <v>0</v>
      </c>
      <c r="DU118" s="95">
        <v>0</v>
      </c>
      <c r="DV118" s="95">
        <v>4</v>
      </c>
      <c r="DW118" s="95"/>
      <c r="DY118" s="1209"/>
      <c r="DZ118" s="1209"/>
      <c r="EA118" s="1210" t="s">
        <v>122</v>
      </c>
      <c r="EB118" s="1211" t="s">
        <v>1071</v>
      </c>
      <c r="EC118" s="1213">
        <v>0</v>
      </c>
      <c r="ED118" s="1212"/>
      <c r="EE118" s="1212"/>
      <c r="EF118" s="1212"/>
      <c r="EG118" s="1212"/>
      <c r="EH118" s="1213">
        <v>0</v>
      </c>
      <c r="EI118" s="1213">
        <v>0</v>
      </c>
      <c r="EJ118" s="1213">
        <v>1</v>
      </c>
      <c r="EK118" s="611"/>
      <c r="EL118" s="611"/>
      <c r="EM118" s="612">
        <v>1</v>
      </c>
      <c r="EN118" s="36"/>
      <c r="EP118" s="527"/>
      <c r="EQ118" s="527"/>
      <c r="ER118" s="528"/>
      <c r="ES118" s="529" t="s">
        <v>1074</v>
      </c>
      <c r="ET118" s="531">
        <v>5</v>
      </c>
      <c r="EU118" s="531">
        <v>1</v>
      </c>
      <c r="EV118" s="531">
        <v>0</v>
      </c>
      <c r="EW118" s="531">
        <v>0</v>
      </c>
      <c r="EX118" s="531">
        <v>0</v>
      </c>
      <c r="EY118" s="531">
        <v>0</v>
      </c>
      <c r="EZ118" s="531">
        <v>0</v>
      </c>
      <c r="FA118" s="531">
        <v>0</v>
      </c>
      <c r="FB118" s="532">
        <v>0</v>
      </c>
      <c r="FC118" s="532">
        <v>0</v>
      </c>
      <c r="FD118" s="532">
        <v>6</v>
      </c>
      <c r="FE118" s="95"/>
      <c r="FG118" s="533"/>
      <c r="FH118" s="533"/>
      <c r="FI118" s="533"/>
      <c r="FJ118" s="534" t="s">
        <v>1076</v>
      </c>
      <c r="FK118" s="535"/>
      <c r="FL118" s="535"/>
      <c r="FM118" s="535"/>
      <c r="FN118" s="535"/>
      <c r="FO118" s="535"/>
      <c r="FP118" s="535"/>
      <c r="FQ118" s="535"/>
      <c r="FR118" s="536">
        <v>1</v>
      </c>
      <c r="FS118" s="536">
        <v>2</v>
      </c>
      <c r="FT118" s="537"/>
      <c r="FU118" s="537"/>
      <c r="FV118" s="538">
        <v>3</v>
      </c>
      <c r="FW118" s="539"/>
      <c r="FY118" s="540"/>
      <c r="FZ118" s="540"/>
      <c r="GA118" s="540"/>
      <c r="GB118" s="541" t="s">
        <v>1076</v>
      </c>
      <c r="GC118" s="542"/>
      <c r="GD118" s="542"/>
      <c r="GE118" s="543">
        <v>0</v>
      </c>
      <c r="GF118" s="543">
        <v>0</v>
      </c>
      <c r="GG118" s="542"/>
      <c r="GH118" s="543">
        <v>1</v>
      </c>
      <c r="GI118" s="542"/>
      <c r="GJ118" s="542"/>
      <c r="GK118" s="542"/>
      <c r="GL118" s="542"/>
      <c r="GM118" s="543">
        <v>1</v>
      </c>
      <c r="GN118" s="445"/>
      <c r="GP118" s="63"/>
      <c r="GQ118" s="63"/>
      <c r="GR118" s="37"/>
      <c r="GS118" s="37" t="s">
        <v>1076</v>
      </c>
      <c r="GT118" s="63"/>
      <c r="GU118" s="63"/>
      <c r="GV118" s="63">
        <v>0</v>
      </c>
      <c r="GW118" s="63">
        <v>0</v>
      </c>
      <c r="GX118" s="63"/>
      <c r="GY118" s="63">
        <v>1</v>
      </c>
      <c r="GZ118" s="63"/>
      <c r="HA118" s="63">
        <v>0</v>
      </c>
      <c r="HB118" s="63"/>
      <c r="HC118" s="63"/>
      <c r="HD118" s="63">
        <v>1</v>
      </c>
      <c r="HE118" s="37"/>
      <c r="HF118" s="37"/>
      <c r="HG118" s="446"/>
      <c r="HH118" s="446"/>
      <c r="HI118" s="446"/>
      <c r="HJ118" s="446" t="s">
        <v>1072</v>
      </c>
      <c r="HK118" s="446">
        <v>0</v>
      </c>
      <c r="HL118" s="446">
        <v>0</v>
      </c>
      <c r="HM118" s="446">
        <v>0</v>
      </c>
      <c r="HN118" s="446">
        <v>0</v>
      </c>
      <c r="HO118" s="446">
        <v>0</v>
      </c>
      <c r="HP118" s="446">
        <v>1</v>
      </c>
      <c r="HQ118" s="446">
        <v>7</v>
      </c>
      <c r="HR118" s="446">
        <v>0</v>
      </c>
      <c r="HS118" s="446">
        <v>0</v>
      </c>
      <c r="HT118" s="446">
        <v>0</v>
      </c>
      <c r="HU118" s="446">
        <v>0</v>
      </c>
      <c r="HV118" s="447">
        <v>8</v>
      </c>
      <c r="HW118" s="544"/>
      <c r="HX118" s="448"/>
    </row>
    <row r="119" spans="1:232">
      <c r="A119" s="5682">
        <v>2</v>
      </c>
      <c r="B119" s="5682">
        <v>1</v>
      </c>
      <c r="C119" s="5683" t="s">
        <v>120</v>
      </c>
      <c r="D119" s="5683" t="s">
        <v>2731</v>
      </c>
      <c r="E119" s="5682">
        <v>7</v>
      </c>
      <c r="F119" s="5682">
        <v>8</v>
      </c>
      <c r="I119" s="4915">
        <v>2</v>
      </c>
      <c r="J119" s="4915">
        <v>1</v>
      </c>
      <c r="K119" s="4916" t="s">
        <v>121</v>
      </c>
      <c r="L119" s="4916" t="s">
        <v>2709</v>
      </c>
      <c r="M119" s="4915">
        <v>1</v>
      </c>
      <c r="N119" s="4915">
        <v>7</v>
      </c>
      <c r="O119" s="157"/>
      <c r="Q119" s="4705">
        <v>2</v>
      </c>
      <c r="R119" s="4713">
        <v>2</v>
      </c>
      <c r="S119" s="4714" t="s">
        <v>2737</v>
      </c>
      <c r="T119" s="4746" t="s">
        <v>1076</v>
      </c>
      <c r="U119" s="4747">
        <v>2</v>
      </c>
      <c r="V119" s="4731">
        <v>9</v>
      </c>
      <c r="W119" s="4722"/>
      <c r="Y119" s="36"/>
      <c r="Z119" s="36"/>
      <c r="AA119" s="36"/>
      <c r="AB119" s="36" t="s">
        <v>15</v>
      </c>
      <c r="AC119" s="1681">
        <v>7</v>
      </c>
      <c r="AD119" s="1681"/>
      <c r="AE119" s="1681"/>
      <c r="AF119" s="1681">
        <v>2</v>
      </c>
      <c r="AG119" s="1681"/>
      <c r="AH119" s="1681"/>
      <c r="AI119" s="1681">
        <v>11</v>
      </c>
      <c r="AJ119" s="1681">
        <v>45</v>
      </c>
      <c r="AK119" s="1681"/>
      <c r="AL119" s="95"/>
      <c r="AM119" s="95">
        <v>65</v>
      </c>
      <c r="AN119" s="560">
        <f>+AI115/(AM119-AM118)</f>
        <v>1.7241379310344827E-2</v>
      </c>
      <c r="AS119" s="3868" t="s">
        <v>1163</v>
      </c>
      <c r="AT119" s="3721">
        <v>0</v>
      </c>
      <c r="AU119" s="3721"/>
      <c r="AV119" s="3721"/>
      <c r="AW119" s="3721"/>
      <c r="AX119" s="3721"/>
      <c r="AY119" s="3721">
        <v>0</v>
      </c>
      <c r="AZ119" s="3721"/>
      <c r="BA119" s="3721">
        <v>2</v>
      </c>
      <c r="BB119" s="3721">
        <v>0</v>
      </c>
      <c r="BC119" s="2110">
        <v>0</v>
      </c>
      <c r="BD119" s="2110"/>
      <c r="BE119" s="2110">
        <v>2</v>
      </c>
      <c r="BF119" s="2110"/>
      <c r="BG119" s="2110"/>
      <c r="BK119" s="32" t="s">
        <v>1163</v>
      </c>
      <c r="BL119" s="3871">
        <v>0</v>
      </c>
      <c r="BM119" s="3871"/>
      <c r="BN119" s="3871"/>
      <c r="BO119" s="3871"/>
      <c r="BP119" s="3871">
        <v>1</v>
      </c>
      <c r="BQ119" s="3871">
        <v>4</v>
      </c>
      <c r="BR119" s="3871">
        <v>0</v>
      </c>
      <c r="BS119" s="3871">
        <v>1</v>
      </c>
      <c r="BT119" s="1518">
        <v>0</v>
      </c>
      <c r="BU119" s="1518">
        <v>6</v>
      </c>
      <c r="BX119" s="36"/>
      <c r="BY119" s="36"/>
      <c r="BZ119" s="36"/>
      <c r="CA119" s="36" t="s">
        <v>1076</v>
      </c>
      <c r="CB119" s="1681"/>
      <c r="CC119" s="1681"/>
      <c r="CD119" s="1681"/>
      <c r="CE119" s="1681"/>
      <c r="CF119" s="1681">
        <v>0</v>
      </c>
      <c r="CG119" s="1681">
        <v>0</v>
      </c>
      <c r="CH119" s="1681">
        <v>3</v>
      </c>
      <c r="CI119" s="1681">
        <v>0</v>
      </c>
      <c r="CJ119" s="95"/>
      <c r="CK119" s="95">
        <v>0</v>
      </c>
      <c r="CL119" s="95">
        <v>3</v>
      </c>
      <c r="CM119" s="36"/>
      <c r="CO119" s="37"/>
      <c r="CP119" s="37"/>
      <c r="CQ119" s="37" t="s">
        <v>120</v>
      </c>
      <c r="CR119" s="37" t="s">
        <v>1071</v>
      </c>
      <c r="CS119" s="1678"/>
      <c r="CT119" s="1678">
        <v>0</v>
      </c>
      <c r="CU119" s="1678">
        <v>0</v>
      </c>
      <c r="CV119" s="1678"/>
      <c r="CW119" s="1678">
        <v>0</v>
      </c>
      <c r="CX119" s="1678"/>
      <c r="CY119" s="1678"/>
      <c r="CZ119" s="1678">
        <v>1</v>
      </c>
      <c r="DA119" s="1678">
        <v>2</v>
      </c>
      <c r="DB119" s="63">
        <v>1</v>
      </c>
      <c r="DC119" s="63">
        <v>1</v>
      </c>
      <c r="DD119" s="63">
        <v>5</v>
      </c>
      <c r="DG119" s="95"/>
      <c r="DH119" s="95"/>
      <c r="DI119" s="36"/>
      <c r="DJ119" s="36" t="s">
        <v>1076</v>
      </c>
      <c r="DK119" s="1484"/>
      <c r="DL119" s="1484">
        <v>0</v>
      </c>
      <c r="DM119" s="1484">
        <v>0</v>
      </c>
      <c r="DN119" s="1484"/>
      <c r="DO119" s="1484"/>
      <c r="DP119" s="1484">
        <v>0</v>
      </c>
      <c r="DQ119" s="1484">
        <v>0</v>
      </c>
      <c r="DR119" s="1484">
        <v>1</v>
      </c>
      <c r="DS119" s="1484">
        <v>0</v>
      </c>
      <c r="DT119" s="95">
        <v>0</v>
      </c>
      <c r="DU119" s="95">
        <v>0</v>
      </c>
      <c r="DV119" s="95">
        <v>1</v>
      </c>
      <c r="DW119" s="95"/>
      <c r="DY119" s="1209"/>
      <c r="DZ119" s="1209"/>
      <c r="EA119" s="1210"/>
      <c r="EB119" s="1211" t="s">
        <v>1072</v>
      </c>
      <c r="EC119" s="1213">
        <v>1</v>
      </c>
      <c r="ED119" s="1212"/>
      <c r="EE119" s="1212"/>
      <c r="EF119" s="1212"/>
      <c r="EG119" s="1212"/>
      <c r="EH119" s="1213">
        <v>1</v>
      </c>
      <c r="EI119" s="1213">
        <v>0</v>
      </c>
      <c r="EJ119" s="1213">
        <v>0</v>
      </c>
      <c r="EK119" s="611"/>
      <c r="EL119" s="611"/>
      <c r="EM119" s="612">
        <v>2</v>
      </c>
      <c r="EN119" s="36"/>
      <c r="EP119" s="527"/>
      <c r="EQ119" s="527"/>
      <c r="ER119" s="528"/>
      <c r="ES119" s="529" t="s">
        <v>1076</v>
      </c>
      <c r="ET119" s="531">
        <v>0</v>
      </c>
      <c r="EU119" s="531">
        <v>0</v>
      </c>
      <c r="EV119" s="531">
        <v>0</v>
      </c>
      <c r="EW119" s="531">
        <v>0</v>
      </c>
      <c r="EX119" s="531">
        <v>0</v>
      </c>
      <c r="EY119" s="531">
        <v>2</v>
      </c>
      <c r="EZ119" s="531">
        <v>7</v>
      </c>
      <c r="FA119" s="531">
        <v>6</v>
      </c>
      <c r="FB119" s="532">
        <v>1</v>
      </c>
      <c r="FC119" s="532">
        <v>0</v>
      </c>
      <c r="FD119" s="532">
        <v>16</v>
      </c>
      <c r="FE119" s="95"/>
      <c r="FG119" s="533"/>
      <c r="FH119" s="533"/>
      <c r="FI119" s="533"/>
      <c r="FJ119" s="534" t="s">
        <v>1080</v>
      </c>
      <c r="FK119" s="535"/>
      <c r="FL119" s="535"/>
      <c r="FM119" s="535"/>
      <c r="FN119" s="535"/>
      <c r="FO119" s="535"/>
      <c r="FP119" s="535"/>
      <c r="FQ119" s="535"/>
      <c r="FR119" s="536">
        <v>0</v>
      </c>
      <c r="FS119" s="536">
        <v>13</v>
      </c>
      <c r="FT119" s="537"/>
      <c r="FU119" s="537"/>
      <c r="FV119" s="538">
        <v>13</v>
      </c>
      <c r="FW119" s="539"/>
      <c r="FY119" s="540"/>
      <c r="FZ119" s="540"/>
      <c r="GA119" s="540"/>
      <c r="GB119" s="541" t="s">
        <v>1081</v>
      </c>
      <c r="GC119" s="542"/>
      <c r="GD119" s="542"/>
      <c r="GE119" s="543">
        <v>0</v>
      </c>
      <c r="GF119" s="543">
        <v>0</v>
      </c>
      <c r="GG119" s="542"/>
      <c r="GH119" s="543">
        <v>1</v>
      </c>
      <c r="GI119" s="542"/>
      <c r="GJ119" s="542"/>
      <c r="GK119" s="542"/>
      <c r="GL119" s="542"/>
      <c r="GM119" s="543">
        <v>1</v>
      </c>
      <c r="GN119" s="445"/>
      <c r="GP119" s="63"/>
      <c r="GQ119" s="63"/>
      <c r="GR119" s="37"/>
      <c r="GS119" s="37" t="s">
        <v>1077</v>
      </c>
      <c r="GT119" s="63"/>
      <c r="GU119" s="63"/>
      <c r="GV119" s="63">
        <v>1</v>
      </c>
      <c r="GW119" s="63">
        <v>1</v>
      </c>
      <c r="GX119" s="63"/>
      <c r="GY119" s="63">
        <v>0</v>
      </c>
      <c r="GZ119" s="63"/>
      <c r="HA119" s="63">
        <v>0</v>
      </c>
      <c r="HB119" s="63"/>
      <c r="HC119" s="63"/>
      <c r="HD119" s="63">
        <v>2</v>
      </c>
      <c r="HE119" s="37"/>
      <c r="HF119" s="37"/>
      <c r="HG119" s="446"/>
      <c r="HH119" s="446"/>
      <c r="HI119" s="446"/>
      <c r="HJ119" s="446" t="s">
        <v>1076</v>
      </c>
      <c r="HK119" s="446">
        <v>0</v>
      </c>
      <c r="HL119" s="446">
        <v>0</v>
      </c>
      <c r="HM119" s="446">
        <v>0</v>
      </c>
      <c r="HN119" s="446">
        <v>0</v>
      </c>
      <c r="HO119" s="446">
        <v>0</v>
      </c>
      <c r="HP119" s="446">
        <v>0</v>
      </c>
      <c r="HQ119" s="446">
        <v>0</v>
      </c>
      <c r="HR119" s="446">
        <v>1</v>
      </c>
      <c r="HS119" s="446">
        <v>0</v>
      </c>
      <c r="HT119" s="446">
        <v>0</v>
      </c>
      <c r="HU119" s="446">
        <v>0</v>
      </c>
      <c r="HV119" s="447">
        <v>1</v>
      </c>
      <c r="HW119" s="544"/>
      <c r="HX119" s="448"/>
    </row>
    <row r="120" spans="1:232">
      <c r="A120" s="5682">
        <v>2</v>
      </c>
      <c r="B120" s="5682">
        <v>1</v>
      </c>
      <c r="C120" s="5683" t="s">
        <v>120</v>
      </c>
      <c r="D120" s="5683" t="s">
        <v>2731</v>
      </c>
      <c r="E120" s="5682">
        <v>2</v>
      </c>
      <c r="F120" s="5682">
        <v>9</v>
      </c>
      <c r="I120" s="4915"/>
      <c r="J120" s="4915"/>
      <c r="K120" s="4916"/>
      <c r="L120" s="4916"/>
      <c r="M120" s="4920">
        <f>SUM(M115:M119)</f>
        <v>10</v>
      </c>
      <c r="N120" s="4915"/>
      <c r="O120" s="4921">
        <f>(M116+M117)/(M120)</f>
        <v>0.3</v>
      </c>
      <c r="Q120" s="4705"/>
      <c r="R120" s="4713"/>
      <c r="S120" s="4714"/>
      <c r="T120" s="4746"/>
      <c r="U120" s="4765">
        <f>SUM(U119)</f>
        <v>2</v>
      </c>
      <c r="V120" s="4765"/>
      <c r="W120" s="4722">
        <v>1</v>
      </c>
      <c r="Y120" s="36"/>
      <c r="Z120" s="36"/>
      <c r="AA120" s="36" t="s">
        <v>126</v>
      </c>
      <c r="AB120" s="36" t="s">
        <v>1072</v>
      </c>
      <c r="AC120" s="1681">
        <v>0</v>
      </c>
      <c r="AD120" s="1681">
        <v>0</v>
      </c>
      <c r="AE120" s="1681"/>
      <c r="AF120" s="1681"/>
      <c r="AG120" s="1681"/>
      <c r="AH120" s="1681"/>
      <c r="AI120" s="1681">
        <v>1</v>
      </c>
      <c r="AJ120" s="1681">
        <v>0</v>
      </c>
      <c r="AK120" s="1681"/>
      <c r="AL120" s="95"/>
      <c r="AM120" s="95">
        <v>1</v>
      </c>
      <c r="AN120" s="4545"/>
      <c r="AS120" s="27" t="s">
        <v>15</v>
      </c>
      <c r="AT120" s="3722">
        <v>3</v>
      </c>
      <c r="AU120" s="3722"/>
      <c r="AV120" s="3722"/>
      <c r="AW120" s="3722"/>
      <c r="AX120" s="3722"/>
      <c r="AY120" s="3722">
        <v>1</v>
      </c>
      <c r="AZ120" s="3722"/>
      <c r="BA120" s="3722">
        <v>10</v>
      </c>
      <c r="BB120" s="3722">
        <v>6</v>
      </c>
      <c r="BC120" s="3701">
        <v>5</v>
      </c>
      <c r="BD120" s="3701"/>
      <c r="BE120" s="3701">
        <v>25</v>
      </c>
      <c r="BF120" s="1665">
        <f>+BE119/BE120</f>
        <v>0.08</v>
      </c>
      <c r="BG120" s="1665"/>
      <c r="BK120" s="1520" t="s">
        <v>15</v>
      </c>
      <c r="BL120" s="3872">
        <v>1</v>
      </c>
      <c r="BM120" s="3872"/>
      <c r="BN120" s="3872"/>
      <c r="BO120" s="3872"/>
      <c r="BP120" s="3872">
        <v>1</v>
      </c>
      <c r="BQ120" s="3872">
        <v>4</v>
      </c>
      <c r="BR120" s="3872">
        <v>5</v>
      </c>
      <c r="BS120" s="3872">
        <v>2</v>
      </c>
      <c r="BT120" s="3806">
        <v>1</v>
      </c>
      <c r="BU120" s="3806">
        <v>14</v>
      </c>
      <c r="BV120" s="3807">
        <f>+(BU117+BU119)/BU120</f>
        <v>0.5</v>
      </c>
      <c r="BX120" s="36"/>
      <c r="BY120" s="36"/>
      <c r="BZ120" s="36"/>
      <c r="CA120" s="36" t="s">
        <v>1080</v>
      </c>
      <c r="CB120" s="1681"/>
      <c r="CC120" s="1681"/>
      <c r="CD120" s="1681"/>
      <c r="CE120" s="1681"/>
      <c r="CF120" s="1681">
        <v>0</v>
      </c>
      <c r="CG120" s="1681">
        <v>0</v>
      </c>
      <c r="CH120" s="1681">
        <v>0</v>
      </c>
      <c r="CI120" s="1681">
        <v>1</v>
      </c>
      <c r="CJ120" s="95"/>
      <c r="CK120" s="95">
        <v>0</v>
      </c>
      <c r="CL120" s="95">
        <v>1</v>
      </c>
      <c r="CM120" s="36"/>
      <c r="CO120" s="37"/>
      <c r="CP120" s="37"/>
      <c r="CQ120" s="37"/>
      <c r="CR120" s="37" t="s">
        <v>1072</v>
      </c>
      <c r="CS120" s="1678"/>
      <c r="CT120" s="1678">
        <v>1</v>
      </c>
      <c r="CU120" s="1678">
        <v>0</v>
      </c>
      <c r="CV120" s="1678"/>
      <c r="CW120" s="1678">
        <v>0</v>
      </c>
      <c r="CX120" s="1678"/>
      <c r="CY120" s="1678"/>
      <c r="CZ120" s="1678">
        <v>4</v>
      </c>
      <c r="DA120" s="1678">
        <v>0</v>
      </c>
      <c r="DB120" s="63">
        <v>0</v>
      </c>
      <c r="DC120" s="63">
        <v>0</v>
      </c>
      <c r="DD120" s="63">
        <v>5</v>
      </c>
      <c r="DG120" s="95"/>
      <c r="DH120" s="95"/>
      <c r="DI120" s="36"/>
      <c r="DJ120" s="36" t="s">
        <v>1077</v>
      </c>
      <c r="DK120" s="1484"/>
      <c r="DL120" s="1484">
        <v>0</v>
      </c>
      <c r="DM120" s="1484">
        <v>0</v>
      </c>
      <c r="DN120" s="1484"/>
      <c r="DO120" s="1484"/>
      <c r="DP120" s="1484">
        <v>1</v>
      </c>
      <c r="DQ120" s="1484">
        <v>0</v>
      </c>
      <c r="DR120" s="1484">
        <v>1</v>
      </c>
      <c r="DS120" s="1484">
        <v>0</v>
      </c>
      <c r="DT120" s="95">
        <v>0</v>
      </c>
      <c r="DU120" s="95">
        <v>0</v>
      </c>
      <c r="DV120" s="95">
        <v>2</v>
      </c>
      <c r="DW120" s="95"/>
      <c r="DY120" s="1209"/>
      <c r="DZ120" s="1209"/>
      <c r="EA120" s="1210"/>
      <c r="EB120" s="1211" t="s">
        <v>1074</v>
      </c>
      <c r="EC120" s="1213">
        <v>2</v>
      </c>
      <c r="ED120" s="1212"/>
      <c r="EE120" s="1212"/>
      <c r="EF120" s="1212"/>
      <c r="EG120" s="1212"/>
      <c r="EH120" s="1213">
        <v>0</v>
      </c>
      <c r="EI120" s="1213">
        <v>0</v>
      </c>
      <c r="EJ120" s="1213">
        <v>0</v>
      </c>
      <c r="EK120" s="611"/>
      <c r="EL120" s="611"/>
      <c r="EM120" s="612">
        <v>2</v>
      </c>
      <c r="EN120" s="36"/>
      <c r="EP120" s="527"/>
      <c r="EQ120" s="527"/>
      <c r="ER120" s="528"/>
      <c r="ES120" s="529" t="s">
        <v>1077</v>
      </c>
      <c r="ET120" s="531">
        <v>0</v>
      </c>
      <c r="EU120" s="531">
        <v>0</v>
      </c>
      <c r="EV120" s="531">
        <v>0</v>
      </c>
      <c r="EW120" s="531">
        <v>1</v>
      </c>
      <c r="EX120" s="531">
        <v>1</v>
      </c>
      <c r="EY120" s="531">
        <v>0</v>
      </c>
      <c r="EZ120" s="531">
        <v>0</v>
      </c>
      <c r="FA120" s="531">
        <v>0</v>
      </c>
      <c r="FB120" s="532">
        <v>0</v>
      </c>
      <c r="FC120" s="532">
        <v>0</v>
      </c>
      <c r="FD120" s="532">
        <v>2</v>
      </c>
      <c r="FE120" s="95"/>
      <c r="FG120" s="533"/>
      <c r="FH120" s="533"/>
      <c r="FI120" s="533"/>
      <c r="FJ120" s="545" t="s">
        <v>15</v>
      </c>
      <c r="FK120" s="546"/>
      <c r="FL120" s="546"/>
      <c r="FM120" s="546"/>
      <c r="FN120" s="546"/>
      <c r="FO120" s="546"/>
      <c r="FP120" s="546"/>
      <c r="FQ120" s="546"/>
      <c r="FR120" s="547">
        <v>1</v>
      </c>
      <c r="FS120" s="547">
        <v>17</v>
      </c>
      <c r="FT120" s="548"/>
      <c r="FU120" s="548"/>
      <c r="FV120" s="549">
        <v>18</v>
      </c>
      <c r="FW120" s="539">
        <f>+FV118/FV120</f>
        <v>0.16666666666666666</v>
      </c>
      <c r="FY120" s="540"/>
      <c r="FZ120" s="540"/>
      <c r="GA120" s="540"/>
      <c r="GB120" s="541" t="s">
        <v>1163</v>
      </c>
      <c r="GC120" s="542"/>
      <c r="GD120" s="542"/>
      <c r="GE120" s="543">
        <v>0</v>
      </c>
      <c r="GF120" s="543">
        <v>0</v>
      </c>
      <c r="GG120" s="542"/>
      <c r="GH120" s="543">
        <v>6</v>
      </c>
      <c r="GI120" s="542"/>
      <c r="GJ120" s="542"/>
      <c r="GK120" s="542"/>
      <c r="GL120" s="542"/>
      <c r="GM120" s="543">
        <v>6</v>
      </c>
      <c r="GN120" s="445"/>
      <c r="GP120" s="63"/>
      <c r="GQ120" s="63"/>
      <c r="GR120" s="37"/>
      <c r="GS120" s="37" t="s">
        <v>1081</v>
      </c>
      <c r="GT120" s="63"/>
      <c r="GU120" s="63"/>
      <c r="GV120" s="63">
        <v>0</v>
      </c>
      <c r="GW120" s="63">
        <v>0</v>
      </c>
      <c r="GX120" s="63"/>
      <c r="GY120" s="63">
        <v>1</v>
      </c>
      <c r="GZ120" s="63"/>
      <c r="HA120" s="63">
        <v>0</v>
      </c>
      <c r="HB120" s="63"/>
      <c r="HC120" s="63"/>
      <c r="HD120" s="63">
        <v>1</v>
      </c>
      <c r="HE120" s="37"/>
      <c r="HF120" s="37"/>
      <c r="HG120" s="446"/>
      <c r="HH120" s="446"/>
      <c r="HI120" s="446"/>
      <c r="HJ120" s="446" t="s">
        <v>1080</v>
      </c>
      <c r="HK120" s="446">
        <v>0</v>
      </c>
      <c r="HL120" s="446">
        <v>0</v>
      </c>
      <c r="HM120" s="446">
        <v>0</v>
      </c>
      <c r="HN120" s="446">
        <v>0</v>
      </c>
      <c r="HO120" s="446">
        <v>0</v>
      </c>
      <c r="HP120" s="446">
        <v>0</v>
      </c>
      <c r="HQ120" s="446">
        <v>0</v>
      </c>
      <c r="HR120" s="446">
        <v>4</v>
      </c>
      <c r="HS120" s="446">
        <v>7</v>
      </c>
      <c r="HT120" s="446">
        <v>0</v>
      </c>
      <c r="HU120" s="446">
        <v>0</v>
      </c>
      <c r="HV120" s="447">
        <v>11</v>
      </c>
      <c r="HW120" s="544"/>
      <c r="HX120" s="448"/>
    </row>
    <row r="121" spans="1:232">
      <c r="A121" s="5682">
        <v>2</v>
      </c>
      <c r="B121" s="5682">
        <v>1</v>
      </c>
      <c r="C121" s="5683" t="s">
        <v>120</v>
      </c>
      <c r="D121" s="5685" t="s">
        <v>2732</v>
      </c>
      <c r="E121" s="5682">
        <v>1</v>
      </c>
      <c r="F121" s="5682">
        <v>7</v>
      </c>
      <c r="I121" s="4915">
        <v>2</v>
      </c>
      <c r="J121" s="4915">
        <v>1</v>
      </c>
      <c r="K121" s="4916" t="s">
        <v>122</v>
      </c>
      <c r="L121" s="4916" t="s">
        <v>2731</v>
      </c>
      <c r="M121" s="4915">
        <v>6</v>
      </c>
      <c r="N121" s="4915">
        <v>8</v>
      </c>
      <c r="O121" s="157"/>
      <c r="Q121" s="4705">
        <v>2</v>
      </c>
      <c r="R121" s="4705">
        <v>2</v>
      </c>
      <c r="S121" s="4706" t="s">
        <v>2736</v>
      </c>
      <c r="T121" s="4706" t="s">
        <v>2731</v>
      </c>
      <c r="U121" s="4707">
        <v>1</v>
      </c>
      <c r="V121" s="4707">
        <v>8</v>
      </c>
      <c r="W121" s="4722"/>
      <c r="X121" s="4452"/>
      <c r="Y121" s="36"/>
      <c r="Z121" s="36"/>
      <c r="AA121" s="36"/>
      <c r="AB121" s="36" t="s">
        <v>1076</v>
      </c>
      <c r="AC121" s="1681">
        <v>0</v>
      </c>
      <c r="AD121" s="1681">
        <v>0</v>
      </c>
      <c r="AE121" s="1681"/>
      <c r="AF121" s="1681"/>
      <c r="AG121" s="1681"/>
      <c r="AH121" s="1681"/>
      <c r="AI121" s="1681">
        <v>13</v>
      </c>
      <c r="AJ121" s="1681">
        <v>0</v>
      </c>
      <c r="AK121" s="1681"/>
      <c r="AL121" s="95"/>
      <c r="AM121" s="95">
        <v>13</v>
      </c>
      <c r="AN121" s="4545"/>
      <c r="AR121" s="3868" t="s">
        <v>120</v>
      </c>
      <c r="AS121" s="3868" t="s">
        <v>1072</v>
      </c>
      <c r="AT121" s="3721">
        <v>0</v>
      </c>
      <c r="AU121" s="3721"/>
      <c r="AV121" s="3721"/>
      <c r="AW121" s="3721"/>
      <c r="AX121" s="3721"/>
      <c r="AY121" s="3721">
        <v>1</v>
      </c>
      <c r="AZ121" s="3721">
        <v>1</v>
      </c>
      <c r="BA121" s="3721">
        <v>0</v>
      </c>
      <c r="BB121" s="3721">
        <v>4</v>
      </c>
      <c r="BC121" s="2110">
        <v>1</v>
      </c>
      <c r="BD121" s="2110"/>
      <c r="BE121" s="2110">
        <v>7</v>
      </c>
      <c r="BF121" s="2110"/>
      <c r="BG121" s="2110"/>
      <c r="BJ121" s="32" t="s">
        <v>122</v>
      </c>
      <c r="BK121" s="32" t="s">
        <v>1072</v>
      </c>
      <c r="BL121" s="3871"/>
      <c r="BM121" s="3871">
        <v>1</v>
      </c>
      <c r="BN121" s="3871"/>
      <c r="BO121" s="3871">
        <v>0</v>
      </c>
      <c r="BP121" s="3871"/>
      <c r="BQ121" s="3871"/>
      <c r="BR121" s="3871">
        <v>0</v>
      </c>
      <c r="BS121" s="3871"/>
      <c r="BT121" s="1518"/>
      <c r="BU121" s="1518">
        <v>1</v>
      </c>
      <c r="BX121" s="36"/>
      <c r="BY121" s="36"/>
      <c r="BZ121" s="36"/>
      <c r="CA121" s="36" t="s">
        <v>1163</v>
      </c>
      <c r="CB121" s="1681"/>
      <c r="CC121" s="1681"/>
      <c r="CD121" s="1681"/>
      <c r="CE121" s="1681"/>
      <c r="CF121" s="1681">
        <v>0</v>
      </c>
      <c r="CG121" s="1681">
        <v>1</v>
      </c>
      <c r="CH121" s="1681">
        <v>0</v>
      </c>
      <c r="CI121" s="1681">
        <v>0</v>
      </c>
      <c r="CJ121" s="95"/>
      <c r="CK121" s="95">
        <v>0</v>
      </c>
      <c r="CL121" s="95">
        <v>1</v>
      </c>
      <c r="CM121" s="36"/>
      <c r="CO121" s="37"/>
      <c r="CP121" s="37"/>
      <c r="CQ121" s="37"/>
      <c r="CR121" s="37" t="s">
        <v>1074</v>
      </c>
      <c r="CS121" s="1678"/>
      <c r="CT121" s="1678">
        <v>1</v>
      </c>
      <c r="CU121" s="1678">
        <v>1</v>
      </c>
      <c r="CV121" s="1678"/>
      <c r="CW121" s="1678">
        <v>0</v>
      </c>
      <c r="CX121" s="1678"/>
      <c r="CY121" s="1678"/>
      <c r="CZ121" s="1678">
        <v>0</v>
      </c>
      <c r="DA121" s="1678">
        <v>0</v>
      </c>
      <c r="DB121" s="63">
        <v>0</v>
      </c>
      <c r="DC121" s="63">
        <v>0</v>
      </c>
      <c r="DD121" s="63">
        <v>2</v>
      </c>
      <c r="DG121" s="95"/>
      <c r="DH121" s="95"/>
      <c r="DI121" s="36"/>
      <c r="DJ121" s="36" t="s">
        <v>1080</v>
      </c>
      <c r="DK121" s="1484"/>
      <c r="DL121" s="1484">
        <v>0</v>
      </c>
      <c r="DM121" s="1484">
        <v>0</v>
      </c>
      <c r="DN121" s="1484"/>
      <c r="DO121" s="1484"/>
      <c r="DP121" s="1484">
        <v>0</v>
      </c>
      <c r="DQ121" s="1484">
        <v>0</v>
      </c>
      <c r="DR121" s="1484">
        <v>1</v>
      </c>
      <c r="DS121" s="1484">
        <v>4</v>
      </c>
      <c r="DT121" s="95">
        <v>0</v>
      </c>
      <c r="DU121" s="95">
        <v>0</v>
      </c>
      <c r="DV121" s="95">
        <v>5</v>
      </c>
      <c r="DW121" s="95"/>
      <c r="DY121" s="1209"/>
      <c r="DZ121" s="1209"/>
      <c r="EA121" s="1210"/>
      <c r="EB121" s="1211" t="s">
        <v>1076</v>
      </c>
      <c r="EC121" s="1213">
        <v>0</v>
      </c>
      <c r="ED121" s="1212"/>
      <c r="EE121" s="1212"/>
      <c r="EF121" s="1212"/>
      <c r="EG121" s="1212"/>
      <c r="EH121" s="1213">
        <v>1</v>
      </c>
      <c r="EI121" s="1213">
        <v>2</v>
      </c>
      <c r="EJ121" s="1213">
        <v>0</v>
      </c>
      <c r="EK121" s="611"/>
      <c r="EL121" s="611"/>
      <c r="EM121" s="612">
        <v>3</v>
      </c>
      <c r="EN121" s="36"/>
      <c r="EP121" s="527"/>
      <c r="EQ121" s="527"/>
      <c r="ER121" s="528"/>
      <c r="ES121" s="529" t="s">
        <v>1080</v>
      </c>
      <c r="ET121" s="531">
        <v>0</v>
      </c>
      <c r="EU121" s="531">
        <v>0</v>
      </c>
      <c r="EV121" s="531">
        <v>0</v>
      </c>
      <c r="EW121" s="531">
        <v>0</v>
      </c>
      <c r="EX121" s="531">
        <v>0</v>
      </c>
      <c r="EY121" s="531">
        <v>0</v>
      </c>
      <c r="EZ121" s="531">
        <v>0</v>
      </c>
      <c r="FA121" s="531">
        <v>30</v>
      </c>
      <c r="FB121" s="532">
        <v>2</v>
      </c>
      <c r="FC121" s="532">
        <v>3</v>
      </c>
      <c r="FD121" s="532">
        <v>35</v>
      </c>
      <c r="FE121" s="95"/>
      <c r="FG121" s="533"/>
      <c r="FH121" s="533"/>
      <c r="FI121" s="533" t="s">
        <v>127</v>
      </c>
      <c r="FJ121" s="534" t="s">
        <v>1071</v>
      </c>
      <c r="FK121" s="535"/>
      <c r="FL121" s="535"/>
      <c r="FM121" s="536">
        <v>0</v>
      </c>
      <c r="FN121" s="536">
        <v>0</v>
      </c>
      <c r="FO121" s="535"/>
      <c r="FP121" s="535"/>
      <c r="FQ121" s="535"/>
      <c r="FR121" s="536">
        <v>0</v>
      </c>
      <c r="FS121" s="536">
        <v>0</v>
      </c>
      <c r="FT121" s="538">
        <v>0</v>
      </c>
      <c r="FU121" s="538">
        <v>1</v>
      </c>
      <c r="FV121" s="538">
        <v>1</v>
      </c>
      <c r="FW121" s="539"/>
      <c r="FY121" s="540"/>
      <c r="FZ121" s="540"/>
      <c r="GA121" s="540"/>
      <c r="GB121" s="550" t="s">
        <v>15</v>
      </c>
      <c r="GC121" s="551"/>
      <c r="GD121" s="551"/>
      <c r="GE121" s="552">
        <v>1</v>
      </c>
      <c r="GF121" s="552">
        <v>2</v>
      </c>
      <c r="GG121" s="551"/>
      <c r="GH121" s="552">
        <v>23</v>
      </c>
      <c r="GI121" s="551"/>
      <c r="GJ121" s="551"/>
      <c r="GK121" s="551"/>
      <c r="GL121" s="551"/>
      <c r="GM121" s="552">
        <v>26</v>
      </c>
      <c r="GN121" s="553">
        <f>+(GM120+GM119+GM118)/GM121</f>
        <v>0.30769230769230771</v>
      </c>
      <c r="GP121" s="63"/>
      <c r="GQ121" s="63"/>
      <c r="GR121" s="37"/>
      <c r="GS121" s="37" t="s">
        <v>1163</v>
      </c>
      <c r="GT121" s="63"/>
      <c r="GU121" s="63"/>
      <c r="GV121" s="63">
        <v>0</v>
      </c>
      <c r="GW121" s="63">
        <v>0</v>
      </c>
      <c r="GX121" s="63"/>
      <c r="GY121" s="63">
        <v>1</v>
      </c>
      <c r="GZ121" s="63"/>
      <c r="HA121" s="63">
        <v>0</v>
      </c>
      <c r="HB121" s="63"/>
      <c r="HC121" s="63"/>
      <c r="HD121" s="63">
        <v>1</v>
      </c>
      <c r="HE121" s="37"/>
      <c r="HF121" s="37"/>
      <c r="HG121" s="446"/>
      <c r="HH121" s="446"/>
      <c r="HI121" s="446"/>
      <c r="HJ121" s="446" t="s">
        <v>1081</v>
      </c>
      <c r="HK121" s="446">
        <v>0</v>
      </c>
      <c r="HL121" s="446">
        <v>0</v>
      </c>
      <c r="HM121" s="446">
        <v>0</v>
      </c>
      <c r="HN121" s="446">
        <v>0</v>
      </c>
      <c r="HO121" s="446">
        <v>0</v>
      </c>
      <c r="HP121" s="446">
        <v>0</v>
      </c>
      <c r="HQ121" s="446">
        <v>1</v>
      </c>
      <c r="HR121" s="446">
        <v>0</v>
      </c>
      <c r="HS121" s="446">
        <v>0</v>
      </c>
      <c r="HT121" s="446">
        <v>0</v>
      </c>
      <c r="HU121" s="446">
        <v>0</v>
      </c>
      <c r="HV121" s="447">
        <v>1</v>
      </c>
      <c r="HW121" s="544"/>
      <c r="HX121" s="448"/>
    </row>
    <row r="122" spans="1:232">
      <c r="A122" s="5682">
        <v>2</v>
      </c>
      <c r="B122" s="5682">
        <v>1</v>
      </c>
      <c r="C122" s="5683" t="s">
        <v>120</v>
      </c>
      <c r="D122" s="5685" t="s">
        <v>1076</v>
      </c>
      <c r="E122" s="5682">
        <v>1</v>
      </c>
      <c r="F122" s="5682">
        <v>8</v>
      </c>
      <c r="I122" s="4915">
        <v>2</v>
      </c>
      <c r="J122" s="4915">
        <v>1</v>
      </c>
      <c r="K122" s="4916" t="s">
        <v>122</v>
      </c>
      <c r="L122" s="4916" t="s">
        <v>1071</v>
      </c>
      <c r="M122" s="4915">
        <v>1</v>
      </c>
      <c r="N122" s="4915">
        <v>7</v>
      </c>
      <c r="O122" s="157"/>
      <c r="Q122" s="4705">
        <v>2</v>
      </c>
      <c r="R122" s="4705">
        <v>2</v>
      </c>
      <c r="S122" s="4706" t="s">
        <v>2736</v>
      </c>
      <c r="T122" s="4708" t="s">
        <v>2732</v>
      </c>
      <c r="U122" s="4709">
        <v>1</v>
      </c>
      <c r="V122" s="4709">
        <v>6</v>
      </c>
      <c r="W122" s="4722"/>
      <c r="X122" s="4452"/>
      <c r="Y122" s="36"/>
      <c r="Z122" s="36"/>
      <c r="AA122" s="36"/>
      <c r="AB122" s="36" t="s">
        <v>1077</v>
      </c>
      <c r="AC122" s="1681">
        <v>0</v>
      </c>
      <c r="AD122" s="1681">
        <v>2</v>
      </c>
      <c r="AE122" s="1681"/>
      <c r="AF122" s="1681"/>
      <c r="AG122" s="1681"/>
      <c r="AH122" s="1681"/>
      <c r="AI122" s="1681">
        <v>0</v>
      </c>
      <c r="AJ122" s="1681">
        <v>0</v>
      </c>
      <c r="AK122" s="1681"/>
      <c r="AL122" s="95"/>
      <c r="AM122" s="95">
        <v>2</v>
      </c>
      <c r="AN122" s="4545"/>
      <c r="AS122" s="3868" t="s">
        <v>1076</v>
      </c>
      <c r="AT122" s="3721">
        <v>0</v>
      </c>
      <c r="AU122" s="3721"/>
      <c r="AV122" s="3721"/>
      <c r="AW122" s="3721"/>
      <c r="AX122" s="3721"/>
      <c r="AY122" s="3721">
        <v>0</v>
      </c>
      <c r="AZ122" s="3721">
        <v>0</v>
      </c>
      <c r="BA122" s="3721">
        <v>1</v>
      </c>
      <c r="BB122" s="3721">
        <v>0</v>
      </c>
      <c r="BC122" s="2110">
        <v>0</v>
      </c>
      <c r="BD122" s="2110"/>
      <c r="BE122" s="2110">
        <v>1</v>
      </c>
      <c r="BF122" s="2110"/>
      <c r="BG122" s="2110"/>
      <c r="BK122" s="32" t="s">
        <v>1080</v>
      </c>
      <c r="BL122" s="3871"/>
      <c r="BM122" s="3871">
        <v>0</v>
      </c>
      <c r="BN122" s="3871"/>
      <c r="BO122" s="3871">
        <v>0</v>
      </c>
      <c r="BP122" s="3871"/>
      <c r="BQ122" s="3871"/>
      <c r="BR122" s="3871">
        <v>8</v>
      </c>
      <c r="BS122" s="3871"/>
      <c r="BT122" s="1518"/>
      <c r="BU122" s="1518">
        <v>8</v>
      </c>
      <c r="BX122" s="36"/>
      <c r="BY122" s="36"/>
      <c r="BZ122" s="36"/>
      <c r="CA122" s="36" t="s">
        <v>2416</v>
      </c>
      <c r="CB122" s="1681"/>
      <c r="CC122" s="1681"/>
      <c r="CD122" s="1681"/>
      <c r="CE122" s="1681"/>
      <c r="CF122" s="1681">
        <v>0</v>
      </c>
      <c r="CG122" s="1681">
        <v>0</v>
      </c>
      <c r="CH122" s="1681">
        <v>0</v>
      </c>
      <c r="CI122" s="1681">
        <v>0</v>
      </c>
      <c r="CJ122" s="95"/>
      <c r="CK122" s="95">
        <v>1</v>
      </c>
      <c r="CL122" s="95">
        <v>1</v>
      </c>
      <c r="CM122" s="36"/>
      <c r="CO122" s="37"/>
      <c r="CP122" s="37"/>
      <c r="CQ122" s="37"/>
      <c r="CR122" s="37" t="s">
        <v>1076</v>
      </c>
      <c r="CS122" s="1678"/>
      <c r="CT122" s="1678">
        <v>0</v>
      </c>
      <c r="CU122" s="1678">
        <v>0</v>
      </c>
      <c r="CV122" s="1678"/>
      <c r="CW122" s="1678">
        <v>0</v>
      </c>
      <c r="CX122" s="1678"/>
      <c r="CY122" s="1678"/>
      <c r="CZ122" s="1678">
        <v>2</v>
      </c>
      <c r="DA122" s="1678">
        <v>0</v>
      </c>
      <c r="DB122" s="63">
        <v>0</v>
      </c>
      <c r="DC122" s="63">
        <v>0</v>
      </c>
      <c r="DD122" s="63">
        <v>2</v>
      </c>
      <c r="DG122" s="95"/>
      <c r="DH122" s="95"/>
      <c r="DI122" s="36"/>
      <c r="DJ122" s="393" t="s">
        <v>15</v>
      </c>
      <c r="DK122" s="1485"/>
      <c r="DL122" s="1485">
        <v>1</v>
      </c>
      <c r="DM122" s="1485">
        <v>1</v>
      </c>
      <c r="DN122" s="1485"/>
      <c r="DO122" s="1485"/>
      <c r="DP122" s="1485">
        <v>1</v>
      </c>
      <c r="DQ122" s="1485">
        <v>1</v>
      </c>
      <c r="DR122" s="1485">
        <v>4</v>
      </c>
      <c r="DS122" s="1485">
        <v>7</v>
      </c>
      <c r="DT122" s="86">
        <v>1</v>
      </c>
      <c r="DU122" s="86">
        <v>1</v>
      </c>
      <c r="DV122" s="86">
        <v>17</v>
      </c>
      <c r="DW122" s="560">
        <f>+DV119/DV122</f>
        <v>5.8823529411764705E-2</v>
      </c>
      <c r="DY122" s="1209"/>
      <c r="DZ122" s="1209"/>
      <c r="EA122" s="1210"/>
      <c r="EB122" s="1211" t="s">
        <v>1080</v>
      </c>
      <c r="EC122" s="1213">
        <v>0</v>
      </c>
      <c r="ED122" s="1212"/>
      <c r="EE122" s="1212"/>
      <c r="EF122" s="1212"/>
      <c r="EG122" s="1212"/>
      <c r="EH122" s="1213">
        <v>0</v>
      </c>
      <c r="EI122" s="1213">
        <v>1</v>
      </c>
      <c r="EJ122" s="1213">
        <v>4</v>
      </c>
      <c r="EK122" s="611"/>
      <c r="EL122" s="611"/>
      <c r="EM122" s="612">
        <v>5</v>
      </c>
      <c r="EN122" s="36"/>
      <c r="EP122" s="527"/>
      <c r="EQ122" s="527"/>
      <c r="ER122" s="528"/>
      <c r="ES122" s="529" t="s">
        <v>1163</v>
      </c>
      <c r="ET122" s="531">
        <v>0</v>
      </c>
      <c r="EU122" s="531">
        <v>0</v>
      </c>
      <c r="EV122" s="531">
        <v>0</v>
      </c>
      <c r="EW122" s="531">
        <v>0</v>
      </c>
      <c r="EX122" s="531">
        <v>0</v>
      </c>
      <c r="EY122" s="531">
        <v>2</v>
      </c>
      <c r="EZ122" s="531">
        <v>2</v>
      </c>
      <c r="FA122" s="531">
        <v>3</v>
      </c>
      <c r="FB122" s="532">
        <v>0</v>
      </c>
      <c r="FC122" s="532">
        <v>0</v>
      </c>
      <c r="FD122" s="532">
        <v>7</v>
      </c>
      <c r="FE122" s="95"/>
      <c r="FG122" s="533"/>
      <c r="FH122" s="533"/>
      <c r="FI122" s="533"/>
      <c r="FJ122" s="534" t="s">
        <v>1072</v>
      </c>
      <c r="FK122" s="535"/>
      <c r="FL122" s="535"/>
      <c r="FM122" s="536">
        <v>1</v>
      </c>
      <c r="FN122" s="536">
        <v>0</v>
      </c>
      <c r="FO122" s="535"/>
      <c r="FP122" s="535"/>
      <c r="FQ122" s="535"/>
      <c r="FR122" s="536">
        <v>1</v>
      </c>
      <c r="FS122" s="536">
        <v>0</v>
      </c>
      <c r="FT122" s="538">
        <v>0</v>
      </c>
      <c r="FU122" s="538">
        <v>0</v>
      </c>
      <c r="FV122" s="538">
        <v>2</v>
      </c>
      <c r="FW122" s="539"/>
      <c r="FY122" s="540"/>
      <c r="FZ122" s="540"/>
      <c r="GA122" s="540" t="s">
        <v>134</v>
      </c>
      <c r="GB122" s="541" t="s">
        <v>1072</v>
      </c>
      <c r="GC122" s="542"/>
      <c r="GD122" s="542"/>
      <c r="GE122" s="542"/>
      <c r="GF122" s="543">
        <v>0</v>
      </c>
      <c r="GG122" s="542"/>
      <c r="GH122" s="543">
        <v>4</v>
      </c>
      <c r="GI122" s="543">
        <v>2</v>
      </c>
      <c r="GJ122" s="543">
        <v>0</v>
      </c>
      <c r="GK122" s="542"/>
      <c r="GL122" s="542"/>
      <c r="GM122" s="543">
        <v>6</v>
      </c>
      <c r="GN122" s="445"/>
      <c r="GP122" s="63"/>
      <c r="GQ122" s="63"/>
      <c r="GR122" s="37"/>
      <c r="GS122" s="416" t="s">
        <v>15</v>
      </c>
      <c r="GT122" s="386"/>
      <c r="GU122" s="386"/>
      <c r="GV122" s="386">
        <v>3</v>
      </c>
      <c r="GW122" s="386">
        <v>1</v>
      </c>
      <c r="GX122" s="386"/>
      <c r="GY122" s="386">
        <v>11</v>
      </c>
      <c r="GZ122" s="386"/>
      <c r="HA122" s="386">
        <v>1</v>
      </c>
      <c r="HB122" s="386"/>
      <c r="HC122" s="386"/>
      <c r="HD122" s="386">
        <v>16</v>
      </c>
      <c r="HE122" s="466">
        <f>+(HD118+HD120+HD121)/HD122</f>
        <v>0.1875</v>
      </c>
      <c r="HF122" s="37"/>
      <c r="HG122" s="446"/>
      <c r="HH122" s="446"/>
      <c r="HI122" s="446"/>
      <c r="HJ122" s="446" t="s">
        <v>1163</v>
      </c>
      <c r="HK122" s="446">
        <v>0</v>
      </c>
      <c r="HL122" s="446">
        <v>0</v>
      </c>
      <c r="HM122" s="446">
        <v>0</v>
      </c>
      <c r="HN122" s="446">
        <v>0</v>
      </c>
      <c r="HO122" s="446">
        <v>0</v>
      </c>
      <c r="HP122" s="446">
        <v>0</v>
      </c>
      <c r="HQ122" s="446">
        <v>0</v>
      </c>
      <c r="HR122" s="446">
        <v>1</v>
      </c>
      <c r="HS122" s="446">
        <v>0</v>
      </c>
      <c r="HT122" s="446">
        <v>0</v>
      </c>
      <c r="HU122" s="446">
        <v>0</v>
      </c>
      <c r="HV122" s="447">
        <v>1</v>
      </c>
      <c r="HW122" s="544"/>
      <c r="HX122" s="448"/>
    </row>
    <row r="123" spans="1:232">
      <c r="A123" s="5682">
        <v>2</v>
      </c>
      <c r="B123" s="5682">
        <v>1</v>
      </c>
      <c r="C123" s="5683" t="s">
        <v>120</v>
      </c>
      <c r="D123" s="5683" t="s">
        <v>2709</v>
      </c>
      <c r="E123" s="5682">
        <v>2</v>
      </c>
      <c r="F123" s="5682">
        <v>3</v>
      </c>
      <c r="I123" s="4915">
        <v>2</v>
      </c>
      <c r="J123" s="4915">
        <v>1</v>
      </c>
      <c r="K123" s="4916" t="s">
        <v>122</v>
      </c>
      <c r="L123" s="4916" t="s">
        <v>1071</v>
      </c>
      <c r="M123" s="4915">
        <v>1</v>
      </c>
      <c r="N123" s="4915">
        <v>8</v>
      </c>
      <c r="O123" s="157"/>
      <c r="Q123" s="4705">
        <v>2</v>
      </c>
      <c r="R123" s="4705">
        <v>2</v>
      </c>
      <c r="S123" s="4706" t="s">
        <v>2736</v>
      </c>
      <c r="T123" s="4706" t="s">
        <v>2705</v>
      </c>
      <c r="U123" s="4707">
        <v>2</v>
      </c>
      <c r="V123" s="4707">
        <v>1</v>
      </c>
      <c r="W123" s="4722"/>
      <c r="Y123" s="36"/>
      <c r="Z123" s="36"/>
      <c r="AA123" s="36"/>
      <c r="AB123" s="36" t="s">
        <v>1080</v>
      </c>
      <c r="AC123" s="1681">
        <v>0</v>
      </c>
      <c r="AD123" s="1681">
        <v>0</v>
      </c>
      <c r="AE123" s="1681"/>
      <c r="AF123" s="1681"/>
      <c r="AG123" s="1681"/>
      <c r="AH123" s="1681"/>
      <c r="AI123" s="1681">
        <v>0</v>
      </c>
      <c r="AJ123" s="1681">
        <v>4</v>
      </c>
      <c r="AK123" s="1681"/>
      <c r="AL123" s="95"/>
      <c r="AM123" s="95">
        <v>4</v>
      </c>
      <c r="AN123" s="4545"/>
      <c r="AS123" s="3868" t="s">
        <v>1080</v>
      </c>
      <c r="AT123" s="3721">
        <v>0</v>
      </c>
      <c r="AU123" s="3721"/>
      <c r="AV123" s="3721"/>
      <c r="AW123" s="3721"/>
      <c r="AX123" s="3721"/>
      <c r="AY123" s="3721">
        <v>0</v>
      </c>
      <c r="AZ123" s="3721">
        <v>0</v>
      </c>
      <c r="BA123" s="3721">
        <v>11</v>
      </c>
      <c r="BB123" s="3721">
        <v>1</v>
      </c>
      <c r="BC123" s="2110">
        <v>0</v>
      </c>
      <c r="BD123" s="2110"/>
      <c r="BE123" s="2110">
        <v>12</v>
      </c>
      <c r="BF123" s="2110"/>
      <c r="BG123" s="2110"/>
      <c r="BK123" s="32">
        <v>22</v>
      </c>
      <c r="BL123" s="3871"/>
      <c r="BM123" s="3871">
        <v>0</v>
      </c>
      <c r="BN123" s="3871"/>
      <c r="BO123" s="3871">
        <v>1</v>
      </c>
      <c r="BP123" s="3871"/>
      <c r="BQ123" s="3871"/>
      <c r="BR123" s="3871">
        <v>0</v>
      </c>
      <c r="BS123" s="3871"/>
      <c r="BT123" s="1518"/>
      <c r="BU123" s="1518">
        <v>1</v>
      </c>
      <c r="BX123" s="36"/>
      <c r="BY123" s="36"/>
      <c r="BZ123" s="36"/>
      <c r="CA123" s="393" t="s">
        <v>15</v>
      </c>
      <c r="CB123" s="1682"/>
      <c r="CC123" s="1682"/>
      <c r="CD123" s="1682"/>
      <c r="CE123" s="1682"/>
      <c r="CF123" s="1682">
        <v>1</v>
      </c>
      <c r="CG123" s="1682">
        <v>1</v>
      </c>
      <c r="CH123" s="1682">
        <v>4</v>
      </c>
      <c r="CI123" s="1682">
        <v>2</v>
      </c>
      <c r="CJ123" s="2041"/>
      <c r="CK123" s="2041">
        <v>1</v>
      </c>
      <c r="CL123" s="2041">
        <v>9</v>
      </c>
      <c r="CM123" s="560">
        <f>+(CL122+CL119-CK122)/CL123</f>
        <v>0.33333333333333331</v>
      </c>
      <c r="CN123" s="1665"/>
      <c r="CO123" s="37"/>
      <c r="CP123" s="37"/>
      <c r="CQ123" s="37"/>
      <c r="CR123" s="37" t="s">
        <v>1077</v>
      </c>
      <c r="CS123" s="1678"/>
      <c r="CT123" s="1678">
        <v>0</v>
      </c>
      <c r="CU123" s="1678">
        <v>0</v>
      </c>
      <c r="CV123" s="1678"/>
      <c r="CW123" s="1678">
        <v>1</v>
      </c>
      <c r="CX123" s="1678"/>
      <c r="CY123" s="1678"/>
      <c r="CZ123" s="1678">
        <v>0</v>
      </c>
      <c r="DA123" s="1678">
        <v>0</v>
      </c>
      <c r="DB123" s="63">
        <v>0</v>
      </c>
      <c r="DC123" s="63">
        <v>0</v>
      </c>
      <c r="DD123" s="63">
        <v>1</v>
      </c>
      <c r="DG123" s="95"/>
      <c r="DH123" s="95"/>
      <c r="DI123" s="36" t="s">
        <v>681</v>
      </c>
      <c r="DJ123" s="36" t="s">
        <v>1071</v>
      </c>
      <c r="DK123" s="1484"/>
      <c r="DL123" s="1484">
        <v>0</v>
      </c>
      <c r="DM123" s="1484"/>
      <c r="DN123" s="1484"/>
      <c r="DO123" s="1484"/>
      <c r="DP123" s="1484"/>
      <c r="DQ123" s="1484"/>
      <c r="DR123" s="1484">
        <v>0</v>
      </c>
      <c r="DS123" s="1484">
        <v>1</v>
      </c>
      <c r="DT123" s="95">
        <v>0</v>
      </c>
      <c r="DU123" s="95">
        <v>0</v>
      </c>
      <c r="DV123" s="95">
        <v>1</v>
      </c>
      <c r="DW123" s="95"/>
      <c r="DY123" s="1209"/>
      <c r="DZ123" s="1209"/>
      <c r="EA123" s="1210"/>
      <c r="EB123" s="1211" t="s">
        <v>1163</v>
      </c>
      <c r="EC123" s="1213">
        <v>0</v>
      </c>
      <c r="ED123" s="1212"/>
      <c r="EE123" s="1212"/>
      <c r="EF123" s="1212"/>
      <c r="EG123" s="1212"/>
      <c r="EH123" s="1213">
        <v>0</v>
      </c>
      <c r="EI123" s="1213">
        <v>1</v>
      </c>
      <c r="EJ123" s="1213">
        <v>0</v>
      </c>
      <c r="EK123" s="611"/>
      <c r="EL123" s="611"/>
      <c r="EM123" s="612">
        <v>1</v>
      </c>
      <c r="EN123" s="36"/>
      <c r="EP123" s="527"/>
      <c r="EQ123" s="527"/>
      <c r="ER123" s="528"/>
      <c r="ES123" s="555" t="s">
        <v>482</v>
      </c>
      <c r="ET123" s="557">
        <v>7</v>
      </c>
      <c r="EU123" s="557">
        <v>2</v>
      </c>
      <c r="EV123" s="557">
        <v>1</v>
      </c>
      <c r="EW123" s="557">
        <v>1</v>
      </c>
      <c r="EX123" s="557">
        <v>1</v>
      </c>
      <c r="EY123" s="557">
        <v>6</v>
      </c>
      <c r="EZ123" s="557">
        <v>14</v>
      </c>
      <c r="FA123" s="557">
        <v>60</v>
      </c>
      <c r="FB123" s="559">
        <v>11</v>
      </c>
      <c r="FC123" s="559">
        <v>10</v>
      </c>
      <c r="FD123" s="559">
        <v>113</v>
      </c>
      <c r="FE123" s="560">
        <f>+(FD119-FB119+FD122)/FD123</f>
        <v>0.19469026548672566</v>
      </c>
      <c r="FG123" s="533"/>
      <c r="FH123" s="533"/>
      <c r="FI123" s="533"/>
      <c r="FJ123" s="534" t="s">
        <v>1076</v>
      </c>
      <c r="FK123" s="535"/>
      <c r="FL123" s="535"/>
      <c r="FM123" s="536">
        <v>0</v>
      </c>
      <c r="FN123" s="536">
        <v>0</v>
      </c>
      <c r="FO123" s="535"/>
      <c r="FP123" s="535"/>
      <c r="FQ123" s="535"/>
      <c r="FR123" s="536">
        <v>1</v>
      </c>
      <c r="FS123" s="536">
        <v>2</v>
      </c>
      <c r="FT123" s="538">
        <v>1</v>
      </c>
      <c r="FU123" s="538">
        <v>1</v>
      </c>
      <c r="FV123" s="538">
        <v>5</v>
      </c>
      <c r="FW123" s="539"/>
      <c r="FY123" s="540"/>
      <c r="FZ123" s="540"/>
      <c r="GA123" s="540"/>
      <c r="GB123" s="541" t="s">
        <v>1074</v>
      </c>
      <c r="GC123" s="542"/>
      <c r="GD123" s="542"/>
      <c r="GE123" s="542"/>
      <c r="GF123" s="543">
        <v>1</v>
      </c>
      <c r="GG123" s="542"/>
      <c r="GH123" s="543">
        <v>0</v>
      </c>
      <c r="GI123" s="543">
        <v>0</v>
      </c>
      <c r="GJ123" s="543">
        <v>0</v>
      </c>
      <c r="GK123" s="542"/>
      <c r="GL123" s="542"/>
      <c r="GM123" s="543">
        <v>1</v>
      </c>
      <c r="GN123" s="445"/>
      <c r="GP123" s="63"/>
      <c r="GQ123" s="63"/>
      <c r="GR123" s="37" t="s">
        <v>140</v>
      </c>
      <c r="GS123" s="37" t="s">
        <v>1071</v>
      </c>
      <c r="GT123" s="63"/>
      <c r="GU123" s="63"/>
      <c r="GV123" s="63"/>
      <c r="GW123" s="63"/>
      <c r="GX123" s="63"/>
      <c r="GY123" s="63">
        <v>0</v>
      </c>
      <c r="GZ123" s="63">
        <v>0</v>
      </c>
      <c r="HA123" s="63">
        <v>1</v>
      </c>
      <c r="HB123" s="63"/>
      <c r="HC123" s="63">
        <v>0</v>
      </c>
      <c r="HD123" s="63">
        <v>1</v>
      </c>
      <c r="HE123" s="37"/>
      <c r="HF123" s="37"/>
      <c r="HG123" s="446"/>
      <c r="HH123" s="446"/>
      <c r="HI123" s="446"/>
      <c r="HJ123" s="449" t="s">
        <v>15</v>
      </c>
      <c r="HK123" s="449">
        <v>0</v>
      </c>
      <c r="HL123" s="449">
        <v>0</v>
      </c>
      <c r="HM123" s="449">
        <v>0</v>
      </c>
      <c r="HN123" s="449">
        <v>0</v>
      </c>
      <c r="HO123" s="449">
        <v>0</v>
      </c>
      <c r="HP123" s="449">
        <v>1</v>
      </c>
      <c r="HQ123" s="449">
        <v>10</v>
      </c>
      <c r="HR123" s="449">
        <v>6</v>
      </c>
      <c r="HS123" s="449">
        <v>7</v>
      </c>
      <c r="HT123" s="449">
        <v>0</v>
      </c>
      <c r="HU123" s="449">
        <v>0</v>
      </c>
      <c r="HV123" s="507">
        <v>24</v>
      </c>
      <c r="HW123" s="554">
        <f>+(HV122+HV121+HV119)/HV123</f>
        <v>0.125</v>
      </c>
      <c r="HX123" s="448">
        <f>+HV119+HV121+HV122</f>
        <v>3</v>
      </c>
    </row>
    <row r="124" spans="1:232">
      <c r="A124" s="5682">
        <v>2</v>
      </c>
      <c r="B124" s="5682">
        <v>1</v>
      </c>
      <c r="C124" s="5683" t="s">
        <v>120</v>
      </c>
      <c r="D124" s="5683" t="s">
        <v>2709</v>
      </c>
      <c r="E124" s="5682">
        <v>1</v>
      </c>
      <c r="F124" s="5682">
        <v>6</v>
      </c>
      <c r="I124" s="4915">
        <v>2</v>
      </c>
      <c r="J124" s="4915">
        <v>1</v>
      </c>
      <c r="K124" s="4916" t="s">
        <v>122</v>
      </c>
      <c r="L124" s="4916" t="s">
        <v>1071</v>
      </c>
      <c r="M124" s="4915">
        <v>1</v>
      </c>
      <c r="N124" s="4915">
        <v>9</v>
      </c>
      <c r="O124" s="157"/>
      <c r="Q124" s="4705">
        <v>2</v>
      </c>
      <c r="R124" s="4705">
        <v>2</v>
      </c>
      <c r="S124" s="4706" t="s">
        <v>2736</v>
      </c>
      <c r="T124" s="4708" t="s">
        <v>2707</v>
      </c>
      <c r="U124" s="4709">
        <v>1</v>
      </c>
      <c r="V124" s="4709">
        <v>6</v>
      </c>
      <c r="W124" s="4722"/>
      <c r="X124" s="4452"/>
      <c r="Y124" s="36"/>
      <c r="Z124" s="36"/>
      <c r="AA124" s="36"/>
      <c r="AB124" s="36" t="s">
        <v>2571</v>
      </c>
      <c r="AC124" s="1681">
        <v>5</v>
      </c>
      <c r="AD124" s="1681">
        <v>0</v>
      </c>
      <c r="AE124" s="1681"/>
      <c r="AF124" s="1681"/>
      <c r="AG124" s="1681"/>
      <c r="AH124" s="1681"/>
      <c r="AI124" s="1681">
        <v>0</v>
      </c>
      <c r="AJ124" s="1681">
        <v>0</v>
      </c>
      <c r="AK124" s="1681"/>
      <c r="AL124" s="95"/>
      <c r="AM124" s="95">
        <v>5</v>
      </c>
      <c r="AN124" s="4545"/>
      <c r="AS124" s="3868" t="s">
        <v>2571</v>
      </c>
      <c r="AT124" s="3721">
        <v>1</v>
      </c>
      <c r="AU124" s="3721"/>
      <c r="AV124" s="3721"/>
      <c r="AW124" s="3721"/>
      <c r="AX124" s="3721"/>
      <c r="AY124" s="3721">
        <v>0</v>
      </c>
      <c r="AZ124" s="3721">
        <v>0</v>
      </c>
      <c r="BA124" s="3721">
        <v>0</v>
      </c>
      <c r="BB124" s="3721">
        <v>0</v>
      </c>
      <c r="BC124" s="2110">
        <v>0</v>
      </c>
      <c r="BD124" s="2110"/>
      <c r="BE124" s="2110">
        <v>1</v>
      </c>
      <c r="BF124" s="2110"/>
      <c r="BG124" s="2110"/>
      <c r="BK124" s="1520" t="s">
        <v>15</v>
      </c>
      <c r="BL124" s="3872"/>
      <c r="BM124" s="3872">
        <v>1</v>
      </c>
      <c r="BN124" s="3872"/>
      <c r="BO124" s="3872">
        <v>1</v>
      </c>
      <c r="BP124" s="3872"/>
      <c r="BQ124" s="3872"/>
      <c r="BR124" s="3872">
        <v>8</v>
      </c>
      <c r="BS124" s="3872"/>
      <c r="BT124" s="3806"/>
      <c r="BU124" s="3806">
        <v>10</v>
      </c>
      <c r="BV124" s="3807">
        <v>0</v>
      </c>
      <c r="BX124" s="36"/>
      <c r="BY124" s="36"/>
      <c r="BZ124" s="36" t="s">
        <v>123</v>
      </c>
      <c r="CA124" s="36" t="s">
        <v>1071</v>
      </c>
      <c r="CB124" s="1681"/>
      <c r="CC124" s="1681"/>
      <c r="CD124" s="1681"/>
      <c r="CE124" s="1681"/>
      <c r="CF124" s="1681"/>
      <c r="CG124" s="1681">
        <v>0</v>
      </c>
      <c r="CH124" s="1681"/>
      <c r="CI124" s="1681">
        <v>1</v>
      </c>
      <c r="CJ124" s="95">
        <v>0</v>
      </c>
      <c r="CK124" s="95">
        <v>0</v>
      </c>
      <c r="CL124" s="95">
        <v>1</v>
      </c>
      <c r="CM124" s="36"/>
      <c r="CO124" s="37"/>
      <c r="CP124" s="37"/>
      <c r="CQ124" s="37"/>
      <c r="CR124" s="37" t="s">
        <v>1080</v>
      </c>
      <c r="CS124" s="1678"/>
      <c r="CT124" s="1678">
        <v>0</v>
      </c>
      <c r="CU124" s="1678">
        <v>0</v>
      </c>
      <c r="CV124" s="1678"/>
      <c r="CW124" s="1678">
        <v>0</v>
      </c>
      <c r="CX124" s="1678"/>
      <c r="CY124" s="1678"/>
      <c r="CZ124" s="1678">
        <v>0</v>
      </c>
      <c r="DA124" s="1678">
        <v>8</v>
      </c>
      <c r="DB124" s="63">
        <v>2</v>
      </c>
      <c r="DC124" s="63">
        <v>0</v>
      </c>
      <c r="DD124" s="63">
        <v>10</v>
      </c>
      <c r="DG124" s="95"/>
      <c r="DH124" s="95"/>
      <c r="DI124" s="36"/>
      <c r="DJ124" s="36" t="s">
        <v>1072</v>
      </c>
      <c r="DK124" s="1484"/>
      <c r="DL124" s="1484">
        <v>1</v>
      </c>
      <c r="DM124" s="1484"/>
      <c r="DN124" s="1484"/>
      <c r="DO124" s="1484"/>
      <c r="DP124" s="1484"/>
      <c r="DQ124" s="1484"/>
      <c r="DR124" s="1484">
        <v>1</v>
      </c>
      <c r="DS124" s="1484">
        <v>0</v>
      </c>
      <c r="DT124" s="95">
        <v>0</v>
      </c>
      <c r="DU124" s="95">
        <v>0</v>
      </c>
      <c r="DV124" s="95">
        <v>2</v>
      </c>
      <c r="DW124" s="95"/>
      <c r="DY124" s="1209"/>
      <c r="DZ124" s="1209"/>
      <c r="EA124" s="1210"/>
      <c r="EB124" s="415" t="s">
        <v>15</v>
      </c>
      <c r="EC124" s="1215">
        <v>3</v>
      </c>
      <c r="ED124" s="1214"/>
      <c r="EE124" s="1214"/>
      <c r="EF124" s="1214"/>
      <c r="EG124" s="1214"/>
      <c r="EH124" s="1215">
        <v>2</v>
      </c>
      <c r="EI124" s="1215">
        <v>4</v>
      </c>
      <c r="EJ124" s="1215">
        <v>5</v>
      </c>
      <c r="EK124" s="620"/>
      <c r="EL124" s="620"/>
      <c r="EM124" s="621">
        <v>14</v>
      </c>
      <c r="EN124" s="1178">
        <f>+(EM121+EM123)/EM124</f>
        <v>0.2857142857142857</v>
      </c>
      <c r="EP124" s="527"/>
      <c r="EQ124" s="527" t="s">
        <v>16</v>
      </c>
      <c r="ER124" s="528" t="s">
        <v>125</v>
      </c>
      <c r="ES124" s="529" t="s">
        <v>1072</v>
      </c>
      <c r="ET124" s="530"/>
      <c r="EU124" s="531">
        <v>1</v>
      </c>
      <c r="EV124" s="531">
        <v>0</v>
      </c>
      <c r="EW124" s="530"/>
      <c r="EX124" s="530"/>
      <c r="EY124" s="531">
        <v>1</v>
      </c>
      <c r="EZ124" s="531">
        <v>4</v>
      </c>
      <c r="FA124" s="531">
        <v>0</v>
      </c>
      <c r="FB124" s="527"/>
      <c r="FC124" s="527"/>
      <c r="FD124" s="532">
        <v>6</v>
      </c>
      <c r="FE124" s="95"/>
      <c r="FG124" s="533"/>
      <c r="FH124" s="533"/>
      <c r="FI124" s="533"/>
      <c r="FJ124" s="534" t="s">
        <v>1077</v>
      </c>
      <c r="FK124" s="535"/>
      <c r="FL124" s="535"/>
      <c r="FM124" s="536">
        <v>1</v>
      </c>
      <c r="FN124" s="536">
        <v>1</v>
      </c>
      <c r="FO124" s="535"/>
      <c r="FP124" s="535"/>
      <c r="FQ124" s="535"/>
      <c r="FR124" s="536">
        <v>0</v>
      </c>
      <c r="FS124" s="536">
        <v>0</v>
      </c>
      <c r="FT124" s="538">
        <v>0</v>
      </c>
      <c r="FU124" s="538">
        <v>0</v>
      </c>
      <c r="FV124" s="538">
        <v>2</v>
      </c>
      <c r="FW124" s="539"/>
      <c r="FY124" s="540"/>
      <c r="FZ124" s="540"/>
      <c r="GA124" s="540"/>
      <c r="GB124" s="541" t="s">
        <v>1080</v>
      </c>
      <c r="GC124" s="542"/>
      <c r="GD124" s="542"/>
      <c r="GE124" s="542"/>
      <c r="GF124" s="543">
        <v>0</v>
      </c>
      <c r="GG124" s="542"/>
      <c r="GH124" s="543">
        <v>0</v>
      </c>
      <c r="GI124" s="543">
        <v>0</v>
      </c>
      <c r="GJ124" s="543">
        <v>6</v>
      </c>
      <c r="GK124" s="542"/>
      <c r="GL124" s="542"/>
      <c r="GM124" s="543">
        <v>6</v>
      </c>
      <c r="GN124" s="445"/>
      <c r="GP124" s="63"/>
      <c r="GQ124" s="63"/>
      <c r="GR124" s="37"/>
      <c r="GS124" s="37" t="s">
        <v>1072</v>
      </c>
      <c r="GT124" s="63"/>
      <c r="GU124" s="63"/>
      <c r="GV124" s="63"/>
      <c r="GW124" s="63"/>
      <c r="GX124" s="63"/>
      <c r="GY124" s="63">
        <v>5</v>
      </c>
      <c r="GZ124" s="63">
        <v>0</v>
      </c>
      <c r="HA124" s="63">
        <v>1</v>
      </c>
      <c r="HB124" s="63"/>
      <c r="HC124" s="63">
        <v>0</v>
      </c>
      <c r="HD124" s="63">
        <v>6</v>
      </c>
      <c r="HE124" s="37"/>
      <c r="HF124" s="37"/>
      <c r="HG124" s="446"/>
      <c r="HH124" s="446"/>
      <c r="HI124" s="446" t="s">
        <v>132</v>
      </c>
      <c r="HJ124" s="446" t="s">
        <v>1072</v>
      </c>
      <c r="HK124" s="446">
        <v>0</v>
      </c>
      <c r="HL124" s="446">
        <v>0</v>
      </c>
      <c r="HM124" s="446">
        <v>0</v>
      </c>
      <c r="HN124" s="446">
        <v>1</v>
      </c>
      <c r="HO124" s="446">
        <v>0</v>
      </c>
      <c r="HP124" s="446">
        <v>0</v>
      </c>
      <c r="HQ124" s="446">
        <v>7</v>
      </c>
      <c r="HR124" s="446">
        <v>0</v>
      </c>
      <c r="HS124" s="446">
        <v>0</v>
      </c>
      <c r="HT124" s="446">
        <v>0</v>
      </c>
      <c r="HU124" s="446">
        <v>0</v>
      </c>
      <c r="HV124" s="447">
        <v>8</v>
      </c>
      <c r="HW124" s="544"/>
      <c r="HX124" s="448"/>
    </row>
    <row r="125" spans="1:232">
      <c r="A125" s="5682">
        <v>2</v>
      </c>
      <c r="B125" s="5682">
        <v>1</v>
      </c>
      <c r="C125" s="5683" t="s">
        <v>120</v>
      </c>
      <c r="D125" s="5683" t="s">
        <v>2709</v>
      </c>
      <c r="E125" s="5682">
        <v>5</v>
      </c>
      <c r="F125" s="5682">
        <v>7</v>
      </c>
      <c r="I125" s="4915">
        <v>2</v>
      </c>
      <c r="J125" s="4915">
        <v>1</v>
      </c>
      <c r="K125" s="4916" t="s">
        <v>122</v>
      </c>
      <c r="L125" s="4916" t="s">
        <v>2709</v>
      </c>
      <c r="M125" s="4915">
        <v>1</v>
      </c>
      <c r="N125" s="4915">
        <v>6</v>
      </c>
      <c r="O125" s="157"/>
      <c r="Q125" s="4705">
        <v>2</v>
      </c>
      <c r="R125" s="4705">
        <v>2</v>
      </c>
      <c r="S125" s="4706" t="s">
        <v>2736</v>
      </c>
      <c r="T125" s="4708" t="s">
        <v>1076</v>
      </c>
      <c r="U125" s="4709">
        <v>12</v>
      </c>
      <c r="V125" s="4709">
        <v>6</v>
      </c>
      <c r="W125" s="4722"/>
      <c r="Y125" s="36"/>
      <c r="Z125" s="36"/>
      <c r="AA125" s="36"/>
      <c r="AB125" s="36" t="s">
        <v>15</v>
      </c>
      <c r="AC125" s="1681">
        <v>5</v>
      </c>
      <c r="AD125" s="1681">
        <v>2</v>
      </c>
      <c r="AE125" s="1681"/>
      <c r="AF125" s="1681"/>
      <c r="AG125" s="1681"/>
      <c r="AH125" s="1681"/>
      <c r="AI125" s="1681">
        <v>14</v>
      </c>
      <c r="AJ125" s="1681">
        <v>4</v>
      </c>
      <c r="AK125" s="1681"/>
      <c r="AL125" s="95"/>
      <c r="AM125" s="95">
        <v>25</v>
      </c>
      <c r="AN125" s="560">
        <f>+AI121/(AM125-AM124)</f>
        <v>0.65</v>
      </c>
      <c r="AS125" s="3868" t="s">
        <v>1163</v>
      </c>
      <c r="AT125" s="3721">
        <v>0</v>
      </c>
      <c r="AU125" s="3721"/>
      <c r="AV125" s="3721"/>
      <c r="AW125" s="3721"/>
      <c r="AX125" s="3721"/>
      <c r="AY125" s="3721">
        <v>1</v>
      </c>
      <c r="AZ125" s="3721">
        <v>0</v>
      </c>
      <c r="BA125" s="3721">
        <v>2</v>
      </c>
      <c r="BB125" s="3721">
        <v>0</v>
      </c>
      <c r="BC125" s="2110">
        <v>0</v>
      </c>
      <c r="BD125" s="2110"/>
      <c r="BE125" s="2110">
        <v>3</v>
      </c>
      <c r="BF125" s="2110"/>
      <c r="BG125" s="2110"/>
      <c r="BJ125" s="32" t="s">
        <v>123</v>
      </c>
      <c r="BK125" s="32" t="s">
        <v>1071</v>
      </c>
      <c r="BL125" s="3871">
        <v>0</v>
      </c>
      <c r="BM125" s="3871"/>
      <c r="BN125" s="3871"/>
      <c r="BO125" s="3871"/>
      <c r="BP125" s="3871">
        <v>0</v>
      </c>
      <c r="BQ125" s="3871">
        <v>0</v>
      </c>
      <c r="BR125" s="3871">
        <v>1</v>
      </c>
      <c r="BS125" s="3871">
        <v>1</v>
      </c>
      <c r="BT125" s="1518">
        <v>1</v>
      </c>
      <c r="BU125" s="1518">
        <v>3</v>
      </c>
      <c r="BX125" s="36"/>
      <c r="BY125" s="36"/>
      <c r="BZ125" s="36"/>
      <c r="CA125" s="36" t="s">
        <v>1076</v>
      </c>
      <c r="CB125" s="1681"/>
      <c r="CC125" s="1681"/>
      <c r="CD125" s="1681"/>
      <c r="CE125" s="1681"/>
      <c r="CF125" s="1681"/>
      <c r="CG125" s="1681">
        <v>0</v>
      </c>
      <c r="CH125" s="1681"/>
      <c r="CI125" s="1681">
        <v>1</v>
      </c>
      <c r="CJ125" s="95">
        <v>0</v>
      </c>
      <c r="CK125" s="95">
        <v>0</v>
      </c>
      <c r="CL125" s="95">
        <v>1</v>
      </c>
      <c r="CM125" s="36"/>
      <c r="CO125" s="37"/>
      <c r="CP125" s="37"/>
      <c r="CQ125" s="37"/>
      <c r="CR125" s="416" t="s">
        <v>15</v>
      </c>
      <c r="CS125" s="1679"/>
      <c r="CT125" s="1679">
        <v>2</v>
      </c>
      <c r="CU125" s="1679">
        <v>1</v>
      </c>
      <c r="CV125" s="1679"/>
      <c r="CW125" s="1679">
        <v>1</v>
      </c>
      <c r="CX125" s="1679"/>
      <c r="CY125" s="1679"/>
      <c r="CZ125" s="1679">
        <v>7</v>
      </c>
      <c r="DA125" s="1679">
        <v>10</v>
      </c>
      <c r="DB125" s="386">
        <v>3</v>
      </c>
      <c r="DC125" s="386">
        <v>1</v>
      </c>
      <c r="DD125" s="386">
        <v>25</v>
      </c>
      <c r="DE125" s="2045">
        <f>+DD122/DD125</f>
        <v>0.08</v>
      </c>
      <c r="DG125" s="95"/>
      <c r="DH125" s="95"/>
      <c r="DI125" s="36"/>
      <c r="DJ125" s="36" t="s">
        <v>1076</v>
      </c>
      <c r="DK125" s="1484"/>
      <c r="DL125" s="1484">
        <v>0</v>
      </c>
      <c r="DM125" s="1484"/>
      <c r="DN125" s="1484"/>
      <c r="DO125" s="1484"/>
      <c r="DP125" s="1484"/>
      <c r="DQ125" s="1484"/>
      <c r="DR125" s="1484">
        <v>0</v>
      </c>
      <c r="DS125" s="1484">
        <v>0</v>
      </c>
      <c r="DT125" s="95">
        <v>2</v>
      </c>
      <c r="DU125" s="95">
        <v>0</v>
      </c>
      <c r="DV125" s="95">
        <v>2</v>
      </c>
      <c r="DW125" s="95"/>
      <c r="DY125" s="1209"/>
      <c r="DZ125" s="1209"/>
      <c r="EA125" s="1210" t="s">
        <v>123</v>
      </c>
      <c r="EB125" s="1211" t="s">
        <v>1071</v>
      </c>
      <c r="EC125" s="1212"/>
      <c r="ED125" s="1212"/>
      <c r="EE125" s="1213">
        <v>0</v>
      </c>
      <c r="EF125" s="1213">
        <v>0</v>
      </c>
      <c r="EG125" s="1212"/>
      <c r="EH125" s="1213">
        <v>0</v>
      </c>
      <c r="EI125" s="1213">
        <v>0</v>
      </c>
      <c r="EJ125" s="1213">
        <v>1</v>
      </c>
      <c r="EK125" s="612">
        <v>0</v>
      </c>
      <c r="EL125" s="611"/>
      <c r="EM125" s="612">
        <v>1</v>
      </c>
      <c r="EN125" s="36"/>
      <c r="EP125" s="527"/>
      <c r="EQ125" s="527"/>
      <c r="ER125" s="528"/>
      <c r="ES125" s="529" t="s">
        <v>1076</v>
      </c>
      <c r="ET125" s="530"/>
      <c r="EU125" s="531">
        <v>0</v>
      </c>
      <c r="EV125" s="531">
        <v>0</v>
      </c>
      <c r="EW125" s="530"/>
      <c r="EX125" s="530"/>
      <c r="EY125" s="531">
        <v>0</v>
      </c>
      <c r="EZ125" s="531">
        <v>30</v>
      </c>
      <c r="FA125" s="531">
        <v>0</v>
      </c>
      <c r="FB125" s="527"/>
      <c r="FC125" s="527"/>
      <c r="FD125" s="532">
        <v>30</v>
      </c>
      <c r="FE125" s="95"/>
      <c r="FG125" s="533"/>
      <c r="FH125" s="533"/>
      <c r="FI125" s="533"/>
      <c r="FJ125" s="534" t="s">
        <v>1081</v>
      </c>
      <c r="FK125" s="535"/>
      <c r="FL125" s="535"/>
      <c r="FM125" s="536">
        <v>0</v>
      </c>
      <c r="FN125" s="536">
        <v>0</v>
      </c>
      <c r="FO125" s="535"/>
      <c r="FP125" s="535"/>
      <c r="FQ125" s="535"/>
      <c r="FR125" s="536">
        <v>0</v>
      </c>
      <c r="FS125" s="536">
        <v>2</v>
      </c>
      <c r="FT125" s="538">
        <v>1</v>
      </c>
      <c r="FU125" s="538">
        <v>1</v>
      </c>
      <c r="FV125" s="538">
        <v>4</v>
      </c>
      <c r="FW125" s="539"/>
      <c r="FY125" s="540"/>
      <c r="FZ125" s="540"/>
      <c r="GA125" s="540"/>
      <c r="GB125" s="541" t="s">
        <v>1163</v>
      </c>
      <c r="GC125" s="542"/>
      <c r="GD125" s="542"/>
      <c r="GE125" s="542"/>
      <c r="GF125" s="543">
        <v>0</v>
      </c>
      <c r="GG125" s="542"/>
      <c r="GH125" s="543">
        <v>0</v>
      </c>
      <c r="GI125" s="543">
        <v>3</v>
      </c>
      <c r="GJ125" s="543">
        <v>0</v>
      </c>
      <c r="GK125" s="542"/>
      <c r="GL125" s="542"/>
      <c r="GM125" s="543">
        <v>3</v>
      </c>
      <c r="GN125" s="445"/>
      <c r="GP125" s="63"/>
      <c r="GQ125" s="63"/>
      <c r="GR125" s="37"/>
      <c r="GS125" s="37" t="s">
        <v>1076</v>
      </c>
      <c r="GT125" s="63"/>
      <c r="GU125" s="63"/>
      <c r="GV125" s="63"/>
      <c r="GW125" s="63"/>
      <c r="GX125" s="63"/>
      <c r="GY125" s="63">
        <v>0</v>
      </c>
      <c r="GZ125" s="63">
        <v>1</v>
      </c>
      <c r="HA125" s="63">
        <v>0</v>
      </c>
      <c r="HB125" s="63"/>
      <c r="HC125" s="63">
        <v>0</v>
      </c>
      <c r="HD125" s="63">
        <v>1</v>
      </c>
      <c r="HE125" s="37"/>
      <c r="HF125" s="37"/>
      <c r="HG125" s="446"/>
      <c r="HH125" s="446"/>
      <c r="HI125" s="446"/>
      <c r="HJ125" s="446" t="s">
        <v>1076</v>
      </c>
      <c r="HK125" s="446">
        <v>0</v>
      </c>
      <c r="HL125" s="446">
        <v>0</v>
      </c>
      <c r="HM125" s="446">
        <v>0</v>
      </c>
      <c r="HN125" s="446">
        <v>0</v>
      </c>
      <c r="HO125" s="446">
        <v>0</v>
      </c>
      <c r="HP125" s="446">
        <v>0</v>
      </c>
      <c r="HQ125" s="446">
        <v>1</v>
      </c>
      <c r="HR125" s="446">
        <v>0</v>
      </c>
      <c r="HS125" s="446">
        <v>0</v>
      </c>
      <c r="HT125" s="446">
        <v>0</v>
      </c>
      <c r="HU125" s="446">
        <v>0</v>
      </c>
      <c r="HV125" s="447">
        <v>1</v>
      </c>
      <c r="HW125" s="544"/>
      <c r="HX125" s="448"/>
    </row>
    <row r="126" spans="1:232">
      <c r="A126" s="5682">
        <v>2</v>
      </c>
      <c r="B126" s="5682">
        <v>1</v>
      </c>
      <c r="C126" s="5683" t="s">
        <v>120</v>
      </c>
      <c r="D126" s="5683" t="s">
        <v>2709</v>
      </c>
      <c r="E126" s="5682">
        <v>1</v>
      </c>
      <c r="F126" s="5682">
        <v>8</v>
      </c>
      <c r="I126" s="4915">
        <v>2</v>
      </c>
      <c r="J126" s="4915">
        <v>1</v>
      </c>
      <c r="K126" s="4916" t="s">
        <v>122</v>
      </c>
      <c r="L126" s="4916" t="s">
        <v>2709</v>
      </c>
      <c r="M126" s="4915">
        <v>1</v>
      </c>
      <c r="N126" s="4915">
        <v>7</v>
      </c>
      <c r="O126" s="157"/>
      <c r="Q126" s="4705">
        <v>2</v>
      </c>
      <c r="R126" s="4705">
        <v>2</v>
      </c>
      <c r="S126" s="4706" t="s">
        <v>2736</v>
      </c>
      <c r="T126" s="4708" t="s">
        <v>1076</v>
      </c>
      <c r="U126" s="4709">
        <v>3</v>
      </c>
      <c r="V126" s="4709">
        <v>7</v>
      </c>
      <c r="W126" s="4722"/>
      <c r="Y126" s="36"/>
      <c r="Z126" s="36"/>
      <c r="AA126" s="36" t="s">
        <v>127</v>
      </c>
      <c r="AB126" s="36" t="s">
        <v>1071</v>
      </c>
      <c r="AC126" s="1681">
        <v>0</v>
      </c>
      <c r="AD126" s="1681"/>
      <c r="AE126" s="1681"/>
      <c r="AF126" s="1681"/>
      <c r="AG126" s="1681"/>
      <c r="AH126" s="1681"/>
      <c r="AI126" s="1681"/>
      <c r="AJ126" s="1681"/>
      <c r="AK126" s="1681"/>
      <c r="AL126" s="95">
        <v>1</v>
      </c>
      <c r="AM126" s="95">
        <v>1</v>
      </c>
      <c r="AN126" s="4545"/>
      <c r="AS126" s="27" t="s">
        <v>15</v>
      </c>
      <c r="AT126" s="3722">
        <v>1</v>
      </c>
      <c r="AU126" s="3722"/>
      <c r="AV126" s="3722"/>
      <c r="AW126" s="3722"/>
      <c r="AX126" s="3722"/>
      <c r="AY126" s="3722">
        <v>2</v>
      </c>
      <c r="AZ126" s="3722">
        <v>1</v>
      </c>
      <c r="BA126" s="3722">
        <v>14</v>
      </c>
      <c r="BB126" s="3722">
        <v>5</v>
      </c>
      <c r="BC126" s="3701">
        <v>1</v>
      </c>
      <c r="BD126" s="3701"/>
      <c r="BE126" s="3701">
        <v>24</v>
      </c>
      <c r="BF126" s="1665">
        <f>+(BE122+BE125)/BE126</f>
        <v>0.16666666666666666</v>
      </c>
      <c r="BG126" s="1665"/>
      <c r="BK126" s="32" t="s">
        <v>1072</v>
      </c>
      <c r="BL126" s="3871">
        <v>1</v>
      </c>
      <c r="BM126" s="3871"/>
      <c r="BN126" s="3871"/>
      <c r="BO126" s="3871"/>
      <c r="BP126" s="3871">
        <v>1</v>
      </c>
      <c r="BQ126" s="3871">
        <v>1</v>
      </c>
      <c r="BR126" s="3871">
        <v>1</v>
      </c>
      <c r="BS126" s="3871">
        <v>0</v>
      </c>
      <c r="BT126" s="1518">
        <v>0</v>
      </c>
      <c r="BU126" s="1518">
        <v>4</v>
      </c>
      <c r="BX126" s="36"/>
      <c r="BY126" s="36"/>
      <c r="BZ126" s="36"/>
      <c r="CA126" s="36" t="s">
        <v>1080</v>
      </c>
      <c r="CB126" s="1681"/>
      <c r="CC126" s="1681"/>
      <c r="CD126" s="1681"/>
      <c r="CE126" s="1681"/>
      <c r="CF126" s="1681"/>
      <c r="CG126" s="1681">
        <v>0</v>
      </c>
      <c r="CH126" s="1681"/>
      <c r="CI126" s="1681">
        <v>4</v>
      </c>
      <c r="CJ126" s="95">
        <v>1</v>
      </c>
      <c r="CK126" s="95">
        <v>2</v>
      </c>
      <c r="CL126" s="95">
        <v>7</v>
      </c>
      <c r="CM126" s="36"/>
      <c r="CO126" s="37"/>
      <c r="CP126" s="37"/>
      <c r="CQ126" s="37" t="s">
        <v>121</v>
      </c>
      <c r="CR126" s="37" t="s">
        <v>1072</v>
      </c>
      <c r="CS126" s="1678"/>
      <c r="CT126" s="1678">
        <v>0</v>
      </c>
      <c r="CU126" s="1678"/>
      <c r="CV126" s="1678"/>
      <c r="CW126" s="1678"/>
      <c r="CX126" s="1678"/>
      <c r="CY126" s="1678">
        <v>2</v>
      </c>
      <c r="CZ126" s="1678">
        <v>0</v>
      </c>
      <c r="DA126" s="1678">
        <v>0</v>
      </c>
      <c r="DB126" s="63"/>
      <c r="DC126" s="63"/>
      <c r="DD126" s="63">
        <v>2</v>
      </c>
      <c r="DG126" s="95"/>
      <c r="DH126" s="95"/>
      <c r="DI126" s="36"/>
      <c r="DJ126" s="36" t="s">
        <v>1080</v>
      </c>
      <c r="DK126" s="1484"/>
      <c r="DL126" s="1484">
        <v>0</v>
      </c>
      <c r="DM126" s="1484"/>
      <c r="DN126" s="1484"/>
      <c r="DO126" s="1484"/>
      <c r="DP126" s="1484"/>
      <c r="DQ126" s="1484"/>
      <c r="DR126" s="1484">
        <v>0</v>
      </c>
      <c r="DS126" s="1484">
        <v>0</v>
      </c>
      <c r="DT126" s="95">
        <v>0</v>
      </c>
      <c r="DU126" s="95">
        <v>6</v>
      </c>
      <c r="DV126" s="95">
        <v>6</v>
      </c>
      <c r="DW126" s="95"/>
      <c r="DY126" s="1209"/>
      <c r="DZ126" s="1209"/>
      <c r="EA126" s="1210"/>
      <c r="EB126" s="1211" t="s">
        <v>1072</v>
      </c>
      <c r="EC126" s="1212"/>
      <c r="ED126" s="1212"/>
      <c r="EE126" s="1213">
        <v>0</v>
      </c>
      <c r="EF126" s="1213">
        <v>0</v>
      </c>
      <c r="EG126" s="1212"/>
      <c r="EH126" s="1213">
        <v>0</v>
      </c>
      <c r="EI126" s="1213">
        <v>0</v>
      </c>
      <c r="EJ126" s="1213">
        <v>0</v>
      </c>
      <c r="EK126" s="612">
        <v>1</v>
      </c>
      <c r="EL126" s="611"/>
      <c r="EM126" s="612">
        <v>1</v>
      </c>
      <c r="EN126" s="36"/>
      <c r="EP126" s="527"/>
      <c r="EQ126" s="527"/>
      <c r="ER126" s="528"/>
      <c r="ES126" s="529" t="s">
        <v>1077</v>
      </c>
      <c r="ET126" s="530"/>
      <c r="EU126" s="531">
        <v>0</v>
      </c>
      <c r="EV126" s="531">
        <v>1</v>
      </c>
      <c r="EW126" s="530"/>
      <c r="EX126" s="530"/>
      <c r="EY126" s="531">
        <v>0</v>
      </c>
      <c r="EZ126" s="531">
        <v>0</v>
      </c>
      <c r="FA126" s="531">
        <v>0</v>
      </c>
      <c r="FB126" s="527"/>
      <c r="FC126" s="527"/>
      <c r="FD126" s="532">
        <v>1</v>
      </c>
      <c r="FE126" s="95"/>
      <c r="FG126" s="533"/>
      <c r="FH126" s="533"/>
      <c r="FI126" s="533"/>
      <c r="FJ126" s="545" t="s">
        <v>15</v>
      </c>
      <c r="FK126" s="546"/>
      <c r="FL126" s="546"/>
      <c r="FM126" s="547">
        <v>2</v>
      </c>
      <c r="FN126" s="547">
        <v>1</v>
      </c>
      <c r="FO126" s="546"/>
      <c r="FP126" s="546"/>
      <c r="FQ126" s="546"/>
      <c r="FR126" s="547">
        <v>2</v>
      </c>
      <c r="FS126" s="547">
        <v>4</v>
      </c>
      <c r="FT126" s="549">
        <v>2</v>
      </c>
      <c r="FU126" s="549">
        <v>3</v>
      </c>
      <c r="FV126" s="549">
        <v>14</v>
      </c>
      <c r="FW126" s="539">
        <f>+(FV125+FV123-FT125-FU125-FT123-FU123)/FV126</f>
        <v>0.35714285714285715</v>
      </c>
      <c r="FY126" s="540"/>
      <c r="FZ126" s="540"/>
      <c r="GA126" s="540"/>
      <c r="GB126" s="550" t="s">
        <v>15</v>
      </c>
      <c r="GC126" s="551"/>
      <c r="GD126" s="551"/>
      <c r="GE126" s="551"/>
      <c r="GF126" s="552">
        <v>1</v>
      </c>
      <c r="GG126" s="551"/>
      <c r="GH126" s="552">
        <v>4</v>
      </c>
      <c r="GI126" s="552">
        <v>5</v>
      </c>
      <c r="GJ126" s="552">
        <v>6</v>
      </c>
      <c r="GK126" s="551"/>
      <c r="GL126" s="551"/>
      <c r="GM126" s="552">
        <v>16</v>
      </c>
      <c r="GN126" s="553">
        <f>+GM125/GM126</f>
        <v>0.1875</v>
      </c>
      <c r="GP126" s="63"/>
      <c r="GQ126" s="63"/>
      <c r="GR126" s="37"/>
      <c r="GS126" s="37" t="s">
        <v>1080</v>
      </c>
      <c r="GT126" s="63"/>
      <c r="GU126" s="63"/>
      <c r="GV126" s="63"/>
      <c r="GW126" s="63"/>
      <c r="GX126" s="63"/>
      <c r="GY126" s="63">
        <v>0</v>
      </c>
      <c r="GZ126" s="63">
        <v>0</v>
      </c>
      <c r="HA126" s="63">
        <v>1</v>
      </c>
      <c r="HB126" s="63"/>
      <c r="HC126" s="63">
        <v>2</v>
      </c>
      <c r="HD126" s="63">
        <v>3</v>
      </c>
      <c r="HE126" s="37"/>
      <c r="HF126" s="37"/>
      <c r="HG126" s="446"/>
      <c r="HH126" s="446"/>
      <c r="HI126" s="446"/>
      <c r="HJ126" s="446" t="s">
        <v>1080</v>
      </c>
      <c r="HK126" s="446">
        <v>0</v>
      </c>
      <c r="HL126" s="446">
        <v>0</v>
      </c>
      <c r="HM126" s="446">
        <v>0</v>
      </c>
      <c r="HN126" s="446">
        <v>0</v>
      </c>
      <c r="HO126" s="446">
        <v>0</v>
      </c>
      <c r="HP126" s="446">
        <v>0</v>
      </c>
      <c r="HQ126" s="446">
        <v>0</v>
      </c>
      <c r="HR126" s="446">
        <v>1</v>
      </c>
      <c r="HS126" s="446">
        <v>0</v>
      </c>
      <c r="HT126" s="446">
        <v>0</v>
      </c>
      <c r="HU126" s="446">
        <v>0</v>
      </c>
      <c r="HV126" s="447">
        <v>1</v>
      </c>
      <c r="HW126" s="544"/>
      <c r="HX126" s="448"/>
    </row>
    <row r="127" spans="1:232">
      <c r="A127" s="5682"/>
      <c r="B127" s="5682"/>
      <c r="C127" s="5683"/>
      <c r="D127" s="5683"/>
      <c r="E127" s="5686">
        <f>SUM(E119:E126)</f>
        <v>20</v>
      </c>
      <c r="F127" s="5682"/>
      <c r="G127" s="4921">
        <f>(E121+E122)/(E127)</f>
        <v>0.1</v>
      </c>
      <c r="I127" s="4915"/>
      <c r="J127" s="4915"/>
      <c r="K127" s="4916"/>
      <c r="L127" s="4916"/>
      <c r="M127" s="4920">
        <f>SUM(M121:M126)</f>
        <v>11</v>
      </c>
      <c r="N127" s="4915"/>
      <c r="O127" s="4921">
        <v>0</v>
      </c>
      <c r="Q127" s="4705"/>
      <c r="R127" s="4705"/>
      <c r="S127" s="4706"/>
      <c r="T127" s="4708"/>
      <c r="U127" s="4765">
        <f>SUM(U121:U126)</f>
        <v>20</v>
      </c>
      <c r="V127" s="4765"/>
      <c r="W127" s="4722">
        <f>(U122+U124+U125+U126)/(U127)</f>
        <v>0.85</v>
      </c>
      <c r="Y127" s="36"/>
      <c r="Z127" s="36"/>
      <c r="AA127" s="36"/>
      <c r="AB127" s="36" t="s">
        <v>2571</v>
      </c>
      <c r="AC127" s="1681">
        <v>1</v>
      </c>
      <c r="AD127" s="1681"/>
      <c r="AE127" s="1681"/>
      <c r="AF127" s="1681"/>
      <c r="AG127" s="1681"/>
      <c r="AH127" s="1681"/>
      <c r="AI127" s="1681"/>
      <c r="AJ127" s="1681"/>
      <c r="AK127" s="1681"/>
      <c r="AL127" s="95">
        <v>0</v>
      </c>
      <c r="AM127" s="95">
        <v>1</v>
      </c>
      <c r="AN127" s="4545"/>
      <c r="AR127" s="3868" t="s">
        <v>121</v>
      </c>
      <c r="AS127" s="3868" t="s">
        <v>1072</v>
      </c>
      <c r="AT127" s="3721">
        <v>0</v>
      </c>
      <c r="AU127" s="3721">
        <v>1</v>
      </c>
      <c r="AV127" s="3721"/>
      <c r="AW127" s="3721"/>
      <c r="AX127" s="3721"/>
      <c r="AY127" s="3721">
        <v>0</v>
      </c>
      <c r="AZ127" s="3721">
        <v>0</v>
      </c>
      <c r="BA127" s="3721">
        <v>1</v>
      </c>
      <c r="BB127" s="3721">
        <v>0</v>
      </c>
      <c r="BC127" s="2110">
        <v>1</v>
      </c>
      <c r="BD127" s="2110"/>
      <c r="BE127" s="2110">
        <v>3</v>
      </c>
      <c r="BF127" s="2110"/>
      <c r="BG127" s="2110"/>
      <c r="BK127" s="32" t="s">
        <v>1080</v>
      </c>
      <c r="BL127" s="3871">
        <v>0</v>
      </c>
      <c r="BM127" s="3871"/>
      <c r="BN127" s="3871"/>
      <c r="BO127" s="3871"/>
      <c r="BP127" s="3871">
        <v>0</v>
      </c>
      <c r="BQ127" s="3871">
        <v>0</v>
      </c>
      <c r="BR127" s="3871">
        <v>3</v>
      </c>
      <c r="BS127" s="3871">
        <v>1</v>
      </c>
      <c r="BT127" s="1518">
        <v>0</v>
      </c>
      <c r="BU127" s="1518">
        <v>4</v>
      </c>
      <c r="BX127" s="36"/>
      <c r="BY127" s="36"/>
      <c r="BZ127" s="36"/>
      <c r="CA127" s="36" t="s">
        <v>1163</v>
      </c>
      <c r="CB127" s="1681"/>
      <c r="CC127" s="1681"/>
      <c r="CD127" s="1681"/>
      <c r="CE127" s="1681"/>
      <c r="CF127" s="1681"/>
      <c r="CG127" s="1681">
        <v>2</v>
      </c>
      <c r="CH127" s="1681"/>
      <c r="CI127" s="1681">
        <v>0</v>
      </c>
      <c r="CJ127" s="95">
        <v>0</v>
      </c>
      <c r="CK127" s="95">
        <v>0</v>
      </c>
      <c r="CL127" s="95">
        <v>2</v>
      </c>
      <c r="CM127" s="36"/>
      <c r="CO127" s="37"/>
      <c r="CP127" s="37"/>
      <c r="CQ127" s="37"/>
      <c r="CR127" s="37" t="s">
        <v>1074</v>
      </c>
      <c r="CS127" s="1678"/>
      <c r="CT127" s="1678">
        <v>1</v>
      </c>
      <c r="CU127" s="1678"/>
      <c r="CV127" s="1678"/>
      <c r="CW127" s="1678"/>
      <c r="CX127" s="1678"/>
      <c r="CY127" s="1678">
        <v>0</v>
      </c>
      <c r="CZ127" s="1678">
        <v>0</v>
      </c>
      <c r="DA127" s="1678">
        <v>0</v>
      </c>
      <c r="DB127" s="63"/>
      <c r="DC127" s="63"/>
      <c r="DD127" s="63">
        <v>1</v>
      </c>
      <c r="DG127" s="95"/>
      <c r="DH127" s="95"/>
      <c r="DI127" s="36"/>
      <c r="DJ127" s="36" t="s">
        <v>1163</v>
      </c>
      <c r="DK127" s="1484"/>
      <c r="DL127" s="1484">
        <v>0</v>
      </c>
      <c r="DM127" s="1484"/>
      <c r="DN127" s="1484"/>
      <c r="DO127" s="1484"/>
      <c r="DP127" s="1484"/>
      <c r="DQ127" s="1484"/>
      <c r="DR127" s="1484">
        <v>1</v>
      </c>
      <c r="DS127" s="1484">
        <v>1</v>
      </c>
      <c r="DT127" s="95">
        <v>0</v>
      </c>
      <c r="DU127" s="95">
        <v>0</v>
      </c>
      <c r="DV127" s="95">
        <v>2</v>
      </c>
      <c r="DW127" s="95"/>
      <c r="DY127" s="1209"/>
      <c r="DZ127" s="1209"/>
      <c r="EA127" s="1210"/>
      <c r="EB127" s="1211" t="s">
        <v>1076</v>
      </c>
      <c r="EC127" s="1212"/>
      <c r="ED127" s="1212"/>
      <c r="EE127" s="1213">
        <v>0</v>
      </c>
      <c r="EF127" s="1213">
        <v>0</v>
      </c>
      <c r="EG127" s="1212"/>
      <c r="EH127" s="1213">
        <v>0</v>
      </c>
      <c r="EI127" s="1213">
        <v>1</v>
      </c>
      <c r="EJ127" s="1213">
        <v>0</v>
      </c>
      <c r="EK127" s="612">
        <v>0</v>
      </c>
      <c r="EL127" s="611"/>
      <c r="EM127" s="612">
        <v>1</v>
      </c>
      <c r="EN127" s="36"/>
      <c r="EP127" s="527"/>
      <c r="EQ127" s="527"/>
      <c r="ER127" s="528"/>
      <c r="ES127" s="529" t="s">
        <v>1080</v>
      </c>
      <c r="ET127" s="530"/>
      <c r="EU127" s="531">
        <v>0</v>
      </c>
      <c r="EV127" s="531">
        <v>0</v>
      </c>
      <c r="EW127" s="530"/>
      <c r="EX127" s="530"/>
      <c r="EY127" s="531">
        <v>0</v>
      </c>
      <c r="EZ127" s="531">
        <v>1</v>
      </c>
      <c r="FA127" s="531">
        <v>21</v>
      </c>
      <c r="FB127" s="527"/>
      <c r="FC127" s="527"/>
      <c r="FD127" s="532">
        <v>22</v>
      </c>
      <c r="FE127" s="95"/>
      <c r="FG127" s="533"/>
      <c r="FH127" s="533"/>
      <c r="FI127" s="545" t="s">
        <v>483</v>
      </c>
      <c r="FJ127" s="534" t="s">
        <v>1071</v>
      </c>
      <c r="FK127" s="535"/>
      <c r="FL127" s="535"/>
      <c r="FM127" s="536">
        <v>0</v>
      </c>
      <c r="FN127" s="536">
        <v>0</v>
      </c>
      <c r="FO127" s="535"/>
      <c r="FP127" s="535"/>
      <c r="FQ127" s="535"/>
      <c r="FR127" s="536">
        <v>0</v>
      </c>
      <c r="FS127" s="536">
        <v>2</v>
      </c>
      <c r="FT127" s="538">
        <v>0</v>
      </c>
      <c r="FU127" s="538">
        <v>1</v>
      </c>
      <c r="FV127" s="538">
        <v>3</v>
      </c>
      <c r="FW127" s="539"/>
      <c r="FY127" s="540"/>
      <c r="FZ127" s="540"/>
      <c r="GA127" s="540" t="s">
        <v>135</v>
      </c>
      <c r="GB127" s="541" t="s">
        <v>1072</v>
      </c>
      <c r="GC127" s="542"/>
      <c r="GD127" s="542"/>
      <c r="GE127" s="542"/>
      <c r="GF127" s="542"/>
      <c r="GG127" s="542"/>
      <c r="GH127" s="543">
        <v>11</v>
      </c>
      <c r="GI127" s="543">
        <v>1</v>
      </c>
      <c r="GJ127" s="543">
        <v>0</v>
      </c>
      <c r="GK127" s="542"/>
      <c r="GL127" s="542"/>
      <c r="GM127" s="543">
        <v>12</v>
      </c>
      <c r="GN127" s="445"/>
      <c r="GP127" s="63"/>
      <c r="GQ127" s="63"/>
      <c r="GR127" s="37"/>
      <c r="GS127" s="37" t="s">
        <v>1081</v>
      </c>
      <c r="GT127" s="63"/>
      <c r="GU127" s="63"/>
      <c r="GV127" s="63"/>
      <c r="GW127" s="63"/>
      <c r="GX127" s="63"/>
      <c r="GY127" s="63">
        <v>3</v>
      </c>
      <c r="GZ127" s="63">
        <v>0</v>
      </c>
      <c r="HA127" s="63">
        <v>0</v>
      </c>
      <c r="HB127" s="63"/>
      <c r="HC127" s="63">
        <v>0</v>
      </c>
      <c r="HD127" s="63">
        <v>3</v>
      </c>
      <c r="HE127" s="37"/>
      <c r="HF127" s="37"/>
      <c r="HG127" s="446"/>
      <c r="HH127" s="446"/>
      <c r="HI127" s="446"/>
      <c r="HJ127" s="446" t="s">
        <v>1081</v>
      </c>
      <c r="HK127" s="446">
        <v>0</v>
      </c>
      <c r="HL127" s="446">
        <v>0</v>
      </c>
      <c r="HM127" s="446">
        <v>0</v>
      </c>
      <c r="HN127" s="446">
        <v>0</v>
      </c>
      <c r="HO127" s="446">
        <v>0</v>
      </c>
      <c r="HP127" s="446">
        <v>0</v>
      </c>
      <c r="HQ127" s="446">
        <v>6</v>
      </c>
      <c r="HR127" s="446">
        <v>3</v>
      </c>
      <c r="HS127" s="446">
        <v>0</v>
      </c>
      <c r="HT127" s="446">
        <v>0</v>
      </c>
      <c r="HU127" s="446">
        <v>0</v>
      </c>
      <c r="HV127" s="447">
        <v>9</v>
      </c>
      <c r="HW127" s="544"/>
      <c r="HX127" s="448"/>
    </row>
    <row r="128" spans="1:232">
      <c r="A128" s="5682">
        <v>2</v>
      </c>
      <c r="B128" s="5682">
        <v>1</v>
      </c>
      <c r="C128" s="5683" t="s">
        <v>121</v>
      </c>
      <c r="D128" s="5683" t="s">
        <v>2731</v>
      </c>
      <c r="E128" s="5682">
        <v>3</v>
      </c>
      <c r="F128" s="5682">
        <v>8</v>
      </c>
      <c r="I128" s="4915">
        <v>2</v>
      </c>
      <c r="J128" s="4915">
        <v>1</v>
      </c>
      <c r="K128" s="4916" t="s">
        <v>123</v>
      </c>
      <c r="L128" s="4916" t="s">
        <v>2731</v>
      </c>
      <c r="M128" s="4915">
        <v>2</v>
      </c>
      <c r="N128" s="4915">
        <v>7</v>
      </c>
      <c r="O128" s="157"/>
      <c r="Q128" s="4705">
        <v>2</v>
      </c>
      <c r="R128" s="4705">
        <v>2</v>
      </c>
      <c r="S128" s="4706" t="s">
        <v>2735</v>
      </c>
      <c r="T128" s="4706" t="s">
        <v>2731</v>
      </c>
      <c r="U128" s="4707">
        <v>23</v>
      </c>
      <c r="V128" s="4707">
        <v>8</v>
      </c>
      <c r="W128" s="4722"/>
      <c r="Y128" s="36"/>
      <c r="Z128" s="36"/>
      <c r="AA128" s="36"/>
      <c r="AB128" s="36" t="s">
        <v>15</v>
      </c>
      <c r="AC128" s="1681">
        <v>1</v>
      </c>
      <c r="AD128" s="1681"/>
      <c r="AE128" s="1681"/>
      <c r="AF128" s="1681"/>
      <c r="AG128" s="1681"/>
      <c r="AH128" s="1681"/>
      <c r="AI128" s="1681"/>
      <c r="AJ128" s="1681"/>
      <c r="AK128" s="1681"/>
      <c r="AL128" s="95">
        <v>1</v>
      </c>
      <c r="AM128" s="95">
        <v>2</v>
      </c>
      <c r="AN128" s="4545">
        <v>0</v>
      </c>
      <c r="AS128" s="3868" t="s">
        <v>1080</v>
      </c>
      <c r="AT128" s="3721">
        <v>0</v>
      </c>
      <c r="AU128" s="3721">
        <v>0</v>
      </c>
      <c r="AV128" s="3721"/>
      <c r="AW128" s="3721"/>
      <c r="AX128" s="3721"/>
      <c r="AY128" s="3721">
        <v>0</v>
      </c>
      <c r="AZ128" s="3721">
        <v>0</v>
      </c>
      <c r="BA128" s="3721">
        <v>4</v>
      </c>
      <c r="BB128" s="3721">
        <v>0</v>
      </c>
      <c r="BC128" s="2110">
        <v>0</v>
      </c>
      <c r="BD128" s="2110"/>
      <c r="BE128" s="2110">
        <v>4</v>
      </c>
      <c r="BF128" s="2110"/>
      <c r="BG128" s="2110"/>
      <c r="BK128" s="32" t="s">
        <v>1163</v>
      </c>
      <c r="BL128" s="3871">
        <v>0</v>
      </c>
      <c r="BM128" s="3871"/>
      <c r="BN128" s="3871"/>
      <c r="BO128" s="3871"/>
      <c r="BP128" s="3871">
        <v>0</v>
      </c>
      <c r="BQ128" s="3871">
        <v>1</v>
      </c>
      <c r="BR128" s="3871">
        <v>0</v>
      </c>
      <c r="BS128" s="3871">
        <v>0</v>
      </c>
      <c r="BT128" s="1518">
        <v>0</v>
      </c>
      <c r="BU128" s="1518">
        <v>1</v>
      </c>
      <c r="BX128" s="36"/>
      <c r="BY128" s="36"/>
      <c r="BZ128" s="36"/>
      <c r="CA128" s="393" t="s">
        <v>15</v>
      </c>
      <c r="CB128" s="1682"/>
      <c r="CC128" s="1682"/>
      <c r="CD128" s="1682"/>
      <c r="CE128" s="1682"/>
      <c r="CF128" s="1682"/>
      <c r="CG128" s="1682">
        <v>2</v>
      </c>
      <c r="CH128" s="1682"/>
      <c r="CI128" s="1682">
        <v>6</v>
      </c>
      <c r="CJ128" s="2041">
        <v>1</v>
      </c>
      <c r="CK128" s="2041">
        <v>2</v>
      </c>
      <c r="CL128" s="2041">
        <v>11</v>
      </c>
      <c r="CM128" s="560">
        <f>+(CL127+CL125)/CL128</f>
        <v>0.27272727272727271</v>
      </c>
      <c r="CN128" s="1665"/>
      <c r="CO128" s="37"/>
      <c r="CP128" s="37"/>
      <c r="CQ128" s="37"/>
      <c r="CR128" s="37" t="s">
        <v>1076</v>
      </c>
      <c r="CS128" s="1678"/>
      <c r="CT128" s="1678">
        <v>0</v>
      </c>
      <c r="CU128" s="1678"/>
      <c r="CV128" s="1678"/>
      <c r="CW128" s="1678"/>
      <c r="CX128" s="1678"/>
      <c r="CY128" s="1678">
        <v>2</v>
      </c>
      <c r="CZ128" s="1678">
        <v>0</v>
      </c>
      <c r="DA128" s="1678">
        <v>1</v>
      </c>
      <c r="DB128" s="63"/>
      <c r="DC128" s="63"/>
      <c r="DD128" s="63">
        <v>3</v>
      </c>
      <c r="DG128" s="95"/>
      <c r="DH128" s="95"/>
      <c r="DI128" s="36"/>
      <c r="DJ128" s="393" t="s">
        <v>15</v>
      </c>
      <c r="DK128" s="1485"/>
      <c r="DL128" s="1485">
        <v>1</v>
      </c>
      <c r="DM128" s="1485"/>
      <c r="DN128" s="1485"/>
      <c r="DO128" s="1485"/>
      <c r="DP128" s="1485"/>
      <c r="DQ128" s="1485"/>
      <c r="DR128" s="1485">
        <v>2</v>
      </c>
      <c r="DS128" s="1485">
        <v>2</v>
      </c>
      <c r="DT128" s="86">
        <v>2</v>
      </c>
      <c r="DU128" s="86">
        <v>6</v>
      </c>
      <c r="DV128" s="86">
        <v>13</v>
      </c>
      <c r="DW128" s="560">
        <f>+(DV125+DV127-DT125)/DV128</f>
        <v>0.15384615384615385</v>
      </c>
      <c r="DY128" s="1209"/>
      <c r="DZ128" s="1209"/>
      <c r="EA128" s="1210"/>
      <c r="EB128" s="1211" t="s">
        <v>1077</v>
      </c>
      <c r="EC128" s="1212"/>
      <c r="ED128" s="1212"/>
      <c r="EE128" s="1213">
        <v>1</v>
      </c>
      <c r="EF128" s="1213">
        <v>1</v>
      </c>
      <c r="EG128" s="1212"/>
      <c r="EH128" s="1213">
        <v>0</v>
      </c>
      <c r="EI128" s="1213">
        <v>0</v>
      </c>
      <c r="EJ128" s="1213">
        <v>0</v>
      </c>
      <c r="EK128" s="612">
        <v>0</v>
      </c>
      <c r="EL128" s="611"/>
      <c r="EM128" s="612">
        <v>2</v>
      </c>
      <c r="EN128" s="36"/>
      <c r="EP128" s="527"/>
      <c r="EQ128" s="527"/>
      <c r="ER128" s="528"/>
      <c r="ES128" s="529" t="s">
        <v>1163</v>
      </c>
      <c r="ET128" s="530"/>
      <c r="EU128" s="531">
        <v>0</v>
      </c>
      <c r="EV128" s="531">
        <v>0</v>
      </c>
      <c r="EW128" s="530"/>
      <c r="EX128" s="530"/>
      <c r="EY128" s="531">
        <v>2</v>
      </c>
      <c r="EZ128" s="531">
        <v>3</v>
      </c>
      <c r="FA128" s="531">
        <v>0</v>
      </c>
      <c r="FB128" s="527"/>
      <c r="FC128" s="527"/>
      <c r="FD128" s="532">
        <v>5</v>
      </c>
      <c r="FE128" s="95"/>
      <c r="FG128" s="533"/>
      <c r="FH128" s="533"/>
      <c r="FI128" s="533"/>
      <c r="FJ128" s="534" t="s">
        <v>1072</v>
      </c>
      <c r="FK128" s="535"/>
      <c r="FL128" s="535"/>
      <c r="FM128" s="536">
        <v>1</v>
      </c>
      <c r="FN128" s="536">
        <v>0</v>
      </c>
      <c r="FO128" s="535"/>
      <c r="FP128" s="535"/>
      <c r="FQ128" s="535"/>
      <c r="FR128" s="536">
        <v>1</v>
      </c>
      <c r="FS128" s="536">
        <v>0</v>
      </c>
      <c r="FT128" s="538">
        <v>0</v>
      </c>
      <c r="FU128" s="538">
        <v>0</v>
      </c>
      <c r="FV128" s="538">
        <v>2</v>
      </c>
      <c r="FW128" s="539"/>
      <c r="FY128" s="540"/>
      <c r="FZ128" s="540"/>
      <c r="GA128" s="540"/>
      <c r="GB128" s="541" t="s">
        <v>1076</v>
      </c>
      <c r="GC128" s="542"/>
      <c r="GD128" s="542"/>
      <c r="GE128" s="542"/>
      <c r="GF128" s="542"/>
      <c r="GG128" s="542"/>
      <c r="GH128" s="543">
        <v>3</v>
      </c>
      <c r="GI128" s="543">
        <v>0</v>
      </c>
      <c r="GJ128" s="543">
        <v>0</v>
      </c>
      <c r="GK128" s="542"/>
      <c r="GL128" s="542"/>
      <c r="GM128" s="543">
        <v>3</v>
      </c>
      <c r="GN128" s="445"/>
      <c r="GP128" s="63"/>
      <c r="GQ128" s="63"/>
      <c r="GR128" s="37"/>
      <c r="GS128" s="37" t="s">
        <v>1163</v>
      </c>
      <c r="GT128" s="63"/>
      <c r="GU128" s="63"/>
      <c r="GV128" s="63"/>
      <c r="GW128" s="63"/>
      <c r="GX128" s="63"/>
      <c r="GY128" s="63">
        <v>4</v>
      </c>
      <c r="GZ128" s="63">
        <v>0</v>
      </c>
      <c r="HA128" s="63">
        <v>0</v>
      </c>
      <c r="HB128" s="63"/>
      <c r="HC128" s="63">
        <v>0</v>
      </c>
      <c r="HD128" s="63">
        <v>4</v>
      </c>
      <c r="HE128" s="37"/>
      <c r="HF128" s="37"/>
      <c r="HG128" s="446"/>
      <c r="HH128" s="446"/>
      <c r="HI128" s="446"/>
      <c r="HJ128" s="446" t="s">
        <v>1163</v>
      </c>
      <c r="HK128" s="446">
        <v>0</v>
      </c>
      <c r="HL128" s="446">
        <v>0</v>
      </c>
      <c r="HM128" s="446">
        <v>0</v>
      </c>
      <c r="HN128" s="446">
        <v>0</v>
      </c>
      <c r="HO128" s="446">
        <v>0</v>
      </c>
      <c r="HP128" s="446">
        <v>0</v>
      </c>
      <c r="HQ128" s="446">
        <v>2</v>
      </c>
      <c r="HR128" s="446">
        <v>1</v>
      </c>
      <c r="HS128" s="446">
        <v>0</v>
      </c>
      <c r="HT128" s="446">
        <v>0</v>
      </c>
      <c r="HU128" s="446">
        <v>0</v>
      </c>
      <c r="HV128" s="447">
        <v>3</v>
      </c>
      <c r="HW128" s="544"/>
      <c r="HX128" s="448"/>
    </row>
    <row r="129" spans="1:232">
      <c r="A129" s="5682">
        <v>2</v>
      </c>
      <c r="B129" s="5682">
        <v>1</v>
      </c>
      <c r="C129" s="5683" t="s">
        <v>121</v>
      </c>
      <c r="D129" s="5685" t="s">
        <v>2732</v>
      </c>
      <c r="E129" s="5682">
        <v>1</v>
      </c>
      <c r="F129" s="5682">
        <v>7</v>
      </c>
      <c r="I129" s="4915">
        <v>2</v>
      </c>
      <c r="J129" s="4915">
        <v>1</v>
      </c>
      <c r="K129" s="4916" t="s">
        <v>123</v>
      </c>
      <c r="L129" s="4916" t="s">
        <v>2731</v>
      </c>
      <c r="M129" s="4915">
        <v>3</v>
      </c>
      <c r="N129" s="4915">
        <v>8</v>
      </c>
      <c r="O129" s="157"/>
      <c r="Q129" s="4705">
        <v>2</v>
      </c>
      <c r="R129" s="4705">
        <v>2</v>
      </c>
      <c r="S129" s="4706" t="s">
        <v>2735</v>
      </c>
      <c r="T129" s="4706" t="s">
        <v>2705</v>
      </c>
      <c r="U129" s="4707">
        <v>1</v>
      </c>
      <c r="V129" s="4707">
        <v>3</v>
      </c>
      <c r="W129" s="4722"/>
      <c r="Y129" s="36"/>
      <c r="Z129" s="36"/>
      <c r="AA129" s="393" t="s">
        <v>483</v>
      </c>
      <c r="AB129" s="36" t="s">
        <v>1071</v>
      </c>
      <c r="AC129" s="1681">
        <v>0</v>
      </c>
      <c r="AD129" s="1681">
        <v>0</v>
      </c>
      <c r="AE129" s="1681"/>
      <c r="AF129" s="1681">
        <v>0</v>
      </c>
      <c r="AG129" s="1681"/>
      <c r="AH129" s="1681"/>
      <c r="AI129" s="1681">
        <v>0</v>
      </c>
      <c r="AJ129" s="1681">
        <v>1</v>
      </c>
      <c r="AK129" s="1681"/>
      <c r="AL129" s="95">
        <v>1</v>
      </c>
      <c r="AM129" s="95">
        <v>2</v>
      </c>
      <c r="AN129" s="4545"/>
      <c r="AS129" s="3868" t="s">
        <v>2571</v>
      </c>
      <c r="AT129" s="3721">
        <v>3</v>
      </c>
      <c r="AU129" s="3721">
        <v>0</v>
      </c>
      <c r="AV129" s="3721"/>
      <c r="AW129" s="3721"/>
      <c r="AX129" s="3721"/>
      <c r="AY129" s="3721">
        <v>0</v>
      </c>
      <c r="AZ129" s="3721">
        <v>0</v>
      </c>
      <c r="BA129" s="3721">
        <v>0</v>
      </c>
      <c r="BB129" s="3721">
        <v>0</v>
      </c>
      <c r="BC129" s="2110">
        <v>0</v>
      </c>
      <c r="BD129" s="2110"/>
      <c r="BE129" s="2110">
        <v>3</v>
      </c>
      <c r="BF129" s="2110"/>
      <c r="BG129" s="2110"/>
      <c r="BK129" s="1520" t="s">
        <v>15</v>
      </c>
      <c r="BL129" s="3872">
        <v>1</v>
      </c>
      <c r="BM129" s="3872"/>
      <c r="BN129" s="3872"/>
      <c r="BO129" s="3872"/>
      <c r="BP129" s="3872">
        <v>1</v>
      </c>
      <c r="BQ129" s="3872">
        <v>2</v>
      </c>
      <c r="BR129" s="3872">
        <v>5</v>
      </c>
      <c r="BS129" s="3872">
        <v>2</v>
      </c>
      <c r="BT129" s="3806">
        <v>1</v>
      </c>
      <c r="BU129" s="3806">
        <v>12</v>
      </c>
      <c r="BV129" s="3807">
        <f>+BU128/BU129</f>
        <v>8.3333333333333329E-2</v>
      </c>
      <c r="BX129" s="36"/>
      <c r="BY129" s="36"/>
      <c r="BZ129" s="36" t="s">
        <v>388</v>
      </c>
      <c r="CA129" s="36" t="s">
        <v>1072</v>
      </c>
      <c r="CB129" s="1681"/>
      <c r="CC129" s="1681"/>
      <c r="CD129" s="1681"/>
      <c r="CE129" s="1681"/>
      <c r="CF129" s="1681"/>
      <c r="CG129" s="1681"/>
      <c r="CH129" s="1681">
        <v>1</v>
      </c>
      <c r="CI129" s="1681">
        <v>0</v>
      </c>
      <c r="CJ129" s="95">
        <v>0</v>
      </c>
      <c r="CK129" s="95">
        <v>0</v>
      </c>
      <c r="CL129" s="95">
        <v>1</v>
      </c>
      <c r="CM129" s="36"/>
      <c r="CO129" s="37"/>
      <c r="CP129" s="37"/>
      <c r="CQ129" s="37"/>
      <c r="CR129" s="37" t="s">
        <v>1080</v>
      </c>
      <c r="CS129" s="1678"/>
      <c r="CT129" s="1678">
        <v>0</v>
      </c>
      <c r="CU129" s="1678"/>
      <c r="CV129" s="1678"/>
      <c r="CW129" s="1678"/>
      <c r="CX129" s="1678"/>
      <c r="CY129" s="1678">
        <v>0</v>
      </c>
      <c r="CZ129" s="1678">
        <v>0</v>
      </c>
      <c r="DA129" s="1678">
        <v>1</v>
      </c>
      <c r="DB129" s="63"/>
      <c r="DC129" s="63"/>
      <c r="DD129" s="63">
        <v>1</v>
      </c>
      <c r="DG129" s="95"/>
      <c r="DH129" s="95"/>
      <c r="DI129" s="36" t="s">
        <v>482</v>
      </c>
      <c r="DJ129" s="36" t="s">
        <v>1071</v>
      </c>
      <c r="DK129" s="1484"/>
      <c r="DL129" s="1484">
        <v>0</v>
      </c>
      <c r="DM129" s="1484">
        <v>0</v>
      </c>
      <c r="DN129" s="1484">
        <v>0</v>
      </c>
      <c r="DO129" s="1484">
        <v>0</v>
      </c>
      <c r="DP129" s="1484">
        <v>0</v>
      </c>
      <c r="DQ129" s="1484">
        <v>0</v>
      </c>
      <c r="DR129" s="1484">
        <v>1</v>
      </c>
      <c r="DS129" s="1484">
        <v>10</v>
      </c>
      <c r="DT129" s="95">
        <v>4</v>
      </c>
      <c r="DU129" s="95">
        <v>2</v>
      </c>
      <c r="DV129" s="95">
        <v>17</v>
      </c>
      <c r="DW129" s="95"/>
      <c r="DY129" s="1209"/>
      <c r="DZ129" s="1209"/>
      <c r="EA129" s="1210"/>
      <c r="EB129" s="1211" t="s">
        <v>1080</v>
      </c>
      <c r="EC129" s="1212"/>
      <c r="ED129" s="1212"/>
      <c r="EE129" s="1213">
        <v>0</v>
      </c>
      <c r="EF129" s="1213">
        <v>0</v>
      </c>
      <c r="EG129" s="1212"/>
      <c r="EH129" s="1213">
        <v>0</v>
      </c>
      <c r="EI129" s="1213">
        <v>0</v>
      </c>
      <c r="EJ129" s="1213">
        <v>2</v>
      </c>
      <c r="EK129" s="612">
        <v>1</v>
      </c>
      <c r="EL129" s="611"/>
      <c r="EM129" s="612">
        <v>3</v>
      </c>
      <c r="EN129" s="36"/>
      <c r="EP129" s="527"/>
      <c r="EQ129" s="527"/>
      <c r="ER129" s="528"/>
      <c r="ES129" s="555" t="s">
        <v>15</v>
      </c>
      <c r="ET129" s="556"/>
      <c r="EU129" s="557">
        <v>1</v>
      </c>
      <c r="EV129" s="557">
        <v>1</v>
      </c>
      <c r="EW129" s="556"/>
      <c r="EX129" s="556"/>
      <c r="EY129" s="557">
        <v>3</v>
      </c>
      <c r="EZ129" s="557">
        <v>38</v>
      </c>
      <c r="FA129" s="557">
        <v>21</v>
      </c>
      <c r="FB129" s="558"/>
      <c r="FC129" s="558"/>
      <c r="FD129" s="559">
        <v>64</v>
      </c>
      <c r="FE129" s="560">
        <f>+(FD125+FD128)/FD129</f>
        <v>0.546875</v>
      </c>
      <c r="FG129" s="533"/>
      <c r="FH129" s="533"/>
      <c r="FI129" s="533"/>
      <c r="FJ129" s="534" t="s">
        <v>1076</v>
      </c>
      <c r="FK129" s="535"/>
      <c r="FL129" s="535"/>
      <c r="FM129" s="536">
        <v>0</v>
      </c>
      <c r="FN129" s="536">
        <v>0</v>
      </c>
      <c r="FO129" s="535"/>
      <c r="FP129" s="535"/>
      <c r="FQ129" s="535"/>
      <c r="FR129" s="536">
        <v>2</v>
      </c>
      <c r="FS129" s="536">
        <v>4</v>
      </c>
      <c r="FT129" s="538">
        <v>1</v>
      </c>
      <c r="FU129" s="538">
        <v>1</v>
      </c>
      <c r="FV129" s="538">
        <v>8</v>
      </c>
      <c r="FW129" s="539"/>
      <c r="FY129" s="540"/>
      <c r="FZ129" s="540"/>
      <c r="GA129" s="540"/>
      <c r="GB129" s="541" t="s">
        <v>1080</v>
      </c>
      <c r="GC129" s="542"/>
      <c r="GD129" s="542"/>
      <c r="GE129" s="542"/>
      <c r="GF129" s="542"/>
      <c r="GG129" s="542"/>
      <c r="GH129" s="543">
        <v>0</v>
      </c>
      <c r="GI129" s="543">
        <v>0</v>
      </c>
      <c r="GJ129" s="543">
        <v>2</v>
      </c>
      <c r="GK129" s="542"/>
      <c r="GL129" s="542"/>
      <c r="GM129" s="543">
        <v>2</v>
      </c>
      <c r="GN129" s="445"/>
      <c r="GP129" s="63"/>
      <c r="GQ129" s="63"/>
      <c r="GR129" s="37"/>
      <c r="GS129" s="416" t="s">
        <v>15</v>
      </c>
      <c r="GT129" s="386"/>
      <c r="GU129" s="386"/>
      <c r="GV129" s="386"/>
      <c r="GW129" s="386"/>
      <c r="GX129" s="386"/>
      <c r="GY129" s="386">
        <v>12</v>
      </c>
      <c r="GZ129" s="386">
        <v>1</v>
      </c>
      <c r="HA129" s="386">
        <v>3</v>
      </c>
      <c r="HB129" s="386"/>
      <c r="HC129" s="386">
        <v>2</v>
      </c>
      <c r="HD129" s="386">
        <v>18</v>
      </c>
      <c r="HE129" s="466">
        <f>+(HD125+HD127+HD128)/HD129</f>
        <v>0.44444444444444442</v>
      </c>
      <c r="HF129" s="37"/>
      <c r="HG129" s="446"/>
      <c r="HH129" s="446"/>
      <c r="HI129" s="446"/>
      <c r="HJ129" s="449" t="s">
        <v>15</v>
      </c>
      <c r="HK129" s="449">
        <v>0</v>
      </c>
      <c r="HL129" s="449">
        <v>0</v>
      </c>
      <c r="HM129" s="449">
        <v>0</v>
      </c>
      <c r="HN129" s="449">
        <v>1</v>
      </c>
      <c r="HO129" s="449">
        <v>0</v>
      </c>
      <c r="HP129" s="449">
        <v>0</v>
      </c>
      <c r="HQ129" s="449">
        <v>16</v>
      </c>
      <c r="HR129" s="449">
        <v>5</v>
      </c>
      <c r="HS129" s="449">
        <v>0</v>
      </c>
      <c r="HT129" s="449">
        <v>0</v>
      </c>
      <c r="HU129" s="449">
        <v>0</v>
      </c>
      <c r="HV129" s="507">
        <v>22</v>
      </c>
      <c r="HW129" s="554">
        <f>+(HV128+HV127+HV125)/HV129</f>
        <v>0.59090909090909094</v>
      </c>
      <c r="HX129" s="448">
        <f>+HV125+HV127+HV128</f>
        <v>13</v>
      </c>
    </row>
    <row r="130" spans="1:232">
      <c r="A130" s="5682">
        <v>2</v>
      </c>
      <c r="B130" s="5682">
        <v>1</v>
      </c>
      <c r="C130" s="5683" t="s">
        <v>121</v>
      </c>
      <c r="D130" s="5685" t="s">
        <v>1076</v>
      </c>
      <c r="E130" s="5682">
        <v>2</v>
      </c>
      <c r="F130" s="5682">
        <v>7</v>
      </c>
      <c r="I130" s="4915">
        <v>2</v>
      </c>
      <c r="J130" s="4915">
        <v>1</v>
      </c>
      <c r="K130" s="4916" t="s">
        <v>123</v>
      </c>
      <c r="L130" s="4916" t="s">
        <v>2731</v>
      </c>
      <c r="M130" s="4915">
        <v>4</v>
      </c>
      <c r="N130" s="4915">
        <v>9</v>
      </c>
      <c r="O130" s="157"/>
      <c r="Q130" s="4705">
        <v>2</v>
      </c>
      <c r="R130" s="4705">
        <v>2</v>
      </c>
      <c r="S130" s="4706" t="s">
        <v>2735</v>
      </c>
      <c r="T130" s="4708" t="s">
        <v>1076</v>
      </c>
      <c r="U130" s="4709">
        <v>1</v>
      </c>
      <c r="V130" s="4709">
        <v>6</v>
      </c>
      <c r="W130" s="4722"/>
      <c r="X130" s="4452"/>
      <c r="Y130" s="36"/>
      <c r="Z130" s="36"/>
      <c r="AA130" s="36"/>
      <c r="AB130" s="36" t="s">
        <v>1072</v>
      </c>
      <c r="AC130" s="1681">
        <v>0</v>
      </c>
      <c r="AD130" s="1681">
        <v>0</v>
      </c>
      <c r="AE130" s="1681"/>
      <c r="AF130" s="1681">
        <v>1</v>
      </c>
      <c r="AG130" s="1681"/>
      <c r="AH130" s="1681"/>
      <c r="AI130" s="1681">
        <v>11</v>
      </c>
      <c r="AJ130" s="1681">
        <v>0</v>
      </c>
      <c r="AK130" s="1681"/>
      <c r="AL130" s="95">
        <v>0</v>
      </c>
      <c r="AM130" s="95">
        <v>12</v>
      </c>
      <c r="AN130" s="4545"/>
      <c r="AS130" s="3868" t="s">
        <v>1163</v>
      </c>
      <c r="AT130" s="3721">
        <v>0</v>
      </c>
      <c r="AU130" s="3721">
        <v>0</v>
      </c>
      <c r="AV130" s="3721"/>
      <c r="AW130" s="3721"/>
      <c r="AX130" s="3721"/>
      <c r="AY130" s="3721">
        <v>1</v>
      </c>
      <c r="AZ130" s="3721">
        <v>4</v>
      </c>
      <c r="BA130" s="3721">
        <v>0</v>
      </c>
      <c r="BB130" s="3721">
        <v>2</v>
      </c>
      <c r="BC130" s="2110">
        <v>0</v>
      </c>
      <c r="BD130" s="2110"/>
      <c r="BE130" s="2110">
        <v>7</v>
      </c>
      <c r="BF130" s="2110"/>
      <c r="BG130" s="2110"/>
      <c r="BJ130" s="32" t="s">
        <v>388</v>
      </c>
      <c r="BK130" s="32" t="s">
        <v>1071</v>
      </c>
      <c r="BL130" s="3871">
        <v>0</v>
      </c>
      <c r="BM130" s="3871"/>
      <c r="BN130" s="3871"/>
      <c r="BO130" s="3871">
        <v>1</v>
      </c>
      <c r="BP130" s="3871"/>
      <c r="BQ130" s="3871">
        <v>0</v>
      </c>
      <c r="BR130" s="3871">
        <v>2</v>
      </c>
      <c r="BS130" s="3871"/>
      <c r="BT130" s="1518"/>
      <c r="BU130" s="1518">
        <v>3</v>
      </c>
      <c r="BX130" s="36"/>
      <c r="BY130" s="36"/>
      <c r="BZ130" s="36"/>
      <c r="CA130" s="36" t="s">
        <v>1076</v>
      </c>
      <c r="CB130" s="1681"/>
      <c r="CC130" s="1681"/>
      <c r="CD130" s="1681"/>
      <c r="CE130" s="1681"/>
      <c r="CF130" s="1681"/>
      <c r="CG130" s="1681"/>
      <c r="CH130" s="1681">
        <v>2</v>
      </c>
      <c r="CI130" s="1681">
        <v>0</v>
      </c>
      <c r="CJ130" s="95">
        <v>0</v>
      </c>
      <c r="CK130" s="95">
        <v>0</v>
      </c>
      <c r="CL130" s="95">
        <v>2</v>
      </c>
      <c r="CM130" s="36"/>
      <c r="CO130" s="37"/>
      <c r="CP130" s="37"/>
      <c r="CQ130" s="37"/>
      <c r="CR130" s="37" t="s">
        <v>1163</v>
      </c>
      <c r="CS130" s="1678"/>
      <c r="CT130" s="1678">
        <v>0</v>
      </c>
      <c r="CU130" s="1678"/>
      <c r="CV130" s="1678"/>
      <c r="CW130" s="1678"/>
      <c r="CX130" s="1678"/>
      <c r="CY130" s="1678">
        <v>2</v>
      </c>
      <c r="CZ130" s="1678">
        <v>1</v>
      </c>
      <c r="DA130" s="1678">
        <v>0</v>
      </c>
      <c r="DB130" s="63"/>
      <c r="DC130" s="63"/>
      <c r="DD130" s="63">
        <v>3</v>
      </c>
      <c r="DG130" s="95"/>
      <c r="DH130" s="95"/>
      <c r="DI130" s="36"/>
      <c r="DJ130" s="36" t="s">
        <v>1072</v>
      </c>
      <c r="DK130" s="1484"/>
      <c r="DL130" s="1484">
        <v>4</v>
      </c>
      <c r="DM130" s="1484">
        <v>1</v>
      </c>
      <c r="DN130" s="1484">
        <v>1</v>
      </c>
      <c r="DO130" s="1484">
        <v>0</v>
      </c>
      <c r="DP130" s="1484">
        <v>0</v>
      </c>
      <c r="DQ130" s="1484">
        <v>3</v>
      </c>
      <c r="DR130" s="1484">
        <v>11</v>
      </c>
      <c r="DS130" s="1484">
        <v>1</v>
      </c>
      <c r="DT130" s="95">
        <v>0</v>
      </c>
      <c r="DU130" s="95">
        <v>0</v>
      </c>
      <c r="DV130" s="95">
        <v>21</v>
      </c>
      <c r="DW130" s="95"/>
      <c r="DY130" s="1209"/>
      <c r="DZ130" s="1209"/>
      <c r="EA130" s="1210"/>
      <c r="EB130" s="1211" t="s">
        <v>1163</v>
      </c>
      <c r="EC130" s="1212"/>
      <c r="ED130" s="1212"/>
      <c r="EE130" s="1213">
        <v>0</v>
      </c>
      <c r="EF130" s="1213">
        <v>0</v>
      </c>
      <c r="EG130" s="1212"/>
      <c r="EH130" s="1213">
        <v>2</v>
      </c>
      <c r="EI130" s="1213">
        <v>0</v>
      </c>
      <c r="EJ130" s="1213">
        <v>0</v>
      </c>
      <c r="EK130" s="612">
        <v>0</v>
      </c>
      <c r="EL130" s="611"/>
      <c r="EM130" s="612">
        <v>2</v>
      </c>
      <c r="EN130" s="36"/>
      <c r="EP130" s="527"/>
      <c r="EQ130" s="527"/>
      <c r="ER130" s="528" t="s">
        <v>126</v>
      </c>
      <c r="ES130" s="529" t="s">
        <v>1072</v>
      </c>
      <c r="ET130" s="531">
        <v>0</v>
      </c>
      <c r="EU130" s="531">
        <v>1</v>
      </c>
      <c r="EV130" s="530"/>
      <c r="EW130" s="530"/>
      <c r="EX130" s="530"/>
      <c r="EY130" s="531">
        <v>1</v>
      </c>
      <c r="EZ130" s="531">
        <v>1</v>
      </c>
      <c r="FA130" s="531">
        <v>0</v>
      </c>
      <c r="FB130" s="527"/>
      <c r="FC130" s="527"/>
      <c r="FD130" s="532">
        <v>3</v>
      </c>
      <c r="FE130" s="95"/>
      <c r="FG130" s="533"/>
      <c r="FH130" s="533"/>
      <c r="FI130" s="533"/>
      <c r="FJ130" s="534" t="s">
        <v>1077</v>
      </c>
      <c r="FK130" s="535"/>
      <c r="FL130" s="535"/>
      <c r="FM130" s="536">
        <v>1</v>
      </c>
      <c r="FN130" s="536">
        <v>1</v>
      </c>
      <c r="FO130" s="535"/>
      <c r="FP130" s="535"/>
      <c r="FQ130" s="535"/>
      <c r="FR130" s="536">
        <v>0</v>
      </c>
      <c r="FS130" s="536">
        <v>0</v>
      </c>
      <c r="FT130" s="538">
        <v>0</v>
      </c>
      <c r="FU130" s="538">
        <v>0</v>
      </c>
      <c r="FV130" s="538">
        <v>2</v>
      </c>
      <c r="FW130" s="539"/>
      <c r="FY130" s="540"/>
      <c r="FZ130" s="540"/>
      <c r="GA130" s="540"/>
      <c r="GB130" s="541" t="s">
        <v>1081</v>
      </c>
      <c r="GC130" s="542"/>
      <c r="GD130" s="542"/>
      <c r="GE130" s="542"/>
      <c r="GF130" s="542"/>
      <c r="GG130" s="542"/>
      <c r="GH130" s="543">
        <v>1</v>
      </c>
      <c r="GI130" s="543">
        <v>0</v>
      </c>
      <c r="GJ130" s="543">
        <v>0</v>
      </c>
      <c r="GK130" s="542"/>
      <c r="GL130" s="542"/>
      <c r="GM130" s="543">
        <v>1</v>
      </c>
      <c r="GN130" s="445"/>
      <c r="GP130" s="63"/>
      <c r="GQ130" s="63"/>
      <c r="GR130" s="37" t="s">
        <v>141</v>
      </c>
      <c r="GS130" s="37" t="s">
        <v>1072</v>
      </c>
      <c r="GT130" s="63"/>
      <c r="GU130" s="63"/>
      <c r="GV130" s="63"/>
      <c r="GW130" s="63"/>
      <c r="GX130" s="63">
        <v>1</v>
      </c>
      <c r="GY130" s="63">
        <v>7</v>
      </c>
      <c r="GZ130" s="63">
        <v>2</v>
      </c>
      <c r="HA130" s="63">
        <v>0</v>
      </c>
      <c r="HB130" s="63"/>
      <c r="HC130" s="63"/>
      <c r="HD130" s="63">
        <v>10</v>
      </c>
      <c r="HE130" s="37"/>
      <c r="HF130" s="37"/>
      <c r="HG130" s="446"/>
      <c r="HH130" s="446"/>
      <c r="HI130" s="446" t="s">
        <v>133</v>
      </c>
      <c r="HJ130" s="446" t="s">
        <v>1076</v>
      </c>
      <c r="HK130" s="446">
        <v>0</v>
      </c>
      <c r="HL130" s="446">
        <v>0</v>
      </c>
      <c r="HM130" s="446">
        <v>0</v>
      </c>
      <c r="HN130" s="446">
        <v>2</v>
      </c>
      <c r="HO130" s="446">
        <v>0</v>
      </c>
      <c r="HP130" s="446">
        <v>0</v>
      </c>
      <c r="HQ130" s="446">
        <v>0</v>
      </c>
      <c r="HR130" s="446">
        <v>0</v>
      </c>
      <c r="HS130" s="446">
        <v>0</v>
      </c>
      <c r="HT130" s="446">
        <v>0</v>
      </c>
      <c r="HU130" s="446">
        <v>0</v>
      </c>
      <c r="HV130" s="447">
        <v>2</v>
      </c>
      <c r="HW130" s="544"/>
      <c r="HX130" s="448"/>
    </row>
    <row r="131" spans="1:232">
      <c r="A131" s="5682">
        <v>2</v>
      </c>
      <c r="B131" s="5682">
        <v>1</v>
      </c>
      <c r="C131" s="5683" t="s">
        <v>121</v>
      </c>
      <c r="D131" s="5685" t="s">
        <v>1076</v>
      </c>
      <c r="E131" s="5682">
        <v>2</v>
      </c>
      <c r="F131" s="5682">
        <v>8</v>
      </c>
      <c r="I131" s="4915">
        <v>2</v>
      </c>
      <c r="J131" s="4915">
        <v>1</v>
      </c>
      <c r="K131" s="4916" t="s">
        <v>123</v>
      </c>
      <c r="L131" s="4917" t="s">
        <v>1076</v>
      </c>
      <c r="M131" s="4922">
        <v>1</v>
      </c>
      <c r="N131" s="4915">
        <v>7</v>
      </c>
      <c r="O131" s="157"/>
      <c r="Q131" s="4705">
        <v>2</v>
      </c>
      <c r="R131" s="4705">
        <v>2</v>
      </c>
      <c r="S131" s="4706" t="s">
        <v>2735</v>
      </c>
      <c r="T131" s="4708" t="s">
        <v>1076</v>
      </c>
      <c r="U131" s="4709">
        <v>20</v>
      </c>
      <c r="V131" s="4709">
        <v>7</v>
      </c>
      <c r="W131" s="4722"/>
      <c r="Y131" s="36"/>
      <c r="Z131" s="36"/>
      <c r="AA131" s="36"/>
      <c r="AB131" s="36" t="s">
        <v>1076</v>
      </c>
      <c r="AC131" s="1681">
        <v>0</v>
      </c>
      <c r="AD131" s="1681">
        <v>0</v>
      </c>
      <c r="AE131" s="1681"/>
      <c r="AF131" s="1681">
        <v>0</v>
      </c>
      <c r="AG131" s="1681"/>
      <c r="AH131" s="1681"/>
      <c r="AI131" s="1681">
        <v>14</v>
      </c>
      <c r="AJ131" s="1681">
        <v>0</v>
      </c>
      <c r="AK131" s="1681"/>
      <c r="AL131" s="95">
        <v>0</v>
      </c>
      <c r="AM131" s="95">
        <v>14</v>
      </c>
      <c r="AN131" s="4545"/>
      <c r="AS131" s="27" t="s">
        <v>15</v>
      </c>
      <c r="AT131" s="3722">
        <v>3</v>
      </c>
      <c r="AU131" s="3722">
        <v>1</v>
      </c>
      <c r="AV131" s="3722"/>
      <c r="AW131" s="3722"/>
      <c r="AX131" s="3722"/>
      <c r="AY131" s="3722">
        <v>1</v>
      </c>
      <c r="AZ131" s="3722">
        <v>4</v>
      </c>
      <c r="BA131" s="3722">
        <v>5</v>
      </c>
      <c r="BB131" s="3722">
        <v>2</v>
      </c>
      <c r="BC131" s="3701">
        <v>1</v>
      </c>
      <c r="BD131" s="3701"/>
      <c r="BE131" s="3701">
        <v>17</v>
      </c>
      <c r="BF131" s="1665">
        <f>+BE130/BE131</f>
        <v>0.41176470588235292</v>
      </c>
      <c r="BG131" s="1665"/>
      <c r="BK131" s="32" t="s">
        <v>1072</v>
      </c>
      <c r="BL131" s="3871">
        <v>1</v>
      </c>
      <c r="BM131" s="3871"/>
      <c r="BN131" s="3871"/>
      <c r="BO131" s="3871">
        <v>0</v>
      </c>
      <c r="BP131" s="3871"/>
      <c r="BQ131" s="3871">
        <v>0</v>
      </c>
      <c r="BR131" s="3871">
        <v>0</v>
      </c>
      <c r="BS131" s="3871"/>
      <c r="BT131" s="1518"/>
      <c r="BU131" s="1518">
        <v>1</v>
      </c>
      <c r="BX131" s="36"/>
      <c r="BY131" s="36"/>
      <c r="BZ131" s="36"/>
      <c r="CA131" s="36" t="s">
        <v>1080</v>
      </c>
      <c r="CB131" s="1681"/>
      <c r="CC131" s="1681"/>
      <c r="CD131" s="1681"/>
      <c r="CE131" s="1681"/>
      <c r="CF131" s="1681"/>
      <c r="CG131" s="1681"/>
      <c r="CH131" s="1681">
        <v>0</v>
      </c>
      <c r="CI131" s="1681">
        <v>3</v>
      </c>
      <c r="CJ131" s="95">
        <v>0</v>
      </c>
      <c r="CK131" s="95">
        <v>0</v>
      </c>
      <c r="CL131" s="95">
        <v>3</v>
      </c>
      <c r="CM131" s="36"/>
      <c r="CO131" s="37"/>
      <c r="CP131" s="37"/>
      <c r="CQ131" s="37"/>
      <c r="CR131" s="416" t="s">
        <v>15</v>
      </c>
      <c r="CS131" s="1679"/>
      <c r="CT131" s="1679">
        <v>1</v>
      </c>
      <c r="CU131" s="1679"/>
      <c r="CV131" s="1679"/>
      <c r="CW131" s="1679"/>
      <c r="CX131" s="1679"/>
      <c r="CY131" s="1679">
        <v>6</v>
      </c>
      <c r="CZ131" s="1679">
        <v>1</v>
      </c>
      <c r="DA131" s="1679">
        <v>2</v>
      </c>
      <c r="DB131" s="386"/>
      <c r="DC131" s="386"/>
      <c r="DD131" s="386">
        <v>10</v>
      </c>
      <c r="DE131" s="2045">
        <f>+(DD128+DD130)/DD131</f>
        <v>0.6</v>
      </c>
      <c r="DG131" s="95"/>
      <c r="DH131" s="95"/>
      <c r="DI131" s="36"/>
      <c r="DJ131" s="36" t="s">
        <v>1074</v>
      </c>
      <c r="DK131" s="1484"/>
      <c r="DL131" s="1484">
        <v>0</v>
      </c>
      <c r="DM131" s="1484">
        <v>1</v>
      </c>
      <c r="DN131" s="1484">
        <v>0</v>
      </c>
      <c r="DO131" s="1484">
        <v>0</v>
      </c>
      <c r="DP131" s="1484">
        <v>0</v>
      </c>
      <c r="DQ131" s="1484">
        <v>0</v>
      </c>
      <c r="DR131" s="1484">
        <v>0</v>
      </c>
      <c r="DS131" s="1484">
        <v>0</v>
      </c>
      <c r="DT131" s="95">
        <v>0</v>
      </c>
      <c r="DU131" s="95">
        <v>0</v>
      </c>
      <c r="DV131" s="95">
        <v>1</v>
      </c>
      <c r="DW131" s="95"/>
      <c r="DY131" s="1209"/>
      <c r="DZ131" s="1209"/>
      <c r="EA131" s="1210"/>
      <c r="EB131" s="415" t="s">
        <v>15</v>
      </c>
      <c r="EC131" s="1214"/>
      <c r="ED131" s="1214"/>
      <c r="EE131" s="1215">
        <v>1</v>
      </c>
      <c r="EF131" s="1215">
        <v>1</v>
      </c>
      <c r="EG131" s="1214"/>
      <c r="EH131" s="1215">
        <v>2</v>
      </c>
      <c r="EI131" s="1215">
        <v>1</v>
      </c>
      <c r="EJ131" s="1215">
        <v>3</v>
      </c>
      <c r="EK131" s="621">
        <v>2</v>
      </c>
      <c r="EL131" s="620"/>
      <c r="EM131" s="621">
        <v>10</v>
      </c>
      <c r="EN131" s="1178">
        <f>+(EM127+EM130)/EM131</f>
        <v>0.3</v>
      </c>
      <c r="EP131" s="527"/>
      <c r="EQ131" s="527"/>
      <c r="ER131" s="528"/>
      <c r="ES131" s="529" t="s">
        <v>1076</v>
      </c>
      <c r="ET131" s="531">
        <v>0</v>
      </c>
      <c r="EU131" s="531">
        <v>0</v>
      </c>
      <c r="EV131" s="530"/>
      <c r="EW131" s="530"/>
      <c r="EX131" s="530"/>
      <c r="EY131" s="531">
        <v>4</v>
      </c>
      <c r="EZ131" s="531">
        <v>3</v>
      </c>
      <c r="FA131" s="531">
        <v>0</v>
      </c>
      <c r="FB131" s="527"/>
      <c r="FC131" s="527"/>
      <c r="FD131" s="532">
        <v>7</v>
      </c>
      <c r="FE131" s="95"/>
      <c r="FG131" s="533"/>
      <c r="FH131" s="533"/>
      <c r="FI131" s="533"/>
      <c r="FJ131" s="534" t="s">
        <v>1080</v>
      </c>
      <c r="FK131" s="535"/>
      <c r="FL131" s="535"/>
      <c r="FM131" s="536">
        <v>0</v>
      </c>
      <c r="FN131" s="536">
        <v>0</v>
      </c>
      <c r="FO131" s="535"/>
      <c r="FP131" s="535"/>
      <c r="FQ131" s="535"/>
      <c r="FR131" s="536">
        <v>0</v>
      </c>
      <c r="FS131" s="536">
        <v>13</v>
      </c>
      <c r="FT131" s="538">
        <v>0</v>
      </c>
      <c r="FU131" s="538">
        <v>0</v>
      </c>
      <c r="FV131" s="538">
        <v>13</v>
      </c>
      <c r="FW131" s="539"/>
      <c r="FY131" s="540"/>
      <c r="FZ131" s="540"/>
      <c r="GA131" s="540"/>
      <c r="GB131" s="541" t="s">
        <v>1163</v>
      </c>
      <c r="GC131" s="542"/>
      <c r="GD131" s="542"/>
      <c r="GE131" s="542"/>
      <c r="GF131" s="542"/>
      <c r="GG131" s="542"/>
      <c r="GH131" s="543">
        <v>1</v>
      </c>
      <c r="GI131" s="543">
        <v>0</v>
      </c>
      <c r="GJ131" s="543">
        <v>0</v>
      </c>
      <c r="GK131" s="542"/>
      <c r="GL131" s="542"/>
      <c r="GM131" s="543">
        <v>1</v>
      </c>
      <c r="GN131" s="445"/>
      <c r="GP131" s="63"/>
      <c r="GQ131" s="63"/>
      <c r="GR131" s="37"/>
      <c r="GS131" s="37" t="s">
        <v>1076</v>
      </c>
      <c r="GT131" s="63"/>
      <c r="GU131" s="63"/>
      <c r="GV131" s="63"/>
      <c r="GW131" s="63"/>
      <c r="GX131" s="63">
        <v>0</v>
      </c>
      <c r="GY131" s="63">
        <v>1</v>
      </c>
      <c r="GZ131" s="63">
        <v>1</v>
      </c>
      <c r="HA131" s="63">
        <v>0</v>
      </c>
      <c r="HB131" s="63"/>
      <c r="HC131" s="63"/>
      <c r="HD131" s="63">
        <v>2</v>
      </c>
      <c r="HE131" s="37"/>
      <c r="HF131" s="37"/>
      <c r="HG131" s="446"/>
      <c r="HH131" s="446"/>
      <c r="HI131" s="446"/>
      <c r="HJ131" s="446" t="s">
        <v>1077</v>
      </c>
      <c r="HK131" s="446">
        <v>0</v>
      </c>
      <c r="HL131" s="446">
        <v>0</v>
      </c>
      <c r="HM131" s="446">
        <v>1</v>
      </c>
      <c r="HN131" s="446">
        <v>0</v>
      </c>
      <c r="HO131" s="446">
        <v>0</v>
      </c>
      <c r="HP131" s="446">
        <v>0</v>
      </c>
      <c r="HQ131" s="446">
        <v>1</v>
      </c>
      <c r="HR131" s="446">
        <v>0</v>
      </c>
      <c r="HS131" s="446">
        <v>0</v>
      </c>
      <c r="HT131" s="446">
        <v>0</v>
      </c>
      <c r="HU131" s="446">
        <v>0</v>
      </c>
      <c r="HV131" s="447">
        <v>2</v>
      </c>
      <c r="HW131" s="544"/>
      <c r="HX131" s="448"/>
    </row>
    <row r="132" spans="1:232">
      <c r="A132" s="5682">
        <v>2</v>
      </c>
      <c r="B132" s="5682">
        <v>1</v>
      </c>
      <c r="C132" s="5683" t="s">
        <v>121</v>
      </c>
      <c r="D132" s="5683" t="s">
        <v>2709</v>
      </c>
      <c r="E132" s="5682">
        <v>2</v>
      </c>
      <c r="F132" s="5682">
        <v>6</v>
      </c>
      <c r="I132" s="4915"/>
      <c r="J132" s="4915"/>
      <c r="K132" s="4916"/>
      <c r="L132" s="4917"/>
      <c r="M132" s="4920">
        <f>SUM(M128:M131)</f>
        <v>10</v>
      </c>
      <c r="N132" s="4915"/>
      <c r="O132" s="4921">
        <f>(M131)/(M132)</f>
        <v>0.1</v>
      </c>
      <c r="Q132" s="4705">
        <v>2</v>
      </c>
      <c r="R132" s="4705">
        <v>2</v>
      </c>
      <c r="S132" s="4706" t="s">
        <v>2735</v>
      </c>
      <c r="T132" s="4706" t="s">
        <v>2709</v>
      </c>
      <c r="U132" s="4707">
        <v>1</v>
      </c>
      <c r="V132" s="4707">
        <v>3</v>
      </c>
      <c r="W132" s="4722"/>
      <c r="Y132" s="36"/>
      <c r="Z132" s="36"/>
      <c r="AA132" s="36"/>
      <c r="AB132" s="36" t="s">
        <v>1077</v>
      </c>
      <c r="AC132" s="1681">
        <v>0</v>
      </c>
      <c r="AD132" s="1681">
        <v>2</v>
      </c>
      <c r="AE132" s="1681"/>
      <c r="AF132" s="1681">
        <v>1</v>
      </c>
      <c r="AG132" s="1681"/>
      <c r="AH132" s="1681"/>
      <c r="AI132" s="1681">
        <v>0</v>
      </c>
      <c r="AJ132" s="1681">
        <v>0</v>
      </c>
      <c r="AK132" s="1681"/>
      <c r="AL132" s="95">
        <v>0</v>
      </c>
      <c r="AM132" s="95">
        <v>3</v>
      </c>
      <c r="AN132" s="4545"/>
      <c r="AR132" s="3868" t="s">
        <v>122</v>
      </c>
      <c r="AS132" s="3868" t="s">
        <v>1072</v>
      </c>
      <c r="AT132" s="3721"/>
      <c r="AU132" s="3721"/>
      <c r="AV132" s="3721">
        <v>1</v>
      </c>
      <c r="AW132" s="3721"/>
      <c r="AX132" s="3721">
        <v>0</v>
      </c>
      <c r="AY132" s="3721"/>
      <c r="AZ132" s="3721"/>
      <c r="BA132" s="3721">
        <v>0</v>
      </c>
      <c r="BB132" s="3721">
        <v>0</v>
      </c>
      <c r="BC132" s="2110"/>
      <c r="BD132" s="2110"/>
      <c r="BE132" s="2110">
        <v>1</v>
      </c>
      <c r="BF132" s="2110"/>
      <c r="BG132" s="2110"/>
      <c r="BK132" s="32" t="s">
        <v>1076</v>
      </c>
      <c r="BL132" s="3871">
        <v>0</v>
      </c>
      <c r="BM132" s="3871"/>
      <c r="BN132" s="3871"/>
      <c r="BO132" s="3871">
        <v>0</v>
      </c>
      <c r="BP132" s="3871"/>
      <c r="BQ132" s="3871">
        <v>4</v>
      </c>
      <c r="BR132" s="3871">
        <v>0</v>
      </c>
      <c r="BS132" s="3871"/>
      <c r="BT132" s="1518"/>
      <c r="BU132" s="1518">
        <v>4</v>
      </c>
      <c r="BX132" s="36"/>
      <c r="BY132" s="36"/>
      <c r="BZ132" s="36"/>
      <c r="CA132" s="36" t="s">
        <v>2416</v>
      </c>
      <c r="CB132" s="1681"/>
      <c r="CC132" s="1681"/>
      <c r="CD132" s="1681"/>
      <c r="CE132" s="1681"/>
      <c r="CF132" s="1681"/>
      <c r="CG132" s="1681"/>
      <c r="CH132" s="1681">
        <v>0</v>
      </c>
      <c r="CI132" s="1681">
        <v>0</v>
      </c>
      <c r="CJ132" s="95">
        <v>1</v>
      </c>
      <c r="CK132" s="95">
        <v>2</v>
      </c>
      <c r="CL132" s="95">
        <v>3</v>
      </c>
      <c r="CM132" s="36"/>
      <c r="CO132" s="37"/>
      <c r="CP132" s="37"/>
      <c r="CQ132" s="37" t="s">
        <v>122</v>
      </c>
      <c r="CR132" s="37" t="s">
        <v>1071</v>
      </c>
      <c r="CS132" s="1678"/>
      <c r="CT132" s="1678"/>
      <c r="CU132" s="1678"/>
      <c r="CV132" s="1678"/>
      <c r="CW132" s="1678"/>
      <c r="CX132" s="1678"/>
      <c r="CY132" s="1678">
        <v>0</v>
      </c>
      <c r="CZ132" s="1678">
        <v>0</v>
      </c>
      <c r="DA132" s="1678">
        <v>0</v>
      </c>
      <c r="DB132" s="63">
        <v>1</v>
      </c>
      <c r="DC132" s="63"/>
      <c r="DD132" s="63">
        <v>1</v>
      </c>
      <c r="DG132" s="95"/>
      <c r="DH132" s="95"/>
      <c r="DI132" s="36"/>
      <c r="DJ132" s="36" t="s">
        <v>1076</v>
      </c>
      <c r="DK132" s="1484"/>
      <c r="DL132" s="1484">
        <v>0</v>
      </c>
      <c r="DM132" s="1484">
        <v>0</v>
      </c>
      <c r="DN132" s="1484">
        <v>0</v>
      </c>
      <c r="DO132" s="1484">
        <v>0</v>
      </c>
      <c r="DP132" s="1484">
        <v>0</v>
      </c>
      <c r="DQ132" s="1484">
        <v>1</v>
      </c>
      <c r="DR132" s="1484">
        <v>6</v>
      </c>
      <c r="DS132" s="1484">
        <v>1</v>
      </c>
      <c r="DT132" s="95">
        <v>2</v>
      </c>
      <c r="DU132" s="95">
        <v>0</v>
      </c>
      <c r="DV132" s="95">
        <v>10</v>
      </c>
      <c r="DW132" s="95"/>
      <c r="DY132" s="1209"/>
      <c r="DZ132" s="1209"/>
      <c r="EA132" s="1210" t="s">
        <v>388</v>
      </c>
      <c r="EB132" s="1211" t="s">
        <v>1071</v>
      </c>
      <c r="EC132" s="1212"/>
      <c r="ED132" s="1213">
        <v>0</v>
      </c>
      <c r="EE132" s="1212"/>
      <c r="EF132" s="1212"/>
      <c r="EG132" s="1213">
        <v>0</v>
      </c>
      <c r="EH132" s="1213">
        <v>0</v>
      </c>
      <c r="EI132" s="1213">
        <v>0</v>
      </c>
      <c r="EJ132" s="1213">
        <v>2</v>
      </c>
      <c r="EK132" s="612">
        <v>1</v>
      </c>
      <c r="EL132" s="611"/>
      <c r="EM132" s="612">
        <v>3</v>
      </c>
      <c r="EN132" s="36"/>
      <c r="EP132" s="527"/>
      <c r="EQ132" s="527"/>
      <c r="ER132" s="528"/>
      <c r="ES132" s="529" t="s">
        <v>1077</v>
      </c>
      <c r="ET132" s="531">
        <v>1</v>
      </c>
      <c r="EU132" s="531">
        <v>1</v>
      </c>
      <c r="EV132" s="530"/>
      <c r="EW132" s="530"/>
      <c r="EX132" s="530"/>
      <c r="EY132" s="531">
        <v>0</v>
      </c>
      <c r="EZ132" s="531">
        <v>0</v>
      </c>
      <c r="FA132" s="531">
        <v>0</v>
      </c>
      <c r="FB132" s="527"/>
      <c r="FC132" s="527"/>
      <c r="FD132" s="532">
        <v>2</v>
      </c>
      <c r="FE132" s="95"/>
      <c r="FG132" s="533"/>
      <c r="FH132" s="533"/>
      <c r="FI132" s="533"/>
      <c r="FJ132" s="534" t="s">
        <v>1081</v>
      </c>
      <c r="FK132" s="535"/>
      <c r="FL132" s="535"/>
      <c r="FM132" s="536">
        <v>0</v>
      </c>
      <c r="FN132" s="536">
        <v>0</v>
      </c>
      <c r="FO132" s="535"/>
      <c r="FP132" s="535"/>
      <c r="FQ132" s="535"/>
      <c r="FR132" s="536">
        <v>0</v>
      </c>
      <c r="FS132" s="536">
        <v>2</v>
      </c>
      <c r="FT132" s="538">
        <v>1</v>
      </c>
      <c r="FU132" s="538">
        <v>1</v>
      </c>
      <c r="FV132" s="538">
        <v>4</v>
      </c>
      <c r="FW132" s="539"/>
      <c r="FY132" s="540"/>
      <c r="FZ132" s="540"/>
      <c r="GA132" s="540"/>
      <c r="GB132" s="550" t="s">
        <v>15</v>
      </c>
      <c r="GC132" s="551"/>
      <c r="GD132" s="551"/>
      <c r="GE132" s="551"/>
      <c r="GF132" s="551"/>
      <c r="GG132" s="551"/>
      <c r="GH132" s="552">
        <v>16</v>
      </c>
      <c r="GI132" s="552">
        <v>1</v>
      </c>
      <c r="GJ132" s="552">
        <v>2</v>
      </c>
      <c r="GK132" s="551"/>
      <c r="GL132" s="551"/>
      <c r="GM132" s="552">
        <v>19</v>
      </c>
      <c r="GN132" s="553">
        <f>+(GM131+GM130+GM128)/GM132</f>
        <v>0.26315789473684209</v>
      </c>
      <c r="GP132" s="63"/>
      <c r="GQ132" s="63"/>
      <c r="GR132" s="37"/>
      <c r="GS132" s="37" t="s">
        <v>1080</v>
      </c>
      <c r="GT132" s="63"/>
      <c r="GU132" s="63"/>
      <c r="GV132" s="63"/>
      <c r="GW132" s="63"/>
      <c r="GX132" s="63">
        <v>0</v>
      </c>
      <c r="GY132" s="63">
        <v>0</v>
      </c>
      <c r="GZ132" s="63">
        <v>0</v>
      </c>
      <c r="HA132" s="63">
        <v>1</v>
      </c>
      <c r="HB132" s="63"/>
      <c r="HC132" s="63"/>
      <c r="HD132" s="63">
        <v>1</v>
      </c>
      <c r="HE132" s="37"/>
      <c r="HF132" s="37"/>
      <c r="HG132" s="446"/>
      <c r="HH132" s="446"/>
      <c r="HI132" s="446"/>
      <c r="HJ132" s="446" t="s">
        <v>1081</v>
      </c>
      <c r="HK132" s="446">
        <v>0</v>
      </c>
      <c r="HL132" s="446">
        <v>0</v>
      </c>
      <c r="HM132" s="446">
        <v>0</v>
      </c>
      <c r="HN132" s="446">
        <v>3</v>
      </c>
      <c r="HO132" s="446">
        <v>0</v>
      </c>
      <c r="HP132" s="446">
        <v>0</v>
      </c>
      <c r="HQ132" s="446">
        <v>0</v>
      </c>
      <c r="HR132" s="446">
        <v>0</v>
      </c>
      <c r="HS132" s="446">
        <v>0</v>
      </c>
      <c r="HT132" s="446">
        <v>0</v>
      </c>
      <c r="HU132" s="446">
        <v>0</v>
      </c>
      <c r="HV132" s="447">
        <v>3</v>
      </c>
      <c r="HW132" s="544"/>
      <c r="HX132" s="448"/>
    </row>
    <row r="133" spans="1:232">
      <c r="A133" s="5682"/>
      <c r="B133" s="5682"/>
      <c r="C133" s="5683"/>
      <c r="D133" s="5683"/>
      <c r="E133" s="5686">
        <f>SUM(E128:E132)</f>
        <v>10</v>
      </c>
      <c r="F133" s="5682"/>
      <c r="G133" s="4921">
        <f>(E129+E130+E131)/(E133)</f>
        <v>0.5</v>
      </c>
      <c r="I133" s="4915">
        <v>2</v>
      </c>
      <c r="J133" s="4915">
        <v>1</v>
      </c>
      <c r="K133" s="4916" t="s">
        <v>388</v>
      </c>
      <c r="L133" s="4916" t="s">
        <v>2731</v>
      </c>
      <c r="M133" s="4915">
        <v>3</v>
      </c>
      <c r="N133" s="4915">
        <v>8</v>
      </c>
      <c r="O133" s="157"/>
      <c r="Q133" s="4705">
        <v>2</v>
      </c>
      <c r="R133" s="4705">
        <v>2</v>
      </c>
      <c r="S133" s="4706" t="s">
        <v>2735</v>
      </c>
      <c r="T133" s="4706" t="s">
        <v>2709</v>
      </c>
      <c r="U133" s="4707">
        <v>1</v>
      </c>
      <c r="V133" s="4707">
        <v>6</v>
      </c>
      <c r="W133" s="4722"/>
      <c r="Y133" s="36"/>
      <c r="Z133" s="36"/>
      <c r="AA133" s="36"/>
      <c r="AB133" s="36" t="s">
        <v>1080</v>
      </c>
      <c r="AC133" s="1681">
        <v>0</v>
      </c>
      <c r="AD133" s="1681">
        <v>0</v>
      </c>
      <c r="AE133" s="1681"/>
      <c r="AF133" s="1681">
        <v>0</v>
      </c>
      <c r="AG133" s="1681"/>
      <c r="AH133" s="1681"/>
      <c r="AI133" s="1681">
        <v>0</v>
      </c>
      <c r="AJ133" s="1681">
        <v>48</v>
      </c>
      <c r="AK133" s="1681"/>
      <c r="AL133" s="95">
        <v>0</v>
      </c>
      <c r="AM133" s="95">
        <v>48</v>
      </c>
      <c r="AN133" s="4545"/>
      <c r="AS133" s="3868" t="s">
        <v>1076</v>
      </c>
      <c r="AT133" s="3721"/>
      <c r="AU133" s="3721"/>
      <c r="AV133" s="3721">
        <v>0</v>
      </c>
      <c r="AW133" s="3721"/>
      <c r="AX133" s="3721">
        <v>1</v>
      </c>
      <c r="AY133" s="3721"/>
      <c r="AZ133" s="3721"/>
      <c r="BA133" s="3721">
        <v>2</v>
      </c>
      <c r="BB133" s="3721">
        <v>0</v>
      </c>
      <c r="BC133" s="2110"/>
      <c r="BD133" s="2110"/>
      <c r="BE133" s="2110">
        <v>3</v>
      </c>
      <c r="BF133" s="2110"/>
      <c r="BG133" s="2110"/>
      <c r="BK133" s="32" t="s">
        <v>1080</v>
      </c>
      <c r="BL133" s="3871">
        <v>0</v>
      </c>
      <c r="BM133" s="3871"/>
      <c r="BN133" s="3871"/>
      <c r="BO133" s="3871">
        <v>0</v>
      </c>
      <c r="BP133" s="3871"/>
      <c r="BQ133" s="3871">
        <v>0</v>
      </c>
      <c r="BR133" s="3871">
        <v>3</v>
      </c>
      <c r="BS133" s="3871"/>
      <c r="BT133" s="1518"/>
      <c r="BU133" s="1518">
        <v>3</v>
      </c>
      <c r="BX133" s="36"/>
      <c r="BY133" s="36"/>
      <c r="BZ133" s="36"/>
      <c r="CA133" s="393" t="s">
        <v>15</v>
      </c>
      <c r="CB133" s="1682"/>
      <c r="CC133" s="1682"/>
      <c r="CD133" s="1682"/>
      <c r="CE133" s="1682"/>
      <c r="CF133" s="1682"/>
      <c r="CG133" s="1682"/>
      <c r="CH133" s="1682">
        <v>3</v>
      </c>
      <c r="CI133" s="1682">
        <v>3</v>
      </c>
      <c r="CJ133" s="2041">
        <v>1</v>
      </c>
      <c r="CK133" s="2041">
        <v>2</v>
      </c>
      <c r="CL133" s="2041">
        <v>9</v>
      </c>
      <c r="CM133" s="560">
        <f>+CL130/CL133</f>
        <v>0.22222222222222221</v>
      </c>
      <c r="CN133" s="1665"/>
      <c r="CO133" s="37"/>
      <c r="CP133" s="37"/>
      <c r="CQ133" s="37"/>
      <c r="CR133" s="37" t="s">
        <v>1076</v>
      </c>
      <c r="CS133" s="1678"/>
      <c r="CT133" s="1678"/>
      <c r="CU133" s="1678"/>
      <c r="CV133" s="1678"/>
      <c r="CW133" s="1678"/>
      <c r="CX133" s="1678"/>
      <c r="CY133" s="1678">
        <v>1</v>
      </c>
      <c r="CZ133" s="1678">
        <v>2</v>
      </c>
      <c r="DA133" s="1678">
        <v>0</v>
      </c>
      <c r="DB133" s="63">
        <v>0</v>
      </c>
      <c r="DC133" s="63"/>
      <c r="DD133" s="63">
        <v>3</v>
      </c>
      <c r="DG133" s="95"/>
      <c r="DH133" s="95"/>
      <c r="DI133" s="36"/>
      <c r="DJ133" s="36" t="s">
        <v>1077</v>
      </c>
      <c r="DK133" s="1484"/>
      <c r="DL133" s="1484">
        <v>0</v>
      </c>
      <c r="DM133" s="1484">
        <v>0</v>
      </c>
      <c r="DN133" s="1484">
        <v>0</v>
      </c>
      <c r="DO133" s="1484">
        <v>2</v>
      </c>
      <c r="DP133" s="1484">
        <v>1</v>
      </c>
      <c r="DQ133" s="1484">
        <v>0</v>
      </c>
      <c r="DR133" s="1484">
        <v>1</v>
      </c>
      <c r="DS133" s="1484">
        <v>0</v>
      </c>
      <c r="DT133" s="95">
        <v>0</v>
      </c>
      <c r="DU133" s="95">
        <v>0</v>
      </c>
      <c r="DV133" s="95">
        <v>4</v>
      </c>
      <c r="DW133" s="95"/>
      <c r="DY133" s="1209"/>
      <c r="DZ133" s="1209"/>
      <c r="EA133" s="1210"/>
      <c r="EB133" s="1211" t="s">
        <v>1072</v>
      </c>
      <c r="EC133" s="1212"/>
      <c r="ED133" s="1213">
        <v>2</v>
      </c>
      <c r="EE133" s="1212"/>
      <c r="EF133" s="1212"/>
      <c r="EG133" s="1213">
        <v>0</v>
      </c>
      <c r="EH133" s="1213">
        <v>0</v>
      </c>
      <c r="EI133" s="1213">
        <v>0</v>
      </c>
      <c r="EJ133" s="1213">
        <v>0</v>
      </c>
      <c r="EK133" s="612">
        <v>0</v>
      </c>
      <c r="EL133" s="611"/>
      <c r="EM133" s="612">
        <v>2</v>
      </c>
      <c r="EN133" s="36"/>
      <c r="EP133" s="527"/>
      <c r="EQ133" s="527"/>
      <c r="ER133" s="528"/>
      <c r="ES133" s="529" t="s">
        <v>1080</v>
      </c>
      <c r="ET133" s="531">
        <v>0</v>
      </c>
      <c r="EU133" s="531">
        <v>0</v>
      </c>
      <c r="EV133" s="530"/>
      <c r="EW133" s="530"/>
      <c r="EX133" s="530"/>
      <c r="EY133" s="531">
        <v>0</v>
      </c>
      <c r="EZ133" s="531">
        <v>0</v>
      </c>
      <c r="FA133" s="531">
        <v>1</v>
      </c>
      <c r="FB133" s="527"/>
      <c r="FC133" s="527"/>
      <c r="FD133" s="532">
        <v>1</v>
      </c>
      <c r="FE133" s="95"/>
      <c r="FG133" s="533"/>
      <c r="FH133" s="533"/>
      <c r="FI133" s="533"/>
      <c r="FJ133" s="545" t="s">
        <v>483</v>
      </c>
      <c r="FK133" s="546"/>
      <c r="FL133" s="546"/>
      <c r="FM133" s="547">
        <v>2</v>
      </c>
      <c r="FN133" s="547">
        <v>1</v>
      </c>
      <c r="FO133" s="546"/>
      <c r="FP133" s="546"/>
      <c r="FQ133" s="546"/>
      <c r="FR133" s="547">
        <v>3</v>
      </c>
      <c r="FS133" s="547">
        <v>21</v>
      </c>
      <c r="FT133" s="549">
        <v>2</v>
      </c>
      <c r="FU133" s="549">
        <v>3</v>
      </c>
      <c r="FV133" s="549">
        <v>32</v>
      </c>
      <c r="FW133" s="539">
        <f>+(FV132+FV129+FT132-FU132-FT129-FU129)/FV133</f>
        <v>0.3125</v>
      </c>
      <c r="FY133" s="540"/>
      <c r="FZ133" s="540"/>
      <c r="GA133" s="540" t="s">
        <v>136</v>
      </c>
      <c r="GB133" s="541" t="s">
        <v>1072</v>
      </c>
      <c r="GC133" s="542"/>
      <c r="GD133" s="542"/>
      <c r="GE133" s="542"/>
      <c r="GF133" s="543">
        <v>2</v>
      </c>
      <c r="GG133" s="542"/>
      <c r="GH133" s="542"/>
      <c r="GI133" s="543">
        <v>1</v>
      </c>
      <c r="GJ133" s="543">
        <v>0</v>
      </c>
      <c r="GK133" s="542"/>
      <c r="GL133" s="542"/>
      <c r="GM133" s="543">
        <v>3</v>
      </c>
      <c r="GN133" s="445"/>
      <c r="GP133" s="63"/>
      <c r="GQ133" s="63"/>
      <c r="GR133" s="37"/>
      <c r="GS133" s="37" t="s">
        <v>1081</v>
      </c>
      <c r="GT133" s="63"/>
      <c r="GU133" s="63"/>
      <c r="GV133" s="63"/>
      <c r="GW133" s="63"/>
      <c r="GX133" s="63">
        <v>0</v>
      </c>
      <c r="GY133" s="63">
        <v>3</v>
      </c>
      <c r="GZ133" s="63">
        <v>0</v>
      </c>
      <c r="HA133" s="63">
        <v>0</v>
      </c>
      <c r="HB133" s="63"/>
      <c r="HC133" s="63"/>
      <c r="HD133" s="63">
        <v>3</v>
      </c>
      <c r="HE133" s="37"/>
      <c r="HF133" s="37"/>
      <c r="HG133" s="446"/>
      <c r="HH133" s="446"/>
      <c r="HI133" s="446"/>
      <c r="HJ133" s="446" t="s">
        <v>1163</v>
      </c>
      <c r="HK133" s="446">
        <v>0</v>
      </c>
      <c r="HL133" s="446">
        <v>0</v>
      </c>
      <c r="HM133" s="446">
        <v>0</v>
      </c>
      <c r="HN133" s="446">
        <v>3</v>
      </c>
      <c r="HO133" s="446">
        <v>0</v>
      </c>
      <c r="HP133" s="446">
        <v>0</v>
      </c>
      <c r="HQ133" s="446">
        <v>1</v>
      </c>
      <c r="HR133" s="446">
        <v>0</v>
      </c>
      <c r="HS133" s="446">
        <v>0</v>
      </c>
      <c r="HT133" s="446">
        <v>0</v>
      </c>
      <c r="HU133" s="446">
        <v>0</v>
      </c>
      <c r="HV133" s="447">
        <v>4</v>
      </c>
      <c r="HW133" s="544"/>
      <c r="HX133" s="448"/>
    </row>
    <row r="134" spans="1:232">
      <c r="A134" s="5682">
        <v>2</v>
      </c>
      <c r="B134" s="5682">
        <v>1</v>
      </c>
      <c r="C134" s="5683" t="s">
        <v>122</v>
      </c>
      <c r="D134" s="5683" t="s">
        <v>2731</v>
      </c>
      <c r="E134" s="5682">
        <v>1</v>
      </c>
      <c r="F134" s="5682">
        <v>8</v>
      </c>
      <c r="I134" s="4915">
        <v>2</v>
      </c>
      <c r="J134" s="4915">
        <v>1</v>
      </c>
      <c r="K134" s="4916" t="s">
        <v>388</v>
      </c>
      <c r="L134" s="4916" t="s">
        <v>1071</v>
      </c>
      <c r="M134" s="4915">
        <v>2</v>
      </c>
      <c r="N134" s="4915">
        <v>8</v>
      </c>
      <c r="O134" s="157"/>
      <c r="Q134" s="4705">
        <v>2</v>
      </c>
      <c r="R134" s="4705">
        <v>2</v>
      </c>
      <c r="S134" s="4706" t="s">
        <v>2735</v>
      </c>
      <c r="T134" s="4706" t="s">
        <v>2709</v>
      </c>
      <c r="U134" s="4707">
        <v>11</v>
      </c>
      <c r="V134" s="4707">
        <v>7</v>
      </c>
      <c r="W134" s="4722"/>
      <c r="Y134" s="36"/>
      <c r="Z134" s="36"/>
      <c r="AA134" s="36"/>
      <c r="AB134" s="36" t="s">
        <v>2571</v>
      </c>
      <c r="AC134" s="1681">
        <v>14</v>
      </c>
      <c r="AD134" s="1681">
        <v>0</v>
      </c>
      <c r="AE134" s="1681"/>
      <c r="AF134" s="1681">
        <v>0</v>
      </c>
      <c r="AG134" s="1681"/>
      <c r="AH134" s="1681"/>
      <c r="AI134" s="1681">
        <v>0</v>
      </c>
      <c r="AJ134" s="1681">
        <v>0</v>
      </c>
      <c r="AK134" s="1681"/>
      <c r="AL134" s="95">
        <v>0</v>
      </c>
      <c r="AM134" s="95">
        <v>14</v>
      </c>
      <c r="AN134" s="4545"/>
      <c r="AS134" s="3868" t="s">
        <v>1080</v>
      </c>
      <c r="AT134" s="3721"/>
      <c r="AU134" s="3721"/>
      <c r="AV134" s="3721">
        <v>0</v>
      </c>
      <c r="AW134" s="3721"/>
      <c r="AX134" s="3721">
        <v>0</v>
      </c>
      <c r="AY134" s="3721"/>
      <c r="AZ134" s="3721"/>
      <c r="BA134" s="3721">
        <v>5</v>
      </c>
      <c r="BB134" s="3721">
        <v>1</v>
      </c>
      <c r="BC134" s="2110"/>
      <c r="BD134" s="2110"/>
      <c r="BE134" s="2110">
        <v>6</v>
      </c>
      <c r="BF134" s="2110"/>
      <c r="BG134" s="2110"/>
      <c r="BK134" s="32">
        <v>22</v>
      </c>
      <c r="BL134" s="3871">
        <v>0</v>
      </c>
      <c r="BM134" s="3871"/>
      <c r="BN134" s="3871"/>
      <c r="BO134" s="3871">
        <v>0</v>
      </c>
      <c r="BP134" s="3871"/>
      <c r="BQ134" s="3871">
        <v>1</v>
      </c>
      <c r="BR134" s="3871">
        <v>0</v>
      </c>
      <c r="BS134" s="3871"/>
      <c r="BT134" s="1518"/>
      <c r="BU134" s="1518">
        <v>1</v>
      </c>
      <c r="BX134" s="36"/>
      <c r="BY134" s="36"/>
      <c r="BZ134" s="36" t="s">
        <v>681</v>
      </c>
      <c r="CA134" s="36" t="s">
        <v>1072</v>
      </c>
      <c r="CB134" s="1681"/>
      <c r="CC134" s="1681"/>
      <c r="CD134" s="1681"/>
      <c r="CE134" s="1681"/>
      <c r="CF134" s="1681"/>
      <c r="CG134" s="1681"/>
      <c r="CH134" s="1681">
        <v>0</v>
      </c>
      <c r="CI134" s="1681">
        <v>1</v>
      </c>
      <c r="CJ134" s="95"/>
      <c r="CK134" s="95">
        <v>0</v>
      </c>
      <c r="CL134" s="95">
        <v>1</v>
      </c>
      <c r="CM134" s="36"/>
      <c r="CO134" s="37"/>
      <c r="CP134" s="37"/>
      <c r="CQ134" s="37"/>
      <c r="CR134" s="37" t="s">
        <v>1080</v>
      </c>
      <c r="CS134" s="1678"/>
      <c r="CT134" s="1678"/>
      <c r="CU134" s="1678"/>
      <c r="CV134" s="1678"/>
      <c r="CW134" s="1678"/>
      <c r="CX134" s="1678"/>
      <c r="CY134" s="1678">
        <v>0</v>
      </c>
      <c r="CZ134" s="1678">
        <v>0</v>
      </c>
      <c r="DA134" s="1678">
        <v>9</v>
      </c>
      <c r="DB134" s="63">
        <v>0</v>
      </c>
      <c r="DC134" s="63"/>
      <c r="DD134" s="63">
        <v>9</v>
      </c>
      <c r="DG134" s="95"/>
      <c r="DH134" s="95"/>
      <c r="DI134" s="36"/>
      <c r="DJ134" s="36" t="s">
        <v>1080</v>
      </c>
      <c r="DK134" s="1484"/>
      <c r="DL134" s="1484">
        <v>0</v>
      </c>
      <c r="DM134" s="1484">
        <v>0</v>
      </c>
      <c r="DN134" s="1484">
        <v>0</v>
      </c>
      <c r="DO134" s="1484">
        <v>0</v>
      </c>
      <c r="DP134" s="1484">
        <v>0</v>
      </c>
      <c r="DQ134" s="1484">
        <v>0</v>
      </c>
      <c r="DR134" s="1484">
        <v>1</v>
      </c>
      <c r="DS134" s="1484">
        <v>23</v>
      </c>
      <c r="DT134" s="95">
        <v>3</v>
      </c>
      <c r="DU134" s="95">
        <v>8</v>
      </c>
      <c r="DV134" s="95">
        <v>35</v>
      </c>
      <c r="DW134" s="95"/>
      <c r="DY134" s="1209"/>
      <c r="DZ134" s="1209"/>
      <c r="EA134" s="1210"/>
      <c r="EB134" s="1211" t="s">
        <v>1076</v>
      </c>
      <c r="EC134" s="1212"/>
      <c r="ED134" s="1213">
        <v>0</v>
      </c>
      <c r="EE134" s="1212"/>
      <c r="EF134" s="1212"/>
      <c r="EG134" s="1213">
        <v>0</v>
      </c>
      <c r="EH134" s="1213">
        <v>0</v>
      </c>
      <c r="EI134" s="1213">
        <v>1</v>
      </c>
      <c r="EJ134" s="1213">
        <v>0</v>
      </c>
      <c r="EK134" s="612">
        <v>0</v>
      </c>
      <c r="EL134" s="611"/>
      <c r="EM134" s="612">
        <v>1</v>
      </c>
      <c r="EN134" s="36"/>
      <c r="EP134" s="527"/>
      <c r="EQ134" s="527"/>
      <c r="ER134" s="528"/>
      <c r="ES134" s="529" t="s">
        <v>1163</v>
      </c>
      <c r="ET134" s="531">
        <v>0</v>
      </c>
      <c r="EU134" s="531">
        <v>0</v>
      </c>
      <c r="EV134" s="530"/>
      <c r="EW134" s="530"/>
      <c r="EX134" s="530"/>
      <c r="EY134" s="531">
        <v>14</v>
      </c>
      <c r="EZ134" s="531">
        <v>1</v>
      </c>
      <c r="FA134" s="531">
        <v>0</v>
      </c>
      <c r="FB134" s="527"/>
      <c r="FC134" s="527"/>
      <c r="FD134" s="532">
        <v>15</v>
      </c>
      <c r="FE134" s="95"/>
      <c r="FG134" s="533"/>
      <c r="FH134" s="533" t="s">
        <v>41</v>
      </c>
      <c r="FI134" s="533" t="s">
        <v>128</v>
      </c>
      <c r="FJ134" s="534" t="s">
        <v>1071</v>
      </c>
      <c r="FK134" s="535"/>
      <c r="FL134" s="535"/>
      <c r="FM134" s="535"/>
      <c r="FN134" s="536">
        <v>0</v>
      </c>
      <c r="FO134" s="535"/>
      <c r="FP134" s="535"/>
      <c r="FQ134" s="536">
        <v>0</v>
      </c>
      <c r="FR134" s="536">
        <v>0</v>
      </c>
      <c r="FS134" s="536">
        <v>1</v>
      </c>
      <c r="FT134" s="537"/>
      <c r="FU134" s="537"/>
      <c r="FV134" s="538">
        <v>1</v>
      </c>
      <c r="FW134" s="539"/>
      <c r="FY134" s="540"/>
      <c r="FZ134" s="540"/>
      <c r="GA134" s="540"/>
      <c r="GB134" s="541" t="s">
        <v>1076</v>
      </c>
      <c r="GC134" s="542"/>
      <c r="GD134" s="542"/>
      <c r="GE134" s="542"/>
      <c r="GF134" s="543">
        <v>0</v>
      </c>
      <c r="GG134" s="542"/>
      <c r="GH134" s="542"/>
      <c r="GI134" s="543">
        <v>1</v>
      </c>
      <c r="GJ134" s="543">
        <v>0</v>
      </c>
      <c r="GK134" s="542"/>
      <c r="GL134" s="542"/>
      <c r="GM134" s="543">
        <v>1</v>
      </c>
      <c r="GN134" s="445"/>
      <c r="GP134" s="63"/>
      <c r="GQ134" s="63"/>
      <c r="GR134" s="37"/>
      <c r="GS134" s="37" t="s">
        <v>1163</v>
      </c>
      <c r="GT134" s="63"/>
      <c r="GU134" s="63"/>
      <c r="GV134" s="63"/>
      <c r="GW134" s="63"/>
      <c r="GX134" s="63">
        <v>0</v>
      </c>
      <c r="GY134" s="63">
        <v>1</v>
      </c>
      <c r="GZ134" s="63">
        <v>0</v>
      </c>
      <c r="HA134" s="63">
        <v>0</v>
      </c>
      <c r="HB134" s="63"/>
      <c r="HC134" s="63"/>
      <c r="HD134" s="63">
        <v>1</v>
      </c>
      <c r="HE134" s="37"/>
      <c r="HF134" s="37"/>
      <c r="HG134" s="446"/>
      <c r="HH134" s="446"/>
      <c r="HI134" s="446"/>
      <c r="HJ134" s="449" t="s">
        <v>15</v>
      </c>
      <c r="HK134" s="449">
        <v>0</v>
      </c>
      <c r="HL134" s="449">
        <v>0</v>
      </c>
      <c r="HM134" s="449">
        <v>1</v>
      </c>
      <c r="HN134" s="449">
        <v>8</v>
      </c>
      <c r="HO134" s="449">
        <v>0</v>
      </c>
      <c r="HP134" s="449">
        <v>0</v>
      </c>
      <c r="HQ134" s="449">
        <v>2</v>
      </c>
      <c r="HR134" s="449">
        <v>0</v>
      </c>
      <c r="HS134" s="449">
        <v>0</v>
      </c>
      <c r="HT134" s="449">
        <v>0</v>
      </c>
      <c r="HU134" s="449">
        <v>0</v>
      </c>
      <c r="HV134" s="507">
        <v>11</v>
      </c>
      <c r="HW134" s="554">
        <f>+(HV133+HV132+HV130)/HV134</f>
        <v>0.81818181818181823</v>
      </c>
      <c r="HX134" s="448">
        <f>+HV130+HV132+HV133</f>
        <v>9</v>
      </c>
    </row>
    <row r="135" spans="1:232">
      <c r="A135" s="5682">
        <v>2</v>
      </c>
      <c r="B135" s="5682">
        <v>1</v>
      </c>
      <c r="C135" s="5683" t="s">
        <v>122</v>
      </c>
      <c r="D135" s="5683" t="s">
        <v>2731</v>
      </c>
      <c r="E135" s="5682">
        <v>3</v>
      </c>
      <c r="F135" s="5682">
        <v>9</v>
      </c>
      <c r="I135" s="4915">
        <v>2</v>
      </c>
      <c r="J135" s="4915">
        <v>1</v>
      </c>
      <c r="K135" s="4916" t="s">
        <v>388</v>
      </c>
      <c r="L135" s="4917" t="s">
        <v>1076</v>
      </c>
      <c r="M135" s="4922">
        <v>1</v>
      </c>
      <c r="N135" s="4915">
        <v>6</v>
      </c>
      <c r="O135" s="157"/>
      <c r="Q135" s="4705"/>
      <c r="R135" s="4744"/>
      <c r="S135" s="4737"/>
      <c r="T135" s="4737"/>
      <c r="U135" s="4739">
        <f>SUM(U128:U134)</f>
        <v>58</v>
      </c>
      <c r="V135" s="4739"/>
      <c r="W135" s="4750">
        <f>(U130+U131)/(U135)</f>
        <v>0.36206896551724138</v>
      </c>
      <c r="Y135" s="36"/>
      <c r="Z135" s="36"/>
      <c r="AA135" s="36"/>
      <c r="AB135" s="36" t="s">
        <v>15</v>
      </c>
      <c r="AC135" s="1681">
        <v>14</v>
      </c>
      <c r="AD135" s="1681">
        <v>2</v>
      </c>
      <c r="AE135" s="1681"/>
      <c r="AF135" s="1681">
        <v>2</v>
      </c>
      <c r="AG135" s="1681"/>
      <c r="AH135" s="1681"/>
      <c r="AI135" s="1681">
        <v>25</v>
      </c>
      <c r="AJ135" s="1681">
        <v>49</v>
      </c>
      <c r="AK135" s="1681"/>
      <c r="AL135" s="95">
        <v>1</v>
      </c>
      <c r="AM135" s="95">
        <v>93</v>
      </c>
      <c r="AN135" s="560">
        <f>+AI131/(AM135-AM134)</f>
        <v>0.17721518987341772</v>
      </c>
      <c r="AS135" s="27" t="s">
        <v>15</v>
      </c>
      <c r="AT135" s="3722"/>
      <c r="AU135" s="3722"/>
      <c r="AV135" s="3722">
        <v>1</v>
      </c>
      <c r="AW135" s="3722"/>
      <c r="AX135" s="3722">
        <v>1</v>
      </c>
      <c r="AY135" s="3722"/>
      <c r="AZ135" s="3722"/>
      <c r="BA135" s="3722">
        <v>7</v>
      </c>
      <c r="BB135" s="3722">
        <v>1</v>
      </c>
      <c r="BC135" s="3701"/>
      <c r="BD135" s="3701"/>
      <c r="BE135" s="3701">
        <v>10</v>
      </c>
      <c r="BF135" s="1665">
        <f>+BE133/BE135</f>
        <v>0.3</v>
      </c>
      <c r="BG135" s="1665"/>
      <c r="BK135" s="1520" t="s">
        <v>15</v>
      </c>
      <c r="BL135" s="3872">
        <v>1</v>
      </c>
      <c r="BM135" s="3872"/>
      <c r="BN135" s="3872"/>
      <c r="BO135" s="3872">
        <v>1</v>
      </c>
      <c r="BP135" s="3872"/>
      <c r="BQ135" s="3872">
        <v>5</v>
      </c>
      <c r="BR135" s="3872">
        <v>5</v>
      </c>
      <c r="BS135" s="3872"/>
      <c r="BT135" s="3806"/>
      <c r="BU135" s="3806">
        <v>12</v>
      </c>
      <c r="BV135" s="3807">
        <f>+BU132/BU135</f>
        <v>0.33333333333333331</v>
      </c>
      <c r="BX135" s="36"/>
      <c r="BY135" s="36"/>
      <c r="BZ135" s="36"/>
      <c r="CA135" s="36" t="s">
        <v>1076</v>
      </c>
      <c r="CB135" s="1681"/>
      <c r="CC135" s="1681"/>
      <c r="CD135" s="1681"/>
      <c r="CE135" s="1681"/>
      <c r="CF135" s="1681"/>
      <c r="CG135" s="1681"/>
      <c r="CH135" s="1681">
        <v>0</v>
      </c>
      <c r="CI135" s="1681">
        <v>2</v>
      </c>
      <c r="CJ135" s="95"/>
      <c r="CK135" s="95">
        <v>0</v>
      </c>
      <c r="CL135" s="95">
        <v>2</v>
      </c>
      <c r="CM135" s="36"/>
      <c r="CO135" s="37"/>
      <c r="CP135" s="37"/>
      <c r="CQ135" s="37"/>
      <c r="CR135" s="37" t="s">
        <v>1163</v>
      </c>
      <c r="CS135" s="1678"/>
      <c r="CT135" s="1678"/>
      <c r="CU135" s="1678"/>
      <c r="CV135" s="1678"/>
      <c r="CW135" s="1678"/>
      <c r="CX135" s="1678"/>
      <c r="CY135" s="1678">
        <v>1</v>
      </c>
      <c r="CZ135" s="1678">
        <v>1</v>
      </c>
      <c r="DA135" s="1678">
        <v>0</v>
      </c>
      <c r="DB135" s="63">
        <v>0</v>
      </c>
      <c r="DC135" s="63"/>
      <c r="DD135" s="63">
        <v>2</v>
      </c>
      <c r="DG135" s="95"/>
      <c r="DH135" s="95"/>
      <c r="DI135" s="36"/>
      <c r="DJ135" s="36" t="s">
        <v>1163</v>
      </c>
      <c r="DK135" s="1484"/>
      <c r="DL135" s="1484">
        <v>0</v>
      </c>
      <c r="DM135" s="1484">
        <v>0</v>
      </c>
      <c r="DN135" s="1484">
        <v>0</v>
      </c>
      <c r="DO135" s="1484">
        <v>0</v>
      </c>
      <c r="DP135" s="1484">
        <v>0</v>
      </c>
      <c r="DQ135" s="1484">
        <v>2</v>
      </c>
      <c r="DR135" s="1484">
        <v>4</v>
      </c>
      <c r="DS135" s="1484">
        <v>3</v>
      </c>
      <c r="DT135" s="95">
        <v>0</v>
      </c>
      <c r="DU135" s="95">
        <v>0</v>
      </c>
      <c r="DV135" s="95">
        <v>9</v>
      </c>
      <c r="DW135" s="95"/>
      <c r="DY135" s="1209"/>
      <c r="DZ135" s="1209"/>
      <c r="EA135" s="1210"/>
      <c r="EB135" s="1211" t="s">
        <v>1077</v>
      </c>
      <c r="EC135" s="1212"/>
      <c r="ED135" s="1213">
        <v>0</v>
      </c>
      <c r="EE135" s="1212"/>
      <c r="EF135" s="1212"/>
      <c r="EG135" s="1213">
        <v>1</v>
      </c>
      <c r="EH135" s="1213">
        <v>0</v>
      </c>
      <c r="EI135" s="1213">
        <v>0</v>
      </c>
      <c r="EJ135" s="1213">
        <v>0</v>
      </c>
      <c r="EK135" s="612">
        <v>0</v>
      </c>
      <c r="EL135" s="611"/>
      <c r="EM135" s="612">
        <v>1</v>
      </c>
      <c r="EN135" s="36"/>
      <c r="EP135" s="527"/>
      <c r="EQ135" s="527"/>
      <c r="ER135" s="528"/>
      <c r="ES135" s="555" t="s">
        <v>15</v>
      </c>
      <c r="ET135" s="557">
        <v>1</v>
      </c>
      <c r="EU135" s="557">
        <v>2</v>
      </c>
      <c r="EV135" s="556"/>
      <c r="EW135" s="556"/>
      <c r="EX135" s="556"/>
      <c r="EY135" s="557">
        <v>19</v>
      </c>
      <c r="EZ135" s="557">
        <v>5</v>
      </c>
      <c r="FA135" s="557">
        <v>1</v>
      </c>
      <c r="FB135" s="558"/>
      <c r="FC135" s="558"/>
      <c r="FD135" s="559">
        <v>28</v>
      </c>
      <c r="FE135" s="560">
        <f>+(FD131+FD134)/FD135</f>
        <v>0.7857142857142857</v>
      </c>
      <c r="FG135" s="533"/>
      <c r="FH135" s="533"/>
      <c r="FI135" s="533"/>
      <c r="FJ135" s="534" t="s">
        <v>1072</v>
      </c>
      <c r="FK135" s="535"/>
      <c r="FL135" s="535"/>
      <c r="FM135" s="535"/>
      <c r="FN135" s="536">
        <v>1</v>
      </c>
      <c r="FO135" s="535"/>
      <c r="FP135" s="535"/>
      <c r="FQ135" s="536">
        <v>0</v>
      </c>
      <c r="FR135" s="536">
        <v>1</v>
      </c>
      <c r="FS135" s="536">
        <v>0</v>
      </c>
      <c r="FT135" s="537"/>
      <c r="FU135" s="537"/>
      <c r="FV135" s="538">
        <v>2</v>
      </c>
      <c r="FW135" s="539"/>
      <c r="FY135" s="540"/>
      <c r="FZ135" s="540"/>
      <c r="GA135" s="540"/>
      <c r="GB135" s="541" t="s">
        <v>1080</v>
      </c>
      <c r="GC135" s="542"/>
      <c r="GD135" s="542"/>
      <c r="GE135" s="542"/>
      <c r="GF135" s="543">
        <v>0</v>
      </c>
      <c r="GG135" s="542"/>
      <c r="GH135" s="542"/>
      <c r="GI135" s="543">
        <v>0</v>
      </c>
      <c r="GJ135" s="543">
        <v>6</v>
      </c>
      <c r="GK135" s="542"/>
      <c r="GL135" s="542"/>
      <c r="GM135" s="543">
        <v>6</v>
      </c>
      <c r="GN135" s="445"/>
      <c r="GP135" s="63"/>
      <c r="GQ135" s="63"/>
      <c r="GR135" s="37"/>
      <c r="GS135" s="416" t="s">
        <v>15</v>
      </c>
      <c r="GT135" s="386"/>
      <c r="GU135" s="386"/>
      <c r="GV135" s="386"/>
      <c r="GW135" s="386"/>
      <c r="GX135" s="386">
        <v>1</v>
      </c>
      <c r="GY135" s="386">
        <v>12</v>
      </c>
      <c r="GZ135" s="386">
        <v>3</v>
      </c>
      <c r="HA135" s="386">
        <v>1</v>
      </c>
      <c r="HB135" s="386"/>
      <c r="HC135" s="386"/>
      <c r="HD135" s="386">
        <v>17</v>
      </c>
      <c r="HE135" s="466">
        <f>+(HD131+HD133+HD134)/HD135</f>
        <v>0.35294117647058826</v>
      </c>
      <c r="HF135" s="37"/>
      <c r="HG135" s="446"/>
      <c r="HH135" s="446"/>
      <c r="HI135" s="446" t="s">
        <v>134</v>
      </c>
      <c r="HJ135" s="446" t="s">
        <v>1072</v>
      </c>
      <c r="HK135" s="446">
        <v>0</v>
      </c>
      <c r="HL135" s="446">
        <v>0</v>
      </c>
      <c r="HM135" s="446">
        <v>2</v>
      </c>
      <c r="HN135" s="446">
        <v>0</v>
      </c>
      <c r="HO135" s="446">
        <v>2</v>
      </c>
      <c r="HP135" s="446">
        <v>0</v>
      </c>
      <c r="HQ135" s="446">
        <v>18</v>
      </c>
      <c r="HR135" s="446">
        <v>0</v>
      </c>
      <c r="HS135" s="446">
        <v>0</v>
      </c>
      <c r="HT135" s="446">
        <v>0</v>
      </c>
      <c r="HU135" s="446">
        <v>0</v>
      </c>
      <c r="HV135" s="447">
        <v>22</v>
      </c>
      <c r="HW135" s="544"/>
      <c r="HX135" s="448"/>
    </row>
    <row r="136" spans="1:232">
      <c r="A136" s="5682">
        <v>2</v>
      </c>
      <c r="B136" s="5682">
        <v>1</v>
      </c>
      <c r="C136" s="5683" t="s">
        <v>122</v>
      </c>
      <c r="D136" s="5685" t="s">
        <v>1076</v>
      </c>
      <c r="E136" s="5682">
        <v>2</v>
      </c>
      <c r="F136" s="5682">
        <v>8</v>
      </c>
      <c r="I136" s="4915">
        <v>2</v>
      </c>
      <c r="J136" s="4915">
        <v>1</v>
      </c>
      <c r="K136" s="4916" t="s">
        <v>388</v>
      </c>
      <c r="L136" s="4916" t="s">
        <v>2709</v>
      </c>
      <c r="M136" s="4915">
        <v>1</v>
      </c>
      <c r="N136" s="4915">
        <v>6</v>
      </c>
      <c r="O136" s="157"/>
      <c r="Q136" s="4705"/>
      <c r="R136" s="4713"/>
      <c r="S136" s="4714"/>
      <c r="T136" s="4714"/>
      <c r="U136" s="4748">
        <f>SUM(U122,U124:U126,U130:U131)</f>
        <v>38</v>
      </c>
      <c r="V136" s="4765"/>
      <c r="W136" s="4766"/>
      <c r="Y136" s="36"/>
      <c r="Z136" s="36" t="s">
        <v>41</v>
      </c>
      <c r="AA136" s="36" t="s">
        <v>413</v>
      </c>
      <c r="AB136" s="36" t="s">
        <v>1072</v>
      </c>
      <c r="AC136" s="1681"/>
      <c r="AD136" s="1681"/>
      <c r="AE136" s="1681">
        <v>0</v>
      </c>
      <c r="AF136" s="1681"/>
      <c r="AG136" s="1681"/>
      <c r="AH136" s="1681"/>
      <c r="AI136" s="1681">
        <v>3</v>
      </c>
      <c r="AJ136" s="1681">
        <v>0</v>
      </c>
      <c r="AK136" s="1681"/>
      <c r="AL136" s="95"/>
      <c r="AM136" s="95">
        <v>3</v>
      </c>
      <c r="AN136" s="4545"/>
      <c r="AR136" s="3868" t="s">
        <v>123</v>
      </c>
      <c r="AS136" s="3868" t="s">
        <v>1072</v>
      </c>
      <c r="AT136" s="3721">
        <v>0</v>
      </c>
      <c r="AU136" s="3721">
        <v>1</v>
      </c>
      <c r="AV136" s="3721"/>
      <c r="AW136" s="3721"/>
      <c r="AX136" s="3721"/>
      <c r="AY136" s="3721">
        <v>1</v>
      </c>
      <c r="AZ136" s="3721">
        <v>1</v>
      </c>
      <c r="BA136" s="3721">
        <v>1</v>
      </c>
      <c r="BB136" s="3721">
        <v>0</v>
      </c>
      <c r="BC136" s="2110">
        <v>1</v>
      </c>
      <c r="BD136" s="2110"/>
      <c r="BE136" s="2110">
        <v>5</v>
      </c>
      <c r="BF136" s="2110"/>
      <c r="BG136" s="2110"/>
      <c r="BJ136" s="32" t="s">
        <v>681</v>
      </c>
      <c r="BK136" s="32" t="s">
        <v>1072</v>
      </c>
      <c r="BL136" s="3871"/>
      <c r="BM136" s="3871"/>
      <c r="BN136" s="3871"/>
      <c r="BO136" s="3871"/>
      <c r="BP136" s="3871"/>
      <c r="BQ136" s="3871">
        <v>1</v>
      </c>
      <c r="BR136" s="3871">
        <v>0</v>
      </c>
      <c r="BS136" s="3871"/>
      <c r="BT136" s="1518">
        <v>0</v>
      </c>
      <c r="BU136" s="1518">
        <v>1</v>
      </c>
      <c r="BX136" s="36"/>
      <c r="BY136" s="36"/>
      <c r="BZ136" s="36"/>
      <c r="CA136" s="36" t="s">
        <v>1080</v>
      </c>
      <c r="CB136" s="1681"/>
      <c r="CC136" s="1681"/>
      <c r="CD136" s="1681"/>
      <c r="CE136" s="1681"/>
      <c r="CF136" s="1681"/>
      <c r="CG136" s="1681"/>
      <c r="CH136" s="1681">
        <v>0</v>
      </c>
      <c r="CI136" s="1681">
        <v>1</v>
      </c>
      <c r="CJ136" s="95"/>
      <c r="CK136" s="95">
        <v>3</v>
      </c>
      <c r="CL136" s="95">
        <v>4</v>
      </c>
      <c r="CM136" s="36"/>
      <c r="CO136" s="37"/>
      <c r="CP136" s="37"/>
      <c r="CQ136" s="37"/>
      <c r="CR136" s="416" t="s">
        <v>15</v>
      </c>
      <c r="CS136" s="1679"/>
      <c r="CT136" s="1679"/>
      <c r="CU136" s="1679"/>
      <c r="CV136" s="1679"/>
      <c r="CW136" s="1679"/>
      <c r="CX136" s="1679"/>
      <c r="CY136" s="1679">
        <v>2</v>
      </c>
      <c r="CZ136" s="1679">
        <v>3</v>
      </c>
      <c r="DA136" s="1679">
        <v>9</v>
      </c>
      <c r="DB136" s="386">
        <v>1</v>
      </c>
      <c r="DC136" s="386"/>
      <c r="DD136" s="386">
        <v>15</v>
      </c>
      <c r="DE136" s="2045">
        <f>+(DD133+DD135)/DD136</f>
        <v>0.33333333333333331</v>
      </c>
      <c r="DG136" s="95"/>
      <c r="DH136" s="95"/>
      <c r="DI136" s="36"/>
      <c r="DJ136" s="393" t="s">
        <v>482</v>
      </c>
      <c r="DK136" s="1485"/>
      <c r="DL136" s="1485">
        <v>4</v>
      </c>
      <c r="DM136" s="1485">
        <v>2</v>
      </c>
      <c r="DN136" s="1485">
        <v>1</v>
      </c>
      <c r="DO136" s="1485">
        <v>2</v>
      </c>
      <c r="DP136" s="1485">
        <v>1</v>
      </c>
      <c r="DQ136" s="1485">
        <v>6</v>
      </c>
      <c r="DR136" s="1485">
        <v>24</v>
      </c>
      <c r="DS136" s="1485">
        <v>38</v>
      </c>
      <c r="DT136" s="86">
        <v>9</v>
      </c>
      <c r="DU136" s="86">
        <v>10</v>
      </c>
      <c r="DV136" s="86">
        <v>97</v>
      </c>
      <c r="DW136" s="560">
        <f>+(DV132+DV135-DT132)/DV136</f>
        <v>0.17525773195876287</v>
      </c>
      <c r="DY136" s="1209"/>
      <c r="DZ136" s="1209"/>
      <c r="EA136" s="1210"/>
      <c r="EB136" s="1211" t="s">
        <v>1080</v>
      </c>
      <c r="EC136" s="1212"/>
      <c r="ED136" s="1213">
        <v>0</v>
      </c>
      <c r="EE136" s="1212"/>
      <c r="EF136" s="1212"/>
      <c r="EG136" s="1213">
        <v>0</v>
      </c>
      <c r="EH136" s="1213">
        <v>0</v>
      </c>
      <c r="EI136" s="1213">
        <v>0</v>
      </c>
      <c r="EJ136" s="1213">
        <v>6</v>
      </c>
      <c r="EK136" s="612">
        <v>0</v>
      </c>
      <c r="EL136" s="611"/>
      <c r="EM136" s="612">
        <v>6</v>
      </c>
      <c r="EN136" s="36"/>
      <c r="EP136" s="527"/>
      <c r="EQ136" s="527"/>
      <c r="ER136" s="528" t="s">
        <v>127</v>
      </c>
      <c r="ES136" s="529" t="s">
        <v>1072</v>
      </c>
      <c r="ET136" s="531">
        <v>1</v>
      </c>
      <c r="EU136" s="531">
        <v>1</v>
      </c>
      <c r="EV136" s="530"/>
      <c r="EW136" s="530"/>
      <c r="EX136" s="530"/>
      <c r="EY136" s="530"/>
      <c r="EZ136" s="531">
        <v>0</v>
      </c>
      <c r="FA136" s="530"/>
      <c r="FB136" s="527"/>
      <c r="FC136" s="527"/>
      <c r="FD136" s="532">
        <v>2</v>
      </c>
      <c r="FE136" s="95"/>
      <c r="FG136" s="533"/>
      <c r="FH136" s="533"/>
      <c r="FI136" s="533"/>
      <c r="FJ136" s="534" t="s">
        <v>1074</v>
      </c>
      <c r="FK136" s="535"/>
      <c r="FL136" s="535"/>
      <c r="FM136" s="535"/>
      <c r="FN136" s="536">
        <v>1</v>
      </c>
      <c r="FO136" s="535"/>
      <c r="FP136" s="535"/>
      <c r="FQ136" s="536">
        <v>0</v>
      </c>
      <c r="FR136" s="536">
        <v>0</v>
      </c>
      <c r="FS136" s="536">
        <v>0</v>
      </c>
      <c r="FT136" s="537"/>
      <c r="FU136" s="537"/>
      <c r="FV136" s="538">
        <v>1</v>
      </c>
      <c r="FW136" s="539"/>
      <c r="FY136" s="540"/>
      <c r="FZ136" s="540"/>
      <c r="GA136" s="540"/>
      <c r="GB136" s="541" t="s">
        <v>1081</v>
      </c>
      <c r="GC136" s="542"/>
      <c r="GD136" s="542"/>
      <c r="GE136" s="542"/>
      <c r="GF136" s="543">
        <v>0</v>
      </c>
      <c r="GG136" s="542"/>
      <c r="GH136" s="542"/>
      <c r="GI136" s="543">
        <v>1</v>
      </c>
      <c r="GJ136" s="543">
        <v>0</v>
      </c>
      <c r="GK136" s="542"/>
      <c r="GL136" s="542"/>
      <c r="GM136" s="543">
        <v>1</v>
      </c>
      <c r="GN136" s="445"/>
      <c r="GP136" s="63"/>
      <c r="GQ136" s="63" t="s">
        <v>103</v>
      </c>
      <c r="GR136" s="37" t="s">
        <v>142</v>
      </c>
      <c r="GS136" s="37" t="s">
        <v>1072</v>
      </c>
      <c r="GT136" s="63"/>
      <c r="GU136" s="63">
        <v>1</v>
      </c>
      <c r="GV136" s="63"/>
      <c r="GW136" s="63"/>
      <c r="GX136" s="63">
        <v>2</v>
      </c>
      <c r="GY136" s="63">
        <v>1</v>
      </c>
      <c r="GZ136" s="63">
        <v>0</v>
      </c>
      <c r="HA136" s="63"/>
      <c r="HB136" s="63"/>
      <c r="HC136" s="63"/>
      <c r="HD136" s="63">
        <v>4</v>
      </c>
      <c r="HE136" s="37"/>
      <c r="HF136" s="37"/>
      <c r="HG136" s="446"/>
      <c r="HH136" s="446"/>
      <c r="HI136" s="446"/>
      <c r="HJ136" s="446" t="s">
        <v>1080</v>
      </c>
      <c r="HK136" s="446">
        <v>0</v>
      </c>
      <c r="HL136" s="446">
        <v>0</v>
      </c>
      <c r="HM136" s="446">
        <v>0</v>
      </c>
      <c r="HN136" s="446">
        <v>0</v>
      </c>
      <c r="HO136" s="446">
        <v>0</v>
      </c>
      <c r="HP136" s="446">
        <v>0</v>
      </c>
      <c r="HQ136" s="446">
        <v>0</v>
      </c>
      <c r="HR136" s="446">
        <v>1</v>
      </c>
      <c r="HS136" s="446">
        <v>2</v>
      </c>
      <c r="HT136" s="446">
        <v>0</v>
      </c>
      <c r="HU136" s="446">
        <v>0</v>
      </c>
      <c r="HV136" s="447">
        <v>3</v>
      </c>
      <c r="HW136" s="544"/>
      <c r="HX136" s="448"/>
    </row>
    <row r="137" spans="1:232">
      <c r="A137" s="5682">
        <v>2</v>
      </c>
      <c r="B137" s="5682">
        <v>1</v>
      </c>
      <c r="C137" s="5683" t="s">
        <v>122</v>
      </c>
      <c r="D137" s="5683" t="s">
        <v>2709</v>
      </c>
      <c r="E137" s="5682">
        <v>1</v>
      </c>
      <c r="F137" s="5682">
        <v>6</v>
      </c>
      <c r="I137" s="4915">
        <v>2</v>
      </c>
      <c r="J137" s="4915">
        <v>1</v>
      </c>
      <c r="K137" s="4916" t="s">
        <v>388</v>
      </c>
      <c r="L137" s="4916" t="s">
        <v>2709</v>
      </c>
      <c r="M137" s="4915">
        <v>1</v>
      </c>
      <c r="N137" s="4915">
        <v>7</v>
      </c>
      <c r="O137" s="157"/>
      <c r="Q137" s="4705"/>
      <c r="R137" s="4744"/>
      <c r="S137" s="4749" t="s">
        <v>16</v>
      </c>
      <c r="T137" s="4737"/>
      <c r="U137" s="4767">
        <f>SUM(U135,U127,U120)</f>
        <v>80</v>
      </c>
      <c r="V137" s="4767"/>
      <c r="W137" s="4752">
        <f>(U136)/(U137)</f>
        <v>0.47499999999999998</v>
      </c>
      <c r="X137" s="4452"/>
      <c r="Y137" s="36"/>
      <c r="Z137" s="36"/>
      <c r="AA137" s="36"/>
      <c r="AB137" s="36" t="s">
        <v>1074</v>
      </c>
      <c r="AC137" s="1681"/>
      <c r="AD137" s="1681"/>
      <c r="AE137" s="1681">
        <v>1</v>
      </c>
      <c r="AF137" s="1681"/>
      <c r="AG137" s="1681"/>
      <c r="AH137" s="1681"/>
      <c r="AI137" s="1681">
        <v>0</v>
      </c>
      <c r="AJ137" s="1681">
        <v>0</v>
      </c>
      <c r="AK137" s="1681"/>
      <c r="AL137" s="95"/>
      <c r="AM137" s="95">
        <v>1</v>
      </c>
      <c r="AN137" s="4545"/>
      <c r="AS137" s="3868" t="s">
        <v>1080</v>
      </c>
      <c r="AT137" s="3721">
        <v>0</v>
      </c>
      <c r="AU137" s="3721">
        <v>0</v>
      </c>
      <c r="AV137" s="3721"/>
      <c r="AW137" s="3721"/>
      <c r="AX137" s="3721"/>
      <c r="AY137" s="3721">
        <v>0</v>
      </c>
      <c r="AZ137" s="3721">
        <v>0</v>
      </c>
      <c r="BA137" s="3721">
        <v>3</v>
      </c>
      <c r="BB137" s="3721">
        <v>2</v>
      </c>
      <c r="BC137" s="2110">
        <v>1</v>
      </c>
      <c r="BD137" s="2110"/>
      <c r="BE137" s="2110">
        <v>6</v>
      </c>
      <c r="BF137" s="2110"/>
      <c r="BG137" s="2110"/>
      <c r="BK137" s="32" t="s">
        <v>1076</v>
      </c>
      <c r="BL137" s="3871"/>
      <c r="BM137" s="3871"/>
      <c r="BN137" s="3871"/>
      <c r="BO137" s="3871"/>
      <c r="BP137" s="3871"/>
      <c r="BQ137" s="3871">
        <v>0</v>
      </c>
      <c r="BR137" s="3871">
        <v>1</v>
      </c>
      <c r="BS137" s="3871"/>
      <c r="BT137" s="1518">
        <v>0</v>
      </c>
      <c r="BU137" s="1518">
        <v>1</v>
      </c>
      <c r="BX137" s="36"/>
      <c r="BY137" s="36"/>
      <c r="BZ137" s="36"/>
      <c r="CA137" s="36" t="s">
        <v>1163</v>
      </c>
      <c r="CB137" s="1681"/>
      <c r="CC137" s="1681"/>
      <c r="CD137" s="1681"/>
      <c r="CE137" s="1681"/>
      <c r="CF137" s="1681"/>
      <c r="CG137" s="1681"/>
      <c r="CH137" s="1681">
        <v>7</v>
      </c>
      <c r="CI137" s="1681">
        <v>14</v>
      </c>
      <c r="CJ137" s="95"/>
      <c r="CK137" s="95">
        <v>0</v>
      </c>
      <c r="CL137" s="95">
        <v>21</v>
      </c>
      <c r="CM137" s="36"/>
      <c r="CO137" s="37"/>
      <c r="CP137" s="37"/>
      <c r="CQ137" s="37" t="s">
        <v>123</v>
      </c>
      <c r="CR137" s="37" t="s">
        <v>1071</v>
      </c>
      <c r="CS137" s="1678"/>
      <c r="CT137" s="1678"/>
      <c r="CU137" s="1678"/>
      <c r="CV137" s="1678"/>
      <c r="CW137" s="1678"/>
      <c r="CX137" s="1678">
        <v>0</v>
      </c>
      <c r="CY137" s="1678">
        <v>0</v>
      </c>
      <c r="CZ137" s="1678">
        <v>1</v>
      </c>
      <c r="DA137" s="1678">
        <v>1</v>
      </c>
      <c r="DB137" s="63">
        <v>0</v>
      </c>
      <c r="DC137" s="63">
        <v>1</v>
      </c>
      <c r="DD137" s="63">
        <v>3</v>
      </c>
      <c r="DG137" s="95"/>
      <c r="DH137" s="95" t="s">
        <v>16</v>
      </c>
      <c r="DI137" s="36" t="s">
        <v>124</v>
      </c>
      <c r="DJ137" s="36" t="s">
        <v>1072</v>
      </c>
      <c r="DK137" s="1484"/>
      <c r="DL137" s="1484">
        <v>0</v>
      </c>
      <c r="DM137" s="1484">
        <v>0</v>
      </c>
      <c r="DN137" s="1484"/>
      <c r="DO137" s="1484"/>
      <c r="DP137" s="1484"/>
      <c r="DQ137" s="1484">
        <v>5</v>
      </c>
      <c r="DR137" s="1484"/>
      <c r="DS137" s="1484"/>
      <c r="DT137" s="95"/>
      <c r="DU137" s="95"/>
      <c r="DV137" s="95">
        <v>5</v>
      </c>
      <c r="DW137" s="95"/>
      <c r="DY137" s="1209"/>
      <c r="DZ137" s="1209"/>
      <c r="EA137" s="1210"/>
      <c r="EB137" s="1211" t="s">
        <v>1163</v>
      </c>
      <c r="EC137" s="1212"/>
      <c r="ED137" s="1213">
        <v>0</v>
      </c>
      <c r="EE137" s="1212"/>
      <c r="EF137" s="1212"/>
      <c r="EG137" s="1213">
        <v>0</v>
      </c>
      <c r="EH137" s="1213">
        <v>2</v>
      </c>
      <c r="EI137" s="1213">
        <v>0</v>
      </c>
      <c r="EJ137" s="1213">
        <v>0</v>
      </c>
      <c r="EK137" s="612">
        <v>0</v>
      </c>
      <c r="EL137" s="611"/>
      <c r="EM137" s="612">
        <v>2</v>
      </c>
      <c r="EN137" s="36"/>
      <c r="EP137" s="527"/>
      <c r="EQ137" s="527"/>
      <c r="ER137" s="528"/>
      <c r="ES137" s="529" t="s">
        <v>1076</v>
      </c>
      <c r="ET137" s="531">
        <v>0</v>
      </c>
      <c r="EU137" s="531">
        <v>0</v>
      </c>
      <c r="EV137" s="530"/>
      <c r="EW137" s="530"/>
      <c r="EX137" s="530"/>
      <c r="EY137" s="530"/>
      <c r="EZ137" s="531">
        <v>5</v>
      </c>
      <c r="FA137" s="530"/>
      <c r="FB137" s="527"/>
      <c r="FC137" s="527"/>
      <c r="FD137" s="532">
        <v>5</v>
      </c>
      <c r="FE137" s="95"/>
      <c r="FG137" s="533"/>
      <c r="FH137" s="533"/>
      <c r="FI137" s="533"/>
      <c r="FJ137" s="534" t="s">
        <v>1076</v>
      </c>
      <c r="FK137" s="535"/>
      <c r="FL137" s="535"/>
      <c r="FM137" s="535"/>
      <c r="FN137" s="536">
        <v>0</v>
      </c>
      <c r="FO137" s="535"/>
      <c r="FP137" s="535"/>
      <c r="FQ137" s="536">
        <v>6</v>
      </c>
      <c r="FR137" s="536">
        <v>3</v>
      </c>
      <c r="FS137" s="536">
        <v>0</v>
      </c>
      <c r="FT137" s="537"/>
      <c r="FU137" s="537"/>
      <c r="FV137" s="538">
        <v>9</v>
      </c>
      <c r="FW137" s="539"/>
      <c r="FY137" s="540"/>
      <c r="FZ137" s="540"/>
      <c r="GA137" s="540"/>
      <c r="GB137" s="541" t="s">
        <v>1163</v>
      </c>
      <c r="GC137" s="542"/>
      <c r="GD137" s="542"/>
      <c r="GE137" s="542"/>
      <c r="GF137" s="543">
        <v>0</v>
      </c>
      <c r="GG137" s="542"/>
      <c r="GH137" s="542"/>
      <c r="GI137" s="543">
        <v>3</v>
      </c>
      <c r="GJ137" s="543">
        <v>0</v>
      </c>
      <c r="GK137" s="542"/>
      <c r="GL137" s="542"/>
      <c r="GM137" s="543">
        <v>3</v>
      </c>
      <c r="GN137" s="445"/>
      <c r="GP137" s="63"/>
      <c r="GQ137" s="63"/>
      <c r="GR137" s="37"/>
      <c r="GS137" s="37" t="s">
        <v>1076</v>
      </c>
      <c r="GT137" s="63"/>
      <c r="GU137" s="63">
        <v>0</v>
      </c>
      <c r="GV137" s="63"/>
      <c r="GW137" s="63"/>
      <c r="GX137" s="63">
        <v>0</v>
      </c>
      <c r="GY137" s="63">
        <v>4</v>
      </c>
      <c r="GZ137" s="63">
        <v>1</v>
      </c>
      <c r="HA137" s="63"/>
      <c r="HB137" s="63"/>
      <c r="HC137" s="63"/>
      <c r="HD137" s="63">
        <v>5</v>
      </c>
      <c r="HE137" s="37"/>
      <c r="HF137" s="37"/>
      <c r="HG137" s="446"/>
      <c r="HH137" s="446"/>
      <c r="HI137" s="446"/>
      <c r="HJ137" s="446" t="s">
        <v>1163</v>
      </c>
      <c r="HK137" s="446">
        <v>0</v>
      </c>
      <c r="HL137" s="446">
        <v>0</v>
      </c>
      <c r="HM137" s="446">
        <v>0</v>
      </c>
      <c r="HN137" s="446">
        <v>0</v>
      </c>
      <c r="HO137" s="446">
        <v>0</v>
      </c>
      <c r="HP137" s="446">
        <v>0</v>
      </c>
      <c r="HQ137" s="446">
        <v>1</v>
      </c>
      <c r="HR137" s="446">
        <v>0</v>
      </c>
      <c r="HS137" s="446">
        <v>0</v>
      </c>
      <c r="HT137" s="446">
        <v>0</v>
      </c>
      <c r="HU137" s="446">
        <v>0</v>
      </c>
      <c r="HV137" s="447">
        <v>1</v>
      </c>
      <c r="HW137" s="544"/>
      <c r="HX137" s="448"/>
    </row>
    <row r="138" spans="1:232">
      <c r="A138" s="5682">
        <v>2</v>
      </c>
      <c r="B138" s="5682">
        <v>1</v>
      </c>
      <c r="C138" s="5683" t="s">
        <v>122</v>
      </c>
      <c r="D138" s="5683" t="s">
        <v>2709</v>
      </c>
      <c r="E138" s="5682">
        <v>1</v>
      </c>
      <c r="F138" s="5682">
        <v>7</v>
      </c>
      <c r="I138" s="4915"/>
      <c r="J138" s="4915"/>
      <c r="K138" s="4916"/>
      <c r="L138" s="4916"/>
      <c r="M138" s="4920">
        <f>SUM(M133:M137)</f>
        <v>8</v>
      </c>
      <c r="N138" s="4915"/>
      <c r="O138" s="4921">
        <f>(M135)/(M138)</f>
        <v>0.125</v>
      </c>
      <c r="Q138" s="4705">
        <v>2</v>
      </c>
      <c r="R138" s="4705">
        <v>3</v>
      </c>
      <c r="S138" s="4706" t="s">
        <v>286</v>
      </c>
      <c r="T138" s="4706" t="s">
        <v>2731</v>
      </c>
      <c r="U138" s="4707">
        <v>5</v>
      </c>
      <c r="V138" s="4707">
        <v>8</v>
      </c>
      <c r="W138" s="4722"/>
      <c r="Y138" s="36"/>
      <c r="Z138" s="36"/>
      <c r="AA138" s="36"/>
      <c r="AB138" s="36" t="s">
        <v>1080</v>
      </c>
      <c r="AC138" s="1681"/>
      <c r="AD138" s="1681"/>
      <c r="AE138" s="1681">
        <v>0</v>
      </c>
      <c r="AF138" s="1681"/>
      <c r="AG138" s="1681"/>
      <c r="AH138" s="1681"/>
      <c r="AI138" s="1681">
        <v>0</v>
      </c>
      <c r="AJ138" s="1681">
        <v>11</v>
      </c>
      <c r="AK138" s="1681"/>
      <c r="AL138" s="95"/>
      <c r="AM138" s="95">
        <v>11</v>
      </c>
      <c r="AN138" s="4545"/>
      <c r="AS138" s="3868" t="s">
        <v>2571</v>
      </c>
      <c r="AT138" s="3721">
        <v>1</v>
      </c>
      <c r="AU138" s="3721">
        <v>0</v>
      </c>
      <c r="AV138" s="3721"/>
      <c r="AW138" s="3721"/>
      <c r="AX138" s="3721"/>
      <c r="AY138" s="3721">
        <v>0</v>
      </c>
      <c r="AZ138" s="3721">
        <v>0</v>
      </c>
      <c r="BA138" s="3721">
        <v>0</v>
      </c>
      <c r="BB138" s="3721">
        <v>0</v>
      </c>
      <c r="BC138" s="2110">
        <v>0</v>
      </c>
      <c r="BD138" s="2110"/>
      <c r="BE138" s="2110">
        <v>1</v>
      </c>
      <c r="BF138" s="2110"/>
      <c r="BG138" s="2110"/>
      <c r="BK138" s="32" t="s">
        <v>1080</v>
      </c>
      <c r="BL138" s="3871"/>
      <c r="BM138" s="3871"/>
      <c r="BN138" s="3871"/>
      <c r="BO138" s="3871"/>
      <c r="BP138" s="3871"/>
      <c r="BQ138" s="3871">
        <v>0</v>
      </c>
      <c r="BR138" s="3871">
        <v>0</v>
      </c>
      <c r="BS138" s="3871"/>
      <c r="BT138" s="1518">
        <v>10</v>
      </c>
      <c r="BU138" s="1518">
        <v>10</v>
      </c>
      <c r="BX138" s="36"/>
      <c r="BY138" s="36"/>
      <c r="BZ138" s="36"/>
      <c r="CA138" s="393" t="s">
        <v>15</v>
      </c>
      <c r="CB138" s="1682"/>
      <c r="CC138" s="1682"/>
      <c r="CD138" s="1682"/>
      <c r="CE138" s="1682"/>
      <c r="CF138" s="1682"/>
      <c r="CG138" s="1682"/>
      <c r="CH138" s="1682">
        <v>7</v>
      </c>
      <c r="CI138" s="1682">
        <v>18</v>
      </c>
      <c r="CJ138" s="2041"/>
      <c r="CK138" s="2041">
        <v>3</v>
      </c>
      <c r="CL138" s="2041">
        <v>28</v>
      </c>
      <c r="CM138" s="560">
        <f>+(CL137+CL135)/CL138</f>
        <v>0.8214285714285714</v>
      </c>
      <c r="CN138" s="1665"/>
      <c r="CO138" s="37"/>
      <c r="CP138" s="37"/>
      <c r="CQ138" s="37"/>
      <c r="CR138" s="37" t="s">
        <v>1072</v>
      </c>
      <c r="CS138" s="1678"/>
      <c r="CT138" s="1678"/>
      <c r="CU138" s="1678"/>
      <c r="CV138" s="1678"/>
      <c r="CW138" s="1678"/>
      <c r="CX138" s="1678">
        <v>1</v>
      </c>
      <c r="CY138" s="1678">
        <v>2</v>
      </c>
      <c r="CZ138" s="1678">
        <v>1</v>
      </c>
      <c r="DA138" s="1678">
        <v>0</v>
      </c>
      <c r="DB138" s="63">
        <v>0</v>
      </c>
      <c r="DC138" s="63">
        <v>0</v>
      </c>
      <c r="DD138" s="63">
        <v>4</v>
      </c>
      <c r="DG138" s="95"/>
      <c r="DH138" s="95"/>
      <c r="DI138" s="36"/>
      <c r="DJ138" s="36" t="s">
        <v>1076</v>
      </c>
      <c r="DK138" s="1484"/>
      <c r="DL138" s="1484">
        <v>0</v>
      </c>
      <c r="DM138" s="1484">
        <v>0</v>
      </c>
      <c r="DN138" s="1484"/>
      <c r="DO138" s="1484"/>
      <c r="DP138" s="1484"/>
      <c r="DQ138" s="1484">
        <v>3</v>
      </c>
      <c r="DR138" s="1484"/>
      <c r="DS138" s="1484"/>
      <c r="DT138" s="95"/>
      <c r="DU138" s="95"/>
      <c r="DV138" s="95">
        <v>3</v>
      </c>
      <c r="DW138" s="95"/>
      <c r="DY138" s="1209"/>
      <c r="DZ138" s="1209"/>
      <c r="EA138" s="1210"/>
      <c r="EB138" s="415" t="s">
        <v>15</v>
      </c>
      <c r="EC138" s="1214"/>
      <c r="ED138" s="1215">
        <v>2</v>
      </c>
      <c r="EE138" s="1214"/>
      <c r="EF138" s="1214"/>
      <c r="EG138" s="1215">
        <v>1</v>
      </c>
      <c r="EH138" s="1215">
        <v>2</v>
      </c>
      <c r="EI138" s="1215">
        <v>1</v>
      </c>
      <c r="EJ138" s="1215">
        <v>8</v>
      </c>
      <c r="EK138" s="621">
        <v>1</v>
      </c>
      <c r="EL138" s="620"/>
      <c r="EM138" s="621">
        <v>15</v>
      </c>
      <c r="EN138" s="1178">
        <f>+(EM134+EM137)/EM138</f>
        <v>0.2</v>
      </c>
      <c r="EP138" s="527"/>
      <c r="EQ138" s="527"/>
      <c r="ER138" s="528"/>
      <c r="ES138" s="529" t="s">
        <v>1163</v>
      </c>
      <c r="ET138" s="531">
        <v>0</v>
      </c>
      <c r="EU138" s="531">
        <v>0</v>
      </c>
      <c r="EV138" s="530"/>
      <c r="EW138" s="530"/>
      <c r="EX138" s="530"/>
      <c r="EY138" s="530"/>
      <c r="EZ138" s="531">
        <v>7</v>
      </c>
      <c r="FA138" s="530"/>
      <c r="FB138" s="527"/>
      <c r="FC138" s="527"/>
      <c r="FD138" s="532">
        <v>7</v>
      </c>
      <c r="FE138" s="95"/>
      <c r="FG138" s="533"/>
      <c r="FH138" s="533"/>
      <c r="FI138" s="533"/>
      <c r="FJ138" s="534" t="s">
        <v>1080</v>
      </c>
      <c r="FK138" s="535"/>
      <c r="FL138" s="535"/>
      <c r="FM138" s="535"/>
      <c r="FN138" s="536">
        <v>0</v>
      </c>
      <c r="FO138" s="535"/>
      <c r="FP138" s="535"/>
      <c r="FQ138" s="536">
        <v>0</v>
      </c>
      <c r="FR138" s="536">
        <v>0</v>
      </c>
      <c r="FS138" s="536">
        <v>5</v>
      </c>
      <c r="FT138" s="537"/>
      <c r="FU138" s="537"/>
      <c r="FV138" s="538">
        <v>5</v>
      </c>
      <c r="FW138" s="539"/>
      <c r="FY138" s="540"/>
      <c r="FZ138" s="540"/>
      <c r="GA138" s="540"/>
      <c r="GB138" s="550" t="s">
        <v>15</v>
      </c>
      <c r="GC138" s="551"/>
      <c r="GD138" s="551"/>
      <c r="GE138" s="551"/>
      <c r="GF138" s="552">
        <v>2</v>
      </c>
      <c r="GG138" s="551"/>
      <c r="GH138" s="551"/>
      <c r="GI138" s="552">
        <v>6</v>
      </c>
      <c r="GJ138" s="552">
        <v>6</v>
      </c>
      <c r="GK138" s="551"/>
      <c r="GL138" s="551"/>
      <c r="GM138" s="552">
        <v>14</v>
      </c>
      <c r="GN138" s="553">
        <f>+(GM137+GM136+GM134)/GM138</f>
        <v>0.35714285714285715</v>
      </c>
      <c r="GP138" s="63"/>
      <c r="GQ138" s="63"/>
      <c r="GR138" s="37"/>
      <c r="GS138" s="37" t="s">
        <v>1081</v>
      </c>
      <c r="GT138" s="63"/>
      <c r="GU138" s="63">
        <v>0</v>
      </c>
      <c r="GV138" s="63"/>
      <c r="GW138" s="63"/>
      <c r="GX138" s="63">
        <v>0</v>
      </c>
      <c r="GY138" s="63">
        <v>5</v>
      </c>
      <c r="GZ138" s="63">
        <v>0</v>
      </c>
      <c r="HA138" s="63"/>
      <c r="HB138" s="63"/>
      <c r="HC138" s="63"/>
      <c r="HD138" s="63">
        <v>5</v>
      </c>
      <c r="HE138" s="37"/>
      <c r="HF138" s="37"/>
      <c r="HG138" s="446"/>
      <c r="HH138" s="446"/>
      <c r="HI138" s="446"/>
      <c r="HJ138" s="449" t="s">
        <v>15</v>
      </c>
      <c r="HK138" s="449">
        <v>0</v>
      </c>
      <c r="HL138" s="449">
        <v>0</v>
      </c>
      <c r="HM138" s="449">
        <v>2</v>
      </c>
      <c r="HN138" s="449">
        <v>0</v>
      </c>
      <c r="HO138" s="449">
        <v>2</v>
      </c>
      <c r="HP138" s="449">
        <v>0</v>
      </c>
      <c r="HQ138" s="449">
        <v>19</v>
      </c>
      <c r="HR138" s="449">
        <v>1</v>
      </c>
      <c r="HS138" s="449">
        <v>2</v>
      </c>
      <c r="HT138" s="449">
        <v>0</v>
      </c>
      <c r="HU138" s="449">
        <v>0</v>
      </c>
      <c r="HV138" s="507">
        <v>26</v>
      </c>
      <c r="HW138" s="554">
        <f>+HV137/HV138</f>
        <v>3.8461538461538464E-2</v>
      </c>
      <c r="HX138" s="448">
        <f>+HV137</f>
        <v>1</v>
      </c>
    </row>
    <row r="139" spans="1:232">
      <c r="A139" s="5682">
        <v>2</v>
      </c>
      <c r="B139" s="5682">
        <v>1</v>
      </c>
      <c r="C139" s="5683" t="s">
        <v>122</v>
      </c>
      <c r="D139" s="5683" t="s">
        <v>2709</v>
      </c>
      <c r="E139" s="5682">
        <v>2</v>
      </c>
      <c r="F139" s="5682">
        <v>8</v>
      </c>
      <c r="I139" s="4915">
        <v>2</v>
      </c>
      <c r="J139" s="4915">
        <v>1</v>
      </c>
      <c r="K139" s="4916" t="s">
        <v>681</v>
      </c>
      <c r="L139" s="4916" t="s">
        <v>2731</v>
      </c>
      <c r="M139" s="4915">
        <v>11</v>
      </c>
      <c r="N139" s="4915">
        <v>7</v>
      </c>
      <c r="O139" s="157"/>
      <c r="Q139" s="4705">
        <v>2</v>
      </c>
      <c r="R139" s="4705">
        <v>3</v>
      </c>
      <c r="S139" s="4706" t="s">
        <v>286</v>
      </c>
      <c r="T139" s="4708" t="s">
        <v>1076</v>
      </c>
      <c r="U139" s="4709">
        <v>3</v>
      </c>
      <c r="V139" s="4709">
        <v>7</v>
      </c>
      <c r="W139" s="4722"/>
      <c r="Y139" s="36"/>
      <c r="Z139" s="36"/>
      <c r="AA139" s="36"/>
      <c r="AB139" s="36" t="s">
        <v>15</v>
      </c>
      <c r="AC139" s="1681"/>
      <c r="AD139" s="1681"/>
      <c r="AE139" s="1681">
        <v>1</v>
      </c>
      <c r="AF139" s="1681"/>
      <c r="AG139" s="1681"/>
      <c r="AH139" s="1681"/>
      <c r="AI139" s="1681">
        <v>3</v>
      </c>
      <c r="AJ139" s="1681">
        <v>11</v>
      </c>
      <c r="AK139" s="1681"/>
      <c r="AL139" s="95"/>
      <c r="AM139" s="95">
        <v>15</v>
      </c>
      <c r="AN139" s="4545">
        <v>0</v>
      </c>
      <c r="AS139" s="3868" t="s">
        <v>1163</v>
      </c>
      <c r="AT139" s="3721">
        <v>0</v>
      </c>
      <c r="AU139" s="3721">
        <v>0</v>
      </c>
      <c r="AV139" s="3721"/>
      <c r="AW139" s="3721"/>
      <c r="AX139" s="3721"/>
      <c r="AY139" s="3721">
        <v>0</v>
      </c>
      <c r="AZ139" s="3721">
        <v>1</v>
      </c>
      <c r="BA139" s="3721">
        <v>0</v>
      </c>
      <c r="BB139" s="3721">
        <v>0</v>
      </c>
      <c r="BC139" s="2110">
        <v>0</v>
      </c>
      <c r="BD139" s="2110"/>
      <c r="BE139" s="2110">
        <v>1</v>
      </c>
      <c r="BF139" s="2110"/>
      <c r="BG139" s="2110"/>
      <c r="BK139" s="32" t="s">
        <v>1163</v>
      </c>
      <c r="BL139" s="3871"/>
      <c r="BM139" s="3871"/>
      <c r="BN139" s="3871"/>
      <c r="BO139" s="3871"/>
      <c r="BP139" s="3871"/>
      <c r="BQ139" s="3871">
        <v>0</v>
      </c>
      <c r="BR139" s="3871">
        <v>2</v>
      </c>
      <c r="BS139" s="3871"/>
      <c r="BT139" s="1518">
        <v>0</v>
      </c>
      <c r="BU139" s="1518">
        <v>2</v>
      </c>
      <c r="BX139" s="36"/>
      <c r="BY139" s="36"/>
      <c r="BZ139" s="393" t="s">
        <v>482</v>
      </c>
      <c r="CA139" s="393" t="s">
        <v>1071</v>
      </c>
      <c r="CB139" s="1682">
        <v>0</v>
      </c>
      <c r="CC139" s="1682">
        <v>0</v>
      </c>
      <c r="CD139" s="1682">
        <v>0</v>
      </c>
      <c r="CE139" s="1682">
        <v>0</v>
      </c>
      <c r="CF139" s="1682">
        <v>1</v>
      </c>
      <c r="CG139" s="1682">
        <v>0</v>
      </c>
      <c r="CH139" s="1682">
        <v>0</v>
      </c>
      <c r="CI139" s="1682">
        <v>3</v>
      </c>
      <c r="CJ139" s="2041">
        <v>0</v>
      </c>
      <c r="CK139" s="2041">
        <v>0</v>
      </c>
      <c r="CL139" s="2041">
        <v>4</v>
      </c>
      <c r="CM139" s="36"/>
      <c r="CO139" s="37"/>
      <c r="CP139" s="37"/>
      <c r="CQ139" s="37"/>
      <c r="CR139" s="37" t="s">
        <v>1080</v>
      </c>
      <c r="CS139" s="1678"/>
      <c r="CT139" s="1678"/>
      <c r="CU139" s="1678"/>
      <c r="CV139" s="1678"/>
      <c r="CW139" s="1678"/>
      <c r="CX139" s="1678">
        <v>0</v>
      </c>
      <c r="CY139" s="1678">
        <v>0</v>
      </c>
      <c r="CZ139" s="1678">
        <v>0</v>
      </c>
      <c r="DA139" s="1678">
        <v>0</v>
      </c>
      <c r="DB139" s="63">
        <v>3</v>
      </c>
      <c r="DC139" s="63">
        <v>1</v>
      </c>
      <c r="DD139" s="63">
        <v>4</v>
      </c>
      <c r="DG139" s="95"/>
      <c r="DH139" s="95"/>
      <c r="DI139" s="36"/>
      <c r="DJ139" s="36" t="s">
        <v>1077</v>
      </c>
      <c r="DK139" s="1484"/>
      <c r="DL139" s="1484">
        <v>1</v>
      </c>
      <c r="DM139" s="1484">
        <v>1</v>
      </c>
      <c r="DN139" s="1484"/>
      <c r="DO139" s="1484"/>
      <c r="DP139" s="1484"/>
      <c r="DQ139" s="1484">
        <v>0</v>
      </c>
      <c r="DR139" s="1484"/>
      <c r="DS139" s="1484"/>
      <c r="DT139" s="95"/>
      <c r="DU139" s="95"/>
      <c r="DV139" s="95">
        <v>2</v>
      </c>
      <c r="DW139" s="95"/>
      <c r="DY139" s="1209"/>
      <c r="DZ139" s="1209"/>
      <c r="EA139" s="1210" t="s">
        <v>681</v>
      </c>
      <c r="EB139" s="1211" t="s">
        <v>1071</v>
      </c>
      <c r="EC139" s="1213">
        <v>0</v>
      </c>
      <c r="ED139" s="1213">
        <v>0</v>
      </c>
      <c r="EE139" s="1212"/>
      <c r="EF139" s="1212"/>
      <c r="EG139" s="1213">
        <v>0</v>
      </c>
      <c r="EH139" s="1212"/>
      <c r="EI139" s="1213">
        <v>0</v>
      </c>
      <c r="EJ139" s="1213">
        <v>1</v>
      </c>
      <c r="EK139" s="612">
        <v>0</v>
      </c>
      <c r="EL139" s="612">
        <v>1</v>
      </c>
      <c r="EM139" s="612">
        <v>2</v>
      </c>
      <c r="EN139" s="36"/>
      <c r="EP139" s="527"/>
      <c r="EQ139" s="527"/>
      <c r="ER139" s="528"/>
      <c r="ES139" s="555" t="s">
        <v>15</v>
      </c>
      <c r="ET139" s="557">
        <v>1</v>
      </c>
      <c r="EU139" s="557">
        <v>1</v>
      </c>
      <c r="EV139" s="556"/>
      <c r="EW139" s="556"/>
      <c r="EX139" s="556"/>
      <c r="EY139" s="556"/>
      <c r="EZ139" s="557">
        <v>12</v>
      </c>
      <c r="FA139" s="556"/>
      <c r="FB139" s="558"/>
      <c r="FC139" s="558"/>
      <c r="FD139" s="559">
        <v>14</v>
      </c>
      <c r="FE139" s="560">
        <f>+(FD137+FD138)/FD139</f>
        <v>0.8571428571428571</v>
      </c>
      <c r="FG139" s="533"/>
      <c r="FH139" s="533"/>
      <c r="FI139" s="533"/>
      <c r="FJ139" s="534" t="s">
        <v>1163</v>
      </c>
      <c r="FK139" s="535"/>
      <c r="FL139" s="535"/>
      <c r="FM139" s="535"/>
      <c r="FN139" s="536">
        <v>0</v>
      </c>
      <c r="FO139" s="535"/>
      <c r="FP139" s="535"/>
      <c r="FQ139" s="536">
        <v>6</v>
      </c>
      <c r="FR139" s="536">
        <v>0</v>
      </c>
      <c r="FS139" s="536">
        <v>0</v>
      </c>
      <c r="FT139" s="537"/>
      <c r="FU139" s="537"/>
      <c r="FV139" s="538">
        <v>6</v>
      </c>
      <c r="FW139" s="539"/>
      <c r="FY139" s="540"/>
      <c r="FZ139" s="540"/>
      <c r="GA139" s="540" t="s">
        <v>110</v>
      </c>
      <c r="GB139" s="541" t="s">
        <v>1072</v>
      </c>
      <c r="GC139" s="542"/>
      <c r="GD139" s="542"/>
      <c r="GE139" s="543">
        <v>18</v>
      </c>
      <c r="GF139" s="543">
        <v>0</v>
      </c>
      <c r="GG139" s="542"/>
      <c r="GH139" s="542"/>
      <c r="GI139" s="542"/>
      <c r="GJ139" s="542"/>
      <c r="GK139" s="542"/>
      <c r="GL139" s="542"/>
      <c r="GM139" s="543">
        <v>18</v>
      </c>
      <c r="GN139" s="445"/>
      <c r="GP139" s="63"/>
      <c r="GQ139" s="63"/>
      <c r="GR139" s="37"/>
      <c r="GS139" s="37" t="s">
        <v>1163</v>
      </c>
      <c r="GT139" s="63"/>
      <c r="GU139" s="63">
        <v>0</v>
      </c>
      <c r="GV139" s="63"/>
      <c r="GW139" s="63"/>
      <c r="GX139" s="63">
        <v>0</v>
      </c>
      <c r="GY139" s="63">
        <v>7</v>
      </c>
      <c r="GZ139" s="63">
        <v>0</v>
      </c>
      <c r="HA139" s="63"/>
      <c r="HB139" s="63"/>
      <c r="HC139" s="63"/>
      <c r="HD139" s="63">
        <v>7</v>
      </c>
      <c r="HE139" s="37"/>
      <c r="HF139" s="37"/>
      <c r="HG139" s="446"/>
      <c r="HH139" s="446"/>
      <c r="HI139" s="446" t="s">
        <v>135</v>
      </c>
      <c r="HJ139" s="446" t="s">
        <v>1072</v>
      </c>
      <c r="HK139" s="446">
        <v>0</v>
      </c>
      <c r="HL139" s="446">
        <v>0</v>
      </c>
      <c r="HM139" s="446">
        <v>0</v>
      </c>
      <c r="HN139" s="446">
        <v>0</v>
      </c>
      <c r="HO139" s="446">
        <v>1</v>
      </c>
      <c r="HP139" s="446">
        <v>0</v>
      </c>
      <c r="HQ139" s="446">
        <v>8</v>
      </c>
      <c r="HR139" s="446">
        <v>0</v>
      </c>
      <c r="HS139" s="446">
        <v>0</v>
      </c>
      <c r="HT139" s="446">
        <v>0</v>
      </c>
      <c r="HU139" s="446">
        <v>0</v>
      </c>
      <c r="HV139" s="447">
        <v>9</v>
      </c>
      <c r="HW139" s="544"/>
      <c r="HX139" s="448"/>
    </row>
    <row r="140" spans="1:232">
      <c r="A140" s="5682">
        <v>2</v>
      </c>
      <c r="B140" s="5682">
        <v>1</v>
      </c>
      <c r="C140" s="5683" t="s">
        <v>122</v>
      </c>
      <c r="D140" s="5683" t="s">
        <v>2709</v>
      </c>
      <c r="E140" s="5682">
        <v>1</v>
      </c>
      <c r="F140" s="5682">
        <v>9</v>
      </c>
      <c r="I140" s="4915">
        <v>2</v>
      </c>
      <c r="J140" s="4915">
        <v>1</v>
      </c>
      <c r="K140" s="4916" t="s">
        <v>681</v>
      </c>
      <c r="L140" s="4916" t="s">
        <v>2731</v>
      </c>
      <c r="M140" s="4915">
        <v>5</v>
      </c>
      <c r="N140" s="4915">
        <v>9</v>
      </c>
      <c r="O140" s="157"/>
      <c r="Q140" s="4705">
        <v>2</v>
      </c>
      <c r="R140" s="4705">
        <v>3</v>
      </c>
      <c r="S140" s="4706" t="s">
        <v>286</v>
      </c>
      <c r="T140" s="4706" t="s">
        <v>2709</v>
      </c>
      <c r="U140" s="4707">
        <v>1</v>
      </c>
      <c r="V140" s="4707">
        <v>7</v>
      </c>
      <c r="W140" s="4722"/>
      <c r="Y140" s="36"/>
      <c r="Z140" s="36"/>
      <c r="AA140" s="36" t="s">
        <v>128</v>
      </c>
      <c r="AB140" s="36" t="s">
        <v>1072</v>
      </c>
      <c r="AC140" s="1681"/>
      <c r="AD140" s="1681">
        <v>1</v>
      </c>
      <c r="AE140" s="1681"/>
      <c r="AF140" s="1681"/>
      <c r="AG140" s="1681"/>
      <c r="AH140" s="1681"/>
      <c r="AI140" s="1681">
        <v>2</v>
      </c>
      <c r="AJ140" s="1681">
        <v>0</v>
      </c>
      <c r="AK140" s="1681"/>
      <c r="AL140" s="95"/>
      <c r="AM140" s="95">
        <v>3</v>
      </c>
      <c r="AN140" s="4545"/>
      <c r="AS140" s="27" t="s">
        <v>15</v>
      </c>
      <c r="AT140" s="3722">
        <v>1</v>
      </c>
      <c r="AU140" s="3722">
        <v>1</v>
      </c>
      <c r="AV140" s="3722"/>
      <c r="AW140" s="3722"/>
      <c r="AX140" s="3722"/>
      <c r="AY140" s="3722">
        <v>1</v>
      </c>
      <c r="AZ140" s="3722">
        <v>2</v>
      </c>
      <c r="BA140" s="3722">
        <v>4</v>
      </c>
      <c r="BB140" s="3722">
        <v>2</v>
      </c>
      <c r="BC140" s="3701">
        <v>2</v>
      </c>
      <c r="BD140" s="3701"/>
      <c r="BE140" s="3701">
        <v>13</v>
      </c>
      <c r="BF140" s="1665">
        <f>+BE139/BE140</f>
        <v>7.6923076923076927E-2</v>
      </c>
      <c r="BG140" s="1665"/>
      <c r="BK140" s="1520" t="s">
        <v>15</v>
      </c>
      <c r="BL140" s="3872"/>
      <c r="BM140" s="3872"/>
      <c r="BN140" s="3872"/>
      <c r="BO140" s="3872"/>
      <c r="BP140" s="3872"/>
      <c r="BQ140" s="3872">
        <v>1</v>
      </c>
      <c r="BR140" s="3872">
        <v>3</v>
      </c>
      <c r="BS140" s="3872"/>
      <c r="BT140" s="3806">
        <v>10</v>
      </c>
      <c r="BU140" s="3806">
        <v>14</v>
      </c>
      <c r="BV140" s="3807">
        <f>+(BU137+BU139)/BU140</f>
        <v>0.21428571428571427</v>
      </c>
      <c r="BX140" s="36"/>
      <c r="BY140" s="36"/>
      <c r="BZ140" s="393"/>
      <c r="CA140" s="393" t="s">
        <v>1072</v>
      </c>
      <c r="CB140" s="1682">
        <v>1</v>
      </c>
      <c r="CC140" s="1682">
        <v>1</v>
      </c>
      <c r="CD140" s="1682">
        <v>0</v>
      </c>
      <c r="CE140" s="1682">
        <v>1</v>
      </c>
      <c r="CF140" s="1682">
        <v>0</v>
      </c>
      <c r="CG140" s="1682">
        <v>1</v>
      </c>
      <c r="CH140" s="1682">
        <v>3</v>
      </c>
      <c r="CI140" s="1682">
        <v>1</v>
      </c>
      <c r="CJ140" s="2041">
        <v>0</v>
      </c>
      <c r="CK140" s="2041">
        <v>0</v>
      </c>
      <c r="CL140" s="2041">
        <v>8</v>
      </c>
      <c r="CM140" s="36"/>
      <c r="CO140" s="37"/>
      <c r="CP140" s="37"/>
      <c r="CQ140" s="37"/>
      <c r="CR140" s="416" t="s">
        <v>15</v>
      </c>
      <c r="CS140" s="1679"/>
      <c r="CT140" s="1679"/>
      <c r="CU140" s="1679"/>
      <c r="CV140" s="1679"/>
      <c r="CW140" s="1679"/>
      <c r="CX140" s="1679">
        <v>1</v>
      </c>
      <c r="CY140" s="1679">
        <v>2</v>
      </c>
      <c r="CZ140" s="1679">
        <v>2</v>
      </c>
      <c r="DA140" s="1679">
        <v>1</v>
      </c>
      <c r="DB140" s="386">
        <v>3</v>
      </c>
      <c r="DC140" s="386">
        <v>2</v>
      </c>
      <c r="DD140" s="386">
        <v>11</v>
      </c>
      <c r="DE140" s="2045">
        <v>0</v>
      </c>
      <c r="DG140" s="95"/>
      <c r="DH140" s="95"/>
      <c r="DI140" s="36"/>
      <c r="DJ140" s="36" t="s">
        <v>1163</v>
      </c>
      <c r="DK140" s="1484"/>
      <c r="DL140" s="1484">
        <v>0</v>
      </c>
      <c r="DM140" s="1484">
        <v>0</v>
      </c>
      <c r="DN140" s="1484"/>
      <c r="DO140" s="1484"/>
      <c r="DP140" s="1484"/>
      <c r="DQ140" s="1484">
        <v>5</v>
      </c>
      <c r="DR140" s="1484"/>
      <c r="DS140" s="1484"/>
      <c r="DT140" s="95"/>
      <c r="DU140" s="95"/>
      <c r="DV140" s="95">
        <v>5</v>
      </c>
      <c r="DW140" s="95"/>
      <c r="DY140" s="1209"/>
      <c r="DZ140" s="1209"/>
      <c r="EA140" s="1210"/>
      <c r="EB140" s="1211" t="s">
        <v>1072</v>
      </c>
      <c r="EC140" s="1213">
        <v>0</v>
      </c>
      <c r="ED140" s="1213">
        <v>0</v>
      </c>
      <c r="EE140" s="1212"/>
      <c r="EF140" s="1212"/>
      <c r="EG140" s="1213">
        <v>0</v>
      </c>
      <c r="EH140" s="1212"/>
      <c r="EI140" s="1213">
        <v>1</v>
      </c>
      <c r="EJ140" s="1213">
        <v>0</v>
      </c>
      <c r="EK140" s="612">
        <v>2</v>
      </c>
      <c r="EL140" s="612">
        <v>0</v>
      </c>
      <c r="EM140" s="612">
        <v>3</v>
      </c>
      <c r="EN140" s="36"/>
      <c r="EP140" s="527"/>
      <c r="EQ140" s="527"/>
      <c r="ER140" s="528" t="s">
        <v>483</v>
      </c>
      <c r="ES140" s="529" t="s">
        <v>1072</v>
      </c>
      <c r="ET140" s="531">
        <v>1</v>
      </c>
      <c r="EU140" s="531">
        <v>3</v>
      </c>
      <c r="EV140" s="531">
        <v>0</v>
      </c>
      <c r="EW140" s="530"/>
      <c r="EX140" s="530"/>
      <c r="EY140" s="531">
        <v>2</v>
      </c>
      <c r="EZ140" s="531">
        <v>5</v>
      </c>
      <c r="FA140" s="531">
        <v>0</v>
      </c>
      <c r="FB140" s="527"/>
      <c r="FC140" s="527"/>
      <c r="FD140" s="532">
        <v>11</v>
      </c>
      <c r="FE140" s="95"/>
      <c r="FG140" s="533"/>
      <c r="FH140" s="533"/>
      <c r="FI140" s="533"/>
      <c r="FJ140" s="545" t="s">
        <v>15</v>
      </c>
      <c r="FK140" s="546"/>
      <c r="FL140" s="546"/>
      <c r="FM140" s="546"/>
      <c r="FN140" s="547">
        <v>2</v>
      </c>
      <c r="FO140" s="546"/>
      <c r="FP140" s="546"/>
      <c r="FQ140" s="547">
        <v>12</v>
      </c>
      <c r="FR140" s="547">
        <v>4</v>
      </c>
      <c r="FS140" s="547">
        <v>6</v>
      </c>
      <c r="FT140" s="548"/>
      <c r="FU140" s="548"/>
      <c r="FV140" s="549">
        <v>24</v>
      </c>
      <c r="FW140" s="539">
        <f>+(FV139+FV137)/FV140</f>
        <v>0.625</v>
      </c>
      <c r="FY140" s="540"/>
      <c r="FZ140" s="540"/>
      <c r="GA140" s="540"/>
      <c r="GB140" s="541" t="s">
        <v>1076</v>
      </c>
      <c r="GC140" s="542"/>
      <c r="GD140" s="542"/>
      <c r="GE140" s="543">
        <v>3</v>
      </c>
      <c r="GF140" s="543">
        <v>1</v>
      </c>
      <c r="GG140" s="542"/>
      <c r="GH140" s="542"/>
      <c r="GI140" s="542"/>
      <c r="GJ140" s="542"/>
      <c r="GK140" s="542"/>
      <c r="GL140" s="542"/>
      <c r="GM140" s="543">
        <v>4</v>
      </c>
      <c r="GN140" s="445"/>
      <c r="GP140" s="63"/>
      <c r="GQ140" s="63"/>
      <c r="GR140" s="37"/>
      <c r="GS140" s="416" t="s">
        <v>15</v>
      </c>
      <c r="GT140" s="386"/>
      <c r="GU140" s="386">
        <v>1</v>
      </c>
      <c r="GV140" s="386"/>
      <c r="GW140" s="386"/>
      <c r="GX140" s="386">
        <v>2</v>
      </c>
      <c r="GY140" s="386">
        <v>17</v>
      </c>
      <c r="GZ140" s="386">
        <v>1</v>
      </c>
      <c r="HA140" s="386"/>
      <c r="HB140" s="386"/>
      <c r="HC140" s="386"/>
      <c r="HD140" s="386">
        <v>21</v>
      </c>
      <c r="HE140" s="466">
        <f>+(HD137+HD138+HD139)/HD140</f>
        <v>0.80952380952380953</v>
      </c>
      <c r="HF140" s="37"/>
      <c r="HG140" s="446"/>
      <c r="HH140" s="446"/>
      <c r="HI140" s="446"/>
      <c r="HJ140" s="446" t="s">
        <v>1076</v>
      </c>
      <c r="HK140" s="446">
        <v>0</v>
      </c>
      <c r="HL140" s="446">
        <v>0</v>
      </c>
      <c r="HM140" s="446">
        <v>0</v>
      </c>
      <c r="HN140" s="446">
        <v>0</v>
      </c>
      <c r="HO140" s="446">
        <v>0</v>
      </c>
      <c r="HP140" s="446">
        <v>0</v>
      </c>
      <c r="HQ140" s="446">
        <v>3</v>
      </c>
      <c r="HR140" s="446">
        <v>0</v>
      </c>
      <c r="HS140" s="446">
        <v>0</v>
      </c>
      <c r="HT140" s="446">
        <v>0</v>
      </c>
      <c r="HU140" s="446">
        <v>0</v>
      </c>
      <c r="HV140" s="447">
        <v>3</v>
      </c>
      <c r="HW140" s="544"/>
      <c r="HX140" s="448"/>
    </row>
    <row r="141" spans="1:232">
      <c r="A141" s="5682"/>
      <c r="B141" s="5682"/>
      <c r="C141" s="5683"/>
      <c r="D141" s="5683"/>
      <c r="E141" s="5686">
        <f>SUM(E134:E140)</f>
        <v>11</v>
      </c>
      <c r="F141" s="5682"/>
      <c r="G141" s="4921">
        <f>(E136)/(E141)</f>
        <v>0.18181818181818182</v>
      </c>
      <c r="I141" s="4915">
        <v>2</v>
      </c>
      <c r="J141" s="4915">
        <v>1</v>
      </c>
      <c r="K141" s="4916" t="s">
        <v>681</v>
      </c>
      <c r="L141" s="4917" t="s">
        <v>1076</v>
      </c>
      <c r="M141" s="4922">
        <v>4</v>
      </c>
      <c r="N141" s="4915">
        <v>7</v>
      </c>
      <c r="O141" s="157"/>
      <c r="Q141" s="4705"/>
      <c r="R141" s="4705"/>
      <c r="S141" s="4706"/>
      <c r="T141" s="4706"/>
      <c r="U141" s="4765">
        <f>SUM(U138:U140)</f>
        <v>9</v>
      </c>
      <c r="V141" s="4765"/>
      <c r="W141" s="4722">
        <f>(U139)/(U141)</f>
        <v>0.33333333333333331</v>
      </c>
      <c r="Y141" s="36"/>
      <c r="Z141" s="36"/>
      <c r="AA141" s="36"/>
      <c r="AB141" s="36" t="s">
        <v>1076</v>
      </c>
      <c r="AC141" s="1681"/>
      <c r="AD141" s="1681">
        <v>0</v>
      </c>
      <c r="AE141" s="1681"/>
      <c r="AF141" s="1681"/>
      <c r="AG141" s="1681"/>
      <c r="AH141" s="1681"/>
      <c r="AI141" s="1681">
        <v>5</v>
      </c>
      <c r="AJ141" s="1681">
        <v>0</v>
      </c>
      <c r="AK141" s="1681"/>
      <c r="AL141" s="95"/>
      <c r="AM141" s="95">
        <v>5</v>
      </c>
      <c r="AN141" s="4545"/>
      <c r="AR141" s="3868" t="s">
        <v>388</v>
      </c>
      <c r="AS141" s="3868" t="s">
        <v>1072</v>
      </c>
      <c r="AT141" s="3721"/>
      <c r="AU141" s="3721">
        <v>1</v>
      </c>
      <c r="AV141" s="3721"/>
      <c r="AW141" s="3721"/>
      <c r="AX141" s="3721">
        <v>0</v>
      </c>
      <c r="AY141" s="3721"/>
      <c r="AZ141" s="3721">
        <v>0</v>
      </c>
      <c r="BA141" s="3721">
        <v>1</v>
      </c>
      <c r="BB141" s="3721">
        <v>0</v>
      </c>
      <c r="BC141" s="2110"/>
      <c r="BD141" s="2110"/>
      <c r="BE141" s="2110">
        <v>2</v>
      </c>
      <c r="BF141" s="2110"/>
      <c r="BG141" s="2110"/>
      <c r="BJ141" s="1520" t="s">
        <v>482</v>
      </c>
      <c r="BK141" s="1520" t="s">
        <v>1071</v>
      </c>
      <c r="BL141" s="3872">
        <v>0</v>
      </c>
      <c r="BM141" s="3872">
        <v>0</v>
      </c>
      <c r="BN141" s="3872"/>
      <c r="BO141" s="3872">
        <v>1</v>
      </c>
      <c r="BP141" s="3872">
        <v>0</v>
      </c>
      <c r="BQ141" s="3872">
        <v>1</v>
      </c>
      <c r="BR141" s="3872">
        <v>7</v>
      </c>
      <c r="BS141" s="3872">
        <v>5</v>
      </c>
      <c r="BT141" s="3806">
        <v>3</v>
      </c>
      <c r="BU141" s="3806">
        <v>17</v>
      </c>
      <c r="BV141" s="1520"/>
      <c r="BX141" s="36"/>
      <c r="BY141" s="36"/>
      <c r="BZ141" s="393"/>
      <c r="CA141" s="393" t="s">
        <v>1076</v>
      </c>
      <c r="CB141" s="1682">
        <v>0</v>
      </c>
      <c r="CC141" s="1682">
        <v>0</v>
      </c>
      <c r="CD141" s="1682">
        <v>0</v>
      </c>
      <c r="CE141" s="1682">
        <v>0</v>
      </c>
      <c r="CF141" s="1682">
        <v>0</v>
      </c>
      <c r="CG141" s="1682">
        <v>1</v>
      </c>
      <c r="CH141" s="1682">
        <v>8</v>
      </c>
      <c r="CI141" s="1682">
        <v>5</v>
      </c>
      <c r="CJ141" s="2041">
        <v>2</v>
      </c>
      <c r="CK141" s="2041">
        <v>0</v>
      </c>
      <c r="CL141" s="2041">
        <v>16</v>
      </c>
      <c r="CM141" s="36"/>
      <c r="CO141" s="37"/>
      <c r="CP141" s="37"/>
      <c r="CQ141" s="37" t="s">
        <v>388</v>
      </c>
      <c r="CR141" s="37" t="s">
        <v>1071</v>
      </c>
      <c r="CS141" s="1678"/>
      <c r="CT141" s="1678">
        <v>0</v>
      </c>
      <c r="CU141" s="1678"/>
      <c r="CV141" s="1678"/>
      <c r="CW141" s="1678"/>
      <c r="CX141" s="1678">
        <v>0</v>
      </c>
      <c r="CY141" s="1678">
        <v>0</v>
      </c>
      <c r="CZ141" s="1678">
        <v>0</v>
      </c>
      <c r="DA141" s="1678">
        <v>0</v>
      </c>
      <c r="DB141" s="63">
        <v>1</v>
      </c>
      <c r="DC141" s="63"/>
      <c r="DD141" s="63">
        <v>1</v>
      </c>
      <c r="DG141" s="95"/>
      <c r="DH141" s="95"/>
      <c r="DI141" s="36"/>
      <c r="DJ141" s="393" t="s">
        <v>15</v>
      </c>
      <c r="DK141" s="1485"/>
      <c r="DL141" s="1485">
        <v>1</v>
      </c>
      <c r="DM141" s="1485">
        <v>1</v>
      </c>
      <c r="DN141" s="1485"/>
      <c r="DO141" s="1485"/>
      <c r="DP141" s="1485"/>
      <c r="DQ141" s="1485">
        <v>13</v>
      </c>
      <c r="DR141" s="1485"/>
      <c r="DS141" s="1485"/>
      <c r="DT141" s="86"/>
      <c r="DU141" s="86"/>
      <c r="DV141" s="86">
        <v>15</v>
      </c>
      <c r="DW141" s="560">
        <f>+(DV138+DV140)/DV141</f>
        <v>0.53333333333333333</v>
      </c>
      <c r="DY141" s="1209"/>
      <c r="DZ141" s="1209"/>
      <c r="EA141" s="1210"/>
      <c r="EB141" s="1211" t="s">
        <v>1074</v>
      </c>
      <c r="EC141" s="1213">
        <v>3</v>
      </c>
      <c r="ED141" s="1213">
        <v>1</v>
      </c>
      <c r="EE141" s="1212"/>
      <c r="EF141" s="1212"/>
      <c r="EG141" s="1213">
        <v>1</v>
      </c>
      <c r="EH141" s="1212"/>
      <c r="EI141" s="1213">
        <v>0</v>
      </c>
      <c r="EJ141" s="1213">
        <v>0</v>
      </c>
      <c r="EK141" s="612">
        <v>0</v>
      </c>
      <c r="EL141" s="612">
        <v>0</v>
      </c>
      <c r="EM141" s="612">
        <v>5</v>
      </c>
      <c r="EN141" s="36"/>
      <c r="EP141" s="527"/>
      <c r="EQ141" s="527"/>
      <c r="ER141" s="528"/>
      <c r="ES141" s="529" t="s">
        <v>1076</v>
      </c>
      <c r="ET141" s="531">
        <v>0</v>
      </c>
      <c r="EU141" s="531">
        <v>0</v>
      </c>
      <c r="EV141" s="531">
        <v>0</v>
      </c>
      <c r="EW141" s="530"/>
      <c r="EX141" s="530"/>
      <c r="EY141" s="531">
        <v>4</v>
      </c>
      <c r="EZ141" s="531">
        <v>38</v>
      </c>
      <c r="FA141" s="531">
        <v>0</v>
      </c>
      <c r="FB141" s="527"/>
      <c r="FC141" s="527"/>
      <c r="FD141" s="532">
        <v>42</v>
      </c>
      <c r="FE141" s="95"/>
      <c r="FG141" s="533"/>
      <c r="FH141" s="533"/>
      <c r="FI141" s="533" t="s">
        <v>129</v>
      </c>
      <c r="FJ141" s="534" t="s">
        <v>1072</v>
      </c>
      <c r="FK141" s="535"/>
      <c r="FL141" s="535"/>
      <c r="FM141" s="535"/>
      <c r="FN141" s="535"/>
      <c r="FO141" s="535"/>
      <c r="FP141" s="535"/>
      <c r="FQ141" s="535"/>
      <c r="FR141" s="536">
        <v>2</v>
      </c>
      <c r="FS141" s="536">
        <v>0</v>
      </c>
      <c r="FT141" s="537"/>
      <c r="FU141" s="537"/>
      <c r="FV141" s="538">
        <v>2</v>
      </c>
      <c r="FW141" s="539"/>
      <c r="FY141" s="540"/>
      <c r="FZ141" s="540"/>
      <c r="GA141" s="540"/>
      <c r="GB141" s="541" t="s">
        <v>1081</v>
      </c>
      <c r="GC141" s="542"/>
      <c r="GD141" s="542"/>
      <c r="GE141" s="543">
        <v>5</v>
      </c>
      <c r="GF141" s="543">
        <v>4</v>
      </c>
      <c r="GG141" s="542"/>
      <c r="GH141" s="542"/>
      <c r="GI141" s="542"/>
      <c r="GJ141" s="542"/>
      <c r="GK141" s="542"/>
      <c r="GL141" s="542"/>
      <c r="GM141" s="543">
        <v>9</v>
      </c>
      <c r="GN141" s="445"/>
      <c r="GP141" s="63"/>
      <c r="GQ141" s="63"/>
      <c r="GR141" s="37" t="s">
        <v>389</v>
      </c>
      <c r="GS141" s="37" t="s">
        <v>1072</v>
      </c>
      <c r="GT141" s="63"/>
      <c r="GU141" s="63"/>
      <c r="GV141" s="63"/>
      <c r="GW141" s="63"/>
      <c r="GX141" s="63"/>
      <c r="GY141" s="63">
        <v>3</v>
      </c>
      <c r="GZ141" s="63">
        <v>1</v>
      </c>
      <c r="HA141" s="63"/>
      <c r="HB141" s="63"/>
      <c r="HC141" s="63"/>
      <c r="HD141" s="63">
        <v>4</v>
      </c>
      <c r="HE141" s="37"/>
      <c r="HF141" s="37"/>
      <c r="HG141" s="446"/>
      <c r="HH141" s="446"/>
      <c r="HI141" s="446"/>
      <c r="HJ141" s="446" t="s">
        <v>1081</v>
      </c>
      <c r="HK141" s="446">
        <v>0</v>
      </c>
      <c r="HL141" s="446">
        <v>0</v>
      </c>
      <c r="HM141" s="446">
        <v>0</v>
      </c>
      <c r="HN141" s="446">
        <v>0</v>
      </c>
      <c r="HO141" s="446">
        <v>0</v>
      </c>
      <c r="HP141" s="446">
        <v>0</v>
      </c>
      <c r="HQ141" s="446">
        <v>1</v>
      </c>
      <c r="HR141" s="446">
        <v>0</v>
      </c>
      <c r="HS141" s="446">
        <v>0</v>
      </c>
      <c r="HT141" s="446">
        <v>0</v>
      </c>
      <c r="HU141" s="446">
        <v>0</v>
      </c>
      <c r="HV141" s="447">
        <v>1</v>
      </c>
      <c r="HW141" s="544"/>
      <c r="HX141" s="448"/>
    </row>
    <row r="142" spans="1:232">
      <c r="A142" s="5682">
        <v>2</v>
      </c>
      <c r="B142" s="5682">
        <v>1</v>
      </c>
      <c r="C142" s="5683" t="s">
        <v>123</v>
      </c>
      <c r="D142" s="5683" t="s">
        <v>2731</v>
      </c>
      <c r="E142" s="5682">
        <v>2</v>
      </c>
      <c r="F142" s="5682">
        <v>8</v>
      </c>
      <c r="I142" s="4915">
        <v>2</v>
      </c>
      <c r="J142" s="4915">
        <v>1</v>
      </c>
      <c r="K142" s="4916" t="s">
        <v>681</v>
      </c>
      <c r="L142" s="4917" t="s">
        <v>1076</v>
      </c>
      <c r="M142" s="4922">
        <v>7</v>
      </c>
      <c r="N142" s="4915">
        <v>8</v>
      </c>
      <c r="O142" s="157"/>
      <c r="Q142" s="4705">
        <v>2</v>
      </c>
      <c r="R142" s="4705">
        <v>3</v>
      </c>
      <c r="S142" s="4706" t="s">
        <v>440</v>
      </c>
      <c r="T142" s="4706" t="s">
        <v>2731</v>
      </c>
      <c r="U142" s="4707">
        <v>1</v>
      </c>
      <c r="V142" s="4707">
        <v>8</v>
      </c>
      <c r="W142" s="4722"/>
      <c r="X142" s="4452"/>
      <c r="Y142" s="36"/>
      <c r="Z142" s="36"/>
      <c r="AA142" s="36"/>
      <c r="AB142" s="36" t="s">
        <v>1080</v>
      </c>
      <c r="AC142" s="1681"/>
      <c r="AD142" s="1681">
        <v>0</v>
      </c>
      <c r="AE142" s="1681"/>
      <c r="AF142" s="1681"/>
      <c r="AG142" s="1681"/>
      <c r="AH142" s="1681"/>
      <c r="AI142" s="1681">
        <v>0</v>
      </c>
      <c r="AJ142" s="1681">
        <v>6</v>
      </c>
      <c r="AK142" s="1681"/>
      <c r="AL142" s="95"/>
      <c r="AM142" s="95">
        <v>6</v>
      </c>
      <c r="AN142" s="4545"/>
      <c r="AS142" s="3868" t="s">
        <v>1076</v>
      </c>
      <c r="AT142" s="3721"/>
      <c r="AU142" s="3721">
        <v>0</v>
      </c>
      <c r="AV142" s="3721"/>
      <c r="AW142" s="3721"/>
      <c r="AX142" s="3721">
        <v>0</v>
      </c>
      <c r="AY142" s="3721"/>
      <c r="AZ142" s="3721">
        <v>2</v>
      </c>
      <c r="BA142" s="3721">
        <v>1</v>
      </c>
      <c r="BB142" s="3721">
        <v>0</v>
      </c>
      <c r="BC142" s="2110"/>
      <c r="BD142" s="2110"/>
      <c r="BE142" s="2110">
        <v>3</v>
      </c>
      <c r="BF142" s="2110"/>
      <c r="BG142" s="2110"/>
      <c r="BJ142" s="1520"/>
      <c r="BK142" s="1520" t="s">
        <v>1072</v>
      </c>
      <c r="BL142" s="3872">
        <v>3</v>
      </c>
      <c r="BM142" s="3872">
        <v>1</v>
      </c>
      <c r="BN142" s="3872"/>
      <c r="BO142" s="3872">
        <v>0</v>
      </c>
      <c r="BP142" s="3872">
        <v>3</v>
      </c>
      <c r="BQ142" s="3872">
        <v>2</v>
      </c>
      <c r="BR142" s="3872">
        <v>2</v>
      </c>
      <c r="BS142" s="3872">
        <v>0</v>
      </c>
      <c r="BT142" s="3806">
        <v>0</v>
      </c>
      <c r="BU142" s="3806">
        <v>11</v>
      </c>
      <c r="BV142" s="1520"/>
      <c r="BX142" s="36"/>
      <c r="BY142" s="36"/>
      <c r="BZ142" s="393"/>
      <c r="CA142" s="393" t="s">
        <v>1077</v>
      </c>
      <c r="CB142" s="1682">
        <v>0</v>
      </c>
      <c r="CC142" s="1682">
        <v>0</v>
      </c>
      <c r="CD142" s="1682">
        <v>1</v>
      </c>
      <c r="CE142" s="1682">
        <v>1</v>
      </c>
      <c r="CF142" s="1682">
        <v>0</v>
      </c>
      <c r="CG142" s="1682">
        <v>1</v>
      </c>
      <c r="CH142" s="1682">
        <v>0</v>
      </c>
      <c r="CI142" s="1682">
        <v>0</v>
      </c>
      <c r="CJ142" s="2041">
        <v>0</v>
      </c>
      <c r="CK142" s="2041">
        <v>0</v>
      </c>
      <c r="CL142" s="2041">
        <v>3</v>
      </c>
      <c r="CM142" s="36"/>
      <c r="CO142" s="37"/>
      <c r="CP142" s="37"/>
      <c r="CQ142" s="37"/>
      <c r="CR142" s="37" t="s">
        <v>1072</v>
      </c>
      <c r="CS142" s="1678"/>
      <c r="CT142" s="1678">
        <v>1</v>
      </c>
      <c r="CU142" s="1678"/>
      <c r="CV142" s="1678"/>
      <c r="CW142" s="1678"/>
      <c r="CX142" s="1678">
        <v>0</v>
      </c>
      <c r="CY142" s="1678">
        <v>0</v>
      </c>
      <c r="CZ142" s="1678">
        <v>2</v>
      </c>
      <c r="DA142" s="1678">
        <v>0</v>
      </c>
      <c r="DB142" s="63">
        <v>0</v>
      </c>
      <c r="DC142" s="63"/>
      <c r="DD142" s="63">
        <v>3</v>
      </c>
      <c r="DG142" s="95"/>
      <c r="DH142" s="95"/>
      <c r="DI142" s="36" t="s">
        <v>125</v>
      </c>
      <c r="DJ142" s="36" t="s">
        <v>1072</v>
      </c>
      <c r="DK142" s="1484"/>
      <c r="DL142" s="1484"/>
      <c r="DM142" s="1484"/>
      <c r="DN142" s="1484"/>
      <c r="DO142" s="1484"/>
      <c r="DP142" s="1484">
        <v>0</v>
      </c>
      <c r="DQ142" s="1484">
        <v>9</v>
      </c>
      <c r="DR142" s="1484">
        <v>7</v>
      </c>
      <c r="DS142" s="1484">
        <v>0</v>
      </c>
      <c r="DT142" s="95"/>
      <c r="DU142" s="95"/>
      <c r="DV142" s="95">
        <v>16</v>
      </c>
      <c r="DW142" s="95"/>
      <c r="DY142" s="1209"/>
      <c r="DZ142" s="1209"/>
      <c r="EA142" s="1210"/>
      <c r="EB142" s="1211" t="s">
        <v>1076</v>
      </c>
      <c r="EC142" s="1213">
        <v>0</v>
      </c>
      <c r="ED142" s="1213">
        <v>0</v>
      </c>
      <c r="EE142" s="1212"/>
      <c r="EF142" s="1212"/>
      <c r="EG142" s="1213">
        <v>0</v>
      </c>
      <c r="EH142" s="1212"/>
      <c r="EI142" s="1213">
        <v>0</v>
      </c>
      <c r="EJ142" s="1213">
        <v>1</v>
      </c>
      <c r="EK142" s="612">
        <v>0</v>
      </c>
      <c r="EL142" s="612">
        <v>0</v>
      </c>
      <c r="EM142" s="612">
        <v>1</v>
      </c>
      <c r="EN142" s="36"/>
      <c r="EP142" s="527"/>
      <c r="EQ142" s="527"/>
      <c r="ER142" s="528"/>
      <c r="ES142" s="529" t="s">
        <v>1077</v>
      </c>
      <c r="ET142" s="531">
        <v>1</v>
      </c>
      <c r="EU142" s="531">
        <v>1</v>
      </c>
      <c r="EV142" s="531">
        <v>1</v>
      </c>
      <c r="EW142" s="530"/>
      <c r="EX142" s="530"/>
      <c r="EY142" s="531">
        <v>0</v>
      </c>
      <c r="EZ142" s="531">
        <v>0</v>
      </c>
      <c r="FA142" s="531">
        <v>0</v>
      </c>
      <c r="FB142" s="527"/>
      <c r="FC142" s="527"/>
      <c r="FD142" s="532">
        <v>3</v>
      </c>
      <c r="FE142" s="95"/>
      <c r="FG142" s="533"/>
      <c r="FH142" s="533"/>
      <c r="FI142" s="533"/>
      <c r="FJ142" s="534" t="s">
        <v>1076</v>
      </c>
      <c r="FK142" s="535"/>
      <c r="FL142" s="535"/>
      <c r="FM142" s="535"/>
      <c r="FN142" s="535"/>
      <c r="FO142" s="535"/>
      <c r="FP142" s="535"/>
      <c r="FQ142" s="535"/>
      <c r="FR142" s="536">
        <v>10</v>
      </c>
      <c r="FS142" s="536">
        <v>0</v>
      </c>
      <c r="FT142" s="537"/>
      <c r="FU142" s="537"/>
      <c r="FV142" s="538">
        <v>10</v>
      </c>
      <c r="FW142" s="539"/>
      <c r="FY142" s="540"/>
      <c r="FZ142" s="540"/>
      <c r="GA142" s="540"/>
      <c r="GB142" s="541" t="s">
        <v>1163</v>
      </c>
      <c r="GC142" s="542"/>
      <c r="GD142" s="542"/>
      <c r="GE142" s="543">
        <v>8</v>
      </c>
      <c r="GF142" s="543">
        <v>0</v>
      </c>
      <c r="GG142" s="542"/>
      <c r="GH142" s="542"/>
      <c r="GI142" s="542"/>
      <c r="GJ142" s="542"/>
      <c r="GK142" s="542"/>
      <c r="GL142" s="542"/>
      <c r="GM142" s="543">
        <v>8</v>
      </c>
      <c r="GN142" s="445"/>
      <c r="GP142" s="63"/>
      <c r="GQ142" s="63"/>
      <c r="GR142" s="37"/>
      <c r="GS142" s="37" t="s">
        <v>1076</v>
      </c>
      <c r="GT142" s="63"/>
      <c r="GU142" s="63"/>
      <c r="GV142" s="63"/>
      <c r="GW142" s="63"/>
      <c r="GX142" s="63"/>
      <c r="GY142" s="63">
        <v>2</v>
      </c>
      <c r="GZ142" s="63">
        <v>1</v>
      </c>
      <c r="HA142" s="63"/>
      <c r="HB142" s="63"/>
      <c r="HC142" s="63"/>
      <c r="HD142" s="63">
        <v>3</v>
      </c>
      <c r="HE142" s="37"/>
      <c r="HF142" s="37"/>
      <c r="HG142" s="446"/>
      <c r="HH142" s="446"/>
      <c r="HI142" s="446"/>
      <c r="HJ142" s="446" t="s">
        <v>1163</v>
      </c>
      <c r="HK142" s="446">
        <v>0</v>
      </c>
      <c r="HL142" s="446">
        <v>0</v>
      </c>
      <c r="HM142" s="446">
        <v>0</v>
      </c>
      <c r="HN142" s="446">
        <v>0</v>
      </c>
      <c r="HO142" s="446">
        <v>0</v>
      </c>
      <c r="HP142" s="446">
        <v>0</v>
      </c>
      <c r="HQ142" s="446">
        <v>5</v>
      </c>
      <c r="HR142" s="446">
        <v>0</v>
      </c>
      <c r="HS142" s="446">
        <v>0</v>
      </c>
      <c r="HT142" s="446">
        <v>0</v>
      </c>
      <c r="HU142" s="446">
        <v>0</v>
      </c>
      <c r="HV142" s="447">
        <v>5</v>
      </c>
      <c r="HW142" s="544"/>
      <c r="HX142" s="448"/>
    </row>
    <row r="143" spans="1:232">
      <c r="A143" s="5682">
        <v>2</v>
      </c>
      <c r="B143" s="5682">
        <v>1</v>
      </c>
      <c r="C143" s="5683" t="s">
        <v>123</v>
      </c>
      <c r="D143" s="5683" t="s">
        <v>2731</v>
      </c>
      <c r="E143" s="5682">
        <v>3</v>
      </c>
      <c r="F143" s="5682">
        <v>9</v>
      </c>
      <c r="I143" s="4915">
        <v>2</v>
      </c>
      <c r="J143" s="4915">
        <v>1</v>
      </c>
      <c r="K143" s="4916" t="s">
        <v>681</v>
      </c>
      <c r="L143" s="4916" t="s">
        <v>2709</v>
      </c>
      <c r="M143" s="4915">
        <v>7</v>
      </c>
      <c r="N143" s="4915">
        <v>6</v>
      </c>
      <c r="O143" s="157"/>
      <c r="Q143" s="4705">
        <v>2</v>
      </c>
      <c r="R143" s="4705">
        <v>3</v>
      </c>
      <c r="S143" s="4706" t="s">
        <v>440</v>
      </c>
      <c r="T143" s="4706" t="s">
        <v>2703</v>
      </c>
      <c r="U143" s="4707">
        <v>1</v>
      </c>
      <c r="V143" s="4707">
        <v>2</v>
      </c>
      <c r="W143" s="4722"/>
      <c r="Y143" s="36"/>
      <c r="Z143" s="36"/>
      <c r="AA143" s="36"/>
      <c r="AB143" s="36" t="s">
        <v>15</v>
      </c>
      <c r="AC143" s="1681"/>
      <c r="AD143" s="1681">
        <v>1</v>
      </c>
      <c r="AE143" s="1681"/>
      <c r="AF143" s="1681"/>
      <c r="AG143" s="1681"/>
      <c r="AH143" s="1681"/>
      <c r="AI143" s="1681">
        <v>7</v>
      </c>
      <c r="AJ143" s="1681">
        <v>6</v>
      </c>
      <c r="AK143" s="1681"/>
      <c r="AL143" s="95"/>
      <c r="AM143" s="95">
        <v>14</v>
      </c>
      <c r="AN143" s="4545">
        <v>0</v>
      </c>
      <c r="AS143" s="3868" t="s">
        <v>1077</v>
      </c>
      <c r="AT143" s="3721"/>
      <c r="AU143" s="3721">
        <v>0</v>
      </c>
      <c r="AV143" s="3721"/>
      <c r="AW143" s="3721"/>
      <c r="AX143" s="3721">
        <v>1</v>
      </c>
      <c r="AY143" s="3721"/>
      <c r="AZ143" s="3721">
        <v>0</v>
      </c>
      <c r="BA143" s="3721">
        <v>0</v>
      </c>
      <c r="BB143" s="3721">
        <v>0</v>
      </c>
      <c r="BC143" s="2110"/>
      <c r="BD143" s="2110"/>
      <c r="BE143" s="2110">
        <v>1</v>
      </c>
      <c r="BF143" s="2110"/>
      <c r="BG143" s="2110"/>
      <c r="BJ143" s="1520"/>
      <c r="BK143" s="1520" t="s">
        <v>1076</v>
      </c>
      <c r="BL143" s="3872">
        <v>0</v>
      </c>
      <c r="BM143" s="3872">
        <v>0</v>
      </c>
      <c r="BN143" s="3872"/>
      <c r="BO143" s="3872">
        <v>0</v>
      </c>
      <c r="BP143" s="3872">
        <v>0</v>
      </c>
      <c r="BQ143" s="3872">
        <v>4</v>
      </c>
      <c r="BR143" s="3872">
        <v>4</v>
      </c>
      <c r="BS143" s="3872">
        <v>1</v>
      </c>
      <c r="BT143" s="3806">
        <v>0</v>
      </c>
      <c r="BU143" s="3806">
        <v>9</v>
      </c>
      <c r="BV143" s="1520"/>
      <c r="BX143" s="36"/>
      <c r="BY143" s="36"/>
      <c r="BZ143" s="393"/>
      <c r="CA143" s="393" t="s">
        <v>1080</v>
      </c>
      <c r="CB143" s="1682">
        <v>0</v>
      </c>
      <c r="CC143" s="1682">
        <v>0</v>
      </c>
      <c r="CD143" s="1682">
        <v>0</v>
      </c>
      <c r="CE143" s="1682">
        <v>0</v>
      </c>
      <c r="CF143" s="1682">
        <v>0</v>
      </c>
      <c r="CG143" s="1682">
        <v>0</v>
      </c>
      <c r="CH143" s="1682">
        <v>0</v>
      </c>
      <c r="CI143" s="1682">
        <v>27</v>
      </c>
      <c r="CJ143" s="2041">
        <v>7</v>
      </c>
      <c r="CK143" s="2041">
        <v>5</v>
      </c>
      <c r="CL143" s="2041">
        <v>39</v>
      </c>
      <c r="CM143" s="36"/>
      <c r="CO143" s="37"/>
      <c r="CP143" s="37"/>
      <c r="CQ143" s="37"/>
      <c r="CR143" s="37" t="s">
        <v>1076</v>
      </c>
      <c r="CS143" s="1678"/>
      <c r="CT143" s="1678">
        <v>0</v>
      </c>
      <c r="CU143" s="1678"/>
      <c r="CV143" s="1678"/>
      <c r="CW143" s="1678"/>
      <c r="CX143" s="1678">
        <v>0</v>
      </c>
      <c r="CY143" s="1678">
        <v>1</v>
      </c>
      <c r="CZ143" s="1678">
        <v>3</v>
      </c>
      <c r="DA143" s="1678">
        <v>0</v>
      </c>
      <c r="DB143" s="63">
        <v>0</v>
      </c>
      <c r="DC143" s="63"/>
      <c r="DD143" s="63">
        <v>4</v>
      </c>
      <c r="DG143" s="95"/>
      <c r="DH143" s="95"/>
      <c r="DI143" s="36"/>
      <c r="DJ143" s="36" t="s">
        <v>1076</v>
      </c>
      <c r="DK143" s="1484"/>
      <c r="DL143" s="1484"/>
      <c r="DM143" s="1484"/>
      <c r="DN143" s="1484"/>
      <c r="DO143" s="1484"/>
      <c r="DP143" s="1484">
        <v>0</v>
      </c>
      <c r="DQ143" s="1484">
        <v>7</v>
      </c>
      <c r="DR143" s="1484">
        <v>16</v>
      </c>
      <c r="DS143" s="1484">
        <v>0</v>
      </c>
      <c r="DT143" s="95"/>
      <c r="DU143" s="95"/>
      <c r="DV143" s="95">
        <v>23</v>
      </c>
      <c r="DW143" s="95"/>
      <c r="DY143" s="1209"/>
      <c r="DZ143" s="1209"/>
      <c r="EA143" s="1210"/>
      <c r="EB143" s="1211" t="s">
        <v>1080</v>
      </c>
      <c r="EC143" s="1213">
        <v>0</v>
      </c>
      <c r="ED143" s="1213">
        <v>0</v>
      </c>
      <c r="EE143" s="1212"/>
      <c r="EF143" s="1212"/>
      <c r="EG143" s="1213">
        <v>0</v>
      </c>
      <c r="EH143" s="1212"/>
      <c r="EI143" s="1213">
        <v>0</v>
      </c>
      <c r="EJ143" s="1213">
        <v>0</v>
      </c>
      <c r="EK143" s="612">
        <v>0</v>
      </c>
      <c r="EL143" s="612">
        <v>9</v>
      </c>
      <c r="EM143" s="612">
        <v>9</v>
      </c>
      <c r="EN143" s="36"/>
      <c r="EP143" s="527"/>
      <c r="EQ143" s="527"/>
      <c r="ER143" s="528"/>
      <c r="ES143" s="529" t="s">
        <v>1080</v>
      </c>
      <c r="ET143" s="531">
        <v>0</v>
      </c>
      <c r="EU143" s="531">
        <v>0</v>
      </c>
      <c r="EV143" s="531">
        <v>0</v>
      </c>
      <c r="EW143" s="530"/>
      <c r="EX143" s="530"/>
      <c r="EY143" s="531">
        <v>0</v>
      </c>
      <c r="EZ143" s="531">
        <v>1</v>
      </c>
      <c r="FA143" s="531">
        <v>22</v>
      </c>
      <c r="FB143" s="527"/>
      <c r="FC143" s="527"/>
      <c r="FD143" s="532">
        <v>23</v>
      </c>
      <c r="FE143" s="95"/>
      <c r="FG143" s="533"/>
      <c r="FH143" s="533"/>
      <c r="FI143" s="533"/>
      <c r="FJ143" s="534" t="s">
        <v>1080</v>
      </c>
      <c r="FK143" s="535"/>
      <c r="FL143" s="535"/>
      <c r="FM143" s="535"/>
      <c r="FN143" s="535"/>
      <c r="FO143" s="535"/>
      <c r="FP143" s="535"/>
      <c r="FQ143" s="535"/>
      <c r="FR143" s="536">
        <v>0</v>
      </c>
      <c r="FS143" s="536">
        <v>6</v>
      </c>
      <c r="FT143" s="537"/>
      <c r="FU143" s="537"/>
      <c r="FV143" s="538">
        <v>6</v>
      </c>
      <c r="FW143" s="539"/>
      <c r="FY143" s="540"/>
      <c r="FZ143" s="540"/>
      <c r="GA143" s="540"/>
      <c r="GB143" s="550" t="s">
        <v>15</v>
      </c>
      <c r="GC143" s="551"/>
      <c r="GD143" s="551"/>
      <c r="GE143" s="552">
        <v>34</v>
      </c>
      <c r="GF143" s="552">
        <v>5</v>
      </c>
      <c r="GG143" s="551"/>
      <c r="GH143" s="551"/>
      <c r="GI143" s="551"/>
      <c r="GJ143" s="551"/>
      <c r="GK143" s="551"/>
      <c r="GL143" s="551"/>
      <c r="GM143" s="552">
        <v>39</v>
      </c>
      <c r="GN143" s="553">
        <f>+(GM142+GM141+GM140)/GM143</f>
        <v>0.53846153846153844</v>
      </c>
      <c r="GP143" s="63"/>
      <c r="GQ143" s="63"/>
      <c r="GR143" s="37"/>
      <c r="GS143" s="37" t="s">
        <v>1081</v>
      </c>
      <c r="GT143" s="63"/>
      <c r="GU143" s="63"/>
      <c r="GV143" s="63"/>
      <c r="GW143" s="63"/>
      <c r="GX143" s="63"/>
      <c r="GY143" s="63">
        <v>2</v>
      </c>
      <c r="GZ143" s="63">
        <v>2</v>
      </c>
      <c r="HA143" s="63"/>
      <c r="HB143" s="63"/>
      <c r="HC143" s="63"/>
      <c r="HD143" s="63">
        <v>4</v>
      </c>
      <c r="HE143" s="37"/>
      <c r="HF143" s="37"/>
      <c r="HG143" s="446"/>
      <c r="HH143" s="446"/>
      <c r="HI143" s="446"/>
      <c r="HJ143" s="449" t="s">
        <v>15</v>
      </c>
      <c r="HK143" s="449">
        <v>0</v>
      </c>
      <c r="HL143" s="449">
        <v>0</v>
      </c>
      <c r="HM143" s="449">
        <v>0</v>
      </c>
      <c r="HN143" s="449">
        <v>0</v>
      </c>
      <c r="HO143" s="449">
        <v>1</v>
      </c>
      <c r="HP143" s="449">
        <v>0</v>
      </c>
      <c r="HQ143" s="449">
        <v>17</v>
      </c>
      <c r="HR143" s="449">
        <v>0</v>
      </c>
      <c r="HS143" s="449">
        <v>0</v>
      </c>
      <c r="HT143" s="449">
        <v>0</v>
      </c>
      <c r="HU143" s="449">
        <v>0</v>
      </c>
      <c r="HV143" s="507">
        <v>18</v>
      </c>
      <c r="HW143" s="554">
        <f>+(HV142+HV141+HV140)/HV143</f>
        <v>0.5</v>
      </c>
      <c r="HX143" s="448">
        <f>+HV140+HV141+HV142</f>
        <v>9</v>
      </c>
    </row>
    <row r="144" spans="1:232">
      <c r="A144" s="5682">
        <v>2</v>
      </c>
      <c r="B144" s="5682">
        <v>1</v>
      </c>
      <c r="C144" s="5683" t="s">
        <v>123</v>
      </c>
      <c r="D144" s="5683" t="s">
        <v>2731</v>
      </c>
      <c r="E144" s="5682">
        <v>4</v>
      </c>
      <c r="F144" s="5682">
        <v>10</v>
      </c>
      <c r="I144" s="4915">
        <v>2</v>
      </c>
      <c r="J144" s="4915">
        <v>1</v>
      </c>
      <c r="K144" s="4916" t="s">
        <v>681</v>
      </c>
      <c r="L144" s="4916" t="s">
        <v>2709</v>
      </c>
      <c r="M144" s="4915">
        <v>1</v>
      </c>
      <c r="N144" s="4915">
        <v>7</v>
      </c>
      <c r="O144" s="157"/>
      <c r="Q144" s="4705">
        <v>2</v>
      </c>
      <c r="R144" s="4705">
        <v>3</v>
      </c>
      <c r="S144" s="4706" t="s">
        <v>440</v>
      </c>
      <c r="T144" s="4708" t="s">
        <v>2707</v>
      </c>
      <c r="U144" s="4709">
        <v>3</v>
      </c>
      <c r="V144" s="4709">
        <v>6</v>
      </c>
      <c r="W144" s="4722"/>
      <c r="Y144" s="36"/>
      <c r="Z144" s="36"/>
      <c r="AA144" s="36" t="s">
        <v>129</v>
      </c>
      <c r="AB144" s="36" t="s">
        <v>1072</v>
      </c>
      <c r="AC144" s="1681"/>
      <c r="AD144" s="1681"/>
      <c r="AE144" s="1681"/>
      <c r="AF144" s="1681"/>
      <c r="AG144" s="1681"/>
      <c r="AH144" s="1681"/>
      <c r="AI144" s="1681">
        <v>7</v>
      </c>
      <c r="AJ144" s="1681">
        <v>0</v>
      </c>
      <c r="AK144" s="1681"/>
      <c r="AL144" s="95"/>
      <c r="AM144" s="95">
        <v>7</v>
      </c>
      <c r="AN144" s="4545"/>
      <c r="AS144" s="3868" t="s">
        <v>1080</v>
      </c>
      <c r="AT144" s="3721"/>
      <c r="AU144" s="3721">
        <v>0</v>
      </c>
      <c r="AV144" s="3721"/>
      <c r="AW144" s="3721"/>
      <c r="AX144" s="3721">
        <v>0</v>
      </c>
      <c r="AY144" s="3721"/>
      <c r="AZ144" s="3721">
        <v>0</v>
      </c>
      <c r="BA144" s="3721">
        <v>1</v>
      </c>
      <c r="BB144" s="3721">
        <v>2</v>
      </c>
      <c r="BC144" s="2110"/>
      <c r="BD144" s="2110"/>
      <c r="BE144" s="2110">
        <v>3</v>
      </c>
      <c r="BF144" s="2110"/>
      <c r="BG144" s="2110"/>
      <c r="BJ144" s="1520"/>
      <c r="BK144" s="1520" t="s">
        <v>1080</v>
      </c>
      <c r="BL144" s="3872">
        <v>0</v>
      </c>
      <c r="BM144" s="3872">
        <v>0</v>
      </c>
      <c r="BN144" s="3872"/>
      <c r="BO144" s="3872">
        <v>0</v>
      </c>
      <c r="BP144" s="3872">
        <v>0</v>
      </c>
      <c r="BQ144" s="3872">
        <v>0</v>
      </c>
      <c r="BR144" s="3872">
        <v>35</v>
      </c>
      <c r="BS144" s="3872">
        <v>9</v>
      </c>
      <c r="BT144" s="3806">
        <v>13</v>
      </c>
      <c r="BU144" s="3806">
        <v>57</v>
      </c>
      <c r="BV144" s="1520"/>
      <c r="BX144" s="36"/>
      <c r="BY144" s="36"/>
      <c r="BZ144" s="393"/>
      <c r="CA144" s="393" t="s">
        <v>1163</v>
      </c>
      <c r="CB144" s="1682">
        <v>0</v>
      </c>
      <c r="CC144" s="1682">
        <v>0</v>
      </c>
      <c r="CD144" s="1682">
        <v>0</v>
      </c>
      <c r="CE144" s="1682">
        <v>0</v>
      </c>
      <c r="CF144" s="1682">
        <v>0</v>
      </c>
      <c r="CG144" s="1682">
        <v>12</v>
      </c>
      <c r="CH144" s="1682">
        <v>9</v>
      </c>
      <c r="CI144" s="1682">
        <v>16</v>
      </c>
      <c r="CJ144" s="2041">
        <v>0</v>
      </c>
      <c r="CK144" s="2041">
        <v>0</v>
      </c>
      <c r="CL144" s="2041">
        <v>37</v>
      </c>
      <c r="CM144" s="36"/>
      <c r="CO144" s="37"/>
      <c r="CP144" s="37"/>
      <c r="CQ144" s="37"/>
      <c r="CR144" s="37" t="s">
        <v>1080</v>
      </c>
      <c r="CS144" s="1678"/>
      <c r="CT144" s="1678">
        <v>0</v>
      </c>
      <c r="CU144" s="1678"/>
      <c r="CV144" s="1678"/>
      <c r="CW144" s="1678"/>
      <c r="CX144" s="1678">
        <v>1</v>
      </c>
      <c r="CY144" s="1678">
        <v>0</v>
      </c>
      <c r="CZ144" s="1678">
        <v>0</v>
      </c>
      <c r="DA144" s="1678">
        <v>6</v>
      </c>
      <c r="DB144" s="63">
        <v>0</v>
      </c>
      <c r="DC144" s="63"/>
      <c r="DD144" s="63">
        <v>7</v>
      </c>
      <c r="DG144" s="95"/>
      <c r="DH144" s="95"/>
      <c r="DI144" s="36"/>
      <c r="DJ144" s="36" t="s">
        <v>1077</v>
      </c>
      <c r="DK144" s="1484"/>
      <c r="DL144" s="1484"/>
      <c r="DM144" s="1484"/>
      <c r="DN144" s="1484"/>
      <c r="DO144" s="1484"/>
      <c r="DP144" s="1484">
        <v>2</v>
      </c>
      <c r="DQ144" s="1484">
        <v>0</v>
      </c>
      <c r="DR144" s="1484">
        <v>0</v>
      </c>
      <c r="DS144" s="1484">
        <v>0</v>
      </c>
      <c r="DT144" s="95"/>
      <c r="DU144" s="95"/>
      <c r="DV144" s="95">
        <v>2</v>
      </c>
      <c r="DW144" s="95"/>
      <c r="DY144" s="1209"/>
      <c r="DZ144" s="1209"/>
      <c r="EA144" s="1210"/>
      <c r="EB144" s="1211" t="s">
        <v>1163</v>
      </c>
      <c r="EC144" s="1213">
        <v>0</v>
      </c>
      <c r="ED144" s="1213">
        <v>0</v>
      </c>
      <c r="EE144" s="1212"/>
      <c r="EF144" s="1212"/>
      <c r="EG144" s="1213">
        <v>0</v>
      </c>
      <c r="EH144" s="1212"/>
      <c r="EI144" s="1213">
        <v>0</v>
      </c>
      <c r="EJ144" s="1213">
        <v>6</v>
      </c>
      <c r="EK144" s="612">
        <v>0</v>
      </c>
      <c r="EL144" s="612">
        <v>0</v>
      </c>
      <c r="EM144" s="612">
        <v>6</v>
      </c>
      <c r="EN144" s="36"/>
      <c r="EP144" s="527"/>
      <c r="EQ144" s="527"/>
      <c r="ER144" s="528"/>
      <c r="ES144" s="529" t="s">
        <v>1163</v>
      </c>
      <c r="ET144" s="531">
        <v>0</v>
      </c>
      <c r="EU144" s="531">
        <v>0</v>
      </c>
      <c r="EV144" s="531">
        <v>0</v>
      </c>
      <c r="EW144" s="530"/>
      <c r="EX144" s="530"/>
      <c r="EY144" s="531">
        <v>16</v>
      </c>
      <c r="EZ144" s="531">
        <v>11</v>
      </c>
      <c r="FA144" s="531">
        <v>0</v>
      </c>
      <c r="FB144" s="527"/>
      <c r="FC144" s="527"/>
      <c r="FD144" s="532">
        <v>27</v>
      </c>
      <c r="FE144" s="95"/>
      <c r="FG144" s="533"/>
      <c r="FH144" s="533"/>
      <c r="FI144" s="533"/>
      <c r="FJ144" s="545" t="s">
        <v>15</v>
      </c>
      <c r="FK144" s="546"/>
      <c r="FL144" s="546"/>
      <c r="FM144" s="546"/>
      <c r="FN144" s="546"/>
      <c r="FO144" s="546"/>
      <c r="FP144" s="546"/>
      <c r="FQ144" s="546"/>
      <c r="FR144" s="547">
        <v>12</v>
      </c>
      <c r="FS144" s="547">
        <v>6</v>
      </c>
      <c r="FT144" s="548"/>
      <c r="FU144" s="548"/>
      <c r="FV144" s="549">
        <v>18</v>
      </c>
      <c r="FW144" s="539">
        <f>+FV142/FV144</f>
        <v>0.55555555555555558</v>
      </c>
      <c r="FY144" s="540"/>
      <c r="FZ144" s="540" t="s">
        <v>41</v>
      </c>
      <c r="GA144" s="540" t="s">
        <v>137</v>
      </c>
      <c r="GB144" s="541" t="s">
        <v>1072</v>
      </c>
      <c r="GC144" s="542"/>
      <c r="GD144" s="542"/>
      <c r="GE144" s="543">
        <v>1</v>
      </c>
      <c r="GF144" s="542"/>
      <c r="GG144" s="542"/>
      <c r="GH144" s="542"/>
      <c r="GI144" s="542"/>
      <c r="GJ144" s="542"/>
      <c r="GK144" s="542"/>
      <c r="GL144" s="542"/>
      <c r="GM144" s="543">
        <v>1</v>
      </c>
      <c r="GN144" s="445"/>
      <c r="GP144" s="63"/>
      <c r="GQ144" s="63"/>
      <c r="GR144" s="37"/>
      <c r="GS144" s="37" t="s">
        <v>1163</v>
      </c>
      <c r="GT144" s="63"/>
      <c r="GU144" s="63"/>
      <c r="GV144" s="63"/>
      <c r="GW144" s="63"/>
      <c r="GX144" s="63"/>
      <c r="GY144" s="63">
        <v>2</v>
      </c>
      <c r="GZ144" s="63">
        <v>4</v>
      </c>
      <c r="HA144" s="63"/>
      <c r="HB144" s="63"/>
      <c r="HC144" s="63"/>
      <c r="HD144" s="63">
        <v>6</v>
      </c>
      <c r="HE144" s="37"/>
      <c r="HF144" s="37"/>
      <c r="HG144" s="446"/>
      <c r="HH144" s="446"/>
      <c r="HI144" s="446" t="s">
        <v>136</v>
      </c>
      <c r="HJ144" s="446" t="s">
        <v>1072</v>
      </c>
      <c r="HK144" s="446">
        <v>0</v>
      </c>
      <c r="HL144" s="446">
        <v>1</v>
      </c>
      <c r="HM144" s="446">
        <v>1</v>
      </c>
      <c r="HN144" s="446">
        <v>1</v>
      </c>
      <c r="HO144" s="446">
        <v>0</v>
      </c>
      <c r="HP144" s="446">
        <v>0</v>
      </c>
      <c r="HQ144" s="446">
        <v>9</v>
      </c>
      <c r="HR144" s="446">
        <v>0</v>
      </c>
      <c r="HS144" s="446">
        <v>0</v>
      </c>
      <c r="HT144" s="446">
        <v>0</v>
      </c>
      <c r="HU144" s="446">
        <v>0</v>
      </c>
      <c r="HV144" s="447">
        <v>12</v>
      </c>
      <c r="HW144" s="544"/>
      <c r="HX144" s="448"/>
    </row>
    <row r="145" spans="1:232">
      <c r="A145" s="5682">
        <v>2</v>
      </c>
      <c r="B145" s="5682">
        <v>1</v>
      </c>
      <c r="C145" s="5683" t="s">
        <v>123</v>
      </c>
      <c r="D145" s="5685" t="s">
        <v>1076</v>
      </c>
      <c r="E145" s="5682">
        <v>1</v>
      </c>
      <c r="F145" s="5682">
        <v>7</v>
      </c>
      <c r="I145" s="4915"/>
      <c r="J145" s="4915"/>
      <c r="K145" s="4916"/>
      <c r="L145" s="4916"/>
      <c r="M145" s="4920">
        <f>SUM(M139:M144)</f>
        <v>35</v>
      </c>
      <c r="N145" s="4915"/>
      <c r="O145" s="4921">
        <f>(M141+M142)/(M145)</f>
        <v>0.31428571428571428</v>
      </c>
      <c r="Q145" s="4705">
        <v>2</v>
      </c>
      <c r="R145" s="4705">
        <v>3</v>
      </c>
      <c r="S145" s="4706" t="s">
        <v>440</v>
      </c>
      <c r="T145" s="4708" t="s">
        <v>1076</v>
      </c>
      <c r="U145" s="4709">
        <v>8</v>
      </c>
      <c r="V145" s="4709">
        <v>7</v>
      </c>
      <c r="W145" s="4722"/>
      <c r="Y145" s="36"/>
      <c r="Z145" s="36"/>
      <c r="AA145" s="36"/>
      <c r="AB145" s="36" t="s">
        <v>1076</v>
      </c>
      <c r="AC145" s="1681"/>
      <c r="AD145" s="1681"/>
      <c r="AE145" s="1681"/>
      <c r="AF145" s="1681"/>
      <c r="AG145" s="1681"/>
      <c r="AH145" s="1681"/>
      <c r="AI145" s="1681">
        <v>3</v>
      </c>
      <c r="AJ145" s="1681">
        <v>0</v>
      </c>
      <c r="AK145" s="1681"/>
      <c r="AL145" s="95"/>
      <c r="AM145" s="95">
        <v>3</v>
      </c>
      <c r="AN145" s="4545"/>
      <c r="AS145" s="3868" t="s">
        <v>1163</v>
      </c>
      <c r="AT145" s="3721"/>
      <c r="AU145" s="3721">
        <v>0</v>
      </c>
      <c r="AV145" s="3721"/>
      <c r="AW145" s="3721"/>
      <c r="AX145" s="3721">
        <v>0</v>
      </c>
      <c r="AY145" s="3721"/>
      <c r="AZ145" s="3721">
        <v>3</v>
      </c>
      <c r="BA145" s="3721">
        <v>0</v>
      </c>
      <c r="BB145" s="3721">
        <v>0</v>
      </c>
      <c r="BC145" s="2110"/>
      <c r="BD145" s="2110"/>
      <c r="BE145" s="2110">
        <v>3</v>
      </c>
      <c r="BF145" s="2110"/>
      <c r="BG145" s="2110"/>
      <c r="BJ145" s="1520"/>
      <c r="BK145" s="1520" t="s">
        <v>1163</v>
      </c>
      <c r="BL145" s="3872">
        <v>0</v>
      </c>
      <c r="BM145" s="3872">
        <v>0</v>
      </c>
      <c r="BN145" s="3872"/>
      <c r="BO145" s="3872">
        <v>0</v>
      </c>
      <c r="BP145" s="3872">
        <v>2</v>
      </c>
      <c r="BQ145" s="3872">
        <v>5</v>
      </c>
      <c r="BR145" s="3872">
        <v>3</v>
      </c>
      <c r="BS145" s="3872">
        <v>1</v>
      </c>
      <c r="BT145" s="3806">
        <v>0</v>
      </c>
      <c r="BU145" s="3806">
        <v>11</v>
      </c>
      <c r="BV145" s="1520"/>
      <c r="BX145" s="36"/>
      <c r="BY145" s="36"/>
      <c r="BZ145" s="393"/>
      <c r="CA145" s="393" t="s">
        <v>2416</v>
      </c>
      <c r="CB145" s="1682">
        <v>0</v>
      </c>
      <c r="CC145" s="1682">
        <v>0</v>
      </c>
      <c r="CD145" s="1682">
        <v>0</v>
      </c>
      <c r="CE145" s="1682">
        <v>0</v>
      </c>
      <c r="CF145" s="1682">
        <v>0</v>
      </c>
      <c r="CG145" s="1682">
        <v>0</v>
      </c>
      <c r="CH145" s="1682">
        <v>0</v>
      </c>
      <c r="CI145" s="1682">
        <v>0</v>
      </c>
      <c r="CJ145" s="2041">
        <v>3</v>
      </c>
      <c r="CK145" s="2041">
        <v>4</v>
      </c>
      <c r="CL145" s="2041">
        <v>7</v>
      </c>
      <c r="CM145" s="36"/>
      <c r="CO145" s="37"/>
      <c r="CP145" s="37"/>
      <c r="CQ145" s="37"/>
      <c r="CR145" s="416" t="s">
        <v>15</v>
      </c>
      <c r="CS145" s="1679"/>
      <c r="CT145" s="1679">
        <v>1</v>
      </c>
      <c r="CU145" s="1679"/>
      <c r="CV145" s="1679"/>
      <c r="CW145" s="1679"/>
      <c r="CX145" s="1679">
        <v>1</v>
      </c>
      <c r="CY145" s="1679">
        <v>1</v>
      </c>
      <c r="CZ145" s="1679">
        <v>5</v>
      </c>
      <c r="DA145" s="1679">
        <v>6</v>
      </c>
      <c r="DB145" s="386">
        <v>1</v>
      </c>
      <c r="DC145" s="386"/>
      <c r="DD145" s="386">
        <v>15</v>
      </c>
      <c r="DE145" s="2045">
        <f>+DD143/DD145</f>
        <v>0.26666666666666666</v>
      </c>
      <c r="DG145" s="95"/>
      <c r="DH145" s="95"/>
      <c r="DI145" s="36"/>
      <c r="DJ145" s="36" t="s">
        <v>1080</v>
      </c>
      <c r="DK145" s="1484"/>
      <c r="DL145" s="1484"/>
      <c r="DM145" s="1484"/>
      <c r="DN145" s="1484"/>
      <c r="DO145" s="1484"/>
      <c r="DP145" s="1484">
        <v>0</v>
      </c>
      <c r="DQ145" s="1484">
        <v>0</v>
      </c>
      <c r="DR145" s="1484">
        <v>0</v>
      </c>
      <c r="DS145" s="1484">
        <v>6</v>
      </c>
      <c r="DT145" s="95"/>
      <c r="DU145" s="95"/>
      <c r="DV145" s="95">
        <v>6</v>
      </c>
      <c r="DW145" s="95"/>
      <c r="DY145" s="1209"/>
      <c r="DZ145" s="1209"/>
      <c r="EA145" s="1210"/>
      <c r="EB145" s="415" t="s">
        <v>15</v>
      </c>
      <c r="EC145" s="1215">
        <v>3</v>
      </c>
      <c r="ED145" s="1215">
        <v>1</v>
      </c>
      <c r="EE145" s="1214"/>
      <c r="EF145" s="1214"/>
      <c r="EG145" s="1215">
        <v>1</v>
      </c>
      <c r="EH145" s="1214"/>
      <c r="EI145" s="1215">
        <v>1</v>
      </c>
      <c r="EJ145" s="1215">
        <v>8</v>
      </c>
      <c r="EK145" s="621">
        <v>2</v>
      </c>
      <c r="EL145" s="621">
        <v>10</v>
      </c>
      <c r="EM145" s="621">
        <v>26</v>
      </c>
      <c r="EN145" s="1178">
        <f>+(EM142+EM144)/EM145</f>
        <v>0.26923076923076922</v>
      </c>
      <c r="EP145" s="527"/>
      <c r="EQ145" s="527"/>
      <c r="ER145" s="528"/>
      <c r="ES145" s="555" t="s">
        <v>483</v>
      </c>
      <c r="ET145" s="557">
        <v>2</v>
      </c>
      <c r="EU145" s="557">
        <v>4</v>
      </c>
      <c r="EV145" s="557">
        <v>1</v>
      </c>
      <c r="EW145" s="556"/>
      <c r="EX145" s="556"/>
      <c r="EY145" s="557">
        <v>22</v>
      </c>
      <c r="EZ145" s="557">
        <v>55</v>
      </c>
      <c r="FA145" s="557">
        <v>22</v>
      </c>
      <c r="FB145" s="558"/>
      <c r="FC145" s="558"/>
      <c r="FD145" s="559">
        <v>106</v>
      </c>
      <c r="FE145" s="560">
        <f>+(FD141+FD144)/FD145</f>
        <v>0.65094339622641506</v>
      </c>
      <c r="FG145" s="533"/>
      <c r="FH145" s="533"/>
      <c r="FI145" s="533" t="s">
        <v>130</v>
      </c>
      <c r="FJ145" s="534" t="s">
        <v>1072</v>
      </c>
      <c r="FK145" s="535"/>
      <c r="FL145" s="535"/>
      <c r="FM145" s="535"/>
      <c r="FN145" s="535"/>
      <c r="FO145" s="535"/>
      <c r="FP145" s="535"/>
      <c r="FQ145" s="536">
        <v>0</v>
      </c>
      <c r="FR145" s="536">
        <v>3</v>
      </c>
      <c r="FS145" s="536">
        <v>0</v>
      </c>
      <c r="FT145" s="537"/>
      <c r="FU145" s="537"/>
      <c r="FV145" s="538">
        <v>3</v>
      </c>
      <c r="FW145" s="539"/>
      <c r="FY145" s="540"/>
      <c r="FZ145" s="540"/>
      <c r="GA145" s="540"/>
      <c r="GB145" s="550" t="s">
        <v>15</v>
      </c>
      <c r="GC145" s="551"/>
      <c r="GD145" s="551"/>
      <c r="GE145" s="552">
        <v>1</v>
      </c>
      <c r="GF145" s="551"/>
      <c r="GG145" s="551"/>
      <c r="GH145" s="551"/>
      <c r="GI145" s="551"/>
      <c r="GJ145" s="551"/>
      <c r="GK145" s="551"/>
      <c r="GL145" s="551"/>
      <c r="GM145" s="552">
        <v>1</v>
      </c>
      <c r="GN145" s="553">
        <v>0</v>
      </c>
      <c r="GP145" s="63"/>
      <c r="GQ145" s="63"/>
      <c r="GR145" s="37"/>
      <c r="GS145" s="416" t="s">
        <v>15</v>
      </c>
      <c r="GT145" s="386"/>
      <c r="GU145" s="386"/>
      <c r="GV145" s="386"/>
      <c r="GW145" s="386"/>
      <c r="GX145" s="386"/>
      <c r="GY145" s="386">
        <v>9</v>
      </c>
      <c r="GZ145" s="386">
        <v>8</v>
      </c>
      <c r="HA145" s="386"/>
      <c r="HB145" s="386"/>
      <c r="HC145" s="386"/>
      <c r="HD145" s="386">
        <v>17</v>
      </c>
      <c r="HE145" s="466">
        <f>+(HD142+HD143+HD144)/HD145</f>
        <v>0.76470588235294112</v>
      </c>
      <c r="HF145" s="37"/>
      <c r="HG145" s="446"/>
      <c r="HH145" s="446"/>
      <c r="HI145" s="446"/>
      <c r="HJ145" s="446" t="s">
        <v>1080</v>
      </c>
      <c r="HK145" s="446">
        <v>0</v>
      </c>
      <c r="HL145" s="446">
        <v>0</v>
      </c>
      <c r="HM145" s="446">
        <v>0</v>
      </c>
      <c r="HN145" s="446">
        <v>0</v>
      </c>
      <c r="HO145" s="446">
        <v>0</v>
      </c>
      <c r="HP145" s="446">
        <v>0</v>
      </c>
      <c r="HQ145" s="446">
        <v>0</v>
      </c>
      <c r="HR145" s="446">
        <v>1</v>
      </c>
      <c r="HS145" s="446">
        <v>1</v>
      </c>
      <c r="HT145" s="446">
        <v>0</v>
      </c>
      <c r="HU145" s="446">
        <v>0</v>
      </c>
      <c r="HV145" s="447">
        <v>2</v>
      </c>
      <c r="HW145" s="544"/>
      <c r="HX145" s="448"/>
    </row>
    <row r="146" spans="1:232">
      <c r="A146" s="5682"/>
      <c r="B146" s="5682"/>
      <c r="C146" s="5683"/>
      <c r="D146" s="5685"/>
      <c r="E146" s="5686">
        <f>SUM(E142:E145)</f>
        <v>10</v>
      </c>
      <c r="F146" s="5682"/>
      <c r="G146" s="4921">
        <f>(E145)/(E146)</f>
        <v>0.1</v>
      </c>
      <c r="I146" s="4915"/>
      <c r="J146" s="4915"/>
      <c r="K146" s="4932" t="s">
        <v>2754</v>
      </c>
      <c r="L146" s="4916"/>
      <c r="M146" s="4936">
        <f>SUM(M98,M101,M109,M116:M117,M131,M135,M141:M142)</f>
        <v>19</v>
      </c>
      <c r="N146" s="4915"/>
      <c r="O146" s="4921"/>
      <c r="Q146" s="4705">
        <v>2</v>
      </c>
      <c r="R146" s="4705">
        <v>3</v>
      </c>
      <c r="S146" s="4706" t="s">
        <v>440</v>
      </c>
      <c r="T146" s="4706" t="s">
        <v>2709</v>
      </c>
      <c r="U146" s="4707">
        <v>2</v>
      </c>
      <c r="V146" s="4707">
        <v>7</v>
      </c>
      <c r="W146" s="4722"/>
      <c r="X146" s="4452"/>
      <c r="Y146" s="36"/>
      <c r="Z146" s="36"/>
      <c r="AA146" s="36"/>
      <c r="AB146" s="36" t="s">
        <v>1080</v>
      </c>
      <c r="AC146" s="1681"/>
      <c r="AD146" s="1681"/>
      <c r="AE146" s="1681"/>
      <c r="AF146" s="1681"/>
      <c r="AG146" s="1681"/>
      <c r="AH146" s="1681"/>
      <c r="AI146" s="1681">
        <v>0</v>
      </c>
      <c r="AJ146" s="1681">
        <v>6</v>
      </c>
      <c r="AK146" s="1681"/>
      <c r="AL146" s="95"/>
      <c r="AM146" s="95">
        <v>6</v>
      </c>
      <c r="AN146" s="4545"/>
      <c r="AS146" s="27" t="s">
        <v>15</v>
      </c>
      <c r="AT146" s="3722"/>
      <c r="AU146" s="3722">
        <v>1</v>
      </c>
      <c r="AV146" s="3722"/>
      <c r="AW146" s="3722"/>
      <c r="AX146" s="3722">
        <v>1</v>
      </c>
      <c r="AY146" s="3722"/>
      <c r="AZ146" s="3722">
        <v>5</v>
      </c>
      <c r="BA146" s="3722">
        <v>3</v>
      </c>
      <c r="BB146" s="3722">
        <v>2</v>
      </c>
      <c r="BC146" s="3701"/>
      <c r="BD146" s="3701"/>
      <c r="BE146" s="3701">
        <v>12</v>
      </c>
      <c r="BF146" s="1665">
        <f>+(BE142+BE145)/BE146</f>
        <v>0.5</v>
      </c>
      <c r="BG146" s="1665"/>
      <c r="BJ146" s="1520"/>
      <c r="BK146" s="1520">
        <v>22</v>
      </c>
      <c r="BL146" s="3872">
        <v>0</v>
      </c>
      <c r="BM146" s="3872">
        <v>0</v>
      </c>
      <c r="BN146" s="3872"/>
      <c r="BO146" s="3872">
        <v>1</v>
      </c>
      <c r="BP146" s="3872">
        <v>0</v>
      </c>
      <c r="BQ146" s="3872">
        <v>1</v>
      </c>
      <c r="BR146" s="3872">
        <v>0</v>
      </c>
      <c r="BS146" s="3872">
        <v>0</v>
      </c>
      <c r="BT146" s="3806">
        <v>0</v>
      </c>
      <c r="BU146" s="3806">
        <v>2</v>
      </c>
      <c r="BV146" s="1520"/>
      <c r="BX146" s="36"/>
      <c r="BY146" s="36"/>
      <c r="BZ146" s="393"/>
      <c r="CA146" s="393" t="s">
        <v>482</v>
      </c>
      <c r="CB146" s="1682">
        <v>1</v>
      </c>
      <c r="CC146" s="1682">
        <v>1</v>
      </c>
      <c r="CD146" s="1682">
        <v>1</v>
      </c>
      <c r="CE146" s="1682">
        <v>2</v>
      </c>
      <c r="CF146" s="1682">
        <v>1</v>
      </c>
      <c r="CG146" s="1682">
        <v>15</v>
      </c>
      <c r="CH146" s="1682">
        <v>20</v>
      </c>
      <c r="CI146" s="1682">
        <v>52</v>
      </c>
      <c r="CJ146" s="2041">
        <v>12</v>
      </c>
      <c r="CK146" s="2041">
        <v>9</v>
      </c>
      <c r="CL146" s="2041">
        <v>114</v>
      </c>
      <c r="CM146" s="560">
        <f>+(CL144+CL141-CJ141)/CL146</f>
        <v>0.44736842105263158</v>
      </c>
      <c r="CN146" s="1665"/>
      <c r="CO146" s="37"/>
      <c r="CP146" s="37"/>
      <c r="CQ146" s="37" t="s">
        <v>681</v>
      </c>
      <c r="CR146" s="37" t="s">
        <v>1072</v>
      </c>
      <c r="CS146" s="1678"/>
      <c r="CT146" s="1678">
        <v>0</v>
      </c>
      <c r="CU146" s="1678"/>
      <c r="CV146" s="1678"/>
      <c r="CW146" s="1678"/>
      <c r="CX146" s="1678"/>
      <c r="CY146" s="1678"/>
      <c r="CZ146" s="1678">
        <v>1</v>
      </c>
      <c r="DA146" s="1678">
        <v>2</v>
      </c>
      <c r="DB146" s="63"/>
      <c r="DC146" s="63">
        <v>0</v>
      </c>
      <c r="DD146" s="63">
        <v>3</v>
      </c>
      <c r="DG146" s="95"/>
      <c r="DH146" s="95"/>
      <c r="DI146" s="36"/>
      <c r="DJ146" s="36" t="s">
        <v>1163</v>
      </c>
      <c r="DK146" s="1484"/>
      <c r="DL146" s="1484"/>
      <c r="DM146" s="1484"/>
      <c r="DN146" s="1484"/>
      <c r="DO146" s="1484"/>
      <c r="DP146" s="1484">
        <v>0</v>
      </c>
      <c r="DQ146" s="1484">
        <v>7</v>
      </c>
      <c r="DR146" s="1484">
        <v>4</v>
      </c>
      <c r="DS146" s="1484">
        <v>0</v>
      </c>
      <c r="DT146" s="95"/>
      <c r="DU146" s="95"/>
      <c r="DV146" s="95">
        <v>11</v>
      </c>
      <c r="DW146" s="95"/>
      <c r="DY146" s="1209"/>
      <c r="DZ146" s="1209"/>
      <c r="EA146" s="1210" t="s">
        <v>482</v>
      </c>
      <c r="EB146" s="1211" t="s">
        <v>1071</v>
      </c>
      <c r="EC146" s="1213">
        <v>0</v>
      </c>
      <c r="ED146" s="1213">
        <v>0</v>
      </c>
      <c r="EE146" s="1213">
        <v>0</v>
      </c>
      <c r="EF146" s="1213">
        <v>0</v>
      </c>
      <c r="EG146" s="1213">
        <v>0</v>
      </c>
      <c r="EH146" s="1213">
        <v>0</v>
      </c>
      <c r="EI146" s="1213">
        <v>0</v>
      </c>
      <c r="EJ146" s="1213">
        <v>6</v>
      </c>
      <c r="EK146" s="612">
        <v>2</v>
      </c>
      <c r="EL146" s="612">
        <v>11</v>
      </c>
      <c r="EM146" s="612">
        <v>19</v>
      </c>
      <c r="EN146" s="36"/>
      <c r="EP146" s="527"/>
      <c r="EQ146" s="527" t="s">
        <v>41</v>
      </c>
      <c r="ER146" s="528" t="s">
        <v>413</v>
      </c>
      <c r="ES146" s="529" t="s">
        <v>1072</v>
      </c>
      <c r="ET146" s="530"/>
      <c r="EU146" s="530"/>
      <c r="EV146" s="530"/>
      <c r="EW146" s="530"/>
      <c r="EX146" s="530"/>
      <c r="EY146" s="530"/>
      <c r="EZ146" s="531">
        <v>0</v>
      </c>
      <c r="FA146" s="531">
        <v>0</v>
      </c>
      <c r="FB146" s="532">
        <v>1</v>
      </c>
      <c r="FC146" s="527"/>
      <c r="FD146" s="532">
        <v>1</v>
      </c>
      <c r="FE146" s="95"/>
      <c r="FG146" s="533"/>
      <c r="FH146" s="533"/>
      <c r="FI146" s="533"/>
      <c r="FJ146" s="534" t="s">
        <v>1076</v>
      </c>
      <c r="FK146" s="535"/>
      <c r="FL146" s="535"/>
      <c r="FM146" s="535"/>
      <c r="FN146" s="535"/>
      <c r="FO146" s="535"/>
      <c r="FP146" s="535"/>
      <c r="FQ146" s="536">
        <v>0</v>
      </c>
      <c r="FR146" s="536">
        <v>3</v>
      </c>
      <c r="FS146" s="536">
        <v>0</v>
      </c>
      <c r="FT146" s="537"/>
      <c r="FU146" s="537"/>
      <c r="FV146" s="538">
        <v>3</v>
      </c>
      <c r="FW146" s="539"/>
      <c r="FY146" s="540"/>
      <c r="FZ146" s="540"/>
      <c r="GA146" s="540" t="s">
        <v>138</v>
      </c>
      <c r="GB146" s="541" t="s">
        <v>1072</v>
      </c>
      <c r="GC146" s="542"/>
      <c r="GD146" s="543">
        <v>0</v>
      </c>
      <c r="GE146" s="543">
        <v>1</v>
      </c>
      <c r="GF146" s="542"/>
      <c r="GG146" s="542"/>
      <c r="GH146" s="543">
        <v>1</v>
      </c>
      <c r="GI146" s="543">
        <v>2</v>
      </c>
      <c r="GJ146" s="543">
        <v>0</v>
      </c>
      <c r="GK146" s="542"/>
      <c r="GL146" s="542"/>
      <c r="GM146" s="543">
        <v>4</v>
      </c>
      <c r="GN146" s="445"/>
      <c r="GP146" s="63"/>
      <c r="GQ146" s="63"/>
      <c r="GR146" s="37" t="s">
        <v>390</v>
      </c>
      <c r="GS146" s="37" t="s">
        <v>1071</v>
      </c>
      <c r="GT146" s="63"/>
      <c r="GU146" s="63"/>
      <c r="GV146" s="63"/>
      <c r="GW146" s="63"/>
      <c r="GX146" s="63"/>
      <c r="GY146" s="63">
        <v>0</v>
      </c>
      <c r="GZ146" s="63">
        <v>1</v>
      </c>
      <c r="HA146" s="63"/>
      <c r="HB146" s="63"/>
      <c r="HC146" s="63"/>
      <c r="HD146" s="63">
        <v>1</v>
      </c>
      <c r="HE146" s="37"/>
      <c r="HF146" s="37"/>
      <c r="HG146" s="446"/>
      <c r="HH146" s="446"/>
      <c r="HI146" s="446"/>
      <c r="HJ146" s="446" t="s">
        <v>1163</v>
      </c>
      <c r="HK146" s="446">
        <v>0</v>
      </c>
      <c r="HL146" s="446">
        <v>0</v>
      </c>
      <c r="HM146" s="446">
        <v>0</v>
      </c>
      <c r="HN146" s="446">
        <v>0</v>
      </c>
      <c r="HO146" s="446">
        <v>0</v>
      </c>
      <c r="HP146" s="446">
        <v>0</v>
      </c>
      <c r="HQ146" s="446">
        <v>2</v>
      </c>
      <c r="HR146" s="446">
        <v>1</v>
      </c>
      <c r="HS146" s="446">
        <v>0</v>
      </c>
      <c r="HT146" s="446">
        <v>0</v>
      </c>
      <c r="HU146" s="446">
        <v>0</v>
      </c>
      <c r="HV146" s="447">
        <v>3</v>
      </c>
      <c r="HW146" s="544"/>
      <c r="HX146" s="448"/>
    </row>
    <row r="147" spans="1:232">
      <c r="A147" s="5682">
        <v>2</v>
      </c>
      <c r="B147" s="5682">
        <v>1</v>
      </c>
      <c r="C147" s="5683" t="s">
        <v>388</v>
      </c>
      <c r="D147" s="5683" t="s">
        <v>2731</v>
      </c>
      <c r="E147" s="5682">
        <v>2</v>
      </c>
      <c r="F147" s="5682">
        <v>8</v>
      </c>
      <c r="I147" s="4915"/>
      <c r="J147" s="4915"/>
      <c r="K147" s="4929" t="s">
        <v>4</v>
      </c>
      <c r="L147" s="4926"/>
      <c r="M147" s="4929">
        <f>SUM(M145,M138,M132,M127,M120,M114,M105)</f>
        <v>114</v>
      </c>
      <c r="N147" s="4925"/>
      <c r="O147" s="4934">
        <f>M146/M147</f>
        <v>0.16666666666666666</v>
      </c>
      <c r="Q147" s="4705"/>
      <c r="R147" s="4705"/>
      <c r="S147" s="4706"/>
      <c r="T147" s="4706"/>
      <c r="U147" s="4765">
        <f>SUM(U142:U146)</f>
        <v>15</v>
      </c>
      <c r="V147" s="4765"/>
      <c r="W147" s="4722">
        <f>(U144+U145)/(U147)</f>
        <v>0.73333333333333328</v>
      </c>
      <c r="Y147" s="36"/>
      <c r="Z147" s="36"/>
      <c r="AA147" s="36"/>
      <c r="AB147" s="36" t="s">
        <v>15</v>
      </c>
      <c r="AC147" s="1681"/>
      <c r="AD147" s="1681"/>
      <c r="AE147" s="1681"/>
      <c r="AF147" s="1681"/>
      <c r="AG147" s="1681"/>
      <c r="AH147" s="1681"/>
      <c r="AI147" s="1681">
        <v>10</v>
      </c>
      <c r="AJ147" s="1681">
        <v>6</v>
      </c>
      <c r="AK147" s="1681"/>
      <c r="AL147" s="95"/>
      <c r="AM147" s="95">
        <v>16</v>
      </c>
      <c r="AN147" s="4545">
        <v>0</v>
      </c>
      <c r="AR147" s="3868" t="s">
        <v>681</v>
      </c>
      <c r="AS147" s="3868" t="s">
        <v>1072</v>
      </c>
      <c r="AT147" s="3721">
        <v>0</v>
      </c>
      <c r="AU147" s="3721"/>
      <c r="AV147" s="3721"/>
      <c r="AW147" s="3721"/>
      <c r="AX147" s="3721"/>
      <c r="AY147" s="3721"/>
      <c r="AZ147" s="3721">
        <v>1</v>
      </c>
      <c r="BA147" s="3721">
        <v>0</v>
      </c>
      <c r="BB147" s="3721"/>
      <c r="BC147" s="2110">
        <v>0</v>
      </c>
      <c r="BD147" s="2110">
        <v>0</v>
      </c>
      <c r="BE147" s="2110">
        <v>1</v>
      </c>
      <c r="BF147" s="2110"/>
      <c r="BG147" s="2110"/>
      <c r="BJ147" s="1520"/>
      <c r="BK147" s="1520" t="s">
        <v>482</v>
      </c>
      <c r="BL147" s="3872">
        <v>3</v>
      </c>
      <c r="BM147" s="3872">
        <v>1</v>
      </c>
      <c r="BN147" s="3872"/>
      <c r="BO147" s="3872">
        <v>2</v>
      </c>
      <c r="BP147" s="3872">
        <v>5</v>
      </c>
      <c r="BQ147" s="3872">
        <v>13</v>
      </c>
      <c r="BR147" s="3872">
        <v>51</v>
      </c>
      <c r="BS147" s="3872">
        <v>16</v>
      </c>
      <c r="BT147" s="3806">
        <v>16</v>
      </c>
      <c r="BU147" s="3806">
        <v>107</v>
      </c>
      <c r="BV147" s="3807">
        <f>+(BU143+BU146)/BU147</f>
        <v>0.10280373831775701</v>
      </c>
      <c r="BX147" s="36"/>
      <c r="BY147" s="36" t="s">
        <v>16</v>
      </c>
      <c r="BZ147" s="36" t="s">
        <v>125</v>
      </c>
      <c r="CA147" s="36" t="s">
        <v>1071</v>
      </c>
      <c r="CB147" s="1681">
        <v>0</v>
      </c>
      <c r="CC147" s="1681"/>
      <c r="CD147" s="1681"/>
      <c r="CE147" s="1681">
        <v>0</v>
      </c>
      <c r="CF147" s="1681">
        <v>0</v>
      </c>
      <c r="CG147" s="1681">
        <v>0</v>
      </c>
      <c r="CH147" s="1681">
        <v>0</v>
      </c>
      <c r="CI147" s="1681">
        <v>6</v>
      </c>
      <c r="CJ147" s="95"/>
      <c r="CK147" s="95"/>
      <c r="CL147" s="95">
        <v>6</v>
      </c>
      <c r="CM147" s="36"/>
      <c r="CO147" s="37"/>
      <c r="CP147" s="37"/>
      <c r="CQ147" s="37"/>
      <c r="CR147" s="37" t="s">
        <v>1074</v>
      </c>
      <c r="CS147" s="1678"/>
      <c r="CT147" s="1678">
        <v>1</v>
      </c>
      <c r="CU147" s="1678"/>
      <c r="CV147" s="1678"/>
      <c r="CW147" s="1678"/>
      <c r="CX147" s="1678"/>
      <c r="CY147" s="1678"/>
      <c r="CZ147" s="1678">
        <v>0</v>
      </c>
      <c r="DA147" s="1678">
        <v>0</v>
      </c>
      <c r="DB147" s="63"/>
      <c r="DC147" s="63">
        <v>0</v>
      </c>
      <c r="DD147" s="63">
        <v>1</v>
      </c>
      <c r="DG147" s="95"/>
      <c r="DH147" s="95"/>
      <c r="DI147" s="36"/>
      <c r="DJ147" s="393" t="s">
        <v>15</v>
      </c>
      <c r="DK147" s="1485"/>
      <c r="DL147" s="1485"/>
      <c r="DM147" s="1485"/>
      <c r="DN147" s="1485"/>
      <c r="DO147" s="1485"/>
      <c r="DP147" s="1485">
        <v>2</v>
      </c>
      <c r="DQ147" s="1485">
        <v>23</v>
      </c>
      <c r="DR147" s="1485">
        <v>27</v>
      </c>
      <c r="DS147" s="1485">
        <v>6</v>
      </c>
      <c r="DT147" s="86"/>
      <c r="DU147" s="86"/>
      <c r="DV147" s="86">
        <v>58</v>
      </c>
      <c r="DW147" s="560">
        <f>+(DV143+DV146)/DV147</f>
        <v>0.58620689655172409</v>
      </c>
      <c r="DY147" s="1209"/>
      <c r="DZ147" s="1209"/>
      <c r="EA147" s="1210"/>
      <c r="EB147" s="1211" t="s">
        <v>1072</v>
      </c>
      <c r="EC147" s="1213">
        <v>2</v>
      </c>
      <c r="ED147" s="1213">
        <v>2</v>
      </c>
      <c r="EE147" s="1213">
        <v>2</v>
      </c>
      <c r="EF147" s="1213">
        <v>0</v>
      </c>
      <c r="EG147" s="1213">
        <v>0</v>
      </c>
      <c r="EH147" s="1213">
        <v>2</v>
      </c>
      <c r="EI147" s="1213">
        <v>4</v>
      </c>
      <c r="EJ147" s="1213">
        <v>1</v>
      </c>
      <c r="EK147" s="612">
        <v>3</v>
      </c>
      <c r="EL147" s="612">
        <v>0</v>
      </c>
      <c r="EM147" s="612">
        <v>16</v>
      </c>
      <c r="EN147" s="36"/>
      <c r="EP147" s="527"/>
      <c r="EQ147" s="527"/>
      <c r="ER147" s="528"/>
      <c r="ES147" s="529" t="s">
        <v>1076</v>
      </c>
      <c r="ET147" s="530"/>
      <c r="EU147" s="530"/>
      <c r="EV147" s="530"/>
      <c r="EW147" s="530"/>
      <c r="EX147" s="530"/>
      <c r="EY147" s="530"/>
      <c r="EZ147" s="531">
        <v>4</v>
      </c>
      <c r="FA147" s="531">
        <v>3</v>
      </c>
      <c r="FB147" s="532">
        <v>1</v>
      </c>
      <c r="FC147" s="527"/>
      <c r="FD147" s="532">
        <v>8</v>
      </c>
      <c r="FE147" s="95"/>
      <c r="FG147" s="533"/>
      <c r="FH147" s="533"/>
      <c r="FI147" s="533"/>
      <c r="FJ147" s="534" t="s">
        <v>1080</v>
      </c>
      <c r="FK147" s="535"/>
      <c r="FL147" s="535"/>
      <c r="FM147" s="535"/>
      <c r="FN147" s="535"/>
      <c r="FO147" s="535"/>
      <c r="FP147" s="535"/>
      <c r="FQ147" s="536">
        <v>0</v>
      </c>
      <c r="FR147" s="536">
        <v>0</v>
      </c>
      <c r="FS147" s="536">
        <v>20</v>
      </c>
      <c r="FT147" s="537"/>
      <c r="FU147" s="537"/>
      <c r="FV147" s="538">
        <v>20</v>
      </c>
      <c r="FW147" s="539"/>
      <c r="FY147" s="540"/>
      <c r="FZ147" s="540"/>
      <c r="GA147" s="540"/>
      <c r="GB147" s="541" t="s">
        <v>1074</v>
      </c>
      <c r="GC147" s="542"/>
      <c r="GD147" s="543">
        <v>1</v>
      </c>
      <c r="GE147" s="543">
        <v>0</v>
      </c>
      <c r="GF147" s="542"/>
      <c r="GG147" s="542"/>
      <c r="GH147" s="543">
        <v>0</v>
      </c>
      <c r="GI147" s="543">
        <v>0</v>
      </c>
      <c r="GJ147" s="543">
        <v>0</v>
      </c>
      <c r="GK147" s="542"/>
      <c r="GL147" s="542"/>
      <c r="GM147" s="543">
        <v>1</v>
      </c>
      <c r="GN147" s="445"/>
      <c r="GP147" s="63"/>
      <c r="GQ147" s="63"/>
      <c r="GR147" s="37"/>
      <c r="GS147" s="37" t="s">
        <v>1072</v>
      </c>
      <c r="GT147" s="63"/>
      <c r="GU147" s="63"/>
      <c r="GV147" s="63"/>
      <c r="GW147" s="63"/>
      <c r="GX147" s="63"/>
      <c r="GY147" s="63">
        <v>31</v>
      </c>
      <c r="GZ147" s="63">
        <v>0</v>
      </c>
      <c r="HA147" s="63"/>
      <c r="HB147" s="63"/>
      <c r="HC147" s="63"/>
      <c r="HD147" s="63">
        <v>31</v>
      </c>
      <c r="HE147" s="37"/>
      <c r="HF147" s="37"/>
      <c r="HG147" s="446"/>
      <c r="HH147" s="446"/>
      <c r="HI147" s="446"/>
      <c r="HJ147" s="449" t="s">
        <v>15</v>
      </c>
      <c r="HK147" s="449">
        <v>0</v>
      </c>
      <c r="HL147" s="449">
        <v>1</v>
      </c>
      <c r="HM147" s="449">
        <v>1</v>
      </c>
      <c r="HN147" s="449">
        <v>1</v>
      </c>
      <c r="HO147" s="449">
        <v>0</v>
      </c>
      <c r="HP147" s="449">
        <v>0</v>
      </c>
      <c r="HQ147" s="449">
        <v>11</v>
      </c>
      <c r="HR147" s="449">
        <v>2</v>
      </c>
      <c r="HS147" s="449">
        <v>1</v>
      </c>
      <c r="HT147" s="449">
        <v>0</v>
      </c>
      <c r="HU147" s="449">
        <v>0</v>
      </c>
      <c r="HV147" s="507">
        <v>17</v>
      </c>
      <c r="HW147" s="554">
        <f>+HV146/HV147</f>
        <v>0.17647058823529413</v>
      </c>
      <c r="HX147" s="448">
        <f>+HV146</f>
        <v>3</v>
      </c>
    </row>
    <row r="148" spans="1:232" ht="24">
      <c r="A148" s="5682">
        <v>2</v>
      </c>
      <c r="B148" s="5682">
        <v>1</v>
      </c>
      <c r="C148" s="5683" t="s">
        <v>388</v>
      </c>
      <c r="D148" s="5683" t="s">
        <v>2731</v>
      </c>
      <c r="E148" s="5682">
        <v>3</v>
      </c>
      <c r="F148" s="5682">
        <v>9</v>
      </c>
      <c r="I148" s="4915">
        <v>2</v>
      </c>
      <c r="J148" s="4915">
        <v>2</v>
      </c>
      <c r="K148" s="4924" t="s">
        <v>2725</v>
      </c>
      <c r="L148" s="4947" t="s">
        <v>1076</v>
      </c>
      <c r="M148" s="4948">
        <v>8</v>
      </c>
      <c r="N148" s="4923">
        <v>3</v>
      </c>
      <c r="O148" s="157"/>
      <c r="Q148" s="4705">
        <v>2</v>
      </c>
      <c r="R148" s="4705">
        <v>3</v>
      </c>
      <c r="S148" s="4706" t="s">
        <v>129</v>
      </c>
      <c r="T148" s="4706" t="s">
        <v>2731</v>
      </c>
      <c r="U148" s="4707">
        <v>7</v>
      </c>
      <c r="V148" s="4707">
        <v>8</v>
      </c>
      <c r="W148" s="4722"/>
      <c r="X148" s="4452"/>
      <c r="Y148" s="36"/>
      <c r="Z148" s="36"/>
      <c r="AA148" s="36" t="s">
        <v>130</v>
      </c>
      <c r="AB148" s="36" t="s">
        <v>1080</v>
      </c>
      <c r="AC148" s="1681"/>
      <c r="AD148" s="1681"/>
      <c r="AE148" s="1681"/>
      <c r="AF148" s="1681"/>
      <c r="AG148" s="1681"/>
      <c r="AH148" s="1681"/>
      <c r="AI148" s="1681"/>
      <c r="AJ148" s="1681">
        <v>9</v>
      </c>
      <c r="AK148" s="1681"/>
      <c r="AL148" s="95"/>
      <c r="AM148" s="95">
        <v>9</v>
      </c>
      <c r="AN148" s="4545"/>
      <c r="AS148" s="3868" t="s">
        <v>1080</v>
      </c>
      <c r="AT148" s="3721">
        <v>0</v>
      </c>
      <c r="AU148" s="3721"/>
      <c r="AV148" s="3721"/>
      <c r="AW148" s="3721"/>
      <c r="AX148" s="3721"/>
      <c r="AY148" s="3721"/>
      <c r="AZ148" s="3721">
        <v>0</v>
      </c>
      <c r="BA148" s="3721">
        <v>0</v>
      </c>
      <c r="BB148" s="3721"/>
      <c r="BC148" s="2110">
        <v>8</v>
      </c>
      <c r="BD148" s="2110">
        <v>2</v>
      </c>
      <c r="BE148" s="2110">
        <v>10</v>
      </c>
      <c r="BF148" s="2110"/>
      <c r="BG148" s="2110"/>
      <c r="BI148" s="32" t="s">
        <v>16</v>
      </c>
      <c r="BJ148" s="32" t="s">
        <v>106</v>
      </c>
      <c r="BK148" s="32" t="s">
        <v>1072</v>
      </c>
      <c r="BL148" s="3871"/>
      <c r="BM148" s="3871"/>
      <c r="BN148" s="3871">
        <v>2</v>
      </c>
      <c r="BO148" s="3871"/>
      <c r="BP148" s="3871"/>
      <c r="BQ148" s="3871"/>
      <c r="BR148" s="3871"/>
      <c r="BS148" s="3871"/>
      <c r="BT148" s="1518"/>
      <c r="BU148" s="1518">
        <v>2</v>
      </c>
      <c r="BX148" s="36"/>
      <c r="BY148" s="36"/>
      <c r="BZ148" s="36"/>
      <c r="CA148" s="36" t="s">
        <v>1072</v>
      </c>
      <c r="CB148" s="1681">
        <v>1</v>
      </c>
      <c r="CC148" s="1681"/>
      <c r="CD148" s="1681"/>
      <c r="CE148" s="1681">
        <v>0</v>
      </c>
      <c r="CF148" s="1681">
        <v>0</v>
      </c>
      <c r="CG148" s="1681">
        <v>1</v>
      </c>
      <c r="CH148" s="1681">
        <v>11</v>
      </c>
      <c r="CI148" s="1681">
        <v>0</v>
      </c>
      <c r="CJ148" s="95"/>
      <c r="CK148" s="95"/>
      <c r="CL148" s="95">
        <v>13</v>
      </c>
      <c r="CM148" s="36"/>
      <c r="CO148" s="37"/>
      <c r="CP148" s="37"/>
      <c r="CQ148" s="37"/>
      <c r="CR148" s="37" t="s">
        <v>1076</v>
      </c>
      <c r="CS148" s="1678"/>
      <c r="CT148" s="1678">
        <v>0</v>
      </c>
      <c r="CU148" s="1678"/>
      <c r="CV148" s="1678"/>
      <c r="CW148" s="1678"/>
      <c r="CX148" s="1678"/>
      <c r="CY148" s="1678"/>
      <c r="CZ148" s="1678">
        <v>1</v>
      </c>
      <c r="DA148" s="1678">
        <v>5</v>
      </c>
      <c r="DB148" s="63"/>
      <c r="DC148" s="63">
        <v>0</v>
      </c>
      <c r="DD148" s="63">
        <v>6</v>
      </c>
      <c r="DG148" s="95"/>
      <c r="DH148" s="95"/>
      <c r="DI148" s="36" t="s">
        <v>126</v>
      </c>
      <c r="DJ148" s="36" t="s">
        <v>1072</v>
      </c>
      <c r="DK148" s="1484"/>
      <c r="DL148" s="1484">
        <v>0</v>
      </c>
      <c r="DM148" s="1484"/>
      <c r="DN148" s="1484">
        <v>0</v>
      </c>
      <c r="DO148" s="1484"/>
      <c r="DP148" s="1484"/>
      <c r="DQ148" s="1484">
        <v>3</v>
      </c>
      <c r="DR148" s="1484">
        <v>3</v>
      </c>
      <c r="DS148" s="1484"/>
      <c r="DT148" s="95"/>
      <c r="DU148" s="95"/>
      <c r="DV148" s="95">
        <v>6</v>
      </c>
      <c r="DW148" s="95"/>
      <c r="DY148" s="1209"/>
      <c r="DZ148" s="1209"/>
      <c r="EA148" s="1210"/>
      <c r="EB148" s="1211" t="s">
        <v>1074</v>
      </c>
      <c r="EC148" s="1213">
        <v>7</v>
      </c>
      <c r="ED148" s="1213">
        <v>1</v>
      </c>
      <c r="EE148" s="1213">
        <v>1</v>
      </c>
      <c r="EF148" s="1213">
        <v>0</v>
      </c>
      <c r="EG148" s="1213">
        <v>1</v>
      </c>
      <c r="EH148" s="1213">
        <v>0</v>
      </c>
      <c r="EI148" s="1213">
        <v>0</v>
      </c>
      <c r="EJ148" s="1213">
        <v>0</v>
      </c>
      <c r="EK148" s="612">
        <v>0</v>
      </c>
      <c r="EL148" s="612">
        <v>0</v>
      </c>
      <c r="EM148" s="612">
        <v>10</v>
      </c>
      <c r="EN148" s="36"/>
      <c r="EP148" s="527"/>
      <c r="EQ148" s="527"/>
      <c r="ER148" s="528"/>
      <c r="ES148" s="529" t="s">
        <v>1080</v>
      </c>
      <c r="ET148" s="530"/>
      <c r="EU148" s="530"/>
      <c r="EV148" s="530"/>
      <c r="EW148" s="530"/>
      <c r="EX148" s="530"/>
      <c r="EY148" s="530"/>
      <c r="EZ148" s="531">
        <v>0</v>
      </c>
      <c r="FA148" s="531">
        <v>3</v>
      </c>
      <c r="FB148" s="532">
        <v>0</v>
      </c>
      <c r="FC148" s="527"/>
      <c r="FD148" s="532">
        <v>3</v>
      </c>
      <c r="FE148" s="95"/>
      <c r="FG148" s="533"/>
      <c r="FH148" s="533"/>
      <c r="FI148" s="533"/>
      <c r="FJ148" s="534" t="s">
        <v>1163</v>
      </c>
      <c r="FK148" s="535"/>
      <c r="FL148" s="535"/>
      <c r="FM148" s="535"/>
      <c r="FN148" s="535"/>
      <c r="FO148" s="535"/>
      <c r="FP148" s="535"/>
      <c r="FQ148" s="536">
        <v>1</v>
      </c>
      <c r="FR148" s="536">
        <v>0</v>
      </c>
      <c r="FS148" s="536">
        <v>0</v>
      </c>
      <c r="FT148" s="537"/>
      <c r="FU148" s="537"/>
      <c r="FV148" s="538">
        <v>1</v>
      </c>
      <c r="FW148" s="539"/>
      <c r="FY148" s="540"/>
      <c r="FZ148" s="540"/>
      <c r="GA148" s="540"/>
      <c r="GB148" s="541" t="s">
        <v>1076</v>
      </c>
      <c r="GC148" s="542"/>
      <c r="GD148" s="543">
        <v>0</v>
      </c>
      <c r="GE148" s="543">
        <v>0</v>
      </c>
      <c r="GF148" s="542"/>
      <c r="GG148" s="542"/>
      <c r="GH148" s="543">
        <v>2</v>
      </c>
      <c r="GI148" s="543">
        <v>0</v>
      </c>
      <c r="GJ148" s="543">
        <v>0</v>
      </c>
      <c r="GK148" s="542"/>
      <c r="GL148" s="542"/>
      <c r="GM148" s="543">
        <v>2</v>
      </c>
      <c r="GN148" s="445"/>
      <c r="GP148" s="63"/>
      <c r="GQ148" s="63"/>
      <c r="GR148" s="37"/>
      <c r="GS148" s="37" t="s">
        <v>1080</v>
      </c>
      <c r="GT148" s="63"/>
      <c r="GU148" s="63"/>
      <c r="GV148" s="63"/>
      <c r="GW148" s="63"/>
      <c r="GX148" s="63"/>
      <c r="GY148" s="63">
        <v>0</v>
      </c>
      <c r="GZ148" s="63">
        <v>1</v>
      </c>
      <c r="HA148" s="63"/>
      <c r="HB148" s="63"/>
      <c r="HC148" s="63"/>
      <c r="HD148" s="63">
        <v>1</v>
      </c>
      <c r="HE148" s="37"/>
      <c r="HF148" s="37"/>
      <c r="HG148" s="446"/>
      <c r="HH148" s="446"/>
      <c r="HI148" s="446" t="s">
        <v>110</v>
      </c>
      <c r="HJ148" s="446" t="s">
        <v>1071</v>
      </c>
      <c r="HK148" s="446">
        <v>0</v>
      </c>
      <c r="HL148" s="446">
        <v>0</v>
      </c>
      <c r="HM148" s="446">
        <v>0</v>
      </c>
      <c r="HN148" s="446">
        <v>1</v>
      </c>
      <c r="HO148" s="446">
        <v>0</v>
      </c>
      <c r="HP148" s="446">
        <v>0</v>
      </c>
      <c r="HQ148" s="446">
        <v>0</v>
      </c>
      <c r="HR148" s="446">
        <v>0</v>
      </c>
      <c r="HS148" s="446">
        <v>0</v>
      </c>
      <c r="HT148" s="446">
        <v>0</v>
      </c>
      <c r="HU148" s="446">
        <v>0</v>
      </c>
      <c r="HV148" s="447">
        <v>1</v>
      </c>
      <c r="HW148" s="544"/>
      <c r="HX148" s="448"/>
    </row>
    <row r="149" spans="1:232" ht="24.6" thickBot="1">
      <c r="A149" s="5682">
        <v>2</v>
      </c>
      <c r="B149" s="5682">
        <v>1</v>
      </c>
      <c r="C149" s="5683" t="s">
        <v>388</v>
      </c>
      <c r="D149" s="5685" t="s">
        <v>1076</v>
      </c>
      <c r="E149" s="5682">
        <v>1</v>
      </c>
      <c r="F149" s="5682">
        <v>6</v>
      </c>
      <c r="I149" s="4915">
        <v>2</v>
      </c>
      <c r="J149" s="4915">
        <v>2</v>
      </c>
      <c r="K149" s="4916" t="s">
        <v>2725</v>
      </c>
      <c r="L149" s="4917" t="s">
        <v>1076</v>
      </c>
      <c r="M149" s="4922">
        <v>2</v>
      </c>
      <c r="N149" s="4915">
        <v>4</v>
      </c>
      <c r="O149" s="157"/>
      <c r="Q149" s="4705">
        <v>2</v>
      </c>
      <c r="R149" s="4705">
        <v>3</v>
      </c>
      <c r="S149" s="4706" t="s">
        <v>129</v>
      </c>
      <c r="T149" s="4708" t="s">
        <v>2707</v>
      </c>
      <c r="U149" s="4709">
        <v>1</v>
      </c>
      <c r="V149" s="4709">
        <v>7</v>
      </c>
      <c r="W149" s="4722"/>
      <c r="Y149" s="36"/>
      <c r="Z149" s="36"/>
      <c r="AA149" s="36"/>
      <c r="AB149" s="36" t="s">
        <v>15</v>
      </c>
      <c r="AC149" s="1681"/>
      <c r="AD149" s="1681"/>
      <c r="AE149" s="1681"/>
      <c r="AF149" s="1681"/>
      <c r="AG149" s="1681"/>
      <c r="AH149" s="1681"/>
      <c r="AI149" s="1681"/>
      <c r="AJ149" s="1681">
        <v>9</v>
      </c>
      <c r="AK149" s="1681"/>
      <c r="AL149" s="95"/>
      <c r="AM149" s="95">
        <v>9</v>
      </c>
      <c r="AN149" s="4545">
        <v>0</v>
      </c>
      <c r="AS149" s="3868" t="s">
        <v>2571</v>
      </c>
      <c r="AT149" s="3721">
        <v>1</v>
      </c>
      <c r="AU149" s="3721"/>
      <c r="AV149" s="3721"/>
      <c r="AW149" s="3721"/>
      <c r="AX149" s="3721"/>
      <c r="AY149" s="3721"/>
      <c r="AZ149" s="3721">
        <v>0</v>
      </c>
      <c r="BA149" s="3721">
        <v>0</v>
      </c>
      <c r="BB149" s="3721"/>
      <c r="BC149" s="2110">
        <v>0</v>
      </c>
      <c r="BD149" s="2110">
        <v>0</v>
      </c>
      <c r="BE149" s="2110">
        <v>1</v>
      </c>
      <c r="BF149" s="2110"/>
      <c r="BG149" s="2110"/>
      <c r="BK149" s="32" t="s">
        <v>1163</v>
      </c>
      <c r="BL149" s="3871"/>
      <c r="BM149" s="3871"/>
      <c r="BN149" s="3871">
        <v>10</v>
      </c>
      <c r="BO149" s="3871"/>
      <c r="BP149" s="3871"/>
      <c r="BQ149" s="3871"/>
      <c r="BR149" s="3871"/>
      <c r="BS149" s="3871"/>
      <c r="BT149" s="1518"/>
      <c r="BU149" s="1518">
        <v>10</v>
      </c>
      <c r="BX149" s="36"/>
      <c r="BY149" s="36"/>
      <c r="BZ149" s="36"/>
      <c r="CA149" s="36" t="s">
        <v>1076</v>
      </c>
      <c r="CB149" s="1681">
        <v>0</v>
      </c>
      <c r="CC149" s="1681"/>
      <c r="CD149" s="1681"/>
      <c r="CE149" s="1681">
        <v>0</v>
      </c>
      <c r="CF149" s="1681">
        <v>0</v>
      </c>
      <c r="CG149" s="1681">
        <v>1</v>
      </c>
      <c r="CH149" s="1681">
        <v>7</v>
      </c>
      <c r="CI149" s="1681">
        <v>0</v>
      </c>
      <c r="CJ149" s="95"/>
      <c r="CK149" s="95"/>
      <c r="CL149" s="95">
        <v>8</v>
      </c>
      <c r="CM149" s="36"/>
      <c r="CO149" s="37"/>
      <c r="CP149" s="37"/>
      <c r="CQ149" s="37"/>
      <c r="CR149" s="37" t="s">
        <v>1080</v>
      </c>
      <c r="CS149" s="1678"/>
      <c r="CT149" s="1678">
        <v>0</v>
      </c>
      <c r="CU149" s="1678"/>
      <c r="CV149" s="1678"/>
      <c r="CW149" s="1678"/>
      <c r="CX149" s="1678"/>
      <c r="CY149" s="1678"/>
      <c r="CZ149" s="1678">
        <v>0</v>
      </c>
      <c r="DA149" s="1678">
        <v>0</v>
      </c>
      <c r="DB149" s="63"/>
      <c r="DC149" s="63">
        <v>3</v>
      </c>
      <c r="DD149" s="63">
        <v>3</v>
      </c>
      <c r="DG149" s="95"/>
      <c r="DH149" s="95"/>
      <c r="DI149" s="36"/>
      <c r="DJ149" s="36" t="s">
        <v>1074</v>
      </c>
      <c r="DK149" s="1484"/>
      <c r="DL149" s="1484">
        <v>2</v>
      </c>
      <c r="DM149" s="1484"/>
      <c r="DN149" s="1484">
        <v>0</v>
      </c>
      <c r="DO149" s="1484"/>
      <c r="DP149" s="1484"/>
      <c r="DQ149" s="1484">
        <v>0</v>
      </c>
      <c r="DR149" s="1484">
        <v>0</v>
      </c>
      <c r="DS149" s="1484"/>
      <c r="DT149" s="95"/>
      <c r="DU149" s="95"/>
      <c r="DV149" s="95">
        <v>2</v>
      </c>
      <c r="DW149" s="95"/>
      <c r="DY149" s="1209"/>
      <c r="DZ149" s="1209"/>
      <c r="EA149" s="1210"/>
      <c r="EB149" s="1211" t="s">
        <v>1076</v>
      </c>
      <c r="EC149" s="1213">
        <v>0</v>
      </c>
      <c r="ED149" s="1213">
        <v>0</v>
      </c>
      <c r="EE149" s="1213">
        <v>0</v>
      </c>
      <c r="EF149" s="1213">
        <v>0</v>
      </c>
      <c r="EG149" s="1213">
        <v>0</v>
      </c>
      <c r="EH149" s="1213">
        <v>1</v>
      </c>
      <c r="EI149" s="1213">
        <v>8</v>
      </c>
      <c r="EJ149" s="1213">
        <v>1</v>
      </c>
      <c r="EK149" s="612">
        <v>0</v>
      </c>
      <c r="EL149" s="612">
        <v>0</v>
      </c>
      <c r="EM149" s="612">
        <v>10</v>
      </c>
      <c r="EN149" s="36"/>
      <c r="EP149" s="527"/>
      <c r="EQ149" s="527"/>
      <c r="ER149" s="528"/>
      <c r="ES149" s="529" t="s">
        <v>1163</v>
      </c>
      <c r="ET149" s="530"/>
      <c r="EU149" s="530"/>
      <c r="EV149" s="530"/>
      <c r="EW149" s="530"/>
      <c r="EX149" s="530"/>
      <c r="EY149" s="530"/>
      <c r="EZ149" s="531">
        <v>3</v>
      </c>
      <c r="FA149" s="531">
        <v>1</v>
      </c>
      <c r="FB149" s="532">
        <v>0</v>
      </c>
      <c r="FC149" s="527"/>
      <c r="FD149" s="532">
        <v>4</v>
      </c>
      <c r="FE149" s="95"/>
      <c r="FG149" s="533"/>
      <c r="FH149" s="533"/>
      <c r="FI149" s="533"/>
      <c r="FJ149" s="545" t="s">
        <v>15</v>
      </c>
      <c r="FK149" s="546"/>
      <c r="FL149" s="546"/>
      <c r="FM149" s="546"/>
      <c r="FN149" s="546"/>
      <c r="FO149" s="546"/>
      <c r="FP149" s="546"/>
      <c r="FQ149" s="547">
        <v>1</v>
      </c>
      <c r="FR149" s="547">
        <v>6</v>
      </c>
      <c r="FS149" s="547">
        <v>20</v>
      </c>
      <c r="FT149" s="548"/>
      <c r="FU149" s="548"/>
      <c r="FV149" s="549">
        <v>27</v>
      </c>
      <c r="FW149" s="539">
        <f>+(FV148+FV146)/FV149</f>
        <v>0.14814814814814814</v>
      </c>
      <c r="FY149" s="540"/>
      <c r="FZ149" s="540"/>
      <c r="GA149" s="540"/>
      <c r="GB149" s="541" t="s">
        <v>1080</v>
      </c>
      <c r="GC149" s="542"/>
      <c r="GD149" s="543">
        <v>0</v>
      </c>
      <c r="GE149" s="543">
        <v>0</v>
      </c>
      <c r="GF149" s="542"/>
      <c r="GG149" s="542"/>
      <c r="GH149" s="543">
        <v>0</v>
      </c>
      <c r="GI149" s="543">
        <v>1</v>
      </c>
      <c r="GJ149" s="543">
        <v>5</v>
      </c>
      <c r="GK149" s="542"/>
      <c r="GL149" s="542"/>
      <c r="GM149" s="543">
        <v>6</v>
      </c>
      <c r="GN149" s="445"/>
      <c r="GP149" s="472"/>
      <c r="GQ149" s="472"/>
      <c r="GR149" s="473"/>
      <c r="GS149" s="474" t="s">
        <v>15</v>
      </c>
      <c r="GT149" s="423"/>
      <c r="GU149" s="423"/>
      <c r="GV149" s="423"/>
      <c r="GW149" s="423"/>
      <c r="GX149" s="423"/>
      <c r="GY149" s="423">
        <v>31</v>
      </c>
      <c r="GZ149" s="423">
        <v>2</v>
      </c>
      <c r="HA149" s="423"/>
      <c r="HB149" s="423"/>
      <c r="HC149" s="423"/>
      <c r="HD149" s="423">
        <v>33</v>
      </c>
      <c r="HE149" s="475">
        <v>0</v>
      </c>
      <c r="HF149" s="37"/>
      <c r="HG149" s="446"/>
      <c r="HH149" s="446"/>
      <c r="HI149" s="446"/>
      <c r="HJ149" s="446" t="s">
        <v>1072</v>
      </c>
      <c r="HK149" s="446">
        <v>0</v>
      </c>
      <c r="HL149" s="446">
        <v>0</v>
      </c>
      <c r="HM149" s="446">
        <v>0</v>
      </c>
      <c r="HN149" s="446">
        <v>0</v>
      </c>
      <c r="HO149" s="446">
        <v>1</v>
      </c>
      <c r="HP149" s="446">
        <v>0</v>
      </c>
      <c r="HQ149" s="446">
        <v>0</v>
      </c>
      <c r="HR149" s="446">
        <v>0</v>
      </c>
      <c r="HS149" s="446">
        <v>0</v>
      </c>
      <c r="HT149" s="446">
        <v>0</v>
      </c>
      <c r="HU149" s="446">
        <v>0</v>
      </c>
      <c r="HV149" s="447">
        <v>1</v>
      </c>
      <c r="HW149" s="544"/>
      <c r="HX149" s="448"/>
    </row>
    <row r="150" spans="1:232" ht="24">
      <c r="A150" s="5682">
        <v>2</v>
      </c>
      <c r="B150" s="5682">
        <v>1</v>
      </c>
      <c r="C150" s="5683" t="s">
        <v>388</v>
      </c>
      <c r="D150" s="5683" t="s">
        <v>2709</v>
      </c>
      <c r="E150" s="5682">
        <v>1</v>
      </c>
      <c r="F150" s="5682">
        <v>6</v>
      </c>
      <c r="I150" s="4915">
        <v>2</v>
      </c>
      <c r="J150" s="4915">
        <v>2</v>
      </c>
      <c r="K150" s="4916" t="s">
        <v>2725</v>
      </c>
      <c r="L150" s="4916" t="s">
        <v>2709</v>
      </c>
      <c r="M150" s="4915">
        <v>1</v>
      </c>
      <c r="N150" s="4915">
        <v>5</v>
      </c>
      <c r="O150" s="157"/>
      <c r="Q150" s="4705">
        <v>2</v>
      </c>
      <c r="R150" s="4705">
        <v>3</v>
      </c>
      <c r="S150" s="4706" t="s">
        <v>129</v>
      </c>
      <c r="T150" s="4708" t="s">
        <v>1076</v>
      </c>
      <c r="U150" s="4709">
        <v>7</v>
      </c>
      <c r="V150" s="4709">
        <v>6</v>
      </c>
      <c r="W150" s="4722"/>
      <c r="X150" s="4542"/>
      <c r="Y150" s="36"/>
      <c r="Z150" s="36"/>
      <c r="AA150" s="393" t="s">
        <v>485</v>
      </c>
      <c r="AB150" s="36" t="s">
        <v>1072</v>
      </c>
      <c r="AC150" s="1681"/>
      <c r="AD150" s="1681">
        <v>1</v>
      </c>
      <c r="AE150" s="1681">
        <v>0</v>
      </c>
      <c r="AF150" s="1681"/>
      <c r="AG150" s="1681"/>
      <c r="AH150" s="1681"/>
      <c r="AI150" s="1681">
        <v>12</v>
      </c>
      <c r="AJ150" s="1681">
        <v>0</v>
      </c>
      <c r="AK150" s="1681"/>
      <c r="AL150" s="95"/>
      <c r="AM150" s="95">
        <v>13</v>
      </c>
      <c r="AN150" s="4545"/>
      <c r="AS150" s="3868" t="s">
        <v>1163</v>
      </c>
      <c r="AT150" s="3721">
        <v>0</v>
      </c>
      <c r="AU150" s="3721"/>
      <c r="AV150" s="3721"/>
      <c r="AW150" s="3721"/>
      <c r="AX150" s="3721"/>
      <c r="AY150" s="3721"/>
      <c r="AZ150" s="3721">
        <v>0</v>
      </c>
      <c r="BA150" s="3721">
        <v>3</v>
      </c>
      <c r="BB150" s="3721"/>
      <c r="BC150" s="2110">
        <v>0</v>
      </c>
      <c r="BD150" s="2110">
        <v>0</v>
      </c>
      <c r="BE150" s="2110">
        <v>3</v>
      </c>
      <c r="BF150" s="2110"/>
      <c r="BG150" s="2110"/>
      <c r="BK150" s="1520" t="s">
        <v>15</v>
      </c>
      <c r="BL150" s="3872"/>
      <c r="BM150" s="3872"/>
      <c r="BN150" s="3872">
        <v>12</v>
      </c>
      <c r="BO150" s="3872"/>
      <c r="BP150" s="3872"/>
      <c r="BQ150" s="3872"/>
      <c r="BR150" s="3872"/>
      <c r="BS150" s="3872"/>
      <c r="BT150" s="3806"/>
      <c r="BU150" s="3806">
        <v>12</v>
      </c>
      <c r="BV150" s="3807">
        <f>+BU149/BU150</f>
        <v>0.83333333333333337</v>
      </c>
      <c r="BX150" s="36"/>
      <c r="BY150" s="36"/>
      <c r="BZ150" s="36"/>
      <c r="CA150" s="36" t="s">
        <v>1077</v>
      </c>
      <c r="CB150" s="1681">
        <v>0</v>
      </c>
      <c r="CC150" s="1681"/>
      <c r="CD150" s="1681"/>
      <c r="CE150" s="1681">
        <v>2</v>
      </c>
      <c r="CF150" s="1681">
        <v>1</v>
      </c>
      <c r="CG150" s="1681">
        <v>0</v>
      </c>
      <c r="CH150" s="1681">
        <v>0</v>
      </c>
      <c r="CI150" s="1681">
        <v>0</v>
      </c>
      <c r="CJ150" s="95"/>
      <c r="CK150" s="95"/>
      <c r="CL150" s="95">
        <v>3</v>
      </c>
      <c r="CM150" s="36"/>
      <c r="CO150" s="37"/>
      <c r="CP150" s="37"/>
      <c r="CQ150" s="37"/>
      <c r="CR150" s="37" t="s">
        <v>1163</v>
      </c>
      <c r="CS150" s="1678"/>
      <c r="CT150" s="1678">
        <v>0</v>
      </c>
      <c r="CU150" s="1678"/>
      <c r="CV150" s="1678"/>
      <c r="CW150" s="1678"/>
      <c r="CX150" s="1678"/>
      <c r="CY150" s="1678"/>
      <c r="CZ150" s="1678">
        <v>1</v>
      </c>
      <c r="DA150" s="1678">
        <v>1</v>
      </c>
      <c r="DB150" s="63"/>
      <c r="DC150" s="63">
        <v>0</v>
      </c>
      <c r="DD150" s="63">
        <v>2</v>
      </c>
      <c r="DG150" s="95"/>
      <c r="DH150" s="95"/>
      <c r="DI150" s="36"/>
      <c r="DJ150" s="36" t="s">
        <v>1076</v>
      </c>
      <c r="DK150" s="1484"/>
      <c r="DL150" s="1484">
        <v>0</v>
      </c>
      <c r="DM150" s="1484"/>
      <c r="DN150" s="1484">
        <v>0</v>
      </c>
      <c r="DO150" s="1484"/>
      <c r="DP150" s="1484"/>
      <c r="DQ150" s="1484">
        <v>1</v>
      </c>
      <c r="DR150" s="1484">
        <v>3</v>
      </c>
      <c r="DS150" s="1484"/>
      <c r="DT150" s="95"/>
      <c r="DU150" s="95"/>
      <c r="DV150" s="95">
        <v>4</v>
      </c>
      <c r="DW150" s="95"/>
      <c r="DY150" s="1209"/>
      <c r="DZ150" s="1209"/>
      <c r="EA150" s="1210"/>
      <c r="EB150" s="1211" t="s">
        <v>1077</v>
      </c>
      <c r="EC150" s="1213">
        <v>0</v>
      </c>
      <c r="ED150" s="1213">
        <v>1</v>
      </c>
      <c r="EE150" s="1213">
        <v>2</v>
      </c>
      <c r="EF150" s="1213">
        <v>1</v>
      </c>
      <c r="EG150" s="1213">
        <v>1</v>
      </c>
      <c r="EH150" s="1213">
        <v>0</v>
      </c>
      <c r="EI150" s="1213">
        <v>0</v>
      </c>
      <c r="EJ150" s="1213">
        <v>0</v>
      </c>
      <c r="EK150" s="612">
        <v>0</v>
      </c>
      <c r="EL150" s="612">
        <v>0</v>
      </c>
      <c r="EM150" s="612">
        <v>5</v>
      </c>
      <c r="EN150" s="36"/>
      <c r="EP150" s="527"/>
      <c r="EQ150" s="527"/>
      <c r="ER150" s="528"/>
      <c r="ES150" s="555" t="s">
        <v>15</v>
      </c>
      <c r="ET150" s="556"/>
      <c r="EU150" s="556"/>
      <c r="EV150" s="556"/>
      <c r="EW150" s="556"/>
      <c r="EX150" s="556"/>
      <c r="EY150" s="556"/>
      <c r="EZ150" s="557">
        <v>7</v>
      </c>
      <c r="FA150" s="557">
        <v>7</v>
      </c>
      <c r="FB150" s="559">
        <v>2</v>
      </c>
      <c r="FC150" s="558"/>
      <c r="FD150" s="559">
        <v>16</v>
      </c>
      <c r="FE150" s="560">
        <f>+(FD147-FB147+FD149)/FD150</f>
        <v>0.6875</v>
      </c>
      <c r="FG150" s="533"/>
      <c r="FH150" s="533"/>
      <c r="FI150" s="545" t="s">
        <v>485</v>
      </c>
      <c r="FJ150" s="534" t="s">
        <v>1071</v>
      </c>
      <c r="FK150" s="535"/>
      <c r="FL150" s="535"/>
      <c r="FM150" s="535"/>
      <c r="FN150" s="536">
        <v>0</v>
      </c>
      <c r="FO150" s="535"/>
      <c r="FP150" s="535"/>
      <c r="FQ150" s="536">
        <v>0</v>
      </c>
      <c r="FR150" s="536">
        <v>0</v>
      </c>
      <c r="FS150" s="536">
        <v>1</v>
      </c>
      <c r="FT150" s="537"/>
      <c r="FU150" s="537"/>
      <c r="FV150" s="538">
        <v>1</v>
      </c>
      <c r="FW150" s="539"/>
      <c r="FY150" s="540"/>
      <c r="FZ150" s="540"/>
      <c r="GA150" s="540"/>
      <c r="GB150" s="541" t="s">
        <v>1081</v>
      </c>
      <c r="GC150" s="542"/>
      <c r="GD150" s="543">
        <v>0</v>
      </c>
      <c r="GE150" s="543">
        <v>0</v>
      </c>
      <c r="GF150" s="542"/>
      <c r="GG150" s="542"/>
      <c r="GH150" s="543">
        <v>0</v>
      </c>
      <c r="GI150" s="543">
        <v>1</v>
      </c>
      <c r="GJ150" s="543">
        <v>0</v>
      </c>
      <c r="GK150" s="542"/>
      <c r="GL150" s="542"/>
      <c r="GM150" s="543">
        <v>1</v>
      </c>
      <c r="GN150" s="445"/>
      <c r="GP150" s="63"/>
      <c r="GQ150" s="63"/>
      <c r="GR150" s="37"/>
      <c r="GS150" s="37"/>
      <c r="GT150" s="37"/>
      <c r="GU150" s="37"/>
      <c r="GV150" s="37"/>
      <c r="GW150" s="37"/>
      <c r="GX150" s="37"/>
      <c r="GY150" s="37"/>
      <c r="GZ150" s="37"/>
      <c r="HA150" s="37"/>
      <c r="HB150" s="37"/>
      <c r="HC150" s="37"/>
      <c r="HD150" s="37"/>
      <c r="HE150" s="37"/>
      <c r="HF150" s="37"/>
      <c r="HG150" s="446"/>
      <c r="HH150" s="446"/>
      <c r="HI150" s="446"/>
      <c r="HJ150" s="449" t="s">
        <v>15</v>
      </c>
      <c r="HK150" s="449">
        <v>0</v>
      </c>
      <c r="HL150" s="449">
        <v>0</v>
      </c>
      <c r="HM150" s="449">
        <v>0</v>
      </c>
      <c r="HN150" s="449">
        <v>1</v>
      </c>
      <c r="HO150" s="449">
        <v>1</v>
      </c>
      <c r="HP150" s="449">
        <v>0</v>
      </c>
      <c r="HQ150" s="449">
        <v>0</v>
      </c>
      <c r="HR150" s="449">
        <v>0</v>
      </c>
      <c r="HS150" s="449">
        <v>0</v>
      </c>
      <c r="HT150" s="449">
        <v>0</v>
      </c>
      <c r="HU150" s="449">
        <v>0</v>
      </c>
      <c r="HV150" s="507">
        <v>2</v>
      </c>
      <c r="HW150" s="554">
        <f>0/HV150</f>
        <v>0</v>
      </c>
      <c r="HX150" s="448">
        <v>0</v>
      </c>
    </row>
    <row r="151" spans="1:232">
      <c r="A151" s="5682">
        <v>2</v>
      </c>
      <c r="B151" s="5682">
        <v>1</v>
      </c>
      <c r="C151" s="5683" t="s">
        <v>388</v>
      </c>
      <c r="D151" s="5683" t="s">
        <v>2709</v>
      </c>
      <c r="E151" s="5682">
        <v>1</v>
      </c>
      <c r="F151" s="5682">
        <v>8</v>
      </c>
      <c r="I151" s="4915"/>
      <c r="J151" s="4915"/>
      <c r="K151" s="4916"/>
      <c r="L151" s="4916"/>
      <c r="M151" s="4920">
        <f>SUM(M148:M150)</f>
        <v>11</v>
      </c>
      <c r="N151" s="4915"/>
      <c r="O151" s="4921">
        <f>(M148+M149)/(M151)</f>
        <v>0.90909090909090906</v>
      </c>
      <c r="Q151" s="4705">
        <v>2</v>
      </c>
      <c r="R151" s="4705">
        <v>3</v>
      </c>
      <c r="S151" s="4706" t="s">
        <v>129</v>
      </c>
      <c r="T151" s="4706" t="s">
        <v>2709</v>
      </c>
      <c r="U151" s="4707">
        <v>1</v>
      </c>
      <c r="V151" s="4707">
        <v>7</v>
      </c>
      <c r="W151" s="4722"/>
      <c r="Y151" s="36"/>
      <c r="Z151" s="36"/>
      <c r="AA151" s="36"/>
      <c r="AB151" s="36" t="s">
        <v>1074</v>
      </c>
      <c r="AC151" s="1681"/>
      <c r="AD151" s="1681">
        <v>0</v>
      </c>
      <c r="AE151" s="1681">
        <v>1</v>
      </c>
      <c r="AF151" s="1681"/>
      <c r="AG151" s="1681"/>
      <c r="AH151" s="1681"/>
      <c r="AI151" s="1681">
        <v>0</v>
      </c>
      <c r="AJ151" s="1681">
        <v>0</v>
      </c>
      <c r="AK151" s="1681"/>
      <c r="AL151" s="95"/>
      <c r="AM151" s="95">
        <v>1</v>
      </c>
      <c r="AN151" s="4545"/>
      <c r="AS151" s="27" t="s">
        <v>15</v>
      </c>
      <c r="AT151" s="3722">
        <v>1</v>
      </c>
      <c r="AU151" s="3722"/>
      <c r="AV151" s="3722"/>
      <c r="AW151" s="3722"/>
      <c r="AX151" s="3722"/>
      <c r="AY151" s="3722"/>
      <c r="AZ151" s="3722">
        <v>1</v>
      </c>
      <c r="BA151" s="3722">
        <v>3</v>
      </c>
      <c r="BB151" s="3722"/>
      <c r="BC151" s="3701">
        <v>8</v>
      </c>
      <c r="BD151" s="3701">
        <v>2</v>
      </c>
      <c r="BE151" s="3701">
        <v>15</v>
      </c>
      <c r="BF151" s="1665">
        <f>+BE150/BE151</f>
        <v>0.2</v>
      </c>
      <c r="BG151" s="1665"/>
      <c r="BJ151" s="32" t="s">
        <v>124</v>
      </c>
      <c r="BK151" s="32" t="s">
        <v>1071</v>
      </c>
      <c r="BL151" s="3871"/>
      <c r="BM151" s="3871"/>
      <c r="BN151" s="3871"/>
      <c r="BO151" s="3871"/>
      <c r="BP151" s="3871"/>
      <c r="BQ151" s="3871">
        <v>0</v>
      </c>
      <c r="BR151" s="3871">
        <v>1</v>
      </c>
      <c r="BS151" s="3871"/>
      <c r="BT151" s="1518"/>
      <c r="BU151" s="1518">
        <v>1</v>
      </c>
      <c r="BX151" s="36"/>
      <c r="BY151" s="36"/>
      <c r="BZ151" s="36"/>
      <c r="CA151" s="36" t="s">
        <v>1080</v>
      </c>
      <c r="CB151" s="1681">
        <v>0</v>
      </c>
      <c r="CC151" s="1681"/>
      <c r="CD151" s="1681"/>
      <c r="CE151" s="1681">
        <v>0</v>
      </c>
      <c r="CF151" s="1681">
        <v>0</v>
      </c>
      <c r="CG151" s="1681">
        <v>0</v>
      </c>
      <c r="CH151" s="1681">
        <v>0</v>
      </c>
      <c r="CI151" s="1681">
        <v>18</v>
      </c>
      <c r="CJ151" s="95"/>
      <c r="CK151" s="95"/>
      <c r="CL151" s="95">
        <v>18</v>
      </c>
      <c r="CM151" s="36"/>
      <c r="CO151" s="37"/>
      <c r="CP151" s="37"/>
      <c r="CQ151" s="37"/>
      <c r="CR151" s="416" t="s">
        <v>15</v>
      </c>
      <c r="CS151" s="1679"/>
      <c r="CT151" s="1679">
        <v>1</v>
      </c>
      <c r="CU151" s="1679"/>
      <c r="CV151" s="1679"/>
      <c r="CW151" s="1679"/>
      <c r="CX151" s="1679"/>
      <c r="CY151" s="1679"/>
      <c r="CZ151" s="1679">
        <v>3</v>
      </c>
      <c r="DA151" s="1679">
        <v>8</v>
      </c>
      <c r="DB151" s="386"/>
      <c r="DC151" s="386">
        <v>3</v>
      </c>
      <c r="DD151" s="386">
        <v>15</v>
      </c>
      <c r="DE151" s="2045">
        <f>+(DD148+DD150)/DD151</f>
        <v>0.53333333333333333</v>
      </c>
      <c r="DG151" s="95"/>
      <c r="DH151" s="95"/>
      <c r="DI151" s="36"/>
      <c r="DJ151" s="36" t="s">
        <v>1077</v>
      </c>
      <c r="DK151" s="1484"/>
      <c r="DL151" s="1484">
        <v>2</v>
      </c>
      <c r="DM151" s="1484"/>
      <c r="DN151" s="1484">
        <v>2</v>
      </c>
      <c r="DO151" s="1484"/>
      <c r="DP151" s="1484"/>
      <c r="DQ151" s="1484">
        <v>0</v>
      </c>
      <c r="DR151" s="1484">
        <v>0</v>
      </c>
      <c r="DS151" s="1484"/>
      <c r="DT151" s="95"/>
      <c r="DU151" s="95"/>
      <c r="DV151" s="95">
        <v>4</v>
      </c>
      <c r="DW151" s="95"/>
      <c r="DY151" s="1209"/>
      <c r="DZ151" s="1209"/>
      <c r="EA151" s="1210"/>
      <c r="EB151" s="1211" t="s">
        <v>1080</v>
      </c>
      <c r="EC151" s="1213">
        <v>0</v>
      </c>
      <c r="ED151" s="1213">
        <v>0</v>
      </c>
      <c r="EE151" s="1213">
        <v>0</v>
      </c>
      <c r="EF151" s="1213">
        <v>0</v>
      </c>
      <c r="EG151" s="1213">
        <v>0</v>
      </c>
      <c r="EH151" s="1213">
        <v>0</v>
      </c>
      <c r="EI151" s="1213">
        <v>1</v>
      </c>
      <c r="EJ151" s="1213">
        <v>27</v>
      </c>
      <c r="EK151" s="612">
        <v>3</v>
      </c>
      <c r="EL151" s="612">
        <v>13</v>
      </c>
      <c r="EM151" s="612">
        <v>44</v>
      </c>
      <c r="EN151" s="36"/>
      <c r="EP151" s="527"/>
      <c r="EQ151" s="527"/>
      <c r="ER151" s="528" t="s">
        <v>128</v>
      </c>
      <c r="ES151" s="529" t="s">
        <v>1072</v>
      </c>
      <c r="ET151" s="530"/>
      <c r="EU151" s="530"/>
      <c r="EV151" s="530"/>
      <c r="EW151" s="530"/>
      <c r="EX151" s="530"/>
      <c r="EY151" s="531">
        <v>1</v>
      </c>
      <c r="EZ151" s="531">
        <v>1</v>
      </c>
      <c r="FA151" s="531">
        <v>0</v>
      </c>
      <c r="FB151" s="527"/>
      <c r="FC151" s="527"/>
      <c r="FD151" s="532">
        <v>2</v>
      </c>
      <c r="FE151" s="95"/>
      <c r="FG151" s="533"/>
      <c r="FH151" s="533"/>
      <c r="FI151" s="533"/>
      <c r="FJ151" s="534" t="s">
        <v>1072</v>
      </c>
      <c r="FK151" s="535"/>
      <c r="FL151" s="535"/>
      <c r="FM151" s="535"/>
      <c r="FN151" s="536">
        <v>1</v>
      </c>
      <c r="FO151" s="535"/>
      <c r="FP151" s="535"/>
      <c r="FQ151" s="536">
        <v>0</v>
      </c>
      <c r="FR151" s="536">
        <v>6</v>
      </c>
      <c r="FS151" s="536">
        <v>0</v>
      </c>
      <c r="FT151" s="537"/>
      <c r="FU151" s="537"/>
      <c r="FV151" s="538">
        <v>7</v>
      </c>
      <c r="FW151" s="539"/>
      <c r="FY151" s="540"/>
      <c r="FZ151" s="540"/>
      <c r="GA151" s="540"/>
      <c r="GB151" s="541" t="s">
        <v>1163</v>
      </c>
      <c r="GC151" s="542"/>
      <c r="GD151" s="543">
        <v>0</v>
      </c>
      <c r="GE151" s="543">
        <v>0</v>
      </c>
      <c r="GF151" s="542"/>
      <c r="GG151" s="542"/>
      <c r="GH151" s="543">
        <v>0</v>
      </c>
      <c r="GI151" s="543">
        <v>1</v>
      </c>
      <c r="GJ151" s="543">
        <v>0</v>
      </c>
      <c r="GK151" s="542"/>
      <c r="GL151" s="542"/>
      <c r="GM151" s="543">
        <v>1</v>
      </c>
      <c r="GN151" s="445"/>
      <c r="GP151" s="63"/>
      <c r="GQ151" s="63"/>
      <c r="GR151" s="37"/>
      <c r="GS151" s="37"/>
      <c r="GT151" s="37"/>
      <c r="GU151" s="37"/>
      <c r="GV151" s="37"/>
      <c r="GW151" s="37"/>
      <c r="GX151" s="37"/>
      <c r="GY151" s="37"/>
      <c r="GZ151" s="37"/>
      <c r="HA151" s="37"/>
      <c r="HB151" s="37"/>
      <c r="HC151" s="37"/>
      <c r="HD151" s="37"/>
      <c r="HE151" s="37"/>
      <c r="HF151" s="37"/>
      <c r="HG151" s="446"/>
      <c r="HH151" s="446" t="s">
        <v>41</v>
      </c>
      <c r="HI151" s="446" t="s">
        <v>138</v>
      </c>
      <c r="HJ151" s="446" t="s">
        <v>1071</v>
      </c>
      <c r="HK151" s="446">
        <v>0</v>
      </c>
      <c r="HL151" s="446">
        <v>0</v>
      </c>
      <c r="HM151" s="446">
        <v>0</v>
      </c>
      <c r="HN151" s="446">
        <v>0</v>
      </c>
      <c r="HO151" s="446">
        <v>0</v>
      </c>
      <c r="HP151" s="446">
        <v>0</v>
      </c>
      <c r="HQ151" s="446">
        <v>0</v>
      </c>
      <c r="HR151" s="446">
        <v>0</v>
      </c>
      <c r="HS151" s="446">
        <v>1</v>
      </c>
      <c r="HT151" s="446">
        <v>0</v>
      </c>
      <c r="HU151" s="446">
        <v>0</v>
      </c>
      <c r="HV151" s="447">
        <v>1</v>
      </c>
      <c r="HW151" s="544"/>
      <c r="HX151" s="448"/>
    </row>
    <row r="152" spans="1:232">
      <c r="A152" s="5682"/>
      <c r="B152" s="5682"/>
      <c r="C152" s="5683"/>
      <c r="D152" s="5683"/>
      <c r="E152" s="5686">
        <f>SUM(E147:E151)</f>
        <v>8</v>
      </c>
      <c r="F152" s="5682"/>
      <c r="G152" s="4921">
        <f>(E149)/(E152)</f>
        <v>0.125</v>
      </c>
      <c r="I152" s="4915">
        <v>2</v>
      </c>
      <c r="J152" s="4915">
        <v>2</v>
      </c>
      <c r="K152" s="4916" t="s">
        <v>2749</v>
      </c>
      <c r="L152" s="4916" t="s">
        <v>2731</v>
      </c>
      <c r="M152" s="4915">
        <v>16</v>
      </c>
      <c r="N152" s="4915">
        <v>7</v>
      </c>
      <c r="O152" s="157"/>
      <c r="Q152" s="4705"/>
      <c r="R152" s="4705"/>
      <c r="S152" s="4706"/>
      <c r="T152" s="4706"/>
      <c r="U152" s="4765">
        <f>SUM(U148:U151)</f>
        <v>16</v>
      </c>
      <c r="V152" s="4765"/>
      <c r="W152" s="4722">
        <f>(U149+U150)/(U152)</f>
        <v>0.5</v>
      </c>
      <c r="Y152" s="36"/>
      <c r="Z152" s="36"/>
      <c r="AA152" s="36"/>
      <c r="AB152" s="36" t="s">
        <v>1076</v>
      </c>
      <c r="AC152" s="1681"/>
      <c r="AD152" s="1681">
        <v>0</v>
      </c>
      <c r="AE152" s="1681">
        <v>0</v>
      </c>
      <c r="AF152" s="1681"/>
      <c r="AG152" s="1681"/>
      <c r="AH152" s="1681"/>
      <c r="AI152" s="1681">
        <v>8</v>
      </c>
      <c r="AJ152" s="1681">
        <v>0</v>
      </c>
      <c r="AK152" s="1681"/>
      <c r="AL152" s="95"/>
      <c r="AM152" s="95">
        <v>8</v>
      </c>
      <c r="AN152" s="4545"/>
      <c r="AR152" s="27" t="s">
        <v>482</v>
      </c>
      <c r="AS152" s="27" t="s">
        <v>1072</v>
      </c>
      <c r="AT152" s="3722">
        <v>0</v>
      </c>
      <c r="AU152" s="3722">
        <v>3</v>
      </c>
      <c r="AV152" s="3722">
        <v>1</v>
      </c>
      <c r="AW152" s="3722"/>
      <c r="AX152" s="3722">
        <v>0</v>
      </c>
      <c r="AY152" s="3722">
        <v>3</v>
      </c>
      <c r="AZ152" s="3722">
        <v>3</v>
      </c>
      <c r="BA152" s="3722">
        <v>7</v>
      </c>
      <c r="BB152" s="3722">
        <v>4</v>
      </c>
      <c r="BC152" s="3701">
        <v>3</v>
      </c>
      <c r="BD152" s="3701">
        <v>0</v>
      </c>
      <c r="BE152" s="3701">
        <v>24</v>
      </c>
      <c r="BF152" s="3701"/>
      <c r="BG152" s="3701"/>
      <c r="BK152" s="32" t="s">
        <v>1072</v>
      </c>
      <c r="BL152" s="3871"/>
      <c r="BM152" s="3871"/>
      <c r="BN152" s="3871"/>
      <c r="BO152" s="3871"/>
      <c r="BP152" s="3871"/>
      <c r="BQ152" s="3871">
        <v>1</v>
      </c>
      <c r="BR152" s="3871">
        <v>0</v>
      </c>
      <c r="BS152" s="3871"/>
      <c r="BT152" s="1518"/>
      <c r="BU152" s="1518">
        <v>1</v>
      </c>
      <c r="BX152" s="36"/>
      <c r="BY152" s="36"/>
      <c r="BZ152" s="36"/>
      <c r="CA152" s="36" t="s">
        <v>1163</v>
      </c>
      <c r="CB152" s="1681">
        <v>0</v>
      </c>
      <c r="CC152" s="1681"/>
      <c r="CD152" s="1681"/>
      <c r="CE152" s="1681">
        <v>0</v>
      </c>
      <c r="CF152" s="1681">
        <v>0</v>
      </c>
      <c r="CG152" s="1681">
        <v>3</v>
      </c>
      <c r="CH152" s="1681">
        <v>0</v>
      </c>
      <c r="CI152" s="1681">
        <v>0</v>
      </c>
      <c r="CJ152" s="95"/>
      <c r="CK152" s="95"/>
      <c r="CL152" s="95">
        <v>3</v>
      </c>
      <c r="CM152" s="36"/>
      <c r="CO152" s="37"/>
      <c r="CP152" s="37"/>
      <c r="CQ152" s="37" t="s">
        <v>482</v>
      </c>
      <c r="CR152" s="37" t="s">
        <v>1071</v>
      </c>
      <c r="CS152" s="1678"/>
      <c r="CT152" s="1678">
        <v>0</v>
      </c>
      <c r="CU152" s="1678">
        <v>0</v>
      </c>
      <c r="CV152" s="1678">
        <v>0</v>
      </c>
      <c r="CW152" s="1678">
        <v>0</v>
      </c>
      <c r="CX152" s="1678">
        <v>0</v>
      </c>
      <c r="CY152" s="1678">
        <v>0</v>
      </c>
      <c r="CZ152" s="1678">
        <v>2</v>
      </c>
      <c r="DA152" s="1678">
        <v>4</v>
      </c>
      <c r="DB152" s="63">
        <v>4</v>
      </c>
      <c r="DC152" s="63">
        <v>3</v>
      </c>
      <c r="DD152" s="63">
        <v>13</v>
      </c>
      <c r="DG152" s="95"/>
      <c r="DH152" s="95"/>
      <c r="DI152" s="36"/>
      <c r="DJ152" s="36" t="s">
        <v>1163</v>
      </c>
      <c r="DK152" s="1484"/>
      <c r="DL152" s="1484">
        <v>0</v>
      </c>
      <c r="DM152" s="1484"/>
      <c r="DN152" s="1484">
        <v>0</v>
      </c>
      <c r="DO152" s="1484"/>
      <c r="DP152" s="1484"/>
      <c r="DQ152" s="1484">
        <v>12</v>
      </c>
      <c r="DR152" s="1484">
        <v>0</v>
      </c>
      <c r="DS152" s="1484"/>
      <c r="DT152" s="95"/>
      <c r="DU152" s="95"/>
      <c r="DV152" s="95">
        <v>12</v>
      </c>
      <c r="DW152" s="95"/>
      <c r="DY152" s="1209"/>
      <c r="DZ152" s="1209"/>
      <c r="EA152" s="1210"/>
      <c r="EB152" s="1211" t="s">
        <v>1163</v>
      </c>
      <c r="EC152" s="1213">
        <v>0</v>
      </c>
      <c r="ED152" s="1213">
        <v>0</v>
      </c>
      <c r="EE152" s="1213">
        <v>0</v>
      </c>
      <c r="EF152" s="1213">
        <v>0</v>
      </c>
      <c r="EG152" s="1213">
        <v>0</v>
      </c>
      <c r="EH152" s="1213">
        <v>5</v>
      </c>
      <c r="EI152" s="1213">
        <v>2</v>
      </c>
      <c r="EJ152" s="1213">
        <v>6</v>
      </c>
      <c r="EK152" s="612">
        <v>0</v>
      </c>
      <c r="EL152" s="612">
        <v>0</v>
      </c>
      <c r="EM152" s="612">
        <v>13</v>
      </c>
      <c r="EN152" s="36"/>
      <c r="EP152" s="527"/>
      <c r="EQ152" s="527"/>
      <c r="ER152" s="528"/>
      <c r="ES152" s="529" t="s">
        <v>1076</v>
      </c>
      <c r="ET152" s="530"/>
      <c r="EU152" s="530"/>
      <c r="EV152" s="530"/>
      <c r="EW152" s="530"/>
      <c r="EX152" s="530"/>
      <c r="EY152" s="531">
        <v>2</v>
      </c>
      <c r="EZ152" s="531">
        <v>2</v>
      </c>
      <c r="FA152" s="531">
        <v>0</v>
      </c>
      <c r="FB152" s="527"/>
      <c r="FC152" s="527"/>
      <c r="FD152" s="532">
        <v>4</v>
      </c>
      <c r="FE152" s="95"/>
      <c r="FG152" s="533"/>
      <c r="FH152" s="533"/>
      <c r="FI152" s="533"/>
      <c r="FJ152" s="534" t="s">
        <v>1074</v>
      </c>
      <c r="FK152" s="535"/>
      <c r="FL152" s="535"/>
      <c r="FM152" s="535"/>
      <c r="FN152" s="536">
        <v>1</v>
      </c>
      <c r="FO152" s="535"/>
      <c r="FP152" s="535"/>
      <c r="FQ152" s="536">
        <v>0</v>
      </c>
      <c r="FR152" s="536">
        <v>0</v>
      </c>
      <c r="FS152" s="536">
        <v>0</v>
      </c>
      <c r="FT152" s="537"/>
      <c r="FU152" s="537"/>
      <c r="FV152" s="538">
        <v>1</v>
      </c>
      <c r="FW152" s="539"/>
      <c r="FY152" s="540"/>
      <c r="FZ152" s="540"/>
      <c r="GA152" s="540"/>
      <c r="GB152" s="550" t="s">
        <v>15</v>
      </c>
      <c r="GC152" s="551"/>
      <c r="GD152" s="552">
        <v>1</v>
      </c>
      <c r="GE152" s="552">
        <v>1</v>
      </c>
      <c r="GF152" s="551"/>
      <c r="GG152" s="551"/>
      <c r="GH152" s="552">
        <v>3</v>
      </c>
      <c r="GI152" s="552">
        <v>5</v>
      </c>
      <c r="GJ152" s="552">
        <v>5</v>
      </c>
      <c r="GK152" s="551"/>
      <c r="GL152" s="551"/>
      <c r="GM152" s="552">
        <v>15</v>
      </c>
      <c r="GN152" s="553">
        <f>+(GM151+GM150+GM148)/GM152</f>
        <v>0.26666666666666666</v>
      </c>
      <c r="GP152" s="63"/>
      <c r="GQ152" s="63"/>
      <c r="GR152" s="37"/>
      <c r="GS152" s="37"/>
      <c r="GT152" s="37"/>
      <c r="GU152" s="37"/>
      <c r="GV152" s="37"/>
      <c r="GW152" s="37"/>
      <c r="GX152" s="37"/>
      <c r="GY152" s="37"/>
      <c r="GZ152" s="37"/>
      <c r="HA152" s="37"/>
      <c r="HB152" s="37"/>
      <c r="HC152" s="37"/>
      <c r="HD152" s="37"/>
      <c r="HE152" s="37"/>
      <c r="HF152" s="37"/>
      <c r="HG152" s="446"/>
      <c r="HH152" s="446"/>
      <c r="HI152" s="446"/>
      <c r="HJ152" s="446" t="s">
        <v>1072</v>
      </c>
      <c r="HK152" s="446">
        <v>0</v>
      </c>
      <c r="HL152" s="446">
        <v>0</v>
      </c>
      <c r="HM152" s="446">
        <v>0</v>
      </c>
      <c r="HN152" s="446">
        <v>0</v>
      </c>
      <c r="HO152" s="446">
        <v>0</v>
      </c>
      <c r="HP152" s="446">
        <v>0</v>
      </c>
      <c r="HQ152" s="446">
        <v>6</v>
      </c>
      <c r="HR152" s="446">
        <v>1</v>
      </c>
      <c r="HS152" s="446">
        <v>0</v>
      </c>
      <c r="HT152" s="446">
        <v>0</v>
      </c>
      <c r="HU152" s="446">
        <v>0</v>
      </c>
      <c r="HV152" s="447">
        <v>7</v>
      </c>
      <c r="HW152" s="544"/>
      <c r="HX152" s="448"/>
    </row>
    <row r="153" spans="1:232">
      <c r="A153" s="5682">
        <v>2</v>
      </c>
      <c r="B153" s="5682">
        <v>1</v>
      </c>
      <c r="C153" s="5683" t="s">
        <v>681</v>
      </c>
      <c r="D153" s="5683" t="s">
        <v>2731</v>
      </c>
      <c r="E153" s="5682">
        <v>1</v>
      </c>
      <c r="F153" s="5682">
        <v>7</v>
      </c>
      <c r="I153" s="4915">
        <v>2</v>
      </c>
      <c r="J153" s="4915">
        <v>2</v>
      </c>
      <c r="K153" s="4916" t="s">
        <v>2749</v>
      </c>
      <c r="L153" s="4916" t="s">
        <v>2703</v>
      </c>
      <c r="M153" s="4915">
        <v>1</v>
      </c>
      <c r="N153" s="4915">
        <v>2</v>
      </c>
      <c r="O153" s="157"/>
      <c r="Q153" s="4705">
        <v>2</v>
      </c>
      <c r="R153" s="4705">
        <v>3</v>
      </c>
      <c r="S153" s="4706" t="s">
        <v>128</v>
      </c>
      <c r="T153" s="4706" t="s">
        <v>2731</v>
      </c>
      <c r="U153" s="4707">
        <v>3</v>
      </c>
      <c r="V153" s="4707">
        <v>8</v>
      </c>
      <c r="W153" s="4722"/>
      <c r="Y153" s="36"/>
      <c r="Z153" s="36"/>
      <c r="AA153" s="36"/>
      <c r="AB153" s="36" t="s">
        <v>1080</v>
      </c>
      <c r="AC153" s="1681"/>
      <c r="AD153" s="1681">
        <v>0</v>
      </c>
      <c r="AE153" s="1681">
        <v>0</v>
      </c>
      <c r="AF153" s="1681"/>
      <c r="AG153" s="1681"/>
      <c r="AH153" s="1681"/>
      <c r="AI153" s="1681">
        <v>0</v>
      </c>
      <c r="AJ153" s="1681">
        <v>32</v>
      </c>
      <c r="AK153" s="1681"/>
      <c r="AL153" s="95"/>
      <c r="AM153" s="95">
        <v>32</v>
      </c>
      <c r="AN153" s="4545"/>
      <c r="AR153" s="27"/>
      <c r="AS153" s="27" t="s">
        <v>1076</v>
      </c>
      <c r="AT153" s="3722">
        <v>0</v>
      </c>
      <c r="AU153" s="3722">
        <v>0</v>
      </c>
      <c r="AV153" s="3722">
        <v>0</v>
      </c>
      <c r="AW153" s="3722"/>
      <c r="AX153" s="3722">
        <v>1</v>
      </c>
      <c r="AY153" s="3722">
        <v>0</v>
      </c>
      <c r="AZ153" s="3722">
        <v>2</v>
      </c>
      <c r="BA153" s="3722">
        <v>4</v>
      </c>
      <c r="BB153" s="3722">
        <v>0</v>
      </c>
      <c r="BC153" s="3701">
        <v>0</v>
      </c>
      <c r="BD153" s="3701">
        <v>0</v>
      </c>
      <c r="BE153" s="3701">
        <v>7</v>
      </c>
      <c r="BF153" s="3701"/>
      <c r="BG153" s="3701"/>
      <c r="BK153" s="32" t="s">
        <v>1076</v>
      </c>
      <c r="BL153" s="3871"/>
      <c r="BM153" s="3871"/>
      <c r="BN153" s="3871"/>
      <c r="BO153" s="3871"/>
      <c r="BP153" s="3871"/>
      <c r="BQ153" s="3871">
        <v>17</v>
      </c>
      <c r="BR153" s="3871">
        <v>1</v>
      </c>
      <c r="BS153" s="3871"/>
      <c r="BT153" s="1518"/>
      <c r="BU153" s="1518">
        <v>18</v>
      </c>
      <c r="BX153" s="36"/>
      <c r="BY153" s="36"/>
      <c r="BZ153" s="36"/>
      <c r="CA153" s="393" t="s">
        <v>15</v>
      </c>
      <c r="CB153" s="1682">
        <v>1</v>
      </c>
      <c r="CC153" s="1682"/>
      <c r="CD153" s="1682"/>
      <c r="CE153" s="1682">
        <v>2</v>
      </c>
      <c r="CF153" s="1682">
        <v>1</v>
      </c>
      <c r="CG153" s="1682">
        <v>5</v>
      </c>
      <c r="CH153" s="1682">
        <v>18</v>
      </c>
      <c r="CI153" s="1682">
        <v>24</v>
      </c>
      <c r="CJ153" s="2041"/>
      <c r="CK153" s="2041"/>
      <c r="CL153" s="2041">
        <v>51</v>
      </c>
      <c r="CM153" s="560">
        <f>+(CL152+CL149)/CL153</f>
        <v>0.21568627450980393</v>
      </c>
      <c r="CN153" s="1665"/>
      <c r="CO153" s="37"/>
      <c r="CP153" s="37"/>
      <c r="CQ153" s="37"/>
      <c r="CR153" s="37" t="s">
        <v>1072</v>
      </c>
      <c r="CS153" s="1678"/>
      <c r="CT153" s="1678">
        <v>2</v>
      </c>
      <c r="CU153" s="1678">
        <v>0</v>
      </c>
      <c r="CV153" s="1678">
        <v>0</v>
      </c>
      <c r="CW153" s="1678">
        <v>1</v>
      </c>
      <c r="CX153" s="1678">
        <v>1</v>
      </c>
      <c r="CY153" s="1678">
        <v>4</v>
      </c>
      <c r="CZ153" s="1678">
        <v>8</v>
      </c>
      <c r="DA153" s="1678">
        <v>3</v>
      </c>
      <c r="DB153" s="63">
        <v>1</v>
      </c>
      <c r="DC153" s="63">
        <v>0</v>
      </c>
      <c r="DD153" s="63">
        <v>20</v>
      </c>
      <c r="DG153" s="95"/>
      <c r="DH153" s="95"/>
      <c r="DI153" s="36"/>
      <c r="DJ153" s="393" t="s">
        <v>15</v>
      </c>
      <c r="DK153" s="1485"/>
      <c r="DL153" s="1485">
        <v>4</v>
      </c>
      <c r="DM153" s="1485"/>
      <c r="DN153" s="1485">
        <v>2</v>
      </c>
      <c r="DO153" s="1485"/>
      <c r="DP153" s="1485"/>
      <c r="DQ153" s="1485">
        <v>16</v>
      </c>
      <c r="DR153" s="1485">
        <v>6</v>
      </c>
      <c r="DS153" s="1485"/>
      <c r="DT153" s="86"/>
      <c r="DU153" s="86"/>
      <c r="DV153" s="86">
        <v>28</v>
      </c>
      <c r="DW153" s="560">
        <f>+(DV150+DV152)/DV153</f>
        <v>0.5714285714285714</v>
      </c>
      <c r="DY153" s="1209"/>
      <c r="DZ153" s="1209"/>
      <c r="EA153" s="1210"/>
      <c r="EB153" s="415" t="s">
        <v>482</v>
      </c>
      <c r="EC153" s="1215">
        <v>9</v>
      </c>
      <c r="ED153" s="1215">
        <v>4</v>
      </c>
      <c r="EE153" s="1215">
        <v>5</v>
      </c>
      <c r="EF153" s="1215">
        <v>1</v>
      </c>
      <c r="EG153" s="1215">
        <v>2</v>
      </c>
      <c r="EH153" s="1215">
        <v>8</v>
      </c>
      <c r="EI153" s="1215">
        <v>15</v>
      </c>
      <c r="EJ153" s="1215">
        <v>41</v>
      </c>
      <c r="EK153" s="621">
        <v>8</v>
      </c>
      <c r="EL153" s="621">
        <v>24</v>
      </c>
      <c r="EM153" s="621">
        <v>117</v>
      </c>
      <c r="EN153" s="1178">
        <f>+(EM149+EM152)/EM153</f>
        <v>0.19658119658119658</v>
      </c>
      <c r="EP153" s="527"/>
      <c r="EQ153" s="527"/>
      <c r="ER153" s="528"/>
      <c r="ES153" s="529" t="s">
        <v>1080</v>
      </c>
      <c r="ET153" s="530"/>
      <c r="EU153" s="530"/>
      <c r="EV153" s="530"/>
      <c r="EW153" s="530"/>
      <c r="EX153" s="530"/>
      <c r="EY153" s="531">
        <v>0</v>
      </c>
      <c r="EZ153" s="531">
        <v>0</v>
      </c>
      <c r="FA153" s="531">
        <v>4</v>
      </c>
      <c r="FB153" s="527"/>
      <c r="FC153" s="527"/>
      <c r="FD153" s="532">
        <v>4</v>
      </c>
      <c r="FE153" s="95"/>
      <c r="FG153" s="533"/>
      <c r="FH153" s="533"/>
      <c r="FI153" s="533"/>
      <c r="FJ153" s="534" t="s">
        <v>1076</v>
      </c>
      <c r="FK153" s="535"/>
      <c r="FL153" s="535"/>
      <c r="FM153" s="535"/>
      <c r="FN153" s="536">
        <v>0</v>
      </c>
      <c r="FO153" s="535"/>
      <c r="FP153" s="535"/>
      <c r="FQ153" s="536">
        <v>6</v>
      </c>
      <c r="FR153" s="536">
        <v>16</v>
      </c>
      <c r="FS153" s="536">
        <v>0</v>
      </c>
      <c r="FT153" s="537"/>
      <c r="FU153" s="537"/>
      <c r="FV153" s="538">
        <v>22</v>
      </c>
      <c r="FW153" s="539"/>
      <c r="FY153" s="540"/>
      <c r="FZ153" s="540"/>
      <c r="GA153" s="540" t="s">
        <v>139</v>
      </c>
      <c r="GB153" s="541" t="s">
        <v>1072</v>
      </c>
      <c r="GC153" s="542"/>
      <c r="GD153" s="542"/>
      <c r="GE153" s="542"/>
      <c r="GF153" s="543">
        <v>1</v>
      </c>
      <c r="GG153" s="543">
        <v>0</v>
      </c>
      <c r="GH153" s="543">
        <v>1</v>
      </c>
      <c r="GI153" s="542"/>
      <c r="GJ153" s="542"/>
      <c r="GK153" s="542"/>
      <c r="GL153" s="542"/>
      <c r="GM153" s="543">
        <v>2</v>
      </c>
      <c r="GN153" s="445"/>
      <c r="GP153" s="63"/>
      <c r="GQ153" s="63"/>
      <c r="GR153" s="37"/>
      <c r="GS153" s="37"/>
      <c r="GT153" s="37"/>
      <c r="GU153" s="37"/>
      <c r="GV153" s="37"/>
      <c r="GW153" s="37"/>
      <c r="GX153" s="37"/>
      <c r="GY153" s="37"/>
      <c r="GZ153" s="37"/>
      <c r="HA153" s="37"/>
      <c r="HB153" s="37"/>
      <c r="HC153" s="37"/>
      <c r="HD153" s="37"/>
      <c r="HE153" s="37"/>
      <c r="HF153" s="37"/>
      <c r="HG153" s="446"/>
      <c r="HH153" s="446"/>
      <c r="HI153" s="446"/>
      <c r="HJ153" s="446" t="s">
        <v>1076</v>
      </c>
      <c r="HK153" s="446">
        <v>0</v>
      </c>
      <c r="HL153" s="446">
        <v>0</v>
      </c>
      <c r="HM153" s="446">
        <v>0</v>
      </c>
      <c r="HN153" s="446">
        <v>0</v>
      </c>
      <c r="HO153" s="446">
        <v>0</v>
      </c>
      <c r="HP153" s="446">
        <v>0</v>
      </c>
      <c r="HQ153" s="446">
        <v>1</v>
      </c>
      <c r="HR153" s="446">
        <v>0</v>
      </c>
      <c r="HS153" s="446">
        <v>0</v>
      </c>
      <c r="HT153" s="446">
        <v>0</v>
      </c>
      <c r="HU153" s="446">
        <v>0</v>
      </c>
      <c r="HV153" s="447">
        <v>1</v>
      </c>
      <c r="HW153" s="544"/>
      <c r="HX153" s="448"/>
    </row>
    <row r="154" spans="1:232">
      <c r="A154" s="5682">
        <v>2</v>
      </c>
      <c r="B154" s="5682">
        <v>1</v>
      </c>
      <c r="C154" s="5683" t="s">
        <v>681</v>
      </c>
      <c r="D154" s="5683" t="s">
        <v>2731</v>
      </c>
      <c r="E154" s="5682">
        <v>6</v>
      </c>
      <c r="F154" s="5682">
        <v>8</v>
      </c>
      <c r="I154" s="4915">
        <v>2</v>
      </c>
      <c r="J154" s="4915">
        <v>2</v>
      </c>
      <c r="K154" s="4916" t="s">
        <v>2749</v>
      </c>
      <c r="L154" s="4916" t="s">
        <v>2703</v>
      </c>
      <c r="M154" s="4915">
        <v>1</v>
      </c>
      <c r="N154" s="4915">
        <v>4</v>
      </c>
      <c r="O154" s="157"/>
      <c r="Q154" s="4705">
        <v>2</v>
      </c>
      <c r="R154" s="4705">
        <v>3</v>
      </c>
      <c r="S154" s="4706" t="s">
        <v>128</v>
      </c>
      <c r="T154" s="4708" t="s">
        <v>1076</v>
      </c>
      <c r="U154" s="4709">
        <v>5</v>
      </c>
      <c r="V154" s="4709">
        <v>6</v>
      </c>
      <c r="W154" s="4722"/>
      <c r="X154" s="4452"/>
      <c r="Y154" s="36"/>
      <c r="Z154" s="36"/>
      <c r="AA154" s="36"/>
      <c r="AB154" s="36" t="s">
        <v>15</v>
      </c>
      <c r="AC154" s="1681"/>
      <c r="AD154" s="1681">
        <v>1</v>
      </c>
      <c r="AE154" s="1681">
        <v>1</v>
      </c>
      <c r="AF154" s="1681"/>
      <c r="AG154" s="1681"/>
      <c r="AH154" s="1681"/>
      <c r="AI154" s="1681">
        <v>20</v>
      </c>
      <c r="AJ154" s="1681">
        <v>32</v>
      </c>
      <c r="AK154" s="1681"/>
      <c r="AL154" s="95"/>
      <c r="AM154" s="95">
        <v>54</v>
      </c>
      <c r="AN154" s="560">
        <f>+AI152/AM154</f>
        <v>0.14814814814814814</v>
      </c>
      <c r="AR154" s="27"/>
      <c r="AS154" s="27" t="s">
        <v>1077</v>
      </c>
      <c r="AT154" s="3722">
        <v>0</v>
      </c>
      <c r="AU154" s="3722">
        <v>0</v>
      </c>
      <c r="AV154" s="3722">
        <v>0</v>
      </c>
      <c r="AW154" s="3722"/>
      <c r="AX154" s="3722">
        <v>1</v>
      </c>
      <c r="AY154" s="3722">
        <v>0</v>
      </c>
      <c r="AZ154" s="3722">
        <v>0</v>
      </c>
      <c r="BA154" s="3722">
        <v>0</v>
      </c>
      <c r="BB154" s="3722">
        <v>0</v>
      </c>
      <c r="BC154" s="3701">
        <v>0</v>
      </c>
      <c r="BD154" s="3701">
        <v>0</v>
      </c>
      <c r="BE154" s="3701">
        <v>1</v>
      </c>
      <c r="BF154" s="3701"/>
      <c r="BG154" s="3701"/>
      <c r="BK154" s="32" t="s">
        <v>1080</v>
      </c>
      <c r="BL154" s="3871"/>
      <c r="BM154" s="3871"/>
      <c r="BN154" s="3871"/>
      <c r="BO154" s="3871"/>
      <c r="BP154" s="3871"/>
      <c r="BQ154" s="3871">
        <v>0</v>
      </c>
      <c r="BR154" s="3871">
        <v>5</v>
      </c>
      <c r="BS154" s="3871"/>
      <c r="BT154" s="1518"/>
      <c r="BU154" s="1518">
        <v>5</v>
      </c>
      <c r="BX154" s="36"/>
      <c r="BY154" s="36"/>
      <c r="BZ154" s="36" t="s">
        <v>126</v>
      </c>
      <c r="CA154" s="36" t="s">
        <v>1072</v>
      </c>
      <c r="CB154" s="1681">
        <v>0</v>
      </c>
      <c r="CC154" s="1681"/>
      <c r="CD154" s="1681"/>
      <c r="CE154" s="1681"/>
      <c r="CF154" s="1681"/>
      <c r="CG154" s="1681">
        <v>2</v>
      </c>
      <c r="CH154" s="1681">
        <v>0</v>
      </c>
      <c r="CI154" s="1681">
        <v>0</v>
      </c>
      <c r="CJ154" s="95"/>
      <c r="CK154" s="95"/>
      <c r="CL154" s="95">
        <v>2</v>
      </c>
      <c r="CM154" s="36"/>
      <c r="CO154" s="37"/>
      <c r="CP154" s="37"/>
      <c r="CQ154" s="37"/>
      <c r="CR154" s="37" t="s">
        <v>1074</v>
      </c>
      <c r="CS154" s="1678"/>
      <c r="CT154" s="1678">
        <v>3</v>
      </c>
      <c r="CU154" s="1678">
        <v>1</v>
      </c>
      <c r="CV154" s="1678">
        <v>0</v>
      </c>
      <c r="CW154" s="1678">
        <v>0</v>
      </c>
      <c r="CX154" s="1678">
        <v>0</v>
      </c>
      <c r="CY154" s="1678">
        <v>0</v>
      </c>
      <c r="CZ154" s="1678">
        <v>0</v>
      </c>
      <c r="DA154" s="1678">
        <v>0</v>
      </c>
      <c r="DB154" s="63">
        <v>0</v>
      </c>
      <c r="DC154" s="63">
        <v>0</v>
      </c>
      <c r="DD154" s="63">
        <v>4</v>
      </c>
      <c r="DG154" s="95"/>
      <c r="DH154" s="95"/>
      <c r="DI154" s="36" t="s">
        <v>127</v>
      </c>
      <c r="DJ154" s="36" t="s">
        <v>1072</v>
      </c>
      <c r="DK154" s="1484"/>
      <c r="DL154" s="1484"/>
      <c r="DM154" s="1484"/>
      <c r="DN154" s="1484">
        <v>0</v>
      </c>
      <c r="DO154" s="1484"/>
      <c r="DP154" s="1484"/>
      <c r="DQ154" s="1484">
        <v>1</v>
      </c>
      <c r="DR154" s="1484">
        <v>0</v>
      </c>
      <c r="DS154" s="1484">
        <v>0</v>
      </c>
      <c r="DT154" s="95"/>
      <c r="DU154" s="95"/>
      <c r="DV154" s="95">
        <v>1</v>
      </c>
      <c r="DW154" s="95"/>
      <c r="DY154" s="1209"/>
      <c r="DZ154" s="1209" t="s">
        <v>16</v>
      </c>
      <c r="EA154" s="1210" t="s">
        <v>106</v>
      </c>
      <c r="EB154" s="1211" t="s">
        <v>1076</v>
      </c>
      <c r="EC154" s="1212"/>
      <c r="ED154" s="1212"/>
      <c r="EE154" s="1213">
        <v>8</v>
      </c>
      <c r="EF154" s="1213">
        <v>0</v>
      </c>
      <c r="EG154" s="1212"/>
      <c r="EH154" s="1212"/>
      <c r="EI154" s="1212"/>
      <c r="EJ154" s="1212"/>
      <c r="EK154" s="611"/>
      <c r="EL154" s="611"/>
      <c r="EM154" s="612">
        <v>8</v>
      </c>
      <c r="EN154" s="36"/>
      <c r="EP154" s="527"/>
      <c r="EQ154" s="527"/>
      <c r="ER154" s="528"/>
      <c r="ES154" s="529" t="s">
        <v>1163</v>
      </c>
      <c r="ET154" s="530"/>
      <c r="EU154" s="530"/>
      <c r="EV154" s="530"/>
      <c r="EW154" s="530"/>
      <c r="EX154" s="530"/>
      <c r="EY154" s="531">
        <v>4</v>
      </c>
      <c r="EZ154" s="531">
        <v>2</v>
      </c>
      <c r="FA154" s="531">
        <v>0</v>
      </c>
      <c r="FB154" s="527"/>
      <c r="FC154" s="527"/>
      <c r="FD154" s="532">
        <v>6</v>
      </c>
      <c r="FE154" s="95"/>
      <c r="FG154" s="533"/>
      <c r="FH154" s="533"/>
      <c r="FI154" s="533"/>
      <c r="FJ154" s="534" t="s">
        <v>1080</v>
      </c>
      <c r="FK154" s="535"/>
      <c r="FL154" s="535"/>
      <c r="FM154" s="535"/>
      <c r="FN154" s="536">
        <v>0</v>
      </c>
      <c r="FO154" s="535"/>
      <c r="FP154" s="535"/>
      <c r="FQ154" s="536">
        <v>0</v>
      </c>
      <c r="FR154" s="536">
        <v>0</v>
      </c>
      <c r="FS154" s="536">
        <v>31</v>
      </c>
      <c r="FT154" s="537"/>
      <c r="FU154" s="537"/>
      <c r="FV154" s="538">
        <v>31</v>
      </c>
      <c r="FW154" s="539"/>
      <c r="FY154" s="540"/>
      <c r="FZ154" s="540"/>
      <c r="GA154" s="540"/>
      <c r="GB154" s="541" t="s">
        <v>1076</v>
      </c>
      <c r="GC154" s="542"/>
      <c r="GD154" s="542"/>
      <c r="GE154" s="542"/>
      <c r="GF154" s="543">
        <v>0</v>
      </c>
      <c r="GG154" s="543">
        <v>0</v>
      </c>
      <c r="GH154" s="543">
        <v>1</v>
      </c>
      <c r="GI154" s="542"/>
      <c r="GJ154" s="542"/>
      <c r="GK154" s="542"/>
      <c r="GL154" s="542"/>
      <c r="GM154" s="543">
        <v>1</v>
      </c>
      <c r="GN154" s="445"/>
      <c r="GP154" s="63"/>
      <c r="GQ154" s="63"/>
      <c r="GR154" s="37" t="s">
        <v>315</v>
      </c>
      <c r="GS154" s="37" t="s">
        <v>315</v>
      </c>
      <c r="HD154" s="416"/>
      <c r="HE154" s="416"/>
      <c r="HF154" s="37"/>
      <c r="HG154" s="446"/>
      <c r="HH154" s="446"/>
      <c r="HI154" s="446"/>
      <c r="HJ154" s="446" t="s">
        <v>1080</v>
      </c>
      <c r="HK154" s="446">
        <v>0</v>
      </c>
      <c r="HL154" s="446">
        <v>0</v>
      </c>
      <c r="HM154" s="446">
        <v>0</v>
      </c>
      <c r="HN154" s="446">
        <v>0</v>
      </c>
      <c r="HO154" s="446">
        <v>0</v>
      </c>
      <c r="HP154" s="446">
        <v>0</v>
      </c>
      <c r="HQ154" s="446">
        <v>1</v>
      </c>
      <c r="HR154" s="446">
        <v>0</v>
      </c>
      <c r="HS154" s="446">
        <v>0</v>
      </c>
      <c r="HT154" s="446">
        <v>0</v>
      </c>
      <c r="HU154" s="446">
        <v>0</v>
      </c>
      <c r="HV154" s="447">
        <v>1</v>
      </c>
      <c r="HW154" s="544"/>
      <c r="HX154" s="448"/>
    </row>
    <row r="155" spans="1:232">
      <c r="A155" s="5682">
        <v>2</v>
      </c>
      <c r="B155" s="5682">
        <v>1</v>
      </c>
      <c r="C155" s="5683" t="s">
        <v>681</v>
      </c>
      <c r="D155" s="5683" t="s">
        <v>2731</v>
      </c>
      <c r="E155" s="5682">
        <v>3</v>
      </c>
      <c r="F155" s="5682">
        <v>10</v>
      </c>
      <c r="I155" s="4915">
        <v>2</v>
      </c>
      <c r="J155" s="4915">
        <v>2</v>
      </c>
      <c r="K155" s="4916" t="s">
        <v>2749</v>
      </c>
      <c r="L155" s="4916" t="s">
        <v>2705</v>
      </c>
      <c r="M155" s="4915">
        <v>1</v>
      </c>
      <c r="N155" s="4915">
        <v>1</v>
      </c>
      <c r="O155" s="157"/>
      <c r="Q155" s="4705">
        <v>2</v>
      </c>
      <c r="R155" s="4705">
        <v>3</v>
      </c>
      <c r="S155" s="4706" t="s">
        <v>128</v>
      </c>
      <c r="T155" s="4708" t="s">
        <v>1076</v>
      </c>
      <c r="U155" s="4709">
        <v>2</v>
      </c>
      <c r="V155" s="4709">
        <v>7</v>
      </c>
      <c r="W155" s="4722"/>
      <c r="Y155" s="36"/>
      <c r="Z155" s="36"/>
      <c r="AA155" s="393" t="s">
        <v>109</v>
      </c>
      <c r="AB155" s="36" t="s">
        <v>1071</v>
      </c>
      <c r="AC155" s="1681">
        <v>0</v>
      </c>
      <c r="AD155" s="1681">
        <v>0</v>
      </c>
      <c r="AE155" s="1681">
        <v>0</v>
      </c>
      <c r="AF155" s="1681">
        <v>0</v>
      </c>
      <c r="AG155" s="1681">
        <v>0</v>
      </c>
      <c r="AH155" s="1681">
        <v>0</v>
      </c>
      <c r="AI155" s="1681">
        <v>0</v>
      </c>
      <c r="AJ155" s="1681">
        <v>2</v>
      </c>
      <c r="AK155" s="1681">
        <v>0</v>
      </c>
      <c r="AL155" s="95">
        <v>2</v>
      </c>
      <c r="AM155" s="95">
        <v>4</v>
      </c>
      <c r="AN155" s="4545"/>
      <c r="AR155" s="27"/>
      <c r="AS155" s="27" t="s">
        <v>1080</v>
      </c>
      <c r="AT155" s="3722">
        <v>0</v>
      </c>
      <c r="AU155" s="3722">
        <v>0</v>
      </c>
      <c r="AV155" s="3722">
        <v>0</v>
      </c>
      <c r="AW155" s="3722"/>
      <c r="AX155" s="3722">
        <v>0</v>
      </c>
      <c r="AY155" s="3722">
        <v>0</v>
      </c>
      <c r="AZ155" s="3722">
        <v>0</v>
      </c>
      <c r="BA155" s="3722">
        <v>28</v>
      </c>
      <c r="BB155" s="3722">
        <v>12</v>
      </c>
      <c r="BC155" s="3701">
        <v>14</v>
      </c>
      <c r="BD155" s="3701">
        <v>2</v>
      </c>
      <c r="BE155" s="3701">
        <v>56</v>
      </c>
      <c r="BF155" s="3701"/>
      <c r="BG155" s="3701"/>
      <c r="BK155" s="1520" t="s">
        <v>15</v>
      </c>
      <c r="BL155" s="3872"/>
      <c r="BM155" s="3872"/>
      <c r="BN155" s="3872"/>
      <c r="BO155" s="3872"/>
      <c r="BP155" s="3872"/>
      <c r="BQ155" s="3872">
        <v>18</v>
      </c>
      <c r="BR155" s="3872">
        <v>7</v>
      </c>
      <c r="BS155" s="3872"/>
      <c r="BT155" s="3806"/>
      <c r="BU155" s="3806">
        <v>25</v>
      </c>
      <c r="BV155" s="3807">
        <f>+BU153/BU155</f>
        <v>0.72</v>
      </c>
      <c r="BX155" s="36"/>
      <c r="BY155" s="36"/>
      <c r="BZ155" s="36"/>
      <c r="CA155" s="36" t="s">
        <v>1074</v>
      </c>
      <c r="CB155" s="1681">
        <v>1</v>
      </c>
      <c r="CC155" s="1681"/>
      <c r="CD155" s="1681"/>
      <c r="CE155" s="1681"/>
      <c r="CF155" s="1681"/>
      <c r="CG155" s="1681">
        <v>0</v>
      </c>
      <c r="CH155" s="1681">
        <v>0</v>
      </c>
      <c r="CI155" s="1681">
        <v>0</v>
      </c>
      <c r="CJ155" s="95"/>
      <c r="CK155" s="95"/>
      <c r="CL155" s="95">
        <v>1</v>
      </c>
      <c r="CM155" s="36"/>
      <c r="CO155" s="37"/>
      <c r="CP155" s="37"/>
      <c r="CQ155" s="37"/>
      <c r="CR155" s="37" t="s">
        <v>1076</v>
      </c>
      <c r="CS155" s="1678"/>
      <c r="CT155" s="1678">
        <v>0</v>
      </c>
      <c r="CU155" s="1678">
        <v>0</v>
      </c>
      <c r="CV155" s="1678">
        <v>0</v>
      </c>
      <c r="CW155" s="1678">
        <v>0</v>
      </c>
      <c r="CX155" s="1678">
        <v>0</v>
      </c>
      <c r="CY155" s="1678">
        <v>4</v>
      </c>
      <c r="CZ155" s="1678">
        <v>10</v>
      </c>
      <c r="DA155" s="1678">
        <v>7</v>
      </c>
      <c r="DB155" s="63">
        <v>2</v>
      </c>
      <c r="DC155" s="63">
        <v>0</v>
      </c>
      <c r="DD155" s="63">
        <v>23</v>
      </c>
      <c r="DG155" s="95"/>
      <c r="DH155" s="95"/>
      <c r="DI155" s="36"/>
      <c r="DJ155" s="36" t="s">
        <v>1074</v>
      </c>
      <c r="DK155" s="1484"/>
      <c r="DL155" s="1484"/>
      <c r="DM155" s="1484"/>
      <c r="DN155" s="1484">
        <v>1</v>
      </c>
      <c r="DO155" s="1484"/>
      <c r="DP155" s="1484"/>
      <c r="DQ155" s="1484">
        <v>0</v>
      </c>
      <c r="DR155" s="1484">
        <v>0</v>
      </c>
      <c r="DS155" s="1484">
        <v>0</v>
      </c>
      <c r="DT155" s="95"/>
      <c r="DU155" s="95"/>
      <c r="DV155" s="95">
        <v>1</v>
      </c>
      <c r="DW155" s="95"/>
      <c r="DY155" s="1209"/>
      <c r="DZ155" s="1209"/>
      <c r="EA155" s="1210"/>
      <c r="EB155" s="1211" t="s">
        <v>1077</v>
      </c>
      <c r="EC155" s="1212"/>
      <c r="ED155" s="1212"/>
      <c r="EE155" s="1213">
        <v>0</v>
      </c>
      <c r="EF155" s="1213">
        <v>1</v>
      </c>
      <c r="EG155" s="1212"/>
      <c r="EH155" s="1212"/>
      <c r="EI155" s="1212"/>
      <c r="EJ155" s="1212"/>
      <c r="EK155" s="611"/>
      <c r="EL155" s="611"/>
      <c r="EM155" s="612">
        <v>1</v>
      </c>
      <c r="EN155" s="36"/>
      <c r="EP155" s="527"/>
      <c r="EQ155" s="527"/>
      <c r="ER155" s="528"/>
      <c r="ES155" s="555" t="s">
        <v>15</v>
      </c>
      <c r="ET155" s="556"/>
      <c r="EU155" s="556"/>
      <c r="EV155" s="556"/>
      <c r="EW155" s="556"/>
      <c r="EX155" s="556"/>
      <c r="EY155" s="557">
        <v>7</v>
      </c>
      <c r="EZ155" s="557">
        <v>5</v>
      </c>
      <c r="FA155" s="557">
        <v>4</v>
      </c>
      <c r="FB155" s="558"/>
      <c r="FC155" s="558"/>
      <c r="FD155" s="559">
        <v>16</v>
      </c>
      <c r="FE155" s="560">
        <f>+(FD152+FD154)/FD155</f>
        <v>0.625</v>
      </c>
      <c r="FG155" s="533"/>
      <c r="FH155" s="533"/>
      <c r="FI155" s="533"/>
      <c r="FJ155" s="534" t="s">
        <v>1163</v>
      </c>
      <c r="FK155" s="535"/>
      <c r="FL155" s="535"/>
      <c r="FM155" s="535"/>
      <c r="FN155" s="536">
        <v>0</v>
      </c>
      <c r="FO155" s="535"/>
      <c r="FP155" s="535"/>
      <c r="FQ155" s="536">
        <v>7</v>
      </c>
      <c r="FR155" s="536">
        <v>0</v>
      </c>
      <c r="FS155" s="536">
        <v>0</v>
      </c>
      <c r="FT155" s="537"/>
      <c r="FU155" s="537"/>
      <c r="FV155" s="538">
        <v>7</v>
      </c>
      <c r="FW155" s="539"/>
      <c r="FY155" s="540"/>
      <c r="FZ155" s="540"/>
      <c r="GA155" s="540"/>
      <c r="GB155" s="541" t="s">
        <v>1077</v>
      </c>
      <c r="GC155" s="542"/>
      <c r="GD155" s="542"/>
      <c r="GE155" s="542"/>
      <c r="GF155" s="543">
        <v>0</v>
      </c>
      <c r="GG155" s="543">
        <v>0</v>
      </c>
      <c r="GH155" s="543">
        <v>1</v>
      </c>
      <c r="GI155" s="542"/>
      <c r="GJ155" s="542"/>
      <c r="GK155" s="542"/>
      <c r="GL155" s="542"/>
      <c r="GM155" s="543">
        <v>1</v>
      </c>
      <c r="GN155" s="445"/>
      <c r="GP155" s="63"/>
      <c r="HF155" s="37"/>
      <c r="HG155" s="446"/>
      <c r="HH155" s="446"/>
      <c r="HI155" s="446"/>
      <c r="HJ155" s="446" t="s">
        <v>1081</v>
      </c>
      <c r="HK155" s="446">
        <v>0</v>
      </c>
      <c r="HL155" s="446">
        <v>0</v>
      </c>
      <c r="HM155" s="446">
        <v>0</v>
      </c>
      <c r="HN155" s="446">
        <v>0</v>
      </c>
      <c r="HO155" s="446">
        <v>0</v>
      </c>
      <c r="HP155" s="446">
        <v>0</v>
      </c>
      <c r="HQ155" s="446">
        <v>4</v>
      </c>
      <c r="HR155" s="446">
        <v>0</v>
      </c>
      <c r="HS155" s="446">
        <v>0</v>
      </c>
      <c r="HT155" s="446">
        <v>0</v>
      </c>
      <c r="HU155" s="446">
        <v>0</v>
      </c>
      <c r="HV155" s="447">
        <v>4</v>
      </c>
      <c r="HW155" s="544"/>
      <c r="HX155" s="448"/>
    </row>
    <row r="156" spans="1:232">
      <c r="A156" s="5682">
        <v>2</v>
      </c>
      <c r="B156" s="5682">
        <v>1</v>
      </c>
      <c r="C156" s="5683" t="s">
        <v>681</v>
      </c>
      <c r="D156" s="5685" t="s">
        <v>2732</v>
      </c>
      <c r="E156" s="5682">
        <v>1</v>
      </c>
      <c r="F156" s="5682">
        <v>7</v>
      </c>
      <c r="I156" s="4915">
        <v>2</v>
      </c>
      <c r="J156" s="4915">
        <v>2</v>
      </c>
      <c r="K156" s="4916" t="s">
        <v>2749</v>
      </c>
      <c r="L156" s="4916" t="s">
        <v>2709</v>
      </c>
      <c r="M156" s="4915">
        <v>1</v>
      </c>
      <c r="N156" s="4915">
        <v>5</v>
      </c>
      <c r="O156" s="157"/>
      <c r="Q156" s="4705">
        <v>2</v>
      </c>
      <c r="R156" s="4705">
        <v>3</v>
      </c>
      <c r="S156" s="4706" t="s">
        <v>128</v>
      </c>
      <c r="T156" s="4706" t="s">
        <v>2709</v>
      </c>
      <c r="U156" s="4707">
        <v>1</v>
      </c>
      <c r="V156" s="4707">
        <v>1</v>
      </c>
      <c r="W156" s="4722"/>
      <c r="Y156" s="36"/>
      <c r="Z156" s="36"/>
      <c r="AA156" s="36"/>
      <c r="AB156" s="36" t="s">
        <v>1072</v>
      </c>
      <c r="AC156" s="1681">
        <v>0</v>
      </c>
      <c r="AD156" s="1681">
        <v>1</v>
      </c>
      <c r="AE156" s="1681">
        <v>1</v>
      </c>
      <c r="AF156" s="1681">
        <v>2</v>
      </c>
      <c r="AG156" s="1681">
        <v>1</v>
      </c>
      <c r="AH156" s="1681">
        <v>3</v>
      </c>
      <c r="AI156" s="1681">
        <v>26</v>
      </c>
      <c r="AJ156" s="1681">
        <v>2</v>
      </c>
      <c r="AK156" s="1681">
        <v>3</v>
      </c>
      <c r="AL156" s="95">
        <v>0</v>
      </c>
      <c r="AM156" s="95">
        <v>39</v>
      </c>
      <c r="AN156" s="4545"/>
      <c r="AR156" s="27"/>
      <c r="AS156" s="27" t="s">
        <v>2571</v>
      </c>
      <c r="AT156" s="3722">
        <v>9</v>
      </c>
      <c r="AU156" s="3722">
        <v>0</v>
      </c>
      <c r="AV156" s="3722">
        <v>0</v>
      </c>
      <c r="AW156" s="3722"/>
      <c r="AX156" s="3722">
        <v>0</v>
      </c>
      <c r="AY156" s="3722">
        <v>0</v>
      </c>
      <c r="AZ156" s="3722">
        <v>0</v>
      </c>
      <c r="BA156" s="3722">
        <v>0</v>
      </c>
      <c r="BB156" s="3722">
        <v>0</v>
      </c>
      <c r="BC156" s="3701">
        <v>0</v>
      </c>
      <c r="BD156" s="3701">
        <v>0</v>
      </c>
      <c r="BE156" s="3701">
        <v>9</v>
      </c>
      <c r="BF156" s="3701"/>
      <c r="BG156" s="3701"/>
      <c r="BJ156" s="32" t="s">
        <v>127</v>
      </c>
      <c r="BK156" s="32" t="s">
        <v>1076</v>
      </c>
      <c r="BL156" s="3871"/>
      <c r="BM156" s="3871"/>
      <c r="BN156" s="3871">
        <v>0</v>
      </c>
      <c r="BO156" s="3871"/>
      <c r="BP156" s="3871"/>
      <c r="BQ156" s="3871">
        <v>1</v>
      </c>
      <c r="BR156" s="3871"/>
      <c r="BS156" s="3871"/>
      <c r="BT156" s="1518"/>
      <c r="BU156" s="1518">
        <v>1</v>
      </c>
      <c r="BX156" s="36"/>
      <c r="BY156" s="36"/>
      <c r="BZ156" s="36"/>
      <c r="CA156" s="36" t="s">
        <v>1076</v>
      </c>
      <c r="CB156" s="1681">
        <v>0</v>
      </c>
      <c r="CC156" s="1681"/>
      <c r="CD156" s="1681"/>
      <c r="CE156" s="1681"/>
      <c r="CF156" s="1681"/>
      <c r="CG156" s="1681">
        <v>0</v>
      </c>
      <c r="CH156" s="1681">
        <v>2</v>
      </c>
      <c r="CI156" s="1681">
        <v>0</v>
      </c>
      <c r="CJ156" s="95"/>
      <c r="CK156" s="95"/>
      <c r="CL156" s="95">
        <v>2</v>
      </c>
      <c r="CM156" s="36"/>
      <c r="CO156" s="37"/>
      <c r="CP156" s="37"/>
      <c r="CQ156" s="37"/>
      <c r="CR156" s="37" t="s">
        <v>1077</v>
      </c>
      <c r="CS156" s="1678"/>
      <c r="CT156" s="1678">
        <v>0</v>
      </c>
      <c r="CU156" s="1678">
        <v>0</v>
      </c>
      <c r="CV156" s="1678">
        <v>1</v>
      </c>
      <c r="CW156" s="1678">
        <v>2</v>
      </c>
      <c r="CX156" s="1678">
        <v>0</v>
      </c>
      <c r="CY156" s="1678">
        <v>0</v>
      </c>
      <c r="CZ156" s="1678">
        <v>0</v>
      </c>
      <c r="DA156" s="1678">
        <v>0</v>
      </c>
      <c r="DB156" s="63">
        <v>0</v>
      </c>
      <c r="DC156" s="63">
        <v>0</v>
      </c>
      <c r="DD156" s="63">
        <v>3</v>
      </c>
      <c r="DG156" s="95"/>
      <c r="DH156" s="95"/>
      <c r="DI156" s="36"/>
      <c r="DJ156" s="36" t="s">
        <v>1163</v>
      </c>
      <c r="DK156" s="1484"/>
      <c r="DL156" s="1484"/>
      <c r="DM156" s="1484"/>
      <c r="DN156" s="1484">
        <v>0</v>
      </c>
      <c r="DO156" s="1484"/>
      <c r="DP156" s="1484"/>
      <c r="DQ156" s="1484">
        <v>5</v>
      </c>
      <c r="DR156" s="1484">
        <v>4</v>
      </c>
      <c r="DS156" s="1484">
        <v>1</v>
      </c>
      <c r="DT156" s="95"/>
      <c r="DU156" s="95"/>
      <c r="DV156" s="95">
        <v>10</v>
      </c>
      <c r="DW156" s="95"/>
      <c r="DY156" s="1209"/>
      <c r="DZ156" s="1209"/>
      <c r="EA156" s="1210"/>
      <c r="EB156" s="1211" t="s">
        <v>1163</v>
      </c>
      <c r="EC156" s="1212"/>
      <c r="ED156" s="1212"/>
      <c r="EE156" s="1213">
        <v>6</v>
      </c>
      <c r="EF156" s="1213">
        <v>0</v>
      </c>
      <c r="EG156" s="1212"/>
      <c r="EH156" s="1212"/>
      <c r="EI156" s="1212"/>
      <c r="EJ156" s="1212"/>
      <c r="EK156" s="611"/>
      <c r="EL156" s="611"/>
      <c r="EM156" s="612">
        <v>6</v>
      </c>
      <c r="EN156" s="36"/>
      <c r="EP156" s="527"/>
      <c r="EQ156" s="527"/>
      <c r="ER156" s="528" t="s">
        <v>129</v>
      </c>
      <c r="ES156" s="529" t="s">
        <v>1072</v>
      </c>
      <c r="ET156" s="531">
        <v>1</v>
      </c>
      <c r="EU156" s="530"/>
      <c r="EV156" s="530"/>
      <c r="EW156" s="530"/>
      <c r="EX156" s="530"/>
      <c r="EY156" s="531">
        <v>0</v>
      </c>
      <c r="EZ156" s="531">
        <v>4</v>
      </c>
      <c r="FA156" s="531">
        <v>0</v>
      </c>
      <c r="FB156" s="527"/>
      <c r="FC156" s="527"/>
      <c r="FD156" s="532">
        <v>5</v>
      </c>
      <c r="FE156" s="95"/>
      <c r="FG156" s="533"/>
      <c r="FH156" s="533"/>
      <c r="FI156" s="533"/>
      <c r="FJ156" s="545" t="s">
        <v>485</v>
      </c>
      <c r="FK156" s="546"/>
      <c r="FL156" s="546"/>
      <c r="FM156" s="546"/>
      <c r="FN156" s="547">
        <v>2</v>
      </c>
      <c r="FO156" s="546"/>
      <c r="FP156" s="546"/>
      <c r="FQ156" s="547">
        <v>13</v>
      </c>
      <c r="FR156" s="547">
        <v>22</v>
      </c>
      <c r="FS156" s="547">
        <v>32</v>
      </c>
      <c r="FT156" s="548"/>
      <c r="FU156" s="548"/>
      <c r="FV156" s="549">
        <v>69</v>
      </c>
      <c r="FW156" s="539">
        <f>+(FV155+FV153)/FV156</f>
        <v>0.42028985507246375</v>
      </c>
      <c r="FY156" s="540"/>
      <c r="FZ156" s="540"/>
      <c r="GA156" s="540"/>
      <c r="GB156" s="541" t="s">
        <v>1081</v>
      </c>
      <c r="GC156" s="542"/>
      <c r="GD156" s="542"/>
      <c r="GE156" s="542"/>
      <c r="GF156" s="543">
        <v>0</v>
      </c>
      <c r="GG156" s="543">
        <v>2</v>
      </c>
      <c r="GH156" s="543">
        <v>2</v>
      </c>
      <c r="GI156" s="542"/>
      <c r="GJ156" s="542"/>
      <c r="GK156" s="542"/>
      <c r="GL156" s="542"/>
      <c r="GM156" s="543">
        <v>4</v>
      </c>
      <c r="GN156" s="445"/>
      <c r="GP156" s="63"/>
      <c r="HF156" s="37"/>
      <c r="HG156" s="446"/>
      <c r="HH156" s="446"/>
      <c r="HI156" s="446"/>
      <c r="HJ156" s="449" t="s">
        <v>15</v>
      </c>
      <c r="HK156" s="449">
        <v>0</v>
      </c>
      <c r="HL156" s="449">
        <v>0</v>
      </c>
      <c r="HM156" s="449">
        <v>0</v>
      </c>
      <c r="HN156" s="449">
        <v>0</v>
      </c>
      <c r="HO156" s="449">
        <v>0</v>
      </c>
      <c r="HP156" s="449">
        <v>0</v>
      </c>
      <c r="HQ156" s="449">
        <v>12</v>
      </c>
      <c r="HR156" s="449">
        <v>1</v>
      </c>
      <c r="HS156" s="449">
        <v>1</v>
      </c>
      <c r="HT156" s="449">
        <v>0</v>
      </c>
      <c r="HU156" s="449">
        <v>0</v>
      </c>
      <c r="HV156" s="507">
        <v>14</v>
      </c>
      <c r="HW156" s="554">
        <f>+(HV155+HV153)/HV156</f>
        <v>0.35714285714285715</v>
      </c>
      <c r="HX156" s="448">
        <f>+HV153+HV155</f>
        <v>5</v>
      </c>
    </row>
    <row r="157" spans="1:232">
      <c r="A157" s="5682">
        <v>2</v>
      </c>
      <c r="B157" s="5682">
        <v>1</v>
      </c>
      <c r="C157" s="5683" t="s">
        <v>681</v>
      </c>
      <c r="D157" s="5685" t="s">
        <v>1076</v>
      </c>
      <c r="E157" s="5682">
        <v>3</v>
      </c>
      <c r="F157" s="5682">
        <v>7</v>
      </c>
      <c r="I157" s="4915">
        <v>2</v>
      </c>
      <c r="J157" s="4915">
        <v>2</v>
      </c>
      <c r="K157" s="4916" t="s">
        <v>2749</v>
      </c>
      <c r="L157" s="4916" t="s">
        <v>2709</v>
      </c>
      <c r="M157" s="4915">
        <v>5</v>
      </c>
      <c r="N157" s="4915">
        <v>6</v>
      </c>
      <c r="O157" s="157"/>
      <c r="Q157" s="4705">
        <v>2</v>
      </c>
      <c r="R157" s="4705">
        <v>3</v>
      </c>
      <c r="S157" s="4706" t="s">
        <v>128</v>
      </c>
      <c r="T157" s="4706" t="s">
        <v>2709</v>
      </c>
      <c r="U157" s="4707">
        <v>1</v>
      </c>
      <c r="V157" s="4707">
        <v>6</v>
      </c>
      <c r="W157" s="4722"/>
      <c r="Y157" s="36"/>
      <c r="Z157" s="36"/>
      <c r="AA157" s="36"/>
      <c r="AB157" s="36" t="s">
        <v>1074</v>
      </c>
      <c r="AC157" s="1681">
        <v>0</v>
      </c>
      <c r="AD157" s="1681">
        <v>2</v>
      </c>
      <c r="AE157" s="1681">
        <v>2</v>
      </c>
      <c r="AF157" s="1681">
        <v>0</v>
      </c>
      <c r="AG157" s="1681">
        <v>0</v>
      </c>
      <c r="AH157" s="1681">
        <v>0</v>
      </c>
      <c r="AI157" s="1681">
        <v>0</v>
      </c>
      <c r="AJ157" s="1681">
        <v>0</v>
      </c>
      <c r="AK157" s="1681">
        <v>0</v>
      </c>
      <c r="AL157" s="95">
        <v>0</v>
      </c>
      <c r="AM157" s="95">
        <v>4</v>
      </c>
      <c r="AN157" s="4545"/>
      <c r="AR157" s="27"/>
      <c r="AS157" s="27" t="s">
        <v>1163</v>
      </c>
      <c r="AT157" s="3722">
        <v>0</v>
      </c>
      <c r="AU157" s="3722">
        <v>0</v>
      </c>
      <c r="AV157" s="3722">
        <v>0</v>
      </c>
      <c r="AW157" s="3722"/>
      <c r="AX157" s="3722">
        <v>0</v>
      </c>
      <c r="AY157" s="3722">
        <v>2</v>
      </c>
      <c r="AZ157" s="3722">
        <v>8</v>
      </c>
      <c r="BA157" s="3722">
        <v>7</v>
      </c>
      <c r="BB157" s="3722">
        <v>2</v>
      </c>
      <c r="BC157" s="3701">
        <v>0</v>
      </c>
      <c r="BD157" s="3701">
        <v>0</v>
      </c>
      <c r="BE157" s="3701">
        <v>19</v>
      </c>
      <c r="BF157" s="3701"/>
      <c r="BG157" s="3701"/>
      <c r="BK157" s="32" t="s">
        <v>1077</v>
      </c>
      <c r="BL157" s="3871"/>
      <c r="BM157" s="3871"/>
      <c r="BN157" s="3871">
        <v>1</v>
      </c>
      <c r="BO157" s="3871"/>
      <c r="BP157" s="3871"/>
      <c r="BQ157" s="3871">
        <v>0</v>
      </c>
      <c r="BR157" s="3871"/>
      <c r="BS157" s="3871"/>
      <c r="BT157" s="1518"/>
      <c r="BU157" s="1518">
        <v>1</v>
      </c>
      <c r="BX157" s="36"/>
      <c r="BY157" s="36"/>
      <c r="BZ157" s="36"/>
      <c r="CA157" s="36" t="s">
        <v>1080</v>
      </c>
      <c r="CB157" s="1681">
        <v>0</v>
      </c>
      <c r="CC157" s="1681"/>
      <c r="CD157" s="1681"/>
      <c r="CE157" s="1681"/>
      <c r="CF157" s="1681"/>
      <c r="CG157" s="1681">
        <v>0</v>
      </c>
      <c r="CH157" s="1681">
        <v>0</v>
      </c>
      <c r="CI157" s="1681">
        <v>1</v>
      </c>
      <c r="CJ157" s="95"/>
      <c r="CK157" s="95"/>
      <c r="CL157" s="95">
        <v>1</v>
      </c>
      <c r="CM157" s="36"/>
      <c r="CO157" s="37"/>
      <c r="CP157" s="37"/>
      <c r="CQ157" s="37"/>
      <c r="CR157" s="37" t="s">
        <v>1080</v>
      </c>
      <c r="CS157" s="1678"/>
      <c r="CT157" s="1678">
        <v>0</v>
      </c>
      <c r="CU157" s="1678">
        <v>0</v>
      </c>
      <c r="CV157" s="1678">
        <v>0</v>
      </c>
      <c r="CW157" s="1678">
        <v>0</v>
      </c>
      <c r="CX157" s="1678">
        <v>1</v>
      </c>
      <c r="CY157" s="1678">
        <v>0</v>
      </c>
      <c r="CZ157" s="1678">
        <v>0</v>
      </c>
      <c r="DA157" s="1678">
        <v>26</v>
      </c>
      <c r="DB157" s="63">
        <v>6</v>
      </c>
      <c r="DC157" s="63">
        <v>5</v>
      </c>
      <c r="DD157" s="63">
        <v>38</v>
      </c>
      <c r="DG157" s="95"/>
      <c r="DH157" s="95"/>
      <c r="DI157" s="36"/>
      <c r="DJ157" s="393" t="s">
        <v>15</v>
      </c>
      <c r="DK157" s="1485"/>
      <c r="DL157" s="1485"/>
      <c r="DM157" s="1485"/>
      <c r="DN157" s="1485">
        <v>1</v>
      </c>
      <c r="DO157" s="1485"/>
      <c r="DP157" s="1485"/>
      <c r="DQ157" s="1485">
        <v>6</v>
      </c>
      <c r="DR157" s="1485">
        <v>4</v>
      </c>
      <c r="DS157" s="1485">
        <v>1</v>
      </c>
      <c r="DT157" s="86"/>
      <c r="DU157" s="86"/>
      <c r="DV157" s="86">
        <v>12</v>
      </c>
      <c r="DW157" s="560">
        <f>+DV156/DV157</f>
        <v>0.83333333333333337</v>
      </c>
      <c r="DY157" s="1209"/>
      <c r="DZ157" s="1209"/>
      <c r="EA157" s="1210"/>
      <c r="EB157" s="415" t="s">
        <v>15</v>
      </c>
      <c r="EC157" s="1214"/>
      <c r="ED157" s="1214"/>
      <c r="EE157" s="1215">
        <v>14</v>
      </c>
      <c r="EF157" s="1215">
        <v>1</v>
      </c>
      <c r="EG157" s="1214"/>
      <c r="EH157" s="1214"/>
      <c r="EI157" s="1214"/>
      <c r="EJ157" s="1214"/>
      <c r="EK157" s="620"/>
      <c r="EL157" s="620"/>
      <c r="EM157" s="621">
        <v>15</v>
      </c>
      <c r="EN157" s="1178">
        <f>+(EM154+EM156)/EM157</f>
        <v>0.93333333333333335</v>
      </c>
      <c r="EP157" s="527"/>
      <c r="EQ157" s="527"/>
      <c r="ER157" s="528"/>
      <c r="ES157" s="529" t="s">
        <v>1076</v>
      </c>
      <c r="ET157" s="531">
        <v>0</v>
      </c>
      <c r="EU157" s="530"/>
      <c r="EV157" s="530"/>
      <c r="EW157" s="530"/>
      <c r="EX157" s="530"/>
      <c r="EY157" s="531">
        <v>1</v>
      </c>
      <c r="EZ157" s="531">
        <v>6</v>
      </c>
      <c r="FA157" s="531">
        <v>0</v>
      </c>
      <c r="FB157" s="527"/>
      <c r="FC157" s="527"/>
      <c r="FD157" s="532">
        <v>7</v>
      </c>
      <c r="FE157" s="95"/>
      <c r="FG157" s="533"/>
      <c r="FH157" s="533"/>
      <c r="FI157" s="545" t="s">
        <v>109</v>
      </c>
      <c r="FJ157" s="534" t="s">
        <v>1071</v>
      </c>
      <c r="FK157" s="536">
        <v>0</v>
      </c>
      <c r="FL157" s="536">
        <v>0</v>
      </c>
      <c r="FM157" s="536">
        <v>0</v>
      </c>
      <c r="FN157" s="536">
        <v>0</v>
      </c>
      <c r="FO157" s="535"/>
      <c r="FP157" s="536">
        <v>0</v>
      </c>
      <c r="FQ157" s="536">
        <v>0</v>
      </c>
      <c r="FR157" s="536">
        <v>1</v>
      </c>
      <c r="FS157" s="536">
        <v>17</v>
      </c>
      <c r="FT157" s="538">
        <v>1</v>
      </c>
      <c r="FU157" s="538">
        <v>8</v>
      </c>
      <c r="FV157" s="538">
        <v>27</v>
      </c>
      <c r="FW157" s="539"/>
      <c r="FY157" s="540"/>
      <c r="FZ157" s="540"/>
      <c r="GA157" s="540"/>
      <c r="GB157" s="541" t="s">
        <v>1163</v>
      </c>
      <c r="GC157" s="542"/>
      <c r="GD157" s="542"/>
      <c r="GE157" s="542"/>
      <c r="GF157" s="543">
        <v>0</v>
      </c>
      <c r="GG157" s="543">
        <v>2</v>
      </c>
      <c r="GH157" s="543">
        <v>0</v>
      </c>
      <c r="GI157" s="542"/>
      <c r="GJ157" s="542"/>
      <c r="GK157" s="542"/>
      <c r="GL157" s="542"/>
      <c r="GM157" s="543">
        <v>2</v>
      </c>
      <c r="GN157" s="445"/>
      <c r="GP157" s="63"/>
      <c r="HF157" s="37"/>
      <c r="HG157" s="446"/>
      <c r="HH157" s="446"/>
      <c r="HI157" s="446" t="s">
        <v>139</v>
      </c>
      <c r="HJ157" s="446" t="s">
        <v>1071</v>
      </c>
      <c r="HK157" s="446">
        <v>0</v>
      </c>
      <c r="HL157" s="446">
        <v>0</v>
      </c>
      <c r="HM157" s="446">
        <v>0</v>
      </c>
      <c r="HN157" s="446">
        <v>0</v>
      </c>
      <c r="HO157" s="446">
        <v>0</v>
      </c>
      <c r="HP157" s="446">
        <v>0</v>
      </c>
      <c r="HQ157" s="446">
        <v>1</v>
      </c>
      <c r="HR157" s="446">
        <v>0</v>
      </c>
      <c r="HS157" s="446">
        <v>0</v>
      </c>
      <c r="HT157" s="446">
        <v>0</v>
      </c>
      <c r="HU157" s="446">
        <v>0</v>
      </c>
      <c r="HV157" s="447">
        <v>1</v>
      </c>
      <c r="HW157" s="544"/>
      <c r="HX157" s="448"/>
    </row>
    <row r="158" spans="1:232">
      <c r="A158" s="5682">
        <v>2</v>
      </c>
      <c r="B158" s="5682">
        <v>1</v>
      </c>
      <c r="C158" s="5683" t="s">
        <v>681</v>
      </c>
      <c r="D158" s="5685" t="s">
        <v>1076</v>
      </c>
      <c r="E158" s="5682">
        <v>7</v>
      </c>
      <c r="F158" s="5682">
        <v>8</v>
      </c>
      <c r="I158" s="4915"/>
      <c r="J158" s="4915"/>
      <c r="K158" s="4916"/>
      <c r="L158" s="4916"/>
      <c r="M158" s="4920">
        <f>SUM(M152:M157)</f>
        <v>25</v>
      </c>
      <c r="N158" s="4915"/>
      <c r="O158" s="4921">
        <v>0</v>
      </c>
      <c r="Q158" s="4705">
        <v>2</v>
      </c>
      <c r="R158" s="4705">
        <v>3</v>
      </c>
      <c r="S158" s="4706" t="s">
        <v>128</v>
      </c>
      <c r="T158" s="4706" t="s">
        <v>2709</v>
      </c>
      <c r="U158" s="4707">
        <v>2</v>
      </c>
      <c r="V158" s="4707">
        <v>7</v>
      </c>
      <c r="W158" s="4722"/>
      <c r="Y158" s="36"/>
      <c r="Z158" s="36"/>
      <c r="AA158" s="36"/>
      <c r="AB158" s="36" t="s">
        <v>1076</v>
      </c>
      <c r="AC158" s="1681">
        <v>0</v>
      </c>
      <c r="AD158" s="1681">
        <v>0</v>
      </c>
      <c r="AE158" s="1681">
        <v>0</v>
      </c>
      <c r="AF158" s="1681">
        <v>0</v>
      </c>
      <c r="AG158" s="1681">
        <v>0</v>
      </c>
      <c r="AH158" s="1681">
        <v>0</v>
      </c>
      <c r="AI158" s="1681">
        <v>23</v>
      </c>
      <c r="AJ158" s="1681">
        <v>5</v>
      </c>
      <c r="AK158" s="1681">
        <v>1</v>
      </c>
      <c r="AL158" s="95">
        <v>1</v>
      </c>
      <c r="AM158" s="95">
        <v>30</v>
      </c>
      <c r="AN158" s="4545"/>
      <c r="AR158" s="27"/>
      <c r="AS158" s="27" t="s">
        <v>15</v>
      </c>
      <c r="AT158" s="3722">
        <v>9</v>
      </c>
      <c r="AU158" s="3722">
        <v>3</v>
      </c>
      <c r="AV158" s="3722">
        <v>1</v>
      </c>
      <c r="AW158" s="3722"/>
      <c r="AX158" s="3722">
        <v>2</v>
      </c>
      <c r="AY158" s="3722">
        <v>5</v>
      </c>
      <c r="AZ158" s="3722">
        <v>13</v>
      </c>
      <c r="BA158" s="3722">
        <v>46</v>
      </c>
      <c r="BB158" s="3722">
        <v>18</v>
      </c>
      <c r="BC158" s="3701">
        <v>17</v>
      </c>
      <c r="BD158" s="3701">
        <v>2</v>
      </c>
      <c r="BE158" s="3701">
        <v>116</v>
      </c>
      <c r="BF158" s="1665">
        <f>+(BE153+BE157)/(BE158-BE156)</f>
        <v>0.24299065420560748</v>
      </c>
      <c r="BG158" s="1665"/>
      <c r="BK158" s="1520" t="s">
        <v>15</v>
      </c>
      <c r="BL158" s="3872"/>
      <c r="BM158" s="3872"/>
      <c r="BN158" s="3872">
        <v>1</v>
      </c>
      <c r="BO158" s="3872"/>
      <c r="BP158" s="3872"/>
      <c r="BQ158" s="3872">
        <v>1</v>
      </c>
      <c r="BR158" s="3872"/>
      <c r="BS158" s="3872"/>
      <c r="BT158" s="3806"/>
      <c r="BU158" s="3806">
        <v>2</v>
      </c>
      <c r="BV158" s="3807">
        <f>+BU156/BU158</f>
        <v>0.5</v>
      </c>
      <c r="BX158" s="36"/>
      <c r="BY158" s="36"/>
      <c r="BZ158" s="36"/>
      <c r="CA158" s="36" t="s">
        <v>1163</v>
      </c>
      <c r="CB158" s="1681">
        <v>0</v>
      </c>
      <c r="CC158" s="1681"/>
      <c r="CD158" s="1681"/>
      <c r="CE158" s="1681"/>
      <c r="CF158" s="1681"/>
      <c r="CG158" s="1681">
        <v>13</v>
      </c>
      <c r="CH158" s="1681">
        <v>1</v>
      </c>
      <c r="CI158" s="1681">
        <v>0</v>
      </c>
      <c r="CJ158" s="95"/>
      <c r="CK158" s="95"/>
      <c r="CL158" s="95">
        <v>14</v>
      </c>
      <c r="CM158" s="36"/>
      <c r="CO158" s="37"/>
      <c r="CP158" s="37"/>
      <c r="CQ158" s="37"/>
      <c r="CR158" s="37" t="s">
        <v>1163</v>
      </c>
      <c r="CS158" s="1678"/>
      <c r="CT158" s="1678">
        <v>0</v>
      </c>
      <c r="CU158" s="1678">
        <v>0</v>
      </c>
      <c r="CV158" s="1678">
        <v>0</v>
      </c>
      <c r="CW158" s="1678">
        <v>0</v>
      </c>
      <c r="CX158" s="1678">
        <v>0</v>
      </c>
      <c r="CY158" s="1678">
        <v>3</v>
      </c>
      <c r="CZ158" s="1678">
        <v>3</v>
      </c>
      <c r="DA158" s="1678">
        <v>3</v>
      </c>
      <c r="DB158" s="63">
        <v>0</v>
      </c>
      <c r="DC158" s="63">
        <v>0</v>
      </c>
      <c r="DD158" s="63">
        <v>9</v>
      </c>
      <c r="DG158" s="95"/>
      <c r="DH158" s="95"/>
      <c r="DI158" s="36" t="s">
        <v>483</v>
      </c>
      <c r="DJ158" s="36" t="s">
        <v>1072</v>
      </c>
      <c r="DK158" s="1484"/>
      <c r="DL158" s="1484">
        <v>0</v>
      </c>
      <c r="DM158" s="1484">
        <v>0</v>
      </c>
      <c r="DN158" s="1484">
        <v>0</v>
      </c>
      <c r="DO158" s="1484"/>
      <c r="DP158" s="1484">
        <v>0</v>
      </c>
      <c r="DQ158" s="1484">
        <v>18</v>
      </c>
      <c r="DR158" s="1484">
        <v>10</v>
      </c>
      <c r="DS158" s="1484">
        <v>0</v>
      </c>
      <c r="DT158" s="95"/>
      <c r="DU158" s="95"/>
      <c r="DV158" s="95">
        <v>28</v>
      </c>
      <c r="DW158" s="95"/>
      <c r="DY158" s="1209"/>
      <c r="DZ158" s="1209"/>
      <c r="EA158" s="1210" t="s">
        <v>127</v>
      </c>
      <c r="EB158" s="1211" t="s">
        <v>1072</v>
      </c>
      <c r="EC158" s="1213">
        <v>0</v>
      </c>
      <c r="ED158" s="1213">
        <v>1</v>
      </c>
      <c r="EE158" s="1213">
        <v>0</v>
      </c>
      <c r="EF158" s="1213">
        <v>0</v>
      </c>
      <c r="EG158" s="1212"/>
      <c r="EH158" s="1213">
        <v>0</v>
      </c>
      <c r="EI158" s="1213">
        <v>0</v>
      </c>
      <c r="EJ158" s="1212"/>
      <c r="EK158" s="611"/>
      <c r="EL158" s="612">
        <v>0</v>
      </c>
      <c r="EM158" s="612">
        <v>1</v>
      </c>
      <c r="EN158" s="36"/>
      <c r="EP158" s="527"/>
      <c r="EQ158" s="527"/>
      <c r="ER158" s="528"/>
      <c r="ES158" s="529" t="s">
        <v>1080</v>
      </c>
      <c r="ET158" s="531">
        <v>0</v>
      </c>
      <c r="EU158" s="530"/>
      <c r="EV158" s="530"/>
      <c r="EW158" s="530"/>
      <c r="EX158" s="530"/>
      <c r="EY158" s="531">
        <v>0</v>
      </c>
      <c r="EZ158" s="531">
        <v>0</v>
      </c>
      <c r="FA158" s="531">
        <v>3</v>
      </c>
      <c r="FB158" s="527"/>
      <c r="FC158" s="527"/>
      <c r="FD158" s="532">
        <v>3</v>
      </c>
      <c r="FE158" s="95"/>
      <c r="FG158" s="533"/>
      <c r="FH158" s="533"/>
      <c r="FI158" s="533"/>
      <c r="FJ158" s="534" t="s">
        <v>1072</v>
      </c>
      <c r="FK158" s="536">
        <v>1</v>
      </c>
      <c r="FL158" s="536">
        <v>3</v>
      </c>
      <c r="FM158" s="536">
        <v>3</v>
      </c>
      <c r="FN158" s="536">
        <v>2</v>
      </c>
      <c r="FO158" s="535"/>
      <c r="FP158" s="536">
        <v>0</v>
      </c>
      <c r="FQ158" s="536">
        <v>4</v>
      </c>
      <c r="FR158" s="536">
        <v>13</v>
      </c>
      <c r="FS158" s="536">
        <v>3</v>
      </c>
      <c r="FT158" s="538">
        <v>2</v>
      </c>
      <c r="FU158" s="538">
        <v>0</v>
      </c>
      <c r="FV158" s="538">
        <v>31</v>
      </c>
      <c r="FW158" s="539"/>
      <c r="FY158" s="540"/>
      <c r="FZ158" s="540"/>
      <c r="GA158" s="540"/>
      <c r="GB158" s="550" t="s">
        <v>15</v>
      </c>
      <c r="GC158" s="551"/>
      <c r="GD158" s="551"/>
      <c r="GE158" s="551"/>
      <c r="GF158" s="552">
        <v>1</v>
      </c>
      <c r="GG158" s="552">
        <v>4</v>
      </c>
      <c r="GH158" s="552">
        <v>5</v>
      </c>
      <c r="GI158" s="551"/>
      <c r="GJ158" s="551"/>
      <c r="GK158" s="551"/>
      <c r="GL158" s="551"/>
      <c r="GM158" s="552">
        <v>10</v>
      </c>
      <c r="GN158" s="553">
        <f>+(GM157+GM156+GM154)/GM158</f>
        <v>0.7</v>
      </c>
      <c r="GP158" s="63"/>
      <c r="HF158" s="37"/>
      <c r="HG158" s="446"/>
      <c r="HH158" s="446"/>
      <c r="HI158" s="446"/>
      <c r="HJ158" s="446" t="s">
        <v>1072</v>
      </c>
      <c r="HK158" s="446">
        <v>0</v>
      </c>
      <c r="HL158" s="446">
        <v>0</v>
      </c>
      <c r="HM158" s="446">
        <v>0</v>
      </c>
      <c r="HN158" s="446">
        <v>0</v>
      </c>
      <c r="HO158" s="446">
        <v>0</v>
      </c>
      <c r="HP158" s="446">
        <v>0</v>
      </c>
      <c r="HQ158" s="446">
        <v>2</v>
      </c>
      <c r="HR158" s="446">
        <v>0</v>
      </c>
      <c r="HS158" s="446">
        <v>0</v>
      </c>
      <c r="HT158" s="446">
        <v>0</v>
      </c>
      <c r="HU158" s="446">
        <v>0</v>
      </c>
      <c r="HV158" s="447">
        <v>2</v>
      </c>
      <c r="HW158" s="544"/>
      <c r="HX158" s="448"/>
    </row>
    <row r="159" spans="1:232">
      <c r="A159" s="5682">
        <v>2</v>
      </c>
      <c r="B159" s="5682">
        <v>1</v>
      </c>
      <c r="C159" s="5683" t="s">
        <v>681</v>
      </c>
      <c r="D159" s="5683" t="s">
        <v>3027</v>
      </c>
      <c r="E159" s="5682">
        <v>1</v>
      </c>
      <c r="F159" s="5682">
        <v>10</v>
      </c>
      <c r="I159" s="4915">
        <v>2</v>
      </c>
      <c r="J159" s="4915">
        <v>2</v>
      </c>
      <c r="K159" s="4916" t="s">
        <v>2737</v>
      </c>
      <c r="L159" s="4917" t="s">
        <v>1076</v>
      </c>
      <c r="M159" s="4922">
        <v>2</v>
      </c>
      <c r="N159" s="4915">
        <v>6</v>
      </c>
      <c r="O159" s="157"/>
      <c r="Q159" s="4705"/>
      <c r="R159" s="4744"/>
      <c r="S159" s="4737"/>
      <c r="T159" s="4737"/>
      <c r="U159" s="4767">
        <f>SUM(U153:U158)</f>
        <v>14</v>
      </c>
      <c r="V159" s="4767"/>
      <c r="W159" s="4752">
        <f>(U154+U155)/(U159)</f>
        <v>0.5</v>
      </c>
      <c r="X159" s="4452"/>
      <c r="Y159" s="36"/>
      <c r="Z159" s="36"/>
      <c r="AA159" s="36"/>
      <c r="AB159" s="36" t="s">
        <v>1077</v>
      </c>
      <c r="AC159" s="1681">
        <v>0</v>
      </c>
      <c r="AD159" s="1681">
        <v>2</v>
      </c>
      <c r="AE159" s="1681">
        <v>0</v>
      </c>
      <c r="AF159" s="1681">
        <v>1</v>
      </c>
      <c r="AG159" s="1681">
        <v>0</v>
      </c>
      <c r="AH159" s="1681">
        <v>0</v>
      </c>
      <c r="AI159" s="1681">
        <v>0</v>
      </c>
      <c r="AJ159" s="1681">
        <v>0</v>
      </c>
      <c r="AK159" s="1681">
        <v>0</v>
      </c>
      <c r="AL159" s="95">
        <v>0</v>
      </c>
      <c r="AM159" s="95">
        <v>3</v>
      </c>
      <c r="AN159" s="4545"/>
      <c r="AQ159" s="157" t="s">
        <v>16</v>
      </c>
      <c r="AR159" s="3868" t="s">
        <v>106</v>
      </c>
      <c r="AS159" s="3868" t="s">
        <v>1077</v>
      </c>
      <c r="AT159" s="3721"/>
      <c r="AU159" s="3721"/>
      <c r="AV159" s="3721"/>
      <c r="AW159" s="3721">
        <v>2</v>
      </c>
      <c r="AX159" s="3721"/>
      <c r="AY159" s="3721"/>
      <c r="AZ159" s="3721"/>
      <c r="BA159" s="3721"/>
      <c r="BB159" s="3721"/>
      <c r="BC159" s="2110"/>
      <c r="BD159" s="2110"/>
      <c r="BE159" s="2110">
        <v>2</v>
      </c>
      <c r="BF159" s="2110"/>
      <c r="BG159" s="2110"/>
      <c r="BJ159" s="32" t="s">
        <v>2058</v>
      </c>
      <c r="BK159" s="32" t="s">
        <v>1071</v>
      </c>
      <c r="BL159" s="3871"/>
      <c r="BM159" s="3871"/>
      <c r="BN159" s="3871"/>
      <c r="BO159" s="3871"/>
      <c r="BP159" s="3871"/>
      <c r="BQ159" s="3871">
        <v>0</v>
      </c>
      <c r="BR159" s="3871">
        <v>0</v>
      </c>
      <c r="BS159" s="3871">
        <v>0</v>
      </c>
      <c r="BT159" s="1518">
        <v>6</v>
      </c>
      <c r="BU159" s="1518">
        <v>6</v>
      </c>
      <c r="BX159" s="36"/>
      <c r="BY159" s="36"/>
      <c r="BZ159" s="36"/>
      <c r="CA159" s="393" t="s">
        <v>15</v>
      </c>
      <c r="CB159" s="1682">
        <v>1</v>
      </c>
      <c r="CC159" s="1682"/>
      <c r="CD159" s="1682"/>
      <c r="CE159" s="1682"/>
      <c r="CF159" s="1682"/>
      <c r="CG159" s="1682">
        <v>15</v>
      </c>
      <c r="CH159" s="1682">
        <v>3</v>
      </c>
      <c r="CI159" s="1682">
        <v>1</v>
      </c>
      <c r="CJ159" s="2041"/>
      <c r="CK159" s="2041"/>
      <c r="CL159" s="2041">
        <v>20</v>
      </c>
      <c r="CM159" s="560">
        <f>+(CL158+CL156)/CL159</f>
        <v>0.8</v>
      </c>
      <c r="CN159" s="1665"/>
      <c r="CO159" s="37"/>
      <c r="CP159" s="37"/>
      <c r="CQ159" s="37"/>
      <c r="CR159" s="416" t="s">
        <v>482</v>
      </c>
      <c r="CS159" s="1679"/>
      <c r="CT159" s="1679">
        <v>5</v>
      </c>
      <c r="CU159" s="1679">
        <v>1</v>
      </c>
      <c r="CV159" s="1679">
        <v>1</v>
      </c>
      <c r="CW159" s="1679">
        <v>3</v>
      </c>
      <c r="CX159" s="1679">
        <v>2</v>
      </c>
      <c r="CY159" s="1679">
        <v>11</v>
      </c>
      <c r="CZ159" s="1679">
        <v>23</v>
      </c>
      <c r="DA159" s="1679">
        <v>43</v>
      </c>
      <c r="DB159" s="386">
        <v>13</v>
      </c>
      <c r="DC159" s="386">
        <v>8</v>
      </c>
      <c r="DD159" s="386">
        <v>110</v>
      </c>
      <c r="DE159" s="2045">
        <f>+(DD155-DB155+DD158)/DD159</f>
        <v>0.27272727272727271</v>
      </c>
      <c r="DG159" s="95"/>
      <c r="DH159" s="95"/>
      <c r="DI159" s="36"/>
      <c r="DJ159" s="36" t="s">
        <v>1074</v>
      </c>
      <c r="DK159" s="1484"/>
      <c r="DL159" s="1484">
        <v>2</v>
      </c>
      <c r="DM159" s="1484">
        <v>0</v>
      </c>
      <c r="DN159" s="1484">
        <v>1</v>
      </c>
      <c r="DO159" s="1484"/>
      <c r="DP159" s="1484">
        <v>0</v>
      </c>
      <c r="DQ159" s="1484">
        <v>0</v>
      </c>
      <c r="DR159" s="1484">
        <v>0</v>
      </c>
      <c r="DS159" s="1484">
        <v>0</v>
      </c>
      <c r="DT159" s="95"/>
      <c r="DU159" s="95"/>
      <c r="DV159" s="95">
        <v>3</v>
      </c>
      <c r="DW159" s="95"/>
      <c r="DY159" s="1209"/>
      <c r="DZ159" s="1209"/>
      <c r="EA159" s="1210"/>
      <c r="EB159" s="1211" t="s">
        <v>1074</v>
      </c>
      <c r="EC159" s="1213">
        <v>1</v>
      </c>
      <c r="ED159" s="1213">
        <v>4</v>
      </c>
      <c r="EE159" s="1213">
        <v>0</v>
      </c>
      <c r="EF159" s="1213">
        <v>1</v>
      </c>
      <c r="EG159" s="1212"/>
      <c r="EH159" s="1213">
        <v>0</v>
      </c>
      <c r="EI159" s="1213">
        <v>0</v>
      </c>
      <c r="EJ159" s="1212"/>
      <c r="EK159" s="611"/>
      <c r="EL159" s="612">
        <v>0</v>
      </c>
      <c r="EM159" s="612">
        <v>6</v>
      </c>
      <c r="EN159" s="36"/>
      <c r="EP159" s="527"/>
      <c r="EQ159" s="527"/>
      <c r="ER159" s="528"/>
      <c r="ES159" s="529" t="s">
        <v>1163</v>
      </c>
      <c r="ET159" s="531">
        <v>0</v>
      </c>
      <c r="EU159" s="530"/>
      <c r="EV159" s="530"/>
      <c r="EW159" s="530"/>
      <c r="EX159" s="530"/>
      <c r="EY159" s="531">
        <v>2</v>
      </c>
      <c r="EZ159" s="531">
        <v>2</v>
      </c>
      <c r="FA159" s="531">
        <v>0</v>
      </c>
      <c r="FB159" s="527"/>
      <c r="FC159" s="527"/>
      <c r="FD159" s="532">
        <v>4</v>
      </c>
      <c r="FE159" s="95"/>
      <c r="FG159" s="533"/>
      <c r="FH159" s="533"/>
      <c r="FI159" s="533"/>
      <c r="FJ159" s="534" t="s">
        <v>1074</v>
      </c>
      <c r="FK159" s="536">
        <v>0</v>
      </c>
      <c r="FL159" s="536">
        <v>0</v>
      </c>
      <c r="FM159" s="536">
        <v>1</v>
      </c>
      <c r="FN159" s="536">
        <v>2</v>
      </c>
      <c r="FO159" s="535"/>
      <c r="FP159" s="536">
        <v>0</v>
      </c>
      <c r="FQ159" s="536">
        <v>0</v>
      </c>
      <c r="FR159" s="536">
        <v>0</v>
      </c>
      <c r="FS159" s="536">
        <v>0</v>
      </c>
      <c r="FT159" s="538">
        <v>0</v>
      </c>
      <c r="FU159" s="538">
        <v>0</v>
      </c>
      <c r="FV159" s="538">
        <v>3</v>
      </c>
      <c r="FW159" s="539"/>
      <c r="FY159" s="540"/>
      <c r="FZ159" s="540"/>
      <c r="GA159" s="540" t="s">
        <v>414</v>
      </c>
      <c r="GB159" s="541" t="s">
        <v>1072</v>
      </c>
      <c r="GC159" s="542"/>
      <c r="GD159" s="542"/>
      <c r="GE159" s="543">
        <v>1</v>
      </c>
      <c r="GF159" s="542"/>
      <c r="GG159" s="542"/>
      <c r="GH159" s="543">
        <v>5</v>
      </c>
      <c r="GI159" s="542"/>
      <c r="GJ159" s="542"/>
      <c r="GK159" s="542"/>
      <c r="GL159" s="542"/>
      <c r="GM159" s="543">
        <v>6</v>
      </c>
      <c r="GN159" s="445"/>
      <c r="GP159" s="63"/>
      <c r="HF159" s="37"/>
      <c r="HG159" s="446"/>
      <c r="HH159" s="446"/>
      <c r="HI159" s="446"/>
      <c r="HJ159" s="446" t="s">
        <v>1081</v>
      </c>
      <c r="HK159" s="446">
        <v>0</v>
      </c>
      <c r="HL159" s="446">
        <v>0</v>
      </c>
      <c r="HM159" s="446">
        <v>0</v>
      </c>
      <c r="HN159" s="446">
        <v>0</v>
      </c>
      <c r="HO159" s="446">
        <v>0</v>
      </c>
      <c r="HP159" s="446">
        <v>1</v>
      </c>
      <c r="HQ159" s="446">
        <v>3</v>
      </c>
      <c r="HR159" s="446">
        <v>0</v>
      </c>
      <c r="HS159" s="446">
        <v>0</v>
      </c>
      <c r="HT159" s="446">
        <v>0</v>
      </c>
      <c r="HU159" s="446">
        <v>0</v>
      </c>
      <c r="HV159" s="447">
        <v>4</v>
      </c>
      <c r="HW159" s="544"/>
      <c r="HX159" s="448"/>
    </row>
    <row r="160" spans="1:232">
      <c r="A160" s="5682">
        <v>2</v>
      </c>
      <c r="B160" s="5682">
        <v>1</v>
      </c>
      <c r="C160" s="5683" t="s">
        <v>681</v>
      </c>
      <c r="D160" s="5683" t="s">
        <v>2709</v>
      </c>
      <c r="E160" s="5682">
        <v>2</v>
      </c>
      <c r="F160" s="5682">
        <v>6</v>
      </c>
      <c r="I160" s="4915">
        <v>2</v>
      </c>
      <c r="J160" s="4915">
        <v>2</v>
      </c>
      <c r="K160" s="4916" t="s">
        <v>2737</v>
      </c>
      <c r="L160" s="4917" t="s">
        <v>1076</v>
      </c>
      <c r="M160" s="4922">
        <v>1</v>
      </c>
      <c r="N160" s="4915">
        <v>7</v>
      </c>
      <c r="O160" s="157"/>
      <c r="Q160" s="4705"/>
      <c r="R160" s="4713"/>
      <c r="S160" s="4714"/>
      <c r="T160" s="4714"/>
      <c r="U160" s="4748">
        <f>SUM(U139,U144:U145,U149:U150,U154:U155)</f>
        <v>29</v>
      </c>
      <c r="V160" s="4765"/>
      <c r="W160" s="4766"/>
      <c r="Y160" s="36"/>
      <c r="Z160" s="36"/>
      <c r="AA160" s="36"/>
      <c r="AB160" s="36" t="s">
        <v>1080</v>
      </c>
      <c r="AC160" s="1681">
        <v>0</v>
      </c>
      <c r="AD160" s="1681">
        <v>0</v>
      </c>
      <c r="AE160" s="1681">
        <v>0</v>
      </c>
      <c r="AF160" s="1681">
        <v>0</v>
      </c>
      <c r="AG160" s="1681">
        <v>0</v>
      </c>
      <c r="AH160" s="1681">
        <v>0</v>
      </c>
      <c r="AI160" s="1681">
        <v>0</v>
      </c>
      <c r="AJ160" s="1681">
        <v>114</v>
      </c>
      <c r="AK160" s="1681">
        <v>13</v>
      </c>
      <c r="AL160" s="95">
        <v>12</v>
      </c>
      <c r="AM160" s="95">
        <v>139</v>
      </c>
      <c r="AN160" s="4545"/>
      <c r="AS160" s="3868" t="s">
        <v>1163</v>
      </c>
      <c r="AT160" s="3721"/>
      <c r="AU160" s="3721"/>
      <c r="AV160" s="3721"/>
      <c r="AW160" s="3721">
        <v>10</v>
      </c>
      <c r="AX160" s="3721"/>
      <c r="AY160" s="3721"/>
      <c r="AZ160" s="3721"/>
      <c r="BA160" s="3721"/>
      <c r="BB160" s="3721"/>
      <c r="BC160" s="2110"/>
      <c r="BD160" s="2110"/>
      <c r="BE160" s="2110">
        <v>10</v>
      </c>
      <c r="BF160" s="2110"/>
      <c r="BG160" s="2110"/>
      <c r="BK160" s="32" t="s">
        <v>1072</v>
      </c>
      <c r="BL160" s="3871"/>
      <c r="BM160" s="3871"/>
      <c r="BN160" s="3871"/>
      <c r="BO160" s="3871"/>
      <c r="BP160" s="3871"/>
      <c r="BQ160" s="3871">
        <v>3</v>
      </c>
      <c r="BR160" s="3871">
        <v>3</v>
      </c>
      <c r="BS160" s="3871">
        <v>0</v>
      </c>
      <c r="BT160" s="1518">
        <v>0</v>
      </c>
      <c r="BU160" s="1518">
        <v>6</v>
      </c>
      <c r="BX160" s="36"/>
      <c r="BY160" s="36"/>
      <c r="BZ160" s="36" t="s">
        <v>127</v>
      </c>
      <c r="CA160" s="36" t="s">
        <v>1072</v>
      </c>
      <c r="CB160" s="1681">
        <v>0</v>
      </c>
      <c r="CC160" s="1681"/>
      <c r="CD160" s="1681">
        <v>0</v>
      </c>
      <c r="CE160" s="1681"/>
      <c r="CF160" s="1681"/>
      <c r="CG160" s="1681">
        <v>1</v>
      </c>
      <c r="CH160" s="1681"/>
      <c r="CI160" s="1681"/>
      <c r="CJ160" s="95"/>
      <c r="CK160" s="95"/>
      <c r="CL160" s="95">
        <v>1</v>
      </c>
      <c r="CM160" s="36"/>
      <c r="CO160" s="37"/>
      <c r="CP160" s="37" t="s">
        <v>16</v>
      </c>
      <c r="CQ160" s="37" t="s">
        <v>106</v>
      </c>
      <c r="CR160" s="37" t="s">
        <v>1076</v>
      </c>
      <c r="CS160" s="1678"/>
      <c r="CT160" s="1678"/>
      <c r="CU160" s="1678"/>
      <c r="CV160" s="1678">
        <v>0</v>
      </c>
      <c r="CW160" s="1678">
        <v>2</v>
      </c>
      <c r="CX160" s="1678"/>
      <c r="CY160" s="1678"/>
      <c r="CZ160" s="1678"/>
      <c r="DA160" s="1678"/>
      <c r="DB160" s="63"/>
      <c r="DC160" s="63"/>
      <c r="DD160" s="63">
        <v>2</v>
      </c>
      <c r="DG160" s="95"/>
      <c r="DH160" s="95"/>
      <c r="DI160" s="36"/>
      <c r="DJ160" s="36" t="s">
        <v>1076</v>
      </c>
      <c r="DK160" s="1484"/>
      <c r="DL160" s="1484">
        <v>0</v>
      </c>
      <c r="DM160" s="1484">
        <v>0</v>
      </c>
      <c r="DN160" s="1484">
        <v>0</v>
      </c>
      <c r="DO160" s="1484"/>
      <c r="DP160" s="1484">
        <v>0</v>
      </c>
      <c r="DQ160" s="1484">
        <v>11</v>
      </c>
      <c r="DR160" s="1484">
        <v>19</v>
      </c>
      <c r="DS160" s="1484">
        <v>0</v>
      </c>
      <c r="DT160" s="95"/>
      <c r="DU160" s="95"/>
      <c r="DV160" s="95">
        <v>30</v>
      </c>
      <c r="DW160" s="95"/>
      <c r="DY160" s="1209"/>
      <c r="DZ160" s="1209"/>
      <c r="EA160" s="1210"/>
      <c r="EB160" s="1211" t="s">
        <v>1076</v>
      </c>
      <c r="EC160" s="1213">
        <v>0</v>
      </c>
      <c r="ED160" s="1213">
        <v>0</v>
      </c>
      <c r="EE160" s="1213">
        <v>0</v>
      </c>
      <c r="EF160" s="1213">
        <v>0</v>
      </c>
      <c r="EG160" s="1212"/>
      <c r="EH160" s="1213">
        <v>3</v>
      </c>
      <c r="EI160" s="1213">
        <v>0</v>
      </c>
      <c r="EJ160" s="1212"/>
      <c r="EK160" s="611"/>
      <c r="EL160" s="612">
        <v>0</v>
      </c>
      <c r="EM160" s="612">
        <v>3</v>
      </c>
      <c r="EN160" s="36"/>
      <c r="EP160" s="527"/>
      <c r="EQ160" s="527"/>
      <c r="ER160" s="528"/>
      <c r="ES160" s="555" t="s">
        <v>15</v>
      </c>
      <c r="ET160" s="557">
        <v>1</v>
      </c>
      <c r="EU160" s="556"/>
      <c r="EV160" s="556"/>
      <c r="EW160" s="556"/>
      <c r="EX160" s="556"/>
      <c r="EY160" s="557">
        <v>3</v>
      </c>
      <c r="EZ160" s="557">
        <v>12</v>
      </c>
      <c r="FA160" s="557">
        <v>3</v>
      </c>
      <c r="FB160" s="558"/>
      <c r="FC160" s="558"/>
      <c r="FD160" s="559">
        <v>19</v>
      </c>
      <c r="FE160" s="560">
        <f>+(FD157+FD159)/FD160</f>
        <v>0.57894736842105265</v>
      </c>
      <c r="FG160" s="533"/>
      <c r="FH160" s="533"/>
      <c r="FI160" s="533"/>
      <c r="FJ160" s="534" t="s">
        <v>1076</v>
      </c>
      <c r="FK160" s="536">
        <v>0</v>
      </c>
      <c r="FL160" s="536">
        <v>0</v>
      </c>
      <c r="FM160" s="536">
        <v>0</v>
      </c>
      <c r="FN160" s="536">
        <v>0</v>
      </c>
      <c r="FO160" s="535"/>
      <c r="FP160" s="536">
        <v>0</v>
      </c>
      <c r="FQ160" s="536">
        <v>7</v>
      </c>
      <c r="FR160" s="536">
        <v>33</v>
      </c>
      <c r="FS160" s="536">
        <v>6</v>
      </c>
      <c r="FT160" s="538">
        <v>3</v>
      </c>
      <c r="FU160" s="538">
        <v>1</v>
      </c>
      <c r="FV160" s="538">
        <v>50</v>
      </c>
      <c r="FW160" s="539"/>
      <c r="FY160" s="540"/>
      <c r="FZ160" s="540"/>
      <c r="GA160" s="540"/>
      <c r="GB160" s="550" t="s">
        <v>15</v>
      </c>
      <c r="GC160" s="551"/>
      <c r="GD160" s="551"/>
      <c r="GE160" s="552">
        <v>1</v>
      </c>
      <c r="GF160" s="551"/>
      <c r="GG160" s="551"/>
      <c r="GH160" s="552">
        <v>5</v>
      </c>
      <c r="GI160" s="551"/>
      <c r="GJ160" s="551"/>
      <c r="GK160" s="551"/>
      <c r="GL160" s="551"/>
      <c r="GM160" s="552">
        <v>6</v>
      </c>
      <c r="GN160" s="553">
        <v>0</v>
      </c>
      <c r="GP160" s="63"/>
      <c r="HF160" s="37"/>
      <c r="HG160" s="446"/>
      <c r="HH160" s="446"/>
      <c r="HI160" s="446"/>
      <c r="HJ160" s="446" t="s">
        <v>1163</v>
      </c>
      <c r="HK160" s="446">
        <v>0</v>
      </c>
      <c r="HL160" s="446">
        <v>0</v>
      </c>
      <c r="HM160" s="446">
        <v>0</v>
      </c>
      <c r="HN160" s="446">
        <v>0</v>
      </c>
      <c r="HO160" s="446">
        <v>0</v>
      </c>
      <c r="HP160" s="446">
        <v>3</v>
      </c>
      <c r="HQ160" s="446">
        <v>0</v>
      </c>
      <c r="HR160" s="446">
        <v>0</v>
      </c>
      <c r="HS160" s="446">
        <v>0</v>
      </c>
      <c r="HT160" s="446">
        <v>0</v>
      </c>
      <c r="HU160" s="446">
        <v>0</v>
      </c>
      <c r="HV160" s="447">
        <v>3</v>
      </c>
      <c r="HW160" s="544"/>
      <c r="HX160" s="448"/>
    </row>
    <row r="161" spans="1:232">
      <c r="A161" s="5682">
        <v>2</v>
      </c>
      <c r="B161" s="5682">
        <v>1</v>
      </c>
      <c r="C161" s="5683" t="s">
        <v>681</v>
      </c>
      <c r="D161" s="5683" t="s">
        <v>2709</v>
      </c>
      <c r="E161" s="5682">
        <v>10</v>
      </c>
      <c r="F161" s="5682">
        <v>7</v>
      </c>
      <c r="I161" s="4915"/>
      <c r="J161" s="4915"/>
      <c r="K161" s="4916"/>
      <c r="L161" s="4917"/>
      <c r="M161" s="4949">
        <f>SUM(M159:M160)</f>
        <v>3</v>
      </c>
      <c r="N161" s="4915"/>
      <c r="O161" s="4921">
        <f>(M159+M160)/(M161)</f>
        <v>1</v>
      </c>
      <c r="Q161" s="4705"/>
      <c r="R161" s="4744"/>
      <c r="S161" s="4749" t="s">
        <v>41</v>
      </c>
      <c r="T161" s="4737"/>
      <c r="U161" s="4767">
        <f>SUM(U159,U152,U147,U141)</f>
        <v>54</v>
      </c>
      <c r="V161" s="4767"/>
      <c r="W161" s="4752">
        <f>(U160)/(U161)</f>
        <v>0.53703703703703709</v>
      </c>
      <c r="Y161" s="36"/>
      <c r="Z161" s="36"/>
      <c r="AA161" s="36"/>
      <c r="AB161" s="36" t="s">
        <v>2571</v>
      </c>
      <c r="AC161" s="1681">
        <v>21</v>
      </c>
      <c r="AD161" s="1681">
        <v>0</v>
      </c>
      <c r="AE161" s="1681">
        <v>0</v>
      </c>
      <c r="AF161" s="1681">
        <v>0</v>
      </c>
      <c r="AG161" s="1681">
        <v>0</v>
      </c>
      <c r="AH161" s="1681">
        <v>0</v>
      </c>
      <c r="AI161" s="1681">
        <v>0</v>
      </c>
      <c r="AJ161" s="1681">
        <v>0</v>
      </c>
      <c r="AK161" s="1681">
        <v>0</v>
      </c>
      <c r="AL161" s="95">
        <v>0</v>
      </c>
      <c r="AM161" s="95">
        <v>21</v>
      </c>
      <c r="AN161" s="4545"/>
      <c r="AS161" s="27" t="s">
        <v>15</v>
      </c>
      <c r="AT161" s="3722"/>
      <c r="AU161" s="3722"/>
      <c r="AV161" s="3722"/>
      <c r="AW161" s="3722">
        <v>12</v>
      </c>
      <c r="AX161" s="3722"/>
      <c r="AY161" s="3722"/>
      <c r="AZ161" s="3722"/>
      <c r="BA161" s="3722"/>
      <c r="BB161" s="3722"/>
      <c r="BC161" s="3701"/>
      <c r="BD161" s="3701"/>
      <c r="BE161" s="3701">
        <v>12</v>
      </c>
      <c r="BF161" s="1665">
        <f>+BE160/BE161</f>
        <v>0.83333333333333337</v>
      </c>
      <c r="BG161" s="1665"/>
      <c r="BK161" s="32" t="s">
        <v>1076</v>
      </c>
      <c r="BL161" s="3871"/>
      <c r="BM161" s="3871"/>
      <c r="BN161" s="3871"/>
      <c r="BO161" s="3871"/>
      <c r="BP161" s="3871"/>
      <c r="BQ161" s="3871">
        <v>0</v>
      </c>
      <c r="BR161" s="3871">
        <v>1</v>
      </c>
      <c r="BS161" s="3871">
        <v>1</v>
      </c>
      <c r="BT161" s="1518">
        <v>0</v>
      </c>
      <c r="BU161" s="1518">
        <v>2</v>
      </c>
      <c r="BX161" s="36"/>
      <c r="BY161" s="36"/>
      <c r="BZ161" s="36"/>
      <c r="CA161" s="36" t="s">
        <v>1077</v>
      </c>
      <c r="CB161" s="1681">
        <v>1</v>
      </c>
      <c r="CC161" s="1681"/>
      <c r="CD161" s="1681">
        <v>1</v>
      </c>
      <c r="CE161" s="1681"/>
      <c r="CF161" s="1681"/>
      <c r="CG161" s="1681">
        <v>0</v>
      </c>
      <c r="CH161" s="1681"/>
      <c r="CI161" s="1681"/>
      <c r="CJ161" s="95"/>
      <c r="CK161" s="95"/>
      <c r="CL161" s="95">
        <v>2</v>
      </c>
      <c r="CM161" s="36"/>
      <c r="CO161" s="37"/>
      <c r="CP161" s="37"/>
      <c r="CQ161" s="37"/>
      <c r="CR161" s="37" t="s">
        <v>1077</v>
      </c>
      <c r="CS161" s="1678"/>
      <c r="CT161" s="1678"/>
      <c r="CU161" s="1678"/>
      <c r="CV161" s="1678">
        <v>0</v>
      </c>
      <c r="CW161" s="1678">
        <v>1</v>
      </c>
      <c r="CX161" s="1678"/>
      <c r="CY161" s="1678"/>
      <c r="CZ161" s="1678"/>
      <c r="DA161" s="1678"/>
      <c r="DB161" s="63"/>
      <c r="DC161" s="63"/>
      <c r="DD161" s="63">
        <v>1</v>
      </c>
      <c r="DG161" s="95"/>
      <c r="DH161" s="95"/>
      <c r="DI161" s="36"/>
      <c r="DJ161" s="36" t="s">
        <v>1077</v>
      </c>
      <c r="DK161" s="1484"/>
      <c r="DL161" s="1484">
        <v>3</v>
      </c>
      <c r="DM161" s="1484">
        <v>1</v>
      </c>
      <c r="DN161" s="1484">
        <v>2</v>
      </c>
      <c r="DO161" s="1484"/>
      <c r="DP161" s="1484">
        <v>2</v>
      </c>
      <c r="DQ161" s="1484">
        <v>0</v>
      </c>
      <c r="DR161" s="1484">
        <v>0</v>
      </c>
      <c r="DS161" s="1484">
        <v>0</v>
      </c>
      <c r="DT161" s="95"/>
      <c r="DU161" s="95"/>
      <c r="DV161" s="95">
        <v>8</v>
      </c>
      <c r="DW161" s="95"/>
      <c r="DY161" s="1209"/>
      <c r="DZ161" s="1209"/>
      <c r="EA161" s="1210"/>
      <c r="EB161" s="1211" t="s">
        <v>1077</v>
      </c>
      <c r="EC161" s="1213">
        <v>0</v>
      </c>
      <c r="ED161" s="1213">
        <v>0</v>
      </c>
      <c r="EE161" s="1213">
        <v>1</v>
      </c>
      <c r="EF161" s="1213">
        <v>0</v>
      </c>
      <c r="EG161" s="1212"/>
      <c r="EH161" s="1213">
        <v>0</v>
      </c>
      <c r="EI161" s="1213">
        <v>1</v>
      </c>
      <c r="EJ161" s="1212"/>
      <c r="EK161" s="611"/>
      <c r="EL161" s="612">
        <v>0</v>
      </c>
      <c r="EM161" s="612">
        <v>2</v>
      </c>
      <c r="EN161" s="36"/>
      <c r="EP161" s="527"/>
      <c r="EQ161" s="527"/>
      <c r="ER161" s="528" t="s">
        <v>130</v>
      </c>
      <c r="ES161" s="529" t="s">
        <v>1072</v>
      </c>
      <c r="ET161" s="530"/>
      <c r="EU161" s="530"/>
      <c r="EV161" s="530"/>
      <c r="EW161" s="530"/>
      <c r="EX161" s="530"/>
      <c r="EY161" s="531">
        <v>3</v>
      </c>
      <c r="EZ161" s="531">
        <v>1</v>
      </c>
      <c r="FA161" s="531">
        <v>0</v>
      </c>
      <c r="FB161" s="527"/>
      <c r="FC161" s="527"/>
      <c r="FD161" s="532">
        <v>4</v>
      </c>
      <c r="FE161" s="95"/>
      <c r="FG161" s="533"/>
      <c r="FH161" s="533"/>
      <c r="FI161" s="533"/>
      <c r="FJ161" s="534" t="s">
        <v>1077</v>
      </c>
      <c r="FK161" s="536">
        <v>0</v>
      </c>
      <c r="FL161" s="536">
        <v>0</v>
      </c>
      <c r="FM161" s="536">
        <v>1</v>
      </c>
      <c r="FN161" s="536">
        <v>2</v>
      </c>
      <c r="FO161" s="535"/>
      <c r="FP161" s="536">
        <v>0</v>
      </c>
      <c r="FQ161" s="536">
        <v>0</v>
      </c>
      <c r="FR161" s="536">
        <v>0</v>
      </c>
      <c r="FS161" s="536">
        <v>0</v>
      </c>
      <c r="FT161" s="538">
        <v>0</v>
      </c>
      <c r="FU161" s="538">
        <v>0</v>
      </c>
      <c r="FV161" s="538">
        <v>3</v>
      </c>
      <c r="FW161" s="539"/>
      <c r="FY161" s="540"/>
      <c r="FZ161" s="540"/>
      <c r="GA161" s="540" t="s">
        <v>140</v>
      </c>
      <c r="GB161" s="541" t="s">
        <v>1072</v>
      </c>
      <c r="GC161" s="542"/>
      <c r="GD161" s="542"/>
      <c r="GE161" s="542"/>
      <c r="GF161" s="542"/>
      <c r="GG161" s="542"/>
      <c r="GH161" s="543">
        <v>3</v>
      </c>
      <c r="GI161" s="543">
        <v>0</v>
      </c>
      <c r="GJ161" s="543">
        <v>1</v>
      </c>
      <c r="GK161" s="542"/>
      <c r="GL161" s="543">
        <v>0</v>
      </c>
      <c r="GM161" s="543">
        <v>4</v>
      </c>
      <c r="GN161" s="445"/>
      <c r="GP161" s="63"/>
      <c r="HF161" s="37"/>
      <c r="HG161" s="446"/>
      <c r="HH161" s="446"/>
      <c r="HI161" s="446"/>
      <c r="HJ161" s="449" t="s">
        <v>15</v>
      </c>
      <c r="HK161" s="449">
        <v>0</v>
      </c>
      <c r="HL161" s="449">
        <v>0</v>
      </c>
      <c r="HM161" s="449">
        <v>0</v>
      </c>
      <c r="HN161" s="449">
        <v>0</v>
      </c>
      <c r="HO161" s="449">
        <v>0</v>
      </c>
      <c r="HP161" s="449">
        <v>4</v>
      </c>
      <c r="HQ161" s="449">
        <v>6</v>
      </c>
      <c r="HR161" s="449">
        <v>0</v>
      </c>
      <c r="HS161" s="449">
        <v>0</v>
      </c>
      <c r="HT161" s="449">
        <v>0</v>
      </c>
      <c r="HU161" s="449">
        <v>0</v>
      </c>
      <c r="HV161" s="507">
        <v>10</v>
      </c>
      <c r="HW161" s="554">
        <f>+(HV160+HV159)/HV161</f>
        <v>0.7</v>
      </c>
      <c r="HX161" s="448">
        <f>+HV159+HV160</f>
        <v>7</v>
      </c>
    </row>
    <row r="162" spans="1:232">
      <c r="A162" s="5682">
        <v>2</v>
      </c>
      <c r="B162" s="5682">
        <v>1</v>
      </c>
      <c r="C162" s="5683" t="s">
        <v>681</v>
      </c>
      <c r="D162" s="5683" t="s">
        <v>2709</v>
      </c>
      <c r="E162" s="5682">
        <v>1</v>
      </c>
      <c r="F162" s="5682">
        <v>9</v>
      </c>
      <c r="I162" s="4915">
        <v>2</v>
      </c>
      <c r="J162" s="4915">
        <v>2</v>
      </c>
      <c r="K162" s="4916" t="s">
        <v>2058</v>
      </c>
      <c r="L162" s="4916" t="s">
        <v>2731</v>
      </c>
      <c r="M162" s="4915">
        <v>1</v>
      </c>
      <c r="N162" s="4915">
        <v>8</v>
      </c>
      <c r="O162" s="157"/>
      <c r="Q162" s="4705"/>
      <c r="R162" s="4713"/>
      <c r="S162" s="4714"/>
      <c r="T162" s="4714"/>
      <c r="U162" s="4748">
        <f>SUM(U117,U136,U160)</f>
        <v>84</v>
      </c>
      <c r="V162" s="4765"/>
      <c r="W162" s="4766"/>
      <c r="Y162" s="36"/>
      <c r="Z162" s="36"/>
      <c r="AA162" s="36"/>
      <c r="AB162" s="36" t="s">
        <v>1163</v>
      </c>
      <c r="AC162" s="1681">
        <v>0</v>
      </c>
      <c r="AD162" s="1681">
        <v>0</v>
      </c>
      <c r="AE162" s="1681">
        <v>0</v>
      </c>
      <c r="AF162" s="1681">
        <v>0</v>
      </c>
      <c r="AG162" s="1681">
        <v>0</v>
      </c>
      <c r="AH162" s="1681">
        <v>1</v>
      </c>
      <c r="AI162" s="1681">
        <v>0</v>
      </c>
      <c r="AJ162" s="1681">
        <v>0</v>
      </c>
      <c r="AK162" s="1681">
        <v>0</v>
      </c>
      <c r="AL162" s="95">
        <v>0</v>
      </c>
      <c r="AM162" s="95">
        <v>1</v>
      </c>
      <c r="AN162" s="4545"/>
      <c r="AR162" s="3868" t="s">
        <v>124</v>
      </c>
      <c r="AS162" s="3868" t="s">
        <v>1072</v>
      </c>
      <c r="AT162" s="3721">
        <v>0</v>
      </c>
      <c r="AU162" s="3721"/>
      <c r="AV162" s="3721"/>
      <c r="AW162" s="3721"/>
      <c r="AX162" s="3721"/>
      <c r="AY162" s="3721"/>
      <c r="AZ162" s="3721">
        <v>0</v>
      </c>
      <c r="BA162" s="3721">
        <v>1</v>
      </c>
      <c r="BB162" s="3721"/>
      <c r="BC162" s="2110"/>
      <c r="BD162" s="2110"/>
      <c r="BE162" s="2110">
        <v>1</v>
      </c>
      <c r="BF162" s="2110"/>
      <c r="BG162" s="2110"/>
      <c r="BK162" s="32" t="s">
        <v>1080</v>
      </c>
      <c r="BL162" s="3871"/>
      <c r="BM162" s="3871"/>
      <c r="BN162" s="3871"/>
      <c r="BO162" s="3871"/>
      <c r="BP162" s="3871"/>
      <c r="BQ162" s="3871">
        <v>0</v>
      </c>
      <c r="BR162" s="3871">
        <v>0</v>
      </c>
      <c r="BS162" s="3871">
        <v>0</v>
      </c>
      <c r="BT162" s="1518">
        <v>2</v>
      </c>
      <c r="BU162" s="1518">
        <v>2</v>
      </c>
      <c r="BX162" s="36"/>
      <c r="BY162" s="36"/>
      <c r="BZ162" s="36"/>
      <c r="CA162" s="36" t="s">
        <v>1163</v>
      </c>
      <c r="CB162" s="1681">
        <v>0</v>
      </c>
      <c r="CC162" s="1681"/>
      <c r="CD162" s="1681">
        <v>0</v>
      </c>
      <c r="CE162" s="1681"/>
      <c r="CF162" s="1681"/>
      <c r="CG162" s="1681">
        <v>1</v>
      </c>
      <c r="CH162" s="1681"/>
      <c r="CI162" s="1681"/>
      <c r="CJ162" s="95"/>
      <c r="CK162" s="95"/>
      <c r="CL162" s="95">
        <v>1</v>
      </c>
      <c r="CM162" s="36"/>
      <c r="CO162" s="37"/>
      <c r="CP162" s="37"/>
      <c r="CQ162" s="37"/>
      <c r="CR162" s="37" t="s">
        <v>1163</v>
      </c>
      <c r="CS162" s="1678"/>
      <c r="CT162" s="1678"/>
      <c r="CU162" s="1678"/>
      <c r="CV162" s="1678">
        <v>10</v>
      </c>
      <c r="CW162" s="1678">
        <v>2</v>
      </c>
      <c r="CX162" s="1678"/>
      <c r="CY162" s="1678"/>
      <c r="CZ162" s="1678"/>
      <c r="DA162" s="1678"/>
      <c r="DB162" s="63"/>
      <c r="DC162" s="63"/>
      <c r="DD162" s="63">
        <v>12</v>
      </c>
      <c r="DG162" s="95"/>
      <c r="DH162" s="95"/>
      <c r="DI162" s="36"/>
      <c r="DJ162" s="36" t="s">
        <v>1080</v>
      </c>
      <c r="DK162" s="1484"/>
      <c r="DL162" s="1484">
        <v>0</v>
      </c>
      <c r="DM162" s="1484">
        <v>0</v>
      </c>
      <c r="DN162" s="1484">
        <v>0</v>
      </c>
      <c r="DO162" s="1484"/>
      <c r="DP162" s="1484">
        <v>0</v>
      </c>
      <c r="DQ162" s="1484">
        <v>0</v>
      </c>
      <c r="DR162" s="1484">
        <v>0</v>
      </c>
      <c r="DS162" s="1484">
        <v>6</v>
      </c>
      <c r="DT162" s="95"/>
      <c r="DU162" s="95"/>
      <c r="DV162" s="95">
        <v>6</v>
      </c>
      <c r="DW162" s="95"/>
      <c r="DY162" s="1209"/>
      <c r="DZ162" s="1209"/>
      <c r="EA162" s="1210"/>
      <c r="EB162" s="1211" t="s">
        <v>1081</v>
      </c>
      <c r="EC162" s="1213">
        <v>0</v>
      </c>
      <c r="ED162" s="1213">
        <v>0</v>
      </c>
      <c r="EE162" s="1213">
        <v>0</v>
      </c>
      <c r="EF162" s="1213">
        <v>0</v>
      </c>
      <c r="EG162" s="1212"/>
      <c r="EH162" s="1213">
        <v>11</v>
      </c>
      <c r="EI162" s="1213">
        <v>0</v>
      </c>
      <c r="EJ162" s="1212"/>
      <c r="EK162" s="611"/>
      <c r="EL162" s="612">
        <v>1</v>
      </c>
      <c r="EM162" s="612">
        <v>12</v>
      </c>
      <c r="EN162" s="36"/>
      <c r="EP162" s="527"/>
      <c r="EQ162" s="527"/>
      <c r="ER162" s="528"/>
      <c r="ES162" s="529" t="s">
        <v>1080</v>
      </c>
      <c r="ET162" s="530"/>
      <c r="EU162" s="530"/>
      <c r="EV162" s="530"/>
      <c r="EW162" s="530"/>
      <c r="EX162" s="530"/>
      <c r="EY162" s="531">
        <v>0</v>
      </c>
      <c r="EZ162" s="531">
        <v>0</v>
      </c>
      <c r="FA162" s="531">
        <v>7</v>
      </c>
      <c r="FB162" s="527"/>
      <c r="FC162" s="527"/>
      <c r="FD162" s="532">
        <v>7</v>
      </c>
      <c r="FE162" s="95"/>
      <c r="FG162" s="533"/>
      <c r="FH162" s="533"/>
      <c r="FI162" s="533"/>
      <c r="FJ162" s="534" t="s">
        <v>1080</v>
      </c>
      <c r="FK162" s="536">
        <v>0</v>
      </c>
      <c r="FL162" s="536">
        <v>0</v>
      </c>
      <c r="FM162" s="536">
        <v>0</v>
      </c>
      <c r="FN162" s="536">
        <v>0</v>
      </c>
      <c r="FO162" s="535"/>
      <c r="FP162" s="536">
        <v>0</v>
      </c>
      <c r="FQ162" s="536">
        <v>0</v>
      </c>
      <c r="FR162" s="536">
        <v>0</v>
      </c>
      <c r="FS162" s="536">
        <v>70</v>
      </c>
      <c r="FT162" s="538">
        <v>7</v>
      </c>
      <c r="FU162" s="538">
        <v>3</v>
      </c>
      <c r="FV162" s="538">
        <v>80</v>
      </c>
      <c r="FW162" s="539"/>
      <c r="FY162" s="540"/>
      <c r="FZ162" s="540"/>
      <c r="GA162" s="540"/>
      <c r="GB162" s="541" t="s">
        <v>1076</v>
      </c>
      <c r="GC162" s="542"/>
      <c r="GD162" s="542"/>
      <c r="GE162" s="542"/>
      <c r="GF162" s="542"/>
      <c r="GG162" s="542"/>
      <c r="GH162" s="543">
        <v>0</v>
      </c>
      <c r="GI162" s="543">
        <v>0</v>
      </c>
      <c r="GJ162" s="543">
        <v>1</v>
      </c>
      <c r="GK162" s="542"/>
      <c r="GL162" s="543">
        <v>0</v>
      </c>
      <c r="GM162" s="543">
        <v>1</v>
      </c>
      <c r="GN162" s="445"/>
      <c r="GP162" s="63"/>
      <c r="HF162" s="37"/>
      <c r="HG162" s="446"/>
      <c r="HH162" s="446"/>
      <c r="HI162" s="446" t="s">
        <v>140</v>
      </c>
      <c r="HJ162" s="446" t="s">
        <v>1071</v>
      </c>
      <c r="HK162" s="446">
        <v>0</v>
      </c>
      <c r="HL162" s="446">
        <v>0</v>
      </c>
      <c r="HM162" s="446">
        <v>0</v>
      </c>
      <c r="HN162" s="446">
        <v>0</v>
      </c>
      <c r="HO162" s="446">
        <v>0</v>
      </c>
      <c r="HP162" s="446">
        <v>0</v>
      </c>
      <c r="HQ162" s="446">
        <v>0</v>
      </c>
      <c r="HR162" s="446">
        <v>1</v>
      </c>
      <c r="HS162" s="446">
        <v>0</v>
      </c>
      <c r="HT162" s="446">
        <v>0</v>
      </c>
      <c r="HU162" s="446">
        <v>0</v>
      </c>
      <c r="HV162" s="447">
        <v>1</v>
      </c>
      <c r="HW162" s="544"/>
      <c r="HX162" s="448"/>
    </row>
    <row r="163" spans="1:232">
      <c r="A163" s="5682"/>
      <c r="B163" s="5682"/>
      <c r="C163" s="5683"/>
      <c r="D163" s="5683"/>
      <c r="E163" s="5686">
        <f>SUM(E153:E162)</f>
        <v>35</v>
      </c>
      <c r="F163" s="5682"/>
      <c r="G163" s="4921">
        <f>(E156+E157+E158)/(E163)</f>
        <v>0.31428571428571428</v>
      </c>
      <c r="I163" s="4915">
        <v>2</v>
      </c>
      <c r="J163" s="4915">
        <v>2</v>
      </c>
      <c r="K163" s="4916" t="s">
        <v>2058</v>
      </c>
      <c r="L163" s="4916" t="s">
        <v>2731</v>
      </c>
      <c r="M163" s="4915">
        <v>4</v>
      </c>
      <c r="N163" s="4915">
        <v>9</v>
      </c>
      <c r="O163" s="157"/>
      <c r="Q163" s="4744"/>
      <c r="R163" s="4744"/>
      <c r="S163" s="4768" t="s">
        <v>25</v>
      </c>
      <c r="T163" s="4769"/>
      <c r="U163" s="4770">
        <f>SUM(U161,U137,U118)</f>
        <v>221</v>
      </c>
      <c r="V163" s="4771"/>
      <c r="W163" s="4772">
        <f>(U162)/(U163)</f>
        <v>0.38009049773755654</v>
      </c>
      <c r="X163" s="4452"/>
      <c r="Y163" s="36"/>
      <c r="Z163" s="36"/>
      <c r="AA163" s="36"/>
      <c r="AB163" s="36">
        <v>22</v>
      </c>
      <c r="AC163" s="1681">
        <v>0</v>
      </c>
      <c r="AD163" s="1681">
        <v>0</v>
      </c>
      <c r="AE163" s="1681">
        <v>0</v>
      </c>
      <c r="AF163" s="1681">
        <v>1</v>
      </c>
      <c r="AG163" s="1681">
        <v>0</v>
      </c>
      <c r="AH163" s="1681">
        <v>0</v>
      </c>
      <c r="AI163" s="1681">
        <v>0</v>
      </c>
      <c r="AJ163" s="1681">
        <v>0</v>
      </c>
      <c r="AK163" s="1681">
        <v>0</v>
      </c>
      <c r="AL163" s="95">
        <v>0</v>
      </c>
      <c r="AM163" s="95">
        <v>1</v>
      </c>
      <c r="AN163" s="4545"/>
      <c r="AS163" s="3868" t="s">
        <v>1076</v>
      </c>
      <c r="AT163" s="3721">
        <v>0</v>
      </c>
      <c r="AU163" s="3721"/>
      <c r="AV163" s="3721"/>
      <c r="AW163" s="3721"/>
      <c r="AX163" s="3721"/>
      <c r="AY163" s="3721"/>
      <c r="AZ163" s="3721">
        <v>8</v>
      </c>
      <c r="BA163" s="3721">
        <v>4</v>
      </c>
      <c r="BB163" s="3721"/>
      <c r="BC163" s="2110"/>
      <c r="BD163" s="2110"/>
      <c r="BE163" s="2110">
        <v>12</v>
      </c>
      <c r="BF163" s="2110"/>
      <c r="BG163" s="2110"/>
      <c r="BK163" s="32" t="s">
        <v>1163</v>
      </c>
      <c r="BL163" s="3871"/>
      <c r="BM163" s="3871"/>
      <c r="BN163" s="3871"/>
      <c r="BO163" s="3871"/>
      <c r="BP163" s="3871"/>
      <c r="BQ163" s="3871">
        <v>0</v>
      </c>
      <c r="BR163" s="3871">
        <v>1</v>
      </c>
      <c r="BS163" s="3871">
        <v>0</v>
      </c>
      <c r="BT163" s="1518">
        <v>0</v>
      </c>
      <c r="BU163" s="1518">
        <v>1</v>
      </c>
      <c r="BX163" s="36"/>
      <c r="BY163" s="36"/>
      <c r="BZ163" s="36"/>
      <c r="CA163" s="393" t="s">
        <v>15</v>
      </c>
      <c r="CB163" s="1682">
        <v>1</v>
      </c>
      <c r="CC163" s="1682"/>
      <c r="CD163" s="1682">
        <v>1</v>
      </c>
      <c r="CE163" s="1682"/>
      <c r="CF163" s="1682"/>
      <c r="CG163" s="1682">
        <v>2</v>
      </c>
      <c r="CH163" s="1682"/>
      <c r="CI163" s="1682"/>
      <c r="CJ163" s="2041"/>
      <c r="CK163" s="2041"/>
      <c r="CL163" s="2041">
        <v>4</v>
      </c>
      <c r="CM163" s="560">
        <f>+CL162/CL163</f>
        <v>0.25</v>
      </c>
      <c r="CN163" s="1665"/>
      <c r="CO163" s="37"/>
      <c r="CP163" s="37"/>
      <c r="CQ163" s="37"/>
      <c r="CR163" s="416" t="s">
        <v>15</v>
      </c>
      <c r="CS163" s="1679"/>
      <c r="CT163" s="1679"/>
      <c r="CU163" s="1679"/>
      <c r="CV163" s="1679">
        <v>10</v>
      </c>
      <c r="CW163" s="1679">
        <v>5</v>
      </c>
      <c r="CX163" s="1679"/>
      <c r="CY163" s="1679"/>
      <c r="CZ163" s="1679"/>
      <c r="DA163" s="1679"/>
      <c r="DB163" s="386"/>
      <c r="DC163" s="386"/>
      <c r="DD163" s="386">
        <v>15</v>
      </c>
      <c r="DE163" s="2045">
        <f>+(DD160+DD162)/DD163</f>
        <v>0.93333333333333335</v>
      </c>
      <c r="DG163" s="95"/>
      <c r="DH163" s="95"/>
      <c r="DI163" s="36"/>
      <c r="DJ163" s="36" t="s">
        <v>1163</v>
      </c>
      <c r="DK163" s="1484"/>
      <c r="DL163" s="1484">
        <v>0</v>
      </c>
      <c r="DM163" s="1484">
        <v>0</v>
      </c>
      <c r="DN163" s="1484">
        <v>0</v>
      </c>
      <c r="DO163" s="1484"/>
      <c r="DP163" s="1484">
        <v>0</v>
      </c>
      <c r="DQ163" s="1484">
        <v>29</v>
      </c>
      <c r="DR163" s="1484">
        <v>8</v>
      </c>
      <c r="DS163" s="1484">
        <v>1</v>
      </c>
      <c r="DT163" s="95"/>
      <c r="DU163" s="95"/>
      <c r="DV163" s="95">
        <v>38</v>
      </c>
      <c r="DW163" s="95"/>
      <c r="DY163" s="1209"/>
      <c r="DZ163" s="1209"/>
      <c r="EA163" s="1210"/>
      <c r="EB163" s="1211" t="s">
        <v>1163</v>
      </c>
      <c r="EC163" s="1213">
        <v>0</v>
      </c>
      <c r="ED163" s="1213">
        <v>0</v>
      </c>
      <c r="EE163" s="1213">
        <v>0</v>
      </c>
      <c r="EF163" s="1213">
        <v>0</v>
      </c>
      <c r="EG163" s="1212"/>
      <c r="EH163" s="1213">
        <v>2</v>
      </c>
      <c r="EI163" s="1213">
        <v>0</v>
      </c>
      <c r="EJ163" s="1212"/>
      <c r="EK163" s="611"/>
      <c r="EL163" s="612">
        <v>0</v>
      </c>
      <c r="EM163" s="612">
        <v>2</v>
      </c>
      <c r="EN163" s="36"/>
      <c r="EP163" s="527"/>
      <c r="EQ163" s="527"/>
      <c r="ER163" s="528"/>
      <c r="ES163" s="555" t="s">
        <v>15</v>
      </c>
      <c r="ET163" s="556"/>
      <c r="EU163" s="556"/>
      <c r="EV163" s="556"/>
      <c r="EW163" s="556"/>
      <c r="EX163" s="556"/>
      <c r="EY163" s="557">
        <v>3</v>
      </c>
      <c r="EZ163" s="557">
        <v>1</v>
      </c>
      <c r="FA163" s="557">
        <v>7</v>
      </c>
      <c r="FB163" s="558"/>
      <c r="FC163" s="558"/>
      <c r="FD163" s="559">
        <v>11</v>
      </c>
      <c r="FE163" s="560">
        <v>0</v>
      </c>
      <c r="FG163" s="533"/>
      <c r="FH163" s="533"/>
      <c r="FI163" s="533"/>
      <c r="FJ163" s="534" t="s">
        <v>1081</v>
      </c>
      <c r="FK163" s="536">
        <v>0</v>
      </c>
      <c r="FL163" s="536">
        <v>0</v>
      </c>
      <c r="FM163" s="536">
        <v>0</v>
      </c>
      <c r="FN163" s="536">
        <v>0</v>
      </c>
      <c r="FO163" s="535"/>
      <c r="FP163" s="536">
        <v>0</v>
      </c>
      <c r="FQ163" s="536">
        <v>0</v>
      </c>
      <c r="FR163" s="536">
        <v>0</v>
      </c>
      <c r="FS163" s="536">
        <v>2</v>
      </c>
      <c r="FT163" s="538">
        <v>1</v>
      </c>
      <c r="FU163" s="538">
        <v>1</v>
      </c>
      <c r="FV163" s="538">
        <v>4</v>
      </c>
      <c r="FW163" s="539"/>
      <c r="FY163" s="540"/>
      <c r="FZ163" s="540"/>
      <c r="GA163" s="540"/>
      <c r="GB163" s="541" t="s">
        <v>1080</v>
      </c>
      <c r="GC163" s="542"/>
      <c r="GD163" s="542"/>
      <c r="GE163" s="542"/>
      <c r="GF163" s="542"/>
      <c r="GG163" s="542"/>
      <c r="GH163" s="543">
        <v>0</v>
      </c>
      <c r="GI163" s="543">
        <v>0</v>
      </c>
      <c r="GJ163" s="543">
        <v>1</v>
      </c>
      <c r="GK163" s="542"/>
      <c r="GL163" s="543">
        <v>1</v>
      </c>
      <c r="GM163" s="543">
        <v>2</v>
      </c>
      <c r="GN163" s="445"/>
      <c r="GP163" s="63"/>
      <c r="HF163" s="37"/>
      <c r="HG163" s="446"/>
      <c r="HH163" s="446"/>
      <c r="HI163" s="446"/>
      <c r="HJ163" s="446" t="s">
        <v>1072</v>
      </c>
      <c r="HK163" s="446">
        <v>0</v>
      </c>
      <c r="HL163" s="446">
        <v>0</v>
      </c>
      <c r="HM163" s="446">
        <v>0</v>
      </c>
      <c r="HN163" s="446">
        <v>0</v>
      </c>
      <c r="HO163" s="446">
        <v>0</v>
      </c>
      <c r="HP163" s="446">
        <v>0</v>
      </c>
      <c r="HQ163" s="446">
        <v>4</v>
      </c>
      <c r="HR163" s="446">
        <v>3</v>
      </c>
      <c r="HS163" s="446">
        <v>0</v>
      </c>
      <c r="HT163" s="446">
        <v>0</v>
      </c>
      <c r="HU163" s="446">
        <v>0</v>
      </c>
      <c r="HV163" s="447">
        <v>7</v>
      </c>
      <c r="HW163" s="544"/>
      <c r="HX163" s="448"/>
    </row>
    <row r="164" spans="1:232">
      <c r="A164" s="5682"/>
      <c r="B164" s="5682"/>
      <c r="C164" s="5683"/>
      <c r="D164" s="5690" t="s">
        <v>2754</v>
      </c>
      <c r="E164" s="5693">
        <f>SUM(E110,E113:E114,E121:E122,E129:E131,E136,E145,E149,E156:E158)</f>
        <v>27</v>
      </c>
      <c r="F164" s="5682"/>
      <c r="I164" s="4915">
        <v>2</v>
      </c>
      <c r="J164" s="4915">
        <v>2</v>
      </c>
      <c r="K164" s="4916" t="s">
        <v>2058</v>
      </c>
      <c r="L164" s="4916" t="s">
        <v>1071</v>
      </c>
      <c r="M164" s="4915">
        <v>1</v>
      </c>
      <c r="N164" s="4915">
        <v>9</v>
      </c>
      <c r="O164" s="157"/>
      <c r="Q164" s="4713">
        <v>3</v>
      </c>
      <c r="R164" s="4713">
        <v>2</v>
      </c>
      <c r="S164" s="4714" t="s">
        <v>2738</v>
      </c>
      <c r="T164" s="4746" t="s">
        <v>2732</v>
      </c>
      <c r="U164" s="4747">
        <v>1</v>
      </c>
      <c r="V164" s="4747">
        <v>3</v>
      </c>
      <c r="W164" s="4722"/>
      <c r="Y164" s="36"/>
      <c r="Z164" s="36"/>
      <c r="AA164" s="36"/>
      <c r="AB164" s="36" t="s">
        <v>15</v>
      </c>
      <c r="AC164" s="1681">
        <v>21</v>
      </c>
      <c r="AD164" s="1681">
        <v>5</v>
      </c>
      <c r="AE164" s="1681">
        <v>3</v>
      </c>
      <c r="AF164" s="1681">
        <v>4</v>
      </c>
      <c r="AG164" s="1681">
        <v>1</v>
      </c>
      <c r="AH164" s="1681">
        <v>4</v>
      </c>
      <c r="AI164" s="1681">
        <v>49</v>
      </c>
      <c r="AJ164" s="1681">
        <v>123</v>
      </c>
      <c r="AK164" s="1681">
        <v>17</v>
      </c>
      <c r="AL164" s="95">
        <v>15</v>
      </c>
      <c r="AM164" s="95">
        <v>242</v>
      </c>
      <c r="AN164" s="560">
        <f>+(AI158+AJ158+AK158+AH162)/(AM164-AM161)</f>
        <v>0.13574660633484162</v>
      </c>
      <c r="AS164" s="3868" t="s">
        <v>1080</v>
      </c>
      <c r="AT164" s="3721">
        <v>0</v>
      </c>
      <c r="AU164" s="3721"/>
      <c r="AV164" s="3721"/>
      <c r="AW164" s="3721"/>
      <c r="AX164" s="3721"/>
      <c r="AY164" s="3721"/>
      <c r="AZ164" s="3721">
        <v>0</v>
      </c>
      <c r="BA164" s="3721">
        <v>3</v>
      </c>
      <c r="BB164" s="3721"/>
      <c r="BC164" s="2110"/>
      <c r="BD164" s="2110"/>
      <c r="BE164" s="2110">
        <v>3</v>
      </c>
      <c r="BF164" s="2110"/>
      <c r="BG164" s="2110"/>
      <c r="BK164" s="1520" t="s">
        <v>15</v>
      </c>
      <c r="BL164" s="3872"/>
      <c r="BM164" s="3872"/>
      <c r="BN164" s="3872"/>
      <c r="BO164" s="3872"/>
      <c r="BP164" s="3872"/>
      <c r="BQ164" s="3872">
        <v>3</v>
      </c>
      <c r="BR164" s="3872">
        <v>5</v>
      </c>
      <c r="BS164" s="3872">
        <v>1</v>
      </c>
      <c r="BT164" s="3806">
        <v>8</v>
      </c>
      <c r="BU164" s="3806">
        <v>17</v>
      </c>
      <c r="BV164" s="3807">
        <f>+(BU161+BU163)/BU164</f>
        <v>0.17647058823529413</v>
      </c>
      <c r="BX164" s="36"/>
      <c r="BY164" s="36"/>
      <c r="BZ164" s="393" t="s">
        <v>483</v>
      </c>
      <c r="CA164" s="393" t="s">
        <v>1071</v>
      </c>
      <c r="CB164" s="1682">
        <v>0</v>
      </c>
      <c r="CC164" s="1682"/>
      <c r="CD164" s="1682">
        <v>0</v>
      </c>
      <c r="CE164" s="1682">
        <v>0</v>
      </c>
      <c r="CF164" s="1682">
        <v>0</v>
      </c>
      <c r="CG164" s="1682">
        <v>0</v>
      </c>
      <c r="CH164" s="1682">
        <v>0</v>
      </c>
      <c r="CI164" s="1682">
        <v>6</v>
      </c>
      <c r="CJ164" s="2041"/>
      <c r="CK164" s="2041"/>
      <c r="CL164" s="2041">
        <v>6</v>
      </c>
      <c r="CM164" s="36"/>
      <c r="CO164" s="37"/>
      <c r="CP164" s="37"/>
      <c r="CQ164" s="37" t="s">
        <v>124</v>
      </c>
      <c r="CR164" s="37" t="s">
        <v>1072</v>
      </c>
      <c r="CS164" s="1678"/>
      <c r="CT164" s="1678">
        <v>0</v>
      </c>
      <c r="CU164" s="1678">
        <v>0</v>
      </c>
      <c r="CV164" s="1678"/>
      <c r="CW164" s="1678"/>
      <c r="CX164" s="1678"/>
      <c r="CY164" s="1678">
        <v>1</v>
      </c>
      <c r="CZ164" s="1678">
        <v>1</v>
      </c>
      <c r="DA164" s="1678">
        <v>0</v>
      </c>
      <c r="DB164" s="63"/>
      <c r="DC164" s="63"/>
      <c r="DD164" s="63">
        <v>2</v>
      </c>
      <c r="DG164" s="95"/>
      <c r="DH164" s="95"/>
      <c r="DI164" s="36"/>
      <c r="DJ164" s="393" t="s">
        <v>483</v>
      </c>
      <c r="DK164" s="1485"/>
      <c r="DL164" s="1485">
        <v>5</v>
      </c>
      <c r="DM164" s="1485">
        <v>1</v>
      </c>
      <c r="DN164" s="1485">
        <v>3</v>
      </c>
      <c r="DO164" s="1485"/>
      <c r="DP164" s="1485">
        <v>2</v>
      </c>
      <c r="DQ164" s="1485">
        <v>58</v>
      </c>
      <c r="DR164" s="1485">
        <v>37</v>
      </c>
      <c r="DS164" s="1485">
        <v>7</v>
      </c>
      <c r="DT164" s="86"/>
      <c r="DU164" s="86"/>
      <c r="DV164" s="86">
        <v>113</v>
      </c>
      <c r="DW164" s="560">
        <f>+(DV160+DV163)/DV164</f>
        <v>0.60176991150442483</v>
      </c>
      <c r="DY164" s="1209"/>
      <c r="DZ164" s="1209"/>
      <c r="EA164" s="1210"/>
      <c r="EB164" s="415" t="s">
        <v>15</v>
      </c>
      <c r="EC164" s="1215">
        <v>1</v>
      </c>
      <c r="ED164" s="1215">
        <v>5</v>
      </c>
      <c r="EE164" s="1215">
        <v>1</v>
      </c>
      <c r="EF164" s="1215">
        <v>1</v>
      </c>
      <c r="EG164" s="1214"/>
      <c r="EH164" s="1215">
        <v>16</v>
      </c>
      <c r="EI164" s="1215">
        <v>1</v>
      </c>
      <c r="EJ164" s="1214"/>
      <c r="EK164" s="620"/>
      <c r="EL164" s="621">
        <v>1</v>
      </c>
      <c r="EM164" s="621">
        <v>26</v>
      </c>
      <c r="EN164" s="1178">
        <f>+(EM160+EM162-EL162+EM163)/EM164</f>
        <v>0.61538461538461542</v>
      </c>
      <c r="EP164" s="527"/>
      <c r="EQ164" s="527"/>
      <c r="ER164" s="528" t="s">
        <v>485</v>
      </c>
      <c r="ES164" s="529" t="s">
        <v>1072</v>
      </c>
      <c r="ET164" s="531">
        <v>1</v>
      </c>
      <c r="EU164" s="530"/>
      <c r="EV164" s="530"/>
      <c r="EW164" s="530"/>
      <c r="EX164" s="530"/>
      <c r="EY164" s="531">
        <v>4</v>
      </c>
      <c r="EZ164" s="531">
        <v>6</v>
      </c>
      <c r="FA164" s="531">
        <v>0</v>
      </c>
      <c r="FB164" s="532">
        <v>1</v>
      </c>
      <c r="FC164" s="527"/>
      <c r="FD164" s="532">
        <v>12</v>
      </c>
      <c r="FE164" s="95"/>
      <c r="FG164" s="533"/>
      <c r="FH164" s="533"/>
      <c r="FI164" s="533"/>
      <c r="FJ164" s="534" t="s">
        <v>1163</v>
      </c>
      <c r="FK164" s="536">
        <v>0</v>
      </c>
      <c r="FL164" s="536">
        <v>0</v>
      </c>
      <c r="FM164" s="536">
        <v>0</v>
      </c>
      <c r="FN164" s="536">
        <v>0</v>
      </c>
      <c r="FO164" s="535"/>
      <c r="FP164" s="536">
        <v>1</v>
      </c>
      <c r="FQ164" s="536">
        <v>10</v>
      </c>
      <c r="FR164" s="536">
        <v>4</v>
      </c>
      <c r="FS164" s="536">
        <v>0</v>
      </c>
      <c r="FT164" s="538">
        <v>0</v>
      </c>
      <c r="FU164" s="538">
        <v>0</v>
      </c>
      <c r="FV164" s="538">
        <v>15</v>
      </c>
      <c r="FW164" s="539"/>
      <c r="FY164" s="540"/>
      <c r="FZ164" s="540"/>
      <c r="GA164" s="540"/>
      <c r="GB164" s="541" t="s">
        <v>1163</v>
      </c>
      <c r="GC164" s="542"/>
      <c r="GD164" s="542"/>
      <c r="GE164" s="542"/>
      <c r="GF164" s="542"/>
      <c r="GG164" s="542"/>
      <c r="GH164" s="543">
        <v>0</v>
      </c>
      <c r="GI164" s="543">
        <v>2</v>
      </c>
      <c r="GJ164" s="543">
        <v>0</v>
      </c>
      <c r="GK164" s="542"/>
      <c r="GL164" s="543">
        <v>0</v>
      </c>
      <c r="GM164" s="543">
        <v>2</v>
      </c>
      <c r="GN164" s="445"/>
      <c r="GP164" s="63"/>
      <c r="HF164" s="37"/>
      <c r="HG164" s="446"/>
      <c r="HH164" s="446"/>
      <c r="HI164" s="446"/>
      <c r="HJ164" s="446" t="s">
        <v>1076</v>
      </c>
      <c r="HK164" s="446">
        <v>0</v>
      </c>
      <c r="HL164" s="446">
        <v>0</v>
      </c>
      <c r="HM164" s="446">
        <v>0</v>
      </c>
      <c r="HN164" s="446">
        <v>0</v>
      </c>
      <c r="HO164" s="446">
        <v>0</v>
      </c>
      <c r="HP164" s="446">
        <v>0</v>
      </c>
      <c r="HQ164" s="446">
        <v>0</v>
      </c>
      <c r="HR164" s="446">
        <v>1</v>
      </c>
      <c r="HS164" s="446">
        <v>1</v>
      </c>
      <c r="HT164" s="446">
        <v>0</v>
      </c>
      <c r="HU164" s="446">
        <v>0</v>
      </c>
      <c r="HV164" s="447">
        <v>2</v>
      </c>
      <c r="HW164" s="544"/>
      <c r="HX164" s="448"/>
    </row>
    <row r="165" spans="1:232">
      <c r="A165" s="5682"/>
      <c r="B165" s="5682"/>
      <c r="C165" s="5686" t="s">
        <v>4</v>
      </c>
      <c r="D165" s="5683"/>
      <c r="E165" s="5686">
        <f>SUM(E163,E152,E146,E141,E133,E127,E118)</f>
        <v>114</v>
      </c>
      <c r="F165" s="5682"/>
      <c r="G165" s="5692">
        <f>E164/E165</f>
        <v>0.23684210526315788</v>
      </c>
      <c r="I165" s="4915">
        <v>2</v>
      </c>
      <c r="J165" s="4915">
        <v>2</v>
      </c>
      <c r="K165" s="4916" t="s">
        <v>2058</v>
      </c>
      <c r="L165" s="4916" t="s">
        <v>2703</v>
      </c>
      <c r="M165" s="4915">
        <v>1</v>
      </c>
      <c r="N165" s="4915">
        <v>1</v>
      </c>
      <c r="O165" s="157"/>
      <c r="Q165" s="4705">
        <v>3</v>
      </c>
      <c r="R165" s="4705">
        <v>2</v>
      </c>
      <c r="S165" s="4706" t="s">
        <v>2738</v>
      </c>
      <c r="T165" s="4706" t="s">
        <v>2705</v>
      </c>
      <c r="U165" s="4707">
        <v>1</v>
      </c>
      <c r="V165" s="4707">
        <v>3</v>
      </c>
      <c r="W165" s="4722"/>
      <c r="Y165" s="36" t="s">
        <v>48</v>
      </c>
      <c r="Z165" s="36" t="s">
        <v>16</v>
      </c>
      <c r="AA165" s="36" t="s">
        <v>131</v>
      </c>
      <c r="AB165" s="36" t="s">
        <v>1072</v>
      </c>
      <c r="AC165" s="1681">
        <v>0</v>
      </c>
      <c r="AD165" s="1681"/>
      <c r="AE165" s="1681"/>
      <c r="AF165" s="1681"/>
      <c r="AG165" s="1681"/>
      <c r="AH165" s="1681"/>
      <c r="AI165" s="1681">
        <v>23</v>
      </c>
      <c r="AJ165" s="1681"/>
      <c r="AK165" s="1681"/>
      <c r="AL165" s="95"/>
      <c r="AM165" s="95">
        <v>23</v>
      </c>
      <c r="AN165" s="4545"/>
      <c r="AS165" s="3868" t="s">
        <v>2571</v>
      </c>
      <c r="AT165" s="3721">
        <v>1</v>
      </c>
      <c r="AU165" s="3721"/>
      <c r="AV165" s="3721"/>
      <c r="AW165" s="3721"/>
      <c r="AX165" s="3721"/>
      <c r="AY165" s="3721"/>
      <c r="AZ165" s="3721">
        <v>0</v>
      </c>
      <c r="BA165" s="3721">
        <v>0</v>
      </c>
      <c r="BB165" s="3721"/>
      <c r="BC165" s="2110"/>
      <c r="BD165" s="2110"/>
      <c r="BE165" s="2110">
        <v>1</v>
      </c>
      <c r="BF165" s="2110"/>
      <c r="BG165" s="2110"/>
      <c r="BJ165" s="32" t="s">
        <v>2549</v>
      </c>
      <c r="BK165" s="32" t="s">
        <v>1076</v>
      </c>
      <c r="BL165" s="3871"/>
      <c r="BM165" s="3871"/>
      <c r="BN165" s="3871"/>
      <c r="BO165" s="3871"/>
      <c r="BP165" s="3871"/>
      <c r="BQ165" s="3871">
        <v>8</v>
      </c>
      <c r="BR165" s="3871">
        <v>0</v>
      </c>
      <c r="BS165" s="3871"/>
      <c r="BT165" s="1518"/>
      <c r="BU165" s="1518">
        <v>8</v>
      </c>
      <c r="BX165" s="36"/>
      <c r="BY165" s="36"/>
      <c r="BZ165" s="393"/>
      <c r="CA165" s="393" t="s">
        <v>1072</v>
      </c>
      <c r="CB165" s="1682">
        <v>1</v>
      </c>
      <c r="CC165" s="1682"/>
      <c r="CD165" s="1682">
        <v>0</v>
      </c>
      <c r="CE165" s="1682">
        <v>0</v>
      </c>
      <c r="CF165" s="1682">
        <v>0</v>
      </c>
      <c r="CG165" s="1682">
        <v>4</v>
      </c>
      <c r="CH165" s="1682">
        <v>11</v>
      </c>
      <c r="CI165" s="1682">
        <v>0</v>
      </c>
      <c r="CJ165" s="2041"/>
      <c r="CK165" s="2041"/>
      <c r="CL165" s="2041">
        <v>16</v>
      </c>
      <c r="CM165" s="36"/>
      <c r="CO165" s="37"/>
      <c r="CP165" s="37"/>
      <c r="CQ165" s="37"/>
      <c r="CR165" s="37" t="s">
        <v>1076</v>
      </c>
      <c r="CS165" s="1678"/>
      <c r="CT165" s="1678">
        <v>0</v>
      </c>
      <c r="CU165" s="1678">
        <v>0</v>
      </c>
      <c r="CV165" s="1678"/>
      <c r="CW165" s="1678"/>
      <c r="CX165" s="1678"/>
      <c r="CY165" s="1678">
        <v>18</v>
      </c>
      <c r="CZ165" s="1678">
        <v>5</v>
      </c>
      <c r="DA165" s="1678">
        <v>0</v>
      </c>
      <c r="DB165" s="63"/>
      <c r="DC165" s="63"/>
      <c r="DD165" s="63">
        <v>23</v>
      </c>
      <c r="DG165" s="95"/>
      <c r="DH165" s="95" t="s">
        <v>41</v>
      </c>
      <c r="DI165" s="36" t="s">
        <v>413</v>
      </c>
      <c r="DJ165" s="36" t="s">
        <v>1071</v>
      </c>
      <c r="DK165" s="1484"/>
      <c r="DL165" s="1484">
        <v>0</v>
      </c>
      <c r="DM165" s="1484"/>
      <c r="DN165" s="1484"/>
      <c r="DO165" s="1484"/>
      <c r="DP165" s="1484"/>
      <c r="DQ165" s="1484">
        <v>0</v>
      </c>
      <c r="DR165" s="1484">
        <v>0</v>
      </c>
      <c r="DS165" s="1484">
        <v>1</v>
      </c>
      <c r="DT165" s="95"/>
      <c r="DU165" s="95"/>
      <c r="DV165" s="95">
        <v>1</v>
      </c>
      <c r="DW165" s="95"/>
      <c r="DY165" s="1209"/>
      <c r="DZ165" s="1209"/>
      <c r="EA165" s="1210" t="s">
        <v>483</v>
      </c>
      <c r="EB165" s="1211" t="s">
        <v>1072</v>
      </c>
      <c r="EC165" s="1213">
        <v>0</v>
      </c>
      <c r="ED165" s="1213">
        <v>1</v>
      </c>
      <c r="EE165" s="1213">
        <v>0</v>
      </c>
      <c r="EF165" s="1213">
        <v>0</v>
      </c>
      <c r="EG165" s="1212"/>
      <c r="EH165" s="1213">
        <v>0</v>
      </c>
      <c r="EI165" s="1213">
        <v>0</v>
      </c>
      <c r="EJ165" s="1212"/>
      <c r="EK165" s="611"/>
      <c r="EL165" s="612">
        <v>0</v>
      </c>
      <c r="EM165" s="612">
        <v>1</v>
      </c>
      <c r="EN165" s="36"/>
      <c r="EP165" s="527"/>
      <c r="EQ165" s="527"/>
      <c r="ER165" s="528"/>
      <c r="ES165" s="529" t="s">
        <v>1076</v>
      </c>
      <c r="ET165" s="531">
        <v>0</v>
      </c>
      <c r="EU165" s="530"/>
      <c r="EV165" s="530"/>
      <c r="EW165" s="530"/>
      <c r="EX165" s="530"/>
      <c r="EY165" s="531">
        <v>3</v>
      </c>
      <c r="EZ165" s="531">
        <v>12</v>
      </c>
      <c r="FA165" s="531">
        <v>3</v>
      </c>
      <c r="FB165" s="532">
        <v>1</v>
      </c>
      <c r="FC165" s="527"/>
      <c r="FD165" s="532">
        <v>19</v>
      </c>
      <c r="FE165" s="95"/>
      <c r="FG165" s="533"/>
      <c r="FH165" s="533"/>
      <c r="FI165" s="533"/>
      <c r="FJ165" s="545" t="s">
        <v>109</v>
      </c>
      <c r="FK165" s="547">
        <v>1</v>
      </c>
      <c r="FL165" s="547">
        <v>3</v>
      </c>
      <c r="FM165" s="547">
        <v>5</v>
      </c>
      <c r="FN165" s="547">
        <v>6</v>
      </c>
      <c r="FO165" s="546"/>
      <c r="FP165" s="547">
        <v>1</v>
      </c>
      <c r="FQ165" s="547">
        <v>21</v>
      </c>
      <c r="FR165" s="547">
        <v>51</v>
      </c>
      <c r="FS165" s="547">
        <v>98</v>
      </c>
      <c r="FT165" s="549">
        <v>14</v>
      </c>
      <c r="FU165" s="549">
        <v>13</v>
      </c>
      <c r="FV165" s="549">
        <v>213</v>
      </c>
      <c r="FW165" s="539">
        <f>+(FV164+FV163+FV160-FT163-FU163-FT160-FU160)/FV165</f>
        <v>0.29577464788732394</v>
      </c>
      <c r="FY165" s="540"/>
      <c r="FZ165" s="540"/>
      <c r="GA165" s="540"/>
      <c r="GB165" s="550" t="s">
        <v>15</v>
      </c>
      <c r="GC165" s="551"/>
      <c r="GD165" s="551"/>
      <c r="GE165" s="551"/>
      <c r="GF165" s="551"/>
      <c r="GG165" s="551"/>
      <c r="GH165" s="552">
        <v>3</v>
      </c>
      <c r="GI165" s="552">
        <v>2</v>
      </c>
      <c r="GJ165" s="552">
        <v>3</v>
      </c>
      <c r="GK165" s="551"/>
      <c r="GL165" s="552">
        <v>1</v>
      </c>
      <c r="GM165" s="552">
        <v>9</v>
      </c>
      <c r="GN165" s="553">
        <f>+(GM164+GM162)/GM165</f>
        <v>0.33333333333333331</v>
      </c>
      <c r="GP165" s="63"/>
      <c r="HF165" s="37"/>
      <c r="HG165" s="446"/>
      <c r="HH165" s="446"/>
      <c r="HI165" s="446"/>
      <c r="HJ165" s="446" t="s">
        <v>1080</v>
      </c>
      <c r="HK165" s="446">
        <v>0</v>
      </c>
      <c r="HL165" s="446">
        <v>0</v>
      </c>
      <c r="HM165" s="446">
        <v>0</v>
      </c>
      <c r="HN165" s="446">
        <v>0</v>
      </c>
      <c r="HO165" s="446">
        <v>0</v>
      </c>
      <c r="HP165" s="446">
        <v>0</v>
      </c>
      <c r="HQ165" s="446">
        <v>0</v>
      </c>
      <c r="HR165" s="446">
        <v>1</v>
      </c>
      <c r="HS165" s="446">
        <v>4</v>
      </c>
      <c r="HT165" s="446">
        <v>1</v>
      </c>
      <c r="HU165" s="446">
        <v>1</v>
      </c>
      <c r="HV165" s="447">
        <v>7</v>
      </c>
      <c r="HW165" s="544"/>
      <c r="HX165" s="448"/>
    </row>
    <row r="166" spans="1:232" ht="24">
      <c r="A166" s="5682">
        <v>2</v>
      </c>
      <c r="B166" s="5682">
        <v>2</v>
      </c>
      <c r="C166" s="5683" t="s">
        <v>2725</v>
      </c>
      <c r="D166" s="5685" t="s">
        <v>1076</v>
      </c>
      <c r="E166" s="5682">
        <v>8</v>
      </c>
      <c r="F166" s="5682">
        <v>3</v>
      </c>
      <c r="I166" s="4915">
        <v>2</v>
      </c>
      <c r="J166" s="4915">
        <v>2</v>
      </c>
      <c r="K166" s="4916" t="s">
        <v>2058</v>
      </c>
      <c r="L166" s="4916" t="s">
        <v>2705</v>
      </c>
      <c r="M166" s="4915">
        <v>1</v>
      </c>
      <c r="N166" s="4915">
        <v>1</v>
      </c>
      <c r="O166" s="157"/>
      <c r="Q166" s="4705">
        <v>3</v>
      </c>
      <c r="R166" s="4705">
        <v>2</v>
      </c>
      <c r="S166" s="4706" t="s">
        <v>2738</v>
      </c>
      <c r="T166" s="4708" t="s">
        <v>2707</v>
      </c>
      <c r="U166" s="4709">
        <v>6</v>
      </c>
      <c r="V166" s="4709">
        <v>3</v>
      </c>
      <c r="W166" s="4722"/>
      <c r="Y166" s="36"/>
      <c r="Z166" s="36"/>
      <c r="AA166" s="36"/>
      <c r="AB166" s="36" t="s">
        <v>2571</v>
      </c>
      <c r="AC166" s="1681">
        <v>6</v>
      </c>
      <c r="AD166" s="1681"/>
      <c r="AE166" s="1681"/>
      <c r="AF166" s="1681"/>
      <c r="AG166" s="1681"/>
      <c r="AH166" s="1681"/>
      <c r="AI166" s="1681">
        <v>0</v>
      </c>
      <c r="AJ166" s="1681"/>
      <c r="AK166" s="1681"/>
      <c r="AL166" s="95"/>
      <c r="AM166" s="95">
        <v>6</v>
      </c>
      <c r="AN166" s="4545"/>
      <c r="AS166" s="3868" t="s">
        <v>1163</v>
      </c>
      <c r="AT166" s="3721">
        <v>0</v>
      </c>
      <c r="AU166" s="3721"/>
      <c r="AV166" s="3721"/>
      <c r="AW166" s="3721"/>
      <c r="AX166" s="3721"/>
      <c r="AY166" s="3721"/>
      <c r="AZ166" s="3721">
        <v>9</v>
      </c>
      <c r="BA166" s="3721">
        <v>0</v>
      </c>
      <c r="BB166" s="3721"/>
      <c r="BC166" s="2110"/>
      <c r="BD166" s="2110"/>
      <c r="BE166" s="2110">
        <v>9</v>
      </c>
      <c r="BF166" s="2110"/>
      <c r="BG166" s="2110"/>
      <c r="BK166" s="32" t="s">
        <v>1080</v>
      </c>
      <c r="BL166" s="3871"/>
      <c r="BM166" s="3871"/>
      <c r="BN166" s="3871"/>
      <c r="BO166" s="3871"/>
      <c r="BP166" s="3871"/>
      <c r="BQ166" s="3871">
        <v>0</v>
      </c>
      <c r="BR166" s="3871">
        <v>1</v>
      </c>
      <c r="BS166" s="3871"/>
      <c r="BT166" s="1518"/>
      <c r="BU166" s="1518">
        <v>1</v>
      </c>
      <c r="BX166" s="36"/>
      <c r="BY166" s="36"/>
      <c r="BZ166" s="393"/>
      <c r="CA166" s="393" t="s">
        <v>1074</v>
      </c>
      <c r="CB166" s="1682">
        <v>1</v>
      </c>
      <c r="CC166" s="1682"/>
      <c r="CD166" s="1682">
        <v>0</v>
      </c>
      <c r="CE166" s="1682">
        <v>0</v>
      </c>
      <c r="CF166" s="1682">
        <v>0</v>
      </c>
      <c r="CG166" s="1682">
        <v>0</v>
      </c>
      <c r="CH166" s="1682">
        <v>0</v>
      </c>
      <c r="CI166" s="1682">
        <v>0</v>
      </c>
      <c r="CJ166" s="2041"/>
      <c r="CK166" s="2041"/>
      <c r="CL166" s="2041">
        <v>1</v>
      </c>
      <c r="CM166" s="36"/>
      <c r="CO166" s="37"/>
      <c r="CP166" s="37"/>
      <c r="CQ166" s="37"/>
      <c r="CR166" s="37" t="s">
        <v>1077</v>
      </c>
      <c r="CS166" s="1678"/>
      <c r="CT166" s="1678">
        <v>1</v>
      </c>
      <c r="CU166" s="1678">
        <v>2</v>
      </c>
      <c r="CV166" s="1678"/>
      <c r="CW166" s="1678"/>
      <c r="CX166" s="1678"/>
      <c r="CY166" s="1678">
        <v>0</v>
      </c>
      <c r="CZ166" s="1678">
        <v>0</v>
      </c>
      <c r="DA166" s="1678">
        <v>0</v>
      </c>
      <c r="DB166" s="63"/>
      <c r="DC166" s="63"/>
      <c r="DD166" s="63">
        <v>3</v>
      </c>
      <c r="DG166" s="95"/>
      <c r="DH166" s="95"/>
      <c r="DI166" s="36"/>
      <c r="DJ166" s="36" t="s">
        <v>1072</v>
      </c>
      <c r="DK166" s="1484"/>
      <c r="DL166" s="1484">
        <v>0</v>
      </c>
      <c r="DM166" s="1484"/>
      <c r="DN166" s="1484"/>
      <c r="DO166" s="1484"/>
      <c r="DP166" s="1484"/>
      <c r="DQ166" s="1484">
        <v>0</v>
      </c>
      <c r="DR166" s="1484">
        <v>1</v>
      </c>
      <c r="DS166" s="1484">
        <v>0</v>
      </c>
      <c r="DT166" s="95"/>
      <c r="DU166" s="95"/>
      <c r="DV166" s="95">
        <v>1</v>
      </c>
      <c r="DW166" s="95"/>
      <c r="DY166" s="1209"/>
      <c r="DZ166" s="1209"/>
      <c r="EA166" s="1210"/>
      <c r="EB166" s="1211" t="s">
        <v>1074</v>
      </c>
      <c r="EC166" s="1213">
        <v>1</v>
      </c>
      <c r="ED166" s="1213">
        <v>4</v>
      </c>
      <c r="EE166" s="1213">
        <v>0</v>
      </c>
      <c r="EF166" s="1213">
        <v>1</v>
      </c>
      <c r="EG166" s="1212"/>
      <c r="EH166" s="1213">
        <v>0</v>
      </c>
      <c r="EI166" s="1213">
        <v>0</v>
      </c>
      <c r="EJ166" s="1212"/>
      <c r="EK166" s="611"/>
      <c r="EL166" s="612">
        <v>0</v>
      </c>
      <c r="EM166" s="612">
        <v>6</v>
      </c>
      <c r="EN166" s="36"/>
      <c r="EP166" s="527"/>
      <c r="EQ166" s="527"/>
      <c r="ER166" s="528"/>
      <c r="ES166" s="529" t="s">
        <v>1080</v>
      </c>
      <c r="ET166" s="531">
        <v>0</v>
      </c>
      <c r="EU166" s="530"/>
      <c r="EV166" s="530"/>
      <c r="EW166" s="530"/>
      <c r="EX166" s="530"/>
      <c r="EY166" s="531">
        <v>0</v>
      </c>
      <c r="EZ166" s="531">
        <v>0</v>
      </c>
      <c r="FA166" s="531">
        <v>17</v>
      </c>
      <c r="FB166" s="532">
        <v>0</v>
      </c>
      <c r="FC166" s="527"/>
      <c r="FD166" s="532">
        <v>17</v>
      </c>
      <c r="FE166" s="95"/>
      <c r="FG166" s="533" t="s">
        <v>48</v>
      </c>
      <c r="FH166" s="533" t="s">
        <v>16</v>
      </c>
      <c r="FI166" s="533" t="s">
        <v>1165</v>
      </c>
      <c r="FJ166" s="534" t="s">
        <v>1163</v>
      </c>
      <c r="FK166" s="536">
        <v>1</v>
      </c>
      <c r="FL166" s="535"/>
      <c r="FM166" s="535"/>
      <c r="FN166" s="535"/>
      <c r="FO166" s="535"/>
      <c r="FP166" s="535"/>
      <c r="FQ166" s="535"/>
      <c r="FR166" s="535"/>
      <c r="FS166" s="535"/>
      <c r="FT166" s="537"/>
      <c r="FU166" s="537"/>
      <c r="FV166" s="538">
        <v>1</v>
      </c>
      <c r="FW166" s="539"/>
      <c r="FY166" s="540"/>
      <c r="FZ166" s="540"/>
      <c r="GA166" s="540" t="s">
        <v>141</v>
      </c>
      <c r="GB166" s="541" t="s">
        <v>1072</v>
      </c>
      <c r="GC166" s="542"/>
      <c r="GD166" s="542"/>
      <c r="GE166" s="543">
        <v>0</v>
      </c>
      <c r="GF166" s="542"/>
      <c r="GG166" s="542"/>
      <c r="GH166" s="543">
        <v>7</v>
      </c>
      <c r="GI166" s="543">
        <v>3</v>
      </c>
      <c r="GJ166" s="543">
        <v>0</v>
      </c>
      <c r="GK166" s="542"/>
      <c r="GL166" s="542"/>
      <c r="GM166" s="543">
        <v>10</v>
      </c>
      <c r="GN166" s="445"/>
      <c r="GP166" s="63"/>
      <c r="HF166" s="37"/>
      <c r="HG166" s="446"/>
      <c r="HH166" s="446"/>
      <c r="HI166" s="446"/>
      <c r="HJ166" s="446" t="s">
        <v>1163</v>
      </c>
      <c r="HK166" s="446">
        <v>0</v>
      </c>
      <c r="HL166" s="446">
        <v>0</v>
      </c>
      <c r="HM166" s="446">
        <v>0</v>
      </c>
      <c r="HN166" s="446">
        <v>0</v>
      </c>
      <c r="HO166" s="446">
        <v>0</v>
      </c>
      <c r="HP166" s="446">
        <v>0</v>
      </c>
      <c r="HQ166" s="446">
        <v>1</v>
      </c>
      <c r="HR166" s="446">
        <v>0</v>
      </c>
      <c r="HS166" s="446">
        <v>1</v>
      </c>
      <c r="HT166" s="446">
        <v>0</v>
      </c>
      <c r="HU166" s="446">
        <v>0</v>
      </c>
      <c r="HV166" s="447">
        <v>2</v>
      </c>
      <c r="HW166" s="544"/>
      <c r="HX166" s="448"/>
    </row>
    <row r="167" spans="1:232" ht="24">
      <c r="A167" s="5682">
        <v>2</v>
      </c>
      <c r="B167" s="5682">
        <v>2</v>
      </c>
      <c r="C167" s="5683" t="s">
        <v>2725</v>
      </c>
      <c r="D167" s="5685" t="s">
        <v>1076</v>
      </c>
      <c r="E167" s="5682">
        <v>2</v>
      </c>
      <c r="F167" s="5682">
        <v>4</v>
      </c>
      <c r="I167" s="4915">
        <v>2</v>
      </c>
      <c r="J167" s="4915">
        <v>2</v>
      </c>
      <c r="K167" s="4916" t="s">
        <v>2058</v>
      </c>
      <c r="L167" s="4917" t="s">
        <v>1076</v>
      </c>
      <c r="M167" s="4922">
        <v>2</v>
      </c>
      <c r="N167" s="4915">
        <v>7</v>
      </c>
      <c r="O167" s="157"/>
      <c r="Q167" s="4705">
        <v>3</v>
      </c>
      <c r="R167" s="4705">
        <v>2</v>
      </c>
      <c r="S167" s="4706" t="s">
        <v>2738</v>
      </c>
      <c r="T167" s="4708" t="s">
        <v>2707</v>
      </c>
      <c r="U167" s="4709">
        <v>2</v>
      </c>
      <c r="V167" s="4709">
        <v>4</v>
      </c>
      <c r="W167" s="4722"/>
      <c r="Y167" s="36"/>
      <c r="Z167" s="36"/>
      <c r="AA167" s="36"/>
      <c r="AB167" s="36" t="s">
        <v>15</v>
      </c>
      <c r="AC167" s="1681">
        <v>6</v>
      </c>
      <c r="AD167" s="1681"/>
      <c r="AE167" s="1681"/>
      <c r="AF167" s="1681"/>
      <c r="AG167" s="1681"/>
      <c r="AH167" s="1681"/>
      <c r="AI167" s="1681">
        <v>23</v>
      </c>
      <c r="AJ167" s="1681"/>
      <c r="AK167" s="1681"/>
      <c r="AL167" s="95"/>
      <c r="AM167" s="95">
        <v>29</v>
      </c>
      <c r="AN167" s="4545">
        <v>0</v>
      </c>
      <c r="AS167" s="27" t="s">
        <v>15</v>
      </c>
      <c r="AT167" s="3722">
        <v>1</v>
      </c>
      <c r="AU167" s="3722"/>
      <c r="AV167" s="3722"/>
      <c r="AW167" s="3722"/>
      <c r="AX167" s="3722"/>
      <c r="AY167" s="3722"/>
      <c r="AZ167" s="3722">
        <v>17</v>
      </c>
      <c r="BA167" s="3722">
        <v>8</v>
      </c>
      <c r="BB167" s="3722"/>
      <c r="BC167" s="3701"/>
      <c r="BD167" s="3701"/>
      <c r="BE167" s="3701">
        <v>26</v>
      </c>
      <c r="BF167" s="1665">
        <f>+(BE163+BE166)/(BE167-BE165)</f>
        <v>0.84</v>
      </c>
      <c r="BG167" s="1665"/>
      <c r="BK167" s="1520" t="s">
        <v>15</v>
      </c>
      <c r="BL167" s="3872"/>
      <c r="BM167" s="3872"/>
      <c r="BN167" s="3872"/>
      <c r="BO167" s="3872"/>
      <c r="BP167" s="3872"/>
      <c r="BQ167" s="3872">
        <v>8</v>
      </c>
      <c r="BR167" s="3872">
        <v>1</v>
      </c>
      <c r="BS167" s="3872"/>
      <c r="BT167" s="3806"/>
      <c r="BU167" s="3806">
        <v>9</v>
      </c>
      <c r="BV167" s="3807">
        <f>+BU165/BU167</f>
        <v>0.88888888888888884</v>
      </c>
      <c r="BX167" s="36"/>
      <c r="BY167" s="36"/>
      <c r="BZ167" s="393"/>
      <c r="CA167" s="393" t="s">
        <v>1076</v>
      </c>
      <c r="CB167" s="1682">
        <v>0</v>
      </c>
      <c r="CC167" s="1682"/>
      <c r="CD167" s="1682">
        <v>0</v>
      </c>
      <c r="CE167" s="1682">
        <v>0</v>
      </c>
      <c r="CF167" s="1682">
        <v>0</v>
      </c>
      <c r="CG167" s="1682">
        <v>1</v>
      </c>
      <c r="CH167" s="1682">
        <v>9</v>
      </c>
      <c r="CI167" s="1682">
        <v>0</v>
      </c>
      <c r="CJ167" s="2041"/>
      <c r="CK167" s="2041"/>
      <c r="CL167" s="2041">
        <v>10</v>
      </c>
      <c r="CM167" s="36"/>
      <c r="CO167" s="37"/>
      <c r="CP167" s="37"/>
      <c r="CQ167" s="37"/>
      <c r="CR167" s="37" t="s">
        <v>1080</v>
      </c>
      <c r="CS167" s="1678"/>
      <c r="CT167" s="1678">
        <v>0</v>
      </c>
      <c r="CU167" s="1678">
        <v>0</v>
      </c>
      <c r="CV167" s="1678"/>
      <c r="CW167" s="1678"/>
      <c r="CX167" s="1678"/>
      <c r="CY167" s="1678">
        <v>0</v>
      </c>
      <c r="CZ167" s="1678">
        <v>0</v>
      </c>
      <c r="DA167" s="1678">
        <v>2</v>
      </c>
      <c r="DB167" s="63"/>
      <c r="DC167" s="63"/>
      <c r="DD167" s="63">
        <v>2</v>
      </c>
      <c r="DG167" s="95"/>
      <c r="DH167" s="95"/>
      <c r="DI167" s="36"/>
      <c r="DJ167" s="36" t="s">
        <v>1074</v>
      </c>
      <c r="DK167" s="1484"/>
      <c r="DL167" s="1484">
        <v>1</v>
      </c>
      <c r="DM167" s="1484"/>
      <c r="DN167" s="1484"/>
      <c r="DO167" s="1484"/>
      <c r="DP167" s="1484"/>
      <c r="DQ167" s="1484">
        <v>0</v>
      </c>
      <c r="DR167" s="1484">
        <v>0</v>
      </c>
      <c r="DS167" s="1484">
        <v>0</v>
      </c>
      <c r="DT167" s="95"/>
      <c r="DU167" s="95"/>
      <c r="DV167" s="95">
        <v>1</v>
      </c>
      <c r="DW167" s="95"/>
      <c r="DY167" s="1209"/>
      <c r="DZ167" s="1209"/>
      <c r="EA167" s="1210"/>
      <c r="EB167" s="1211" t="s">
        <v>1076</v>
      </c>
      <c r="EC167" s="1213">
        <v>0</v>
      </c>
      <c r="ED167" s="1213">
        <v>0</v>
      </c>
      <c r="EE167" s="1213">
        <v>8</v>
      </c>
      <c r="EF167" s="1213">
        <v>0</v>
      </c>
      <c r="EG167" s="1212"/>
      <c r="EH167" s="1213">
        <v>3</v>
      </c>
      <c r="EI167" s="1213">
        <v>0</v>
      </c>
      <c r="EJ167" s="1212"/>
      <c r="EK167" s="611"/>
      <c r="EL167" s="612">
        <v>0</v>
      </c>
      <c r="EM167" s="612">
        <v>11</v>
      </c>
      <c r="EN167" s="36"/>
      <c r="EP167" s="527"/>
      <c r="EQ167" s="527"/>
      <c r="ER167" s="528"/>
      <c r="ES167" s="529" t="s">
        <v>1163</v>
      </c>
      <c r="ET167" s="531">
        <v>0</v>
      </c>
      <c r="EU167" s="530"/>
      <c r="EV167" s="530"/>
      <c r="EW167" s="530"/>
      <c r="EX167" s="530"/>
      <c r="EY167" s="531">
        <v>6</v>
      </c>
      <c r="EZ167" s="531">
        <v>7</v>
      </c>
      <c r="FA167" s="531">
        <v>1</v>
      </c>
      <c r="FB167" s="532">
        <v>0</v>
      </c>
      <c r="FC167" s="527"/>
      <c r="FD167" s="532">
        <v>14</v>
      </c>
      <c r="FE167" s="95"/>
      <c r="FG167" s="533"/>
      <c r="FH167" s="533"/>
      <c r="FI167" s="533"/>
      <c r="FJ167" s="545" t="s">
        <v>15</v>
      </c>
      <c r="FK167" s="547">
        <v>1</v>
      </c>
      <c r="FL167" s="546"/>
      <c r="FM167" s="546"/>
      <c r="FN167" s="546"/>
      <c r="FO167" s="546"/>
      <c r="FP167" s="546"/>
      <c r="FQ167" s="546"/>
      <c r="FR167" s="546"/>
      <c r="FS167" s="546"/>
      <c r="FT167" s="548"/>
      <c r="FU167" s="548"/>
      <c r="FV167" s="549">
        <v>1</v>
      </c>
      <c r="FW167" s="539">
        <f>+FV166/FV167</f>
        <v>1</v>
      </c>
      <c r="FY167" s="540"/>
      <c r="FZ167" s="540"/>
      <c r="GA167" s="540"/>
      <c r="GB167" s="541" t="s">
        <v>1077</v>
      </c>
      <c r="GC167" s="542"/>
      <c r="GD167" s="542"/>
      <c r="GE167" s="543">
        <v>1</v>
      </c>
      <c r="GF167" s="542"/>
      <c r="GG167" s="542"/>
      <c r="GH167" s="543">
        <v>0</v>
      </c>
      <c r="GI167" s="543">
        <v>0</v>
      </c>
      <c r="GJ167" s="543">
        <v>0</v>
      </c>
      <c r="GK167" s="542"/>
      <c r="GL167" s="542"/>
      <c r="GM167" s="543">
        <v>1</v>
      </c>
      <c r="GN167" s="445"/>
      <c r="GP167" s="63"/>
      <c r="HF167" s="37"/>
      <c r="HG167" s="446"/>
      <c r="HH167" s="446"/>
      <c r="HI167" s="446"/>
      <c r="HJ167" s="449" t="s">
        <v>15</v>
      </c>
      <c r="HK167" s="449">
        <v>0</v>
      </c>
      <c r="HL167" s="449">
        <v>0</v>
      </c>
      <c r="HM167" s="449">
        <v>0</v>
      </c>
      <c r="HN167" s="449">
        <v>0</v>
      </c>
      <c r="HO167" s="449">
        <v>0</v>
      </c>
      <c r="HP167" s="449">
        <v>0</v>
      </c>
      <c r="HQ167" s="449">
        <v>5</v>
      </c>
      <c r="HR167" s="449">
        <v>6</v>
      </c>
      <c r="HS167" s="449">
        <v>6</v>
      </c>
      <c r="HT167" s="449">
        <v>1</v>
      </c>
      <c r="HU167" s="449">
        <v>1</v>
      </c>
      <c r="HV167" s="507">
        <v>19</v>
      </c>
      <c r="HW167" s="554">
        <f>+(HV166+HV164)/HV167</f>
        <v>0.21052631578947367</v>
      </c>
      <c r="HX167" s="448">
        <f>+HV164+HV166</f>
        <v>4</v>
      </c>
    </row>
    <row r="168" spans="1:232" ht="24">
      <c r="A168" s="5682">
        <v>2</v>
      </c>
      <c r="B168" s="5682">
        <v>2</v>
      </c>
      <c r="C168" s="5683" t="s">
        <v>2725</v>
      </c>
      <c r="D168" s="5683" t="s">
        <v>2709</v>
      </c>
      <c r="E168" s="5682">
        <v>1</v>
      </c>
      <c r="F168" s="5682">
        <v>5</v>
      </c>
      <c r="I168" s="4915">
        <v>2</v>
      </c>
      <c r="J168" s="4915">
        <v>2</v>
      </c>
      <c r="K168" s="4916" t="s">
        <v>2058</v>
      </c>
      <c r="L168" s="4916" t="s">
        <v>2709</v>
      </c>
      <c r="M168" s="4915">
        <v>1</v>
      </c>
      <c r="N168" s="4915">
        <v>1</v>
      </c>
      <c r="O168" s="157"/>
      <c r="Q168" s="4705">
        <v>3</v>
      </c>
      <c r="R168" s="4705">
        <v>2</v>
      </c>
      <c r="S168" s="4706" t="s">
        <v>2738</v>
      </c>
      <c r="T168" s="4708" t="s">
        <v>1076</v>
      </c>
      <c r="U168" s="4709">
        <v>8</v>
      </c>
      <c r="V168" s="4709">
        <v>3</v>
      </c>
      <c r="W168" s="4722"/>
      <c r="X168" s="4452"/>
      <c r="Y168" s="36"/>
      <c r="Z168" s="36"/>
      <c r="AA168" s="36" t="s">
        <v>134</v>
      </c>
      <c r="AB168" s="36" t="s">
        <v>1072</v>
      </c>
      <c r="AC168" s="1681">
        <v>0</v>
      </c>
      <c r="AD168" s="1681">
        <v>1</v>
      </c>
      <c r="AE168" s="1681"/>
      <c r="AF168" s="1681"/>
      <c r="AG168" s="1681"/>
      <c r="AH168" s="1681"/>
      <c r="AI168" s="1681">
        <v>17</v>
      </c>
      <c r="AJ168" s="1681"/>
      <c r="AK168" s="1681"/>
      <c r="AL168" s="95"/>
      <c r="AM168" s="95">
        <v>18</v>
      </c>
      <c r="AN168" s="4545"/>
      <c r="AR168" s="3868" t="s">
        <v>127</v>
      </c>
      <c r="AS168" s="3868" t="s">
        <v>1077</v>
      </c>
      <c r="AT168" s="3721"/>
      <c r="AU168" s="3721"/>
      <c r="AV168" s="3721"/>
      <c r="AW168" s="3721">
        <v>1</v>
      </c>
      <c r="AX168" s="3721"/>
      <c r="AY168" s="3721"/>
      <c r="AZ168" s="3721">
        <v>0</v>
      </c>
      <c r="BA168" s="3721"/>
      <c r="BB168" s="3721"/>
      <c r="BC168" s="2110"/>
      <c r="BD168" s="2110"/>
      <c r="BE168" s="2110">
        <v>1</v>
      </c>
      <c r="BF168" s="2110"/>
      <c r="BG168" s="2110"/>
      <c r="BJ168" s="1520" t="s">
        <v>483</v>
      </c>
      <c r="BK168" s="1520" t="s">
        <v>1071</v>
      </c>
      <c r="BL168" s="3872"/>
      <c r="BM168" s="3872"/>
      <c r="BN168" s="3872">
        <v>0</v>
      </c>
      <c r="BO168" s="3872"/>
      <c r="BP168" s="3872"/>
      <c r="BQ168" s="3872">
        <v>0</v>
      </c>
      <c r="BR168" s="3872">
        <v>1</v>
      </c>
      <c r="BS168" s="3872">
        <v>0</v>
      </c>
      <c r="BT168" s="3806">
        <v>6</v>
      </c>
      <c r="BU168" s="3806">
        <v>7</v>
      </c>
      <c r="BV168" s="1520"/>
      <c r="BX168" s="36"/>
      <c r="BY168" s="36"/>
      <c r="BZ168" s="393"/>
      <c r="CA168" s="393" t="s">
        <v>1077</v>
      </c>
      <c r="CB168" s="1682">
        <v>1</v>
      </c>
      <c r="CC168" s="1682"/>
      <c r="CD168" s="1682">
        <v>1</v>
      </c>
      <c r="CE168" s="1682">
        <v>2</v>
      </c>
      <c r="CF168" s="1682">
        <v>1</v>
      </c>
      <c r="CG168" s="1682">
        <v>0</v>
      </c>
      <c r="CH168" s="1682">
        <v>0</v>
      </c>
      <c r="CI168" s="1682">
        <v>0</v>
      </c>
      <c r="CJ168" s="2041"/>
      <c r="CK168" s="2041"/>
      <c r="CL168" s="2041">
        <v>5</v>
      </c>
      <c r="CM168" s="36"/>
      <c r="CO168" s="37"/>
      <c r="CP168" s="37"/>
      <c r="CQ168" s="37"/>
      <c r="CR168" s="37" t="s">
        <v>1163</v>
      </c>
      <c r="CS168" s="1678"/>
      <c r="CT168" s="1678">
        <v>0</v>
      </c>
      <c r="CU168" s="1678">
        <v>0</v>
      </c>
      <c r="CV168" s="1678"/>
      <c r="CW168" s="1678"/>
      <c r="CX168" s="1678"/>
      <c r="CY168" s="1678">
        <v>1</v>
      </c>
      <c r="CZ168" s="1678">
        <v>0</v>
      </c>
      <c r="DA168" s="1678">
        <v>0</v>
      </c>
      <c r="DB168" s="63"/>
      <c r="DC168" s="63"/>
      <c r="DD168" s="63">
        <v>1</v>
      </c>
      <c r="DG168" s="95"/>
      <c r="DH168" s="95"/>
      <c r="DI168" s="36"/>
      <c r="DJ168" s="36" t="s">
        <v>1076</v>
      </c>
      <c r="DK168" s="1484"/>
      <c r="DL168" s="1484">
        <v>0</v>
      </c>
      <c r="DM168" s="1484"/>
      <c r="DN168" s="1484"/>
      <c r="DO168" s="1484"/>
      <c r="DP168" s="1484"/>
      <c r="DQ168" s="1484">
        <v>1</v>
      </c>
      <c r="DR168" s="1484">
        <v>4</v>
      </c>
      <c r="DS168" s="1484">
        <v>0</v>
      </c>
      <c r="DT168" s="95"/>
      <c r="DU168" s="95"/>
      <c r="DV168" s="95">
        <v>5</v>
      </c>
      <c r="DW168" s="95"/>
      <c r="DY168" s="1209"/>
      <c r="DZ168" s="1209"/>
      <c r="EA168" s="1210"/>
      <c r="EB168" s="1211" t="s">
        <v>1077</v>
      </c>
      <c r="EC168" s="1213">
        <v>0</v>
      </c>
      <c r="ED168" s="1213">
        <v>0</v>
      </c>
      <c r="EE168" s="1213">
        <v>1</v>
      </c>
      <c r="EF168" s="1213">
        <v>1</v>
      </c>
      <c r="EG168" s="1212"/>
      <c r="EH168" s="1213">
        <v>0</v>
      </c>
      <c r="EI168" s="1213">
        <v>1</v>
      </c>
      <c r="EJ168" s="1212"/>
      <c r="EK168" s="611"/>
      <c r="EL168" s="612">
        <v>0</v>
      </c>
      <c r="EM168" s="612">
        <v>3</v>
      </c>
      <c r="EN168" s="36"/>
      <c r="EP168" s="527"/>
      <c r="EQ168" s="527"/>
      <c r="ER168" s="528"/>
      <c r="ES168" s="555" t="s">
        <v>485</v>
      </c>
      <c r="ET168" s="557">
        <v>1</v>
      </c>
      <c r="EU168" s="556"/>
      <c r="EV168" s="556"/>
      <c r="EW168" s="556"/>
      <c r="EX168" s="556"/>
      <c r="EY168" s="557">
        <v>13</v>
      </c>
      <c r="EZ168" s="557">
        <v>25</v>
      </c>
      <c r="FA168" s="557">
        <v>21</v>
      </c>
      <c r="FB168" s="559">
        <v>2</v>
      </c>
      <c r="FC168" s="558"/>
      <c r="FD168" s="559">
        <v>62</v>
      </c>
      <c r="FE168" s="560">
        <f>+(FD165+FD167)/FD168</f>
        <v>0.532258064516129</v>
      </c>
      <c r="FG168" s="533"/>
      <c r="FH168" s="533"/>
      <c r="FI168" s="533" t="s">
        <v>133</v>
      </c>
      <c r="FJ168" s="534" t="s">
        <v>1076</v>
      </c>
      <c r="FK168" s="535"/>
      <c r="FL168" s="535"/>
      <c r="FM168" s="535"/>
      <c r="FN168" s="536">
        <v>3</v>
      </c>
      <c r="FO168" s="535"/>
      <c r="FP168" s="535"/>
      <c r="FQ168" s="535"/>
      <c r="FR168" s="535"/>
      <c r="FS168" s="535"/>
      <c r="FT168" s="537"/>
      <c r="FU168" s="537"/>
      <c r="FV168" s="538">
        <v>3</v>
      </c>
      <c r="FW168" s="539"/>
      <c r="FY168" s="540"/>
      <c r="FZ168" s="540"/>
      <c r="GA168" s="540"/>
      <c r="GB168" s="541" t="s">
        <v>1080</v>
      </c>
      <c r="GC168" s="542"/>
      <c r="GD168" s="542"/>
      <c r="GE168" s="543">
        <v>0</v>
      </c>
      <c r="GF168" s="542"/>
      <c r="GG168" s="542"/>
      <c r="GH168" s="543">
        <v>0</v>
      </c>
      <c r="GI168" s="543">
        <v>0</v>
      </c>
      <c r="GJ168" s="543">
        <v>8</v>
      </c>
      <c r="GK168" s="542"/>
      <c r="GL168" s="542"/>
      <c r="GM168" s="543">
        <v>8</v>
      </c>
      <c r="GN168" s="445"/>
      <c r="GP168" s="63"/>
      <c r="HF168" s="37"/>
      <c r="HG168" s="446"/>
      <c r="HH168" s="446"/>
      <c r="HI168" s="446" t="s">
        <v>141</v>
      </c>
      <c r="HJ168" s="446" t="s">
        <v>1072</v>
      </c>
      <c r="HK168" s="446">
        <v>0</v>
      </c>
      <c r="HL168" s="446">
        <v>0</v>
      </c>
      <c r="HM168" s="446">
        <v>1</v>
      </c>
      <c r="HN168" s="446">
        <v>0</v>
      </c>
      <c r="HO168" s="446">
        <v>0</v>
      </c>
      <c r="HP168" s="446">
        <v>0</v>
      </c>
      <c r="HQ168" s="446">
        <v>11</v>
      </c>
      <c r="HR168" s="446">
        <v>0</v>
      </c>
      <c r="HS168" s="446">
        <v>0</v>
      </c>
      <c r="HT168" s="446">
        <v>0</v>
      </c>
      <c r="HU168" s="446">
        <v>0</v>
      </c>
      <c r="HV168" s="447">
        <v>12</v>
      </c>
      <c r="HW168" s="544"/>
      <c r="HX168" s="448"/>
    </row>
    <row r="169" spans="1:232">
      <c r="A169" s="5682"/>
      <c r="B169" s="5682"/>
      <c r="C169" s="5683"/>
      <c r="D169" s="5683"/>
      <c r="E169" s="5686">
        <f>SUM(E166:E168)</f>
        <v>11</v>
      </c>
      <c r="F169" s="5682"/>
      <c r="G169" s="4921">
        <f>(E166+E167)/(E169)</f>
        <v>0.90909090909090906</v>
      </c>
      <c r="I169" s="4915">
        <v>2</v>
      </c>
      <c r="J169" s="4915">
        <v>2</v>
      </c>
      <c r="K169" s="4916" t="s">
        <v>2058</v>
      </c>
      <c r="L169" s="4916" t="s">
        <v>2709</v>
      </c>
      <c r="M169" s="4915">
        <v>1</v>
      </c>
      <c r="N169" s="4915">
        <v>6</v>
      </c>
      <c r="O169" s="157"/>
      <c r="Q169" s="4705">
        <v>3</v>
      </c>
      <c r="R169" s="4705">
        <v>2</v>
      </c>
      <c r="S169" s="4706" t="s">
        <v>2738</v>
      </c>
      <c r="T169" s="4708" t="s">
        <v>1076</v>
      </c>
      <c r="U169" s="4709">
        <v>5</v>
      </c>
      <c r="V169" s="4709">
        <v>4</v>
      </c>
      <c r="W169" s="4722"/>
      <c r="Y169" s="36"/>
      <c r="Z169" s="36"/>
      <c r="AA169" s="36"/>
      <c r="AB169" s="36" t="s">
        <v>2571</v>
      </c>
      <c r="AC169" s="1681">
        <v>1</v>
      </c>
      <c r="AD169" s="1681">
        <v>0</v>
      </c>
      <c r="AE169" s="1681"/>
      <c r="AF169" s="1681"/>
      <c r="AG169" s="1681"/>
      <c r="AH169" s="1681"/>
      <c r="AI169" s="1681">
        <v>0</v>
      </c>
      <c r="AJ169" s="1681"/>
      <c r="AK169" s="1681"/>
      <c r="AL169" s="95"/>
      <c r="AM169" s="95">
        <v>1</v>
      </c>
      <c r="AN169" s="4545"/>
      <c r="AS169" s="3868" t="s">
        <v>1163</v>
      </c>
      <c r="AT169" s="3721"/>
      <c r="AU169" s="3721"/>
      <c r="AV169" s="3721"/>
      <c r="AW169" s="3721">
        <v>0</v>
      </c>
      <c r="AX169" s="3721"/>
      <c r="AY169" s="3721"/>
      <c r="AZ169" s="3721">
        <v>1</v>
      </c>
      <c r="BA169" s="3721"/>
      <c r="BB169" s="3721"/>
      <c r="BC169" s="2110"/>
      <c r="BD169" s="2110"/>
      <c r="BE169" s="2110">
        <v>1</v>
      </c>
      <c r="BF169" s="2110"/>
      <c r="BG169" s="2110"/>
      <c r="BJ169" s="1520"/>
      <c r="BK169" s="1520" t="s">
        <v>1072</v>
      </c>
      <c r="BL169" s="3872"/>
      <c r="BM169" s="3872"/>
      <c r="BN169" s="3872">
        <v>2</v>
      </c>
      <c r="BO169" s="3872"/>
      <c r="BP169" s="3872"/>
      <c r="BQ169" s="3872">
        <v>4</v>
      </c>
      <c r="BR169" s="3872">
        <v>3</v>
      </c>
      <c r="BS169" s="3872">
        <v>0</v>
      </c>
      <c r="BT169" s="3806">
        <v>0</v>
      </c>
      <c r="BU169" s="3806">
        <v>9</v>
      </c>
      <c r="BV169" s="1520"/>
      <c r="BX169" s="36"/>
      <c r="BY169" s="36"/>
      <c r="BZ169" s="393"/>
      <c r="CA169" s="393" t="s">
        <v>1080</v>
      </c>
      <c r="CB169" s="1682">
        <v>0</v>
      </c>
      <c r="CC169" s="1682"/>
      <c r="CD169" s="1682">
        <v>0</v>
      </c>
      <c r="CE169" s="1682">
        <v>0</v>
      </c>
      <c r="CF169" s="1682">
        <v>0</v>
      </c>
      <c r="CG169" s="1682">
        <v>0</v>
      </c>
      <c r="CH169" s="1682">
        <v>0</v>
      </c>
      <c r="CI169" s="1682">
        <v>19</v>
      </c>
      <c r="CJ169" s="2041"/>
      <c r="CK169" s="2041"/>
      <c r="CL169" s="2041">
        <v>19</v>
      </c>
      <c r="CM169" s="36"/>
      <c r="CO169" s="37"/>
      <c r="CP169" s="37"/>
      <c r="CQ169" s="37"/>
      <c r="CR169" s="416" t="s">
        <v>15</v>
      </c>
      <c r="CS169" s="1679"/>
      <c r="CT169" s="1679">
        <v>1</v>
      </c>
      <c r="CU169" s="1679">
        <v>2</v>
      </c>
      <c r="CV169" s="1679"/>
      <c r="CW169" s="1679"/>
      <c r="CX169" s="1679"/>
      <c r="CY169" s="1679">
        <v>20</v>
      </c>
      <c r="CZ169" s="1679">
        <v>6</v>
      </c>
      <c r="DA169" s="1679">
        <v>2</v>
      </c>
      <c r="DB169" s="386"/>
      <c r="DC169" s="386"/>
      <c r="DD169" s="386">
        <v>31</v>
      </c>
      <c r="DE169" s="2045">
        <f>+(DD165+DD168)/DD169</f>
        <v>0.77419354838709675</v>
      </c>
      <c r="DG169" s="95"/>
      <c r="DH169" s="95"/>
      <c r="DI169" s="36"/>
      <c r="DJ169" s="36" t="s">
        <v>1080</v>
      </c>
      <c r="DK169" s="1484"/>
      <c r="DL169" s="1484">
        <v>0</v>
      </c>
      <c r="DM169" s="1484"/>
      <c r="DN169" s="1484"/>
      <c r="DO169" s="1484"/>
      <c r="DP169" s="1484"/>
      <c r="DQ169" s="1484">
        <v>0</v>
      </c>
      <c r="DR169" s="1484">
        <v>0</v>
      </c>
      <c r="DS169" s="1484">
        <v>5</v>
      </c>
      <c r="DT169" s="95"/>
      <c r="DU169" s="95"/>
      <c r="DV169" s="95">
        <v>5</v>
      </c>
      <c r="DW169" s="95"/>
      <c r="DY169" s="1209"/>
      <c r="DZ169" s="1209"/>
      <c r="EA169" s="1210"/>
      <c r="EB169" s="1211" t="s">
        <v>1081</v>
      </c>
      <c r="EC169" s="1213">
        <v>0</v>
      </c>
      <c r="ED169" s="1213">
        <v>0</v>
      </c>
      <c r="EE169" s="1213">
        <v>0</v>
      </c>
      <c r="EF169" s="1213">
        <v>0</v>
      </c>
      <c r="EG169" s="1212"/>
      <c r="EH169" s="1213">
        <v>11</v>
      </c>
      <c r="EI169" s="1213">
        <v>0</v>
      </c>
      <c r="EJ169" s="1212"/>
      <c r="EK169" s="611"/>
      <c r="EL169" s="612">
        <v>1</v>
      </c>
      <c r="EM169" s="612">
        <v>12</v>
      </c>
      <c r="EN169" s="36"/>
      <c r="EP169" s="527"/>
      <c r="EQ169" s="527"/>
      <c r="ER169" s="555" t="s">
        <v>109</v>
      </c>
      <c r="ES169" s="529" t="s">
        <v>1071</v>
      </c>
      <c r="ET169" s="531">
        <v>0</v>
      </c>
      <c r="EU169" s="531">
        <v>0</v>
      </c>
      <c r="EV169" s="531">
        <v>0</v>
      </c>
      <c r="EW169" s="531">
        <v>0</v>
      </c>
      <c r="EX169" s="531">
        <v>0</v>
      </c>
      <c r="EY169" s="531">
        <v>0</v>
      </c>
      <c r="EZ169" s="531">
        <v>2</v>
      </c>
      <c r="FA169" s="531">
        <v>20</v>
      </c>
      <c r="FB169" s="532">
        <v>3</v>
      </c>
      <c r="FC169" s="532">
        <v>7</v>
      </c>
      <c r="FD169" s="532">
        <v>32</v>
      </c>
      <c r="FE169" s="95"/>
      <c r="FG169" s="533"/>
      <c r="FH169" s="533"/>
      <c r="FI169" s="533"/>
      <c r="FJ169" s="545" t="s">
        <v>15</v>
      </c>
      <c r="FK169" s="546"/>
      <c r="FL169" s="546"/>
      <c r="FM169" s="546"/>
      <c r="FN169" s="547">
        <v>3</v>
      </c>
      <c r="FO169" s="546"/>
      <c r="FP169" s="546"/>
      <c r="FQ169" s="546"/>
      <c r="FR169" s="546"/>
      <c r="FS169" s="546"/>
      <c r="FT169" s="548"/>
      <c r="FU169" s="548"/>
      <c r="FV169" s="549">
        <v>3</v>
      </c>
      <c r="FW169" s="539">
        <f>+FV168/FV169</f>
        <v>1</v>
      </c>
      <c r="FY169" s="540"/>
      <c r="FZ169" s="540"/>
      <c r="GA169" s="540"/>
      <c r="GB169" s="541" t="s">
        <v>1163</v>
      </c>
      <c r="GC169" s="542"/>
      <c r="GD169" s="542"/>
      <c r="GE169" s="543">
        <v>0</v>
      </c>
      <c r="GF169" s="542"/>
      <c r="GG169" s="542"/>
      <c r="GH169" s="543">
        <v>1</v>
      </c>
      <c r="GI169" s="543">
        <v>0</v>
      </c>
      <c r="GJ169" s="543">
        <v>0</v>
      </c>
      <c r="GK169" s="542"/>
      <c r="GL169" s="542"/>
      <c r="GM169" s="543">
        <v>1</v>
      </c>
      <c r="GN169" s="445"/>
      <c r="GP169" s="63"/>
      <c r="HF169" s="37"/>
      <c r="HG169" s="446"/>
      <c r="HH169" s="446"/>
      <c r="HI169" s="446"/>
      <c r="HJ169" s="446" t="s">
        <v>1076</v>
      </c>
      <c r="HK169" s="446">
        <v>0</v>
      </c>
      <c r="HL169" s="446">
        <v>0</v>
      </c>
      <c r="HM169" s="446">
        <v>0</v>
      </c>
      <c r="HN169" s="446">
        <v>0</v>
      </c>
      <c r="HO169" s="446">
        <v>0</v>
      </c>
      <c r="HP169" s="446">
        <v>0</v>
      </c>
      <c r="HQ169" s="446">
        <v>3</v>
      </c>
      <c r="HR169" s="446">
        <v>0</v>
      </c>
      <c r="HS169" s="446">
        <v>0</v>
      </c>
      <c r="HT169" s="446">
        <v>0</v>
      </c>
      <c r="HU169" s="446">
        <v>0</v>
      </c>
      <c r="HV169" s="447">
        <v>3</v>
      </c>
      <c r="HW169" s="544"/>
      <c r="HX169" s="448"/>
    </row>
    <row r="170" spans="1:232">
      <c r="A170" s="5682">
        <v>2</v>
      </c>
      <c r="B170" s="5682">
        <v>2</v>
      </c>
      <c r="C170" s="5683" t="s">
        <v>2749</v>
      </c>
      <c r="D170" s="5683" t="s">
        <v>2731</v>
      </c>
      <c r="E170" s="5682">
        <v>4</v>
      </c>
      <c r="F170" s="5682">
        <v>7</v>
      </c>
      <c r="I170" s="4915">
        <v>2</v>
      </c>
      <c r="J170" s="4915">
        <v>2</v>
      </c>
      <c r="K170" s="4916" t="s">
        <v>2058</v>
      </c>
      <c r="L170" s="4916" t="s">
        <v>2709</v>
      </c>
      <c r="M170" s="4915">
        <v>2</v>
      </c>
      <c r="N170" s="4915">
        <v>7</v>
      </c>
      <c r="O170" s="157"/>
      <c r="Q170" s="4705">
        <v>3</v>
      </c>
      <c r="R170" s="4705">
        <v>2</v>
      </c>
      <c r="S170" s="4706" t="s">
        <v>2738</v>
      </c>
      <c r="T170" s="4706" t="s">
        <v>2709</v>
      </c>
      <c r="U170" s="4707">
        <v>1</v>
      </c>
      <c r="V170" s="4707">
        <v>3</v>
      </c>
      <c r="W170" s="4722"/>
      <c r="X170" s="4522">
        <v>22</v>
      </c>
      <c r="Y170" s="36"/>
      <c r="Z170" s="36"/>
      <c r="AA170" s="36"/>
      <c r="AB170" s="36" t="s">
        <v>15</v>
      </c>
      <c r="AC170" s="1681">
        <v>1</v>
      </c>
      <c r="AD170" s="1681">
        <v>1</v>
      </c>
      <c r="AE170" s="1681"/>
      <c r="AF170" s="1681"/>
      <c r="AG170" s="1681"/>
      <c r="AH170" s="1681"/>
      <c r="AI170" s="1681">
        <v>17</v>
      </c>
      <c r="AJ170" s="1681"/>
      <c r="AK170" s="1681"/>
      <c r="AL170" s="95"/>
      <c r="AM170" s="95">
        <v>19</v>
      </c>
      <c r="AN170" s="4545">
        <v>0</v>
      </c>
      <c r="AS170" s="27" t="s">
        <v>15</v>
      </c>
      <c r="AT170" s="3722"/>
      <c r="AU170" s="3722"/>
      <c r="AV170" s="3722"/>
      <c r="AW170" s="3722">
        <v>1</v>
      </c>
      <c r="AX170" s="3722"/>
      <c r="AY170" s="3722"/>
      <c r="AZ170" s="3722">
        <v>1</v>
      </c>
      <c r="BA170" s="3722"/>
      <c r="BB170" s="3722"/>
      <c r="BC170" s="3701"/>
      <c r="BD170" s="3701"/>
      <c r="BE170" s="3701">
        <v>2</v>
      </c>
      <c r="BF170" s="1665">
        <f>+BE169/BE170</f>
        <v>0.5</v>
      </c>
      <c r="BG170" s="1665"/>
      <c r="BJ170" s="1520"/>
      <c r="BK170" s="1520" t="s">
        <v>1076</v>
      </c>
      <c r="BL170" s="3872"/>
      <c r="BM170" s="3872"/>
      <c r="BN170" s="3872">
        <v>0</v>
      </c>
      <c r="BO170" s="3872"/>
      <c r="BP170" s="3872"/>
      <c r="BQ170" s="3872">
        <v>26</v>
      </c>
      <c r="BR170" s="3872">
        <v>2</v>
      </c>
      <c r="BS170" s="3872">
        <v>1</v>
      </c>
      <c r="BT170" s="3806">
        <v>0</v>
      </c>
      <c r="BU170" s="3806">
        <v>29</v>
      </c>
      <c r="BV170" s="1520"/>
      <c r="BX170" s="36"/>
      <c r="BY170" s="36"/>
      <c r="BZ170" s="393"/>
      <c r="CA170" s="393" t="s">
        <v>1163</v>
      </c>
      <c r="CB170" s="1682">
        <v>0</v>
      </c>
      <c r="CC170" s="1682"/>
      <c r="CD170" s="1682">
        <v>0</v>
      </c>
      <c r="CE170" s="1682">
        <v>0</v>
      </c>
      <c r="CF170" s="1682">
        <v>0</v>
      </c>
      <c r="CG170" s="1682">
        <v>17</v>
      </c>
      <c r="CH170" s="1682">
        <v>1</v>
      </c>
      <c r="CI170" s="1682">
        <v>0</v>
      </c>
      <c r="CJ170" s="2041"/>
      <c r="CK170" s="2041"/>
      <c r="CL170" s="2041">
        <v>18</v>
      </c>
      <c r="CM170" s="36"/>
      <c r="CO170" s="37"/>
      <c r="CP170" s="37"/>
      <c r="CQ170" s="37" t="s">
        <v>127</v>
      </c>
      <c r="CR170" s="37" t="s">
        <v>1072</v>
      </c>
      <c r="CS170" s="1678"/>
      <c r="CT170" s="1678"/>
      <c r="CU170" s="1678">
        <v>0</v>
      </c>
      <c r="CV170" s="1678"/>
      <c r="CW170" s="1678"/>
      <c r="CX170" s="1678">
        <v>0</v>
      </c>
      <c r="CY170" s="1678">
        <v>0</v>
      </c>
      <c r="CZ170" s="1678">
        <v>1</v>
      </c>
      <c r="DA170" s="1678"/>
      <c r="DB170" s="63"/>
      <c r="DC170" s="63"/>
      <c r="DD170" s="63">
        <v>1</v>
      </c>
      <c r="DG170" s="95"/>
      <c r="DH170" s="95"/>
      <c r="DI170" s="36"/>
      <c r="DJ170" s="36" t="s">
        <v>1163</v>
      </c>
      <c r="DK170" s="1484"/>
      <c r="DL170" s="1484">
        <v>0</v>
      </c>
      <c r="DM170" s="1484"/>
      <c r="DN170" s="1484"/>
      <c r="DO170" s="1484"/>
      <c r="DP170" s="1484"/>
      <c r="DQ170" s="1484">
        <v>1</v>
      </c>
      <c r="DR170" s="1484">
        <v>1</v>
      </c>
      <c r="DS170" s="1484">
        <v>0</v>
      </c>
      <c r="DT170" s="95"/>
      <c r="DU170" s="95"/>
      <c r="DV170" s="95">
        <v>2</v>
      </c>
      <c r="DW170" s="95"/>
      <c r="DY170" s="1209"/>
      <c r="DZ170" s="1209"/>
      <c r="EA170" s="1210"/>
      <c r="EB170" s="1211" t="s">
        <v>1163</v>
      </c>
      <c r="EC170" s="1213">
        <v>0</v>
      </c>
      <c r="ED170" s="1213">
        <v>0</v>
      </c>
      <c r="EE170" s="1213">
        <v>6</v>
      </c>
      <c r="EF170" s="1213">
        <v>0</v>
      </c>
      <c r="EG170" s="1212"/>
      <c r="EH170" s="1213">
        <v>2</v>
      </c>
      <c r="EI170" s="1213">
        <v>0</v>
      </c>
      <c r="EJ170" s="1212"/>
      <c r="EK170" s="611"/>
      <c r="EL170" s="612">
        <v>0</v>
      </c>
      <c r="EM170" s="612">
        <v>8</v>
      </c>
      <c r="EN170" s="36"/>
      <c r="EP170" s="527"/>
      <c r="EQ170" s="527"/>
      <c r="ER170" s="528"/>
      <c r="ES170" s="529" t="s">
        <v>1072</v>
      </c>
      <c r="ET170" s="531">
        <v>4</v>
      </c>
      <c r="EU170" s="531">
        <v>4</v>
      </c>
      <c r="EV170" s="531">
        <v>1</v>
      </c>
      <c r="EW170" s="531">
        <v>0</v>
      </c>
      <c r="EX170" s="531">
        <v>0</v>
      </c>
      <c r="EY170" s="531">
        <v>8</v>
      </c>
      <c r="EZ170" s="531">
        <v>14</v>
      </c>
      <c r="FA170" s="531">
        <v>1</v>
      </c>
      <c r="FB170" s="532">
        <v>6</v>
      </c>
      <c r="FC170" s="532">
        <v>0</v>
      </c>
      <c r="FD170" s="532">
        <v>38</v>
      </c>
      <c r="FE170" s="95"/>
      <c r="FG170" s="533"/>
      <c r="FH170" s="533"/>
      <c r="FI170" s="533" t="s">
        <v>529</v>
      </c>
      <c r="FJ170" s="534" t="s">
        <v>1072</v>
      </c>
      <c r="FK170" s="536">
        <v>1</v>
      </c>
      <c r="FL170" s="536">
        <v>1</v>
      </c>
      <c r="FM170" s="535"/>
      <c r="FN170" s="536">
        <v>4</v>
      </c>
      <c r="FO170" s="535"/>
      <c r="FP170" s="535"/>
      <c r="FQ170" s="535"/>
      <c r="FR170" s="535"/>
      <c r="FS170" s="535"/>
      <c r="FT170" s="537"/>
      <c r="FU170" s="537"/>
      <c r="FV170" s="538">
        <v>6</v>
      </c>
      <c r="FW170" s="539"/>
      <c r="FY170" s="540"/>
      <c r="FZ170" s="540"/>
      <c r="GA170" s="540"/>
      <c r="GB170" s="550" t="s">
        <v>15</v>
      </c>
      <c r="GC170" s="551"/>
      <c r="GD170" s="551"/>
      <c r="GE170" s="552">
        <v>1</v>
      </c>
      <c r="GF170" s="551"/>
      <c r="GG170" s="551"/>
      <c r="GH170" s="552">
        <v>8</v>
      </c>
      <c r="GI170" s="552">
        <v>3</v>
      </c>
      <c r="GJ170" s="552">
        <v>8</v>
      </c>
      <c r="GK170" s="551"/>
      <c r="GL170" s="551"/>
      <c r="GM170" s="552">
        <v>20</v>
      </c>
      <c r="GN170" s="553">
        <f>+GM169/GM170</f>
        <v>0.05</v>
      </c>
      <c r="GP170" s="63"/>
      <c r="HF170" s="37"/>
      <c r="HG170" s="446"/>
      <c r="HH170" s="446"/>
      <c r="HI170" s="446"/>
      <c r="HJ170" s="446" t="s">
        <v>1080</v>
      </c>
      <c r="HK170" s="446">
        <v>0</v>
      </c>
      <c r="HL170" s="446">
        <v>0</v>
      </c>
      <c r="HM170" s="446">
        <v>0</v>
      </c>
      <c r="HN170" s="446">
        <v>0</v>
      </c>
      <c r="HO170" s="446">
        <v>0</v>
      </c>
      <c r="HP170" s="446">
        <v>0</v>
      </c>
      <c r="HQ170" s="446">
        <v>0</v>
      </c>
      <c r="HR170" s="446">
        <v>1</v>
      </c>
      <c r="HS170" s="446">
        <v>1</v>
      </c>
      <c r="HT170" s="446">
        <v>0</v>
      </c>
      <c r="HU170" s="446">
        <v>0</v>
      </c>
      <c r="HV170" s="447">
        <v>2</v>
      </c>
      <c r="HW170" s="544"/>
      <c r="HX170" s="448"/>
    </row>
    <row r="171" spans="1:232">
      <c r="A171" s="5682">
        <v>2</v>
      </c>
      <c r="B171" s="5682">
        <v>2</v>
      </c>
      <c r="C171" s="5683" t="s">
        <v>2749</v>
      </c>
      <c r="D171" s="5683" t="s">
        <v>2731</v>
      </c>
      <c r="E171" s="5682">
        <v>7</v>
      </c>
      <c r="F171" s="5682">
        <v>8</v>
      </c>
      <c r="I171" s="4915">
        <v>2</v>
      </c>
      <c r="J171" s="4915">
        <v>2</v>
      </c>
      <c r="K171" s="4916" t="s">
        <v>2058</v>
      </c>
      <c r="L171" s="4916" t="s">
        <v>2709</v>
      </c>
      <c r="M171" s="4915">
        <v>6</v>
      </c>
      <c r="N171" s="4915">
        <v>8</v>
      </c>
      <c r="O171" s="157"/>
      <c r="Q171" s="4705">
        <v>3</v>
      </c>
      <c r="R171" s="4705">
        <v>2</v>
      </c>
      <c r="S171" s="4706" t="s">
        <v>2738</v>
      </c>
      <c r="T171" s="4706" t="s">
        <v>2709</v>
      </c>
      <c r="U171" s="4707">
        <v>3</v>
      </c>
      <c r="V171" s="4707">
        <v>4</v>
      </c>
      <c r="W171" s="4722">
        <f>(U164+U166+U167+U168+U169)/(U172)</f>
        <v>0.81481481481481477</v>
      </c>
      <c r="X171" s="4522">
        <v>3</v>
      </c>
      <c r="Y171" s="36"/>
      <c r="Z171" s="36"/>
      <c r="AA171" s="36" t="s">
        <v>135</v>
      </c>
      <c r="AB171" s="36" t="s">
        <v>1072</v>
      </c>
      <c r="AC171" s="1681">
        <v>0</v>
      </c>
      <c r="AD171" s="1681"/>
      <c r="AE171" s="1681">
        <v>1</v>
      </c>
      <c r="AF171" s="1681"/>
      <c r="AG171" s="1681"/>
      <c r="AH171" s="1681"/>
      <c r="AI171" s="1681">
        <v>14</v>
      </c>
      <c r="AJ171" s="1681"/>
      <c r="AK171" s="1681"/>
      <c r="AL171" s="95"/>
      <c r="AM171" s="95">
        <v>15</v>
      </c>
      <c r="AN171" s="4545"/>
      <c r="AR171" s="3868" t="s">
        <v>2058</v>
      </c>
      <c r="AS171" s="3868" t="s">
        <v>1071</v>
      </c>
      <c r="AT171" s="3721"/>
      <c r="AU171" s="3721"/>
      <c r="AV171" s="3721"/>
      <c r="AW171" s="3721"/>
      <c r="AX171" s="3721"/>
      <c r="AY171" s="3721"/>
      <c r="AZ171" s="3721">
        <v>0</v>
      </c>
      <c r="BA171" s="3721">
        <v>1</v>
      </c>
      <c r="BB171" s="3721">
        <v>0</v>
      </c>
      <c r="BC171" s="2110">
        <v>0</v>
      </c>
      <c r="BD171" s="2110">
        <v>0</v>
      </c>
      <c r="BE171" s="2110">
        <v>1</v>
      </c>
      <c r="BF171" s="2110"/>
      <c r="BG171" s="2110"/>
      <c r="BJ171" s="1520"/>
      <c r="BK171" s="1520" t="s">
        <v>1077</v>
      </c>
      <c r="BL171" s="3872"/>
      <c r="BM171" s="3872"/>
      <c r="BN171" s="3872">
        <v>1</v>
      </c>
      <c r="BO171" s="3872"/>
      <c r="BP171" s="3872"/>
      <c r="BQ171" s="3872">
        <v>0</v>
      </c>
      <c r="BR171" s="3872">
        <v>0</v>
      </c>
      <c r="BS171" s="3872">
        <v>0</v>
      </c>
      <c r="BT171" s="3806">
        <v>0</v>
      </c>
      <c r="BU171" s="3806">
        <v>1</v>
      </c>
      <c r="BV171" s="1520"/>
      <c r="BX171" s="36"/>
      <c r="BY171" s="36"/>
      <c r="BZ171" s="393"/>
      <c r="CA171" s="393" t="s">
        <v>483</v>
      </c>
      <c r="CB171" s="1682">
        <v>3</v>
      </c>
      <c r="CC171" s="1682"/>
      <c r="CD171" s="1682">
        <v>1</v>
      </c>
      <c r="CE171" s="1682">
        <v>2</v>
      </c>
      <c r="CF171" s="1682">
        <v>1</v>
      </c>
      <c r="CG171" s="1682">
        <v>22</v>
      </c>
      <c r="CH171" s="1682">
        <v>21</v>
      </c>
      <c r="CI171" s="1682">
        <v>25</v>
      </c>
      <c r="CJ171" s="2041"/>
      <c r="CK171" s="2041"/>
      <c r="CL171" s="2041">
        <v>75</v>
      </c>
      <c r="CM171" s="560">
        <f>+(CL170+CL167)/CL171</f>
        <v>0.37333333333333335</v>
      </c>
      <c r="CN171" s="1665"/>
      <c r="CO171" s="37"/>
      <c r="CP171" s="37"/>
      <c r="CQ171" s="37"/>
      <c r="CR171" s="37" t="s">
        <v>1077</v>
      </c>
      <c r="CS171" s="1678"/>
      <c r="CT171" s="1678"/>
      <c r="CU171" s="1678">
        <v>1</v>
      </c>
      <c r="CV171" s="1678"/>
      <c r="CW171" s="1678"/>
      <c r="CX171" s="1678">
        <v>1</v>
      </c>
      <c r="CY171" s="1678">
        <v>0</v>
      </c>
      <c r="CZ171" s="1678">
        <v>0</v>
      </c>
      <c r="DA171" s="1678"/>
      <c r="DB171" s="63"/>
      <c r="DC171" s="63"/>
      <c r="DD171" s="63">
        <v>2</v>
      </c>
      <c r="DG171" s="95"/>
      <c r="DH171" s="95"/>
      <c r="DI171" s="36"/>
      <c r="DJ171" s="393" t="s">
        <v>15</v>
      </c>
      <c r="DK171" s="1485"/>
      <c r="DL171" s="1485">
        <v>1</v>
      </c>
      <c r="DM171" s="1485"/>
      <c r="DN171" s="1485"/>
      <c r="DO171" s="1485"/>
      <c r="DP171" s="1485"/>
      <c r="DQ171" s="1485">
        <v>2</v>
      </c>
      <c r="DR171" s="1485">
        <v>6</v>
      </c>
      <c r="DS171" s="1485">
        <v>6</v>
      </c>
      <c r="DT171" s="86"/>
      <c r="DU171" s="86"/>
      <c r="DV171" s="86">
        <v>15</v>
      </c>
      <c r="DW171" s="560">
        <f>+(DV168+DV170)/DV171</f>
        <v>0.46666666666666667</v>
      </c>
      <c r="DY171" s="1209"/>
      <c r="DZ171" s="1209"/>
      <c r="EA171" s="1210"/>
      <c r="EB171" s="415" t="s">
        <v>483</v>
      </c>
      <c r="EC171" s="1215">
        <v>1</v>
      </c>
      <c r="ED171" s="1215">
        <v>5</v>
      </c>
      <c r="EE171" s="1215">
        <v>15</v>
      </c>
      <c r="EF171" s="1215">
        <v>2</v>
      </c>
      <c r="EG171" s="1214"/>
      <c r="EH171" s="1215">
        <v>16</v>
      </c>
      <c r="EI171" s="1215">
        <v>1</v>
      </c>
      <c r="EJ171" s="1214"/>
      <c r="EK171" s="620"/>
      <c r="EL171" s="621">
        <v>1</v>
      </c>
      <c r="EM171" s="621">
        <v>41</v>
      </c>
      <c r="EN171" s="1178">
        <f>+(EM167+EM169-EL169+EM170)/EM171</f>
        <v>0.73170731707317072</v>
      </c>
      <c r="EP171" s="527"/>
      <c r="EQ171" s="527"/>
      <c r="ER171" s="528"/>
      <c r="ES171" s="529" t="s">
        <v>1074</v>
      </c>
      <c r="ET171" s="531">
        <v>5</v>
      </c>
      <c r="EU171" s="531">
        <v>1</v>
      </c>
      <c r="EV171" s="531">
        <v>0</v>
      </c>
      <c r="EW171" s="531">
        <v>0</v>
      </c>
      <c r="EX171" s="531">
        <v>0</v>
      </c>
      <c r="EY171" s="531">
        <v>0</v>
      </c>
      <c r="EZ171" s="531">
        <v>0</v>
      </c>
      <c r="FA171" s="531">
        <v>0</v>
      </c>
      <c r="FB171" s="532">
        <v>0</v>
      </c>
      <c r="FC171" s="532">
        <v>0</v>
      </c>
      <c r="FD171" s="532">
        <v>6</v>
      </c>
      <c r="FE171" s="95"/>
      <c r="FG171" s="533"/>
      <c r="FH171" s="533"/>
      <c r="FI171" s="533"/>
      <c r="FJ171" s="534" t="s">
        <v>1076</v>
      </c>
      <c r="FK171" s="536">
        <v>0</v>
      </c>
      <c r="FL171" s="536">
        <v>0</v>
      </c>
      <c r="FM171" s="535"/>
      <c r="FN171" s="536">
        <v>1</v>
      </c>
      <c r="FO171" s="535"/>
      <c r="FP171" s="535"/>
      <c r="FQ171" s="535"/>
      <c r="FR171" s="535"/>
      <c r="FS171" s="535"/>
      <c r="FT171" s="537"/>
      <c r="FU171" s="537"/>
      <c r="FV171" s="538">
        <v>1</v>
      </c>
      <c r="FW171" s="539"/>
      <c r="FY171" s="540"/>
      <c r="FZ171" s="540"/>
      <c r="GA171" s="540" t="s">
        <v>111</v>
      </c>
      <c r="GB171" s="541" t="s">
        <v>1072</v>
      </c>
      <c r="GC171" s="542"/>
      <c r="GD171" s="542"/>
      <c r="GE171" s="543">
        <v>1</v>
      </c>
      <c r="GF171" s="542"/>
      <c r="GG171" s="543">
        <v>0</v>
      </c>
      <c r="GH171" s="542"/>
      <c r="GI171" s="542"/>
      <c r="GJ171" s="542"/>
      <c r="GK171" s="542"/>
      <c r="GL171" s="542"/>
      <c r="GM171" s="543">
        <v>1</v>
      </c>
      <c r="GN171" s="445"/>
      <c r="GP171" s="63"/>
      <c r="HF171" s="37"/>
      <c r="HG171" s="446"/>
      <c r="HH171" s="446"/>
      <c r="HI171" s="446"/>
      <c r="HJ171" s="446" t="s">
        <v>1163</v>
      </c>
      <c r="HK171" s="446">
        <v>0</v>
      </c>
      <c r="HL171" s="446">
        <v>0</v>
      </c>
      <c r="HM171" s="446">
        <v>0</v>
      </c>
      <c r="HN171" s="446">
        <v>0</v>
      </c>
      <c r="HO171" s="446">
        <v>0</v>
      </c>
      <c r="HP171" s="446">
        <v>0</v>
      </c>
      <c r="HQ171" s="446">
        <v>1</v>
      </c>
      <c r="HR171" s="446">
        <v>0</v>
      </c>
      <c r="HS171" s="446">
        <v>0</v>
      </c>
      <c r="HT171" s="446">
        <v>0</v>
      </c>
      <c r="HU171" s="446">
        <v>0</v>
      </c>
      <c r="HV171" s="447">
        <v>1</v>
      </c>
      <c r="HW171" s="544"/>
      <c r="HX171" s="448"/>
    </row>
    <row r="172" spans="1:232">
      <c r="A172" s="5682">
        <v>2</v>
      </c>
      <c r="B172" s="5682">
        <v>2</v>
      </c>
      <c r="C172" s="5683" t="s">
        <v>2749</v>
      </c>
      <c r="D172" s="5683" t="s">
        <v>2703</v>
      </c>
      <c r="E172" s="5682">
        <v>1</v>
      </c>
      <c r="F172" s="5682">
        <v>2</v>
      </c>
      <c r="I172" s="4915"/>
      <c r="J172" s="4915"/>
      <c r="K172" s="4916"/>
      <c r="L172" s="4916"/>
      <c r="M172" s="4920">
        <f>SUM(M162:M171)</f>
        <v>20</v>
      </c>
      <c r="N172" s="4915"/>
      <c r="O172" s="4921">
        <f>(M167)/(M172)</f>
        <v>0.1</v>
      </c>
      <c r="Q172" s="4705"/>
      <c r="R172" s="4705"/>
      <c r="S172" s="4706"/>
      <c r="T172" s="4706"/>
      <c r="U172" s="4741">
        <f>SUM(U164:U171)</f>
        <v>27</v>
      </c>
      <c r="V172" s="4741"/>
      <c r="W172" s="4722"/>
      <c r="X172" s="4634">
        <v>5</v>
      </c>
      <c r="Y172" s="36"/>
      <c r="Z172" s="36"/>
      <c r="AA172" s="36"/>
      <c r="AB172" s="36" t="s">
        <v>2571</v>
      </c>
      <c r="AC172" s="1681">
        <v>2</v>
      </c>
      <c r="AD172" s="1681"/>
      <c r="AE172" s="1681">
        <v>0</v>
      </c>
      <c r="AF172" s="1681"/>
      <c r="AG172" s="1681"/>
      <c r="AH172" s="1681"/>
      <c r="AI172" s="1681">
        <v>0</v>
      </c>
      <c r="AJ172" s="1681"/>
      <c r="AK172" s="1681"/>
      <c r="AL172" s="95"/>
      <c r="AM172" s="95">
        <v>2</v>
      </c>
      <c r="AN172" s="4545"/>
      <c r="AS172" s="3868" t="s">
        <v>1072</v>
      </c>
      <c r="AT172" s="3721"/>
      <c r="AU172" s="3721"/>
      <c r="AV172" s="3721"/>
      <c r="AW172" s="3721"/>
      <c r="AX172" s="3721"/>
      <c r="AY172" s="3721"/>
      <c r="AZ172" s="3721">
        <v>2</v>
      </c>
      <c r="BA172" s="3721">
        <v>3</v>
      </c>
      <c r="BB172" s="3721">
        <v>0</v>
      </c>
      <c r="BC172" s="2110">
        <v>6</v>
      </c>
      <c r="BD172" s="2110">
        <v>0</v>
      </c>
      <c r="BE172" s="2110">
        <v>11</v>
      </c>
      <c r="BF172" s="2110"/>
      <c r="BG172" s="2110"/>
      <c r="BJ172" s="1520"/>
      <c r="BK172" s="1520" t="s">
        <v>1080</v>
      </c>
      <c r="BL172" s="3872"/>
      <c r="BM172" s="3872"/>
      <c r="BN172" s="3872">
        <v>0</v>
      </c>
      <c r="BO172" s="3872"/>
      <c r="BP172" s="3872"/>
      <c r="BQ172" s="3872">
        <v>0</v>
      </c>
      <c r="BR172" s="3872">
        <v>6</v>
      </c>
      <c r="BS172" s="3872">
        <v>0</v>
      </c>
      <c r="BT172" s="3806">
        <v>2</v>
      </c>
      <c r="BU172" s="3806">
        <v>8</v>
      </c>
      <c r="BV172" s="1520"/>
      <c r="BX172" s="36"/>
      <c r="BY172" s="36" t="s">
        <v>41</v>
      </c>
      <c r="BZ172" s="36" t="s">
        <v>413</v>
      </c>
      <c r="CA172" s="36" t="s">
        <v>1072</v>
      </c>
      <c r="CB172" s="1681"/>
      <c r="CC172" s="1681">
        <v>1</v>
      </c>
      <c r="CD172" s="1681"/>
      <c r="CE172" s="1681"/>
      <c r="CF172" s="1681"/>
      <c r="CG172" s="1681"/>
      <c r="CH172" s="1681">
        <v>0</v>
      </c>
      <c r="CI172" s="1681">
        <v>0</v>
      </c>
      <c r="CJ172" s="95"/>
      <c r="CK172" s="95"/>
      <c r="CL172" s="95">
        <v>1</v>
      </c>
      <c r="CM172" s="36"/>
      <c r="CO172" s="37"/>
      <c r="CP172" s="37"/>
      <c r="CQ172" s="37"/>
      <c r="CR172" s="37" t="s">
        <v>1163</v>
      </c>
      <c r="CS172" s="1678"/>
      <c r="CT172" s="1678"/>
      <c r="CU172" s="1678">
        <v>0</v>
      </c>
      <c r="CV172" s="1678"/>
      <c r="CW172" s="1678"/>
      <c r="CX172" s="1678">
        <v>0</v>
      </c>
      <c r="CY172" s="1678">
        <v>4</v>
      </c>
      <c r="CZ172" s="1678">
        <v>0</v>
      </c>
      <c r="DA172" s="1678"/>
      <c r="DB172" s="63"/>
      <c r="DC172" s="63"/>
      <c r="DD172" s="63">
        <v>4</v>
      </c>
      <c r="DG172" s="95"/>
      <c r="DH172" s="95"/>
      <c r="DI172" s="36" t="s">
        <v>128</v>
      </c>
      <c r="DJ172" s="36" t="s">
        <v>1072</v>
      </c>
      <c r="DK172" s="1484"/>
      <c r="DL172" s="1484">
        <v>0</v>
      </c>
      <c r="DM172" s="1484"/>
      <c r="DN172" s="1484"/>
      <c r="DO172" s="1484"/>
      <c r="DP172" s="1484"/>
      <c r="DQ172" s="1484">
        <v>1</v>
      </c>
      <c r="DR172" s="1484">
        <v>1</v>
      </c>
      <c r="DS172" s="1484">
        <v>0</v>
      </c>
      <c r="DT172" s="95"/>
      <c r="DU172" s="95"/>
      <c r="DV172" s="95">
        <v>2</v>
      </c>
      <c r="DW172" s="95"/>
      <c r="DY172" s="1209"/>
      <c r="DZ172" s="1209" t="s">
        <v>41</v>
      </c>
      <c r="EA172" s="1210" t="s">
        <v>413</v>
      </c>
      <c r="EB172" s="1211" t="s">
        <v>1072</v>
      </c>
      <c r="EC172" s="1212"/>
      <c r="ED172" s="1212"/>
      <c r="EE172" s="1212"/>
      <c r="EF172" s="1212"/>
      <c r="EG172" s="1212"/>
      <c r="EH172" s="1212"/>
      <c r="EI172" s="1213">
        <v>2</v>
      </c>
      <c r="EJ172" s="1213">
        <v>0</v>
      </c>
      <c r="EK172" s="611"/>
      <c r="EL172" s="611"/>
      <c r="EM172" s="612">
        <v>2</v>
      </c>
      <c r="EN172" s="36"/>
      <c r="EP172" s="527"/>
      <c r="EQ172" s="527"/>
      <c r="ER172" s="528"/>
      <c r="ES172" s="529" t="s">
        <v>1076</v>
      </c>
      <c r="ET172" s="531">
        <v>0</v>
      </c>
      <c r="EU172" s="531">
        <v>0</v>
      </c>
      <c r="EV172" s="531">
        <v>0</v>
      </c>
      <c r="EW172" s="531">
        <v>0</v>
      </c>
      <c r="EX172" s="531">
        <v>0</v>
      </c>
      <c r="EY172" s="531">
        <v>9</v>
      </c>
      <c r="EZ172" s="531">
        <v>57</v>
      </c>
      <c r="FA172" s="531">
        <v>9</v>
      </c>
      <c r="FB172" s="532">
        <v>2</v>
      </c>
      <c r="FC172" s="532">
        <v>0</v>
      </c>
      <c r="FD172" s="532">
        <v>77</v>
      </c>
      <c r="FE172" s="95"/>
      <c r="FG172" s="533"/>
      <c r="FH172" s="533"/>
      <c r="FI172" s="533"/>
      <c r="FJ172" s="534" t="s">
        <v>1081</v>
      </c>
      <c r="FK172" s="536">
        <v>0</v>
      </c>
      <c r="FL172" s="536">
        <v>0</v>
      </c>
      <c r="FM172" s="535"/>
      <c r="FN172" s="536">
        <v>5</v>
      </c>
      <c r="FO172" s="535"/>
      <c r="FP172" s="535"/>
      <c r="FQ172" s="535"/>
      <c r="FR172" s="535"/>
      <c r="FS172" s="535"/>
      <c r="FT172" s="537"/>
      <c r="FU172" s="537"/>
      <c r="FV172" s="538">
        <v>5</v>
      </c>
      <c r="FW172" s="539"/>
      <c r="FY172" s="540"/>
      <c r="FZ172" s="540"/>
      <c r="GA172" s="540"/>
      <c r="GB172" s="541" t="s">
        <v>1077</v>
      </c>
      <c r="GC172" s="542"/>
      <c r="GD172" s="542"/>
      <c r="GE172" s="543">
        <v>1</v>
      </c>
      <c r="GF172" s="542"/>
      <c r="GG172" s="543">
        <v>0</v>
      </c>
      <c r="GH172" s="542"/>
      <c r="GI172" s="542"/>
      <c r="GJ172" s="542"/>
      <c r="GK172" s="542"/>
      <c r="GL172" s="542"/>
      <c r="GM172" s="543">
        <v>1</v>
      </c>
      <c r="GN172" s="445"/>
      <c r="GP172" s="63"/>
      <c r="HF172" s="37"/>
      <c r="HG172" s="446"/>
      <c r="HH172" s="446"/>
      <c r="HI172" s="446"/>
      <c r="HJ172" s="449" t="s">
        <v>15</v>
      </c>
      <c r="HK172" s="449">
        <v>0</v>
      </c>
      <c r="HL172" s="449">
        <v>0</v>
      </c>
      <c r="HM172" s="449">
        <v>1</v>
      </c>
      <c r="HN172" s="449">
        <v>0</v>
      </c>
      <c r="HO172" s="449">
        <v>0</v>
      </c>
      <c r="HP172" s="449">
        <v>0</v>
      </c>
      <c r="HQ172" s="449">
        <v>15</v>
      </c>
      <c r="HR172" s="449">
        <v>1</v>
      </c>
      <c r="HS172" s="449">
        <v>1</v>
      </c>
      <c r="HT172" s="449">
        <v>0</v>
      </c>
      <c r="HU172" s="449">
        <v>0</v>
      </c>
      <c r="HV172" s="507">
        <v>18</v>
      </c>
      <c r="HW172" s="554">
        <f>+(HV171+HV169)/HV172</f>
        <v>0.22222222222222221</v>
      </c>
      <c r="HX172" s="448">
        <f>+HV169+HV171</f>
        <v>4</v>
      </c>
    </row>
    <row r="173" spans="1:232">
      <c r="A173" s="5682">
        <v>2</v>
      </c>
      <c r="B173" s="5682">
        <v>2</v>
      </c>
      <c r="C173" s="5683" t="s">
        <v>2749</v>
      </c>
      <c r="D173" s="5683" t="s">
        <v>2703</v>
      </c>
      <c r="E173" s="5682">
        <v>1</v>
      </c>
      <c r="F173" s="5682">
        <v>4</v>
      </c>
      <c r="I173" s="4915">
        <v>2</v>
      </c>
      <c r="J173" s="4915">
        <v>2</v>
      </c>
      <c r="K173" s="4916" t="s">
        <v>2340</v>
      </c>
      <c r="L173" s="4916" t="s">
        <v>2731</v>
      </c>
      <c r="M173" s="4915">
        <v>2</v>
      </c>
      <c r="N173" s="4915">
        <v>7</v>
      </c>
      <c r="O173" s="157"/>
      <c r="Q173" s="4705">
        <v>3</v>
      </c>
      <c r="R173" s="4705">
        <v>2</v>
      </c>
      <c r="S173" s="4706" t="s">
        <v>443</v>
      </c>
      <c r="T173" s="4708" t="s">
        <v>2707</v>
      </c>
      <c r="U173" s="4709">
        <v>2</v>
      </c>
      <c r="V173" s="4709">
        <v>6</v>
      </c>
      <c r="W173" s="4722"/>
      <c r="X173" s="4634">
        <v>16</v>
      </c>
      <c r="Y173" s="36"/>
      <c r="Z173" s="36"/>
      <c r="AA173" s="36"/>
      <c r="AB173" s="36" t="s">
        <v>15</v>
      </c>
      <c r="AC173" s="1681">
        <v>2</v>
      </c>
      <c r="AD173" s="1681"/>
      <c r="AE173" s="1681">
        <v>1</v>
      </c>
      <c r="AF173" s="1681"/>
      <c r="AG173" s="1681"/>
      <c r="AH173" s="1681"/>
      <c r="AI173" s="1681">
        <v>14</v>
      </c>
      <c r="AJ173" s="1681"/>
      <c r="AK173" s="1681"/>
      <c r="AL173" s="95"/>
      <c r="AM173" s="95">
        <v>17</v>
      </c>
      <c r="AN173" s="4545">
        <v>0</v>
      </c>
      <c r="AS173" s="3868" t="s">
        <v>1076</v>
      </c>
      <c r="AT173" s="3721"/>
      <c r="AU173" s="3721"/>
      <c r="AV173" s="3721"/>
      <c r="AW173" s="3721"/>
      <c r="AX173" s="3721"/>
      <c r="AY173" s="3721"/>
      <c r="AZ173" s="3721">
        <v>0</v>
      </c>
      <c r="BA173" s="3721">
        <v>1</v>
      </c>
      <c r="BB173" s="3721">
        <v>0</v>
      </c>
      <c r="BC173" s="2110">
        <v>0</v>
      </c>
      <c r="BD173" s="2110">
        <v>0</v>
      </c>
      <c r="BE173" s="2110">
        <v>1</v>
      </c>
      <c r="BF173" s="2110"/>
      <c r="BG173" s="2110"/>
      <c r="BJ173" s="1520"/>
      <c r="BK173" s="1520" t="s">
        <v>1163</v>
      </c>
      <c r="BL173" s="3872"/>
      <c r="BM173" s="3872"/>
      <c r="BN173" s="3872">
        <v>10</v>
      </c>
      <c r="BO173" s="3872"/>
      <c r="BP173" s="3872"/>
      <c r="BQ173" s="3872">
        <v>0</v>
      </c>
      <c r="BR173" s="3872">
        <v>1</v>
      </c>
      <c r="BS173" s="3872">
        <v>0</v>
      </c>
      <c r="BT173" s="3806">
        <v>0</v>
      </c>
      <c r="BU173" s="3806">
        <v>11</v>
      </c>
      <c r="BV173" s="1520"/>
      <c r="BX173" s="36"/>
      <c r="BY173" s="36"/>
      <c r="BZ173" s="36"/>
      <c r="CA173" s="36" t="s">
        <v>1076</v>
      </c>
      <c r="CB173" s="1681"/>
      <c r="CC173" s="1681">
        <v>0</v>
      </c>
      <c r="CD173" s="1681"/>
      <c r="CE173" s="1681"/>
      <c r="CF173" s="1681"/>
      <c r="CG173" s="1681"/>
      <c r="CH173" s="1681">
        <v>5</v>
      </c>
      <c r="CI173" s="1681">
        <v>0</v>
      </c>
      <c r="CJ173" s="95"/>
      <c r="CK173" s="95"/>
      <c r="CL173" s="95">
        <v>5</v>
      </c>
      <c r="CM173" s="36"/>
      <c r="CO173" s="37"/>
      <c r="CP173" s="37"/>
      <c r="CQ173" s="37"/>
      <c r="CR173" s="416" t="s">
        <v>15</v>
      </c>
      <c r="CS173" s="1679"/>
      <c r="CT173" s="1679"/>
      <c r="CU173" s="1679">
        <v>1</v>
      </c>
      <c r="CV173" s="1679"/>
      <c r="CW173" s="1679"/>
      <c r="CX173" s="1679">
        <v>1</v>
      </c>
      <c r="CY173" s="1679">
        <v>4</v>
      </c>
      <c r="CZ173" s="1679">
        <v>1</v>
      </c>
      <c r="DA173" s="1679"/>
      <c r="DB173" s="386"/>
      <c r="DC173" s="386"/>
      <c r="DD173" s="386">
        <v>7</v>
      </c>
      <c r="DE173" s="2045">
        <f>+DD172/DD173</f>
        <v>0.5714285714285714</v>
      </c>
      <c r="DG173" s="95"/>
      <c r="DH173" s="95"/>
      <c r="DI173" s="36"/>
      <c r="DJ173" s="36" t="s">
        <v>1074</v>
      </c>
      <c r="DK173" s="1484"/>
      <c r="DL173" s="1484">
        <v>1</v>
      </c>
      <c r="DM173" s="1484"/>
      <c r="DN173" s="1484"/>
      <c r="DO173" s="1484"/>
      <c r="DP173" s="1484"/>
      <c r="DQ173" s="1484">
        <v>0</v>
      </c>
      <c r="DR173" s="1484">
        <v>0</v>
      </c>
      <c r="DS173" s="1484">
        <v>0</v>
      </c>
      <c r="DT173" s="95"/>
      <c r="DU173" s="95"/>
      <c r="DV173" s="95">
        <v>1</v>
      </c>
      <c r="DW173" s="95"/>
      <c r="DY173" s="1209"/>
      <c r="DZ173" s="1209"/>
      <c r="EA173" s="1210"/>
      <c r="EB173" s="1211" t="s">
        <v>1076</v>
      </c>
      <c r="EC173" s="1212"/>
      <c r="ED173" s="1212"/>
      <c r="EE173" s="1212"/>
      <c r="EF173" s="1212"/>
      <c r="EG173" s="1212"/>
      <c r="EH173" s="1212"/>
      <c r="EI173" s="1213">
        <v>2</v>
      </c>
      <c r="EJ173" s="1213">
        <v>0</v>
      </c>
      <c r="EK173" s="611"/>
      <c r="EL173" s="611"/>
      <c r="EM173" s="612">
        <v>2</v>
      </c>
      <c r="EN173" s="36"/>
      <c r="EP173" s="527"/>
      <c r="EQ173" s="527"/>
      <c r="ER173" s="528"/>
      <c r="ES173" s="529" t="s">
        <v>1077</v>
      </c>
      <c r="ET173" s="531">
        <v>1</v>
      </c>
      <c r="EU173" s="531">
        <v>1</v>
      </c>
      <c r="EV173" s="531">
        <v>1</v>
      </c>
      <c r="EW173" s="531">
        <v>1</v>
      </c>
      <c r="EX173" s="531">
        <v>1</v>
      </c>
      <c r="EY173" s="531">
        <v>0</v>
      </c>
      <c r="EZ173" s="531">
        <v>0</v>
      </c>
      <c r="FA173" s="531">
        <v>0</v>
      </c>
      <c r="FB173" s="532">
        <v>0</v>
      </c>
      <c r="FC173" s="532">
        <v>0</v>
      </c>
      <c r="FD173" s="532">
        <v>5</v>
      </c>
      <c r="FE173" s="95"/>
      <c r="FG173" s="533"/>
      <c r="FH173" s="533"/>
      <c r="FI173" s="533"/>
      <c r="FJ173" s="534" t="s">
        <v>1163</v>
      </c>
      <c r="FK173" s="536">
        <v>0</v>
      </c>
      <c r="FL173" s="536">
        <v>0</v>
      </c>
      <c r="FM173" s="535"/>
      <c r="FN173" s="536">
        <v>4</v>
      </c>
      <c r="FO173" s="535"/>
      <c r="FP173" s="535"/>
      <c r="FQ173" s="535"/>
      <c r="FR173" s="535"/>
      <c r="FS173" s="535"/>
      <c r="FT173" s="537"/>
      <c r="FU173" s="537"/>
      <c r="FV173" s="538">
        <v>4</v>
      </c>
      <c r="FW173" s="539"/>
      <c r="FY173" s="540"/>
      <c r="FZ173" s="540"/>
      <c r="GA173" s="540"/>
      <c r="GB173" s="541" t="s">
        <v>1163</v>
      </c>
      <c r="GC173" s="542"/>
      <c r="GD173" s="542"/>
      <c r="GE173" s="543">
        <v>3</v>
      </c>
      <c r="GF173" s="542"/>
      <c r="GG173" s="543">
        <v>1</v>
      </c>
      <c r="GH173" s="542"/>
      <c r="GI173" s="542"/>
      <c r="GJ173" s="542"/>
      <c r="GK173" s="542"/>
      <c r="GL173" s="542"/>
      <c r="GM173" s="543">
        <v>4</v>
      </c>
      <c r="GN173" s="445"/>
      <c r="GP173" s="63"/>
      <c r="HF173" s="37"/>
      <c r="HG173" s="446"/>
      <c r="HH173" s="446" t="s">
        <v>103</v>
      </c>
      <c r="HI173" s="446" t="s">
        <v>142</v>
      </c>
      <c r="HJ173" s="446" t="s">
        <v>1072</v>
      </c>
      <c r="HK173" s="446">
        <v>0</v>
      </c>
      <c r="HL173" s="446">
        <v>0</v>
      </c>
      <c r="HM173" s="446">
        <v>0</v>
      </c>
      <c r="HN173" s="446">
        <v>0</v>
      </c>
      <c r="HO173" s="446">
        <v>0</v>
      </c>
      <c r="HP173" s="446">
        <v>0</v>
      </c>
      <c r="HQ173" s="446">
        <v>3</v>
      </c>
      <c r="HR173" s="446">
        <v>0</v>
      </c>
      <c r="HS173" s="446">
        <v>0</v>
      </c>
      <c r="HT173" s="446">
        <v>0</v>
      </c>
      <c r="HU173" s="446">
        <v>0</v>
      </c>
      <c r="HV173" s="447">
        <v>3</v>
      </c>
      <c r="HW173" s="544"/>
      <c r="HX173" s="448"/>
    </row>
    <row r="174" spans="1:232">
      <c r="A174" s="5682">
        <v>2</v>
      </c>
      <c r="B174" s="5682">
        <v>2</v>
      </c>
      <c r="C174" s="5683" t="s">
        <v>2749</v>
      </c>
      <c r="D174" s="5683" t="s">
        <v>2705</v>
      </c>
      <c r="E174" s="5682">
        <v>1</v>
      </c>
      <c r="F174" s="5682">
        <v>1</v>
      </c>
      <c r="I174" s="4915">
        <v>2</v>
      </c>
      <c r="J174" s="4915">
        <v>2</v>
      </c>
      <c r="K174" s="4916" t="s">
        <v>2340</v>
      </c>
      <c r="L174" s="4917" t="s">
        <v>2707</v>
      </c>
      <c r="M174" s="4922">
        <v>3</v>
      </c>
      <c r="N174" s="4915">
        <v>6</v>
      </c>
      <c r="O174" s="157"/>
      <c r="Q174" s="4705">
        <v>3</v>
      </c>
      <c r="R174" s="4705">
        <v>2</v>
      </c>
      <c r="S174" s="4706" t="s">
        <v>443</v>
      </c>
      <c r="T174" s="4708" t="s">
        <v>1076</v>
      </c>
      <c r="U174" s="4709">
        <v>1</v>
      </c>
      <c r="V174" s="4709">
        <v>6</v>
      </c>
      <c r="W174" s="4722"/>
      <c r="X174" s="4634">
        <v>9</v>
      </c>
      <c r="Y174" s="36"/>
      <c r="Z174" s="36"/>
      <c r="AA174" s="36" t="s">
        <v>136</v>
      </c>
      <c r="AB174" s="36" t="s">
        <v>1072</v>
      </c>
      <c r="AC174" s="1681">
        <v>0</v>
      </c>
      <c r="AD174" s="1681">
        <v>1</v>
      </c>
      <c r="AE174" s="1681"/>
      <c r="AF174" s="1681"/>
      <c r="AG174" s="1681"/>
      <c r="AH174" s="1681"/>
      <c r="AI174" s="1681">
        <v>12</v>
      </c>
      <c r="AJ174" s="1681"/>
      <c r="AK174" s="1681"/>
      <c r="AL174" s="95"/>
      <c r="AM174" s="95">
        <v>13</v>
      </c>
      <c r="AN174" s="4545"/>
      <c r="AS174" s="3868" t="s">
        <v>1080</v>
      </c>
      <c r="AT174" s="3721"/>
      <c r="AU174" s="3721"/>
      <c r="AV174" s="3721"/>
      <c r="AW174" s="3721"/>
      <c r="AX174" s="3721"/>
      <c r="AY174" s="3721"/>
      <c r="AZ174" s="3721">
        <v>0</v>
      </c>
      <c r="BA174" s="3721">
        <v>0</v>
      </c>
      <c r="BB174" s="3721">
        <v>0</v>
      </c>
      <c r="BC174" s="2110">
        <v>1</v>
      </c>
      <c r="BD174" s="2110">
        <v>1</v>
      </c>
      <c r="BE174" s="2110">
        <v>2</v>
      </c>
      <c r="BF174" s="2110"/>
      <c r="BG174" s="2110"/>
      <c r="BJ174" s="1520"/>
      <c r="BK174" s="1520" t="s">
        <v>483</v>
      </c>
      <c r="BL174" s="3872"/>
      <c r="BM174" s="3872"/>
      <c r="BN174" s="3872">
        <v>13</v>
      </c>
      <c r="BO174" s="3872"/>
      <c r="BP174" s="3872"/>
      <c r="BQ174" s="3872">
        <v>30</v>
      </c>
      <c r="BR174" s="3872">
        <v>13</v>
      </c>
      <c r="BS174" s="3872">
        <v>1</v>
      </c>
      <c r="BT174" s="3806">
        <v>8</v>
      </c>
      <c r="BU174" s="3806">
        <v>65</v>
      </c>
      <c r="BV174" s="3807">
        <f>+(BU170+BU173)/BU174</f>
        <v>0.61538461538461542</v>
      </c>
      <c r="BX174" s="36"/>
      <c r="BY174" s="36"/>
      <c r="BZ174" s="36"/>
      <c r="CA174" s="36" t="s">
        <v>1080</v>
      </c>
      <c r="CB174" s="1681"/>
      <c r="CC174" s="1681">
        <v>0</v>
      </c>
      <c r="CD174" s="1681"/>
      <c r="CE174" s="1681"/>
      <c r="CF174" s="1681"/>
      <c r="CG174" s="1681"/>
      <c r="CH174" s="1681">
        <v>0</v>
      </c>
      <c r="CI174" s="1681">
        <v>7</v>
      </c>
      <c r="CJ174" s="95"/>
      <c r="CK174" s="95"/>
      <c r="CL174" s="95">
        <v>7</v>
      </c>
      <c r="CM174" s="36"/>
      <c r="CO174" s="37"/>
      <c r="CP174" s="37"/>
      <c r="CQ174" s="37" t="s">
        <v>483</v>
      </c>
      <c r="CR174" s="37" t="s">
        <v>1072</v>
      </c>
      <c r="CS174" s="1678"/>
      <c r="CT174" s="1678">
        <v>0</v>
      </c>
      <c r="CU174" s="1678">
        <v>0</v>
      </c>
      <c r="CV174" s="1678">
        <v>0</v>
      </c>
      <c r="CW174" s="1678">
        <v>0</v>
      </c>
      <c r="CX174" s="1678">
        <v>0</v>
      </c>
      <c r="CY174" s="1678">
        <v>1</v>
      </c>
      <c r="CZ174" s="1678">
        <v>2</v>
      </c>
      <c r="DA174" s="1678">
        <v>0</v>
      </c>
      <c r="DB174" s="63"/>
      <c r="DC174" s="63"/>
      <c r="DD174" s="63">
        <v>3</v>
      </c>
      <c r="DG174" s="95"/>
      <c r="DH174" s="95"/>
      <c r="DI174" s="36"/>
      <c r="DJ174" s="36" t="s">
        <v>1076</v>
      </c>
      <c r="DK174" s="1484"/>
      <c r="DL174" s="1484">
        <v>0</v>
      </c>
      <c r="DM174" s="1484"/>
      <c r="DN174" s="1484"/>
      <c r="DO174" s="1484"/>
      <c r="DP174" s="1484"/>
      <c r="DQ174" s="1484">
        <v>0</v>
      </c>
      <c r="DR174" s="1484">
        <v>1</v>
      </c>
      <c r="DS174" s="1484">
        <v>0</v>
      </c>
      <c r="DT174" s="95"/>
      <c r="DU174" s="95"/>
      <c r="DV174" s="95">
        <v>1</v>
      </c>
      <c r="DW174" s="95"/>
      <c r="DY174" s="1209"/>
      <c r="DZ174" s="1209"/>
      <c r="EA174" s="1210"/>
      <c r="EB174" s="1211" t="s">
        <v>1080</v>
      </c>
      <c r="EC174" s="1212"/>
      <c r="ED174" s="1212"/>
      <c r="EE174" s="1212"/>
      <c r="EF174" s="1212"/>
      <c r="EG174" s="1212"/>
      <c r="EH174" s="1212"/>
      <c r="EI174" s="1213">
        <v>0</v>
      </c>
      <c r="EJ174" s="1213">
        <v>6</v>
      </c>
      <c r="EK174" s="611"/>
      <c r="EL174" s="611"/>
      <c r="EM174" s="612">
        <v>6</v>
      </c>
      <c r="EN174" s="36"/>
      <c r="EP174" s="527"/>
      <c r="EQ174" s="527"/>
      <c r="ER174" s="528"/>
      <c r="ES174" s="529" t="s">
        <v>1080</v>
      </c>
      <c r="ET174" s="531">
        <v>0</v>
      </c>
      <c r="EU174" s="531">
        <v>0</v>
      </c>
      <c r="EV174" s="531">
        <v>0</v>
      </c>
      <c r="EW174" s="531">
        <v>0</v>
      </c>
      <c r="EX174" s="531">
        <v>0</v>
      </c>
      <c r="EY174" s="531">
        <v>0</v>
      </c>
      <c r="EZ174" s="531">
        <v>1</v>
      </c>
      <c r="FA174" s="531">
        <v>69</v>
      </c>
      <c r="FB174" s="532">
        <v>2</v>
      </c>
      <c r="FC174" s="532">
        <v>3</v>
      </c>
      <c r="FD174" s="532">
        <v>75</v>
      </c>
      <c r="FE174" s="95"/>
      <c r="FG174" s="533"/>
      <c r="FH174" s="533"/>
      <c r="FI174" s="533"/>
      <c r="FJ174" s="545" t="s">
        <v>15</v>
      </c>
      <c r="FK174" s="547">
        <v>1</v>
      </c>
      <c r="FL174" s="547">
        <v>1</v>
      </c>
      <c r="FM174" s="546"/>
      <c r="FN174" s="547">
        <v>14</v>
      </c>
      <c r="FO174" s="546"/>
      <c r="FP174" s="546"/>
      <c r="FQ174" s="546"/>
      <c r="FR174" s="546"/>
      <c r="FS174" s="546"/>
      <c r="FT174" s="548"/>
      <c r="FU174" s="548"/>
      <c r="FV174" s="549">
        <v>16</v>
      </c>
      <c r="FW174" s="539">
        <f>+(FV173+FV172+FV171)/FV174</f>
        <v>0.625</v>
      </c>
      <c r="FY174" s="540"/>
      <c r="FZ174" s="540"/>
      <c r="GA174" s="540"/>
      <c r="GB174" s="550" t="s">
        <v>15</v>
      </c>
      <c r="GC174" s="551"/>
      <c r="GD174" s="551"/>
      <c r="GE174" s="552">
        <v>5</v>
      </c>
      <c r="GF174" s="551"/>
      <c r="GG174" s="552">
        <v>1</v>
      </c>
      <c r="GH174" s="551"/>
      <c r="GI174" s="551"/>
      <c r="GJ174" s="551"/>
      <c r="GK174" s="551"/>
      <c r="GL174" s="551"/>
      <c r="GM174" s="552">
        <v>6</v>
      </c>
      <c r="GN174" s="553">
        <f>+GM173/GM174</f>
        <v>0.66666666666666663</v>
      </c>
      <c r="GP174" s="63"/>
      <c r="HF174" s="37"/>
      <c r="HG174" s="446"/>
      <c r="HH174" s="446"/>
      <c r="HI174" s="446"/>
      <c r="HJ174" s="446" t="s">
        <v>1076</v>
      </c>
      <c r="HK174" s="446">
        <v>0</v>
      </c>
      <c r="HL174" s="446">
        <v>0</v>
      </c>
      <c r="HM174" s="446">
        <v>0</v>
      </c>
      <c r="HN174" s="446">
        <v>0</v>
      </c>
      <c r="HO174" s="446">
        <v>0</v>
      </c>
      <c r="HP174" s="446">
        <v>0</v>
      </c>
      <c r="HQ174" s="446">
        <v>4</v>
      </c>
      <c r="HR174" s="446">
        <v>0</v>
      </c>
      <c r="HS174" s="446">
        <v>0</v>
      </c>
      <c r="HT174" s="446">
        <v>0</v>
      </c>
      <c r="HU174" s="446">
        <v>0</v>
      </c>
      <c r="HV174" s="447">
        <v>4</v>
      </c>
      <c r="HW174" s="544"/>
      <c r="HX174" s="448"/>
    </row>
    <row r="175" spans="1:232">
      <c r="A175" s="5682">
        <v>2</v>
      </c>
      <c r="B175" s="5682">
        <v>2</v>
      </c>
      <c r="C175" s="5683" t="s">
        <v>2749</v>
      </c>
      <c r="D175" s="5685" t="s">
        <v>1076</v>
      </c>
      <c r="E175" s="5682">
        <v>6</v>
      </c>
      <c r="F175" s="5682">
        <v>7</v>
      </c>
      <c r="I175" s="4915">
        <v>2</v>
      </c>
      <c r="J175" s="4915">
        <v>2</v>
      </c>
      <c r="K175" s="4916" t="s">
        <v>2340</v>
      </c>
      <c r="L175" s="4917" t="s">
        <v>1076</v>
      </c>
      <c r="M175" s="4922">
        <v>3</v>
      </c>
      <c r="N175" s="4915">
        <v>6</v>
      </c>
      <c r="O175" s="157"/>
      <c r="Q175" s="4705">
        <v>3</v>
      </c>
      <c r="R175" s="4705">
        <v>2</v>
      </c>
      <c r="S175" s="4706" t="s">
        <v>443</v>
      </c>
      <c r="T175" s="4706" t="s">
        <v>2709</v>
      </c>
      <c r="U175" s="4707">
        <v>1</v>
      </c>
      <c r="V175" s="4707">
        <v>1</v>
      </c>
      <c r="W175" s="4722"/>
      <c r="X175" s="4634"/>
      <c r="Y175" s="36"/>
      <c r="Z175" s="36"/>
      <c r="AA175" s="36"/>
      <c r="AB175" s="36" t="s">
        <v>2571</v>
      </c>
      <c r="AC175" s="1681">
        <v>3</v>
      </c>
      <c r="AD175" s="1681">
        <v>0</v>
      </c>
      <c r="AE175" s="1681"/>
      <c r="AF175" s="1681"/>
      <c r="AG175" s="1681"/>
      <c r="AH175" s="1681"/>
      <c r="AI175" s="1681">
        <v>0</v>
      </c>
      <c r="AJ175" s="1681"/>
      <c r="AK175" s="1681"/>
      <c r="AL175" s="95"/>
      <c r="AM175" s="95">
        <v>3</v>
      </c>
      <c r="AN175" s="4545"/>
      <c r="AS175" s="3868" t="s">
        <v>1163</v>
      </c>
      <c r="AT175" s="3721"/>
      <c r="AU175" s="3721"/>
      <c r="AV175" s="3721"/>
      <c r="AW175" s="3721"/>
      <c r="AX175" s="3721"/>
      <c r="AY175" s="3721"/>
      <c r="AZ175" s="3721">
        <v>0</v>
      </c>
      <c r="BA175" s="3721">
        <v>1</v>
      </c>
      <c r="BB175" s="3721">
        <v>1</v>
      </c>
      <c r="BC175" s="2110">
        <v>0</v>
      </c>
      <c r="BD175" s="2110">
        <v>0</v>
      </c>
      <c r="BE175" s="2110">
        <v>2</v>
      </c>
      <c r="BF175" s="2110"/>
      <c r="BG175" s="2110"/>
      <c r="BI175" s="32" t="s">
        <v>41</v>
      </c>
      <c r="BJ175" s="32" t="s">
        <v>413</v>
      </c>
      <c r="BK175" s="32" t="s">
        <v>1076</v>
      </c>
      <c r="BL175" s="3871"/>
      <c r="BM175" s="3871"/>
      <c r="BN175" s="3871"/>
      <c r="BO175" s="3871"/>
      <c r="BP175" s="3871"/>
      <c r="BQ175" s="3871">
        <v>1</v>
      </c>
      <c r="BR175" s="3871">
        <v>1</v>
      </c>
      <c r="BS175" s="3871"/>
      <c r="BT175" s="1518"/>
      <c r="BU175" s="1518">
        <v>2</v>
      </c>
      <c r="BX175" s="36"/>
      <c r="BY175" s="36"/>
      <c r="BZ175" s="36"/>
      <c r="CA175" s="36" t="s">
        <v>1163</v>
      </c>
      <c r="CB175" s="1681"/>
      <c r="CC175" s="1681">
        <v>0</v>
      </c>
      <c r="CD175" s="1681"/>
      <c r="CE175" s="1681"/>
      <c r="CF175" s="1681"/>
      <c r="CG175" s="1681"/>
      <c r="CH175" s="1681">
        <v>2</v>
      </c>
      <c r="CI175" s="1681">
        <v>0</v>
      </c>
      <c r="CJ175" s="95"/>
      <c r="CK175" s="95"/>
      <c r="CL175" s="95">
        <v>2</v>
      </c>
      <c r="CM175" s="36"/>
      <c r="CO175" s="37"/>
      <c r="CP175" s="37"/>
      <c r="CQ175" s="37"/>
      <c r="CR175" s="37" t="s">
        <v>1076</v>
      </c>
      <c r="CS175" s="1678"/>
      <c r="CT175" s="1678">
        <v>0</v>
      </c>
      <c r="CU175" s="1678">
        <v>0</v>
      </c>
      <c r="CV175" s="1678">
        <v>0</v>
      </c>
      <c r="CW175" s="1678">
        <v>2</v>
      </c>
      <c r="CX175" s="1678">
        <v>0</v>
      </c>
      <c r="CY175" s="1678">
        <v>18</v>
      </c>
      <c r="CZ175" s="1678">
        <v>5</v>
      </c>
      <c r="DA175" s="1678">
        <v>0</v>
      </c>
      <c r="DB175" s="63"/>
      <c r="DC175" s="63"/>
      <c r="DD175" s="63">
        <v>25</v>
      </c>
      <c r="DG175" s="95"/>
      <c r="DH175" s="95"/>
      <c r="DI175" s="36"/>
      <c r="DJ175" s="36" t="s">
        <v>1080</v>
      </c>
      <c r="DK175" s="1484"/>
      <c r="DL175" s="1484">
        <v>0</v>
      </c>
      <c r="DM175" s="1484"/>
      <c r="DN175" s="1484"/>
      <c r="DO175" s="1484"/>
      <c r="DP175" s="1484"/>
      <c r="DQ175" s="1484">
        <v>0</v>
      </c>
      <c r="DR175" s="1484">
        <v>0</v>
      </c>
      <c r="DS175" s="1484">
        <v>5</v>
      </c>
      <c r="DT175" s="95"/>
      <c r="DU175" s="95"/>
      <c r="DV175" s="95">
        <v>5</v>
      </c>
      <c r="DW175" s="95"/>
      <c r="DY175" s="1209"/>
      <c r="DZ175" s="1209"/>
      <c r="EA175" s="1210"/>
      <c r="EB175" s="415" t="s">
        <v>15</v>
      </c>
      <c r="EC175" s="1214"/>
      <c r="ED175" s="1214"/>
      <c r="EE175" s="1214"/>
      <c r="EF175" s="1214"/>
      <c r="EG175" s="1214"/>
      <c r="EH175" s="1214"/>
      <c r="EI175" s="1215">
        <v>4</v>
      </c>
      <c r="EJ175" s="1215">
        <v>6</v>
      </c>
      <c r="EK175" s="620"/>
      <c r="EL175" s="620"/>
      <c r="EM175" s="621">
        <v>10</v>
      </c>
      <c r="EN175" s="1178">
        <f>+EM173/EM175</f>
        <v>0.2</v>
      </c>
      <c r="EP175" s="527"/>
      <c r="EQ175" s="527"/>
      <c r="ER175" s="528"/>
      <c r="ES175" s="529" t="s">
        <v>1163</v>
      </c>
      <c r="ET175" s="531">
        <v>0</v>
      </c>
      <c r="EU175" s="531">
        <v>0</v>
      </c>
      <c r="EV175" s="531">
        <v>0</v>
      </c>
      <c r="EW175" s="531">
        <v>0</v>
      </c>
      <c r="EX175" s="531">
        <v>0</v>
      </c>
      <c r="EY175" s="531">
        <v>24</v>
      </c>
      <c r="EZ175" s="531">
        <v>20</v>
      </c>
      <c r="FA175" s="531">
        <v>4</v>
      </c>
      <c r="FB175" s="532">
        <v>0</v>
      </c>
      <c r="FC175" s="532">
        <v>0</v>
      </c>
      <c r="FD175" s="532">
        <v>48</v>
      </c>
      <c r="FE175" s="95"/>
      <c r="FG175" s="533"/>
      <c r="FH175" s="533"/>
      <c r="FI175" s="545" t="s">
        <v>483</v>
      </c>
      <c r="FJ175" s="534" t="s">
        <v>1072</v>
      </c>
      <c r="FK175" s="536">
        <v>1</v>
      </c>
      <c r="FL175" s="536">
        <v>1</v>
      </c>
      <c r="FM175" s="535"/>
      <c r="FN175" s="536">
        <v>4</v>
      </c>
      <c r="FO175" s="535"/>
      <c r="FP175" s="535"/>
      <c r="FQ175" s="535"/>
      <c r="FR175" s="535"/>
      <c r="FS175" s="535"/>
      <c r="FT175" s="537"/>
      <c r="FU175" s="537"/>
      <c r="FV175" s="538">
        <v>6</v>
      </c>
      <c r="FW175" s="539"/>
      <c r="FY175" s="540"/>
      <c r="FZ175" s="540" t="s">
        <v>103</v>
      </c>
      <c r="GA175" s="540" t="s">
        <v>142</v>
      </c>
      <c r="GB175" s="541" t="s">
        <v>1072</v>
      </c>
      <c r="GC175" s="542"/>
      <c r="GD175" s="542"/>
      <c r="GE175" s="542"/>
      <c r="GF175" s="542"/>
      <c r="GG175" s="543">
        <v>2</v>
      </c>
      <c r="GH175" s="543">
        <v>1</v>
      </c>
      <c r="GI175" s="542"/>
      <c r="GJ175" s="542"/>
      <c r="GK175" s="542"/>
      <c r="GL175" s="542"/>
      <c r="GM175" s="543">
        <v>3</v>
      </c>
      <c r="GN175" s="445"/>
      <c r="GP175" s="63"/>
      <c r="HF175" s="37"/>
      <c r="HG175" s="446"/>
      <c r="HH175" s="446"/>
      <c r="HI175" s="446"/>
      <c r="HJ175" s="446" t="s">
        <v>1080</v>
      </c>
      <c r="HK175" s="446">
        <v>0</v>
      </c>
      <c r="HL175" s="446">
        <v>0</v>
      </c>
      <c r="HM175" s="446">
        <v>0</v>
      </c>
      <c r="HN175" s="446">
        <v>0</v>
      </c>
      <c r="HO175" s="446">
        <v>0</v>
      </c>
      <c r="HP175" s="446">
        <v>1</v>
      </c>
      <c r="HQ175" s="446">
        <v>0</v>
      </c>
      <c r="HR175" s="446">
        <v>0</v>
      </c>
      <c r="HS175" s="446">
        <v>0</v>
      </c>
      <c r="HT175" s="446">
        <v>0</v>
      </c>
      <c r="HU175" s="446">
        <v>0</v>
      </c>
      <c r="HV175" s="447">
        <v>1</v>
      </c>
      <c r="HW175" s="544"/>
      <c r="HX175" s="448"/>
    </row>
    <row r="176" spans="1:232">
      <c r="A176" s="5682">
        <v>2</v>
      </c>
      <c r="B176" s="5682">
        <v>2</v>
      </c>
      <c r="C176" s="5683" t="s">
        <v>2749</v>
      </c>
      <c r="D176" s="5683" t="s">
        <v>2709</v>
      </c>
      <c r="E176" s="5682">
        <v>1</v>
      </c>
      <c r="F176" s="5682">
        <v>5</v>
      </c>
      <c r="I176" s="4915">
        <v>2</v>
      </c>
      <c r="J176" s="4915">
        <v>2</v>
      </c>
      <c r="K176" s="4916" t="s">
        <v>2340</v>
      </c>
      <c r="L176" s="4917" t="s">
        <v>1076</v>
      </c>
      <c r="M176" s="4922">
        <v>1</v>
      </c>
      <c r="N176" s="4915">
        <v>7</v>
      </c>
      <c r="O176" s="157"/>
      <c r="Q176" s="4705">
        <v>3</v>
      </c>
      <c r="R176" s="4705">
        <v>2</v>
      </c>
      <c r="S176" s="4706" t="s">
        <v>443</v>
      </c>
      <c r="T176" s="4706" t="s">
        <v>2709</v>
      </c>
      <c r="U176" s="4707">
        <v>9</v>
      </c>
      <c r="V176" s="4707">
        <v>6</v>
      </c>
      <c r="W176" s="4722"/>
      <c r="X176" s="4634"/>
      <c r="Y176" s="36"/>
      <c r="Z176" s="36"/>
      <c r="AA176" s="36"/>
      <c r="AB176" s="36" t="s">
        <v>15</v>
      </c>
      <c r="AC176" s="1681">
        <v>3</v>
      </c>
      <c r="AD176" s="1681">
        <v>1</v>
      </c>
      <c r="AE176" s="1681"/>
      <c r="AF176" s="1681"/>
      <c r="AG176" s="1681"/>
      <c r="AH176" s="1681"/>
      <c r="AI176" s="1681">
        <v>12</v>
      </c>
      <c r="AJ176" s="1681"/>
      <c r="AK176" s="1681"/>
      <c r="AL176" s="95"/>
      <c r="AM176" s="95">
        <v>16</v>
      </c>
      <c r="AN176" s="4545">
        <v>0</v>
      </c>
      <c r="AS176" s="27" t="s">
        <v>15</v>
      </c>
      <c r="AT176" s="3722"/>
      <c r="AU176" s="3722"/>
      <c r="AV176" s="3722"/>
      <c r="AW176" s="3722"/>
      <c r="AX176" s="3722"/>
      <c r="AY176" s="3722"/>
      <c r="AZ176" s="3722">
        <v>2</v>
      </c>
      <c r="BA176" s="3722">
        <v>6</v>
      </c>
      <c r="BB176" s="3722">
        <v>1</v>
      </c>
      <c r="BC176" s="3701">
        <v>7</v>
      </c>
      <c r="BD176" s="3701">
        <v>1</v>
      </c>
      <c r="BE176" s="3701">
        <v>17</v>
      </c>
      <c r="BF176" s="1665">
        <f>+(BE173+BE175)/BE176</f>
        <v>0.17647058823529413</v>
      </c>
      <c r="BG176" s="1665"/>
      <c r="BK176" s="32" t="s">
        <v>1080</v>
      </c>
      <c r="BL176" s="3871"/>
      <c r="BM176" s="3871"/>
      <c r="BN176" s="3871"/>
      <c r="BO176" s="3871"/>
      <c r="BP176" s="3871"/>
      <c r="BQ176" s="3871">
        <v>0</v>
      </c>
      <c r="BR176" s="3871">
        <v>13</v>
      </c>
      <c r="BS176" s="3871"/>
      <c r="BT176" s="1518"/>
      <c r="BU176" s="1518">
        <v>13</v>
      </c>
      <c r="BX176" s="36"/>
      <c r="BY176" s="36"/>
      <c r="BZ176" s="36"/>
      <c r="CA176" s="393" t="s">
        <v>15</v>
      </c>
      <c r="CB176" s="1682"/>
      <c r="CC176" s="1682">
        <v>1</v>
      </c>
      <c r="CD176" s="1682"/>
      <c r="CE176" s="1682"/>
      <c r="CF176" s="1682"/>
      <c r="CG176" s="1682"/>
      <c r="CH176" s="1682">
        <v>7</v>
      </c>
      <c r="CI176" s="1682">
        <v>7</v>
      </c>
      <c r="CJ176" s="2041"/>
      <c r="CK176" s="2041"/>
      <c r="CL176" s="2041">
        <v>15</v>
      </c>
      <c r="CM176" s="560">
        <f>+(CL175+CL173)/CL176</f>
        <v>0.46666666666666667</v>
      </c>
      <c r="CN176" s="1665"/>
      <c r="CO176" s="37"/>
      <c r="CP176" s="37"/>
      <c r="CQ176" s="37"/>
      <c r="CR176" s="37" t="s">
        <v>1077</v>
      </c>
      <c r="CS176" s="1678"/>
      <c r="CT176" s="1678">
        <v>1</v>
      </c>
      <c r="CU176" s="1678">
        <v>3</v>
      </c>
      <c r="CV176" s="1678">
        <v>0</v>
      </c>
      <c r="CW176" s="1678">
        <v>1</v>
      </c>
      <c r="CX176" s="1678">
        <v>1</v>
      </c>
      <c r="CY176" s="1678">
        <v>0</v>
      </c>
      <c r="CZ176" s="1678">
        <v>0</v>
      </c>
      <c r="DA176" s="1678">
        <v>0</v>
      </c>
      <c r="DB176" s="63"/>
      <c r="DC176" s="63"/>
      <c r="DD176" s="63">
        <v>6</v>
      </c>
      <c r="DG176" s="95"/>
      <c r="DH176" s="95"/>
      <c r="DI176" s="36"/>
      <c r="DJ176" s="36" t="s">
        <v>1163</v>
      </c>
      <c r="DK176" s="1484"/>
      <c r="DL176" s="1484">
        <v>0</v>
      </c>
      <c r="DM176" s="1484"/>
      <c r="DN176" s="1484"/>
      <c r="DO176" s="1484"/>
      <c r="DP176" s="1484"/>
      <c r="DQ176" s="1484">
        <v>8</v>
      </c>
      <c r="DR176" s="1484">
        <v>2</v>
      </c>
      <c r="DS176" s="1484">
        <v>0</v>
      </c>
      <c r="DT176" s="95"/>
      <c r="DU176" s="95"/>
      <c r="DV176" s="95">
        <v>10</v>
      </c>
      <c r="DW176" s="95"/>
      <c r="DY176" s="1209"/>
      <c r="DZ176" s="1209"/>
      <c r="EA176" s="1210" t="s">
        <v>128</v>
      </c>
      <c r="EB176" s="1211" t="s">
        <v>1071</v>
      </c>
      <c r="EC176" s="1213">
        <v>0</v>
      </c>
      <c r="ED176" s="1212"/>
      <c r="EE176" s="1212"/>
      <c r="EF176" s="1212"/>
      <c r="EG176" s="1212"/>
      <c r="EH176" s="1213">
        <v>0</v>
      </c>
      <c r="EI176" s="1213">
        <v>1</v>
      </c>
      <c r="EJ176" s="1213">
        <v>1</v>
      </c>
      <c r="EK176" s="611"/>
      <c r="EL176" s="611"/>
      <c r="EM176" s="612">
        <v>2</v>
      </c>
      <c r="EN176" s="36"/>
      <c r="EP176" s="527"/>
      <c r="EQ176" s="527"/>
      <c r="ER176" s="528"/>
      <c r="ES176" s="555" t="s">
        <v>109</v>
      </c>
      <c r="ET176" s="557">
        <v>10</v>
      </c>
      <c r="EU176" s="557">
        <v>6</v>
      </c>
      <c r="EV176" s="557">
        <v>2</v>
      </c>
      <c r="EW176" s="557">
        <v>1</v>
      </c>
      <c r="EX176" s="557">
        <v>1</v>
      </c>
      <c r="EY176" s="557">
        <v>41</v>
      </c>
      <c r="EZ176" s="557">
        <v>94</v>
      </c>
      <c r="FA176" s="557">
        <v>103</v>
      </c>
      <c r="FB176" s="559">
        <v>13</v>
      </c>
      <c r="FC176" s="559">
        <v>10</v>
      </c>
      <c r="FD176" s="559">
        <v>281</v>
      </c>
      <c r="FE176" s="560">
        <f>+(FD172+FD175)/FD176</f>
        <v>0.44483985765124556</v>
      </c>
      <c r="FG176" s="533"/>
      <c r="FH176" s="533"/>
      <c r="FI176" s="533"/>
      <c r="FJ176" s="534" t="s">
        <v>1076</v>
      </c>
      <c r="FK176" s="536">
        <v>0</v>
      </c>
      <c r="FL176" s="536">
        <v>0</v>
      </c>
      <c r="FM176" s="535"/>
      <c r="FN176" s="536">
        <v>4</v>
      </c>
      <c r="FO176" s="535"/>
      <c r="FP176" s="535"/>
      <c r="FQ176" s="535"/>
      <c r="FR176" s="535"/>
      <c r="FS176" s="535"/>
      <c r="FT176" s="537"/>
      <c r="FU176" s="537"/>
      <c r="FV176" s="538">
        <v>4</v>
      </c>
      <c r="FW176" s="539"/>
      <c r="FY176" s="540"/>
      <c r="FZ176" s="540"/>
      <c r="GA176" s="540"/>
      <c r="GB176" s="541" t="s">
        <v>1076</v>
      </c>
      <c r="GC176" s="542"/>
      <c r="GD176" s="542"/>
      <c r="GE176" s="542"/>
      <c r="GF176" s="542"/>
      <c r="GG176" s="543">
        <v>0</v>
      </c>
      <c r="GH176" s="543">
        <v>6</v>
      </c>
      <c r="GI176" s="542"/>
      <c r="GJ176" s="542"/>
      <c r="GK176" s="542"/>
      <c r="GL176" s="542"/>
      <c r="GM176" s="543">
        <v>6</v>
      </c>
      <c r="GN176" s="445"/>
      <c r="GP176" s="63"/>
      <c r="HF176" s="37"/>
      <c r="HG176" s="446"/>
      <c r="HH176" s="446"/>
      <c r="HI176" s="446"/>
      <c r="HJ176" s="446" t="s">
        <v>1081</v>
      </c>
      <c r="HK176" s="446">
        <v>0</v>
      </c>
      <c r="HL176" s="446">
        <v>0</v>
      </c>
      <c r="HM176" s="446">
        <v>0</v>
      </c>
      <c r="HN176" s="446">
        <v>0</v>
      </c>
      <c r="HO176" s="446">
        <v>0</v>
      </c>
      <c r="HP176" s="446">
        <v>0</v>
      </c>
      <c r="HQ176" s="446">
        <v>5</v>
      </c>
      <c r="HR176" s="446">
        <v>0</v>
      </c>
      <c r="HS176" s="446">
        <v>0</v>
      </c>
      <c r="HT176" s="446">
        <v>0</v>
      </c>
      <c r="HU176" s="446">
        <v>0</v>
      </c>
      <c r="HV176" s="447">
        <v>5</v>
      </c>
      <c r="HW176" s="544"/>
      <c r="HX176" s="448"/>
    </row>
    <row r="177" spans="1:232">
      <c r="A177" s="5682">
        <v>2</v>
      </c>
      <c r="B177" s="5682">
        <v>2</v>
      </c>
      <c r="C177" s="5683" t="s">
        <v>2749</v>
      </c>
      <c r="D177" s="5683" t="s">
        <v>2709</v>
      </c>
      <c r="E177" s="5682">
        <v>2</v>
      </c>
      <c r="F177" s="5682">
        <v>6</v>
      </c>
      <c r="I177" s="4915">
        <v>2</v>
      </c>
      <c r="J177" s="4915">
        <v>2</v>
      </c>
      <c r="K177" s="4916" t="s">
        <v>2340</v>
      </c>
      <c r="L177" s="4916" t="s">
        <v>2709</v>
      </c>
      <c r="M177" s="4915">
        <v>3</v>
      </c>
      <c r="N177" s="4915">
        <v>6</v>
      </c>
      <c r="O177" s="157"/>
      <c r="Q177" s="4705"/>
      <c r="R177" s="4705"/>
      <c r="S177" s="4706"/>
      <c r="T177" s="4706"/>
      <c r="U177" s="4741">
        <f>SUM(U173:U176)</f>
        <v>13</v>
      </c>
      <c r="V177" s="4741"/>
      <c r="W177" s="4722">
        <f>(U173+U174)/(U177)</f>
        <v>0.23076923076923078</v>
      </c>
      <c r="X177" s="4634"/>
      <c r="Y177" s="36"/>
      <c r="Z177" s="36"/>
      <c r="AA177" s="36" t="s">
        <v>127</v>
      </c>
      <c r="AB177" s="36" t="s">
        <v>1071</v>
      </c>
      <c r="AC177" s="1681"/>
      <c r="AD177" s="1681"/>
      <c r="AE177" s="1681"/>
      <c r="AF177" s="1681"/>
      <c r="AG177" s="1681"/>
      <c r="AH177" s="1681"/>
      <c r="AI177" s="1681">
        <v>0</v>
      </c>
      <c r="AJ177" s="1681"/>
      <c r="AK177" s="1681"/>
      <c r="AL177" s="95">
        <v>6</v>
      </c>
      <c r="AM177" s="95">
        <v>6</v>
      </c>
      <c r="AN177" s="4545"/>
      <c r="AR177" s="3868" t="s">
        <v>2549</v>
      </c>
      <c r="AS177" s="3868" t="s">
        <v>1076</v>
      </c>
      <c r="AT177" s="3721"/>
      <c r="AU177" s="3721"/>
      <c r="AV177" s="3721"/>
      <c r="AW177" s="3721"/>
      <c r="AX177" s="3721"/>
      <c r="AY177" s="3721"/>
      <c r="AZ177" s="3721">
        <v>0</v>
      </c>
      <c r="BA177" s="3721">
        <v>1</v>
      </c>
      <c r="BB177" s="3721"/>
      <c r="BC177" s="2110"/>
      <c r="BD177" s="2110"/>
      <c r="BE177" s="2110">
        <v>1</v>
      </c>
      <c r="BF177" s="2110"/>
      <c r="BG177" s="2110"/>
      <c r="BK177" s="1520" t="s">
        <v>15</v>
      </c>
      <c r="BL177" s="3872"/>
      <c r="BM177" s="3872"/>
      <c r="BN177" s="3872"/>
      <c r="BO177" s="3872"/>
      <c r="BP177" s="3872"/>
      <c r="BQ177" s="3872">
        <v>1</v>
      </c>
      <c r="BR177" s="3872">
        <v>14</v>
      </c>
      <c r="BS177" s="3872"/>
      <c r="BT177" s="3806"/>
      <c r="BU177" s="3806">
        <v>15</v>
      </c>
      <c r="BV177" s="3807">
        <f>+BU175/BU177</f>
        <v>0.13333333333333333</v>
      </c>
      <c r="BX177" s="36"/>
      <c r="BY177" s="36"/>
      <c r="BZ177" s="36" t="s">
        <v>128</v>
      </c>
      <c r="CA177" s="36" t="s">
        <v>1071</v>
      </c>
      <c r="CB177" s="1681">
        <v>0</v>
      </c>
      <c r="CC177" s="1681"/>
      <c r="CD177" s="1681">
        <v>0</v>
      </c>
      <c r="CE177" s="1681"/>
      <c r="CF177" s="1681"/>
      <c r="CG177" s="1681">
        <v>0</v>
      </c>
      <c r="CH177" s="1681">
        <v>1</v>
      </c>
      <c r="CI177" s="1681">
        <v>0</v>
      </c>
      <c r="CJ177" s="95"/>
      <c r="CK177" s="95"/>
      <c r="CL177" s="95">
        <v>1</v>
      </c>
      <c r="CM177" s="36"/>
      <c r="CO177" s="37"/>
      <c r="CP177" s="37"/>
      <c r="CQ177" s="37"/>
      <c r="CR177" s="37" t="s">
        <v>1080</v>
      </c>
      <c r="CS177" s="1678"/>
      <c r="CT177" s="1678">
        <v>0</v>
      </c>
      <c r="CU177" s="1678">
        <v>0</v>
      </c>
      <c r="CV177" s="1678">
        <v>0</v>
      </c>
      <c r="CW177" s="1678">
        <v>0</v>
      </c>
      <c r="CX177" s="1678">
        <v>0</v>
      </c>
      <c r="CY177" s="1678">
        <v>0</v>
      </c>
      <c r="CZ177" s="1678">
        <v>0</v>
      </c>
      <c r="DA177" s="1678">
        <v>2</v>
      </c>
      <c r="DB177" s="63"/>
      <c r="DC177" s="63"/>
      <c r="DD177" s="63">
        <v>2</v>
      </c>
      <c r="DG177" s="95"/>
      <c r="DH177" s="95"/>
      <c r="DI177" s="36"/>
      <c r="DJ177" s="393" t="s">
        <v>15</v>
      </c>
      <c r="DK177" s="1485"/>
      <c r="DL177" s="1485">
        <v>1</v>
      </c>
      <c r="DM177" s="1485"/>
      <c r="DN177" s="1485"/>
      <c r="DO177" s="1485"/>
      <c r="DP177" s="1485"/>
      <c r="DQ177" s="1485">
        <v>9</v>
      </c>
      <c r="DR177" s="1485">
        <v>4</v>
      </c>
      <c r="DS177" s="1485">
        <v>5</v>
      </c>
      <c r="DT177" s="86"/>
      <c r="DU177" s="86"/>
      <c r="DV177" s="86">
        <v>19</v>
      </c>
      <c r="DW177" s="560">
        <f>+(DV174+DV176)/DV177</f>
        <v>0.57894736842105265</v>
      </c>
      <c r="DY177" s="1209"/>
      <c r="DZ177" s="1209"/>
      <c r="EA177" s="1210"/>
      <c r="EB177" s="1211" t="s">
        <v>1072</v>
      </c>
      <c r="EC177" s="1213">
        <v>1</v>
      </c>
      <c r="ED177" s="1212"/>
      <c r="EE177" s="1212"/>
      <c r="EF177" s="1212"/>
      <c r="EG177" s="1212"/>
      <c r="EH177" s="1213">
        <v>0</v>
      </c>
      <c r="EI177" s="1213">
        <v>2</v>
      </c>
      <c r="EJ177" s="1213">
        <v>0</v>
      </c>
      <c r="EK177" s="611"/>
      <c r="EL177" s="611"/>
      <c r="EM177" s="612">
        <v>3</v>
      </c>
      <c r="EN177" s="36"/>
      <c r="EP177" s="527" t="s">
        <v>48</v>
      </c>
      <c r="EQ177" s="527" t="s">
        <v>16</v>
      </c>
      <c r="ER177" s="528" t="s">
        <v>131</v>
      </c>
      <c r="ES177" s="529" t="s">
        <v>1071</v>
      </c>
      <c r="ET177" s="531">
        <v>0</v>
      </c>
      <c r="EU177" s="531">
        <v>0</v>
      </c>
      <c r="EV177" s="531">
        <v>1</v>
      </c>
      <c r="EW177" s="531">
        <v>0</v>
      </c>
      <c r="EX177" s="531">
        <v>0</v>
      </c>
      <c r="EY177" s="531">
        <v>0</v>
      </c>
      <c r="EZ177" s="531">
        <v>0</v>
      </c>
      <c r="FA177" s="531">
        <v>0</v>
      </c>
      <c r="FB177" s="527"/>
      <c r="FC177" s="527"/>
      <c r="FD177" s="532">
        <v>1</v>
      </c>
      <c r="FE177" s="95"/>
      <c r="FG177" s="533"/>
      <c r="FH177" s="533"/>
      <c r="FI177" s="533"/>
      <c r="FJ177" s="534" t="s">
        <v>1081</v>
      </c>
      <c r="FK177" s="536">
        <v>0</v>
      </c>
      <c r="FL177" s="536">
        <v>0</v>
      </c>
      <c r="FM177" s="535"/>
      <c r="FN177" s="536">
        <v>5</v>
      </c>
      <c r="FO177" s="535"/>
      <c r="FP177" s="535"/>
      <c r="FQ177" s="535"/>
      <c r="FR177" s="535"/>
      <c r="FS177" s="535"/>
      <c r="FT177" s="537"/>
      <c r="FU177" s="537"/>
      <c r="FV177" s="538">
        <v>5</v>
      </c>
      <c r="FW177" s="539"/>
      <c r="FY177" s="540"/>
      <c r="FZ177" s="540"/>
      <c r="GA177" s="540"/>
      <c r="GB177" s="541" t="s">
        <v>1081</v>
      </c>
      <c r="GC177" s="542"/>
      <c r="GD177" s="542"/>
      <c r="GE177" s="542"/>
      <c r="GF177" s="542"/>
      <c r="GG177" s="543">
        <v>0</v>
      </c>
      <c r="GH177" s="543">
        <v>1</v>
      </c>
      <c r="GI177" s="542"/>
      <c r="GJ177" s="542"/>
      <c r="GK177" s="542"/>
      <c r="GL177" s="542"/>
      <c r="GM177" s="543">
        <v>1</v>
      </c>
      <c r="GN177" s="445"/>
      <c r="GP177" s="63"/>
      <c r="HF177" s="37"/>
      <c r="HG177" s="446"/>
      <c r="HH177" s="446"/>
      <c r="HI177" s="446"/>
      <c r="HJ177" s="446" t="s">
        <v>1163</v>
      </c>
      <c r="HK177" s="446">
        <v>0</v>
      </c>
      <c r="HL177" s="446">
        <v>0</v>
      </c>
      <c r="HM177" s="446">
        <v>0</v>
      </c>
      <c r="HN177" s="446">
        <v>0</v>
      </c>
      <c r="HO177" s="446">
        <v>0</v>
      </c>
      <c r="HP177" s="446">
        <v>0</v>
      </c>
      <c r="HQ177" s="446">
        <v>5</v>
      </c>
      <c r="HR177" s="446">
        <v>0</v>
      </c>
      <c r="HS177" s="446">
        <v>0</v>
      </c>
      <c r="HT177" s="446">
        <v>0</v>
      </c>
      <c r="HU177" s="446">
        <v>0</v>
      </c>
      <c r="HV177" s="447">
        <v>5</v>
      </c>
      <c r="HW177" s="544"/>
      <c r="HX177" s="448"/>
    </row>
    <row r="178" spans="1:232" ht="15" thickBot="1">
      <c r="A178" s="5682">
        <v>2</v>
      </c>
      <c r="B178" s="5682">
        <v>2</v>
      </c>
      <c r="C178" s="5683" t="s">
        <v>2749</v>
      </c>
      <c r="D178" s="5683" t="s">
        <v>2709</v>
      </c>
      <c r="E178" s="5682">
        <v>1</v>
      </c>
      <c r="F178" s="5682">
        <v>7</v>
      </c>
      <c r="I178" s="4915"/>
      <c r="J178" s="4915"/>
      <c r="K178" s="4916"/>
      <c r="L178" s="4916"/>
      <c r="M178" s="4920">
        <f>SUM(M173:M177)</f>
        <v>12</v>
      </c>
      <c r="N178" s="4915"/>
      <c r="O178" s="4921">
        <f>(M174+M175+M176)/(M178)</f>
        <v>0.58333333333333337</v>
      </c>
      <c r="Q178" s="4705">
        <v>3</v>
      </c>
      <c r="R178" s="4705">
        <v>2</v>
      </c>
      <c r="S178" s="4706" t="s">
        <v>382</v>
      </c>
      <c r="T178" s="4708" t="s">
        <v>2707</v>
      </c>
      <c r="U178" s="4709">
        <v>2</v>
      </c>
      <c r="V178" s="4709">
        <v>6</v>
      </c>
      <c r="W178" s="4722"/>
      <c r="Y178" s="36"/>
      <c r="Z178" s="36"/>
      <c r="AA178" s="36"/>
      <c r="AB178" s="36" t="s">
        <v>1072</v>
      </c>
      <c r="AC178" s="1681"/>
      <c r="AD178" s="1681"/>
      <c r="AE178" s="1681"/>
      <c r="AF178" s="1681"/>
      <c r="AG178" s="1681"/>
      <c r="AH178" s="1681"/>
      <c r="AI178" s="1681">
        <v>5</v>
      </c>
      <c r="AJ178" s="1681"/>
      <c r="AK178" s="1681"/>
      <c r="AL178" s="95">
        <v>0</v>
      </c>
      <c r="AM178" s="95">
        <v>5</v>
      </c>
      <c r="AN178" s="4545"/>
      <c r="AS178" s="3868" t="s">
        <v>1163</v>
      </c>
      <c r="AT178" s="3721"/>
      <c r="AU178" s="3721"/>
      <c r="AV178" s="3721"/>
      <c r="AW178" s="3721"/>
      <c r="AX178" s="3721"/>
      <c r="AY178" s="3721"/>
      <c r="AZ178" s="3721">
        <v>8</v>
      </c>
      <c r="BA178" s="3721">
        <v>0</v>
      </c>
      <c r="BB178" s="3721"/>
      <c r="BC178" s="2110"/>
      <c r="BD178" s="2110"/>
      <c r="BE178" s="2110">
        <v>8</v>
      </c>
      <c r="BF178" s="2110"/>
      <c r="BG178" s="2110"/>
      <c r="BJ178" s="32" t="s">
        <v>128</v>
      </c>
      <c r="BK178" s="32" t="s">
        <v>1071</v>
      </c>
      <c r="BL178" s="3871"/>
      <c r="BM178" s="3871"/>
      <c r="BN178" s="3871"/>
      <c r="BO178" s="3871"/>
      <c r="BP178" s="3871"/>
      <c r="BQ178" s="3871">
        <v>0</v>
      </c>
      <c r="BR178" s="3871">
        <v>1</v>
      </c>
      <c r="BS178" s="3871"/>
      <c r="BT178" s="1518"/>
      <c r="BU178" s="1518">
        <v>1</v>
      </c>
      <c r="BX178" s="36"/>
      <c r="BY178" s="36"/>
      <c r="BZ178" s="36"/>
      <c r="CA178" s="36" t="s">
        <v>1072</v>
      </c>
      <c r="CB178" s="1681">
        <v>0</v>
      </c>
      <c r="CC178" s="1681"/>
      <c r="CD178" s="1681">
        <v>1</v>
      </c>
      <c r="CE178" s="1681"/>
      <c r="CF178" s="1681"/>
      <c r="CG178" s="1681">
        <v>0</v>
      </c>
      <c r="CH178" s="1681">
        <v>0</v>
      </c>
      <c r="CI178" s="1681">
        <v>0</v>
      </c>
      <c r="CJ178" s="95"/>
      <c r="CK178" s="95"/>
      <c r="CL178" s="95">
        <v>1</v>
      </c>
      <c r="CM178" s="36"/>
      <c r="CO178" s="37"/>
      <c r="CP178" s="37"/>
      <c r="CQ178" s="37"/>
      <c r="CR178" s="37" t="s">
        <v>1163</v>
      </c>
      <c r="CS178" s="1678"/>
      <c r="CT178" s="1678">
        <v>0</v>
      </c>
      <c r="CU178" s="1678">
        <v>0</v>
      </c>
      <c r="CV178" s="1678">
        <v>10</v>
      </c>
      <c r="CW178" s="1678">
        <v>2</v>
      </c>
      <c r="CX178" s="1678">
        <v>0</v>
      </c>
      <c r="CY178" s="1678">
        <v>5</v>
      </c>
      <c r="CZ178" s="1678">
        <v>0</v>
      </c>
      <c r="DA178" s="1678">
        <v>0</v>
      </c>
      <c r="DB178" s="63"/>
      <c r="DC178" s="63"/>
      <c r="DD178" s="63">
        <v>17</v>
      </c>
      <c r="DG178" s="95"/>
      <c r="DH178" s="95"/>
      <c r="DI178" s="36" t="s">
        <v>129</v>
      </c>
      <c r="DJ178" s="36" t="s">
        <v>1072</v>
      </c>
      <c r="DK178" s="1484"/>
      <c r="DL178" s="1484"/>
      <c r="DM178" s="1484">
        <v>1</v>
      </c>
      <c r="DN178" s="1484"/>
      <c r="DO178" s="1484"/>
      <c r="DP178" s="1484">
        <v>1</v>
      </c>
      <c r="DQ178" s="1484">
        <v>0</v>
      </c>
      <c r="DR178" s="1484">
        <v>1</v>
      </c>
      <c r="DS178" s="1484">
        <v>0</v>
      </c>
      <c r="DT178" s="95"/>
      <c r="DU178" s="95"/>
      <c r="DV178" s="95">
        <v>3</v>
      </c>
      <c r="DW178" s="95"/>
      <c r="DY178" s="1209"/>
      <c r="DZ178" s="1209"/>
      <c r="EA178" s="1210"/>
      <c r="EB178" s="1211" t="s">
        <v>1076</v>
      </c>
      <c r="EC178" s="1213">
        <v>0</v>
      </c>
      <c r="ED178" s="1212"/>
      <c r="EE178" s="1212"/>
      <c r="EF178" s="1212"/>
      <c r="EG178" s="1212"/>
      <c r="EH178" s="1213">
        <v>1</v>
      </c>
      <c r="EI178" s="1213">
        <v>1</v>
      </c>
      <c r="EJ178" s="1213">
        <v>0</v>
      </c>
      <c r="EK178" s="611"/>
      <c r="EL178" s="611"/>
      <c r="EM178" s="612">
        <v>2</v>
      </c>
      <c r="EN178" s="36"/>
      <c r="EP178" s="527"/>
      <c r="EQ178" s="527"/>
      <c r="ER178" s="528"/>
      <c r="ES178" s="529" t="s">
        <v>1072</v>
      </c>
      <c r="ET178" s="531">
        <v>1</v>
      </c>
      <c r="EU178" s="531">
        <v>1</v>
      </c>
      <c r="EV178" s="531">
        <v>0</v>
      </c>
      <c r="EW178" s="531">
        <v>1</v>
      </c>
      <c r="EX178" s="531">
        <v>2</v>
      </c>
      <c r="EY178" s="531">
        <v>26</v>
      </c>
      <c r="EZ178" s="531">
        <v>4</v>
      </c>
      <c r="FA178" s="531">
        <v>0</v>
      </c>
      <c r="FB178" s="527"/>
      <c r="FC178" s="527"/>
      <c r="FD178" s="532">
        <v>35</v>
      </c>
      <c r="FE178" s="95"/>
      <c r="FG178" s="533"/>
      <c r="FH178" s="533"/>
      <c r="FI178" s="533"/>
      <c r="FJ178" s="534" t="s">
        <v>1163</v>
      </c>
      <c r="FK178" s="536">
        <v>1</v>
      </c>
      <c r="FL178" s="536">
        <v>0</v>
      </c>
      <c r="FM178" s="535"/>
      <c r="FN178" s="536">
        <v>4</v>
      </c>
      <c r="FO178" s="535"/>
      <c r="FP178" s="535"/>
      <c r="FQ178" s="535"/>
      <c r="FR178" s="535"/>
      <c r="FS178" s="535"/>
      <c r="FT178" s="537"/>
      <c r="FU178" s="537"/>
      <c r="FV178" s="538">
        <v>5</v>
      </c>
      <c r="FW178" s="539"/>
      <c r="FY178" s="540"/>
      <c r="FZ178" s="540"/>
      <c r="GA178" s="540"/>
      <c r="GB178" s="541" t="s">
        <v>1163</v>
      </c>
      <c r="GC178" s="542"/>
      <c r="GD178" s="542"/>
      <c r="GE178" s="542"/>
      <c r="GF178" s="542"/>
      <c r="GG178" s="543">
        <v>0</v>
      </c>
      <c r="GH178" s="543">
        <v>5</v>
      </c>
      <c r="GI178" s="542"/>
      <c r="GJ178" s="542"/>
      <c r="GK178" s="542"/>
      <c r="GL178" s="542"/>
      <c r="GM178" s="543">
        <v>5</v>
      </c>
      <c r="GN178" s="445"/>
      <c r="GP178" s="63"/>
      <c r="HF178" s="37"/>
      <c r="HG178" s="561"/>
      <c r="HH178" s="561"/>
      <c r="HI178" s="561"/>
      <c r="HJ178" s="469" t="s">
        <v>15</v>
      </c>
      <c r="HK178" s="469">
        <v>0</v>
      </c>
      <c r="HL178" s="469">
        <v>0</v>
      </c>
      <c r="HM178" s="469">
        <v>0</v>
      </c>
      <c r="HN178" s="469">
        <v>0</v>
      </c>
      <c r="HO178" s="469">
        <v>0</v>
      </c>
      <c r="HP178" s="469">
        <v>1</v>
      </c>
      <c r="HQ178" s="469">
        <v>17</v>
      </c>
      <c r="HR178" s="469">
        <v>0</v>
      </c>
      <c r="HS178" s="469">
        <v>0</v>
      </c>
      <c r="HT178" s="469">
        <v>0</v>
      </c>
      <c r="HU178" s="469">
        <v>0</v>
      </c>
      <c r="HV178" s="470">
        <v>18</v>
      </c>
      <c r="HW178" s="562">
        <f>+(HV177+HV176+HV174)/HV178</f>
        <v>0.77777777777777779</v>
      </c>
      <c r="HX178" s="425">
        <f>+HV174+HV176+HV177</f>
        <v>14</v>
      </c>
    </row>
    <row r="179" spans="1:232" ht="15" thickBot="1">
      <c r="A179" s="5682"/>
      <c r="B179" s="5682"/>
      <c r="C179" s="5683"/>
      <c r="D179" s="5683"/>
      <c r="E179" s="5686">
        <f>SUM(E170:E178)</f>
        <v>24</v>
      </c>
      <c r="F179" s="5682"/>
      <c r="G179" s="4921">
        <f>(E175)/(E179)</f>
        <v>0.25</v>
      </c>
      <c r="I179" s="4915"/>
      <c r="J179" s="4915"/>
      <c r="K179" s="4932" t="s">
        <v>2754</v>
      </c>
      <c r="L179" s="4916"/>
      <c r="M179" s="4936">
        <f>SUM(M148:M149,M159:M160,M167,M174:M176)</f>
        <v>22</v>
      </c>
      <c r="N179" s="4915"/>
      <c r="O179" s="157"/>
      <c r="Q179" s="4705">
        <v>3</v>
      </c>
      <c r="R179" s="4705">
        <v>2</v>
      </c>
      <c r="S179" s="4706" t="s">
        <v>382</v>
      </c>
      <c r="T179" s="4708" t="s">
        <v>1076</v>
      </c>
      <c r="U179" s="4709">
        <v>3</v>
      </c>
      <c r="V179" s="4709">
        <v>6</v>
      </c>
      <c r="W179" s="4722"/>
      <c r="Y179" s="36"/>
      <c r="Z179" s="36"/>
      <c r="AA179" s="36"/>
      <c r="AB179" s="36" t="s">
        <v>1076</v>
      </c>
      <c r="AC179" s="1681"/>
      <c r="AD179" s="1681"/>
      <c r="AE179" s="1681"/>
      <c r="AF179" s="1681"/>
      <c r="AG179" s="1681"/>
      <c r="AH179" s="1681"/>
      <c r="AI179" s="1681">
        <v>1</v>
      </c>
      <c r="AJ179" s="1681"/>
      <c r="AK179" s="1681"/>
      <c r="AL179" s="95">
        <v>0</v>
      </c>
      <c r="AM179" s="95">
        <v>1</v>
      </c>
      <c r="AN179" s="4545"/>
      <c r="AS179" s="27" t="s">
        <v>15</v>
      </c>
      <c r="AT179" s="3722"/>
      <c r="AU179" s="3722"/>
      <c r="AV179" s="3722"/>
      <c r="AW179" s="3722"/>
      <c r="AX179" s="3722"/>
      <c r="AY179" s="3722"/>
      <c r="AZ179" s="3722">
        <v>8</v>
      </c>
      <c r="BA179" s="3722">
        <v>1</v>
      </c>
      <c r="BB179" s="3722"/>
      <c r="BC179" s="3701"/>
      <c r="BD179" s="3701"/>
      <c r="BE179" s="3701">
        <v>9</v>
      </c>
      <c r="BF179" s="1665">
        <f>+(BE177+BE178)/BE179</f>
        <v>1</v>
      </c>
      <c r="BG179" s="1665"/>
      <c r="BK179" s="32" t="s">
        <v>1072</v>
      </c>
      <c r="BL179" s="3871"/>
      <c r="BM179" s="3871"/>
      <c r="BN179" s="3871"/>
      <c r="BO179" s="3871"/>
      <c r="BP179" s="3871"/>
      <c r="BQ179" s="3871">
        <v>2</v>
      </c>
      <c r="BR179" s="3871">
        <v>0</v>
      </c>
      <c r="BS179" s="3871"/>
      <c r="BT179" s="1518"/>
      <c r="BU179" s="1518">
        <v>2</v>
      </c>
      <c r="BX179" s="36"/>
      <c r="BY179" s="36"/>
      <c r="BZ179" s="36"/>
      <c r="CA179" s="36" t="s">
        <v>1074</v>
      </c>
      <c r="CB179" s="1681">
        <v>1</v>
      </c>
      <c r="CC179" s="1681"/>
      <c r="CD179" s="1681">
        <v>0</v>
      </c>
      <c r="CE179" s="1681"/>
      <c r="CF179" s="1681"/>
      <c r="CG179" s="1681">
        <v>0</v>
      </c>
      <c r="CH179" s="1681">
        <v>0</v>
      </c>
      <c r="CI179" s="1681">
        <v>0</v>
      </c>
      <c r="CJ179" s="95"/>
      <c r="CK179" s="95"/>
      <c r="CL179" s="95">
        <v>1</v>
      </c>
      <c r="CM179" s="36"/>
      <c r="CO179" s="37"/>
      <c r="CP179" s="37"/>
      <c r="CQ179" s="37"/>
      <c r="CR179" s="416" t="s">
        <v>483</v>
      </c>
      <c r="CS179" s="1679"/>
      <c r="CT179" s="1679">
        <v>1</v>
      </c>
      <c r="CU179" s="1679">
        <v>3</v>
      </c>
      <c r="CV179" s="1679">
        <v>10</v>
      </c>
      <c r="CW179" s="1679">
        <v>5</v>
      </c>
      <c r="CX179" s="1679">
        <v>1</v>
      </c>
      <c r="CY179" s="1679">
        <v>24</v>
      </c>
      <c r="CZ179" s="1679">
        <v>7</v>
      </c>
      <c r="DA179" s="1679">
        <v>2</v>
      </c>
      <c r="DB179" s="386"/>
      <c r="DC179" s="386"/>
      <c r="DD179" s="386">
        <v>53</v>
      </c>
      <c r="DE179" s="2045">
        <f>+(DD175+DD178)/DD179</f>
        <v>0.79245283018867929</v>
      </c>
      <c r="DG179" s="95"/>
      <c r="DH179" s="95"/>
      <c r="DI179" s="36"/>
      <c r="DJ179" s="36" t="s">
        <v>1076</v>
      </c>
      <c r="DK179" s="1484"/>
      <c r="DL179" s="1484"/>
      <c r="DM179" s="1484">
        <v>0</v>
      </c>
      <c r="DN179" s="1484"/>
      <c r="DO179" s="1484"/>
      <c r="DP179" s="1484">
        <v>0</v>
      </c>
      <c r="DQ179" s="1484">
        <v>0</v>
      </c>
      <c r="DR179" s="1484">
        <v>3</v>
      </c>
      <c r="DS179" s="1484">
        <v>0</v>
      </c>
      <c r="DT179" s="95"/>
      <c r="DU179" s="95"/>
      <c r="DV179" s="95">
        <v>3</v>
      </c>
      <c r="DW179" s="95"/>
      <c r="DY179" s="1209"/>
      <c r="DZ179" s="1209"/>
      <c r="EA179" s="1210"/>
      <c r="EB179" s="1211" t="s">
        <v>1080</v>
      </c>
      <c r="EC179" s="1213">
        <v>0</v>
      </c>
      <c r="ED179" s="1212"/>
      <c r="EE179" s="1212"/>
      <c r="EF179" s="1212"/>
      <c r="EG179" s="1212"/>
      <c r="EH179" s="1213">
        <v>0</v>
      </c>
      <c r="EI179" s="1213">
        <v>0</v>
      </c>
      <c r="EJ179" s="1213">
        <v>6</v>
      </c>
      <c r="EK179" s="611"/>
      <c r="EL179" s="611"/>
      <c r="EM179" s="612">
        <v>6</v>
      </c>
      <c r="EN179" s="36"/>
      <c r="EP179" s="527"/>
      <c r="EQ179" s="527"/>
      <c r="ER179" s="528"/>
      <c r="ES179" s="529" t="s">
        <v>1080</v>
      </c>
      <c r="ET179" s="531">
        <v>0</v>
      </c>
      <c r="EU179" s="531">
        <v>0</v>
      </c>
      <c r="EV179" s="531">
        <v>0</v>
      </c>
      <c r="EW179" s="531">
        <v>0</v>
      </c>
      <c r="EX179" s="531">
        <v>0</v>
      </c>
      <c r="EY179" s="531">
        <v>0</v>
      </c>
      <c r="EZ179" s="531">
        <v>1</v>
      </c>
      <c r="FA179" s="531">
        <v>1</v>
      </c>
      <c r="FB179" s="527"/>
      <c r="FC179" s="527"/>
      <c r="FD179" s="532">
        <v>2</v>
      </c>
      <c r="FE179" s="95"/>
      <c r="FG179" s="533"/>
      <c r="FH179" s="533"/>
      <c r="FI179" s="533"/>
      <c r="FJ179" s="545" t="s">
        <v>483</v>
      </c>
      <c r="FK179" s="547">
        <v>2</v>
      </c>
      <c r="FL179" s="547">
        <v>1</v>
      </c>
      <c r="FM179" s="546"/>
      <c r="FN179" s="547">
        <v>17</v>
      </c>
      <c r="FO179" s="546"/>
      <c r="FP179" s="546"/>
      <c r="FQ179" s="546"/>
      <c r="FR179" s="546"/>
      <c r="FS179" s="546"/>
      <c r="FT179" s="548"/>
      <c r="FU179" s="548"/>
      <c r="FV179" s="549">
        <v>20</v>
      </c>
      <c r="FW179" s="539">
        <f>+(FV178+FV177+FV176)/FV179</f>
        <v>0.7</v>
      </c>
      <c r="FY179" s="563"/>
      <c r="FZ179" s="563"/>
      <c r="GA179" s="563"/>
      <c r="GB179" s="564" t="s">
        <v>15</v>
      </c>
      <c r="GC179" s="565"/>
      <c r="GD179" s="565"/>
      <c r="GE179" s="565"/>
      <c r="GF179" s="565"/>
      <c r="GG179" s="566">
        <v>2</v>
      </c>
      <c r="GH179" s="566">
        <v>13</v>
      </c>
      <c r="GI179" s="565"/>
      <c r="GJ179" s="565"/>
      <c r="GK179" s="565"/>
      <c r="GL179" s="565"/>
      <c r="GM179" s="566">
        <v>15</v>
      </c>
      <c r="GN179" s="567">
        <f>+(GM178+GM177+GM176)/GM179</f>
        <v>0.8</v>
      </c>
      <c r="GP179" s="63"/>
      <c r="HF179" s="37"/>
      <c r="HG179" s="446"/>
      <c r="HH179" s="446"/>
      <c r="HI179" s="446"/>
      <c r="HJ179" s="446"/>
      <c r="HK179" s="446"/>
      <c r="HL179" s="446"/>
      <c r="HM179" s="446"/>
      <c r="HN179" s="446"/>
      <c r="HO179" s="446"/>
      <c r="HP179" s="446"/>
      <c r="HQ179" s="446"/>
      <c r="HR179" s="446"/>
      <c r="HS179" s="446"/>
      <c r="HT179" s="446"/>
      <c r="HU179" s="446"/>
      <c r="HV179" s="447"/>
      <c r="HW179" s="446"/>
      <c r="HX179" s="448"/>
    </row>
    <row r="180" spans="1:232">
      <c r="A180" s="5682">
        <v>2</v>
      </c>
      <c r="B180" s="5682">
        <v>2</v>
      </c>
      <c r="C180" s="5683" t="s">
        <v>2737</v>
      </c>
      <c r="D180" s="5685" t="s">
        <v>2732</v>
      </c>
      <c r="E180" s="5682">
        <v>1</v>
      </c>
      <c r="F180" s="5682">
        <v>7</v>
      </c>
      <c r="I180" s="4915"/>
      <c r="J180" s="4915"/>
      <c r="K180" s="4929" t="s">
        <v>16</v>
      </c>
      <c r="L180" s="4926"/>
      <c r="M180" s="4929">
        <f>SUM(M178,M172,M161,M158,M151)</f>
        <v>71</v>
      </c>
      <c r="N180" s="4925"/>
      <c r="O180" s="4934">
        <f>M179/M180</f>
        <v>0.30985915492957744</v>
      </c>
      <c r="Q180" s="4705">
        <v>3</v>
      </c>
      <c r="R180" s="4705">
        <v>2</v>
      </c>
      <c r="S180" s="4706" t="s">
        <v>382</v>
      </c>
      <c r="T180" s="4706" t="s">
        <v>2709</v>
      </c>
      <c r="U180" s="4707">
        <v>18</v>
      </c>
      <c r="V180" s="4707">
        <v>6</v>
      </c>
      <c r="W180" s="4722"/>
      <c r="Y180" s="36"/>
      <c r="Z180" s="36"/>
      <c r="AA180" s="36"/>
      <c r="AB180" s="36" t="s">
        <v>15</v>
      </c>
      <c r="AC180" s="1681"/>
      <c r="AD180" s="1681"/>
      <c r="AE180" s="1681"/>
      <c r="AF180" s="1681"/>
      <c r="AG180" s="1681"/>
      <c r="AH180" s="1681"/>
      <c r="AI180" s="1681">
        <v>6</v>
      </c>
      <c r="AJ180" s="1681"/>
      <c r="AK180" s="1681"/>
      <c r="AL180" s="95">
        <v>6</v>
      </c>
      <c r="AM180" s="95">
        <v>12</v>
      </c>
      <c r="AN180" s="560">
        <f>+AI179/AM180</f>
        <v>8.3333333333333329E-2</v>
      </c>
      <c r="AR180" s="3868" t="s">
        <v>483</v>
      </c>
      <c r="AS180" s="3868" t="s">
        <v>1071</v>
      </c>
      <c r="AT180" s="3721">
        <v>0</v>
      </c>
      <c r="AU180" s="3721"/>
      <c r="AV180" s="3721"/>
      <c r="AW180" s="3721">
        <v>0</v>
      </c>
      <c r="AX180" s="3721"/>
      <c r="AY180" s="3721"/>
      <c r="AZ180" s="3721">
        <v>0</v>
      </c>
      <c r="BA180" s="3721">
        <v>1</v>
      </c>
      <c r="BB180" s="3721">
        <v>0</v>
      </c>
      <c r="BC180" s="2110">
        <v>0</v>
      </c>
      <c r="BD180" s="2110">
        <v>0</v>
      </c>
      <c r="BE180" s="2110">
        <v>1</v>
      </c>
      <c r="BF180" s="2110"/>
      <c r="BG180" s="2110"/>
      <c r="BK180" s="32" t="s">
        <v>1076</v>
      </c>
      <c r="BL180" s="3871"/>
      <c r="BM180" s="3871"/>
      <c r="BN180" s="3871"/>
      <c r="BO180" s="3871"/>
      <c r="BP180" s="3871"/>
      <c r="BQ180" s="3871">
        <v>10</v>
      </c>
      <c r="BR180" s="3871">
        <v>1</v>
      </c>
      <c r="BS180" s="3871"/>
      <c r="BT180" s="1518"/>
      <c r="BU180" s="1518">
        <v>11</v>
      </c>
      <c r="BX180" s="36"/>
      <c r="BY180" s="36"/>
      <c r="BZ180" s="36"/>
      <c r="CA180" s="36" t="s">
        <v>1080</v>
      </c>
      <c r="CB180" s="1681">
        <v>0</v>
      </c>
      <c r="CC180" s="1681"/>
      <c r="CD180" s="1681">
        <v>0</v>
      </c>
      <c r="CE180" s="1681"/>
      <c r="CF180" s="1681"/>
      <c r="CG180" s="1681">
        <v>0</v>
      </c>
      <c r="CH180" s="1681">
        <v>0</v>
      </c>
      <c r="CI180" s="1681">
        <v>5</v>
      </c>
      <c r="CJ180" s="95"/>
      <c r="CK180" s="95"/>
      <c r="CL180" s="95">
        <v>5</v>
      </c>
      <c r="CM180" s="36"/>
      <c r="CO180" s="37"/>
      <c r="CP180" s="37" t="s">
        <v>41</v>
      </c>
      <c r="CQ180" s="37" t="s">
        <v>413</v>
      </c>
      <c r="CR180" s="37" t="s">
        <v>1076</v>
      </c>
      <c r="CS180" s="1678"/>
      <c r="CT180" s="1678"/>
      <c r="CU180" s="1678"/>
      <c r="CV180" s="1678"/>
      <c r="CW180" s="1678"/>
      <c r="CX180" s="1678"/>
      <c r="CY180" s="1678">
        <v>1</v>
      </c>
      <c r="CZ180" s="1678">
        <v>4</v>
      </c>
      <c r="DA180" s="1678">
        <v>0</v>
      </c>
      <c r="DB180" s="63"/>
      <c r="DC180" s="63"/>
      <c r="DD180" s="63">
        <v>5</v>
      </c>
      <c r="DG180" s="95"/>
      <c r="DH180" s="95"/>
      <c r="DI180" s="36"/>
      <c r="DJ180" s="36" t="s">
        <v>1080</v>
      </c>
      <c r="DK180" s="1484"/>
      <c r="DL180" s="1484"/>
      <c r="DM180" s="1484">
        <v>0</v>
      </c>
      <c r="DN180" s="1484"/>
      <c r="DO180" s="1484"/>
      <c r="DP180" s="1484">
        <v>0</v>
      </c>
      <c r="DQ180" s="1484">
        <v>0</v>
      </c>
      <c r="DR180" s="1484">
        <v>0</v>
      </c>
      <c r="DS180" s="1484">
        <v>2</v>
      </c>
      <c r="DT180" s="95"/>
      <c r="DU180" s="95"/>
      <c r="DV180" s="95">
        <v>2</v>
      </c>
      <c r="DW180" s="95"/>
      <c r="DY180" s="1209"/>
      <c r="DZ180" s="1209"/>
      <c r="EA180" s="1210"/>
      <c r="EB180" s="1211" t="s">
        <v>1163</v>
      </c>
      <c r="EC180" s="1213">
        <v>0</v>
      </c>
      <c r="ED180" s="1212"/>
      <c r="EE180" s="1212"/>
      <c r="EF180" s="1212"/>
      <c r="EG180" s="1212"/>
      <c r="EH180" s="1213">
        <v>14</v>
      </c>
      <c r="EI180" s="1213">
        <v>1</v>
      </c>
      <c r="EJ180" s="1213">
        <v>0</v>
      </c>
      <c r="EK180" s="611"/>
      <c r="EL180" s="611"/>
      <c r="EM180" s="612">
        <v>15</v>
      </c>
      <c r="EN180" s="36"/>
      <c r="EP180" s="527"/>
      <c r="EQ180" s="527"/>
      <c r="ER180" s="528"/>
      <c r="ES180" s="529" t="s">
        <v>1081</v>
      </c>
      <c r="ET180" s="531">
        <v>0</v>
      </c>
      <c r="EU180" s="531">
        <v>0</v>
      </c>
      <c r="EV180" s="531">
        <v>0</v>
      </c>
      <c r="EW180" s="531">
        <v>0</v>
      </c>
      <c r="EX180" s="531">
        <v>0</v>
      </c>
      <c r="EY180" s="531">
        <v>1</v>
      </c>
      <c r="EZ180" s="531">
        <v>0</v>
      </c>
      <c r="FA180" s="531">
        <v>0</v>
      </c>
      <c r="FB180" s="527"/>
      <c r="FC180" s="527"/>
      <c r="FD180" s="532">
        <v>1</v>
      </c>
      <c r="FE180" s="95"/>
      <c r="FG180" s="533"/>
      <c r="FH180" s="533" t="s">
        <v>41</v>
      </c>
      <c r="FI180" s="533" t="s">
        <v>138</v>
      </c>
      <c r="FJ180" s="534" t="s">
        <v>1072</v>
      </c>
      <c r="FK180" s="535"/>
      <c r="FL180" s="536">
        <v>1</v>
      </c>
      <c r="FM180" s="535"/>
      <c r="FN180" s="535"/>
      <c r="FO180" s="535"/>
      <c r="FP180" s="535"/>
      <c r="FQ180" s="536">
        <v>0</v>
      </c>
      <c r="FR180" s="536">
        <v>2</v>
      </c>
      <c r="FS180" s="535"/>
      <c r="FT180" s="537"/>
      <c r="FU180" s="537"/>
      <c r="FV180" s="538">
        <v>3</v>
      </c>
      <c r="FW180" s="539"/>
      <c r="GP180" s="63"/>
      <c r="HF180" s="37"/>
      <c r="HG180" s="446"/>
      <c r="HH180" s="446"/>
      <c r="HI180" s="446"/>
      <c r="HJ180" s="446"/>
      <c r="HK180" s="449">
        <f>+HK178+HK172+HK167+HK161+HK156+HK150+HK147+HK143+HK138+HK134+HK129+HK123+HK116+HK112+HK107+HK102+HK97+HK90+HK83+HK78+HK73+HK69+HK66+HK61+HK57+HK51+HK43+HK39+HK33+HK30+HK26+HK21+HK18+HK11</f>
        <v>1</v>
      </c>
      <c r="HL180" s="449">
        <f>+HL178+HL172+HL167+HL161+HL156+HL150+HL147+HL143+HL138+HL134+HL129+HL123+HL116+HL112+HL107+HL102+HL97+HL90+HL83+HL78+HL73+HL69+HL66+HL61+HL57+HL51+HL43+HL39+HL33+HL30+HL26+HL21+HL18+HL11</f>
        <v>3</v>
      </c>
      <c r="HM180" s="449">
        <f>+HM178+HM172+HM167+HM161+HM156+HM150+HM147+HM143+HM138+HM134+HM129+HM123+HM116+HM112+HM107+HM102+HM97+HM90+HM83+HM78+HM73+HM69+HM66+HM61+HM57+HM51+HM43+HM39+HM33+HM30+HM26+HM21+HM18+HM11</f>
        <v>13</v>
      </c>
      <c r="HN180" s="449">
        <f>+HN178+HN172+HN167+HN161+HN156+HN150+HN147+HN143+HN138+HN134+HN129+HN123+HN116+HN112+HN107+HN102+HN97+HN90+HN83+HN78+HN73+HN69+HN66+HN61+HN57+HN51+HN43+HN39+HN33+HN30+HN26+HN21+HN18+HN11</f>
        <v>35</v>
      </c>
      <c r="HO180" s="449">
        <f>+HO178+HO172+HO167+HO161+HO156+HO150+HO147+HO143+HO138+HO134+HO129+HO123+HO116+HO112+HO107+HO102+HO97+HO90+HO83+HO78+HO73+HO69+HO66+HO61+HO57+HO51+HO43+HO39+HO33+HO30+HO26+HO21+HO18+HO11</f>
        <v>29</v>
      </c>
      <c r="HP180" s="449"/>
      <c r="HQ180" s="449"/>
      <c r="HR180" s="449"/>
      <c r="HS180" s="449"/>
      <c r="HT180" s="449"/>
      <c r="HU180" s="449"/>
      <c r="HV180" s="507"/>
      <c r="HW180" s="446"/>
      <c r="HX180" s="448"/>
    </row>
    <row r="181" spans="1:232">
      <c r="A181" s="5682">
        <v>2</v>
      </c>
      <c r="B181" s="5682">
        <v>2</v>
      </c>
      <c r="C181" s="5683" t="s">
        <v>2737</v>
      </c>
      <c r="D181" s="5685" t="s">
        <v>1076</v>
      </c>
      <c r="E181" s="5682">
        <v>2</v>
      </c>
      <c r="F181" s="5682">
        <v>6</v>
      </c>
      <c r="I181" s="4915">
        <v>2</v>
      </c>
      <c r="J181" s="4915">
        <v>3</v>
      </c>
      <c r="K181" s="4924" t="s">
        <v>440</v>
      </c>
      <c r="L181" s="4924" t="s">
        <v>2731</v>
      </c>
      <c r="M181" s="4923">
        <v>5</v>
      </c>
      <c r="N181" s="4923">
        <v>7</v>
      </c>
      <c r="O181" s="157"/>
      <c r="Q181" s="4705"/>
      <c r="R181" s="4705"/>
      <c r="S181" s="4706"/>
      <c r="T181" s="4706"/>
      <c r="U181" s="4741">
        <f>SUM(U178:U180)</f>
        <v>23</v>
      </c>
      <c r="V181" s="4741"/>
      <c r="W181" s="4722">
        <f>(U178+U179)/(U181)</f>
        <v>0.21739130434782608</v>
      </c>
      <c r="X181" s="4452"/>
      <c r="Y181" s="36"/>
      <c r="Z181" s="36"/>
      <c r="AA181" s="36" t="s">
        <v>110</v>
      </c>
      <c r="AB181" s="36" t="s">
        <v>1072</v>
      </c>
      <c r="AC181" s="1681"/>
      <c r="AD181" s="1681"/>
      <c r="AE181" s="1681"/>
      <c r="AF181" s="1681">
        <v>3</v>
      </c>
      <c r="AG181" s="1681">
        <v>3</v>
      </c>
      <c r="AH181" s="1681"/>
      <c r="AI181" s="1681"/>
      <c r="AJ181" s="1681"/>
      <c r="AK181" s="1681"/>
      <c r="AL181" s="95"/>
      <c r="AM181" s="95">
        <v>6</v>
      </c>
      <c r="AN181" s="4545"/>
      <c r="AS181" s="3868" t="s">
        <v>1072</v>
      </c>
      <c r="AT181" s="3721">
        <v>0</v>
      </c>
      <c r="AU181" s="3721"/>
      <c r="AV181" s="3721"/>
      <c r="AW181" s="3721">
        <v>0</v>
      </c>
      <c r="AX181" s="3721"/>
      <c r="AY181" s="3721"/>
      <c r="AZ181" s="3721">
        <v>2</v>
      </c>
      <c r="BA181" s="3721">
        <v>4</v>
      </c>
      <c r="BB181" s="3721">
        <v>0</v>
      </c>
      <c r="BC181" s="2110">
        <v>6</v>
      </c>
      <c r="BD181" s="2110">
        <v>0</v>
      </c>
      <c r="BE181" s="2110">
        <v>12</v>
      </c>
      <c r="BF181" s="2110"/>
      <c r="BG181" s="2110"/>
      <c r="BK181" s="32" t="s">
        <v>1080</v>
      </c>
      <c r="BL181" s="3871"/>
      <c r="BM181" s="3871"/>
      <c r="BN181" s="3871"/>
      <c r="BO181" s="3871"/>
      <c r="BP181" s="3871"/>
      <c r="BQ181" s="3871">
        <v>0</v>
      </c>
      <c r="BR181" s="3871">
        <v>2</v>
      </c>
      <c r="BS181" s="3871"/>
      <c r="BT181" s="1518"/>
      <c r="BU181" s="1518">
        <v>2</v>
      </c>
      <c r="BX181" s="36"/>
      <c r="BY181" s="36"/>
      <c r="BZ181" s="36"/>
      <c r="CA181" s="36" t="s">
        <v>1163</v>
      </c>
      <c r="CB181" s="1681">
        <v>0</v>
      </c>
      <c r="CC181" s="1681"/>
      <c r="CD181" s="1681">
        <v>0</v>
      </c>
      <c r="CE181" s="1681"/>
      <c r="CF181" s="1681"/>
      <c r="CG181" s="1681">
        <v>7</v>
      </c>
      <c r="CH181" s="1681">
        <v>0</v>
      </c>
      <c r="CI181" s="1681">
        <v>0</v>
      </c>
      <c r="CJ181" s="95"/>
      <c r="CK181" s="95"/>
      <c r="CL181" s="95">
        <v>7</v>
      </c>
      <c r="CM181" s="36"/>
      <c r="CO181" s="37"/>
      <c r="CP181" s="37"/>
      <c r="CQ181" s="37"/>
      <c r="CR181" s="37" t="s">
        <v>1080</v>
      </c>
      <c r="CS181" s="1678"/>
      <c r="CT181" s="1678"/>
      <c r="CU181" s="1678"/>
      <c r="CV181" s="1678"/>
      <c r="CW181" s="1678"/>
      <c r="CX181" s="1678"/>
      <c r="CY181" s="1678">
        <v>0</v>
      </c>
      <c r="CZ181" s="1678">
        <v>0</v>
      </c>
      <c r="DA181" s="1678">
        <v>9</v>
      </c>
      <c r="DB181" s="63"/>
      <c r="DC181" s="63"/>
      <c r="DD181" s="63">
        <v>9</v>
      </c>
      <c r="DG181" s="95"/>
      <c r="DH181" s="95"/>
      <c r="DI181" s="36"/>
      <c r="DJ181" s="36" t="s">
        <v>1163</v>
      </c>
      <c r="DK181" s="1484"/>
      <c r="DL181" s="1484"/>
      <c r="DM181" s="1484">
        <v>0</v>
      </c>
      <c r="DN181" s="1484"/>
      <c r="DO181" s="1484"/>
      <c r="DP181" s="1484">
        <v>0</v>
      </c>
      <c r="DQ181" s="1484">
        <v>3</v>
      </c>
      <c r="DR181" s="1484">
        <v>6</v>
      </c>
      <c r="DS181" s="1484">
        <v>0</v>
      </c>
      <c r="DT181" s="95"/>
      <c r="DU181" s="95"/>
      <c r="DV181" s="95">
        <v>9</v>
      </c>
      <c r="DW181" s="95"/>
      <c r="DY181" s="1209"/>
      <c r="DZ181" s="1209"/>
      <c r="EA181" s="1210"/>
      <c r="EB181" s="415" t="s">
        <v>15</v>
      </c>
      <c r="EC181" s="1215">
        <v>1</v>
      </c>
      <c r="ED181" s="1214"/>
      <c r="EE181" s="1214"/>
      <c r="EF181" s="1214"/>
      <c r="EG181" s="1214"/>
      <c r="EH181" s="1215">
        <v>15</v>
      </c>
      <c r="EI181" s="1215">
        <v>5</v>
      </c>
      <c r="EJ181" s="1215">
        <v>7</v>
      </c>
      <c r="EK181" s="620"/>
      <c r="EL181" s="620"/>
      <c r="EM181" s="621">
        <v>28</v>
      </c>
      <c r="EN181" s="1178">
        <f>+(EM178+EM180)/EM181</f>
        <v>0.6071428571428571</v>
      </c>
      <c r="EP181" s="527"/>
      <c r="EQ181" s="527"/>
      <c r="ER181" s="528"/>
      <c r="ES181" s="555" t="s">
        <v>15</v>
      </c>
      <c r="ET181" s="557">
        <v>1</v>
      </c>
      <c r="EU181" s="557">
        <v>1</v>
      </c>
      <c r="EV181" s="557">
        <v>1</v>
      </c>
      <c r="EW181" s="557">
        <v>1</v>
      </c>
      <c r="EX181" s="557">
        <v>2</v>
      </c>
      <c r="EY181" s="557">
        <v>27</v>
      </c>
      <c r="EZ181" s="557">
        <v>5</v>
      </c>
      <c r="FA181" s="557">
        <v>1</v>
      </c>
      <c r="FB181" s="558"/>
      <c r="FC181" s="558"/>
      <c r="FD181" s="559">
        <v>39</v>
      </c>
      <c r="FE181" s="560">
        <f>+FD180/FD181</f>
        <v>2.564102564102564E-2</v>
      </c>
      <c r="FG181" s="533"/>
      <c r="FH181" s="533"/>
      <c r="FI181" s="533"/>
      <c r="FJ181" s="534" t="s">
        <v>1076</v>
      </c>
      <c r="FK181" s="535"/>
      <c r="FL181" s="536">
        <v>0</v>
      </c>
      <c r="FM181" s="535"/>
      <c r="FN181" s="535"/>
      <c r="FO181" s="535"/>
      <c r="FP181" s="535"/>
      <c r="FQ181" s="536">
        <v>0</v>
      </c>
      <c r="FR181" s="536">
        <v>1</v>
      </c>
      <c r="FS181" s="535"/>
      <c r="FT181" s="537"/>
      <c r="FU181" s="537"/>
      <c r="FV181" s="538">
        <v>1</v>
      </c>
      <c r="FW181" s="539"/>
      <c r="GP181" s="63"/>
      <c r="HF181" s="37"/>
      <c r="HG181" s="448"/>
      <c r="HH181" s="448"/>
      <c r="HI181" s="448"/>
      <c r="HJ181" s="448"/>
      <c r="HK181" s="448"/>
      <c r="HL181" s="448"/>
      <c r="HM181" s="448"/>
      <c r="HN181" s="448"/>
      <c r="HO181" s="448"/>
      <c r="HP181" s="448"/>
      <c r="HQ181" s="448"/>
      <c r="HR181" s="448"/>
      <c r="HS181" s="448"/>
      <c r="HT181" s="448"/>
      <c r="HU181" s="448"/>
      <c r="HV181" s="507"/>
      <c r="HW181" s="446"/>
      <c r="HX181" s="446"/>
    </row>
    <row r="182" spans="1:232">
      <c r="A182" s="5682"/>
      <c r="B182" s="5682"/>
      <c r="C182" s="5683"/>
      <c r="D182" s="5685"/>
      <c r="E182" s="5686">
        <f>SUM(E180:E181)</f>
        <v>3</v>
      </c>
      <c r="F182" s="5682"/>
      <c r="G182" s="4921">
        <f>(E180+E181)/(E182)</f>
        <v>1</v>
      </c>
      <c r="I182" s="4915">
        <v>2</v>
      </c>
      <c r="J182" s="4915">
        <v>3</v>
      </c>
      <c r="K182" s="4916" t="s">
        <v>440</v>
      </c>
      <c r="L182" s="4916" t="s">
        <v>2731</v>
      </c>
      <c r="M182" s="4915">
        <v>3</v>
      </c>
      <c r="N182" s="4915">
        <v>8</v>
      </c>
      <c r="O182" s="157"/>
      <c r="Q182" s="4705">
        <v>3</v>
      </c>
      <c r="R182" s="4705">
        <v>2</v>
      </c>
      <c r="S182" s="4706" t="s">
        <v>2739</v>
      </c>
      <c r="T182" s="4708" t="s">
        <v>2707</v>
      </c>
      <c r="U182" s="4709">
        <v>1</v>
      </c>
      <c r="V182" s="4709">
        <v>6</v>
      </c>
      <c r="W182" s="4722"/>
      <c r="Y182" s="36"/>
      <c r="Z182" s="36"/>
      <c r="AA182" s="36"/>
      <c r="AB182" s="36" t="s">
        <v>1076</v>
      </c>
      <c r="AC182" s="1681"/>
      <c r="AD182" s="1681"/>
      <c r="AE182" s="1681"/>
      <c r="AF182" s="1681">
        <v>7</v>
      </c>
      <c r="AG182" s="1681">
        <v>3</v>
      </c>
      <c r="AH182" s="1681"/>
      <c r="AI182" s="1681"/>
      <c r="AJ182" s="1681"/>
      <c r="AK182" s="1681"/>
      <c r="AL182" s="95"/>
      <c r="AM182" s="95">
        <v>10</v>
      </c>
      <c r="AN182" s="4545"/>
      <c r="AS182" s="3868" t="s">
        <v>1076</v>
      </c>
      <c r="AT182" s="3721">
        <v>0</v>
      </c>
      <c r="AU182" s="3721"/>
      <c r="AV182" s="3721"/>
      <c r="AW182" s="3721">
        <v>0</v>
      </c>
      <c r="AX182" s="3721"/>
      <c r="AY182" s="3721"/>
      <c r="AZ182" s="3721">
        <v>8</v>
      </c>
      <c r="BA182" s="3721">
        <v>6</v>
      </c>
      <c r="BB182" s="3721">
        <v>0</v>
      </c>
      <c r="BC182" s="2110">
        <v>0</v>
      </c>
      <c r="BD182" s="2110">
        <v>0</v>
      </c>
      <c r="BE182" s="2110">
        <v>14</v>
      </c>
      <c r="BF182" s="2110"/>
      <c r="BG182" s="2110"/>
      <c r="BK182" s="1520" t="s">
        <v>15</v>
      </c>
      <c r="BL182" s="3872"/>
      <c r="BM182" s="3872"/>
      <c r="BN182" s="3872"/>
      <c r="BO182" s="3872"/>
      <c r="BP182" s="3872"/>
      <c r="BQ182" s="3872">
        <v>12</v>
      </c>
      <c r="BR182" s="3872">
        <v>4</v>
      </c>
      <c r="BS182" s="3872"/>
      <c r="BT182" s="3806"/>
      <c r="BU182" s="3806">
        <v>16</v>
      </c>
      <c r="BV182" s="3807">
        <f>+BU180/BU182</f>
        <v>0.6875</v>
      </c>
      <c r="BX182" s="36"/>
      <c r="BY182" s="36"/>
      <c r="BZ182" s="36"/>
      <c r="CA182" s="393" t="s">
        <v>15</v>
      </c>
      <c r="CB182" s="1682">
        <v>1</v>
      </c>
      <c r="CC182" s="1682"/>
      <c r="CD182" s="1682">
        <v>1</v>
      </c>
      <c r="CE182" s="1682"/>
      <c r="CF182" s="1682"/>
      <c r="CG182" s="1682">
        <v>7</v>
      </c>
      <c r="CH182" s="1682">
        <v>1</v>
      </c>
      <c r="CI182" s="1682">
        <v>5</v>
      </c>
      <c r="CJ182" s="2041"/>
      <c r="CK182" s="2041"/>
      <c r="CL182" s="2041">
        <v>15</v>
      </c>
      <c r="CM182" s="560">
        <f>+CL181/CL182</f>
        <v>0.46666666666666667</v>
      </c>
      <c r="CN182" s="1665"/>
      <c r="CO182" s="37"/>
      <c r="CP182" s="37"/>
      <c r="CQ182" s="37"/>
      <c r="CR182" s="416" t="s">
        <v>15</v>
      </c>
      <c r="CS182" s="1679"/>
      <c r="CT182" s="1679"/>
      <c r="CU182" s="1679"/>
      <c r="CV182" s="1679"/>
      <c r="CW182" s="1679"/>
      <c r="CX182" s="1679"/>
      <c r="CY182" s="1679">
        <v>1</v>
      </c>
      <c r="CZ182" s="1679">
        <v>4</v>
      </c>
      <c r="DA182" s="1679">
        <v>9</v>
      </c>
      <c r="DB182" s="386"/>
      <c r="DC182" s="386"/>
      <c r="DD182" s="386">
        <v>14</v>
      </c>
      <c r="DE182" s="2045">
        <f>+DD180/DD182</f>
        <v>0.35714285714285715</v>
      </c>
      <c r="DG182" s="95"/>
      <c r="DH182" s="95"/>
      <c r="DI182" s="36"/>
      <c r="DJ182" s="393" t="s">
        <v>15</v>
      </c>
      <c r="DK182" s="1485"/>
      <c r="DL182" s="1485"/>
      <c r="DM182" s="1485">
        <v>1</v>
      </c>
      <c r="DN182" s="1485"/>
      <c r="DO182" s="1485"/>
      <c r="DP182" s="1485">
        <v>1</v>
      </c>
      <c r="DQ182" s="1485">
        <v>3</v>
      </c>
      <c r="DR182" s="1485">
        <v>10</v>
      </c>
      <c r="DS182" s="1485">
        <v>2</v>
      </c>
      <c r="DT182" s="86"/>
      <c r="DU182" s="86"/>
      <c r="DV182" s="86">
        <v>17</v>
      </c>
      <c r="DW182" s="560">
        <f>+(DV179+DV181)/DV182</f>
        <v>0.70588235294117652</v>
      </c>
      <c r="DY182" s="1209"/>
      <c r="DZ182" s="1209"/>
      <c r="EA182" s="1210" t="s">
        <v>129</v>
      </c>
      <c r="EB182" s="1211" t="s">
        <v>1072</v>
      </c>
      <c r="EC182" s="1212"/>
      <c r="ED182" s="1212"/>
      <c r="EE182" s="1212"/>
      <c r="EF182" s="1212"/>
      <c r="EG182" s="1212"/>
      <c r="EH182" s="1213">
        <v>1</v>
      </c>
      <c r="EI182" s="1213">
        <v>4</v>
      </c>
      <c r="EJ182" s="1213">
        <v>0</v>
      </c>
      <c r="EK182" s="611"/>
      <c r="EL182" s="611"/>
      <c r="EM182" s="612">
        <v>5</v>
      </c>
      <c r="EN182" s="36"/>
      <c r="EP182" s="527"/>
      <c r="EQ182" s="527"/>
      <c r="ER182" s="528" t="s">
        <v>132</v>
      </c>
      <c r="ES182" s="529" t="s">
        <v>1072</v>
      </c>
      <c r="ET182" s="531">
        <v>2</v>
      </c>
      <c r="EU182" s="531">
        <v>1</v>
      </c>
      <c r="EV182" s="531">
        <v>1</v>
      </c>
      <c r="EW182" s="531">
        <v>1</v>
      </c>
      <c r="EX182" s="530"/>
      <c r="EY182" s="531">
        <v>11</v>
      </c>
      <c r="EZ182" s="531">
        <v>4</v>
      </c>
      <c r="FA182" s="531">
        <v>0</v>
      </c>
      <c r="FB182" s="527"/>
      <c r="FC182" s="527"/>
      <c r="FD182" s="532">
        <v>20</v>
      </c>
      <c r="FE182" s="95"/>
      <c r="FG182" s="533"/>
      <c r="FH182" s="533"/>
      <c r="FI182" s="533"/>
      <c r="FJ182" s="534" t="s">
        <v>1081</v>
      </c>
      <c r="FK182" s="535"/>
      <c r="FL182" s="536">
        <v>0</v>
      </c>
      <c r="FM182" s="535"/>
      <c r="FN182" s="535"/>
      <c r="FO182" s="535"/>
      <c r="FP182" s="535"/>
      <c r="FQ182" s="536">
        <v>3</v>
      </c>
      <c r="FR182" s="536">
        <v>2</v>
      </c>
      <c r="FS182" s="535"/>
      <c r="FT182" s="537"/>
      <c r="FU182" s="537"/>
      <c r="FV182" s="538">
        <v>5</v>
      </c>
      <c r="FW182" s="539"/>
      <c r="FZ182" s="119"/>
      <c r="GC182" s="6999" t="s">
        <v>1138</v>
      </c>
      <c r="GD182" s="6999"/>
      <c r="GE182" s="6999"/>
      <c r="GF182" s="6999"/>
      <c r="GG182" s="6999"/>
      <c r="GH182" s="6999"/>
      <c r="GI182" s="6999"/>
      <c r="GJ182" s="6999"/>
      <c r="GK182" s="6999"/>
      <c r="GL182" s="6999"/>
      <c r="GP182" s="63"/>
      <c r="GT182" s="6999" t="s">
        <v>1138</v>
      </c>
      <c r="GU182" s="6999"/>
      <c r="GV182" s="6999"/>
      <c r="GW182" s="6999"/>
      <c r="GX182" s="6999"/>
      <c r="GY182" s="6999"/>
      <c r="GZ182" s="6999"/>
      <c r="HA182" s="6999"/>
      <c r="HB182" s="6999"/>
      <c r="HC182" s="6999"/>
      <c r="HF182" s="37"/>
      <c r="HG182" s="446"/>
      <c r="HH182" s="446"/>
      <c r="HI182" s="446"/>
      <c r="HJ182" s="446"/>
      <c r="HK182" s="7012" t="s">
        <v>1138</v>
      </c>
      <c r="HL182" s="7012"/>
      <c r="HM182" s="7012"/>
      <c r="HN182" s="7012"/>
      <c r="HO182" s="7012"/>
      <c r="HP182" s="7012"/>
      <c r="HQ182" s="7012"/>
      <c r="HR182" s="7012"/>
      <c r="HS182" s="7012"/>
      <c r="HT182" s="7012"/>
      <c r="HU182" s="7012"/>
      <c r="HV182" s="447"/>
      <c r="HW182" s="446"/>
      <c r="HX182" s="446"/>
    </row>
    <row r="183" spans="1:232" ht="28.2" thickBot="1">
      <c r="A183" s="5682">
        <v>2</v>
      </c>
      <c r="B183" s="5682">
        <v>2</v>
      </c>
      <c r="C183" s="5683" t="s">
        <v>2058</v>
      </c>
      <c r="D183" s="5683" t="s">
        <v>2731</v>
      </c>
      <c r="E183" s="5682">
        <v>2</v>
      </c>
      <c r="F183" s="5682">
        <v>10</v>
      </c>
      <c r="I183" s="4915">
        <v>2</v>
      </c>
      <c r="J183" s="4915">
        <v>3</v>
      </c>
      <c r="K183" s="4916" t="s">
        <v>440</v>
      </c>
      <c r="L183" s="4917" t="s">
        <v>1076</v>
      </c>
      <c r="M183" s="4922">
        <v>1</v>
      </c>
      <c r="N183" s="4915">
        <v>7</v>
      </c>
      <c r="O183" s="157"/>
      <c r="Q183" s="4705">
        <v>3</v>
      </c>
      <c r="R183" s="4705">
        <v>2</v>
      </c>
      <c r="S183" s="4706" t="s">
        <v>2739</v>
      </c>
      <c r="T183" s="4708" t="s">
        <v>2707</v>
      </c>
      <c r="U183" s="4709">
        <v>6</v>
      </c>
      <c r="V183" s="4709">
        <v>7</v>
      </c>
      <c r="W183" s="4722"/>
      <c r="Y183" s="36"/>
      <c r="Z183" s="36"/>
      <c r="AA183" s="36"/>
      <c r="AB183" s="36" t="s">
        <v>1077</v>
      </c>
      <c r="AC183" s="1681"/>
      <c r="AD183" s="1681"/>
      <c r="AE183" s="1681"/>
      <c r="AF183" s="1681">
        <v>1</v>
      </c>
      <c r="AG183" s="1681">
        <v>0</v>
      </c>
      <c r="AH183" s="1681"/>
      <c r="AI183" s="1681"/>
      <c r="AJ183" s="1681"/>
      <c r="AK183" s="1681"/>
      <c r="AL183" s="95"/>
      <c r="AM183" s="95">
        <v>1</v>
      </c>
      <c r="AN183" s="4545"/>
      <c r="AS183" s="3868" t="s">
        <v>1077</v>
      </c>
      <c r="AT183" s="3721">
        <v>0</v>
      </c>
      <c r="AU183" s="3721"/>
      <c r="AV183" s="3721"/>
      <c r="AW183" s="3721">
        <v>3</v>
      </c>
      <c r="AX183" s="3721"/>
      <c r="AY183" s="3721"/>
      <c r="AZ183" s="3721">
        <v>0</v>
      </c>
      <c r="BA183" s="3721">
        <v>0</v>
      </c>
      <c r="BB183" s="3721">
        <v>0</v>
      </c>
      <c r="BC183" s="2110">
        <v>0</v>
      </c>
      <c r="BD183" s="2110">
        <v>0</v>
      </c>
      <c r="BE183" s="2110">
        <v>3</v>
      </c>
      <c r="BF183" s="2110"/>
      <c r="BG183" s="2110"/>
      <c r="BJ183" s="32" t="s">
        <v>129</v>
      </c>
      <c r="BK183" s="32" t="s">
        <v>1076</v>
      </c>
      <c r="BL183" s="3871"/>
      <c r="BM183" s="3871"/>
      <c r="BN183" s="3871"/>
      <c r="BO183" s="3871"/>
      <c r="BP183" s="3871"/>
      <c r="BQ183" s="3871">
        <v>1</v>
      </c>
      <c r="BR183" s="3871">
        <v>5</v>
      </c>
      <c r="BS183" s="3871"/>
      <c r="BT183" s="1518"/>
      <c r="BU183" s="1518">
        <v>6</v>
      </c>
      <c r="BX183" s="36"/>
      <c r="BY183" s="36"/>
      <c r="BZ183" s="36" t="s">
        <v>129</v>
      </c>
      <c r="CA183" s="36" t="s">
        <v>1072</v>
      </c>
      <c r="CB183" s="1681"/>
      <c r="CC183" s="1681"/>
      <c r="CD183" s="1681"/>
      <c r="CE183" s="1681"/>
      <c r="CF183" s="1681"/>
      <c r="CG183" s="1681">
        <v>2</v>
      </c>
      <c r="CH183" s="1681">
        <v>0</v>
      </c>
      <c r="CI183" s="1681">
        <v>0</v>
      </c>
      <c r="CJ183" s="95"/>
      <c r="CK183" s="95"/>
      <c r="CL183" s="95">
        <v>2</v>
      </c>
      <c r="CM183" s="36"/>
      <c r="CO183" s="37"/>
      <c r="CP183" s="37"/>
      <c r="CQ183" s="37" t="s">
        <v>128</v>
      </c>
      <c r="CR183" s="37" t="s">
        <v>1072</v>
      </c>
      <c r="CS183" s="1678"/>
      <c r="CT183" s="1678"/>
      <c r="CU183" s="1678">
        <v>1</v>
      </c>
      <c r="CV183" s="1678"/>
      <c r="CW183" s="1678"/>
      <c r="CX183" s="1678"/>
      <c r="CY183" s="1678">
        <v>0</v>
      </c>
      <c r="CZ183" s="1678">
        <v>1</v>
      </c>
      <c r="DA183" s="1678">
        <v>0</v>
      </c>
      <c r="DB183" s="63"/>
      <c r="DC183" s="63"/>
      <c r="DD183" s="63">
        <v>2</v>
      </c>
      <c r="DG183" s="95"/>
      <c r="DH183" s="95"/>
      <c r="DI183" s="36" t="s">
        <v>130</v>
      </c>
      <c r="DJ183" s="36" t="s">
        <v>1072</v>
      </c>
      <c r="DK183" s="1484"/>
      <c r="DL183" s="1484"/>
      <c r="DM183" s="1484"/>
      <c r="DN183" s="1484"/>
      <c r="DO183" s="1484"/>
      <c r="DP183" s="1484"/>
      <c r="DQ183" s="1484">
        <v>2</v>
      </c>
      <c r="DR183" s="1484">
        <v>2</v>
      </c>
      <c r="DS183" s="1484">
        <v>0</v>
      </c>
      <c r="DT183" s="95"/>
      <c r="DU183" s="95"/>
      <c r="DV183" s="95">
        <v>4</v>
      </c>
      <c r="DW183" s="95"/>
      <c r="DY183" s="1209"/>
      <c r="DZ183" s="1209"/>
      <c r="EA183" s="1210"/>
      <c r="EB183" s="1211" t="s">
        <v>1076</v>
      </c>
      <c r="EC183" s="1212"/>
      <c r="ED183" s="1212"/>
      <c r="EE183" s="1212"/>
      <c r="EF183" s="1212"/>
      <c r="EG183" s="1212"/>
      <c r="EH183" s="1213">
        <v>1</v>
      </c>
      <c r="EI183" s="1213">
        <v>2</v>
      </c>
      <c r="EJ183" s="1213">
        <v>0</v>
      </c>
      <c r="EK183" s="611"/>
      <c r="EL183" s="611"/>
      <c r="EM183" s="612">
        <v>3</v>
      </c>
      <c r="EN183" s="36"/>
      <c r="EP183" s="527"/>
      <c r="EQ183" s="527"/>
      <c r="ER183" s="528"/>
      <c r="ES183" s="529" t="s">
        <v>1074</v>
      </c>
      <c r="ET183" s="531">
        <v>1</v>
      </c>
      <c r="EU183" s="531">
        <v>0</v>
      </c>
      <c r="EV183" s="531">
        <v>0</v>
      </c>
      <c r="EW183" s="531">
        <v>0</v>
      </c>
      <c r="EX183" s="530"/>
      <c r="EY183" s="531">
        <v>0</v>
      </c>
      <c r="EZ183" s="531">
        <v>0</v>
      </c>
      <c r="FA183" s="531">
        <v>0</v>
      </c>
      <c r="FB183" s="527"/>
      <c r="FC183" s="527"/>
      <c r="FD183" s="532">
        <v>1</v>
      </c>
      <c r="FE183" s="95"/>
      <c r="FG183" s="533"/>
      <c r="FH183" s="533"/>
      <c r="FI183" s="533"/>
      <c r="FJ183" s="534" t="s">
        <v>1163</v>
      </c>
      <c r="FK183" s="535"/>
      <c r="FL183" s="536">
        <v>0</v>
      </c>
      <c r="FM183" s="535"/>
      <c r="FN183" s="535"/>
      <c r="FO183" s="535"/>
      <c r="FP183" s="535"/>
      <c r="FQ183" s="536">
        <v>4</v>
      </c>
      <c r="FR183" s="536">
        <v>1</v>
      </c>
      <c r="FS183" s="535"/>
      <c r="FT183" s="537"/>
      <c r="FU183" s="537"/>
      <c r="FV183" s="538">
        <v>5</v>
      </c>
      <c r="FW183" s="539"/>
      <c r="FY183" s="47" t="s">
        <v>0</v>
      </c>
      <c r="GA183" s="47" t="s">
        <v>1</v>
      </c>
      <c r="GB183" s="47" t="s">
        <v>1070</v>
      </c>
      <c r="GC183" s="47">
        <v>1</v>
      </c>
      <c r="GD183" s="47">
        <v>2</v>
      </c>
      <c r="GE183" s="47">
        <v>3</v>
      </c>
      <c r="GF183" s="47">
        <v>4</v>
      </c>
      <c r="GG183" s="47">
        <v>5</v>
      </c>
      <c r="GH183" s="47">
        <v>6</v>
      </c>
      <c r="GI183" s="47">
        <v>7</v>
      </c>
      <c r="GJ183" s="47">
        <v>8</v>
      </c>
      <c r="GK183" s="47">
        <v>9</v>
      </c>
      <c r="GL183" s="47">
        <v>10</v>
      </c>
      <c r="GM183" s="47" t="s">
        <v>15</v>
      </c>
      <c r="GN183" s="47" t="s">
        <v>66</v>
      </c>
      <c r="GP183" s="63"/>
      <c r="GQ183" s="47" t="s">
        <v>0</v>
      </c>
      <c r="GR183" s="47" t="s">
        <v>1</v>
      </c>
      <c r="GS183" s="47" t="s">
        <v>1070</v>
      </c>
      <c r="GT183" s="47">
        <v>1</v>
      </c>
      <c r="GU183" s="47">
        <v>2</v>
      </c>
      <c r="GV183" s="47">
        <v>3</v>
      </c>
      <c r="GW183" s="47">
        <v>4</v>
      </c>
      <c r="GX183" s="47">
        <v>5</v>
      </c>
      <c r="GY183" s="47">
        <v>6</v>
      </c>
      <c r="GZ183" s="47">
        <v>7</v>
      </c>
      <c r="HA183" s="47">
        <v>8</v>
      </c>
      <c r="HB183" s="47">
        <v>9</v>
      </c>
      <c r="HC183" s="47">
        <v>10</v>
      </c>
      <c r="HD183" s="47" t="s">
        <v>15</v>
      </c>
      <c r="HE183" s="47" t="s">
        <v>66</v>
      </c>
      <c r="HF183" s="37"/>
      <c r="HG183" s="446"/>
      <c r="HH183" s="470" t="s">
        <v>0</v>
      </c>
      <c r="HI183" s="470" t="s">
        <v>1</v>
      </c>
      <c r="HJ183" s="470" t="s">
        <v>1140</v>
      </c>
      <c r="HK183" s="470">
        <v>0</v>
      </c>
      <c r="HL183" s="470">
        <v>1</v>
      </c>
      <c r="HM183" s="470">
        <v>2</v>
      </c>
      <c r="HN183" s="470">
        <v>3</v>
      </c>
      <c r="HO183" s="470">
        <v>4</v>
      </c>
      <c r="HP183" s="470">
        <v>5</v>
      </c>
      <c r="HQ183" s="470">
        <v>6</v>
      </c>
      <c r="HR183" s="470">
        <v>7</v>
      </c>
      <c r="HS183" s="470">
        <v>8</v>
      </c>
      <c r="HT183" s="470">
        <v>9</v>
      </c>
      <c r="HU183" s="470">
        <v>10</v>
      </c>
      <c r="HV183" s="470" t="s">
        <v>15</v>
      </c>
      <c r="HW183" s="500" t="s">
        <v>66</v>
      </c>
      <c r="HX183" s="499" t="s">
        <v>1141</v>
      </c>
    </row>
    <row r="184" spans="1:232">
      <c r="A184" s="5682">
        <v>2</v>
      </c>
      <c r="B184" s="5682">
        <v>2</v>
      </c>
      <c r="C184" s="5683" t="s">
        <v>2058</v>
      </c>
      <c r="D184" s="5683" t="s">
        <v>2703</v>
      </c>
      <c r="E184" s="5682">
        <v>1</v>
      </c>
      <c r="F184" s="5682">
        <v>1</v>
      </c>
      <c r="I184" s="4915">
        <v>2</v>
      </c>
      <c r="J184" s="4915">
        <v>3</v>
      </c>
      <c r="K184" s="4916" t="s">
        <v>440</v>
      </c>
      <c r="L184" s="4916" t="s">
        <v>2709</v>
      </c>
      <c r="M184" s="4915">
        <v>1</v>
      </c>
      <c r="N184" s="4915">
        <v>7</v>
      </c>
      <c r="O184" s="157"/>
      <c r="Q184" s="4705">
        <v>3</v>
      </c>
      <c r="R184" s="4705">
        <v>2</v>
      </c>
      <c r="S184" s="4706" t="s">
        <v>2739</v>
      </c>
      <c r="T184" s="4708" t="s">
        <v>1076</v>
      </c>
      <c r="U184" s="4709">
        <v>1</v>
      </c>
      <c r="V184" s="4709">
        <v>6</v>
      </c>
      <c r="W184" s="4722"/>
      <c r="Y184" s="36"/>
      <c r="Z184" s="36"/>
      <c r="AA184" s="36"/>
      <c r="AB184" s="36" t="s">
        <v>1081</v>
      </c>
      <c r="AC184" s="1681"/>
      <c r="AD184" s="1681"/>
      <c r="AE184" s="1681"/>
      <c r="AF184" s="1681">
        <v>5</v>
      </c>
      <c r="AG184" s="1681">
        <v>4</v>
      </c>
      <c r="AH184" s="1681"/>
      <c r="AI184" s="1681"/>
      <c r="AJ184" s="1681"/>
      <c r="AK184" s="1681"/>
      <c r="AL184" s="95"/>
      <c r="AM184" s="95">
        <v>9</v>
      </c>
      <c r="AN184" s="4545"/>
      <c r="AS184" s="3868" t="s">
        <v>1080</v>
      </c>
      <c r="AT184" s="3721">
        <v>0</v>
      </c>
      <c r="AU184" s="3721"/>
      <c r="AV184" s="3721"/>
      <c r="AW184" s="3721">
        <v>0</v>
      </c>
      <c r="AX184" s="3721"/>
      <c r="AY184" s="3721"/>
      <c r="AZ184" s="3721">
        <v>0</v>
      </c>
      <c r="BA184" s="3721">
        <v>3</v>
      </c>
      <c r="BB184" s="3721">
        <v>0</v>
      </c>
      <c r="BC184" s="2110">
        <v>1</v>
      </c>
      <c r="BD184" s="2110">
        <v>1</v>
      </c>
      <c r="BE184" s="2110">
        <v>5</v>
      </c>
      <c r="BF184" s="2110"/>
      <c r="BG184" s="2110"/>
      <c r="BK184" s="32" t="s">
        <v>1080</v>
      </c>
      <c r="BL184" s="3871"/>
      <c r="BM184" s="3871"/>
      <c r="BN184" s="3871"/>
      <c r="BO184" s="3871"/>
      <c r="BP184" s="3871"/>
      <c r="BQ184" s="3871">
        <v>0</v>
      </c>
      <c r="BR184" s="3871">
        <v>3</v>
      </c>
      <c r="BS184" s="3871"/>
      <c r="BT184" s="1518"/>
      <c r="BU184" s="1518">
        <v>3</v>
      </c>
      <c r="BX184" s="36"/>
      <c r="BY184" s="36"/>
      <c r="BZ184" s="36"/>
      <c r="CA184" s="36" t="s">
        <v>1076</v>
      </c>
      <c r="CB184" s="1681"/>
      <c r="CC184" s="1681"/>
      <c r="CD184" s="1681"/>
      <c r="CE184" s="1681"/>
      <c r="CF184" s="1681"/>
      <c r="CG184" s="1681">
        <v>2</v>
      </c>
      <c r="CH184" s="1681">
        <v>8</v>
      </c>
      <c r="CI184" s="1681">
        <v>0</v>
      </c>
      <c r="CJ184" s="95"/>
      <c r="CK184" s="95"/>
      <c r="CL184" s="95">
        <v>10</v>
      </c>
      <c r="CM184" s="36"/>
      <c r="CO184" s="37"/>
      <c r="CP184" s="37"/>
      <c r="CQ184" s="37"/>
      <c r="CR184" s="37" t="s">
        <v>1080</v>
      </c>
      <c r="CS184" s="1678"/>
      <c r="CT184" s="1678"/>
      <c r="CU184" s="1678">
        <v>0</v>
      </c>
      <c r="CV184" s="1678"/>
      <c r="CW184" s="1678"/>
      <c r="CX184" s="1678"/>
      <c r="CY184" s="1678">
        <v>0</v>
      </c>
      <c r="CZ184" s="1678">
        <v>1</v>
      </c>
      <c r="DA184" s="1678">
        <v>2</v>
      </c>
      <c r="DB184" s="63"/>
      <c r="DC184" s="63"/>
      <c r="DD184" s="63">
        <v>3</v>
      </c>
      <c r="DG184" s="95"/>
      <c r="DH184" s="95"/>
      <c r="DI184" s="36"/>
      <c r="DJ184" s="36" t="s">
        <v>1076</v>
      </c>
      <c r="DK184" s="1484"/>
      <c r="DL184" s="1484"/>
      <c r="DM184" s="1484"/>
      <c r="DN184" s="1484"/>
      <c r="DO184" s="1484"/>
      <c r="DP184" s="1484"/>
      <c r="DQ184" s="1484">
        <v>0</v>
      </c>
      <c r="DR184" s="1484">
        <v>5</v>
      </c>
      <c r="DS184" s="1484">
        <v>0</v>
      </c>
      <c r="DT184" s="95"/>
      <c r="DU184" s="95"/>
      <c r="DV184" s="95">
        <v>5</v>
      </c>
      <c r="DW184" s="95"/>
      <c r="DY184" s="1209"/>
      <c r="DZ184" s="1209"/>
      <c r="EA184" s="1210"/>
      <c r="EB184" s="1211" t="s">
        <v>1080</v>
      </c>
      <c r="EC184" s="1212"/>
      <c r="ED184" s="1212"/>
      <c r="EE184" s="1212"/>
      <c r="EF184" s="1212"/>
      <c r="EG184" s="1212"/>
      <c r="EH184" s="1213">
        <v>0</v>
      </c>
      <c r="EI184" s="1213">
        <v>0</v>
      </c>
      <c r="EJ184" s="1213">
        <v>4</v>
      </c>
      <c r="EK184" s="611"/>
      <c r="EL184" s="611"/>
      <c r="EM184" s="612">
        <v>4</v>
      </c>
      <c r="EN184" s="36"/>
      <c r="EP184" s="527"/>
      <c r="EQ184" s="527"/>
      <c r="ER184" s="528"/>
      <c r="ES184" s="529" t="s">
        <v>1076</v>
      </c>
      <c r="ET184" s="531">
        <v>0</v>
      </c>
      <c r="EU184" s="531">
        <v>0</v>
      </c>
      <c r="EV184" s="531">
        <v>0</v>
      </c>
      <c r="EW184" s="531">
        <v>0</v>
      </c>
      <c r="EX184" s="530"/>
      <c r="EY184" s="531">
        <v>1</v>
      </c>
      <c r="EZ184" s="531">
        <v>0</v>
      </c>
      <c r="FA184" s="531">
        <v>0</v>
      </c>
      <c r="FB184" s="527"/>
      <c r="FC184" s="527"/>
      <c r="FD184" s="532">
        <v>1</v>
      </c>
      <c r="FE184" s="95"/>
      <c r="FG184" s="533"/>
      <c r="FH184" s="533"/>
      <c r="FI184" s="533"/>
      <c r="FJ184" s="545" t="s">
        <v>15</v>
      </c>
      <c r="FK184" s="546"/>
      <c r="FL184" s="547">
        <v>1</v>
      </c>
      <c r="FM184" s="546"/>
      <c r="FN184" s="546"/>
      <c r="FO184" s="546"/>
      <c r="FP184" s="546"/>
      <c r="FQ184" s="547">
        <v>7</v>
      </c>
      <c r="FR184" s="547">
        <v>6</v>
      </c>
      <c r="FS184" s="546"/>
      <c r="FT184" s="548"/>
      <c r="FU184" s="548"/>
      <c r="FV184" s="549">
        <v>14</v>
      </c>
      <c r="FW184" s="539">
        <f>+(FV183+FV182+FV181)/FV184</f>
        <v>0.7857142857142857</v>
      </c>
      <c r="FY184" s="540" t="s">
        <v>3</v>
      </c>
      <c r="GA184" s="540" t="s">
        <v>482</v>
      </c>
      <c r="GB184" s="541" t="s">
        <v>1071</v>
      </c>
      <c r="GC184" s="542"/>
      <c r="GD184" s="542"/>
      <c r="GE184" s="543">
        <v>0</v>
      </c>
      <c r="GF184" s="543">
        <v>0</v>
      </c>
      <c r="GG184" s="543">
        <v>0</v>
      </c>
      <c r="GH184" s="543">
        <v>0</v>
      </c>
      <c r="GI184" s="543">
        <v>1</v>
      </c>
      <c r="GJ184" s="543">
        <v>1</v>
      </c>
      <c r="GK184" s="543">
        <v>0</v>
      </c>
      <c r="GL184" s="543">
        <v>2</v>
      </c>
      <c r="GM184" s="543">
        <v>4</v>
      </c>
      <c r="GN184" s="445"/>
      <c r="GP184" s="63"/>
      <c r="GQ184" s="63" t="s">
        <v>3</v>
      </c>
      <c r="GR184" s="63" t="s">
        <v>4</v>
      </c>
      <c r="GS184" s="37" t="s">
        <v>1071</v>
      </c>
      <c r="GT184" s="63"/>
      <c r="GU184" s="63">
        <v>0</v>
      </c>
      <c r="GV184" s="63">
        <v>0</v>
      </c>
      <c r="GW184" s="63">
        <v>0</v>
      </c>
      <c r="GX184" s="63">
        <v>0</v>
      </c>
      <c r="GY184" s="63">
        <v>1</v>
      </c>
      <c r="GZ184" s="63">
        <v>0</v>
      </c>
      <c r="HA184" s="63">
        <v>2</v>
      </c>
      <c r="HB184" s="63"/>
      <c r="HC184" s="63">
        <v>0</v>
      </c>
      <c r="HD184" s="63">
        <v>3</v>
      </c>
      <c r="HE184" s="37"/>
      <c r="HF184" s="37"/>
      <c r="HG184" s="446"/>
      <c r="HH184" s="446" t="s">
        <v>1144</v>
      </c>
      <c r="HI184" s="446" t="s">
        <v>4</v>
      </c>
      <c r="HJ184" s="446" t="s">
        <v>1071</v>
      </c>
      <c r="HK184" s="446">
        <v>0</v>
      </c>
      <c r="HL184" s="446">
        <v>0</v>
      </c>
      <c r="HM184" s="446">
        <v>0</v>
      </c>
      <c r="HN184" s="446">
        <v>0</v>
      </c>
      <c r="HO184" s="446">
        <v>1</v>
      </c>
      <c r="HP184" s="446">
        <v>0</v>
      </c>
      <c r="HQ184" s="446">
        <v>0</v>
      </c>
      <c r="HR184" s="446">
        <v>0</v>
      </c>
      <c r="HS184" s="446">
        <v>2</v>
      </c>
      <c r="HT184" s="446">
        <v>0</v>
      </c>
      <c r="HU184" s="446">
        <v>0</v>
      </c>
      <c r="HV184" s="447">
        <v>3</v>
      </c>
      <c r="HW184" s="446"/>
      <c r="HX184" s="448"/>
    </row>
    <row r="185" spans="1:232">
      <c r="A185" s="5682">
        <v>2</v>
      </c>
      <c r="B185" s="5682">
        <v>2</v>
      </c>
      <c r="C185" s="5683" t="s">
        <v>2058</v>
      </c>
      <c r="D185" s="5683" t="s">
        <v>2705</v>
      </c>
      <c r="E185" s="5682">
        <v>1</v>
      </c>
      <c r="F185" s="5682">
        <v>1</v>
      </c>
      <c r="I185" s="4915"/>
      <c r="J185" s="4915"/>
      <c r="K185" s="4916"/>
      <c r="L185" s="4916"/>
      <c r="M185" s="4920">
        <f>SUM(M181:M184)</f>
        <v>10</v>
      </c>
      <c r="N185" s="4915"/>
      <c r="O185" s="4921">
        <f>(M183)/(M185)</f>
        <v>0.1</v>
      </c>
      <c r="Q185" s="4705">
        <v>3</v>
      </c>
      <c r="R185" s="4705">
        <v>2</v>
      </c>
      <c r="S185" s="4706" t="s">
        <v>2739</v>
      </c>
      <c r="T185" s="4708" t="s">
        <v>1076</v>
      </c>
      <c r="U185" s="4709">
        <v>8</v>
      </c>
      <c r="V185" s="4709">
        <v>7</v>
      </c>
      <c r="W185" s="4722"/>
      <c r="Y185" s="36"/>
      <c r="Z185" s="36"/>
      <c r="AA185" s="36"/>
      <c r="AB185" s="36" t="s">
        <v>1163</v>
      </c>
      <c r="AC185" s="1681"/>
      <c r="AD185" s="1681"/>
      <c r="AE185" s="1681"/>
      <c r="AF185" s="1681">
        <v>1</v>
      </c>
      <c r="AG185" s="1681">
        <v>0</v>
      </c>
      <c r="AH185" s="1681"/>
      <c r="AI185" s="1681"/>
      <c r="AJ185" s="1681"/>
      <c r="AK185" s="1681"/>
      <c r="AL185" s="95"/>
      <c r="AM185" s="95">
        <v>1</v>
      </c>
      <c r="AN185" s="4545"/>
      <c r="AS185" s="3868" t="s">
        <v>2571</v>
      </c>
      <c r="AT185" s="3721">
        <v>1</v>
      </c>
      <c r="AU185" s="3721"/>
      <c r="AV185" s="3721"/>
      <c r="AW185" s="3721">
        <v>0</v>
      </c>
      <c r="AX185" s="3721"/>
      <c r="AY185" s="3721"/>
      <c r="AZ185" s="3721">
        <v>0</v>
      </c>
      <c r="BA185" s="3721">
        <v>0</v>
      </c>
      <c r="BB185" s="3721">
        <v>0</v>
      </c>
      <c r="BC185" s="2110">
        <v>0</v>
      </c>
      <c r="BD185" s="2110">
        <v>0</v>
      </c>
      <c r="BE185" s="2110">
        <v>1</v>
      </c>
      <c r="BF185" s="2110"/>
      <c r="BG185" s="2110"/>
      <c r="BK185" s="1520" t="s">
        <v>15</v>
      </c>
      <c r="BL185" s="3872"/>
      <c r="BM185" s="3872"/>
      <c r="BN185" s="3872"/>
      <c r="BO185" s="3872"/>
      <c r="BP185" s="3872"/>
      <c r="BQ185" s="3872">
        <v>1</v>
      </c>
      <c r="BR185" s="3872">
        <v>8</v>
      </c>
      <c r="BS185" s="3872"/>
      <c r="BT185" s="3806"/>
      <c r="BU185" s="3806">
        <v>9</v>
      </c>
      <c r="BV185" s="3807">
        <f>+BU183/BU185</f>
        <v>0.66666666666666663</v>
      </c>
      <c r="BX185" s="36"/>
      <c r="BY185" s="36"/>
      <c r="BZ185" s="36"/>
      <c r="CA185" s="36" t="s">
        <v>1080</v>
      </c>
      <c r="CB185" s="1681"/>
      <c r="CC185" s="1681"/>
      <c r="CD185" s="1681"/>
      <c r="CE185" s="1681"/>
      <c r="CF185" s="1681"/>
      <c r="CG185" s="1681">
        <v>0</v>
      </c>
      <c r="CH185" s="1681">
        <v>0</v>
      </c>
      <c r="CI185" s="1681">
        <v>2</v>
      </c>
      <c r="CJ185" s="95"/>
      <c r="CK185" s="95"/>
      <c r="CL185" s="95">
        <v>2</v>
      </c>
      <c r="CM185" s="36"/>
      <c r="CO185" s="37"/>
      <c r="CP185" s="37"/>
      <c r="CQ185" s="37"/>
      <c r="CR185" s="37" t="s">
        <v>1163</v>
      </c>
      <c r="CS185" s="1678"/>
      <c r="CT185" s="1678"/>
      <c r="CU185" s="1678">
        <v>0</v>
      </c>
      <c r="CV185" s="1678"/>
      <c r="CW185" s="1678"/>
      <c r="CX185" s="1678"/>
      <c r="CY185" s="1678">
        <v>10</v>
      </c>
      <c r="CZ185" s="1678">
        <v>0</v>
      </c>
      <c r="DA185" s="1678">
        <v>0</v>
      </c>
      <c r="DB185" s="63"/>
      <c r="DC185" s="63"/>
      <c r="DD185" s="63">
        <v>10</v>
      </c>
      <c r="DG185" s="95"/>
      <c r="DH185" s="95"/>
      <c r="DI185" s="36"/>
      <c r="DJ185" s="36" t="s">
        <v>1080</v>
      </c>
      <c r="DK185" s="1484"/>
      <c r="DL185" s="1484"/>
      <c r="DM185" s="1484"/>
      <c r="DN185" s="1484"/>
      <c r="DO185" s="1484"/>
      <c r="DP185" s="1484"/>
      <c r="DQ185" s="1484">
        <v>0</v>
      </c>
      <c r="DR185" s="1484">
        <v>0</v>
      </c>
      <c r="DS185" s="1484">
        <v>7</v>
      </c>
      <c r="DT185" s="95"/>
      <c r="DU185" s="95"/>
      <c r="DV185" s="95">
        <v>7</v>
      </c>
      <c r="DW185" s="95"/>
      <c r="DY185" s="1209"/>
      <c r="DZ185" s="1209"/>
      <c r="EA185" s="1210"/>
      <c r="EB185" s="1211" t="s">
        <v>1163</v>
      </c>
      <c r="EC185" s="1212"/>
      <c r="ED185" s="1212"/>
      <c r="EE185" s="1212"/>
      <c r="EF185" s="1212"/>
      <c r="EG185" s="1212"/>
      <c r="EH185" s="1213">
        <v>3</v>
      </c>
      <c r="EI185" s="1213">
        <v>2</v>
      </c>
      <c r="EJ185" s="1213">
        <v>0</v>
      </c>
      <c r="EK185" s="611"/>
      <c r="EL185" s="611"/>
      <c r="EM185" s="612">
        <v>5</v>
      </c>
      <c r="EN185" s="36"/>
      <c r="EP185" s="527"/>
      <c r="EQ185" s="527"/>
      <c r="ER185" s="528"/>
      <c r="ES185" s="529" t="s">
        <v>1077</v>
      </c>
      <c r="ET185" s="531">
        <v>0</v>
      </c>
      <c r="EU185" s="531">
        <v>1</v>
      </c>
      <c r="EV185" s="531">
        <v>0</v>
      </c>
      <c r="EW185" s="531">
        <v>0</v>
      </c>
      <c r="EX185" s="530"/>
      <c r="EY185" s="531">
        <v>0</v>
      </c>
      <c r="EZ185" s="531">
        <v>0</v>
      </c>
      <c r="FA185" s="531">
        <v>0</v>
      </c>
      <c r="FB185" s="527"/>
      <c r="FC185" s="527"/>
      <c r="FD185" s="532">
        <v>1</v>
      </c>
      <c r="FE185" s="95"/>
      <c r="FG185" s="533"/>
      <c r="FH185" s="533"/>
      <c r="FI185" s="533" t="s">
        <v>139</v>
      </c>
      <c r="FJ185" s="534" t="s">
        <v>1072</v>
      </c>
      <c r="FK185" s="535"/>
      <c r="FL185" s="535"/>
      <c r="FM185" s="535"/>
      <c r="FN185" s="536">
        <v>1</v>
      </c>
      <c r="FO185" s="535"/>
      <c r="FP185" s="536">
        <v>1</v>
      </c>
      <c r="FQ185" s="536">
        <v>4</v>
      </c>
      <c r="FR185" s="535"/>
      <c r="FS185" s="535"/>
      <c r="FT185" s="537"/>
      <c r="FU185" s="537"/>
      <c r="FV185" s="538">
        <v>6</v>
      </c>
      <c r="FW185" s="539"/>
      <c r="GA185" s="540"/>
      <c r="GB185" s="541" t="s">
        <v>1072</v>
      </c>
      <c r="GC185" s="542"/>
      <c r="GD185" s="542"/>
      <c r="GE185" s="543">
        <v>0</v>
      </c>
      <c r="GF185" s="543">
        <v>1</v>
      </c>
      <c r="GG185" s="543">
        <v>0</v>
      </c>
      <c r="GH185" s="543">
        <v>6</v>
      </c>
      <c r="GI185" s="543">
        <v>2</v>
      </c>
      <c r="GJ185" s="543">
        <v>1</v>
      </c>
      <c r="GK185" s="543">
        <v>1</v>
      </c>
      <c r="GL185" s="543">
        <v>0</v>
      </c>
      <c r="GM185" s="543">
        <v>11</v>
      </c>
      <c r="GN185" s="445"/>
      <c r="GP185" s="63"/>
      <c r="GQ185" s="63"/>
      <c r="GR185" s="63"/>
      <c r="GS185" s="37" t="s">
        <v>1072</v>
      </c>
      <c r="GT185" s="63"/>
      <c r="GU185" s="63">
        <v>3</v>
      </c>
      <c r="GV185" s="63">
        <v>1</v>
      </c>
      <c r="GW185" s="63">
        <v>1</v>
      </c>
      <c r="GX185" s="63">
        <v>1</v>
      </c>
      <c r="GY185" s="63">
        <v>4</v>
      </c>
      <c r="GZ185" s="63">
        <v>7</v>
      </c>
      <c r="HA185" s="63">
        <v>1</v>
      </c>
      <c r="HB185" s="63"/>
      <c r="HC185" s="63">
        <v>0</v>
      </c>
      <c r="HD185" s="63">
        <v>18</v>
      </c>
      <c r="HE185" s="37"/>
      <c r="HF185" s="37"/>
      <c r="HG185" s="446"/>
      <c r="HH185" s="446"/>
      <c r="HI185" s="446"/>
      <c r="HJ185" s="446" t="s">
        <v>1072</v>
      </c>
      <c r="HK185" s="446">
        <v>0</v>
      </c>
      <c r="HL185" s="446">
        <v>0</v>
      </c>
      <c r="HM185" s="446">
        <v>0</v>
      </c>
      <c r="HN185" s="446">
        <v>0</v>
      </c>
      <c r="HO185" s="446">
        <v>1</v>
      </c>
      <c r="HP185" s="446">
        <v>0</v>
      </c>
      <c r="HQ185" s="446">
        <v>1</v>
      </c>
      <c r="HR185" s="446">
        <v>2</v>
      </c>
      <c r="HS185" s="446">
        <v>0</v>
      </c>
      <c r="HT185" s="446">
        <v>0</v>
      </c>
      <c r="HU185" s="446">
        <v>0</v>
      </c>
      <c r="HV185" s="447">
        <v>4</v>
      </c>
      <c r="HW185" s="446"/>
      <c r="HX185" s="448"/>
    </row>
    <row r="186" spans="1:232">
      <c r="A186" s="5682">
        <v>2</v>
      </c>
      <c r="B186" s="5682">
        <v>2</v>
      </c>
      <c r="C186" s="5683" t="s">
        <v>2058</v>
      </c>
      <c r="D186" s="5685" t="s">
        <v>1076</v>
      </c>
      <c r="E186" s="5682">
        <v>2</v>
      </c>
      <c r="F186" s="5682">
        <v>7</v>
      </c>
      <c r="I186" s="4915">
        <v>2</v>
      </c>
      <c r="J186" s="4915">
        <v>3</v>
      </c>
      <c r="K186" s="4916" t="s">
        <v>128</v>
      </c>
      <c r="L186" s="4917" t="s">
        <v>1076</v>
      </c>
      <c r="M186" s="4922">
        <v>4</v>
      </c>
      <c r="N186" s="4915">
        <v>6</v>
      </c>
      <c r="O186" s="157"/>
      <c r="Q186" s="4705">
        <v>3</v>
      </c>
      <c r="R186" s="4705">
        <v>2</v>
      </c>
      <c r="S186" s="4706" t="s">
        <v>2739</v>
      </c>
      <c r="T186" s="4706" t="s">
        <v>2709</v>
      </c>
      <c r="U186" s="4707">
        <v>1</v>
      </c>
      <c r="V186" s="4707">
        <v>1</v>
      </c>
      <c r="W186" s="4722"/>
      <c r="Y186" s="36"/>
      <c r="Z186" s="36"/>
      <c r="AA186" s="36"/>
      <c r="AB186" s="36" t="s">
        <v>15</v>
      </c>
      <c r="AC186" s="1681"/>
      <c r="AD186" s="1681"/>
      <c r="AE186" s="1681"/>
      <c r="AF186" s="1681">
        <v>17</v>
      </c>
      <c r="AG186" s="1681">
        <v>10</v>
      </c>
      <c r="AH186" s="1681"/>
      <c r="AI186" s="1681"/>
      <c r="AJ186" s="1681"/>
      <c r="AK186" s="1681"/>
      <c r="AL186" s="95"/>
      <c r="AM186" s="95">
        <v>27</v>
      </c>
      <c r="AN186" s="560">
        <f>+(AF82+AG182+AF84+AG184+AF185)/AM186</f>
        <v>0.29629629629629628</v>
      </c>
      <c r="AS186" s="3868" t="s">
        <v>1163</v>
      </c>
      <c r="AT186" s="3721">
        <v>0</v>
      </c>
      <c r="AU186" s="3721"/>
      <c r="AV186" s="3721"/>
      <c r="AW186" s="3721">
        <v>10</v>
      </c>
      <c r="AX186" s="3721"/>
      <c r="AY186" s="3721"/>
      <c r="AZ186" s="3721">
        <v>18</v>
      </c>
      <c r="BA186" s="3721">
        <v>1</v>
      </c>
      <c r="BB186" s="3721">
        <v>1</v>
      </c>
      <c r="BC186" s="2110">
        <v>0</v>
      </c>
      <c r="BD186" s="2110">
        <v>0</v>
      </c>
      <c r="BE186" s="2110">
        <v>30</v>
      </c>
      <c r="BF186" s="2110"/>
      <c r="BG186" s="2110"/>
      <c r="BJ186" s="32" t="s">
        <v>130</v>
      </c>
      <c r="BK186" s="32" t="s">
        <v>1076</v>
      </c>
      <c r="BL186" s="3871"/>
      <c r="BM186" s="3871"/>
      <c r="BN186" s="3871"/>
      <c r="BO186" s="3871"/>
      <c r="BP186" s="3871"/>
      <c r="BQ186" s="3871">
        <v>3</v>
      </c>
      <c r="BR186" s="3871">
        <v>1</v>
      </c>
      <c r="BS186" s="3871"/>
      <c r="BT186" s="1518"/>
      <c r="BU186" s="1518">
        <v>4</v>
      </c>
      <c r="BX186" s="36"/>
      <c r="BY186" s="36"/>
      <c r="BZ186" s="36"/>
      <c r="CA186" s="393" t="s">
        <v>15</v>
      </c>
      <c r="CB186" s="1682"/>
      <c r="CC186" s="1682"/>
      <c r="CD186" s="1682"/>
      <c r="CE186" s="1682"/>
      <c r="CF186" s="1682"/>
      <c r="CG186" s="1682">
        <v>4</v>
      </c>
      <c r="CH186" s="1682">
        <v>8</v>
      </c>
      <c r="CI186" s="1682">
        <v>2</v>
      </c>
      <c r="CJ186" s="2041"/>
      <c r="CK186" s="2041"/>
      <c r="CL186" s="2041">
        <v>14</v>
      </c>
      <c r="CM186" s="560">
        <f>+CL184/CL186</f>
        <v>0.7142857142857143</v>
      </c>
      <c r="CN186" s="1665"/>
      <c r="CO186" s="37"/>
      <c r="CP186" s="37"/>
      <c r="CQ186" s="37"/>
      <c r="CR186" s="416" t="s">
        <v>15</v>
      </c>
      <c r="CS186" s="1679"/>
      <c r="CT186" s="1679"/>
      <c r="CU186" s="1679">
        <v>1</v>
      </c>
      <c r="CV186" s="1679"/>
      <c r="CW186" s="1679"/>
      <c r="CX186" s="1679"/>
      <c r="CY186" s="1679">
        <v>10</v>
      </c>
      <c r="CZ186" s="1679">
        <v>2</v>
      </c>
      <c r="DA186" s="1679">
        <v>2</v>
      </c>
      <c r="DB186" s="386"/>
      <c r="DC186" s="386"/>
      <c r="DD186" s="386">
        <v>15</v>
      </c>
      <c r="DE186" s="2045">
        <f>+DD185/DD186</f>
        <v>0.66666666666666663</v>
      </c>
      <c r="DG186" s="95"/>
      <c r="DH186" s="95"/>
      <c r="DI186" s="36"/>
      <c r="DJ186" s="36" t="s">
        <v>1163</v>
      </c>
      <c r="DK186" s="1484"/>
      <c r="DL186" s="1484"/>
      <c r="DM186" s="1484"/>
      <c r="DN186" s="1484"/>
      <c r="DO186" s="1484"/>
      <c r="DP186" s="1484"/>
      <c r="DQ186" s="1484">
        <v>0</v>
      </c>
      <c r="DR186" s="1484">
        <v>2</v>
      </c>
      <c r="DS186" s="1484">
        <v>0</v>
      </c>
      <c r="DT186" s="95"/>
      <c r="DU186" s="95"/>
      <c r="DV186" s="95">
        <v>2</v>
      </c>
      <c r="DW186" s="95"/>
      <c r="DY186" s="1209"/>
      <c r="DZ186" s="1209"/>
      <c r="EA186" s="1210"/>
      <c r="EB186" s="415" t="s">
        <v>15</v>
      </c>
      <c r="EC186" s="1214"/>
      <c r="ED186" s="1214"/>
      <c r="EE186" s="1214"/>
      <c r="EF186" s="1214"/>
      <c r="EG186" s="1214"/>
      <c r="EH186" s="1215">
        <v>5</v>
      </c>
      <c r="EI186" s="1215">
        <v>8</v>
      </c>
      <c r="EJ186" s="1215">
        <v>4</v>
      </c>
      <c r="EK186" s="620"/>
      <c r="EL186" s="620"/>
      <c r="EM186" s="621">
        <v>17</v>
      </c>
      <c r="EN186" s="1178">
        <f>+(EM183+EM185)/EM186</f>
        <v>0.47058823529411764</v>
      </c>
      <c r="EP186" s="527"/>
      <c r="EQ186" s="527"/>
      <c r="ER186" s="528"/>
      <c r="ES186" s="529" t="s">
        <v>1080</v>
      </c>
      <c r="ET186" s="531">
        <v>0</v>
      </c>
      <c r="EU186" s="531">
        <v>0</v>
      </c>
      <c r="EV186" s="531">
        <v>0</v>
      </c>
      <c r="EW186" s="531">
        <v>0</v>
      </c>
      <c r="EX186" s="530"/>
      <c r="EY186" s="531">
        <v>0</v>
      </c>
      <c r="EZ186" s="531">
        <v>0</v>
      </c>
      <c r="FA186" s="531">
        <v>1</v>
      </c>
      <c r="FB186" s="527"/>
      <c r="FC186" s="527"/>
      <c r="FD186" s="532">
        <v>1</v>
      </c>
      <c r="FE186" s="95"/>
      <c r="FG186" s="533"/>
      <c r="FH186" s="533"/>
      <c r="FI186" s="533"/>
      <c r="FJ186" s="534" t="s">
        <v>1076</v>
      </c>
      <c r="FK186" s="535"/>
      <c r="FL186" s="535"/>
      <c r="FM186" s="535"/>
      <c r="FN186" s="536">
        <v>0</v>
      </c>
      <c r="FO186" s="535"/>
      <c r="FP186" s="536">
        <v>1</v>
      </c>
      <c r="FQ186" s="536">
        <v>0</v>
      </c>
      <c r="FR186" s="535"/>
      <c r="FS186" s="535"/>
      <c r="FT186" s="537"/>
      <c r="FU186" s="537"/>
      <c r="FV186" s="538">
        <v>1</v>
      </c>
      <c r="FW186" s="539"/>
      <c r="GA186" s="540"/>
      <c r="GB186" s="541" t="s">
        <v>1076</v>
      </c>
      <c r="GC186" s="542"/>
      <c r="GD186" s="542"/>
      <c r="GE186" s="543">
        <v>0</v>
      </c>
      <c r="GF186" s="543">
        <v>0</v>
      </c>
      <c r="GG186" s="543">
        <v>1</v>
      </c>
      <c r="GH186" s="543">
        <v>1</v>
      </c>
      <c r="GI186" s="543">
        <v>0</v>
      </c>
      <c r="GJ186" s="543">
        <v>1</v>
      </c>
      <c r="GK186" s="543">
        <v>0</v>
      </c>
      <c r="GL186" s="543">
        <v>0</v>
      </c>
      <c r="GM186" s="543">
        <v>3</v>
      </c>
      <c r="GN186" s="445"/>
      <c r="GP186" s="63"/>
      <c r="GQ186" s="63"/>
      <c r="GR186" s="63"/>
      <c r="GS186" s="37" t="s">
        <v>1076</v>
      </c>
      <c r="GT186" s="63"/>
      <c r="GU186" s="63">
        <v>0</v>
      </c>
      <c r="GV186" s="63">
        <v>0</v>
      </c>
      <c r="GW186" s="63">
        <v>0</v>
      </c>
      <c r="GX186" s="63">
        <v>0</v>
      </c>
      <c r="GY186" s="63">
        <v>1</v>
      </c>
      <c r="GZ186" s="63">
        <v>0</v>
      </c>
      <c r="HA186" s="63">
        <v>0</v>
      </c>
      <c r="HB186" s="63"/>
      <c r="HC186" s="63">
        <v>0</v>
      </c>
      <c r="HD186" s="63">
        <v>1</v>
      </c>
      <c r="HE186" s="37"/>
      <c r="HF186" s="37"/>
      <c r="HG186" s="446"/>
      <c r="HH186" s="446"/>
      <c r="HI186" s="446"/>
      <c r="HJ186" s="446" t="s">
        <v>1076</v>
      </c>
      <c r="HK186" s="446">
        <v>0</v>
      </c>
      <c r="HL186" s="446">
        <v>0</v>
      </c>
      <c r="HM186" s="446">
        <v>0</v>
      </c>
      <c r="HN186" s="446">
        <v>0</v>
      </c>
      <c r="HO186" s="446">
        <v>0</v>
      </c>
      <c r="HP186" s="446">
        <v>0</v>
      </c>
      <c r="HQ186" s="446">
        <v>1</v>
      </c>
      <c r="HR186" s="446">
        <v>2</v>
      </c>
      <c r="HS186" s="446">
        <v>1</v>
      </c>
      <c r="HT186" s="446">
        <v>0</v>
      </c>
      <c r="HU186" s="446">
        <v>0</v>
      </c>
      <c r="HV186" s="447">
        <v>4</v>
      </c>
      <c r="HW186" s="446"/>
      <c r="HX186" s="448"/>
    </row>
    <row r="187" spans="1:232">
      <c r="A187" s="5682">
        <v>2</v>
      </c>
      <c r="B187" s="5682">
        <v>2</v>
      </c>
      <c r="C187" s="5683" t="s">
        <v>2058</v>
      </c>
      <c r="D187" s="5683" t="s">
        <v>3027</v>
      </c>
      <c r="E187" s="5682">
        <v>1</v>
      </c>
      <c r="F187" s="5682">
        <v>9</v>
      </c>
      <c r="I187" s="4915">
        <v>2</v>
      </c>
      <c r="J187" s="4915">
        <v>3</v>
      </c>
      <c r="K187" s="4916" t="s">
        <v>128</v>
      </c>
      <c r="L187" s="4917" t="s">
        <v>1076</v>
      </c>
      <c r="M187" s="4922">
        <v>2</v>
      </c>
      <c r="N187" s="4915">
        <v>7</v>
      </c>
      <c r="O187" s="157"/>
      <c r="Q187" s="4705">
        <v>3</v>
      </c>
      <c r="R187" s="4705">
        <v>2</v>
      </c>
      <c r="S187" s="4706" t="s">
        <v>2739</v>
      </c>
      <c r="T187" s="4706" t="s">
        <v>2709</v>
      </c>
      <c r="U187" s="4707">
        <v>1</v>
      </c>
      <c r="V187" s="4707">
        <v>5</v>
      </c>
      <c r="W187" s="4722"/>
      <c r="Y187" s="36"/>
      <c r="Z187" s="36"/>
      <c r="AA187" s="36" t="s">
        <v>461</v>
      </c>
      <c r="AB187" s="36" t="s">
        <v>1072</v>
      </c>
      <c r="AC187" s="1681">
        <v>0</v>
      </c>
      <c r="AD187" s="1681"/>
      <c r="AE187" s="1681"/>
      <c r="AF187" s="1681"/>
      <c r="AG187" s="1681"/>
      <c r="AH187" s="1681">
        <v>1</v>
      </c>
      <c r="AI187" s="1681"/>
      <c r="AJ187" s="1681">
        <v>3</v>
      </c>
      <c r="AK187" s="1681">
        <v>0</v>
      </c>
      <c r="AL187" s="95">
        <v>0</v>
      </c>
      <c r="AM187" s="95">
        <v>4</v>
      </c>
      <c r="AN187" s="4545"/>
      <c r="AS187" s="27" t="s">
        <v>15</v>
      </c>
      <c r="AT187" s="3722">
        <v>1</v>
      </c>
      <c r="AU187" s="3722"/>
      <c r="AV187" s="3722"/>
      <c r="AW187" s="3722">
        <v>13</v>
      </c>
      <c r="AX187" s="3722"/>
      <c r="AY187" s="3722"/>
      <c r="AZ187" s="3722">
        <v>28</v>
      </c>
      <c r="BA187" s="3722">
        <v>15</v>
      </c>
      <c r="BB187" s="3722">
        <v>1</v>
      </c>
      <c r="BC187" s="3701">
        <v>7</v>
      </c>
      <c r="BD187" s="3701">
        <v>1</v>
      </c>
      <c r="BE187" s="3701">
        <v>66</v>
      </c>
      <c r="BF187" s="1665">
        <f>+(BE182+BE186)/(BE187-BE185)</f>
        <v>0.67692307692307696</v>
      </c>
      <c r="BG187" s="1665"/>
      <c r="BK187" s="32" t="s">
        <v>1080</v>
      </c>
      <c r="BL187" s="3871"/>
      <c r="BM187" s="3871"/>
      <c r="BN187" s="3871"/>
      <c r="BO187" s="3871"/>
      <c r="BP187" s="3871"/>
      <c r="BQ187" s="3871">
        <v>0</v>
      </c>
      <c r="BR187" s="3871">
        <v>8</v>
      </c>
      <c r="BS187" s="3871"/>
      <c r="BT187" s="1518"/>
      <c r="BU187" s="1518">
        <v>8</v>
      </c>
      <c r="BX187" s="36"/>
      <c r="BY187" s="36"/>
      <c r="BZ187" s="36" t="s">
        <v>130</v>
      </c>
      <c r="CA187" s="36" t="s">
        <v>1072</v>
      </c>
      <c r="CB187" s="1681"/>
      <c r="CC187" s="1681"/>
      <c r="CD187" s="1681"/>
      <c r="CE187" s="1681"/>
      <c r="CF187" s="1681">
        <v>1</v>
      </c>
      <c r="CG187" s="1681"/>
      <c r="CH187" s="1681">
        <v>1</v>
      </c>
      <c r="CI187" s="1681">
        <v>0</v>
      </c>
      <c r="CJ187" s="95"/>
      <c r="CK187" s="95"/>
      <c r="CL187" s="95">
        <v>2</v>
      </c>
      <c r="CM187" s="36"/>
      <c r="CO187" s="37"/>
      <c r="CP187" s="37"/>
      <c r="CQ187" s="37" t="s">
        <v>129</v>
      </c>
      <c r="CR187" s="37" t="s">
        <v>1076</v>
      </c>
      <c r="CS187" s="1678"/>
      <c r="CT187" s="1678"/>
      <c r="CU187" s="1678"/>
      <c r="CV187" s="1678"/>
      <c r="CW187" s="1678"/>
      <c r="CX187" s="1678"/>
      <c r="CY187" s="1678">
        <v>0</v>
      </c>
      <c r="CZ187" s="1678">
        <v>5</v>
      </c>
      <c r="DA187" s="1678">
        <v>0</v>
      </c>
      <c r="DB187" s="63"/>
      <c r="DC187" s="63"/>
      <c r="DD187" s="63">
        <v>5</v>
      </c>
      <c r="DG187" s="95"/>
      <c r="DH187" s="95"/>
      <c r="DI187" s="36"/>
      <c r="DJ187" s="393" t="s">
        <v>15</v>
      </c>
      <c r="DK187" s="1485"/>
      <c r="DL187" s="1485"/>
      <c r="DM187" s="1485"/>
      <c r="DN187" s="1485"/>
      <c r="DO187" s="1485"/>
      <c r="DP187" s="1485"/>
      <c r="DQ187" s="1485">
        <v>2</v>
      </c>
      <c r="DR187" s="1485">
        <v>9</v>
      </c>
      <c r="DS187" s="1485">
        <v>7</v>
      </c>
      <c r="DT187" s="86"/>
      <c r="DU187" s="86"/>
      <c r="DV187" s="86">
        <v>18</v>
      </c>
      <c r="DW187" s="560">
        <f>+(DV184+DV186)/DV187</f>
        <v>0.3888888888888889</v>
      </c>
      <c r="DY187" s="1209"/>
      <c r="DZ187" s="1209"/>
      <c r="EA187" s="1210" t="s">
        <v>130</v>
      </c>
      <c r="EB187" s="1211" t="s">
        <v>1072</v>
      </c>
      <c r="EC187" s="1212"/>
      <c r="ED187" s="1212"/>
      <c r="EE187" s="1212"/>
      <c r="EF187" s="1212"/>
      <c r="EG187" s="1212"/>
      <c r="EH187" s="1213">
        <v>1</v>
      </c>
      <c r="EI187" s="1213">
        <v>0</v>
      </c>
      <c r="EJ187" s="1213">
        <v>0</v>
      </c>
      <c r="EK187" s="611"/>
      <c r="EL187" s="611"/>
      <c r="EM187" s="612">
        <v>1</v>
      </c>
      <c r="EN187" s="36"/>
      <c r="EP187" s="527"/>
      <c r="EQ187" s="527"/>
      <c r="ER187" s="528"/>
      <c r="ES187" s="529" t="s">
        <v>1163</v>
      </c>
      <c r="ET187" s="531">
        <v>0</v>
      </c>
      <c r="EU187" s="531">
        <v>0</v>
      </c>
      <c r="EV187" s="531">
        <v>0</v>
      </c>
      <c r="EW187" s="531">
        <v>0</v>
      </c>
      <c r="EX187" s="530"/>
      <c r="EY187" s="531">
        <v>4</v>
      </c>
      <c r="EZ187" s="531">
        <v>0</v>
      </c>
      <c r="FA187" s="531">
        <v>0</v>
      </c>
      <c r="FB187" s="527"/>
      <c r="FC187" s="527"/>
      <c r="FD187" s="532">
        <v>4</v>
      </c>
      <c r="FE187" s="95"/>
      <c r="FG187" s="533"/>
      <c r="FH187" s="533"/>
      <c r="FI187" s="533"/>
      <c r="FJ187" s="534" t="s">
        <v>1081</v>
      </c>
      <c r="FK187" s="535"/>
      <c r="FL187" s="535"/>
      <c r="FM187" s="535"/>
      <c r="FN187" s="536">
        <v>0</v>
      </c>
      <c r="FO187" s="535"/>
      <c r="FP187" s="536">
        <v>3</v>
      </c>
      <c r="FQ187" s="536">
        <v>2</v>
      </c>
      <c r="FR187" s="535"/>
      <c r="FS187" s="535"/>
      <c r="FT187" s="537"/>
      <c r="FU187" s="537"/>
      <c r="FV187" s="538">
        <v>5</v>
      </c>
      <c r="FW187" s="539"/>
      <c r="GA187" s="540"/>
      <c r="GB187" s="541" t="s">
        <v>1077</v>
      </c>
      <c r="GC187" s="542"/>
      <c r="GD187" s="542"/>
      <c r="GE187" s="543">
        <v>2</v>
      </c>
      <c r="GF187" s="543">
        <v>0</v>
      </c>
      <c r="GG187" s="543">
        <v>0</v>
      </c>
      <c r="GH187" s="543">
        <v>0</v>
      </c>
      <c r="GI187" s="543">
        <v>0</v>
      </c>
      <c r="GJ187" s="543">
        <v>0</v>
      </c>
      <c r="GK187" s="543">
        <v>0</v>
      </c>
      <c r="GL187" s="543">
        <v>0</v>
      </c>
      <c r="GM187" s="543">
        <v>2</v>
      </c>
      <c r="GN187" s="445"/>
      <c r="GP187" s="63"/>
      <c r="GQ187" s="63"/>
      <c r="GR187" s="63"/>
      <c r="GS187" s="37" t="s">
        <v>1077</v>
      </c>
      <c r="GT187" s="63"/>
      <c r="GU187" s="63">
        <v>0</v>
      </c>
      <c r="GV187" s="63">
        <v>1</v>
      </c>
      <c r="GW187" s="63">
        <v>0</v>
      </c>
      <c r="GX187" s="63">
        <v>0</v>
      </c>
      <c r="GY187" s="63">
        <v>0</v>
      </c>
      <c r="GZ187" s="63">
        <v>0</v>
      </c>
      <c r="HA187" s="63">
        <v>0</v>
      </c>
      <c r="HB187" s="63"/>
      <c r="HC187" s="63">
        <v>0</v>
      </c>
      <c r="HD187" s="63">
        <v>1</v>
      </c>
      <c r="HE187" s="37"/>
      <c r="HF187" s="37"/>
      <c r="HG187" s="446"/>
      <c r="HH187" s="446"/>
      <c r="HI187" s="446"/>
      <c r="HJ187" s="446" t="s">
        <v>1077</v>
      </c>
      <c r="HK187" s="446">
        <v>0</v>
      </c>
      <c r="HL187" s="446">
        <v>0</v>
      </c>
      <c r="HM187" s="446">
        <v>2</v>
      </c>
      <c r="HN187" s="446">
        <v>0</v>
      </c>
      <c r="HO187" s="446">
        <v>2</v>
      </c>
      <c r="HP187" s="446">
        <v>0</v>
      </c>
      <c r="HQ187" s="446">
        <v>0</v>
      </c>
      <c r="HR187" s="446">
        <v>0</v>
      </c>
      <c r="HS187" s="446">
        <v>0</v>
      </c>
      <c r="HT187" s="446">
        <v>0</v>
      </c>
      <c r="HU187" s="446">
        <v>0</v>
      </c>
      <c r="HV187" s="447">
        <v>4</v>
      </c>
      <c r="HW187" s="446"/>
      <c r="HX187" s="448"/>
    </row>
    <row r="188" spans="1:232">
      <c r="A188" s="5682">
        <v>2</v>
      </c>
      <c r="B188" s="5682">
        <v>2</v>
      </c>
      <c r="C188" s="5683" t="s">
        <v>2058</v>
      </c>
      <c r="D188" s="5683" t="s">
        <v>2709</v>
      </c>
      <c r="E188" s="5682">
        <v>1</v>
      </c>
      <c r="F188" s="5682">
        <v>1</v>
      </c>
      <c r="I188" s="4915">
        <v>2</v>
      </c>
      <c r="J188" s="4915">
        <v>3</v>
      </c>
      <c r="K188" s="4916" t="s">
        <v>128</v>
      </c>
      <c r="L188" s="4916" t="s">
        <v>2709</v>
      </c>
      <c r="M188" s="4915">
        <v>1</v>
      </c>
      <c r="N188" s="4915">
        <v>7</v>
      </c>
      <c r="O188" s="157"/>
      <c r="Q188" s="4705">
        <v>3</v>
      </c>
      <c r="R188" s="4705">
        <v>2</v>
      </c>
      <c r="S188" s="4706" t="s">
        <v>2739</v>
      </c>
      <c r="T188" s="4706" t="s">
        <v>2709</v>
      </c>
      <c r="U188" s="4707">
        <v>3</v>
      </c>
      <c r="V188" s="4707">
        <v>6</v>
      </c>
      <c r="W188" s="4722"/>
      <c r="Y188" s="36"/>
      <c r="Z188" s="36"/>
      <c r="AA188" s="36"/>
      <c r="AB188" s="36" t="s">
        <v>1076</v>
      </c>
      <c r="AC188" s="1681">
        <v>0</v>
      </c>
      <c r="AD188" s="1681"/>
      <c r="AE188" s="1681"/>
      <c r="AF188" s="1681"/>
      <c r="AG188" s="1681"/>
      <c r="AH188" s="1681">
        <v>0</v>
      </c>
      <c r="AI188" s="1681"/>
      <c r="AJ188" s="1681">
        <v>4</v>
      </c>
      <c r="AK188" s="1681">
        <v>1</v>
      </c>
      <c r="AL188" s="95">
        <v>0</v>
      </c>
      <c r="AM188" s="95">
        <v>5</v>
      </c>
      <c r="AN188" s="4545"/>
      <c r="AQ188" s="157" t="s">
        <v>41</v>
      </c>
      <c r="AR188" s="3868" t="s">
        <v>413</v>
      </c>
      <c r="AS188" s="3868" t="s">
        <v>1076</v>
      </c>
      <c r="AT188" s="3721"/>
      <c r="AU188" s="3721"/>
      <c r="AV188" s="3721"/>
      <c r="AW188" s="3721"/>
      <c r="AX188" s="3721"/>
      <c r="AY188" s="3721"/>
      <c r="AZ188" s="3721">
        <v>1</v>
      </c>
      <c r="BA188" s="3721">
        <v>8</v>
      </c>
      <c r="BB188" s="3721"/>
      <c r="BC188" s="2110"/>
      <c r="BD188" s="2110"/>
      <c r="BE188" s="2110">
        <v>9</v>
      </c>
      <c r="BF188" s="2110"/>
      <c r="BG188" s="2110"/>
      <c r="BK188" s="1520" t="s">
        <v>15</v>
      </c>
      <c r="BL188" s="3872"/>
      <c r="BM188" s="3872"/>
      <c r="BN188" s="3872"/>
      <c r="BO188" s="3872"/>
      <c r="BP188" s="3872"/>
      <c r="BQ188" s="3872">
        <v>3</v>
      </c>
      <c r="BR188" s="3872">
        <v>9</v>
      </c>
      <c r="BS188" s="3872"/>
      <c r="BT188" s="3806"/>
      <c r="BU188" s="3806">
        <v>12</v>
      </c>
      <c r="BV188" s="3807">
        <f>+BU186/BU188</f>
        <v>0.33333333333333331</v>
      </c>
      <c r="BX188" s="36"/>
      <c r="BY188" s="36"/>
      <c r="BZ188" s="36"/>
      <c r="CA188" s="36" t="s">
        <v>1076</v>
      </c>
      <c r="CB188" s="1681"/>
      <c r="CC188" s="1681"/>
      <c r="CD188" s="1681"/>
      <c r="CE188" s="1681"/>
      <c r="CF188" s="1681">
        <v>0</v>
      </c>
      <c r="CG188" s="1681"/>
      <c r="CH188" s="1681">
        <v>3</v>
      </c>
      <c r="CI188" s="1681">
        <v>0</v>
      </c>
      <c r="CJ188" s="95"/>
      <c r="CK188" s="95"/>
      <c r="CL188" s="95">
        <v>3</v>
      </c>
      <c r="CM188" s="36"/>
      <c r="CO188" s="37"/>
      <c r="CP188" s="37"/>
      <c r="CQ188" s="37"/>
      <c r="CR188" s="37" t="s">
        <v>1080</v>
      </c>
      <c r="CS188" s="1678"/>
      <c r="CT188" s="1678"/>
      <c r="CU188" s="1678"/>
      <c r="CV188" s="1678"/>
      <c r="CW188" s="1678"/>
      <c r="CX188" s="1678"/>
      <c r="CY188" s="1678">
        <v>0</v>
      </c>
      <c r="CZ188" s="1678">
        <v>0</v>
      </c>
      <c r="DA188" s="1678">
        <v>7</v>
      </c>
      <c r="DB188" s="63"/>
      <c r="DC188" s="63"/>
      <c r="DD188" s="63">
        <v>7</v>
      </c>
      <c r="DG188" s="95"/>
      <c r="DH188" s="95"/>
      <c r="DI188" s="36" t="s">
        <v>485</v>
      </c>
      <c r="DJ188" s="36" t="s">
        <v>1071</v>
      </c>
      <c r="DK188" s="1484"/>
      <c r="DL188" s="1484">
        <v>0</v>
      </c>
      <c r="DM188" s="1484">
        <v>0</v>
      </c>
      <c r="DN188" s="1484"/>
      <c r="DO188" s="1484"/>
      <c r="DP188" s="1484">
        <v>0</v>
      </c>
      <c r="DQ188" s="1484">
        <v>0</v>
      </c>
      <c r="DR188" s="1484">
        <v>0</v>
      </c>
      <c r="DS188" s="1484">
        <v>1</v>
      </c>
      <c r="DT188" s="95"/>
      <c r="DU188" s="95"/>
      <c r="DV188" s="95">
        <v>1</v>
      </c>
      <c r="DW188" s="95"/>
      <c r="DY188" s="1209"/>
      <c r="DZ188" s="1209"/>
      <c r="EA188" s="1210"/>
      <c r="EB188" s="1211" t="s">
        <v>1076</v>
      </c>
      <c r="EC188" s="1212"/>
      <c r="ED188" s="1212"/>
      <c r="EE188" s="1212"/>
      <c r="EF188" s="1212"/>
      <c r="EG188" s="1212"/>
      <c r="EH188" s="1213">
        <v>1</v>
      </c>
      <c r="EI188" s="1213">
        <v>0</v>
      </c>
      <c r="EJ188" s="1213">
        <v>0</v>
      </c>
      <c r="EK188" s="611"/>
      <c r="EL188" s="611"/>
      <c r="EM188" s="612">
        <v>1</v>
      </c>
      <c r="EN188" s="36"/>
      <c r="EP188" s="527"/>
      <c r="EQ188" s="527"/>
      <c r="ER188" s="528"/>
      <c r="ES188" s="555" t="s">
        <v>15</v>
      </c>
      <c r="ET188" s="557">
        <v>3</v>
      </c>
      <c r="EU188" s="557">
        <v>2</v>
      </c>
      <c r="EV188" s="557">
        <v>1</v>
      </c>
      <c r="EW188" s="557">
        <v>1</v>
      </c>
      <c r="EX188" s="556"/>
      <c r="EY188" s="557">
        <v>16</v>
      </c>
      <c r="EZ188" s="557">
        <v>4</v>
      </c>
      <c r="FA188" s="557">
        <v>1</v>
      </c>
      <c r="FB188" s="558"/>
      <c r="FC188" s="558"/>
      <c r="FD188" s="559">
        <v>28</v>
      </c>
      <c r="FE188" s="560">
        <f>+(FD184+FD187)/FD188</f>
        <v>0.17857142857142858</v>
      </c>
      <c r="FG188" s="533"/>
      <c r="FH188" s="533"/>
      <c r="FI188" s="533"/>
      <c r="FJ188" s="534" t="s">
        <v>1163</v>
      </c>
      <c r="FK188" s="535"/>
      <c r="FL188" s="535"/>
      <c r="FM188" s="535"/>
      <c r="FN188" s="536">
        <v>0</v>
      </c>
      <c r="FO188" s="535"/>
      <c r="FP188" s="536">
        <v>1</v>
      </c>
      <c r="FQ188" s="536">
        <v>0</v>
      </c>
      <c r="FR188" s="535"/>
      <c r="FS188" s="535"/>
      <c r="FT188" s="537"/>
      <c r="FU188" s="537"/>
      <c r="FV188" s="538">
        <v>1</v>
      </c>
      <c r="FW188" s="539"/>
      <c r="GA188" s="540"/>
      <c r="GB188" s="541" t="s">
        <v>1080</v>
      </c>
      <c r="GC188" s="542"/>
      <c r="GD188" s="542"/>
      <c r="GE188" s="543">
        <v>0</v>
      </c>
      <c r="GF188" s="543">
        <v>0</v>
      </c>
      <c r="GG188" s="543">
        <v>0</v>
      </c>
      <c r="GH188" s="543">
        <v>0</v>
      </c>
      <c r="GI188" s="543">
        <v>1</v>
      </c>
      <c r="GJ188" s="543">
        <v>5</v>
      </c>
      <c r="GK188" s="543">
        <v>0</v>
      </c>
      <c r="GL188" s="543">
        <v>2</v>
      </c>
      <c r="GM188" s="543">
        <v>8</v>
      </c>
      <c r="GN188" s="445"/>
      <c r="GP188" s="63"/>
      <c r="GQ188" s="63"/>
      <c r="GR188" s="63"/>
      <c r="GS188" s="37" t="s">
        <v>1080</v>
      </c>
      <c r="GT188" s="63"/>
      <c r="GU188" s="63">
        <v>0</v>
      </c>
      <c r="GV188" s="63">
        <v>0</v>
      </c>
      <c r="GW188" s="63">
        <v>0</v>
      </c>
      <c r="GX188" s="63">
        <v>0</v>
      </c>
      <c r="GY188" s="63">
        <v>0</v>
      </c>
      <c r="GZ188" s="63">
        <v>0</v>
      </c>
      <c r="HA188" s="63">
        <v>5</v>
      </c>
      <c r="HB188" s="63"/>
      <c r="HC188" s="63">
        <v>3</v>
      </c>
      <c r="HD188" s="63">
        <v>8</v>
      </c>
      <c r="HE188" s="37"/>
      <c r="HF188" s="37"/>
      <c r="HG188" s="446"/>
      <c r="HH188" s="446"/>
      <c r="HI188" s="446"/>
      <c r="HJ188" s="446" t="s">
        <v>1080</v>
      </c>
      <c r="HK188" s="446">
        <v>0</v>
      </c>
      <c r="HL188" s="446">
        <v>0</v>
      </c>
      <c r="HM188" s="446">
        <v>0</v>
      </c>
      <c r="HN188" s="446">
        <v>0</v>
      </c>
      <c r="HO188" s="446">
        <v>0</v>
      </c>
      <c r="HP188" s="446">
        <v>0</v>
      </c>
      <c r="HQ188" s="446">
        <v>2</v>
      </c>
      <c r="HR188" s="446">
        <v>2</v>
      </c>
      <c r="HS188" s="446">
        <v>10</v>
      </c>
      <c r="HT188" s="446">
        <v>0</v>
      </c>
      <c r="HU188" s="446">
        <v>0</v>
      </c>
      <c r="HV188" s="447">
        <v>14</v>
      </c>
      <c r="HW188" s="446"/>
      <c r="HX188" s="448"/>
    </row>
    <row r="189" spans="1:232">
      <c r="A189" s="5682">
        <v>2</v>
      </c>
      <c r="B189" s="5682">
        <v>2</v>
      </c>
      <c r="C189" s="5683" t="s">
        <v>2058</v>
      </c>
      <c r="D189" s="5683" t="s">
        <v>2709</v>
      </c>
      <c r="E189" s="5682">
        <v>1</v>
      </c>
      <c r="F189" s="5682">
        <v>6</v>
      </c>
      <c r="I189" s="4915"/>
      <c r="J189" s="4915"/>
      <c r="K189" s="4916"/>
      <c r="L189" s="4916"/>
      <c r="M189" s="4920">
        <f>SUM(M186:M188)</f>
        <v>7</v>
      </c>
      <c r="N189" s="4915"/>
      <c r="O189" s="4921">
        <f>(M186+M187)/(M189)</f>
        <v>0.8571428571428571</v>
      </c>
      <c r="Q189" s="4705">
        <v>3</v>
      </c>
      <c r="R189" s="4705">
        <v>2</v>
      </c>
      <c r="S189" s="4706" t="s">
        <v>2739</v>
      </c>
      <c r="T189" s="4706" t="s">
        <v>2709</v>
      </c>
      <c r="U189" s="4707">
        <v>4</v>
      </c>
      <c r="V189" s="4707">
        <v>7</v>
      </c>
      <c r="W189" s="4722"/>
      <c r="X189" s="4452"/>
      <c r="Y189" s="36"/>
      <c r="Z189" s="36"/>
      <c r="AA189" s="36"/>
      <c r="AB189" s="36" t="s">
        <v>1080</v>
      </c>
      <c r="AC189" s="1681">
        <v>0</v>
      </c>
      <c r="AD189" s="1681"/>
      <c r="AE189" s="1681"/>
      <c r="AF189" s="1681"/>
      <c r="AG189" s="1681"/>
      <c r="AH189" s="1681">
        <v>0</v>
      </c>
      <c r="AI189" s="1681"/>
      <c r="AJ189" s="1681">
        <v>0</v>
      </c>
      <c r="AK189" s="1681">
        <v>2</v>
      </c>
      <c r="AL189" s="95">
        <v>3</v>
      </c>
      <c r="AM189" s="95">
        <v>5</v>
      </c>
      <c r="AN189" s="4545"/>
      <c r="AS189" s="3868" t="s">
        <v>1080</v>
      </c>
      <c r="AT189" s="3721"/>
      <c r="AU189" s="3721"/>
      <c r="AV189" s="3721"/>
      <c r="AW189" s="3721"/>
      <c r="AX189" s="3721"/>
      <c r="AY189" s="3721"/>
      <c r="AZ189" s="3721">
        <v>0</v>
      </c>
      <c r="BA189" s="3721">
        <v>4</v>
      </c>
      <c r="BB189" s="3721"/>
      <c r="BC189" s="2110"/>
      <c r="BD189" s="2110"/>
      <c r="BE189" s="2110">
        <v>4</v>
      </c>
      <c r="BF189" s="2110"/>
      <c r="BG189" s="2110"/>
      <c r="BJ189" s="1520" t="s">
        <v>485</v>
      </c>
      <c r="BK189" s="1520" t="s">
        <v>1071</v>
      </c>
      <c r="BL189" s="3872"/>
      <c r="BM189" s="3872"/>
      <c r="BN189" s="3872"/>
      <c r="BO189" s="3872"/>
      <c r="BP189" s="3872"/>
      <c r="BQ189" s="3872">
        <v>0</v>
      </c>
      <c r="BR189" s="3872">
        <v>1</v>
      </c>
      <c r="BS189" s="3872"/>
      <c r="BT189" s="3806"/>
      <c r="BU189" s="3806">
        <v>1</v>
      </c>
      <c r="BV189" s="1520"/>
      <c r="BX189" s="36"/>
      <c r="BY189" s="36"/>
      <c r="BZ189" s="36"/>
      <c r="CA189" s="36" t="s">
        <v>1080</v>
      </c>
      <c r="CB189" s="1681"/>
      <c r="CC189" s="1681"/>
      <c r="CD189" s="1681"/>
      <c r="CE189" s="1681"/>
      <c r="CF189" s="1681">
        <v>0</v>
      </c>
      <c r="CG189" s="1681"/>
      <c r="CH189" s="1681">
        <v>0</v>
      </c>
      <c r="CI189" s="1681">
        <v>9</v>
      </c>
      <c r="CJ189" s="95"/>
      <c r="CK189" s="95"/>
      <c r="CL189" s="95">
        <v>9</v>
      </c>
      <c r="CM189" s="36"/>
      <c r="CO189" s="37"/>
      <c r="CP189" s="37"/>
      <c r="CQ189" s="37"/>
      <c r="CR189" s="37" t="s">
        <v>1163</v>
      </c>
      <c r="CS189" s="1678"/>
      <c r="CT189" s="1678"/>
      <c r="CU189" s="1678"/>
      <c r="CV189" s="1678"/>
      <c r="CW189" s="1678"/>
      <c r="CX189" s="1678"/>
      <c r="CY189" s="1678">
        <v>2</v>
      </c>
      <c r="CZ189" s="1678">
        <v>0</v>
      </c>
      <c r="DA189" s="1678">
        <v>0</v>
      </c>
      <c r="DB189" s="63"/>
      <c r="DC189" s="63"/>
      <c r="DD189" s="63">
        <v>2</v>
      </c>
      <c r="DG189" s="95"/>
      <c r="DH189" s="95"/>
      <c r="DI189" s="36"/>
      <c r="DJ189" s="36" t="s">
        <v>1072</v>
      </c>
      <c r="DK189" s="1484"/>
      <c r="DL189" s="1484">
        <v>0</v>
      </c>
      <c r="DM189" s="1484">
        <v>1</v>
      </c>
      <c r="DN189" s="1484"/>
      <c r="DO189" s="1484"/>
      <c r="DP189" s="1484">
        <v>1</v>
      </c>
      <c r="DQ189" s="1484">
        <v>3</v>
      </c>
      <c r="DR189" s="1484">
        <v>5</v>
      </c>
      <c r="DS189" s="1484">
        <v>0</v>
      </c>
      <c r="DT189" s="95"/>
      <c r="DU189" s="95"/>
      <c r="DV189" s="95">
        <v>10</v>
      </c>
      <c r="DW189" s="95"/>
      <c r="DY189" s="1209"/>
      <c r="DZ189" s="1209"/>
      <c r="EA189" s="1210"/>
      <c r="EB189" s="1211" t="s">
        <v>1080</v>
      </c>
      <c r="EC189" s="1212"/>
      <c r="ED189" s="1212"/>
      <c r="EE189" s="1212"/>
      <c r="EF189" s="1212"/>
      <c r="EG189" s="1212"/>
      <c r="EH189" s="1213">
        <v>0</v>
      </c>
      <c r="EI189" s="1213">
        <v>1</v>
      </c>
      <c r="EJ189" s="1213">
        <v>16</v>
      </c>
      <c r="EK189" s="611"/>
      <c r="EL189" s="611"/>
      <c r="EM189" s="612">
        <v>17</v>
      </c>
      <c r="EN189" s="36"/>
      <c r="EP189" s="527"/>
      <c r="EQ189" s="527"/>
      <c r="ER189" s="528" t="s">
        <v>134</v>
      </c>
      <c r="ES189" s="529" t="s">
        <v>1072</v>
      </c>
      <c r="ET189" s="530"/>
      <c r="EU189" s="530"/>
      <c r="EV189" s="530"/>
      <c r="EW189" s="530"/>
      <c r="EX189" s="530"/>
      <c r="EY189" s="531">
        <v>14</v>
      </c>
      <c r="EZ189" s="531">
        <v>1</v>
      </c>
      <c r="FA189" s="531">
        <v>0</v>
      </c>
      <c r="FB189" s="527"/>
      <c r="FC189" s="527"/>
      <c r="FD189" s="532">
        <v>15</v>
      </c>
      <c r="FE189" s="95"/>
      <c r="FG189" s="533"/>
      <c r="FH189" s="533"/>
      <c r="FI189" s="533"/>
      <c r="FJ189" s="545" t="s">
        <v>15</v>
      </c>
      <c r="FK189" s="546"/>
      <c r="FL189" s="546"/>
      <c r="FM189" s="546"/>
      <c r="FN189" s="547">
        <v>1</v>
      </c>
      <c r="FO189" s="546"/>
      <c r="FP189" s="547">
        <v>6</v>
      </c>
      <c r="FQ189" s="547">
        <v>6</v>
      </c>
      <c r="FR189" s="546"/>
      <c r="FS189" s="546"/>
      <c r="FT189" s="548"/>
      <c r="FU189" s="548"/>
      <c r="FV189" s="549">
        <v>13</v>
      </c>
      <c r="FW189" s="539">
        <f>+(FV188+FV187+FV186)/FV189</f>
        <v>0.53846153846153844</v>
      </c>
      <c r="GA189" s="540"/>
      <c r="GB189" s="541" t="s">
        <v>1081</v>
      </c>
      <c r="GC189" s="542"/>
      <c r="GD189" s="542"/>
      <c r="GE189" s="543">
        <v>0</v>
      </c>
      <c r="GF189" s="543">
        <v>0</v>
      </c>
      <c r="GG189" s="543">
        <v>1</v>
      </c>
      <c r="GH189" s="543">
        <v>6</v>
      </c>
      <c r="GI189" s="543">
        <v>1</v>
      </c>
      <c r="GJ189" s="543">
        <v>1</v>
      </c>
      <c r="GK189" s="543">
        <v>0</v>
      </c>
      <c r="GL189" s="543">
        <v>0</v>
      </c>
      <c r="GM189" s="543">
        <v>9</v>
      </c>
      <c r="GN189" s="445"/>
      <c r="GP189" s="63"/>
      <c r="GQ189" s="63"/>
      <c r="GR189" s="63"/>
      <c r="GS189" s="37" t="s">
        <v>1081</v>
      </c>
      <c r="GT189" s="63"/>
      <c r="GU189" s="63">
        <v>0</v>
      </c>
      <c r="GV189" s="63">
        <v>0</v>
      </c>
      <c r="GW189" s="63">
        <v>0</v>
      </c>
      <c r="GX189" s="63">
        <v>0</v>
      </c>
      <c r="GY189" s="63">
        <v>1</v>
      </c>
      <c r="GZ189" s="63">
        <v>3</v>
      </c>
      <c r="HA189" s="63">
        <v>0</v>
      </c>
      <c r="HB189" s="63"/>
      <c r="HC189" s="63">
        <v>0</v>
      </c>
      <c r="HD189" s="63">
        <v>4</v>
      </c>
      <c r="HE189" s="37"/>
      <c r="HF189" s="37"/>
      <c r="HG189" s="446"/>
      <c r="HH189" s="446"/>
      <c r="HI189" s="446"/>
      <c r="HJ189" s="446" t="s">
        <v>1081</v>
      </c>
      <c r="HK189" s="446">
        <v>0</v>
      </c>
      <c r="HL189" s="446">
        <v>0</v>
      </c>
      <c r="HM189" s="446">
        <v>0</v>
      </c>
      <c r="HN189" s="446">
        <v>0</v>
      </c>
      <c r="HO189" s="446">
        <v>0</v>
      </c>
      <c r="HP189" s="446">
        <v>0</v>
      </c>
      <c r="HQ189" s="446">
        <v>0</v>
      </c>
      <c r="HR189" s="446">
        <v>2</v>
      </c>
      <c r="HS189" s="446">
        <v>0</v>
      </c>
      <c r="HT189" s="446">
        <v>0</v>
      </c>
      <c r="HU189" s="446">
        <v>0</v>
      </c>
      <c r="HV189" s="447">
        <v>2</v>
      </c>
      <c r="HW189" s="446"/>
      <c r="HX189" s="448"/>
    </row>
    <row r="190" spans="1:232">
      <c r="A190" s="5682">
        <v>2</v>
      </c>
      <c r="B190" s="5682">
        <v>2</v>
      </c>
      <c r="C190" s="5683" t="s">
        <v>2058</v>
      </c>
      <c r="D190" s="5683" t="s">
        <v>2709</v>
      </c>
      <c r="E190" s="5682">
        <v>2</v>
      </c>
      <c r="F190" s="5682">
        <v>7</v>
      </c>
      <c r="I190" s="4915">
        <v>2</v>
      </c>
      <c r="J190" s="4915">
        <v>3</v>
      </c>
      <c r="K190" s="4916" t="s">
        <v>129</v>
      </c>
      <c r="L190" s="4916" t="s">
        <v>2731</v>
      </c>
      <c r="M190" s="4915">
        <v>6</v>
      </c>
      <c r="N190" s="4915">
        <v>7</v>
      </c>
      <c r="O190" s="157"/>
      <c r="Q190" s="4705"/>
      <c r="R190" s="4705"/>
      <c r="S190" s="4706"/>
      <c r="T190" s="4706"/>
      <c r="U190" s="4741">
        <f>SUM(U182:U189)</f>
        <v>25</v>
      </c>
      <c r="V190" s="4741"/>
      <c r="W190" s="4722">
        <f>(U182+U183+U184+U185)/(U190)</f>
        <v>0.64</v>
      </c>
      <c r="Y190" s="36"/>
      <c r="Z190" s="36"/>
      <c r="AA190" s="36"/>
      <c r="AB190" s="36" t="s">
        <v>1081</v>
      </c>
      <c r="AC190" s="1681">
        <v>0</v>
      </c>
      <c r="AD190" s="1681"/>
      <c r="AE190" s="1681"/>
      <c r="AF190" s="1681"/>
      <c r="AG190" s="1681"/>
      <c r="AH190" s="1681">
        <v>0</v>
      </c>
      <c r="AI190" s="1681"/>
      <c r="AJ190" s="1681">
        <v>0</v>
      </c>
      <c r="AK190" s="1681">
        <v>3</v>
      </c>
      <c r="AL190" s="95">
        <v>0</v>
      </c>
      <c r="AM190" s="95">
        <v>3</v>
      </c>
      <c r="AN190" s="4545"/>
      <c r="AS190" s="3868" t="s">
        <v>1163</v>
      </c>
      <c r="AT190" s="3721"/>
      <c r="AU190" s="3721"/>
      <c r="AV190" s="3721"/>
      <c r="AW190" s="3721"/>
      <c r="AX190" s="3721"/>
      <c r="AY190" s="3721"/>
      <c r="AZ190" s="3721">
        <v>0</v>
      </c>
      <c r="BA190" s="3721">
        <v>2</v>
      </c>
      <c r="BB190" s="3721"/>
      <c r="BC190" s="2110"/>
      <c r="BD190" s="2110"/>
      <c r="BE190" s="2110">
        <v>2</v>
      </c>
      <c r="BF190" s="2110"/>
      <c r="BG190" s="2110"/>
      <c r="BJ190" s="1520"/>
      <c r="BK190" s="1520" t="s">
        <v>1072</v>
      </c>
      <c r="BL190" s="3872"/>
      <c r="BM190" s="3872"/>
      <c r="BN190" s="3872"/>
      <c r="BO190" s="3872"/>
      <c r="BP190" s="3872"/>
      <c r="BQ190" s="3872">
        <v>2</v>
      </c>
      <c r="BR190" s="3872">
        <v>0</v>
      </c>
      <c r="BS190" s="3872"/>
      <c r="BT190" s="3806"/>
      <c r="BU190" s="3806">
        <v>2</v>
      </c>
      <c r="BV190" s="1520"/>
      <c r="BX190" s="36"/>
      <c r="BY190" s="36"/>
      <c r="BZ190" s="36"/>
      <c r="CA190" s="393" t="s">
        <v>15</v>
      </c>
      <c r="CB190" s="1682"/>
      <c r="CC190" s="1682"/>
      <c r="CD190" s="1682"/>
      <c r="CE190" s="1682"/>
      <c r="CF190" s="1682">
        <v>1</v>
      </c>
      <c r="CG190" s="1682"/>
      <c r="CH190" s="1682">
        <v>4</v>
      </c>
      <c r="CI190" s="1682">
        <v>9</v>
      </c>
      <c r="CJ190" s="2041"/>
      <c r="CK190" s="2041"/>
      <c r="CL190" s="2041">
        <v>14</v>
      </c>
      <c r="CM190" s="560">
        <f>+CL188/CL190</f>
        <v>0.21428571428571427</v>
      </c>
      <c r="CN190" s="1665"/>
      <c r="CO190" s="37"/>
      <c r="CP190" s="37"/>
      <c r="CQ190" s="37"/>
      <c r="CR190" s="416" t="s">
        <v>15</v>
      </c>
      <c r="CS190" s="1679"/>
      <c r="CT190" s="1679"/>
      <c r="CU190" s="1679"/>
      <c r="CV190" s="1679"/>
      <c r="CW190" s="1679"/>
      <c r="CX190" s="1679"/>
      <c r="CY190" s="1679">
        <v>2</v>
      </c>
      <c r="CZ190" s="1679">
        <v>5</v>
      </c>
      <c r="DA190" s="1679">
        <v>7</v>
      </c>
      <c r="DB190" s="386"/>
      <c r="DC190" s="386"/>
      <c r="DD190" s="386">
        <v>14</v>
      </c>
      <c r="DE190" s="2045">
        <f>+(DD187+DD189)/DD190</f>
        <v>0.5</v>
      </c>
      <c r="DG190" s="95"/>
      <c r="DH190" s="95"/>
      <c r="DI190" s="36"/>
      <c r="DJ190" s="36" t="s">
        <v>1074</v>
      </c>
      <c r="DK190" s="1484"/>
      <c r="DL190" s="1484">
        <v>2</v>
      </c>
      <c r="DM190" s="1484">
        <v>0</v>
      </c>
      <c r="DN190" s="1484"/>
      <c r="DO190" s="1484"/>
      <c r="DP190" s="1484">
        <v>0</v>
      </c>
      <c r="DQ190" s="1484">
        <v>0</v>
      </c>
      <c r="DR190" s="1484">
        <v>0</v>
      </c>
      <c r="DS190" s="1484">
        <v>0</v>
      </c>
      <c r="DT190" s="95"/>
      <c r="DU190" s="95"/>
      <c r="DV190" s="95">
        <v>2</v>
      </c>
      <c r="DW190" s="95"/>
      <c r="DY190" s="1209"/>
      <c r="DZ190" s="1209"/>
      <c r="EA190" s="1210"/>
      <c r="EB190" s="1211" t="s">
        <v>1163</v>
      </c>
      <c r="EC190" s="1212"/>
      <c r="ED190" s="1212"/>
      <c r="EE190" s="1212"/>
      <c r="EF190" s="1212"/>
      <c r="EG190" s="1212"/>
      <c r="EH190" s="1213">
        <v>3</v>
      </c>
      <c r="EI190" s="1213">
        <v>2</v>
      </c>
      <c r="EJ190" s="1213">
        <v>0</v>
      </c>
      <c r="EK190" s="611"/>
      <c r="EL190" s="611"/>
      <c r="EM190" s="612">
        <v>5</v>
      </c>
      <c r="EN190" s="36"/>
      <c r="EP190" s="527"/>
      <c r="EQ190" s="527"/>
      <c r="ER190" s="528"/>
      <c r="ES190" s="529" t="s">
        <v>1076</v>
      </c>
      <c r="ET190" s="530"/>
      <c r="EU190" s="530"/>
      <c r="EV190" s="530"/>
      <c r="EW190" s="530"/>
      <c r="EX190" s="530"/>
      <c r="EY190" s="531">
        <v>1</v>
      </c>
      <c r="EZ190" s="531">
        <v>0</v>
      </c>
      <c r="FA190" s="531">
        <v>0</v>
      </c>
      <c r="FB190" s="527"/>
      <c r="FC190" s="527"/>
      <c r="FD190" s="532">
        <v>1</v>
      </c>
      <c r="FE190" s="95"/>
      <c r="FG190" s="533"/>
      <c r="FH190" s="533"/>
      <c r="FI190" s="533" t="s">
        <v>140</v>
      </c>
      <c r="FJ190" s="534" t="s">
        <v>1072</v>
      </c>
      <c r="FK190" s="535"/>
      <c r="FL190" s="535"/>
      <c r="FM190" s="535"/>
      <c r="FN190" s="536">
        <v>1</v>
      </c>
      <c r="FO190" s="535"/>
      <c r="FP190" s="535"/>
      <c r="FQ190" s="536">
        <v>1</v>
      </c>
      <c r="FR190" s="536">
        <v>4</v>
      </c>
      <c r="FS190" s="535"/>
      <c r="FT190" s="537"/>
      <c r="FU190" s="537"/>
      <c r="FV190" s="538">
        <v>6</v>
      </c>
      <c r="FW190" s="539"/>
      <c r="GA190" s="540"/>
      <c r="GB190" s="541" t="s">
        <v>1163</v>
      </c>
      <c r="GC190" s="542"/>
      <c r="GD190" s="542"/>
      <c r="GE190" s="543">
        <v>0</v>
      </c>
      <c r="GF190" s="543">
        <v>0</v>
      </c>
      <c r="GG190" s="543">
        <v>0</v>
      </c>
      <c r="GH190" s="543">
        <v>2</v>
      </c>
      <c r="GI190" s="543">
        <v>2</v>
      </c>
      <c r="GJ190" s="543">
        <v>0</v>
      </c>
      <c r="GK190" s="543">
        <v>0</v>
      </c>
      <c r="GL190" s="543">
        <v>0</v>
      </c>
      <c r="GM190" s="543">
        <v>4</v>
      </c>
      <c r="GN190" s="445"/>
      <c r="GP190" s="63"/>
      <c r="GQ190" s="63"/>
      <c r="GR190" s="63"/>
      <c r="GS190" s="37" t="s">
        <v>1163</v>
      </c>
      <c r="GT190" s="63"/>
      <c r="GU190" s="63">
        <v>0</v>
      </c>
      <c r="GV190" s="63">
        <v>0</v>
      </c>
      <c r="GW190" s="63">
        <v>0</v>
      </c>
      <c r="GX190" s="63">
        <v>1</v>
      </c>
      <c r="GY190" s="63">
        <v>1</v>
      </c>
      <c r="GZ190" s="63">
        <v>1</v>
      </c>
      <c r="HA190" s="63">
        <v>1</v>
      </c>
      <c r="HB190" s="63"/>
      <c r="HC190" s="63">
        <v>0</v>
      </c>
      <c r="HD190" s="63">
        <v>4</v>
      </c>
      <c r="HE190" s="37"/>
      <c r="HF190" s="37"/>
      <c r="HG190" s="446"/>
      <c r="HH190" s="446"/>
      <c r="HI190" s="446"/>
      <c r="HJ190" s="446" t="s">
        <v>1163</v>
      </c>
      <c r="HK190" s="446">
        <v>0</v>
      </c>
      <c r="HL190" s="446">
        <v>0</v>
      </c>
      <c r="HM190" s="446">
        <v>0</v>
      </c>
      <c r="HN190" s="446">
        <v>0</v>
      </c>
      <c r="HO190" s="446">
        <v>0</v>
      </c>
      <c r="HP190" s="446">
        <v>0</v>
      </c>
      <c r="HQ190" s="446">
        <v>0</v>
      </c>
      <c r="HR190" s="446">
        <v>1</v>
      </c>
      <c r="HS190" s="446">
        <v>0</v>
      </c>
      <c r="HT190" s="446">
        <v>0</v>
      </c>
      <c r="HU190" s="446">
        <v>0</v>
      </c>
      <c r="HV190" s="447">
        <v>1</v>
      </c>
      <c r="HW190" s="446"/>
      <c r="HX190" s="448"/>
    </row>
    <row r="191" spans="1:232">
      <c r="A191" s="5682">
        <v>2</v>
      </c>
      <c r="B191" s="5682">
        <v>2</v>
      </c>
      <c r="C191" s="5683" t="s">
        <v>2058</v>
      </c>
      <c r="D191" s="5683" t="s">
        <v>2709</v>
      </c>
      <c r="E191" s="5682">
        <v>6</v>
      </c>
      <c r="F191" s="5682">
        <v>8</v>
      </c>
      <c r="I191" s="4915">
        <v>2</v>
      </c>
      <c r="J191" s="4915">
        <v>3</v>
      </c>
      <c r="K191" s="4916" t="s">
        <v>129</v>
      </c>
      <c r="L191" s="4916" t="s">
        <v>2731</v>
      </c>
      <c r="M191" s="4915">
        <v>1</v>
      </c>
      <c r="N191" s="4915">
        <v>8</v>
      </c>
      <c r="O191" s="157"/>
      <c r="Q191" s="4705">
        <v>3</v>
      </c>
      <c r="R191" s="4705">
        <v>2</v>
      </c>
      <c r="S191" s="4706" t="s">
        <v>290</v>
      </c>
      <c r="T191" s="4708" t="s">
        <v>2707</v>
      </c>
      <c r="U191" s="4709">
        <v>6</v>
      </c>
      <c r="V191" s="4709">
        <v>6</v>
      </c>
      <c r="W191" s="4722"/>
      <c r="Y191" s="36"/>
      <c r="Z191" s="36"/>
      <c r="AA191" s="36"/>
      <c r="AB191" s="36" t="s">
        <v>2571</v>
      </c>
      <c r="AC191" s="1681">
        <v>1</v>
      </c>
      <c r="AD191" s="1681"/>
      <c r="AE191" s="1681"/>
      <c r="AF191" s="1681"/>
      <c r="AG191" s="1681"/>
      <c r="AH191" s="1681">
        <v>0</v>
      </c>
      <c r="AI191" s="1681"/>
      <c r="AJ191" s="1681">
        <v>0</v>
      </c>
      <c r="AK191" s="1681">
        <v>0</v>
      </c>
      <c r="AL191" s="95">
        <v>0</v>
      </c>
      <c r="AM191" s="95">
        <v>1</v>
      </c>
      <c r="AN191" s="4545"/>
      <c r="AS191" s="27" t="s">
        <v>15</v>
      </c>
      <c r="AT191" s="3722"/>
      <c r="AU191" s="3722"/>
      <c r="AV191" s="3722"/>
      <c r="AW191" s="3722"/>
      <c r="AX191" s="3722"/>
      <c r="AY191" s="3722"/>
      <c r="AZ191" s="3722">
        <v>1</v>
      </c>
      <c r="BA191" s="3722">
        <v>14</v>
      </c>
      <c r="BB191" s="3722"/>
      <c r="BC191" s="3701"/>
      <c r="BD191" s="3701"/>
      <c r="BE191" s="3701">
        <v>15</v>
      </c>
      <c r="BF191" s="1665">
        <f>+(BE188+BE190)/BE191</f>
        <v>0.73333333333333328</v>
      </c>
      <c r="BG191" s="1665"/>
      <c r="BJ191" s="1520"/>
      <c r="BK191" s="1520" t="s">
        <v>1076</v>
      </c>
      <c r="BL191" s="3872"/>
      <c r="BM191" s="3872"/>
      <c r="BN191" s="3872"/>
      <c r="BO191" s="3872"/>
      <c r="BP191" s="3872"/>
      <c r="BQ191" s="3872">
        <v>15</v>
      </c>
      <c r="BR191" s="3872">
        <v>8</v>
      </c>
      <c r="BS191" s="3872"/>
      <c r="BT191" s="3806"/>
      <c r="BU191" s="3806">
        <v>23</v>
      </c>
      <c r="BV191" s="1520"/>
      <c r="BX191" s="36"/>
      <c r="BY191" s="36"/>
      <c r="BZ191" s="393" t="s">
        <v>485</v>
      </c>
      <c r="CA191" s="393" t="s">
        <v>1071</v>
      </c>
      <c r="CB191" s="1682">
        <v>0</v>
      </c>
      <c r="CC191" s="1682">
        <v>0</v>
      </c>
      <c r="CD191" s="1682">
        <v>0</v>
      </c>
      <c r="CE191" s="1682"/>
      <c r="CF191" s="1682">
        <v>0</v>
      </c>
      <c r="CG191" s="1682">
        <v>0</v>
      </c>
      <c r="CH191" s="1682">
        <v>1</v>
      </c>
      <c r="CI191" s="1682">
        <v>0</v>
      </c>
      <c r="CJ191" s="2041"/>
      <c r="CK191" s="2041"/>
      <c r="CL191" s="2041">
        <v>1</v>
      </c>
      <c r="CM191" s="36"/>
      <c r="CO191" s="37"/>
      <c r="CP191" s="37"/>
      <c r="CQ191" s="37" t="s">
        <v>130</v>
      </c>
      <c r="CR191" s="37" t="s">
        <v>1072</v>
      </c>
      <c r="CS191" s="1678"/>
      <c r="CT191" s="1678"/>
      <c r="CU191" s="1678"/>
      <c r="CV191" s="1678"/>
      <c r="CW191" s="1678"/>
      <c r="CX191" s="1678"/>
      <c r="CY191" s="1678">
        <v>0</v>
      </c>
      <c r="CZ191" s="1678">
        <v>1</v>
      </c>
      <c r="DA191" s="1678">
        <v>0</v>
      </c>
      <c r="DB191" s="63"/>
      <c r="DC191" s="63"/>
      <c r="DD191" s="63">
        <v>1</v>
      </c>
      <c r="DG191" s="95"/>
      <c r="DH191" s="95"/>
      <c r="DI191" s="36"/>
      <c r="DJ191" s="36" t="s">
        <v>1076</v>
      </c>
      <c r="DK191" s="1484"/>
      <c r="DL191" s="1484">
        <v>0</v>
      </c>
      <c r="DM191" s="1484">
        <v>0</v>
      </c>
      <c r="DN191" s="1484"/>
      <c r="DO191" s="1484"/>
      <c r="DP191" s="1484">
        <v>0</v>
      </c>
      <c r="DQ191" s="1484">
        <v>1</v>
      </c>
      <c r="DR191" s="1484">
        <v>13</v>
      </c>
      <c r="DS191" s="1484">
        <v>0</v>
      </c>
      <c r="DT191" s="95"/>
      <c r="DU191" s="95"/>
      <c r="DV191" s="95">
        <v>14</v>
      </c>
      <c r="DW191" s="95"/>
      <c r="DY191" s="1209"/>
      <c r="DZ191" s="1209"/>
      <c r="EA191" s="1210"/>
      <c r="EB191" s="415" t="s">
        <v>15</v>
      </c>
      <c r="EC191" s="1214"/>
      <c r="ED191" s="1214"/>
      <c r="EE191" s="1214"/>
      <c r="EF191" s="1214"/>
      <c r="EG191" s="1214"/>
      <c r="EH191" s="1215">
        <v>5</v>
      </c>
      <c r="EI191" s="1215">
        <v>3</v>
      </c>
      <c r="EJ191" s="1215">
        <v>16</v>
      </c>
      <c r="EK191" s="620"/>
      <c r="EL191" s="620"/>
      <c r="EM191" s="621">
        <v>24</v>
      </c>
      <c r="EN191" s="1178">
        <f>+(EM188+EM190)/EM191</f>
        <v>0.25</v>
      </c>
      <c r="EP191" s="527"/>
      <c r="EQ191" s="527"/>
      <c r="ER191" s="528"/>
      <c r="ES191" s="529" t="s">
        <v>1080</v>
      </c>
      <c r="ET191" s="530"/>
      <c r="EU191" s="530"/>
      <c r="EV191" s="530"/>
      <c r="EW191" s="530"/>
      <c r="EX191" s="530"/>
      <c r="EY191" s="531">
        <v>0</v>
      </c>
      <c r="EZ191" s="531">
        <v>0</v>
      </c>
      <c r="FA191" s="531">
        <v>1</v>
      </c>
      <c r="FB191" s="527"/>
      <c r="FC191" s="527"/>
      <c r="FD191" s="532">
        <v>1</v>
      </c>
      <c r="FE191" s="95"/>
      <c r="FG191" s="533"/>
      <c r="FH191" s="533"/>
      <c r="FI191" s="533"/>
      <c r="FJ191" s="534" t="s">
        <v>1076</v>
      </c>
      <c r="FK191" s="535"/>
      <c r="FL191" s="535"/>
      <c r="FM191" s="535"/>
      <c r="FN191" s="536">
        <v>0</v>
      </c>
      <c r="FO191" s="535"/>
      <c r="FP191" s="535"/>
      <c r="FQ191" s="536">
        <v>1</v>
      </c>
      <c r="FR191" s="536">
        <v>0</v>
      </c>
      <c r="FS191" s="535"/>
      <c r="FT191" s="537"/>
      <c r="FU191" s="537"/>
      <c r="FV191" s="538">
        <v>1</v>
      </c>
      <c r="FW191" s="539"/>
      <c r="GA191" s="540"/>
      <c r="GB191" s="550" t="s">
        <v>482</v>
      </c>
      <c r="GC191" s="551"/>
      <c r="GD191" s="551"/>
      <c r="GE191" s="552">
        <v>2</v>
      </c>
      <c r="GF191" s="552">
        <v>1</v>
      </c>
      <c r="GG191" s="552">
        <v>2</v>
      </c>
      <c r="GH191" s="552">
        <v>15</v>
      </c>
      <c r="GI191" s="552">
        <v>7</v>
      </c>
      <c r="GJ191" s="552">
        <v>9</v>
      </c>
      <c r="GK191" s="552">
        <v>1</v>
      </c>
      <c r="GL191" s="552">
        <v>4</v>
      </c>
      <c r="GM191" s="552">
        <v>41</v>
      </c>
      <c r="GN191" s="553">
        <f>+(GM190+GM189+GM186)/GM191</f>
        <v>0.3902439024390244</v>
      </c>
      <c r="GP191" s="63"/>
      <c r="GQ191" s="63"/>
      <c r="GR191" s="63"/>
      <c r="GS191" s="416" t="s">
        <v>15</v>
      </c>
      <c r="GT191" s="386"/>
      <c r="GU191" s="386">
        <v>3</v>
      </c>
      <c r="GV191" s="386">
        <v>2</v>
      </c>
      <c r="GW191" s="386">
        <v>1</v>
      </c>
      <c r="GX191" s="386">
        <v>2</v>
      </c>
      <c r="GY191" s="386">
        <v>8</v>
      </c>
      <c r="GZ191" s="386">
        <v>11</v>
      </c>
      <c r="HA191" s="386">
        <v>9</v>
      </c>
      <c r="HB191" s="386"/>
      <c r="HC191" s="386">
        <v>3</v>
      </c>
      <c r="HD191" s="386">
        <v>39</v>
      </c>
      <c r="HE191" s="466">
        <f>+(HD186+HD189+HD190)/HD191</f>
        <v>0.23076923076923078</v>
      </c>
      <c r="HF191" s="37"/>
      <c r="HG191" s="446"/>
      <c r="HH191" s="446"/>
      <c r="HI191" s="446"/>
      <c r="HJ191" s="449" t="s">
        <v>15</v>
      </c>
      <c r="HK191" s="449">
        <v>0</v>
      </c>
      <c r="HL191" s="449">
        <v>0</v>
      </c>
      <c r="HM191" s="449">
        <v>2</v>
      </c>
      <c r="HN191" s="449">
        <v>0</v>
      </c>
      <c r="HO191" s="449">
        <v>4</v>
      </c>
      <c r="HP191" s="449">
        <v>0</v>
      </c>
      <c r="HQ191" s="449">
        <v>4</v>
      </c>
      <c r="HR191" s="449">
        <v>9</v>
      </c>
      <c r="HS191" s="449">
        <v>13</v>
      </c>
      <c r="HT191" s="449">
        <v>0</v>
      </c>
      <c r="HU191" s="449">
        <v>0</v>
      </c>
      <c r="HV191" s="507">
        <v>32</v>
      </c>
      <c r="HW191" s="450">
        <f>+(HV190+HV189+HV186)/HV191</f>
        <v>0.21875</v>
      </c>
      <c r="HX191" s="448">
        <f>+HV186+HV189+HV190</f>
        <v>7</v>
      </c>
    </row>
    <row r="192" spans="1:232">
      <c r="A192" s="5682">
        <v>2</v>
      </c>
      <c r="B192" s="5682">
        <v>2</v>
      </c>
      <c r="C192" s="5683" t="s">
        <v>2058</v>
      </c>
      <c r="D192" s="5683" t="s">
        <v>2709</v>
      </c>
      <c r="E192" s="5682">
        <v>3</v>
      </c>
      <c r="F192" s="5682">
        <v>9</v>
      </c>
      <c r="I192" s="4915">
        <v>2</v>
      </c>
      <c r="J192" s="4915">
        <v>3</v>
      </c>
      <c r="K192" s="4916" t="s">
        <v>129</v>
      </c>
      <c r="L192" s="4917" t="s">
        <v>1076</v>
      </c>
      <c r="M192" s="4922">
        <v>5</v>
      </c>
      <c r="N192" s="4915">
        <v>6</v>
      </c>
      <c r="O192" s="157"/>
      <c r="Q192" s="4705">
        <v>3</v>
      </c>
      <c r="R192" s="4705">
        <v>2</v>
      </c>
      <c r="S192" s="4706" t="s">
        <v>290</v>
      </c>
      <c r="T192" s="4706" t="s">
        <v>2709</v>
      </c>
      <c r="U192" s="4707">
        <v>1</v>
      </c>
      <c r="V192" s="4707">
        <v>1</v>
      </c>
      <c r="W192" s="4722"/>
      <c r="Y192" s="36"/>
      <c r="Z192" s="36"/>
      <c r="AA192" s="36"/>
      <c r="AB192" s="36" t="s">
        <v>15</v>
      </c>
      <c r="AC192" s="1681">
        <v>1</v>
      </c>
      <c r="AD192" s="1681"/>
      <c r="AE192" s="1681"/>
      <c r="AF192" s="1681"/>
      <c r="AG192" s="1681"/>
      <c r="AH192" s="1681">
        <v>1</v>
      </c>
      <c r="AI192" s="1681"/>
      <c r="AJ192" s="1681">
        <v>7</v>
      </c>
      <c r="AK192" s="1681">
        <v>6</v>
      </c>
      <c r="AL192" s="95">
        <v>3</v>
      </c>
      <c r="AM192" s="95">
        <v>18</v>
      </c>
      <c r="AN192" s="560">
        <f>+(AJ188+AK188+AK190)/(AM192-AM191)</f>
        <v>0.47058823529411764</v>
      </c>
      <c r="AR192" s="3868" t="s">
        <v>128</v>
      </c>
      <c r="AS192" s="3868" t="s">
        <v>1072</v>
      </c>
      <c r="AT192" s="3721">
        <v>0</v>
      </c>
      <c r="AU192" s="3721"/>
      <c r="AV192" s="3721"/>
      <c r="AW192" s="3721"/>
      <c r="AX192" s="3721"/>
      <c r="AY192" s="3721"/>
      <c r="AZ192" s="3721">
        <v>2</v>
      </c>
      <c r="BA192" s="3721">
        <v>0</v>
      </c>
      <c r="BB192" s="3721">
        <v>0</v>
      </c>
      <c r="BC192" s="2110"/>
      <c r="BD192" s="2110"/>
      <c r="BE192" s="2110">
        <v>2</v>
      </c>
      <c r="BF192" s="2110"/>
      <c r="BG192" s="2110"/>
      <c r="BJ192" s="1520"/>
      <c r="BK192" s="1520" t="s">
        <v>1080</v>
      </c>
      <c r="BL192" s="3872"/>
      <c r="BM192" s="3872"/>
      <c r="BN192" s="3872"/>
      <c r="BO192" s="3872"/>
      <c r="BP192" s="3872"/>
      <c r="BQ192" s="3872">
        <v>0</v>
      </c>
      <c r="BR192" s="3872">
        <v>26</v>
      </c>
      <c r="BS192" s="3872"/>
      <c r="BT192" s="3806"/>
      <c r="BU192" s="3806">
        <v>26</v>
      </c>
      <c r="BV192" s="1520"/>
      <c r="BX192" s="36"/>
      <c r="BY192" s="36"/>
      <c r="BZ192" s="393"/>
      <c r="CA192" s="393" t="s">
        <v>1072</v>
      </c>
      <c r="CB192" s="1682">
        <v>0</v>
      </c>
      <c r="CC192" s="1682">
        <v>1</v>
      </c>
      <c r="CD192" s="1682">
        <v>1</v>
      </c>
      <c r="CE192" s="1682"/>
      <c r="CF192" s="1682">
        <v>1</v>
      </c>
      <c r="CG192" s="1682">
        <v>2</v>
      </c>
      <c r="CH192" s="1682">
        <v>1</v>
      </c>
      <c r="CI192" s="1682">
        <v>0</v>
      </c>
      <c r="CJ192" s="2041"/>
      <c r="CK192" s="2041"/>
      <c r="CL192" s="2041">
        <v>6</v>
      </c>
      <c r="CM192" s="36"/>
      <c r="CO192" s="37"/>
      <c r="CP192" s="37"/>
      <c r="CQ192" s="37"/>
      <c r="CR192" s="37" t="s">
        <v>1076</v>
      </c>
      <c r="CS192" s="1678"/>
      <c r="CT192" s="1678"/>
      <c r="CU192" s="1678"/>
      <c r="CV192" s="1678"/>
      <c r="CW192" s="1678"/>
      <c r="CX192" s="1678"/>
      <c r="CY192" s="1678">
        <v>1</v>
      </c>
      <c r="CZ192" s="1678">
        <v>4</v>
      </c>
      <c r="DA192" s="1678">
        <v>0</v>
      </c>
      <c r="DB192" s="63"/>
      <c r="DC192" s="63"/>
      <c r="DD192" s="63">
        <v>5</v>
      </c>
      <c r="DG192" s="95"/>
      <c r="DH192" s="95"/>
      <c r="DI192" s="36"/>
      <c r="DJ192" s="36" t="s">
        <v>1080</v>
      </c>
      <c r="DK192" s="1484"/>
      <c r="DL192" s="1484">
        <v>0</v>
      </c>
      <c r="DM192" s="1484">
        <v>0</v>
      </c>
      <c r="DN192" s="1484"/>
      <c r="DO192" s="1484"/>
      <c r="DP192" s="1484">
        <v>0</v>
      </c>
      <c r="DQ192" s="1484">
        <v>0</v>
      </c>
      <c r="DR192" s="1484">
        <v>0</v>
      </c>
      <c r="DS192" s="1484">
        <v>19</v>
      </c>
      <c r="DT192" s="95"/>
      <c r="DU192" s="95"/>
      <c r="DV192" s="95">
        <v>19</v>
      </c>
      <c r="DW192" s="95"/>
      <c r="DY192" s="1209"/>
      <c r="DZ192" s="1209"/>
      <c r="EA192" s="1210" t="s">
        <v>485</v>
      </c>
      <c r="EB192" s="1211" t="s">
        <v>1071</v>
      </c>
      <c r="EC192" s="1213">
        <v>0</v>
      </c>
      <c r="ED192" s="1212"/>
      <c r="EE192" s="1212"/>
      <c r="EF192" s="1212"/>
      <c r="EG192" s="1212"/>
      <c r="EH192" s="1213">
        <v>0</v>
      </c>
      <c r="EI192" s="1213">
        <v>1</v>
      </c>
      <c r="EJ192" s="1213">
        <v>1</v>
      </c>
      <c r="EK192" s="611"/>
      <c r="EL192" s="611"/>
      <c r="EM192" s="612">
        <v>2</v>
      </c>
      <c r="EN192" s="36"/>
      <c r="EP192" s="527"/>
      <c r="EQ192" s="527"/>
      <c r="ER192" s="528"/>
      <c r="ES192" s="529" t="s">
        <v>1081</v>
      </c>
      <c r="ET192" s="530"/>
      <c r="EU192" s="530"/>
      <c r="EV192" s="530"/>
      <c r="EW192" s="530"/>
      <c r="EX192" s="530"/>
      <c r="EY192" s="531">
        <v>2</v>
      </c>
      <c r="EZ192" s="531">
        <v>0</v>
      </c>
      <c r="FA192" s="531">
        <v>0</v>
      </c>
      <c r="FB192" s="527"/>
      <c r="FC192" s="527"/>
      <c r="FD192" s="532">
        <v>2</v>
      </c>
      <c r="FE192" s="95"/>
      <c r="FG192" s="533"/>
      <c r="FH192" s="533"/>
      <c r="FI192" s="533"/>
      <c r="FJ192" s="534" t="s">
        <v>1081</v>
      </c>
      <c r="FK192" s="535"/>
      <c r="FL192" s="535"/>
      <c r="FM192" s="535"/>
      <c r="FN192" s="536">
        <v>0</v>
      </c>
      <c r="FO192" s="535"/>
      <c r="FP192" s="535"/>
      <c r="FQ192" s="536">
        <v>1</v>
      </c>
      <c r="FR192" s="536">
        <v>0</v>
      </c>
      <c r="FS192" s="535"/>
      <c r="FT192" s="537"/>
      <c r="FU192" s="537"/>
      <c r="FV192" s="538">
        <v>1</v>
      </c>
      <c r="FW192" s="539"/>
      <c r="GA192" s="540" t="s">
        <v>483</v>
      </c>
      <c r="GB192" s="541" t="s">
        <v>1072</v>
      </c>
      <c r="GC192" s="542"/>
      <c r="GD192" s="542"/>
      <c r="GE192" s="542"/>
      <c r="GF192" s="542"/>
      <c r="GG192" s="542"/>
      <c r="GH192" s="543">
        <v>3</v>
      </c>
      <c r="GI192" s="543">
        <v>5</v>
      </c>
      <c r="GJ192" s="542"/>
      <c r="GK192" s="542"/>
      <c r="GL192" s="542"/>
      <c r="GM192" s="543">
        <v>8</v>
      </c>
      <c r="GN192" s="445"/>
      <c r="GP192" s="63"/>
      <c r="GQ192" s="63"/>
      <c r="GR192" s="63" t="s">
        <v>16</v>
      </c>
      <c r="GS192" s="37" t="s">
        <v>1071</v>
      </c>
      <c r="GT192" s="63">
        <v>0</v>
      </c>
      <c r="GU192" s="63">
        <v>0</v>
      </c>
      <c r="GV192" s="63"/>
      <c r="GW192" s="63">
        <v>0</v>
      </c>
      <c r="GX192" s="63"/>
      <c r="GY192" s="63">
        <v>0</v>
      </c>
      <c r="GZ192" s="63">
        <v>1</v>
      </c>
      <c r="HA192" s="63">
        <v>3</v>
      </c>
      <c r="HB192" s="63"/>
      <c r="HC192" s="63"/>
      <c r="HD192" s="63">
        <v>4</v>
      </c>
      <c r="HE192" s="37"/>
      <c r="HF192" s="37"/>
      <c r="HG192" s="446"/>
      <c r="HH192" s="446"/>
      <c r="HI192" s="446" t="s">
        <v>16</v>
      </c>
      <c r="HJ192" s="446" t="s">
        <v>1071</v>
      </c>
      <c r="HK192" s="446">
        <v>0</v>
      </c>
      <c r="HL192" s="446">
        <v>0</v>
      </c>
      <c r="HM192" s="446">
        <v>0</v>
      </c>
      <c r="HN192" s="446">
        <v>0</v>
      </c>
      <c r="HO192" s="446">
        <v>0</v>
      </c>
      <c r="HP192" s="446">
        <v>0</v>
      </c>
      <c r="HQ192" s="446">
        <v>1</v>
      </c>
      <c r="HR192" s="446">
        <v>0</v>
      </c>
      <c r="HS192" s="446">
        <v>0</v>
      </c>
      <c r="HT192" s="446">
        <v>0</v>
      </c>
      <c r="HU192" s="446">
        <v>0</v>
      </c>
      <c r="HV192" s="447">
        <v>1</v>
      </c>
      <c r="HW192" s="446"/>
      <c r="HX192" s="448"/>
    </row>
    <row r="193" spans="1:232">
      <c r="A193" s="5682"/>
      <c r="B193" s="5682"/>
      <c r="C193" s="5683"/>
      <c r="D193" s="5683"/>
      <c r="E193" s="5686">
        <f>SUM(E183:E192)</f>
        <v>20</v>
      </c>
      <c r="F193" s="5682"/>
      <c r="G193" s="4921">
        <f>(E186)/(E193)</f>
        <v>0.1</v>
      </c>
      <c r="I193" s="4915">
        <v>2</v>
      </c>
      <c r="J193" s="4915">
        <v>3</v>
      </c>
      <c r="K193" s="4916" t="s">
        <v>129</v>
      </c>
      <c r="L193" s="4917" t="s">
        <v>1076</v>
      </c>
      <c r="M193" s="4922">
        <v>1</v>
      </c>
      <c r="N193" s="4915">
        <v>7</v>
      </c>
      <c r="O193" s="157"/>
      <c r="Q193" s="4705">
        <v>3</v>
      </c>
      <c r="R193" s="4705">
        <v>2</v>
      </c>
      <c r="S193" s="4706" t="s">
        <v>290</v>
      </c>
      <c r="T193" s="4706" t="s">
        <v>2709</v>
      </c>
      <c r="U193" s="4707">
        <v>13</v>
      </c>
      <c r="V193" s="4707">
        <v>6</v>
      </c>
      <c r="W193" s="4722"/>
      <c r="X193" s="4452"/>
      <c r="Y193" s="36"/>
      <c r="Z193" s="36"/>
      <c r="AA193" s="36" t="s">
        <v>529</v>
      </c>
      <c r="AB193" s="36" t="s">
        <v>1072</v>
      </c>
      <c r="AC193" s="1681">
        <v>0</v>
      </c>
      <c r="AD193" s="1681">
        <v>1</v>
      </c>
      <c r="AE193" s="1681"/>
      <c r="AF193" s="1681"/>
      <c r="AG193" s="1681"/>
      <c r="AH193" s="1681"/>
      <c r="AI193" s="1681">
        <v>19</v>
      </c>
      <c r="AJ193" s="1681"/>
      <c r="AK193" s="1681"/>
      <c r="AL193" s="95"/>
      <c r="AM193" s="95">
        <v>20</v>
      </c>
      <c r="AN193" s="4545"/>
      <c r="AS193" s="3868" t="s">
        <v>1080</v>
      </c>
      <c r="AT193" s="3721">
        <v>0</v>
      </c>
      <c r="AU193" s="3721"/>
      <c r="AV193" s="3721"/>
      <c r="AW193" s="3721"/>
      <c r="AX193" s="3721"/>
      <c r="AY193" s="3721"/>
      <c r="AZ193" s="3721">
        <v>0</v>
      </c>
      <c r="BA193" s="3721">
        <v>0</v>
      </c>
      <c r="BB193" s="3721">
        <v>3</v>
      </c>
      <c r="BC193" s="2110"/>
      <c r="BD193" s="2110"/>
      <c r="BE193" s="2110">
        <v>3</v>
      </c>
      <c r="BF193" s="2110"/>
      <c r="BG193" s="2110"/>
      <c r="BJ193" s="1520"/>
      <c r="BK193" s="1520" t="s">
        <v>485</v>
      </c>
      <c r="BL193" s="3872"/>
      <c r="BM193" s="3872"/>
      <c r="BN193" s="3872"/>
      <c r="BO193" s="3872"/>
      <c r="BP193" s="3872"/>
      <c r="BQ193" s="3872">
        <v>17</v>
      </c>
      <c r="BR193" s="3872">
        <v>35</v>
      </c>
      <c r="BS193" s="3872"/>
      <c r="BT193" s="3806"/>
      <c r="BU193" s="3806">
        <v>52</v>
      </c>
      <c r="BV193" s="3807">
        <f>+BU191/BU193</f>
        <v>0.44230769230769229</v>
      </c>
      <c r="BX193" s="36"/>
      <c r="BY193" s="36"/>
      <c r="BZ193" s="393"/>
      <c r="CA193" s="393" t="s">
        <v>1074</v>
      </c>
      <c r="CB193" s="1682">
        <v>1</v>
      </c>
      <c r="CC193" s="1682">
        <v>0</v>
      </c>
      <c r="CD193" s="1682">
        <v>0</v>
      </c>
      <c r="CE193" s="1682"/>
      <c r="CF193" s="1682">
        <v>0</v>
      </c>
      <c r="CG193" s="1682">
        <v>0</v>
      </c>
      <c r="CH193" s="1682">
        <v>0</v>
      </c>
      <c r="CI193" s="1682">
        <v>0</v>
      </c>
      <c r="CJ193" s="2041"/>
      <c r="CK193" s="2041"/>
      <c r="CL193" s="2041">
        <v>1</v>
      </c>
      <c r="CM193" s="36"/>
      <c r="CO193" s="37"/>
      <c r="CP193" s="37"/>
      <c r="CQ193" s="37"/>
      <c r="CR193" s="37" t="s">
        <v>1080</v>
      </c>
      <c r="CS193" s="1678"/>
      <c r="CT193" s="1678"/>
      <c r="CU193" s="1678"/>
      <c r="CV193" s="1678"/>
      <c r="CW193" s="1678"/>
      <c r="CX193" s="1678"/>
      <c r="CY193" s="1678">
        <v>0</v>
      </c>
      <c r="CZ193" s="1678">
        <v>0</v>
      </c>
      <c r="DA193" s="1678">
        <v>17</v>
      </c>
      <c r="DB193" s="63"/>
      <c r="DC193" s="63"/>
      <c r="DD193" s="63">
        <v>17</v>
      </c>
      <c r="DG193" s="95"/>
      <c r="DH193" s="95"/>
      <c r="DI193" s="36"/>
      <c r="DJ193" s="36" t="s">
        <v>1163</v>
      </c>
      <c r="DK193" s="1484"/>
      <c r="DL193" s="1484">
        <v>0</v>
      </c>
      <c r="DM193" s="1484">
        <v>0</v>
      </c>
      <c r="DN193" s="1484"/>
      <c r="DO193" s="1484"/>
      <c r="DP193" s="1484">
        <v>0</v>
      </c>
      <c r="DQ193" s="1484">
        <v>12</v>
      </c>
      <c r="DR193" s="1484">
        <v>11</v>
      </c>
      <c r="DS193" s="1484">
        <v>0</v>
      </c>
      <c r="DT193" s="95"/>
      <c r="DU193" s="95"/>
      <c r="DV193" s="95">
        <v>23</v>
      </c>
      <c r="DW193" s="95"/>
      <c r="DY193" s="1209"/>
      <c r="DZ193" s="1209"/>
      <c r="EA193" s="1210"/>
      <c r="EB193" s="1211" t="s">
        <v>1072</v>
      </c>
      <c r="EC193" s="1213">
        <v>1</v>
      </c>
      <c r="ED193" s="1212"/>
      <c r="EE193" s="1212"/>
      <c r="EF193" s="1212"/>
      <c r="EG193" s="1212"/>
      <c r="EH193" s="1213">
        <v>2</v>
      </c>
      <c r="EI193" s="1213">
        <v>8</v>
      </c>
      <c r="EJ193" s="1213">
        <v>0</v>
      </c>
      <c r="EK193" s="611"/>
      <c r="EL193" s="611"/>
      <c r="EM193" s="612">
        <v>11</v>
      </c>
      <c r="EN193" s="36"/>
      <c r="EP193" s="527"/>
      <c r="EQ193" s="527"/>
      <c r="ER193" s="528"/>
      <c r="ES193" s="529" t="s">
        <v>1163</v>
      </c>
      <c r="ET193" s="530"/>
      <c r="EU193" s="530"/>
      <c r="EV193" s="530"/>
      <c r="EW193" s="530"/>
      <c r="EX193" s="530"/>
      <c r="EY193" s="531">
        <v>1</v>
      </c>
      <c r="EZ193" s="531">
        <v>0</v>
      </c>
      <c r="FA193" s="531">
        <v>0</v>
      </c>
      <c r="FB193" s="527"/>
      <c r="FC193" s="527"/>
      <c r="FD193" s="532">
        <v>1</v>
      </c>
      <c r="FE193" s="95"/>
      <c r="FG193" s="533"/>
      <c r="FH193" s="533"/>
      <c r="FI193" s="533"/>
      <c r="FJ193" s="534" t="s">
        <v>1163</v>
      </c>
      <c r="FK193" s="535"/>
      <c r="FL193" s="535"/>
      <c r="FM193" s="535"/>
      <c r="FN193" s="536">
        <v>0</v>
      </c>
      <c r="FO193" s="535"/>
      <c r="FP193" s="535"/>
      <c r="FQ193" s="536">
        <v>0</v>
      </c>
      <c r="FR193" s="536">
        <v>1</v>
      </c>
      <c r="FS193" s="535"/>
      <c r="FT193" s="537"/>
      <c r="FU193" s="537"/>
      <c r="FV193" s="538">
        <v>1</v>
      </c>
      <c r="FW193" s="539"/>
      <c r="GA193" s="540"/>
      <c r="GB193" s="550" t="s">
        <v>483</v>
      </c>
      <c r="GC193" s="551"/>
      <c r="GD193" s="551"/>
      <c r="GE193" s="551"/>
      <c r="GF193" s="551"/>
      <c r="GG193" s="551"/>
      <c r="GH193" s="552">
        <v>3</v>
      </c>
      <c r="GI193" s="552">
        <v>5</v>
      </c>
      <c r="GJ193" s="551"/>
      <c r="GK193" s="551"/>
      <c r="GL193" s="551"/>
      <c r="GM193" s="552">
        <v>8</v>
      </c>
      <c r="GN193" s="553">
        <v>0</v>
      </c>
      <c r="GP193" s="63"/>
      <c r="GQ193" s="63"/>
      <c r="GR193" s="63"/>
      <c r="GS193" s="37" t="s">
        <v>1072</v>
      </c>
      <c r="GT193" s="63">
        <v>1</v>
      </c>
      <c r="GU193" s="63">
        <v>2</v>
      </c>
      <c r="GV193" s="63"/>
      <c r="GW193" s="63">
        <v>1</v>
      </c>
      <c r="GX193" s="63"/>
      <c r="GY193" s="63">
        <v>18</v>
      </c>
      <c r="GZ193" s="63">
        <v>13</v>
      </c>
      <c r="HA193" s="63">
        <v>0</v>
      </c>
      <c r="HB193" s="63"/>
      <c r="HC193" s="63"/>
      <c r="HD193" s="63">
        <v>35</v>
      </c>
      <c r="HE193" s="37"/>
      <c r="HF193" s="37"/>
      <c r="HG193" s="446"/>
      <c r="HH193" s="446"/>
      <c r="HI193" s="446"/>
      <c r="HJ193" s="446" t="s">
        <v>1072</v>
      </c>
      <c r="HK193" s="446">
        <v>1</v>
      </c>
      <c r="HL193" s="446">
        <v>0</v>
      </c>
      <c r="HM193" s="446">
        <v>1</v>
      </c>
      <c r="HN193" s="446">
        <v>0</v>
      </c>
      <c r="HO193" s="446">
        <v>2</v>
      </c>
      <c r="HP193" s="446">
        <v>0</v>
      </c>
      <c r="HQ193" s="446">
        <v>3</v>
      </c>
      <c r="HR193" s="446">
        <v>3</v>
      </c>
      <c r="HS193" s="446">
        <v>0</v>
      </c>
      <c r="HT193" s="446">
        <v>0</v>
      </c>
      <c r="HU193" s="446">
        <v>0</v>
      </c>
      <c r="HV193" s="447">
        <v>10</v>
      </c>
      <c r="HW193" s="446"/>
      <c r="HX193" s="448"/>
    </row>
    <row r="194" spans="1:232">
      <c r="A194" s="5682">
        <v>2</v>
      </c>
      <c r="B194" s="5682">
        <v>2</v>
      </c>
      <c r="C194" s="5683" t="s">
        <v>2340</v>
      </c>
      <c r="D194" s="5683" t="s">
        <v>2731</v>
      </c>
      <c r="E194" s="5682">
        <v>2</v>
      </c>
      <c r="F194" s="5682">
        <v>7</v>
      </c>
      <c r="I194" s="4915">
        <v>2</v>
      </c>
      <c r="J194" s="4915">
        <v>3</v>
      </c>
      <c r="K194" s="4916" t="s">
        <v>129</v>
      </c>
      <c r="L194" s="4916" t="s">
        <v>2709</v>
      </c>
      <c r="M194" s="4915">
        <v>3</v>
      </c>
      <c r="N194" s="4915">
        <v>6</v>
      </c>
      <c r="O194" s="157"/>
      <c r="Q194" s="4705">
        <v>3</v>
      </c>
      <c r="R194" s="4705">
        <v>2</v>
      </c>
      <c r="S194" s="4706" t="s">
        <v>289</v>
      </c>
      <c r="T194" s="4708" t="s">
        <v>2707</v>
      </c>
      <c r="U194" s="4709">
        <v>3</v>
      </c>
      <c r="V194" s="4709">
        <v>6</v>
      </c>
      <c r="W194" s="4722"/>
      <c r="Y194" s="36"/>
      <c r="Z194" s="36"/>
      <c r="AA194" s="36"/>
      <c r="AB194" s="36" t="s">
        <v>2571</v>
      </c>
      <c r="AC194" s="1681">
        <v>2</v>
      </c>
      <c r="AD194" s="1681">
        <v>0</v>
      </c>
      <c r="AE194" s="1681"/>
      <c r="AF194" s="1681"/>
      <c r="AG194" s="1681"/>
      <c r="AH194" s="1681"/>
      <c r="AI194" s="1681">
        <v>0</v>
      </c>
      <c r="AJ194" s="1681"/>
      <c r="AK194" s="1681"/>
      <c r="AL194" s="95"/>
      <c r="AM194" s="95">
        <v>2</v>
      </c>
      <c r="AN194" s="4545"/>
      <c r="AS194" s="3868" t="s">
        <v>2571</v>
      </c>
      <c r="AT194" s="3721">
        <v>2</v>
      </c>
      <c r="AU194" s="3721"/>
      <c r="AV194" s="3721"/>
      <c r="AW194" s="3721"/>
      <c r="AX194" s="3721"/>
      <c r="AY194" s="3721"/>
      <c r="AZ194" s="3721">
        <v>0</v>
      </c>
      <c r="BA194" s="3721">
        <v>0</v>
      </c>
      <c r="BB194" s="3721">
        <v>0</v>
      </c>
      <c r="BC194" s="2110"/>
      <c r="BD194" s="2110"/>
      <c r="BE194" s="2110">
        <v>2</v>
      </c>
      <c r="BF194" s="2110"/>
      <c r="BG194" s="2110"/>
      <c r="BJ194" s="1520" t="s">
        <v>109</v>
      </c>
      <c r="BK194" s="1520" t="s">
        <v>1071</v>
      </c>
      <c r="BL194" s="3872">
        <v>0</v>
      </c>
      <c r="BM194" s="3872">
        <v>0</v>
      </c>
      <c r="BN194" s="3872">
        <v>0</v>
      </c>
      <c r="BO194" s="3872">
        <v>1</v>
      </c>
      <c r="BP194" s="3872">
        <v>0</v>
      </c>
      <c r="BQ194" s="3872">
        <v>1</v>
      </c>
      <c r="BR194" s="3872">
        <v>9</v>
      </c>
      <c r="BS194" s="3872">
        <v>5</v>
      </c>
      <c r="BT194" s="3806">
        <v>9</v>
      </c>
      <c r="BU194" s="3806">
        <v>25</v>
      </c>
      <c r="BV194" s="1520"/>
      <c r="BX194" s="36"/>
      <c r="BY194" s="36"/>
      <c r="BZ194" s="393"/>
      <c r="CA194" s="393" t="s">
        <v>1076</v>
      </c>
      <c r="CB194" s="1682">
        <v>0</v>
      </c>
      <c r="CC194" s="1682">
        <v>0</v>
      </c>
      <c r="CD194" s="1682">
        <v>0</v>
      </c>
      <c r="CE194" s="1682"/>
      <c r="CF194" s="1682">
        <v>0</v>
      </c>
      <c r="CG194" s="1682">
        <v>2</v>
      </c>
      <c r="CH194" s="1682">
        <v>16</v>
      </c>
      <c r="CI194" s="1682">
        <v>0</v>
      </c>
      <c r="CJ194" s="2041"/>
      <c r="CK194" s="2041"/>
      <c r="CL194" s="2041">
        <v>18</v>
      </c>
      <c r="CM194" s="36"/>
      <c r="CO194" s="37"/>
      <c r="CP194" s="37"/>
      <c r="CQ194" s="37"/>
      <c r="CR194" s="416" t="s">
        <v>15</v>
      </c>
      <c r="CS194" s="1679"/>
      <c r="CT194" s="1679"/>
      <c r="CU194" s="1679"/>
      <c r="CV194" s="1679"/>
      <c r="CW194" s="1679"/>
      <c r="CX194" s="1679"/>
      <c r="CY194" s="1679">
        <v>1</v>
      </c>
      <c r="CZ194" s="1679">
        <v>5</v>
      </c>
      <c r="DA194" s="1679">
        <v>17</v>
      </c>
      <c r="DB194" s="386"/>
      <c r="DC194" s="386"/>
      <c r="DD194" s="386">
        <v>23</v>
      </c>
      <c r="DE194" s="2045">
        <f>+DD192/DD194</f>
        <v>0.21739130434782608</v>
      </c>
      <c r="DG194" s="95"/>
      <c r="DH194" s="95"/>
      <c r="DI194" s="36"/>
      <c r="DJ194" s="393" t="s">
        <v>485</v>
      </c>
      <c r="DK194" s="1485"/>
      <c r="DL194" s="1485">
        <v>2</v>
      </c>
      <c r="DM194" s="1485">
        <v>1</v>
      </c>
      <c r="DN194" s="1485"/>
      <c r="DO194" s="1485"/>
      <c r="DP194" s="1485">
        <v>1</v>
      </c>
      <c r="DQ194" s="1485">
        <v>16</v>
      </c>
      <c r="DR194" s="1485">
        <v>29</v>
      </c>
      <c r="DS194" s="1485">
        <v>20</v>
      </c>
      <c r="DT194" s="86"/>
      <c r="DU194" s="86"/>
      <c r="DV194" s="86">
        <v>69</v>
      </c>
      <c r="DW194" s="560">
        <f>+(DV191+DV193)/DV194</f>
        <v>0.53623188405797106</v>
      </c>
      <c r="DY194" s="1209"/>
      <c r="DZ194" s="1209"/>
      <c r="EA194" s="1210"/>
      <c r="EB194" s="1211" t="s">
        <v>1076</v>
      </c>
      <c r="EC194" s="1213">
        <v>0</v>
      </c>
      <c r="ED194" s="1212"/>
      <c r="EE194" s="1212"/>
      <c r="EF194" s="1212"/>
      <c r="EG194" s="1212"/>
      <c r="EH194" s="1213">
        <v>3</v>
      </c>
      <c r="EI194" s="1213">
        <v>5</v>
      </c>
      <c r="EJ194" s="1213">
        <v>0</v>
      </c>
      <c r="EK194" s="611"/>
      <c r="EL194" s="611"/>
      <c r="EM194" s="612">
        <v>8</v>
      </c>
      <c r="EN194" s="36"/>
      <c r="EP194" s="527"/>
      <c r="EQ194" s="527"/>
      <c r="ER194" s="528"/>
      <c r="ES194" s="555" t="s">
        <v>15</v>
      </c>
      <c r="ET194" s="556"/>
      <c r="EU194" s="556"/>
      <c r="EV194" s="556"/>
      <c r="EW194" s="556"/>
      <c r="EX194" s="556"/>
      <c r="EY194" s="557">
        <v>18</v>
      </c>
      <c r="EZ194" s="557">
        <v>1</v>
      </c>
      <c r="FA194" s="557">
        <v>1</v>
      </c>
      <c r="FB194" s="558"/>
      <c r="FC194" s="558"/>
      <c r="FD194" s="559">
        <v>20</v>
      </c>
      <c r="FE194" s="560">
        <f>+(FD190+FD192+FD193)/FD194</f>
        <v>0.2</v>
      </c>
      <c r="FG194" s="533"/>
      <c r="FH194" s="533"/>
      <c r="FI194" s="533"/>
      <c r="FJ194" s="545" t="s">
        <v>15</v>
      </c>
      <c r="FK194" s="546"/>
      <c r="FL194" s="546"/>
      <c r="FM194" s="546"/>
      <c r="FN194" s="547">
        <v>1</v>
      </c>
      <c r="FO194" s="546"/>
      <c r="FP194" s="546"/>
      <c r="FQ194" s="547">
        <v>3</v>
      </c>
      <c r="FR194" s="547">
        <v>5</v>
      </c>
      <c r="FS194" s="546"/>
      <c r="FT194" s="548"/>
      <c r="FU194" s="548"/>
      <c r="FV194" s="549">
        <v>9</v>
      </c>
      <c r="FW194" s="539">
        <f>+(FV193+FV192+FV191)/FV194</f>
        <v>0.33333333333333331</v>
      </c>
      <c r="GP194" s="63"/>
      <c r="GQ194" s="63"/>
      <c r="GR194" s="63"/>
      <c r="GS194" s="37" t="s">
        <v>1076</v>
      </c>
      <c r="GT194" s="63">
        <v>0</v>
      </c>
      <c r="GU194" s="63">
        <v>0</v>
      </c>
      <c r="GV194" s="63"/>
      <c r="GW194" s="63">
        <v>0</v>
      </c>
      <c r="GX194" s="63"/>
      <c r="GY194" s="63">
        <v>8</v>
      </c>
      <c r="GZ194" s="63">
        <v>3</v>
      </c>
      <c r="HA194" s="63">
        <v>0</v>
      </c>
      <c r="HB194" s="63"/>
      <c r="HC194" s="63"/>
      <c r="HD194" s="63">
        <v>11</v>
      </c>
      <c r="HE194" s="37"/>
      <c r="HF194" s="37"/>
      <c r="HG194" s="446"/>
      <c r="HH194" s="446"/>
      <c r="HI194" s="446"/>
      <c r="HJ194" s="446" t="s">
        <v>1076</v>
      </c>
      <c r="HK194" s="446">
        <v>0</v>
      </c>
      <c r="HL194" s="446">
        <v>0</v>
      </c>
      <c r="HM194" s="446">
        <v>0</v>
      </c>
      <c r="HN194" s="446">
        <v>0</v>
      </c>
      <c r="HO194" s="446">
        <v>0</v>
      </c>
      <c r="HP194" s="446">
        <v>0</v>
      </c>
      <c r="HQ194" s="446">
        <v>3</v>
      </c>
      <c r="HR194" s="446">
        <v>0</v>
      </c>
      <c r="HS194" s="446">
        <v>0</v>
      </c>
      <c r="HT194" s="446">
        <v>0</v>
      </c>
      <c r="HU194" s="446">
        <v>0</v>
      </c>
      <c r="HV194" s="447">
        <v>3</v>
      </c>
      <c r="HW194" s="446"/>
      <c r="HX194" s="448"/>
    </row>
    <row r="195" spans="1:232">
      <c r="A195" s="5682">
        <v>2</v>
      </c>
      <c r="B195" s="5682">
        <v>2</v>
      </c>
      <c r="C195" s="5683" t="s">
        <v>2340</v>
      </c>
      <c r="D195" s="5683" t="s">
        <v>2731</v>
      </c>
      <c r="E195" s="5682">
        <v>1</v>
      </c>
      <c r="F195" s="5682">
        <v>8</v>
      </c>
      <c r="I195" s="4915">
        <v>2</v>
      </c>
      <c r="J195" s="4915">
        <v>3</v>
      </c>
      <c r="K195" s="4916" t="s">
        <v>129</v>
      </c>
      <c r="L195" s="4916" t="s">
        <v>2709</v>
      </c>
      <c r="M195" s="4915">
        <v>1</v>
      </c>
      <c r="N195" s="4915">
        <v>7</v>
      </c>
      <c r="O195" s="157"/>
      <c r="Q195" s="4705">
        <v>3</v>
      </c>
      <c r="R195" s="4705">
        <v>2</v>
      </c>
      <c r="S195" s="4706" t="s">
        <v>289</v>
      </c>
      <c r="T195" s="4706" t="s">
        <v>2709</v>
      </c>
      <c r="U195" s="4707">
        <v>1</v>
      </c>
      <c r="V195" s="4707">
        <v>2</v>
      </c>
      <c r="W195" s="4722"/>
      <c r="Y195" s="36"/>
      <c r="Z195" s="36"/>
      <c r="AA195" s="36"/>
      <c r="AB195" s="36" t="s">
        <v>15</v>
      </c>
      <c r="AC195" s="1681">
        <v>2</v>
      </c>
      <c r="AD195" s="1681">
        <v>1</v>
      </c>
      <c r="AE195" s="1681"/>
      <c r="AF195" s="1681"/>
      <c r="AG195" s="1681"/>
      <c r="AH195" s="1681"/>
      <c r="AI195" s="1681">
        <v>19</v>
      </c>
      <c r="AJ195" s="1681"/>
      <c r="AK195" s="1681"/>
      <c r="AL195" s="95"/>
      <c r="AM195" s="95">
        <v>22</v>
      </c>
      <c r="AN195" s="4545">
        <v>0</v>
      </c>
      <c r="AS195" s="3868" t="s">
        <v>1163</v>
      </c>
      <c r="AT195" s="3721">
        <v>0</v>
      </c>
      <c r="AU195" s="3721"/>
      <c r="AV195" s="3721"/>
      <c r="AW195" s="3721"/>
      <c r="AX195" s="3721"/>
      <c r="AY195" s="3721"/>
      <c r="AZ195" s="3721">
        <v>10</v>
      </c>
      <c r="BA195" s="3721">
        <v>1</v>
      </c>
      <c r="BB195" s="3721">
        <v>0</v>
      </c>
      <c r="BC195" s="2110"/>
      <c r="BD195" s="2110"/>
      <c r="BE195" s="2110">
        <v>11</v>
      </c>
      <c r="BF195" s="2110"/>
      <c r="BG195" s="2110"/>
      <c r="BJ195" s="1520"/>
      <c r="BK195" s="1520" t="s">
        <v>1072</v>
      </c>
      <c r="BL195" s="3872">
        <v>3</v>
      </c>
      <c r="BM195" s="3872">
        <v>1</v>
      </c>
      <c r="BN195" s="3872">
        <v>2</v>
      </c>
      <c r="BO195" s="3872">
        <v>0</v>
      </c>
      <c r="BP195" s="3872">
        <v>3</v>
      </c>
      <c r="BQ195" s="3872">
        <v>8</v>
      </c>
      <c r="BR195" s="3872">
        <v>5</v>
      </c>
      <c r="BS195" s="3872">
        <v>0</v>
      </c>
      <c r="BT195" s="3806">
        <v>0</v>
      </c>
      <c r="BU195" s="3806">
        <v>22</v>
      </c>
      <c r="BV195" s="1520"/>
      <c r="BX195" s="36"/>
      <c r="BY195" s="36"/>
      <c r="BZ195" s="393"/>
      <c r="CA195" s="393" t="s">
        <v>1080</v>
      </c>
      <c r="CB195" s="1682">
        <v>0</v>
      </c>
      <c r="CC195" s="1682">
        <v>0</v>
      </c>
      <c r="CD195" s="1682">
        <v>0</v>
      </c>
      <c r="CE195" s="1682"/>
      <c r="CF195" s="1682">
        <v>0</v>
      </c>
      <c r="CG195" s="1682">
        <v>0</v>
      </c>
      <c r="CH195" s="1682">
        <v>0</v>
      </c>
      <c r="CI195" s="1682">
        <v>23</v>
      </c>
      <c r="CJ195" s="2041"/>
      <c r="CK195" s="2041"/>
      <c r="CL195" s="2041">
        <v>23</v>
      </c>
      <c r="CM195" s="36"/>
      <c r="CO195" s="37"/>
      <c r="CP195" s="37"/>
      <c r="CQ195" s="37" t="s">
        <v>485</v>
      </c>
      <c r="CR195" s="37" t="s">
        <v>1072</v>
      </c>
      <c r="CS195" s="1678"/>
      <c r="CT195" s="1678"/>
      <c r="CU195" s="1678">
        <v>1</v>
      </c>
      <c r="CV195" s="1678"/>
      <c r="CW195" s="1678"/>
      <c r="CX195" s="1678"/>
      <c r="CY195" s="1678">
        <v>0</v>
      </c>
      <c r="CZ195" s="1678">
        <v>2</v>
      </c>
      <c r="DA195" s="1678">
        <v>0</v>
      </c>
      <c r="DB195" s="63"/>
      <c r="DC195" s="63"/>
      <c r="DD195" s="63">
        <v>3</v>
      </c>
      <c r="DG195" s="95"/>
      <c r="DH195" s="95"/>
      <c r="DI195" s="36" t="s">
        <v>1730</v>
      </c>
      <c r="DJ195" s="36" t="s">
        <v>1071</v>
      </c>
      <c r="DK195" s="1484"/>
      <c r="DL195" s="1484">
        <v>0</v>
      </c>
      <c r="DM195" s="1484">
        <v>0</v>
      </c>
      <c r="DN195" s="1484">
        <v>0</v>
      </c>
      <c r="DO195" s="1484">
        <v>0</v>
      </c>
      <c r="DP195" s="1484">
        <v>0</v>
      </c>
      <c r="DQ195" s="1484">
        <v>0</v>
      </c>
      <c r="DR195" s="1484">
        <v>1</v>
      </c>
      <c r="DS195" s="1484">
        <v>11</v>
      </c>
      <c r="DT195" s="95">
        <v>4</v>
      </c>
      <c r="DU195" s="95">
        <v>2</v>
      </c>
      <c r="DV195" s="95">
        <v>18</v>
      </c>
      <c r="DW195" s="95"/>
      <c r="DY195" s="1209"/>
      <c r="DZ195" s="1209"/>
      <c r="EA195" s="1210"/>
      <c r="EB195" s="1211" t="s">
        <v>1080</v>
      </c>
      <c r="EC195" s="1213">
        <v>0</v>
      </c>
      <c r="ED195" s="1212"/>
      <c r="EE195" s="1212"/>
      <c r="EF195" s="1212"/>
      <c r="EG195" s="1212"/>
      <c r="EH195" s="1213">
        <v>0</v>
      </c>
      <c r="EI195" s="1213">
        <v>1</v>
      </c>
      <c r="EJ195" s="1213">
        <v>32</v>
      </c>
      <c r="EK195" s="611"/>
      <c r="EL195" s="611"/>
      <c r="EM195" s="612">
        <v>33</v>
      </c>
      <c r="EN195" s="36"/>
      <c r="EP195" s="527"/>
      <c r="EQ195" s="527"/>
      <c r="ER195" s="528" t="s">
        <v>135</v>
      </c>
      <c r="ES195" s="529" t="s">
        <v>1071</v>
      </c>
      <c r="ET195" s="531">
        <v>0</v>
      </c>
      <c r="EU195" s="531">
        <v>0</v>
      </c>
      <c r="EV195" s="530"/>
      <c r="EW195" s="531">
        <v>1</v>
      </c>
      <c r="EX195" s="530"/>
      <c r="EY195" s="531">
        <v>0</v>
      </c>
      <c r="EZ195" s="530"/>
      <c r="FA195" s="530"/>
      <c r="FB195" s="527"/>
      <c r="FC195" s="527"/>
      <c r="FD195" s="532">
        <v>1</v>
      </c>
      <c r="FE195" s="95"/>
      <c r="FG195" s="533"/>
      <c r="FH195" s="533"/>
      <c r="FI195" s="533" t="s">
        <v>141</v>
      </c>
      <c r="FJ195" s="534" t="s">
        <v>1072</v>
      </c>
      <c r="FK195" s="535"/>
      <c r="FL195" s="535"/>
      <c r="FM195" s="535"/>
      <c r="FN195" s="535"/>
      <c r="FO195" s="535"/>
      <c r="FP195" s="535"/>
      <c r="FQ195" s="536">
        <v>14</v>
      </c>
      <c r="FR195" s="536">
        <v>3</v>
      </c>
      <c r="FS195" s="535"/>
      <c r="FT195" s="538">
        <v>0</v>
      </c>
      <c r="FU195" s="537"/>
      <c r="FV195" s="538">
        <v>17</v>
      </c>
      <c r="FW195" s="539"/>
      <c r="GP195" s="63"/>
      <c r="GQ195" s="63"/>
      <c r="GR195" s="63"/>
      <c r="GS195" s="37" t="s">
        <v>1080</v>
      </c>
      <c r="GT195" s="63">
        <v>0</v>
      </c>
      <c r="GU195" s="63">
        <v>0</v>
      </c>
      <c r="GV195" s="63"/>
      <c r="GW195" s="63">
        <v>0</v>
      </c>
      <c r="GX195" s="63"/>
      <c r="GY195" s="63">
        <v>0</v>
      </c>
      <c r="GZ195" s="63">
        <v>0</v>
      </c>
      <c r="HA195" s="63">
        <v>1</v>
      </c>
      <c r="HB195" s="63"/>
      <c r="HC195" s="63"/>
      <c r="HD195" s="63">
        <v>1</v>
      </c>
      <c r="HE195" s="37"/>
      <c r="HF195" s="37"/>
      <c r="HG195" s="446"/>
      <c r="HH195" s="446"/>
      <c r="HI195" s="446"/>
      <c r="HJ195" s="446" t="s">
        <v>1081</v>
      </c>
      <c r="HK195" s="446">
        <v>0</v>
      </c>
      <c r="HL195" s="446">
        <v>0</v>
      </c>
      <c r="HM195" s="446">
        <v>0</v>
      </c>
      <c r="HN195" s="446">
        <v>0</v>
      </c>
      <c r="HO195" s="446">
        <v>0</v>
      </c>
      <c r="HP195" s="446">
        <v>0</v>
      </c>
      <c r="HQ195" s="446">
        <v>0</v>
      </c>
      <c r="HR195" s="446">
        <v>2</v>
      </c>
      <c r="HS195" s="446">
        <v>0</v>
      </c>
      <c r="HT195" s="446">
        <v>0</v>
      </c>
      <c r="HU195" s="446">
        <v>0</v>
      </c>
      <c r="HV195" s="447">
        <v>2</v>
      </c>
      <c r="HW195" s="446"/>
      <c r="HX195" s="448"/>
    </row>
    <row r="196" spans="1:232">
      <c r="A196" s="5682">
        <v>2</v>
      </c>
      <c r="B196" s="5682">
        <v>2</v>
      </c>
      <c r="C196" s="5683" t="s">
        <v>2340</v>
      </c>
      <c r="D196" s="5685" t="s">
        <v>2707</v>
      </c>
      <c r="E196" s="5682">
        <v>1</v>
      </c>
      <c r="F196" s="5682">
        <v>6</v>
      </c>
      <c r="I196" s="4915"/>
      <c r="J196" s="4915"/>
      <c r="K196" s="4916"/>
      <c r="L196" s="4916"/>
      <c r="M196" s="4920">
        <f>SUM(M190:M195)</f>
        <v>17</v>
      </c>
      <c r="N196" s="4915"/>
      <c r="O196" s="4921">
        <f>(M192+M193)/(M196)</f>
        <v>0.35294117647058826</v>
      </c>
      <c r="Q196" s="4705">
        <v>3</v>
      </c>
      <c r="R196" s="4705">
        <v>2</v>
      </c>
      <c r="S196" s="4706" t="s">
        <v>289</v>
      </c>
      <c r="T196" s="4706" t="s">
        <v>2709</v>
      </c>
      <c r="U196" s="4707">
        <v>11</v>
      </c>
      <c r="V196" s="4707">
        <v>6</v>
      </c>
      <c r="W196" s="4722"/>
      <c r="Y196" s="36"/>
      <c r="Z196" s="36"/>
      <c r="AA196" s="36" t="s">
        <v>1731</v>
      </c>
      <c r="AB196" s="36" t="s">
        <v>1072</v>
      </c>
      <c r="AC196" s="1681"/>
      <c r="AD196" s="1681">
        <v>1</v>
      </c>
      <c r="AE196" s="1681"/>
      <c r="AF196" s="1681"/>
      <c r="AG196" s="1681"/>
      <c r="AH196" s="1681">
        <v>1</v>
      </c>
      <c r="AI196" s="1681">
        <v>5</v>
      </c>
      <c r="AJ196" s="1681">
        <v>0</v>
      </c>
      <c r="AK196" s="1681"/>
      <c r="AL196" s="95"/>
      <c r="AM196" s="95">
        <v>7</v>
      </c>
      <c r="AN196" s="4545"/>
      <c r="AS196" s="27" t="s">
        <v>15</v>
      </c>
      <c r="AT196" s="3722">
        <v>2</v>
      </c>
      <c r="AU196" s="3722"/>
      <c r="AV196" s="3722"/>
      <c r="AW196" s="3722"/>
      <c r="AX196" s="3722"/>
      <c r="AY196" s="3722"/>
      <c r="AZ196" s="3722">
        <v>12</v>
      </c>
      <c r="BA196" s="3722">
        <v>1</v>
      </c>
      <c r="BB196" s="3722">
        <v>3</v>
      </c>
      <c r="BC196" s="3701"/>
      <c r="BD196" s="3701"/>
      <c r="BE196" s="3701">
        <v>18</v>
      </c>
      <c r="BF196" s="1665">
        <f>+BE195/BE196</f>
        <v>0.61111111111111116</v>
      </c>
      <c r="BG196" s="1665"/>
      <c r="BJ196" s="1520"/>
      <c r="BK196" s="1520" t="s">
        <v>1076</v>
      </c>
      <c r="BL196" s="3872">
        <v>0</v>
      </c>
      <c r="BM196" s="3872">
        <v>0</v>
      </c>
      <c r="BN196" s="3872">
        <v>0</v>
      </c>
      <c r="BO196" s="3872">
        <v>0</v>
      </c>
      <c r="BP196" s="3872">
        <v>0</v>
      </c>
      <c r="BQ196" s="3872">
        <v>45</v>
      </c>
      <c r="BR196" s="3872">
        <v>14</v>
      </c>
      <c r="BS196" s="3872">
        <v>2</v>
      </c>
      <c r="BT196" s="3806">
        <v>0</v>
      </c>
      <c r="BU196" s="3806">
        <v>61</v>
      </c>
      <c r="BV196" s="1520"/>
      <c r="BX196" s="36"/>
      <c r="BY196" s="36"/>
      <c r="BZ196" s="393"/>
      <c r="CA196" s="393" t="s">
        <v>1163</v>
      </c>
      <c r="CB196" s="1682">
        <v>0</v>
      </c>
      <c r="CC196" s="1682">
        <v>0</v>
      </c>
      <c r="CD196" s="1682">
        <v>0</v>
      </c>
      <c r="CE196" s="1682"/>
      <c r="CF196" s="1682">
        <v>0</v>
      </c>
      <c r="CG196" s="1682">
        <v>7</v>
      </c>
      <c r="CH196" s="1682">
        <v>2</v>
      </c>
      <c r="CI196" s="1682">
        <v>0</v>
      </c>
      <c r="CJ196" s="2041"/>
      <c r="CK196" s="2041"/>
      <c r="CL196" s="2041">
        <v>9</v>
      </c>
      <c r="CM196" s="36"/>
      <c r="CO196" s="37"/>
      <c r="CP196" s="37"/>
      <c r="CQ196" s="37"/>
      <c r="CR196" s="37" t="s">
        <v>1076</v>
      </c>
      <c r="CS196" s="1678"/>
      <c r="CT196" s="1678"/>
      <c r="CU196" s="1678">
        <v>0</v>
      </c>
      <c r="CV196" s="1678"/>
      <c r="CW196" s="1678"/>
      <c r="CX196" s="1678"/>
      <c r="CY196" s="1678">
        <v>2</v>
      </c>
      <c r="CZ196" s="1678">
        <v>13</v>
      </c>
      <c r="DA196" s="1678">
        <v>0</v>
      </c>
      <c r="DB196" s="63"/>
      <c r="DC196" s="63"/>
      <c r="DD196" s="63">
        <v>15</v>
      </c>
      <c r="DG196" s="95"/>
      <c r="DH196" s="95"/>
      <c r="DI196" s="36"/>
      <c r="DJ196" s="36" t="s">
        <v>1072</v>
      </c>
      <c r="DK196" s="1484"/>
      <c r="DL196" s="1484">
        <v>4</v>
      </c>
      <c r="DM196" s="1484">
        <v>2</v>
      </c>
      <c r="DN196" s="1484">
        <v>1</v>
      </c>
      <c r="DO196" s="1484">
        <v>0</v>
      </c>
      <c r="DP196" s="1484">
        <v>1</v>
      </c>
      <c r="DQ196" s="1484">
        <v>24</v>
      </c>
      <c r="DR196" s="1484">
        <v>26</v>
      </c>
      <c r="DS196" s="1484">
        <v>1</v>
      </c>
      <c r="DT196" s="95">
        <v>0</v>
      </c>
      <c r="DU196" s="95">
        <v>0</v>
      </c>
      <c r="DV196" s="95">
        <v>59</v>
      </c>
      <c r="DW196" s="95"/>
      <c r="DY196" s="1209"/>
      <c r="DZ196" s="1209"/>
      <c r="EA196" s="1210"/>
      <c r="EB196" s="1211" t="s">
        <v>1163</v>
      </c>
      <c r="EC196" s="1213">
        <v>0</v>
      </c>
      <c r="ED196" s="1212"/>
      <c r="EE196" s="1212"/>
      <c r="EF196" s="1212"/>
      <c r="EG196" s="1212"/>
      <c r="EH196" s="1213">
        <v>20</v>
      </c>
      <c r="EI196" s="1213">
        <v>5</v>
      </c>
      <c r="EJ196" s="1213">
        <v>0</v>
      </c>
      <c r="EK196" s="611"/>
      <c r="EL196" s="611"/>
      <c r="EM196" s="612">
        <v>25</v>
      </c>
      <c r="EN196" s="36"/>
      <c r="EP196" s="527"/>
      <c r="EQ196" s="527"/>
      <c r="ER196" s="528"/>
      <c r="ES196" s="529" t="s">
        <v>1072</v>
      </c>
      <c r="ET196" s="531">
        <v>2</v>
      </c>
      <c r="EU196" s="531">
        <v>1</v>
      </c>
      <c r="EV196" s="530"/>
      <c r="EW196" s="531">
        <v>0</v>
      </c>
      <c r="EX196" s="530"/>
      <c r="EY196" s="531">
        <v>10</v>
      </c>
      <c r="EZ196" s="530"/>
      <c r="FA196" s="530"/>
      <c r="FB196" s="527"/>
      <c r="FC196" s="527"/>
      <c r="FD196" s="532">
        <v>13</v>
      </c>
      <c r="FE196" s="95"/>
      <c r="FG196" s="533"/>
      <c r="FH196" s="533"/>
      <c r="FI196" s="533"/>
      <c r="FJ196" s="534" t="s">
        <v>1076</v>
      </c>
      <c r="FK196" s="535"/>
      <c r="FL196" s="535"/>
      <c r="FM196" s="535"/>
      <c r="FN196" s="535"/>
      <c r="FO196" s="535"/>
      <c r="FP196" s="535"/>
      <c r="FQ196" s="536">
        <v>1</v>
      </c>
      <c r="FR196" s="536">
        <v>0</v>
      </c>
      <c r="FS196" s="535"/>
      <c r="FT196" s="538">
        <v>0</v>
      </c>
      <c r="FU196" s="537"/>
      <c r="FV196" s="538">
        <v>1</v>
      </c>
      <c r="FW196" s="539"/>
      <c r="GP196" s="63"/>
      <c r="GQ196" s="63"/>
      <c r="GR196" s="63"/>
      <c r="GS196" s="37" t="s">
        <v>1081</v>
      </c>
      <c r="GT196" s="63">
        <v>0</v>
      </c>
      <c r="GU196" s="63">
        <v>0</v>
      </c>
      <c r="GV196" s="63"/>
      <c r="GW196" s="63">
        <v>0</v>
      </c>
      <c r="GX196" s="63"/>
      <c r="GY196" s="63">
        <v>7</v>
      </c>
      <c r="GZ196" s="63">
        <v>0</v>
      </c>
      <c r="HA196" s="63">
        <v>1</v>
      </c>
      <c r="HB196" s="63"/>
      <c r="HC196" s="63"/>
      <c r="HD196" s="63">
        <v>8</v>
      </c>
      <c r="HE196" s="37"/>
      <c r="HF196" s="37"/>
      <c r="HG196" s="446"/>
      <c r="HH196" s="446"/>
      <c r="HI196" s="446"/>
      <c r="HJ196" s="446" t="s">
        <v>1163</v>
      </c>
      <c r="HK196" s="446">
        <v>0</v>
      </c>
      <c r="HL196" s="446">
        <v>0</v>
      </c>
      <c r="HM196" s="446">
        <v>0</v>
      </c>
      <c r="HN196" s="446">
        <v>0</v>
      </c>
      <c r="HO196" s="446">
        <v>0</v>
      </c>
      <c r="HP196" s="446">
        <v>0</v>
      </c>
      <c r="HQ196" s="446">
        <v>10</v>
      </c>
      <c r="HR196" s="446">
        <v>1</v>
      </c>
      <c r="HS196" s="446">
        <v>0</v>
      </c>
      <c r="HT196" s="446">
        <v>0</v>
      </c>
      <c r="HU196" s="446">
        <v>0</v>
      </c>
      <c r="HV196" s="447">
        <v>11</v>
      </c>
      <c r="HW196" s="446"/>
      <c r="HX196" s="448"/>
    </row>
    <row r="197" spans="1:232">
      <c r="A197" s="5682">
        <v>2</v>
      </c>
      <c r="B197" s="5682">
        <v>2</v>
      </c>
      <c r="C197" s="5683" t="s">
        <v>2340</v>
      </c>
      <c r="D197" s="5685" t="s">
        <v>1076</v>
      </c>
      <c r="E197" s="5682">
        <v>6</v>
      </c>
      <c r="F197" s="5682">
        <v>6</v>
      </c>
      <c r="I197" s="4915">
        <v>2</v>
      </c>
      <c r="J197" s="4915">
        <v>3</v>
      </c>
      <c r="K197" s="4916" t="s">
        <v>286</v>
      </c>
      <c r="L197" s="4916" t="s">
        <v>2731</v>
      </c>
      <c r="M197" s="4915">
        <v>9</v>
      </c>
      <c r="N197" s="4915">
        <v>8</v>
      </c>
      <c r="O197" s="157"/>
      <c r="Q197" s="4705"/>
      <c r="R197" s="4705"/>
      <c r="S197" s="4706"/>
      <c r="T197" s="4706"/>
      <c r="U197" s="4741">
        <f>SUM(U191:U196)</f>
        <v>35</v>
      </c>
      <c r="V197" s="4741"/>
      <c r="W197" s="4722">
        <f>(U191+U194)/(U197)</f>
        <v>0.25714285714285712</v>
      </c>
      <c r="Y197" s="36"/>
      <c r="Z197" s="36"/>
      <c r="AA197" s="36"/>
      <c r="AB197" s="36" t="s">
        <v>1080</v>
      </c>
      <c r="AC197" s="1681"/>
      <c r="AD197" s="1681">
        <v>0</v>
      </c>
      <c r="AE197" s="1681"/>
      <c r="AF197" s="1681"/>
      <c r="AG197" s="1681"/>
      <c r="AH197" s="1681">
        <v>0</v>
      </c>
      <c r="AI197" s="1681">
        <v>0</v>
      </c>
      <c r="AJ197" s="1681">
        <v>18</v>
      </c>
      <c r="AK197" s="1681"/>
      <c r="AL197" s="95"/>
      <c r="AM197" s="95">
        <v>18</v>
      </c>
      <c r="AN197" s="4545"/>
      <c r="AR197" s="3868" t="s">
        <v>129</v>
      </c>
      <c r="AS197" s="3868" t="s">
        <v>1076</v>
      </c>
      <c r="AT197" s="3721">
        <v>0</v>
      </c>
      <c r="AU197" s="3721"/>
      <c r="AV197" s="3721"/>
      <c r="AW197" s="3721"/>
      <c r="AX197" s="3721"/>
      <c r="AY197" s="3721"/>
      <c r="AZ197" s="3721">
        <v>0</v>
      </c>
      <c r="BA197" s="3721">
        <v>2</v>
      </c>
      <c r="BB197" s="3721"/>
      <c r="BC197" s="2110"/>
      <c r="BD197" s="2110"/>
      <c r="BE197" s="2110">
        <v>2</v>
      </c>
      <c r="BF197" s="2110"/>
      <c r="BG197" s="2110"/>
      <c r="BJ197" s="1520"/>
      <c r="BK197" s="1520" t="s">
        <v>1077</v>
      </c>
      <c r="BL197" s="3872">
        <v>0</v>
      </c>
      <c r="BM197" s="3872">
        <v>0</v>
      </c>
      <c r="BN197" s="3872">
        <v>1</v>
      </c>
      <c r="BO197" s="3872">
        <v>0</v>
      </c>
      <c r="BP197" s="3872">
        <v>0</v>
      </c>
      <c r="BQ197" s="3872">
        <v>0</v>
      </c>
      <c r="BR197" s="3872">
        <v>0</v>
      </c>
      <c r="BS197" s="3872">
        <v>0</v>
      </c>
      <c r="BT197" s="3806">
        <v>0</v>
      </c>
      <c r="BU197" s="3806">
        <v>1</v>
      </c>
      <c r="BV197" s="1520"/>
      <c r="BX197" s="36"/>
      <c r="BY197" s="36"/>
      <c r="BZ197" s="393"/>
      <c r="CA197" s="393" t="s">
        <v>485</v>
      </c>
      <c r="CB197" s="1682">
        <v>1</v>
      </c>
      <c r="CC197" s="1682">
        <v>1</v>
      </c>
      <c r="CD197" s="1682">
        <v>1</v>
      </c>
      <c r="CE197" s="1682"/>
      <c r="CF197" s="1682">
        <v>1</v>
      </c>
      <c r="CG197" s="1682">
        <v>11</v>
      </c>
      <c r="CH197" s="1682">
        <v>20</v>
      </c>
      <c r="CI197" s="1682">
        <v>23</v>
      </c>
      <c r="CJ197" s="2041"/>
      <c r="CK197" s="2041"/>
      <c r="CL197" s="2041">
        <v>58</v>
      </c>
      <c r="CM197" s="560">
        <f>+(CL196+CL194)/CL197</f>
        <v>0.46551724137931033</v>
      </c>
      <c r="CN197" s="1665"/>
      <c r="CO197" s="37"/>
      <c r="CP197" s="37"/>
      <c r="CQ197" s="37"/>
      <c r="CR197" s="37" t="s">
        <v>1080</v>
      </c>
      <c r="CS197" s="1678"/>
      <c r="CT197" s="1678"/>
      <c r="CU197" s="1678">
        <v>0</v>
      </c>
      <c r="CV197" s="1678"/>
      <c r="CW197" s="1678"/>
      <c r="CX197" s="1678"/>
      <c r="CY197" s="1678">
        <v>0</v>
      </c>
      <c r="CZ197" s="1678">
        <v>1</v>
      </c>
      <c r="DA197" s="1678">
        <v>35</v>
      </c>
      <c r="DB197" s="63"/>
      <c r="DC197" s="63"/>
      <c r="DD197" s="63">
        <v>36</v>
      </c>
      <c r="DG197" s="95"/>
      <c r="DH197" s="95"/>
      <c r="DI197" s="36"/>
      <c r="DJ197" s="36" t="s">
        <v>1074</v>
      </c>
      <c r="DK197" s="1484"/>
      <c r="DL197" s="1484">
        <v>4</v>
      </c>
      <c r="DM197" s="1484">
        <v>1</v>
      </c>
      <c r="DN197" s="1484">
        <v>1</v>
      </c>
      <c r="DO197" s="1484">
        <v>0</v>
      </c>
      <c r="DP197" s="1484">
        <v>0</v>
      </c>
      <c r="DQ197" s="1484">
        <v>0</v>
      </c>
      <c r="DR197" s="1484">
        <v>0</v>
      </c>
      <c r="DS197" s="1484">
        <v>0</v>
      </c>
      <c r="DT197" s="95">
        <v>0</v>
      </c>
      <c r="DU197" s="95">
        <v>0</v>
      </c>
      <c r="DV197" s="95">
        <v>6</v>
      </c>
      <c r="DW197" s="95"/>
      <c r="DY197" s="1209"/>
      <c r="DZ197" s="1209"/>
      <c r="EA197" s="1210"/>
      <c r="EB197" s="415" t="s">
        <v>485</v>
      </c>
      <c r="EC197" s="1215">
        <v>1</v>
      </c>
      <c r="ED197" s="1214"/>
      <c r="EE197" s="1214"/>
      <c r="EF197" s="1214"/>
      <c r="EG197" s="1214"/>
      <c r="EH197" s="1215">
        <v>25</v>
      </c>
      <c r="EI197" s="1215">
        <v>20</v>
      </c>
      <c r="EJ197" s="1215">
        <v>33</v>
      </c>
      <c r="EK197" s="620"/>
      <c r="EL197" s="620"/>
      <c r="EM197" s="621">
        <v>79</v>
      </c>
      <c r="EN197" s="1178">
        <f>+(EM194+EM196)/EM197</f>
        <v>0.41772151898734178</v>
      </c>
      <c r="EP197" s="527"/>
      <c r="EQ197" s="527"/>
      <c r="ER197" s="528"/>
      <c r="ES197" s="555" t="s">
        <v>15</v>
      </c>
      <c r="ET197" s="557">
        <v>2</v>
      </c>
      <c r="EU197" s="557">
        <v>1</v>
      </c>
      <c r="EV197" s="556"/>
      <c r="EW197" s="557">
        <v>1</v>
      </c>
      <c r="EX197" s="556"/>
      <c r="EY197" s="557">
        <v>10</v>
      </c>
      <c r="EZ197" s="556"/>
      <c r="FA197" s="556"/>
      <c r="FB197" s="558"/>
      <c r="FC197" s="558"/>
      <c r="FD197" s="559">
        <v>14</v>
      </c>
      <c r="FE197" s="560">
        <v>0</v>
      </c>
      <c r="FG197" s="533"/>
      <c r="FH197" s="533"/>
      <c r="FI197" s="533"/>
      <c r="FJ197" s="534" t="s">
        <v>1080</v>
      </c>
      <c r="FK197" s="535"/>
      <c r="FL197" s="535"/>
      <c r="FM197" s="535"/>
      <c r="FN197" s="535"/>
      <c r="FO197" s="535"/>
      <c r="FP197" s="535"/>
      <c r="FQ197" s="536">
        <v>0</v>
      </c>
      <c r="FR197" s="536">
        <v>0</v>
      </c>
      <c r="FS197" s="535"/>
      <c r="FT197" s="538">
        <v>1</v>
      </c>
      <c r="FU197" s="537"/>
      <c r="FV197" s="538">
        <v>1</v>
      </c>
      <c r="FW197" s="539"/>
      <c r="GA197" s="540" t="s">
        <v>726</v>
      </c>
      <c r="GB197" s="541" t="s">
        <v>1072</v>
      </c>
      <c r="GC197" s="542"/>
      <c r="GD197" s="543">
        <v>0</v>
      </c>
      <c r="GE197" s="543">
        <v>4</v>
      </c>
      <c r="GF197" s="543">
        <v>3</v>
      </c>
      <c r="GG197" s="543">
        <v>1</v>
      </c>
      <c r="GH197" s="543">
        <v>1</v>
      </c>
      <c r="GI197" s="543">
        <v>0</v>
      </c>
      <c r="GJ197" s="543">
        <v>0</v>
      </c>
      <c r="GK197" s="542"/>
      <c r="GL197" s="542"/>
      <c r="GM197" s="543">
        <v>9</v>
      </c>
      <c r="GN197" s="445"/>
      <c r="GP197" s="63"/>
      <c r="GQ197" s="63"/>
      <c r="GR197" s="63"/>
      <c r="GS197" s="416" t="s">
        <v>15</v>
      </c>
      <c r="GT197" s="386">
        <v>1</v>
      </c>
      <c r="GU197" s="386">
        <v>2</v>
      </c>
      <c r="GV197" s="386"/>
      <c r="GW197" s="386">
        <v>1</v>
      </c>
      <c r="GX197" s="386"/>
      <c r="GY197" s="386">
        <v>33</v>
      </c>
      <c r="GZ197" s="386">
        <v>17</v>
      </c>
      <c r="HA197" s="386">
        <v>5</v>
      </c>
      <c r="HB197" s="386"/>
      <c r="HC197" s="386"/>
      <c r="HD197" s="386">
        <v>59</v>
      </c>
      <c r="HE197" s="466">
        <f>+(HD194+HD196)/HD197</f>
        <v>0.32203389830508472</v>
      </c>
      <c r="HF197" s="37"/>
      <c r="HG197" s="446"/>
      <c r="HH197" s="446"/>
      <c r="HI197" s="446"/>
      <c r="HJ197" s="449" t="s">
        <v>15</v>
      </c>
      <c r="HK197" s="449">
        <v>1</v>
      </c>
      <c r="HL197" s="449">
        <v>0</v>
      </c>
      <c r="HM197" s="449">
        <v>1</v>
      </c>
      <c r="HN197" s="449">
        <v>0</v>
      </c>
      <c r="HO197" s="449">
        <v>2</v>
      </c>
      <c r="HP197" s="449">
        <v>0</v>
      </c>
      <c r="HQ197" s="449">
        <v>17</v>
      </c>
      <c r="HR197" s="449">
        <v>6</v>
      </c>
      <c r="HS197" s="449">
        <v>0</v>
      </c>
      <c r="HT197" s="449">
        <v>0</v>
      </c>
      <c r="HU197" s="449">
        <v>0</v>
      </c>
      <c r="HV197" s="507">
        <v>27</v>
      </c>
      <c r="HW197" s="450">
        <f>+(HV196+HV195+HV194)/HV197</f>
        <v>0.59259259259259256</v>
      </c>
      <c r="HX197" s="448">
        <f>+HV194+HV195+HV196</f>
        <v>16</v>
      </c>
    </row>
    <row r="198" spans="1:232">
      <c r="A198" s="5682">
        <v>2</v>
      </c>
      <c r="B198" s="5682">
        <v>2</v>
      </c>
      <c r="C198" s="5683" t="s">
        <v>2340</v>
      </c>
      <c r="D198" s="5685" t="s">
        <v>1076</v>
      </c>
      <c r="E198" s="5682">
        <v>2</v>
      </c>
      <c r="F198" s="5682">
        <v>7</v>
      </c>
      <c r="I198" s="4915">
        <v>2</v>
      </c>
      <c r="J198" s="4915">
        <v>3</v>
      </c>
      <c r="K198" s="4916" t="s">
        <v>286</v>
      </c>
      <c r="L198" s="4916" t="s">
        <v>2709</v>
      </c>
      <c r="M198" s="4915">
        <v>1</v>
      </c>
      <c r="N198" s="4915">
        <v>4</v>
      </c>
      <c r="O198" s="157"/>
      <c r="Q198" s="4705">
        <v>3</v>
      </c>
      <c r="R198" s="4705">
        <v>2</v>
      </c>
      <c r="S198" s="4706" t="s">
        <v>288</v>
      </c>
      <c r="T198" s="4706" t="s">
        <v>2731</v>
      </c>
      <c r="U198" s="4707">
        <v>14</v>
      </c>
      <c r="V198" s="4707">
        <v>7</v>
      </c>
      <c r="W198" s="4722"/>
      <c r="Y198" s="36"/>
      <c r="Z198" s="36"/>
      <c r="AA198" s="36"/>
      <c r="AB198" s="36" t="s">
        <v>15</v>
      </c>
      <c r="AC198" s="1681"/>
      <c r="AD198" s="1681">
        <v>1</v>
      </c>
      <c r="AE198" s="1681"/>
      <c r="AF198" s="1681"/>
      <c r="AG198" s="1681"/>
      <c r="AH198" s="1681">
        <v>1</v>
      </c>
      <c r="AI198" s="1681">
        <v>5</v>
      </c>
      <c r="AJ198" s="1681">
        <v>18</v>
      </c>
      <c r="AK198" s="1681"/>
      <c r="AL198" s="95"/>
      <c r="AM198" s="95">
        <v>25</v>
      </c>
      <c r="AN198" s="4545">
        <v>0</v>
      </c>
      <c r="AS198" s="3868" t="s">
        <v>1080</v>
      </c>
      <c r="AT198" s="3721">
        <v>0</v>
      </c>
      <c r="AU198" s="3721"/>
      <c r="AV198" s="3721"/>
      <c r="AW198" s="3721"/>
      <c r="AX198" s="3721"/>
      <c r="AY198" s="3721"/>
      <c r="AZ198" s="3721">
        <v>0</v>
      </c>
      <c r="BA198" s="3721">
        <v>1</v>
      </c>
      <c r="BB198" s="3721"/>
      <c r="BC198" s="2110"/>
      <c r="BD198" s="2110"/>
      <c r="BE198" s="2110">
        <v>1</v>
      </c>
      <c r="BF198" s="2110"/>
      <c r="BG198" s="2110"/>
      <c r="BJ198" s="1520"/>
      <c r="BK198" s="1520" t="s">
        <v>1080</v>
      </c>
      <c r="BL198" s="3872">
        <v>0</v>
      </c>
      <c r="BM198" s="3872">
        <v>0</v>
      </c>
      <c r="BN198" s="3872">
        <v>0</v>
      </c>
      <c r="BO198" s="3872">
        <v>0</v>
      </c>
      <c r="BP198" s="3872">
        <v>0</v>
      </c>
      <c r="BQ198" s="3872">
        <v>0</v>
      </c>
      <c r="BR198" s="3872">
        <v>67</v>
      </c>
      <c r="BS198" s="3872">
        <v>9</v>
      </c>
      <c r="BT198" s="3806">
        <v>15</v>
      </c>
      <c r="BU198" s="3806">
        <v>91</v>
      </c>
      <c r="BV198" s="1520"/>
      <c r="BX198" s="36"/>
      <c r="BY198" s="36"/>
      <c r="BZ198" s="393" t="s">
        <v>109</v>
      </c>
      <c r="CA198" s="393" t="s">
        <v>1071</v>
      </c>
      <c r="CB198" s="1682">
        <v>0</v>
      </c>
      <c r="CC198" s="1682">
        <v>0</v>
      </c>
      <c r="CD198" s="1682">
        <v>0</v>
      </c>
      <c r="CE198" s="1682">
        <v>0</v>
      </c>
      <c r="CF198" s="1682">
        <v>1</v>
      </c>
      <c r="CG198" s="1682">
        <v>0</v>
      </c>
      <c r="CH198" s="1682">
        <v>1</v>
      </c>
      <c r="CI198" s="1682">
        <v>9</v>
      </c>
      <c r="CJ198" s="2041">
        <v>0</v>
      </c>
      <c r="CK198" s="2041">
        <v>0</v>
      </c>
      <c r="CL198" s="2041">
        <v>11</v>
      </c>
      <c r="CM198" s="36"/>
      <c r="CO198" s="37"/>
      <c r="CP198" s="37"/>
      <c r="CQ198" s="37"/>
      <c r="CR198" s="37" t="s">
        <v>1163</v>
      </c>
      <c r="CS198" s="1678"/>
      <c r="CT198" s="1678"/>
      <c r="CU198" s="1678">
        <v>0</v>
      </c>
      <c r="CV198" s="1678"/>
      <c r="CW198" s="1678"/>
      <c r="CX198" s="1678"/>
      <c r="CY198" s="1678">
        <v>12</v>
      </c>
      <c r="CZ198" s="1678">
        <v>0</v>
      </c>
      <c r="DA198" s="1678">
        <v>0</v>
      </c>
      <c r="DB198" s="63"/>
      <c r="DC198" s="63"/>
      <c r="DD198" s="63">
        <v>12</v>
      </c>
      <c r="DG198" s="95"/>
      <c r="DH198" s="95"/>
      <c r="DI198" s="36"/>
      <c r="DJ198" s="36" t="s">
        <v>1076</v>
      </c>
      <c r="DK198" s="1484"/>
      <c r="DL198" s="1484">
        <v>0</v>
      </c>
      <c r="DM198" s="1484">
        <v>0</v>
      </c>
      <c r="DN198" s="1484">
        <v>0</v>
      </c>
      <c r="DO198" s="1484">
        <v>0</v>
      </c>
      <c r="DP198" s="1484">
        <v>0</v>
      </c>
      <c r="DQ198" s="1484">
        <v>13</v>
      </c>
      <c r="DR198" s="1484">
        <v>38</v>
      </c>
      <c r="DS198" s="1484">
        <v>1</v>
      </c>
      <c r="DT198" s="95">
        <v>2</v>
      </c>
      <c r="DU198" s="95">
        <v>0</v>
      </c>
      <c r="DV198" s="95">
        <v>54</v>
      </c>
      <c r="DW198" s="95"/>
      <c r="DY198" s="1209"/>
      <c r="DZ198" s="1209"/>
      <c r="EA198" s="1210" t="s">
        <v>109</v>
      </c>
      <c r="EB198" s="1211" t="s">
        <v>1071</v>
      </c>
      <c r="EC198" s="1213">
        <v>0</v>
      </c>
      <c r="ED198" s="1213">
        <v>0</v>
      </c>
      <c r="EE198" s="1213">
        <v>0</v>
      </c>
      <c r="EF198" s="1213">
        <v>0</v>
      </c>
      <c r="EG198" s="1213">
        <v>0</v>
      </c>
      <c r="EH198" s="1213">
        <v>0</v>
      </c>
      <c r="EI198" s="1213">
        <v>1</v>
      </c>
      <c r="EJ198" s="1213">
        <v>7</v>
      </c>
      <c r="EK198" s="612">
        <v>2</v>
      </c>
      <c r="EL198" s="612">
        <v>11</v>
      </c>
      <c r="EM198" s="612">
        <v>21</v>
      </c>
      <c r="EN198" s="36"/>
      <c r="EP198" s="527"/>
      <c r="EQ198" s="527"/>
      <c r="ER198" s="528" t="s">
        <v>136</v>
      </c>
      <c r="ES198" s="529" t="s">
        <v>1072</v>
      </c>
      <c r="ET198" s="530"/>
      <c r="EU198" s="530"/>
      <c r="EV198" s="530"/>
      <c r="EW198" s="530"/>
      <c r="EX198" s="530"/>
      <c r="EY198" s="531">
        <v>1</v>
      </c>
      <c r="EZ198" s="531">
        <v>1</v>
      </c>
      <c r="FA198" s="531">
        <v>0</v>
      </c>
      <c r="FB198" s="527"/>
      <c r="FC198" s="527"/>
      <c r="FD198" s="532">
        <v>2</v>
      </c>
      <c r="FE198" s="95"/>
      <c r="FG198" s="533"/>
      <c r="FH198" s="533"/>
      <c r="FI198" s="533"/>
      <c r="FJ198" s="534" t="s">
        <v>1081</v>
      </c>
      <c r="FK198" s="535"/>
      <c r="FL198" s="535"/>
      <c r="FM198" s="535"/>
      <c r="FN198" s="535"/>
      <c r="FO198" s="535"/>
      <c r="FP198" s="535"/>
      <c r="FQ198" s="536">
        <v>1</v>
      </c>
      <c r="FR198" s="536">
        <v>0</v>
      </c>
      <c r="FS198" s="535"/>
      <c r="FT198" s="538">
        <v>0</v>
      </c>
      <c r="FU198" s="537"/>
      <c r="FV198" s="538">
        <v>1</v>
      </c>
      <c r="FW198" s="539"/>
      <c r="GA198" s="540"/>
      <c r="GB198" s="541" t="s">
        <v>1077</v>
      </c>
      <c r="GC198" s="542"/>
      <c r="GD198" s="543">
        <v>1</v>
      </c>
      <c r="GE198" s="543">
        <v>7</v>
      </c>
      <c r="GF198" s="543">
        <v>1</v>
      </c>
      <c r="GG198" s="543">
        <v>2</v>
      </c>
      <c r="GH198" s="543">
        <v>0</v>
      </c>
      <c r="GI198" s="543">
        <v>0</v>
      </c>
      <c r="GJ198" s="543">
        <v>0</v>
      </c>
      <c r="GK198" s="542"/>
      <c r="GL198" s="542"/>
      <c r="GM198" s="543">
        <v>11</v>
      </c>
      <c r="GN198" s="445"/>
      <c r="GP198" s="63"/>
      <c r="GQ198" s="63"/>
      <c r="GR198" s="63" t="s">
        <v>103</v>
      </c>
      <c r="GS198" s="37" t="s">
        <v>1072</v>
      </c>
      <c r="GT198" s="63"/>
      <c r="GU198" s="63"/>
      <c r="GV198" s="63">
        <v>0</v>
      </c>
      <c r="GW198" s="63">
        <v>0</v>
      </c>
      <c r="GX198" s="63">
        <v>0</v>
      </c>
      <c r="GY198" s="63">
        <v>1</v>
      </c>
      <c r="GZ198" s="63">
        <v>1</v>
      </c>
      <c r="HA198" s="63"/>
      <c r="HB198" s="63"/>
      <c r="HC198" s="63"/>
      <c r="HD198" s="63">
        <v>2</v>
      </c>
      <c r="HE198" s="37"/>
      <c r="HF198" s="37"/>
      <c r="HG198" s="446"/>
      <c r="HH198" s="446"/>
      <c r="HI198" s="446" t="s">
        <v>103</v>
      </c>
      <c r="HJ198" s="446" t="s">
        <v>1071</v>
      </c>
      <c r="HK198" s="446">
        <v>0</v>
      </c>
      <c r="HL198" s="446">
        <v>0</v>
      </c>
      <c r="HM198" s="446">
        <v>0</v>
      </c>
      <c r="HN198" s="446">
        <v>0</v>
      </c>
      <c r="HO198" s="446">
        <v>0</v>
      </c>
      <c r="HP198" s="446">
        <v>0</v>
      </c>
      <c r="HQ198" s="446">
        <v>1</v>
      </c>
      <c r="HR198" s="446">
        <v>0</v>
      </c>
      <c r="HS198" s="446">
        <v>0</v>
      </c>
      <c r="HT198" s="446">
        <v>0</v>
      </c>
      <c r="HU198" s="446">
        <v>0</v>
      </c>
      <c r="HV198" s="447">
        <v>1</v>
      </c>
      <c r="HW198" s="446"/>
      <c r="HX198" s="448"/>
    </row>
    <row r="199" spans="1:232">
      <c r="A199" s="5682"/>
      <c r="B199" s="5682"/>
      <c r="C199" s="5683"/>
      <c r="D199" s="5685"/>
      <c r="E199" s="5686">
        <f>SUM(E194:E198)</f>
        <v>12</v>
      </c>
      <c r="F199" s="5682"/>
      <c r="G199" s="4921">
        <f>(E196+E197+E198)/(E199)</f>
        <v>0.75</v>
      </c>
      <c r="I199" s="4915"/>
      <c r="J199" s="4915"/>
      <c r="K199" s="4916"/>
      <c r="L199" s="4916"/>
      <c r="M199" s="4920">
        <f>SUM(M197:M198)</f>
        <v>10</v>
      </c>
      <c r="N199" s="4915"/>
      <c r="O199" s="4921">
        <v>0</v>
      </c>
      <c r="Q199" s="4705">
        <v>3</v>
      </c>
      <c r="R199" s="4705">
        <v>2</v>
      </c>
      <c r="S199" s="4706" t="s">
        <v>288</v>
      </c>
      <c r="T199" s="4708" t="s">
        <v>1076</v>
      </c>
      <c r="U199" s="4709">
        <v>2</v>
      </c>
      <c r="V199" s="4709">
        <v>6</v>
      </c>
      <c r="W199" s="4722"/>
      <c r="Y199" s="36"/>
      <c r="Z199" s="36"/>
      <c r="AA199" s="393" t="s">
        <v>483</v>
      </c>
      <c r="AB199" s="36" t="s">
        <v>1071</v>
      </c>
      <c r="AC199" s="1681">
        <v>0</v>
      </c>
      <c r="AD199" s="1681">
        <v>0</v>
      </c>
      <c r="AE199" s="1681">
        <v>0</v>
      </c>
      <c r="AF199" s="1681">
        <v>0</v>
      </c>
      <c r="AG199" s="1681">
        <v>0</v>
      </c>
      <c r="AH199" s="1681">
        <v>0</v>
      </c>
      <c r="AI199" s="1681">
        <v>0</v>
      </c>
      <c r="AJ199" s="1681">
        <v>0</v>
      </c>
      <c r="AK199" s="1681">
        <v>0</v>
      </c>
      <c r="AL199" s="95">
        <v>6</v>
      </c>
      <c r="AM199" s="95">
        <v>6</v>
      </c>
      <c r="AN199" s="4545"/>
      <c r="AS199" s="3868" t="s">
        <v>2571</v>
      </c>
      <c r="AT199" s="3721">
        <v>2</v>
      </c>
      <c r="AU199" s="3721"/>
      <c r="AV199" s="3721"/>
      <c r="AW199" s="3721"/>
      <c r="AX199" s="3721"/>
      <c r="AY199" s="3721"/>
      <c r="AZ199" s="3721">
        <v>0</v>
      </c>
      <c r="BA199" s="3721">
        <v>0</v>
      </c>
      <c r="BB199" s="3721"/>
      <c r="BC199" s="2110"/>
      <c r="BD199" s="2110"/>
      <c r="BE199" s="2110">
        <v>2</v>
      </c>
      <c r="BF199" s="2110"/>
      <c r="BG199" s="2110"/>
      <c r="BJ199" s="1520"/>
      <c r="BK199" s="1520" t="s">
        <v>1163</v>
      </c>
      <c r="BL199" s="3872">
        <v>0</v>
      </c>
      <c r="BM199" s="3872">
        <v>0</v>
      </c>
      <c r="BN199" s="3872">
        <v>10</v>
      </c>
      <c r="BO199" s="3872">
        <v>0</v>
      </c>
      <c r="BP199" s="3872">
        <v>2</v>
      </c>
      <c r="BQ199" s="3872">
        <v>5</v>
      </c>
      <c r="BR199" s="3872">
        <v>4</v>
      </c>
      <c r="BS199" s="3872">
        <v>1</v>
      </c>
      <c r="BT199" s="3806">
        <v>0</v>
      </c>
      <c r="BU199" s="3806">
        <v>22</v>
      </c>
      <c r="BV199" s="1520"/>
      <c r="BX199" s="36"/>
      <c r="BY199" s="36"/>
      <c r="BZ199" s="393"/>
      <c r="CA199" s="393" t="s">
        <v>1072</v>
      </c>
      <c r="CB199" s="1682">
        <v>2</v>
      </c>
      <c r="CC199" s="1682">
        <v>2</v>
      </c>
      <c r="CD199" s="1682">
        <v>1</v>
      </c>
      <c r="CE199" s="1682">
        <v>1</v>
      </c>
      <c r="CF199" s="1682">
        <v>1</v>
      </c>
      <c r="CG199" s="1682">
        <v>7</v>
      </c>
      <c r="CH199" s="1682">
        <v>15</v>
      </c>
      <c r="CI199" s="1682">
        <v>1</v>
      </c>
      <c r="CJ199" s="2041">
        <v>0</v>
      </c>
      <c r="CK199" s="2041">
        <v>0</v>
      </c>
      <c r="CL199" s="2041">
        <v>30</v>
      </c>
      <c r="CM199" s="36"/>
      <c r="CO199" s="37"/>
      <c r="CP199" s="37"/>
      <c r="CQ199" s="37"/>
      <c r="CR199" s="416" t="s">
        <v>485</v>
      </c>
      <c r="CS199" s="1679"/>
      <c r="CT199" s="1679"/>
      <c r="CU199" s="1679">
        <v>1</v>
      </c>
      <c r="CV199" s="1679"/>
      <c r="CW199" s="1679"/>
      <c r="CX199" s="1679"/>
      <c r="CY199" s="1679">
        <v>14</v>
      </c>
      <c r="CZ199" s="1679">
        <v>16</v>
      </c>
      <c r="DA199" s="1679">
        <v>35</v>
      </c>
      <c r="DB199" s="386"/>
      <c r="DC199" s="386"/>
      <c r="DD199" s="386">
        <v>66</v>
      </c>
      <c r="DE199" s="2045">
        <f>+(DD196+DD198)/DD199</f>
        <v>0.40909090909090912</v>
      </c>
      <c r="DG199" s="95"/>
      <c r="DH199" s="95"/>
      <c r="DI199" s="36"/>
      <c r="DJ199" s="36" t="s">
        <v>1077</v>
      </c>
      <c r="DK199" s="1484"/>
      <c r="DL199" s="1484">
        <v>3</v>
      </c>
      <c r="DM199" s="1484">
        <v>1</v>
      </c>
      <c r="DN199" s="1484">
        <v>2</v>
      </c>
      <c r="DO199" s="1484">
        <v>2</v>
      </c>
      <c r="DP199" s="1484">
        <v>3</v>
      </c>
      <c r="DQ199" s="1484">
        <v>0</v>
      </c>
      <c r="DR199" s="1484">
        <v>1</v>
      </c>
      <c r="DS199" s="1484">
        <v>0</v>
      </c>
      <c r="DT199" s="95">
        <v>0</v>
      </c>
      <c r="DU199" s="95">
        <v>0</v>
      </c>
      <c r="DV199" s="95">
        <v>12</v>
      </c>
      <c r="DW199" s="95"/>
      <c r="DY199" s="1209"/>
      <c r="DZ199" s="1209"/>
      <c r="EA199" s="1210"/>
      <c r="EB199" s="1211" t="s">
        <v>1072</v>
      </c>
      <c r="EC199" s="1213">
        <v>3</v>
      </c>
      <c r="ED199" s="1213">
        <v>3</v>
      </c>
      <c r="EE199" s="1213">
        <v>2</v>
      </c>
      <c r="EF199" s="1213">
        <v>0</v>
      </c>
      <c r="EG199" s="1213">
        <v>0</v>
      </c>
      <c r="EH199" s="1213">
        <v>4</v>
      </c>
      <c r="EI199" s="1213">
        <v>12</v>
      </c>
      <c r="EJ199" s="1213">
        <v>1</v>
      </c>
      <c r="EK199" s="612">
        <v>3</v>
      </c>
      <c r="EL199" s="612">
        <v>0</v>
      </c>
      <c r="EM199" s="612">
        <v>28</v>
      </c>
      <c r="EN199" s="36"/>
      <c r="EP199" s="527"/>
      <c r="EQ199" s="527"/>
      <c r="ER199" s="528"/>
      <c r="ES199" s="529" t="s">
        <v>1076</v>
      </c>
      <c r="ET199" s="530"/>
      <c r="EU199" s="530"/>
      <c r="EV199" s="530"/>
      <c r="EW199" s="530"/>
      <c r="EX199" s="530"/>
      <c r="EY199" s="531">
        <v>0</v>
      </c>
      <c r="EZ199" s="531">
        <v>1</v>
      </c>
      <c r="FA199" s="531">
        <v>0</v>
      </c>
      <c r="FB199" s="527"/>
      <c r="FC199" s="527"/>
      <c r="FD199" s="532">
        <v>1</v>
      </c>
      <c r="FE199" s="95"/>
      <c r="FG199" s="533"/>
      <c r="FH199" s="533"/>
      <c r="FI199" s="533"/>
      <c r="FJ199" s="534" t="s">
        <v>1163</v>
      </c>
      <c r="FK199" s="535"/>
      <c r="FL199" s="535"/>
      <c r="FM199" s="535"/>
      <c r="FN199" s="535"/>
      <c r="FO199" s="535"/>
      <c r="FP199" s="535"/>
      <c r="FQ199" s="536">
        <v>3</v>
      </c>
      <c r="FR199" s="536">
        <v>0</v>
      </c>
      <c r="FS199" s="535"/>
      <c r="FT199" s="538">
        <v>0</v>
      </c>
      <c r="FU199" s="537"/>
      <c r="FV199" s="538">
        <v>3</v>
      </c>
      <c r="FW199" s="539"/>
      <c r="GA199" s="540"/>
      <c r="GB199" s="541" t="s">
        <v>1080</v>
      </c>
      <c r="GC199" s="542"/>
      <c r="GD199" s="543">
        <v>0</v>
      </c>
      <c r="GE199" s="543">
        <v>0</v>
      </c>
      <c r="GF199" s="543">
        <v>3</v>
      </c>
      <c r="GG199" s="543">
        <v>0</v>
      </c>
      <c r="GH199" s="543">
        <v>2</v>
      </c>
      <c r="GI199" s="543">
        <v>1</v>
      </c>
      <c r="GJ199" s="543">
        <v>4</v>
      </c>
      <c r="GK199" s="542"/>
      <c r="GL199" s="542"/>
      <c r="GM199" s="543">
        <v>10</v>
      </c>
      <c r="GN199" s="445"/>
      <c r="GP199" s="63"/>
      <c r="GQ199" s="63"/>
      <c r="GR199" s="63"/>
      <c r="GS199" s="37" t="s">
        <v>1076</v>
      </c>
      <c r="GT199" s="63"/>
      <c r="GU199" s="63"/>
      <c r="GV199" s="63">
        <v>3</v>
      </c>
      <c r="GW199" s="63">
        <v>0</v>
      </c>
      <c r="GX199" s="63">
        <v>0</v>
      </c>
      <c r="GY199" s="63">
        <v>0</v>
      </c>
      <c r="GZ199" s="63">
        <v>1</v>
      </c>
      <c r="HA199" s="63"/>
      <c r="HB199" s="63"/>
      <c r="HC199" s="63"/>
      <c r="HD199" s="63">
        <v>4</v>
      </c>
      <c r="HE199" s="37"/>
      <c r="HF199" s="37"/>
      <c r="HG199" s="446"/>
      <c r="HH199" s="446"/>
      <c r="HI199" s="446"/>
      <c r="HJ199" s="446" t="s">
        <v>1072</v>
      </c>
      <c r="HK199" s="446">
        <v>0</v>
      </c>
      <c r="HL199" s="446">
        <v>0</v>
      </c>
      <c r="HM199" s="446">
        <v>0</v>
      </c>
      <c r="HN199" s="446">
        <v>1</v>
      </c>
      <c r="HO199" s="446">
        <v>1</v>
      </c>
      <c r="HP199" s="446">
        <v>0</v>
      </c>
      <c r="HQ199" s="446">
        <v>0</v>
      </c>
      <c r="HR199" s="446">
        <v>0</v>
      </c>
      <c r="HS199" s="446">
        <v>0</v>
      </c>
      <c r="HT199" s="446">
        <v>0</v>
      </c>
      <c r="HU199" s="446">
        <v>0</v>
      </c>
      <c r="HV199" s="447">
        <v>2</v>
      </c>
      <c r="HW199" s="446"/>
      <c r="HX199" s="448"/>
    </row>
    <row r="200" spans="1:232">
      <c r="A200" s="5682"/>
      <c r="B200" s="5682"/>
      <c r="C200" s="5683"/>
      <c r="D200" s="5690" t="s">
        <v>2754</v>
      </c>
      <c r="E200" s="5693">
        <f>SUM(E166:E167,E175,E180:E181,E186,E196:E198)</f>
        <v>30</v>
      </c>
      <c r="F200" s="5682"/>
      <c r="I200" s="4915"/>
      <c r="J200" s="4915"/>
      <c r="K200" s="4932" t="s">
        <v>2754</v>
      </c>
      <c r="L200" s="4916"/>
      <c r="M200" s="4936">
        <f>SUM(M183,M186:M187,M192:M193)</f>
        <v>13</v>
      </c>
      <c r="N200" s="4915"/>
      <c r="O200" s="157"/>
      <c r="Q200" s="4705">
        <v>3</v>
      </c>
      <c r="R200" s="4705">
        <v>2</v>
      </c>
      <c r="S200" s="4706" t="s">
        <v>288</v>
      </c>
      <c r="T200" s="4706" t="s">
        <v>2709</v>
      </c>
      <c r="U200" s="4707">
        <v>1</v>
      </c>
      <c r="V200" s="4707">
        <v>1</v>
      </c>
      <c r="W200" s="4722"/>
      <c r="Y200" s="36"/>
      <c r="Z200" s="36"/>
      <c r="AA200" s="36"/>
      <c r="AB200" s="36" t="s">
        <v>1072</v>
      </c>
      <c r="AC200" s="1681">
        <v>0</v>
      </c>
      <c r="AD200" s="1681">
        <v>4</v>
      </c>
      <c r="AE200" s="1681">
        <v>1</v>
      </c>
      <c r="AF200" s="1681">
        <v>3</v>
      </c>
      <c r="AG200" s="1681">
        <v>3</v>
      </c>
      <c r="AH200" s="1681">
        <v>2</v>
      </c>
      <c r="AI200" s="1681">
        <v>95</v>
      </c>
      <c r="AJ200" s="1681">
        <v>3</v>
      </c>
      <c r="AK200" s="1681">
        <v>0</v>
      </c>
      <c r="AL200" s="95">
        <v>0</v>
      </c>
      <c r="AM200" s="95">
        <v>111</v>
      </c>
      <c r="AN200" s="4545"/>
      <c r="AS200" s="3868" t="s">
        <v>1163</v>
      </c>
      <c r="AT200" s="3721">
        <v>0</v>
      </c>
      <c r="AU200" s="3721"/>
      <c r="AV200" s="3721"/>
      <c r="AW200" s="3721"/>
      <c r="AX200" s="3721"/>
      <c r="AY200" s="3721"/>
      <c r="AZ200" s="3721">
        <v>1</v>
      </c>
      <c r="BA200" s="3721">
        <v>5</v>
      </c>
      <c r="BB200" s="3721"/>
      <c r="BC200" s="2110"/>
      <c r="BD200" s="2110"/>
      <c r="BE200" s="2110">
        <v>6</v>
      </c>
      <c r="BF200" s="2110"/>
      <c r="BG200" s="2110"/>
      <c r="BJ200" s="1520"/>
      <c r="BK200" s="1520">
        <v>22</v>
      </c>
      <c r="BL200" s="3872">
        <v>0</v>
      </c>
      <c r="BM200" s="3872">
        <v>0</v>
      </c>
      <c r="BN200" s="3872">
        <v>0</v>
      </c>
      <c r="BO200" s="3872">
        <v>1</v>
      </c>
      <c r="BP200" s="3872">
        <v>0</v>
      </c>
      <c r="BQ200" s="3872">
        <v>1</v>
      </c>
      <c r="BR200" s="3872">
        <v>0</v>
      </c>
      <c r="BS200" s="3872">
        <v>0</v>
      </c>
      <c r="BT200" s="3806">
        <v>0</v>
      </c>
      <c r="BU200" s="3806">
        <v>2</v>
      </c>
      <c r="BV200" s="1520"/>
      <c r="BX200" s="36"/>
      <c r="BY200" s="36"/>
      <c r="BZ200" s="393"/>
      <c r="CA200" s="393" t="s">
        <v>1074</v>
      </c>
      <c r="CB200" s="1682">
        <v>2</v>
      </c>
      <c r="CC200" s="1682">
        <v>0</v>
      </c>
      <c r="CD200" s="1682">
        <v>0</v>
      </c>
      <c r="CE200" s="1682">
        <v>0</v>
      </c>
      <c r="CF200" s="1682">
        <v>0</v>
      </c>
      <c r="CG200" s="1682">
        <v>0</v>
      </c>
      <c r="CH200" s="1682">
        <v>0</v>
      </c>
      <c r="CI200" s="1682">
        <v>0</v>
      </c>
      <c r="CJ200" s="2041">
        <v>0</v>
      </c>
      <c r="CK200" s="2041">
        <v>0</v>
      </c>
      <c r="CL200" s="2041">
        <v>2</v>
      </c>
      <c r="CM200" s="36"/>
      <c r="CO200" s="37"/>
      <c r="CP200" s="37"/>
      <c r="CQ200" s="37" t="s">
        <v>109</v>
      </c>
      <c r="CR200" s="37" t="s">
        <v>1071</v>
      </c>
      <c r="CS200" s="1678"/>
      <c r="CT200" s="1678">
        <v>0</v>
      </c>
      <c r="CU200" s="1678">
        <v>0</v>
      </c>
      <c r="CV200" s="1678">
        <v>0</v>
      </c>
      <c r="CW200" s="1678">
        <v>0</v>
      </c>
      <c r="CX200" s="1678">
        <v>0</v>
      </c>
      <c r="CY200" s="1678">
        <v>0</v>
      </c>
      <c r="CZ200" s="1678">
        <v>2</v>
      </c>
      <c r="DA200" s="1678">
        <v>4</v>
      </c>
      <c r="DB200" s="63">
        <v>4</v>
      </c>
      <c r="DC200" s="63">
        <v>3</v>
      </c>
      <c r="DD200" s="63">
        <v>13</v>
      </c>
      <c r="DG200" s="95"/>
      <c r="DH200" s="95"/>
      <c r="DI200" s="36"/>
      <c r="DJ200" s="36" t="s">
        <v>1080</v>
      </c>
      <c r="DK200" s="1484"/>
      <c r="DL200" s="1484">
        <v>0</v>
      </c>
      <c r="DM200" s="1484">
        <v>0</v>
      </c>
      <c r="DN200" s="1484">
        <v>0</v>
      </c>
      <c r="DO200" s="1484">
        <v>0</v>
      </c>
      <c r="DP200" s="1484">
        <v>0</v>
      </c>
      <c r="DQ200" s="1484">
        <v>0</v>
      </c>
      <c r="DR200" s="1484">
        <v>1</v>
      </c>
      <c r="DS200" s="1484">
        <v>48</v>
      </c>
      <c r="DT200" s="95">
        <v>3</v>
      </c>
      <c r="DU200" s="95">
        <v>8</v>
      </c>
      <c r="DV200" s="95">
        <v>60</v>
      </c>
      <c r="DW200" s="95"/>
      <c r="DY200" s="1209"/>
      <c r="DZ200" s="1209"/>
      <c r="EA200" s="1210"/>
      <c r="EB200" s="1211" t="s">
        <v>1074</v>
      </c>
      <c r="EC200" s="1213">
        <v>8</v>
      </c>
      <c r="ED200" s="1213">
        <v>5</v>
      </c>
      <c r="EE200" s="1213">
        <v>1</v>
      </c>
      <c r="EF200" s="1213">
        <v>1</v>
      </c>
      <c r="EG200" s="1213">
        <v>1</v>
      </c>
      <c r="EH200" s="1213">
        <v>0</v>
      </c>
      <c r="EI200" s="1213">
        <v>0</v>
      </c>
      <c r="EJ200" s="1213">
        <v>0</v>
      </c>
      <c r="EK200" s="612">
        <v>0</v>
      </c>
      <c r="EL200" s="612">
        <v>0</v>
      </c>
      <c r="EM200" s="612">
        <v>16</v>
      </c>
      <c r="EN200" s="36"/>
      <c r="EP200" s="527"/>
      <c r="EQ200" s="527"/>
      <c r="ER200" s="528"/>
      <c r="ES200" s="529" t="s">
        <v>1080</v>
      </c>
      <c r="ET200" s="530"/>
      <c r="EU200" s="530"/>
      <c r="EV200" s="530"/>
      <c r="EW200" s="530"/>
      <c r="EX200" s="530"/>
      <c r="EY200" s="531">
        <v>0</v>
      </c>
      <c r="EZ200" s="531">
        <v>0</v>
      </c>
      <c r="FA200" s="531">
        <v>8</v>
      </c>
      <c r="FB200" s="527"/>
      <c r="FC200" s="527"/>
      <c r="FD200" s="532">
        <v>8</v>
      </c>
      <c r="FE200" s="95"/>
      <c r="FG200" s="533"/>
      <c r="FH200" s="533"/>
      <c r="FI200" s="533"/>
      <c r="FJ200" s="545" t="s">
        <v>15</v>
      </c>
      <c r="FK200" s="546"/>
      <c r="FL200" s="546"/>
      <c r="FM200" s="546"/>
      <c r="FN200" s="546"/>
      <c r="FO200" s="546"/>
      <c r="FP200" s="546"/>
      <c r="FQ200" s="547">
        <v>19</v>
      </c>
      <c r="FR200" s="547">
        <v>3</v>
      </c>
      <c r="FS200" s="546"/>
      <c r="FT200" s="549">
        <v>1</v>
      </c>
      <c r="FU200" s="548"/>
      <c r="FV200" s="549">
        <v>23</v>
      </c>
      <c r="FW200" s="539">
        <f>+(FV199+FV198+FV196)/FV200</f>
        <v>0.21739130434782608</v>
      </c>
      <c r="GA200" s="540"/>
      <c r="GB200" s="541" t="s">
        <v>1081</v>
      </c>
      <c r="GC200" s="542"/>
      <c r="GD200" s="543">
        <v>0</v>
      </c>
      <c r="GE200" s="543">
        <v>1</v>
      </c>
      <c r="GF200" s="543">
        <v>1</v>
      </c>
      <c r="GG200" s="543">
        <v>0</v>
      </c>
      <c r="GH200" s="543">
        <v>0</v>
      </c>
      <c r="GI200" s="543">
        <v>0</v>
      </c>
      <c r="GJ200" s="543">
        <v>0</v>
      </c>
      <c r="GK200" s="542"/>
      <c r="GL200" s="542"/>
      <c r="GM200" s="543">
        <v>2</v>
      </c>
      <c r="GN200" s="445"/>
      <c r="GP200" s="63"/>
      <c r="GQ200" s="63"/>
      <c r="GR200" s="63"/>
      <c r="GS200" s="37" t="s">
        <v>1077</v>
      </c>
      <c r="GT200" s="63"/>
      <c r="GU200" s="63"/>
      <c r="GV200" s="63">
        <v>22</v>
      </c>
      <c r="GW200" s="63">
        <v>5</v>
      </c>
      <c r="GX200" s="63">
        <v>4</v>
      </c>
      <c r="GY200" s="63">
        <v>1</v>
      </c>
      <c r="GZ200" s="63">
        <v>0</v>
      </c>
      <c r="HA200" s="63"/>
      <c r="HB200" s="63"/>
      <c r="HC200" s="63"/>
      <c r="HD200" s="63">
        <v>32</v>
      </c>
      <c r="HE200" s="37"/>
      <c r="HF200" s="37"/>
      <c r="HG200" s="446"/>
      <c r="HH200" s="446"/>
      <c r="HI200" s="446"/>
      <c r="HJ200" s="446" t="s">
        <v>1076</v>
      </c>
      <c r="HK200" s="446">
        <v>0</v>
      </c>
      <c r="HL200" s="446">
        <v>0</v>
      </c>
      <c r="HM200" s="446">
        <v>0</v>
      </c>
      <c r="HN200" s="446">
        <v>1</v>
      </c>
      <c r="HO200" s="446">
        <v>0</v>
      </c>
      <c r="HP200" s="446">
        <v>0</v>
      </c>
      <c r="HQ200" s="446">
        <v>0</v>
      </c>
      <c r="HR200" s="446">
        <v>0</v>
      </c>
      <c r="HS200" s="446">
        <v>0</v>
      </c>
      <c r="HT200" s="446">
        <v>0</v>
      </c>
      <c r="HU200" s="446">
        <v>0</v>
      </c>
      <c r="HV200" s="447">
        <v>1</v>
      </c>
      <c r="HW200" s="446"/>
      <c r="HX200" s="448"/>
    </row>
    <row r="201" spans="1:232">
      <c r="A201" s="5682"/>
      <c r="B201" s="5682"/>
      <c r="C201" s="5686" t="s">
        <v>16</v>
      </c>
      <c r="D201" s="5685"/>
      <c r="E201" s="5686">
        <f>SUM(E199,E193,E182,E179,E169)</f>
        <v>70</v>
      </c>
      <c r="F201" s="5682"/>
      <c r="G201" s="5692">
        <f>E200/E201</f>
        <v>0.42857142857142855</v>
      </c>
      <c r="I201" s="4915"/>
      <c r="J201" s="4915"/>
      <c r="K201" s="4929" t="s">
        <v>41</v>
      </c>
      <c r="L201" s="4926"/>
      <c r="M201" s="4929">
        <f>SUM(M199,M196,M189,M185)</f>
        <v>44</v>
      </c>
      <c r="N201" s="4925"/>
      <c r="O201" s="4934">
        <f>M200/M201</f>
        <v>0.29545454545454547</v>
      </c>
      <c r="Q201" s="4705">
        <v>3</v>
      </c>
      <c r="R201" s="4705">
        <v>2</v>
      </c>
      <c r="S201" s="4706" t="s">
        <v>288</v>
      </c>
      <c r="T201" s="4706" t="s">
        <v>2709</v>
      </c>
      <c r="U201" s="4707">
        <v>1</v>
      </c>
      <c r="V201" s="4707">
        <v>6</v>
      </c>
      <c r="W201" s="4722"/>
      <c r="Y201" s="36"/>
      <c r="Z201" s="36"/>
      <c r="AA201" s="36"/>
      <c r="AB201" s="36" t="s">
        <v>1076</v>
      </c>
      <c r="AC201" s="1681">
        <v>0</v>
      </c>
      <c r="AD201" s="1681">
        <v>0</v>
      </c>
      <c r="AE201" s="1681">
        <v>0</v>
      </c>
      <c r="AF201" s="1681">
        <v>7</v>
      </c>
      <c r="AG201" s="1681">
        <v>3</v>
      </c>
      <c r="AH201" s="1681">
        <v>0</v>
      </c>
      <c r="AI201" s="1681">
        <v>1</v>
      </c>
      <c r="AJ201" s="1681">
        <v>4</v>
      </c>
      <c r="AK201" s="1681">
        <v>1</v>
      </c>
      <c r="AL201" s="95">
        <v>0</v>
      </c>
      <c r="AM201" s="95">
        <v>16</v>
      </c>
      <c r="AN201" s="4545"/>
      <c r="AS201" s="27" t="s">
        <v>15</v>
      </c>
      <c r="AT201" s="3722">
        <v>2</v>
      </c>
      <c r="AU201" s="3722"/>
      <c r="AV201" s="3722"/>
      <c r="AW201" s="3722"/>
      <c r="AX201" s="3722"/>
      <c r="AY201" s="3722"/>
      <c r="AZ201" s="3722">
        <v>1</v>
      </c>
      <c r="BA201" s="3722">
        <v>8</v>
      </c>
      <c r="BB201" s="3722"/>
      <c r="BC201" s="3701"/>
      <c r="BD201" s="3701"/>
      <c r="BE201" s="3701">
        <v>11</v>
      </c>
      <c r="BF201" s="1665">
        <f>+(BE197+BE200)/(BE201-BE199)</f>
        <v>0.88888888888888884</v>
      </c>
      <c r="BG201" s="1665"/>
      <c r="BJ201" s="1520"/>
      <c r="BK201" s="1520" t="s">
        <v>109</v>
      </c>
      <c r="BL201" s="3872">
        <v>3</v>
      </c>
      <c r="BM201" s="3872">
        <v>1</v>
      </c>
      <c r="BN201" s="3872">
        <v>13</v>
      </c>
      <c r="BO201" s="3872">
        <v>2</v>
      </c>
      <c r="BP201" s="3872">
        <v>5</v>
      </c>
      <c r="BQ201" s="3872">
        <v>60</v>
      </c>
      <c r="BR201" s="3872">
        <v>99</v>
      </c>
      <c r="BS201" s="3872">
        <v>17</v>
      </c>
      <c r="BT201" s="3806">
        <v>24</v>
      </c>
      <c r="BU201" s="3806">
        <v>224</v>
      </c>
      <c r="BV201" s="3807">
        <f>+(BU196+BU199)/BU201</f>
        <v>0.3705357142857143</v>
      </c>
      <c r="BX201" s="36"/>
      <c r="BY201" s="36"/>
      <c r="BZ201" s="393"/>
      <c r="CA201" s="393" t="s">
        <v>1076</v>
      </c>
      <c r="CB201" s="1682">
        <v>0</v>
      </c>
      <c r="CC201" s="1682">
        <v>0</v>
      </c>
      <c r="CD201" s="1682">
        <v>0</v>
      </c>
      <c r="CE201" s="1682">
        <v>0</v>
      </c>
      <c r="CF201" s="1682">
        <v>0</v>
      </c>
      <c r="CG201" s="1682">
        <v>4</v>
      </c>
      <c r="CH201" s="1682">
        <v>33</v>
      </c>
      <c r="CI201" s="1682">
        <v>5</v>
      </c>
      <c r="CJ201" s="2041">
        <v>2</v>
      </c>
      <c r="CK201" s="2041">
        <v>0</v>
      </c>
      <c r="CL201" s="2041">
        <v>44</v>
      </c>
      <c r="CM201" s="36"/>
      <c r="CO201" s="37"/>
      <c r="CP201" s="37"/>
      <c r="CQ201" s="37"/>
      <c r="CR201" s="37" t="s">
        <v>1072</v>
      </c>
      <c r="CS201" s="1678"/>
      <c r="CT201" s="1678">
        <v>2</v>
      </c>
      <c r="CU201" s="1678">
        <v>1</v>
      </c>
      <c r="CV201" s="1678">
        <v>0</v>
      </c>
      <c r="CW201" s="1678">
        <v>1</v>
      </c>
      <c r="CX201" s="1678">
        <v>1</v>
      </c>
      <c r="CY201" s="1678">
        <v>5</v>
      </c>
      <c r="CZ201" s="1678">
        <v>12</v>
      </c>
      <c r="DA201" s="1678">
        <v>3</v>
      </c>
      <c r="DB201" s="63">
        <v>1</v>
      </c>
      <c r="DC201" s="63">
        <v>0</v>
      </c>
      <c r="DD201" s="63">
        <v>26</v>
      </c>
      <c r="DG201" s="95"/>
      <c r="DH201" s="95"/>
      <c r="DI201" s="36"/>
      <c r="DJ201" s="36" t="s">
        <v>1163</v>
      </c>
      <c r="DK201" s="1484"/>
      <c r="DL201" s="1484">
        <v>0</v>
      </c>
      <c r="DM201" s="1484">
        <v>0</v>
      </c>
      <c r="DN201" s="1484">
        <v>0</v>
      </c>
      <c r="DO201" s="1484">
        <v>0</v>
      </c>
      <c r="DP201" s="1484">
        <v>0</v>
      </c>
      <c r="DQ201" s="1484">
        <v>43</v>
      </c>
      <c r="DR201" s="1484">
        <v>23</v>
      </c>
      <c r="DS201" s="1484">
        <v>4</v>
      </c>
      <c r="DT201" s="95">
        <v>0</v>
      </c>
      <c r="DU201" s="95">
        <v>0</v>
      </c>
      <c r="DV201" s="95">
        <v>70</v>
      </c>
      <c r="DW201" s="95"/>
      <c r="DY201" s="1209"/>
      <c r="DZ201" s="1209"/>
      <c r="EA201" s="1210"/>
      <c r="EB201" s="1211" t="s">
        <v>1076</v>
      </c>
      <c r="EC201" s="1213">
        <v>0</v>
      </c>
      <c r="ED201" s="1213">
        <v>0</v>
      </c>
      <c r="EE201" s="1213">
        <v>8</v>
      </c>
      <c r="EF201" s="1213">
        <v>0</v>
      </c>
      <c r="EG201" s="1213">
        <v>0</v>
      </c>
      <c r="EH201" s="1213">
        <v>7</v>
      </c>
      <c r="EI201" s="1213">
        <v>13</v>
      </c>
      <c r="EJ201" s="1213">
        <v>1</v>
      </c>
      <c r="EK201" s="612">
        <v>0</v>
      </c>
      <c r="EL201" s="612">
        <v>0</v>
      </c>
      <c r="EM201" s="612">
        <v>29</v>
      </c>
      <c r="EN201" s="36"/>
      <c r="EP201" s="527"/>
      <c r="EQ201" s="527"/>
      <c r="ER201" s="528"/>
      <c r="ES201" s="529" t="s">
        <v>1081</v>
      </c>
      <c r="ET201" s="530"/>
      <c r="EU201" s="530"/>
      <c r="EV201" s="530"/>
      <c r="EW201" s="530"/>
      <c r="EX201" s="530"/>
      <c r="EY201" s="531">
        <v>0</v>
      </c>
      <c r="EZ201" s="531">
        <v>1</v>
      </c>
      <c r="FA201" s="531">
        <v>0</v>
      </c>
      <c r="FB201" s="527"/>
      <c r="FC201" s="527"/>
      <c r="FD201" s="532">
        <v>1</v>
      </c>
      <c r="FE201" s="95"/>
      <c r="FG201" s="533"/>
      <c r="FH201" s="533"/>
      <c r="FI201" s="533" t="s">
        <v>111</v>
      </c>
      <c r="FJ201" s="534" t="s">
        <v>1072</v>
      </c>
      <c r="FK201" s="536">
        <v>1</v>
      </c>
      <c r="FL201" s="535"/>
      <c r="FM201" s="535"/>
      <c r="FN201" s="535"/>
      <c r="FO201" s="535"/>
      <c r="FP201" s="535"/>
      <c r="FQ201" s="535"/>
      <c r="FR201" s="535"/>
      <c r="FS201" s="535"/>
      <c r="FT201" s="537"/>
      <c r="FU201" s="537"/>
      <c r="FV201" s="538">
        <v>1</v>
      </c>
      <c r="FW201" s="539"/>
      <c r="GA201" s="540"/>
      <c r="GB201" s="541" t="s">
        <v>1163</v>
      </c>
      <c r="GC201" s="542"/>
      <c r="GD201" s="543">
        <v>0</v>
      </c>
      <c r="GE201" s="543">
        <v>1</v>
      </c>
      <c r="GF201" s="543">
        <v>0</v>
      </c>
      <c r="GG201" s="543">
        <v>0</v>
      </c>
      <c r="GH201" s="543">
        <v>0</v>
      </c>
      <c r="GI201" s="543">
        <v>0</v>
      </c>
      <c r="GJ201" s="543">
        <v>0</v>
      </c>
      <c r="GK201" s="542"/>
      <c r="GL201" s="542"/>
      <c r="GM201" s="543">
        <v>1</v>
      </c>
      <c r="GN201" s="445"/>
      <c r="GP201" s="63"/>
      <c r="GQ201" s="63"/>
      <c r="GR201" s="63"/>
      <c r="GS201" s="37" t="s">
        <v>1080</v>
      </c>
      <c r="GT201" s="63"/>
      <c r="GU201" s="63"/>
      <c r="GV201" s="63">
        <v>0</v>
      </c>
      <c r="GW201" s="63">
        <v>1</v>
      </c>
      <c r="GX201" s="63">
        <v>0</v>
      </c>
      <c r="GY201" s="63">
        <v>0</v>
      </c>
      <c r="GZ201" s="63">
        <v>0</v>
      </c>
      <c r="HA201" s="63"/>
      <c r="HB201" s="63"/>
      <c r="HC201" s="63"/>
      <c r="HD201" s="63">
        <v>1</v>
      </c>
      <c r="HE201" s="37"/>
      <c r="HF201" s="37"/>
      <c r="HG201" s="446"/>
      <c r="HH201" s="446"/>
      <c r="HI201" s="446"/>
      <c r="HJ201" s="446" t="s">
        <v>1077</v>
      </c>
      <c r="HK201" s="446">
        <v>0</v>
      </c>
      <c r="HL201" s="446">
        <v>0</v>
      </c>
      <c r="HM201" s="446">
        <v>1</v>
      </c>
      <c r="HN201" s="446">
        <v>3</v>
      </c>
      <c r="HO201" s="446">
        <v>13</v>
      </c>
      <c r="HP201" s="446">
        <v>6</v>
      </c>
      <c r="HQ201" s="446">
        <v>3</v>
      </c>
      <c r="HR201" s="446">
        <v>0</v>
      </c>
      <c r="HS201" s="446">
        <v>0</v>
      </c>
      <c r="HT201" s="446">
        <v>0</v>
      </c>
      <c r="HU201" s="446">
        <v>0</v>
      </c>
      <c r="HV201" s="447">
        <v>26</v>
      </c>
      <c r="HW201" s="446"/>
      <c r="HX201" s="448"/>
    </row>
    <row r="202" spans="1:232">
      <c r="A202" s="5682">
        <v>2</v>
      </c>
      <c r="B202" s="5682">
        <v>3</v>
      </c>
      <c r="C202" s="5683" t="s">
        <v>440</v>
      </c>
      <c r="D202" s="5683" t="s">
        <v>2731</v>
      </c>
      <c r="E202" s="5682">
        <v>1</v>
      </c>
      <c r="F202" s="5682">
        <v>9</v>
      </c>
      <c r="I202" s="4930"/>
      <c r="J202" s="4930"/>
      <c r="K202" s="4932" t="s">
        <v>2754</v>
      </c>
      <c r="L202" s="4938"/>
      <c r="M202" s="4933">
        <f>SUM(M200,M179,M146)</f>
        <v>54</v>
      </c>
      <c r="N202" s="4939"/>
      <c r="O202" s="157"/>
      <c r="Q202" s="4705"/>
      <c r="R202" s="4705"/>
      <c r="S202" s="4706"/>
      <c r="T202" s="4706"/>
      <c r="U202" s="4741">
        <f>SUM(U198:U201)</f>
        <v>18</v>
      </c>
      <c r="V202" s="4741"/>
      <c r="W202" s="4722">
        <f>(U199)/(U202)</f>
        <v>0.1111111111111111</v>
      </c>
      <c r="X202" s="4452"/>
      <c r="Y202" s="36"/>
      <c r="Z202" s="36"/>
      <c r="AA202" s="36"/>
      <c r="AB202" s="36" t="s">
        <v>1077</v>
      </c>
      <c r="AC202" s="1681">
        <v>0</v>
      </c>
      <c r="AD202" s="1681">
        <v>0</v>
      </c>
      <c r="AE202" s="1681">
        <v>0</v>
      </c>
      <c r="AF202" s="1681">
        <v>1</v>
      </c>
      <c r="AG202" s="1681">
        <v>0</v>
      </c>
      <c r="AH202" s="1681">
        <v>0</v>
      </c>
      <c r="AI202" s="1681">
        <v>0</v>
      </c>
      <c r="AJ202" s="1681">
        <v>0</v>
      </c>
      <c r="AK202" s="1681">
        <v>0</v>
      </c>
      <c r="AL202" s="95">
        <v>0</v>
      </c>
      <c r="AM202" s="95">
        <v>1</v>
      </c>
      <c r="AN202" s="4545"/>
      <c r="AR202" s="3868" t="s">
        <v>130</v>
      </c>
      <c r="AS202" s="3868" t="s">
        <v>1076</v>
      </c>
      <c r="AT202" s="3721">
        <v>0</v>
      </c>
      <c r="AU202" s="3721"/>
      <c r="AV202" s="3721"/>
      <c r="AW202" s="3721"/>
      <c r="AX202" s="3721"/>
      <c r="AY202" s="3721"/>
      <c r="AZ202" s="3721">
        <v>0</v>
      </c>
      <c r="BA202" s="3721">
        <v>1</v>
      </c>
      <c r="BB202" s="3721">
        <v>0</v>
      </c>
      <c r="BC202" s="2110"/>
      <c r="BD202" s="2110"/>
      <c r="BE202" s="2110">
        <v>1</v>
      </c>
      <c r="BF202" s="2110"/>
      <c r="BG202" s="2110"/>
      <c r="BH202" s="32" t="s">
        <v>48</v>
      </c>
      <c r="BI202" s="32" t="s">
        <v>16</v>
      </c>
      <c r="BJ202" s="32" t="s">
        <v>127</v>
      </c>
      <c r="BK202" s="32" t="s">
        <v>1072</v>
      </c>
      <c r="BL202" s="3871"/>
      <c r="BM202" s="3871"/>
      <c r="BN202" s="3871"/>
      <c r="BO202" s="3871"/>
      <c r="BP202" s="3871"/>
      <c r="BQ202" s="3871">
        <v>1</v>
      </c>
      <c r="BR202" s="3871"/>
      <c r="BS202" s="3871"/>
      <c r="BT202" s="1518"/>
      <c r="BU202" s="1518">
        <v>1</v>
      </c>
      <c r="BX202" s="36"/>
      <c r="BY202" s="36"/>
      <c r="BZ202" s="393"/>
      <c r="CA202" s="393" t="s">
        <v>1077</v>
      </c>
      <c r="CB202" s="1682">
        <v>1</v>
      </c>
      <c r="CC202" s="1682">
        <v>0</v>
      </c>
      <c r="CD202" s="1682">
        <v>2</v>
      </c>
      <c r="CE202" s="1682">
        <v>3</v>
      </c>
      <c r="CF202" s="1682">
        <v>1</v>
      </c>
      <c r="CG202" s="1682">
        <v>1</v>
      </c>
      <c r="CH202" s="1682">
        <v>0</v>
      </c>
      <c r="CI202" s="1682">
        <v>0</v>
      </c>
      <c r="CJ202" s="2041">
        <v>0</v>
      </c>
      <c r="CK202" s="2041">
        <v>0</v>
      </c>
      <c r="CL202" s="2041">
        <v>8</v>
      </c>
      <c r="CM202" s="36"/>
      <c r="CO202" s="37"/>
      <c r="CP202" s="37"/>
      <c r="CQ202" s="37"/>
      <c r="CR202" s="37" t="s">
        <v>1074</v>
      </c>
      <c r="CS202" s="1678"/>
      <c r="CT202" s="1678">
        <v>3</v>
      </c>
      <c r="CU202" s="1678">
        <v>1</v>
      </c>
      <c r="CV202" s="1678">
        <v>0</v>
      </c>
      <c r="CW202" s="1678">
        <v>0</v>
      </c>
      <c r="CX202" s="1678">
        <v>0</v>
      </c>
      <c r="CY202" s="1678">
        <v>0</v>
      </c>
      <c r="CZ202" s="1678">
        <v>0</v>
      </c>
      <c r="DA202" s="1678">
        <v>0</v>
      </c>
      <c r="DB202" s="63">
        <v>0</v>
      </c>
      <c r="DC202" s="63">
        <v>0</v>
      </c>
      <c r="DD202" s="63">
        <v>4</v>
      </c>
      <c r="DG202" s="95"/>
      <c r="DH202" s="95"/>
      <c r="DI202" s="36"/>
      <c r="DJ202" s="393" t="s">
        <v>109</v>
      </c>
      <c r="DK202" s="1485"/>
      <c r="DL202" s="1485">
        <v>11</v>
      </c>
      <c r="DM202" s="1485">
        <v>4</v>
      </c>
      <c r="DN202" s="1485">
        <v>4</v>
      </c>
      <c r="DO202" s="1485">
        <v>2</v>
      </c>
      <c r="DP202" s="1485">
        <v>4</v>
      </c>
      <c r="DQ202" s="1485">
        <v>80</v>
      </c>
      <c r="DR202" s="1485">
        <v>90</v>
      </c>
      <c r="DS202" s="1485">
        <v>65</v>
      </c>
      <c r="DT202" s="86">
        <v>9</v>
      </c>
      <c r="DU202" s="86">
        <v>10</v>
      </c>
      <c r="DV202" s="86">
        <v>279</v>
      </c>
      <c r="DW202" s="560">
        <f>+(DV198+DV201-DT198)/DV202</f>
        <v>0.43727598566308246</v>
      </c>
      <c r="DY202" s="1209"/>
      <c r="DZ202" s="1209"/>
      <c r="EA202" s="1210"/>
      <c r="EB202" s="1211" t="s">
        <v>1077</v>
      </c>
      <c r="EC202" s="1213">
        <v>0</v>
      </c>
      <c r="ED202" s="1213">
        <v>1</v>
      </c>
      <c r="EE202" s="1213">
        <v>3</v>
      </c>
      <c r="EF202" s="1213">
        <v>2</v>
      </c>
      <c r="EG202" s="1213">
        <v>1</v>
      </c>
      <c r="EH202" s="1213">
        <v>0</v>
      </c>
      <c r="EI202" s="1213">
        <v>1</v>
      </c>
      <c r="EJ202" s="1213">
        <v>0</v>
      </c>
      <c r="EK202" s="612">
        <v>0</v>
      </c>
      <c r="EL202" s="612">
        <v>0</v>
      </c>
      <c r="EM202" s="612">
        <v>8</v>
      </c>
      <c r="EN202" s="36"/>
      <c r="EP202" s="527"/>
      <c r="EQ202" s="527"/>
      <c r="ER202" s="528"/>
      <c r="ES202" s="529" t="s">
        <v>1163</v>
      </c>
      <c r="ET202" s="530"/>
      <c r="EU202" s="530"/>
      <c r="EV202" s="530"/>
      <c r="EW202" s="530"/>
      <c r="EX202" s="530"/>
      <c r="EY202" s="531">
        <v>2</v>
      </c>
      <c r="EZ202" s="531">
        <v>0</v>
      </c>
      <c r="FA202" s="531">
        <v>0</v>
      </c>
      <c r="FB202" s="527"/>
      <c r="FC202" s="527"/>
      <c r="FD202" s="532">
        <v>2</v>
      </c>
      <c r="FE202" s="95"/>
      <c r="FG202" s="533"/>
      <c r="FH202" s="533"/>
      <c r="FI202" s="533"/>
      <c r="FJ202" s="545" t="s">
        <v>15</v>
      </c>
      <c r="FK202" s="547">
        <v>1</v>
      </c>
      <c r="FL202" s="546"/>
      <c r="FM202" s="546"/>
      <c r="FN202" s="546"/>
      <c r="FO202" s="546"/>
      <c r="FP202" s="546"/>
      <c r="FQ202" s="546"/>
      <c r="FR202" s="546"/>
      <c r="FS202" s="546"/>
      <c r="FT202" s="548"/>
      <c r="FU202" s="548"/>
      <c r="FV202" s="549">
        <v>1</v>
      </c>
      <c r="FW202" s="539">
        <v>0</v>
      </c>
      <c r="GA202" s="540"/>
      <c r="GB202" s="550" t="s">
        <v>726</v>
      </c>
      <c r="GC202" s="551"/>
      <c r="GD202" s="552">
        <v>1</v>
      </c>
      <c r="GE202" s="552">
        <v>13</v>
      </c>
      <c r="GF202" s="552">
        <v>8</v>
      </c>
      <c r="GG202" s="552">
        <v>3</v>
      </c>
      <c r="GH202" s="552">
        <v>3</v>
      </c>
      <c r="GI202" s="552">
        <v>1</v>
      </c>
      <c r="GJ202" s="552">
        <v>4</v>
      </c>
      <c r="GK202" s="551"/>
      <c r="GL202" s="551"/>
      <c r="GM202" s="552">
        <v>33</v>
      </c>
      <c r="GN202" s="553">
        <f>+(GM201+GM200)/GM202</f>
        <v>9.0909090909090912E-2</v>
      </c>
      <c r="GP202" s="63"/>
      <c r="GQ202" s="63"/>
      <c r="GR202" s="63"/>
      <c r="GS202" s="37" t="s">
        <v>1081</v>
      </c>
      <c r="GT202" s="63"/>
      <c r="GU202" s="63"/>
      <c r="GV202" s="63">
        <v>0</v>
      </c>
      <c r="GW202" s="63">
        <v>1</v>
      </c>
      <c r="GX202" s="63">
        <v>0</v>
      </c>
      <c r="GY202" s="63">
        <v>3</v>
      </c>
      <c r="GZ202" s="63">
        <v>0</v>
      </c>
      <c r="HA202" s="63"/>
      <c r="HB202" s="63"/>
      <c r="HC202" s="63"/>
      <c r="HD202" s="63">
        <v>4</v>
      </c>
      <c r="HE202" s="37"/>
      <c r="HF202" s="37"/>
      <c r="HG202" s="446"/>
      <c r="HH202" s="446"/>
      <c r="HI202" s="446"/>
      <c r="HJ202" s="446" t="s">
        <v>1163</v>
      </c>
      <c r="HK202" s="446">
        <v>0</v>
      </c>
      <c r="HL202" s="446">
        <v>0</v>
      </c>
      <c r="HM202" s="446">
        <v>0</v>
      </c>
      <c r="HN202" s="446">
        <v>1</v>
      </c>
      <c r="HO202" s="446">
        <v>0</v>
      </c>
      <c r="HP202" s="446">
        <v>0</v>
      </c>
      <c r="HQ202" s="446">
        <v>0</v>
      </c>
      <c r="HR202" s="446">
        <v>0</v>
      </c>
      <c r="HS202" s="446">
        <v>0</v>
      </c>
      <c r="HT202" s="446">
        <v>0</v>
      </c>
      <c r="HU202" s="446">
        <v>0</v>
      </c>
      <c r="HV202" s="447">
        <v>1</v>
      </c>
      <c r="HW202" s="446"/>
      <c r="HX202" s="448"/>
    </row>
    <row r="203" spans="1:232">
      <c r="A203" s="5682">
        <v>2</v>
      </c>
      <c r="B203" s="5682">
        <v>3</v>
      </c>
      <c r="C203" s="5683" t="s">
        <v>440</v>
      </c>
      <c r="D203" s="5685" t="s">
        <v>1076</v>
      </c>
      <c r="E203" s="5682">
        <v>1</v>
      </c>
      <c r="F203" s="5682">
        <v>7</v>
      </c>
      <c r="I203" s="4950"/>
      <c r="J203" s="4950"/>
      <c r="K203" s="4951" t="s">
        <v>25</v>
      </c>
      <c r="L203" s="4952"/>
      <c r="M203" s="4951">
        <f>SUM(M201,M180,M147)</f>
        <v>229</v>
      </c>
      <c r="N203" s="4953"/>
      <c r="O203" s="4946">
        <f>M202/M203</f>
        <v>0.23580786026200873</v>
      </c>
      <c r="Q203" s="4705">
        <v>3</v>
      </c>
      <c r="R203" s="4705">
        <v>2</v>
      </c>
      <c r="S203" s="4706" t="s">
        <v>2082</v>
      </c>
      <c r="T203" s="4706" t="s">
        <v>2731</v>
      </c>
      <c r="U203" s="4707">
        <v>1</v>
      </c>
      <c r="V203" s="4707">
        <v>9</v>
      </c>
      <c r="W203" s="4722"/>
      <c r="X203" s="2117"/>
      <c r="Y203" s="36"/>
      <c r="Z203" s="36"/>
      <c r="AA203" s="36"/>
      <c r="AB203" s="36" t="s">
        <v>1080</v>
      </c>
      <c r="AC203" s="1681">
        <v>0</v>
      </c>
      <c r="AD203" s="1681">
        <v>0</v>
      </c>
      <c r="AE203" s="1681">
        <v>0</v>
      </c>
      <c r="AF203" s="1681">
        <v>0</v>
      </c>
      <c r="AG203" s="1681">
        <v>0</v>
      </c>
      <c r="AH203" s="1681">
        <v>0</v>
      </c>
      <c r="AI203" s="1681">
        <v>0</v>
      </c>
      <c r="AJ203" s="1681">
        <v>18</v>
      </c>
      <c r="AK203" s="1681">
        <v>2</v>
      </c>
      <c r="AL203" s="95">
        <v>3</v>
      </c>
      <c r="AM203" s="95">
        <v>23</v>
      </c>
      <c r="AN203" s="4545"/>
      <c r="AS203" s="3868" t="s">
        <v>1080</v>
      </c>
      <c r="AT203" s="3721">
        <v>0</v>
      </c>
      <c r="AU203" s="3721"/>
      <c r="AV203" s="3721"/>
      <c r="AW203" s="3721"/>
      <c r="AX203" s="3721"/>
      <c r="AY203" s="3721"/>
      <c r="AZ203" s="3721">
        <v>0</v>
      </c>
      <c r="BA203" s="3721">
        <v>4</v>
      </c>
      <c r="BB203" s="3721">
        <v>3</v>
      </c>
      <c r="BC203" s="2110"/>
      <c r="BD203" s="2110"/>
      <c r="BE203" s="2110">
        <v>7</v>
      </c>
      <c r="BF203" s="2110"/>
      <c r="BG203" s="2110"/>
      <c r="BK203" s="32" t="s">
        <v>1076</v>
      </c>
      <c r="BL203" s="3871"/>
      <c r="BM203" s="3871"/>
      <c r="BN203" s="3871"/>
      <c r="BO203" s="3871"/>
      <c r="BP203" s="3871"/>
      <c r="BQ203" s="3871">
        <v>6</v>
      </c>
      <c r="BR203" s="3871"/>
      <c r="BS203" s="3871"/>
      <c r="BT203" s="1518"/>
      <c r="BU203" s="1518">
        <v>6</v>
      </c>
      <c r="BX203" s="36"/>
      <c r="BY203" s="36"/>
      <c r="BZ203" s="393"/>
      <c r="CA203" s="393" t="s">
        <v>1080</v>
      </c>
      <c r="CB203" s="1682">
        <v>0</v>
      </c>
      <c r="CC203" s="1682">
        <v>0</v>
      </c>
      <c r="CD203" s="1682">
        <v>0</v>
      </c>
      <c r="CE203" s="1682">
        <v>0</v>
      </c>
      <c r="CF203" s="1682">
        <v>0</v>
      </c>
      <c r="CG203" s="1682">
        <v>0</v>
      </c>
      <c r="CH203" s="1682">
        <v>0</v>
      </c>
      <c r="CI203" s="1682">
        <v>69</v>
      </c>
      <c r="CJ203" s="2041">
        <v>7</v>
      </c>
      <c r="CK203" s="2041">
        <v>5</v>
      </c>
      <c r="CL203" s="2041">
        <v>81</v>
      </c>
      <c r="CM203" s="36"/>
      <c r="CO203" s="37"/>
      <c r="CP203" s="37"/>
      <c r="CQ203" s="37"/>
      <c r="CR203" s="37" t="s">
        <v>1076</v>
      </c>
      <c r="CS203" s="1678"/>
      <c r="CT203" s="1678">
        <v>0</v>
      </c>
      <c r="CU203" s="1678">
        <v>0</v>
      </c>
      <c r="CV203" s="1678">
        <v>0</v>
      </c>
      <c r="CW203" s="1678">
        <v>2</v>
      </c>
      <c r="CX203" s="1678">
        <v>0</v>
      </c>
      <c r="CY203" s="1678">
        <v>24</v>
      </c>
      <c r="CZ203" s="1678">
        <v>28</v>
      </c>
      <c r="DA203" s="1678">
        <v>7</v>
      </c>
      <c r="DB203" s="63">
        <v>2</v>
      </c>
      <c r="DC203" s="63">
        <v>0</v>
      </c>
      <c r="DD203" s="63">
        <v>63</v>
      </c>
      <c r="DG203" s="95" t="s">
        <v>48</v>
      </c>
      <c r="DH203" s="95" t="s">
        <v>16</v>
      </c>
      <c r="DI203" s="36" t="s">
        <v>131</v>
      </c>
      <c r="DJ203" s="36" t="s">
        <v>1072</v>
      </c>
      <c r="DK203" s="1484"/>
      <c r="DL203" s="1484">
        <v>1</v>
      </c>
      <c r="DM203" s="1484"/>
      <c r="DN203" s="1484"/>
      <c r="DO203" s="1484">
        <v>1</v>
      </c>
      <c r="DP203" s="1484"/>
      <c r="DQ203" s="1484">
        <v>21</v>
      </c>
      <c r="DR203" s="1484"/>
      <c r="DS203" s="1484"/>
      <c r="DT203" s="95"/>
      <c r="DU203" s="95"/>
      <c r="DV203" s="95">
        <v>23</v>
      </c>
      <c r="DW203" s="95"/>
      <c r="DY203" s="1209"/>
      <c r="DZ203" s="1209"/>
      <c r="EA203" s="1210"/>
      <c r="EB203" s="1211" t="s">
        <v>1080</v>
      </c>
      <c r="EC203" s="1213">
        <v>0</v>
      </c>
      <c r="ED203" s="1213">
        <v>0</v>
      </c>
      <c r="EE203" s="1213">
        <v>0</v>
      </c>
      <c r="EF203" s="1213">
        <v>0</v>
      </c>
      <c r="EG203" s="1213">
        <v>0</v>
      </c>
      <c r="EH203" s="1213">
        <v>0</v>
      </c>
      <c r="EI203" s="1213">
        <v>2</v>
      </c>
      <c r="EJ203" s="1213">
        <v>59</v>
      </c>
      <c r="EK203" s="612">
        <v>3</v>
      </c>
      <c r="EL203" s="612">
        <v>13</v>
      </c>
      <c r="EM203" s="612">
        <v>77</v>
      </c>
      <c r="EN203" s="36"/>
      <c r="EP203" s="527"/>
      <c r="EQ203" s="527"/>
      <c r="ER203" s="528"/>
      <c r="ES203" s="555" t="s">
        <v>15</v>
      </c>
      <c r="ET203" s="556"/>
      <c r="EU203" s="556"/>
      <c r="EV203" s="556"/>
      <c r="EW203" s="556"/>
      <c r="EX203" s="556"/>
      <c r="EY203" s="557">
        <v>3</v>
      </c>
      <c r="EZ203" s="557">
        <v>3</v>
      </c>
      <c r="FA203" s="557">
        <v>8</v>
      </c>
      <c r="FB203" s="558"/>
      <c r="FC203" s="558"/>
      <c r="FD203" s="559">
        <v>14</v>
      </c>
      <c r="FE203" s="560">
        <f>+(FD199+FD201+FD202)/FD203</f>
        <v>0.2857142857142857</v>
      </c>
      <c r="FG203" s="533"/>
      <c r="FH203" s="533"/>
      <c r="FI203" s="545" t="s">
        <v>485</v>
      </c>
      <c r="FJ203" s="534" t="s">
        <v>1072</v>
      </c>
      <c r="FK203" s="536">
        <v>1</v>
      </c>
      <c r="FL203" s="536">
        <v>1</v>
      </c>
      <c r="FM203" s="535"/>
      <c r="FN203" s="536">
        <v>2</v>
      </c>
      <c r="FO203" s="535"/>
      <c r="FP203" s="536">
        <v>1</v>
      </c>
      <c r="FQ203" s="536">
        <v>19</v>
      </c>
      <c r="FR203" s="536">
        <v>9</v>
      </c>
      <c r="FS203" s="535"/>
      <c r="FT203" s="538">
        <v>0</v>
      </c>
      <c r="FU203" s="537"/>
      <c r="FV203" s="538">
        <v>33</v>
      </c>
      <c r="FW203" s="539"/>
      <c r="FY203" s="540" t="s">
        <v>25</v>
      </c>
      <c r="GA203" s="540" t="s">
        <v>482</v>
      </c>
      <c r="GB203" s="541" t="s">
        <v>1071</v>
      </c>
      <c r="GC203" s="543">
        <v>0</v>
      </c>
      <c r="GD203" s="542"/>
      <c r="GE203" s="542"/>
      <c r="GF203" s="543">
        <v>0</v>
      </c>
      <c r="GG203" s="543">
        <v>0</v>
      </c>
      <c r="GH203" s="543">
        <v>0</v>
      </c>
      <c r="GI203" s="543">
        <v>1</v>
      </c>
      <c r="GJ203" s="543">
        <v>8</v>
      </c>
      <c r="GK203" s="543">
        <v>4</v>
      </c>
      <c r="GL203" s="543">
        <v>11</v>
      </c>
      <c r="GM203" s="543">
        <v>24</v>
      </c>
      <c r="GN203" s="445"/>
      <c r="GP203" s="63"/>
      <c r="GQ203" s="63"/>
      <c r="GR203" s="63"/>
      <c r="GS203" s="37" t="s">
        <v>1163</v>
      </c>
      <c r="GT203" s="63"/>
      <c r="GU203" s="63"/>
      <c r="GV203" s="63">
        <v>2</v>
      </c>
      <c r="GW203" s="63">
        <v>1</v>
      </c>
      <c r="GX203" s="63">
        <v>0</v>
      </c>
      <c r="GY203" s="63">
        <v>0</v>
      </c>
      <c r="GZ203" s="63">
        <v>0</v>
      </c>
      <c r="HA203" s="63"/>
      <c r="HB203" s="63"/>
      <c r="HC203" s="63"/>
      <c r="HD203" s="63">
        <v>3</v>
      </c>
      <c r="HE203" s="37"/>
      <c r="HF203" s="37"/>
      <c r="HG203" s="446"/>
      <c r="HH203" s="446"/>
      <c r="HI203" s="446"/>
      <c r="HJ203" s="449" t="s">
        <v>15</v>
      </c>
      <c r="HK203" s="449">
        <v>0</v>
      </c>
      <c r="HL203" s="449">
        <v>0</v>
      </c>
      <c r="HM203" s="449">
        <v>1</v>
      </c>
      <c r="HN203" s="449">
        <v>6</v>
      </c>
      <c r="HO203" s="449">
        <v>14</v>
      </c>
      <c r="HP203" s="449">
        <v>6</v>
      </c>
      <c r="HQ203" s="449">
        <v>4</v>
      </c>
      <c r="HR203" s="449">
        <v>0</v>
      </c>
      <c r="HS203" s="449">
        <v>0</v>
      </c>
      <c r="HT203" s="449">
        <v>0</v>
      </c>
      <c r="HU203" s="449">
        <v>0</v>
      </c>
      <c r="HV203" s="507">
        <v>31</v>
      </c>
      <c r="HW203" s="450">
        <f>+(HV202+HV200)/HV203</f>
        <v>6.4516129032258063E-2</v>
      </c>
      <c r="HX203" s="448">
        <f>+HV200+HV202</f>
        <v>2</v>
      </c>
    </row>
    <row r="204" spans="1:232">
      <c r="A204" s="5682">
        <v>2</v>
      </c>
      <c r="B204" s="5682">
        <v>3</v>
      </c>
      <c r="C204" s="5683" t="s">
        <v>440</v>
      </c>
      <c r="D204" s="5685" t="s">
        <v>1076</v>
      </c>
      <c r="E204" s="5682">
        <v>2</v>
      </c>
      <c r="F204" s="5682">
        <v>8</v>
      </c>
      <c r="I204" s="4923">
        <v>3</v>
      </c>
      <c r="J204" s="4923">
        <v>2</v>
      </c>
      <c r="K204" s="4924" t="s">
        <v>2737</v>
      </c>
      <c r="L204" s="4947" t="s">
        <v>2732</v>
      </c>
      <c r="M204" s="4948">
        <v>2</v>
      </c>
      <c r="N204" s="4923">
        <v>6</v>
      </c>
      <c r="O204" s="157"/>
      <c r="Q204" s="4705">
        <v>3</v>
      </c>
      <c r="R204" s="4705">
        <v>2</v>
      </c>
      <c r="S204" s="4706" t="s">
        <v>2082</v>
      </c>
      <c r="T204" s="4706" t="s">
        <v>2731</v>
      </c>
      <c r="U204" s="4707">
        <v>2</v>
      </c>
      <c r="V204" s="4707">
        <v>10</v>
      </c>
      <c r="W204" s="4722"/>
      <c r="X204" s="4452"/>
      <c r="Y204" s="36"/>
      <c r="Z204" s="36"/>
      <c r="AA204" s="36"/>
      <c r="AB204" s="36" t="s">
        <v>1081</v>
      </c>
      <c r="AC204" s="1681">
        <v>0</v>
      </c>
      <c r="AD204" s="1681">
        <v>0</v>
      </c>
      <c r="AE204" s="1681">
        <v>0</v>
      </c>
      <c r="AF204" s="1681">
        <v>5</v>
      </c>
      <c r="AG204" s="1681">
        <v>4</v>
      </c>
      <c r="AH204" s="1681">
        <v>0</v>
      </c>
      <c r="AI204" s="1681">
        <v>0</v>
      </c>
      <c r="AJ204" s="1681">
        <v>0</v>
      </c>
      <c r="AK204" s="1681">
        <v>3</v>
      </c>
      <c r="AL204" s="95">
        <v>0</v>
      </c>
      <c r="AM204" s="95">
        <v>12</v>
      </c>
      <c r="AN204" s="4545"/>
      <c r="AS204" s="3868" t="s">
        <v>2571</v>
      </c>
      <c r="AT204" s="3721">
        <v>1</v>
      </c>
      <c r="AU204" s="3721"/>
      <c r="AV204" s="3721"/>
      <c r="AW204" s="3721"/>
      <c r="AX204" s="3721"/>
      <c r="AY204" s="3721"/>
      <c r="AZ204" s="3721">
        <v>0</v>
      </c>
      <c r="BA204" s="3721">
        <v>0</v>
      </c>
      <c r="BB204" s="3721">
        <v>0</v>
      </c>
      <c r="BC204" s="2110"/>
      <c r="BD204" s="2110"/>
      <c r="BE204" s="2110">
        <v>1</v>
      </c>
      <c r="BF204" s="2110"/>
      <c r="BG204" s="2110"/>
      <c r="BK204" s="32" t="s">
        <v>1163</v>
      </c>
      <c r="BL204" s="3871"/>
      <c r="BM204" s="3871"/>
      <c r="BN204" s="3871"/>
      <c r="BO204" s="3871"/>
      <c r="BP204" s="3871"/>
      <c r="BQ204" s="3871">
        <v>5</v>
      </c>
      <c r="BR204" s="3871"/>
      <c r="BS204" s="3871"/>
      <c r="BT204" s="1518"/>
      <c r="BU204" s="1518">
        <v>5</v>
      </c>
      <c r="BX204" s="36"/>
      <c r="BY204" s="36"/>
      <c r="BZ204" s="393"/>
      <c r="CA204" s="393" t="s">
        <v>1163</v>
      </c>
      <c r="CB204" s="1682">
        <v>0</v>
      </c>
      <c r="CC204" s="1682">
        <v>0</v>
      </c>
      <c r="CD204" s="1682">
        <v>0</v>
      </c>
      <c r="CE204" s="1682">
        <v>0</v>
      </c>
      <c r="CF204" s="1682">
        <v>0</v>
      </c>
      <c r="CG204" s="1682">
        <v>36</v>
      </c>
      <c r="CH204" s="1682">
        <v>12</v>
      </c>
      <c r="CI204" s="1682">
        <v>16</v>
      </c>
      <c r="CJ204" s="2041">
        <v>0</v>
      </c>
      <c r="CK204" s="2041">
        <v>0</v>
      </c>
      <c r="CL204" s="2041">
        <v>64</v>
      </c>
      <c r="CM204" s="36"/>
      <c r="CO204" s="37"/>
      <c r="CP204" s="37"/>
      <c r="CQ204" s="37"/>
      <c r="CR204" s="37" t="s">
        <v>1077</v>
      </c>
      <c r="CS204" s="1678"/>
      <c r="CT204" s="1678">
        <v>1</v>
      </c>
      <c r="CU204" s="1678">
        <v>3</v>
      </c>
      <c r="CV204" s="1678">
        <v>1</v>
      </c>
      <c r="CW204" s="1678">
        <v>3</v>
      </c>
      <c r="CX204" s="1678">
        <v>1</v>
      </c>
      <c r="CY204" s="1678">
        <v>0</v>
      </c>
      <c r="CZ204" s="1678">
        <v>0</v>
      </c>
      <c r="DA204" s="1678">
        <v>0</v>
      </c>
      <c r="DB204" s="63">
        <v>0</v>
      </c>
      <c r="DC204" s="63">
        <v>0</v>
      </c>
      <c r="DD204" s="63">
        <v>9</v>
      </c>
      <c r="DG204" s="95"/>
      <c r="DH204" s="95"/>
      <c r="DI204" s="36"/>
      <c r="DJ204" s="36" t="s">
        <v>1076</v>
      </c>
      <c r="DK204" s="1484"/>
      <c r="DL204" s="1484">
        <v>0</v>
      </c>
      <c r="DM204" s="1484"/>
      <c r="DN204" s="1484"/>
      <c r="DO204" s="1484">
        <v>0</v>
      </c>
      <c r="DP204" s="1484"/>
      <c r="DQ204" s="1484">
        <v>2</v>
      </c>
      <c r="DR204" s="1484"/>
      <c r="DS204" s="1484"/>
      <c r="DT204" s="95"/>
      <c r="DU204" s="95"/>
      <c r="DV204" s="95">
        <v>2</v>
      </c>
      <c r="DW204" s="95"/>
      <c r="DY204" s="1209"/>
      <c r="DZ204" s="1209"/>
      <c r="EA204" s="1210"/>
      <c r="EB204" s="1211" t="s">
        <v>1081</v>
      </c>
      <c r="EC204" s="1213">
        <v>0</v>
      </c>
      <c r="ED204" s="1213">
        <v>0</v>
      </c>
      <c r="EE204" s="1213">
        <v>0</v>
      </c>
      <c r="EF204" s="1213">
        <v>0</v>
      </c>
      <c r="EG204" s="1213">
        <v>0</v>
      </c>
      <c r="EH204" s="1213">
        <v>11</v>
      </c>
      <c r="EI204" s="1213">
        <v>0</v>
      </c>
      <c r="EJ204" s="1213">
        <v>0</v>
      </c>
      <c r="EK204" s="612">
        <v>0</v>
      </c>
      <c r="EL204" s="612">
        <v>1</v>
      </c>
      <c r="EM204" s="612">
        <v>12</v>
      </c>
      <c r="EN204" s="36"/>
      <c r="EP204" s="527"/>
      <c r="EQ204" s="527"/>
      <c r="ER204" s="528" t="s">
        <v>110</v>
      </c>
      <c r="ES204" s="529" t="s">
        <v>1072</v>
      </c>
      <c r="ET204" s="530"/>
      <c r="EU204" s="530"/>
      <c r="EV204" s="531">
        <v>19</v>
      </c>
      <c r="EW204" s="531">
        <v>1</v>
      </c>
      <c r="EX204" s="530"/>
      <c r="EY204" s="530"/>
      <c r="EZ204" s="530"/>
      <c r="FA204" s="530"/>
      <c r="FB204" s="527"/>
      <c r="FC204" s="527"/>
      <c r="FD204" s="532">
        <v>20</v>
      </c>
      <c r="FE204" s="95"/>
      <c r="FG204" s="533"/>
      <c r="FH204" s="533"/>
      <c r="FI204" s="533"/>
      <c r="FJ204" s="534" t="s">
        <v>1076</v>
      </c>
      <c r="FK204" s="536">
        <v>0</v>
      </c>
      <c r="FL204" s="536">
        <v>0</v>
      </c>
      <c r="FM204" s="535"/>
      <c r="FN204" s="536">
        <v>0</v>
      </c>
      <c r="FO204" s="535"/>
      <c r="FP204" s="536">
        <v>1</v>
      </c>
      <c r="FQ204" s="536">
        <v>2</v>
      </c>
      <c r="FR204" s="536">
        <v>1</v>
      </c>
      <c r="FS204" s="535"/>
      <c r="FT204" s="538">
        <v>0</v>
      </c>
      <c r="FU204" s="537"/>
      <c r="FV204" s="538">
        <v>4</v>
      </c>
      <c r="FW204" s="539"/>
      <c r="FY204" s="540"/>
      <c r="GA204" s="540"/>
      <c r="GB204" s="541" t="s">
        <v>1072</v>
      </c>
      <c r="GC204" s="543">
        <v>1</v>
      </c>
      <c r="GD204" s="542"/>
      <c r="GE204" s="542"/>
      <c r="GF204" s="543">
        <v>1</v>
      </c>
      <c r="GG204" s="543">
        <v>1</v>
      </c>
      <c r="GH204" s="543">
        <v>3</v>
      </c>
      <c r="GI204" s="543">
        <v>4</v>
      </c>
      <c r="GJ204" s="543">
        <v>6</v>
      </c>
      <c r="GK204" s="543">
        <v>3</v>
      </c>
      <c r="GL204" s="543">
        <v>0</v>
      </c>
      <c r="GM204" s="543">
        <v>19</v>
      </c>
      <c r="GN204" s="445"/>
      <c r="GP204" s="63"/>
      <c r="GQ204" s="63"/>
      <c r="GR204" s="63"/>
      <c r="GS204" s="416" t="s">
        <v>15</v>
      </c>
      <c r="GT204" s="386"/>
      <c r="GU204" s="386"/>
      <c r="GV204" s="386">
        <v>27</v>
      </c>
      <c r="GW204" s="386">
        <v>8</v>
      </c>
      <c r="GX204" s="386">
        <v>4</v>
      </c>
      <c r="GY204" s="386">
        <v>5</v>
      </c>
      <c r="GZ204" s="386">
        <v>2</v>
      </c>
      <c r="HA204" s="386"/>
      <c r="HB204" s="386"/>
      <c r="HC204" s="386"/>
      <c r="HD204" s="386">
        <v>46</v>
      </c>
      <c r="HE204" s="466">
        <f>+(HD199+HD202+HD203)/HD204</f>
        <v>0.2391304347826087</v>
      </c>
      <c r="HF204" s="37"/>
      <c r="HG204" s="446"/>
      <c r="HH204" s="446" t="s">
        <v>1145</v>
      </c>
      <c r="HI204" s="446" t="s">
        <v>4</v>
      </c>
      <c r="HJ204" s="446" t="s">
        <v>1071</v>
      </c>
      <c r="HK204" s="446">
        <v>0</v>
      </c>
      <c r="HL204" s="446">
        <v>0</v>
      </c>
      <c r="HM204" s="446">
        <v>0</v>
      </c>
      <c r="HN204" s="446">
        <v>0</v>
      </c>
      <c r="HO204" s="446">
        <v>0</v>
      </c>
      <c r="HP204" s="446">
        <v>0</v>
      </c>
      <c r="HQ204" s="446">
        <v>0</v>
      </c>
      <c r="HR204" s="446">
        <v>1</v>
      </c>
      <c r="HS204" s="446">
        <v>10</v>
      </c>
      <c r="HT204" s="446">
        <v>2</v>
      </c>
      <c r="HU204" s="446">
        <v>4</v>
      </c>
      <c r="HV204" s="447">
        <v>17</v>
      </c>
      <c r="HW204" s="446"/>
      <c r="HX204" s="448"/>
    </row>
    <row r="205" spans="1:232">
      <c r="A205" s="5682">
        <v>2</v>
      </c>
      <c r="B205" s="5682">
        <v>3</v>
      </c>
      <c r="C205" s="5683" t="s">
        <v>440</v>
      </c>
      <c r="D205" s="5683" t="s">
        <v>2709</v>
      </c>
      <c r="E205" s="5682">
        <v>5</v>
      </c>
      <c r="F205" s="5682">
        <v>7</v>
      </c>
      <c r="I205" s="4915">
        <v>3</v>
      </c>
      <c r="J205" s="4915">
        <v>2</v>
      </c>
      <c r="K205" s="4916" t="s">
        <v>2737</v>
      </c>
      <c r="L205" s="4917" t="s">
        <v>1076</v>
      </c>
      <c r="M205" s="4922">
        <v>2</v>
      </c>
      <c r="N205" s="4915">
        <v>6</v>
      </c>
      <c r="O205" s="157"/>
      <c r="Q205" s="4705">
        <v>3</v>
      </c>
      <c r="R205" s="4705">
        <v>2</v>
      </c>
      <c r="S205" s="4706" t="s">
        <v>2082</v>
      </c>
      <c r="T205" s="4708" t="s">
        <v>2732</v>
      </c>
      <c r="U205" s="4709">
        <v>1</v>
      </c>
      <c r="V205" s="4709">
        <v>7</v>
      </c>
      <c r="W205" s="4722"/>
      <c r="Y205" s="36"/>
      <c r="Z205" s="36"/>
      <c r="AA205" s="36"/>
      <c r="AB205" s="36" t="s">
        <v>2571</v>
      </c>
      <c r="AC205" s="1681">
        <v>15</v>
      </c>
      <c r="AD205" s="1681">
        <v>0</v>
      </c>
      <c r="AE205" s="1681">
        <v>0</v>
      </c>
      <c r="AF205" s="1681">
        <v>0</v>
      </c>
      <c r="AG205" s="1681">
        <v>0</v>
      </c>
      <c r="AH205" s="1681">
        <v>0</v>
      </c>
      <c r="AI205" s="1681">
        <v>0</v>
      </c>
      <c r="AJ205" s="1681">
        <v>0</v>
      </c>
      <c r="AK205" s="1681">
        <v>0</v>
      </c>
      <c r="AL205" s="95">
        <v>0</v>
      </c>
      <c r="AM205" s="95">
        <v>15</v>
      </c>
      <c r="AN205" s="4545"/>
      <c r="AS205" s="3868" t="s">
        <v>1163</v>
      </c>
      <c r="AT205" s="3721">
        <v>0</v>
      </c>
      <c r="AU205" s="3721"/>
      <c r="AV205" s="3721"/>
      <c r="AW205" s="3721"/>
      <c r="AX205" s="3721"/>
      <c r="AY205" s="3721"/>
      <c r="AZ205" s="3721">
        <v>3</v>
      </c>
      <c r="BA205" s="3721">
        <v>1</v>
      </c>
      <c r="BB205" s="3721">
        <v>0</v>
      </c>
      <c r="BC205" s="2110"/>
      <c r="BD205" s="2110"/>
      <c r="BE205" s="2110">
        <v>4</v>
      </c>
      <c r="BF205" s="2110"/>
      <c r="BG205" s="2110"/>
      <c r="BK205" s="1520" t="s">
        <v>15</v>
      </c>
      <c r="BL205" s="3872"/>
      <c r="BM205" s="3872"/>
      <c r="BN205" s="3872"/>
      <c r="BO205" s="3872"/>
      <c r="BP205" s="3872"/>
      <c r="BQ205" s="3872">
        <v>12</v>
      </c>
      <c r="BR205" s="3872"/>
      <c r="BS205" s="3872"/>
      <c r="BT205" s="3806"/>
      <c r="BU205" s="3806">
        <v>12</v>
      </c>
      <c r="BV205" s="3807">
        <f>+(BU203+BU204)/BU205</f>
        <v>0.91666666666666663</v>
      </c>
      <c r="BX205" s="36"/>
      <c r="BY205" s="36"/>
      <c r="BZ205" s="393"/>
      <c r="CA205" s="393" t="s">
        <v>2416</v>
      </c>
      <c r="CB205" s="1682">
        <v>0</v>
      </c>
      <c r="CC205" s="1682">
        <v>0</v>
      </c>
      <c r="CD205" s="1682">
        <v>0</v>
      </c>
      <c r="CE205" s="1682">
        <v>0</v>
      </c>
      <c r="CF205" s="1682">
        <v>0</v>
      </c>
      <c r="CG205" s="1682">
        <v>0</v>
      </c>
      <c r="CH205" s="1682">
        <v>0</v>
      </c>
      <c r="CI205" s="1682">
        <v>0</v>
      </c>
      <c r="CJ205" s="2041">
        <v>3</v>
      </c>
      <c r="CK205" s="2041">
        <v>4</v>
      </c>
      <c r="CL205" s="2041">
        <v>7</v>
      </c>
      <c r="CM205" s="36"/>
      <c r="CO205" s="37"/>
      <c r="CP205" s="37"/>
      <c r="CQ205" s="37"/>
      <c r="CR205" s="37" t="s">
        <v>1080</v>
      </c>
      <c r="CS205" s="1678"/>
      <c r="CT205" s="1678">
        <v>0</v>
      </c>
      <c r="CU205" s="1678">
        <v>0</v>
      </c>
      <c r="CV205" s="1678">
        <v>0</v>
      </c>
      <c r="CW205" s="1678">
        <v>0</v>
      </c>
      <c r="CX205" s="1678">
        <v>1</v>
      </c>
      <c r="CY205" s="1678">
        <v>0</v>
      </c>
      <c r="CZ205" s="1678">
        <v>1</v>
      </c>
      <c r="DA205" s="1678">
        <v>63</v>
      </c>
      <c r="DB205" s="63">
        <v>6</v>
      </c>
      <c r="DC205" s="63">
        <v>5</v>
      </c>
      <c r="DD205" s="63">
        <v>76</v>
      </c>
      <c r="DG205" s="95"/>
      <c r="DH205" s="95"/>
      <c r="DI205" s="36"/>
      <c r="DJ205" s="36" t="s">
        <v>1080</v>
      </c>
      <c r="DK205" s="1484"/>
      <c r="DL205" s="1484">
        <v>0</v>
      </c>
      <c r="DM205" s="1484"/>
      <c r="DN205" s="1484"/>
      <c r="DO205" s="1484">
        <v>1</v>
      </c>
      <c r="DP205" s="1484"/>
      <c r="DQ205" s="1484">
        <v>0</v>
      </c>
      <c r="DR205" s="1484"/>
      <c r="DS205" s="1484"/>
      <c r="DT205" s="95"/>
      <c r="DU205" s="95"/>
      <c r="DV205" s="95">
        <v>1</v>
      </c>
      <c r="DW205" s="95"/>
      <c r="DY205" s="1209"/>
      <c r="DZ205" s="1209"/>
      <c r="EA205" s="1210"/>
      <c r="EB205" s="1211" t="s">
        <v>1163</v>
      </c>
      <c r="EC205" s="1213">
        <v>0</v>
      </c>
      <c r="ED205" s="1213">
        <v>0</v>
      </c>
      <c r="EE205" s="1213">
        <v>6</v>
      </c>
      <c r="EF205" s="1213">
        <v>0</v>
      </c>
      <c r="EG205" s="1213">
        <v>0</v>
      </c>
      <c r="EH205" s="1213">
        <v>27</v>
      </c>
      <c r="EI205" s="1213">
        <v>7</v>
      </c>
      <c r="EJ205" s="1213">
        <v>6</v>
      </c>
      <c r="EK205" s="612">
        <v>0</v>
      </c>
      <c r="EL205" s="612">
        <v>0</v>
      </c>
      <c r="EM205" s="612">
        <v>46</v>
      </c>
      <c r="EN205" s="36"/>
      <c r="EP205" s="527"/>
      <c r="EQ205" s="527"/>
      <c r="ER205" s="528"/>
      <c r="ES205" s="529" t="s">
        <v>1076</v>
      </c>
      <c r="ET205" s="530"/>
      <c r="EU205" s="530"/>
      <c r="EV205" s="531">
        <v>1</v>
      </c>
      <c r="EW205" s="531">
        <v>0</v>
      </c>
      <c r="EX205" s="530"/>
      <c r="EY205" s="530"/>
      <c r="EZ205" s="530"/>
      <c r="FA205" s="530"/>
      <c r="FB205" s="527"/>
      <c r="FC205" s="527"/>
      <c r="FD205" s="532">
        <v>1</v>
      </c>
      <c r="FE205" s="95"/>
      <c r="FG205" s="533"/>
      <c r="FH205" s="533"/>
      <c r="FI205" s="533"/>
      <c r="FJ205" s="534" t="s">
        <v>1080</v>
      </c>
      <c r="FK205" s="536">
        <v>0</v>
      </c>
      <c r="FL205" s="536">
        <v>0</v>
      </c>
      <c r="FM205" s="535"/>
      <c r="FN205" s="536">
        <v>0</v>
      </c>
      <c r="FO205" s="535"/>
      <c r="FP205" s="536">
        <v>0</v>
      </c>
      <c r="FQ205" s="536">
        <v>0</v>
      </c>
      <c r="FR205" s="536">
        <v>0</v>
      </c>
      <c r="FS205" s="535"/>
      <c r="FT205" s="538">
        <v>1</v>
      </c>
      <c r="FU205" s="537"/>
      <c r="FV205" s="538">
        <v>1</v>
      </c>
      <c r="FW205" s="539"/>
      <c r="FY205" s="540"/>
      <c r="GA205" s="540"/>
      <c r="GB205" s="541" t="s">
        <v>1076</v>
      </c>
      <c r="GC205" s="543">
        <v>0</v>
      </c>
      <c r="GD205" s="542"/>
      <c r="GE205" s="542"/>
      <c r="GF205" s="543">
        <v>0</v>
      </c>
      <c r="GG205" s="543">
        <v>0</v>
      </c>
      <c r="GH205" s="543">
        <v>1</v>
      </c>
      <c r="GI205" s="543">
        <v>9</v>
      </c>
      <c r="GJ205" s="543">
        <v>0</v>
      </c>
      <c r="GK205" s="543">
        <v>1</v>
      </c>
      <c r="GL205" s="543">
        <v>0</v>
      </c>
      <c r="GM205" s="543">
        <v>11</v>
      </c>
      <c r="GN205" s="445"/>
      <c r="GP205" s="63"/>
      <c r="GQ205" s="63" t="s">
        <v>25</v>
      </c>
      <c r="GR205" s="63" t="s">
        <v>4</v>
      </c>
      <c r="GS205" s="37" t="s">
        <v>1071</v>
      </c>
      <c r="GT205" s="63">
        <v>0</v>
      </c>
      <c r="GU205" s="63">
        <v>0</v>
      </c>
      <c r="GV205" s="63">
        <v>0</v>
      </c>
      <c r="GW205" s="63"/>
      <c r="GX205" s="63">
        <v>0</v>
      </c>
      <c r="GY205" s="63">
        <v>0</v>
      </c>
      <c r="GZ205" s="63">
        <v>2</v>
      </c>
      <c r="HA205" s="63">
        <v>16</v>
      </c>
      <c r="HB205" s="63">
        <v>2</v>
      </c>
      <c r="HC205" s="63">
        <v>2</v>
      </c>
      <c r="HD205" s="63">
        <v>22</v>
      </c>
      <c r="HE205" s="37"/>
      <c r="HF205" s="37"/>
      <c r="HG205" s="446"/>
      <c r="HH205" s="446"/>
      <c r="HI205" s="446"/>
      <c r="HJ205" s="446" t="s">
        <v>1072</v>
      </c>
      <c r="HK205" s="446">
        <v>0</v>
      </c>
      <c r="HL205" s="446">
        <v>0</v>
      </c>
      <c r="HM205" s="446">
        <v>0</v>
      </c>
      <c r="HN205" s="446">
        <v>1</v>
      </c>
      <c r="HO205" s="446">
        <v>0</v>
      </c>
      <c r="HP205" s="446">
        <v>0</v>
      </c>
      <c r="HQ205" s="446">
        <v>2</v>
      </c>
      <c r="HR205" s="446">
        <v>3</v>
      </c>
      <c r="HS205" s="446">
        <v>0</v>
      </c>
      <c r="HT205" s="446">
        <v>0</v>
      </c>
      <c r="HU205" s="446">
        <v>0</v>
      </c>
      <c r="HV205" s="447">
        <v>6</v>
      </c>
      <c r="HW205" s="446"/>
      <c r="HX205" s="448"/>
    </row>
    <row r="206" spans="1:232">
      <c r="A206" s="5682">
        <v>2</v>
      </c>
      <c r="B206" s="5682">
        <v>3</v>
      </c>
      <c r="C206" s="5683" t="s">
        <v>440</v>
      </c>
      <c r="D206" s="5683" t="s">
        <v>2709</v>
      </c>
      <c r="E206" s="5682">
        <v>1</v>
      </c>
      <c r="F206" s="5682">
        <v>8</v>
      </c>
      <c r="I206" s="4915">
        <v>3</v>
      </c>
      <c r="J206" s="4915">
        <v>2</v>
      </c>
      <c r="K206" s="4916" t="s">
        <v>2737</v>
      </c>
      <c r="L206" s="4916" t="s">
        <v>2709</v>
      </c>
      <c r="M206" s="4915">
        <v>3</v>
      </c>
      <c r="N206" s="4915">
        <v>6</v>
      </c>
      <c r="O206" s="157"/>
      <c r="Q206" s="4705">
        <v>3</v>
      </c>
      <c r="R206" s="4705">
        <v>2</v>
      </c>
      <c r="S206" s="4706" t="s">
        <v>2082</v>
      </c>
      <c r="T206" s="4708" t="s">
        <v>2732</v>
      </c>
      <c r="U206" s="4709">
        <v>1</v>
      </c>
      <c r="V206" s="4709">
        <v>8</v>
      </c>
      <c r="W206" s="4722"/>
      <c r="Y206" s="36"/>
      <c r="Z206" s="36"/>
      <c r="AA206" s="36"/>
      <c r="AB206" s="36" t="s">
        <v>1163</v>
      </c>
      <c r="AC206" s="1681">
        <v>0</v>
      </c>
      <c r="AD206" s="1681">
        <v>0</v>
      </c>
      <c r="AE206" s="1681">
        <v>0</v>
      </c>
      <c r="AF206" s="1681">
        <v>1</v>
      </c>
      <c r="AG206" s="1681">
        <v>0</v>
      </c>
      <c r="AH206" s="1681">
        <v>0</v>
      </c>
      <c r="AI206" s="1681">
        <v>0</v>
      </c>
      <c r="AJ206" s="1681">
        <v>0</v>
      </c>
      <c r="AK206" s="1681">
        <v>0</v>
      </c>
      <c r="AL206" s="95">
        <v>0</v>
      </c>
      <c r="AM206" s="95">
        <v>1</v>
      </c>
      <c r="AN206" s="4545"/>
      <c r="AS206" s="27" t="s">
        <v>15</v>
      </c>
      <c r="AT206" s="3722">
        <v>1</v>
      </c>
      <c r="AU206" s="3722"/>
      <c r="AV206" s="3722"/>
      <c r="AW206" s="3722"/>
      <c r="AX206" s="3722"/>
      <c r="AY206" s="3722"/>
      <c r="AZ206" s="3722">
        <v>3</v>
      </c>
      <c r="BA206" s="3722">
        <v>6</v>
      </c>
      <c r="BB206" s="3722">
        <v>3</v>
      </c>
      <c r="BC206" s="3701"/>
      <c r="BD206" s="3701"/>
      <c r="BE206" s="3701">
        <v>13</v>
      </c>
      <c r="BF206" s="1665">
        <f>+(BE202+BE205)/(BE206-BE204)</f>
        <v>0.41666666666666669</v>
      </c>
      <c r="BG206" s="1665"/>
      <c r="BJ206" s="32" t="s">
        <v>110</v>
      </c>
      <c r="BK206" s="32" t="s">
        <v>1072</v>
      </c>
      <c r="BL206" s="3871"/>
      <c r="BM206" s="3871"/>
      <c r="BN206" s="3871"/>
      <c r="BO206" s="3871"/>
      <c r="BP206" s="3871"/>
      <c r="BQ206" s="3871">
        <v>2</v>
      </c>
      <c r="BR206" s="3871"/>
      <c r="BS206" s="3871"/>
      <c r="BT206" s="1518"/>
      <c r="BU206" s="1518">
        <v>2</v>
      </c>
      <c r="BX206" s="36"/>
      <c r="BY206" s="36"/>
      <c r="BZ206" s="393"/>
      <c r="CA206" s="393" t="s">
        <v>109</v>
      </c>
      <c r="CB206" s="1682">
        <v>5</v>
      </c>
      <c r="CC206" s="1682">
        <v>2</v>
      </c>
      <c r="CD206" s="1682">
        <v>3</v>
      </c>
      <c r="CE206" s="1682">
        <v>4</v>
      </c>
      <c r="CF206" s="1682">
        <v>3</v>
      </c>
      <c r="CG206" s="1682">
        <v>48</v>
      </c>
      <c r="CH206" s="1682">
        <v>61</v>
      </c>
      <c r="CI206" s="1682">
        <v>100</v>
      </c>
      <c r="CJ206" s="2041">
        <v>12</v>
      </c>
      <c r="CK206" s="2041">
        <v>9</v>
      </c>
      <c r="CL206" s="2041">
        <v>247</v>
      </c>
      <c r="CM206" s="560">
        <f>+(CL204+CL201)/CL206</f>
        <v>0.43724696356275305</v>
      </c>
      <c r="CN206" s="1665"/>
      <c r="CO206" s="37"/>
      <c r="CP206" s="37"/>
      <c r="CQ206" s="37"/>
      <c r="CR206" s="37" t="s">
        <v>1163</v>
      </c>
      <c r="CS206" s="1678"/>
      <c r="CT206" s="1678">
        <v>0</v>
      </c>
      <c r="CU206" s="1678">
        <v>0</v>
      </c>
      <c r="CV206" s="1678">
        <v>10</v>
      </c>
      <c r="CW206" s="1678">
        <v>2</v>
      </c>
      <c r="CX206" s="1678">
        <v>0</v>
      </c>
      <c r="CY206" s="1678">
        <v>20</v>
      </c>
      <c r="CZ206" s="1678">
        <v>3</v>
      </c>
      <c r="DA206" s="1678">
        <v>3</v>
      </c>
      <c r="DB206" s="63">
        <v>0</v>
      </c>
      <c r="DC206" s="63">
        <v>0</v>
      </c>
      <c r="DD206" s="63">
        <v>38</v>
      </c>
      <c r="DG206" s="95"/>
      <c r="DH206" s="95"/>
      <c r="DI206" s="36"/>
      <c r="DJ206" s="36" t="s">
        <v>1081</v>
      </c>
      <c r="DK206" s="1484"/>
      <c r="DL206" s="1484">
        <v>0</v>
      </c>
      <c r="DM206" s="1484"/>
      <c r="DN206" s="1484"/>
      <c r="DO206" s="1484">
        <v>0</v>
      </c>
      <c r="DP206" s="1484"/>
      <c r="DQ206" s="1484">
        <v>3</v>
      </c>
      <c r="DR206" s="1484"/>
      <c r="DS206" s="1484"/>
      <c r="DT206" s="95"/>
      <c r="DU206" s="95"/>
      <c r="DV206" s="95">
        <v>3</v>
      </c>
      <c r="DW206" s="95"/>
      <c r="DY206" s="1209"/>
      <c r="DZ206" s="1209"/>
      <c r="EA206" s="1210"/>
      <c r="EB206" s="415" t="s">
        <v>109</v>
      </c>
      <c r="EC206" s="1215">
        <v>11</v>
      </c>
      <c r="ED206" s="1215">
        <v>9</v>
      </c>
      <c r="EE206" s="1215">
        <v>20</v>
      </c>
      <c r="EF206" s="1215">
        <v>3</v>
      </c>
      <c r="EG206" s="1215">
        <v>2</v>
      </c>
      <c r="EH206" s="1215">
        <v>49</v>
      </c>
      <c r="EI206" s="1215">
        <v>36</v>
      </c>
      <c r="EJ206" s="1215">
        <v>74</v>
      </c>
      <c r="EK206" s="621">
        <v>8</v>
      </c>
      <c r="EL206" s="621">
        <v>25</v>
      </c>
      <c r="EM206" s="621">
        <v>237</v>
      </c>
      <c r="EN206" s="1178">
        <f>+(EM201+EM204-EL204+EM205)/EM206</f>
        <v>0.3628691983122363</v>
      </c>
      <c r="EP206" s="527"/>
      <c r="EQ206" s="527"/>
      <c r="ER206" s="528"/>
      <c r="ES206" s="529" t="s">
        <v>1081</v>
      </c>
      <c r="ET206" s="530"/>
      <c r="EU206" s="530"/>
      <c r="EV206" s="531">
        <v>6</v>
      </c>
      <c r="EW206" s="531">
        <v>0</v>
      </c>
      <c r="EX206" s="530"/>
      <c r="EY206" s="530"/>
      <c r="EZ206" s="530"/>
      <c r="FA206" s="530"/>
      <c r="FB206" s="527"/>
      <c r="FC206" s="527"/>
      <c r="FD206" s="532">
        <v>6</v>
      </c>
      <c r="FE206" s="95"/>
      <c r="FG206" s="533"/>
      <c r="FH206" s="533"/>
      <c r="FI206" s="533"/>
      <c r="FJ206" s="534" t="s">
        <v>1081</v>
      </c>
      <c r="FK206" s="536">
        <v>0</v>
      </c>
      <c r="FL206" s="536">
        <v>0</v>
      </c>
      <c r="FM206" s="535"/>
      <c r="FN206" s="536">
        <v>0</v>
      </c>
      <c r="FO206" s="535"/>
      <c r="FP206" s="536">
        <v>3</v>
      </c>
      <c r="FQ206" s="536">
        <v>7</v>
      </c>
      <c r="FR206" s="536">
        <v>2</v>
      </c>
      <c r="FS206" s="535"/>
      <c r="FT206" s="538">
        <v>0</v>
      </c>
      <c r="FU206" s="537"/>
      <c r="FV206" s="538">
        <v>12</v>
      </c>
      <c r="FW206" s="539"/>
      <c r="FY206" s="540"/>
      <c r="GA206" s="540"/>
      <c r="GB206" s="541" t="s">
        <v>1077</v>
      </c>
      <c r="GC206" s="543">
        <v>0</v>
      </c>
      <c r="GD206" s="542"/>
      <c r="GE206" s="542"/>
      <c r="GF206" s="543">
        <v>0</v>
      </c>
      <c r="GG206" s="543">
        <v>1</v>
      </c>
      <c r="GH206" s="543">
        <v>0</v>
      </c>
      <c r="GI206" s="543">
        <v>1</v>
      </c>
      <c r="GJ206" s="543">
        <v>0</v>
      </c>
      <c r="GK206" s="543">
        <v>0</v>
      </c>
      <c r="GL206" s="543">
        <v>0</v>
      </c>
      <c r="GM206" s="543">
        <v>2</v>
      </c>
      <c r="GN206" s="445"/>
      <c r="GP206" s="63"/>
      <c r="GQ206" s="63"/>
      <c r="GR206" s="63"/>
      <c r="GS206" s="37" t="s">
        <v>1072</v>
      </c>
      <c r="GT206" s="63">
        <v>2</v>
      </c>
      <c r="GU206" s="63">
        <v>1</v>
      </c>
      <c r="GV206" s="63">
        <v>2</v>
      </c>
      <c r="GW206" s="63"/>
      <c r="GX206" s="63">
        <v>0</v>
      </c>
      <c r="GY206" s="63">
        <v>2</v>
      </c>
      <c r="GZ206" s="63">
        <v>7</v>
      </c>
      <c r="HA206" s="63">
        <v>2</v>
      </c>
      <c r="HB206" s="63">
        <v>0</v>
      </c>
      <c r="HC206" s="63">
        <v>0</v>
      </c>
      <c r="HD206" s="63">
        <v>16</v>
      </c>
      <c r="HE206" s="37"/>
      <c r="HF206" s="37"/>
      <c r="HG206" s="446"/>
      <c r="HH206" s="446"/>
      <c r="HI206" s="446"/>
      <c r="HJ206" s="446" t="s">
        <v>1074</v>
      </c>
      <c r="HK206" s="446">
        <v>0</v>
      </c>
      <c r="HL206" s="446">
        <v>1</v>
      </c>
      <c r="HM206" s="446">
        <v>1</v>
      </c>
      <c r="HN206" s="446">
        <v>0</v>
      </c>
      <c r="HO206" s="446">
        <v>0</v>
      </c>
      <c r="HP206" s="446">
        <v>0</v>
      </c>
      <c r="HQ206" s="446">
        <v>0</v>
      </c>
      <c r="HR206" s="446">
        <v>0</v>
      </c>
      <c r="HS206" s="446">
        <v>0</v>
      </c>
      <c r="HT206" s="446">
        <v>0</v>
      </c>
      <c r="HU206" s="446">
        <v>0</v>
      </c>
      <c r="HV206" s="447">
        <v>2</v>
      </c>
      <c r="HW206" s="446"/>
      <c r="HX206" s="448"/>
    </row>
    <row r="207" spans="1:232">
      <c r="A207" s="5682"/>
      <c r="B207" s="5682"/>
      <c r="C207" s="5683"/>
      <c r="D207" s="5683"/>
      <c r="E207" s="5686">
        <f>SUM(E202:E206)</f>
        <v>10</v>
      </c>
      <c r="F207" s="5682"/>
      <c r="G207" s="4921">
        <f>(E203+E204)/(E207)</f>
        <v>0.3</v>
      </c>
      <c r="I207" s="4915"/>
      <c r="J207" s="4915"/>
      <c r="K207" s="4916"/>
      <c r="L207" s="4916"/>
      <c r="M207" s="4920">
        <f>SUM(M204:M206)</f>
        <v>7</v>
      </c>
      <c r="N207" s="4915"/>
      <c r="O207" s="4921">
        <f>(M204+M205)/(M207)</f>
        <v>0.5714285714285714</v>
      </c>
      <c r="Q207" s="4705">
        <v>3</v>
      </c>
      <c r="R207" s="4705">
        <v>2</v>
      </c>
      <c r="S207" s="4706" t="s">
        <v>2082</v>
      </c>
      <c r="T207" s="4708" t="s">
        <v>1076</v>
      </c>
      <c r="U207" s="4709">
        <v>3</v>
      </c>
      <c r="V207" s="4709">
        <v>7</v>
      </c>
      <c r="W207" s="4722"/>
      <c r="Y207" s="36"/>
      <c r="Z207" s="36"/>
      <c r="AA207" s="36"/>
      <c r="AB207" s="36" t="s">
        <v>15</v>
      </c>
      <c r="AC207" s="1681">
        <v>15</v>
      </c>
      <c r="AD207" s="1681">
        <v>4</v>
      </c>
      <c r="AE207" s="1681">
        <v>1</v>
      </c>
      <c r="AF207" s="1681">
        <v>17</v>
      </c>
      <c r="AG207" s="1681">
        <v>10</v>
      </c>
      <c r="AH207" s="1681">
        <v>2</v>
      </c>
      <c r="AI207" s="1681">
        <v>96</v>
      </c>
      <c r="AJ207" s="1681">
        <v>25</v>
      </c>
      <c r="AK207" s="1681">
        <v>6</v>
      </c>
      <c r="AL207" s="95">
        <v>9</v>
      </c>
      <c r="AM207" s="95">
        <v>185</v>
      </c>
      <c r="AN207" s="560">
        <f>+(AF201+AG201+AI201+AJ201+AK201+AF204+AG204+AK204+AF206)/(AM207-AM205)</f>
        <v>0.17058823529411765</v>
      </c>
      <c r="AR207" s="27" t="s">
        <v>485</v>
      </c>
      <c r="AS207" s="27" t="s">
        <v>1072</v>
      </c>
      <c r="AT207" s="3722">
        <v>0</v>
      </c>
      <c r="AU207" s="3722"/>
      <c r="AV207" s="3722"/>
      <c r="AW207" s="3722"/>
      <c r="AX207" s="3722"/>
      <c r="AY207" s="3722"/>
      <c r="AZ207" s="3722">
        <v>2</v>
      </c>
      <c r="BA207" s="3722">
        <v>0</v>
      </c>
      <c r="BB207" s="3722">
        <v>0</v>
      </c>
      <c r="BC207" s="3701"/>
      <c r="BD207" s="3701"/>
      <c r="BE207" s="3701">
        <v>2</v>
      </c>
      <c r="BF207" s="3701"/>
      <c r="BG207" s="3701"/>
      <c r="BK207" s="1520" t="s">
        <v>15</v>
      </c>
      <c r="BL207" s="3872"/>
      <c r="BM207" s="3872"/>
      <c r="BN207" s="3872"/>
      <c r="BO207" s="3872"/>
      <c r="BP207" s="3872"/>
      <c r="BQ207" s="3872">
        <v>2</v>
      </c>
      <c r="BR207" s="3872"/>
      <c r="BS207" s="3872"/>
      <c r="BT207" s="3806"/>
      <c r="BU207" s="3806">
        <v>2</v>
      </c>
      <c r="BV207" s="3807">
        <v>0</v>
      </c>
      <c r="BX207" s="36" t="s">
        <v>48</v>
      </c>
      <c r="BY207" s="36" t="s">
        <v>16</v>
      </c>
      <c r="BZ207" s="36" t="s">
        <v>131</v>
      </c>
      <c r="CA207" s="36" t="s">
        <v>1072</v>
      </c>
      <c r="CB207" s="1681">
        <v>2</v>
      </c>
      <c r="CC207" s="1681">
        <v>1</v>
      </c>
      <c r="CD207" s="1681"/>
      <c r="CE207" s="1681"/>
      <c r="CF207" s="1681"/>
      <c r="CG207" s="1681">
        <v>15</v>
      </c>
      <c r="CH207" s="1681">
        <v>1</v>
      </c>
      <c r="CI207" s="1681"/>
      <c r="CJ207" s="95"/>
      <c r="CK207" s="95"/>
      <c r="CL207" s="95">
        <v>19</v>
      </c>
      <c r="CM207" s="36"/>
      <c r="CO207" s="37"/>
      <c r="CP207" s="37"/>
      <c r="CQ207" s="37"/>
      <c r="CR207" s="416" t="s">
        <v>109</v>
      </c>
      <c r="CS207" s="1679"/>
      <c r="CT207" s="1679">
        <v>6</v>
      </c>
      <c r="CU207" s="1679">
        <v>5</v>
      </c>
      <c r="CV207" s="1679">
        <v>11</v>
      </c>
      <c r="CW207" s="1679">
        <v>8</v>
      </c>
      <c r="CX207" s="1679">
        <v>3</v>
      </c>
      <c r="CY207" s="1679">
        <v>49</v>
      </c>
      <c r="CZ207" s="1679">
        <v>46</v>
      </c>
      <c r="DA207" s="1679">
        <v>80</v>
      </c>
      <c r="DB207" s="386">
        <v>13</v>
      </c>
      <c r="DC207" s="386">
        <v>8</v>
      </c>
      <c r="DD207" s="386">
        <v>229</v>
      </c>
      <c r="DE207" s="2045">
        <f>+(DD203-DB203+DD206)/DD207</f>
        <v>0.43231441048034935</v>
      </c>
      <c r="DG207" s="95"/>
      <c r="DH207" s="95"/>
      <c r="DI207" s="36"/>
      <c r="DJ207" s="393" t="s">
        <v>15</v>
      </c>
      <c r="DK207" s="1485"/>
      <c r="DL207" s="1485">
        <v>1</v>
      </c>
      <c r="DM207" s="1485"/>
      <c r="DN207" s="1485"/>
      <c r="DO207" s="1485">
        <v>2</v>
      </c>
      <c r="DP207" s="1485"/>
      <c r="DQ207" s="1485">
        <v>26</v>
      </c>
      <c r="DR207" s="1485"/>
      <c r="DS207" s="1485"/>
      <c r="DT207" s="86"/>
      <c r="DU207" s="86"/>
      <c r="DV207" s="86">
        <v>29</v>
      </c>
      <c r="DW207" s="560">
        <f>+(DV204+DV206)/DV207</f>
        <v>0.17241379310344829</v>
      </c>
      <c r="DY207" s="1209" t="s">
        <v>48</v>
      </c>
      <c r="DZ207" s="1209" t="s">
        <v>41</v>
      </c>
      <c r="EA207" s="1210" t="s">
        <v>137</v>
      </c>
      <c r="EB207" s="1211" t="s">
        <v>1072</v>
      </c>
      <c r="EC207" s="1212"/>
      <c r="ED207" s="1212"/>
      <c r="EE207" s="1212"/>
      <c r="EF207" s="1212"/>
      <c r="EG207" s="1212"/>
      <c r="EH207" s="1213">
        <v>2</v>
      </c>
      <c r="EI207" s="1213">
        <v>6</v>
      </c>
      <c r="EJ207" s="1213">
        <v>0</v>
      </c>
      <c r="EK207" s="611"/>
      <c r="EL207" s="611"/>
      <c r="EM207" s="612">
        <v>8</v>
      </c>
      <c r="EN207" s="36"/>
      <c r="EP207" s="527"/>
      <c r="EQ207" s="527"/>
      <c r="ER207" s="528"/>
      <c r="ES207" s="529" t="s">
        <v>1163</v>
      </c>
      <c r="ET207" s="530"/>
      <c r="EU207" s="530"/>
      <c r="EV207" s="531">
        <v>9</v>
      </c>
      <c r="EW207" s="531">
        <v>1</v>
      </c>
      <c r="EX207" s="530"/>
      <c r="EY207" s="530"/>
      <c r="EZ207" s="530"/>
      <c r="FA207" s="530"/>
      <c r="FB207" s="527"/>
      <c r="FC207" s="527"/>
      <c r="FD207" s="532">
        <v>10</v>
      </c>
      <c r="FE207" s="95"/>
      <c r="FG207" s="533"/>
      <c r="FH207" s="533"/>
      <c r="FI207" s="533"/>
      <c r="FJ207" s="534" t="s">
        <v>1163</v>
      </c>
      <c r="FK207" s="536">
        <v>0</v>
      </c>
      <c r="FL207" s="536">
        <v>0</v>
      </c>
      <c r="FM207" s="535"/>
      <c r="FN207" s="536">
        <v>0</v>
      </c>
      <c r="FO207" s="535"/>
      <c r="FP207" s="536">
        <v>1</v>
      </c>
      <c r="FQ207" s="536">
        <v>7</v>
      </c>
      <c r="FR207" s="536">
        <v>2</v>
      </c>
      <c r="FS207" s="535"/>
      <c r="FT207" s="538">
        <v>0</v>
      </c>
      <c r="FU207" s="537"/>
      <c r="FV207" s="538">
        <v>10</v>
      </c>
      <c r="FW207" s="539"/>
      <c r="FY207" s="540"/>
      <c r="GA207" s="540"/>
      <c r="GB207" s="541" t="s">
        <v>1080</v>
      </c>
      <c r="GC207" s="543">
        <v>0</v>
      </c>
      <c r="GD207" s="542"/>
      <c r="GE207" s="542"/>
      <c r="GF207" s="543">
        <v>0</v>
      </c>
      <c r="GG207" s="543">
        <v>0</v>
      </c>
      <c r="GH207" s="543">
        <v>0</v>
      </c>
      <c r="GI207" s="543">
        <v>1</v>
      </c>
      <c r="GJ207" s="543">
        <v>23</v>
      </c>
      <c r="GK207" s="543">
        <v>5</v>
      </c>
      <c r="GL207" s="543">
        <v>2</v>
      </c>
      <c r="GM207" s="543">
        <v>31</v>
      </c>
      <c r="GN207" s="445"/>
      <c r="GP207" s="63"/>
      <c r="GQ207" s="63"/>
      <c r="GR207" s="63"/>
      <c r="GS207" s="37" t="s">
        <v>1076</v>
      </c>
      <c r="GT207" s="63">
        <v>0</v>
      </c>
      <c r="GU207" s="63">
        <v>0</v>
      </c>
      <c r="GV207" s="63">
        <v>0</v>
      </c>
      <c r="GW207" s="63"/>
      <c r="GX207" s="63">
        <v>0</v>
      </c>
      <c r="GY207" s="63">
        <v>5</v>
      </c>
      <c r="GZ207" s="63">
        <v>3</v>
      </c>
      <c r="HA207" s="63">
        <v>2</v>
      </c>
      <c r="HB207" s="63">
        <v>0</v>
      </c>
      <c r="HC207" s="63">
        <v>0</v>
      </c>
      <c r="HD207" s="63">
        <v>10</v>
      </c>
      <c r="HE207" s="37"/>
      <c r="HF207" s="37"/>
      <c r="HG207" s="446"/>
      <c r="HH207" s="446"/>
      <c r="HI207" s="446"/>
      <c r="HJ207" s="446" t="s">
        <v>1076</v>
      </c>
      <c r="HK207" s="446">
        <v>0</v>
      </c>
      <c r="HL207" s="446">
        <v>0</v>
      </c>
      <c r="HM207" s="446">
        <v>0</v>
      </c>
      <c r="HN207" s="446">
        <v>0</v>
      </c>
      <c r="HO207" s="446">
        <v>0</v>
      </c>
      <c r="HP207" s="446">
        <v>0</v>
      </c>
      <c r="HQ207" s="446">
        <v>0</v>
      </c>
      <c r="HR207" s="446">
        <v>6</v>
      </c>
      <c r="HS207" s="446">
        <v>0</v>
      </c>
      <c r="HT207" s="446">
        <v>1</v>
      </c>
      <c r="HU207" s="446">
        <v>0</v>
      </c>
      <c r="HV207" s="447">
        <v>7</v>
      </c>
      <c r="HW207" s="446"/>
      <c r="HX207" s="448"/>
    </row>
    <row r="208" spans="1:232">
      <c r="A208" s="5682">
        <v>2</v>
      </c>
      <c r="B208" s="5682">
        <v>3</v>
      </c>
      <c r="C208" s="5683" t="s">
        <v>128</v>
      </c>
      <c r="D208" s="5683" t="s">
        <v>2731</v>
      </c>
      <c r="E208" s="5682">
        <v>1</v>
      </c>
      <c r="F208" s="5682">
        <v>8</v>
      </c>
      <c r="I208" s="4915">
        <v>3</v>
      </c>
      <c r="J208" s="4915">
        <v>2</v>
      </c>
      <c r="K208" s="4916" t="s">
        <v>2058</v>
      </c>
      <c r="L208" s="4916" t="s">
        <v>2731</v>
      </c>
      <c r="M208" s="4915">
        <v>5</v>
      </c>
      <c r="N208" s="4915">
        <v>9</v>
      </c>
      <c r="O208" s="157"/>
      <c r="Q208" s="4705">
        <v>3</v>
      </c>
      <c r="R208" s="4705">
        <v>2</v>
      </c>
      <c r="S208" s="4706" t="s">
        <v>2082</v>
      </c>
      <c r="T208" s="4708" t="s">
        <v>1076</v>
      </c>
      <c r="U208" s="4709">
        <v>3</v>
      </c>
      <c r="V208" s="4709">
        <v>8</v>
      </c>
      <c r="W208" s="4722"/>
      <c r="Y208" s="36"/>
      <c r="Z208" s="36" t="s">
        <v>41</v>
      </c>
      <c r="AA208" s="36" t="s">
        <v>138</v>
      </c>
      <c r="AB208" s="36" t="s">
        <v>1072</v>
      </c>
      <c r="AC208" s="1681">
        <v>0</v>
      </c>
      <c r="AD208" s="1681"/>
      <c r="AE208" s="1681"/>
      <c r="AF208" s="1681"/>
      <c r="AG208" s="1681"/>
      <c r="AH208" s="1681">
        <v>1</v>
      </c>
      <c r="AI208" s="1681"/>
      <c r="AJ208" s="1681">
        <v>0</v>
      </c>
      <c r="AK208" s="1681"/>
      <c r="AL208" s="95"/>
      <c r="AM208" s="95">
        <v>1</v>
      </c>
      <c r="AN208" s="4545"/>
      <c r="AR208" s="27"/>
      <c r="AS208" s="27" t="s">
        <v>1076</v>
      </c>
      <c r="AT208" s="3722">
        <v>0</v>
      </c>
      <c r="AU208" s="3722"/>
      <c r="AV208" s="3722"/>
      <c r="AW208" s="3722"/>
      <c r="AX208" s="3722"/>
      <c r="AY208" s="3722"/>
      <c r="AZ208" s="3722">
        <v>1</v>
      </c>
      <c r="BA208" s="3722">
        <v>11</v>
      </c>
      <c r="BB208" s="3722">
        <v>0</v>
      </c>
      <c r="BC208" s="3701"/>
      <c r="BD208" s="3701"/>
      <c r="BE208" s="3701">
        <v>12</v>
      </c>
      <c r="BF208" s="3701"/>
      <c r="BG208" s="3701"/>
      <c r="BJ208" s="32" t="s">
        <v>2058</v>
      </c>
      <c r="BK208" s="32" t="s">
        <v>1072</v>
      </c>
      <c r="BL208" s="3871">
        <v>2</v>
      </c>
      <c r="BM208" s="3871"/>
      <c r="BN208" s="3871"/>
      <c r="BO208" s="3871"/>
      <c r="BP208" s="3871"/>
      <c r="BQ208" s="3871">
        <v>0</v>
      </c>
      <c r="BR208" s="3871">
        <v>0</v>
      </c>
      <c r="BS208" s="3871"/>
      <c r="BT208" s="1518"/>
      <c r="BU208" s="1518">
        <v>2</v>
      </c>
      <c r="BX208" s="36"/>
      <c r="BY208" s="36"/>
      <c r="BZ208" s="36"/>
      <c r="CA208" s="36" t="s">
        <v>1074</v>
      </c>
      <c r="CB208" s="1681">
        <v>1</v>
      </c>
      <c r="CC208" s="1681">
        <v>0</v>
      </c>
      <c r="CD208" s="1681"/>
      <c r="CE208" s="1681"/>
      <c r="CF208" s="1681"/>
      <c r="CG208" s="1681">
        <v>0</v>
      </c>
      <c r="CH208" s="1681">
        <v>0</v>
      </c>
      <c r="CI208" s="1681"/>
      <c r="CJ208" s="95"/>
      <c r="CK208" s="95"/>
      <c r="CL208" s="95">
        <v>1</v>
      </c>
      <c r="CM208" s="36"/>
      <c r="CO208" s="37" t="s">
        <v>48</v>
      </c>
      <c r="CP208" s="37" t="s">
        <v>16</v>
      </c>
      <c r="CQ208" s="37" t="s">
        <v>127</v>
      </c>
      <c r="CR208" s="37" t="s">
        <v>1163</v>
      </c>
      <c r="CS208" s="1678"/>
      <c r="CT208" s="1678"/>
      <c r="CU208" s="1678"/>
      <c r="CV208" s="1678"/>
      <c r="CW208" s="1678"/>
      <c r="CX208" s="1678"/>
      <c r="CY208" s="1678">
        <v>3</v>
      </c>
      <c r="CZ208" s="1678"/>
      <c r="DA208" s="1678"/>
      <c r="DB208" s="63"/>
      <c r="DC208" s="63"/>
      <c r="DD208" s="63">
        <v>3</v>
      </c>
      <c r="DE208" s="2045"/>
      <c r="DG208" s="95"/>
      <c r="DH208" s="95"/>
      <c r="DI208" s="36" t="s">
        <v>134</v>
      </c>
      <c r="DJ208" s="36" t="s">
        <v>1072</v>
      </c>
      <c r="DK208" s="1484"/>
      <c r="DL208" s="1484"/>
      <c r="DM208" s="1484"/>
      <c r="DN208" s="1484"/>
      <c r="DO208" s="1484"/>
      <c r="DP208" s="1484"/>
      <c r="DQ208" s="1484">
        <v>11</v>
      </c>
      <c r="DR208" s="1484">
        <v>5</v>
      </c>
      <c r="DS208" s="1484">
        <v>0</v>
      </c>
      <c r="DT208" s="95"/>
      <c r="DU208" s="95"/>
      <c r="DV208" s="95">
        <v>16</v>
      </c>
      <c r="DW208" s="95"/>
      <c r="DY208" s="1209"/>
      <c r="DZ208" s="1209"/>
      <c r="EA208" s="1210"/>
      <c r="EB208" s="1211" t="s">
        <v>1076</v>
      </c>
      <c r="EC208" s="1212"/>
      <c r="ED208" s="1212"/>
      <c r="EE208" s="1212"/>
      <c r="EF208" s="1212"/>
      <c r="EG208" s="1212"/>
      <c r="EH208" s="1213">
        <v>1</v>
      </c>
      <c r="EI208" s="1213">
        <v>0</v>
      </c>
      <c r="EJ208" s="1213">
        <v>0</v>
      </c>
      <c r="EK208" s="611"/>
      <c r="EL208" s="611"/>
      <c r="EM208" s="612">
        <v>1</v>
      </c>
      <c r="EN208" s="36"/>
      <c r="EP208" s="527"/>
      <c r="EQ208" s="527"/>
      <c r="ER208" s="528"/>
      <c r="ES208" s="555" t="s">
        <v>15</v>
      </c>
      <c r="ET208" s="556"/>
      <c r="EU208" s="556"/>
      <c r="EV208" s="557">
        <v>35</v>
      </c>
      <c r="EW208" s="557">
        <v>2</v>
      </c>
      <c r="EX208" s="556"/>
      <c r="EY208" s="556"/>
      <c r="EZ208" s="556"/>
      <c r="FA208" s="556"/>
      <c r="FB208" s="558"/>
      <c r="FC208" s="558"/>
      <c r="FD208" s="559">
        <v>37</v>
      </c>
      <c r="FE208" s="560">
        <f>+(FD205+FD206+FD207)/FD208</f>
        <v>0.45945945945945948</v>
      </c>
      <c r="FG208" s="533"/>
      <c r="FH208" s="533"/>
      <c r="FI208" s="533"/>
      <c r="FJ208" s="545" t="s">
        <v>485</v>
      </c>
      <c r="FK208" s="547">
        <v>1</v>
      </c>
      <c r="FL208" s="547">
        <v>1</v>
      </c>
      <c r="FM208" s="546"/>
      <c r="FN208" s="547">
        <v>2</v>
      </c>
      <c r="FO208" s="546"/>
      <c r="FP208" s="547">
        <v>6</v>
      </c>
      <c r="FQ208" s="547">
        <v>35</v>
      </c>
      <c r="FR208" s="547">
        <v>14</v>
      </c>
      <c r="FS208" s="546"/>
      <c r="FT208" s="549">
        <v>1</v>
      </c>
      <c r="FU208" s="548"/>
      <c r="FV208" s="549">
        <v>60</v>
      </c>
      <c r="FW208" s="539">
        <f>+(FV207+FV206+FV204)/FV208</f>
        <v>0.43333333333333335</v>
      </c>
      <c r="FY208" s="540"/>
      <c r="GA208" s="540"/>
      <c r="GB208" s="541" t="s">
        <v>1163</v>
      </c>
      <c r="GC208" s="543">
        <v>0</v>
      </c>
      <c r="GD208" s="542"/>
      <c r="GE208" s="542"/>
      <c r="GF208" s="543">
        <v>0</v>
      </c>
      <c r="GG208" s="543">
        <v>0</v>
      </c>
      <c r="GH208" s="543">
        <v>2</v>
      </c>
      <c r="GI208" s="543">
        <v>2</v>
      </c>
      <c r="GJ208" s="543">
        <v>0</v>
      </c>
      <c r="GK208" s="543">
        <v>0</v>
      </c>
      <c r="GL208" s="543">
        <v>0</v>
      </c>
      <c r="GM208" s="543">
        <v>4</v>
      </c>
      <c r="GN208" s="445"/>
      <c r="GP208" s="63"/>
      <c r="GQ208" s="63"/>
      <c r="GR208" s="63"/>
      <c r="GS208" s="37" t="s">
        <v>1077</v>
      </c>
      <c r="GT208" s="63">
        <v>0</v>
      </c>
      <c r="GU208" s="63">
        <v>1</v>
      </c>
      <c r="GV208" s="63">
        <v>0</v>
      </c>
      <c r="GW208" s="63"/>
      <c r="GX208" s="63">
        <v>1</v>
      </c>
      <c r="GY208" s="63">
        <v>0</v>
      </c>
      <c r="GZ208" s="63">
        <v>0</v>
      </c>
      <c r="HA208" s="63">
        <v>0</v>
      </c>
      <c r="HB208" s="63">
        <v>0</v>
      </c>
      <c r="HC208" s="63">
        <v>0</v>
      </c>
      <c r="HD208" s="63">
        <v>2</v>
      </c>
      <c r="HE208" s="37"/>
      <c r="HF208" s="37"/>
      <c r="HG208" s="446"/>
      <c r="HH208" s="446"/>
      <c r="HI208" s="446"/>
      <c r="HJ208" s="446" t="s">
        <v>1077</v>
      </c>
      <c r="HK208" s="446">
        <v>0</v>
      </c>
      <c r="HL208" s="446">
        <v>0</v>
      </c>
      <c r="HM208" s="446">
        <v>0</v>
      </c>
      <c r="HN208" s="446">
        <v>0</v>
      </c>
      <c r="HO208" s="446">
        <v>2</v>
      </c>
      <c r="HP208" s="446">
        <v>0</v>
      </c>
      <c r="HQ208" s="446">
        <v>1</v>
      </c>
      <c r="HR208" s="446">
        <v>0</v>
      </c>
      <c r="HS208" s="446">
        <v>0</v>
      </c>
      <c r="HT208" s="446">
        <v>0</v>
      </c>
      <c r="HU208" s="446">
        <v>0</v>
      </c>
      <c r="HV208" s="447">
        <v>3</v>
      </c>
      <c r="HW208" s="446"/>
      <c r="HX208" s="448"/>
    </row>
    <row r="209" spans="1:232">
      <c r="A209" s="5682">
        <v>2</v>
      </c>
      <c r="B209" s="5682">
        <v>3</v>
      </c>
      <c r="C209" s="5683" t="s">
        <v>128</v>
      </c>
      <c r="D209" s="5685" t="s">
        <v>1076</v>
      </c>
      <c r="E209" s="5682">
        <v>4</v>
      </c>
      <c r="F209" s="5682">
        <v>6</v>
      </c>
      <c r="I209" s="4915">
        <v>3</v>
      </c>
      <c r="J209" s="4915">
        <v>2</v>
      </c>
      <c r="K209" s="4916" t="s">
        <v>2058</v>
      </c>
      <c r="L209" s="4917" t="s">
        <v>2707</v>
      </c>
      <c r="M209" s="4922">
        <v>1</v>
      </c>
      <c r="N209" s="4915">
        <v>8</v>
      </c>
      <c r="O209" s="157"/>
      <c r="Q209" s="4705">
        <v>3</v>
      </c>
      <c r="R209" s="4705">
        <v>2</v>
      </c>
      <c r="S209" s="4706" t="s">
        <v>2082</v>
      </c>
      <c r="T209" s="4708" t="s">
        <v>1076</v>
      </c>
      <c r="U209" s="4709">
        <v>1</v>
      </c>
      <c r="V209" s="4731">
        <v>9</v>
      </c>
      <c r="W209" s="4722"/>
      <c r="X209" s="4452"/>
      <c r="Y209" s="36"/>
      <c r="Z209" s="36"/>
      <c r="AA209" s="36"/>
      <c r="AB209" s="36" t="s">
        <v>1080</v>
      </c>
      <c r="AC209" s="1681">
        <v>0</v>
      </c>
      <c r="AD209" s="1681"/>
      <c r="AE209" s="1681"/>
      <c r="AF209" s="1681"/>
      <c r="AG209" s="1681"/>
      <c r="AH209" s="1681">
        <v>0</v>
      </c>
      <c r="AI209" s="1681"/>
      <c r="AJ209" s="1681">
        <v>14</v>
      </c>
      <c r="AK209" s="1681"/>
      <c r="AL209" s="95"/>
      <c r="AM209" s="95">
        <v>14</v>
      </c>
      <c r="AN209" s="4545"/>
      <c r="AR209" s="27"/>
      <c r="AS209" s="27" t="s">
        <v>1080</v>
      </c>
      <c r="AT209" s="3722">
        <v>0</v>
      </c>
      <c r="AU209" s="3722"/>
      <c r="AV209" s="3722"/>
      <c r="AW209" s="3722"/>
      <c r="AX209" s="3722"/>
      <c r="AY209" s="3722"/>
      <c r="AZ209" s="3722">
        <v>0</v>
      </c>
      <c r="BA209" s="3722">
        <v>9</v>
      </c>
      <c r="BB209" s="3722">
        <v>6</v>
      </c>
      <c r="BC209" s="3701"/>
      <c r="BD209" s="3701"/>
      <c r="BE209" s="3701">
        <v>15</v>
      </c>
      <c r="BF209" s="3701"/>
      <c r="BG209" s="3701"/>
      <c r="BK209" s="32" t="s">
        <v>1076</v>
      </c>
      <c r="BL209" s="3871">
        <v>0</v>
      </c>
      <c r="BM209" s="3871"/>
      <c r="BN209" s="3871"/>
      <c r="BO209" s="3871"/>
      <c r="BP209" s="3871"/>
      <c r="BQ209" s="3871">
        <v>1</v>
      </c>
      <c r="BR209" s="3871">
        <v>1</v>
      </c>
      <c r="BS209" s="3871"/>
      <c r="BT209" s="1518"/>
      <c r="BU209" s="1518">
        <v>2</v>
      </c>
      <c r="BX209" s="36"/>
      <c r="BY209" s="36"/>
      <c r="BZ209" s="36"/>
      <c r="CA209" s="36" t="s">
        <v>1076</v>
      </c>
      <c r="CB209" s="1681">
        <v>0</v>
      </c>
      <c r="CC209" s="1681">
        <v>0</v>
      </c>
      <c r="CD209" s="1681"/>
      <c r="CE209" s="1681"/>
      <c r="CF209" s="1681"/>
      <c r="CG209" s="1681">
        <v>4</v>
      </c>
      <c r="CH209" s="1681">
        <v>0</v>
      </c>
      <c r="CI209" s="1681"/>
      <c r="CJ209" s="95"/>
      <c r="CK209" s="95"/>
      <c r="CL209" s="95">
        <v>4</v>
      </c>
      <c r="CM209" s="36"/>
      <c r="CO209" s="37"/>
      <c r="CP209" s="37"/>
      <c r="CQ209" s="37"/>
      <c r="CR209" s="416" t="s">
        <v>15</v>
      </c>
      <c r="CS209" s="1679"/>
      <c r="CT209" s="1679"/>
      <c r="CU209" s="1679"/>
      <c r="CV209" s="1679"/>
      <c r="CW209" s="1679"/>
      <c r="CX209" s="1679"/>
      <c r="CY209" s="1679">
        <v>3</v>
      </c>
      <c r="CZ209" s="1679"/>
      <c r="DA209" s="1679"/>
      <c r="DB209" s="386"/>
      <c r="DC209" s="386"/>
      <c r="DD209" s="386">
        <v>3</v>
      </c>
      <c r="DE209" s="2045">
        <f>+DD208/DD209</f>
        <v>1</v>
      </c>
      <c r="DG209" s="95"/>
      <c r="DH209" s="95"/>
      <c r="DI209" s="36"/>
      <c r="DJ209" s="36" t="s">
        <v>1080</v>
      </c>
      <c r="DK209" s="1484"/>
      <c r="DL209" s="1484"/>
      <c r="DM209" s="1484"/>
      <c r="DN209" s="1484"/>
      <c r="DO209" s="1484"/>
      <c r="DP209" s="1484"/>
      <c r="DQ209" s="1484">
        <v>0</v>
      </c>
      <c r="DR209" s="1484">
        <v>0</v>
      </c>
      <c r="DS209" s="1484">
        <v>1</v>
      </c>
      <c r="DT209" s="95"/>
      <c r="DU209" s="95"/>
      <c r="DV209" s="95">
        <v>1</v>
      </c>
      <c r="DW209" s="95"/>
      <c r="DY209" s="1209"/>
      <c r="DZ209" s="1209"/>
      <c r="EA209" s="1210"/>
      <c r="EB209" s="1211" t="s">
        <v>1080</v>
      </c>
      <c r="EC209" s="1212"/>
      <c r="ED209" s="1212"/>
      <c r="EE209" s="1212"/>
      <c r="EF209" s="1212"/>
      <c r="EG209" s="1212"/>
      <c r="EH209" s="1213">
        <v>0</v>
      </c>
      <c r="EI209" s="1213">
        <v>0</v>
      </c>
      <c r="EJ209" s="1213">
        <v>1</v>
      </c>
      <c r="EK209" s="611"/>
      <c r="EL209" s="611"/>
      <c r="EM209" s="612">
        <v>1</v>
      </c>
      <c r="EN209" s="36"/>
      <c r="EP209" s="527"/>
      <c r="EQ209" s="527"/>
      <c r="ER209" s="528" t="s">
        <v>461</v>
      </c>
      <c r="ES209" s="529" t="s">
        <v>1072</v>
      </c>
      <c r="ET209" s="531">
        <v>1</v>
      </c>
      <c r="EU209" s="530"/>
      <c r="EV209" s="530"/>
      <c r="EW209" s="530"/>
      <c r="EX209" s="530"/>
      <c r="EY209" s="531">
        <v>7</v>
      </c>
      <c r="EZ209" s="531">
        <v>1</v>
      </c>
      <c r="FA209" s="530"/>
      <c r="FB209" s="527"/>
      <c r="FC209" s="527"/>
      <c r="FD209" s="532">
        <v>9</v>
      </c>
      <c r="FE209" s="95"/>
      <c r="FG209" s="533"/>
      <c r="FH209" s="533" t="s">
        <v>103</v>
      </c>
      <c r="FI209" s="533" t="s">
        <v>142</v>
      </c>
      <c r="FJ209" s="534" t="s">
        <v>1072</v>
      </c>
      <c r="FK209" s="535"/>
      <c r="FL209" s="536">
        <v>1</v>
      </c>
      <c r="FM209" s="535"/>
      <c r="FN209" s="535"/>
      <c r="FO209" s="535"/>
      <c r="FP209" s="535"/>
      <c r="FQ209" s="536">
        <v>4</v>
      </c>
      <c r="FR209" s="535"/>
      <c r="FS209" s="535"/>
      <c r="FT209" s="537"/>
      <c r="FU209" s="537"/>
      <c r="FV209" s="538">
        <v>5</v>
      </c>
      <c r="FW209" s="539"/>
      <c r="FY209" s="540"/>
      <c r="GA209" s="540"/>
      <c r="GB209" s="550" t="s">
        <v>482</v>
      </c>
      <c r="GC209" s="552">
        <v>1</v>
      </c>
      <c r="GD209" s="551"/>
      <c r="GE209" s="551"/>
      <c r="GF209" s="552">
        <v>1</v>
      </c>
      <c r="GG209" s="552">
        <v>2</v>
      </c>
      <c r="GH209" s="552">
        <v>6</v>
      </c>
      <c r="GI209" s="552">
        <v>18</v>
      </c>
      <c r="GJ209" s="552">
        <v>37</v>
      </c>
      <c r="GK209" s="552">
        <v>13</v>
      </c>
      <c r="GL209" s="552">
        <v>13</v>
      </c>
      <c r="GM209" s="552">
        <v>91</v>
      </c>
      <c r="GN209" s="553">
        <f>+(GM208+GM205-GK205)/GM209</f>
        <v>0.15384615384615385</v>
      </c>
      <c r="GP209" s="63"/>
      <c r="GQ209" s="63"/>
      <c r="GR209" s="63"/>
      <c r="GS209" s="37" t="s">
        <v>1080</v>
      </c>
      <c r="GT209" s="63">
        <v>0</v>
      </c>
      <c r="GU209" s="63">
        <v>0</v>
      </c>
      <c r="GV209" s="63">
        <v>0</v>
      </c>
      <c r="GW209" s="63"/>
      <c r="GX209" s="63">
        <v>0</v>
      </c>
      <c r="GY209" s="63">
        <v>0</v>
      </c>
      <c r="GZ209" s="63">
        <v>0</v>
      </c>
      <c r="HA209" s="63">
        <v>27</v>
      </c>
      <c r="HB209" s="63">
        <v>0</v>
      </c>
      <c r="HC209" s="63">
        <v>3</v>
      </c>
      <c r="HD209" s="63">
        <v>30</v>
      </c>
      <c r="HE209" s="37"/>
      <c r="HF209" s="37"/>
      <c r="HG209" s="446"/>
      <c r="HH209" s="446"/>
      <c r="HI209" s="446"/>
      <c r="HJ209" s="446" t="s">
        <v>1080</v>
      </c>
      <c r="HK209" s="446">
        <v>0</v>
      </c>
      <c r="HL209" s="446">
        <v>0</v>
      </c>
      <c r="HM209" s="446">
        <v>0</v>
      </c>
      <c r="HN209" s="446">
        <v>0</v>
      </c>
      <c r="HO209" s="446">
        <v>0</v>
      </c>
      <c r="HP209" s="446">
        <v>0</v>
      </c>
      <c r="HQ209" s="446">
        <v>0</v>
      </c>
      <c r="HR209" s="446">
        <v>9</v>
      </c>
      <c r="HS209" s="446">
        <v>17</v>
      </c>
      <c r="HT209" s="446">
        <v>5</v>
      </c>
      <c r="HU209" s="446">
        <v>2</v>
      </c>
      <c r="HV209" s="447">
        <v>33</v>
      </c>
      <c r="HW209" s="446"/>
      <c r="HX209" s="448"/>
    </row>
    <row r="210" spans="1:232">
      <c r="A210" s="5682">
        <v>2</v>
      </c>
      <c r="B210" s="5682">
        <v>3</v>
      </c>
      <c r="C210" s="5683" t="s">
        <v>128</v>
      </c>
      <c r="D210" s="5685" t="s">
        <v>1076</v>
      </c>
      <c r="E210" s="5682">
        <v>2</v>
      </c>
      <c r="F210" s="5682">
        <v>7</v>
      </c>
      <c r="I210" s="4915">
        <v>3</v>
      </c>
      <c r="J210" s="4915">
        <v>2</v>
      </c>
      <c r="K210" s="4916" t="s">
        <v>2058</v>
      </c>
      <c r="L210" s="4916" t="s">
        <v>2709</v>
      </c>
      <c r="M210" s="4915">
        <v>1</v>
      </c>
      <c r="N210" s="4915">
        <v>1</v>
      </c>
      <c r="O210" s="157"/>
      <c r="Q210" s="4705">
        <v>3</v>
      </c>
      <c r="R210" s="4705">
        <v>2</v>
      </c>
      <c r="S210" s="4706" t="s">
        <v>2082</v>
      </c>
      <c r="T210" s="4706" t="s">
        <v>2709</v>
      </c>
      <c r="U210" s="4707">
        <v>1</v>
      </c>
      <c r="V210" s="4707">
        <v>5</v>
      </c>
      <c r="W210" s="4722"/>
      <c r="Y210" s="36"/>
      <c r="Z210" s="36"/>
      <c r="AA210" s="36"/>
      <c r="AB210" s="36" t="s">
        <v>2571</v>
      </c>
      <c r="AC210" s="1681">
        <v>1</v>
      </c>
      <c r="AD210" s="1681"/>
      <c r="AE210" s="1681"/>
      <c r="AF210" s="1681"/>
      <c r="AG210" s="1681"/>
      <c r="AH210" s="1681">
        <v>0</v>
      </c>
      <c r="AI210" s="1681"/>
      <c r="AJ210" s="1681">
        <v>0</v>
      </c>
      <c r="AK210" s="1681"/>
      <c r="AL210" s="95"/>
      <c r="AM210" s="95">
        <v>1</v>
      </c>
      <c r="AN210" s="4545"/>
      <c r="AR210" s="27"/>
      <c r="AS210" s="27" t="s">
        <v>2571</v>
      </c>
      <c r="AT210" s="3722">
        <v>5</v>
      </c>
      <c r="AU210" s="3722"/>
      <c r="AV210" s="3722"/>
      <c r="AW210" s="3722"/>
      <c r="AX210" s="3722"/>
      <c r="AY210" s="3722"/>
      <c r="AZ210" s="3722">
        <v>0</v>
      </c>
      <c r="BA210" s="3722">
        <v>0</v>
      </c>
      <c r="BB210" s="3722">
        <v>0</v>
      </c>
      <c r="BC210" s="3701"/>
      <c r="BD210" s="3701"/>
      <c r="BE210" s="3701">
        <v>5</v>
      </c>
      <c r="BF210" s="3701"/>
      <c r="BG210" s="3701"/>
      <c r="BK210" s="32" t="s">
        <v>1163</v>
      </c>
      <c r="BL210" s="3871">
        <v>0</v>
      </c>
      <c r="BM210" s="3871"/>
      <c r="BN210" s="3871"/>
      <c r="BO210" s="3871"/>
      <c r="BP210" s="3871"/>
      <c r="BQ210" s="3871">
        <v>0</v>
      </c>
      <c r="BR210" s="3871">
        <v>1</v>
      </c>
      <c r="BS210" s="3871"/>
      <c r="BT210" s="1518"/>
      <c r="BU210" s="1518">
        <v>1</v>
      </c>
      <c r="BX210" s="36"/>
      <c r="BY210" s="36"/>
      <c r="BZ210" s="36"/>
      <c r="CA210" s="36" t="s">
        <v>1081</v>
      </c>
      <c r="CB210" s="1681">
        <v>0</v>
      </c>
      <c r="CC210" s="1681">
        <v>0</v>
      </c>
      <c r="CD210" s="1681"/>
      <c r="CE210" s="1681"/>
      <c r="CF210" s="1681"/>
      <c r="CG210" s="1681">
        <v>1</v>
      </c>
      <c r="CH210" s="1681">
        <v>0</v>
      </c>
      <c r="CI210" s="1681"/>
      <c r="CJ210" s="95"/>
      <c r="CK210" s="95"/>
      <c r="CL210" s="95">
        <v>1</v>
      </c>
      <c r="CM210" s="36"/>
      <c r="CO210" s="37"/>
      <c r="CP210" s="37"/>
      <c r="CQ210" s="37" t="s">
        <v>110</v>
      </c>
      <c r="CR210" s="37" t="s">
        <v>1072</v>
      </c>
      <c r="CS210" s="1678"/>
      <c r="CT210" s="1678"/>
      <c r="CU210" s="1678"/>
      <c r="CV210" s="1678">
        <v>1</v>
      </c>
      <c r="CW210" s="1678">
        <v>1</v>
      </c>
      <c r="CX210" s="1678"/>
      <c r="CY210" s="1678">
        <v>14</v>
      </c>
      <c r="CZ210" s="1678">
        <v>0</v>
      </c>
      <c r="DA210" s="1678"/>
      <c r="DB210" s="63"/>
      <c r="DC210" s="63"/>
      <c r="DD210" s="63">
        <v>16</v>
      </c>
      <c r="DG210" s="95"/>
      <c r="DH210" s="95"/>
      <c r="DI210" s="36"/>
      <c r="DJ210" s="36" t="s">
        <v>1081</v>
      </c>
      <c r="DK210" s="1484"/>
      <c r="DL210" s="1484"/>
      <c r="DM210" s="1484"/>
      <c r="DN210" s="1484"/>
      <c r="DO210" s="1484"/>
      <c r="DP210" s="1484"/>
      <c r="DQ210" s="1484">
        <v>1</v>
      </c>
      <c r="DR210" s="1484">
        <v>1</v>
      </c>
      <c r="DS210" s="1484">
        <v>0</v>
      </c>
      <c r="DT210" s="95"/>
      <c r="DU210" s="95"/>
      <c r="DV210" s="95">
        <v>2</v>
      </c>
      <c r="DW210" s="95"/>
      <c r="DY210" s="1209"/>
      <c r="DZ210" s="1209"/>
      <c r="EA210" s="1210"/>
      <c r="EB210" s="415" t="s">
        <v>15</v>
      </c>
      <c r="EC210" s="1214"/>
      <c r="ED210" s="1214"/>
      <c r="EE210" s="1214"/>
      <c r="EF210" s="1214"/>
      <c r="EG210" s="1214"/>
      <c r="EH210" s="1215">
        <v>3</v>
      </c>
      <c r="EI210" s="1215">
        <v>6</v>
      </c>
      <c r="EJ210" s="1215">
        <v>1</v>
      </c>
      <c r="EK210" s="620"/>
      <c r="EL210" s="620"/>
      <c r="EM210" s="621">
        <v>10</v>
      </c>
      <c r="EN210" s="1178">
        <f>+EM208/EM210</f>
        <v>0.1</v>
      </c>
      <c r="EP210" s="527"/>
      <c r="EQ210" s="527"/>
      <c r="ER210" s="528"/>
      <c r="ES210" s="529" t="s">
        <v>1074</v>
      </c>
      <c r="ET210" s="531">
        <v>2</v>
      </c>
      <c r="EU210" s="530"/>
      <c r="EV210" s="530"/>
      <c r="EW210" s="530"/>
      <c r="EX210" s="530"/>
      <c r="EY210" s="531">
        <v>0</v>
      </c>
      <c r="EZ210" s="531">
        <v>0</v>
      </c>
      <c r="FA210" s="530"/>
      <c r="FB210" s="527"/>
      <c r="FC210" s="527"/>
      <c r="FD210" s="532">
        <v>2</v>
      </c>
      <c r="FE210" s="95"/>
      <c r="FG210" s="533"/>
      <c r="FH210" s="533"/>
      <c r="FI210" s="533"/>
      <c r="FJ210" s="534" t="s">
        <v>1076</v>
      </c>
      <c r="FK210" s="535"/>
      <c r="FL210" s="536">
        <v>0</v>
      </c>
      <c r="FM210" s="535"/>
      <c r="FN210" s="535"/>
      <c r="FO210" s="535"/>
      <c r="FP210" s="535"/>
      <c r="FQ210" s="536">
        <v>4</v>
      </c>
      <c r="FR210" s="535"/>
      <c r="FS210" s="535"/>
      <c r="FT210" s="537"/>
      <c r="FU210" s="537"/>
      <c r="FV210" s="538">
        <v>4</v>
      </c>
      <c r="FW210" s="539"/>
      <c r="FY210" s="540"/>
      <c r="GA210" s="540" t="s">
        <v>483</v>
      </c>
      <c r="GB210" s="541" t="s">
        <v>1071</v>
      </c>
      <c r="GC210" s="542"/>
      <c r="GD210" s="543">
        <v>0</v>
      </c>
      <c r="GE210" s="543">
        <v>0</v>
      </c>
      <c r="GF210" s="543">
        <v>0</v>
      </c>
      <c r="GG210" s="543">
        <v>0</v>
      </c>
      <c r="GH210" s="543">
        <v>0</v>
      </c>
      <c r="GI210" s="543">
        <v>0</v>
      </c>
      <c r="GJ210" s="543">
        <v>1</v>
      </c>
      <c r="GK210" s="542"/>
      <c r="GL210" s="542"/>
      <c r="GM210" s="543">
        <v>1</v>
      </c>
      <c r="GN210" s="445"/>
      <c r="GP210" s="63"/>
      <c r="GQ210" s="63"/>
      <c r="GR210" s="63"/>
      <c r="GS210" s="37" t="s">
        <v>1163</v>
      </c>
      <c r="GT210" s="63">
        <v>0</v>
      </c>
      <c r="GU210" s="63">
        <v>0</v>
      </c>
      <c r="GV210" s="63">
        <v>0</v>
      </c>
      <c r="GW210" s="63"/>
      <c r="GX210" s="63">
        <v>0</v>
      </c>
      <c r="GY210" s="63">
        <v>3</v>
      </c>
      <c r="GZ210" s="63">
        <v>1</v>
      </c>
      <c r="HA210" s="63">
        <v>0</v>
      </c>
      <c r="HB210" s="63">
        <v>0</v>
      </c>
      <c r="HC210" s="63">
        <v>0</v>
      </c>
      <c r="HD210" s="63">
        <v>4</v>
      </c>
      <c r="HE210" s="37"/>
      <c r="HF210" s="37"/>
      <c r="HG210" s="446"/>
      <c r="HH210" s="446"/>
      <c r="HI210" s="446"/>
      <c r="HJ210" s="446" t="s">
        <v>1163</v>
      </c>
      <c r="HK210" s="446">
        <v>0</v>
      </c>
      <c r="HL210" s="446">
        <v>0</v>
      </c>
      <c r="HM210" s="446">
        <v>0</v>
      </c>
      <c r="HN210" s="446">
        <v>0</v>
      </c>
      <c r="HO210" s="446">
        <v>0</v>
      </c>
      <c r="HP210" s="446">
        <v>0</v>
      </c>
      <c r="HQ210" s="446">
        <v>4</v>
      </c>
      <c r="HR210" s="446">
        <v>4</v>
      </c>
      <c r="HS210" s="446">
        <v>2</v>
      </c>
      <c r="HT210" s="446">
        <v>0</v>
      </c>
      <c r="HU210" s="446">
        <v>0</v>
      </c>
      <c r="HV210" s="447">
        <v>10</v>
      </c>
      <c r="HW210" s="446"/>
      <c r="HX210" s="448"/>
    </row>
    <row r="211" spans="1:232">
      <c r="A211" s="5682"/>
      <c r="B211" s="5682"/>
      <c r="C211" s="5683"/>
      <c r="D211" s="5685"/>
      <c r="E211" s="5686">
        <f>SUM(E208:E210)</f>
        <v>7</v>
      </c>
      <c r="F211" s="5682"/>
      <c r="G211" s="4921">
        <f>(E209+E210)/(E211)</f>
        <v>0.8571428571428571</v>
      </c>
      <c r="I211" s="4915">
        <v>3</v>
      </c>
      <c r="J211" s="4915">
        <v>2</v>
      </c>
      <c r="K211" s="4916" t="s">
        <v>2058</v>
      </c>
      <c r="L211" s="4916" t="s">
        <v>2709</v>
      </c>
      <c r="M211" s="4915">
        <v>1</v>
      </c>
      <c r="N211" s="4915">
        <v>3</v>
      </c>
      <c r="O211" s="157"/>
      <c r="Q211" s="4705">
        <v>3</v>
      </c>
      <c r="R211" s="4705">
        <v>2</v>
      </c>
      <c r="S211" s="4706" t="s">
        <v>2082</v>
      </c>
      <c r="T211" s="4706" t="s">
        <v>2709</v>
      </c>
      <c r="U211" s="4707">
        <v>3</v>
      </c>
      <c r="V211" s="4707">
        <v>7</v>
      </c>
      <c r="W211" s="4722"/>
      <c r="Y211" s="36"/>
      <c r="Z211" s="36"/>
      <c r="AA211" s="36"/>
      <c r="AB211" s="36" t="s">
        <v>15</v>
      </c>
      <c r="AC211" s="1681">
        <v>1</v>
      </c>
      <c r="AD211" s="1681"/>
      <c r="AE211" s="1681"/>
      <c r="AF211" s="1681"/>
      <c r="AG211" s="1681"/>
      <c r="AH211" s="1681">
        <v>1</v>
      </c>
      <c r="AI211" s="1681"/>
      <c r="AJ211" s="1681">
        <v>14</v>
      </c>
      <c r="AK211" s="1681"/>
      <c r="AL211" s="95"/>
      <c r="AM211" s="95">
        <v>16</v>
      </c>
      <c r="AN211" s="4545">
        <v>0</v>
      </c>
      <c r="AR211" s="27"/>
      <c r="AS211" s="27" t="s">
        <v>1163</v>
      </c>
      <c r="AT211" s="3722">
        <v>0</v>
      </c>
      <c r="AU211" s="3722"/>
      <c r="AV211" s="3722"/>
      <c r="AW211" s="3722"/>
      <c r="AX211" s="3722"/>
      <c r="AY211" s="3722"/>
      <c r="AZ211" s="3722">
        <v>14</v>
      </c>
      <c r="BA211" s="3722">
        <v>9</v>
      </c>
      <c r="BB211" s="3722">
        <v>0</v>
      </c>
      <c r="BC211" s="3701"/>
      <c r="BD211" s="3701"/>
      <c r="BE211" s="3701">
        <v>23</v>
      </c>
      <c r="BF211" s="3701"/>
      <c r="BG211" s="3701"/>
      <c r="BK211" s="1520" t="s">
        <v>15</v>
      </c>
      <c r="BL211" s="3872">
        <v>2</v>
      </c>
      <c r="BM211" s="3872"/>
      <c r="BN211" s="3872"/>
      <c r="BO211" s="3872"/>
      <c r="BP211" s="3872"/>
      <c r="BQ211" s="3872">
        <v>1</v>
      </c>
      <c r="BR211" s="3872">
        <v>2</v>
      </c>
      <c r="BS211" s="3872"/>
      <c r="BT211" s="3806"/>
      <c r="BU211" s="3806">
        <v>5</v>
      </c>
      <c r="BV211" s="3807">
        <f>+(BU209+BU210)/BU211</f>
        <v>0.6</v>
      </c>
      <c r="BX211" s="36"/>
      <c r="BY211" s="36"/>
      <c r="BZ211" s="36"/>
      <c r="CA211" s="393" t="s">
        <v>15</v>
      </c>
      <c r="CB211" s="1682">
        <v>3</v>
      </c>
      <c r="CC211" s="1682">
        <v>1</v>
      </c>
      <c r="CD211" s="1682"/>
      <c r="CE211" s="1682"/>
      <c r="CF211" s="1682"/>
      <c r="CG211" s="1682">
        <v>20</v>
      </c>
      <c r="CH211" s="1682">
        <v>1</v>
      </c>
      <c r="CI211" s="1682"/>
      <c r="CJ211" s="2041"/>
      <c r="CK211" s="2041"/>
      <c r="CL211" s="2041">
        <v>25</v>
      </c>
      <c r="CM211" s="560">
        <f>+(CL210+CL209)/CL211</f>
        <v>0.2</v>
      </c>
      <c r="CN211" s="1665"/>
      <c r="CO211" s="37"/>
      <c r="CP211" s="37"/>
      <c r="CQ211" s="37"/>
      <c r="CR211" s="37" t="s">
        <v>1076</v>
      </c>
      <c r="CS211" s="1678"/>
      <c r="CT211" s="1678"/>
      <c r="CU211" s="1678"/>
      <c r="CV211" s="1678">
        <v>0</v>
      </c>
      <c r="CW211" s="1678">
        <v>0</v>
      </c>
      <c r="CX211" s="1678"/>
      <c r="CY211" s="1678">
        <v>2</v>
      </c>
      <c r="CZ211" s="1678">
        <v>2</v>
      </c>
      <c r="DA211" s="1678"/>
      <c r="DB211" s="63"/>
      <c r="DC211" s="63"/>
      <c r="DD211" s="63">
        <v>4</v>
      </c>
      <c r="DG211" s="95"/>
      <c r="DH211" s="95"/>
      <c r="DI211" s="36"/>
      <c r="DJ211" s="393" t="s">
        <v>15</v>
      </c>
      <c r="DK211" s="1485"/>
      <c r="DL211" s="1485"/>
      <c r="DM211" s="1485"/>
      <c r="DN211" s="1485"/>
      <c r="DO211" s="1485"/>
      <c r="DP211" s="1485"/>
      <c r="DQ211" s="1485">
        <v>12</v>
      </c>
      <c r="DR211" s="1485">
        <v>6</v>
      </c>
      <c r="DS211" s="1485">
        <v>1</v>
      </c>
      <c r="DT211" s="86"/>
      <c r="DU211" s="86"/>
      <c r="DV211" s="86">
        <v>19</v>
      </c>
      <c r="DW211" s="560">
        <f>+DV210/DV211</f>
        <v>0.10526315789473684</v>
      </c>
      <c r="DY211" s="1209"/>
      <c r="DZ211" s="1209"/>
      <c r="EA211" s="1210" t="s">
        <v>138</v>
      </c>
      <c r="EB211" s="1211" t="s">
        <v>1072</v>
      </c>
      <c r="EC211" s="1212"/>
      <c r="ED211" s="1212"/>
      <c r="EE211" s="1212"/>
      <c r="EF211" s="1212"/>
      <c r="EG211" s="1212"/>
      <c r="EH211" s="1213">
        <v>11</v>
      </c>
      <c r="EI211" s="1213">
        <v>1</v>
      </c>
      <c r="EJ211" s="1213">
        <v>0</v>
      </c>
      <c r="EK211" s="611"/>
      <c r="EL211" s="611"/>
      <c r="EM211" s="612">
        <v>12</v>
      </c>
      <c r="EN211" s="36"/>
      <c r="EP211" s="527"/>
      <c r="EQ211" s="527"/>
      <c r="ER211" s="528"/>
      <c r="ES211" s="529" t="s">
        <v>1076</v>
      </c>
      <c r="ET211" s="531">
        <v>0</v>
      </c>
      <c r="EU211" s="530"/>
      <c r="EV211" s="530"/>
      <c r="EW211" s="530"/>
      <c r="EX211" s="530"/>
      <c r="EY211" s="531">
        <v>1</v>
      </c>
      <c r="EZ211" s="531">
        <v>0</v>
      </c>
      <c r="FA211" s="530"/>
      <c r="FB211" s="527"/>
      <c r="FC211" s="527"/>
      <c r="FD211" s="532">
        <v>1</v>
      </c>
      <c r="FE211" s="95"/>
      <c r="FG211" s="533"/>
      <c r="FH211" s="533"/>
      <c r="FI211" s="533"/>
      <c r="FJ211" s="534" t="s">
        <v>1081</v>
      </c>
      <c r="FK211" s="535"/>
      <c r="FL211" s="536">
        <v>0</v>
      </c>
      <c r="FM211" s="535"/>
      <c r="FN211" s="535"/>
      <c r="FO211" s="535"/>
      <c r="FP211" s="535"/>
      <c r="FQ211" s="536">
        <v>5</v>
      </c>
      <c r="FR211" s="535"/>
      <c r="FS211" s="535"/>
      <c r="FT211" s="537"/>
      <c r="FU211" s="537"/>
      <c r="FV211" s="538">
        <v>5</v>
      </c>
      <c r="FW211" s="539"/>
      <c r="FY211" s="540"/>
      <c r="FZ211" s="540"/>
      <c r="GA211" s="540"/>
      <c r="GB211" s="541" t="s">
        <v>1072</v>
      </c>
      <c r="GC211" s="542"/>
      <c r="GD211" s="543">
        <v>0</v>
      </c>
      <c r="GE211" s="543">
        <v>0</v>
      </c>
      <c r="GF211" s="543">
        <v>1</v>
      </c>
      <c r="GG211" s="543">
        <v>0</v>
      </c>
      <c r="GH211" s="543">
        <v>5</v>
      </c>
      <c r="GI211" s="543">
        <v>20</v>
      </c>
      <c r="GJ211" s="543">
        <v>0</v>
      </c>
      <c r="GK211" s="542"/>
      <c r="GL211" s="542"/>
      <c r="GM211" s="543">
        <v>26</v>
      </c>
      <c r="GN211" s="445"/>
      <c r="GP211" s="63"/>
      <c r="GQ211" s="63"/>
      <c r="GR211" s="63"/>
      <c r="GS211" s="416" t="s">
        <v>15</v>
      </c>
      <c r="GT211" s="386">
        <v>2</v>
      </c>
      <c r="GU211" s="386">
        <v>2</v>
      </c>
      <c r="GV211" s="386">
        <v>2</v>
      </c>
      <c r="GW211" s="386"/>
      <c r="GX211" s="386">
        <v>1</v>
      </c>
      <c r="GY211" s="386">
        <v>10</v>
      </c>
      <c r="GZ211" s="386">
        <v>13</v>
      </c>
      <c r="HA211" s="386">
        <v>47</v>
      </c>
      <c r="HB211" s="386">
        <v>2</v>
      </c>
      <c r="HC211" s="386">
        <v>5</v>
      </c>
      <c r="HD211" s="386">
        <v>84</v>
      </c>
      <c r="HE211" s="466">
        <f>+(HD207+HD210)/HD211</f>
        <v>0.16666666666666666</v>
      </c>
      <c r="HF211" s="37"/>
      <c r="HG211" s="446"/>
      <c r="HH211" s="446"/>
      <c r="HI211" s="446"/>
      <c r="HJ211" s="449" t="s">
        <v>15</v>
      </c>
      <c r="HK211" s="449">
        <v>0</v>
      </c>
      <c r="HL211" s="449">
        <v>1</v>
      </c>
      <c r="HM211" s="449">
        <v>1</v>
      </c>
      <c r="HN211" s="449">
        <v>1</v>
      </c>
      <c r="HO211" s="449">
        <v>2</v>
      </c>
      <c r="HP211" s="449">
        <v>0</v>
      </c>
      <c r="HQ211" s="449">
        <v>7</v>
      </c>
      <c r="HR211" s="449">
        <v>23</v>
      </c>
      <c r="HS211" s="449">
        <v>29</v>
      </c>
      <c r="HT211" s="449">
        <v>8</v>
      </c>
      <c r="HU211" s="449">
        <v>6</v>
      </c>
      <c r="HV211" s="507">
        <v>78</v>
      </c>
      <c r="HW211" s="450">
        <f>+(HV210+HV207-HT207)/HV211</f>
        <v>0.20512820512820512</v>
      </c>
      <c r="HX211" s="448">
        <f>+HV207+HV210-HT207</f>
        <v>16</v>
      </c>
    </row>
    <row r="212" spans="1:232">
      <c r="A212" s="5682">
        <v>2</v>
      </c>
      <c r="B212" s="5682">
        <v>3</v>
      </c>
      <c r="C212" s="5683" t="s">
        <v>129</v>
      </c>
      <c r="D212" s="5683" t="s">
        <v>2731</v>
      </c>
      <c r="E212" s="5682">
        <v>3</v>
      </c>
      <c r="F212" s="5682">
        <v>8</v>
      </c>
      <c r="I212" s="4915">
        <v>3</v>
      </c>
      <c r="J212" s="4915">
        <v>2</v>
      </c>
      <c r="K212" s="4916" t="s">
        <v>2058</v>
      </c>
      <c r="L212" s="4916" t="s">
        <v>2709</v>
      </c>
      <c r="M212" s="4915">
        <v>1</v>
      </c>
      <c r="N212" s="4915">
        <v>5</v>
      </c>
      <c r="O212" s="157"/>
      <c r="Q212" s="4705">
        <v>3</v>
      </c>
      <c r="R212" s="4705">
        <v>2</v>
      </c>
      <c r="S212" s="4706" t="s">
        <v>2082</v>
      </c>
      <c r="T212" s="4706" t="s">
        <v>2709</v>
      </c>
      <c r="U212" s="4707">
        <v>1</v>
      </c>
      <c r="V212" s="4707">
        <v>8</v>
      </c>
      <c r="W212" s="4722"/>
      <c r="Y212" s="36"/>
      <c r="Z212" s="36"/>
      <c r="AA212" s="36" t="s">
        <v>2532</v>
      </c>
      <c r="AB212" s="36" t="s">
        <v>1072</v>
      </c>
      <c r="AC212" s="1681">
        <v>0</v>
      </c>
      <c r="AD212" s="1681">
        <v>1</v>
      </c>
      <c r="AE212" s="1681"/>
      <c r="AF212" s="1681"/>
      <c r="AG212" s="1681"/>
      <c r="AH212" s="1681">
        <v>6</v>
      </c>
      <c r="AI212" s="1681">
        <v>2</v>
      </c>
      <c r="AJ212" s="1681"/>
      <c r="AK212" s="1681"/>
      <c r="AL212" s="95"/>
      <c r="AM212" s="95">
        <v>9</v>
      </c>
      <c r="AN212" s="4545"/>
      <c r="AR212" s="27"/>
      <c r="AS212" s="27" t="s">
        <v>15</v>
      </c>
      <c r="AT212" s="3722">
        <v>5</v>
      </c>
      <c r="AU212" s="3722"/>
      <c r="AV212" s="3722"/>
      <c r="AW212" s="3722"/>
      <c r="AX212" s="3722"/>
      <c r="AY212" s="3722"/>
      <c r="AZ212" s="3722">
        <v>17</v>
      </c>
      <c r="BA212" s="3722">
        <v>29</v>
      </c>
      <c r="BB212" s="3722">
        <v>6</v>
      </c>
      <c r="BC212" s="3701"/>
      <c r="BD212" s="3701"/>
      <c r="BE212" s="3701">
        <v>57</v>
      </c>
      <c r="BF212" s="1665">
        <f>+(BE208+BE211)/(BE212-BE210)</f>
        <v>0.67307692307692313</v>
      </c>
      <c r="BG212" s="1665"/>
      <c r="BJ212" s="32" t="s">
        <v>2061</v>
      </c>
      <c r="BK212" s="32" t="s">
        <v>1071</v>
      </c>
      <c r="BL212" s="3871">
        <v>0</v>
      </c>
      <c r="BM212" s="3871"/>
      <c r="BN212" s="3871"/>
      <c r="BO212" s="3871">
        <v>1</v>
      </c>
      <c r="BP212" s="3871"/>
      <c r="BQ212" s="3871">
        <v>0</v>
      </c>
      <c r="BR212" s="3871"/>
      <c r="BS212" s="3871"/>
      <c r="BT212" s="1518"/>
      <c r="BU212" s="1518">
        <v>1</v>
      </c>
      <c r="BX212" s="36"/>
      <c r="BY212" s="36"/>
      <c r="BZ212" s="36" t="s">
        <v>134</v>
      </c>
      <c r="CA212" s="36" t="s">
        <v>1072</v>
      </c>
      <c r="CB212" s="1681">
        <v>1</v>
      </c>
      <c r="CC212" s="1681"/>
      <c r="CD212" s="1681"/>
      <c r="CE212" s="1681">
        <v>1</v>
      </c>
      <c r="CF212" s="1681"/>
      <c r="CG212" s="1681">
        <v>17</v>
      </c>
      <c r="CH212" s="1681"/>
      <c r="CI212" s="1681"/>
      <c r="CJ212" s="95"/>
      <c r="CK212" s="95"/>
      <c r="CL212" s="95">
        <v>19</v>
      </c>
      <c r="CM212" s="36"/>
      <c r="CO212" s="37"/>
      <c r="CP212" s="37"/>
      <c r="CQ212" s="37"/>
      <c r="CR212" s="37" t="s">
        <v>1081</v>
      </c>
      <c r="CS212" s="1678"/>
      <c r="CT212" s="1678"/>
      <c r="CU212" s="1678"/>
      <c r="CV212" s="1678">
        <v>0</v>
      </c>
      <c r="CW212" s="1678">
        <v>0</v>
      </c>
      <c r="CX212" s="1678"/>
      <c r="CY212" s="1678">
        <v>15</v>
      </c>
      <c r="CZ212" s="1678">
        <v>0</v>
      </c>
      <c r="DA212" s="1678"/>
      <c r="DB212" s="63"/>
      <c r="DC212" s="63"/>
      <c r="DD212" s="63">
        <v>15</v>
      </c>
      <c r="DG212" s="95"/>
      <c r="DH212" s="95"/>
      <c r="DI212" s="36" t="s">
        <v>135</v>
      </c>
      <c r="DJ212" s="36" t="s">
        <v>1072</v>
      </c>
      <c r="DK212" s="1484"/>
      <c r="DL212" s="1484"/>
      <c r="DM212" s="1484"/>
      <c r="DN212" s="1484"/>
      <c r="DO212" s="1484"/>
      <c r="DP212" s="1484">
        <v>1</v>
      </c>
      <c r="DQ212" s="1484">
        <v>15</v>
      </c>
      <c r="DR212" s="1484"/>
      <c r="DS212" s="1484"/>
      <c r="DT212" s="95"/>
      <c r="DU212" s="95"/>
      <c r="DV212" s="95">
        <v>16</v>
      </c>
      <c r="DW212" s="95"/>
      <c r="DY212" s="1209"/>
      <c r="DZ212" s="1209"/>
      <c r="EA212" s="1210"/>
      <c r="EB212" s="1211" t="s">
        <v>1076</v>
      </c>
      <c r="EC212" s="1212"/>
      <c r="ED212" s="1212"/>
      <c r="EE212" s="1212"/>
      <c r="EF212" s="1212"/>
      <c r="EG212" s="1212"/>
      <c r="EH212" s="1213">
        <v>1</v>
      </c>
      <c r="EI212" s="1213">
        <v>0</v>
      </c>
      <c r="EJ212" s="1213">
        <v>0</v>
      </c>
      <c r="EK212" s="611"/>
      <c r="EL212" s="611"/>
      <c r="EM212" s="612">
        <v>1</v>
      </c>
      <c r="EN212" s="36"/>
      <c r="EP212" s="527"/>
      <c r="EQ212" s="527"/>
      <c r="ER212" s="528"/>
      <c r="ES212" s="529" t="s">
        <v>1081</v>
      </c>
      <c r="ET212" s="531">
        <v>0</v>
      </c>
      <c r="EU212" s="530"/>
      <c r="EV212" s="530"/>
      <c r="EW212" s="530"/>
      <c r="EX212" s="530"/>
      <c r="EY212" s="531">
        <v>2</v>
      </c>
      <c r="EZ212" s="531">
        <v>0</v>
      </c>
      <c r="FA212" s="530"/>
      <c r="FB212" s="527"/>
      <c r="FC212" s="527"/>
      <c r="FD212" s="532">
        <v>2</v>
      </c>
      <c r="FE212" s="95"/>
      <c r="FG212" s="533"/>
      <c r="FH212" s="533"/>
      <c r="FI212" s="533"/>
      <c r="FJ212" s="534" t="s">
        <v>1163</v>
      </c>
      <c r="FK212" s="535"/>
      <c r="FL212" s="536">
        <v>0</v>
      </c>
      <c r="FM212" s="535"/>
      <c r="FN212" s="535"/>
      <c r="FO212" s="535"/>
      <c r="FP212" s="535"/>
      <c r="FQ212" s="536">
        <v>5</v>
      </c>
      <c r="FR212" s="535"/>
      <c r="FS212" s="535"/>
      <c r="FT212" s="537"/>
      <c r="FU212" s="537"/>
      <c r="FV212" s="538">
        <v>5</v>
      </c>
      <c r="FW212" s="539"/>
      <c r="FY212" s="540"/>
      <c r="FZ212" s="540"/>
      <c r="GA212" s="540"/>
      <c r="GB212" s="541" t="s">
        <v>1074</v>
      </c>
      <c r="GC212" s="542"/>
      <c r="GD212" s="543">
        <v>1</v>
      </c>
      <c r="GE212" s="543">
        <v>0</v>
      </c>
      <c r="GF212" s="543">
        <v>0</v>
      </c>
      <c r="GG212" s="543">
        <v>0</v>
      </c>
      <c r="GH212" s="543">
        <v>0</v>
      </c>
      <c r="GI212" s="543">
        <v>0</v>
      </c>
      <c r="GJ212" s="543">
        <v>0</v>
      </c>
      <c r="GK212" s="542"/>
      <c r="GL212" s="542"/>
      <c r="GM212" s="543">
        <v>1</v>
      </c>
      <c r="GN212" s="445"/>
      <c r="GP212" s="63"/>
      <c r="GQ212" s="63"/>
      <c r="GR212" s="63" t="s">
        <v>16</v>
      </c>
      <c r="GS212" s="37" t="s">
        <v>1071</v>
      </c>
      <c r="GT212" s="63"/>
      <c r="GU212" s="63"/>
      <c r="GV212" s="63"/>
      <c r="GW212" s="63"/>
      <c r="GX212" s="63"/>
      <c r="GY212" s="63">
        <v>0</v>
      </c>
      <c r="GZ212" s="63">
        <v>0</v>
      </c>
      <c r="HA212" s="63">
        <v>2</v>
      </c>
      <c r="HB212" s="63">
        <v>0</v>
      </c>
      <c r="HC212" s="63"/>
      <c r="HD212" s="63">
        <v>2</v>
      </c>
      <c r="HE212" s="37"/>
      <c r="HF212" s="37"/>
      <c r="HG212" s="446"/>
      <c r="HH212" s="446"/>
      <c r="HI212" s="446" t="s">
        <v>16</v>
      </c>
      <c r="HJ212" s="446" t="s">
        <v>1071</v>
      </c>
      <c r="HK212" s="446">
        <v>0</v>
      </c>
      <c r="HL212" s="446">
        <v>0</v>
      </c>
      <c r="HM212" s="446">
        <v>0</v>
      </c>
      <c r="HN212" s="446">
        <v>0</v>
      </c>
      <c r="HO212" s="446">
        <v>0</v>
      </c>
      <c r="HP212" s="446">
        <v>0</v>
      </c>
      <c r="HQ212" s="446">
        <v>0</v>
      </c>
      <c r="HR212" s="446">
        <v>0</v>
      </c>
      <c r="HS212" s="446">
        <v>3</v>
      </c>
      <c r="HT212" s="446">
        <v>0</v>
      </c>
      <c r="HU212" s="446">
        <v>1</v>
      </c>
      <c r="HV212" s="447">
        <v>4</v>
      </c>
      <c r="HW212" s="446"/>
      <c r="HX212" s="448"/>
    </row>
    <row r="213" spans="1:232">
      <c r="A213" s="5682">
        <v>2</v>
      </c>
      <c r="B213" s="5682">
        <v>3</v>
      </c>
      <c r="C213" s="5683" t="s">
        <v>129</v>
      </c>
      <c r="D213" s="5685" t="s">
        <v>1076</v>
      </c>
      <c r="E213" s="5682">
        <v>5</v>
      </c>
      <c r="F213" s="5682">
        <v>6</v>
      </c>
      <c r="I213" s="4915">
        <v>3</v>
      </c>
      <c r="J213" s="4915">
        <v>2</v>
      </c>
      <c r="K213" s="4916" t="s">
        <v>2058</v>
      </c>
      <c r="L213" s="4916" t="s">
        <v>2709</v>
      </c>
      <c r="M213" s="4915">
        <v>1</v>
      </c>
      <c r="N213" s="4915">
        <v>8</v>
      </c>
      <c r="O213" s="157"/>
      <c r="Q213" s="4705"/>
      <c r="R213" s="4705"/>
      <c r="S213" s="4706"/>
      <c r="T213" s="4706"/>
      <c r="U213" s="4741">
        <f>SUM(U203:U212)</f>
        <v>17</v>
      </c>
      <c r="V213" s="4741"/>
      <c r="W213" s="4722">
        <f>(U205+U206+U207+U208+U209)/(U213)</f>
        <v>0.52941176470588236</v>
      </c>
      <c r="Y213" s="36"/>
      <c r="Z213" s="36"/>
      <c r="AA213" s="36"/>
      <c r="AB213" s="36" t="s">
        <v>1081</v>
      </c>
      <c r="AC213" s="1681">
        <v>0</v>
      </c>
      <c r="AD213" s="1681">
        <v>0</v>
      </c>
      <c r="AE213" s="1681"/>
      <c r="AF213" s="1681"/>
      <c r="AG213" s="1681"/>
      <c r="AH213" s="1681">
        <v>2</v>
      </c>
      <c r="AI213" s="1681">
        <v>0</v>
      </c>
      <c r="AJ213" s="1681"/>
      <c r="AK213" s="1681"/>
      <c r="AL213" s="95"/>
      <c r="AM213" s="95">
        <v>2</v>
      </c>
      <c r="AN213" s="4545"/>
      <c r="AR213" s="27" t="s">
        <v>109</v>
      </c>
      <c r="AS213" s="27" t="s">
        <v>1071</v>
      </c>
      <c r="AT213" s="3722">
        <v>0</v>
      </c>
      <c r="AU213" s="3722">
        <v>0</v>
      </c>
      <c r="AV213" s="3722">
        <v>0</v>
      </c>
      <c r="AW213" s="3722">
        <v>0</v>
      </c>
      <c r="AX213" s="3722">
        <v>0</v>
      </c>
      <c r="AY213" s="3722">
        <v>0</v>
      </c>
      <c r="AZ213" s="3722">
        <v>0</v>
      </c>
      <c r="BA213" s="3722">
        <v>1</v>
      </c>
      <c r="BB213" s="3722">
        <v>0</v>
      </c>
      <c r="BC213" s="3701">
        <v>0</v>
      </c>
      <c r="BD213" s="3701">
        <v>0</v>
      </c>
      <c r="BE213" s="3701">
        <v>1</v>
      </c>
      <c r="BF213" s="3701"/>
      <c r="BG213" s="3701"/>
      <c r="BK213" s="32" t="s">
        <v>1072</v>
      </c>
      <c r="BL213" s="3871">
        <v>1</v>
      </c>
      <c r="BM213" s="3871"/>
      <c r="BN213" s="3871"/>
      <c r="BO213" s="3871">
        <v>0</v>
      </c>
      <c r="BP213" s="3871"/>
      <c r="BQ213" s="3871">
        <v>10</v>
      </c>
      <c r="BR213" s="3871"/>
      <c r="BS213" s="3871"/>
      <c r="BT213" s="1518"/>
      <c r="BU213" s="1518">
        <v>11</v>
      </c>
      <c r="BX213" s="36"/>
      <c r="BY213" s="36"/>
      <c r="BZ213" s="36"/>
      <c r="CA213" s="36" t="s">
        <v>1076</v>
      </c>
      <c r="CB213" s="1681">
        <v>0</v>
      </c>
      <c r="CC213" s="1681"/>
      <c r="CD213" s="1681"/>
      <c r="CE213" s="1681">
        <v>0</v>
      </c>
      <c r="CF213" s="1681"/>
      <c r="CG213" s="1681">
        <v>5</v>
      </c>
      <c r="CH213" s="1681"/>
      <c r="CI213" s="1681"/>
      <c r="CJ213" s="95"/>
      <c r="CK213" s="95"/>
      <c r="CL213" s="95">
        <v>5</v>
      </c>
      <c r="CM213" s="36"/>
      <c r="CO213" s="37"/>
      <c r="CP213" s="37"/>
      <c r="CQ213" s="37"/>
      <c r="CR213" s="416" t="s">
        <v>15</v>
      </c>
      <c r="CS213" s="1679"/>
      <c r="CT213" s="1679"/>
      <c r="CU213" s="1679"/>
      <c r="CV213" s="1679">
        <v>1</v>
      </c>
      <c r="CW213" s="1679">
        <v>1</v>
      </c>
      <c r="CX213" s="1679"/>
      <c r="CY213" s="1679">
        <v>31</v>
      </c>
      <c r="CZ213" s="1679">
        <v>2</v>
      </c>
      <c r="DA213" s="1679"/>
      <c r="DB213" s="386"/>
      <c r="DC213" s="386"/>
      <c r="DD213" s="386">
        <v>35</v>
      </c>
      <c r="DE213" s="2045">
        <f>+(DD211+DD212)/DD213</f>
        <v>0.54285714285714282</v>
      </c>
      <c r="DG213" s="95"/>
      <c r="DH213" s="95"/>
      <c r="DI213" s="36"/>
      <c r="DJ213" s="36" t="s">
        <v>1081</v>
      </c>
      <c r="DK213" s="1484"/>
      <c r="DL213" s="1484"/>
      <c r="DM213" s="1484"/>
      <c r="DN213" s="1484"/>
      <c r="DO213" s="1484"/>
      <c r="DP213" s="1484">
        <v>0</v>
      </c>
      <c r="DQ213" s="1484">
        <v>2</v>
      </c>
      <c r="DR213" s="1484"/>
      <c r="DS213" s="1484"/>
      <c r="DT213" s="95"/>
      <c r="DU213" s="95"/>
      <c r="DV213" s="95">
        <v>2</v>
      </c>
      <c r="DW213" s="95"/>
      <c r="DY213" s="1209"/>
      <c r="DZ213" s="1209"/>
      <c r="EA213" s="1210"/>
      <c r="EB213" s="1211" t="s">
        <v>1080</v>
      </c>
      <c r="EC213" s="1212"/>
      <c r="ED213" s="1212"/>
      <c r="EE213" s="1212"/>
      <c r="EF213" s="1212"/>
      <c r="EG213" s="1212"/>
      <c r="EH213" s="1213">
        <v>0</v>
      </c>
      <c r="EI213" s="1213">
        <v>0</v>
      </c>
      <c r="EJ213" s="1213">
        <v>1</v>
      </c>
      <c r="EK213" s="611"/>
      <c r="EL213" s="611"/>
      <c r="EM213" s="612">
        <v>1</v>
      </c>
      <c r="EN213" s="36"/>
      <c r="EP213" s="527"/>
      <c r="EQ213" s="527"/>
      <c r="ER213" s="528"/>
      <c r="ES213" s="529" t="s">
        <v>1163</v>
      </c>
      <c r="ET213" s="531">
        <v>0</v>
      </c>
      <c r="EU213" s="530"/>
      <c r="EV213" s="530"/>
      <c r="EW213" s="530"/>
      <c r="EX213" s="530"/>
      <c r="EY213" s="531">
        <v>5</v>
      </c>
      <c r="EZ213" s="531">
        <v>0</v>
      </c>
      <c r="FA213" s="530"/>
      <c r="FB213" s="527"/>
      <c r="FC213" s="527"/>
      <c r="FD213" s="532">
        <v>5</v>
      </c>
      <c r="FE213" s="95"/>
      <c r="FG213" s="533"/>
      <c r="FH213" s="533"/>
      <c r="FI213" s="533"/>
      <c r="FJ213" s="545" t="s">
        <v>15</v>
      </c>
      <c r="FK213" s="546"/>
      <c r="FL213" s="547">
        <v>1</v>
      </c>
      <c r="FM213" s="546"/>
      <c r="FN213" s="546"/>
      <c r="FO213" s="546"/>
      <c r="FP213" s="546"/>
      <c r="FQ213" s="547">
        <v>18</v>
      </c>
      <c r="FR213" s="546"/>
      <c r="FS213" s="546"/>
      <c r="FT213" s="548"/>
      <c r="FU213" s="548"/>
      <c r="FV213" s="549">
        <v>19</v>
      </c>
      <c r="FW213" s="539">
        <f>+(FV212+FV211+FV210)/FV213</f>
        <v>0.73684210526315785</v>
      </c>
      <c r="FY213" s="540"/>
      <c r="FZ213" s="540"/>
      <c r="GA213" s="540"/>
      <c r="GB213" s="541" t="s">
        <v>1076</v>
      </c>
      <c r="GC213" s="542"/>
      <c r="GD213" s="543">
        <v>0</v>
      </c>
      <c r="GE213" s="543">
        <v>9</v>
      </c>
      <c r="GF213" s="543">
        <v>0</v>
      </c>
      <c r="GG213" s="543">
        <v>0</v>
      </c>
      <c r="GH213" s="543">
        <v>11</v>
      </c>
      <c r="GI213" s="543">
        <v>22</v>
      </c>
      <c r="GJ213" s="543">
        <v>1</v>
      </c>
      <c r="GK213" s="542"/>
      <c r="GL213" s="542"/>
      <c r="GM213" s="543">
        <v>43</v>
      </c>
      <c r="GN213" s="445"/>
      <c r="GP213" s="63"/>
      <c r="GQ213" s="63"/>
      <c r="GR213" s="63"/>
      <c r="GS213" s="37" t="s">
        <v>1072</v>
      </c>
      <c r="GT213" s="63"/>
      <c r="GU213" s="63"/>
      <c r="GV213" s="63"/>
      <c r="GW213" s="63"/>
      <c r="GX213" s="63"/>
      <c r="GY213" s="63">
        <v>1</v>
      </c>
      <c r="GZ213" s="63">
        <v>3</v>
      </c>
      <c r="HA213" s="63">
        <v>0</v>
      </c>
      <c r="HB213" s="63">
        <v>0</v>
      </c>
      <c r="HC213" s="63"/>
      <c r="HD213" s="63">
        <v>4</v>
      </c>
      <c r="HE213" s="37"/>
      <c r="HF213" s="37"/>
      <c r="HG213" s="446"/>
      <c r="HH213" s="446"/>
      <c r="HI213" s="446"/>
      <c r="HJ213" s="446" t="s">
        <v>1072</v>
      </c>
      <c r="HK213" s="446">
        <v>0</v>
      </c>
      <c r="HL213" s="446">
        <v>1</v>
      </c>
      <c r="HM213" s="446">
        <v>2</v>
      </c>
      <c r="HN213" s="446">
        <v>2</v>
      </c>
      <c r="HO213" s="446">
        <v>1</v>
      </c>
      <c r="HP213" s="446">
        <v>0</v>
      </c>
      <c r="HQ213" s="446">
        <v>6</v>
      </c>
      <c r="HR213" s="446">
        <v>4</v>
      </c>
      <c r="HS213" s="446">
        <v>0</v>
      </c>
      <c r="HT213" s="446">
        <v>0</v>
      </c>
      <c r="HU213" s="446">
        <v>0</v>
      </c>
      <c r="HV213" s="447">
        <v>16</v>
      </c>
      <c r="HW213" s="446"/>
      <c r="HX213" s="448"/>
    </row>
    <row r="214" spans="1:232">
      <c r="A214" s="5682">
        <v>2</v>
      </c>
      <c r="B214" s="5682">
        <v>3</v>
      </c>
      <c r="C214" s="5683" t="s">
        <v>129</v>
      </c>
      <c r="D214" s="5685" t="s">
        <v>1076</v>
      </c>
      <c r="E214" s="5682">
        <v>6</v>
      </c>
      <c r="F214" s="5682">
        <v>7</v>
      </c>
      <c r="I214" s="4915"/>
      <c r="J214" s="4915"/>
      <c r="K214" s="4916"/>
      <c r="L214" s="4916"/>
      <c r="M214" s="4920">
        <f>SUM(M208:M213)</f>
        <v>10</v>
      </c>
      <c r="N214" s="4915"/>
      <c r="O214" s="4921">
        <f>(M209)/(M214)</f>
        <v>0.1</v>
      </c>
      <c r="Q214" s="4705">
        <v>3</v>
      </c>
      <c r="R214" s="4705">
        <v>2</v>
      </c>
      <c r="S214" s="4706" t="s">
        <v>2737</v>
      </c>
      <c r="T214" s="4706" t="s">
        <v>1071</v>
      </c>
      <c r="U214" s="4707">
        <v>1</v>
      </c>
      <c r="V214" s="4707">
        <v>10</v>
      </c>
      <c r="W214" s="4722"/>
      <c r="Y214" s="36"/>
      <c r="Z214" s="36"/>
      <c r="AA214" s="36"/>
      <c r="AB214" s="36" t="s">
        <v>2571</v>
      </c>
      <c r="AC214" s="1681">
        <v>1</v>
      </c>
      <c r="AD214" s="1681">
        <v>0</v>
      </c>
      <c r="AE214" s="1681"/>
      <c r="AF214" s="1681"/>
      <c r="AG214" s="1681"/>
      <c r="AH214" s="1681">
        <v>0</v>
      </c>
      <c r="AI214" s="1681">
        <v>0</v>
      </c>
      <c r="AJ214" s="1681"/>
      <c r="AK214" s="1681"/>
      <c r="AL214" s="95"/>
      <c r="AM214" s="95">
        <v>1</v>
      </c>
      <c r="AN214" s="4545"/>
      <c r="AR214" s="27"/>
      <c r="AS214" s="27" t="s">
        <v>1072</v>
      </c>
      <c r="AT214" s="3722">
        <v>0</v>
      </c>
      <c r="AU214" s="3722">
        <v>3</v>
      </c>
      <c r="AV214" s="3722">
        <v>1</v>
      </c>
      <c r="AW214" s="3722">
        <v>0</v>
      </c>
      <c r="AX214" s="3722">
        <v>0</v>
      </c>
      <c r="AY214" s="3722">
        <v>3</v>
      </c>
      <c r="AZ214" s="3722">
        <v>7</v>
      </c>
      <c r="BA214" s="3722">
        <v>11</v>
      </c>
      <c r="BB214" s="3722">
        <v>4</v>
      </c>
      <c r="BC214" s="3701">
        <v>9</v>
      </c>
      <c r="BD214" s="3701">
        <v>0</v>
      </c>
      <c r="BE214" s="3701">
        <v>38</v>
      </c>
      <c r="BF214" s="3701"/>
      <c r="BG214" s="3701"/>
      <c r="BK214" s="32" t="s">
        <v>1076</v>
      </c>
      <c r="BL214" s="3871">
        <v>0</v>
      </c>
      <c r="BM214" s="3871"/>
      <c r="BN214" s="3871"/>
      <c r="BO214" s="3871">
        <v>0</v>
      </c>
      <c r="BP214" s="3871"/>
      <c r="BQ214" s="3871">
        <v>2</v>
      </c>
      <c r="BR214" s="3871"/>
      <c r="BS214" s="3871"/>
      <c r="BT214" s="1518"/>
      <c r="BU214" s="1518">
        <v>2</v>
      </c>
      <c r="BX214" s="36"/>
      <c r="BY214" s="36"/>
      <c r="BZ214" s="36"/>
      <c r="CA214" s="393" t="s">
        <v>15</v>
      </c>
      <c r="CB214" s="1682">
        <v>1</v>
      </c>
      <c r="CC214" s="1682"/>
      <c r="CD214" s="1682"/>
      <c r="CE214" s="1682">
        <v>1</v>
      </c>
      <c r="CF214" s="1682"/>
      <c r="CG214" s="1682">
        <v>22</v>
      </c>
      <c r="CH214" s="1682"/>
      <c r="CI214" s="1682"/>
      <c r="CJ214" s="2041"/>
      <c r="CK214" s="2041"/>
      <c r="CL214" s="2041">
        <v>24</v>
      </c>
      <c r="CM214" s="560">
        <f>+CL213/CL214</f>
        <v>0.20833333333333334</v>
      </c>
      <c r="CN214" s="1665"/>
      <c r="CO214" s="37"/>
      <c r="CP214" s="37"/>
      <c r="CQ214" s="37" t="s">
        <v>483</v>
      </c>
      <c r="CR214" s="37" t="s">
        <v>1072</v>
      </c>
      <c r="CS214" s="1678"/>
      <c r="CT214" s="1678"/>
      <c r="CU214" s="1678"/>
      <c r="CV214" s="1678">
        <v>1</v>
      </c>
      <c r="CW214" s="1678">
        <v>1</v>
      </c>
      <c r="CX214" s="1678"/>
      <c r="CY214" s="1678">
        <v>14</v>
      </c>
      <c r="CZ214" s="1678">
        <v>0</v>
      </c>
      <c r="DA214" s="1678"/>
      <c r="DB214" s="63"/>
      <c r="DC214" s="63"/>
      <c r="DD214" s="63">
        <v>16</v>
      </c>
      <c r="DG214" s="95"/>
      <c r="DH214" s="95"/>
      <c r="DI214" s="36"/>
      <c r="DJ214" s="393" t="s">
        <v>15</v>
      </c>
      <c r="DK214" s="1485"/>
      <c r="DL214" s="1485"/>
      <c r="DM214" s="1485"/>
      <c r="DN214" s="1485"/>
      <c r="DO214" s="1485"/>
      <c r="DP214" s="1485">
        <v>1</v>
      </c>
      <c r="DQ214" s="1485">
        <v>17</v>
      </c>
      <c r="DR214" s="1485"/>
      <c r="DS214" s="1485"/>
      <c r="DT214" s="86"/>
      <c r="DU214" s="86"/>
      <c r="DV214" s="86">
        <v>18</v>
      </c>
      <c r="DW214" s="560">
        <v>0</v>
      </c>
      <c r="DY214" s="1209"/>
      <c r="DZ214" s="1209"/>
      <c r="EA214" s="1210"/>
      <c r="EB214" s="1211" t="s">
        <v>1081</v>
      </c>
      <c r="EC214" s="1212"/>
      <c r="ED214" s="1212"/>
      <c r="EE214" s="1212"/>
      <c r="EF214" s="1212"/>
      <c r="EG214" s="1212"/>
      <c r="EH214" s="1213">
        <v>2</v>
      </c>
      <c r="EI214" s="1213">
        <v>0</v>
      </c>
      <c r="EJ214" s="1213">
        <v>0</v>
      </c>
      <c r="EK214" s="611"/>
      <c r="EL214" s="611"/>
      <c r="EM214" s="612">
        <v>2</v>
      </c>
      <c r="EN214" s="36"/>
      <c r="EP214" s="527"/>
      <c r="EQ214" s="527"/>
      <c r="ER214" s="528"/>
      <c r="ES214" s="555" t="s">
        <v>15</v>
      </c>
      <c r="ET214" s="557">
        <v>3</v>
      </c>
      <c r="EU214" s="556"/>
      <c r="EV214" s="556"/>
      <c r="EW214" s="556"/>
      <c r="EX214" s="556"/>
      <c r="EY214" s="557">
        <v>15</v>
      </c>
      <c r="EZ214" s="557">
        <v>1</v>
      </c>
      <c r="FA214" s="556"/>
      <c r="FB214" s="558"/>
      <c r="FC214" s="558"/>
      <c r="FD214" s="559">
        <v>19</v>
      </c>
      <c r="FE214" s="560">
        <f>+(FD211+FD212+FD213)/FD214</f>
        <v>0.42105263157894735</v>
      </c>
      <c r="FG214" s="533"/>
      <c r="FH214" s="533"/>
      <c r="FI214" s="533" t="s">
        <v>389</v>
      </c>
      <c r="FJ214" s="534" t="s">
        <v>1071</v>
      </c>
      <c r="FK214" s="535"/>
      <c r="FL214" s="535"/>
      <c r="FM214" s="535"/>
      <c r="FN214" s="535"/>
      <c r="FO214" s="535"/>
      <c r="FP214" s="536">
        <v>0</v>
      </c>
      <c r="FQ214" s="536">
        <v>0</v>
      </c>
      <c r="FR214" s="536">
        <v>0</v>
      </c>
      <c r="FS214" s="536">
        <v>0</v>
      </c>
      <c r="FT214" s="538">
        <v>1</v>
      </c>
      <c r="FU214" s="537"/>
      <c r="FV214" s="538">
        <v>1</v>
      </c>
      <c r="FW214" s="539"/>
      <c r="FY214" s="540"/>
      <c r="GA214" s="540"/>
      <c r="GB214" s="541" t="s">
        <v>1077</v>
      </c>
      <c r="GC214" s="542"/>
      <c r="GD214" s="543">
        <v>0</v>
      </c>
      <c r="GE214" s="543">
        <v>1</v>
      </c>
      <c r="GF214" s="543">
        <v>0</v>
      </c>
      <c r="GG214" s="543">
        <v>2</v>
      </c>
      <c r="GH214" s="543">
        <v>3</v>
      </c>
      <c r="GI214" s="543">
        <v>0</v>
      </c>
      <c r="GJ214" s="543">
        <v>0</v>
      </c>
      <c r="GK214" s="542"/>
      <c r="GL214" s="542"/>
      <c r="GM214" s="543">
        <v>6</v>
      </c>
      <c r="GN214" s="445"/>
      <c r="GP214" s="63"/>
      <c r="GQ214" s="63"/>
      <c r="GR214" s="63"/>
      <c r="GS214" s="37" t="s">
        <v>1076</v>
      </c>
      <c r="GT214" s="63"/>
      <c r="GU214" s="63"/>
      <c r="GV214" s="63"/>
      <c r="GW214" s="63"/>
      <c r="GX214" s="63"/>
      <c r="GY214" s="63">
        <v>1</v>
      </c>
      <c r="GZ214" s="63">
        <v>7</v>
      </c>
      <c r="HA214" s="63">
        <v>0</v>
      </c>
      <c r="HB214" s="63">
        <v>0</v>
      </c>
      <c r="HC214" s="63"/>
      <c r="HD214" s="63">
        <v>8</v>
      </c>
      <c r="HE214" s="37"/>
      <c r="HF214" s="37"/>
      <c r="HG214" s="446"/>
      <c r="HH214" s="446"/>
      <c r="HI214" s="446"/>
      <c r="HJ214" s="446" t="s">
        <v>1074</v>
      </c>
      <c r="HK214" s="446">
        <v>0</v>
      </c>
      <c r="HL214" s="446">
        <v>0</v>
      </c>
      <c r="HM214" s="446">
        <v>0</v>
      </c>
      <c r="HN214" s="446">
        <v>1</v>
      </c>
      <c r="HO214" s="446">
        <v>0</v>
      </c>
      <c r="HP214" s="446">
        <v>0</v>
      </c>
      <c r="HQ214" s="446">
        <v>0</v>
      </c>
      <c r="HR214" s="446">
        <v>0</v>
      </c>
      <c r="HS214" s="446">
        <v>0</v>
      </c>
      <c r="HT214" s="446">
        <v>0</v>
      </c>
      <c r="HU214" s="446">
        <v>0</v>
      </c>
      <c r="HV214" s="447">
        <v>1</v>
      </c>
      <c r="HW214" s="446"/>
      <c r="HX214" s="448"/>
    </row>
    <row r="215" spans="1:232">
      <c r="A215" s="5682">
        <v>2</v>
      </c>
      <c r="B215" s="5682">
        <v>3</v>
      </c>
      <c r="C215" s="5683" t="s">
        <v>129</v>
      </c>
      <c r="D215" s="5683" t="s">
        <v>2709</v>
      </c>
      <c r="E215" s="5682">
        <v>2</v>
      </c>
      <c r="F215" s="5682">
        <v>6</v>
      </c>
      <c r="I215" s="4915">
        <v>3</v>
      </c>
      <c r="J215" s="4915">
        <v>2</v>
      </c>
      <c r="K215" s="4916" t="s">
        <v>2083</v>
      </c>
      <c r="L215" s="4917" t="s">
        <v>2732</v>
      </c>
      <c r="M215" s="4922">
        <v>1</v>
      </c>
      <c r="N215" s="4915">
        <v>6</v>
      </c>
      <c r="O215" s="157"/>
      <c r="Q215" s="4705">
        <v>3</v>
      </c>
      <c r="R215" s="4705">
        <v>2</v>
      </c>
      <c r="S215" s="4706" t="s">
        <v>2737</v>
      </c>
      <c r="T215" s="4708" t="s">
        <v>2732</v>
      </c>
      <c r="U215" s="4709">
        <v>1</v>
      </c>
      <c r="V215" s="4709">
        <v>6</v>
      </c>
      <c r="W215" s="4722"/>
      <c r="X215" s="4452"/>
      <c r="Y215" s="36"/>
      <c r="Z215" s="36"/>
      <c r="AA215" s="36"/>
      <c r="AB215" s="36" t="s">
        <v>15</v>
      </c>
      <c r="AC215" s="1681">
        <v>1</v>
      </c>
      <c r="AD215" s="1681">
        <v>1</v>
      </c>
      <c r="AE215" s="1681"/>
      <c r="AF215" s="1681"/>
      <c r="AG215" s="1681"/>
      <c r="AH215" s="1681">
        <v>8</v>
      </c>
      <c r="AI215" s="1681">
        <v>2</v>
      </c>
      <c r="AJ215" s="1681"/>
      <c r="AK215" s="1681"/>
      <c r="AL215" s="95"/>
      <c r="AM215" s="95">
        <v>12</v>
      </c>
      <c r="AN215" s="560">
        <f>+AH213/(AM215-AM214)</f>
        <v>0.18181818181818182</v>
      </c>
      <c r="AR215" s="27"/>
      <c r="AS215" s="27" t="s">
        <v>1076</v>
      </c>
      <c r="AT215" s="3722">
        <v>0</v>
      </c>
      <c r="AU215" s="3722">
        <v>0</v>
      </c>
      <c r="AV215" s="3722">
        <v>0</v>
      </c>
      <c r="AW215" s="3722">
        <v>0</v>
      </c>
      <c r="AX215" s="3722">
        <v>1</v>
      </c>
      <c r="AY215" s="3722">
        <v>0</v>
      </c>
      <c r="AZ215" s="3722">
        <v>11</v>
      </c>
      <c r="BA215" s="3722">
        <v>21</v>
      </c>
      <c r="BB215" s="3722">
        <v>0</v>
      </c>
      <c r="BC215" s="3701">
        <v>0</v>
      </c>
      <c r="BD215" s="3701">
        <v>0</v>
      </c>
      <c r="BE215" s="3701">
        <v>33</v>
      </c>
      <c r="BF215" s="3701"/>
      <c r="BG215" s="3701"/>
      <c r="BK215" s="32" t="s">
        <v>1081</v>
      </c>
      <c r="BL215" s="3871">
        <v>0</v>
      </c>
      <c r="BM215" s="3871"/>
      <c r="BN215" s="3871"/>
      <c r="BO215" s="3871">
        <v>0</v>
      </c>
      <c r="BP215" s="3871"/>
      <c r="BQ215" s="3871">
        <v>3</v>
      </c>
      <c r="BR215" s="3871"/>
      <c r="BS215" s="3871"/>
      <c r="BT215" s="1518"/>
      <c r="BU215" s="1518">
        <v>3</v>
      </c>
      <c r="BX215" s="36"/>
      <c r="BY215" s="36"/>
      <c r="BZ215" s="36" t="s">
        <v>135</v>
      </c>
      <c r="CA215" s="36" t="s">
        <v>1071</v>
      </c>
      <c r="CB215" s="1681"/>
      <c r="CC215" s="1681"/>
      <c r="CD215" s="1681">
        <v>1</v>
      </c>
      <c r="CE215" s="1681"/>
      <c r="CF215" s="1681"/>
      <c r="CG215" s="1681">
        <v>0</v>
      </c>
      <c r="CH215" s="1681">
        <v>0</v>
      </c>
      <c r="CI215" s="1681">
        <v>0</v>
      </c>
      <c r="CJ215" s="95"/>
      <c r="CK215" s="95"/>
      <c r="CL215" s="95">
        <v>1</v>
      </c>
      <c r="CM215" s="36"/>
      <c r="CO215" s="37"/>
      <c r="CP215" s="37"/>
      <c r="CQ215" s="37"/>
      <c r="CR215" s="37" t="s">
        <v>1076</v>
      </c>
      <c r="CS215" s="1678"/>
      <c r="CT215" s="1678"/>
      <c r="CU215" s="1678"/>
      <c r="CV215" s="1678">
        <v>0</v>
      </c>
      <c r="CW215" s="1678">
        <v>0</v>
      </c>
      <c r="CX215" s="1678"/>
      <c r="CY215" s="1678">
        <v>2</v>
      </c>
      <c r="CZ215" s="1678">
        <v>2</v>
      </c>
      <c r="DA215" s="1678"/>
      <c r="DB215" s="63"/>
      <c r="DC215" s="63"/>
      <c r="DD215" s="63">
        <v>4</v>
      </c>
      <c r="DG215" s="95"/>
      <c r="DH215" s="95"/>
      <c r="DI215" s="36" t="s">
        <v>136</v>
      </c>
      <c r="DJ215" s="36" t="s">
        <v>1072</v>
      </c>
      <c r="DK215" s="1484"/>
      <c r="DL215" s="1484"/>
      <c r="DM215" s="1484"/>
      <c r="DN215" s="1484">
        <v>1</v>
      </c>
      <c r="DO215" s="1484"/>
      <c r="DP215" s="1484"/>
      <c r="DQ215" s="1484">
        <v>11</v>
      </c>
      <c r="DR215" s="1484"/>
      <c r="DS215" s="1484"/>
      <c r="DT215" s="95"/>
      <c r="DU215" s="95"/>
      <c r="DV215" s="95">
        <v>12</v>
      </c>
      <c r="DW215" s="95"/>
      <c r="DY215" s="1209"/>
      <c r="DZ215" s="1209"/>
      <c r="EA215" s="1210"/>
      <c r="EB215" s="415" t="s">
        <v>15</v>
      </c>
      <c r="EC215" s="1214"/>
      <c r="ED215" s="1214"/>
      <c r="EE215" s="1214"/>
      <c r="EF215" s="1214"/>
      <c r="EG215" s="1214"/>
      <c r="EH215" s="1215">
        <v>14</v>
      </c>
      <c r="EI215" s="1215">
        <v>1</v>
      </c>
      <c r="EJ215" s="1215">
        <v>1</v>
      </c>
      <c r="EK215" s="620"/>
      <c r="EL215" s="620"/>
      <c r="EM215" s="621">
        <v>16</v>
      </c>
      <c r="EN215" s="1178">
        <f>+(EM212+EM214)/EM215</f>
        <v>0.1875</v>
      </c>
      <c r="EP215" s="527"/>
      <c r="EQ215" s="527"/>
      <c r="ER215" s="528" t="s">
        <v>529</v>
      </c>
      <c r="ES215" s="529" t="s">
        <v>1072</v>
      </c>
      <c r="ET215" s="530"/>
      <c r="EU215" s="530"/>
      <c r="EV215" s="530"/>
      <c r="EW215" s="530"/>
      <c r="EX215" s="530"/>
      <c r="EY215" s="531">
        <v>14</v>
      </c>
      <c r="EZ215" s="530"/>
      <c r="FA215" s="530"/>
      <c r="FB215" s="527"/>
      <c r="FC215" s="527"/>
      <c r="FD215" s="532">
        <v>14</v>
      </c>
      <c r="FE215" s="95"/>
      <c r="FG215" s="533"/>
      <c r="FH215" s="533"/>
      <c r="FI215" s="533"/>
      <c r="FJ215" s="534" t="s">
        <v>1072</v>
      </c>
      <c r="FK215" s="535"/>
      <c r="FL215" s="535"/>
      <c r="FM215" s="535"/>
      <c r="FN215" s="535"/>
      <c r="FO215" s="535"/>
      <c r="FP215" s="536">
        <v>1</v>
      </c>
      <c r="FQ215" s="536">
        <v>2</v>
      </c>
      <c r="FR215" s="536">
        <v>2</v>
      </c>
      <c r="FS215" s="536">
        <v>0</v>
      </c>
      <c r="FT215" s="538">
        <v>0</v>
      </c>
      <c r="FU215" s="537"/>
      <c r="FV215" s="538">
        <v>5</v>
      </c>
      <c r="FW215" s="539"/>
      <c r="FY215" s="540"/>
      <c r="GA215" s="540"/>
      <c r="GB215" s="541" t="s">
        <v>1080</v>
      </c>
      <c r="GC215" s="542"/>
      <c r="GD215" s="543">
        <v>0</v>
      </c>
      <c r="GE215" s="543">
        <v>0</v>
      </c>
      <c r="GF215" s="543">
        <v>0</v>
      </c>
      <c r="GG215" s="543">
        <v>0</v>
      </c>
      <c r="GH215" s="543">
        <v>0</v>
      </c>
      <c r="GI215" s="543">
        <v>1</v>
      </c>
      <c r="GJ215" s="543">
        <v>34</v>
      </c>
      <c r="GK215" s="542"/>
      <c r="GL215" s="542"/>
      <c r="GM215" s="543">
        <v>35</v>
      </c>
      <c r="GN215" s="445"/>
      <c r="GP215" s="63"/>
      <c r="GQ215" s="63"/>
      <c r="GR215" s="63"/>
      <c r="GS215" s="37" t="s">
        <v>1080</v>
      </c>
      <c r="GT215" s="63"/>
      <c r="GU215" s="63"/>
      <c r="GV215" s="63"/>
      <c r="GW215" s="63"/>
      <c r="GX215" s="63"/>
      <c r="GY215" s="63">
        <v>0</v>
      </c>
      <c r="GZ215" s="63">
        <v>0</v>
      </c>
      <c r="HA215" s="63">
        <v>10</v>
      </c>
      <c r="HB215" s="63">
        <v>1</v>
      </c>
      <c r="HC215" s="63"/>
      <c r="HD215" s="63">
        <v>11</v>
      </c>
      <c r="HE215" s="37"/>
      <c r="HF215" s="37"/>
      <c r="HG215" s="446"/>
      <c r="HH215" s="446"/>
      <c r="HI215" s="446"/>
      <c r="HJ215" s="446" t="s">
        <v>1076</v>
      </c>
      <c r="HK215" s="446">
        <v>0</v>
      </c>
      <c r="HL215" s="446">
        <v>0</v>
      </c>
      <c r="HM215" s="446">
        <v>0</v>
      </c>
      <c r="HN215" s="446">
        <v>10</v>
      </c>
      <c r="HO215" s="446">
        <v>2</v>
      </c>
      <c r="HP215" s="446">
        <v>0</v>
      </c>
      <c r="HQ215" s="446">
        <v>8</v>
      </c>
      <c r="HR215" s="446">
        <v>5</v>
      </c>
      <c r="HS215" s="446">
        <v>0</v>
      </c>
      <c r="HT215" s="446">
        <v>0</v>
      </c>
      <c r="HU215" s="446">
        <v>0</v>
      </c>
      <c r="HV215" s="447">
        <v>25</v>
      </c>
      <c r="HW215" s="446"/>
      <c r="HX215" s="448"/>
    </row>
    <row r="216" spans="1:232">
      <c r="A216" s="5682">
        <v>2</v>
      </c>
      <c r="B216" s="5682">
        <v>3</v>
      </c>
      <c r="C216" s="5683" t="s">
        <v>129</v>
      </c>
      <c r="D216" s="5683" t="s">
        <v>2709</v>
      </c>
      <c r="E216" s="5682">
        <v>1</v>
      </c>
      <c r="F216" s="5682">
        <v>8</v>
      </c>
      <c r="I216" s="4915">
        <v>3</v>
      </c>
      <c r="J216" s="4915">
        <v>2</v>
      </c>
      <c r="K216" s="4916" t="s">
        <v>2083</v>
      </c>
      <c r="L216" s="4917" t="s">
        <v>1076</v>
      </c>
      <c r="M216" s="4922">
        <v>3</v>
      </c>
      <c r="N216" s="4915">
        <v>6</v>
      </c>
      <c r="O216" s="157"/>
      <c r="Q216" s="4705">
        <v>3</v>
      </c>
      <c r="R216" s="4705">
        <v>2</v>
      </c>
      <c r="S216" s="4706" t="s">
        <v>2737</v>
      </c>
      <c r="T216" s="4708" t="s">
        <v>2707</v>
      </c>
      <c r="U216" s="4709">
        <v>3</v>
      </c>
      <c r="V216" s="4731">
        <v>9</v>
      </c>
      <c r="W216" s="4722"/>
      <c r="Y216" s="36"/>
      <c r="Z216" s="36"/>
      <c r="AA216" s="36" t="s">
        <v>140</v>
      </c>
      <c r="AB216" s="36" t="s">
        <v>2571</v>
      </c>
      <c r="AC216" s="1681">
        <v>2</v>
      </c>
      <c r="AD216" s="1681"/>
      <c r="AE216" s="1681"/>
      <c r="AF216" s="1681"/>
      <c r="AG216" s="1681"/>
      <c r="AH216" s="1681"/>
      <c r="AI216" s="1681"/>
      <c r="AJ216" s="1681"/>
      <c r="AK216" s="1681"/>
      <c r="AL216" s="95"/>
      <c r="AM216" s="95">
        <v>2</v>
      </c>
      <c r="AN216" s="4545"/>
      <c r="AR216" s="27"/>
      <c r="AS216" s="27" t="s">
        <v>1077</v>
      </c>
      <c r="AT216" s="3722">
        <v>0</v>
      </c>
      <c r="AU216" s="3722">
        <v>0</v>
      </c>
      <c r="AV216" s="3722">
        <v>0</v>
      </c>
      <c r="AW216" s="3722">
        <v>3</v>
      </c>
      <c r="AX216" s="3722">
        <v>1</v>
      </c>
      <c r="AY216" s="3722">
        <v>0</v>
      </c>
      <c r="AZ216" s="3722">
        <v>0</v>
      </c>
      <c r="BA216" s="3722">
        <v>0</v>
      </c>
      <c r="BB216" s="3722">
        <v>0</v>
      </c>
      <c r="BC216" s="3701">
        <v>0</v>
      </c>
      <c r="BD216" s="3701">
        <v>0</v>
      </c>
      <c r="BE216" s="3701">
        <v>4</v>
      </c>
      <c r="BF216" s="3701"/>
      <c r="BG216" s="3701"/>
      <c r="BK216" s="32" t="s">
        <v>1163</v>
      </c>
      <c r="BL216" s="3871">
        <v>0</v>
      </c>
      <c r="BM216" s="3871"/>
      <c r="BN216" s="3871"/>
      <c r="BO216" s="3871">
        <v>0</v>
      </c>
      <c r="BP216" s="3871"/>
      <c r="BQ216" s="3871">
        <v>2</v>
      </c>
      <c r="BR216" s="3871"/>
      <c r="BS216" s="3871"/>
      <c r="BT216" s="1518"/>
      <c r="BU216" s="1518">
        <v>2</v>
      </c>
      <c r="BX216" s="36"/>
      <c r="BY216" s="36"/>
      <c r="BZ216" s="36"/>
      <c r="CA216" s="36" t="s">
        <v>1072</v>
      </c>
      <c r="CB216" s="1681"/>
      <c r="CC216" s="1681"/>
      <c r="CD216" s="1681">
        <v>0</v>
      </c>
      <c r="CE216" s="1681"/>
      <c r="CF216" s="1681"/>
      <c r="CG216" s="1681">
        <v>9</v>
      </c>
      <c r="CH216" s="1681">
        <v>3</v>
      </c>
      <c r="CI216" s="1681">
        <v>0</v>
      </c>
      <c r="CJ216" s="95"/>
      <c r="CK216" s="95"/>
      <c r="CL216" s="95">
        <v>12</v>
      </c>
      <c r="CM216" s="36"/>
      <c r="CO216" s="37"/>
      <c r="CP216" s="37"/>
      <c r="CQ216" s="37"/>
      <c r="CR216" s="37" t="s">
        <v>1081</v>
      </c>
      <c r="CS216" s="1678"/>
      <c r="CT216" s="1678"/>
      <c r="CU216" s="1678"/>
      <c r="CV216" s="1678">
        <v>0</v>
      </c>
      <c r="CW216" s="1678">
        <v>0</v>
      </c>
      <c r="CX216" s="1678"/>
      <c r="CY216" s="1678">
        <v>15</v>
      </c>
      <c r="CZ216" s="1678">
        <v>0</v>
      </c>
      <c r="DA216" s="1678"/>
      <c r="DB216" s="63"/>
      <c r="DC216" s="63"/>
      <c r="DD216" s="63">
        <v>15</v>
      </c>
      <c r="DG216" s="95"/>
      <c r="DH216" s="95"/>
      <c r="DI216" s="36"/>
      <c r="DJ216" s="36" t="s">
        <v>1076</v>
      </c>
      <c r="DK216" s="1484"/>
      <c r="DL216" s="1484"/>
      <c r="DM216" s="1484"/>
      <c r="DN216" s="1484">
        <v>0</v>
      </c>
      <c r="DO216" s="1484"/>
      <c r="DP216" s="1484"/>
      <c r="DQ216" s="1484">
        <v>3</v>
      </c>
      <c r="DR216" s="1484"/>
      <c r="DS216" s="1484"/>
      <c r="DT216" s="95"/>
      <c r="DU216" s="95"/>
      <c r="DV216" s="95">
        <v>3</v>
      </c>
      <c r="DW216" s="95"/>
      <c r="DY216" s="1209"/>
      <c r="DZ216" s="1209"/>
      <c r="EA216" s="1210" t="s">
        <v>139</v>
      </c>
      <c r="EB216" s="1211" t="s">
        <v>1072</v>
      </c>
      <c r="EC216" s="1213">
        <v>3</v>
      </c>
      <c r="ED216" s="1213">
        <v>1</v>
      </c>
      <c r="EE216" s="1212"/>
      <c r="EF216" s="1212"/>
      <c r="EG216" s="1213">
        <v>1</v>
      </c>
      <c r="EH216" s="1213">
        <v>0</v>
      </c>
      <c r="EI216" s="1212"/>
      <c r="EJ216" s="1212"/>
      <c r="EK216" s="611"/>
      <c r="EL216" s="611"/>
      <c r="EM216" s="612">
        <v>5</v>
      </c>
      <c r="EN216" s="36"/>
      <c r="EP216" s="527"/>
      <c r="EQ216" s="527"/>
      <c r="ER216" s="528"/>
      <c r="ES216" s="529" t="s">
        <v>1076</v>
      </c>
      <c r="ET216" s="530"/>
      <c r="EU216" s="530"/>
      <c r="EV216" s="530"/>
      <c r="EW216" s="530"/>
      <c r="EX216" s="530"/>
      <c r="EY216" s="531">
        <v>1</v>
      </c>
      <c r="EZ216" s="530"/>
      <c r="FA216" s="530"/>
      <c r="FB216" s="527"/>
      <c r="FC216" s="527"/>
      <c r="FD216" s="532">
        <v>1</v>
      </c>
      <c r="FE216" s="95"/>
      <c r="FG216" s="533"/>
      <c r="FH216" s="533"/>
      <c r="FI216" s="533"/>
      <c r="FJ216" s="534" t="s">
        <v>1076</v>
      </c>
      <c r="FK216" s="535"/>
      <c r="FL216" s="535"/>
      <c r="FM216" s="535"/>
      <c r="FN216" s="535"/>
      <c r="FO216" s="535"/>
      <c r="FP216" s="536">
        <v>0</v>
      </c>
      <c r="FQ216" s="536">
        <v>1</v>
      </c>
      <c r="FR216" s="536">
        <v>1</v>
      </c>
      <c r="FS216" s="536">
        <v>0</v>
      </c>
      <c r="FT216" s="538">
        <v>0</v>
      </c>
      <c r="FU216" s="537"/>
      <c r="FV216" s="538">
        <v>2</v>
      </c>
      <c r="FW216" s="539"/>
      <c r="FY216" s="540"/>
      <c r="GA216" s="540"/>
      <c r="GB216" s="541" t="s">
        <v>1081</v>
      </c>
      <c r="GC216" s="542"/>
      <c r="GD216" s="543">
        <v>0</v>
      </c>
      <c r="GE216" s="543">
        <v>0</v>
      </c>
      <c r="GF216" s="543">
        <v>0</v>
      </c>
      <c r="GG216" s="543">
        <v>0</v>
      </c>
      <c r="GH216" s="543">
        <v>0</v>
      </c>
      <c r="GI216" s="543">
        <v>3</v>
      </c>
      <c r="GJ216" s="543">
        <v>0</v>
      </c>
      <c r="GK216" s="542"/>
      <c r="GL216" s="542"/>
      <c r="GM216" s="543">
        <v>3</v>
      </c>
      <c r="GN216" s="445"/>
      <c r="GP216" s="63"/>
      <c r="GQ216" s="63"/>
      <c r="GR216" s="63"/>
      <c r="GS216" s="37" t="s">
        <v>1081</v>
      </c>
      <c r="GT216" s="63"/>
      <c r="GU216" s="63"/>
      <c r="GV216" s="63"/>
      <c r="GW216" s="63"/>
      <c r="GX216" s="63"/>
      <c r="GY216" s="63">
        <v>0</v>
      </c>
      <c r="GZ216" s="63">
        <v>4</v>
      </c>
      <c r="HA216" s="63">
        <v>0</v>
      </c>
      <c r="HB216" s="63">
        <v>0</v>
      </c>
      <c r="HC216" s="63"/>
      <c r="HD216" s="63">
        <v>4</v>
      </c>
      <c r="HE216" s="37"/>
      <c r="HF216" s="37"/>
      <c r="HG216" s="446"/>
      <c r="HH216" s="446"/>
      <c r="HI216" s="446"/>
      <c r="HJ216" s="446" t="s">
        <v>1077</v>
      </c>
      <c r="HK216" s="446">
        <v>0</v>
      </c>
      <c r="HL216" s="446">
        <v>0</v>
      </c>
      <c r="HM216" s="446">
        <v>1</v>
      </c>
      <c r="HN216" s="446">
        <v>1</v>
      </c>
      <c r="HO216" s="446">
        <v>0</v>
      </c>
      <c r="HP216" s="446">
        <v>1</v>
      </c>
      <c r="HQ216" s="446">
        <v>1</v>
      </c>
      <c r="HR216" s="446">
        <v>0</v>
      </c>
      <c r="HS216" s="446">
        <v>0</v>
      </c>
      <c r="HT216" s="446">
        <v>0</v>
      </c>
      <c r="HU216" s="446">
        <v>0</v>
      </c>
      <c r="HV216" s="447">
        <v>4</v>
      </c>
      <c r="HW216" s="446"/>
      <c r="HX216" s="448"/>
    </row>
    <row r="217" spans="1:232">
      <c r="A217" s="5682"/>
      <c r="B217" s="5682"/>
      <c r="C217" s="5683"/>
      <c r="D217" s="5683"/>
      <c r="E217" s="5686">
        <f>SUM(E212:E216)</f>
        <v>17</v>
      </c>
      <c r="F217" s="5682"/>
      <c r="G217" s="4921">
        <f>(E213+E214)/(E217)</f>
        <v>0.6470588235294118</v>
      </c>
      <c r="I217" s="4915">
        <v>3</v>
      </c>
      <c r="J217" s="4915">
        <v>2</v>
      </c>
      <c r="K217" s="4916" t="s">
        <v>2083</v>
      </c>
      <c r="L217" s="4916" t="s">
        <v>2709</v>
      </c>
      <c r="M217" s="4915">
        <v>14</v>
      </c>
      <c r="N217" s="4915">
        <v>6</v>
      </c>
      <c r="O217" s="157"/>
      <c r="Q217" s="4705">
        <v>3</v>
      </c>
      <c r="R217" s="4705">
        <v>2</v>
      </c>
      <c r="S217" s="4706" t="s">
        <v>2737</v>
      </c>
      <c r="T217" s="4708" t="s">
        <v>1076</v>
      </c>
      <c r="U217" s="4709">
        <v>1</v>
      </c>
      <c r="V217" s="4709">
        <v>6</v>
      </c>
      <c r="W217" s="4722"/>
      <c r="Y217" s="36"/>
      <c r="Z217" s="36"/>
      <c r="AA217" s="36"/>
      <c r="AB217" s="36" t="s">
        <v>15</v>
      </c>
      <c r="AC217" s="1681">
        <v>2</v>
      </c>
      <c r="AD217" s="1681"/>
      <c r="AE217" s="1681"/>
      <c r="AF217" s="1681"/>
      <c r="AG217" s="1681"/>
      <c r="AH217" s="1681"/>
      <c r="AI217" s="1681"/>
      <c r="AJ217" s="1681"/>
      <c r="AK217" s="1681"/>
      <c r="AL217" s="95"/>
      <c r="AM217" s="95">
        <v>2</v>
      </c>
      <c r="AN217" s="4545">
        <v>0</v>
      </c>
      <c r="AR217" s="27"/>
      <c r="AS217" s="27" t="s">
        <v>1080</v>
      </c>
      <c r="AT217" s="3722">
        <v>0</v>
      </c>
      <c r="AU217" s="3722">
        <v>0</v>
      </c>
      <c r="AV217" s="3722">
        <v>0</v>
      </c>
      <c r="AW217" s="3722">
        <v>0</v>
      </c>
      <c r="AX217" s="3722">
        <v>0</v>
      </c>
      <c r="AY217" s="3722">
        <v>0</v>
      </c>
      <c r="AZ217" s="3722">
        <v>0</v>
      </c>
      <c r="BA217" s="3722">
        <v>40</v>
      </c>
      <c r="BB217" s="3722">
        <v>18</v>
      </c>
      <c r="BC217" s="3701">
        <v>15</v>
      </c>
      <c r="BD217" s="3701">
        <v>3</v>
      </c>
      <c r="BE217" s="3701">
        <v>76</v>
      </c>
      <c r="BF217" s="3701"/>
      <c r="BG217" s="3701"/>
      <c r="BK217" s="1520" t="s">
        <v>15</v>
      </c>
      <c r="BL217" s="3872">
        <v>1</v>
      </c>
      <c r="BM217" s="3872"/>
      <c r="BN217" s="3872"/>
      <c r="BO217" s="3872">
        <v>1</v>
      </c>
      <c r="BP217" s="3872"/>
      <c r="BQ217" s="3872">
        <v>17</v>
      </c>
      <c r="BR217" s="3872"/>
      <c r="BS217" s="3872"/>
      <c r="BT217" s="3806"/>
      <c r="BU217" s="3806">
        <v>19</v>
      </c>
      <c r="BV217" s="3807">
        <f>+(BU214+BU215+BU216)/BU217</f>
        <v>0.36842105263157893</v>
      </c>
      <c r="BX217" s="36"/>
      <c r="BY217" s="36"/>
      <c r="BZ217" s="36"/>
      <c r="CA217" s="36" t="s">
        <v>1076</v>
      </c>
      <c r="CB217" s="1681"/>
      <c r="CC217" s="1681"/>
      <c r="CD217" s="1681">
        <v>0</v>
      </c>
      <c r="CE217" s="1681"/>
      <c r="CF217" s="1681"/>
      <c r="CG217" s="1681">
        <v>1</v>
      </c>
      <c r="CH217" s="1681">
        <v>0</v>
      </c>
      <c r="CI217" s="1681">
        <v>0</v>
      </c>
      <c r="CJ217" s="95"/>
      <c r="CK217" s="95"/>
      <c r="CL217" s="95">
        <v>1</v>
      </c>
      <c r="CM217" s="36"/>
      <c r="CO217" s="37"/>
      <c r="CP217" s="37"/>
      <c r="CQ217" s="37"/>
      <c r="CR217" s="37" t="s">
        <v>1163</v>
      </c>
      <c r="CS217" s="1678"/>
      <c r="CT217" s="1678"/>
      <c r="CU217" s="1678"/>
      <c r="CV217" s="1678">
        <v>0</v>
      </c>
      <c r="CW217" s="1678">
        <v>0</v>
      </c>
      <c r="CX217" s="1678"/>
      <c r="CY217" s="1678">
        <v>3</v>
      </c>
      <c r="CZ217" s="1678">
        <v>0</v>
      </c>
      <c r="DA217" s="1678"/>
      <c r="DB217" s="63"/>
      <c r="DC217" s="63"/>
      <c r="DD217" s="63">
        <v>3</v>
      </c>
      <c r="DG217" s="95"/>
      <c r="DH217" s="95"/>
      <c r="DI217" s="36"/>
      <c r="DJ217" s="36" t="s">
        <v>1081</v>
      </c>
      <c r="DK217" s="1484"/>
      <c r="DL217" s="1484"/>
      <c r="DM217" s="1484"/>
      <c r="DN217" s="1484">
        <v>0</v>
      </c>
      <c r="DO217" s="1484"/>
      <c r="DP217" s="1484"/>
      <c r="DQ217" s="1484">
        <v>1</v>
      </c>
      <c r="DR217" s="1484"/>
      <c r="DS217" s="1484"/>
      <c r="DT217" s="95"/>
      <c r="DU217" s="95"/>
      <c r="DV217" s="95">
        <v>1</v>
      </c>
      <c r="DW217" s="95"/>
      <c r="DY217" s="1209"/>
      <c r="DZ217" s="1209"/>
      <c r="EA217" s="1210"/>
      <c r="EB217" s="1211" t="s">
        <v>1076</v>
      </c>
      <c r="EC217" s="1213">
        <v>0</v>
      </c>
      <c r="ED217" s="1213">
        <v>0</v>
      </c>
      <c r="EE217" s="1212"/>
      <c r="EF217" s="1212"/>
      <c r="EG217" s="1213">
        <v>2</v>
      </c>
      <c r="EH217" s="1213">
        <v>0</v>
      </c>
      <c r="EI217" s="1212"/>
      <c r="EJ217" s="1212"/>
      <c r="EK217" s="611"/>
      <c r="EL217" s="611"/>
      <c r="EM217" s="612">
        <v>2</v>
      </c>
      <c r="EN217" s="36"/>
      <c r="EP217" s="527"/>
      <c r="EQ217" s="527"/>
      <c r="ER217" s="528"/>
      <c r="ES217" s="529" t="s">
        <v>1081</v>
      </c>
      <c r="ET217" s="530"/>
      <c r="EU217" s="530"/>
      <c r="EV217" s="530"/>
      <c r="EW217" s="530"/>
      <c r="EX217" s="530"/>
      <c r="EY217" s="531">
        <v>7</v>
      </c>
      <c r="EZ217" s="530"/>
      <c r="FA217" s="530"/>
      <c r="FB217" s="527"/>
      <c r="FC217" s="527"/>
      <c r="FD217" s="532">
        <v>7</v>
      </c>
      <c r="FE217" s="95"/>
      <c r="FG217" s="533"/>
      <c r="FH217" s="533"/>
      <c r="FI217" s="533"/>
      <c r="FJ217" s="534" t="s">
        <v>1081</v>
      </c>
      <c r="FK217" s="535"/>
      <c r="FL217" s="535"/>
      <c r="FM217" s="535"/>
      <c r="FN217" s="535"/>
      <c r="FO217" s="535"/>
      <c r="FP217" s="536">
        <v>0</v>
      </c>
      <c r="FQ217" s="536">
        <v>3</v>
      </c>
      <c r="FR217" s="536">
        <v>1</v>
      </c>
      <c r="FS217" s="536">
        <v>1</v>
      </c>
      <c r="FT217" s="538">
        <v>0</v>
      </c>
      <c r="FU217" s="537"/>
      <c r="FV217" s="538">
        <v>5</v>
      </c>
      <c r="FW217" s="539"/>
      <c r="FY217" s="540"/>
      <c r="GA217" s="540"/>
      <c r="GB217" s="541" t="s">
        <v>1163</v>
      </c>
      <c r="GC217" s="542"/>
      <c r="GD217" s="543">
        <v>0</v>
      </c>
      <c r="GE217" s="543">
        <v>3</v>
      </c>
      <c r="GF217" s="543">
        <v>2</v>
      </c>
      <c r="GG217" s="543">
        <v>0</v>
      </c>
      <c r="GH217" s="543">
        <v>5</v>
      </c>
      <c r="GI217" s="543">
        <v>5</v>
      </c>
      <c r="GJ217" s="543">
        <v>1</v>
      </c>
      <c r="GK217" s="542"/>
      <c r="GL217" s="542"/>
      <c r="GM217" s="543">
        <v>16</v>
      </c>
      <c r="GN217" s="445"/>
      <c r="GP217" s="63"/>
      <c r="GQ217" s="63"/>
      <c r="GR217" s="63"/>
      <c r="GS217" s="37" t="s">
        <v>1163</v>
      </c>
      <c r="GT217" s="63"/>
      <c r="GU217" s="63"/>
      <c r="GV217" s="63"/>
      <c r="GW217" s="63"/>
      <c r="GX217" s="63"/>
      <c r="GY217" s="63">
        <v>0</v>
      </c>
      <c r="GZ217" s="63">
        <v>1</v>
      </c>
      <c r="HA217" s="63">
        <v>0</v>
      </c>
      <c r="HB217" s="63">
        <v>0</v>
      </c>
      <c r="HC217" s="63"/>
      <c r="HD217" s="63">
        <v>1</v>
      </c>
      <c r="HE217" s="37"/>
      <c r="HF217" s="37"/>
      <c r="HG217" s="446"/>
      <c r="HH217" s="446"/>
      <c r="HI217" s="446"/>
      <c r="HJ217" s="446" t="s">
        <v>1080</v>
      </c>
      <c r="HK217" s="446">
        <v>0</v>
      </c>
      <c r="HL217" s="446">
        <v>0</v>
      </c>
      <c r="HM217" s="446">
        <v>0</v>
      </c>
      <c r="HN217" s="446">
        <v>0</v>
      </c>
      <c r="HO217" s="446">
        <v>0</v>
      </c>
      <c r="HP217" s="446">
        <v>0</v>
      </c>
      <c r="HQ217" s="446">
        <v>0</v>
      </c>
      <c r="HR217" s="446">
        <v>18</v>
      </c>
      <c r="HS217" s="446">
        <v>60</v>
      </c>
      <c r="HT217" s="446">
        <v>0</v>
      </c>
      <c r="HU217" s="446">
        <v>0</v>
      </c>
      <c r="HV217" s="447">
        <v>78</v>
      </c>
      <c r="HW217" s="446"/>
      <c r="HX217" s="448"/>
    </row>
    <row r="218" spans="1:232">
      <c r="A218" s="5682">
        <v>2</v>
      </c>
      <c r="B218" s="5682">
        <v>3</v>
      </c>
      <c r="C218" s="5683" t="s">
        <v>286</v>
      </c>
      <c r="D218" s="5683" t="s">
        <v>2731</v>
      </c>
      <c r="E218" s="5682">
        <v>8</v>
      </c>
      <c r="F218" s="5682">
        <v>9</v>
      </c>
      <c r="I218" s="4915"/>
      <c r="J218" s="4915"/>
      <c r="K218" s="4916"/>
      <c r="L218" s="4916"/>
      <c r="M218" s="4920">
        <f>SUM(M215:M217)</f>
        <v>18</v>
      </c>
      <c r="N218" s="4915"/>
      <c r="O218" s="4921">
        <f>(M215+M216)/(M218)</f>
        <v>0.22222222222222221</v>
      </c>
      <c r="Q218" s="4705">
        <v>3</v>
      </c>
      <c r="R218" s="4705">
        <v>2</v>
      </c>
      <c r="S218" s="4706" t="s">
        <v>2737</v>
      </c>
      <c r="T218" s="4708" t="s">
        <v>1076</v>
      </c>
      <c r="U218" s="4709">
        <v>1</v>
      </c>
      <c r="V218" s="4731">
        <v>9</v>
      </c>
      <c r="W218" s="4722"/>
      <c r="Y218" s="36"/>
      <c r="Z218" s="36"/>
      <c r="AA218" s="36" t="s">
        <v>141</v>
      </c>
      <c r="AB218" s="36" t="s">
        <v>1072</v>
      </c>
      <c r="AC218" s="1681"/>
      <c r="AD218" s="1681"/>
      <c r="AE218" s="1681">
        <v>1</v>
      </c>
      <c r="AF218" s="1681">
        <v>1</v>
      </c>
      <c r="AG218" s="1681"/>
      <c r="AH218" s="1681"/>
      <c r="AI218" s="1681">
        <v>2</v>
      </c>
      <c r="AJ218" s="1681">
        <v>2</v>
      </c>
      <c r="AK218" s="1681">
        <v>0</v>
      </c>
      <c r="AL218" s="95"/>
      <c r="AM218" s="95">
        <v>6</v>
      </c>
      <c r="AN218" s="4545"/>
      <c r="AR218" s="27"/>
      <c r="AS218" s="27" t="s">
        <v>2571</v>
      </c>
      <c r="AT218" s="3722">
        <v>15</v>
      </c>
      <c r="AU218" s="3722">
        <v>0</v>
      </c>
      <c r="AV218" s="3722">
        <v>0</v>
      </c>
      <c r="AW218" s="3722">
        <v>0</v>
      </c>
      <c r="AX218" s="3722">
        <v>0</v>
      </c>
      <c r="AY218" s="3722">
        <v>0</v>
      </c>
      <c r="AZ218" s="3722">
        <v>0</v>
      </c>
      <c r="BA218" s="3722">
        <v>0</v>
      </c>
      <c r="BB218" s="3722">
        <v>0</v>
      </c>
      <c r="BC218" s="3701">
        <v>0</v>
      </c>
      <c r="BD218" s="3701">
        <v>0</v>
      </c>
      <c r="BE218" s="3701">
        <v>15</v>
      </c>
      <c r="BF218" s="3701"/>
      <c r="BG218" s="3701"/>
      <c r="BJ218" s="1520" t="s">
        <v>483</v>
      </c>
      <c r="BK218" s="1520" t="s">
        <v>1071</v>
      </c>
      <c r="BL218" s="3872">
        <v>0</v>
      </c>
      <c r="BM218" s="3872"/>
      <c r="BN218" s="3872"/>
      <c r="BO218" s="3872">
        <v>1</v>
      </c>
      <c r="BP218" s="3872"/>
      <c r="BQ218" s="3872">
        <v>0</v>
      </c>
      <c r="BR218" s="3872">
        <v>0</v>
      </c>
      <c r="BS218" s="3872"/>
      <c r="BT218" s="3806"/>
      <c r="BU218" s="3806">
        <v>1</v>
      </c>
      <c r="BV218" s="1520"/>
      <c r="BX218" s="36"/>
      <c r="BY218" s="36"/>
      <c r="BZ218" s="36"/>
      <c r="CA218" s="36" t="s">
        <v>1080</v>
      </c>
      <c r="CB218" s="1681"/>
      <c r="CC218" s="1681"/>
      <c r="CD218" s="1681">
        <v>0</v>
      </c>
      <c r="CE218" s="1681"/>
      <c r="CF218" s="1681"/>
      <c r="CG218" s="1681">
        <v>0</v>
      </c>
      <c r="CH218" s="1681">
        <v>2</v>
      </c>
      <c r="CI218" s="1681">
        <v>1</v>
      </c>
      <c r="CJ218" s="95"/>
      <c r="CK218" s="95"/>
      <c r="CL218" s="95">
        <v>3</v>
      </c>
      <c r="CM218" s="36"/>
      <c r="CO218" s="37"/>
      <c r="CP218" s="37"/>
      <c r="CQ218" s="37"/>
      <c r="CR218" s="416" t="s">
        <v>15</v>
      </c>
      <c r="CS218" s="1679"/>
      <c r="CT218" s="1679"/>
      <c r="CU218" s="1679"/>
      <c r="CV218" s="1679">
        <v>1</v>
      </c>
      <c r="CW218" s="1679">
        <v>1</v>
      </c>
      <c r="CX218" s="1679"/>
      <c r="CY218" s="1679">
        <v>34</v>
      </c>
      <c r="CZ218" s="1679">
        <v>2</v>
      </c>
      <c r="DA218" s="1679"/>
      <c r="DB218" s="386"/>
      <c r="DC218" s="386"/>
      <c r="DD218" s="386">
        <v>38</v>
      </c>
      <c r="DE218" s="2045">
        <f>+(DD215+DD216+DD217)/DD218</f>
        <v>0.57894736842105265</v>
      </c>
      <c r="DG218" s="95"/>
      <c r="DH218" s="95"/>
      <c r="DI218" s="36"/>
      <c r="DJ218" s="36" t="s">
        <v>1163</v>
      </c>
      <c r="DK218" s="1484"/>
      <c r="DL218" s="1484"/>
      <c r="DM218" s="1484"/>
      <c r="DN218" s="1484">
        <v>0</v>
      </c>
      <c r="DO218" s="1484"/>
      <c r="DP218" s="1484"/>
      <c r="DQ218" s="1484">
        <v>1</v>
      </c>
      <c r="DR218" s="1484"/>
      <c r="DS218" s="1484"/>
      <c r="DT218" s="95"/>
      <c r="DU218" s="95"/>
      <c r="DV218" s="95">
        <v>1</v>
      </c>
      <c r="DW218" s="95"/>
      <c r="DY218" s="1209"/>
      <c r="DZ218" s="1209"/>
      <c r="EA218" s="1210"/>
      <c r="EB218" s="1211" t="s">
        <v>1080</v>
      </c>
      <c r="EC218" s="1213">
        <v>0</v>
      </c>
      <c r="ED218" s="1213">
        <v>0</v>
      </c>
      <c r="EE218" s="1212"/>
      <c r="EF218" s="1212"/>
      <c r="EG218" s="1213">
        <v>0</v>
      </c>
      <c r="EH218" s="1213">
        <v>1</v>
      </c>
      <c r="EI218" s="1212"/>
      <c r="EJ218" s="1212"/>
      <c r="EK218" s="611"/>
      <c r="EL218" s="611"/>
      <c r="EM218" s="612">
        <v>1</v>
      </c>
      <c r="EN218" s="36"/>
      <c r="EP218" s="527"/>
      <c r="EQ218" s="527"/>
      <c r="ER218" s="528"/>
      <c r="ES218" s="529" t="s">
        <v>1163</v>
      </c>
      <c r="ET218" s="530"/>
      <c r="EU218" s="530"/>
      <c r="EV218" s="530"/>
      <c r="EW218" s="530"/>
      <c r="EX218" s="530"/>
      <c r="EY218" s="531">
        <v>1</v>
      </c>
      <c r="EZ218" s="530"/>
      <c r="FA218" s="530"/>
      <c r="FB218" s="527"/>
      <c r="FC218" s="527"/>
      <c r="FD218" s="532">
        <v>1</v>
      </c>
      <c r="FE218" s="95"/>
      <c r="FG218" s="533"/>
      <c r="FH218" s="533"/>
      <c r="FI218" s="533"/>
      <c r="FJ218" s="534" t="s">
        <v>1163</v>
      </c>
      <c r="FK218" s="535"/>
      <c r="FL218" s="535"/>
      <c r="FM218" s="535"/>
      <c r="FN218" s="535"/>
      <c r="FO218" s="535"/>
      <c r="FP218" s="536">
        <v>0</v>
      </c>
      <c r="FQ218" s="536">
        <v>0</v>
      </c>
      <c r="FR218" s="536">
        <v>1</v>
      </c>
      <c r="FS218" s="536">
        <v>1</v>
      </c>
      <c r="FT218" s="538">
        <v>0</v>
      </c>
      <c r="FU218" s="537"/>
      <c r="FV218" s="538">
        <v>2</v>
      </c>
      <c r="FW218" s="539"/>
      <c r="FY218" s="540"/>
      <c r="GA218" s="540"/>
      <c r="GB218" s="550" t="s">
        <v>483</v>
      </c>
      <c r="GC218" s="551"/>
      <c r="GD218" s="552">
        <v>1</v>
      </c>
      <c r="GE218" s="552">
        <v>13</v>
      </c>
      <c r="GF218" s="552">
        <v>3</v>
      </c>
      <c r="GG218" s="552">
        <v>2</v>
      </c>
      <c r="GH218" s="552">
        <v>24</v>
      </c>
      <c r="GI218" s="552">
        <v>51</v>
      </c>
      <c r="GJ218" s="552">
        <v>37</v>
      </c>
      <c r="GK218" s="551"/>
      <c r="GL218" s="551"/>
      <c r="GM218" s="552">
        <v>131</v>
      </c>
      <c r="GN218" s="553">
        <f>+(GM217+GM216+GM213)/GM218</f>
        <v>0.47328244274809161</v>
      </c>
      <c r="GP218" s="63"/>
      <c r="GQ218" s="63"/>
      <c r="GR218" s="63"/>
      <c r="GS218" s="416" t="s">
        <v>15</v>
      </c>
      <c r="GT218" s="386"/>
      <c r="GU218" s="386"/>
      <c r="GV218" s="386"/>
      <c r="GW218" s="386"/>
      <c r="GX218" s="386"/>
      <c r="GY218" s="386">
        <v>2</v>
      </c>
      <c r="GZ218" s="386">
        <v>15</v>
      </c>
      <c r="HA218" s="386">
        <v>12</v>
      </c>
      <c r="HB218" s="386">
        <v>1</v>
      </c>
      <c r="HC218" s="386"/>
      <c r="HD218" s="386">
        <v>30</v>
      </c>
      <c r="HE218" s="466">
        <f>+(HD214+HD216+HD217)/HD218</f>
        <v>0.43333333333333335</v>
      </c>
      <c r="HF218" s="37"/>
      <c r="HG218" s="446"/>
      <c r="HH218" s="446"/>
      <c r="HI218" s="446"/>
      <c r="HJ218" s="446" t="s">
        <v>1163</v>
      </c>
      <c r="HK218" s="446">
        <v>0</v>
      </c>
      <c r="HL218" s="446">
        <v>0</v>
      </c>
      <c r="HM218" s="446">
        <v>0</v>
      </c>
      <c r="HN218" s="446">
        <v>3</v>
      </c>
      <c r="HO218" s="446">
        <v>0</v>
      </c>
      <c r="HP218" s="446">
        <v>0</v>
      </c>
      <c r="HQ218" s="446">
        <v>22</v>
      </c>
      <c r="HR218" s="446">
        <v>6</v>
      </c>
      <c r="HS218" s="446">
        <v>0</v>
      </c>
      <c r="HT218" s="446">
        <v>0</v>
      </c>
      <c r="HU218" s="446">
        <v>0</v>
      </c>
      <c r="HV218" s="447">
        <v>31</v>
      </c>
      <c r="HW218" s="446"/>
      <c r="HX218" s="448"/>
    </row>
    <row r="219" spans="1:232">
      <c r="A219" s="5682">
        <v>2</v>
      </c>
      <c r="B219" s="5682">
        <v>3</v>
      </c>
      <c r="C219" s="5683" t="s">
        <v>286</v>
      </c>
      <c r="D219" s="5685" t="s">
        <v>1076</v>
      </c>
      <c r="E219" s="5682">
        <v>1</v>
      </c>
      <c r="F219" s="5682">
        <v>8</v>
      </c>
      <c r="I219" s="4915"/>
      <c r="J219" s="4915"/>
      <c r="K219" s="4932" t="s">
        <v>2754</v>
      </c>
      <c r="L219" s="4916"/>
      <c r="M219" s="4936">
        <f>SUM(M204:M205,M209,M215:M216)</f>
        <v>9</v>
      </c>
      <c r="N219" s="4915"/>
      <c r="O219" s="157"/>
      <c r="Q219" s="4705">
        <v>3</v>
      </c>
      <c r="R219" s="4705">
        <v>2</v>
      </c>
      <c r="S219" s="4706" t="s">
        <v>2737</v>
      </c>
      <c r="T219" s="4706" t="s">
        <v>2709</v>
      </c>
      <c r="U219" s="4707">
        <v>4</v>
      </c>
      <c r="V219" s="4707">
        <v>6</v>
      </c>
      <c r="W219" s="4722"/>
      <c r="Y219" s="36"/>
      <c r="Z219" s="36"/>
      <c r="AA219" s="36"/>
      <c r="AB219" s="36" t="s">
        <v>1076</v>
      </c>
      <c r="AC219" s="1681"/>
      <c r="AD219" s="1681"/>
      <c r="AE219" s="1681">
        <v>0</v>
      </c>
      <c r="AF219" s="1681">
        <v>0</v>
      </c>
      <c r="AG219" s="1681"/>
      <c r="AH219" s="1681"/>
      <c r="AI219" s="1681">
        <v>1</v>
      </c>
      <c r="AJ219" s="1681">
        <v>0</v>
      </c>
      <c r="AK219" s="1681">
        <v>0</v>
      </c>
      <c r="AL219" s="95"/>
      <c r="AM219" s="95">
        <v>1</v>
      </c>
      <c r="AN219" s="4545"/>
      <c r="AR219" s="27"/>
      <c r="AS219" s="27" t="s">
        <v>1163</v>
      </c>
      <c r="AT219" s="3722">
        <v>0</v>
      </c>
      <c r="AU219" s="3722">
        <v>0</v>
      </c>
      <c r="AV219" s="3722">
        <v>0</v>
      </c>
      <c r="AW219" s="3722">
        <v>10</v>
      </c>
      <c r="AX219" s="3722">
        <v>0</v>
      </c>
      <c r="AY219" s="3722">
        <v>2</v>
      </c>
      <c r="AZ219" s="3722">
        <v>40</v>
      </c>
      <c r="BA219" s="3722">
        <v>17</v>
      </c>
      <c r="BB219" s="3722">
        <v>3</v>
      </c>
      <c r="BC219" s="3701">
        <v>0</v>
      </c>
      <c r="BD219" s="3701">
        <v>0</v>
      </c>
      <c r="BE219" s="3701">
        <v>72</v>
      </c>
      <c r="BF219" s="3701"/>
      <c r="BG219" s="3701"/>
      <c r="BJ219" s="1520"/>
      <c r="BK219" s="1520" t="s">
        <v>1072</v>
      </c>
      <c r="BL219" s="3872">
        <v>3</v>
      </c>
      <c r="BM219" s="3872"/>
      <c r="BN219" s="3872"/>
      <c r="BO219" s="3872">
        <v>0</v>
      </c>
      <c r="BP219" s="3872"/>
      <c r="BQ219" s="3872">
        <v>13</v>
      </c>
      <c r="BR219" s="3872">
        <v>0</v>
      </c>
      <c r="BS219" s="3872"/>
      <c r="BT219" s="3806"/>
      <c r="BU219" s="3806">
        <v>16</v>
      </c>
      <c r="BV219" s="1520"/>
      <c r="BX219" s="36"/>
      <c r="BY219" s="36"/>
      <c r="BZ219" s="36"/>
      <c r="CA219" s="36" t="s">
        <v>1081</v>
      </c>
      <c r="CB219" s="1681"/>
      <c r="CC219" s="1681"/>
      <c r="CD219" s="1681">
        <v>0</v>
      </c>
      <c r="CE219" s="1681"/>
      <c r="CF219" s="1681"/>
      <c r="CG219" s="1681">
        <v>2</v>
      </c>
      <c r="CH219" s="1681">
        <v>0</v>
      </c>
      <c r="CI219" s="1681">
        <v>0</v>
      </c>
      <c r="CJ219" s="95"/>
      <c r="CK219" s="95"/>
      <c r="CL219" s="95">
        <v>2</v>
      </c>
      <c r="CM219" s="36"/>
      <c r="CO219" s="37"/>
      <c r="CP219" s="37" t="s">
        <v>41</v>
      </c>
      <c r="CQ219" s="37" t="s">
        <v>137</v>
      </c>
      <c r="CR219" s="37" t="s">
        <v>1076</v>
      </c>
      <c r="CS219" s="1678"/>
      <c r="CT219" s="1678"/>
      <c r="CU219" s="1678"/>
      <c r="CV219" s="1678"/>
      <c r="CW219" s="1678"/>
      <c r="CX219" s="1678"/>
      <c r="CY219" s="1678"/>
      <c r="CZ219" s="1678">
        <v>1</v>
      </c>
      <c r="DA219" s="1678"/>
      <c r="DB219" s="63"/>
      <c r="DC219" s="63"/>
      <c r="DD219" s="63">
        <v>1</v>
      </c>
      <c r="DG219" s="95"/>
      <c r="DH219" s="95"/>
      <c r="DI219" s="36"/>
      <c r="DJ219" s="393" t="s">
        <v>15</v>
      </c>
      <c r="DK219" s="1485"/>
      <c r="DL219" s="1485"/>
      <c r="DM219" s="1485"/>
      <c r="DN219" s="1485">
        <v>1</v>
      </c>
      <c r="DO219" s="1485"/>
      <c r="DP219" s="1485"/>
      <c r="DQ219" s="1485">
        <v>16</v>
      </c>
      <c r="DR219" s="1485"/>
      <c r="DS219" s="1485"/>
      <c r="DT219" s="86"/>
      <c r="DU219" s="86"/>
      <c r="DV219" s="86">
        <v>17</v>
      </c>
      <c r="DW219" s="560">
        <f>+(DV216+DV217+DV218)/DV219</f>
        <v>0.29411764705882354</v>
      </c>
      <c r="DY219" s="1209"/>
      <c r="DZ219" s="1209"/>
      <c r="EA219" s="1210"/>
      <c r="EB219" s="1211" t="s">
        <v>1081</v>
      </c>
      <c r="EC219" s="1213">
        <v>0</v>
      </c>
      <c r="ED219" s="1213">
        <v>0</v>
      </c>
      <c r="EE219" s="1212"/>
      <c r="EF219" s="1212"/>
      <c r="EG219" s="1213">
        <v>1</v>
      </c>
      <c r="EH219" s="1213">
        <v>0</v>
      </c>
      <c r="EI219" s="1212"/>
      <c r="EJ219" s="1212"/>
      <c r="EK219" s="611"/>
      <c r="EL219" s="611"/>
      <c r="EM219" s="612">
        <v>1</v>
      </c>
      <c r="EN219" s="36"/>
      <c r="EP219" s="527"/>
      <c r="EQ219" s="527"/>
      <c r="ER219" s="528"/>
      <c r="ES219" s="555" t="s">
        <v>15</v>
      </c>
      <c r="ET219" s="556"/>
      <c r="EU219" s="556"/>
      <c r="EV219" s="556"/>
      <c r="EW219" s="556"/>
      <c r="EX219" s="556"/>
      <c r="EY219" s="557">
        <v>23</v>
      </c>
      <c r="EZ219" s="556"/>
      <c r="FA219" s="556"/>
      <c r="FB219" s="558"/>
      <c r="FC219" s="558"/>
      <c r="FD219" s="559">
        <v>23</v>
      </c>
      <c r="FE219" s="560">
        <f>+(FD216+FD217+FD218)/FD219</f>
        <v>0.39130434782608697</v>
      </c>
      <c r="FG219" s="533"/>
      <c r="FH219" s="533"/>
      <c r="FI219" s="533"/>
      <c r="FJ219" s="545" t="s">
        <v>15</v>
      </c>
      <c r="FK219" s="546"/>
      <c r="FL219" s="546"/>
      <c r="FM219" s="546"/>
      <c r="FN219" s="546"/>
      <c r="FO219" s="546"/>
      <c r="FP219" s="547">
        <v>1</v>
      </c>
      <c r="FQ219" s="547">
        <v>6</v>
      </c>
      <c r="FR219" s="547">
        <v>5</v>
      </c>
      <c r="FS219" s="547">
        <v>2</v>
      </c>
      <c r="FT219" s="549">
        <v>1</v>
      </c>
      <c r="FU219" s="548"/>
      <c r="FV219" s="549">
        <v>15</v>
      </c>
      <c r="FW219" s="539">
        <f>+(FV218+FV217+FV216)/FV219</f>
        <v>0.6</v>
      </c>
      <c r="FY219" s="540"/>
      <c r="FZ219" s="540"/>
      <c r="GA219" s="540" t="s">
        <v>485</v>
      </c>
      <c r="GB219" s="541" t="s">
        <v>1071</v>
      </c>
      <c r="GC219" s="542"/>
      <c r="GD219" s="542"/>
      <c r="GE219" s="542"/>
      <c r="GF219" s="542"/>
      <c r="GG219" s="542"/>
      <c r="GH219" s="543">
        <v>0</v>
      </c>
      <c r="GI219" s="543">
        <v>0</v>
      </c>
      <c r="GJ219" s="543">
        <v>1</v>
      </c>
      <c r="GK219" s="542"/>
      <c r="GL219" s="542"/>
      <c r="GM219" s="543">
        <v>1</v>
      </c>
      <c r="GN219" s="445"/>
      <c r="GP219" s="63"/>
      <c r="GQ219" s="63"/>
      <c r="GR219" s="63" t="s">
        <v>41</v>
      </c>
      <c r="GS219" s="37" t="s">
        <v>1071</v>
      </c>
      <c r="GT219" s="63"/>
      <c r="GU219" s="63">
        <v>0</v>
      </c>
      <c r="GV219" s="63"/>
      <c r="GW219" s="63"/>
      <c r="GX219" s="63"/>
      <c r="GY219" s="63">
        <v>0</v>
      </c>
      <c r="GZ219" s="63">
        <v>0</v>
      </c>
      <c r="HA219" s="63">
        <v>1</v>
      </c>
      <c r="HB219" s="63"/>
      <c r="HC219" s="63"/>
      <c r="HD219" s="63">
        <v>1</v>
      </c>
      <c r="HE219" s="37"/>
      <c r="HF219" s="37"/>
      <c r="HG219" s="446"/>
      <c r="HH219" s="446"/>
      <c r="HI219" s="446"/>
      <c r="HJ219" s="449" t="s">
        <v>15</v>
      </c>
      <c r="HK219" s="449">
        <v>0</v>
      </c>
      <c r="HL219" s="449">
        <v>1</v>
      </c>
      <c r="HM219" s="449">
        <v>3</v>
      </c>
      <c r="HN219" s="449">
        <v>17</v>
      </c>
      <c r="HO219" s="449">
        <v>3</v>
      </c>
      <c r="HP219" s="449">
        <v>1</v>
      </c>
      <c r="HQ219" s="449">
        <v>37</v>
      </c>
      <c r="HR219" s="449">
        <v>33</v>
      </c>
      <c r="HS219" s="449">
        <v>63</v>
      </c>
      <c r="HT219" s="449">
        <v>0</v>
      </c>
      <c r="HU219" s="449">
        <v>1</v>
      </c>
      <c r="HV219" s="507">
        <v>159</v>
      </c>
      <c r="HW219" s="450">
        <f>+(HV218+HV215)/HV219</f>
        <v>0.3522012578616352</v>
      </c>
      <c r="HX219" s="448">
        <f>+HV215+HV218</f>
        <v>56</v>
      </c>
    </row>
    <row r="220" spans="1:232">
      <c r="A220" s="5682">
        <v>2</v>
      </c>
      <c r="B220" s="5682">
        <v>3</v>
      </c>
      <c r="C220" s="5683" t="s">
        <v>286</v>
      </c>
      <c r="D220" s="5683" t="s">
        <v>2709</v>
      </c>
      <c r="E220" s="5682">
        <v>1</v>
      </c>
      <c r="F220" s="5682">
        <v>4</v>
      </c>
      <c r="I220" s="4915"/>
      <c r="J220" s="4915"/>
      <c r="K220" s="4929" t="s">
        <v>16</v>
      </c>
      <c r="L220" s="4926"/>
      <c r="M220" s="4929">
        <f>SUM(M218,M214,M207)</f>
        <v>35</v>
      </c>
      <c r="N220" s="4925"/>
      <c r="O220" s="4934">
        <f>M219/M220</f>
        <v>0.25714285714285712</v>
      </c>
      <c r="Q220" s="4705"/>
      <c r="R220" s="4744"/>
      <c r="S220" s="4737"/>
      <c r="T220" s="4737"/>
      <c r="U220" s="4740">
        <f>SUM(U214:U219)</f>
        <v>11</v>
      </c>
      <c r="V220" s="4740"/>
      <c r="W220" s="4722">
        <f>(U215+U216+U217+U218)/(U220)</f>
        <v>0.54545454545454541</v>
      </c>
      <c r="Y220" s="36"/>
      <c r="Z220" s="36"/>
      <c r="AA220" s="36"/>
      <c r="AB220" s="36" t="s">
        <v>1077</v>
      </c>
      <c r="AC220" s="1681"/>
      <c r="AD220" s="1681"/>
      <c r="AE220" s="1681">
        <v>0</v>
      </c>
      <c r="AF220" s="1681">
        <v>1</v>
      </c>
      <c r="AG220" s="1681"/>
      <c r="AH220" s="1681"/>
      <c r="AI220" s="1681">
        <v>0</v>
      </c>
      <c r="AJ220" s="1681">
        <v>0</v>
      </c>
      <c r="AK220" s="1681">
        <v>0</v>
      </c>
      <c r="AL220" s="95"/>
      <c r="AM220" s="95">
        <v>1</v>
      </c>
      <c r="AN220" s="4545"/>
      <c r="AR220" s="27"/>
      <c r="AS220" s="27" t="s">
        <v>15</v>
      </c>
      <c r="AT220" s="3722">
        <v>15</v>
      </c>
      <c r="AU220" s="3722">
        <v>3</v>
      </c>
      <c r="AV220" s="3722">
        <v>1</v>
      </c>
      <c r="AW220" s="3722">
        <v>13</v>
      </c>
      <c r="AX220" s="3722">
        <v>2</v>
      </c>
      <c r="AY220" s="3722">
        <v>5</v>
      </c>
      <c r="AZ220" s="3722">
        <v>58</v>
      </c>
      <c r="BA220" s="3722">
        <v>90</v>
      </c>
      <c r="BB220" s="3722">
        <v>25</v>
      </c>
      <c r="BC220" s="3701">
        <v>24</v>
      </c>
      <c r="BD220" s="3701">
        <v>3</v>
      </c>
      <c r="BE220" s="3701">
        <v>239</v>
      </c>
      <c r="BF220" s="1665">
        <f>+(BE215+BE219)/(BE220-BE218)</f>
        <v>0.46875</v>
      </c>
      <c r="BG220" s="1665"/>
      <c r="BJ220" s="1520"/>
      <c r="BK220" s="1520" t="s">
        <v>1076</v>
      </c>
      <c r="BL220" s="3872">
        <v>0</v>
      </c>
      <c r="BM220" s="3872"/>
      <c r="BN220" s="3872"/>
      <c r="BO220" s="3872">
        <v>0</v>
      </c>
      <c r="BP220" s="3872"/>
      <c r="BQ220" s="3872">
        <v>9</v>
      </c>
      <c r="BR220" s="3872">
        <v>1</v>
      </c>
      <c r="BS220" s="3872"/>
      <c r="BT220" s="3806"/>
      <c r="BU220" s="3806">
        <v>10</v>
      </c>
      <c r="BV220" s="1520"/>
      <c r="BX220" s="36"/>
      <c r="BY220" s="36"/>
      <c r="BZ220" s="36"/>
      <c r="CA220" s="36" t="s">
        <v>1163</v>
      </c>
      <c r="CB220" s="1681"/>
      <c r="CC220" s="1681"/>
      <c r="CD220" s="1681">
        <v>0</v>
      </c>
      <c r="CE220" s="1681"/>
      <c r="CF220" s="1681"/>
      <c r="CG220" s="1681">
        <v>1</v>
      </c>
      <c r="CH220" s="1681">
        <v>0</v>
      </c>
      <c r="CI220" s="1681">
        <v>0</v>
      </c>
      <c r="CJ220" s="95"/>
      <c r="CK220" s="95"/>
      <c r="CL220" s="95">
        <v>1</v>
      </c>
      <c r="CM220" s="36"/>
      <c r="CO220" s="37"/>
      <c r="CP220" s="37"/>
      <c r="CQ220" s="37"/>
      <c r="CR220" s="416" t="s">
        <v>15</v>
      </c>
      <c r="CS220" s="1679"/>
      <c r="CT220" s="1679"/>
      <c r="CU220" s="1679"/>
      <c r="CV220" s="1679"/>
      <c r="CW220" s="1679"/>
      <c r="CX220" s="1679"/>
      <c r="CY220" s="1679"/>
      <c r="CZ220" s="1679">
        <v>1</v>
      </c>
      <c r="DA220" s="1679"/>
      <c r="DB220" s="386"/>
      <c r="DC220" s="386"/>
      <c r="DD220" s="386">
        <v>1</v>
      </c>
      <c r="DE220" s="2045">
        <f>+DD219/DD220</f>
        <v>1</v>
      </c>
      <c r="DG220" s="95"/>
      <c r="DH220" s="95"/>
      <c r="DI220" s="36" t="s">
        <v>127</v>
      </c>
      <c r="DJ220" s="36" t="s">
        <v>1163</v>
      </c>
      <c r="DK220" s="1484"/>
      <c r="DL220" s="1484"/>
      <c r="DM220" s="1484"/>
      <c r="DN220" s="1484"/>
      <c r="DO220" s="1484"/>
      <c r="DP220" s="1484"/>
      <c r="DQ220" s="1484">
        <v>1</v>
      </c>
      <c r="DR220" s="1484"/>
      <c r="DS220" s="1484"/>
      <c r="DT220" s="95"/>
      <c r="DU220" s="95"/>
      <c r="DV220" s="95">
        <v>1</v>
      </c>
      <c r="DW220" s="95"/>
      <c r="DY220" s="1209"/>
      <c r="DZ220" s="1209"/>
      <c r="EA220" s="1210"/>
      <c r="EB220" s="1211" t="s">
        <v>1163</v>
      </c>
      <c r="EC220" s="1213">
        <v>0</v>
      </c>
      <c r="ED220" s="1213">
        <v>0</v>
      </c>
      <c r="EE220" s="1212"/>
      <c r="EF220" s="1212"/>
      <c r="EG220" s="1213">
        <v>2</v>
      </c>
      <c r="EH220" s="1213">
        <v>3</v>
      </c>
      <c r="EI220" s="1212"/>
      <c r="EJ220" s="1212"/>
      <c r="EK220" s="611"/>
      <c r="EL220" s="611"/>
      <c r="EM220" s="612">
        <v>5</v>
      </c>
      <c r="EN220" s="36"/>
      <c r="EP220" s="527"/>
      <c r="EQ220" s="527"/>
      <c r="ER220" s="528" t="s">
        <v>483</v>
      </c>
      <c r="ES220" s="529" t="s">
        <v>1071</v>
      </c>
      <c r="ET220" s="531">
        <v>0</v>
      </c>
      <c r="EU220" s="531">
        <v>0</v>
      </c>
      <c r="EV220" s="531">
        <v>1</v>
      </c>
      <c r="EW220" s="531">
        <v>1</v>
      </c>
      <c r="EX220" s="531">
        <v>0</v>
      </c>
      <c r="EY220" s="531">
        <v>0</v>
      </c>
      <c r="EZ220" s="531">
        <v>0</v>
      </c>
      <c r="FA220" s="531">
        <v>0</v>
      </c>
      <c r="FB220" s="527"/>
      <c r="FC220" s="527"/>
      <c r="FD220" s="532">
        <v>2</v>
      </c>
      <c r="FE220" s="95"/>
      <c r="FG220" s="533"/>
      <c r="FH220" s="533"/>
      <c r="FI220" s="533" t="s">
        <v>390</v>
      </c>
      <c r="FJ220" s="534" t="s">
        <v>1072</v>
      </c>
      <c r="FK220" s="535"/>
      <c r="FL220" s="535"/>
      <c r="FM220" s="535"/>
      <c r="FN220" s="535"/>
      <c r="FO220" s="535"/>
      <c r="FP220" s="536">
        <v>0</v>
      </c>
      <c r="FQ220" s="536">
        <v>23</v>
      </c>
      <c r="FR220" s="535"/>
      <c r="FS220" s="535"/>
      <c r="FT220" s="537"/>
      <c r="FU220" s="537"/>
      <c r="FV220" s="538">
        <v>23</v>
      </c>
      <c r="FW220" s="539"/>
      <c r="FY220" s="540"/>
      <c r="FZ220" s="540"/>
      <c r="GA220" s="540"/>
      <c r="GB220" s="541" t="s">
        <v>1072</v>
      </c>
      <c r="GC220" s="542"/>
      <c r="GD220" s="542"/>
      <c r="GE220" s="542"/>
      <c r="GF220" s="542"/>
      <c r="GG220" s="542"/>
      <c r="GH220" s="543">
        <v>1</v>
      </c>
      <c r="GI220" s="543">
        <v>3</v>
      </c>
      <c r="GJ220" s="543">
        <v>0</v>
      </c>
      <c r="GK220" s="542"/>
      <c r="GL220" s="542"/>
      <c r="GM220" s="543">
        <v>4</v>
      </c>
      <c r="GN220" s="445"/>
      <c r="GP220" s="63"/>
      <c r="GQ220" s="63"/>
      <c r="GR220" s="63"/>
      <c r="GS220" s="37" t="s">
        <v>1072</v>
      </c>
      <c r="GT220" s="63"/>
      <c r="GU220" s="63">
        <v>2</v>
      </c>
      <c r="GV220" s="63"/>
      <c r="GW220" s="63"/>
      <c r="GX220" s="63"/>
      <c r="GY220" s="63">
        <v>1</v>
      </c>
      <c r="GZ220" s="63">
        <v>4</v>
      </c>
      <c r="HA220" s="63">
        <v>0</v>
      </c>
      <c r="HB220" s="63"/>
      <c r="HC220" s="63"/>
      <c r="HD220" s="63">
        <v>7</v>
      </c>
      <c r="HE220" s="37"/>
      <c r="HF220" s="37"/>
      <c r="HG220" s="446"/>
      <c r="HH220" s="446"/>
      <c r="HI220" s="446" t="s">
        <v>41</v>
      </c>
      <c r="HJ220" s="446" t="s">
        <v>1071</v>
      </c>
      <c r="HK220" s="446">
        <v>0</v>
      </c>
      <c r="HL220" s="446">
        <v>0</v>
      </c>
      <c r="HM220" s="446">
        <v>0</v>
      </c>
      <c r="HN220" s="446">
        <v>0</v>
      </c>
      <c r="HO220" s="446">
        <v>0</v>
      </c>
      <c r="HP220" s="446">
        <v>0</v>
      </c>
      <c r="HQ220" s="446">
        <v>0</v>
      </c>
      <c r="HR220" s="446">
        <v>0</v>
      </c>
      <c r="HS220" s="446">
        <v>2</v>
      </c>
      <c r="HT220" s="446">
        <v>0</v>
      </c>
      <c r="HU220" s="446">
        <v>0</v>
      </c>
      <c r="HV220" s="447">
        <v>2</v>
      </c>
      <c r="HW220" s="446"/>
      <c r="HX220" s="448"/>
    </row>
    <row r="221" spans="1:232">
      <c r="A221" s="5682"/>
      <c r="B221" s="5682"/>
      <c r="C221" s="5683"/>
      <c r="D221" s="5683"/>
      <c r="E221" s="5686">
        <f>SUM(E218:E220)</f>
        <v>10</v>
      </c>
      <c r="F221" s="5682"/>
      <c r="G221" s="4921">
        <f>(E219)/(E221)</f>
        <v>0.1</v>
      </c>
      <c r="I221" s="4915">
        <v>3</v>
      </c>
      <c r="J221" s="4915">
        <v>3</v>
      </c>
      <c r="K221" s="4924" t="s">
        <v>293</v>
      </c>
      <c r="L221" s="4924" t="s">
        <v>2731</v>
      </c>
      <c r="M221" s="4923">
        <v>15</v>
      </c>
      <c r="N221" s="4923">
        <v>7</v>
      </c>
      <c r="O221" s="157"/>
      <c r="Q221" s="4705"/>
      <c r="R221" s="4713"/>
      <c r="S221" s="4714"/>
      <c r="T221" s="4714"/>
      <c r="U221" s="4748">
        <f>SUM(U164,U166:U169,U173:U174,U178:U179,U182:U185,U191,U194,U199,U205:U208,U215,U217)</f>
        <v>67</v>
      </c>
      <c r="V221" s="4733"/>
      <c r="W221" s="4722"/>
      <c r="Y221" s="36"/>
      <c r="Z221" s="36"/>
      <c r="AA221" s="36"/>
      <c r="AB221" s="36" t="s">
        <v>1080</v>
      </c>
      <c r="AC221" s="1681"/>
      <c r="AD221" s="1681"/>
      <c r="AE221" s="1681">
        <v>0</v>
      </c>
      <c r="AF221" s="1681">
        <v>0</v>
      </c>
      <c r="AG221" s="1681"/>
      <c r="AH221" s="1681"/>
      <c r="AI221" s="1681">
        <v>0</v>
      </c>
      <c r="AJ221" s="1681">
        <v>13</v>
      </c>
      <c r="AK221" s="1681">
        <v>5</v>
      </c>
      <c r="AL221" s="95"/>
      <c r="AM221" s="95">
        <v>18</v>
      </c>
      <c r="AN221" s="4545"/>
      <c r="AP221" s="157" t="s">
        <v>48</v>
      </c>
      <c r="AQ221" s="157" t="s">
        <v>16</v>
      </c>
      <c r="AR221" s="3868" t="s">
        <v>127</v>
      </c>
      <c r="AS221" s="3868" t="s">
        <v>1072</v>
      </c>
      <c r="AT221" s="3721"/>
      <c r="AU221" s="3721"/>
      <c r="AV221" s="3721"/>
      <c r="AW221" s="3721"/>
      <c r="AX221" s="3721"/>
      <c r="AY221" s="3721"/>
      <c r="AZ221" s="3721">
        <v>1</v>
      </c>
      <c r="BA221" s="3721"/>
      <c r="BB221" s="3721"/>
      <c r="BC221" s="2110"/>
      <c r="BD221" s="2110"/>
      <c r="BE221" s="2110">
        <v>1</v>
      </c>
      <c r="BF221" s="2110"/>
      <c r="BG221" s="2110"/>
      <c r="BJ221" s="1520"/>
      <c r="BK221" s="1520" t="s">
        <v>1081</v>
      </c>
      <c r="BL221" s="3872">
        <v>0</v>
      </c>
      <c r="BM221" s="3872"/>
      <c r="BN221" s="3872"/>
      <c r="BO221" s="3872">
        <v>0</v>
      </c>
      <c r="BP221" s="3872"/>
      <c r="BQ221" s="3872">
        <v>3</v>
      </c>
      <c r="BR221" s="3872">
        <v>0</v>
      </c>
      <c r="BS221" s="3872"/>
      <c r="BT221" s="3806"/>
      <c r="BU221" s="3806">
        <v>3</v>
      </c>
      <c r="BV221" s="1520"/>
      <c r="BX221" s="36"/>
      <c r="BY221" s="36"/>
      <c r="BZ221" s="36"/>
      <c r="CA221" s="393" t="s">
        <v>15</v>
      </c>
      <c r="CB221" s="1682"/>
      <c r="CC221" s="1682"/>
      <c r="CD221" s="1682">
        <v>1</v>
      </c>
      <c r="CE221" s="1682"/>
      <c r="CF221" s="1682"/>
      <c r="CG221" s="1682">
        <v>13</v>
      </c>
      <c r="CH221" s="1682">
        <v>5</v>
      </c>
      <c r="CI221" s="1682">
        <v>1</v>
      </c>
      <c r="CJ221" s="2041"/>
      <c r="CK221" s="2041"/>
      <c r="CL221" s="2041">
        <v>20</v>
      </c>
      <c r="CM221" s="560">
        <f>+(CL220+CL219+CL217)/CL221</f>
        <v>0.2</v>
      </c>
      <c r="CN221" s="1665"/>
      <c r="CO221" s="37"/>
      <c r="CP221" s="37"/>
      <c r="CQ221" s="37" t="s">
        <v>138</v>
      </c>
      <c r="CR221" s="37" t="s">
        <v>1072</v>
      </c>
      <c r="CS221" s="1678"/>
      <c r="CT221" s="1678"/>
      <c r="CU221" s="1678">
        <v>2</v>
      </c>
      <c r="CV221" s="1678"/>
      <c r="CW221" s="1678"/>
      <c r="CX221" s="1678"/>
      <c r="CY221" s="1678">
        <v>8</v>
      </c>
      <c r="CZ221" s="1678">
        <v>0</v>
      </c>
      <c r="DA221" s="1678"/>
      <c r="DB221" s="63"/>
      <c r="DC221" s="63"/>
      <c r="DD221" s="63">
        <v>10</v>
      </c>
      <c r="DG221" s="95"/>
      <c r="DH221" s="95"/>
      <c r="DI221" s="36"/>
      <c r="DJ221" s="393" t="s">
        <v>15</v>
      </c>
      <c r="DK221" s="1485"/>
      <c r="DL221" s="1485"/>
      <c r="DM221" s="1485"/>
      <c r="DN221" s="1485"/>
      <c r="DO221" s="1485"/>
      <c r="DP221" s="1485"/>
      <c r="DQ221" s="1485">
        <v>1</v>
      </c>
      <c r="DR221" s="1485"/>
      <c r="DS221" s="1485"/>
      <c r="DT221" s="86"/>
      <c r="DU221" s="86"/>
      <c r="DV221" s="86">
        <v>1</v>
      </c>
      <c r="DW221" s="560">
        <f>+DV220/DV221</f>
        <v>1</v>
      </c>
      <c r="DY221" s="1209"/>
      <c r="DZ221" s="1209"/>
      <c r="EA221" s="1210"/>
      <c r="EB221" s="415" t="s">
        <v>15</v>
      </c>
      <c r="EC221" s="1215">
        <v>3</v>
      </c>
      <c r="ED221" s="1215">
        <v>1</v>
      </c>
      <c r="EE221" s="1214"/>
      <c r="EF221" s="1214"/>
      <c r="EG221" s="1215">
        <v>6</v>
      </c>
      <c r="EH221" s="1215">
        <v>4</v>
      </c>
      <c r="EI221" s="1214"/>
      <c r="EJ221" s="1214"/>
      <c r="EK221" s="620"/>
      <c r="EL221" s="620"/>
      <c r="EM221" s="621">
        <v>14</v>
      </c>
      <c r="EN221" s="1178">
        <f>+(EM217+EM219+EM220)/EM221</f>
        <v>0.5714285714285714</v>
      </c>
      <c r="EP221" s="527"/>
      <c r="EQ221" s="527"/>
      <c r="ER221" s="528"/>
      <c r="ES221" s="529" t="s">
        <v>1072</v>
      </c>
      <c r="ET221" s="531">
        <v>6</v>
      </c>
      <c r="EU221" s="531">
        <v>3</v>
      </c>
      <c r="EV221" s="531">
        <v>20</v>
      </c>
      <c r="EW221" s="531">
        <v>3</v>
      </c>
      <c r="EX221" s="531">
        <v>2</v>
      </c>
      <c r="EY221" s="531">
        <v>83</v>
      </c>
      <c r="EZ221" s="531">
        <v>11</v>
      </c>
      <c r="FA221" s="531">
        <v>0</v>
      </c>
      <c r="FB221" s="527"/>
      <c r="FC221" s="527"/>
      <c r="FD221" s="532">
        <v>128</v>
      </c>
      <c r="FE221" s="95"/>
      <c r="FG221" s="533"/>
      <c r="FH221" s="533"/>
      <c r="FI221" s="533"/>
      <c r="FJ221" s="534" t="s">
        <v>1080</v>
      </c>
      <c r="FK221" s="535"/>
      <c r="FL221" s="535"/>
      <c r="FM221" s="535"/>
      <c r="FN221" s="535"/>
      <c r="FO221" s="535"/>
      <c r="FP221" s="536">
        <v>1</v>
      </c>
      <c r="FQ221" s="536">
        <v>0</v>
      </c>
      <c r="FR221" s="535"/>
      <c r="FS221" s="535"/>
      <c r="FT221" s="537"/>
      <c r="FU221" s="537"/>
      <c r="FV221" s="538">
        <v>1</v>
      </c>
      <c r="FW221" s="539"/>
      <c r="FY221" s="540"/>
      <c r="FZ221" s="540"/>
      <c r="GA221" s="540"/>
      <c r="GB221" s="541" t="s">
        <v>1076</v>
      </c>
      <c r="GC221" s="542"/>
      <c r="GD221" s="542"/>
      <c r="GE221" s="542"/>
      <c r="GF221" s="542"/>
      <c r="GG221" s="542"/>
      <c r="GH221" s="543">
        <v>1</v>
      </c>
      <c r="GI221" s="543">
        <v>17</v>
      </c>
      <c r="GJ221" s="543">
        <v>0</v>
      </c>
      <c r="GK221" s="542"/>
      <c r="GL221" s="542"/>
      <c r="GM221" s="543">
        <v>18</v>
      </c>
      <c r="GN221" s="445"/>
      <c r="GP221" s="63"/>
      <c r="GQ221" s="63"/>
      <c r="GR221" s="63"/>
      <c r="GS221" s="37" t="s">
        <v>1076</v>
      </c>
      <c r="GT221" s="63"/>
      <c r="GU221" s="63">
        <v>0</v>
      </c>
      <c r="GV221" s="63"/>
      <c r="GW221" s="63"/>
      <c r="GX221" s="63"/>
      <c r="GY221" s="63">
        <v>2</v>
      </c>
      <c r="GZ221" s="63">
        <v>14</v>
      </c>
      <c r="HA221" s="63">
        <v>0</v>
      </c>
      <c r="HB221" s="63"/>
      <c r="HC221" s="63"/>
      <c r="HD221" s="63">
        <v>16</v>
      </c>
      <c r="HE221" s="37"/>
      <c r="HF221" s="37"/>
      <c r="HG221" s="446"/>
      <c r="HH221" s="446"/>
      <c r="HI221" s="446"/>
      <c r="HJ221" s="446" t="s">
        <v>1076</v>
      </c>
      <c r="HK221" s="446">
        <v>0</v>
      </c>
      <c r="HL221" s="446">
        <v>0</v>
      </c>
      <c r="HM221" s="446">
        <v>0</v>
      </c>
      <c r="HN221" s="446">
        <v>0</v>
      </c>
      <c r="HO221" s="446">
        <v>0</v>
      </c>
      <c r="HP221" s="446">
        <v>0</v>
      </c>
      <c r="HQ221" s="446">
        <v>6</v>
      </c>
      <c r="HR221" s="446">
        <v>6</v>
      </c>
      <c r="HS221" s="446">
        <v>0</v>
      </c>
      <c r="HT221" s="446">
        <v>0</v>
      </c>
      <c r="HU221" s="446">
        <v>0</v>
      </c>
      <c r="HV221" s="447">
        <v>12</v>
      </c>
      <c r="HW221" s="446"/>
      <c r="HX221" s="448"/>
    </row>
    <row r="222" spans="1:232">
      <c r="A222" s="5682"/>
      <c r="B222" s="5682"/>
      <c r="C222" s="5683"/>
      <c r="D222" s="5690" t="s">
        <v>2754</v>
      </c>
      <c r="E222" s="5693">
        <f>SUM(E203:E204,E209:E210,E213:E214,E219)</f>
        <v>21</v>
      </c>
      <c r="F222" s="5682"/>
      <c r="I222" s="4915">
        <v>3</v>
      </c>
      <c r="J222" s="4915">
        <v>3</v>
      </c>
      <c r="K222" s="4916" t="s">
        <v>293</v>
      </c>
      <c r="L222" s="4916" t="s">
        <v>2703</v>
      </c>
      <c r="M222" s="4915">
        <v>1</v>
      </c>
      <c r="N222" s="4915">
        <v>6</v>
      </c>
      <c r="O222" s="157"/>
      <c r="Q222" s="4705"/>
      <c r="R222" s="4744"/>
      <c r="S222" s="4749" t="s">
        <v>16</v>
      </c>
      <c r="T222" s="4737"/>
      <c r="U222" s="4740">
        <f>SUM(U220,U213,U202,U197,U190,U181,U177,U172)</f>
        <v>169</v>
      </c>
      <c r="V222" s="4740"/>
      <c r="W222" s="4750">
        <f>(U221)/(U222)</f>
        <v>0.39644970414201186</v>
      </c>
      <c r="Y222" s="36"/>
      <c r="Z222" s="36"/>
      <c r="AA222" s="36"/>
      <c r="AB222" s="36" t="s">
        <v>1081</v>
      </c>
      <c r="AC222" s="1681"/>
      <c r="AD222" s="1681"/>
      <c r="AE222" s="1681">
        <v>0</v>
      </c>
      <c r="AF222" s="1681">
        <v>0</v>
      </c>
      <c r="AG222" s="1681"/>
      <c r="AH222" s="1681"/>
      <c r="AI222" s="1681">
        <v>0</v>
      </c>
      <c r="AJ222" s="1681">
        <v>1</v>
      </c>
      <c r="AK222" s="1681">
        <v>0</v>
      </c>
      <c r="AL222" s="95"/>
      <c r="AM222" s="95">
        <v>1</v>
      </c>
      <c r="AN222" s="4545"/>
      <c r="AS222" s="3868" t="s">
        <v>1076</v>
      </c>
      <c r="AT222" s="3721"/>
      <c r="AU222" s="3721"/>
      <c r="AV222" s="3721"/>
      <c r="AW222" s="3721"/>
      <c r="AX222" s="3721"/>
      <c r="AY222" s="3721"/>
      <c r="AZ222" s="3721">
        <v>4</v>
      </c>
      <c r="BA222" s="3721"/>
      <c r="BB222" s="3721"/>
      <c r="BC222" s="2110"/>
      <c r="BD222" s="2110"/>
      <c r="BE222" s="2110">
        <v>4</v>
      </c>
      <c r="BF222" s="2110"/>
      <c r="BG222" s="2110"/>
      <c r="BJ222" s="1520"/>
      <c r="BK222" s="1520" t="s">
        <v>1163</v>
      </c>
      <c r="BL222" s="3872">
        <v>0</v>
      </c>
      <c r="BM222" s="3872"/>
      <c r="BN222" s="3872"/>
      <c r="BO222" s="3872">
        <v>0</v>
      </c>
      <c r="BP222" s="3872"/>
      <c r="BQ222" s="3872">
        <v>7</v>
      </c>
      <c r="BR222" s="3872">
        <v>1</v>
      </c>
      <c r="BS222" s="3872"/>
      <c r="BT222" s="3806"/>
      <c r="BU222" s="3806">
        <v>8</v>
      </c>
      <c r="BV222" s="1520"/>
      <c r="BX222" s="36"/>
      <c r="BY222" s="36"/>
      <c r="BZ222" s="36" t="s">
        <v>136</v>
      </c>
      <c r="CA222" s="36" t="s">
        <v>1072</v>
      </c>
      <c r="CB222" s="1681"/>
      <c r="CC222" s="1681"/>
      <c r="CD222" s="1681"/>
      <c r="CE222" s="1681"/>
      <c r="CF222" s="1681"/>
      <c r="CG222" s="1681">
        <v>1</v>
      </c>
      <c r="CH222" s="1681">
        <v>5</v>
      </c>
      <c r="CI222" s="1681">
        <v>0</v>
      </c>
      <c r="CJ222" s="95"/>
      <c r="CK222" s="95"/>
      <c r="CL222" s="95">
        <v>6</v>
      </c>
      <c r="CM222" s="36"/>
      <c r="CO222" s="37"/>
      <c r="CP222" s="37"/>
      <c r="CQ222" s="37"/>
      <c r="CR222" s="37" t="s">
        <v>1076</v>
      </c>
      <c r="CS222" s="1678"/>
      <c r="CT222" s="1678"/>
      <c r="CU222" s="1678">
        <v>0</v>
      </c>
      <c r="CV222" s="1678"/>
      <c r="CW222" s="1678"/>
      <c r="CX222" s="1678"/>
      <c r="CY222" s="1678">
        <v>1</v>
      </c>
      <c r="CZ222" s="1678">
        <v>0</v>
      </c>
      <c r="DA222" s="1678"/>
      <c r="DB222" s="63"/>
      <c r="DC222" s="63"/>
      <c r="DD222" s="63">
        <v>1</v>
      </c>
      <c r="DG222" s="95"/>
      <c r="DH222" s="95"/>
      <c r="DI222" s="36" t="s">
        <v>110</v>
      </c>
      <c r="DJ222" s="36" t="s">
        <v>1072</v>
      </c>
      <c r="DK222" s="1484"/>
      <c r="DL222" s="1484"/>
      <c r="DM222" s="1484"/>
      <c r="DN222" s="1484">
        <v>12</v>
      </c>
      <c r="DO222" s="1484">
        <v>0</v>
      </c>
      <c r="DP222" s="1484"/>
      <c r="DQ222" s="1484"/>
      <c r="DR222" s="1484"/>
      <c r="DS222" s="1484"/>
      <c r="DT222" s="95"/>
      <c r="DU222" s="95"/>
      <c r="DV222" s="95">
        <v>12</v>
      </c>
      <c r="DW222" s="95"/>
      <c r="DY222" s="1209"/>
      <c r="DZ222" s="1209"/>
      <c r="EA222" s="1210" t="s">
        <v>140</v>
      </c>
      <c r="EB222" s="1211" t="s">
        <v>1072</v>
      </c>
      <c r="EC222" s="1212"/>
      <c r="ED222" s="1212"/>
      <c r="EE222" s="1212"/>
      <c r="EF222" s="1212"/>
      <c r="EG222" s="1212"/>
      <c r="EH222" s="1213">
        <v>1</v>
      </c>
      <c r="EI222" s="1213">
        <v>1</v>
      </c>
      <c r="EJ222" s="1213">
        <v>3</v>
      </c>
      <c r="EK222" s="612">
        <v>0</v>
      </c>
      <c r="EL222" s="611"/>
      <c r="EM222" s="612">
        <v>5</v>
      </c>
      <c r="EN222" s="36"/>
      <c r="EP222" s="527"/>
      <c r="EQ222" s="527"/>
      <c r="ER222" s="528"/>
      <c r="ES222" s="529" t="s">
        <v>1074</v>
      </c>
      <c r="ET222" s="531">
        <v>3</v>
      </c>
      <c r="EU222" s="531">
        <v>0</v>
      </c>
      <c r="EV222" s="531">
        <v>0</v>
      </c>
      <c r="EW222" s="531">
        <v>0</v>
      </c>
      <c r="EX222" s="531">
        <v>0</v>
      </c>
      <c r="EY222" s="531">
        <v>0</v>
      </c>
      <c r="EZ222" s="531">
        <v>0</v>
      </c>
      <c r="FA222" s="531">
        <v>0</v>
      </c>
      <c r="FB222" s="527"/>
      <c r="FC222" s="527"/>
      <c r="FD222" s="532">
        <v>3</v>
      </c>
      <c r="FE222" s="95"/>
      <c r="FG222" s="533"/>
      <c r="FH222" s="533"/>
      <c r="FI222" s="533"/>
      <c r="FJ222" s="545" t="s">
        <v>15</v>
      </c>
      <c r="FK222" s="546"/>
      <c r="FL222" s="546"/>
      <c r="FM222" s="546"/>
      <c r="FN222" s="546"/>
      <c r="FO222" s="546"/>
      <c r="FP222" s="547">
        <v>1</v>
      </c>
      <c r="FQ222" s="547">
        <v>23</v>
      </c>
      <c r="FR222" s="546"/>
      <c r="FS222" s="546"/>
      <c r="FT222" s="548"/>
      <c r="FU222" s="548"/>
      <c r="FV222" s="549">
        <v>24</v>
      </c>
      <c r="FW222" s="539">
        <v>0</v>
      </c>
      <c r="FY222" s="540"/>
      <c r="FZ222" s="540"/>
      <c r="GA222" s="540"/>
      <c r="GB222" s="541" t="s">
        <v>1080</v>
      </c>
      <c r="GC222" s="542"/>
      <c r="GD222" s="542"/>
      <c r="GE222" s="542"/>
      <c r="GF222" s="542"/>
      <c r="GG222" s="542"/>
      <c r="GH222" s="543">
        <v>0</v>
      </c>
      <c r="GI222" s="543">
        <v>0</v>
      </c>
      <c r="GJ222" s="543">
        <v>18</v>
      </c>
      <c r="GK222" s="542"/>
      <c r="GL222" s="542"/>
      <c r="GM222" s="543">
        <v>18</v>
      </c>
      <c r="GN222" s="445"/>
      <c r="GP222" s="63"/>
      <c r="GQ222" s="63"/>
      <c r="GR222" s="63"/>
      <c r="GS222" s="37" t="s">
        <v>1080</v>
      </c>
      <c r="GT222" s="63"/>
      <c r="GU222" s="63">
        <v>0</v>
      </c>
      <c r="GV222" s="63"/>
      <c r="GW222" s="63"/>
      <c r="GX222" s="63"/>
      <c r="GY222" s="63">
        <v>0</v>
      </c>
      <c r="GZ222" s="63">
        <v>1</v>
      </c>
      <c r="HA222" s="63">
        <v>18</v>
      </c>
      <c r="HB222" s="63"/>
      <c r="HC222" s="63"/>
      <c r="HD222" s="63">
        <v>19</v>
      </c>
      <c r="HE222" s="37"/>
      <c r="HF222" s="37"/>
      <c r="HG222" s="446"/>
      <c r="HH222" s="446"/>
      <c r="HI222" s="446"/>
      <c r="HJ222" s="446" t="s">
        <v>1080</v>
      </c>
      <c r="HK222" s="446">
        <v>0</v>
      </c>
      <c r="HL222" s="446">
        <v>0</v>
      </c>
      <c r="HM222" s="446">
        <v>0</v>
      </c>
      <c r="HN222" s="446">
        <v>0</v>
      </c>
      <c r="HO222" s="446">
        <v>0</v>
      </c>
      <c r="HP222" s="446">
        <v>0</v>
      </c>
      <c r="HQ222" s="446">
        <v>0</v>
      </c>
      <c r="HR222" s="446">
        <v>2</v>
      </c>
      <c r="HS222" s="446">
        <v>32</v>
      </c>
      <c r="HT222" s="446">
        <v>0</v>
      </c>
      <c r="HU222" s="446">
        <v>0</v>
      </c>
      <c r="HV222" s="447">
        <v>34</v>
      </c>
      <c r="HW222" s="446"/>
      <c r="HX222" s="448"/>
    </row>
    <row r="223" spans="1:232">
      <c r="A223" s="5682"/>
      <c r="B223" s="5682"/>
      <c r="C223" s="5686" t="s">
        <v>41</v>
      </c>
      <c r="D223" s="5683"/>
      <c r="E223" s="5686">
        <f>SUM(E221,E217,E211,E207)</f>
        <v>44</v>
      </c>
      <c r="F223" s="5682"/>
      <c r="G223" s="5692">
        <f>E222/E223</f>
        <v>0.47727272727272729</v>
      </c>
      <c r="I223" s="4915"/>
      <c r="J223" s="4915"/>
      <c r="K223" s="4916"/>
      <c r="L223" s="4916"/>
      <c r="M223" s="4920">
        <f>SUM(M221:M222)</f>
        <v>16</v>
      </c>
      <c r="N223" s="4915"/>
      <c r="O223" s="4921">
        <v>0</v>
      </c>
      <c r="Q223" s="4705">
        <v>3</v>
      </c>
      <c r="R223" s="4713">
        <v>3</v>
      </c>
      <c r="S223" s="4714" t="s">
        <v>2740</v>
      </c>
      <c r="T223" s="4714" t="s">
        <v>2731</v>
      </c>
      <c r="U223" s="4732">
        <v>3</v>
      </c>
      <c r="V223" s="4732">
        <v>8</v>
      </c>
      <c r="W223" s="4722"/>
      <c r="Y223" s="36"/>
      <c r="Z223" s="36"/>
      <c r="AA223" s="36"/>
      <c r="AB223" s="36" t="s">
        <v>15</v>
      </c>
      <c r="AC223" s="1681"/>
      <c r="AD223" s="1681"/>
      <c r="AE223" s="1681">
        <v>1</v>
      </c>
      <c r="AF223" s="1681">
        <v>2</v>
      </c>
      <c r="AG223" s="1681"/>
      <c r="AH223" s="1681"/>
      <c r="AI223" s="1681">
        <v>3</v>
      </c>
      <c r="AJ223" s="1681">
        <v>16</v>
      </c>
      <c r="AK223" s="1681">
        <v>5</v>
      </c>
      <c r="AL223" s="95"/>
      <c r="AM223" s="95">
        <v>27</v>
      </c>
      <c r="AN223" s="560">
        <f>+(AI219+AJ222)/AM223</f>
        <v>7.407407407407407E-2</v>
      </c>
      <c r="AS223" s="3868" t="s">
        <v>1163</v>
      </c>
      <c r="AT223" s="3721"/>
      <c r="AU223" s="3721"/>
      <c r="AV223" s="3721"/>
      <c r="AW223" s="3721"/>
      <c r="AX223" s="3721"/>
      <c r="AY223" s="3721"/>
      <c r="AZ223" s="3721">
        <v>7</v>
      </c>
      <c r="BA223" s="3721"/>
      <c r="BB223" s="3721"/>
      <c r="BC223" s="2110"/>
      <c r="BD223" s="2110"/>
      <c r="BE223" s="2110">
        <v>7</v>
      </c>
      <c r="BF223" s="2110"/>
      <c r="BG223" s="2110"/>
      <c r="BJ223" s="1520"/>
      <c r="BK223" s="1520" t="s">
        <v>483</v>
      </c>
      <c r="BL223" s="3872">
        <v>3</v>
      </c>
      <c r="BM223" s="3872"/>
      <c r="BN223" s="3872"/>
      <c r="BO223" s="3872">
        <v>1</v>
      </c>
      <c r="BP223" s="3872"/>
      <c r="BQ223" s="3872">
        <v>32</v>
      </c>
      <c r="BR223" s="3872">
        <v>2</v>
      </c>
      <c r="BS223" s="3872"/>
      <c r="BT223" s="3806"/>
      <c r="BU223" s="3806">
        <v>38</v>
      </c>
      <c r="BV223" s="3807">
        <f>+(BU220+BU221+BU222)/BU223</f>
        <v>0.55263157894736847</v>
      </c>
      <c r="BX223" s="36"/>
      <c r="BY223" s="36"/>
      <c r="BZ223" s="36"/>
      <c r="CA223" s="36" t="s">
        <v>1076</v>
      </c>
      <c r="CB223" s="1681"/>
      <c r="CC223" s="1681"/>
      <c r="CD223" s="1681"/>
      <c r="CE223" s="1681"/>
      <c r="CF223" s="1681"/>
      <c r="CG223" s="1681">
        <v>1</v>
      </c>
      <c r="CH223" s="1681">
        <v>2</v>
      </c>
      <c r="CI223" s="1681">
        <v>0</v>
      </c>
      <c r="CJ223" s="95"/>
      <c r="CK223" s="95"/>
      <c r="CL223" s="95">
        <v>3</v>
      </c>
      <c r="CM223" s="36"/>
      <c r="CO223" s="37"/>
      <c r="CP223" s="37"/>
      <c r="CQ223" s="37"/>
      <c r="CR223" s="37" t="s">
        <v>1080</v>
      </c>
      <c r="CS223" s="1678"/>
      <c r="CT223" s="1678"/>
      <c r="CU223" s="1678">
        <v>0</v>
      </c>
      <c r="CV223" s="1678"/>
      <c r="CW223" s="1678"/>
      <c r="CX223" s="1678"/>
      <c r="CY223" s="1678">
        <v>0</v>
      </c>
      <c r="CZ223" s="1678">
        <v>1</v>
      </c>
      <c r="DA223" s="1678"/>
      <c r="DB223" s="63"/>
      <c r="DC223" s="63"/>
      <c r="DD223" s="63">
        <v>1</v>
      </c>
      <c r="DG223" s="95"/>
      <c r="DH223" s="95"/>
      <c r="DI223" s="36"/>
      <c r="DJ223" s="36" t="s">
        <v>1076</v>
      </c>
      <c r="DK223" s="1484"/>
      <c r="DL223" s="1484"/>
      <c r="DM223" s="1484"/>
      <c r="DN223" s="1484">
        <v>3</v>
      </c>
      <c r="DO223" s="1484">
        <v>3</v>
      </c>
      <c r="DP223" s="1484"/>
      <c r="DQ223" s="1484"/>
      <c r="DR223" s="1484"/>
      <c r="DS223" s="1484"/>
      <c r="DT223" s="95"/>
      <c r="DU223" s="95"/>
      <c r="DV223" s="95">
        <v>6</v>
      </c>
      <c r="DW223" s="95"/>
      <c r="DY223" s="1209"/>
      <c r="DZ223" s="1209"/>
      <c r="EA223" s="1210"/>
      <c r="EB223" s="1211" t="s">
        <v>1076</v>
      </c>
      <c r="EC223" s="1212"/>
      <c r="ED223" s="1212"/>
      <c r="EE223" s="1212"/>
      <c r="EF223" s="1212"/>
      <c r="EG223" s="1212"/>
      <c r="EH223" s="1213">
        <v>0</v>
      </c>
      <c r="EI223" s="1213">
        <v>2</v>
      </c>
      <c r="EJ223" s="1213">
        <v>0</v>
      </c>
      <c r="EK223" s="612">
        <v>0</v>
      </c>
      <c r="EL223" s="611"/>
      <c r="EM223" s="612">
        <v>2</v>
      </c>
      <c r="EN223" s="36"/>
      <c r="EP223" s="527"/>
      <c r="EQ223" s="527"/>
      <c r="ER223" s="528"/>
      <c r="ES223" s="529" t="s">
        <v>1076</v>
      </c>
      <c r="ET223" s="531">
        <v>0</v>
      </c>
      <c r="EU223" s="531">
        <v>0</v>
      </c>
      <c r="EV223" s="531">
        <v>1</v>
      </c>
      <c r="EW223" s="531">
        <v>0</v>
      </c>
      <c r="EX223" s="531">
        <v>0</v>
      </c>
      <c r="EY223" s="531">
        <v>4</v>
      </c>
      <c r="EZ223" s="531">
        <v>1</v>
      </c>
      <c r="FA223" s="531">
        <v>0</v>
      </c>
      <c r="FB223" s="527"/>
      <c r="FC223" s="527"/>
      <c r="FD223" s="532">
        <v>6</v>
      </c>
      <c r="FE223" s="95"/>
      <c r="FG223" s="533"/>
      <c r="FH223" s="533"/>
      <c r="FI223" s="545" t="s">
        <v>726</v>
      </c>
      <c r="FJ223" s="534" t="s">
        <v>1071</v>
      </c>
      <c r="FK223" s="535"/>
      <c r="FL223" s="536">
        <v>0</v>
      </c>
      <c r="FM223" s="535"/>
      <c r="FN223" s="535"/>
      <c r="FO223" s="535"/>
      <c r="FP223" s="536">
        <v>0</v>
      </c>
      <c r="FQ223" s="536">
        <v>0</v>
      </c>
      <c r="FR223" s="536">
        <v>0</v>
      </c>
      <c r="FS223" s="536">
        <v>0</v>
      </c>
      <c r="FT223" s="538">
        <v>1</v>
      </c>
      <c r="FU223" s="537"/>
      <c r="FV223" s="538">
        <v>1</v>
      </c>
      <c r="FW223" s="539"/>
      <c r="FY223" s="540"/>
      <c r="FZ223" s="540"/>
      <c r="GA223" s="540"/>
      <c r="GB223" s="541" t="s">
        <v>1163</v>
      </c>
      <c r="GC223" s="542"/>
      <c r="GD223" s="542"/>
      <c r="GE223" s="542"/>
      <c r="GF223" s="542"/>
      <c r="GG223" s="542"/>
      <c r="GH223" s="543">
        <v>0</v>
      </c>
      <c r="GI223" s="543">
        <v>3</v>
      </c>
      <c r="GJ223" s="543">
        <v>0</v>
      </c>
      <c r="GK223" s="542"/>
      <c r="GL223" s="542"/>
      <c r="GM223" s="543">
        <v>3</v>
      </c>
      <c r="GN223" s="445"/>
      <c r="GP223" s="63"/>
      <c r="GQ223" s="63"/>
      <c r="GR223" s="63"/>
      <c r="GS223" s="37" t="s">
        <v>1163</v>
      </c>
      <c r="GT223" s="63"/>
      <c r="GU223" s="63">
        <v>0</v>
      </c>
      <c r="GV223" s="63"/>
      <c r="GW223" s="63"/>
      <c r="GX223" s="63"/>
      <c r="GY223" s="63">
        <v>8</v>
      </c>
      <c r="GZ223" s="63">
        <v>5</v>
      </c>
      <c r="HA223" s="63">
        <v>0</v>
      </c>
      <c r="HB223" s="63"/>
      <c r="HC223" s="63"/>
      <c r="HD223" s="63">
        <v>13</v>
      </c>
      <c r="HE223" s="37"/>
      <c r="HF223" s="37"/>
      <c r="HG223" s="446"/>
      <c r="HH223" s="446"/>
      <c r="HI223" s="446"/>
      <c r="HJ223" s="446" t="s">
        <v>1163</v>
      </c>
      <c r="HK223" s="446">
        <v>0</v>
      </c>
      <c r="HL223" s="446">
        <v>0</v>
      </c>
      <c r="HM223" s="446">
        <v>0</v>
      </c>
      <c r="HN223" s="446">
        <v>0</v>
      </c>
      <c r="HO223" s="446">
        <v>0</v>
      </c>
      <c r="HP223" s="446">
        <v>0</v>
      </c>
      <c r="HQ223" s="446">
        <v>3</v>
      </c>
      <c r="HR223" s="446">
        <v>1</v>
      </c>
      <c r="HS223" s="446">
        <v>0</v>
      </c>
      <c r="HT223" s="446">
        <v>0</v>
      </c>
      <c r="HU223" s="446">
        <v>0</v>
      </c>
      <c r="HV223" s="447">
        <v>4</v>
      </c>
      <c r="HW223" s="446"/>
      <c r="HX223" s="448"/>
    </row>
    <row r="224" spans="1:232">
      <c r="A224" s="5682"/>
      <c r="B224" s="5682"/>
      <c r="C224" s="5683"/>
      <c r="D224" s="5690" t="s">
        <v>2754</v>
      </c>
      <c r="E224" s="5693">
        <f>SUM(E222,E200,E164)</f>
        <v>78</v>
      </c>
      <c r="F224" s="5682"/>
      <c r="I224" s="4915">
        <v>3</v>
      </c>
      <c r="J224" s="4915">
        <v>3</v>
      </c>
      <c r="K224" s="4916" t="s">
        <v>330</v>
      </c>
      <c r="L224" s="4916" t="s">
        <v>2709</v>
      </c>
      <c r="M224" s="4915">
        <v>1</v>
      </c>
      <c r="N224" s="4915">
        <v>1</v>
      </c>
      <c r="O224" s="157"/>
      <c r="Q224" s="4705">
        <v>3</v>
      </c>
      <c r="R224" s="4705">
        <v>3</v>
      </c>
      <c r="S224" s="4706" t="s">
        <v>2740</v>
      </c>
      <c r="T224" s="4706" t="s">
        <v>2731</v>
      </c>
      <c r="U224" s="4707">
        <v>3</v>
      </c>
      <c r="V224" s="4707">
        <v>9</v>
      </c>
      <c r="W224" s="4722"/>
      <c r="Y224" s="36"/>
      <c r="Z224" s="36"/>
      <c r="AA224" s="36" t="s">
        <v>1732</v>
      </c>
      <c r="AB224" s="36" t="s">
        <v>1072</v>
      </c>
      <c r="AC224" s="1681">
        <v>0</v>
      </c>
      <c r="AD224" s="1681"/>
      <c r="AE224" s="1681"/>
      <c r="AF224" s="1681"/>
      <c r="AG224" s="1681"/>
      <c r="AH224" s="1681"/>
      <c r="AI224" s="1681">
        <v>1</v>
      </c>
      <c r="AJ224" s="1681">
        <v>0</v>
      </c>
      <c r="AK224" s="1681">
        <v>0</v>
      </c>
      <c r="AL224" s="95"/>
      <c r="AM224" s="95">
        <v>1</v>
      </c>
      <c r="AN224" s="4545"/>
      <c r="AS224" s="3868" t="s">
        <v>15</v>
      </c>
      <c r="AT224" s="3721"/>
      <c r="AU224" s="3721"/>
      <c r="AV224" s="3721"/>
      <c r="AW224" s="3721"/>
      <c r="AX224" s="3721"/>
      <c r="AY224" s="3721"/>
      <c r="AZ224" s="3721">
        <v>12</v>
      </c>
      <c r="BA224" s="3721"/>
      <c r="BB224" s="3721"/>
      <c r="BC224" s="2110"/>
      <c r="BD224" s="2110"/>
      <c r="BE224" s="2110">
        <v>12</v>
      </c>
      <c r="BF224" s="1665">
        <f>+(BE222+BE223)/(BE224)</f>
        <v>0.91666666666666663</v>
      </c>
      <c r="BG224" s="1665"/>
      <c r="BI224" s="32" t="s">
        <v>41</v>
      </c>
      <c r="BJ224" s="32" t="s">
        <v>138</v>
      </c>
      <c r="BK224" s="32" t="s">
        <v>1072</v>
      </c>
      <c r="BL224" s="3871">
        <v>1</v>
      </c>
      <c r="BM224" s="3871"/>
      <c r="BN224" s="3871"/>
      <c r="BO224" s="3871"/>
      <c r="BP224" s="3871"/>
      <c r="BQ224" s="3871">
        <v>11</v>
      </c>
      <c r="BR224" s="3871">
        <v>0</v>
      </c>
      <c r="BS224" s="3871"/>
      <c r="BT224" s="1518"/>
      <c r="BU224" s="1518">
        <v>12</v>
      </c>
      <c r="BX224" s="36"/>
      <c r="BY224" s="36"/>
      <c r="BZ224" s="36"/>
      <c r="CA224" s="36" t="s">
        <v>1080</v>
      </c>
      <c r="CB224" s="1681"/>
      <c r="CC224" s="1681"/>
      <c r="CD224" s="1681"/>
      <c r="CE224" s="1681"/>
      <c r="CF224" s="1681"/>
      <c r="CG224" s="1681">
        <v>0</v>
      </c>
      <c r="CH224" s="1681">
        <v>0</v>
      </c>
      <c r="CI224" s="1681">
        <v>4</v>
      </c>
      <c r="CJ224" s="95"/>
      <c r="CK224" s="95"/>
      <c r="CL224" s="95">
        <v>4</v>
      </c>
      <c r="CM224" s="36"/>
      <c r="CO224" s="37"/>
      <c r="CP224" s="37"/>
      <c r="CQ224" s="37"/>
      <c r="CR224" s="37" t="s">
        <v>1081</v>
      </c>
      <c r="CS224" s="1678"/>
      <c r="CT224" s="1678"/>
      <c r="CU224" s="1678">
        <v>0</v>
      </c>
      <c r="CV224" s="1678"/>
      <c r="CW224" s="1678"/>
      <c r="CX224" s="1678"/>
      <c r="CY224" s="1678">
        <v>1</v>
      </c>
      <c r="CZ224" s="1678">
        <v>0</v>
      </c>
      <c r="DA224" s="1678"/>
      <c r="DB224" s="63"/>
      <c r="DC224" s="63"/>
      <c r="DD224" s="63">
        <v>1</v>
      </c>
      <c r="DG224" s="95"/>
      <c r="DH224" s="95"/>
      <c r="DI224" s="36"/>
      <c r="DJ224" s="36" t="s">
        <v>1081</v>
      </c>
      <c r="DK224" s="1484"/>
      <c r="DL224" s="1484"/>
      <c r="DM224" s="1484"/>
      <c r="DN224" s="1484">
        <v>2</v>
      </c>
      <c r="DO224" s="1484">
        <v>1</v>
      </c>
      <c r="DP224" s="1484"/>
      <c r="DQ224" s="1484"/>
      <c r="DR224" s="1484"/>
      <c r="DS224" s="1484"/>
      <c r="DT224" s="95"/>
      <c r="DU224" s="95"/>
      <c r="DV224" s="95">
        <v>3</v>
      </c>
      <c r="DW224" s="95"/>
      <c r="DY224" s="1209"/>
      <c r="DZ224" s="1209"/>
      <c r="EA224" s="1210"/>
      <c r="EB224" s="1211" t="s">
        <v>1080</v>
      </c>
      <c r="EC224" s="1212"/>
      <c r="ED224" s="1212"/>
      <c r="EE224" s="1212"/>
      <c r="EF224" s="1212"/>
      <c r="EG224" s="1212"/>
      <c r="EH224" s="1213">
        <v>0</v>
      </c>
      <c r="EI224" s="1213">
        <v>0</v>
      </c>
      <c r="EJ224" s="1213">
        <v>3</v>
      </c>
      <c r="EK224" s="612">
        <v>1</v>
      </c>
      <c r="EL224" s="611"/>
      <c r="EM224" s="612">
        <v>4</v>
      </c>
      <c r="EN224" s="36"/>
      <c r="EP224" s="527"/>
      <c r="EQ224" s="527"/>
      <c r="ER224" s="528"/>
      <c r="ES224" s="529" t="s">
        <v>1077</v>
      </c>
      <c r="ET224" s="531">
        <v>0</v>
      </c>
      <c r="EU224" s="531">
        <v>1</v>
      </c>
      <c r="EV224" s="531">
        <v>0</v>
      </c>
      <c r="EW224" s="531">
        <v>0</v>
      </c>
      <c r="EX224" s="531">
        <v>0</v>
      </c>
      <c r="EY224" s="531">
        <v>0</v>
      </c>
      <c r="EZ224" s="531">
        <v>0</v>
      </c>
      <c r="FA224" s="531">
        <v>0</v>
      </c>
      <c r="FB224" s="527"/>
      <c r="FC224" s="527"/>
      <c r="FD224" s="532">
        <v>1</v>
      </c>
      <c r="FE224" s="95"/>
      <c r="FG224" s="533"/>
      <c r="FH224" s="533"/>
      <c r="FI224" s="533"/>
      <c r="FJ224" s="534" t="s">
        <v>1072</v>
      </c>
      <c r="FK224" s="535"/>
      <c r="FL224" s="536">
        <v>1</v>
      </c>
      <c r="FM224" s="535"/>
      <c r="FN224" s="535"/>
      <c r="FO224" s="535"/>
      <c r="FP224" s="536">
        <v>1</v>
      </c>
      <c r="FQ224" s="536">
        <v>29</v>
      </c>
      <c r="FR224" s="536">
        <v>2</v>
      </c>
      <c r="FS224" s="536">
        <v>0</v>
      </c>
      <c r="FT224" s="538">
        <v>0</v>
      </c>
      <c r="FU224" s="537"/>
      <c r="FV224" s="538">
        <v>33</v>
      </c>
      <c r="FW224" s="539"/>
      <c r="GA224" s="540"/>
      <c r="GB224" s="550" t="s">
        <v>485</v>
      </c>
      <c r="GC224" s="551"/>
      <c r="GD224" s="551"/>
      <c r="GE224" s="551"/>
      <c r="GF224" s="551"/>
      <c r="GG224" s="551"/>
      <c r="GH224" s="552">
        <v>2</v>
      </c>
      <c r="GI224" s="552">
        <v>23</v>
      </c>
      <c r="GJ224" s="552">
        <v>19</v>
      </c>
      <c r="GK224" s="551"/>
      <c r="GL224" s="551"/>
      <c r="GM224" s="552">
        <v>44</v>
      </c>
      <c r="GN224" s="553">
        <f>+(GM223+GM221)/GM224</f>
        <v>0.47727272727272729</v>
      </c>
      <c r="GP224" s="63"/>
      <c r="GQ224" s="63"/>
      <c r="GR224" s="63"/>
      <c r="GS224" s="416" t="s">
        <v>15</v>
      </c>
      <c r="GT224" s="386"/>
      <c r="GU224" s="386">
        <v>2</v>
      </c>
      <c r="GV224" s="386"/>
      <c r="GW224" s="386"/>
      <c r="GX224" s="386"/>
      <c r="GY224" s="386">
        <v>11</v>
      </c>
      <c r="GZ224" s="386">
        <v>24</v>
      </c>
      <c r="HA224" s="386">
        <v>19</v>
      </c>
      <c r="HB224" s="386"/>
      <c r="HC224" s="386"/>
      <c r="HD224" s="386">
        <v>56</v>
      </c>
      <c r="HE224" s="466">
        <f>+(HD221+HD223)/HD224</f>
        <v>0.5178571428571429</v>
      </c>
      <c r="HF224" s="37"/>
      <c r="HG224" s="446"/>
      <c r="HH224" s="446"/>
      <c r="HI224" s="446"/>
      <c r="HJ224" s="449" t="s">
        <v>15</v>
      </c>
      <c r="HK224" s="449">
        <v>0</v>
      </c>
      <c r="HL224" s="449">
        <v>0</v>
      </c>
      <c r="HM224" s="449">
        <v>0</v>
      </c>
      <c r="HN224" s="449">
        <v>0</v>
      </c>
      <c r="HO224" s="449">
        <v>0</v>
      </c>
      <c r="HP224" s="449">
        <v>0</v>
      </c>
      <c r="HQ224" s="449">
        <v>9</v>
      </c>
      <c r="HR224" s="449">
        <v>9</v>
      </c>
      <c r="HS224" s="449">
        <v>34</v>
      </c>
      <c r="HT224" s="449">
        <v>0</v>
      </c>
      <c r="HU224" s="449">
        <v>0</v>
      </c>
      <c r="HV224" s="507">
        <v>52</v>
      </c>
      <c r="HW224" s="450">
        <f>+(HV223+HV221)/HV224</f>
        <v>0.30769230769230771</v>
      </c>
      <c r="HX224" s="448">
        <f>+HV221+HV223</f>
        <v>16</v>
      </c>
    </row>
    <row r="225" spans="1:232">
      <c r="A225" s="5696"/>
      <c r="B225" s="5696"/>
      <c r="C225" s="5704" t="s">
        <v>73</v>
      </c>
      <c r="D225" s="5705"/>
      <c r="E225" s="5704">
        <f>SUM(E223,E201,E165)</f>
        <v>228</v>
      </c>
      <c r="F225" s="5706"/>
      <c r="G225" s="5707">
        <f>E224/E225</f>
        <v>0.34210526315789475</v>
      </c>
      <c r="I225" s="4915">
        <v>3</v>
      </c>
      <c r="J225" s="4915">
        <v>3</v>
      </c>
      <c r="K225" s="4916" t="s">
        <v>330</v>
      </c>
      <c r="L225" s="4916" t="s">
        <v>2709</v>
      </c>
      <c r="M225" s="4915">
        <v>1</v>
      </c>
      <c r="N225" s="4915">
        <v>2</v>
      </c>
      <c r="O225" s="157"/>
      <c r="Q225" s="4705">
        <v>3</v>
      </c>
      <c r="R225" s="4705">
        <v>3</v>
      </c>
      <c r="S225" s="4706" t="s">
        <v>2740</v>
      </c>
      <c r="T225" s="4706" t="s">
        <v>2731</v>
      </c>
      <c r="U225" s="4707">
        <v>2</v>
      </c>
      <c r="V225" s="4707">
        <v>10</v>
      </c>
      <c r="W225" s="4722"/>
      <c r="Y225" s="36"/>
      <c r="Z225" s="36"/>
      <c r="AA225" s="36"/>
      <c r="AB225" s="36" t="s">
        <v>1080</v>
      </c>
      <c r="AC225" s="1681">
        <v>0</v>
      </c>
      <c r="AD225" s="1681"/>
      <c r="AE225" s="1681"/>
      <c r="AF225" s="1681"/>
      <c r="AG225" s="1681"/>
      <c r="AH225" s="1681"/>
      <c r="AI225" s="1681">
        <v>0</v>
      </c>
      <c r="AJ225" s="1681">
        <v>0</v>
      </c>
      <c r="AK225" s="1681">
        <v>4</v>
      </c>
      <c r="AL225" s="95"/>
      <c r="AM225" s="95">
        <v>4</v>
      </c>
      <c r="AN225" s="4545"/>
      <c r="AR225" s="3868" t="s">
        <v>110</v>
      </c>
      <c r="AS225" s="3868" t="s">
        <v>1072</v>
      </c>
      <c r="AT225" s="3721"/>
      <c r="AU225" s="3721"/>
      <c r="AV225" s="3721"/>
      <c r="AW225" s="3721"/>
      <c r="AX225" s="3721"/>
      <c r="AY225" s="3721"/>
      <c r="AZ225" s="3721">
        <v>2</v>
      </c>
      <c r="BA225" s="3721"/>
      <c r="BB225" s="3721"/>
      <c r="BC225" s="2110"/>
      <c r="BD225" s="2110"/>
      <c r="BE225" s="2110">
        <v>2</v>
      </c>
      <c r="BF225" s="2110"/>
      <c r="BG225" s="2110"/>
      <c r="BK225" s="32" t="s">
        <v>1080</v>
      </c>
      <c r="BL225" s="3871">
        <v>0</v>
      </c>
      <c r="BM225" s="3871"/>
      <c r="BN225" s="3871"/>
      <c r="BO225" s="3871"/>
      <c r="BP225" s="3871"/>
      <c r="BQ225" s="3871">
        <v>0</v>
      </c>
      <c r="BR225" s="3871">
        <v>3</v>
      </c>
      <c r="BS225" s="3871"/>
      <c r="BT225" s="1518"/>
      <c r="BU225" s="1518">
        <v>3</v>
      </c>
      <c r="BX225" s="36"/>
      <c r="BY225" s="36"/>
      <c r="BZ225" s="36"/>
      <c r="CA225" s="36" t="s">
        <v>1081</v>
      </c>
      <c r="CB225" s="1681"/>
      <c r="CC225" s="1681"/>
      <c r="CD225" s="1681"/>
      <c r="CE225" s="1681"/>
      <c r="CF225" s="1681"/>
      <c r="CG225" s="1681">
        <v>0</v>
      </c>
      <c r="CH225" s="1681">
        <v>1</v>
      </c>
      <c r="CI225" s="1681">
        <v>0</v>
      </c>
      <c r="CJ225" s="95"/>
      <c r="CK225" s="95"/>
      <c r="CL225" s="95">
        <v>1</v>
      </c>
      <c r="CM225" s="36"/>
      <c r="CO225" s="37"/>
      <c r="CP225" s="37"/>
      <c r="CQ225" s="37"/>
      <c r="CR225" s="416" t="s">
        <v>15</v>
      </c>
      <c r="CS225" s="1679"/>
      <c r="CT225" s="1679"/>
      <c r="CU225" s="1679">
        <v>2</v>
      </c>
      <c r="CV225" s="1679"/>
      <c r="CW225" s="1679"/>
      <c r="CX225" s="1679"/>
      <c r="CY225" s="1679">
        <v>10</v>
      </c>
      <c r="CZ225" s="1679">
        <v>1</v>
      </c>
      <c r="DA225" s="1679"/>
      <c r="DB225" s="386"/>
      <c r="DC225" s="386"/>
      <c r="DD225" s="386">
        <v>13</v>
      </c>
      <c r="DE225" s="2045">
        <f>+(DD222+DD224)/DD225</f>
        <v>0.15384615384615385</v>
      </c>
      <c r="DG225" s="95"/>
      <c r="DH225" s="95"/>
      <c r="DI225" s="36"/>
      <c r="DJ225" s="36" t="s">
        <v>1163</v>
      </c>
      <c r="DK225" s="1484"/>
      <c r="DL225" s="1484"/>
      <c r="DM225" s="1484"/>
      <c r="DN225" s="1484">
        <v>10</v>
      </c>
      <c r="DO225" s="1484">
        <v>2</v>
      </c>
      <c r="DP225" s="1484"/>
      <c r="DQ225" s="1484"/>
      <c r="DR225" s="1484"/>
      <c r="DS225" s="1484"/>
      <c r="DT225" s="95"/>
      <c r="DU225" s="95"/>
      <c r="DV225" s="95">
        <v>12</v>
      </c>
      <c r="DW225" s="95"/>
      <c r="DY225" s="1209"/>
      <c r="DZ225" s="1209"/>
      <c r="EA225" s="1210"/>
      <c r="EB225" s="1211" t="s">
        <v>1081</v>
      </c>
      <c r="EC225" s="1212"/>
      <c r="ED225" s="1212"/>
      <c r="EE225" s="1212"/>
      <c r="EF225" s="1212"/>
      <c r="EG225" s="1212"/>
      <c r="EH225" s="1213">
        <v>0</v>
      </c>
      <c r="EI225" s="1213">
        <v>1</v>
      </c>
      <c r="EJ225" s="1213">
        <v>0</v>
      </c>
      <c r="EK225" s="612">
        <v>0</v>
      </c>
      <c r="EL225" s="611"/>
      <c r="EM225" s="612">
        <v>1</v>
      </c>
      <c r="EN225" s="36"/>
      <c r="EP225" s="527"/>
      <c r="EQ225" s="527"/>
      <c r="ER225" s="528"/>
      <c r="ES225" s="529" t="s">
        <v>1080</v>
      </c>
      <c r="ET225" s="531">
        <v>0</v>
      </c>
      <c r="EU225" s="531">
        <v>0</v>
      </c>
      <c r="EV225" s="531">
        <v>0</v>
      </c>
      <c r="EW225" s="531">
        <v>0</v>
      </c>
      <c r="EX225" s="531">
        <v>0</v>
      </c>
      <c r="EY225" s="531">
        <v>0</v>
      </c>
      <c r="EZ225" s="531">
        <v>1</v>
      </c>
      <c r="FA225" s="531">
        <v>11</v>
      </c>
      <c r="FB225" s="527"/>
      <c r="FC225" s="527"/>
      <c r="FD225" s="532">
        <v>12</v>
      </c>
      <c r="FE225" s="95"/>
      <c r="FG225" s="533"/>
      <c r="FH225" s="533"/>
      <c r="FI225" s="533"/>
      <c r="FJ225" s="534" t="s">
        <v>1076</v>
      </c>
      <c r="FK225" s="535"/>
      <c r="FL225" s="536">
        <v>0</v>
      </c>
      <c r="FM225" s="535"/>
      <c r="FN225" s="535"/>
      <c r="FO225" s="535"/>
      <c r="FP225" s="536">
        <v>0</v>
      </c>
      <c r="FQ225" s="536">
        <v>5</v>
      </c>
      <c r="FR225" s="536">
        <v>1</v>
      </c>
      <c r="FS225" s="536">
        <v>0</v>
      </c>
      <c r="FT225" s="538">
        <v>0</v>
      </c>
      <c r="FU225" s="537"/>
      <c r="FV225" s="538">
        <v>6</v>
      </c>
      <c r="FW225" s="539"/>
      <c r="FY225" s="540" t="s">
        <v>48</v>
      </c>
      <c r="GA225" s="540" t="s">
        <v>483</v>
      </c>
      <c r="GB225" s="541" t="s">
        <v>1072</v>
      </c>
      <c r="GC225" s="542"/>
      <c r="GD225" s="543">
        <v>1</v>
      </c>
      <c r="GE225" s="543">
        <v>19</v>
      </c>
      <c r="GF225" s="543">
        <v>4</v>
      </c>
      <c r="GG225" s="542"/>
      <c r="GH225" s="543">
        <v>39</v>
      </c>
      <c r="GI225" s="543">
        <v>8</v>
      </c>
      <c r="GJ225" s="543">
        <v>0</v>
      </c>
      <c r="GK225" s="542"/>
      <c r="GL225" s="542"/>
      <c r="GM225" s="543">
        <v>71</v>
      </c>
      <c r="GN225" s="445"/>
      <c r="GP225" s="63"/>
      <c r="GQ225" s="63" t="s">
        <v>48</v>
      </c>
      <c r="GR225" s="63" t="s">
        <v>16</v>
      </c>
      <c r="GS225" s="37" t="s">
        <v>1076</v>
      </c>
      <c r="GT225" s="63"/>
      <c r="GU225" s="63"/>
      <c r="GV225" s="63">
        <v>1</v>
      </c>
      <c r="GW225" s="63">
        <v>0</v>
      </c>
      <c r="GX225" s="63"/>
      <c r="GY225" s="63"/>
      <c r="GZ225" s="63"/>
      <c r="HA225" s="63"/>
      <c r="HB225" s="63"/>
      <c r="HC225" s="63"/>
      <c r="HD225" s="63">
        <v>1</v>
      </c>
      <c r="HE225" s="37"/>
      <c r="HF225" s="37"/>
      <c r="HG225" s="446"/>
      <c r="HH225" s="446" t="s">
        <v>1146</v>
      </c>
      <c r="HI225" s="446" t="s">
        <v>16</v>
      </c>
      <c r="HJ225" s="446" t="s">
        <v>1071</v>
      </c>
      <c r="HK225" s="446">
        <v>0</v>
      </c>
      <c r="HL225" s="446">
        <v>0</v>
      </c>
      <c r="HM225" s="446">
        <v>0</v>
      </c>
      <c r="HN225" s="446">
        <v>1</v>
      </c>
      <c r="HO225" s="446">
        <v>0</v>
      </c>
      <c r="HP225" s="446">
        <v>0</v>
      </c>
      <c r="HQ225" s="446">
        <v>2</v>
      </c>
      <c r="HR225" s="446">
        <v>0</v>
      </c>
      <c r="HS225" s="446">
        <v>0</v>
      </c>
      <c r="HT225" s="446">
        <v>0</v>
      </c>
      <c r="HU225" s="446">
        <v>0</v>
      </c>
      <c r="HV225" s="447">
        <v>3</v>
      </c>
      <c r="HW225" s="446"/>
      <c r="HX225" s="448"/>
    </row>
    <row r="226" spans="1:232">
      <c r="A226" s="5694">
        <v>3</v>
      </c>
      <c r="B226" s="5694">
        <v>2</v>
      </c>
      <c r="C226" s="5695" t="s">
        <v>2737</v>
      </c>
      <c r="D226" s="5701" t="s">
        <v>2732</v>
      </c>
      <c r="E226" s="5694">
        <v>2</v>
      </c>
      <c r="F226" s="5694">
        <v>6</v>
      </c>
      <c r="I226" s="4915">
        <v>3</v>
      </c>
      <c r="J226" s="4915">
        <v>3</v>
      </c>
      <c r="K226" s="4916" t="s">
        <v>330</v>
      </c>
      <c r="L226" s="4916" t="s">
        <v>2709</v>
      </c>
      <c r="M226" s="4915">
        <v>8</v>
      </c>
      <c r="N226" s="4915">
        <v>6</v>
      </c>
      <c r="O226" s="157"/>
      <c r="Q226" s="4705">
        <v>3</v>
      </c>
      <c r="R226" s="4705">
        <v>3</v>
      </c>
      <c r="S226" s="4706" t="s">
        <v>2740</v>
      </c>
      <c r="T226" s="4708" t="s">
        <v>2707</v>
      </c>
      <c r="U226" s="4709">
        <v>1</v>
      </c>
      <c r="V226" s="4709">
        <v>7</v>
      </c>
      <c r="W226" s="4722"/>
      <c r="X226" s="4452"/>
      <c r="Y226" s="36"/>
      <c r="Z226" s="36"/>
      <c r="AA226" s="36"/>
      <c r="AB226" s="36" t="s">
        <v>1081</v>
      </c>
      <c r="AC226" s="1681">
        <v>0</v>
      </c>
      <c r="AD226" s="1681"/>
      <c r="AE226" s="1681"/>
      <c r="AF226" s="1681"/>
      <c r="AG226" s="1681"/>
      <c r="AH226" s="1681"/>
      <c r="AI226" s="1681">
        <v>0</v>
      </c>
      <c r="AJ226" s="1681">
        <v>1</v>
      </c>
      <c r="AK226" s="1681">
        <v>0</v>
      </c>
      <c r="AL226" s="95"/>
      <c r="AM226" s="95">
        <v>1</v>
      </c>
      <c r="AN226" s="4545"/>
      <c r="AS226" s="3868" t="s">
        <v>15</v>
      </c>
      <c r="AT226" s="3721"/>
      <c r="AU226" s="3721"/>
      <c r="AV226" s="3721"/>
      <c r="AW226" s="3721"/>
      <c r="AX226" s="3721"/>
      <c r="AY226" s="3721"/>
      <c r="AZ226" s="3721">
        <v>2</v>
      </c>
      <c r="BA226" s="3721"/>
      <c r="BB226" s="3721"/>
      <c r="BC226" s="2110"/>
      <c r="BD226" s="2110"/>
      <c r="BE226" s="2110">
        <v>2</v>
      </c>
      <c r="BF226" s="1665">
        <v>0</v>
      </c>
      <c r="BG226" s="1665"/>
      <c r="BK226" s="32" t="s">
        <v>1081</v>
      </c>
      <c r="BL226" s="3871">
        <v>0</v>
      </c>
      <c r="BM226" s="3871"/>
      <c r="BN226" s="3871"/>
      <c r="BO226" s="3871"/>
      <c r="BP226" s="3871"/>
      <c r="BQ226" s="3871">
        <v>1</v>
      </c>
      <c r="BR226" s="3871">
        <v>0</v>
      </c>
      <c r="BS226" s="3871"/>
      <c r="BT226" s="1518"/>
      <c r="BU226" s="1518">
        <v>1</v>
      </c>
      <c r="BX226" s="36"/>
      <c r="BY226" s="36"/>
      <c r="BZ226" s="36"/>
      <c r="CA226" s="36" t="s">
        <v>1163</v>
      </c>
      <c r="CB226" s="1681"/>
      <c r="CC226" s="1681"/>
      <c r="CD226" s="1681"/>
      <c r="CE226" s="1681"/>
      <c r="CF226" s="1681"/>
      <c r="CG226" s="1681">
        <v>1</v>
      </c>
      <c r="CH226" s="1681">
        <v>1</v>
      </c>
      <c r="CI226" s="1681">
        <v>0</v>
      </c>
      <c r="CJ226" s="95"/>
      <c r="CK226" s="95"/>
      <c r="CL226" s="95">
        <v>2</v>
      </c>
      <c r="CM226" s="36"/>
      <c r="CO226" s="37"/>
      <c r="CP226" s="37"/>
      <c r="CQ226" s="37" t="s">
        <v>139</v>
      </c>
      <c r="CR226" s="37" t="s">
        <v>1072</v>
      </c>
      <c r="CS226" s="1678"/>
      <c r="CT226" s="1678">
        <v>1</v>
      </c>
      <c r="CU226" s="1678"/>
      <c r="CV226" s="1678"/>
      <c r="CW226" s="1678"/>
      <c r="CX226" s="1678">
        <v>1</v>
      </c>
      <c r="CY226" s="1678">
        <v>0</v>
      </c>
      <c r="CZ226" s="1678"/>
      <c r="DA226" s="1678"/>
      <c r="DB226" s="63"/>
      <c r="DC226" s="63"/>
      <c r="DD226" s="63">
        <v>2</v>
      </c>
      <c r="DE226" s="757"/>
      <c r="DG226" s="95"/>
      <c r="DH226" s="95"/>
      <c r="DI226" s="36"/>
      <c r="DJ226" s="393" t="s">
        <v>15</v>
      </c>
      <c r="DK226" s="1485"/>
      <c r="DL226" s="1485"/>
      <c r="DM226" s="1485"/>
      <c r="DN226" s="1485">
        <v>27</v>
      </c>
      <c r="DO226" s="1485">
        <v>6</v>
      </c>
      <c r="DP226" s="1485"/>
      <c r="DQ226" s="1485"/>
      <c r="DR226" s="1485"/>
      <c r="DS226" s="1485"/>
      <c r="DT226" s="86"/>
      <c r="DU226" s="86"/>
      <c r="DV226" s="86">
        <v>33</v>
      </c>
      <c r="DW226" s="560">
        <f>+(DV223+DV224+DV225)/DV226</f>
        <v>0.63636363636363635</v>
      </c>
      <c r="DY226" s="1209"/>
      <c r="DZ226" s="1209"/>
      <c r="EA226" s="1210"/>
      <c r="EB226" s="1211" t="s">
        <v>1163</v>
      </c>
      <c r="EC226" s="1212"/>
      <c r="ED226" s="1212"/>
      <c r="EE226" s="1212"/>
      <c r="EF226" s="1212"/>
      <c r="EG226" s="1212"/>
      <c r="EH226" s="1213">
        <v>1</v>
      </c>
      <c r="EI226" s="1213">
        <v>3</v>
      </c>
      <c r="EJ226" s="1213">
        <v>0</v>
      </c>
      <c r="EK226" s="612">
        <v>0</v>
      </c>
      <c r="EL226" s="611"/>
      <c r="EM226" s="612">
        <v>4</v>
      </c>
      <c r="EN226" s="36"/>
      <c r="EP226" s="527"/>
      <c r="EQ226" s="527"/>
      <c r="ER226" s="528"/>
      <c r="ES226" s="529" t="s">
        <v>1081</v>
      </c>
      <c r="ET226" s="531">
        <v>0</v>
      </c>
      <c r="EU226" s="531">
        <v>0</v>
      </c>
      <c r="EV226" s="531">
        <v>6</v>
      </c>
      <c r="EW226" s="531">
        <v>0</v>
      </c>
      <c r="EX226" s="531">
        <v>0</v>
      </c>
      <c r="EY226" s="531">
        <v>12</v>
      </c>
      <c r="EZ226" s="531">
        <v>1</v>
      </c>
      <c r="FA226" s="531">
        <v>0</v>
      </c>
      <c r="FB226" s="527"/>
      <c r="FC226" s="527"/>
      <c r="FD226" s="532">
        <v>19</v>
      </c>
      <c r="FE226" s="95"/>
      <c r="FG226" s="533"/>
      <c r="FH226" s="533"/>
      <c r="FI226" s="533"/>
      <c r="FJ226" s="534" t="s">
        <v>1080</v>
      </c>
      <c r="FK226" s="535"/>
      <c r="FL226" s="536">
        <v>0</v>
      </c>
      <c r="FM226" s="535"/>
      <c r="FN226" s="535"/>
      <c r="FO226" s="535"/>
      <c r="FP226" s="536">
        <v>1</v>
      </c>
      <c r="FQ226" s="536">
        <v>0</v>
      </c>
      <c r="FR226" s="536">
        <v>0</v>
      </c>
      <c r="FS226" s="536">
        <v>0</v>
      </c>
      <c r="FT226" s="538">
        <v>0</v>
      </c>
      <c r="FU226" s="537"/>
      <c r="FV226" s="538">
        <v>1</v>
      </c>
      <c r="FW226" s="539"/>
      <c r="GA226" s="540"/>
      <c r="GB226" s="541" t="s">
        <v>1074</v>
      </c>
      <c r="GC226" s="542"/>
      <c r="GD226" s="543">
        <v>0</v>
      </c>
      <c r="GE226" s="543">
        <v>0</v>
      </c>
      <c r="GF226" s="543">
        <v>1</v>
      </c>
      <c r="GG226" s="542"/>
      <c r="GH226" s="543">
        <v>0</v>
      </c>
      <c r="GI226" s="543">
        <v>0</v>
      </c>
      <c r="GJ226" s="543">
        <v>0</v>
      </c>
      <c r="GK226" s="542"/>
      <c r="GL226" s="542"/>
      <c r="GM226" s="543">
        <v>1</v>
      </c>
      <c r="GN226" s="445"/>
      <c r="GP226" s="63"/>
      <c r="GQ226" s="63"/>
      <c r="GR226" s="63"/>
      <c r="GS226" s="37" t="s">
        <v>1077</v>
      </c>
      <c r="GT226" s="63"/>
      <c r="GU226" s="63"/>
      <c r="GV226" s="63">
        <v>2</v>
      </c>
      <c r="GW226" s="63">
        <v>0</v>
      </c>
      <c r="GX226" s="63"/>
      <c r="GY226" s="63"/>
      <c r="GZ226" s="63"/>
      <c r="HA226" s="63"/>
      <c r="HB226" s="63"/>
      <c r="HC226" s="63"/>
      <c r="HD226" s="63">
        <v>2</v>
      </c>
      <c r="HE226" s="37"/>
      <c r="HF226" s="37"/>
      <c r="HG226" s="446"/>
      <c r="HH226" s="446"/>
      <c r="HI226" s="446"/>
      <c r="HJ226" s="446" t="s">
        <v>1072</v>
      </c>
      <c r="HK226" s="446">
        <v>0</v>
      </c>
      <c r="HL226" s="446">
        <v>1</v>
      </c>
      <c r="HM226" s="446">
        <v>3</v>
      </c>
      <c r="HN226" s="446">
        <v>2</v>
      </c>
      <c r="HO226" s="446">
        <v>4</v>
      </c>
      <c r="HP226" s="446">
        <v>1</v>
      </c>
      <c r="HQ226" s="446">
        <v>49</v>
      </c>
      <c r="HR226" s="446">
        <v>0</v>
      </c>
      <c r="HS226" s="446">
        <v>0</v>
      </c>
      <c r="HT226" s="446">
        <v>0</v>
      </c>
      <c r="HU226" s="446">
        <v>0</v>
      </c>
      <c r="HV226" s="447">
        <v>60</v>
      </c>
      <c r="HW226" s="446"/>
      <c r="HX226" s="448"/>
    </row>
    <row r="227" spans="1:232">
      <c r="A227" s="5682">
        <v>3</v>
      </c>
      <c r="B227" s="5682">
        <v>2</v>
      </c>
      <c r="C227" s="5683" t="s">
        <v>2737</v>
      </c>
      <c r="D227" s="5685" t="s">
        <v>1076</v>
      </c>
      <c r="E227" s="5682">
        <v>2</v>
      </c>
      <c r="F227" s="5682">
        <v>6</v>
      </c>
      <c r="I227" s="4915"/>
      <c r="J227" s="4915"/>
      <c r="K227" s="4916"/>
      <c r="L227" s="4916"/>
      <c r="M227" s="4920">
        <f>SUM(M224:M226)</f>
        <v>10</v>
      </c>
      <c r="N227" s="4915"/>
      <c r="O227" s="4921">
        <v>0</v>
      </c>
      <c r="Q227" s="4705">
        <v>3</v>
      </c>
      <c r="R227" s="4705">
        <v>3</v>
      </c>
      <c r="S227" s="4706" t="s">
        <v>2740</v>
      </c>
      <c r="T227" s="4708" t="s">
        <v>2707</v>
      </c>
      <c r="U227" s="4709">
        <v>2</v>
      </c>
      <c r="V227" s="4709">
        <v>8</v>
      </c>
      <c r="W227" s="4722"/>
      <c r="Y227" s="36"/>
      <c r="Z227" s="36"/>
      <c r="AA227" s="36"/>
      <c r="AB227" s="36" t="s">
        <v>2571</v>
      </c>
      <c r="AC227" s="1681">
        <v>1</v>
      </c>
      <c r="AD227" s="1681"/>
      <c r="AE227" s="1681"/>
      <c r="AF227" s="1681"/>
      <c r="AG227" s="1681"/>
      <c r="AH227" s="1681"/>
      <c r="AI227" s="1681">
        <v>0</v>
      </c>
      <c r="AJ227" s="1681">
        <v>0</v>
      </c>
      <c r="AK227" s="1681">
        <v>0</v>
      </c>
      <c r="AL227" s="95"/>
      <c r="AM227" s="95">
        <v>1</v>
      </c>
      <c r="AN227" s="4545"/>
      <c r="AR227" s="3868" t="s">
        <v>2058</v>
      </c>
      <c r="AS227" s="3868" t="s">
        <v>1072</v>
      </c>
      <c r="AT227" s="3721">
        <v>0</v>
      </c>
      <c r="AU227" s="3721">
        <v>2</v>
      </c>
      <c r="AV227" s="3721"/>
      <c r="AW227" s="3721"/>
      <c r="AX227" s="3721"/>
      <c r="AY227" s="3721"/>
      <c r="AZ227" s="3721">
        <v>0</v>
      </c>
      <c r="BA227" s="3721">
        <v>0</v>
      </c>
      <c r="BB227" s="3721"/>
      <c r="BC227" s="2110"/>
      <c r="BD227" s="2110"/>
      <c r="BE227" s="2110">
        <v>2</v>
      </c>
      <c r="BF227" s="2110"/>
      <c r="BG227" s="2110"/>
      <c r="BK227" s="1520" t="s">
        <v>15</v>
      </c>
      <c r="BL227" s="3872">
        <v>1</v>
      </c>
      <c r="BM227" s="3872"/>
      <c r="BN227" s="3872"/>
      <c r="BO227" s="3872"/>
      <c r="BP227" s="3872"/>
      <c r="BQ227" s="3872">
        <v>12</v>
      </c>
      <c r="BR227" s="3872">
        <v>3</v>
      </c>
      <c r="BS227" s="3872"/>
      <c r="BT227" s="3806"/>
      <c r="BU227" s="3806">
        <v>16</v>
      </c>
      <c r="BV227" s="3807">
        <f>+BU226/BU227</f>
        <v>6.25E-2</v>
      </c>
      <c r="BX227" s="36"/>
      <c r="BY227" s="36"/>
      <c r="BZ227" s="36"/>
      <c r="CA227" s="393" t="s">
        <v>15</v>
      </c>
      <c r="CB227" s="1682"/>
      <c r="CC227" s="1682"/>
      <c r="CD227" s="1682"/>
      <c r="CE227" s="1682"/>
      <c r="CF227" s="1682"/>
      <c r="CG227" s="1682">
        <v>3</v>
      </c>
      <c r="CH227" s="1682">
        <v>9</v>
      </c>
      <c r="CI227" s="1682">
        <v>4</v>
      </c>
      <c r="CJ227" s="2041"/>
      <c r="CK227" s="2041"/>
      <c r="CL227" s="2041">
        <v>16</v>
      </c>
      <c r="CM227" s="560">
        <f>+(CL226+CL225+CL223)/CL227</f>
        <v>0.375</v>
      </c>
      <c r="CN227" s="1665"/>
      <c r="CO227" s="37"/>
      <c r="CP227" s="37"/>
      <c r="CQ227" s="37"/>
      <c r="CR227" s="37" t="s">
        <v>1076</v>
      </c>
      <c r="CS227" s="1678"/>
      <c r="CT227" s="1678">
        <v>0</v>
      </c>
      <c r="CU227" s="1678"/>
      <c r="CV227" s="1678"/>
      <c r="CW227" s="1678"/>
      <c r="CX227" s="1678">
        <v>0</v>
      </c>
      <c r="CY227" s="1678">
        <v>1</v>
      </c>
      <c r="CZ227" s="1678"/>
      <c r="DA227" s="1678"/>
      <c r="DB227" s="63"/>
      <c r="DC227" s="63"/>
      <c r="DD227" s="63">
        <v>1</v>
      </c>
      <c r="DG227" s="95"/>
      <c r="DH227" s="95"/>
      <c r="DI227" s="36" t="s">
        <v>461</v>
      </c>
      <c r="DJ227" s="36" t="s">
        <v>1072</v>
      </c>
      <c r="DK227" s="1484"/>
      <c r="DL227" s="1484"/>
      <c r="DM227" s="1484">
        <v>1</v>
      </c>
      <c r="DN227" s="1484"/>
      <c r="DO227" s="1484"/>
      <c r="DP227" s="1484"/>
      <c r="DQ227" s="1484">
        <v>5</v>
      </c>
      <c r="DR227" s="1484">
        <v>1</v>
      </c>
      <c r="DS227" s="1484">
        <v>0</v>
      </c>
      <c r="DT227" s="95"/>
      <c r="DU227" s="95"/>
      <c r="DV227" s="95">
        <v>7</v>
      </c>
      <c r="DW227" s="95"/>
      <c r="DY227" s="1209"/>
      <c r="DZ227" s="1209"/>
      <c r="EA227" s="1210"/>
      <c r="EB227" s="415" t="s">
        <v>15</v>
      </c>
      <c r="EC227" s="1214"/>
      <c r="ED227" s="1214"/>
      <c r="EE227" s="1214"/>
      <c r="EF227" s="1214"/>
      <c r="EG227" s="1214"/>
      <c r="EH227" s="1215">
        <v>2</v>
      </c>
      <c r="EI227" s="1215">
        <v>7</v>
      </c>
      <c r="EJ227" s="1215">
        <v>6</v>
      </c>
      <c r="EK227" s="621">
        <v>1</v>
      </c>
      <c r="EL227" s="620"/>
      <c r="EM227" s="621">
        <v>16</v>
      </c>
      <c r="EN227" s="1178">
        <f>+(EM223+EM225+EM226)/EM227</f>
        <v>0.4375</v>
      </c>
      <c r="EP227" s="527"/>
      <c r="EQ227" s="527"/>
      <c r="ER227" s="528"/>
      <c r="ES227" s="529" t="s">
        <v>1163</v>
      </c>
      <c r="ET227" s="531">
        <v>0</v>
      </c>
      <c r="EU227" s="531">
        <v>0</v>
      </c>
      <c r="EV227" s="531">
        <v>9</v>
      </c>
      <c r="EW227" s="531">
        <v>1</v>
      </c>
      <c r="EX227" s="531">
        <v>0</v>
      </c>
      <c r="EY227" s="531">
        <v>13</v>
      </c>
      <c r="EZ227" s="531">
        <v>0</v>
      </c>
      <c r="FA227" s="531">
        <v>0</v>
      </c>
      <c r="FB227" s="527"/>
      <c r="FC227" s="527"/>
      <c r="FD227" s="532">
        <v>23</v>
      </c>
      <c r="FE227" s="95"/>
      <c r="FG227" s="533"/>
      <c r="FH227" s="533"/>
      <c r="FI227" s="533"/>
      <c r="FJ227" s="534" t="s">
        <v>1081</v>
      </c>
      <c r="FK227" s="535"/>
      <c r="FL227" s="536">
        <v>0</v>
      </c>
      <c r="FM227" s="535"/>
      <c r="FN227" s="535"/>
      <c r="FO227" s="535"/>
      <c r="FP227" s="536">
        <v>0</v>
      </c>
      <c r="FQ227" s="536">
        <v>8</v>
      </c>
      <c r="FR227" s="536">
        <v>1</v>
      </c>
      <c r="FS227" s="536">
        <v>1</v>
      </c>
      <c r="FT227" s="538">
        <v>0</v>
      </c>
      <c r="FU227" s="537"/>
      <c r="FV227" s="538">
        <v>10</v>
      </c>
      <c r="FW227" s="539"/>
      <c r="GA227" s="540"/>
      <c r="GB227" s="541" t="s">
        <v>1076</v>
      </c>
      <c r="GC227" s="542"/>
      <c r="GD227" s="543">
        <v>0</v>
      </c>
      <c r="GE227" s="543">
        <v>3</v>
      </c>
      <c r="GF227" s="543">
        <v>1</v>
      </c>
      <c r="GG227" s="542"/>
      <c r="GH227" s="543">
        <v>4</v>
      </c>
      <c r="GI227" s="543">
        <v>1</v>
      </c>
      <c r="GJ227" s="543">
        <v>0</v>
      </c>
      <c r="GK227" s="542"/>
      <c r="GL227" s="542"/>
      <c r="GM227" s="543">
        <v>9</v>
      </c>
      <c r="GN227" s="445"/>
      <c r="GP227" s="63"/>
      <c r="GQ227" s="63"/>
      <c r="GR227" s="63"/>
      <c r="GS227" s="37" t="s">
        <v>1081</v>
      </c>
      <c r="GT227" s="63"/>
      <c r="GU227" s="63"/>
      <c r="GV227" s="63">
        <v>2</v>
      </c>
      <c r="GW227" s="63">
        <v>1</v>
      </c>
      <c r="GX227" s="63"/>
      <c r="GY227" s="63"/>
      <c r="GZ227" s="63"/>
      <c r="HA227" s="63"/>
      <c r="HB227" s="63"/>
      <c r="HC227" s="63"/>
      <c r="HD227" s="63">
        <v>3</v>
      </c>
      <c r="HE227" s="37"/>
      <c r="HF227" s="37"/>
      <c r="HG227" s="446"/>
      <c r="HH227" s="446"/>
      <c r="HI227" s="446"/>
      <c r="HJ227" s="446" t="s">
        <v>1076</v>
      </c>
      <c r="HK227" s="446">
        <v>0</v>
      </c>
      <c r="HL227" s="446">
        <v>0</v>
      </c>
      <c r="HM227" s="446">
        <v>0</v>
      </c>
      <c r="HN227" s="446">
        <v>2</v>
      </c>
      <c r="HO227" s="446">
        <v>0</v>
      </c>
      <c r="HP227" s="446">
        <v>0</v>
      </c>
      <c r="HQ227" s="446">
        <v>4</v>
      </c>
      <c r="HR227" s="446">
        <v>1</v>
      </c>
      <c r="HS227" s="446">
        <v>0</v>
      </c>
      <c r="HT227" s="446">
        <v>0</v>
      </c>
      <c r="HU227" s="446">
        <v>0</v>
      </c>
      <c r="HV227" s="447">
        <v>7</v>
      </c>
      <c r="HW227" s="446"/>
      <c r="HX227" s="448"/>
    </row>
    <row r="228" spans="1:232">
      <c r="A228" s="5682">
        <v>3</v>
      </c>
      <c r="B228" s="5682">
        <v>2</v>
      </c>
      <c r="C228" s="5683" t="s">
        <v>2737</v>
      </c>
      <c r="D228" s="5683" t="s">
        <v>2709</v>
      </c>
      <c r="E228" s="5682">
        <v>3</v>
      </c>
      <c r="F228" s="5682">
        <v>6</v>
      </c>
      <c r="I228" s="4915">
        <v>3</v>
      </c>
      <c r="J228" s="4915">
        <v>3</v>
      </c>
      <c r="K228" s="4916" t="s">
        <v>295</v>
      </c>
      <c r="L228" s="4916" t="s">
        <v>2703</v>
      </c>
      <c r="M228" s="4915">
        <v>1</v>
      </c>
      <c r="N228" s="4915">
        <v>1</v>
      </c>
      <c r="O228" s="157"/>
      <c r="Q228" s="4705">
        <v>3</v>
      </c>
      <c r="R228" s="4705">
        <v>3</v>
      </c>
      <c r="S228" s="4706" t="s">
        <v>2740</v>
      </c>
      <c r="T228" s="4706" t="s">
        <v>2709</v>
      </c>
      <c r="U228" s="4707">
        <v>1</v>
      </c>
      <c r="V228" s="4707">
        <v>1</v>
      </c>
      <c r="W228" s="4722"/>
      <c r="Y228" s="36"/>
      <c r="Z228" s="36"/>
      <c r="AA228" s="36"/>
      <c r="AB228" s="36" t="s">
        <v>15</v>
      </c>
      <c r="AC228" s="1681">
        <v>1</v>
      </c>
      <c r="AD228" s="1681"/>
      <c r="AE228" s="1681"/>
      <c r="AF228" s="1681"/>
      <c r="AG228" s="1681"/>
      <c r="AH228" s="1681"/>
      <c r="AI228" s="1681">
        <v>1</v>
      </c>
      <c r="AJ228" s="1681">
        <v>1</v>
      </c>
      <c r="AK228" s="1681">
        <v>4</v>
      </c>
      <c r="AL228" s="95"/>
      <c r="AM228" s="95">
        <v>7</v>
      </c>
      <c r="AN228" s="560">
        <f>+AJ226/(AM228-AM227)</f>
        <v>0.16666666666666666</v>
      </c>
      <c r="AS228" s="3868" t="s">
        <v>1076</v>
      </c>
      <c r="AT228" s="3721">
        <v>0</v>
      </c>
      <c r="AU228" s="3721">
        <v>0</v>
      </c>
      <c r="AV228" s="3721"/>
      <c r="AW228" s="3721"/>
      <c r="AX228" s="3721"/>
      <c r="AY228" s="3721"/>
      <c r="AZ228" s="3721">
        <v>1</v>
      </c>
      <c r="BA228" s="3721">
        <v>1</v>
      </c>
      <c r="BB228" s="3721"/>
      <c r="BC228" s="2110"/>
      <c r="BD228" s="2110"/>
      <c r="BE228" s="2110">
        <v>2</v>
      </c>
      <c r="BF228" s="2110"/>
      <c r="BG228" s="2110"/>
      <c r="BJ228" s="32" t="s">
        <v>414</v>
      </c>
      <c r="BK228" s="32" t="s">
        <v>1072</v>
      </c>
      <c r="BL228" s="3871"/>
      <c r="BM228" s="3871">
        <v>2</v>
      </c>
      <c r="BN228" s="3871"/>
      <c r="BO228" s="3871"/>
      <c r="BP228" s="3871"/>
      <c r="BQ228" s="3871">
        <v>9</v>
      </c>
      <c r="BR228" s="3871"/>
      <c r="BS228" s="3871"/>
      <c r="BT228" s="1518"/>
      <c r="BU228" s="1518">
        <v>11</v>
      </c>
      <c r="BX228" s="36"/>
      <c r="BY228" s="36"/>
      <c r="BZ228" s="36" t="s">
        <v>127</v>
      </c>
      <c r="CA228" s="36" t="s">
        <v>1163</v>
      </c>
      <c r="CB228" s="1681"/>
      <c r="CC228" s="1681"/>
      <c r="CD228" s="1681"/>
      <c r="CE228" s="1681"/>
      <c r="CF228" s="1681"/>
      <c r="CG228" s="1681">
        <v>7</v>
      </c>
      <c r="CH228" s="1681"/>
      <c r="CI228" s="1681"/>
      <c r="CJ228" s="95"/>
      <c r="CK228" s="95"/>
      <c r="CL228" s="95">
        <v>7</v>
      </c>
      <c r="CM228" s="36"/>
      <c r="CO228" s="37"/>
      <c r="CP228" s="37"/>
      <c r="CQ228" s="37"/>
      <c r="CR228" s="37" t="s">
        <v>1081</v>
      </c>
      <c r="CS228" s="1678"/>
      <c r="CT228" s="1678">
        <v>0</v>
      </c>
      <c r="CU228" s="1678"/>
      <c r="CV228" s="1678"/>
      <c r="CW228" s="1678"/>
      <c r="CX228" s="1678">
        <v>2</v>
      </c>
      <c r="CY228" s="1678">
        <v>2</v>
      </c>
      <c r="CZ228" s="1678"/>
      <c r="DA228" s="1678"/>
      <c r="DB228" s="63"/>
      <c r="DC228" s="63"/>
      <c r="DD228" s="63">
        <v>4</v>
      </c>
      <c r="DG228" s="95"/>
      <c r="DH228" s="95"/>
      <c r="DI228" s="36"/>
      <c r="DJ228" s="36" t="s">
        <v>1076</v>
      </c>
      <c r="DK228" s="1484"/>
      <c r="DL228" s="1484"/>
      <c r="DM228" s="1484">
        <v>0</v>
      </c>
      <c r="DN228" s="1484"/>
      <c r="DO228" s="1484"/>
      <c r="DP228" s="1484"/>
      <c r="DQ228" s="1484">
        <v>1</v>
      </c>
      <c r="DR228" s="1484">
        <v>1</v>
      </c>
      <c r="DS228" s="1484">
        <v>0</v>
      </c>
      <c r="DT228" s="95"/>
      <c r="DU228" s="95"/>
      <c r="DV228" s="95">
        <v>2</v>
      </c>
      <c r="DW228" s="95"/>
      <c r="DY228" s="1209"/>
      <c r="DZ228" s="1209"/>
      <c r="EA228" s="1210" t="s">
        <v>141</v>
      </c>
      <c r="EB228" s="1211" t="s">
        <v>1072</v>
      </c>
      <c r="EC228" s="1212"/>
      <c r="ED228" s="1212"/>
      <c r="EE228" s="1212"/>
      <c r="EF228" s="1212"/>
      <c r="EG228" s="1212"/>
      <c r="EH228" s="1213">
        <v>10</v>
      </c>
      <c r="EI228" s="1213">
        <v>1</v>
      </c>
      <c r="EJ228" s="1212"/>
      <c r="EK228" s="612">
        <v>0</v>
      </c>
      <c r="EL228" s="611"/>
      <c r="EM228" s="612">
        <v>11</v>
      </c>
      <c r="EN228" s="36"/>
      <c r="EP228" s="527"/>
      <c r="EQ228" s="527"/>
      <c r="ER228" s="528"/>
      <c r="ES228" s="555" t="s">
        <v>483</v>
      </c>
      <c r="ET228" s="557">
        <v>9</v>
      </c>
      <c r="EU228" s="557">
        <v>4</v>
      </c>
      <c r="EV228" s="557">
        <v>37</v>
      </c>
      <c r="EW228" s="557">
        <v>5</v>
      </c>
      <c r="EX228" s="557">
        <v>2</v>
      </c>
      <c r="EY228" s="557">
        <v>112</v>
      </c>
      <c r="EZ228" s="557">
        <v>14</v>
      </c>
      <c r="FA228" s="557">
        <v>11</v>
      </c>
      <c r="FB228" s="558"/>
      <c r="FC228" s="558"/>
      <c r="FD228" s="559">
        <v>194</v>
      </c>
      <c r="FE228" s="560">
        <f>+(FD223+FD226+FD227)/FD228</f>
        <v>0.24742268041237114</v>
      </c>
      <c r="FG228" s="533"/>
      <c r="FH228" s="533"/>
      <c r="FI228" s="533"/>
      <c r="FJ228" s="534" t="s">
        <v>1163</v>
      </c>
      <c r="FK228" s="535"/>
      <c r="FL228" s="536">
        <v>0</v>
      </c>
      <c r="FM228" s="535"/>
      <c r="FN228" s="535"/>
      <c r="FO228" s="535"/>
      <c r="FP228" s="536">
        <v>0</v>
      </c>
      <c r="FQ228" s="536">
        <v>5</v>
      </c>
      <c r="FR228" s="536">
        <v>1</v>
      </c>
      <c r="FS228" s="536">
        <v>1</v>
      </c>
      <c r="FT228" s="538">
        <v>0</v>
      </c>
      <c r="FU228" s="537"/>
      <c r="FV228" s="538">
        <v>7</v>
      </c>
      <c r="FW228" s="539"/>
      <c r="GA228" s="540"/>
      <c r="GB228" s="541" t="s">
        <v>1080</v>
      </c>
      <c r="GC228" s="542"/>
      <c r="GD228" s="543">
        <v>0</v>
      </c>
      <c r="GE228" s="543">
        <v>0</v>
      </c>
      <c r="GF228" s="543">
        <v>0</v>
      </c>
      <c r="GG228" s="542"/>
      <c r="GH228" s="543">
        <v>0</v>
      </c>
      <c r="GI228" s="543">
        <v>1</v>
      </c>
      <c r="GJ228" s="543">
        <v>19</v>
      </c>
      <c r="GK228" s="542"/>
      <c r="GL228" s="542"/>
      <c r="GM228" s="543">
        <v>20</v>
      </c>
      <c r="GN228" s="445"/>
      <c r="GP228" s="63"/>
      <c r="GQ228" s="63"/>
      <c r="GR228" s="63"/>
      <c r="GS228" s="37" t="s">
        <v>1163</v>
      </c>
      <c r="GT228" s="63"/>
      <c r="GU228" s="63"/>
      <c r="GV228" s="63">
        <v>9</v>
      </c>
      <c r="GW228" s="63">
        <v>1</v>
      </c>
      <c r="GX228" s="63"/>
      <c r="GY228" s="63"/>
      <c r="GZ228" s="63"/>
      <c r="HA228" s="63"/>
      <c r="HB228" s="63"/>
      <c r="HC228" s="63"/>
      <c r="HD228" s="63">
        <v>10</v>
      </c>
      <c r="HE228" s="37"/>
      <c r="HF228" s="37"/>
      <c r="HG228" s="446"/>
      <c r="HH228" s="446"/>
      <c r="HI228" s="446"/>
      <c r="HJ228" s="446" t="s">
        <v>1077</v>
      </c>
      <c r="HK228" s="446">
        <v>0</v>
      </c>
      <c r="HL228" s="446">
        <v>0</v>
      </c>
      <c r="HM228" s="446">
        <v>1</v>
      </c>
      <c r="HN228" s="446">
        <v>0</v>
      </c>
      <c r="HO228" s="446">
        <v>0</v>
      </c>
      <c r="HP228" s="446">
        <v>0</v>
      </c>
      <c r="HQ228" s="446">
        <v>1</v>
      </c>
      <c r="HR228" s="446">
        <v>0</v>
      </c>
      <c r="HS228" s="446">
        <v>0</v>
      </c>
      <c r="HT228" s="446">
        <v>0</v>
      </c>
      <c r="HU228" s="446">
        <v>0</v>
      </c>
      <c r="HV228" s="447">
        <v>2</v>
      </c>
      <c r="HW228" s="446"/>
      <c r="HX228" s="448"/>
    </row>
    <row r="229" spans="1:232">
      <c r="A229" s="5682"/>
      <c r="B229" s="5682"/>
      <c r="C229" s="5683"/>
      <c r="D229" s="5683"/>
      <c r="E229" s="5686">
        <f>SUM(E226:E228)</f>
        <v>7</v>
      </c>
      <c r="F229" s="5682"/>
      <c r="G229" s="4921">
        <f>(E226+E227)/(E229)</f>
        <v>0.5714285714285714</v>
      </c>
      <c r="I229" s="4915"/>
      <c r="J229" s="4915"/>
      <c r="K229" s="4916"/>
      <c r="L229" s="4916"/>
      <c r="M229" s="4920">
        <f>SUM(M228)</f>
        <v>1</v>
      </c>
      <c r="N229" s="4915"/>
      <c r="O229" s="157"/>
      <c r="Q229" s="4705">
        <v>3</v>
      </c>
      <c r="R229" s="4705">
        <v>3</v>
      </c>
      <c r="S229" s="4706" t="s">
        <v>2740</v>
      </c>
      <c r="T229" s="4706" t="s">
        <v>2709</v>
      </c>
      <c r="U229" s="4707">
        <v>2</v>
      </c>
      <c r="V229" s="4707">
        <v>6</v>
      </c>
      <c r="W229" s="4722"/>
      <c r="X229" s="4452"/>
      <c r="Y229" s="36"/>
      <c r="Z229" s="36"/>
      <c r="AA229" s="36" t="s">
        <v>2661</v>
      </c>
      <c r="AB229" s="36" t="s">
        <v>1072</v>
      </c>
      <c r="AC229" s="1681"/>
      <c r="AD229" s="1681"/>
      <c r="AE229" s="1681"/>
      <c r="AF229" s="1681">
        <v>0</v>
      </c>
      <c r="AG229" s="1681"/>
      <c r="AH229" s="1681"/>
      <c r="AI229" s="1681">
        <v>8</v>
      </c>
      <c r="AJ229" s="1681"/>
      <c r="AK229" s="1681"/>
      <c r="AL229" s="95"/>
      <c r="AM229" s="95">
        <v>8</v>
      </c>
      <c r="AN229" s="4545"/>
      <c r="AS229" s="3868" t="s">
        <v>2571</v>
      </c>
      <c r="AT229" s="3721">
        <v>1</v>
      </c>
      <c r="AU229" s="3721">
        <v>0</v>
      </c>
      <c r="AV229" s="3721"/>
      <c r="AW229" s="3721"/>
      <c r="AX229" s="3721"/>
      <c r="AY229" s="3721"/>
      <c r="AZ229" s="3721">
        <v>0</v>
      </c>
      <c r="BA229" s="3721">
        <v>0</v>
      </c>
      <c r="BB229" s="3721"/>
      <c r="BC229" s="2110"/>
      <c r="BD229" s="2110"/>
      <c r="BE229" s="2110">
        <v>1</v>
      </c>
      <c r="BF229" s="2110"/>
      <c r="BG229" s="2110"/>
      <c r="BK229" s="1520" t="s">
        <v>15</v>
      </c>
      <c r="BL229" s="3872"/>
      <c r="BM229" s="3872">
        <v>2</v>
      </c>
      <c r="BN229" s="3872"/>
      <c r="BO229" s="3872"/>
      <c r="BP229" s="3872"/>
      <c r="BQ229" s="3872">
        <v>9</v>
      </c>
      <c r="BR229" s="3872"/>
      <c r="BS229" s="3872"/>
      <c r="BT229" s="3806"/>
      <c r="BU229" s="3806">
        <v>11</v>
      </c>
      <c r="BV229" s="3807">
        <v>0</v>
      </c>
      <c r="BX229" s="36"/>
      <c r="BY229" s="36"/>
      <c r="BZ229" s="36"/>
      <c r="CA229" s="393" t="s">
        <v>15</v>
      </c>
      <c r="CB229" s="1682"/>
      <c r="CC229" s="1682"/>
      <c r="CD229" s="1682"/>
      <c r="CE229" s="1682"/>
      <c r="CF229" s="1682"/>
      <c r="CG229" s="1682">
        <v>7</v>
      </c>
      <c r="CH229" s="1682"/>
      <c r="CI229" s="1682"/>
      <c r="CJ229" s="2041"/>
      <c r="CK229" s="2041"/>
      <c r="CL229" s="2041">
        <v>7</v>
      </c>
      <c r="CM229" s="560">
        <f>+CL228/CL229</f>
        <v>1</v>
      </c>
      <c r="CN229" s="1665"/>
      <c r="CO229" s="37"/>
      <c r="CP229" s="37"/>
      <c r="CQ229" s="37"/>
      <c r="CR229" s="37" t="s">
        <v>1163</v>
      </c>
      <c r="CS229" s="1678"/>
      <c r="CT229" s="1678">
        <v>0</v>
      </c>
      <c r="CU229" s="1678"/>
      <c r="CV229" s="1678"/>
      <c r="CW229" s="1678"/>
      <c r="CX229" s="1678">
        <v>2</v>
      </c>
      <c r="CY229" s="1678">
        <v>6</v>
      </c>
      <c r="CZ229" s="1678"/>
      <c r="DA229" s="1678"/>
      <c r="DB229" s="63"/>
      <c r="DC229" s="63"/>
      <c r="DD229" s="63">
        <v>8</v>
      </c>
      <c r="DG229" s="95"/>
      <c r="DH229" s="95"/>
      <c r="DI229" s="36"/>
      <c r="DJ229" s="36" t="s">
        <v>1081</v>
      </c>
      <c r="DK229" s="1484"/>
      <c r="DL229" s="1484"/>
      <c r="DM229" s="1484">
        <v>0</v>
      </c>
      <c r="DN229" s="1484"/>
      <c r="DO229" s="1484"/>
      <c r="DP229" s="1484"/>
      <c r="DQ229" s="1484">
        <v>2</v>
      </c>
      <c r="DR229" s="1484">
        <v>0</v>
      </c>
      <c r="DS229" s="1484">
        <v>1</v>
      </c>
      <c r="DT229" s="95"/>
      <c r="DU229" s="95"/>
      <c r="DV229" s="95">
        <v>3</v>
      </c>
      <c r="DW229" s="95"/>
      <c r="DY229" s="1209"/>
      <c r="DZ229" s="1209"/>
      <c r="EA229" s="1210"/>
      <c r="EB229" s="1211" t="s">
        <v>1076</v>
      </c>
      <c r="EC229" s="1212"/>
      <c r="ED229" s="1212"/>
      <c r="EE229" s="1212"/>
      <c r="EF229" s="1212"/>
      <c r="EG229" s="1212"/>
      <c r="EH229" s="1213">
        <v>4</v>
      </c>
      <c r="EI229" s="1213">
        <v>0</v>
      </c>
      <c r="EJ229" s="1212"/>
      <c r="EK229" s="612">
        <v>0</v>
      </c>
      <c r="EL229" s="611"/>
      <c r="EM229" s="612">
        <v>4</v>
      </c>
      <c r="EN229" s="36"/>
      <c r="EP229" s="527"/>
      <c r="EQ229" s="527" t="s">
        <v>41</v>
      </c>
      <c r="ER229" s="528" t="s">
        <v>137</v>
      </c>
      <c r="ES229" s="529" t="s">
        <v>1072</v>
      </c>
      <c r="ET229" s="530"/>
      <c r="EU229" s="530"/>
      <c r="EV229" s="531">
        <v>18</v>
      </c>
      <c r="EW229" s="531">
        <v>0</v>
      </c>
      <c r="EX229" s="530"/>
      <c r="EY229" s="530"/>
      <c r="EZ229" s="530"/>
      <c r="FA229" s="530"/>
      <c r="FB229" s="527"/>
      <c r="FC229" s="527"/>
      <c r="FD229" s="532">
        <v>18</v>
      </c>
      <c r="FE229" s="95"/>
      <c r="FG229" s="533"/>
      <c r="FH229" s="533"/>
      <c r="FI229" s="533"/>
      <c r="FJ229" s="545" t="s">
        <v>726</v>
      </c>
      <c r="FK229" s="546"/>
      <c r="FL229" s="547">
        <v>1</v>
      </c>
      <c r="FM229" s="546"/>
      <c r="FN229" s="546"/>
      <c r="FO229" s="546"/>
      <c r="FP229" s="547">
        <v>2</v>
      </c>
      <c r="FQ229" s="547">
        <v>47</v>
      </c>
      <c r="FR229" s="547">
        <v>5</v>
      </c>
      <c r="FS229" s="547">
        <v>2</v>
      </c>
      <c r="FT229" s="549">
        <v>1</v>
      </c>
      <c r="FU229" s="548"/>
      <c r="FV229" s="549">
        <v>58</v>
      </c>
      <c r="FW229" s="539">
        <f>+(FV228+FV227+FV225)/FV229</f>
        <v>0.39655172413793105</v>
      </c>
      <c r="GA229" s="540"/>
      <c r="GB229" s="541" t="s">
        <v>1081</v>
      </c>
      <c r="GC229" s="542"/>
      <c r="GD229" s="543">
        <v>0</v>
      </c>
      <c r="GE229" s="543">
        <v>5</v>
      </c>
      <c r="GF229" s="543">
        <v>4</v>
      </c>
      <c r="GG229" s="542"/>
      <c r="GH229" s="543">
        <v>3</v>
      </c>
      <c r="GI229" s="543">
        <v>2</v>
      </c>
      <c r="GJ229" s="543">
        <v>0</v>
      </c>
      <c r="GK229" s="542"/>
      <c r="GL229" s="542"/>
      <c r="GM229" s="543">
        <v>14</v>
      </c>
      <c r="GN229" s="445"/>
      <c r="GP229" s="63"/>
      <c r="GQ229" s="63"/>
      <c r="GR229" s="63"/>
      <c r="GS229" s="416" t="s">
        <v>15</v>
      </c>
      <c r="GT229" s="386"/>
      <c r="GU229" s="386"/>
      <c r="GV229" s="386">
        <v>14</v>
      </c>
      <c r="GW229" s="386">
        <v>2</v>
      </c>
      <c r="GX229" s="386"/>
      <c r="GY229" s="386"/>
      <c r="GZ229" s="386"/>
      <c r="HA229" s="386"/>
      <c r="HB229" s="386"/>
      <c r="HC229" s="386"/>
      <c r="HD229" s="386">
        <v>16</v>
      </c>
      <c r="HE229" s="466">
        <f>+(HD225+HD227+HD228)/HD229</f>
        <v>0.875</v>
      </c>
      <c r="HF229" s="37"/>
      <c r="HG229" s="446"/>
      <c r="HH229" s="446"/>
      <c r="HI229" s="446"/>
      <c r="HJ229" s="446" t="s">
        <v>1080</v>
      </c>
      <c r="HK229" s="446">
        <v>0</v>
      </c>
      <c r="HL229" s="446">
        <v>0</v>
      </c>
      <c r="HM229" s="446">
        <v>0</v>
      </c>
      <c r="HN229" s="446">
        <v>0</v>
      </c>
      <c r="HO229" s="446">
        <v>0</v>
      </c>
      <c r="HP229" s="446">
        <v>0</v>
      </c>
      <c r="HQ229" s="446">
        <v>0</v>
      </c>
      <c r="HR229" s="446">
        <v>7</v>
      </c>
      <c r="HS229" s="446">
        <v>10</v>
      </c>
      <c r="HT229" s="446">
        <v>0</v>
      </c>
      <c r="HU229" s="446">
        <v>0</v>
      </c>
      <c r="HV229" s="447">
        <v>17</v>
      </c>
      <c r="HW229" s="446"/>
      <c r="HX229" s="448"/>
    </row>
    <row r="230" spans="1:232">
      <c r="A230" s="5682">
        <v>3</v>
      </c>
      <c r="B230" s="5682">
        <v>2</v>
      </c>
      <c r="C230" s="5683" t="s">
        <v>2058</v>
      </c>
      <c r="D230" s="5683" t="s">
        <v>2731</v>
      </c>
      <c r="E230" s="5682">
        <v>1</v>
      </c>
      <c r="F230" s="5682">
        <v>9</v>
      </c>
      <c r="I230" s="4915">
        <v>3</v>
      </c>
      <c r="J230" s="4915">
        <v>3</v>
      </c>
      <c r="K230" s="4916" t="s">
        <v>292</v>
      </c>
      <c r="L230" s="4916" t="s">
        <v>2731</v>
      </c>
      <c r="M230" s="4915">
        <v>6</v>
      </c>
      <c r="N230" s="4915">
        <v>7</v>
      </c>
      <c r="O230" s="157"/>
      <c r="Q230" s="4705">
        <v>3</v>
      </c>
      <c r="R230" s="4705">
        <v>3</v>
      </c>
      <c r="S230" s="4706" t="s">
        <v>2740</v>
      </c>
      <c r="T230" s="4706" t="s">
        <v>2709</v>
      </c>
      <c r="U230" s="4707">
        <v>1</v>
      </c>
      <c r="V230" s="4707">
        <v>7</v>
      </c>
      <c r="W230" s="4722"/>
      <c r="Y230" s="36"/>
      <c r="Z230" s="36"/>
      <c r="AA230" s="36"/>
      <c r="AB230" s="36" t="s">
        <v>1077</v>
      </c>
      <c r="AC230" s="1681"/>
      <c r="AD230" s="1681"/>
      <c r="AE230" s="1681"/>
      <c r="AF230" s="1681">
        <v>1</v>
      </c>
      <c r="AG230" s="1681"/>
      <c r="AH230" s="1681"/>
      <c r="AI230" s="1681">
        <v>0</v>
      </c>
      <c r="AJ230" s="1681"/>
      <c r="AK230" s="1681"/>
      <c r="AL230" s="95"/>
      <c r="AM230" s="95">
        <v>1</v>
      </c>
      <c r="AN230" s="4545"/>
      <c r="AS230" s="3868" t="s">
        <v>1163</v>
      </c>
      <c r="AT230" s="3721">
        <v>0</v>
      </c>
      <c r="AU230" s="3721">
        <v>0</v>
      </c>
      <c r="AV230" s="3721"/>
      <c r="AW230" s="3721"/>
      <c r="AX230" s="3721"/>
      <c r="AY230" s="3721"/>
      <c r="AZ230" s="3721">
        <v>0</v>
      </c>
      <c r="BA230" s="3721">
        <v>1</v>
      </c>
      <c r="BB230" s="3721"/>
      <c r="BC230" s="2110"/>
      <c r="BD230" s="2110"/>
      <c r="BE230" s="2110">
        <v>1</v>
      </c>
      <c r="BF230" s="2110"/>
      <c r="BG230" s="2110"/>
      <c r="BJ230" s="32" t="s">
        <v>140</v>
      </c>
      <c r="BK230" s="32" t="s">
        <v>1072</v>
      </c>
      <c r="BL230" s="3871">
        <v>1</v>
      </c>
      <c r="BM230" s="3871"/>
      <c r="BN230" s="3871">
        <v>1</v>
      </c>
      <c r="BO230" s="3871"/>
      <c r="BP230" s="3871">
        <v>1</v>
      </c>
      <c r="BQ230" s="3871">
        <v>3</v>
      </c>
      <c r="BR230" s="3871">
        <v>1</v>
      </c>
      <c r="BS230" s="3871">
        <v>0</v>
      </c>
      <c r="BT230" s="1518">
        <v>0</v>
      </c>
      <c r="BU230" s="1518">
        <v>7</v>
      </c>
      <c r="BX230" s="36"/>
      <c r="BY230" s="36"/>
      <c r="BZ230" s="36" t="s">
        <v>110</v>
      </c>
      <c r="CA230" s="36" t="s">
        <v>1163</v>
      </c>
      <c r="CB230" s="1681"/>
      <c r="CC230" s="1681"/>
      <c r="CD230" s="1681">
        <v>1</v>
      </c>
      <c r="CE230" s="1681"/>
      <c r="CF230" s="1681"/>
      <c r="CG230" s="1681"/>
      <c r="CH230" s="1681"/>
      <c r="CI230" s="1681"/>
      <c r="CJ230" s="95"/>
      <c r="CK230" s="95"/>
      <c r="CL230" s="95">
        <v>1</v>
      </c>
      <c r="CM230" s="36"/>
      <c r="CO230" s="37"/>
      <c r="CP230" s="37"/>
      <c r="CQ230" s="37"/>
      <c r="CR230" s="416" t="s">
        <v>15</v>
      </c>
      <c r="CS230" s="1679"/>
      <c r="CT230" s="1679">
        <v>1</v>
      </c>
      <c r="CU230" s="1679"/>
      <c r="CV230" s="1679"/>
      <c r="CW230" s="1679"/>
      <c r="CX230" s="1679">
        <v>5</v>
      </c>
      <c r="CY230" s="1679">
        <v>9</v>
      </c>
      <c r="CZ230" s="1679"/>
      <c r="DA230" s="1679"/>
      <c r="DB230" s="386"/>
      <c r="DC230" s="386"/>
      <c r="DD230" s="386">
        <v>15</v>
      </c>
      <c r="DE230" s="2045">
        <f>+(DD227+DD228+DD229)/DD230</f>
        <v>0.8666666666666667</v>
      </c>
      <c r="DG230" s="95"/>
      <c r="DH230" s="95"/>
      <c r="DI230" s="36"/>
      <c r="DJ230" s="36" t="s">
        <v>1163</v>
      </c>
      <c r="DK230" s="1484"/>
      <c r="DL230" s="1484"/>
      <c r="DM230" s="1484">
        <v>0</v>
      </c>
      <c r="DN230" s="1484"/>
      <c r="DO230" s="1484"/>
      <c r="DP230" s="1484"/>
      <c r="DQ230" s="1484">
        <v>6</v>
      </c>
      <c r="DR230" s="1484">
        <v>3</v>
      </c>
      <c r="DS230" s="1484">
        <v>0</v>
      </c>
      <c r="DT230" s="95"/>
      <c r="DU230" s="95"/>
      <c r="DV230" s="95">
        <v>9</v>
      </c>
      <c r="DW230" s="95"/>
      <c r="DY230" s="1209"/>
      <c r="DZ230" s="1209"/>
      <c r="EA230" s="1210"/>
      <c r="EB230" s="1211" t="s">
        <v>1080</v>
      </c>
      <c r="EC230" s="1212"/>
      <c r="ED230" s="1212"/>
      <c r="EE230" s="1212"/>
      <c r="EF230" s="1212"/>
      <c r="EG230" s="1212"/>
      <c r="EH230" s="1213">
        <v>0</v>
      </c>
      <c r="EI230" s="1213">
        <v>1</v>
      </c>
      <c r="EJ230" s="1212"/>
      <c r="EK230" s="612">
        <v>1</v>
      </c>
      <c r="EL230" s="611"/>
      <c r="EM230" s="612">
        <v>2</v>
      </c>
      <c r="EN230" s="36"/>
      <c r="EP230" s="527"/>
      <c r="EQ230" s="527"/>
      <c r="ER230" s="528"/>
      <c r="ES230" s="529" t="s">
        <v>1081</v>
      </c>
      <c r="ET230" s="530"/>
      <c r="EU230" s="530"/>
      <c r="EV230" s="531">
        <v>1</v>
      </c>
      <c r="EW230" s="531">
        <v>0</v>
      </c>
      <c r="EX230" s="530"/>
      <c r="EY230" s="530"/>
      <c r="EZ230" s="530"/>
      <c r="FA230" s="530"/>
      <c r="FB230" s="527"/>
      <c r="FC230" s="527"/>
      <c r="FD230" s="532">
        <v>1</v>
      </c>
      <c r="FE230" s="95"/>
      <c r="FG230" s="533"/>
      <c r="FH230" s="533"/>
      <c r="FI230" s="545" t="s">
        <v>412</v>
      </c>
      <c r="FJ230" s="534" t="s">
        <v>1071</v>
      </c>
      <c r="FK230" s="536">
        <v>0</v>
      </c>
      <c r="FL230" s="536">
        <v>0</v>
      </c>
      <c r="FM230" s="535"/>
      <c r="FN230" s="536">
        <v>0</v>
      </c>
      <c r="FO230" s="535"/>
      <c r="FP230" s="536">
        <v>0</v>
      </c>
      <c r="FQ230" s="536">
        <v>0</v>
      </c>
      <c r="FR230" s="536">
        <v>0</v>
      </c>
      <c r="FS230" s="536">
        <v>0</v>
      </c>
      <c r="FT230" s="538">
        <v>1</v>
      </c>
      <c r="FU230" s="537"/>
      <c r="FV230" s="538">
        <v>1</v>
      </c>
      <c r="FW230" s="539"/>
      <c r="GA230" s="540"/>
      <c r="GB230" s="541" t="s">
        <v>1163</v>
      </c>
      <c r="GC230" s="542"/>
      <c r="GD230" s="543">
        <v>0</v>
      </c>
      <c r="GE230" s="543">
        <v>8</v>
      </c>
      <c r="GF230" s="543">
        <v>0</v>
      </c>
      <c r="GG230" s="542"/>
      <c r="GH230" s="543">
        <v>7</v>
      </c>
      <c r="GI230" s="543">
        <v>6</v>
      </c>
      <c r="GJ230" s="543">
        <v>0</v>
      </c>
      <c r="GK230" s="542"/>
      <c r="GL230" s="542"/>
      <c r="GM230" s="543">
        <v>21</v>
      </c>
      <c r="GN230" s="445"/>
      <c r="GP230" s="63"/>
      <c r="GQ230" s="63"/>
      <c r="GR230" s="63" t="s">
        <v>41</v>
      </c>
      <c r="GS230" s="37" t="s">
        <v>1071</v>
      </c>
      <c r="GT230" s="63"/>
      <c r="GU230" s="63"/>
      <c r="GV230" s="63">
        <v>0</v>
      </c>
      <c r="GW230" s="63">
        <v>0</v>
      </c>
      <c r="GX230" s="63">
        <v>0</v>
      </c>
      <c r="GY230" s="63">
        <v>0</v>
      </c>
      <c r="GZ230" s="63">
        <v>0</v>
      </c>
      <c r="HA230" s="63">
        <v>2</v>
      </c>
      <c r="HB230" s="63"/>
      <c r="HC230" s="63">
        <v>0</v>
      </c>
      <c r="HD230" s="63">
        <v>2</v>
      </c>
      <c r="HE230" s="37"/>
      <c r="HF230" s="37"/>
      <c r="HG230" s="446"/>
      <c r="HH230" s="446"/>
      <c r="HI230" s="446"/>
      <c r="HJ230" s="446" t="s">
        <v>1081</v>
      </c>
      <c r="HK230" s="446">
        <v>0</v>
      </c>
      <c r="HL230" s="446">
        <v>0</v>
      </c>
      <c r="HM230" s="446">
        <v>0</v>
      </c>
      <c r="HN230" s="446">
        <v>3</v>
      </c>
      <c r="HO230" s="446">
        <v>0</v>
      </c>
      <c r="HP230" s="446">
        <v>0</v>
      </c>
      <c r="HQ230" s="446">
        <v>8</v>
      </c>
      <c r="HR230" s="446">
        <v>3</v>
      </c>
      <c r="HS230" s="446">
        <v>0</v>
      </c>
      <c r="HT230" s="446">
        <v>0</v>
      </c>
      <c r="HU230" s="446">
        <v>0</v>
      </c>
      <c r="HV230" s="447">
        <v>14</v>
      </c>
      <c r="HW230" s="446"/>
      <c r="HX230" s="448"/>
    </row>
    <row r="231" spans="1:232">
      <c r="A231" s="5682">
        <v>3</v>
      </c>
      <c r="B231" s="5682">
        <v>2</v>
      </c>
      <c r="C231" s="5683" t="s">
        <v>2058</v>
      </c>
      <c r="D231" s="5683" t="s">
        <v>2731</v>
      </c>
      <c r="E231" s="5682">
        <v>4</v>
      </c>
      <c r="F231" s="5682">
        <v>10</v>
      </c>
      <c r="I231" s="4915">
        <v>3</v>
      </c>
      <c r="J231" s="4915">
        <v>3</v>
      </c>
      <c r="K231" s="4916" t="s">
        <v>292</v>
      </c>
      <c r="L231" s="4916" t="s">
        <v>2731</v>
      </c>
      <c r="M231" s="4915">
        <v>6</v>
      </c>
      <c r="N231" s="4915">
        <v>8</v>
      </c>
      <c r="O231" s="157"/>
      <c r="Q231" s="4705"/>
      <c r="R231" s="4705"/>
      <c r="S231" s="4706"/>
      <c r="T231" s="4706"/>
      <c r="U231" s="4741">
        <f>SUM(U223:U230)</f>
        <v>15</v>
      </c>
      <c r="V231" s="4741"/>
      <c r="W231" s="4722">
        <f>(U226+U227)/(U231)</f>
        <v>0.2</v>
      </c>
      <c r="Y231" s="36"/>
      <c r="Z231" s="36"/>
      <c r="AA231" s="36"/>
      <c r="AB231" s="36" t="s">
        <v>1081</v>
      </c>
      <c r="AC231" s="1681"/>
      <c r="AD231" s="1681"/>
      <c r="AE231" s="1681"/>
      <c r="AF231" s="1681">
        <v>0</v>
      </c>
      <c r="AG231" s="1681"/>
      <c r="AH231" s="1681"/>
      <c r="AI231" s="1681">
        <v>1</v>
      </c>
      <c r="AJ231" s="1681"/>
      <c r="AK231" s="1681"/>
      <c r="AL231" s="95"/>
      <c r="AM231" s="95">
        <v>1</v>
      </c>
      <c r="AN231" s="4545"/>
      <c r="AS231" s="3868" t="s">
        <v>15</v>
      </c>
      <c r="AT231" s="3721">
        <v>1</v>
      </c>
      <c r="AU231" s="3721">
        <v>2</v>
      </c>
      <c r="AV231" s="3721"/>
      <c r="AW231" s="3721"/>
      <c r="AX231" s="3721"/>
      <c r="AY231" s="3721"/>
      <c r="AZ231" s="3721">
        <v>1</v>
      </c>
      <c r="BA231" s="3721">
        <v>2</v>
      </c>
      <c r="BB231" s="3721"/>
      <c r="BC231" s="2110"/>
      <c r="BD231" s="2110"/>
      <c r="BE231" s="2110">
        <v>6</v>
      </c>
      <c r="BF231" s="1665">
        <f>+(BE228+BE230)/(BE231-BE229)</f>
        <v>0.6</v>
      </c>
      <c r="BG231" s="1665"/>
      <c r="BK231" s="32" t="s">
        <v>1076</v>
      </c>
      <c r="BL231" s="3871">
        <v>0</v>
      </c>
      <c r="BM231" s="3871"/>
      <c r="BN231" s="3871">
        <v>0</v>
      </c>
      <c r="BO231" s="3871"/>
      <c r="BP231" s="3871">
        <v>0</v>
      </c>
      <c r="BQ231" s="3871">
        <v>0</v>
      </c>
      <c r="BR231" s="3871">
        <v>1</v>
      </c>
      <c r="BS231" s="3871">
        <v>2</v>
      </c>
      <c r="BT231" s="1518">
        <v>0</v>
      </c>
      <c r="BU231" s="1518">
        <v>3</v>
      </c>
      <c r="BX231" s="36"/>
      <c r="BY231" s="36"/>
      <c r="BZ231" s="36"/>
      <c r="CA231" s="393" t="s">
        <v>15</v>
      </c>
      <c r="CB231" s="1682"/>
      <c r="CC231" s="1682"/>
      <c r="CD231" s="1682">
        <v>1</v>
      </c>
      <c r="CE231" s="1682"/>
      <c r="CF231" s="1682"/>
      <c r="CG231" s="1682"/>
      <c r="CH231" s="1682"/>
      <c r="CI231" s="1682"/>
      <c r="CJ231" s="2041"/>
      <c r="CK231" s="2041"/>
      <c r="CL231" s="2041">
        <v>1</v>
      </c>
      <c r="CM231" s="560">
        <f>+CL230/CL231</f>
        <v>1</v>
      </c>
      <c r="CN231" s="1665"/>
      <c r="CO231" s="37"/>
      <c r="CP231" s="37"/>
      <c r="CQ231" s="37" t="s">
        <v>414</v>
      </c>
      <c r="CR231" s="37" t="s">
        <v>1072</v>
      </c>
      <c r="CS231" s="1678"/>
      <c r="CT231" s="1678">
        <v>0</v>
      </c>
      <c r="CU231" s="1678"/>
      <c r="CV231" s="1678"/>
      <c r="CW231" s="1678"/>
      <c r="CX231" s="1678"/>
      <c r="CY231" s="1678">
        <v>6</v>
      </c>
      <c r="CZ231" s="1678"/>
      <c r="DA231" s="1678"/>
      <c r="DB231" s="63"/>
      <c r="DC231" s="63"/>
      <c r="DD231" s="63">
        <v>6</v>
      </c>
      <c r="DG231" s="95"/>
      <c r="DH231" s="95"/>
      <c r="DI231" s="36"/>
      <c r="DJ231" s="393" t="s">
        <v>15</v>
      </c>
      <c r="DK231" s="1485"/>
      <c r="DL231" s="1485"/>
      <c r="DM231" s="1485">
        <v>1</v>
      </c>
      <c r="DN231" s="1485"/>
      <c r="DO231" s="1485"/>
      <c r="DP231" s="1485"/>
      <c r="DQ231" s="1485">
        <v>14</v>
      </c>
      <c r="DR231" s="1485">
        <v>5</v>
      </c>
      <c r="DS231" s="1485">
        <v>1</v>
      </c>
      <c r="DT231" s="86"/>
      <c r="DU231" s="86"/>
      <c r="DV231" s="86">
        <v>21</v>
      </c>
      <c r="DW231" s="560">
        <f>+(DV228+DV229+DV230)/DV231</f>
        <v>0.66666666666666663</v>
      </c>
      <c r="DY231" s="1209"/>
      <c r="DZ231" s="1209"/>
      <c r="EA231" s="1210"/>
      <c r="EB231" s="1211" t="s">
        <v>1081</v>
      </c>
      <c r="EC231" s="1212"/>
      <c r="ED231" s="1212"/>
      <c r="EE231" s="1212"/>
      <c r="EF231" s="1212"/>
      <c r="EG231" s="1212"/>
      <c r="EH231" s="1213">
        <v>2</v>
      </c>
      <c r="EI231" s="1213">
        <v>3</v>
      </c>
      <c r="EJ231" s="1212"/>
      <c r="EK231" s="612">
        <v>0</v>
      </c>
      <c r="EL231" s="611"/>
      <c r="EM231" s="612">
        <v>5</v>
      </c>
      <c r="EN231" s="36"/>
      <c r="EP231" s="527"/>
      <c r="EQ231" s="527"/>
      <c r="ER231" s="528"/>
      <c r="ES231" s="529" t="s">
        <v>1163</v>
      </c>
      <c r="ET231" s="530"/>
      <c r="EU231" s="530"/>
      <c r="EV231" s="531">
        <v>0</v>
      </c>
      <c r="EW231" s="531">
        <v>1</v>
      </c>
      <c r="EX231" s="530"/>
      <c r="EY231" s="530"/>
      <c r="EZ231" s="530"/>
      <c r="FA231" s="530"/>
      <c r="FB231" s="527"/>
      <c r="FC231" s="527"/>
      <c r="FD231" s="532">
        <v>1</v>
      </c>
      <c r="FE231" s="95"/>
      <c r="FG231" s="533"/>
      <c r="FH231" s="533"/>
      <c r="FI231" s="533"/>
      <c r="FJ231" s="534" t="s">
        <v>1072</v>
      </c>
      <c r="FK231" s="536">
        <v>2</v>
      </c>
      <c r="FL231" s="536">
        <v>3</v>
      </c>
      <c r="FM231" s="535"/>
      <c r="FN231" s="536">
        <v>6</v>
      </c>
      <c r="FO231" s="535"/>
      <c r="FP231" s="536">
        <v>2</v>
      </c>
      <c r="FQ231" s="536">
        <v>48</v>
      </c>
      <c r="FR231" s="536">
        <v>11</v>
      </c>
      <c r="FS231" s="536">
        <v>0</v>
      </c>
      <c r="FT231" s="538">
        <v>0</v>
      </c>
      <c r="FU231" s="537"/>
      <c r="FV231" s="538">
        <v>72</v>
      </c>
      <c r="FW231" s="539"/>
      <c r="GA231" s="540"/>
      <c r="GB231" s="550" t="s">
        <v>483</v>
      </c>
      <c r="GC231" s="551"/>
      <c r="GD231" s="552">
        <v>1</v>
      </c>
      <c r="GE231" s="552">
        <v>35</v>
      </c>
      <c r="GF231" s="552">
        <v>10</v>
      </c>
      <c r="GG231" s="551"/>
      <c r="GH231" s="552">
        <v>53</v>
      </c>
      <c r="GI231" s="552">
        <v>18</v>
      </c>
      <c r="GJ231" s="552">
        <v>19</v>
      </c>
      <c r="GK231" s="551"/>
      <c r="GL231" s="551"/>
      <c r="GM231" s="552">
        <v>136</v>
      </c>
      <c r="GN231" s="553">
        <f>+(GM230+GM229+GM227)/GM231</f>
        <v>0.3235294117647059</v>
      </c>
      <c r="GP231" s="63"/>
      <c r="GQ231" s="63"/>
      <c r="GR231" s="63"/>
      <c r="GS231" s="37" t="s">
        <v>1072</v>
      </c>
      <c r="GT231" s="63"/>
      <c r="GU231" s="63"/>
      <c r="GV231" s="63">
        <v>1</v>
      </c>
      <c r="GW231" s="63">
        <v>0</v>
      </c>
      <c r="GX231" s="63">
        <v>1</v>
      </c>
      <c r="GY231" s="63">
        <v>29</v>
      </c>
      <c r="GZ231" s="63">
        <v>3</v>
      </c>
      <c r="HA231" s="63">
        <v>1</v>
      </c>
      <c r="HB231" s="63"/>
      <c r="HC231" s="63">
        <v>0</v>
      </c>
      <c r="HD231" s="63">
        <v>35</v>
      </c>
      <c r="HE231" s="37"/>
      <c r="HF231" s="37"/>
      <c r="HG231" s="446"/>
      <c r="HH231" s="446"/>
      <c r="HI231" s="446"/>
      <c r="HJ231" s="446" t="s">
        <v>1163</v>
      </c>
      <c r="HK231" s="446">
        <v>0</v>
      </c>
      <c r="HL231" s="446">
        <v>0</v>
      </c>
      <c r="HM231" s="446">
        <v>0</v>
      </c>
      <c r="HN231" s="446">
        <v>3</v>
      </c>
      <c r="HO231" s="446">
        <v>0</v>
      </c>
      <c r="HP231" s="446">
        <v>0</v>
      </c>
      <c r="HQ231" s="446">
        <v>11</v>
      </c>
      <c r="HR231" s="446">
        <v>3</v>
      </c>
      <c r="HS231" s="446">
        <v>0</v>
      </c>
      <c r="HT231" s="446">
        <v>0</v>
      </c>
      <c r="HU231" s="446">
        <v>0</v>
      </c>
      <c r="HV231" s="447">
        <v>17</v>
      </c>
      <c r="HW231" s="446"/>
      <c r="HX231" s="448"/>
    </row>
    <row r="232" spans="1:232">
      <c r="A232" s="5682">
        <v>3</v>
      </c>
      <c r="B232" s="5682">
        <v>2</v>
      </c>
      <c r="C232" s="5683" t="s">
        <v>2058</v>
      </c>
      <c r="D232" s="5685" t="s">
        <v>1076</v>
      </c>
      <c r="E232" s="5682">
        <v>1</v>
      </c>
      <c r="F232" s="5682">
        <v>8</v>
      </c>
      <c r="I232" s="4915">
        <v>3</v>
      </c>
      <c r="J232" s="4915">
        <v>3</v>
      </c>
      <c r="K232" s="4916" t="s">
        <v>292</v>
      </c>
      <c r="L232" s="4917" t="s">
        <v>2707</v>
      </c>
      <c r="M232" s="4922">
        <v>1</v>
      </c>
      <c r="N232" s="4915">
        <v>6</v>
      </c>
      <c r="O232" s="157"/>
      <c r="Q232" s="4705">
        <v>3</v>
      </c>
      <c r="R232" s="4705">
        <v>3</v>
      </c>
      <c r="S232" s="4706" t="s">
        <v>292</v>
      </c>
      <c r="T232" s="4706" t="s">
        <v>2731</v>
      </c>
      <c r="U232" s="4707">
        <v>2</v>
      </c>
      <c r="V232" s="4707">
        <v>8</v>
      </c>
      <c r="W232" s="4722"/>
      <c r="Y232" s="36"/>
      <c r="Z232" s="36"/>
      <c r="AA232" s="36"/>
      <c r="AB232" s="36" t="s">
        <v>15</v>
      </c>
      <c r="AC232" s="1681"/>
      <c r="AD232" s="1681"/>
      <c r="AE232" s="1681"/>
      <c r="AF232" s="1681">
        <v>1</v>
      </c>
      <c r="AG232" s="1681"/>
      <c r="AH232" s="1681"/>
      <c r="AI232" s="1681">
        <v>9</v>
      </c>
      <c r="AJ232" s="1681"/>
      <c r="AK232" s="1681"/>
      <c r="AL232" s="95"/>
      <c r="AM232" s="95">
        <v>10</v>
      </c>
      <c r="AN232" s="560">
        <f>+AI231/AM232</f>
        <v>0.1</v>
      </c>
      <c r="AR232" s="3868" t="s">
        <v>2061</v>
      </c>
      <c r="AS232" s="3868" t="s">
        <v>1071</v>
      </c>
      <c r="AT232" s="3721"/>
      <c r="AU232" s="3721">
        <v>0</v>
      </c>
      <c r="AV232" s="3721"/>
      <c r="AW232" s="3721"/>
      <c r="AX232" s="3721"/>
      <c r="AY232" s="3721">
        <v>1</v>
      </c>
      <c r="AZ232" s="3721">
        <v>0</v>
      </c>
      <c r="BA232" s="3721"/>
      <c r="BB232" s="3721"/>
      <c r="BC232" s="2110"/>
      <c r="BD232" s="2110"/>
      <c r="BE232" s="2110">
        <v>1</v>
      </c>
      <c r="BF232" s="2110"/>
      <c r="BG232" s="2110"/>
      <c r="BK232" s="32" t="s">
        <v>1080</v>
      </c>
      <c r="BL232" s="3871">
        <v>0</v>
      </c>
      <c r="BM232" s="3871"/>
      <c r="BN232" s="3871">
        <v>0</v>
      </c>
      <c r="BO232" s="3871"/>
      <c r="BP232" s="3871">
        <v>0</v>
      </c>
      <c r="BQ232" s="3871">
        <v>0</v>
      </c>
      <c r="BR232" s="3871">
        <v>1</v>
      </c>
      <c r="BS232" s="3871">
        <v>1</v>
      </c>
      <c r="BT232" s="1518">
        <v>1</v>
      </c>
      <c r="BU232" s="1518">
        <v>3</v>
      </c>
      <c r="BX232" s="36"/>
      <c r="BY232" s="36"/>
      <c r="BZ232" s="36" t="s">
        <v>461</v>
      </c>
      <c r="CA232" s="36" t="s">
        <v>1071</v>
      </c>
      <c r="CB232" s="1681"/>
      <c r="CC232" s="1681">
        <v>0</v>
      </c>
      <c r="CD232" s="1681">
        <v>0</v>
      </c>
      <c r="CE232" s="1681">
        <v>0</v>
      </c>
      <c r="CF232" s="1681">
        <v>1</v>
      </c>
      <c r="CG232" s="1681">
        <v>0</v>
      </c>
      <c r="CH232" s="1681">
        <v>0</v>
      </c>
      <c r="CI232" s="1681"/>
      <c r="CJ232" s="95">
        <v>0</v>
      </c>
      <c r="CK232" s="95"/>
      <c r="CL232" s="95">
        <v>1</v>
      </c>
      <c r="CM232" s="36"/>
      <c r="CO232" s="37"/>
      <c r="CP232" s="37"/>
      <c r="CQ232" s="37"/>
      <c r="CR232" s="37" t="s">
        <v>1074</v>
      </c>
      <c r="CS232" s="1678"/>
      <c r="CT232" s="1678">
        <v>1</v>
      </c>
      <c r="CU232" s="1678"/>
      <c r="CV232" s="1678"/>
      <c r="CW232" s="1678"/>
      <c r="CX232" s="1678"/>
      <c r="CY232" s="1678">
        <v>0</v>
      </c>
      <c r="CZ232" s="1678"/>
      <c r="DA232" s="1678"/>
      <c r="DB232" s="63"/>
      <c r="DC232" s="63"/>
      <c r="DD232" s="63">
        <v>1</v>
      </c>
      <c r="DG232" s="95"/>
      <c r="DH232" s="95"/>
      <c r="DI232" s="36" t="s">
        <v>529</v>
      </c>
      <c r="DJ232" s="36" t="s">
        <v>1072</v>
      </c>
      <c r="DK232" s="1484"/>
      <c r="DL232" s="1484"/>
      <c r="DM232" s="1484">
        <v>2</v>
      </c>
      <c r="DN232" s="1484"/>
      <c r="DO232" s="1484"/>
      <c r="DP232" s="1484"/>
      <c r="DQ232" s="1484">
        <v>14</v>
      </c>
      <c r="DR232" s="1484">
        <v>1</v>
      </c>
      <c r="DS232" s="1484"/>
      <c r="DT232" s="95"/>
      <c r="DU232" s="95"/>
      <c r="DV232" s="95">
        <v>17</v>
      </c>
      <c r="DW232" s="95"/>
      <c r="DY232" s="1209"/>
      <c r="DZ232" s="1209"/>
      <c r="EA232" s="1210"/>
      <c r="EB232" s="1211" t="s">
        <v>1163</v>
      </c>
      <c r="EC232" s="1212"/>
      <c r="ED232" s="1212"/>
      <c r="EE232" s="1212"/>
      <c r="EF232" s="1212"/>
      <c r="EG232" s="1212"/>
      <c r="EH232" s="1213">
        <v>2</v>
      </c>
      <c r="EI232" s="1213">
        <v>0</v>
      </c>
      <c r="EJ232" s="1212"/>
      <c r="EK232" s="612">
        <v>0</v>
      </c>
      <c r="EL232" s="611"/>
      <c r="EM232" s="612">
        <v>2</v>
      </c>
      <c r="EN232" s="36"/>
      <c r="EP232" s="527"/>
      <c r="EQ232" s="527"/>
      <c r="ER232" s="528"/>
      <c r="ES232" s="555" t="s">
        <v>15</v>
      </c>
      <c r="ET232" s="556"/>
      <c r="EU232" s="556"/>
      <c r="EV232" s="557">
        <v>19</v>
      </c>
      <c r="EW232" s="557">
        <v>1</v>
      </c>
      <c r="EX232" s="556"/>
      <c r="EY232" s="556"/>
      <c r="EZ232" s="556"/>
      <c r="FA232" s="556"/>
      <c r="FB232" s="558"/>
      <c r="FC232" s="558"/>
      <c r="FD232" s="559">
        <v>20</v>
      </c>
      <c r="FE232" s="560">
        <f>+(FD230+FD231)/FD232</f>
        <v>0.1</v>
      </c>
      <c r="FG232" s="533"/>
      <c r="FH232" s="533"/>
      <c r="FI232" s="533"/>
      <c r="FJ232" s="534" t="s">
        <v>1076</v>
      </c>
      <c r="FK232" s="536">
        <v>0</v>
      </c>
      <c r="FL232" s="536">
        <v>0</v>
      </c>
      <c r="FM232" s="535"/>
      <c r="FN232" s="536">
        <v>4</v>
      </c>
      <c r="FO232" s="535"/>
      <c r="FP232" s="536">
        <v>1</v>
      </c>
      <c r="FQ232" s="536">
        <v>7</v>
      </c>
      <c r="FR232" s="536">
        <v>2</v>
      </c>
      <c r="FS232" s="536">
        <v>0</v>
      </c>
      <c r="FT232" s="538">
        <v>0</v>
      </c>
      <c r="FU232" s="537"/>
      <c r="FV232" s="538">
        <v>14</v>
      </c>
      <c r="FW232" s="539"/>
      <c r="GA232" s="540" t="s">
        <v>485</v>
      </c>
      <c r="GB232" s="541" t="s">
        <v>1072</v>
      </c>
      <c r="GC232" s="542"/>
      <c r="GD232" s="543">
        <v>0</v>
      </c>
      <c r="GE232" s="543">
        <v>4</v>
      </c>
      <c r="GF232" s="543">
        <v>1</v>
      </c>
      <c r="GG232" s="543">
        <v>0</v>
      </c>
      <c r="GH232" s="543">
        <v>17</v>
      </c>
      <c r="GI232" s="543">
        <v>5</v>
      </c>
      <c r="GJ232" s="543">
        <v>1</v>
      </c>
      <c r="GK232" s="542"/>
      <c r="GL232" s="543">
        <v>0</v>
      </c>
      <c r="GM232" s="543">
        <v>28</v>
      </c>
      <c r="GN232" s="445"/>
      <c r="GP232" s="63"/>
      <c r="GQ232" s="63"/>
      <c r="GR232" s="63"/>
      <c r="GS232" s="37" t="s">
        <v>1074</v>
      </c>
      <c r="GT232" s="63"/>
      <c r="GU232" s="63"/>
      <c r="GV232" s="63">
        <v>1</v>
      </c>
      <c r="GW232" s="63">
        <v>0</v>
      </c>
      <c r="GX232" s="63">
        <v>0</v>
      </c>
      <c r="GY232" s="63">
        <v>0</v>
      </c>
      <c r="GZ232" s="63">
        <v>0</v>
      </c>
      <c r="HA232" s="63">
        <v>0</v>
      </c>
      <c r="HB232" s="63"/>
      <c r="HC232" s="63">
        <v>0</v>
      </c>
      <c r="HD232" s="63">
        <v>1</v>
      </c>
      <c r="HE232" s="37"/>
      <c r="HF232" s="37"/>
      <c r="HG232" s="446"/>
      <c r="HH232" s="446"/>
      <c r="HI232" s="446"/>
      <c r="HJ232" s="449" t="s">
        <v>15</v>
      </c>
      <c r="HK232" s="449">
        <v>0</v>
      </c>
      <c r="HL232" s="449">
        <v>1</v>
      </c>
      <c r="HM232" s="449">
        <v>4</v>
      </c>
      <c r="HN232" s="449">
        <v>11</v>
      </c>
      <c r="HO232" s="449">
        <v>4</v>
      </c>
      <c r="HP232" s="449">
        <v>1</v>
      </c>
      <c r="HQ232" s="449">
        <v>75</v>
      </c>
      <c r="HR232" s="449">
        <v>14</v>
      </c>
      <c r="HS232" s="449">
        <v>10</v>
      </c>
      <c r="HT232" s="449">
        <v>0</v>
      </c>
      <c r="HU232" s="449">
        <v>0</v>
      </c>
      <c r="HV232" s="507">
        <v>120</v>
      </c>
      <c r="HW232" s="450">
        <f>+(HV231+HV230+HV227)/HV232</f>
        <v>0.31666666666666665</v>
      </c>
      <c r="HX232" s="448">
        <f>+HV227+HV230+HV231</f>
        <v>38</v>
      </c>
    </row>
    <row r="233" spans="1:232">
      <c r="A233" s="5682">
        <v>3</v>
      </c>
      <c r="B233" s="5682">
        <v>2</v>
      </c>
      <c r="C233" s="5683" t="s">
        <v>2058</v>
      </c>
      <c r="D233" s="5683" t="s">
        <v>3027</v>
      </c>
      <c r="E233" s="5682">
        <v>1</v>
      </c>
      <c r="F233" s="5682">
        <v>10</v>
      </c>
      <c r="I233" s="4915">
        <v>3</v>
      </c>
      <c r="J233" s="4915">
        <v>3</v>
      </c>
      <c r="K233" s="4916" t="s">
        <v>292</v>
      </c>
      <c r="L233" s="4916" t="s">
        <v>2709</v>
      </c>
      <c r="M233" s="4915">
        <v>1</v>
      </c>
      <c r="N233" s="4915">
        <v>1</v>
      </c>
      <c r="O233" s="157"/>
      <c r="Q233" s="4705">
        <v>3</v>
      </c>
      <c r="R233" s="4705">
        <v>3</v>
      </c>
      <c r="S233" s="4706" t="s">
        <v>292</v>
      </c>
      <c r="T233" s="4706" t="s">
        <v>2731</v>
      </c>
      <c r="U233" s="4707">
        <v>2</v>
      </c>
      <c r="V233" s="4707">
        <v>9</v>
      </c>
      <c r="W233" s="4722"/>
      <c r="X233" s="4452"/>
      <c r="Y233" s="36"/>
      <c r="Z233" s="36"/>
      <c r="AA233" s="36" t="s">
        <v>2672</v>
      </c>
      <c r="AB233" s="36" t="s">
        <v>1071</v>
      </c>
      <c r="AC233" s="1681"/>
      <c r="AD233" s="1681">
        <v>0</v>
      </c>
      <c r="AE233" s="1681"/>
      <c r="AF233" s="1681"/>
      <c r="AG233" s="1681"/>
      <c r="AH233" s="1681"/>
      <c r="AI233" s="1681">
        <v>0</v>
      </c>
      <c r="AJ233" s="1681">
        <v>0</v>
      </c>
      <c r="AK233" s="1681">
        <v>1</v>
      </c>
      <c r="AL233" s="95">
        <v>0</v>
      </c>
      <c r="AM233" s="95">
        <v>1</v>
      </c>
      <c r="AN233" s="4545"/>
      <c r="AS233" s="3868" t="s">
        <v>1072</v>
      </c>
      <c r="AT233" s="3721"/>
      <c r="AU233" s="3721">
        <v>1</v>
      </c>
      <c r="AV233" s="3721"/>
      <c r="AW233" s="3721"/>
      <c r="AX233" s="3721"/>
      <c r="AY233" s="3721">
        <v>0</v>
      </c>
      <c r="AZ233" s="3721">
        <v>9</v>
      </c>
      <c r="BA233" s="3721"/>
      <c r="BB233" s="3721"/>
      <c r="BC233" s="2110"/>
      <c r="BD233" s="2110"/>
      <c r="BE233" s="2110">
        <v>10</v>
      </c>
      <c r="BF233" s="2110"/>
      <c r="BG233" s="2110"/>
      <c r="BK233" s="32" t="s">
        <v>1081</v>
      </c>
      <c r="BL233" s="3871">
        <v>0</v>
      </c>
      <c r="BM233" s="3871"/>
      <c r="BN233" s="3871">
        <v>0</v>
      </c>
      <c r="BO233" s="3871"/>
      <c r="BP233" s="3871">
        <v>0</v>
      </c>
      <c r="BQ233" s="3871">
        <v>0</v>
      </c>
      <c r="BR233" s="3871">
        <v>1</v>
      </c>
      <c r="BS233" s="3871">
        <v>1</v>
      </c>
      <c r="BT233" s="1518">
        <v>0</v>
      </c>
      <c r="BU233" s="1518">
        <v>2</v>
      </c>
      <c r="BX233" s="36"/>
      <c r="BY233" s="36"/>
      <c r="BZ233" s="36"/>
      <c r="CA233" s="36" t="s">
        <v>1072</v>
      </c>
      <c r="CB233" s="1681"/>
      <c r="CC233" s="1681">
        <v>3</v>
      </c>
      <c r="CD233" s="1681">
        <v>2</v>
      </c>
      <c r="CE233" s="1681">
        <v>1</v>
      </c>
      <c r="CF233" s="1681">
        <v>1</v>
      </c>
      <c r="CG233" s="1681">
        <v>2</v>
      </c>
      <c r="CH233" s="1681">
        <v>1</v>
      </c>
      <c r="CI233" s="1681"/>
      <c r="CJ233" s="95">
        <v>0</v>
      </c>
      <c r="CK233" s="95"/>
      <c r="CL233" s="95">
        <v>10</v>
      </c>
      <c r="CM233" s="36"/>
      <c r="CO233" s="37"/>
      <c r="CP233" s="37"/>
      <c r="CQ233" s="37"/>
      <c r="CR233" s="416" t="s">
        <v>15</v>
      </c>
      <c r="CS233" s="1679"/>
      <c r="CT233" s="1679">
        <v>1</v>
      </c>
      <c r="CU233" s="1679"/>
      <c r="CV233" s="1679"/>
      <c r="CW233" s="1679"/>
      <c r="CX233" s="1679"/>
      <c r="CY233" s="1679">
        <v>6</v>
      </c>
      <c r="CZ233" s="1679"/>
      <c r="DA233" s="1679"/>
      <c r="DB233" s="386"/>
      <c r="DC233" s="386"/>
      <c r="DD233" s="386">
        <v>7</v>
      </c>
      <c r="DE233" s="2045">
        <v>0</v>
      </c>
      <c r="DG233" s="95"/>
      <c r="DH233" s="95"/>
      <c r="DI233" s="36"/>
      <c r="DJ233" s="36" t="s">
        <v>1076</v>
      </c>
      <c r="DK233" s="1484"/>
      <c r="DL233" s="1484"/>
      <c r="DM233" s="1484">
        <v>0</v>
      </c>
      <c r="DN233" s="1484"/>
      <c r="DO233" s="1484"/>
      <c r="DP233" s="1484"/>
      <c r="DQ233" s="1484">
        <v>2</v>
      </c>
      <c r="DR233" s="1484">
        <v>0</v>
      </c>
      <c r="DS233" s="1484"/>
      <c r="DT233" s="95"/>
      <c r="DU233" s="95"/>
      <c r="DV233" s="95">
        <v>2</v>
      </c>
      <c r="DW233" s="95"/>
      <c r="DY233" s="1209"/>
      <c r="DZ233" s="1209"/>
      <c r="EA233" s="1210"/>
      <c r="EB233" s="415" t="s">
        <v>15</v>
      </c>
      <c r="EC233" s="1214"/>
      <c r="ED233" s="1214"/>
      <c r="EE233" s="1214"/>
      <c r="EF233" s="1214"/>
      <c r="EG233" s="1214"/>
      <c r="EH233" s="1215">
        <v>18</v>
      </c>
      <c r="EI233" s="1215">
        <v>5</v>
      </c>
      <c r="EJ233" s="1214"/>
      <c r="EK233" s="621">
        <v>1</v>
      </c>
      <c r="EL233" s="620"/>
      <c r="EM233" s="621">
        <v>24</v>
      </c>
      <c r="EN233" s="1178">
        <f>+(EM229+EM231+EM232)/EM233</f>
        <v>0.45833333333333331</v>
      </c>
      <c r="EP233" s="527"/>
      <c r="EQ233" s="527"/>
      <c r="ER233" s="528" t="s">
        <v>138</v>
      </c>
      <c r="ES233" s="529" t="s">
        <v>1071</v>
      </c>
      <c r="ET233" s="531">
        <v>0</v>
      </c>
      <c r="EU233" s="530"/>
      <c r="EV233" s="530"/>
      <c r="EW233" s="530"/>
      <c r="EX233" s="530"/>
      <c r="EY233" s="531">
        <v>0</v>
      </c>
      <c r="EZ233" s="531">
        <v>0</v>
      </c>
      <c r="FA233" s="531">
        <v>1</v>
      </c>
      <c r="FB233" s="527"/>
      <c r="FC233" s="527"/>
      <c r="FD233" s="532">
        <v>1</v>
      </c>
      <c r="FE233" s="95"/>
      <c r="FG233" s="533"/>
      <c r="FH233" s="533"/>
      <c r="FI233" s="533"/>
      <c r="FJ233" s="534" t="s">
        <v>1080</v>
      </c>
      <c r="FK233" s="536">
        <v>0</v>
      </c>
      <c r="FL233" s="536">
        <v>0</v>
      </c>
      <c r="FM233" s="535"/>
      <c r="FN233" s="536">
        <v>0</v>
      </c>
      <c r="FO233" s="535"/>
      <c r="FP233" s="536">
        <v>1</v>
      </c>
      <c r="FQ233" s="536">
        <v>0</v>
      </c>
      <c r="FR233" s="536">
        <v>0</v>
      </c>
      <c r="FS233" s="536">
        <v>0</v>
      </c>
      <c r="FT233" s="538">
        <v>1</v>
      </c>
      <c r="FU233" s="537"/>
      <c r="FV233" s="538">
        <v>2</v>
      </c>
      <c r="FW233" s="539"/>
      <c r="GA233" s="540"/>
      <c r="GB233" s="541" t="s">
        <v>1074</v>
      </c>
      <c r="GC233" s="542"/>
      <c r="GD233" s="543">
        <v>1</v>
      </c>
      <c r="GE233" s="543">
        <v>0</v>
      </c>
      <c r="GF233" s="543">
        <v>0</v>
      </c>
      <c r="GG233" s="543">
        <v>0</v>
      </c>
      <c r="GH233" s="543">
        <v>0</v>
      </c>
      <c r="GI233" s="543">
        <v>0</v>
      </c>
      <c r="GJ233" s="543">
        <v>0</v>
      </c>
      <c r="GK233" s="542"/>
      <c r="GL233" s="543">
        <v>0</v>
      </c>
      <c r="GM233" s="543">
        <v>1</v>
      </c>
      <c r="GN233" s="445"/>
      <c r="GP233" s="63"/>
      <c r="GQ233" s="63"/>
      <c r="GR233" s="63"/>
      <c r="GS233" s="37" t="s">
        <v>1076</v>
      </c>
      <c r="GT233" s="63"/>
      <c r="GU233" s="63"/>
      <c r="GV233" s="63">
        <v>0</v>
      </c>
      <c r="GW233" s="63">
        <v>0</v>
      </c>
      <c r="GX233" s="63">
        <v>0</v>
      </c>
      <c r="GY233" s="63">
        <v>2</v>
      </c>
      <c r="GZ233" s="63">
        <v>2</v>
      </c>
      <c r="HA233" s="63">
        <v>0</v>
      </c>
      <c r="HB233" s="63"/>
      <c r="HC233" s="63">
        <v>0</v>
      </c>
      <c r="HD233" s="63">
        <v>4</v>
      </c>
      <c r="HE233" s="37"/>
      <c r="HF233" s="37"/>
      <c r="HG233" s="446"/>
      <c r="HH233" s="446"/>
      <c r="HI233" s="446" t="s">
        <v>41</v>
      </c>
      <c r="HJ233" s="446" t="s">
        <v>1071</v>
      </c>
      <c r="HK233" s="446">
        <v>0</v>
      </c>
      <c r="HL233" s="446">
        <v>0</v>
      </c>
      <c r="HM233" s="446">
        <v>0</v>
      </c>
      <c r="HN233" s="446">
        <v>0</v>
      </c>
      <c r="HO233" s="446">
        <v>0</v>
      </c>
      <c r="HP233" s="446">
        <v>0</v>
      </c>
      <c r="HQ233" s="446">
        <v>1</v>
      </c>
      <c r="HR233" s="446">
        <v>1</v>
      </c>
      <c r="HS233" s="446">
        <v>1</v>
      </c>
      <c r="HT233" s="446">
        <v>0</v>
      </c>
      <c r="HU233" s="446">
        <v>0</v>
      </c>
      <c r="HV233" s="447">
        <v>3</v>
      </c>
      <c r="HW233" s="446"/>
      <c r="HX233" s="448"/>
    </row>
    <row r="234" spans="1:232">
      <c r="A234" s="5682">
        <v>3</v>
      </c>
      <c r="B234" s="5682">
        <v>2</v>
      </c>
      <c r="C234" s="5683" t="s">
        <v>2058</v>
      </c>
      <c r="D234" s="5683" t="s">
        <v>2709</v>
      </c>
      <c r="E234" s="5682">
        <v>1</v>
      </c>
      <c r="F234" s="5682">
        <v>1</v>
      </c>
      <c r="I234" s="4915">
        <v>3</v>
      </c>
      <c r="J234" s="4915">
        <v>3</v>
      </c>
      <c r="K234" s="4916" t="s">
        <v>292</v>
      </c>
      <c r="L234" s="4916" t="s">
        <v>2709</v>
      </c>
      <c r="M234" s="4915">
        <v>1</v>
      </c>
      <c r="N234" s="4915">
        <v>3</v>
      </c>
      <c r="O234" s="157"/>
      <c r="Q234" s="4705">
        <v>3</v>
      </c>
      <c r="R234" s="4705">
        <v>3</v>
      </c>
      <c r="S234" s="4706" t="s">
        <v>292</v>
      </c>
      <c r="T234" s="4706" t="s">
        <v>2705</v>
      </c>
      <c r="U234" s="4707">
        <v>1</v>
      </c>
      <c r="V234" s="4707">
        <v>3</v>
      </c>
      <c r="W234" s="4722"/>
      <c r="Y234" s="36"/>
      <c r="Z234" s="36"/>
      <c r="AA234" s="36"/>
      <c r="AB234" s="36" t="s">
        <v>1072</v>
      </c>
      <c r="AC234" s="1681"/>
      <c r="AD234" s="1681">
        <v>1</v>
      </c>
      <c r="AE234" s="1681"/>
      <c r="AF234" s="1681"/>
      <c r="AG234" s="1681"/>
      <c r="AH234" s="1681"/>
      <c r="AI234" s="1681">
        <v>2</v>
      </c>
      <c r="AJ234" s="1681">
        <v>1</v>
      </c>
      <c r="AK234" s="1681">
        <v>0</v>
      </c>
      <c r="AL234" s="95">
        <v>0</v>
      </c>
      <c r="AM234" s="95">
        <v>4</v>
      </c>
      <c r="AN234" s="4545"/>
      <c r="AS234" s="3868" t="s">
        <v>1081</v>
      </c>
      <c r="AT234" s="3721"/>
      <c r="AU234" s="3721">
        <v>0</v>
      </c>
      <c r="AV234" s="3721"/>
      <c r="AW234" s="3721"/>
      <c r="AX234" s="3721"/>
      <c r="AY234" s="3721">
        <v>0</v>
      </c>
      <c r="AZ234" s="3721">
        <v>4</v>
      </c>
      <c r="BA234" s="3721"/>
      <c r="BB234" s="3721"/>
      <c r="BC234" s="2110"/>
      <c r="BD234" s="2110"/>
      <c r="BE234" s="2110">
        <v>4</v>
      </c>
      <c r="BF234" s="2110"/>
      <c r="BG234" s="2110"/>
      <c r="BK234" s="32" t="s">
        <v>1163</v>
      </c>
      <c r="BL234" s="3871">
        <v>0</v>
      </c>
      <c r="BM234" s="3871"/>
      <c r="BN234" s="3871">
        <v>0</v>
      </c>
      <c r="BO234" s="3871"/>
      <c r="BP234" s="3871">
        <v>0</v>
      </c>
      <c r="BQ234" s="3871">
        <v>0</v>
      </c>
      <c r="BR234" s="3871">
        <v>2</v>
      </c>
      <c r="BS234" s="3871">
        <v>0</v>
      </c>
      <c r="BT234" s="1518">
        <v>0</v>
      </c>
      <c r="BU234" s="1518">
        <v>2</v>
      </c>
      <c r="BX234" s="36"/>
      <c r="BY234" s="36"/>
      <c r="BZ234" s="36"/>
      <c r="CA234" s="36" t="s">
        <v>1074</v>
      </c>
      <c r="CB234" s="1681"/>
      <c r="CC234" s="1681">
        <v>0</v>
      </c>
      <c r="CD234" s="1681">
        <v>0</v>
      </c>
      <c r="CE234" s="1681">
        <v>1</v>
      </c>
      <c r="CF234" s="1681">
        <v>1</v>
      </c>
      <c r="CG234" s="1681">
        <v>0</v>
      </c>
      <c r="CH234" s="1681">
        <v>0</v>
      </c>
      <c r="CI234" s="1681"/>
      <c r="CJ234" s="95">
        <v>0</v>
      </c>
      <c r="CK234" s="95"/>
      <c r="CL234" s="95">
        <v>2</v>
      </c>
      <c r="CM234" s="36"/>
      <c r="CO234" s="37"/>
      <c r="CP234" s="37"/>
      <c r="CQ234" s="37" t="s">
        <v>140</v>
      </c>
      <c r="CR234" s="37" t="s">
        <v>1072</v>
      </c>
      <c r="CS234" s="1678"/>
      <c r="CT234" s="1678"/>
      <c r="CU234" s="1678"/>
      <c r="CV234" s="1678"/>
      <c r="CW234" s="1678"/>
      <c r="CX234" s="1678"/>
      <c r="CY234" s="1678">
        <v>4</v>
      </c>
      <c r="CZ234" s="1678">
        <v>2</v>
      </c>
      <c r="DA234" s="1678">
        <v>2</v>
      </c>
      <c r="DB234" s="63"/>
      <c r="DC234" s="63"/>
      <c r="DD234" s="63">
        <v>8</v>
      </c>
      <c r="DG234" s="95"/>
      <c r="DH234" s="95"/>
      <c r="DI234" s="36"/>
      <c r="DJ234" s="36" t="s">
        <v>1081</v>
      </c>
      <c r="DK234" s="1484"/>
      <c r="DL234" s="1484"/>
      <c r="DM234" s="1484">
        <v>0</v>
      </c>
      <c r="DN234" s="1484"/>
      <c r="DO234" s="1484"/>
      <c r="DP234" s="1484"/>
      <c r="DQ234" s="1484">
        <v>2</v>
      </c>
      <c r="DR234" s="1484">
        <v>1</v>
      </c>
      <c r="DS234" s="1484"/>
      <c r="DT234" s="95"/>
      <c r="DU234" s="95"/>
      <c r="DV234" s="95">
        <v>3</v>
      </c>
      <c r="DW234" s="95"/>
      <c r="DY234" s="1209"/>
      <c r="DZ234" s="1209"/>
      <c r="EA234" s="1210" t="s">
        <v>111</v>
      </c>
      <c r="EB234" s="1211" t="s">
        <v>1074</v>
      </c>
      <c r="EC234" s="1212"/>
      <c r="ED234" s="1213">
        <v>1</v>
      </c>
      <c r="EE234" s="1212"/>
      <c r="EF234" s="1212"/>
      <c r="EG234" s="1212"/>
      <c r="EH234" s="1212"/>
      <c r="EI234" s="1212"/>
      <c r="EJ234" s="1212"/>
      <c r="EK234" s="611"/>
      <c r="EL234" s="611"/>
      <c r="EM234" s="612">
        <v>1</v>
      </c>
      <c r="EN234" s="36"/>
      <c r="EP234" s="527"/>
      <c r="EQ234" s="527"/>
      <c r="ER234" s="528"/>
      <c r="ES234" s="529" t="s">
        <v>1072</v>
      </c>
      <c r="ET234" s="531">
        <v>1</v>
      </c>
      <c r="EU234" s="530"/>
      <c r="EV234" s="530"/>
      <c r="EW234" s="530"/>
      <c r="EX234" s="530"/>
      <c r="EY234" s="531">
        <v>3</v>
      </c>
      <c r="EZ234" s="531">
        <v>6</v>
      </c>
      <c r="FA234" s="531">
        <v>0</v>
      </c>
      <c r="FB234" s="527"/>
      <c r="FC234" s="527"/>
      <c r="FD234" s="532">
        <v>10</v>
      </c>
      <c r="FE234" s="95"/>
      <c r="FG234" s="533"/>
      <c r="FH234" s="533"/>
      <c r="FI234" s="533"/>
      <c r="FJ234" s="534" t="s">
        <v>1081</v>
      </c>
      <c r="FK234" s="536">
        <v>0</v>
      </c>
      <c r="FL234" s="536">
        <v>0</v>
      </c>
      <c r="FM234" s="535"/>
      <c r="FN234" s="536">
        <v>5</v>
      </c>
      <c r="FO234" s="535"/>
      <c r="FP234" s="536">
        <v>3</v>
      </c>
      <c r="FQ234" s="536">
        <v>15</v>
      </c>
      <c r="FR234" s="536">
        <v>3</v>
      </c>
      <c r="FS234" s="536">
        <v>1</v>
      </c>
      <c r="FT234" s="538">
        <v>0</v>
      </c>
      <c r="FU234" s="537"/>
      <c r="FV234" s="538">
        <v>27</v>
      </c>
      <c r="FW234" s="539"/>
      <c r="GA234" s="540"/>
      <c r="GB234" s="541" t="s">
        <v>1076</v>
      </c>
      <c r="GC234" s="542"/>
      <c r="GD234" s="543">
        <v>0</v>
      </c>
      <c r="GE234" s="543">
        <v>0</v>
      </c>
      <c r="GF234" s="543">
        <v>0</v>
      </c>
      <c r="GG234" s="543">
        <v>0</v>
      </c>
      <c r="GH234" s="543">
        <v>3</v>
      </c>
      <c r="GI234" s="543">
        <v>0</v>
      </c>
      <c r="GJ234" s="543">
        <v>1</v>
      </c>
      <c r="GK234" s="542"/>
      <c r="GL234" s="543">
        <v>0</v>
      </c>
      <c r="GM234" s="543">
        <v>4</v>
      </c>
      <c r="GN234" s="445"/>
      <c r="GP234" s="63"/>
      <c r="GQ234" s="63"/>
      <c r="GR234" s="63"/>
      <c r="GS234" s="37" t="s">
        <v>1077</v>
      </c>
      <c r="GT234" s="63"/>
      <c r="GU234" s="63"/>
      <c r="GV234" s="63">
        <v>1</v>
      </c>
      <c r="GW234" s="63">
        <v>1</v>
      </c>
      <c r="GX234" s="63">
        <v>0</v>
      </c>
      <c r="GY234" s="63">
        <v>0</v>
      </c>
      <c r="GZ234" s="63">
        <v>0</v>
      </c>
      <c r="HA234" s="63">
        <v>0</v>
      </c>
      <c r="HB234" s="63"/>
      <c r="HC234" s="63">
        <v>0</v>
      </c>
      <c r="HD234" s="63">
        <v>2</v>
      </c>
      <c r="HE234" s="37"/>
      <c r="HF234" s="37"/>
      <c r="HG234" s="446"/>
      <c r="HH234" s="446"/>
      <c r="HI234" s="446"/>
      <c r="HJ234" s="446" t="s">
        <v>1072</v>
      </c>
      <c r="HK234" s="446">
        <v>0</v>
      </c>
      <c r="HL234" s="446">
        <v>0</v>
      </c>
      <c r="HM234" s="446">
        <v>1</v>
      </c>
      <c r="HN234" s="446">
        <v>0</v>
      </c>
      <c r="HO234" s="446">
        <v>0</v>
      </c>
      <c r="HP234" s="446">
        <v>0</v>
      </c>
      <c r="HQ234" s="446">
        <v>23</v>
      </c>
      <c r="HR234" s="446">
        <v>4</v>
      </c>
      <c r="HS234" s="446">
        <v>0</v>
      </c>
      <c r="HT234" s="446">
        <v>0</v>
      </c>
      <c r="HU234" s="446">
        <v>0</v>
      </c>
      <c r="HV234" s="447">
        <v>28</v>
      </c>
      <c r="HW234" s="446"/>
      <c r="HX234" s="448"/>
    </row>
    <row r="235" spans="1:232">
      <c r="A235" s="5682">
        <v>3</v>
      </c>
      <c r="B235" s="5682">
        <v>2</v>
      </c>
      <c r="C235" s="5683" t="s">
        <v>2058</v>
      </c>
      <c r="D235" s="5683" t="s">
        <v>2709</v>
      </c>
      <c r="E235" s="5682">
        <v>1</v>
      </c>
      <c r="F235" s="5682">
        <v>3</v>
      </c>
      <c r="I235" s="4915">
        <v>3</v>
      </c>
      <c r="J235" s="4915">
        <v>3</v>
      </c>
      <c r="K235" s="4916" t="s">
        <v>292</v>
      </c>
      <c r="L235" s="4916" t="s">
        <v>2709</v>
      </c>
      <c r="M235" s="4915">
        <v>4</v>
      </c>
      <c r="N235" s="4915">
        <v>6</v>
      </c>
      <c r="O235" s="157"/>
      <c r="Q235" s="4705">
        <v>3</v>
      </c>
      <c r="R235" s="4705">
        <v>3</v>
      </c>
      <c r="S235" s="4706" t="s">
        <v>292</v>
      </c>
      <c r="T235" s="4708" t="s">
        <v>2707</v>
      </c>
      <c r="U235" s="4709">
        <v>4</v>
      </c>
      <c r="V235" s="4709">
        <v>7</v>
      </c>
      <c r="W235" s="4722"/>
      <c r="Y235" s="36"/>
      <c r="Z235" s="36"/>
      <c r="AA235" s="36"/>
      <c r="AB235" s="36" t="s">
        <v>1080</v>
      </c>
      <c r="AC235" s="1681"/>
      <c r="AD235" s="1681">
        <v>0</v>
      </c>
      <c r="AE235" s="1681"/>
      <c r="AF235" s="1681"/>
      <c r="AG235" s="1681"/>
      <c r="AH235" s="1681"/>
      <c r="AI235" s="1681">
        <v>0</v>
      </c>
      <c r="AJ235" s="1681">
        <v>3</v>
      </c>
      <c r="AK235" s="1681">
        <v>3</v>
      </c>
      <c r="AL235" s="95">
        <v>2</v>
      </c>
      <c r="AM235" s="95">
        <v>8</v>
      </c>
      <c r="AN235" s="4545"/>
      <c r="AS235" s="3868" t="s">
        <v>1163</v>
      </c>
      <c r="AT235" s="3721"/>
      <c r="AU235" s="3721">
        <v>0</v>
      </c>
      <c r="AV235" s="3721"/>
      <c r="AW235" s="3721"/>
      <c r="AX235" s="3721"/>
      <c r="AY235" s="3721">
        <v>0</v>
      </c>
      <c r="AZ235" s="3721">
        <v>4</v>
      </c>
      <c r="BA235" s="3721"/>
      <c r="BB235" s="3721"/>
      <c r="BC235" s="2110"/>
      <c r="BD235" s="2110"/>
      <c r="BE235" s="2110">
        <v>4</v>
      </c>
      <c r="BF235" s="2110"/>
      <c r="BG235" s="2110"/>
      <c r="BK235" s="1520" t="s">
        <v>15</v>
      </c>
      <c r="BL235" s="3872">
        <v>1</v>
      </c>
      <c r="BM235" s="3872"/>
      <c r="BN235" s="3872">
        <v>1</v>
      </c>
      <c r="BO235" s="3872"/>
      <c r="BP235" s="3872">
        <v>1</v>
      </c>
      <c r="BQ235" s="3872">
        <v>3</v>
      </c>
      <c r="BR235" s="3872">
        <v>6</v>
      </c>
      <c r="BS235" s="3872">
        <v>4</v>
      </c>
      <c r="BT235" s="3806">
        <v>1</v>
      </c>
      <c r="BU235" s="3806">
        <v>17</v>
      </c>
      <c r="BV235" s="3807">
        <f>+(BU231+BU233+BU234)/BU235</f>
        <v>0.41176470588235292</v>
      </c>
      <c r="BX235" s="36"/>
      <c r="BY235" s="36"/>
      <c r="BZ235" s="36"/>
      <c r="CA235" s="36" t="s">
        <v>1076</v>
      </c>
      <c r="CB235" s="1681"/>
      <c r="CC235" s="1681">
        <v>0</v>
      </c>
      <c r="CD235" s="1681">
        <v>0</v>
      </c>
      <c r="CE235" s="1681">
        <v>0</v>
      </c>
      <c r="CF235" s="1681">
        <v>0</v>
      </c>
      <c r="CG235" s="1681">
        <v>1</v>
      </c>
      <c r="CH235" s="1681">
        <v>1</v>
      </c>
      <c r="CI235" s="1681"/>
      <c r="CJ235" s="95">
        <v>1</v>
      </c>
      <c r="CK235" s="95"/>
      <c r="CL235" s="95">
        <v>3</v>
      </c>
      <c r="CM235" s="36"/>
      <c r="CO235" s="37"/>
      <c r="CP235" s="37"/>
      <c r="CQ235" s="37"/>
      <c r="CR235" s="37" t="s">
        <v>1076</v>
      </c>
      <c r="CS235" s="1678"/>
      <c r="CT235" s="1678"/>
      <c r="CU235" s="1678"/>
      <c r="CV235" s="1678"/>
      <c r="CW235" s="1678"/>
      <c r="CX235" s="1678"/>
      <c r="CY235" s="1678">
        <v>1</v>
      </c>
      <c r="CZ235" s="1678">
        <v>0</v>
      </c>
      <c r="DA235" s="1678">
        <v>0</v>
      </c>
      <c r="DB235" s="63"/>
      <c r="DC235" s="63"/>
      <c r="DD235" s="63">
        <v>1</v>
      </c>
      <c r="DG235" s="95"/>
      <c r="DH235" s="95"/>
      <c r="DI235" s="36"/>
      <c r="DJ235" s="393" t="s">
        <v>15</v>
      </c>
      <c r="DK235" s="1485"/>
      <c r="DL235" s="1485"/>
      <c r="DM235" s="1485">
        <v>2</v>
      </c>
      <c r="DN235" s="1485"/>
      <c r="DO235" s="1485"/>
      <c r="DP235" s="1485"/>
      <c r="DQ235" s="1485">
        <v>18</v>
      </c>
      <c r="DR235" s="1485">
        <v>2</v>
      </c>
      <c r="DS235" s="1485"/>
      <c r="DT235" s="86"/>
      <c r="DU235" s="86"/>
      <c r="DV235" s="86">
        <v>22</v>
      </c>
      <c r="DW235" s="560">
        <f>+(DV233+DV234)/DV235</f>
        <v>0.22727272727272727</v>
      </c>
      <c r="DY235" s="1209"/>
      <c r="DZ235" s="1209"/>
      <c r="EA235" s="1210"/>
      <c r="EB235" s="415" t="s">
        <v>15</v>
      </c>
      <c r="EC235" s="1214"/>
      <c r="ED235" s="1215">
        <v>1</v>
      </c>
      <c r="EE235" s="1214"/>
      <c r="EF235" s="1214"/>
      <c r="EG235" s="1214"/>
      <c r="EH235" s="1214"/>
      <c r="EI235" s="1214"/>
      <c r="EJ235" s="1214"/>
      <c r="EK235" s="620"/>
      <c r="EL235" s="620"/>
      <c r="EM235" s="621">
        <v>1</v>
      </c>
      <c r="EN235" s="36"/>
      <c r="EP235" s="527"/>
      <c r="EQ235" s="527"/>
      <c r="ER235" s="528"/>
      <c r="ES235" s="529" t="s">
        <v>1076</v>
      </c>
      <c r="ET235" s="531">
        <v>0</v>
      </c>
      <c r="EU235" s="530"/>
      <c r="EV235" s="530"/>
      <c r="EW235" s="530"/>
      <c r="EX235" s="530"/>
      <c r="EY235" s="531">
        <v>0</v>
      </c>
      <c r="EZ235" s="531">
        <v>1</v>
      </c>
      <c r="FA235" s="531">
        <v>0</v>
      </c>
      <c r="FB235" s="527"/>
      <c r="FC235" s="527"/>
      <c r="FD235" s="532">
        <v>1</v>
      </c>
      <c r="FE235" s="95"/>
      <c r="FG235" s="533"/>
      <c r="FH235" s="533"/>
      <c r="FI235" s="533"/>
      <c r="FJ235" s="534" t="s">
        <v>1163</v>
      </c>
      <c r="FK235" s="536">
        <v>1</v>
      </c>
      <c r="FL235" s="536">
        <v>0</v>
      </c>
      <c r="FM235" s="535"/>
      <c r="FN235" s="536">
        <v>4</v>
      </c>
      <c r="FO235" s="535"/>
      <c r="FP235" s="536">
        <v>1</v>
      </c>
      <c r="FQ235" s="536">
        <v>12</v>
      </c>
      <c r="FR235" s="536">
        <v>3</v>
      </c>
      <c r="FS235" s="536">
        <v>1</v>
      </c>
      <c r="FT235" s="538">
        <v>0</v>
      </c>
      <c r="FU235" s="537"/>
      <c r="FV235" s="538">
        <v>22</v>
      </c>
      <c r="FW235" s="539"/>
      <c r="GA235" s="540"/>
      <c r="GB235" s="541" t="s">
        <v>1077</v>
      </c>
      <c r="GC235" s="542"/>
      <c r="GD235" s="543">
        <v>0</v>
      </c>
      <c r="GE235" s="543">
        <v>2</v>
      </c>
      <c r="GF235" s="543">
        <v>0</v>
      </c>
      <c r="GG235" s="543">
        <v>0</v>
      </c>
      <c r="GH235" s="543">
        <v>1</v>
      </c>
      <c r="GI235" s="543">
        <v>0</v>
      </c>
      <c r="GJ235" s="543">
        <v>0</v>
      </c>
      <c r="GK235" s="542"/>
      <c r="GL235" s="543">
        <v>0</v>
      </c>
      <c r="GM235" s="543">
        <v>3</v>
      </c>
      <c r="GN235" s="445"/>
      <c r="GP235" s="63"/>
      <c r="GQ235" s="63"/>
      <c r="GR235" s="63"/>
      <c r="GS235" s="37" t="s">
        <v>1080</v>
      </c>
      <c r="GT235" s="63"/>
      <c r="GU235" s="63"/>
      <c r="GV235" s="63">
        <v>0</v>
      </c>
      <c r="GW235" s="63">
        <v>0</v>
      </c>
      <c r="GX235" s="63">
        <v>0</v>
      </c>
      <c r="GY235" s="63">
        <v>0</v>
      </c>
      <c r="GZ235" s="63">
        <v>0</v>
      </c>
      <c r="HA235" s="63">
        <v>4</v>
      </c>
      <c r="HB235" s="63"/>
      <c r="HC235" s="63">
        <v>2</v>
      </c>
      <c r="HD235" s="63">
        <v>6</v>
      </c>
      <c r="HE235" s="37"/>
      <c r="HF235" s="37"/>
      <c r="HG235" s="446"/>
      <c r="HH235" s="446"/>
      <c r="HI235" s="446"/>
      <c r="HJ235" s="446" t="s">
        <v>1076</v>
      </c>
      <c r="HK235" s="446">
        <v>0</v>
      </c>
      <c r="HL235" s="446">
        <v>0</v>
      </c>
      <c r="HM235" s="446">
        <v>0</v>
      </c>
      <c r="HN235" s="446">
        <v>0</v>
      </c>
      <c r="HO235" s="446">
        <v>0</v>
      </c>
      <c r="HP235" s="446">
        <v>0</v>
      </c>
      <c r="HQ235" s="446">
        <v>4</v>
      </c>
      <c r="HR235" s="446">
        <v>1</v>
      </c>
      <c r="HS235" s="446">
        <v>1</v>
      </c>
      <c r="HT235" s="446">
        <v>0</v>
      </c>
      <c r="HU235" s="446">
        <v>0</v>
      </c>
      <c r="HV235" s="447">
        <v>6</v>
      </c>
      <c r="HW235" s="446"/>
      <c r="HX235" s="448"/>
    </row>
    <row r="236" spans="1:232">
      <c r="A236" s="5682">
        <v>3</v>
      </c>
      <c r="B236" s="5682">
        <v>2</v>
      </c>
      <c r="C236" s="5683" t="s">
        <v>2058</v>
      </c>
      <c r="D236" s="5683" t="s">
        <v>2709</v>
      </c>
      <c r="E236" s="5682">
        <v>1</v>
      </c>
      <c r="F236" s="5682">
        <v>5</v>
      </c>
      <c r="I236" s="4915">
        <v>3</v>
      </c>
      <c r="J236" s="4915">
        <v>3</v>
      </c>
      <c r="K236" s="4916" t="s">
        <v>292</v>
      </c>
      <c r="L236" s="4916" t="s">
        <v>2709</v>
      </c>
      <c r="M236" s="4915">
        <v>1</v>
      </c>
      <c r="N236" s="4915">
        <v>7</v>
      </c>
      <c r="O236" s="157"/>
      <c r="Q236" s="4705">
        <v>3</v>
      </c>
      <c r="R236" s="4705">
        <v>3</v>
      </c>
      <c r="S236" s="4706" t="s">
        <v>292</v>
      </c>
      <c r="T236" s="4708" t="s">
        <v>2707</v>
      </c>
      <c r="U236" s="4709">
        <v>1</v>
      </c>
      <c r="V236" s="4709">
        <v>8</v>
      </c>
      <c r="W236" s="4722"/>
      <c r="Y236" s="36"/>
      <c r="Z236" s="36"/>
      <c r="AA236" s="36"/>
      <c r="AB236" s="36" t="s">
        <v>1081</v>
      </c>
      <c r="AC236" s="1681"/>
      <c r="AD236" s="1681">
        <v>0</v>
      </c>
      <c r="AE236" s="1681"/>
      <c r="AF236" s="1681"/>
      <c r="AG236" s="1681"/>
      <c r="AH236" s="1681"/>
      <c r="AI236" s="1681">
        <v>0</v>
      </c>
      <c r="AJ236" s="1681">
        <v>1</v>
      </c>
      <c r="AK236" s="1681">
        <v>1</v>
      </c>
      <c r="AL236" s="95">
        <v>0</v>
      </c>
      <c r="AM236" s="95">
        <v>2</v>
      </c>
      <c r="AN236" s="4545"/>
      <c r="AS236" s="3868" t="s">
        <v>15</v>
      </c>
      <c r="AT236" s="3721"/>
      <c r="AU236" s="3721">
        <v>1</v>
      </c>
      <c r="AV236" s="3721"/>
      <c r="AW236" s="3721"/>
      <c r="AX236" s="3721"/>
      <c r="AY236" s="3721">
        <v>1</v>
      </c>
      <c r="AZ236" s="3721">
        <v>17</v>
      </c>
      <c r="BA236" s="3721"/>
      <c r="BB236" s="3721"/>
      <c r="BC236" s="2110"/>
      <c r="BD236" s="2110"/>
      <c r="BE236" s="2110">
        <v>19</v>
      </c>
      <c r="BF236" s="1665">
        <f>+(BE234+BE235)/(BE236)</f>
        <v>0.42105263157894735</v>
      </c>
      <c r="BG236" s="1665"/>
      <c r="BJ236" s="32" t="s">
        <v>141</v>
      </c>
      <c r="BK236" s="32" t="s">
        <v>1071</v>
      </c>
      <c r="BL236" s="3871"/>
      <c r="BM236" s="3871"/>
      <c r="BN236" s="3871"/>
      <c r="BO236" s="3871">
        <v>0</v>
      </c>
      <c r="BP236" s="3871"/>
      <c r="BQ236" s="3871">
        <v>0</v>
      </c>
      <c r="BR236" s="3871">
        <v>1</v>
      </c>
      <c r="BS236" s="3871">
        <v>0</v>
      </c>
      <c r="BT236" s="1518"/>
      <c r="BU236" s="1518">
        <v>1</v>
      </c>
      <c r="BX236" s="36"/>
      <c r="BY236" s="36"/>
      <c r="BZ236" s="36"/>
      <c r="CA236" s="36" t="s">
        <v>1080</v>
      </c>
      <c r="CB236" s="1681"/>
      <c r="CC236" s="1681">
        <v>0</v>
      </c>
      <c r="CD236" s="1681">
        <v>0</v>
      </c>
      <c r="CE236" s="1681">
        <v>0</v>
      </c>
      <c r="CF236" s="1681">
        <v>0</v>
      </c>
      <c r="CG236" s="1681">
        <v>0</v>
      </c>
      <c r="CH236" s="1681">
        <v>0</v>
      </c>
      <c r="CI236" s="1681"/>
      <c r="CJ236" s="95">
        <v>1</v>
      </c>
      <c r="CK236" s="95"/>
      <c r="CL236" s="95">
        <v>1</v>
      </c>
      <c r="CM236" s="36"/>
      <c r="CO236" s="37"/>
      <c r="CP236" s="37"/>
      <c r="CQ236" s="37"/>
      <c r="CR236" s="37" t="s">
        <v>1080</v>
      </c>
      <c r="CS236" s="1678"/>
      <c r="CT236" s="1678"/>
      <c r="CU236" s="1678"/>
      <c r="CV236" s="1678"/>
      <c r="CW236" s="1678"/>
      <c r="CX236" s="1678"/>
      <c r="CY236" s="1678">
        <v>0</v>
      </c>
      <c r="CZ236" s="1678">
        <v>0</v>
      </c>
      <c r="DA236" s="1678">
        <v>1</v>
      </c>
      <c r="DB236" s="63"/>
      <c r="DC236" s="63"/>
      <c r="DD236" s="63">
        <v>1</v>
      </c>
      <c r="DG236" s="95"/>
      <c r="DH236" s="95"/>
      <c r="DI236" s="36" t="s">
        <v>1731</v>
      </c>
      <c r="DJ236" s="36" t="s">
        <v>1072</v>
      </c>
      <c r="DK236" s="1484"/>
      <c r="DL236" s="1484">
        <v>1</v>
      </c>
      <c r="DM236" s="1484">
        <v>1</v>
      </c>
      <c r="DN236" s="1484"/>
      <c r="DO236" s="1484"/>
      <c r="DP236" s="1484"/>
      <c r="DQ236" s="1484">
        <v>6</v>
      </c>
      <c r="DR236" s="1484"/>
      <c r="DS236" s="1484"/>
      <c r="DT236" s="95"/>
      <c r="DU236" s="95"/>
      <c r="DV236" s="95">
        <v>8</v>
      </c>
      <c r="DW236" s="95"/>
      <c r="DY236" s="1209"/>
      <c r="DZ236" s="1209"/>
      <c r="EA236" s="1210" t="s">
        <v>709</v>
      </c>
      <c r="EB236" s="1211" t="s">
        <v>1072</v>
      </c>
      <c r="EC236" s="1213">
        <v>1</v>
      </c>
      <c r="ED236" s="1212"/>
      <c r="EE236" s="1212"/>
      <c r="EF236" s="1213">
        <v>3</v>
      </c>
      <c r="EG236" s="1212"/>
      <c r="EH236" s="1212"/>
      <c r="EI236" s="1212"/>
      <c r="EJ236" s="1212"/>
      <c r="EK236" s="611"/>
      <c r="EL236" s="611"/>
      <c r="EM236" s="612">
        <v>4</v>
      </c>
      <c r="EN236" s="36"/>
      <c r="EP236" s="527"/>
      <c r="EQ236" s="527"/>
      <c r="ER236" s="528"/>
      <c r="ES236" s="529" t="s">
        <v>1163</v>
      </c>
      <c r="ET236" s="531">
        <v>0</v>
      </c>
      <c r="EU236" s="530"/>
      <c r="EV236" s="530"/>
      <c r="EW236" s="530"/>
      <c r="EX236" s="530"/>
      <c r="EY236" s="531">
        <v>1</v>
      </c>
      <c r="EZ236" s="531">
        <v>1</v>
      </c>
      <c r="FA236" s="531">
        <v>0</v>
      </c>
      <c r="FB236" s="527"/>
      <c r="FC236" s="527"/>
      <c r="FD236" s="532">
        <v>2</v>
      </c>
      <c r="FE236" s="95"/>
      <c r="FG236" s="533"/>
      <c r="FH236" s="533"/>
      <c r="FI236" s="533"/>
      <c r="FJ236" s="545" t="s">
        <v>412</v>
      </c>
      <c r="FK236" s="547">
        <v>3</v>
      </c>
      <c r="FL236" s="547">
        <v>3</v>
      </c>
      <c r="FM236" s="546"/>
      <c r="FN236" s="547">
        <v>19</v>
      </c>
      <c r="FO236" s="546"/>
      <c r="FP236" s="547">
        <v>8</v>
      </c>
      <c r="FQ236" s="547">
        <v>82</v>
      </c>
      <c r="FR236" s="547">
        <v>19</v>
      </c>
      <c r="FS236" s="547">
        <v>2</v>
      </c>
      <c r="FT236" s="549">
        <v>2</v>
      </c>
      <c r="FU236" s="548"/>
      <c r="FV236" s="549">
        <v>138</v>
      </c>
      <c r="FW236" s="539">
        <f>+(FV235+FV234+FV232)/FV236</f>
        <v>0.45652173913043476</v>
      </c>
      <c r="GA236" s="540"/>
      <c r="GB236" s="541" t="s">
        <v>1080</v>
      </c>
      <c r="GC236" s="542"/>
      <c r="GD236" s="543">
        <v>0</v>
      </c>
      <c r="GE236" s="543">
        <v>0</v>
      </c>
      <c r="GF236" s="543">
        <v>0</v>
      </c>
      <c r="GG236" s="543">
        <v>0</v>
      </c>
      <c r="GH236" s="543">
        <v>0</v>
      </c>
      <c r="GI236" s="543">
        <v>1</v>
      </c>
      <c r="GJ236" s="543">
        <v>14</v>
      </c>
      <c r="GK236" s="542"/>
      <c r="GL236" s="543">
        <v>1</v>
      </c>
      <c r="GM236" s="543">
        <v>16</v>
      </c>
      <c r="GN236" s="445"/>
      <c r="GP236" s="63"/>
      <c r="GQ236" s="63"/>
      <c r="GR236" s="63"/>
      <c r="GS236" s="37" t="s">
        <v>1081</v>
      </c>
      <c r="GT236" s="63"/>
      <c r="GU236" s="63"/>
      <c r="GV236" s="63">
        <v>0</v>
      </c>
      <c r="GW236" s="63">
        <v>0</v>
      </c>
      <c r="GX236" s="63">
        <v>0</v>
      </c>
      <c r="GY236" s="63">
        <v>7</v>
      </c>
      <c r="GZ236" s="63">
        <v>0</v>
      </c>
      <c r="HA236" s="63">
        <v>0</v>
      </c>
      <c r="HB236" s="63"/>
      <c r="HC236" s="63">
        <v>0</v>
      </c>
      <c r="HD236" s="63">
        <v>7</v>
      </c>
      <c r="HE236" s="37"/>
      <c r="HF236" s="37"/>
      <c r="HG236" s="446"/>
      <c r="HH236" s="446"/>
      <c r="HI236" s="446"/>
      <c r="HJ236" s="446" t="s">
        <v>1080</v>
      </c>
      <c r="HK236" s="446">
        <v>0</v>
      </c>
      <c r="HL236" s="446">
        <v>0</v>
      </c>
      <c r="HM236" s="446">
        <v>0</v>
      </c>
      <c r="HN236" s="446">
        <v>0</v>
      </c>
      <c r="HO236" s="446">
        <v>0</v>
      </c>
      <c r="HP236" s="446">
        <v>0</v>
      </c>
      <c r="HQ236" s="446">
        <v>1</v>
      </c>
      <c r="HR236" s="446">
        <v>2</v>
      </c>
      <c r="HS236" s="446">
        <v>5</v>
      </c>
      <c r="HT236" s="446">
        <v>1</v>
      </c>
      <c r="HU236" s="446">
        <v>1</v>
      </c>
      <c r="HV236" s="447">
        <v>10</v>
      </c>
      <c r="HW236" s="446"/>
      <c r="HX236" s="448"/>
    </row>
    <row r="237" spans="1:232">
      <c r="A237" s="5682"/>
      <c r="B237" s="5682"/>
      <c r="C237" s="5683"/>
      <c r="D237" s="5683"/>
      <c r="E237" s="5686">
        <f>SUM(E230:E236)</f>
        <v>10</v>
      </c>
      <c r="F237" s="5682"/>
      <c r="G237" s="4921">
        <f>(E232)/(E237)</f>
        <v>0.1</v>
      </c>
      <c r="I237" s="4915"/>
      <c r="J237" s="4915"/>
      <c r="K237" s="4916"/>
      <c r="L237" s="4916"/>
      <c r="M237" s="4920">
        <f>SUM(M230:M236)</f>
        <v>20</v>
      </c>
      <c r="N237" s="4915"/>
      <c r="O237" s="4921">
        <f>(M232)/(M237)</f>
        <v>0.05</v>
      </c>
      <c r="Q237" s="4705">
        <v>3</v>
      </c>
      <c r="R237" s="4705">
        <v>3</v>
      </c>
      <c r="S237" s="4706" t="s">
        <v>292</v>
      </c>
      <c r="T237" s="4708" t="s">
        <v>1076</v>
      </c>
      <c r="U237" s="4709">
        <v>1</v>
      </c>
      <c r="V237" s="4709">
        <v>6</v>
      </c>
      <c r="W237" s="4722"/>
      <c r="Y237" s="36"/>
      <c r="Z237" s="36"/>
      <c r="AA237" s="36"/>
      <c r="AB237" s="36" t="s">
        <v>15</v>
      </c>
      <c r="AC237" s="1681"/>
      <c r="AD237" s="1681">
        <v>1</v>
      </c>
      <c r="AE237" s="1681"/>
      <c r="AF237" s="1681"/>
      <c r="AG237" s="1681"/>
      <c r="AH237" s="1681"/>
      <c r="AI237" s="1681">
        <v>2</v>
      </c>
      <c r="AJ237" s="1681">
        <v>5</v>
      </c>
      <c r="AK237" s="1681">
        <v>5</v>
      </c>
      <c r="AL237" s="95">
        <v>2</v>
      </c>
      <c r="AM237" s="95">
        <v>15</v>
      </c>
      <c r="AN237" s="560">
        <f>+(AJ236+AK236)/AM237</f>
        <v>0.13333333333333333</v>
      </c>
      <c r="AR237" s="27" t="s">
        <v>483</v>
      </c>
      <c r="AS237" s="27" t="s">
        <v>1071</v>
      </c>
      <c r="AT237" s="3722">
        <v>0</v>
      </c>
      <c r="AU237" s="3722">
        <v>0</v>
      </c>
      <c r="AV237" s="3722"/>
      <c r="AW237" s="3722"/>
      <c r="AX237" s="3722"/>
      <c r="AY237" s="3722">
        <v>1</v>
      </c>
      <c r="AZ237" s="3722">
        <v>0</v>
      </c>
      <c r="BA237" s="3722">
        <v>0</v>
      </c>
      <c r="BB237" s="3722"/>
      <c r="BC237" s="3701"/>
      <c r="BD237" s="3701"/>
      <c r="BE237" s="3701">
        <v>1</v>
      </c>
      <c r="BF237" s="3701"/>
      <c r="BG237" s="3701"/>
      <c r="BK237" s="32" t="s">
        <v>1072</v>
      </c>
      <c r="BL237" s="3871"/>
      <c r="BM237" s="3871"/>
      <c r="BN237" s="3871"/>
      <c r="BO237" s="3871">
        <v>1</v>
      </c>
      <c r="BP237" s="3871"/>
      <c r="BQ237" s="3871">
        <v>4</v>
      </c>
      <c r="BR237" s="3871">
        <v>2</v>
      </c>
      <c r="BS237" s="3871">
        <v>0</v>
      </c>
      <c r="BT237" s="1518"/>
      <c r="BU237" s="1518">
        <v>7</v>
      </c>
      <c r="BX237" s="36"/>
      <c r="BY237" s="36"/>
      <c r="BZ237" s="36"/>
      <c r="CA237" s="36" t="s">
        <v>1081</v>
      </c>
      <c r="CB237" s="1681"/>
      <c r="CC237" s="1681">
        <v>0</v>
      </c>
      <c r="CD237" s="1681">
        <v>0</v>
      </c>
      <c r="CE237" s="1681">
        <v>0</v>
      </c>
      <c r="CF237" s="1681">
        <v>0</v>
      </c>
      <c r="CG237" s="1681">
        <v>1</v>
      </c>
      <c r="CH237" s="1681">
        <v>0</v>
      </c>
      <c r="CI237" s="1681"/>
      <c r="CJ237" s="95">
        <v>0</v>
      </c>
      <c r="CK237" s="95"/>
      <c r="CL237" s="95">
        <v>1</v>
      </c>
      <c r="CM237" s="36"/>
      <c r="CO237" s="37"/>
      <c r="CP237" s="37"/>
      <c r="CQ237" s="37"/>
      <c r="CR237" s="37" t="s">
        <v>1081</v>
      </c>
      <c r="CS237" s="1678"/>
      <c r="CT237" s="1678"/>
      <c r="CU237" s="1678"/>
      <c r="CV237" s="1678"/>
      <c r="CW237" s="1678"/>
      <c r="CX237" s="1678"/>
      <c r="CY237" s="1678">
        <v>1</v>
      </c>
      <c r="CZ237" s="1678">
        <v>0</v>
      </c>
      <c r="DA237" s="1678">
        <v>0</v>
      </c>
      <c r="DB237" s="63"/>
      <c r="DC237" s="63"/>
      <c r="DD237" s="63">
        <v>1</v>
      </c>
      <c r="DG237" s="95"/>
      <c r="DH237" s="95"/>
      <c r="DI237" s="36"/>
      <c r="DJ237" s="36" t="s">
        <v>1076</v>
      </c>
      <c r="DK237" s="1484"/>
      <c r="DL237" s="1484">
        <v>0</v>
      </c>
      <c r="DM237" s="1484">
        <v>0</v>
      </c>
      <c r="DN237" s="1484"/>
      <c r="DO237" s="1484"/>
      <c r="DP237" s="1484"/>
      <c r="DQ237" s="1484">
        <v>1</v>
      </c>
      <c r="DR237" s="1484"/>
      <c r="DS237" s="1484"/>
      <c r="DT237" s="95"/>
      <c r="DU237" s="95"/>
      <c r="DV237" s="95">
        <v>1</v>
      </c>
      <c r="DW237" s="95"/>
      <c r="DY237" s="1209"/>
      <c r="DZ237" s="1209"/>
      <c r="EA237" s="1210"/>
      <c r="EB237" s="1211" t="s">
        <v>1076</v>
      </c>
      <c r="EC237" s="1213">
        <v>0</v>
      </c>
      <c r="ED237" s="1212"/>
      <c r="EE237" s="1212"/>
      <c r="EF237" s="1213">
        <v>1</v>
      </c>
      <c r="EG237" s="1212"/>
      <c r="EH237" s="1212"/>
      <c r="EI237" s="1212"/>
      <c r="EJ237" s="1212"/>
      <c r="EK237" s="611"/>
      <c r="EL237" s="611"/>
      <c r="EM237" s="612">
        <v>1</v>
      </c>
      <c r="EN237" s="36"/>
      <c r="EP237" s="527"/>
      <c r="EQ237" s="527"/>
      <c r="ER237" s="528"/>
      <c r="ES237" s="555" t="s">
        <v>15</v>
      </c>
      <c r="ET237" s="557">
        <v>1</v>
      </c>
      <c r="EU237" s="556"/>
      <c r="EV237" s="556"/>
      <c r="EW237" s="556"/>
      <c r="EX237" s="556"/>
      <c r="EY237" s="557">
        <v>4</v>
      </c>
      <c r="EZ237" s="557">
        <v>8</v>
      </c>
      <c r="FA237" s="557">
        <v>1</v>
      </c>
      <c r="FB237" s="558"/>
      <c r="FC237" s="558"/>
      <c r="FD237" s="559">
        <v>14</v>
      </c>
      <c r="FE237" s="560">
        <f>+(FD235+FD236)/FD237</f>
        <v>0.21428571428571427</v>
      </c>
      <c r="FG237" s="533" t="s">
        <v>59</v>
      </c>
      <c r="FH237" s="533" t="s">
        <v>16</v>
      </c>
      <c r="FI237" s="533" t="s">
        <v>608</v>
      </c>
      <c r="FJ237" s="534" t="s">
        <v>1072</v>
      </c>
      <c r="FK237" s="535"/>
      <c r="FL237" s="536">
        <v>0</v>
      </c>
      <c r="FM237" s="536">
        <v>0</v>
      </c>
      <c r="FN237" s="535"/>
      <c r="FO237" s="536">
        <v>0</v>
      </c>
      <c r="FP237" s="535"/>
      <c r="FQ237" s="536">
        <v>4</v>
      </c>
      <c r="FR237" s="536">
        <v>2</v>
      </c>
      <c r="FS237" s="535"/>
      <c r="FT237" s="537"/>
      <c r="FU237" s="537"/>
      <c r="FV237" s="538">
        <v>6</v>
      </c>
      <c r="FW237" s="539"/>
      <c r="GA237" s="540"/>
      <c r="GB237" s="541" t="s">
        <v>1081</v>
      </c>
      <c r="GC237" s="542"/>
      <c r="GD237" s="543">
        <v>0</v>
      </c>
      <c r="GE237" s="543">
        <v>0</v>
      </c>
      <c r="GF237" s="543">
        <v>0</v>
      </c>
      <c r="GG237" s="543">
        <v>2</v>
      </c>
      <c r="GH237" s="543">
        <v>2</v>
      </c>
      <c r="GI237" s="543">
        <v>1</v>
      </c>
      <c r="GJ237" s="543">
        <v>0</v>
      </c>
      <c r="GK237" s="542"/>
      <c r="GL237" s="543">
        <v>0</v>
      </c>
      <c r="GM237" s="543">
        <v>5</v>
      </c>
      <c r="GN237" s="445"/>
      <c r="GP237" s="63"/>
      <c r="GQ237" s="63"/>
      <c r="GR237" s="63"/>
      <c r="GS237" s="37" t="s">
        <v>1163</v>
      </c>
      <c r="GT237" s="63"/>
      <c r="GU237" s="63"/>
      <c r="GV237" s="63">
        <v>0</v>
      </c>
      <c r="GW237" s="63">
        <v>0</v>
      </c>
      <c r="GX237" s="63">
        <v>0</v>
      </c>
      <c r="GY237" s="63">
        <v>6</v>
      </c>
      <c r="GZ237" s="63">
        <v>0</v>
      </c>
      <c r="HA237" s="63">
        <v>0</v>
      </c>
      <c r="HB237" s="63"/>
      <c r="HC237" s="63">
        <v>0</v>
      </c>
      <c r="HD237" s="63">
        <v>6</v>
      </c>
      <c r="HE237" s="37"/>
      <c r="HF237" s="37"/>
      <c r="HG237" s="446"/>
      <c r="HH237" s="446"/>
      <c r="HI237" s="446"/>
      <c r="HJ237" s="446" t="s">
        <v>1081</v>
      </c>
      <c r="HK237" s="446">
        <v>0</v>
      </c>
      <c r="HL237" s="446">
        <v>0</v>
      </c>
      <c r="HM237" s="446">
        <v>0</v>
      </c>
      <c r="HN237" s="446">
        <v>0</v>
      </c>
      <c r="HO237" s="446">
        <v>0</v>
      </c>
      <c r="HP237" s="446">
        <v>1</v>
      </c>
      <c r="HQ237" s="446">
        <v>7</v>
      </c>
      <c r="HR237" s="446">
        <v>0</v>
      </c>
      <c r="HS237" s="446">
        <v>0</v>
      </c>
      <c r="HT237" s="446">
        <v>0</v>
      </c>
      <c r="HU237" s="446">
        <v>0</v>
      </c>
      <c r="HV237" s="447">
        <v>8</v>
      </c>
      <c r="HW237" s="446"/>
      <c r="HX237" s="448"/>
    </row>
    <row r="238" spans="1:232">
      <c r="A238" s="5682">
        <v>3</v>
      </c>
      <c r="B238" s="5682">
        <v>2</v>
      </c>
      <c r="C238" s="5683" t="s">
        <v>2083</v>
      </c>
      <c r="D238" s="5685" t="s">
        <v>2732</v>
      </c>
      <c r="E238" s="5682">
        <v>1</v>
      </c>
      <c r="F238" s="5682">
        <v>6</v>
      </c>
      <c r="I238" s="4915">
        <v>3</v>
      </c>
      <c r="J238" s="4915">
        <v>3</v>
      </c>
      <c r="K238" s="4916" t="s">
        <v>610</v>
      </c>
      <c r="L238" s="4916" t="s">
        <v>2709</v>
      </c>
      <c r="M238" s="4915">
        <v>3</v>
      </c>
      <c r="N238" s="4915">
        <v>6</v>
      </c>
      <c r="O238" s="157"/>
      <c r="Q238" s="4705">
        <v>3</v>
      </c>
      <c r="R238" s="4705">
        <v>3</v>
      </c>
      <c r="S238" s="4706" t="s">
        <v>292</v>
      </c>
      <c r="T238" s="4706" t="s">
        <v>2709</v>
      </c>
      <c r="U238" s="4707">
        <v>1</v>
      </c>
      <c r="V238" s="4707">
        <v>2</v>
      </c>
      <c r="W238" s="4722"/>
      <c r="Y238" s="36"/>
      <c r="Z238" s="36"/>
      <c r="AA238" s="393" t="s">
        <v>485</v>
      </c>
      <c r="AB238" s="36" t="s">
        <v>1071</v>
      </c>
      <c r="AC238" s="1681">
        <v>0</v>
      </c>
      <c r="AD238" s="1681">
        <v>0</v>
      </c>
      <c r="AE238" s="1681">
        <v>0</v>
      </c>
      <c r="AF238" s="1681">
        <v>0</v>
      </c>
      <c r="AG238" s="1681"/>
      <c r="AH238" s="1681">
        <v>0</v>
      </c>
      <c r="AI238" s="1681">
        <v>0</v>
      </c>
      <c r="AJ238" s="1681">
        <v>0</v>
      </c>
      <c r="AK238" s="1681">
        <v>1</v>
      </c>
      <c r="AL238" s="95">
        <v>0</v>
      </c>
      <c r="AM238" s="95">
        <v>1</v>
      </c>
      <c r="AN238" s="4545"/>
      <c r="AR238" s="27"/>
      <c r="AS238" s="27" t="s">
        <v>1072</v>
      </c>
      <c r="AT238" s="3722">
        <v>0</v>
      </c>
      <c r="AU238" s="3722">
        <v>3</v>
      </c>
      <c r="AV238" s="3722"/>
      <c r="AW238" s="3722"/>
      <c r="AX238" s="3722"/>
      <c r="AY238" s="3722">
        <v>0</v>
      </c>
      <c r="AZ238" s="3722">
        <v>12</v>
      </c>
      <c r="BA238" s="3722">
        <v>0</v>
      </c>
      <c r="BB238" s="3722"/>
      <c r="BC238" s="3701"/>
      <c r="BD238" s="3701"/>
      <c r="BE238" s="3701">
        <v>15</v>
      </c>
      <c r="BF238" s="3701"/>
      <c r="BG238" s="3701"/>
      <c r="BK238" s="32" t="s">
        <v>1076</v>
      </c>
      <c r="BL238" s="3871"/>
      <c r="BM238" s="3871"/>
      <c r="BN238" s="3871"/>
      <c r="BO238" s="3871">
        <v>0</v>
      </c>
      <c r="BP238" s="3871"/>
      <c r="BQ238" s="3871">
        <v>1</v>
      </c>
      <c r="BR238" s="3871">
        <v>1</v>
      </c>
      <c r="BS238" s="3871">
        <v>0</v>
      </c>
      <c r="BT238" s="1518"/>
      <c r="BU238" s="1518">
        <v>2</v>
      </c>
      <c r="BX238" s="36"/>
      <c r="BY238" s="36"/>
      <c r="BZ238" s="36"/>
      <c r="CA238" s="36" t="s">
        <v>1163</v>
      </c>
      <c r="CB238" s="1681"/>
      <c r="CC238" s="1681">
        <v>0</v>
      </c>
      <c r="CD238" s="1681">
        <v>0</v>
      </c>
      <c r="CE238" s="1681">
        <v>0</v>
      </c>
      <c r="CF238" s="1681">
        <v>0</v>
      </c>
      <c r="CG238" s="1681">
        <v>2</v>
      </c>
      <c r="CH238" s="1681">
        <v>3</v>
      </c>
      <c r="CI238" s="1681"/>
      <c r="CJ238" s="95">
        <v>0</v>
      </c>
      <c r="CK238" s="95"/>
      <c r="CL238" s="95">
        <v>5</v>
      </c>
      <c r="CM238" s="36"/>
      <c r="CO238" s="37"/>
      <c r="CP238" s="37"/>
      <c r="CQ238" s="37"/>
      <c r="CR238" s="37" t="s">
        <v>1163</v>
      </c>
      <c r="CS238" s="1678"/>
      <c r="CT238" s="1678"/>
      <c r="CU238" s="1678"/>
      <c r="CV238" s="1678"/>
      <c r="CW238" s="1678"/>
      <c r="CX238" s="1678"/>
      <c r="CY238" s="1678">
        <v>3</v>
      </c>
      <c r="CZ238" s="1678">
        <v>0</v>
      </c>
      <c r="DA238" s="1678">
        <v>0</v>
      </c>
      <c r="DB238" s="63"/>
      <c r="DC238" s="63"/>
      <c r="DD238" s="63">
        <v>3</v>
      </c>
      <c r="DG238" s="95"/>
      <c r="DH238" s="95"/>
      <c r="DI238" s="36"/>
      <c r="DJ238" s="36" t="s">
        <v>1081</v>
      </c>
      <c r="DK238" s="1484"/>
      <c r="DL238" s="1484">
        <v>0</v>
      </c>
      <c r="DM238" s="1484">
        <v>0</v>
      </c>
      <c r="DN238" s="1484"/>
      <c r="DO238" s="1484"/>
      <c r="DP238" s="1484"/>
      <c r="DQ238" s="1484">
        <v>4</v>
      </c>
      <c r="DR238" s="1484"/>
      <c r="DS238" s="1484"/>
      <c r="DT238" s="95"/>
      <c r="DU238" s="95"/>
      <c r="DV238" s="95">
        <v>4</v>
      </c>
      <c r="DW238" s="95"/>
      <c r="DY238" s="1209"/>
      <c r="DZ238" s="1209"/>
      <c r="EA238" s="1210"/>
      <c r="EB238" s="1211" t="s">
        <v>1081</v>
      </c>
      <c r="EC238" s="1213">
        <v>0</v>
      </c>
      <c r="ED238" s="1212"/>
      <c r="EE238" s="1212"/>
      <c r="EF238" s="1213">
        <v>1</v>
      </c>
      <c r="EG238" s="1212"/>
      <c r="EH238" s="1212"/>
      <c r="EI238" s="1212"/>
      <c r="EJ238" s="1212"/>
      <c r="EK238" s="611"/>
      <c r="EL238" s="611"/>
      <c r="EM238" s="612">
        <v>1</v>
      </c>
      <c r="EN238" s="36"/>
      <c r="EP238" s="527"/>
      <c r="EQ238" s="527"/>
      <c r="ER238" s="528" t="s">
        <v>414</v>
      </c>
      <c r="ES238" s="529" t="s">
        <v>1072</v>
      </c>
      <c r="ET238" s="530"/>
      <c r="EU238" s="531">
        <v>1</v>
      </c>
      <c r="EV238" s="531">
        <v>1</v>
      </c>
      <c r="EW238" s="530"/>
      <c r="EX238" s="530"/>
      <c r="EY238" s="531">
        <v>3</v>
      </c>
      <c r="EZ238" s="531">
        <v>1</v>
      </c>
      <c r="FA238" s="530"/>
      <c r="FB238" s="527"/>
      <c r="FC238" s="527"/>
      <c r="FD238" s="532">
        <v>6</v>
      </c>
      <c r="FE238" s="95"/>
      <c r="FG238" s="533"/>
      <c r="FH238" s="533"/>
      <c r="FI238" s="533"/>
      <c r="FJ238" s="534" t="s">
        <v>1076</v>
      </c>
      <c r="FK238" s="535"/>
      <c r="FL238" s="536">
        <v>0</v>
      </c>
      <c r="FM238" s="536">
        <v>0</v>
      </c>
      <c r="FN238" s="535"/>
      <c r="FO238" s="536">
        <v>0</v>
      </c>
      <c r="FP238" s="535"/>
      <c r="FQ238" s="536">
        <v>1</v>
      </c>
      <c r="FR238" s="536">
        <v>1</v>
      </c>
      <c r="FS238" s="535"/>
      <c r="FT238" s="537"/>
      <c r="FU238" s="537"/>
      <c r="FV238" s="538">
        <v>2</v>
      </c>
      <c r="FW238" s="539"/>
      <c r="GA238" s="540"/>
      <c r="GB238" s="541" t="s">
        <v>1163</v>
      </c>
      <c r="GC238" s="542"/>
      <c r="GD238" s="543">
        <v>0</v>
      </c>
      <c r="GE238" s="543">
        <v>3</v>
      </c>
      <c r="GF238" s="543">
        <v>0</v>
      </c>
      <c r="GG238" s="543">
        <v>3</v>
      </c>
      <c r="GH238" s="543">
        <v>1</v>
      </c>
      <c r="GI238" s="543">
        <v>3</v>
      </c>
      <c r="GJ238" s="543">
        <v>0</v>
      </c>
      <c r="GK238" s="542"/>
      <c r="GL238" s="543">
        <v>0</v>
      </c>
      <c r="GM238" s="543">
        <v>10</v>
      </c>
      <c r="GN238" s="445"/>
      <c r="GP238" s="63"/>
      <c r="GQ238" s="63"/>
      <c r="GR238" s="63"/>
      <c r="GS238" s="416" t="s">
        <v>15</v>
      </c>
      <c r="GT238" s="386"/>
      <c r="GU238" s="386"/>
      <c r="GV238" s="386">
        <v>3</v>
      </c>
      <c r="GW238" s="386">
        <v>1</v>
      </c>
      <c r="GX238" s="386">
        <v>1</v>
      </c>
      <c r="GY238" s="386">
        <v>44</v>
      </c>
      <c r="GZ238" s="386">
        <v>5</v>
      </c>
      <c r="HA238" s="386">
        <v>7</v>
      </c>
      <c r="HB238" s="386"/>
      <c r="HC238" s="386">
        <v>2</v>
      </c>
      <c r="HD238" s="386">
        <v>63</v>
      </c>
      <c r="HE238" s="466">
        <f>+(HD233+HD236+HD237)/HD238</f>
        <v>0.26984126984126983</v>
      </c>
      <c r="HF238" s="37"/>
      <c r="HG238" s="446"/>
      <c r="HH238" s="446"/>
      <c r="HI238" s="446"/>
      <c r="HJ238" s="446" t="s">
        <v>1163</v>
      </c>
      <c r="HK238" s="446">
        <v>0</v>
      </c>
      <c r="HL238" s="446">
        <v>0</v>
      </c>
      <c r="HM238" s="446">
        <v>0</v>
      </c>
      <c r="HN238" s="446">
        <v>0</v>
      </c>
      <c r="HO238" s="446">
        <v>0</v>
      </c>
      <c r="HP238" s="446">
        <v>3</v>
      </c>
      <c r="HQ238" s="446">
        <v>2</v>
      </c>
      <c r="HR238" s="446">
        <v>0</v>
      </c>
      <c r="HS238" s="446">
        <v>1</v>
      </c>
      <c r="HT238" s="446">
        <v>0</v>
      </c>
      <c r="HU238" s="446">
        <v>0</v>
      </c>
      <c r="HV238" s="447">
        <v>6</v>
      </c>
      <c r="HW238" s="446"/>
      <c r="HX238" s="448"/>
    </row>
    <row r="239" spans="1:232">
      <c r="A239" s="5682">
        <v>3</v>
      </c>
      <c r="B239" s="5682">
        <v>2</v>
      </c>
      <c r="C239" s="5683" t="s">
        <v>2083</v>
      </c>
      <c r="D239" s="5685" t="s">
        <v>2707</v>
      </c>
      <c r="E239" s="5682">
        <v>1</v>
      </c>
      <c r="F239" s="5682">
        <v>6</v>
      </c>
      <c r="I239" s="4915">
        <v>3</v>
      </c>
      <c r="J239" s="4915">
        <v>3</v>
      </c>
      <c r="K239" s="4916" t="s">
        <v>610</v>
      </c>
      <c r="L239" s="4916" t="s">
        <v>2709</v>
      </c>
      <c r="M239" s="4915">
        <v>1</v>
      </c>
      <c r="N239" s="4915">
        <v>7</v>
      </c>
      <c r="O239" s="157"/>
      <c r="Q239" s="4705">
        <v>3</v>
      </c>
      <c r="R239" s="4705">
        <v>3</v>
      </c>
      <c r="S239" s="4706" t="s">
        <v>292</v>
      </c>
      <c r="T239" s="4706" t="s">
        <v>2709</v>
      </c>
      <c r="U239" s="4707">
        <v>1</v>
      </c>
      <c r="V239" s="4707">
        <v>3</v>
      </c>
      <c r="W239" s="4722"/>
      <c r="Y239" s="36"/>
      <c r="Z239" s="36"/>
      <c r="AA239" s="36"/>
      <c r="AB239" s="36" t="s">
        <v>1072</v>
      </c>
      <c r="AC239" s="1681">
        <v>0</v>
      </c>
      <c r="AD239" s="1681">
        <v>2</v>
      </c>
      <c r="AE239" s="1681">
        <v>1</v>
      </c>
      <c r="AF239" s="1681">
        <v>1</v>
      </c>
      <c r="AG239" s="1681"/>
      <c r="AH239" s="1681">
        <v>7</v>
      </c>
      <c r="AI239" s="1681">
        <v>15</v>
      </c>
      <c r="AJ239" s="1681">
        <v>3</v>
      </c>
      <c r="AK239" s="1681">
        <v>0</v>
      </c>
      <c r="AL239" s="95">
        <v>0</v>
      </c>
      <c r="AM239" s="95">
        <v>29</v>
      </c>
      <c r="AN239" s="4545"/>
      <c r="AR239" s="27"/>
      <c r="AS239" s="27" t="s">
        <v>1076</v>
      </c>
      <c r="AT239" s="3722">
        <v>0</v>
      </c>
      <c r="AU239" s="3722">
        <v>0</v>
      </c>
      <c r="AV239" s="3722"/>
      <c r="AW239" s="3722"/>
      <c r="AX239" s="3722"/>
      <c r="AY239" s="3722">
        <v>0</v>
      </c>
      <c r="AZ239" s="3722">
        <v>5</v>
      </c>
      <c r="BA239" s="3722">
        <v>1</v>
      </c>
      <c r="BB239" s="3722"/>
      <c r="BC239" s="3701"/>
      <c r="BD239" s="3701"/>
      <c r="BE239" s="3701">
        <v>6</v>
      </c>
      <c r="BF239" s="3701"/>
      <c r="BG239" s="3701"/>
      <c r="BK239" s="32" t="s">
        <v>1080</v>
      </c>
      <c r="BL239" s="3871"/>
      <c r="BM239" s="3871"/>
      <c r="BN239" s="3871"/>
      <c r="BO239" s="3871">
        <v>0</v>
      </c>
      <c r="BP239" s="3871"/>
      <c r="BQ239" s="3871">
        <v>0</v>
      </c>
      <c r="BR239" s="3871">
        <v>7</v>
      </c>
      <c r="BS239" s="3871">
        <v>1</v>
      </c>
      <c r="BT239" s="1518"/>
      <c r="BU239" s="1518">
        <v>8</v>
      </c>
      <c r="BX239" s="36"/>
      <c r="BY239" s="36"/>
      <c r="BZ239" s="36"/>
      <c r="CA239" s="393" t="s">
        <v>15</v>
      </c>
      <c r="CB239" s="1682"/>
      <c r="CC239" s="1682">
        <v>3</v>
      </c>
      <c r="CD239" s="1682">
        <v>2</v>
      </c>
      <c r="CE239" s="1682">
        <v>2</v>
      </c>
      <c r="CF239" s="1682">
        <v>3</v>
      </c>
      <c r="CG239" s="1682">
        <v>6</v>
      </c>
      <c r="CH239" s="1682">
        <v>5</v>
      </c>
      <c r="CI239" s="1682"/>
      <c r="CJ239" s="2041">
        <v>2</v>
      </c>
      <c r="CK239" s="2041"/>
      <c r="CL239" s="2041">
        <v>23</v>
      </c>
      <c r="CM239" s="560">
        <f>+(CL238+CL237+CL235-CJ235)/CL239</f>
        <v>0.34782608695652173</v>
      </c>
      <c r="CN239" s="1665"/>
      <c r="CO239" s="37"/>
      <c r="CP239" s="37"/>
      <c r="CQ239" s="37"/>
      <c r="CR239" s="416" t="s">
        <v>15</v>
      </c>
      <c r="CS239" s="1679"/>
      <c r="CT239" s="1679"/>
      <c r="CU239" s="1679"/>
      <c r="CV239" s="1679"/>
      <c r="CW239" s="1679"/>
      <c r="CX239" s="1679"/>
      <c r="CY239" s="1679">
        <v>9</v>
      </c>
      <c r="CZ239" s="1679">
        <v>2</v>
      </c>
      <c r="DA239" s="1679">
        <v>3</v>
      </c>
      <c r="DB239" s="386"/>
      <c r="DC239" s="386"/>
      <c r="DD239" s="386">
        <v>14</v>
      </c>
      <c r="DE239" s="2045">
        <f>+(DD235+DD237+DD238)/DD239</f>
        <v>0.35714285714285715</v>
      </c>
      <c r="DG239" s="95"/>
      <c r="DH239" s="95"/>
      <c r="DI239" s="36"/>
      <c r="DJ239" s="36" t="s">
        <v>1163</v>
      </c>
      <c r="DK239" s="1484"/>
      <c r="DL239" s="1484">
        <v>0</v>
      </c>
      <c r="DM239" s="1484">
        <v>0</v>
      </c>
      <c r="DN239" s="1484"/>
      <c r="DO239" s="1484"/>
      <c r="DP239" s="1484"/>
      <c r="DQ239" s="1484">
        <v>1</v>
      </c>
      <c r="DR239" s="1484"/>
      <c r="DS239" s="1484"/>
      <c r="DT239" s="95"/>
      <c r="DU239" s="95"/>
      <c r="DV239" s="95">
        <v>1</v>
      </c>
      <c r="DW239" s="95"/>
      <c r="DY239" s="1209"/>
      <c r="DZ239" s="1209"/>
      <c r="EA239" s="1210"/>
      <c r="EB239" s="1211" t="s">
        <v>1163</v>
      </c>
      <c r="EC239" s="1213">
        <v>0</v>
      </c>
      <c r="ED239" s="1212"/>
      <c r="EE239" s="1212"/>
      <c r="EF239" s="1213">
        <v>2</v>
      </c>
      <c r="EG239" s="1212"/>
      <c r="EH239" s="1212"/>
      <c r="EI239" s="1212"/>
      <c r="EJ239" s="1212"/>
      <c r="EK239" s="611"/>
      <c r="EL239" s="611"/>
      <c r="EM239" s="612">
        <v>2</v>
      </c>
      <c r="EN239" s="36"/>
      <c r="EP239" s="527"/>
      <c r="EQ239" s="527"/>
      <c r="ER239" s="528"/>
      <c r="ES239" s="555" t="s">
        <v>15</v>
      </c>
      <c r="ET239" s="556"/>
      <c r="EU239" s="557">
        <v>1</v>
      </c>
      <c r="EV239" s="557">
        <v>1</v>
      </c>
      <c r="EW239" s="556"/>
      <c r="EX239" s="556"/>
      <c r="EY239" s="557">
        <v>3</v>
      </c>
      <c r="EZ239" s="557">
        <v>1</v>
      </c>
      <c r="FA239" s="556"/>
      <c r="FB239" s="558"/>
      <c r="FC239" s="558"/>
      <c r="FD239" s="559">
        <v>6</v>
      </c>
      <c r="FE239" s="560">
        <v>0</v>
      </c>
      <c r="FG239" s="533"/>
      <c r="FH239" s="533"/>
      <c r="FI239" s="533"/>
      <c r="FJ239" s="534" t="s">
        <v>1077</v>
      </c>
      <c r="FK239" s="535"/>
      <c r="FL239" s="536">
        <v>1</v>
      </c>
      <c r="FM239" s="536">
        <v>1</v>
      </c>
      <c r="FN239" s="535"/>
      <c r="FO239" s="536">
        <v>1</v>
      </c>
      <c r="FP239" s="535"/>
      <c r="FQ239" s="536">
        <v>1</v>
      </c>
      <c r="FR239" s="536">
        <v>0</v>
      </c>
      <c r="FS239" s="535"/>
      <c r="FT239" s="537"/>
      <c r="FU239" s="537"/>
      <c r="FV239" s="538">
        <v>4</v>
      </c>
      <c r="FW239" s="539"/>
      <c r="GA239" s="540"/>
      <c r="GB239" s="550" t="s">
        <v>485</v>
      </c>
      <c r="GC239" s="551"/>
      <c r="GD239" s="552">
        <v>1</v>
      </c>
      <c r="GE239" s="552">
        <v>9</v>
      </c>
      <c r="GF239" s="552">
        <v>1</v>
      </c>
      <c r="GG239" s="552">
        <v>5</v>
      </c>
      <c r="GH239" s="552">
        <v>24</v>
      </c>
      <c r="GI239" s="552">
        <v>10</v>
      </c>
      <c r="GJ239" s="552">
        <v>16</v>
      </c>
      <c r="GK239" s="551"/>
      <c r="GL239" s="552">
        <v>1</v>
      </c>
      <c r="GM239" s="552">
        <v>67</v>
      </c>
      <c r="GN239" s="553">
        <f>+(GM238+GM237+GM234)/GM239</f>
        <v>0.28358208955223879</v>
      </c>
      <c r="GP239" s="63"/>
      <c r="GQ239" s="63"/>
      <c r="GR239" s="63" t="s">
        <v>103</v>
      </c>
      <c r="GS239" s="37" t="s">
        <v>1071</v>
      </c>
      <c r="GT239" s="63"/>
      <c r="GU239" s="63">
        <v>0</v>
      </c>
      <c r="GV239" s="63"/>
      <c r="GW239" s="63"/>
      <c r="GX239" s="63">
        <v>0</v>
      </c>
      <c r="GY239" s="63">
        <v>0</v>
      </c>
      <c r="GZ239" s="63">
        <v>1</v>
      </c>
      <c r="HA239" s="63"/>
      <c r="HB239" s="63"/>
      <c r="HC239" s="63"/>
      <c r="HD239" s="63">
        <v>1</v>
      </c>
      <c r="HE239" s="37"/>
      <c r="HF239" s="37"/>
      <c r="HG239" s="446"/>
      <c r="HH239" s="446"/>
      <c r="HI239" s="446"/>
      <c r="HJ239" s="449" t="s">
        <v>15</v>
      </c>
      <c r="HK239" s="449">
        <v>0</v>
      </c>
      <c r="HL239" s="449">
        <v>0</v>
      </c>
      <c r="HM239" s="449">
        <v>1</v>
      </c>
      <c r="HN239" s="449">
        <v>0</v>
      </c>
      <c r="HO239" s="449">
        <v>0</v>
      </c>
      <c r="HP239" s="449">
        <v>4</v>
      </c>
      <c r="HQ239" s="449">
        <v>38</v>
      </c>
      <c r="HR239" s="449">
        <v>8</v>
      </c>
      <c r="HS239" s="449">
        <v>8</v>
      </c>
      <c r="HT239" s="449">
        <v>1</v>
      </c>
      <c r="HU239" s="449">
        <v>1</v>
      </c>
      <c r="HV239" s="507">
        <v>61</v>
      </c>
      <c r="HW239" s="450">
        <f>+(HV238+HV237+HV235)/HV239</f>
        <v>0.32786885245901637</v>
      </c>
      <c r="HX239" s="448">
        <f>+HV235+HV237+HV238</f>
        <v>20</v>
      </c>
    </row>
    <row r="240" spans="1:232">
      <c r="A240" s="5682">
        <v>3</v>
      </c>
      <c r="B240" s="5682">
        <v>2</v>
      </c>
      <c r="C240" s="5683" t="s">
        <v>2083</v>
      </c>
      <c r="D240" s="5685" t="s">
        <v>1076</v>
      </c>
      <c r="E240" s="5682">
        <v>4</v>
      </c>
      <c r="F240" s="5682">
        <v>6</v>
      </c>
      <c r="I240" s="4915"/>
      <c r="J240" s="4915"/>
      <c r="K240" s="4916"/>
      <c r="L240" s="4916"/>
      <c r="M240" s="4920">
        <f>SUM(M238:M239)</f>
        <v>4</v>
      </c>
      <c r="N240" s="4915"/>
      <c r="O240" s="157"/>
      <c r="Q240" s="4705">
        <v>3</v>
      </c>
      <c r="R240" s="4705">
        <v>3</v>
      </c>
      <c r="S240" s="4706" t="s">
        <v>292</v>
      </c>
      <c r="T240" s="4706" t="s">
        <v>2709</v>
      </c>
      <c r="U240" s="4707">
        <v>2</v>
      </c>
      <c r="V240" s="4707">
        <v>6</v>
      </c>
      <c r="W240" s="4722"/>
      <c r="X240" s="4452"/>
      <c r="Y240" s="36"/>
      <c r="Z240" s="36"/>
      <c r="AA240" s="36"/>
      <c r="AB240" s="36" t="s">
        <v>1076</v>
      </c>
      <c r="AC240" s="1681">
        <v>0</v>
      </c>
      <c r="AD240" s="1681">
        <v>0</v>
      </c>
      <c r="AE240" s="1681">
        <v>0</v>
      </c>
      <c r="AF240" s="1681">
        <v>0</v>
      </c>
      <c r="AG240" s="1681"/>
      <c r="AH240" s="1681">
        <v>0</v>
      </c>
      <c r="AI240" s="1681">
        <v>1</v>
      </c>
      <c r="AJ240" s="1681">
        <v>0</v>
      </c>
      <c r="AK240" s="1681">
        <v>0</v>
      </c>
      <c r="AL240" s="95">
        <v>0</v>
      </c>
      <c r="AM240" s="95">
        <v>1</v>
      </c>
      <c r="AN240" s="4545"/>
      <c r="AR240" s="27"/>
      <c r="AS240" s="27" t="s">
        <v>1081</v>
      </c>
      <c r="AT240" s="3722">
        <v>0</v>
      </c>
      <c r="AU240" s="3722">
        <v>0</v>
      </c>
      <c r="AV240" s="3722"/>
      <c r="AW240" s="3722"/>
      <c r="AX240" s="3722"/>
      <c r="AY240" s="3722">
        <v>0</v>
      </c>
      <c r="AZ240" s="3722">
        <v>4</v>
      </c>
      <c r="BA240" s="3722">
        <v>0</v>
      </c>
      <c r="BB240" s="3722"/>
      <c r="BC240" s="3701"/>
      <c r="BD240" s="3701"/>
      <c r="BE240" s="3701">
        <v>4</v>
      </c>
      <c r="BF240" s="3701"/>
      <c r="BG240" s="3701"/>
      <c r="BK240" s="32" t="s">
        <v>1081</v>
      </c>
      <c r="BL240" s="3871"/>
      <c r="BM240" s="3871"/>
      <c r="BN240" s="3871"/>
      <c r="BO240" s="3871">
        <v>0</v>
      </c>
      <c r="BP240" s="3871"/>
      <c r="BQ240" s="3871">
        <v>1</v>
      </c>
      <c r="BR240" s="3871">
        <v>2</v>
      </c>
      <c r="BS240" s="3871">
        <v>0</v>
      </c>
      <c r="BT240" s="1518"/>
      <c r="BU240" s="1518">
        <v>3</v>
      </c>
      <c r="BX240" s="36"/>
      <c r="BY240" s="36"/>
      <c r="BZ240" s="36" t="s">
        <v>529</v>
      </c>
      <c r="CA240" s="36" t="s">
        <v>1072</v>
      </c>
      <c r="CB240" s="1681"/>
      <c r="CC240" s="1681"/>
      <c r="CD240" s="1681">
        <v>1</v>
      </c>
      <c r="CE240" s="1681">
        <v>1</v>
      </c>
      <c r="CF240" s="1681"/>
      <c r="CG240" s="1681">
        <v>13</v>
      </c>
      <c r="CH240" s="1681"/>
      <c r="CI240" s="1681"/>
      <c r="CJ240" s="95"/>
      <c r="CK240" s="95"/>
      <c r="CL240" s="95">
        <v>15</v>
      </c>
      <c r="CM240" s="36"/>
      <c r="CO240" s="37"/>
      <c r="CP240" s="37"/>
      <c r="CQ240" s="37" t="s">
        <v>141</v>
      </c>
      <c r="CR240" s="37" t="s">
        <v>1072</v>
      </c>
      <c r="CS240" s="1678"/>
      <c r="CT240" s="1678"/>
      <c r="CU240" s="1678"/>
      <c r="CV240" s="1678"/>
      <c r="CW240" s="1678">
        <v>0</v>
      </c>
      <c r="CX240" s="1678"/>
      <c r="CY240" s="1678">
        <v>7</v>
      </c>
      <c r="CZ240" s="1678">
        <v>3</v>
      </c>
      <c r="DA240" s="1678">
        <v>0</v>
      </c>
      <c r="DB240" s="63"/>
      <c r="DC240" s="63"/>
      <c r="DD240" s="63">
        <v>10</v>
      </c>
      <c r="DG240" s="95"/>
      <c r="DH240" s="95"/>
      <c r="DI240" s="36"/>
      <c r="DJ240" s="393" t="s">
        <v>15</v>
      </c>
      <c r="DK240" s="1485"/>
      <c r="DL240" s="1485">
        <v>1</v>
      </c>
      <c r="DM240" s="1485">
        <v>1</v>
      </c>
      <c r="DN240" s="1485"/>
      <c r="DO240" s="1485"/>
      <c r="DP240" s="1485"/>
      <c r="DQ240" s="1485">
        <v>12</v>
      </c>
      <c r="DR240" s="1485"/>
      <c r="DS240" s="1485"/>
      <c r="DT240" s="86"/>
      <c r="DU240" s="86"/>
      <c r="DV240" s="86">
        <v>14</v>
      </c>
      <c r="DW240" s="560">
        <f>+(DV237+DV238+DV239)/DV240</f>
        <v>0.42857142857142855</v>
      </c>
      <c r="DY240" s="1209"/>
      <c r="DZ240" s="1209"/>
      <c r="EA240" s="1210"/>
      <c r="EB240" s="415" t="s">
        <v>15</v>
      </c>
      <c r="EC240" s="1215">
        <v>1</v>
      </c>
      <c r="ED240" s="1214"/>
      <c r="EE240" s="1214"/>
      <c r="EF240" s="1215">
        <v>7</v>
      </c>
      <c r="EG240" s="1214"/>
      <c r="EH240" s="1214"/>
      <c r="EI240" s="1214"/>
      <c r="EJ240" s="1214"/>
      <c r="EK240" s="620"/>
      <c r="EL240" s="620"/>
      <c r="EM240" s="621">
        <v>8</v>
      </c>
      <c r="EN240" s="1178">
        <f>+(EM237+EM238+EM239)/EM240</f>
        <v>0.5</v>
      </c>
      <c r="EP240" s="527"/>
      <c r="EQ240" s="527"/>
      <c r="ER240" s="528" t="s">
        <v>140</v>
      </c>
      <c r="ES240" s="529" t="s">
        <v>1072</v>
      </c>
      <c r="ET240" s="530"/>
      <c r="EU240" s="530"/>
      <c r="EV240" s="531">
        <v>1</v>
      </c>
      <c r="EW240" s="530"/>
      <c r="EX240" s="530"/>
      <c r="EY240" s="531">
        <v>2</v>
      </c>
      <c r="EZ240" s="531">
        <v>1</v>
      </c>
      <c r="FA240" s="531">
        <v>0</v>
      </c>
      <c r="FB240" s="532">
        <v>0</v>
      </c>
      <c r="FC240" s="527"/>
      <c r="FD240" s="532">
        <v>4</v>
      </c>
      <c r="FE240" s="95"/>
      <c r="FG240" s="533"/>
      <c r="FH240" s="533"/>
      <c r="FI240" s="533"/>
      <c r="FJ240" s="534" t="s">
        <v>1081</v>
      </c>
      <c r="FK240" s="535"/>
      <c r="FL240" s="536">
        <v>0</v>
      </c>
      <c r="FM240" s="536">
        <v>0</v>
      </c>
      <c r="FN240" s="535"/>
      <c r="FO240" s="536">
        <v>0</v>
      </c>
      <c r="FP240" s="535"/>
      <c r="FQ240" s="536">
        <v>2</v>
      </c>
      <c r="FR240" s="536">
        <v>1</v>
      </c>
      <c r="FS240" s="535"/>
      <c r="FT240" s="537"/>
      <c r="FU240" s="537"/>
      <c r="FV240" s="538">
        <v>3</v>
      </c>
      <c r="FW240" s="539"/>
      <c r="GA240" s="540" t="s">
        <v>726</v>
      </c>
      <c r="GB240" s="541" t="s">
        <v>1072</v>
      </c>
      <c r="GC240" s="542"/>
      <c r="GD240" s="542"/>
      <c r="GE240" s="542"/>
      <c r="GF240" s="542"/>
      <c r="GG240" s="543">
        <v>2</v>
      </c>
      <c r="GH240" s="543">
        <v>1</v>
      </c>
      <c r="GI240" s="542"/>
      <c r="GJ240" s="542"/>
      <c r="GK240" s="542"/>
      <c r="GL240" s="542"/>
      <c r="GM240" s="543">
        <v>3</v>
      </c>
      <c r="GN240" s="445"/>
      <c r="GP240" s="63"/>
      <c r="GQ240" s="63"/>
      <c r="GR240" s="63"/>
      <c r="GS240" s="37" t="s">
        <v>1072</v>
      </c>
      <c r="GT240" s="63"/>
      <c r="GU240" s="63">
        <v>1</v>
      </c>
      <c r="GV240" s="63"/>
      <c r="GW240" s="63"/>
      <c r="GX240" s="63">
        <v>2</v>
      </c>
      <c r="GY240" s="63">
        <v>35</v>
      </c>
      <c r="GZ240" s="63">
        <v>1</v>
      </c>
      <c r="HA240" s="63"/>
      <c r="HB240" s="63"/>
      <c r="HC240" s="63"/>
      <c r="HD240" s="63">
        <v>39</v>
      </c>
      <c r="HE240" s="37"/>
      <c r="HF240" s="37"/>
      <c r="HG240" s="446"/>
      <c r="HH240" s="446"/>
      <c r="HI240" s="446" t="s">
        <v>103</v>
      </c>
      <c r="HJ240" s="446" t="s">
        <v>1072</v>
      </c>
      <c r="HK240" s="446">
        <v>0</v>
      </c>
      <c r="HL240" s="446">
        <v>0</v>
      </c>
      <c r="HM240" s="446">
        <v>0</v>
      </c>
      <c r="HN240" s="446">
        <v>0</v>
      </c>
      <c r="HO240" s="446">
        <v>0</v>
      </c>
      <c r="HP240" s="446">
        <v>0</v>
      </c>
      <c r="HQ240" s="446">
        <v>3</v>
      </c>
      <c r="HR240" s="446">
        <v>0</v>
      </c>
      <c r="HS240" s="446">
        <v>0</v>
      </c>
      <c r="HT240" s="446">
        <v>0</v>
      </c>
      <c r="HU240" s="446">
        <v>0</v>
      </c>
      <c r="HV240" s="447">
        <v>3</v>
      </c>
      <c r="HW240" s="446"/>
      <c r="HX240" s="448"/>
    </row>
    <row r="241" spans="1:232">
      <c r="A241" s="5682">
        <v>3</v>
      </c>
      <c r="B241" s="5682">
        <v>2</v>
      </c>
      <c r="C241" s="5683" t="s">
        <v>2083</v>
      </c>
      <c r="D241" s="5683" t="s">
        <v>2709</v>
      </c>
      <c r="E241" s="5682">
        <v>12</v>
      </c>
      <c r="F241" s="5682">
        <v>6</v>
      </c>
      <c r="I241" s="4915">
        <v>3</v>
      </c>
      <c r="J241" s="4915">
        <v>3</v>
      </c>
      <c r="K241" s="4916" t="s">
        <v>2085</v>
      </c>
      <c r="L241" s="4916" t="s">
        <v>2709</v>
      </c>
      <c r="M241" s="4915">
        <v>7</v>
      </c>
      <c r="N241" s="4915">
        <v>6</v>
      </c>
      <c r="O241" s="157"/>
      <c r="Q241" s="4705">
        <v>3</v>
      </c>
      <c r="R241" s="4705">
        <v>3</v>
      </c>
      <c r="S241" s="4706" t="s">
        <v>292</v>
      </c>
      <c r="T241" s="4706" t="s">
        <v>2709</v>
      </c>
      <c r="U241" s="4707">
        <v>10</v>
      </c>
      <c r="V241" s="4707">
        <v>7</v>
      </c>
      <c r="W241" s="4722"/>
      <c r="X241" s="4449"/>
      <c r="Y241" s="36"/>
      <c r="Z241" s="36"/>
      <c r="AA241" s="36"/>
      <c r="AB241" s="36" t="s">
        <v>1077</v>
      </c>
      <c r="AC241" s="1681">
        <v>0</v>
      </c>
      <c r="AD241" s="1681">
        <v>0</v>
      </c>
      <c r="AE241" s="1681">
        <v>0</v>
      </c>
      <c r="AF241" s="1681">
        <v>2</v>
      </c>
      <c r="AG241" s="1681"/>
      <c r="AH241" s="1681">
        <v>0</v>
      </c>
      <c r="AI241" s="1681">
        <v>0</v>
      </c>
      <c r="AJ241" s="1681">
        <v>0</v>
      </c>
      <c r="AK241" s="1681">
        <v>0</v>
      </c>
      <c r="AL241" s="95">
        <v>0</v>
      </c>
      <c r="AM241" s="95">
        <v>2</v>
      </c>
      <c r="AN241" s="4545"/>
      <c r="AR241" s="27"/>
      <c r="AS241" s="27" t="s">
        <v>2571</v>
      </c>
      <c r="AT241" s="3722">
        <v>1</v>
      </c>
      <c r="AU241" s="3722">
        <v>0</v>
      </c>
      <c r="AV241" s="3722"/>
      <c r="AW241" s="3722"/>
      <c r="AX241" s="3722"/>
      <c r="AY241" s="3722">
        <v>0</v>
      </c>
      <c r="AZ241" s="3722">
        <v>0</v>
      </c>
      <c r="BA241" s="3722">
        <v>0</v>
      </c>
      <c r="BB241" s="3722"/>
      <c r="BC241" s="3701"/>
      <c r="BD241" s="3701"/>
      <c r="BE241" s="3701">
        <v>1</v>
      </c>
      <c r="BF241" s="3701"/>
      <c r="BG241" s="3701"/>
      <c r="BK241" s="32" t="s">
        <v>1163</v>
      </c>
      <c r="BL241" s="3871"/>
      <c r="BM241" s="3871"/>
      <c r="BN241" s="3871"/>
      <c r="BO241" s="3871">
        <v>0</v>
      </c>
      <c r="BP241" s="3871"/>
      <c r="BQ241" s="3871">
        <v>1</v>
      </c>
      <c r="BR241" s="3871">
        <v>0</v>
      </c>
      <c r="BS241" s="3871">
        <v>0</v>
      </c>
      <c r="BT241" s="1518"/>
      <c r="BU241" s="1518">
        <v>1</v>
      </c>
      <c r="BX241" s="36"/>
      <c r="BY241" s="36"/>
      <c r="BZ241" s="36"/>
      <c r="CA241" s="36" t="s">
        <v>1076</v>
      </c>
      <c r="CB241" s="1681"/>
      <c r="CC241" s="1681"/>
      <c r="CD241" s="1681">
        <v>0</v>
      </c>
      <c r="CE241" s="1681">
        <v>0</v>
      </c>
      <c r="CF241" s="1681"/>
      <c r="CG241" s="1681">
        <v>4</v>
      </c>
      <c r="CH241" s="1681"/>
      <c r="CI241" s="1681"/>
      <c r="CJ241" s="95"/>
      <c r="CK241" s="95"/>
      <c r="CL241" s="95">
        <v>4</v>
      </c>
      <c r="CM241" s="36"/>
      <c r="CO241" s="37"/>
      <c r="CP241" s="37"/>
      <c r="CQ241" s="37"/>
      <c r="CR241" s="37" t="s">
        <v>1076</v>
      </c>
      <c r="CS241" s="1678"/>
      <c r="CT241" s="1678"/>
      <c r="CU241" s="1678"/>
      <c r="CV241" s="1678"/>
      <c r="CW241" s="1678">
        <v>0</v>
      </c>
      <c r="CX241" s="1678"/>
      <c r="CY241" s="1678">
        <v>2</v>
      </c>
      <c r="CZ241" s="1678">
        <v>0</v>
      </c>
      <c r="DA241" s="1678">
        <v>0</v>
      </c>
      <c r="DB241" s="63"/>
      <c r="DC241" s="63"/>
      <c r="DD241" s="63">
        <v>2</v>
      </c>
      <c r="DG241" s="95"/>
      <c r="DH241" s="95"/>
      <c r="DI241" s="36" t="s">
        <v>483</v>
      </c>
      <c r="DJ241" s="36" t="s">
        <v>1072</v>
      </c>
      <c r="DK241" s="1484"/>
      <c r="DL241" s="1484">
        <v>2</v>
      </c>
      <c r="DM241" s="1484">
        <v>4</v>
      </c>
      <c r="DN241" s="1484">
        <v>13</v>
      </c>
      <c r="DO241" s="1484">
        <v>1</v>
      </c>
      <c r="DP241" s="1484">
        <v>1</v>
      </c>
      <c r="DQ241" s="1484">
        <v>83</v>
      </c>
      <c r="DR241" s="1484">
        <v>7</v>
      </c>
      <c r="DS241" s="1484">
        <v>0</v>
      </c>
      <c r="DT241" s="95"/>
      <c r="DU241" s="95"/>
      <c r="DV241" s="95">
        <v>111</v>
      </c>
      <c r="DW241" s="95"/>
      <c r="DY241" s="1209"/>
      <c r="DZ241" s="1209"/>
      <c r="EA241" s="1210" t="s">
        <v>485</v>
      </c>
      <c r="EB241" s="1211" t="s">
        <v>1072</v>
      </c>
      <c r="EC241" s="1213">
        <v>4</v>
      </c>
      <c r="ED241" s="1213">
        <v>1</v>
      </c>
      <c r="EE241" s="1212"/>
      <c r="EF241" s="1213">
        <v>3</v>
      </c>
      <c r="EG241" s="1213">
        <v>1</v>
      </c>
      <c r="EH241" s="1213">
        <v>24</v>
      </c>
      <c r="EI241" s="1213">
        <v>9</v>
      </c>
      <c r="EJ241" s="1213">
        <v>3</v>
      </c>
      <c r="EK241" s="612">
        <v>0</v>
      </c>
      <c r="EL241" s="611"/>
      <c r="EM241" s="612">
        <v>45</v>
      </c>
      <c r="EN241" s="36"/>
      <c r="EP241" s="527"/>
      <c r="EQ241" s="527"/>
      <c r="ER241" s="528"/>
      <c r="ES241" s="529" t="s">
        <v>1076</v>
      </c>
      <c r="ET241" s="530"/>
      <c r="EU241" s="530"/>
      <c r="EV241" s="531">
        <v>0</v>
      </c>
      <c r="EW241" s="530"/>
      <c r="EX241" s="530"/>
      <c r="EY241" s="531">
        <v>0</v>
      </c>
      <c r="EZ241" s="531">
        <v>4</v>
      </c>
      <c r="FA241" s="531">
        <v>0</v>
      </c>
      <c r="FB241" s="532">
        <v>0</v>
      </c>
      <c r="FC241" s="527"/>
      <c r="FD241" s="532">
        <v>4</v>
      </c>
      <c r="FE241" s="95"/>
      <c r="FG241" s="533"/>
      <c r="FH241" s="533"/>
      <c r="FI241" s="533"/>
      <c r="FJ241" s="534" t="s">
        <v>1163</v>
      </c>
      <c r="FK241" s="535"/>
      <c r="FL241" s="536">
        <v>0</v>
      </c>
      <c r="FM241" s="536">
        <v>0</v>
      </c>
      <c r="FN241" s="535"/>
      <c r="FO241" s="536">
        <v>0</v>
      </c>
      <c r="FP241" s="535"/>
      <c r="FQ241" s="536">
        <v>4</v>
      </c>
      <c r="FR241" s="536">
        <v>1</v>
      </c>
      <c r="FS241" s="535"/>
      <c r="FT241" s="537"/>
      <c r="FU241" s="537"/>
      <c r="FV241" s="538">
        <v>5</v>
      </c>
      <c r="FW241" s="539"/>
      <c r="FY241" s="540"/>
      <c r="FZ241" s="540"/>
      <c r="GA241" s="540"/>
      <c r="GB241" s="541" t="s">
        <v>1076</v>
      </c>
      <c r="GC241" s="542"/>
      <c r="GD241" s="542"/>
      <c r="GE241" s="542"/>
      <c r="GF241" s="542"/>
      <c r="GG241" s="543">
        <v>0</v>
      </c>
      <c r="GH241" s="543">
        <v>6</v>
      </c>
      <c r="GI241" s="542"/>
      <c r="GJ241" s="542"/>
      <c r="GK241" s="542"/>
      <c r="GL241" s="542"/>
      <c r="GM241" s="543">
        <v>6</v>
      </c>
      <c r="GN241" s="445"/>
      <c r="GP241" s="63"/>
      <c r="GQ241" s="63"/>
      <c r="GR241" s="63"/>
      <c r="GS241" s="37" t="s">
        <v>1076</v>
      </c>
      <c r="GT241" s="63"/>
      <c r="GU241" s="63">
        <v>0</v>
      </c>
      <c r="GV241" s="63"/>
      <c r="GW241" s="63"/>
      <c r="GX241" s="63">
        <v>0</v>
      </c>
      <c r="GY241" s="63">
        <v>6</v>
      </c>
      <c r="GZ241" s="63">
        <v>2</v>
      </c>
      <c r="HA241" s="63"/>
      <c r="HB241" s="63"/>
      <c r="HC241" s="63"/>
      <c r="HD241" s="63">
        <v>8</v>
      </c>
      <c r="HE241" s="37"/>
      <c r="HF241" s="37"/>
      <c r="HG241" s="446"/>
      <c r="HH241" s="446"/>
      <c r="HI241" s="446"/>
      <c r="HJ241" s="446" t="s">
        <v>1076</v>
      </c>
      <c r="HK241" s="446">
        <v>0</v>
      </c>
      <c r="HL241" s="446">
        <v>0</v>
      </c>
      <c r="HM241" s="446">
        <v>0</v>
      </c>
      <c r="HN241" s="446">
        <v>0</v>
      </c>
      <c r="HO241" s="446">
        <v>0</v>
      </c>
      <c r="HP241" s="446">
        <v>0</v>
      </c>
      <c r="HQ241" s="446">
        <v>4</v>
      </c>
      <c r="HR241" s="446">
        <v>0</v>
      </c>
      <c r="HS241" s="446">
        <v>0</v>
      </c>
      <c r="HT241" s="446">
        <v>0</v>
      </c>
      <c r="HU241" s="446">
        <v>0</v>
      </c>
      <c r="HV241" s="447">
        <v>4</v>
      </c>
      <c r="HW241" s="446"/>
      <c r="HX241" s="448"/>
    </row>
    <row r="242" spans="1:232">
      <c r="A242" s="5682"/>
      <c r="B242" s="5682"/>
      <c r="C242" s="5683"/>
      <c r="D242" s="5683"/>
      <c r="E242" s="5686">
        <f>SUM(E238:E241)</f>
        <v>18</v>
      </c>
      <c r="F242" s="5682"/>
      <c r="G242" s="4921">
        <f>(E238+E239+E240)/(E242)</f>
        <v>0.33333333333333331</v>
      </c>
      <c r="I242" s="4915"/>
      <c r="J242" s="4915"/>
      <c r="K242" s="4916"/>
      <c r="L242" s="4916"/>
      <c r="M242" s="4920">
        <f>SUM(M241)</f>
        <v>7</v>
      </c>
      <c r="N242" s="4915"/>
      <c r="O242" s="4921">
        <v>0</v>
      </c>
      <c r="Q242" s="4705">
        <v>3</v>
      </c>
      <c r="R242" s="4705">
        <v>3</v>
      </c>
      <c r="S242" s="4706" t="s">
        <v>292</v>
      </c>
      <c r="T242" s="4706" t="s">
        <v>2709</v>
      </c>
      <c r="U242" s="4707">
        <v>2</v>
      </c>
      <c r="V242" s="4707">
        <v>8</v>
      </c>
      <c r="W242" s="4722"/>
      <c r="X242" s="4452"/>
      <c r="Y242" s="36"/>
      <c r="Z242" s="36"/>
      <c r="AA242" s="36"/>
      <c r="AB242" s="36" t="s">
        <v>1080</v>
      </c>
      <c r="AC242" s="1681">
        <v>0</v>
      </c>
      <c r="AD242" s="1681">
        <v>0</v>
      </c>
      <c r="AE242" s="1681">
        <v>0</v>
      </c>
      <c r="AF242" s="1681">
        <v>0</v>
      </c>
      <c r="AG242" s="1681"/>
      <c r="AH242" s="1681">
        <v>0</v>
      </c>
      <c r="AI242" s="1681">
        <v>0</v>
      </c>
      <c r="AJ242" s="1681">
        <v>30</v>
      </c>
      <c r="AK242" s="1681">
        <v>12</v>
      </c>
      <c r="AL242" s="95">
        <v>2</v>
      </c>
      <c r="AM242" s="95">
        <v>44</v>
      </c>
      <c r="AN242" s="4545"/>
      <c r="AR242" s="27"/>
      <c r="AS242" s="27" t="s">
        <v>1163</v>
      </c>
      <c r="AT242" s="3722">
        <v>0</v>
      </c>
      <c r="AU242" s="3722">
        <v>0</v>
      </c>
      <c r="AV242" s="3722"/>
      <c r="AW242" s="3722"/>
      <c r="AX242" s="3722"/>
      <c r="AY242" s="3722">
        <v>0</v>
      </c>
      <c r="AZ242" s="3722">
        <v>11</v>
      </c>
      <c r="BA242" s="3722">
        <v>1</v>
      </c>
      <c r="BB242" s="3722"/>
      <c r="BC242" s="3701"/>
      <c r="BD242" s="3701"/>
      <c r="BE242" s="3701">
        <v>12</v>
      </c>
      <c r="BF242" s="3701"/>
      <c r="BG242" s="3701"/>
      <c r="BK242" s="1520" t="s">
        <v>15</v>
      </c>
      <c r="BL242" s="3872"/>
      <c r="BM242" s="3872"/>
      <c r="BN242" s="3872"/>
      <c r="BO242" s="3872">
        <v>1</v>
      </c>
      <c r="BP242" s="3872"/>
      <c r="BQ242" s="3872">
        <v>7</v>
      </c>
      <c r="BR242" s="3872">
        <v>13</v>
      </c>
      <c r="BS242" s="3872">
        <v>1</v>
      </c>
      <c r="BT242" s="3806"/>
      <c r="BU242" s="3806">
        <v>22</v>
      </c>
      <c r="BV242" s="3807">
        <f>+(BU238+BU240+BU241)/BU242</f>
        <v>0.27272727272727271</v>
      </c>
      <c r="BX242" s="36"/>
      <c r="BY242" s="36"/>
      <c r="BZ242" s="36"/>
      <c r="CA242" s="36" t="s">
        <v>1081</v>
      </c>
      <c r="CB242" s="1681"/>
      <c r="CC242" s="1681"/>
      <c r="CD242" s="1681">
        <v>0</v>
      </c>
      <c r="CE242" s="1681">
        <v>0</v>
      </c>
      <c r="CF242" s="1681"/>
      <c r="CG242" s="1681">
        <v>4</v>
      </c>
      <c r="CH242" s="1681"/>
      <c r="CI242" s="1681"/>
      <c r="CJ242" s="95"/>
      <c r="CK242" s="95"/>
      <c r="CL242" s="95">
        <v>4</v>
      </c>
      <c r="CM242" s="36"/>
      <c r="CO242" s="37"/>
      <c r="CP242" s="37"/>
      <c r="CQ242" s="37"/>
      <c r="CR242" s="37" t="s">
        <v>1080</v>
      </c>
      <c r="CS242" s="1678"/>
      <c r="CT242" s="1678"/>
      <c r="CU242" s="1678"/>
      <c r="CV242" s="1678"/>
      <c r="CW242" s="1678">
        <v>0</v>
      </c>
      <c r="CX242" s="1678"/>
      <c r="CY242" s="1678">
        <v>0</v>
      </c>
      <c r="CZ242" s="1678">
        <v>0</v>
      </c>
      <c r="DA242" s="1678">
        <v>5</v>
      </c>
      <c r="DB242" s="63"/>
      <c r="DC242" s="63"/>
      <c r="DD242" s="63">
        <v>5</v>
      </c>
      <c r="DG242" s="95"/>
      <c r="DH242" s="95"/>
      <c r="DI242" s="36"/>
      <c r="DJ242" s="36" t="s">
        <v>1076</v>
      </c>
      <c r="DK242" s="1484"/>
      <c r="DL242" s="1484">
        <v>0</v>
      </c>
      <c r="DM242" s="1484">
        <v>0</v>
      </c>
      <c r="DN242" s="1484">
        <v>3</v>
      </c>
      <c r="DO242" s="1484">
        <v>3</v>
      </c>
      <c r="DP242" s="1484">
        <v>0</v>
      </c>
      <c r="DQ242" s="1484">
        <v>9</v>
      </c>
      <c r="DR242" s="1484">
        <v>1</v>
      </c>
      <c r="DS242" s="1484">
        <v>0</v>
      </c>
      <c r="DT242" s="95"/>
      <c r="DU242" s="95"/>
      <c r="DV242" s="95">
        <v>16</v>
      </c>
      <c r="DW242" s="95"/>
      <c r="DY242" s="1209"/>
      <c r="DZ242" s="1209"/>
      <c r="EA242" s="1210"/>
      <c r="EB242" s="1211" t="s">
        <v>1074</v>
      </c>
      <c r="EC242" s="1213">
        <v>0</v>
      </c>
      <c r="ED242" s="1213">
        <v>1</v>
      </c>
      <c r="EE242" s="1212"/>
      <c r="EF242" s="1213">
        <v>0</v>
      </c>
      <c r="EG242" s="1213">
        <v>0</v>
      </c>
      <c r="EH242" s="1213">
        <v>0</v>
      </c>
      <c r="EI242" s="1213">
        <v>0</v>
      </c>
      <c r="EJ242" s="1213">
        <v>0</v>
      </c>
      <c r="EK242" s="612">
        <v>0</v>
      </c>
      <c r="EL242" s="611"/>
      <c r="EM242" s="612">
        <v>1</v>
      </c>
      <c r="EN242" s="36"/>
      <c r="EP242" s="527"/>
      <c r="EQ242" s="527"/>
      <c r="ER242" s="528"/>
      <c r="ES242" s="529" t="s">
        <v>1080</v>
      </c>
      <c r="ET242" s="530"/>
      <c r="EU242" s="530"/>
      <c r="EV242" s="531">
        <v>0</v>
      </c>
      <c r="EW242" s="530"/>
      <c r="EX242" s="530"/>
      <c r="EY242" s="531">
        <v>0</v>
      </c>
      <c r="EZ242" s="531">
        <v>0</v>
      </c>
      <c r="FA242" s="531">
        <v>1</v>
      </c>
      <c r="FB242" s="532">
        <v>2</v>
      </c>
      <c r="FC242" s="527"/>
      <c r="FD242" s="532">
        <v>3</v>
      </c>
      <c r="FE242" s="95"/>
      <c r="FG242" s="533"/>
      <c r="FH242" s="533"/>
      <c r="FI242" s="533"/>
      <c r="FJ242" s="545" t="s">
        <v>15</v>
      </c>
      <c r="FK242" s="546"/>
      <c r="FL242" s="547">
        <v>1</v>
      </c>
      <c r="FM242" s="547">
        <v>1</v>
      </c>
      <c r="FN242" s="546"/>
      <c r="FO242" s="547">
        <v>1</v>
      </c>
      <c r="FP242" s="546"/>
      <c r="FQ242" s="547">
        <v>12</v>
      </c>
      <c r="FR242" s="547">
        <v>5</v>
      </c>
      <c r="FS242" s="546"/>
      <c r="FT242" s="548"/>
      <c r="FU242" s="548"/>
      <c r="FV242" s="549">
        <v>20</v>
      </c>
      <c r="FW242" s="539">
        <f>+(FV241+FV240+FV238)/FV242</f>
        <v>0.5</v>
      </c>
      <c r="FY242" s="540"/>
      <c r="FZ242" s="540"/>
      <c r="GA242" s="540"/>
      <c r="GB242" s="541" t="s">
        <v>1081</v>
      </c>
      <c r="GC242" s="542"/>
      <c r="GD242" s="542"/>
      <c r="GE242" s="542"/>
      <c r="GF242" s="542"/>
      <c r="GG242" s="543">
        <v>0</v>
      </c>
      <c r="GH242" s="543">
        <v>1</v>
      </c>
      <c r="GI242" s="542"/>
      <c r="GJ242" s="542"/>
      <c r="GK242" s="542"/>
      <c r="GL242" s="542"/>
      <c r="GM242" s="543">
        <v>1</v>
      </c>
      <c r="GN242" s="445"/>
      <c r="GP242" s="63"/>
      <c r="GQ242" s="63"/>
      <c r="GR242" s="63"/>
      <c r="GS242" s="37" t="s">
        <v>1080</v>
      </c>
      <c r="GT242" s="63"/>
      <c r="GU242" s="63">
        <v>0</v>
      </c>
      <c r="GV242" s="63"/>
      <c r="GW242" s="63"/>
      <c r="GX242" s="63">
        <v>0</v>
      </c>
      <c r="GY242" s="63">
        <v>0</v>
      </c>
      <c r="GZ242" s="63">
        <v>1</v>
      </c>
      <c r="HA242" s="63"/>
      <c r="HB242" s="63"/>
      <c r="HC242" s="63"/>
      <c r="HD242" s="63">
        <v>1</v>
      </c>
      <c r="HE242" s="37"/>
      <c r="HF242" s="37"/>
      <c r="HG242" s="446"/>
      <c r="HH242" s="446"/>
      <c r="HI242" s="446"/>
      <c r="HJ242" s="446" t="s">
        <v>1080</v>
      </c>
      <c r="HK242" s="446">
        <v>0</v>
      </c>
      <c r="HL242" s="446">
        <v>0</v>
      </c>
      <c r="HM242" s="446">
        <v>0</v>
      </c>
      <c r="HN242" s="446">
        <v>0</v>
      </c>
      <c r="HO242" s="446">
        <v>0</v>
      </c>
      <c r="HP242" s="446">
        <v>1</v>
      </c>
      <c r="HQ242" s="446">
        <v>0</v>
      </c>
      <c r="HR242" s="446">
        <v>0</v>
      </c>
      <c r="HS242" s="446">
        <v>0</v>
      </c>
      <c r="HT242" s="446">
        <v>0</v>
      </c>
      <c r="HU242" s="446">
        <v>0</v>
      </c>
      <c r="HV242" s="447">
        <v>1</v>
      </c>
      <c r="HW242" s="446"/>
      <c r="HX242" s="448"/>
    </row>
    <row r="243" spans="1:232">
      <c r="A243" s="5682"/>
      <c r="B243" s="5682"/>
      <c r="C243" s="5683"/>
      <c r="D243" s="5690" t="s">
        <v>2754</v>
      </c>
      <c r="E243" s="5693">
        <f>SUM(E226:E227,E232,E238:E240)</f>
        <v>11</v>
      </c>
      <c r="F243" s="5682"/>
      <c r="I243" s="4915">
        <v>3</v>
      </c>
      <c r="J243" s="4915">
        <v>3</v>
      </c>
      <c r="K243" s="4916" t="s">
        <v>294</v>
      </c>
      <c r="L243" s="4916" t="s">
        <v>2709</v>
      </c>
      <c r="M243" s="4915">
        <v>13</v>
      </c>
      <c r="N243" s="4915">
        <v>6</v>
      </c>
      <c r="O243" s="157"/>
      <c r="Q243" s="4705"/>
      <c r="R243" s="4705"/>
      <c r="S243" s="4706"/>
      <c r="T243" s="4706"/>
      <c r="U243" s="4741">
        <f>SUM(U232:U242)</f>
        <v>27</v>
      </c>
      <c r="V243" s="4741"/>
      <c r="W243" s="4722">
        <f>(U235+U236+U237)/(U243)</f>
        <v>0.22222222222222221</v>
      </c>
      <c r="Y243" s="36"/>
      <c r="Z243" s="36"/>
      <c r="AA243" s="36"/>
      <c r="AB243" s="36" t="s">
        <v>1081</v>
      </c>
      <c r="AC243" s="1681">
        <v>0</v>
      </c>
      <c r="AD243" s="1681">
        <v>0</v>
      </c>
      <c r="AE243" s="1681">
        <v>0</v>
      </c>
      <c r="AF243" s="1681">
        <v>0</v>
      </c>
      <c r="AG243" s="1681"/>
      <c r="AH243" s="1681">
        <v>2</v>
      </c>
      <c r="AI243" s="1681">
        <v>1</v>
      </c>
      <c r="AJ243" s="1681">
        <v>3</v>
      </c>
      <c r="AK243" s="1681">
        <v>1</v>
      </c>
      <c r="AL243" s="95">
        <v>0</v>
      </c>
      <c r="AM243" s="95">
        <v>7</v>
      </c>
      <c r="AN243" s="4545"/>
      <c r="AR243" s="27"/>
      <c r="AS243" s="3868" t="s">
        <v>15</v>
      </c>
      <c r="AT243" s="3722">
        <v>1</v>
      </c>
      <c r="AU243" s="3722">
        <v>3</v>
      </c>
      <c r="AV243" s="3722"/>
      <c r="AW243" s="3722"/>
      <c r="AX243" s="3722"/>
      <c r="AY243" s="3722">
        <v>1</v>
      </c>
      <c r="AZ243" s="3722">
        <v>32</v>
      </c>
      <c r="BA243" s="3722">
        <v>2</v>
      </c>
      <c r="BB243" s="3722"/>
      <c r="BC243" s="3701"/>
      <c r="BD243" s="3701"/>
      <c r="BE243" s="3701">
        <v>39</v>
      </c>
      <c r="BF243" s="1665">
        <f>+(BE239+BE240+BE242)/(BE243-BE241)</f>
        <v>0.57894736842105265</v>
      </c>
      <c r="BG243" s="1665"/>
      <c r="BJ243" s="32" t="s">
        <v>1732</v>
      </c>
      <c r="BK243" s="32" t="s">
        <v>1074</v>
      </c>
      <c r="BL243" s="3871">
        <v>2</v>
      </c>
      <c r="BM243" s="3871"/>
      <c r="BN243" s="3871"/>
      <c r="BO243" s="3871"/>
      <c r="BP243" s="3871"/>
      <c r="BQ243" s="3871"/>
      <c r="BR243" s="3871">
        <v>0</v>
      </c>
      <c r="BS243" s="3871">
        <v>0</v>
      </c>
      <c r="BT243" s="1518"/>
      <c r="BU243" s="1518">
        <v>2</v>
      </c>
      <c r="BX243" s="36"/>
      <c r="BY243" s="36"/>
      <c r="BZ243" s="36"/>
      <c r="CA243" s="393" t="s">
        <v>15</v>
      </c>
      <c r="CB243" s="1682"/>
      <c r="CC243" s="1682"/>
      <c r="CD243" s="1682">
        <v>1</v>
      </c>
      <c r="CE243" s="1682">
        <v>1</v>
      </c>
      <c r="CF243" s="1682"/>
      <c r="CG243" s="1682">
        <v>21</v>
      </c>
      <c r="CH243" s="1682"/>
      <c r="CI243" s="1682"/>
      <c r="CJ243" s="2041"/>
      <c r="CK243" s="2041"/>
      <c r="CL243" s="2041">
        <v>23</v>
      </c>
      <c r="CM243" s="560">
        <f>+(CL242+CL241)/CL243</f>
        <v>0.34782608695652173</v>
      </c>
      <c r="CN243" s="1665"/>
      <c r="CO243" s="37"/>
      <c r="CP243" s="37"/>
      <c r="CQ243" s="37"/>
      <c r="CR243" s="37" t="s">
        <v>1081</v>
      </c>
      <c r="CS243" s="1678"/>
      <c r="CT243" s="1678"/>
      <c r="CU243" s="1678"/>
      <c r="CV243" s="1678"/>
      <c r="CW243" s="1678">
        <v>0</v>
      </c>
      <c r="CX243" s="1678"/>
      <c r="CY243" s="1678">
        <v>1</v>
      </c>
      <c r="CZ243" s="1678">
        <v>1</v>
      </c>
      <c r="DA243" s="1678">
        <v>0</v>
      </c>
      <c r="DB243" s="63"/>
      <c r="DC243" s="63"/>
      <c r="DD243" s="63">
        <v>2</v>
      </c>
      <c r="DG243" s="95"/>
      <c r="DH243" s="95"/>
      <c r="DI243" s="36"/>
      <c r="DJ243" s="36" t="s">
        <v>1080</v>
      </c>
      <c r="DK243" s="1484"/>
      <c r="DL243" s="1484">
        <v>0</v>
      </c>
      <c r="DM243" s="1484">
        <v>0</v>
      </c>
      <c r="DN243" s="1484">
        <v>0</v>
      </c>
      <c r="DO243" s="1484">
        <v>1</v>
      </c>
      <c r="DP243" s="1484">
        <v>0</v>
      </c>
      <c r="DQ243" s="1484">
        <v>0</v>
      </c>
      <c r="DR243" s="1484">
        <v>0</v>
      </c>
      <c r="DS243" s="1484">
        <v>1</v>
      </c>
      <c r="DT243" s="95"/>
      <c r="DU243" s="95"/>
      <c r="DV243" s="95">
        <v>2</v>
      </c>
      <c r="DW243" s="95"/>
      <c r="DY243" s="1209"/>
      <c r="DZ243" s="1209"/>
      <c r="EA243" s="1210"/>
      <c r="EB243" s="1211" t="s">
        <v>1076</v>
      </c>
      <c r="EC243" s="1213">
        <v>0</v>
      </c>
      <c r="ED243" s="1213">
        <v>0</v>
      </c>
      <c r="EE243" s="1212"/>
      <c r="EF243" s="1213">
        <v>1</v>
      </c>
      <c r="EG243" s="1213">
        <v>2</v>
      </c>
      <c r="EH243" s="1213">
        <v>6</v>
      </c>
      <c r="EI243" s="1213">
        <v>2</v>
      </c>
      <c r="EJ243" s="1213">
        <v>0</v>
      </c>
      <c r="EK243" s="612">
        <v>0</v>
      </c>
      <c r="EL243" s="611"/>
      <c r="EM243" s="612">
        <v>11</v>
      </c>
      <c r="EN243" s="36"/>
      <c r="EP243" s="527"/>
      <c r="EQ243" s="527"/>
      <c r="ER243" s="528"/>
      <c r="ES243" s="529" t="s">
        <v>1081</v>
      </c>
      <c r="ET243" s="530"/>
      <c r="EU243" s="530"/>
      <c r="EV243" s="531">
        <v>0</v>
      </c>
      <c r="EW243" s="530"/>
      <c r="EX243" s="530"/>
      <c r="EY243" s="531">
        <v>1</v>
      </c>
      <c r="EZ243" s="531">
        <v>1</v>
      </c>
      <c r="FA243" s="531">
        <v>0</v>
      </c>
      <c r="FB243" s="532">
        <v>0</v>
      </c>
      <c r="FC243" s="527"/>
      <c r="FD243" s="532">
        <v>2</v>
      </c>
      <c r="FE243" s="95"/>
      <c r="FG243" s="533"/>
      <c r="FH243" s="533"/>
      <c r="FI243" s="545" t="s">
        <v>483</v>
      </c>
      <c r="FJ243" s="534" t="s">
        <v>1072</v>
      </c>
      <c r="FK243" s="535"/>
      <c r="FL243" s="536">
        <v>0</v>
      </c>
      <c r="FM243" s="536">
        <v>0</v>
      </c>
      <c r="FN243" s="535"/>
      <c r="FO243" s="536">
        <v>0</v>
      </c>
      <c r="FP243" s="535"/>
      <c r="FQ243" s="536">
        <v>4</v>
      </c>
      <c r="FR243" s="536">
        <v>2</v>
      </c>
      <c r="FS243" s="535"/>
      <c r="FT243" s="537"/>
      <c r="FU243" s="537"/>
      <c r="FV243" s="538">
        <v>6</v>
      </c>
      <c r="FW243" s="539"/>
      <c r="FY243" s="540"/>
      <c r="FZ243" s="540"/>
      <c r="GA243" s="540"/>
      <c r="GB243" s="541" t="s">
        <v>1163</v>
      </c>
      <c r="GC243" s="542"/>
      <c r="GD243" s="542"/>
      <c r="GE243" s="542"/>
      <c r="GF243" s="542"/>
      <c r="GG243" s="543">
        <v>0</v>
      </c>
      <c r="GH243" s="543">
        <v>5</v>
      </c>
      <c r="GI243" s="542"/>
      <c r="GJ243" s="542"/>
      <c r="GK243" s="542"/>
      <c r="GL243" s="542"/>
      <c r="GM243" s="543">
        <v>5</v>
      </c>
      <c r="GN243" s="445"/>
      <c r="GP243" s="63"/>
      <c r="GQ243" s="63"/>
      <c r="GR243" s="63"/>
      <c r="GS243" s="37" t="s">
        <v>1081</v>
      </c>
      <c r="GT243" s="63"/>
      <c r="GU243" s="63">
        <v>0</v>
      </c>
      <c r="GV243" s="63"/>
      <c r="GW243" s="63"/>
      <c r="GX243" s="63">
        <v>0</v>
      </c>
      <c r="GY243" s="63">
        <v>7</v>
      </c>
      <c r="GZ243" s="63">
        <v>2</v>
      </c>
      <c r="HA243" s="63"/>
      <c r="HB243" s="63"/>
      <c r="HC243" s="63"/>
      <c r="HD243" s="63">
        <v>9</v>
      </c>
      <c r="HE243" s="37"/>
      <c r="HF243" s="37"/>
      <c r="HG243" s="446"/>
      <c r="HH243" s="446"/>
      <c r="HI243" s="446"/>
      <c r="HJ243" s="446" t="s">
        <v>1081</v>
      </c>
      <c r="HK243" s="446">
        <v>0</v>
      </c>
      <c r="HL243" s="446">
        <v>0</v>
      </c>
      <c r="HM243" s="446">
        <v>0</v>
      </c>
      <c r="HN243" s="446">
        <v>0</v>
      </c>
      <c r="HO243" s="446">
        <v>0</v>
      </c>
      <c r="HP243" s="446">
        <v>0</v>
      </c>
      <c r="HQ243" s="446">
        <v>5</v>
      </c>
      <c r="HR243" s="446">
        <v>0</v>
      </c>
      <c r="HS243" s="446">
        <v>0</v>
      </c>
      <c r="HT243" s="446">
        <v>0</v>
      </c>
      <c r="HU243" s="446">
        <v>0</v>
      </c>
      <c r="HV243" s="447">
        <v>5</v>
      </c>
      <c r="HW243" s="446"/>
      <c r="HX243" s="448"/>
    </row>
    <row r="244" spans="1:232" ht="15" thickBot="1">
      <c r="A244" s="5682"/>
      <c r="B244" s="5682"/>
      <c r="C244" s="5686" t="s">
        <v>16</v>
      </c>
      <c r="D244" s="5683"/>
      <c r="E244" s="5686">
        <f>SUM(E242,E237,E229)</f>
        <v>35</v>
      </c>
      <c r="F244" s="5682"/>
      <c r="G244" s="5692">
        <f>E243/E244</f>
        <v>0.31428571428571428</v>
      </c>
      <c r="I244" s="4915"/>
      <c r="J244" s="4915"/>
      <c r="K244" s="4916"/>
      <c r="L244" s="4916"/>
      <c r="M244" s="4920">
        <f>SUM(M243)</f>
        <v>13</v>
      </c>
      <c r="N244" s="4915"/>
      <c r="O244" s="4921">
        <v>0</v>
      </c>
      <c r="Q244" s="4705">
        <v>3</v>
      </c>
      <c r="R244" s="4705">
        <v>3</v>
      </c>
      <c r="S244" s="4706" t="s">
        <v>446</v>
      </c>
      <c r="T244" s="4708" t="s">
        <v>2707</v>
      </c>
      <c r="U244" s="4709">
        <v>4</v>
      </c>
      <c r="V244" s="4709">
        <v>5</v>
      </c>
      <c r="W244" s="4722"/>
      <c r="Y244" s="36"/>
      <c r="Z244" s="36"/>
      <c r="AA244" s="36"/>
      <c r="AB244" s="36" t="s">
        <v>2571</v>
      </c>
      <c r="AC244" s="1681">
        <v>5</v>
      </c>
      <c r="AD244" s="1681">
        <v>0</v>
      </c>
      <c r="AE244" s="1681">
        <v>0</v>
      </c>
      <c r="AF244" s="1681">
        <v>0</v>
      </c>
      <c r="AG244" s="1681"/>
      <c r="AH244" s="1681">
        <v>0</v>
      </c>
      <c r="AI244" s="1681">
        <v>0</v>
      </c>
      <c r="AJ244" s="1681">
        <v>0</v>
      </c>
      <c r="AK244" s="1681">
        <v>0</v>
      </c>
      <c r="AL244" s="95">
        <v>0</v>
      </c>
      <c r="AM244" s="95">
        <v>5</v>
      </c>
      <c r="AN244" s="4545"/>
      <c r="AQ244" s="157" t="s">
        <v>41</v>
      </c>
      <c r="AR244" s="3868" t="s">
        <v>138</v>
      </c>
      <c r="AS244" s="3868" t="s">
        <v>1072</v>
      </c>
      <c r="AT244" s="3721">
        <v>0</v>
      </c>
      <c r="AU244" s="3721">
        <v>1</v>
      </c>
      <c r="AV244" s="3721"/>
      <c r="AW244" s="3721"/>
      <c r="AX244" s="3721"/>
      <c r="AY244" s="3721"/>
      <c r="AZ244" s="3721">
        <v>8</v>
      </c>
      <c r="BA244" s="3721">
        <v>0</v>
      </c>
      <c r="BB244" s="3721"/>
      <c r="BC244" s="2110"/>
      <c r="BD244" s="2110"/>
      <c r="BE244" s="2110">
        <v>9</v>
      </c>
      <c r="BF244" s="2110"/>
      <c r="BG244" s="2110"/>
      <c r="BK244" s="32" t="s">
        <v>1080</v>
      </c>
      <c r="BL244" s="3871">
        <v>0</v>
      </c>
      <c r="BM244" s="3871"/>
      <c r="BN244" s="3871"/>
      <c r="BO244" s="3871"/>
      <c r="BP244" s="3871"/>
      <c r="BQ244" s="3871"/>
      <c r="BR244" s="3871">
        <v>0</v>
      </c>
      <c r="BS244" s="3871">
        <v>5</v>
      </c>
      <c r="BT244" s="1518"/>
      <c r="BU244" s="1518">
        <v>5</v>
      </c>
      <c r="BX244" s="36"/>
      <c r="BY244" s="36"/>
      <c r="BZ244" s="36" t="s">
        <v>1731</v>
      </c>
      <c r="CA244" s="36" t="s">
        <v>1072</v>
      </c>
      <c r="CB244" s="1681">
        <v>1</v>
      </c>
      <c r="CC244" s="1681"/>
      <c r="CD244" s="1681"/>
      <c r="CE244" s="1681"/>
      <c r="CF244" s="1681"/>
      <c r="CG244" s="1681">
        <v>5</v>
      </c>
      <c r="CH244" s="1681">
        <v>0</v>
      </c>
      <c r="CI244" s="1681"/>
      <c r="CJ244" s="95"/>
      <c r="CK244" s="95"/>
      <c r="CL244" s="95">
        <v>6</v>
      </c>
      <c r="CM244" s="36"/>
      <c r="CO244" s="37"/>
      <c r="CP244" s="37"/>
      <c r="CQ244" s="37"/>
      <c r="CR244" s="37" t="s">
        <v>1163</v>
      </c>
      <c r="CS244" s="1678"/>
      <c r="CT244" s="1678"/>
      <c r="CU244" s="1678"/>
      <c r="CV244" s="1678"/>
      <c r="CW244" s="1678">
        <v>1</v>
      </c>
      <c r="CX244" s="1678"/>
      <c r="CY244" s="1678">
        <v>3</v>
      </c>
      <c r="CZ244" s="1678">
        <v>1</v>
      </c>
      <c r="DA244" s="1678">
        <v>0</v>
      </c>
      <c r="DB244" s="63"/>
      <c r="DC244" s="63"/>
      <c r="DD244" s="63">
        <v>5</v>
      </c>
      <c r="DG244" s="95"/>
      <c r="DH244" s="95"/>
      <c r="DI244" s="36"/>
      <c r="DJ244" s="36" t="s">
        <v>1081</v>
      </c>
      <c r="DK244" s="1484"/>
      <c r="DL244" s="1484">
        <v>0</v>
      </c>
      <c r="DM244" s="1484">
        <v>0</v>
      </c>
      <c r="DN244" s="1484">
        <v>2</v>
      </c>
      <c r="DO244" s="1484">
        <v>1</v>
      </c>
      <c r="DP244" s="1484">
        <v>0</v>
      </c>
      <c r="DQ244" s="1484">
        <v>15</v>
      </c>
      <c r="DR244" s="1484">
        <v>2</v>
      </c>
      <c r="DS244" s="1484">
        <v>1</v>
      </c>
      <c r="DT244" s="95"/>
      <c r="DU244" s="95"/>
      <c r="DV244" s="95">
        <v>21</v>
      </c>
      <c r="DW244" s="95"/>
      <c r="DY244" s="1209"/>
      <c r="DZ244" s="1209"/>
      <c r="EA244" s="1210"/>
      <c r="EB244" s="1211" t="s">
        <v>1080</v>
      </c>
      <c r="EC244" s="1213">
        <v>0</v>
      </c>
      <c r="ED244" s="1213">
        <v>0</v>
      </c>
      <c r="EE244" s="1212"/>
      <c r="EF244" s="1213">
        <v>0</v>
      </c>
      <c r="EG244" s="1213">
        <v>0</v>
      </c>
      <c r="EH244" s="1213">
        <v>1</v>
      </c>
      <c r="EI244" s="1213">
        <v>1</v>
      </c>
      <c r="EJ244" s="1213">
        <v>5</v>
      </c>
      <c r="EK244" s="612">
        <v>2</v>
      </c>
      <c r="EL244" s="611"/>
      <c r="EM244" s="612">
        <v>9</v>
      </c>
      <c r="EN244" s="36"/>
      <c r="EP244" s="527"/>
      <c r="EQ244" s="527"/>
      <c r="ER244" s="528"/>
      <c r="ES244" s="529" t="s">
        <v>1163</v>
      </c>
      <c r="ET244" s="530"/>
      <c r="EU244" s="530"/>
      <c r="EV244" s="531">
        <v>0</v>
      </c>
      <c r="EW244" s="530"/>
      <c r="EX244" s="530"/>
      <c r="EY244" s="531">
        <v>1</v>
      </c>
      <c r="EZ244" s="531">
        <v>0</v>
      </c>
      <c r="FA244" s="531">
        <v>2</v>
      </c>
      <c r="FB244" s="532">
        <v>0</v>
      </c>
      <c r="FC244" s="527"/>
      <c r="FD244" s="532">
        <v>3</v>
      </c>
      <c r="FE244" s="95"/>
      <c r="FG244" s="533"/>
      <c r="FH244" s="533"/>
      <c r="FI244" s="533"/>
      <c r="FJ244" s="534" t="s">
        <v>1076</v>
      </c>
      <c r="FK244" s="535"/>
      <c r="FL244" s="536">
        <v>0</v>
      </c>
      <c r="FM244" s="536">
        <v>0</v>
      </c>
      <c r="FN244" s="535"/>
      <c r="FO244" s="536">
        <v>0</v>
      </c>
      <c r="FP244" s="535"/>
      <c r="FQ244" s="536">
        <v>1</v>
      </c>
      <c r="FR244" s="536">
        <v>1</v>
      </c>
      <c r="FS244" s="535"/>
      <c r="FT244" s="537"/>
      <c r="FU244" s="537"/>
      <c r="FV244" s="538">
        <v>2</v>
      </c>
      <c r="FW244" s="539"/>
      <c r="FY244" s="563"/>
      <c r="FZ244" s="563"/>
      <c r="GA244" s="563"/>
      <c r="GB244" s="564" t="s">
        <v>726</v>
      </c>
      <c r="GC244" s="565"/>
      <c r="GD244" s="565"/>
      <c r="GE244" s="565"/>
      <c r="GF244" s="565"/>
      <c r="GG244" s="566">
        <v>2</v>
      </c>
      <c r="GH244" s="566">
        <v>13</v>
      </c>
      <c r="GI244" s="565"/>
      <c r="GJ244" s="565"/>
      <c r="GK244" s="565"/>
      <c r="GL244" s="565"/>
      <c r="GM244" s="566">
        <v>15</v>
      </c>
      <c r="GN244" s="567">
        <f>+(GM243+GM242+GM241)/GM244</f>
        <v>0.8</v>
      </c>
      <c r="GP244" s="63"/>
      <c r="GQ244" s="63"/>
      <c r="GR244" s="63"/>
      <c r="GS244" s="37" t="s">
        <v>1163</v>
      </c>
      <c r="GT244" s="63"/>
      <c r="GU244" s="63">
        <v>0</v>
      </c>
      <c r="GV244" s="63"/>
      <c r="GW244" s="63"/>
      <c r="GX244" s="63">
        <v>0</v>
      </c>
      <c r="GY244" s="63">
        <v>9</v>
      </c>
      <c r="GZ244" s="63">
        <v>4</v>
      </c>
      <c r="HA244" s="63"/>
      <c r="HB244" s="63"/>
      <c r="HC244" s="63"/>
      <c r="HD244" s="63">
        <v>13</v>
      </c>
      <c r="HE244" s="37"/>
      <c r="HF244" s="37"/>
      <c r="HG244" s="446"/>
      <c r="HH244" s="446"/>
      <c r="HI244" s="446"/>
      <c r="HJ244" s="446" t="s">
        <v>1163</v>
      </c>
      <c r="HK244" s="446">
        <v>0</v>
      </c>
      <c r="HL244" s="446">
        <v>0</v>
      </c>
      <c r="HM244" s="446">
        <v>0</v>
      </c>
      <c r="HN244" s="446">
        <v>0</v>
      </c>
      <c r="HO244" s="446">
        <v>0</v>
      </c>
      <c r="HP244" s="446">
        <v>0</v>
      </c>
      <c r="HQ244" s="446">
        <v>5</v>
      </c>
      <c r="HR244" s="446">
        <v>0</v>
      </c>
      <c r="HS244" s="446">
        <v>0</v>
      </c>
      <c r="HT244" s="446">
        <v>0</v>
      </c>
      <c r="HU244" s="446">
        <v>0</v>
      </c>
      <c r="HV244" s="447">
        <v>5</v>
      </c>
      <c r="HW244" s="446"/>
      <c r="HX244" s="448"/>
    </row>
    <row r="245" spans="1:232" ht="15" thickBot="1">
      <c r="A245" s="5682">
        <v>3</v>
      </c>
      <c r="B245" s="5682">
        <v>3</v>
      </c>
      <c r="C245" s="5683" t="s">
        <v>293</v>
      </c>
      <c r="D245" s="5683" t="s">
        <v>2703</v>
      </c>
      <c r="E245" s="5682">
        <v>1</v>
      </c>
      <c r="F245" s="5682">
        <v>6</v>
      </c>
      <c r="I245" s="4915">
        <v>3</v>
      </c>
      <c r="J245" s="4915">
        <v>3</v>
      </c>
      <c r="K245" s="4916" t="s">
        <v>2153</v>
      </c>
      <c r="L245" s="4916" t="s">
        <v>2709</v>
      </c>
      <c r="M245" s="4915">
        <v>7</v>
      </c>
      <c r="N245" s="4915">
        <v>6</v>
      </c>
      <c r="O245" s="157"/>
      <c r="Q245" s="4705">
        <v>3</v>
      </c>
      <c r="R245" s="4705">
        <v>3</v>
      </c>
      <c r="S245" s="4706" t="s">
        <v>446</v>
      </c>
      <c r="T245" s="4708" t="s">
        <v>1076</v>
      </c>
      <c r="U245" s="4709">
        <v>1</v>
      </c>
      <c r="V245" s="4709">
        <v>5</v>
      </c>
      <c r="W245" s="4722"/>
      <c r="Y245" s="36"/>
      <c r="Z245" s="36"/>
      <c r="AA245" s="36"/>
      <c r="AB245" s="36" t="s">
        <v>15</v>
      </c>
      <c r="AC245" s="1681">
        <v>5</v>
      </c>
      <c r="AD245" s="1681">
        <v>2</v>
      </c>
      <c r="AE245" s="1681">
        <v>1</v>
      </c>
      <c r="AF245" s="1681">
        <v>3</v>
      </c>
      <c r="AG245" s="1681"/>
      <c r="AH245" s="1681">
        <v>9</v>
      </c>
      <c r="AI245" s="1681">
        <v>17</v>
      </c>
      <c r="AJ245" s="1681">
        <v>36</v>
      </c>
      <c r="AK245" s="1681">
        <v>14</v>
      </c>
      <c r="AL245" s="95">
        <v>2</v>
      </c>
      <c r="AM245" s="95">
        <v>89</v>
      </c>
      <c r="AN245" s="560">
        <f>+(AI240+AH243+AI243+AJ243+AK243)/(AM245-AM244)</f>
        <v>9.5238095238095233E-2</v>
      </c>
      <c r="AS245" s="3868" t="s">
        <v>1076</v>
      </c>
      <c r="AT245" s="3721">
        <v>0</v>
      </c>
      <c r="AU245" s="3721">
        <v>0</v>
      </c>
      <c r="AV245" s="3721"/>
      <c r="AW245" s="3721"/>
      <c r="AX245" s="3721"/>
      <c r="AY245" s="3721"/>
      <c r="AZ245" s="3721">
        <v>4</v>
      </c>
      <c r="BA245" s="3721">
        <v>0</v>
      </c>
      <c r="BB245" s="3721"/>
      <c r="BC245" s="2110"/>
      <c r="BD245" s="2110"/>
      <c r="BE245" s="2110">
        <v>4</v>
      </c>
      <c r="BF245" s="2110"/>
      <c r="BG245" s="2110"/>
      <c r="BK245" s="32" t="s">
        <v>1081</v>
      </c>
      <c r="BL245" s="3871">
        <v>0</v>
      </c>
      <c r="BM245" s="3871"/>
      <c r="BN245" s="3871"/>
      <c r="BO245" s="3871"/>
      <c r="BP245" s="3871"/>
      <c r="BQ245" s="3871"/>
      <c r="BR245" s="3871">
        <v>1</v>
      </c>
      <c r="BS245" s="3871">
        <v>0</v>
      </c>
      <c r="BT245" s="1518"/>
      <c r="BU245" s="1518">
        <v>1</v>
      </c>
      <c r="BX245" s="36"/>
      <c r="BY245" s="36"/>
      <c r="BZ245" s="36"/>
      <c r="CA245" s="36" t="s">
        <v>1076</v>
      </c>
      <c r="CB245" s="1681">
        <v>0</v>
      </c>
      <c r="CC245" s="1681"/>
      <c r="CD245" s="1681"/>
      <c r="CE245" s="1681"/>
      <c r="CF245" s="1681"/>
      <c r="CG245" s="1681">
        <v>4</v>
      </c>
      <c r="CH245" s="1681">
        <v>2</v>
      </c>
      <c r="CI245" s="1681"/>
      <c r="CJ245" s="95"/>
      <c r="CK245" s="95"/>
      <c r="CL245" s="95">
        <v>6</v>
      </c>
      <c r="CM245" s="36"/>
      <c r="CO245" s="37"/>
      <c r="CP245" s="37"/>
      <c r="CQ245" s="37"/>
      <c r="CR245" s="416" t="s">
        <v>15</v>
      </c>
      <c r="CS245" s="1679"/>
      <c r="CT245" s="1679"/>
      <c r="CU245" s="1679"/>
      <c r="CV245" s="1679"/>
      <c r="CW245" s="1679">
        <v>1</v>
      </c>
      <c r="CX245" s="1679"/>
      <c r="CY245" s="1679">
        <v>13</v>
      </c>
      <c r="CZ245" s="1679">
        <v>5</v>
      </c>
      <c r="DA245" s="1679">
        <v>5</v>
      </c>
      <c r="DB245" s="386"/>
      <c r="DC245" s="386"/>
      <c r="DD245" s="386">
        <v>24</v>
      </c>
      <c r="DE245" s="2045">
        <f>+(DD241+DD243+DD244)/DD245</f>
        <v>0.375</v>
      </c>
      <c r="DG245" s="95"/>
      <c r="DH245" s="95"/>
      <c r="DI245" s="36"/>
      <c r="DJ245" s="36" t="s">
        <v>1163</v>
      </c>
      <c r="DK245" s="1484"/>
      <c r="DL245" s="1484">
        <v>0</v>
      </c>
      <c r="DM245" s="1484">
        <v>0</v>
      </c>
      <c r="DN245" s="1484">
        <v>10</v>
      </c>
      <c r="DO245" s="1484">
        <v>2</v>
      </c>
      <c r="DP245" s="1484">
        <v>0</v>
      </c>
      <c r="DQ245" s="1484">
        <v>9</v>
      </c>
      <c r="DR245" s="1484">
        <v>3</v>
      </c>
      <c r="DS245" s="1484">
        <v>0</v>
      </c>
      <c r="DT245" s="95"/>
      <c r="DU245" s="95"/>
      <c r="DV245" s="95">
        <v>24</v>
      </c>
      <c r="DW245" s="95"/>
      <c r="DY245" s="1209"/>
      <c r="DZ245" s="1209"/>
      <c r="EA245" s="1210"/>
      <c r="EB245" s="1211" t="s">
        <v>1081</v>
      </c>
      <c r="EC245" s="1213">
        <v>0</v>
      </c>
      <c r="ED245" s="1213">
        <v>0</v>
      </c>
      <c r="EE245" s="1212"/>
      <c r="EF245" s="1213">
        <v>1</v>
      </c>
      <c r="EG245" s="1213">
        <v>1</v>
      </c>
      <c r="EH245" s="1213">
        <v>4</v>
      </c>
      <c r="EI245" s="1213">
        <v>4</v>
      </c>
      <c r="EJ245" s="1213">
        <v>0</v>
      </c>
      <c r="EK245" s="612">
        <v>0</v>
      </c>
      <c r="EL245" s="611"/>
      <c r="EM245" s="612">
        <v>10</v>
      </c>
      <c r="EN245" s="36"/>
      <c r="EP245" s="527"/>
      <c r="EQ245" s="527"/>
      <c r="ER245" s="528"/>
      <c r="ES245" s="555" t="s">
        <v>15</v>
      </c>
      <c r="ET245" s="556"/>
      <c r="EU245" s="556"/>
      <c r="EV245" s="557">
        <v>1</v>
      </c>
      <c r="EW245" s="556"/>
      <c r="EX245" s="556"/>
      <c r="EY245" s="557">
        <v>4</v>
      </c>
      <c r="EZ245" s="557">
        <v>6</v>
      </c>
      <c r="FA245" s="557">
        <v>3</v>
      </c>
      <c r="FB245" s="559">
        <v>2</v>
      </c>
      <c r="FC245" s="558"/>
      <c r="FD245" s="559">
        <v>16</v>
      </c>
      <c r="FE245" s="560">
        <f>+(FD241+FD243+FD244)/FD245</f>
        <v>0.5625</v>
      </c>
      <c r="FG245" s="533"/>
      <c r="FH245" s="533"/>
      <c r="FI245" s="533"/>
      <c r="FJ245" s="534" t="s">
        <v>1077</v>
      </c>
      <c r="FK245" s="535"/>
      <c r="FL245" s="536">
        <v>1</v>
      </c>
      <c r="FM245" s="536">
        <v>1</v>
      </c>
      <c r="FN245" s="535"/>
      <c r="FO245" s="536">
        <v>1</v>
      </c>
      <c r="FP245" s="535"/>
      <c r="FQ245" s="536">
        <v>1</v>
      </c>
      <c r="FR245" s="536">
        <v>0</v>
      </c>
      <c r="FS245" s="535"/>
      <c r="FT245" s="537"/>
      <c r="FU245" s="537"/>
      <c r="FV245" s="538">
        <v>4</v>
      </c>
      <c r="FW245" s="539"/>
      <c r="FY245" s="540"/>
      <c r="FZ245" s="540"/>
      <c r="GP245" s="63"/>
      <c r="GQ245" s="472"/>
      <c r="GR245" s="472"/>
      <c r="GS245" s="474" t="s">
        <v>15</v>
      </c>
      <c r="GT245" s="423"/>
      <c r="GU245" s="423">
        <v>1</v>
      </c>
      <c r="GV245" s="423"/>
      <c r="GW245" s="423"/>
      <c r="GX245" s="423">
        <v>2</v>
      </c>
      <c r="GY245" s="423">
        <v>57</v>
      </c>
      <c r="GZ245" s="423">
        <v>11</v>
      </c>
      <c r="HA245" s="423"/>
      <c r="HB245" s="423"/>
      <c r="HC245" s="423"/>
      <c r="HD245" s="423">
        <v>71</v>
      </c>
      <c r="HE245" s="568">
        <f>+(HD241+HD243+HD244)/HD245</f>
        <v>0.42253521126760563</v>
      </c>
      <c r="HF245" s="37"/>
      <c r="HG245" s="446"/>
      <c r="HH245" s="561"/>
      <c r="HI245" s="561"/>
      <c r="HJ245" s="469" t="s">
        <v>15</v>
      </c>
      <c r="HK245" s="469">
        <v>0</v>
      </c>
      <c r="HL245" s="469">
        <v>0</v>
      </c>
      <c r="HM245" s="469">
        <v>0</v>
      </c>
      <c r="HN245" s="469">
        <v>0</v>
      </c>
      <c r="HO245" s="469">
        <v>0</v>
      </c>
      <c r="HP245" s="469">
        <v>1</v>
      </c>
      <c r="HQ245" s="469">
        <v>17</v>
      </c>
      <c r="HR245" s="469">
        <v>0</v>
      </c>
      <c r="HS245" s="469">
        <v>0</v>
      </c>
      <c r="HT245" s="469">
        <v>0</v>
      </c>
      <c r="HU245" s="469">
        <v>0</v>
      </c>
      <c r="HV245" s="470">
        <v>18</v>
      </c>
      <c r="HW245" s="471">
        <f>+(HV244+HV243+HV241)/HV245</f>
        <v>0.77777777777777779</v>
      </c>
      <c r="HX245" s="425">
        <f>+HV241+HV243+HV244</f>
        <v>14</v>
      </c>
    </row>
    <row r="246" spans="1:232">
      <c r="A246" s="5682">
        <v>3</v>
      </c>
      <c r="B246" s="5682">
        <v>3</v>
      </c>
      <c r="C246" s="5683" t="s">
        <v>293</v>
      </c>
      <c r="D246" s="5685" t="s">
        <v>1076</v>
      </c>
      <c r="E246" s="5682">
        <v>1</v>
      </c>
      <c r="F246" s="5682">
        <v>7</v>
      </c>
      <c r="I246" s="4915"/>
      <c r="J246" s="4915"/>
      <c r="K246" s="4916"/>
      <c r="L246" s="4916"/>
      <c r="M246" s="4920">
        <f>SUM(M245)</f>
        <v>7</v>
      </c>
      <c r="N246" s="4915"/>
      <c r="O246" s="4921">
        <v>0</v>
      </c>
      <c r="Q246" s="4705">
        <v>3</v>
      </c>
      <c r="R246" s="4705">
        <v>3</v>
      </c>
      <c r="S246" s="4706" t="s">
        <v>446</v>
      </c>
      <c r="T246" s="4706" t="s">
        <v>2709</v>
      </c>
      <c r="U246" s="4707">
        <v>1</v>
      </c>
      <c r="V246" s="4707">
        <v>1</v>
      </c>
      <c r="W246" s="4722"/>
      <c r="Y246" s="36"/>
      <c r="Z246" s="36" t="s">
        <v>21</v>
      </c>
      <c r="AA246" s="36" t="s">
        <v>142</v>
      </c>
      <c r="AB246" s="36" t="s">
        <v>1071</v>
      </c>
      <c r="AC246" s="1681">
        <v>0</v>
      </c>
      <c r="AD246" s="1681">
        <v>0</v>
      </c>
      <c r="AE246" s="1681"/>
      <c r="AF246" s="1681"/>
      <c r="AG246" s="1681">
        <v>0</v>
      </c>
      <c r="AH246" s="1681">
        <v>1</v>
      </c>
      <c r="AI246" s="1681">
        <v>0</v>
      </c>
      <c r="AJ246" s="1681"/>
      <c r="AK246" s="1681"/>
      <c r="AL246" s="95"/>
      <c r="AM246" s="95">
        <v>1</v>
      </c>
      <c r="AN246" s="4545"/>
      <c r="AS246" s="3868" t="s">
        <v>1080</v>
      </c>
      <c r="AT246" s="3721">
        <v>0</v>
      </c>
      <c r="AU246" s="3721">
        <v>0</v>
      </c>
      <c r="AV246" s="3721"/>
      <c r="AW246" s="3721"/>
      <c r="AX246" s="3721"/>
      <c r="AY246" s="3721"/>
      <c r="AZ246" s="3721">
        <v>0</v>
      </c>
      <c r="BA246" s="3721">
        <v>3</v>
      </c>
      <c r="BB246" s="3721"/>
      <c r="BC246" s="2110"/>
      <c r="BD246" s="2110"/>
      <c r="BE246" s="2110">
        <v>3</v>
      </c>
      <c r="BF246" s="2110"/>
      <c r="BG246" s="2110"/>
      <c r="BK246" s="32" t="s">
        <v>1163</v>
      </c>
      <c r="BL246" s="3871">
        <v>0</v>
      </c>
      <c r="BM246" s="3871"/>
      <c r="BN246" s="3871"/>
      <c r="BO246" s="3871"/>
      <c r="BP246" s="3871"/>
      <c r="BQ246" s="3871"/>
      <c r="BR246" s="3871">
        <v>1</v>
      </c>
      <c r="BS246" s="3871">
        <v>0</v>
      </c>
      <c r="BT246" s="1518"/>
      <c r="BU246" s="1518">
        <v>1</v>
      </c>
      <c r="BX246" s="36"/>
      <c r="BY246" s="36"/>
      <c r="BZ246" s="36"/>
      <c r="CA246" s="36" t="s">
        <v>1081</v>
      </c>
      <c r="CB246" s="1681">
        <v>0</v>
      </c>
      <c r="CC246" s="1681"/>
      <c r="CD246" s="1681"/>
      <c r="CE246" s="1681"/>
      <c r="CF246" s="1681"/>
      <c r="CG246" s="1681">
        <v>7</v>
      </c>
      <c r="CH246" s="1681">
        <v>0</v>
      </c>
      <c r="CI246" s="1681"/>
      <c r="CJ246" s="95"/>
      <c r="CK246" s="95"/>
      <c r="CL246" s="95">
        <v>7</v>
      </c>
      <c r="CM246" s="36"/>
      <c r="CO246" s="37"/>
      <c r="CP246" s="37"/>
      <c r="CQ246" s="37" t="s">
        <v>1732</v>
      </c>
      <c r="CR246" s="37" t="s">
        <v>1072</v>
      </c>
      <c r="CS246" s="1678"/>
      <c r="CT246" s="1678"/>
      <c r="CU246" s="1678"/>
      <c r="CV246" s="1678">
        <v>0</v>
      </c>
      <c r="CW246" s="1678"/>
      <c r="CX246" s="1678">
        <v>1</v>
      </c>
      <c r="CY246" s="1678">
        <v>8</v>
      </c>
      <c r="CZ246" s="1678"/>
      <c r="DA246" s="1678"/>
      <c r="DB246" s="63"/>
      <c r="DC246" s="63"/>
      <c r="DD246" s="63">
        <v>9</v>
      </c>
      <c r="DG246" s="95"/>
      <c r="DH246" s="95"/>
      <c r="DI246" s="36"/>
      <c r="DJ246" s="393" t="s">
        <v>483</v>
      </c>
      <c r="DK246" s="1485"/>
      <c r="DL246" s="1485">
        <v>2</v>
      </c>
      <c r="DM246" s="1485">
        <v>4</v>
      </c>
      <c r="DN246" s="1485">
        <v>28</v>
      </c>
      <c r="DO246" s="1485">
        <v>8</v>
      </c>
      <c r="DP246" s="1485">
        <v>1</v>
      </c>
      <c r="DQ246" s="1485">
        <v>116</v>
      </c>
      <c r="DR246" s="1485">
        <v>13</v>
      </c>
      <c r="DS246" s="1485">
        <v>2</v>
      </c>
      <c r="DT246" s="86"/>
      <c r="DU246" s="86"/>
      <c r="DV246" s="86">
        <v>174</v>
      </c>
      <c r="DW246" s="560">
        <f>+(DV242+DV244+DV245)/DV246</f>
        <v>0.35057471264367818</v>
      </c>
      <c r="DY246" s="1209"/>
      <c r="DZ246" s="1209"/>
      <c r="EA246" s="1210"/>
      <c r="EB246" s="1211" t="s">
        <v>1163</v>
      </c>
      <c r="EC246" s="1213">
        <v>0</v>
      </c>
      <c r="ED246" s="1213">
        <v>0</v>
      </c>
      <c r="EE246" s="1212"/>
      <c r="EF246" s="1213">
        <v>2</v>
      </c>
      <c r="EG246" s="1213">
        <v>2</v>
      </c>
      <c r="EH246" s="1213">
        <v>6</v>
      </c>
      <c r="EI246" s="1213">
        <v>3</v>
      </c>
      <c r="EJ246" s="1213">
        <v>0</v>
      </c>
      <c r="EK246" s="612">
        <v>0</v>
      </c>
      <c r="EL246" s="611"/>
      <c r="EM246" s="612">
        <v>13</v>
      </c>
      <c r="EN246" s="36"/>
      <c r="EP246" s="527"/>
      <c r="EQ246" s="527"/>
      <c r="ER246" s="528" t="s">
        <v>141</v>
      </c>
      <c r="ES246" s="529" t="s">
        <v>1071</v>
      </c>
      <c r="ET246" s="530"/>
      <c r="EU246" s="530"/>
      <c r="EV246" s="530"/>
      <c r="EW246" s="530"/>
      <c r="EX246" s="530"/>
      <c r="EY246" s="531">
        <v>0</v>
      </c>
      <c r="EZ246" s="531">
        <v>1</v>
      </c>
      <c r="FA246" s="531">
        <v>0</v>
      </c>
      <c r="FB246" s="527"/>
      <c r="FC246" s="527"/>
      <c r="FD246" s="532">
        <v>1</v>
      </c>
      <c r="FE246" s="95"/>
      <c r="FG246" s="533"/>
      <c r="FH246" s="533"/>
      <c r="FI246" s="533"/>
      <c r="FJ246" s="534" t="s">
        <v>1081</v>
      </c>
      <c r="FK246" s="535"/>
      <c r="FL246" s="536">
        <v>0</v>
      </c>
      <c r="FM246" s="536">
        <v>0</v>
      </c>
      <c r="FN246" s="535"/>
      <c r="FO246" s="536">
        <v>0</v>
      </c>
      <c r="FP246" s="535"/>
      <c r="FQ246" s="536">
        <v>2</v>
      </c>
      <c r="FR246" s="536">
        <v>1</v>
      </c>
      <c r="FS246" s="535"/>
      <c r="FT246" s="537"/>
      <c r="FU246" s="537"/>
      <c r="FV246" s="538">
        <v>3</v>
      </c>
      <c r="FW246" s="539"/>
      <c r="FY246" s="540"/>
      <c r="FZ246" s="540"/>
      <c r="GP246" s="63"/>
      <c r="GQ246" s="63"/>
      <c r="HF246" s="37"/>
      <c r="HG246" s="446"/>
      <c r="HH246" s="446"/>
      <c r="HI246" s="446"/>
      <c r="HJ246" s="446"/>
      <c r="HK246" s="446"/>
      <c r="HL246" s="446"/>
      <c r="HM246" s="446"/>
      <c r="HN246" s="446"/>
      <c r="HO246" s="446"/>
      <c r="HP246" s="446"/>
      <c r="HQ246" s="446"/>
      <c r="HR246" s="446"/>
      <c r="HS246" s="446"/>
      <c r="HT246" s="446"/>
      <c r="HU246" s="446"/>
      <c r="HV246" s="447"/>
      <c r="HW246" s="446"/>
      <c r="HX246" s="446"/>
    </row>
    <row r="247" spans="1:232">
      <c r="A247" s="5682">
        <v>3</v>
      </c>
      <c r="B247" s="5682">
        <v>3</v>
      </c>
      <c r="C247" s="5683" t="s">
        <v>293</v>
      </c>
      <c r="D247" s="5683" t="s">
        <v>2709</v>
      </c>
      <c r="E247" s="5682">
        <v>14</v>
      </c>
      <c r="F247" s="5682">
        <v>7</v>
      </c>
      <c r="I247" s="4915">
        <v>3</v>
      </c>
      <c r="J247" s="4915">
        <v>3</v>
      </c>
      <c r="K247" s="4916" t="s">
        <v>2740</v>
      </c>
      <c r="L247" s="4916" t="s">
        <v>2731</v>
      </c>
      <c r="M247" s="4915">
        <v>5</v>
      </c>
      <c r="N247" s="4915">
        <v>7</v>
      </c>
      <c r="O247" s="157"/>
      <c r="Q247" s="4705">
        <v>3</v>
      </c>
      <c r="R247" s="4705">
        <v>3</v>
      </c>
      <c r="S247" s="4706" t="s">
        <v>446</v>
      </c>
      <c r="T247" s="4706" t="s">
        <v>2709</v>
      </c>
      <c r="U247" s="4707">
        <v>3</v>
      </c>
      <c r="V247" s="4707">
        <v>5</v>
      </c>
      <c r="W247" s="4722"/>
      <c r="Y247" s="36"/>
      <c r="Z247" s="36"/>
      <c r="AA247" s="36"/>
      <c r="AB247" s="36" t="s">
        <v>1072</v>
      </c>
      <c r="AC247" s="1681">
        <v>0</v>
      </c>
      <c r="AD247" s="1681">
        <v>1</v>
      </c>
      <c r="AE247" s="1681"/>
      <c r="AF247" s="1681"/>
      <c r="AG247" s="1681">
        <v>1</v>
      </c>
      <c r="AH247" s="1681">
        <v>0</v>
      </c>
      <c r="AI247" s="1681">
        <v>18</v>
      </c>
      <c r="AJ247" s="1681"/>
      <c r="AK247" s="1681"/>
      <c r="AL247" s="95"/>
      <c r="AM247" s="95">
        <v>20</v>
      </c>
      <c r="AN247" s="4545"/>
      <c r="AS247" s="3868" t="s">
        <v>2571</v>
      </c>
      <c r="AT247" s="3721">
        <v>1</v>
      </c>
      <c r="AU247" s="3721">
        <v>0</v>
      </c>
      <c r="AV247" s="3721"/>
      <c r="AW247" s="3721"/>
      <c r="AX247" s="3721"/>
      <c r="AY247" s="3721"/>
      <c r="AZ247" s="3721">
        <v>0</v>
      </c>
      <c r="BA247" s="3721">
        <v>0</v>
      </c>
      <c r="BB247" s="3721"/>
      <c r="BC247" s="2110"/>
      <c r="BD247" s="2110"/>
      <c r="BE247" s="2110">
        <v>1</v>
      </c>
      <c r="BF247" s="2110"/>
      <c r="BG247" s="2110"/>
      <c r="BK247" s="1520" t="s">
        <v>15</v>
      </c>
      <c r="BL247" s="3872">
        <v>2</v>
      </c>
      <c r="BM247" s="3872"/>
      <c r="BN247" s="3872"/>
      <c r="BO247" s="3872"/>
      <c r="BP247" s="3872"/>
      <c r="BQ247" s="3872"/>
      <c r="BR247" s="3872">
        <v>2</v>
      </c>
      <c r="BS247" s="3872">
        <v>5</v>
      </c>
      <c r="BT247" s="3806"/>
      <c r="BU247" s="3806">
        <v>9</v>
      </c>
      <c r="BV247" s="3807">
        <f>+(BU245+BU246)/BU247</f>
        <v>0.22222222222222221</v>
      </c>
      <c r="BX247" s="36"/>
      <c r="BY247" s="36"/>
      <c r="BZ247" s="36"/>
      <c r="CA247" s="393" t="s">
        <v>15</v>
      </c>
      <c r="CB247" s="1682">
        <v>1</v>
      </c>
      <c r="CC247" s="1682"/>
      <c r="CD247" s="1682"/>
      <c r="CE247" s="1682"/>
      <c r="CF247" s="1682"/>
      <c r="CG247" s="1682">
        <v>16</v>
      </c>
      <c r="CH247" s="1682">
        <v>2</v>
      </c>
      <c r="CI247" s="1682"/>
      <c r="CJ247" s="2041"/>
      <c r="CK247" s="2041"/>
      <c r="CL247" s="2041">
        <v>19</v>
      </c>
      <c r="CM247" s="560">
        <f>+(CL246+CL245)/CL247</f>
        <v>0.68421052631578949</v>
      </c>
      <c r="CN247" s="1665"/>
      <c r="CO247" s="37"/>
      <c r="CP247" s="37"/>
      <c r="CQ247" s="37"/>
      <c r="CR247" s="37" t="s">
        <v>1074</v>
      </c>
      <c r="CS247" s="1678"/>
      <c r="CT247" s="1678"/>
      <c r="CU247" s="1678"/>
      <c r="CV247" s="1678">
        <v>1</v>
      </c>
      <c r="CW247" s="1678"/>
      <c r="CX247" s="1678">
        <v>0</v>
      </c>
      <c r="CY247" s="1678">
        <v>0</v>
      </c>
      <c r="CZ247" s="1678"/>
      <c r="DA247" s="1678"/>
      <c r="DB247" s="63"/>
      <c r="DC247" s="63"/>
      <c r="DD247" s="63">
        <v>1</v>
      </c>
      <c r="DG247" s="95"/>
      <c r="DH247" s="95" t="s">
        <v>41</v>
      </c>
      <c r="DI247" s="36" t="s">
        <v>137</v>
      </c>
      <c r="DJ247" s="36" t="s">
        <v>1163</v>
      </c>
      <c r="DK247" s="1484"/>
      <c r="DL247" s="1484"/>
      <c r="DM247" s="1484"/>
      <c r="DN247" s="1484">
        <v>1</v>
      </c>
      <c r="DO247" s="1484"/>
      <c r="DP247" s="1484"/>
      <c r="DQ247" s="1484"/>
      <c r="DR247" s="1484"/>
      <c r="DS247" s="1484"/>
      <c r="DT247" s="95"/>
      <c r="DU247" s="95"/>
      <c r="DV247" s="95">
        <v>1</v>
      </c>
      <c r="DW247" s="95"/>
      <c r="DY247" s="1209"/>
      <c r="DZ247" s="1209"/>
      <c r="EA247" s="1210"/>
      <c r="EB247" s="415" t="s">
        <v>485</v>
      </c>
      <c r="EC247" s="1215">
        <v>4</v>
      </c>
      <c r="ED247" s="1215">
        <v>2</v>
      </c>
      <c r="EE247" s="1214"/>
      <c r="EF247" s="1215">
        <v>7</v>
      </c>
      <c r="EG247" s="1215">
        <v>6</v>
      </c>
      <c r="EH247" s="1215">
        <v>41</v>
      </c>
      <c r="EI247" s="1215">
        <v>19</v>
      </c>
      <c r="EJ247" s="1215">
        <v>8</v>
      </c>
      <c r="EK247" s="621">
        <v>2</v>
      </c>
      <c r="EL247" s="620"/>
      <c r="EM247" s="621">
        <v>89</v>
      </c>
      <c r="EN247" s="1178">
        <f>+(EM243+EM245+EM246)/EM247</f>
        <v>0.38202247191011235</v>
      </c>
      <c r="EP247" s="527"/>
      <c r="EQ247" s="527"/>
      <c r="ER247" s="528"/>
      <c r="ES247" s="529" t="s">
        <v>1072</v>
      </c>
      <c r="ET247" s="530"/>
      <c r="EU247" s="530"/>
      <c r="EV247" s="530"/>
      <c r="EW247" s="530"/>
      <c r="EX247" s="530"/>
      <c r="EY247" s="531">
        <v>1</v>
      </c>
      <c r="EZ247" s="531">
        <v>3</v>
      </c>
      <c r="FA247" s="531">
        <v>1</v>
      </c>
      <c r="FB247" s="527"/>
      <c r="FC247" s="527"/>
      <c r="FD247" s="532">
        <v>5</v>
      </c>
      <c r="FE247" s="95"/>
      <c r="FG247" s="533"/>
      <c r="FH247" s="533"/>
      <c r="FI247" s="533"/>
      <c r="FJ247" s="534" t="s">
        <v>1163</v>
      </c>
      <c r="FK247" s="535"/>
      <c r="FL247" s="536">
        <v>0</v>
      </c>
      <c r="FM247" s="536">
        <v>0</v>
      </c>
      <c r="FN247" s="535"/>
      <c r="FO247" s="536">
        <v>0</v>
      </c>
      <c r="FP247" s="535"/>
      <c r="FQ247" s="536">
        <v>4</v>
      </c>
      <c r="FR247" s="536">
        <v>1</v>
      </c>
      <c r="FS247" s="535"/>
      <c r="FT247" s="537"/>
      <c r="FU247" s="537"/>
      <c r="FV247" s="538">
        <v>5</v>
      </c>
      <c r="FW247" s="539"/>
      <c r="FY247" s="540"/>
      <c r="FZ247" s="540"/>
      <c r="GP247" s="63"/>
      <c r="GQ247" s="63"/>
      <c r="HF247" s="37"/>
      <c r="HG247" s="446"/>
      <c r="HH247" s="446"/>
      <c r="HI247" s="446"/>
      <c r="HJ247" s="446"/>
      <c r="HK247" s="446"/>
      <c r="HL247" s="446"/>
      <c r="HM247" s="446"/>
      <c r="HN247" s="446"/>
      <c r="HO247" s="446"/>
      <c r="HP247" s="446"/>
      <c r="HQ247" s="446"/>
      <c r="HR247" s="446"/>
      <c r="HS247" s="446"/>
      <c r="HT247" s="446"/>
      <c r="HU247" s="446"/>
      <c r="HV247" s="447"/>
      <c r="HW247" s="446"/>
      <c r="HX247" s="446"/>
    </row>
    <row r="248" spans="1:232">
      <c r="A248" s="5682"/>
      <c r="B248" s="5682"/>
      <c r="C248" s="5683"/>
      <c r="D248" s="5683"/>
      <c r="E248" s="5686">
        <f>SUM(E245:E247)</f>
        <v>16</v>
      </c>
      <c r="F248" s="5682"/>
      <c r="G248" s="4921">
        <f>(E246)/(E248)</f>
        <v>6.25E-2</v>
      </c>
      <c r="I248" s="4915">
        <v>3</v>
      </c>
      <c r="J248" s="4915">
        <v>3</v>
      </c>
      <c r="K248" s="4916" t="s">
        <v>2740</v>
      </c>
      <c r="L248" s="4916" t="s">
        <v>2731</v>
      </c>
      <c r="M248" s="4915">
        <v>6</v>
      </c>
      <c r="N248" s="4915">
        <v>8</v>
      </c>
      <c r="O248" s="157"/>
      <c r="Q248" s="4705">
        <v>3</v>
      </c>
      <c r="R248" s="4705">
        <v>3</v>
      </c>
      <c r="S248" s="4706" t="s">
        <v>446</v>
      </c>
      <c r="T248" s="4706" t="s">
        <v>2709</v>
      </c>
      <c r="U248" s="4707">
        <v>2</v>
      </c>
      <c r="V248" s="4707">
        <v>6</v>
      </c>
      <c r="W248" s="4722"/>
      <c r="Y248" s="36"/>
      <c r="Z248" s="36"/>
      <c r="AA248" s="36"/>
      <c r="AB248" s="36" t="s">
        <v>1074</v>
      </c>
      <c r="AC248" s="1681">
        <v>0</v>
      </c>
      <c r="AD248" s="1681">
        <v>1</v>
      </c>
      <c r="AE248" s="1681"/>
      <c r="AF248" s="1681"/>
      <c r="AG248" s="1681">
        <v>0</v>
      </c>
      <c r="AH248" s="1681">
        <v>0</v>
      </c>
      <c r="AI248" s="1681">
        <v>0</v>
      </c>
      <c r="AJ248" s="1681"/>
      <c r="AK248" s="1681"/>
      <c r="AL248" s="95"/>
      <c r="AM248" s="95">
        <v>1</v>
      </c>
      <c r="AN248" s="4545"/>
      <c r="AS248" s="3868" t="s">
        <v>15</v>
      </c>
      <c r="AT248" s="3721">
        <v>1</v>
      </c>
      <c r="AU248" s="3721">
        <v>1</v>
      </c>
      <c r="AV248" s="3721"/>
      <c r="AW248" s="3721"/>
      <c r="AX248" s="3721"/>
      <c r="AY248" s="3721"/>
      <c r="AZ248" s="3721">
        <v>12</v>
      </c>
      <c r="BA248" s="3721">
        <v>3</v>
      </c>
      <c r="BB248" s="3721"/>
      <c r="BC248" s="2110"/>
      <c r="BD248" s="2110"/>
      <c r="BE248" s="2110">
        <v>17</v>
      </c>
      <c r="BF248" s="1665">
        <f>+(BE245)/(BE248-BE247)</f>
        <v>0.25</v>
      </c>
      <c r="BG248" s="1665"/>
      <c r="BJ248" s="32" t="s">
        <v>709</v>
      </c>
      <c r="BK248" s="32" t="s">
        <v>1072</v>
      </c>
      <c r="BL248" s="3871"/>
      <c r="BM248" s="3871">
        <v>1</v>
      </c>
      <c r="BN248" s="3871"/>
      <c r="BO248" s="3871"/>
      <c r="BP248" s="3871"/>
      <c r="BQ248" s="3871">
        <v>7</v>
      </c>
      <c r="BR248" s="3871"/>
      <c r="BS248" s="3871"/>
      <c r="BT248" s="1518"/>
      <c r="BU248" s="1518">
        <v>8</v>
      </c>
      <c r="BX248" s="36"/>
      <c r="BY248" s="36"/>
      <c r="BZ248" s="393" t="s">
        <v>483</v>
      </c>
      <c r="CA248" s="393" t="s">
        <v>1071</v>
      </c>
      <c r="CB248" s="1682">
        <v>0</v>
      </c>
      <c r="CC248" s="1682">
        <v>0</v>
      </c>
      <c r="CD248" s="1682">
        <v>1</v>
      </c>
      <c r="CE248" s="1682">
        <v>0</v>
      </c>
      <c r="CF248" s="1682">
        <v>1</v>
      </c>
      <c r="CG248" s="1682">
        <v>0</v>
      </c>
      <c r="CH248" s="1682">
        <v>0</v>
      </c>
      <c r="CI248" s="1682">
        <v>0</v>
      </c>
      <c r="CJ248" s="2041">
        <v>0</v>
      </c>
      <c r="CK248" s="2041"/>
      <c r="CL248" s="2041">
        <v>2</v>
      </c>
      <c r="CM248" s="36"/>
      <c r="CO248" s="37"/>
      <c r="CP248" s="37"/>
      <c r="CQ248" s="37"/>
      <c r="CR248" s="37" t="s">
        <v>1076</v>
      </c>
      <c r="CS248" s="1678"/>
      <c r="CT248" s="1678"/>
      <c r="CU248" s="1678"/>
      <c r="CV248" s="1678">
        <v>0</v>
      </c>
      <c r="CW248" s="1678"/>
      <c r="CX248" s="1678">
        <v>0</v>
      </c>
      <c r="CY248" s="1678">
        <v>1</v>
      </c>
      <c r="CZ248" s="1678"/>
      <c r="DA248" s="1678"/>
      <c r="DB248" s="63"/>
      <c r="DC248" s="63"/>
      <c r="DD248" s="63">
        <v>1</v>
      </c>
      <c r="DG248" s="95"/>
      <c r="DH248" s="95"/>
      <c r="DI248" s="36"/>
      <c r="DJ248" s="393" t="s">
        <v>15</v>
      </c>
      <c r="DK248" s="1485"/>
      <c r="DL248" s="1485"/>
      <c r="DM248" s="1485"/>
      <c r="DN248" s="1485">
        <v>1</v>
      </c>
      <c r="DO248" s="1485"/>
      <c r="DP248" s="1485"/>
      <c r="DQ248" s="1485"/>
      <c r="DR248" s="1485"/>
      <c r="DS248" s="1485"/>
      <c r="DT248" s="86"/>
      <c r="DU248" s="86"/>
      <c r="DV248" s="86">
        <v>1</v>
      </c>
      <c r="DW248" s="560">
        <f>+DV247/DV248</f>
        <v>1</v>
      </c>
      <c r="DY248" s="1209"/>
      <c r="DZ248" s="1209" t="s">
        <v>103</v>
      </c>
      <c r="EA248" s="1210" t="s">
        <v>142</v>
      </c>
      <c r="EB248" s="1211" t="s">
        <v>1072</v>
      </c>
      <c r="EC248" s="1212"/>
      <c r="ED248" s="1212"/>
      <c r="EE248" s="1212"/>
      <c r="EF248" s="1213">
        <v>1</v>
      </c>
      <c r="EG248" s="1213">
        <v>0</v>
      </c>
      <c r="EH248" s="1213">
        <v>2</v>
      </c>
      <c r="EI248" s="1212"/>
      <c r="EJ248" s="1212"/>
      <c r="EK248" s="611"/>
      <c r="EL248" s="611"/>
      <c r="EM248" s="612">
        <v>3</v>
      </c>
      <c r="EN248" s="36"/>
      <c r="EP248" s="527"/>
      <c r="EQ248" s="527"/>
      <c r="ER248" s="528"/>
      <c r="ES248" s="529" t="s">
        <v>1076</v>
      </c>
      <c r="ET248" s="530"/>
      <c r="EU248" s="530"/>
      <c r="EV248" s="530"/>
      <c r="EW248" s="530"/>
      <c r="EX248" s="530"/>
      <c r="EY248" s="531">
        <v>1</v>
      </c>
      <c r="EZ248" s="531">
        <v>2</v>
      </c>
      <c r="FA248" s="531">
        <v>0</v>
      </c>
      <c r="FB248" s="527"/>
      <c r="FC248" s="527"/>
      <c r="FD248" s="532">
        <v>3</v>
      </c>
      <c r="FE248" s="95"/>
      <c r="FG248" s="533"/>
      <c r="FH248" s="533"/>
      <c r="FI248" s="533"/>
      <c r="FJ248" s="545" t="s">
        <v>483</v>
      </c>
      <c r="FK248" s="546"/>
      <c r="FL248" s="547">
        <v>1</v>
      </c>
      <c r="FM248" s="547">
        <v>1</v>
      </c>
      <c r="FN248" s="546"/>
      <c r="FO248" s="547">
        <v>1</v>
      </c>
      <c r="FP248" s="546"/>
      <c r="FQ248" s="547">
        <v>12</v>
      </c>
      <c r="FR248" s="547">
        <v>5</v>
      </c>
      <c r="FS248" s="546"/>
      <c r="FT248" s="548"/>
      <c r="FU248" s="548"/>
      <c r="FV248" s="549">
        <v>20</v>
      </c>
      <c r="FW248" s="539">
        <f>+(FV247+FV246+FV244)/FV248</f>
        <v>0.5</v>
      </c>
      <c r="FY248" s="540"/>
      <c r="FZ248" s="540"/>
      <c r="GP248" s="63"/>
      <c r="GQ248" s="63"/>
      <c r="HF248" s="37"/>
      <c r="HG248" s="446"/>
      <c r="HH248" s="446"/>
      <c r="HI248" s="446"/>
      <c r="HJ248" s="446"/>
      <c r="HK248" s="446"/>
      <c r="HL248" s="446"/>
      <c r="HM248" s="446"/>
      <c r="HN248" s="446"/>
      <c r="HO248" s="446"/>
      <c r="HP248" s="446"/>
      <c r="HQ248" s="446"/>
      <c r="HR248" s="446"/>
      <c r="HS248" s="446"/>
      <c r="HT248" s="446"/>
      <c r="HU248" s="446"/>
      <c r="HV248" s="447"/>
      <c r="HW248" s="446"/>
      <c r="HX248" s="446"/>
    </row>
    <row r="249" spans="1:232">
      <c r="A249" s="5682">
        <v>3</v>
      </c>
      <c r="B249" s="5682">
        <v>3</v>
      </c>
      <c r="C249" s="5683" t="s">
        <v>330</v>
      </c>
      <c r="D249" s="5683" t="s">
        <v>2709</v>
      </c>
      <c r="E249" s="5682">
        <v>1</v>
      </c>
      <c r="F249" s="5682">
        <v>1</v>
      </c>
      <c r="I249" s="4915">
        <v>3</v>
      </c>
      <c r="J249" s="4915">
        <v>3</v>
      </c>
      <c r="K249" s="4916" t="s">
        <v>2740</v>
      </c>
      <c r="L249" s="4916" t="s">
        <v>2731</v>
      </c>
      <c r="M249" s="4915">
        <v>2</v>
      </c>
      <c r="N249" s="4915">
        <v>9</v>
      </c>
      <c r="O249" s="157"/>
      <c r="Q249" s="4705"/>
      <c r="R249" s="4705"/>
      <c r="S249" s="4706"/>
      <c r="T249" s="4706"/>
      <c r="U249" s="4741">
        <f>SUM(U244:U248)</f>
        <v>11</v>
      </c>
      <c r="V249" s="4741"/>
      <c r="W249" s="4722">
        <f>(U244+U245)/(U249)</f>
        <v>0.45454545454545453</v>
      </c>
      <c r="Y249" s="36"/>
      <c r="Z249" s="36"/>
      <c r="AA249" s="36"/>
      <c r="AB249" s="36" t="s">
        <v>1077</v>
      </c>
      <c r="AC249" s="1681">
        <v>0</v>
      </c>
      <c r="AD249" s="1681">
        <v>0</v>
      </c>
      <c r="AE249" s="1681"/>
      <c r="AF249" s="1681"/>
      <c r="AG249" s="1681">
        <v>1</v>
      </c>
      <c r="AH249" s="1681">
        <v>0</v>
      </c>
      <c r="AI249" s="1681">
        <v>0</v>
      </c>
      <c r="AJ249" s="1681"/>
      <c r="AK249" s="1681"/>
      <c r="AL249" s="95"/>
      <c r="AM249" s="95">
        <v>1</v>
      </c>
      <c r="AN249" s="4545"/>
      <c r="AR249" s="3868" t="s">
        <v>414</v>
      </c>
      <c r="AS249" s="3868" t="s">
        <v>1072</v>
      </c>
      <c r="AT249" s="3721">
        <v>0</v>
      </c>
      <c r="AU249" s="3721"/>
      <c r="AV249" s="3721">
        <v>2</v>
      </c>
      <c r="AW249" s="3721"/>
      <c r="AX249" s="3721"/>
      <c r="AY249" s="3721"/>
      <c r="AZ249" s="3721">
        <v>9</v>
      </c>
      <c r="BA249" s="3721"/>
      <c r="BB249" s="3721"/>
      <c r="BC249" s="2110"/>
      <c r="BD249" s="2110"/>
      <c r="BE249" s="2110">
        <v>11</v>
      </c>
      <c r="BF249" s="2110"/>
      <c r="BG249" s="2110"/>
      <c r="BK249" s="32" t="s">
        <v>1076</v>
      </c>
      <c r="BL249" s="3871"/>
      <c r="BM249" s="3871">
        <v>0</v>
      </c>
      <c r="BN249" s="3871"/>
      <c r="BO249" s="3871"/>
      <c r="BP249" s="3871"/>
      <c r="BQ249" s="3871">
        <v>1</v>
      </c>
      <c r="BR249" s="3871"/>
      <c r="BS249" s="3871"/>
      <c r="BT249" s="1518"/>
      <c r="BU249" s="1518">
        <v>1</v>
      </c>
      <c r="BX249" s="36"/>
      <c r="BY249" s="36"/>
      <c r="BZ249" s="393"/>
      <c r="CA249" s="393" t="s">
        <v>1072</v>
      </c>
      <c r="CB249" s="1682">
        <v>4</v>
      </c>
      <c r="CC249" s="1682">
        <v>4</v>
      </c>
      <c r="CD249" s="1682">
        <v>3</v>
      </c>
      <c r="CE249" s="1682">
        <v>3</v>
      </c>
      <c r="CF249" s="1682">
        <v>1</v>
      </c>
      <c r="CG249" s="1682">
        <v>62</v>
      </c>
      <c r="CH249" s="1682">
        <v>10</v>
      </c>
      <c r="CI249" s="1682">
        <v>0</v>
      </c>
      <c r="CJ249" s="2041">
        <v>0</v>
      </c>
      <c r="CK249" s="2041"/>
      <c r="CL249" s="2041">
        <v>87</v>
      </c>
      <c r="CM249" s="36"/>
      <c r="CO249" s="37"/>
      <c r="CP249" s="37"/>
      <c r="CQ249" s="37"/>
      <c r="CR249" s="416" t="s">
        <v>15</v>
      </c>
      <c r="CS249" s="1679"/>
      <c r="CT249" s="1679"/>
      <c r="CU249" s="1679"/>
      <c r="CV249" s="1679">
        <v>1</v>
      </c>
      <c r="CW249" s="1679"/>
      <c r="CX249" s="1679">
        <v>1</v>
      </c>
      <c r="CY249" s="1679">
        <v>9</v>
      </c>
      <c r="CZ249" s="1679"/>
      <c r="DA249" s="1679"/>
      <c r="DB249" s="386"/>
      <c r="DC249" s="386"/>
      <c r="DD249" s="386">
        <v>11</v>
      </c>
      <c r="DE249" s="2045">
        <f>+DD248/DD249</f>
        <v>9.0909090909090912E-2</v>
      </c>
      <c r="DG249" s="95"/>
      <c r="DH249" s="95"/>
      <c r="DI249" s="36" t="s">
        <v>138</v>
      </c>
      <c r="DJ249" s="36" t="s">
        <v>1072</v>
      </c>
      <c r="DK249" s="1484"/>
      <c r="DL249" s="1484">
        <v>0</v>
      </c>
      <c r="DM249" s="1484"/>
      <c r="DN249" s="1484"/>
      <c r="DO249" s="1484"/>
      <c r="DP249" s="1484"/>
      <c r="DQ249" s="1484">
        <v>8</v>
      </c>
      <c r="DR249" s="1484">
        <v>4</v>
      </c>
      <c r="DS249" s="1484"/>
      <c r="DT249" s="95"/>
      <c r="DU249" s="95"/>
      <c r="DV249" s="95">
        <v>12</v>
      </c>
      <c r="DW249" s="95"/>
      <c r="DY249" s="1209"/>
      <c r="DZ249" s="1209"/>
      <c r="EA249" s="1210"/>
      <c r="EB249" s="1211" t="s">
        <v>1076</v>
      </c>
      <c r="EC249" s="1212"/>
      <c r="ED249" s="1212"/>
      <c r="EE249" s="1212"/>
      <c r="EF249" s="1213">
        <v>0</v>
      </c>
      <c r="EG249" s="1213">
        <v>0</v>
      </c>
      <c r="EH249" s="1213">
        <v>2</v>
      </c>
      <c r="EI249" s="1212"/>
      <c r="EJ249" s="1212"/>
      <c r="EK249" s="611"/>
      <c r="EL249" s="611"/>
      <c r="EM249" s="612">
        <v>2</v>
      </c>
      <c r="EN249" s="36"/>
      <c r="EP249" s="527"/>
      <c r="EQ249" s="527"/>
      <c r="ER249" s="528"/>
      <c r="ES249" s="529" t="s">
        <v>1080</v>
      </c>
      <c r="ET249" s="530"/>
      <c r="EU249" s="530"/>
      <c r="EV249" s="530"/>
      <c r="EW249" s="530"/>
      <c r="EX249" s="530"/>
      <c r="EY249" s="531">
        <v>0</v>
      </c>
      <c r="EZ249" s="531">
        <v>0</v>
      </c>
      <c r="FA249" s="531">
        <v>7</v>
      </c>
      <c r="FB249" s="527"/>
      <c r="FC249" s="527"/>
      <c r="FD249" s="532">
        <v>7</v>
      </c>
      <c r="FE249" s="95"/>
      <c r="FG249" s="533"/>
      <c r="FH249" s="533"/>
      <c r="FI249" s="545" t="s">
        <v>256</v>
      </c>
      <c r="FJ249" s="534" t="s">
        <v>1072</v>
      </c>
      <c r="FK249" s="535"/>
      <c r="FL249" s="536">
        <v>0</v>
      </c>
      <c r="FM249" s="536">
        <v>0</v>
      </c>
      <c r="FN249" s="535"/>
      <c r="FO249" s="536">
        <v>0</v>
      </c>
      <c r="FP249" s="535"/>
      <c r="FQ249" s="536">
        <v>4</v>
      </c>
      <c r="FR249" s="536">
        <v>2</v>
      </c>
      <c r="FS249" s="535"/>
      <c r="FT249" s="537"/>
      <c r="FU249" s="537"/>
      <c r="FV249" s="538">
        <v>6</v>
      </c>
      <c r="FW249" s="539"/>
      <c r="FY249" s="540"/>
      <c r="FZ249" s="540"/>
      <c r="GC249" s="6999" t="s">
        <v>1138</v>
      </c>
      <c r="GD249" s="6999"/>
      <c r="GE249" s="6999"/>
      <c r="GF249" s="6999"/>
      <c r="GG249" s="6999"/>
      <c r="GH249" s="6999"/>
      <c r="GI249" s="6999"/>
      <c r="GJ249" s="6999"/>
      <c r="GK249" s="6999"/>
      <c r="GL249" s="6999"/>
      <c r="GP249" s="63"/>
      <c r="GQ249" s="63"/>
      <c r="GT249" s="6999" t="s">
        <v>1138</v>
      </c>
      <c r="GU249" s="6999"/>
      <c r="GV249" s="6999"/>
      <c r="GW249" s="6999"/>
      <c r="GX249" s="6999"/>
      <c r="GY249" s="6999"/>
      <c r="GZ249" s="6999"/>
      <c r="HA249" s="6999"/>
      <c r="HB249" s="6999"/>
      <c r="HC249" s="6999"/>
      <c r="HF249" s="37"/>
      <c r="HG249" s="446"/>
      <c r="HH249" s="446"/>
      <c r="HI249" s="446"/>
      <c r="HJ249" s="446"/>
      <c r="HK249" s="7012" t="s">
        <v>1138</v>
      </c>
      <c r="HL249" s="7012"/>
      <c r="HM249" s="7012"/>
      <c r="HN249" s="7012"/>
      <c r="HO249" s="7012"/>
      <c r="HP249" s="7012"/>
      <c r="HQ249" s="7012"/>
      <c r="HR249" s="7012"/>
      <c r="HS249" s="7012"/>
      <c r="HT249" s="7012"/>
      <c r="HU249" s="7012"/>
      <c r="HV249" s="447"/>
      <c r="HW249" s="446"/>
      <c r="HX249" s="446"/>
    </row>
    <row r="250" spans="1:232" ht="28.2" thickBot="1">
      <c r="A250" s="5682">
        <v>3</v>
      </c>
      <c r="B250" s="5682">
        <v>3</v>
      </c>
      <c r="C250" s="5683" t="s">
        <v>330</v>
      </c>
      <c r="D250" s="5683" t="s">
        <v>2709</v>
      </c>
      <c r="E250" s="5682">
        <v>1</v>
      </c>
      <c r="F250" s="5682">
        <v>2</v>
      </c>
      <c r="I250" s="4915">
        <v>3</v>
      </c>
      <c r="J250" s="4915">
        <v>3</v>
      </c>
      <c r="K250" s="4916" t="s">
        <v>2740</v>
      </c>
      <c r="L250" s="4916" t="s">
        <v>1071</v>
      </c>
      <c r="M250" s="4915">
        <v>1</v>
      </c>
      <c r="N250" s="4915">
        <v>4</v>
      </c>
      <c r="O250" s="157"/>
      <c r="Q250" s="4705">
        <v>3</v>
      </c>
      <c r="R250" s="4705">
        <v>3</v>
      </c>
      <c r="S250" s="4706" t="s">
        <v>2153</v>
      </c>
      <c r="T250" s="4706" t="s">
        <v>2705</v>
      </c>
      <c r="U250" s="4707">
        <v>1</v>
      </c>
      <c r="V250" s="4707">
        <v>3</v>
      </c>
      <c r="W250" s="4722"/>
      <c r="Y250" s="36"/>
      <c r="Z250" s="36"/>
      <c r="AA250" s="36"/>
      <c r="AB250" s="36" t="s">
        <v>2571</v>
      </c>
      <c r="AC250" s="1681">
        <v>1</v>
      </c>
      <c r="AD250" s="1681">
        <v>0</v>
      </c>
      <c r="AE250" s="1681"/>
      <c r="AF250" s="1681"/>
      <c r="AG250" s="1681">
        <v>0</v>
      </c>
      <c r="AH250" s="1681">
        <v>0</v>
      </c>
      <c r="AI250" s="1681">
        <v>0</v>
      </c>
      <c r="AJ250" s="1681"/>
      <c r="AK250" s="1681"/>
      <c r="AL250" s="95"/>
      <c r="AM250" s="95">
        <v>1</v>
      </c>
      <c r="AN250" s="4545"/>
      <c r="AS250" s="3868" t="s">
        <v>2571</v>
      </c>
      <c r="AT250" s="3721">
        <v>2</v>
      </c>
      <c r="AU250" s="3721"/>
      <c r="AV250" s="3721">
        <v>0</v>
      </c>
      <c r="AW250" s="3721"/>
      <c r="AX250" s="3721"/>
      <c r="AY250" s="3721"/>
      <c r="AZ250" s="3721">
        <v>0</v>
      </c>
      <c r="BA250" s="3721"/>
      <c r="BB250" s="3721"/>
      <c r="BC250" s="2110"/>
      <c r="BD250" s="2110"/>
      <c r="BE250" s="2110">
        <v>2</v>
      </c>
      <c r="BF250" s="2110"/>
      <c r="BG250" s="2110"/>
      <c r="BK250" s="32" t="s">
        <v>1163</v>
      </c>
      <c r="BL250" s="3871"/>
      <c r="BM250" s="3871">
        <v>0</v>
      </c>
      <c r="BN250" s="3871"/>
      <c r="BO250" s="3871"/>
      <c r="BP250" s="3871"/>
      <c r="BQ250" s="3871">
        <v>2</v>
      </c>
      <c r="BR250" s="3871"/>
      <c r="BS250" s="3871"/>
      <c r="BT250" s="1518"/>
      <c r="BU250" s="1518">
        <v>2</v>
      </c>
      <c r="BX250" s="36"/>
      <c r="BY250" s="36"/>
      <c r="BZ250" s="393"/>
      <c r="CA250" s="393" t="s">
        <v>1074</v>
      </c>
      <c r="CB250" s="1682">
        <v>1</v>
      </c>
      <c r="CC250" s="1682">
        <v>0</v>
      </c>
      <c r="CD250" s="1682">
        <v>0</v>
      </c>
      <c r="CE250" s="1682">
        <v>1</v>
      </c>
      <c r="CF250" s="1682">
        <v>1</v>
      </c>
      <c r="CG250" s="1682">
        <v>0</v>
      </c>
      <c r="CH250" s="1682">
        <v>0</v>
      </c>
      <c r="CI250" s="1682">
        <v>0</v>
      </c>
      <c r="CJ250" s="2041">
        <v>0</v>
      </c>
      <c r="CK250" s="2041"/>
      <c r="CL250" s="2041">
        <v>3</v>
      </c>
      <c r="CM250" s="36"/>
      <c r="CO250" s="37"/>
      <c r="CP250" s="37"/>
      <c r="CQ250" s="37" t="s">
        <v>709</v>
      </c>
      <c r="CR250" s="37" t="s">
        <v>1071</v>
      </c>
      <c r="CS250" s="1678"/>
      <c r="CT250" s="1678">
        <v>0</v>
      </c>
      <c r="CU250" s="1678"/>
      <c r="CV250" s="1678"/>
      <c r="CW250" s="1678">
        <v>0</v>
      </c>
      <c r="CX250" s="1678">
        <v>1</v>
      </c>
      <c r="CY250" s="1678">
        <v>0</v>
      </c>
      <c r="CZ250" s="1678"/>
      <c r="DA250" s="1678"/>
      <c r="DB250" s="63"/>
      <c r="DC250" s="63"/>
      <c r="DD250" s="63">
        <v>1</v>
      </c>
      <c r="DG250" s="95"/>
      <c r="DH250" s="95"/>
      <c r="DI250" s="36"/>
      <c r="DJ250" s="36" t="s">
        <v>1074</v>
      </c>
      <c r="DK250" s="1484"/>
      <c r="DL250" s="1484">
        <v>1</v>
      </c>
      <c r="DM250" s="1484"/>
      <c r="DN250" s="1484"/>
      <c r="DO250" s="1484"/>
      <c r="DP250" s="1484"/>
      <c r="DQ250" s="1484">
        <v>0</v>
      </c>
      <c r="DR250" s="1484">
        <v>0</v>
      </c>
      <c r="DS250" s="1484"/>
      <c r="DT250" s="95"/>
      <c r="DU250" s="95"/>
      <c r="DV250" s="95">
        <v>1</v>
      </c>
      <c r="DW250" s="95"/>
      <c r="DY250" s="1209"/>
      <c r="DZ250" s="1209"/>
      <c r="EA250" s="1210"/>
      <c r="EB250" s="1211" t="s">
        <v>1077</v>
      </c>
      <c r="EC250" s="1212"/>
      <c r="ED250" s="1212"/>
      <c r="EE250" s="1212"/>
      <c r="EF250" s="1213">
        <v>0</v>
      </c>
      <c r="EG250" s="1213">
        <v>1</v>
      </c>
      <c r="EH250" s="1213">
        <v>0</v>
      </c>
      <c r="EI250" s="1212"/>
      <c r="EJ250" s="1212"/>
      <c r="EK250" s="611"/>
      <c r="EL250" s="611"/>
      <c r="EM250" s="612">
        <v>1</v>
      </c>
      <c r="EN250" s="36"/>
      <c r="EP250" s="527"/>
      <c r="EQ250" s="527"/>
      <c r="ER250" s="528"/>
      <c r="ES250" s="529" t="s">
        <v>1081</v>
      </c>
      <c r="ET250" s="530"/>
      <c r="EU250" s="530"/>
      <c r="EV250" s="530"/>
      <c r="EW250" s="530"/>
      <c r="EX250" s="530"/>
      <c r="EY250" s="531">
        <v>1</v>
      </c>
      <c r="EZ250" s="531">
        <v>2</v>
      </c>
      <c r="FA250" s="531">
        <v>1</v>
      </c>
      <c r="FB250" s="527"/>
      <c r="FC250" s="527"/>
      <c r="FD250" s="532">
        <v>4</v>
      </c>
      <c r="FE250" s="95"/>
      <c r="FG250" s="533"/>
      <c r="FH250" s="533"/>
      <c r="FI250" s="533"/>
      <c r="FJ250" s="534" t="s">
        <v>1076</v>
      </c>
      <c r="FK250" s="535"/>
      <c r="FL250" s="536">
        <v>0</v>
      </c>
      <c r="FM250" s="536">
        <v>0</v>
      </c>
      <c r="FN250" s="535"/>
      <c r="FO250" s="536">
        <v>0</v>
      </c>
      <c r="FP250" s="535"/>
      <c r="FQ250" s="536">
        <v>1</v>
      </c>
      <c r="FR250" s="536">
        <v>1</v>
      </c>
      <c r="FS250" s="535"/>
      <c r="FT250" s="537"/>
      <c r="FU250" s="537"/>
      <c r="FV250" s="538">
        <v>2</v>
      </c>
      <c r="FW250" s="539"/>
      <c r="FY250" s="540"/>
      <c r="FZ250" s="540"/>
      <c r="GA250" s="47" t="s">
        <v>0</v>
      </c>
      <c r="GB250" s="47" t="s">
        <v>1070</v>
      </c>
      <c r="GC250" s="47">
        <v>1</v>
      </c>
      <c r="GD250" s="47">
        <v>2</v>
      </c>
      <c r="GE250" s="47">
        <v>3</v>
      </c>
      <c r="GF250" s="47">
        <v>4</v>
      </c>
      <c r="GG250" s="47">
        <v>5</v>
      </c>
      <c r="GH250" s="47">
        <v>6</v>
      </c>
      <c r="GI250" s="47">
        <v>7</v>
      </c>
      <c r="GJ250" s="47">
        <v>8</v>
      </c>
      <c r="GK250" s="47">
        <v>9</v>
      </c>
      <c r="GL250" s="47">
        <v>10</v>
      </c>
      <c r="GM250" s="47" t="s">
        <v>15</v>
      </c>
      <c r="GN250" s="47" t="s">
        <v>66</v>
      </c>
      <c r="GP250" s="63"/>
      <c r="GQ250" s="63"/>
      <c r="GR250" s="47" t="s">
        <v>0</v>
      </c>
      <c r="GS250" s="47" t="s">
        <v>1070</v>
      </c>
      <c r="GT250" s="47">
        <v>1</v>
      </c>
      <c r="GU250" s="47">
        <v>2</v>
      </c>
      <c r="GV250" s="47">
        <v>3</v>
      </c>
      <c r="GW250" s="47">
        <v>4</v>
      </c>
      <c r="GX250" s="47">
        <v>5</v>
      </c>
      <c r="GY250" s="47">
        <v>6</v>
      </c>
      <c r="GZ250" s="47">
        <v>7</v>
      </c>
      <c r="HA250" s="47">
        <v>8</v>
      </c>
      <c r="HB250" s="47">
        <v>9</v>
      </c>
      <c r="HC250" s="47">
        <v>10</v>
      </c>
      <c r="HD250" s="47" t="s">
        <v>15</v>
      </c>
      <c r="HE250" s="47" t="s">
        <v>66</v>
      </c>
      <c r="HF250" s="37"/>
      <c r="HG250" s="569"/>
      <c r="HH250" s="569"/>
      <c r="HI250" s="491" t="s">
        <v>0</v>
      </c>
      <c r="HJ250" s="492" t="s">
        <v>1140</v>
      </c>
      <c r="HK250" s="491">
        <v>0</v>
      </c>
      <c r="HL250" s="491">
        <v>1</v>
      </c>
      <c r="HM250" s="491">
        <v>2</v>
      </c>
      <c r="HN250" s="491">
        <v>3</v>
      </c>
      <c r="HO250" s="491">
        <v>4</v>
      </c>
      <c r="HP250" s="491">
        <v>5</v>
      </c>
      <c r="HQ250" s="491">
        <v>6</v>
      </c>
      <c r="HR250" s="491">
        <v>7</v>
      </c>
      <c r="HS250" s="491">
        <v>8</v>
      </c>
      <c r="HT250" s="491">
        <v>9</v>
      </c>
      <c r="HU250" s="491">
        <v>10</v>
      </c>
      <c r="HV250" s="499" t="s">
        <v>15</v>
      </c>
      <c r="HW250" s="492" t="s">
        <v>66</v>
      </c>
      <c r="HX250" s="499" t="s">
        <v>1141</v>
      </c>
    </row>
    <row r="251" spans="1:232">
      <c r="A251" s="5682">
        <v>3</v>
      </c>
      <c r="B251" s="5682">
        <v>3</v>
      </c>
      <c r="C251" s="5683" t="s">
        <v>330</v>
      </c>
      <c r="D251" s="5683" t="s">
        <v>2709</v>
      </c>
      <c r="E251" s="5682">
        <v>8</v>
      </c>
      <c r="F251" s="5682">
        <v>6</v>
      </c>
      <c r="I251" s="4915">
        <v>3</v>
      </c>
      <c r="J251" s="4915">
        <v>3</v>
      </c>
      <c r="K251" s="4916" t="s">
        <v>2740</v>
      </c>
      <c r="L251" s="4917" t="s">
        <v>1076</v>
      </c>
      <c r="M251" s="4922">
        <v>1</v>
      </c>
      <c r="N251" s="4915">
        <v>8</v>
      </c>
      <c r="O251" s="157"/>
      <c r="Q251" s="4705">
        <v>3</v>
      </c>
      <c r="R251" s="4705">
        <v>3</v>
      </c>
      <c r="S251" s="4706" t="s">
        <v>2153</v>
      </c>
      <c r="T251" s="4708" t="s">
        <v>2707</v>
      </c>
      <c r="U251" s="4709">
        <v>4</v>
      </c>
      <c r="V251" s="4709">
        <v>6</v>
      </c>
      <c r="W251" s="4722"/>
      <c r="X251" s="4452"/>
      <c r="Y251" s="36"/>
      <c r="Z251" s="36"/>
      <c r="AA251" s="36"/>
      <c r="AB251" s="36" t="s">
        <v>15</v>
      </c>
      <c r="AC251" s="1681">
        <v>1</v>
      </c>
      <c r="AD251" s="1681">
        <v>2</v>
      </c>
      <c r="AE251" s="1681"/>
      <c r="AF251" s="1681"/>
      <c r="AG251" s="1681">
        <v>2</v>
      </c>
      <c r="AH251" s="1681">
        <v>1</v>
      </c>
      <c r="AI251" s="1681">
        <v>18</v>
      </c>
      <c r="AJ251" s="1681"/>
      <c r="AK251" s="1681"/>
      <c r="AL251" s="95"/>
      <c r="AM251" s="95">
        <v>24</v>
      </c>
      <c r="AN251" s="4545">
        <v>0</v>
      </c>
      <c r="AS251" s="3868" t="s">
        <v>15</v>
      </c>
      <c r="AT251" s="3721">
        <v>2</v>
      </c>
      <c r="AU251" s="3721"/>
      <c r="AV251" s="3721">
        <v>2</v>
      </c>
      <c r="AW251" s="3721"/>
      <c r="AX251" s="3721"/>
      <c r="AY251" s="3721"/>
      <c r="AZ251" s="3721">
        <v>9</v>
      </c>
      <c r="BA251" s="3721"/>
      <c r="BB251" s="3721"/>
      <c r="BC251" s="2110"/>
      <c r="BD251" s="2110"/>
      <c r="BE251" s="2110">
        <v>13</v>
      </c>
      <c r="BF251" s="1665">
        <v>0</v>
      </c>
      <c r="BG251" s="1665"/>
      <c r="BK251" s="1520" t="s">
        <v>15</v>
      </c>
      <c r="BL251" s="3872"/>
      <c r="BM251" s="3872">
        <v>1</v>
      </c>
      <c r="BN251" s="3872"/>
      <c r="BO251" s="3872"/>
      <c r="BP251" s="3872"/>
      <c r="BQ251" s="3872">
        <v>10</v>
      </c>
      <c r="BR251" s="3872"/>
      <c r="BS251" s="3872"/>
      <c r="BT251" s="3806"/>
      <c r="BU251" s="3806">
        <v>11</v>
      </c>
      <c r="BV251" s="3807">
        <f>+(BU249+BU250)/BU251</f>
        <v>0.27272727272727271</v>
      </c>
      <c r="BX251" s="36"/>
      <c r="BY251" s="36"/>
      <c r="BZ251" s="393"/>
      <c r="CA251" s="393" t="s">
        <v>1076</v>
      </c>
      <c r="CB251" s="1682">
        <v>0</v>
      </c>
      <c r="CC251" s="1682">
        <v>0</v>
      </c>
      <c r="CD251" s="1682">
        <v>0</v>
      </c>
      <c r="CE251" s="1682">
        <v>0</v>
      </c>
      <c r="CF251" s="1682">
        <v>0</v>
      </c>
      <c r="CG251" s="1682">
        <v>20</v>
      </c>
      <c r="CH251" s="1682">
        <v>5</v>
      </c>
      <c r="CI251" s="1682">
        <v>0</v>
      </c>
      <c r="CJ251" s="2041">
        <v>1</v>
      </c>
      <c r="CK251" s="2041"/>
      <c r="CL251" s="2041">
        <v>26</v>
      </c>
      <c r="CM251" s="36"/>
      <c r="CO251" s="37"/>
      <c r="CP251" s="37"/>
      <c r="CQ251" s="37"/>
      <c r="CR251" s="37" t="s">
        <v>1072</v>
      </c>
      <c r="CS251" s="1678"/>
      <c r="CT251" s="1678">
        <v>1</v>
      </c>
      <c r="CU251" s="1678"/>
      <c r="CV251" s="1678"/>
      <c r="CW251" s="1678">
        <v>0</v>
      </c>
      <c r="CX251" s="1678">
        <v>0</v>
      </c>
      <c r="CY251" s="1678">
        <v>3</v>
      </c>
      <c r="CZ251" s="1678"/>
      <c r="DA251" s="1678"/>
      <c r="DB251" s="63"/>
      <c r="DC251" s="63"/>
      <c r="DD251" s="63">
        <v>4</v>
      </c>
      <c r="DG251" s="95"/>
      <c r="DH251" s="95"/>
      <c r="DI251" s="36"/>
      <c r="DJ251" s="36" t="s">
        <v>1081</v>
      </c>
      <c r="DK251" s="1484"/>
      <c r="DL251" s="1484">
        <v>0</v>
      </c>
      <c r="DM251" s="1484"/>
      <c r="DN251" s="1484"/>
      <c r="DO251" s="1484"/>
      <c r="DP251" s="1484"/>
      <c r="DQ251" s="1484">
        <v>2</v>
      </c>
      <c r="DR251" s="1484">
        <v>0</v>
      </c>
      <c r="DS251" s="1484"/>
      <c r="DT251" s="95"/>
      <c r="DU251" s="95"/>
      <c r="DV251" s="95">
        <v>2</v>
      </c>
      <c r="DW251" s="95"/>
      <c r="DY251" s="1209"/>
      <c r="DZ251" s="1209"/>
      <c r="EA251" s="1210"/>
      <c r="EB251" s="1211" t="s">
        <v>1080</v>
      </c>
      <c r="EC251" s="1212"/>
      <c r="ED251" s="1212"/>
      <c r="EE251" s="1212"/>
      <c r="EF251" s="1213">
        <v>0</v>
      </c>
      <c r="EG251" s="1213">
        <v>1</v>
      </c>
      <c r="EH251" s="1213">
        <v>0</v>
      </c>
      <c r="EI251" s="1212"/>
      <c r="EJ251" s="1212"/>
      <c r="EK251" s="611"/>
      <c r="EL251" s="611"/>
      <c r="EM251" s="612">
        <v>1</v>
      </c>
      <c r="EN251" s="36"/>
      <c r="EP251" s="527"/>
      <c r="EQ251" s="527"/>
      <c r="ER251" s="528"/>
      <c r="ES251" s="529" t="s">
        <v>1163</v>
      </c>
      <c r="ET251" s="530"/>
      <c r="EU251" s="530"/>
      <c r="EV251" s="530"/>
      <c r="EW251" s="530"/>
      <c r="EX251" s="530"/>
      <c r="EY251" s="531">
        <v>2</v>
      </c>
      <c r="EZ251" s="531">
        <v>1</v>
      </c>
      <c r="FA251" s="531">
        <v>0</v>
      </c>
      <c r="FB251" s="527"/>
      <c r="FC251" s="527"/>
      <c r="FD251" s="532">
        <v>3</v>
      </c>
      <c r="FE251" s="95"/>
      <c r="FG251" s="533"/>
      <c r="FH251" s="533"/>
      <c r="FI251" s="533"/>
      <c r="FJ251" s="534" t="s">
        <v>1077</v>
      </c>
      <c r="FK251" s="535"/>
      <c r="FL251" s="536">
        <v>1</v>
      </c>
      <c r="FM251" s="536">
        <v>1</v>
      </c>
      <c r="FN251" s="535"/>
      <c r="FO251" s="536">
        <v>1</v>
      </c>
      <c r="FP251" s="535"/>
      <c r="FQ251" s="536">
        <v>1</v>
      </c>
      <c r="FR251" s="536">
        <v>0</v>
      </c>
      <c r="FS251" s="535"/>
      <c r="FT251" s="537"/>
      <c r="FU251" s="537"/>
      <c r="FV251" s="538">
        <v>4</v>
      </c>
      <c r="FW251" s="539"/>
      <c r="FY251" s="540"/>
      <c r="FZ251" s="540"/>
      <c r="GA251" s="540" t="s">
        <v>105</v>
      </c>
      <c r="GB251" s="541" t="s">
        <v>1071</v>
      </c>
      <c r="GC251" s="542"/>
      <c r="GD251" s="543">
        <v>0</v>
      </c>
      <c r="GE251" s="543">
        <v>0</v>
      </c>
      <c r="GF251" s="543">
        <v>0</v>
      </c>
      <c r="GG251" s="543">
        <v>0</v>
      </c>
      <c r="GH251" s="543">
        <v>0</v>
      </c>
      <c r="GI251" s="543">
        <v>1</v>
      </c>
      <c r="GJ251" s="543">
        <v>1</v>
      </c>
      <c r="GK251" s="543">
        <v>0</v>
      </c>
      <c r="GL251" s="543">
        <v>2</v>
      </c>
      <c r="GM251" s="543">
        <v>4</v>
      </c>
      <c r="GN251" s="445"/>
      <c r="GP251" s="63"/>
      <c r="GQ251" s="63"/>
      <c r="GR251" s="63" t="s">
        <v>3</v>
      </c>
      <c r="GS251" s="37" t="s">
        <v>1071</v>
      </c>
      <c r="GT251" s="37">
        <v>0</v>
      </c>
      <c r="GU251" s="37">
        <v>0</v>
      </c>
      <c r="GV251" s="37">
        <v>0</v>
      </c>
      <c r="GW251" s="37">
        <v>0</v>
      </c>
      <c r="GX251" s="37">
        <v>0</v>
      </c>
      <c r="GY251" s="37">
        <v>1</v>
      </c>
      <c r="GZ251" s="37">
        <v>1</v>
      </c>
      <c r="HA251" s="37">
        <v>5</v>
      </c>
      <c r="HB251" s="37"/>
      <c r="HC251" s="37">
        <v>0</v>
      </c>
      <c r="HD251" s="37">
        <v>7</v>
      </c>
      <c r="HE251" s="37"/>
      <c r="HF251" s="37"/>
      <c r="HG251" s="446"/>
      <c r="HH251" s="446"/>
      <c r="HI251" s="446" t="s">
        <v>3</v>
      </c>
      <c r="HJ251" s="446" t="s">
        <v>1071</v>
      </c>
      <c r="HK251" s="446">
        <v>0</v>
      </c>
      <c r="HL251" s="446">
        <v>0</v>
      </c>
      <c r="HM251" s="446">
        <v>0</v>
      </c>
      <c r="HN251" s="446">
        <v>0</v>
      </c>
      <c r="HO251" s="446">
        <v>1</v>
      </c>
      <c r="HP251" s="446">
        <v>0</v>
      </c>
      <c r="HQ251" s="446">
        <v>2</v>
      </c>
      <c r="HR251" s="446">
        <v>0</v>
      </c>
      <c r="HS251" s="446">
        <v>2</v>
      </c>
      <c r="HT251" s="446">
        <v>0</v>
      </c>
      <c r="HU251" s="446">
        <v>0</v>
      </c>
      <c r="HV251" s="447">
        <v>5</v>
      </c>
      <c r="HW251" s="446"/>
      <c r="HX251" s="448"/>
    </row>
    <row r="252" spans="1:232">
      <c r="A252" s="5682"/>
      <c r="B252" s="5682"/>
      <c r="C252" s="5683"/>
      <c r="D252" s="5683"/>
      <c r="E252" s="5686">
        <f>SUM(E249:E251)</f>
        <v>10</v>
      </c>
      <c r="F252" s="5682"/>
      <c r="G252" s="4921">
        <f>(E246)/(E252)</f>
        <v>0.1</v>
      </c>
      <c r="I252" s="4915">
        <v>3</v>
      </c>
      <c r="J252" s="4915">
        <v>3</v>
      </c>
      <c r="K252" s="4916" t="s">
        <v>2740</v>
      </c>
      <c r="L252" s="4916" t="s">
        <v>2709</v>
      </c>
      <c r="M252" s="4915">
        <v>1</v>
      </c>
      <c r="N252" s="4915">
        <v>1</v>
      </c>
      <c r="O252" s="157"/>
      <c r="Q252" s="4705">
        <v>3</v>
      </c>
      <c r="R252" s="4705">
        <v>3</v>
      </c>
      <c r="S252" s="4706" t="s">
        <v>2153</v>
      </c>
      <c r="T252" s="4706" t="s">
        <v>2709</v>
      </c>
      <c r="U252" s="4707">
        <v>5</v>
      </c>
      <c r="V252" s="4707">
        <v>6</v>
      </c>
      <c r="W252" s="4722"/>
      <c r="Y252" s="36"/>
      <c r="Z252" s="36"/>
      <c r="AA252" s="393" t="s">
        <v>484</v>
      </c>
      <c r="AB252" s="36" t="s">
        <v>1071</v>
      </c>
      <c r="AC252" s="1681">
        <v>0</v>
      </c>
      <c r="AD252" s="1681">
        <v>0</v>
      </c>
      <c r="AE252" s="1681"/>
      <c r="AF252" s="1681"/>
      <c r="AG252" s="1681">
        <v>0</v>
      </c>
      <c r="AH252" s="1681">
        <v>1</v>
      </c>
      <c r="AI252" s="1681">
        <v>0</v>
      </c>
      <c r="AJ252" s="1681"/>
      <c r="AK252" s="1681"/>
      <c r="AL252" s="95"/>
      <c r="AM252" s="95">
        <v>1</v>
      </c>
      <c r="AN252" s="4545"/>
      <c r="AR252" s="3868" t="s">
        <v>140</v>
      </c>
      <c r="AS252" s="3868" t="s">
        <v>1071</v>
      </c>
      <c r="AT252" s="3721">
        <v>0</v>
      </c>
      <c r="AU252" s="3721">
        <v>0</v>
      </c>
      <c r="AV252" s="3721"/>
      <c r="AW252" s="3721">
        <v>0</v>
      </c>
      <c r="AX252" s="3721"/>
      <c r="AY252" s="3721"/>
      <c r="AZ252" s="3721">
        <v>1</v>
      </c>
      <c r="BA252" s="3721">
        <v>0</v>
      </c>
      <c r="BB252" s="3721">
        <v>0</v>
      </c>
      <c r="BC252" s="2110"/>
      <c r="BD252" s="2110">
        <v>0</v>
      </c>
      <c r="BE252" s="2110">
        <v>1</v>
      </c>
      <c r="BF252" s="2110"/>
      <c r="BG252" s="2110"/>
      <c r="BJ252" s="32" t="s">
        <v>2272</v>
      </c>
      <c r="BK252" s="32" t="s">
        <v>1071</v>
      </c>
      <c r="BL252" s="3871"/>
      <c r="BM252" s="3871"/>
      <c r="BN252" s="3871"/>
      <c r="BO252" s="3871"/>
      <c r="BP252" s="3871"/>
      <c r="BQ252" s="3871">
        <v>1</v>
      </c>
      <c r="BR252" s="3871">
        <v>0</v>
      </c>
      <c r="BS252" s="3871"/>
      <c r="BT252" s="1518"/>
      <c r="BU252" s="1518">
        <v>1</v>
      </c>
      <c r="BX252" s="36"/>
      <c r="BY252" s="36"/>
      <c r="BZ252" s="393"/>
      <c r="CA252" s="393" t="s">
        <v>1080</v>
      </c>
      <c r="CB252" s="1682">
        <v>0</v>
      </c>
      <c r="CC252" s="1682">
        <v>0</v>
      </c>
      <c r="CD252" s="1682">
        <v>0</v>
      </c>
      <c r="CE252" s="1682">
        <v>0</v>
      </c>
      <c r="CF252" s="1682">
        <v>0</v>
      </c>
      <c r="CG252" s="1682">
        <v>0</v>
      </c>
      <c r="CH252" s="1682">
        <v>2</v>
      </c>
      <c r="CI252" s="1682">
        <v>5</v>
      </c>
      <c r="CJ252" s="2041">
        <v>1</v>
      </c>
      <c r="CK252" s="2041"/>
      <c r="CL252" s="2041">
        <v>8</v>
      </c>
      <c r="CM252" s="36"/>
      <c r="CO252" s="37"/>
      <c r="CP252" s="37"/>
      <c r="CQ252" s="37"/>
      <c r="CR252" s="37" t="s">
        <v>1077</v>
      </c>
      <c r="CS252" s="1678"/>
      <c r="CT252" s="1678">
        <v>0</v>
      </c>
      <c r="CU252" s="1678"/>
      <c r="CV252" s="1678"/>
      <c r="CW252" s="1678">
        <v>1</v>
      </c>
      <c r="CX252" s="1678">
        <v>0</v>
      </c>
      <c r="CY252" s="1678">
        <v>0</v>
      </c>
      <c r="CZ252" s="1678"/>
      <c r="DA252" s="1678"/>
      <c r="DB252" s="63"/>
      <c r="DC252" s="63"/>
      <c r="DD252" s="63">
        <v>1</v>
      </c>
      <c r="DG252" s="95"/>
      <c r="DH252" s="95"/>
      <c r="DI252" s="36"/>
      <c r="DJ252" s="36" t="s">
        <v>1163</v>
      </c>
      <c r="DK252" s="1484"/>
      <c r="DL252" s="1484">
        <v>0</v>
      </c>
      <c r="DM252" s="1484"/>
      <c r="DN252" s="1484"/>
      <c r="DO252" s="1484"/>
      <c r="DP252" s="1484"/>
      <c r="DQ252" s="1484">
        <v>0</v>
      </c>
      <c r="DR252" s="1484">
        <v>1</v>
      </c>
      <c r="DS252" s="1484"/>
      <c r="DT252" s="95"/>
      <c r="DU252" s="95"/>
      <c r="DV252" s="95">
        <v>1</v>
      </c>
      <c r="DW252" s="95"/>
      <c r="DY252" s="1209"/>
      <c r="DZ252" s="1209"/>
      <c r="EA252" s="1210"/>
      <c r="EB252" s="1211" t="s">
        <v>1081</v>
      </c>
      <c r="EC252" s="1212"/>
      <c r="ED252" s="1212"/>
      <c r="EE252" s="1212"/>
      <c r="EF252" s="1213">
        <v>0</v>
      </c>
      <c r="EG252" s="1213">
        <v>0</v>
      </c>
      <c r="EH252" s="1213">
        <v>11</v>
      </c>
      <c r="EI252" s="1212"/>
      <c r="EJ252" s="1212"/>
      <c r="EK252" s="611"/>
      <c r="EL252" s="611"/>
      <c r="EM252" s="612">
        <v>11</v>
      </c>
      <c r="EN252" s="36"/>
      <c r="EP252" s="527"/>
      <c r="EQ252" s="527"/>
      <c r="ER252" s="528"/>
      <c r="ES252" s="555" t="s">
        <v>15</v>
      </c>
      <c r="ET252" s="556"/>
      <c r="EU252" s="556"/>
      <c r="EV252" s="556"/>
      <c r="EW252" s="556"/>
      <c r="EX252" s="556"/>
      <c r="EY252" s="557">
        <v>5</v>
      </c>
      <c r="EZ252" s="557">
        <v>9</v>
      </c>
      <c r="FA252" s="557">
        <v>9</v>
      </c>
      <c r="FB252" s="558"/>
      <c r="FC252" s="558"/>
      <c r="FD252" s="559">
        <v>23</v>
      </c>
      <c r="FE252" s="560">
        <f>+(FD248+FD250+FD251)/FD252</f>
        <v>0.43478260869565216</v>
      </c>
      <c r="FG252" s="533"/>
      <c r="FH252" s="533"/>
      <c r="FI252" s="533"/>
      <c r="FJ252" s="534" t="s">
        <v>1081</v>
      </c>
      <c r="FK252" s="535"/>
      <c r="FL252" s="536">
        <v>0</v>
      </c>
      <c r="FM252" s="536">
        <v>0</v>
      </c>
      <c r="FN252" s="535"/>
      <c r="FO252" s="536">
        <v>0</v>
      </c>
      <c r="FP252" s="535"/>
      <c r="FQ252" s="536">
        <v>2</v>
      </c>
      <c r="FR252" s="536">
        <v>1</v>
      </c>
      <c r="FS252" s="535"/>
      <c r="FT252" s="537"/>
      <c r="FU252" s="537"/>
      <c r="FV252" s="538">
        <v>3</v>
      </c>
      <c r="FW252" s="539"/>
      <c r="FY252" s="540"/>
      <c r="FZ252" s="540"/>
      <c r="GA252" s="540"/>
      <c r="GB252" s="541" t="s">
        <v>1072</v>
      </c>
      <c r="GC252" s="542"/>
      <c r="GD252" s="543">
        <v>0</v>
      </c>
      <c r="GE252" s="543">
        <v>4</v>
      </c>
      <c r="GF252" s="543">
        <v>4</v>
      </c>
      <c r="GG252" s="543">
        <v>1</v>
      </c>
      <c r="GH252" s="543">
        <v>10</v>
      </c>
      <c r="GI252" s="543">
        <v>7</v>
      </c>
      <c r="GJ252" s="543">
        <v>1</v>
      </c>
      <c r="GK252" s="543">
        <v>1</v>
      </c>
      <c r="GL252" s="543">
        <v>0</v>
      </c>
      <c r="GM252" s="543">
        <v>28</v>
      </c>
      <c r="GN252" s="445"/>
      <c r="GP252" s="63"/>
      <c r="GQ252" s="63"/>
      <c r="GR252" s="63"/>
      <c r="GS252" s="37" t="s">
        <v>1072</v>
      </c>
      <c r="GT252" s="37">
        <v>1</v>
      </c>
      <c r="GU252" s="37">
        <v>5</v>
      </c>
      <c r="GV252" s="37">
        <v>1</v>
      </c>
      <c r="GW252" s="37">
        <v>2</v>
      </c>
      <c r="GX252" s="37">
        <v>1</v>
      </c>
      <c r="GY252" s="37">
        <v>23</v>
      </c>
      <c r="GZ252" s="37">
        <v>21</v>
      </c>
      <c r="HA252" s="37">
        <v>1</v>
      </c>
      <c r="HB252" s="37"/>
      <c r="HC252" s="37">
        <v>0</v>
      </c>
      <c r="HD252" s="37">
        <v>55</v>
      </c>
      <c r="HE252" s="37"/>
      <c r="HF252" s="37"/>
      <c r="HG252" s="446"/>
      <c r="HH252" s="446"/>
      <c r="HI252" s="446"/>
      <c r="HJ252" s="446" t="s">
        <v>1072</v>
      </c>
      <c r="HK252" s="446">
        <v>1</v>
      </c>
      <c r="HL252" s="446">
        <v>0</v>
      </c>
      <c r="HM252" s="446">
        <v>1</v>
      </c>
      <c r="HN252" s="446">
        <v>1</v>
      </c>
      <c r="HO252" s="446">
        <v>4</v>
      </c>
      <c r="HP252" s="446">
        <v>0</v>
      </c>
      <c r="HQ252" s="446">
        <v>4</v>
      </c>
      <c r="HR252" s="446">
        <v>5</v>
      </c>
      <c r="HS252" s="446">
        <v>0</v>
      </c>
      <c r="HT252" s="446">
        <v>0</v>
      </c>
      <c r="HU252" s="446">
        <v>0</v>
      </c>
      <c r="HV252" s="447">
        <v>16</v>
      </c>
      <c r="HW252" s="446"/>
      <c r="HX252" s="448"/>
    </row>
    <row r="253" spans="1:232">
      <c r="A253" s="5732">
        <v>3</v>
      </c>
      <c r="B253" s="5732">
        <v>3</v>
      </c>
      <c r="C253" s="5733" t="s">
        <v>295</v>
      </c>
      <c r="D253" s="5733" t="s">
        <v>2703</v>
      </c>
      <c r="E253" s="5732">
        <v>1</v>
      </c>
      <c r="F253" s="5732">
        <v>1</v>
      </c>
      <c r="G253" s="5734" t="s">
        <v>3035</v>
      </c>
      <c r="I253" s="4915">
        <v>3</v>
      </c>
      <c r="J253" s="4915">
        <v>3</v>
      </c>
      <c r="K253" s="4916" t="s">
        <v>2740</v>
      </c>
      <c r="L253" s="4916" t="s">
        <v>2709</v>
      </c>
      <c r="M253" s="4915">
        <v>1</v>
      </c>
      <c r="N253" s="4915">
        <v>6</v>
      </c>
      <c r="O253" s="157"/>
      <c r="Q253" s="4705"/>
      <c r="R253" s="4705"/>
      <c r="S253" s="4706"/>
      <c r="T253" s="4706"/>
      <c r="U253" s="4741">
        <f>SUM(U250:U252)</f>
        <v>10</v>
      </c>
      <c r="V253" s="4741"/>
      <c r="W253" s="4722">
        <f>(U251)/(U253)</f>
        <v>0.4</v>
      </c>
      <c r="X253" s="4543"/>
      <c r="Y253" s="36"/>
      <c r="Z253" s="36"/>
      <c r="AA253" s="36"/>
      <c r="AB253" s="36" t="s">
        <v>1072</v>
      </c>
      <c r="AC253" s="1681">
        <v>0</v>
      </c>
      <c r="AD253" s="1681">
        <v>1</v>
      </c>
      <c r="AE253" s="1681"/>
      <c r="AF253" s="1681"/>
      <c r="AG253" s="1681">
        <v>1</v>
      </c>
      <c r="AH253" s="1681">
        <v>0</v>
      </c>
      <c r="AI253" s="1681">
        <v>18</v>
      </c>
      <c r="AJ253" s="1681"/>
      <c r="AK253" s="1681"/>
      <c r="AL253" s="95"/>
      <c r="AM253" s="95">
        <v>20</v>
      </c>
      <c r="AN253" s="4545"/>
      <c r="AS253" s="3868" t="s">
        <v>1072</v>
      </c>
      <c r="AT253" s="3721">
        <v>0</v>
      </c>
      <c r="AU253" s="3721">
        <v>0</v>
      </c>
      <c r="AV253" s="3721"/>
      <c r="AW253" s="3721">
        <v>1</v>
      </c>
      <c r="AX253" s="3721"/>
      <c r="AY253" s="3721"/>
      <c r="AZ253" s="3721">
        <v>2</v>
      </c>
      <c r="BA253" s="3721">
        <v>1</v>
      </c>
      <c r="BB253" s="3721">
        <v>0</v>
      </c>
      <c r="BC253" s="2110"/>
      <c r="BD253" s="2110">
        <v>0</v>
      </c>
      <c r="BE253" s="2110">
        <v>4</v>
      </c>
      <c r="BF253" s="2110"/>
      <c r="BG253" s="2110"/>
      <c r="BK253" s="32" t="s">
        <v>1072</v>
      </c>
      <c r="BL253" s="3871"/>
      <c r="BM253" s="3871"/>
      <c r="BN253" s="3871"/>
      <c r="BO253" s="3871"/>
      <c r="BP253" s="3871"/>
      <c r="BQ253" s="3871">
        <v>4</v>
      </c>
      <c r="BR253" s="3871">
        <v>0</v>
      </c>
      <c r="BS253" s="3871"/>
      <c r="BT253" s="1518"/>
      <c r="BU253" s="1518">
        <v>4</v>
      </c>
      <c r="BX253" s="36"/>
      <c r="BY253" s="36"/>
      <c r="BZ253" s="393"/>
      <c r="CA253" s="393" t="s">
        <v>1081</v>
      </c>
      <c r="CB253" s="1682">
        <v>0</v>
      </c>
      <c r="CC253" s="1682">
        <v>0</v>
      </c>
      <c r="CD253" s="1682">
        <v>0</v>
      </c>
      <c r="CE253" s="1682">
        <v>0</v>
      </c>
      <c r="CF253" s="1682">
        <v>0</v>
      </c>
      <c r="CG253" s="1682">
        <v>15</v>
      </c>
      <c r="CH253" s="1682">
        <v>1</v>
      </c>
      <c r="CI253" s="1682">
        <v>0</v>
      </c>
      <c r="CJ253" s="2041">
        <v>0</v>
      </c>
      <c r="CK253" s="2041"/>
      <c r="CL253" s="2041">
        <v>16</v>
      </c>
      <c r="CM253" s="36"/>
      <c r="CO253" s="37"/>
      <c r="CP253" s="37"/>
      <c r="CQ253" s="37"/>
      <c r="CR253" s="37" t="s">
        <v>1081</v>
      </c>
      <c r="CS253" s="1678"/>
      <c r="CT253" s="1678">
        <v>0</v>
      </c>
      <c r="CU253" s="1678"/>
      <c r="CV253" s="1678"/>
      <c r="CW253" s="1678">
        <v>0</v>
      </c>
      <c r="CX253" s="1678">
        <v>0</v>
      </c>
      <c r="CY253" s="1678">
        <v>4</v>
      </c>
      <c r="CZ253" s="1678"/>
      <c r="DA253" s="1678"/>
      <c r="DB253" s="63"/>
      <c r="DC253" s="63"/>
      <c r="DD253" s="63">
        <v>4</v>
      </c>
      <c r="DG253" s="95"/>
      <c r="DH253" s="95"/>
      <c r="DI253" s="36"/>
      <c r="DJ253" s="393" t="s">
        <v>15</v>
      </c>
      <c r="DK253" s="1485"/>
      <c r="DL253" s="1485">
        <v>1</v>
      </c>
      <c r="DM253" s="1485"/>
      <c r="DN253" s="1485"/>
      <c r="DO253" s="1485"/>
      <c r="DP253" s="1485"/>
      <c r="DQ253" s="1485">
        <v>10</v>
      </c>
      <c r="DR253" s="1485">
        <v>5</v>
      </c>
      <c r="DS253" s="1485"/>
      <c r="DT253" s="86"/>
      <c r="DU253" s="86"/>
      <c r="DV253" s="86">
        <v>16</v>
      </c>
      <c r="DW253" s="560">
        <f>+(DV251+DV252)/DV253</f>
        <v>0.1875</v>
      </c>
      <c r="DY253" s="1209"/>
      <c r="DZ253" s="1209"/>
      <c r="EA253" s="1210"/>
      <c r="EB253" s="1211" t="s">
        <v>1163</v>
      </c>
      <c r="EC253" s="1212"/>
      <c r="ED253" s="1212"/>
      <c r="EE253" s="1212"/>
      <c r="EF253" s="1213">
        <v>0</v>
      </c>
      <c r="EG253" s="1213">
        <v>0</v>
      </c>
      <c r="EH253" s="1213">
        <v>5</v>
      </c>
      <c r="EI253" s="1212"/>
      <c r="EJ253" s="1212"/>
      <c r="EK253" s="611"/>
      <c r="EL253" s="611"/>
      <c r="EM253" s="612">
        <v>5</v>
      </c>
      <c r="EN253" s="36"/>
      <c r="EP253" s="527"/>
      <c r="EQ253" s="527"/>
      <c r="ER253" s="528" t="s">
        <v>111</v>
      </c>
      <c r="ES253" s="529" t="s">
        <v>1077</v>
      </c>
      <c r="ET253" s="531">
        <v>1</v>
      </c>
      <c r="EU253" s="530"/>
      <c r="EV253" s="531">
        <v>1</v>
      </c>
      <c r="EW253" s="531">
        <v>1</v>
      </c>
      <c r="EX253" s="530"/>
      <c r="EY253" s="530"/>
      <c r="EZ253" s="530"/>
      <c r="FA253" s="530"/>
      <c r="FB253" s="527"/>
      <c r="FC253" s="527"/>
      <c r="FD253" s="532">
        <v>3</v>
      </c>
      <c r="FE253" s="95"/>
      <c r="FG253" s="533"/>
      <c r="FH253" s="533"/>
      <c r="FI253" s="533"/>
      <c r="FJ253" s="534" t="s">
        <v>1163</v>
      </c>
      <c r="FK253" s="535"/>
      <c r="FL253" s="536">
        <v>0</v>
      </c>
      <c r="FM253" s="536">
        <v>0</v>
      </c>
      <c r="FN253" s="535"/>
      <c r="FO253" s="536">
        <v>0</v>
      </c>
      <c r="FP253" s="535"/>
      <c r="FQ253" s="536">
        <v>4</v>
      </c>
      <c r="FR253" s="536">
        <v>1</v>
      </c>
      <c r="FS253" s="535"/>
      <c r="FT253" s="537"/>
      <c r="FU253" s="537"/>
      <c r="FV253" s="538">
        <v>5</v>
      </c>
      <c r="FW253" s="539"/>
      <c r="GA253" s="540"/>
      <c r="GB253" s="541" t="s">
        <v>1076</v>
      </c>
      <c r="GC253" s="542"/>
      <c r="GD253" s="543">
        <v>0</v>
      </c>
      <c r="GE253" s="543">
        <v>0</v>
      </c>
      <c r="GF253" s="543">
        <v>0</v>
      </c>
      <c r="GG253" s="543">
        <v>1</v>
      </c>
      <c r="GH253" s="543">
        <v>1</v>
      </c>
      <c r="GI253" s="543">
        <v>0</v>
      </c>
      <c r="GJ253" s="543">
        <v>1</v>
      </c>
      <c r="GK253" s="543">
        <v>0</v>
      </c>
      <c r="GL253" s="543">
        <v>0</v>
      </c>
      <c r="GM253" s="543">
        <v>3</v>
      </c>
      <c r="GN253" s="445"/>
      <c r="GP253" s="63"/>
      <c r="GQ253" s="63"/>
      <c r="GR253" s="63"/>
      <c r="GS253" s="37" t="s">
        <v>1076</v>
      </c>
      <c r="GT253" s="37">
        <v>0</v>
      </c>
      <c r="GU253" s="37">
        <v>0</v>
      </c>
      <c r="GV253" s="37">
        <v>3</v>
      </c>
      <c r="GW253" s="37">
        <v>0</v>
      </c>
      <c r="GX253" s="37">
        <v>0</v>
      </c>
      <c r="GY253" s="37">
        <v>9</v>
      </c>
      <c r="GZ253" s="37">
        <v>4</v>
      </c>
      <c r="HA253" s="37">
        <v>0</v>
      </c>
      <c r="HB253" s="37"/>
      <c r="HC253" s="37">
        <v>0</v>
      </c>
      <c r="HD253" s="37">
        <v>16</v>
      </c>
      <c r="HE253" s="37"/>
      <c r="HF253" s="37"/>
      <c r="HG253" s="446"/>
      <c r="HH253" s="446"/>
      <c r="HI253" s="446"/>
      <c r="HJ253" s="446" t="s">
        <v>1076</v>
      </c>
      <c r="HK253" s="446">
        <v>0</v>
      </c>
      <c r="HL253" s="446">
        <v>0</v>
      </c>
      <c r="HM253" s="446">
        <v>0</v>
      </c>
      <c r="HN253" s="446">
        <v>1</v>
      </c>
      <c r="HO253" s="446">
        <v>0</v>
      </c>
      <c r="HP253" s="446">
        <v>0</v>
      </c>
      <c r="HQ253" s="446">
        <v>4</v>
      </c>
      <c r="HR253" s="446">
        <v>2</v>
      </c>
      <c r="HS253" s="446">
        <v>1</v>
      </c>
      <c r="HT253" s="446">
        <v>0</v>
      </c>
      <c r="HU253" s="446">
        <v>0</v>
      </c>
      <c r="HV253" s="447">
        <v>8</v>
      </c>
      <c r="HW253" s="446"/>
      <c r="HX253" s="448"/>
    </row>
    <row r="254" spans="1:232">
      <c r="A254" s="5682">
        <v>3</v>
      </c>
      <c r="B254" s="5682">
        <v>3</v>
      </c>
      <c r="C254" s="5683" t="s">
        <v>292</v>
      </c>
      <c r="D254" s="5683" t="s">
        <v>2731</v>
      </c>
      <c r="E254" s="5682">
        <v>3</v>
      </c>
      <c r="F254" s="5682">
        <v>8</v>
      </c>
      <c r="I254" s="4915">
        <v>3</v>
      </c>
      <c r="J254" s="4915">
        <v>3</v>
      </c>
      <c r="K254" s="4916" t="s">
        <v>2740</v>
      </c>
      <c r="L254" s="4916" t="s">
        <v>2709</v>
      </c>
      <c r="M254" s="4915">
        <v>1</v>
      </c>
      <c r="N254" s="4915">
        <v>8</v>
      </c>
      <c r="O254" s="157"/>
      <c r="Q254" s="4705">
        <v>3</v>
      </c>
      <c r="R254" s="4705">
        <v>3</v>
      </c>
      <c r="S254" s="4706" t="s">
        <v>610</v>
      </c>
      <c r="T254" s="4706" t="s">
        <v>2731</v>
      </c>
      <c r="U254" s="4707">
        <v>4</v>
      </c>
      <c r="V254" s="4707">
        <v>9</v>
      </c>
      <c r="W254" s="4722"/>
      <c r="Y254" s="36"/>
      <c r="Z254" s="36"/>
      <c r="AA254" s="36"/>
      <c r="AB254" s="36" t="s">
        <v>1074</v>
      </c>
      <c r="AC254" s="1681">
        <v>0</v>
      </c>
      <c r="AD254" s="1681">
        <v>1</v>
      </c>
      <c r="AE254" s="1681"/>
      <c r="AF254" s="1681"/>
      <c r="AG254" s="1681">
        <v>0</v>
      </c>
      <c r="AH254" s="1681">
        <v>0</v>
      </c>
      <c r="AI254" s="1681">
        <v>0</v>
      </c>
      <c r="AJ254" s="1681"/>
      <c r="AK254" s="1681"/>
      <c r="AL254" s="95"/>
      <c r="AM254" s="95">
        <v>1</v>
      </c>
      <c r="AN254" s="4545"/>
      <c r="AS254" s="3868" t="s">
        <v>1074</v>
      </c>
      <c r="AT254" s="3721">
        <v>0</v>
      </c>
      <c r="AU254" s="3721">
        <v>1</v>
      </c>
      <c r="AV254" s="3721"/>
      <c r="AW254" s="3721">
        <v>0</v>
      </c>
      <c r="AX254" s="3721"/>
      <c r="AY254" s="3721"/>
      <c r="AZ254" s="3721">
        <v>0</v>
      </c>
      <c r="BA254" s="3721">
        <v>0</v>
      </c>
      <c r="BB254" s="3721">
        <v>0</v>
      </c>
      <c r="BC254" s="2110"/>
      <c r="BD254" s="2110">
        <v>0</v>
      </c>
      <c r="BE254" s="2110">
        <v>1</v>
      </c>
      <c r="BF254" s="2110"/>
      <c r="BG254" s="2110"/>
      <c r="BK254" s="32" t="s">
        <v>1080</v>
      </c>
      <c r="BL254" s="3871"/>
      <c r="BM254" s="3871"/>
      <c r="BN254" s="3871"/>
      <c r="BO254" s="3871"/>
      <c r="BP254" s="3871"/>
      <c r="BQ254" s="3871">
        <v>0</v>
      </c>
      <c r="BR254" s="3871">
        <v>1</v>
      </c>
      <c r="BS254" s="3871"/>
      <c r="BT254" s="1518"/>
      <c r="BU254" s="1518">
        <v>1</v>
      </c>
      <c r="BX254" s="36"/>
      <c r="BY254" s="36"/>
      <c r="BZ254" s="393"/>
      <c r="CA254" s="393" t="s">
        <v>1163</v>
      </c>
      <c r="CB254" s="1682">
        <v>0</v>
      </c>
      <c r="CC254" s="1682">
        <v>0</v>
      </c>
      <c r="CD254" s="1682">
        <v>1</v>
      </c>
      <c r="CE254" s="1682">
        <v>0</v>
      </c>
      <c r="CF254" s="1682">
        <v>0</v>
      </c>
      <c r="CG254" s="1682">
        <v>11</v>
      </c>
      <c r="CH254" s="1682">
        <v>4</v>
      </c>
      <c r="CI254" s="1682">
        <v>0</v>
      </c>
      <c r="CJ254" s="2041">
        <v>0</v>
      </c>
      <c r="CK254" s="2041"/>
      <c r="CL254" s="2041">
        <v>16</v>
      </c>
      <c r="CM254" s="36"/>
      <c r="CO254" s="37"/>
      <c r="CP254" s="37"/>
      <c r="CQ254" s="37"/>
      <c r="CR254" s="37" t="s">
        <v>1163</v>
      </c>
      <c r="CS254" s="1678"/>
      <c r="CT254" s="1678">
        <v>0</v>
      </c>
      <c r="CU254" s="1678"/>
      <c r="CV254" s="1678"/>
      <c r="CW254" s="1678">
        <v>0</v>
      </c>
      <c r="CX254" s="1678">
        <v>0</v>
      </c>
      <c r="CY254" s="1678">
        <v>2</v>
      </c>
      <c r="CZ254" s="1678"/>
      <c r="DA254" s="1678"/>
      <c r="DB254" s="63"/>
      <c r="DC254" s="63"/>
      <c r="DD254" s="63">
        <v>2</v>
      </c>
      <c r="DG254" s="95"/>
      <c r="DH254" s="95"/>
      <c r="DI254" s="36" t="s">
        <v>140</v>
      </c>
      <c r="DJ254" s="36" t="s">
        <v>1072</v>
      </c>
      <c r="DK254" s="1484"/>
      <c r="DL254" s="1484"/>
      <c r="DM254" s="1484"/>
      <c r="DN254" s="1484"/>
      <c r="DO254" s="1484"/>
      <c r="DP254" s="1484"/>
      <c r="DQ254" s="1484">
        <v>1</v>
      </c>
      <c r="DR254" s="1484">
        <v>2</v>
      </c>
      <c r="DS254" s="1484">
        <v>0</v>
      </c>
      <c r="DT254" s="95">
        <v>0</v>
      </c>
      <c r="DU254" s="95"/>
      <c r="DV254" s="95">
        <v>3</v>
      </c>
      <c r="DW254" s="95"/>
      <c r="DY254" s="1209"/>
      <c r="DZ254" s="1209"/>
      <c r="EA254" s="1210"/>
      <c r="EB254" s="415" t="s">
        <v>15</v>
      </c>
      <c r="EC254" s="1214"/>
      <c r="ED254" s="1214"/>
      <c r="EE254" s="1214"/>
      <c r="EF254" s="1215">
        <v>1</v>
      </c>
      <c r="EG254" s="1215">
        <v>2</v>
      </c>
      <c r="EH254" s="1215">
        <v>20</v>
      </c>
      <c r="EI254" s="1214"/>
      <c r="EJ254" s="1214"/>
      <c r="EK254" s="620"/>
      <c r="EL254" s="620"/>
      <c r="EM254" s="621">
        <v>23</v>
      </c>
      <c r="EN254" s="1178">
        <f>+(EM249+EM252+EM253)/EM254</f>
        <v>0.78260869565217395</v>
      </c>
      <c r="EP254" s="527"/>
      <c r="EQ254" s="527"/>
      <c r="ER254" s="528"/>
      <c r="ES254" s="529" t="s">
        <v>1163</v>
      </c>
      <c r="ET254" s="531">
        <v>0</v>
      </c>
      <c r="EU254" s="530"/>
      <c r="EV254" s="531">
        <v>1</v>
      </c>
      <c r="EW254" s="531">
        <v>4</v>
      </c>
      <c r="EX254" s="530"/>
      <c r="EY254" s="530"/>
      <c r="EZ254" s="530"/>
      <c r="FA254" s="530"/>
      <c r="FB254" s="527"/>
      <c r="FC254" s="527"/>
      <c r="FD254" s="532">
        <v>5</v>
      </c>
      <c r="FE254" s="95"/>
      <c r="FG254" s="533"/>
      <c r="FH254" s="533"/>
      <c r="FI254" s="533"/>
      <c r="FJ254" s="545" t="s">
        <v>256</v>
      </c>
      <c r="FK254" s="546"/>
      <c r="FL254" s="547">
        <v>1</v>
      </c>
      <c r="FM254" s="547">
        <v>1</v>
      </c>
      <c r="FN254" s="546"/>
      <c r="FO254" s="547">
        <v>1</v>
      </c>
      <c r="FP254" s="546"/>
      <c r="FQ254" s="547">
        <v>12</v>
      </c>
      <c r="FR254" s="547">
        <v>5</v>
      </c>
      <c r="FS254" s="546"/>
      <c r="FT254" s="548"/>
      <c r="FU254" s="548"/>
      <c r="FV254" s="549">
        <v>20</v>
      </c>
      <c r="FW254" s="539">
        <f>+(FV253+FV252+FV250)/FV254</f>
        <v>0.5</v>
      </c>
      <c r="GA254" s="540"/>
      <c r="GB254" s="541" t="s">
        <v>1077</v>
      </c>
      <c r="GC254" s="542"/>
      <c r="GD254" s="543">
        <v>1</v>
      </c>
      <c r="GE254" s="543">
        <v>9</v>
      </c>
      <c r="GF254" s="543">
        <v>1</v>
      </c>
      <c r="GG254" s="543">
        <v>2</v>
      </c>
      <c r="GH254" s="543">
        <v>0</v>
      </c>
      <c r="GI254" s="543">
        <v>0</v>
      </c>
      <c r="GJ254" s="543">
        <v>0</v>
      </c>
      <c r="GK254" s="543">
        <v>0</v>
      </c>
      <c r="GL254" s="543">
        <v>0</v>
      </c>
      <c r="GM254" s="543">
        <v>13</v>
      </c>
      <c r="GN254" s="445"/>
      <c r="GP254" s="63"/>
      <c r="GQ254" s="63"/>
      <c r="GR254" s="63"/>
      <c r="GS254" s="37" t="s">
        <v>1077</v>
      </c>
      <c r="GT254" s="37">
        <v>0</v>
      </c>
      <c r="GU254" s="37">
        <v>0</v>
      </c>
      <c r="GV254" s="37">
        <v>23</v>
      </c>
      <c r="GW254" s="37">
        <v>5</v>
      </c>
      <c r="GX254" s="37">
        <v>4</v>
      </c>
      <c r="GY254" s="37">
        <v>1</v>
      </c>
      <c r="GZ254" s="37">
        <v>0</v>
      </c>
      <c r="HA254" s="37">
        <v>0</v>
      </c>
      <c r="HB254" s="37"/>
      <c r="HC254" s="37">
        <v>0</v>
      </c>
      <c r="HD254" s="37">
        <v>33</v>
      </c>
      <c r="HE254" s="37"/>
      <c r="HF254" s="65"/>
      <c r="HG254" s="446"/>
      <c r="HH254" s="446"/>
      <c r="HI254" s="446"/>
      <c r="HJ254" s="446" t="s">
        <v>1077</v>
      </c>
      <c r="HK254" s="446">
        <v>0</v>
      </c>
      <c r="HL254" s="446">
        <v>0</v>
      </c>
      <c r="HM254" s="446">
        <v>3</v>
      </c>
      <c r="HN254" s="446">
        <v>3</v>
      </c>
      <c r="HO254" s="446">
        <v>15</v>
      </c>
      <c r="HP254" s="446">
        <v>6</v>
      </c>
      <c r="HQ254" s="446">
        <v>3</v>
      </c>
      <c r="HR254" s="446">
        <v>0</v>
      </c>
      <c r="HS254" s="446">
        <v>0</v>
      </c>
      <c r="HT254" s="446">
        <v>0</v>
      </c>
      <c r="HU254" s="446">
        <v>0</v>
      </c>
      <c r="HV254" s="447">
        <v>30</v>
      </c>
      <c r="HW254" s="446"/>
      <c r="HX254" s="448"/>
    </row>
    <row r="255" spans="1:232">
      <c r="A255" s="5682">
        <v>3</v>
      </c>
      <c r="B255" s="5682">
        <v>3</v>
      </c>
      <c r="C255" s="5683" t="s">
        <v>292</v>
      </c>
      <c r="D255" s="5685" t="s">
        <v>2707</v>
      </c>
      <c r="E255" s="5682">
        <v>1</v>
      </c>
      <c r="F255" s="5682">
        <v>6</v>
      </c>
      <c r="I255" s="4915"/>
      <c r="J255" s="4915"/>
      <c r="K255" s="4916"/>
      <c r="L255" s="4916"/>
      <c r="M255" s="4920">
        <f>SUM(M247:M254)</f>
        <v>18</v>
      </c>
      <c r="N255" s="4915"/>
      <c r="O255" s="4921">
        <f>(M251)/(M255)</f>
        <v>5.5555555555555552E-2</v>
      </c>
      <c r="Q255" s="4705">
        <v>3</v>
      </c>
      <c r="R255" s="4705">
        <v>3</v>
      </c>
      <c r="S255" s="4706" t="s">
        <v>610</v>
      </c>
      <c r="T255" s="4708" t="s">
        <v>2707</v>
      </c>
      <c r="U255" s="4709">
        <v>1</v>
      </c>
      <c r="V255" s="4709">
        <v>7</v>
      </c>
      <c r="W255" s="4722"/>
      <c r="Y255" s="36"/>
      <c r="Z255" s="36"/>
      <c r="AA255" s="36"/>
      <c r="AB255" s="36" t="s">
        <v>1077</v>
      </c>
      <c r="AC255" s="1681">
        <v>0</v>
      </c>
      <c r="AD255" s="1681">
        <v>0</v>
      </c>
      <c r="AE255" s="1681"/>
      <c r="AF255" s="1681"/>
      <c r="AG255" s="1681">
        <v>1</v>
      </c>
      <c r="AH255" s="1681">
        <v>0</v>
      </c>
      <c r="AI255" s="1681">
        <v>0</v>
      </c>
      <c r="AJ255" s="1681"/>
      <c r="AK255" s="1681"/>
      <c r="AL255" s="95"/>
      <c r="AM255" s="95">
        <v>1</v>
      </c>
      <c r="AN255" s="4545"/>
      <c r="AS255" s="3868" t="s">
        <v>1080</v>
      </c>
      <c r="AT255" s="3721">
        <v>0</v>
      </c>
      <c r="AU255" s="3721">
        <v>0</v>
      </c>
      <c r="AV255" s="3721"/>
      <c r="AW255" s="3721">
        <v>0</v>
      </c>
      <c r="AX255" s="3721"/>
      <c r="AY255" s="3721"/>
      <c r="AZ255" s="3721">
        <v>0</v>
      </c>
      <c r="BA255" s="3721">
        <v>1</v>
      </c>
      <c r="BB255" s="3721">
        <v>1</v>
      </c>
      <c r="BC255" s="2110"/>
      <c r="BD255" s="2110">
        <v>1</v>
      </c>
      <c r="BE255" s="2110">
        <v>3</v>
      </c>
      <c r="BF255" s="2110"/>
      <c r="BG255" s="2110"/>
      <c r="BK255" s="1520" t="s">
        <v>15</v>
      </c>
      <c r="BL255" s="3872"/>
      <c r="BM255" s="3872"/>
      <c r="BN255" s="3872"/>
      <c r="BO255" s="3872"/>
      <c r="BP255" s="3872"/>
      <c r="BQ255" s="3872">
        <v>5</v>
      </c>
      <c r="BR255" s="3872">
        <v>1</v>
      </c>
      <c r="BS255" s="3872"/>
      <c r="BT255" s="3806"/>
      <c r="BU255" s="3806">
        <v>6</v>
      </c>
      <c r="BV255" s="3807">
        <v>0</v>
      </c>
      <c r="BX255" s="36"/>
      <c r="BY255" s="36"/>
      <c r="BZ255" s="393"/>
      <c r="CA255" s="393" t="s">
        <v>483</v>
      </c>
      <c r="CB255" s="1682">
        <v>5</v>
      </c>
      <c r="CC255" s="1682">
        <v>4</v>
      </c>
      <c r="CD255" s="1682">
        <v>5</v>
      </c>
      <c r="CE255" s="1682">
        <v>4</v>
      </c>
      <c r="CF255" s="1682">
        <v>3</v>
      </c>
      <c r="CG255" s="1682">
        <v>108</v>
      </c>
      <c r="CH255" s="1682">
        <v>22</v>
      </c>
      <c r="CI255" s="1682">
        <v>5</v>
      </c>
      <c r="CJ255" s="2041">
        <v>2</v>
      </c>
      <c r="CK255" s="2041"/>
      <c r="CL255" s="2041">
        <v>158</v>
      </c>
      <c r="CM255" s="560">
        <f>+(CL254+CL253+CL251-CJ251)/CL255</f>
        <v>0.36075949367088606</v>
      </c>
      <c r="CN255" s="1665"/>
      <c r="CO255" s="37"/>
      <c r="CP255" s="37"/>
      <c r="CQ255" s="37"/>
      <c r="CR255" s="416" t="s">
        <v>15</v>
      </c>
      <c r="CS255" s="1679"/>
      <c r="CT255" s="1679">
        <v>1</v>
      </c>
      <c r="CU255" s="1679"/>
      <c r="CV255" s="1679"/>
      <c r="CW255" s="1679">
        <v>1</v>
      </c>
      <c r="CX255" s="1679">
        <v>1</v>
      </c>
      <c r="CY255" s="1679">
        <v>9</v>
      </c>
      <c r="CZ255" s="1679"/>
      <c r="DA255" s="1679"/>
      <c r="DB255" s="386"/>
      <c r="DC255" s="386"/>
      <c r="DD255" s="386">
        <v>12</v>
      </c>
      <c r="DE255" s="2045">
        <f>+(DD253+DD254)/DD255</f>
        <v>0.5</v>
      </c>
      <c r="DG255" s="95"/>
      <c r="DH255" s="95"/>
      <c r="DI255" s="36"/>
      <c r="DJ255" s="36" t="s">
        <v>1076</v>
      </c>
      <c r="DK255" s="1484"/>
      <c r="DL255" s="1484"/>
      <c r="DM255" s="1484"/>
      <c r="DN255" s="1484"/>
      <c r="DO255" s="1484"/>
      <c r="DP255" s="1484"/>
      <c r="DQ255" s="1484">
        <v>2</v>
      </c>
      <c r="DR255" s="1484">
        <v>0</v>
      </c>
      <c r="DS255" s="1484">
        <v>1</v>
      </c>
      <c r="DT255" s="95">
        <v>0</v>
      </c>
      <c r="DU255" s="95"/>
      <c r="DV255" s="95">
        <v>3</v>
      </c>
      <c r="DW255" s="95"/>
      <c r="DY255" s="1209"/>
      <c r="DZ255" s="1209"/>
      <c r="EA255" s="1210" t="s">
        <v>389</v>
      </c>
      <c r="EB255" s="1211" t="s">
        <v>1072</v>
      </c>
      <c r="EC255" s="1212"/>
      <c r="ED255" s="1212"/>
      <c r="EE255" s="1212"/>
      <c r="EF255" s="1212"/>
      <c r="EG255" s="1212"/>
      <c r="EH255" s="1213">
        <v>3</v>
      </c>
      <c r="EI255" s="1212"/>
      <c r="EJ255" s="1213">
        <v>2</v>
      </c>
      <c r="EK255" s="611"/>
      <c r="EL255" s="611"/>
      <c r="EM255" s="612">
        <v>5</v>
      </c>
      <c r="EN255" s="36"/>
      <c r="EP255" s="527"/>
      <c r="EQ255" s="527"/>
      <c r="ER255" s="528"/>
      <c r="ES255" s="555" t="s">
        <v>15</v>
      </c>
      <c r="ET255" s="557">
        <v>1</v>
      </c>
      <c r="EU255" s="556"/>
      <c r="EV255" s="557">
        <v>2</v>
      </c>
      <c r="EW255" s="557">
        <v>5</v>
      </c>
      <c r="EX255" s="556"/>
      <c r="EY255" s="556"/>
      <c r="EZ255" s="556"/>
      <c r="FA255" s="556"/>
      <c r="FB255" s="558"/>
      <c r="FC255" s="558"/>
      <c r="FD255" s="559">
        <v>8</v>
      </c>
      <c r="FE255" s="560">
        <f>+FD254/FD255</f>
        <v>0.625</v>
      </c>
      <c r="FG255" s="533"/>
      <c r="FH255" s="533"/>
      <c r="FI255" s="545" t="s">
        <v>112</v>
      </c>
      <c r="FJ255" s="534" t="s">
        <v>1071</v>
      </c>
      <c r="FK255" s="536">
        <v>0</v>
      </c>
      <c r="FL255" s="536">
        <v>0</v>
      </c>
      <c r="FM255" s="536">
        <v>0</v>
      </c>
      <c r="FN255" s="536">
        <v>1</v>
      </c>
      <c r="FO255" s="536">
        <v>0</v>
      </c>
      <c r="FP255" s="536">
        <v>0</v>
      </c>
      <c r="FQ255" s="536">
        <v>0</v>
      </c>
      <c r="FR255" s="536">
        <v>1</v>
      </c>
      <c r="FS255" s="536">
        <v>19</v>
      </c>
      <c r="FT255" s="538">
        <v>2</v>
      </c>
      <c r="FU255" s="538">
        <v>8</v>
      </c>
      <c r="FV255" s="538">
        <v>31</v>
      </c>
      <c r="FW255" s="539"/>
      <c r="GA255" s="540"/>
      <c r="GB255" s="541" t="s">
        <v>1080</v>
      </c>
      <c r="GC255" s="542"/>
      <c r="GD255" s="543">
        <v>0</v>
      </c>
      <c r="GE255" s="543">
        <v>0</v>
      </c>
      <c r="GF255" s="543">
        <v>3</v>
      </c>
      <c r="GG255" s="543">
        <v>0</v>
      </c>
      <c r="GH255" s="543">
        <v>2</v>
      </c>
      <c r="GI255" s="543">
        <v>2</v>
      </c>
      <c r="GJ255" s="543">
        <v>9</v>
      </c>
      <c r="GK255" s="543">
        <v>0</v>
      </c>
      <c r="GL255" s="543">
        <v>2</v>
      </c>
      <c r="GM255" s="543">
        <v>18</v>
      </c>
      <c r="GN255" s="445"/>
      <c r="GP255" s="63"/>
      <c r="GQ255" s="63"/>
      <c r="GR255" s="63"/>
      <c r="GS255" s="37" t="s">
        <v>1080</v>
      </c>
      <c r="GT255" s="37">
        <v>0</v>
      </c>
      <c r="GU255" s="37">
        <v>0</v>
      </c>
      <c r="GV255" s="37">
        <v>0</v>
      </c>
      <c r="GW255" s="37">
        <v>1</v>
      </c>
      <c r="GX255" s="37">
        <v>0</v>
      </c>
      <c r="GY255" s="37">
        <v>0</v>
      </c>
      <c r="GZ255" s="37">
        <v>0</v>
      </c>
      <c r="HA255" s="37">
        <v>6</v>
      </c>
      <c r="HB255" s="37"/>
      <c r="HC255" s="37">
        <v>3</v>
      </c>
      <c r="HD255" s="37">
        <v>10</v>
      </c>
      <c r="HE255" s="37"/>
      <c r="HF255" s="37"/>
      <c r="HG255" s="446"/>
      <c r="HH255" s="446"/>
      <c r="HI255" s="446"/>
      <c r="HJ255" s="446" t="s">
        <v>1080</v>
      </c>
      <c r="HK255" s="446">
        <v>0</v>
      </c>
      <c r="HL255" s="446">
        <v>0</v>
      </c>
      <c r="HM255" s="446">
        <v>0</v>
      </c>
      <c r="HN255" s="446">
        <v>0</v>
      </c>
      <c r="HO255" s="446">
        <v>0</v>
      </c>
      <c r="HP255" s="446">
        <v>0</v>
      </c>
      <c r="HQ255" s="446">
        <v>2</v>
      </c>
      <c r="HR255" s="446">
        <v>2</v>
      </c>
      <c r="HS255" s="446">
        <v>10</v>
      </c>
      <c r="HT255" s="446">
        <v>0</v>
      </c>
      <c r="HU255" s="446">
        <v>0</v>
      </c>
      <c r="HV255" s="447">
        <v>14</v>
      </c>
      <c r="HW255" s="446"/>
      <c r="HX255" s="448"/>
    </row>
    <row r="256" spans="1:232">
      <c r="A256" s="5682">
        <v>3</v>
      </c>
      <c r="B256" s="5682">
        <v>3</v>
      </c>
      <c r="C256" s="5683" t="s">
        <v>292</v>
      </c>
      <c r="D256" s="5685" t="s">
        <v>1076</v>
      </c>
      <c r="E256" s="5682">
        <v>1</v>
      </c>
      <c r="F256" s="5682">
        <v>8</v>
      </c>
      <c r="I256" s="4915"/>
      <c r="J256" s="4915"/>
      <c r="K256" s="4932" t="s">
        <v>2754</v>
      </c>
      <c r="L256" s="4916"/>
      <c r="M256" s="4936">
        <f>SUM(M232,M251)</f>
        <v>2</v>
      </c>
      <c r="N256" s="4915"/>
      <c r="O256" s="157"/>
      <c r="Q256" s="4705">
        <v>3</v>
      </c>
      <c r="R256" s="4705">
        <v>3</v>
      </c>
      <c r="S256" s="4706" t="s">
        <v>610</v>
      </c>
      <c r="T256" s="4706" t="s">
        <v>2709</v>
      </c>
      <c r="U256" s="4707">
        <v>1</v>
      </c>
      <c r="V256" s="4707">
        <v>6</v>
      </c>
      <c r="W256" s="4722"/>
      <c r="Y256" s="36"/>
      <c r="Z256" s="36"/>
      <c r="AA256" s="36"/>
      <c r="AB256" s="36" t="s">
        <v>2571</v>
      </c>
      <c r="AC256" s="1681">
        <v>1</v>
      </c>
      <c r="AD256" s="1681">
        <v>0</v>
      </c>
      <c r="AE256" s="1681"/>
      <c r="AF256" s="1681"/>
      <c r="AG256" s="1681">
        <v>0</v>
      </c>
      <c r="AH256" s="1681">
        <v>0</v>
      </c>
      <c r="AI256" s="1681">
        <v>0</v>
      </c>
      <c r="AJ256" s="1681"/>
      <c r="AK256" s="1681"/>
      <c r="AL256" s="95"/>
      <c r="AM256" s="95">
        <v>1</v>
      </c>
      <c r="AN256" s="4545"/>
      <c r="AS256" s="3868" t="s">
        <v>1081</v>
      </c>
      <c r="AT256" s="3721">
        <v>0</v>
      </c>
      <c r="AU256" s="3721">
        <v>0</v>
      </c>
      <c r="AV256" s="3721"/>
      <c r="AW256" s="3721">
        <v>0</v>
      </c>
      <c r="AX256" s="3721"/>
      <c r="AY256" s="3721"/>
      <c r="AZ256" s="3721">
        <v>0</v>
      </c>
      <c r="BA256" s="3721">
        <v>1</v>
      </c>
      <c r="BB256" s="3721">
        <v>1</v>
      </c>
      <c r="BC256" s="2110"/>
      <c r="BD256" s="2110">
        <v>0</v>
      </c>
      <c r="BE256" s="2110">
        <v>2</v>
      </c>
      <c r="BF256" s="2110"/>
      <c r="BG256" s="2110"/>
      <c r="BJ256" s="1520" t="s">
        <v>485</v>
      </c>
      <c r="BK256" s="1520" t="s">
        <v>1071</v>
      </c>
      <c r="BL256" s="3872">
        <v>0</v>
      </c>
      <c r="BM256" s="3872">
        <v>0</v>
      </c>
      <c r="BN256" s="3872">
        <v>0</v>
      </c>
      <c r="BO256" s="3872">
        <v>0</v>
      </c>
      <c r="BP256" s="3872">
        <v>0</v>
      </c>
      <c r="BQ256" s="3872">
        <v>1</v>
      </c>
      <c r="BR256" s="3872">
        <v>1</v>
      </c>
      <c r="BS256" s="3872">
        <v>0</v>
      </c>
      <c r="BT256" s="3806">
        <v>0</v>
      </c>
      <c r="BU256" s="3806">
        <v>2</v>
      </c>
      <c r="BV256" s="1520"/>
      <c r="BX256" s="36"/>
      <c r="BY256" s="36" t="s">
        <v>41</v>
      </c>
      <c r="BZ256" s="36" t="s">
        <v>138</v>
      </c>
      <c r="CA256" s="36" t="s">
        <v>1071</v>
      </c>
      <c r="CB256" s="1681"/>
      <c r="CC256" s="1681">
        <v>0</v>
      </c>
      <c r="CD256" s="1681"/>
      <c r="CE256" s="1681"/>
      <c r="CF256" s="1681"/>
      <c r="CG256" s="1681">
        <v>0</v>
      </c>
      <c r="CH256" s="1681">
        <v>1</v>
      </c>
      <c r="CI256" s="1681"/>
      <c r="CJ256" s="95"/>
      <c r="CK256" s="95"/>
      <c r="CL256" s="95">
        <v>1</v>
      </c>
      <c r="CM256" s="36"/>
      <c r="CO256" s="37"/>
      <c r="CP256" s="37"/>
      <c r="CQ256" s="37" t="s">
        <v>2272</v>
      </c>
      <c r="CR256" s="37" t="s">
        <v>1072</v>
      </c>
      <c r="CS256" s="1678"/>
      <c r="CT256" s="1678"/>
      <c r="CU256" s="1678"/>
      <c r="CV256" s="1678"/>
      <c r="CW256" s="1678"/>
      <c r="CX256" s="1678"/>
      <c r="CY256" s="1678">
        <v>2</v>
      </c>
      <c r="CZ256" s="1678">
        <v>5</v>
      </c>
      <c r="DA256" s="1678">
        <v>0</v>
      </c>
      <c r="DB256" s="63"/>
      <c r="DC256" s="63"/>
      <c r="DD256" s="63">
        <v>7</v>
      </c>
      <c r="DG256" s="95"/>
      <c r="DH256" s="95"/>
      <c r="DI256" s="36"/>
      <c r="DJ256" s="36" t="s">
        <v>1080</v>
      </c>
      <c r="DK256" s="1484"/>
      <c r="DL256" s="1484"/>
      <c r="DM256" s="1484"/>
      <c r="DN256" s="1484"/>
      <c r="DO256" s="1484"/>
      <c r="DP256" s="1484"/>
      <c r="DQ256" s="1484">
        <v>0</v>
      </c>
      <c r="DR256" s="1484">
        <v>0</v>
      </c>
      <c r="DS256" s="1484">
        <v>2</v>
      </c>
      <c r="DT256" s="95">
        <v>2</v>
      </c>
      <c r="DU256" s="95"/>
      <c r="DV256" s="95">
        <v>4</v>
      </c>
      <c r="DW256" s="95"/>
      <c r="DY256" s="1209"/>
      <c r="DZ256" s="1209"/>
      <c r="EA256" s="1210"/>
      <c r="EB256" s="1211" t="s">
        <v>1076</v>
      </c>
      <c r="EC256" s="1212"/>
      <c r="ED256" s="1212"/>
      <c r="EE256" s="1212"/>
      <c r="EF256" s="1212"/>
      <c r="EG256" s="1212"/>
      <c r="EH256" s="1213">
        <v>3</v>
      </c>
      <c r="EI256" s="1212"/>
      <c r="EJ256" s="1213">
        <v>0</v>
      </c>
      <c r="EK256" s="611"/>
      <c r="EL256" s="611"/>
      <c r="EM256" s="612">
        <v>3</v>
      </c>
      <c r="EN256" s="36"/>
      <c r="EP256" s="527"/>
      <c r="EQ256" s="527"/>
      <c r="ER256" s="528" t="s">
        <v>709</v>
      </c>
      <c r="ES256" s="529" t="s">
        <v>1072</v>
      </c>
      <c r="ET256" s="530"/>
      <c r="EU256" s="530"/>
      <c r="EV256" s="530"/>
      <c r="EW256" s="531">
        <v>2</v>
      </c>
      <c r="EX256" s="530"/>
      <c r="EY256" s="530"/>
      <c r="EZ256" s="530"/>
      <c r="FA256" s="530"/>
      <c r="FB256" s="527"/>
      <c r="FC256" s="527"/>
      <c r="FD256" s="532">
        <v>2</v>
      </c>
      <c r="FE256" s="95"/>
      <c r="FG256" s="533"/>
      <c r="FH256" s="533"/>
      <c r="FI256" s="533"/>
      <c r="FJ256" s="534" t="s">
        <v>1072</v>
      </c>
      <c r="FK256" s="536">
        <v>3</v>
      </c>
      <c r="FL256" s="536">
        <v>8</v>
      </c>
      <c r="FM256" s="536">
        <v>5</v>
      </c>
      <c r="FN256" s="536">
        <v>9</v>
      </c>
      <c r="FO256" s="536">
        <v>1</v>
      </c>
      <c r="FP256" s="536">
        <v>6</v>
      </c>
      <c r="FQ256" s="536">
        <v>84</v>
      </c>
      <c r="FR256" s="536">
        <v>35</v>
      </c>
      <c r="FS256" s="536">
        <v>3</v>
      </c>
      <c r="FT256" s="538">
        <v>2</v>
      </c>
      <c r="FU256" s="538">
        <v>0</v>
      </c>
      <c r="FV256" s="538">
        <v>156</v>
      </c>
      <c r="FW256" s="539"/>
      <c r="GA256" s="540"/>
      <c r="GB256" s="541" t="s">
        <v>1081</v>
      </c>
      <c r="GC256" s="542"/>
      <c r="GD256" s="543">
        <v>0</v>
      </c>
      <c r="GE256" s="543">
        <v>1</v>
      </c>
      <c r="GF256" s="543">
        <v>1</v>
      </c>
      <c r="GG256" s="543">
        <v>1</v>
      </c>
      <c r="GH256" s="543">
        <v>6</v>
      </c>
      <c r="GI256" s="543">
        <v>1</v>
      </c>
      <c r="GJ256" s="543">
        <v>1</v>
      </c>
      <c r="GK256" s="543">
        <v>0</v>
      </c>
      <c r="GL256" s="543">
        <v>0</v>
      </c>
      <c r="GM256" s="543">
        <v>11</v>
      </c>
      <c r="GN256" s="445"/>
      <c r="GR256" s="63"/>
      <c r="GS256" s="37" t="s">
        <v>1081</v>
      </c>
      <c r="GT256" s="37">
        <v>0</v>
      </c>
      <c r="GU256" s="37">
        <v>0</v>
      </c>
      <c r="GV256" s="37">
        <v>0</v>
      </c>
      <c r="GW256" s="37">
        <v>1</v>
      </c>
      <c r="GX256" s="37">
        <v>0</v>
      </c>
      <c r="GY256" s="37">
        <v>11</v>
      </c>
      <c r="GZ256" s="37">
        <v>3</v>
      </c>
      <c r="HA256" s="37">
        <v>1</v>
      </c>
      <c r="HB256" s="37"/>
      <c r="HC256" s="37">
        <v>0</v>
      </c>
      <c r="HD256" s="37">
        <v>16</v>
      </c>
      <c r="HE256" s="37"/>
      <c r="HF256" s="37"/>
      <c r="HG256" s="446"/>
      <c r="HH256" s="446"/>
      <c r="HI256" s="446"/>
      <c r="HJ256" s="446" t="s">
        <v>1081</v>
      </c>
      <c r="HK256" s="446">
        <v>0</v>
      </c>
      <c r="HL256" s="446">
        <v>0</v>
      </c>
      <c r="HM256" s="446">
        <v>0</v>
      </c>
      <c r="HN256" s="446">
        <v>0</v>
      </c>
      <c r="HO256" s="446">
        <v>0</v>
      </c>
      <c r="HP256" s="446">
        <v>0</v>
      </c>
      <c r="HQ256" s="446">
        <v>0</v>
      </c>
      <c r="HR256" s="446">
        <v>4</v>
      </c>
      <c r="HS256" s="446">
        <v>0</v>
      </c>
      <c r="HT256" s="446">
        <v>0</v>
      </c>
      <c r="HU256" s="446">
        <v>0</v>
      </c>
      <c r="HV256" s="447">
        <v>4</v>
      </c>
      <c r="HW256" s="446"/>
      <c r="HX256" s="448"/>
    </row>
    <row r="257" spans="1:232">
      <c r="A257" s="5682">
        <v>3</v>
      </c>
      <c r="B257" s="5682">
        <v>3</v>
      </c>
      <c r="C257" s="5683" t="s">
        <v>292</v>
      </c>
      <c r="D257" s="5683" t="s">
        <v>3027</v>
      </c>
      <c r="E257" s="5682">
        <v>1</v>
      </c>
      <c r="F257" s="5682">
        <v>7</v>
      </c>
      <c r="I257" s="4915"/>
      <c r="J257" s="4915"/>
      <c r="K257" s="4929" t="s">
        <v>41</v>
      </c>
      <c r="L257" s="4928"/>
      <c r="M257" s="4929">
        <f>SUM(M223,M227,M229,M237,M240,M242,M244,M246,M255)</f>
        <v>96</v>
      </c>
      <c r="N257" s="4929"/>
      <c r="O257" s="4934">
        <f>M256/M257</f>
        <v>2.0833333333333332E-2</v>
      </c>
      <c r="Q257" s="4705"/>
      <c r="R257" s="4705"/>
      <c r="S257" s="4706"/>
      <c r="T257" s="4706"/>
      <c r="U257" s="4741">
        <f>SUM(U254:U256)</f>
        <v>6</v>
      </c>
      <c r="V257" s="4741"/>
      <c r="W257" s="4722">
        <f>(U255)/(U257)</f>
        <v>0.16666666666666666</v>
      </c>
      <c r="Y257" s="36"/>
      <c r="Z257" s="36"/>
      <c r="AA257" s="36"/>
      <c r="AB257" s="36" t="s">
        <v>15</v>
      </c>
      <c r="AC257" s="1681">
        <v>1</v>
      </c>
      <c r="AD257" s="1681">
        <v>2</v>
      </c>
      <c r="AE257" s="1681"/>
      <c r="AF257" s="1681"/>
      <c r="AG257" s="1681">
        <v>2</v>
      </c>
      <c r="AH257" s="1681">
        <v>1</v>
      </c>
      <c r="AI257" s="1681">
        <v>18</v>
      </c>
      <c r="AJ257" s="1681"/>
      <c r="AK257" s="1681"/>
      <c r="AL257" s="95"/>
      <c r="AM257" s="95">
        <v>24</v>
      </c>
      <c r="AN257" s="4545">
        <v>0</v>
      </c>
      <c r="AS257" s="3868" t="s">
        <v>2571</v>
      </c>
      <c r="AT257" s="3721">
        <v>1</v>
      </c>
      <c r="AU257" s="3721">
        <v>0</v>
      </c>
      <c r="AV257" s="3721"/>
      <c r="AW257" s="3721">
        <v>0</v>
      </c>
      <c r="AX257" s="3721"/>
      <c r="AY257" s="3721"/>
      <c r="AZ257" s="3721">
        <v>0</v>
      </c>
      <c r="BA257" s="3721">
        <v>0</v>
      </c>
      <c r="BB257" s="3721">
        <v>0</v>
      </c>
      <c r="BC257" s="2110"/>
      <c r="BD257" s="2110">
        <v>0</v>
      </c>
      <c r="BE257" s="2110">
        <v>1</v>
      </c>
      <c r="BF257" s="2110"/>
      <c r="BG257" s="2110"/>
      <c r="BJ257" s="1520"/>
      <c r="BK257" s="1520" t="s">
        <v>1072</v>
      </c>
      <c r="BL257" s="3872">
        <v>2</v>
      </c>
      <c r="BM257" s="3872">
        <v>3</v>
      </c>
      <c r="BN257" s="3872">
        <v>1</v>
      </c>
      <c r="BO257" s="3872">
        <v>1</v>
      </c>
      <c r="BP257" s="3872">
        <v>1</v>
      </c>
      <c r="BQ257" s="3872">
        <v>38</v>
      </c>
      <c r="BR257" s="3872">
        <v>3</v>
      </c>
      <c r="BS257" s="3872">
        <v>0</v>
      </c>
      <c r="BT257" s="3806">
        <v>0</v>
      </c>
      <c r="BU257" s="3806">
        <v>49</v>
      </c>
      <c r="BV257" s="1520"/>
      <c r="BX257" s="36"/>
      <c r="BY257" s="36"/>
      <c r="BZ257" s="36"/>
      <c r="CA257" s="36" t="s">
        <v>1072</v>
      </c>
      <c r="CB257" s="1681"/>
      <c r="CC257" s="1681">
        <v>1</v>
      </c>
      <c r="CD257" s="1681"/>
      <c r="CE257" s="1681"/>
      <c r="CF257" s="1681"/>
      <c r="CG257" s="1681">
        <v>1</v>
      </c>
      <c r="CH257" s="1681">
        <v>0</v>
      </c>
      <c r="CI257" s="1681"/>
      <c r="CJ257" s="95"/>
      <c r="CK257" s="95"/>
      <c r="CL257" s="95">
        <v>2</v>
      </c>
      <c r="CM257" s="36"/>
      <c r="CO257" s="37"/>
      <c r="CP257" s="37"/>
      <c r="CQ257" s="37"/>
      <c r="CR257" s="37" t="s">
        <v>1080</v>
      </c>
      <c r="CS257" s="1678"/>
      <c r="CT257" s="1678"/>
      <c r="CU257" s="1678"/>
      <c r="CV257" s="1678"/>
      <c r="CW257" s="1678"/>
      <c r="CX257" s="1678"/>
      <c r="CY257" s="1678">
        <v>0</v>
      </c>
      <c r="CZ257" s="1678">
        <v>0</v>
      </c>
      <c r="DA257" s="1678">
        <v>3</v>
      </c>
      <c r="DB257" s="63"/>
      <c r="DC257" s="63"/>
      <c r="DD257" s="63">
        <v>3</v>
      </c>
      <c r="DG257" s="95"/>
      <c r="DH257" s="95"/>
      <c r="DI257" s="36"/>
      <c r="DJ257" s="36" t="s">
        <v>1081</v>
      </c>
      <c r="DK257" s="1484"/>
      <c r="DL257" s="1484"/>
      <c r="DM257" s="1484"/>
      <c r="DN257" s="1484"/>
      <c r="DO257" s="1484"/>
      <c r="DP257" s="1484"/>
      <c r="DQ257" s="1484">
        <v>0</v>
      </c>
      <c r="DR257" s="1484">
        <v>2</v>
      </c>
      <c r="DS257" s="1484">
        <v>0</v>
      </c>
      <c r="DT257" s="95">
        <v>0</v>
      </c>
      <c r="DU257" s="95"/>
      <c r="DV257" s="95">
        <v>2</v>
      </c>
      <c r="DW257" s="95"/>
      <c r="DY257" s="1209"/>
      <c r="DZ257" s="1209"/>
      <c r="EA257" s="1210"/>
      <c r="EB257" s="1211" t="s">
        <v>1081</v>
      </c>
      <c r="EC257" s="1212"/>
      <c r="ED257" s="1212"/>
      <c r="EE257" s="1212"/>
      <c r="EF257" s="1212"/>
      <c r="EG257" s="1212"/>
      <c r="EH257" s="1213">
        <v>5</v>
      </c>
      <c r="EI257" s="1212"/>
      <c r="EJ257" s="1213">
        <v>0</v>
      </c>
      <c r="EK257" s="611"/>
      <c r="EL257" s="611"/>
      <c r="EM257" s="612">
        <v>5</v>
      </c>
      <c r="EN257" s="36"/>
      <c r="EP257" s="527"/>
      <c r="EQ257" s="527"/>
      <c r="ER257" s="528"/>
      <c r="ES257" s="555" t="s">
        <v>15</v>
      </c>
      <c r="ET257" s="556"/>
      <c r="EU257" s="556"/>
      <c r="EV257" s="556"/>
      <c r="EW257" s="557">
        <v>2</v>
      </c>
      <c r="EX257" s="556"/>
      <c r="EY257" s="556"/>
      <c r="EZ257" s="556"/>
      <c r="FA257" s="556"/>
      <c r="FB257" s="558"/>
      <c r="FC257" s="558"/>
      <c r="FD257" s="559">
        <v>2</v>
      </c>
      <c r="FE257" s="560">
        <v>0</v>
      </c>
      <c r="FG257" s="533"/>
      <c r="FH257" s="533"/>
      <c r="FI257" s="533"/>
      <c r="FJ257" s="534" t="s">
        <v>1074</v>
      </c>
      <c r="FK257" s="536">
        <v>0</v>
      </c>
      <c r="FL257" s="536">
        <v>3</v>
      </c>
      <c r="FM257" s="536">
        <v>1</v>
      </c>
      <c r="FN257" s="536">
        <v>2</v>
      </c>
      <c r="FO257" s="536">
        <v>0</v>
      </c>
      <c r="FP257" s="536">
        <v>0</v>
      </c>
      <c r="FQ257" s="536">
        <v>0</v>
      </c>
      <c r="FR257" s="536">
        <v>0</v>
      </c>
      <c r="FS257" s="536">
        <v>0</v>
      </c>
      <c r="FT257" s="538">
        <v>0</v>
      </c>
      <c r="FU257" s="538">
        <v>0</v>
      </c>
      <c r="FV257" s="538">
        <v>6</v>
      </c>
      <c r="FW257" s="539"/>
      <c r="GA257" s="540"/>
      <c r="GB257" s="541" t="s">
        <v>1163</v>
      </c>
      <c r="GC257" s="542"/>
      <c r="GD257" s="543">
        <v>0</v>
      </c>
      <c r="GE257" s="543">
        <v>1</v>
      </c>
      <c r="GF257" s="543">
        <v>0</v>
      </c>
      <c r="GG257" s="543">
        <v>0</v>
      </c>
      <c r="GH257" s="543">
        <v>2</v>
      </c>
      <c r="GI257" s="543">
        <v>2</v>
      </c>
      <c r="GJ257" s="543">
        <v>0</v>
      </c>
      <c r="GK257" s="543">
        <v>0</v>
      </c>
      <c r="GL257" s="543">
        <v>0</v>
      </c>
      <c r="GM257" s="543">
        <v>5</v>
      </c>
      <c r="GN257" s="445"/>
      <c r="GR257" s="63"/>
      <c r="GS257" s="37" t="s">
        <v>1163</v>
      </c>
      <c r="GT257" s="37">
        <v>0</v>
      </c>
      <c r="GU257" s="37">
        <v>0</v>
      </c>
      <c r="GV257" s="37">
        <v>2</v>
      </c>
      <c r="GW257" s="37">
        <v>1</v>
      </c>
      <c r="GX257" s="37">
        <v>1</v>
      </c>
      <c r="GY257" s="37">
        <v>1</v>
      </c>
      <c r="GZ257" s="37">
        <v>1</v>
      </c>
      <c r="HA257" s="37">
        <v>1</v>
      </c>
      <c r="HB257" s="37"/>
      <c r="HC257" s="37">
        <v>0</v>
      </c>
      <c r="HD257" s="37">
        <v>7</v>
      </c>
      <c r="HE257" s="37"/>
      <c r="HF257" s="37"/>
      <c r="HG257" s="446"/>
      <c r="HH257" s="446"/>
      <c r="HI257" s="446"/>
      <c r="HJ257" s="446" t="s">
        <v>1163</v>
      </c>
      <c r="HK257" s="446">
        <v>0</v>
      </c>
      <c r="HL257" s="446">
        <v>0</v>
      </c>
      <c r="HM257" s="446">
        <v>0</v>
      </c>
      <c r="HN257" s="446">
        <v>1</v>
      </c>
      <c r="HO257" s="446">
        <v>0</v>
      </c>
      <c r="HP257" s="446">
        <v>0</v>
      </c>
      <c r="HQ257" s="446">
        <v>10</v>
      </c>
      <c r="HR257" s="446">
        <v>2</v>
      </c>
      <c r="HS257" s="446">
        <v>0</v>
      </c>
      <c r="HT257" s="446">
        <v>0</v>
      </c>
      <c r="HU257" s="446">
        <v>0</v>
      </c>
      <c r="HV257" s="447">
        <v>13</v>
      </c>
      <c r="HW257" s="446"/>
      <c r="HX257" s="448"/>
    </row>
    <row r="258" spans="1:232">
      <c r="A258" s="5682">
        <v>3</v>
      </c>
      <c r="B258" s="5682">
        <v>3</v>
      </c>
      <c r="C258" s="5683" t="s">
        <v>292</v>
      </c>
      <c r="D258" s="5683" t="s">
        <v>2709</v>
      </c>
      <c r="E258" s="5682">
        <v>1</v>
      </c>
      <c r="F258" s="5682">
        <v>1</v>
      </c>
      <c r="I258" s="4915">
        <v>3</v>
      </c>
      <c r="J258" s="4915">
        <v>4</v>
      </c>
      <c r="K258" s="4924" t="s">
        <v>297</v>
      </c>
      <c r="L258" s="4924" t="s">
        <v>2709</v>
      </c>
      <c r="M258" s="4923">
        <v>1</v>
      </c>
      <c r="N258" s="4923">
        <v>1</v>
      </c>
      <c r="O258" s="157"/>
      <c r="Q258" s="4705">
        <v>3</v>
      </c>
      <c r="R258" s="4705">
        <v>3</v>
      </c>
      <c r="S258" s="4706" t="s">
        <v>293</v>
      </c>
      <c r="T258" s="4708" t="s">
        <v>2707</v>
      </c>
      <c r="U258" s="4709">
        <v>2</v>
      </c>
      <c r="V258" s="4709">
        <v>7</v>
      </c>
      <c r="W258" s="4722"/>
      <c r="Y258" s="36"/>
      <c r="Z258" s="36"/>
      <c r="AA258" s="393" t="s">
        <v>412</v>
      </c>
      <c r="AB258" s="36" t="s">
        <v>1071</v>
      </c>
      <c r="AC258" s="1681">
        <v>0</v>
      </c>
      <c r="AD258" s="1681">
        <v>0</v>
      </c>
      <c r="AE258" s="1681">
        <v>0</v>
      </c>
      <c r="AF258" s="1681">
        <v>0</v>
      </c>
      <c r="AG258" s="1681">
        <v>0</v>
      </c>
      <c r="AH258" s="1681">
        <v>1</v>
      </c>
      <c r="AI258" s="1681">
        <v>0</v>
      </c>
      <c r="AJ258" s="1681">
        <v>0</v>
      </c>
      <c r="AK258" s="1681">
        <v>1</v>
      </c>
      <c r="AL258" s="95">
        <v>6</v>
      </c>
      <c r="AM258" s="95">
        <v>8</v>
      </c>
      <c r="AN258" s="4545"/>
      <c r="AS258" s="3868" t="s">
        <v>1163</v>
      </c>
      <c r="AT258" s="3721">
        <v>0</v>
      </c>
      <c r="AU258" s="3721">
        <v>0</v>
      </c>
      <c r="AV258" s="3721"/>
      <c r="AW258" s="3721">
        <v>0</v>
      </c>
      <c r="AX258" s="3721"/>
      <c r="AY258" s="3721"/>
      <c r="AZ258" s="3721">
        <v>0</v>
      </c>
      <c r="BA258" s="3721">
        <v>3</v>
      </c>
      <c r="BB258" s="3721">
        <v>3</v>
      </c>
      <c r="BC258" s="2110"/>
      <c r="BD258" s="2110">
        <v>0</v>
      </c>
      <c r="BE258" s="2110">
        <v>6</v>
      </c>
      <c r="BF258" s="2110"/>
      <c r="BG258" s="2110"/>
      <c r="BJ258" s="1520"/>
      <c r="BK258" s="1520" t="s">
        <v>1074</v>
      </c>
      <c r="BL258" s="3872">
        <v>2</v>
      </c>
      <c r="BM258" s="3872">
        <v>0</v>
      </c>
      <c r="BN258" s="3872">
        <v>0</v>
      </c>
      <c r="BO258" s="3872">
        <v>0</v>
      </c>
      <c r="BP258" s="3872">
        <v>0</v>
      </c>
      <c r="BQ258" s="3872">
        <v>0</v>
      </c>
      <c r="BR258" s="3872">
        <v>0</v>
      </c>
      <c r="BS258" s="3872">
        <v>0</v>
      </c>
      <c r="BT258" s="3806">
        <v>0</v>
      </c>
      <c r="BU258" s="3806">
        <v>2</v>
      </c>
      <c r="BV258" s="1520"/>
      <c r="BX258" s="36"/>
      <c r="BY258" s="36"/>
      <c r="BZ258" s="36"/>
      <c r="CA258" s="36" t="s">
        <v>1076</v>
      </c>
      <c r="CB258" s="1681"/>
      <c r="CC258" s="1681">
        <v>0</v>
      </c>
      <c r="CD258" s="1681"/>
      <c r="CE258" s="1681"/>
      <c r="CF258" s="1681"/>
      <c r="CG258" s="1681">
        <v>0</v>
      </c>
      <c r="CH258" s="1681">
        <v>5</v>
      </c>
      <c r="CI258" s="1681"/>
      <c r="CJ258" s="95"/>
      <c r="CK258" s="95"/>
      <c r="CL258" s="95">
        <v>5</v>
      </c>
      <c r="CM258" s="36"/>
      <c r="CO258" s="37"/>
      <c r="CP258" s="37"/>
      <c r="CQ258" s="37"/>
      <c r="CR258" s="37" t="s">
        <v>1081</v>
      </c>
      <c r="CS258" s="1678"/>
      <c r="CT258" s="1678"/>
      <c r="CU258" s="1678"/>
      <c r="CV258" s="1678"/>
      <c r="CW258" s="1678"/>
      <c r="CX258" s="1678"/>
      <c r="CY258" s="1678">
        <v>0</v>
      </c>
      <c r="CZ258" s="1678">
        <v>1</v>
      </c>
      <c r="DA258" s="1678">
        <v>0</v>
      </c>
      <c r="DB258" s="63"/>
      <c r="DC258" s="63"/>
      <c r="DD258" s="63">
        <v>1</v>
      </c>
      <c r="DG258" s="95"/>
      <c r="DH258" s="95"/>
      <c r="DI258" s="36"/>
      <c r="DJ258" s="36" t="s">
        <v>1163</v>
      </c>
      <c r="DK258" s="1484"/>
      <c r="DL258" s="1484"/>
      <c r="DM258" s="1484"/>
      <c r="DN258" s="1484"/>
      <c r="DO258" s="1484"/>
      <c r="DP258" s="1484"/>
      <c r="DQ258" s="1484">
        <v>2</v>
      </c>
      <c r="DR258" s="1484">
        <v>3</v>
      </c>
      <c r="DS258" s="1484">
        <v>0</v>
      </c>
      <c r="DT258" s="95">
        <v>0</v>
      </c>
      <c r="DU258" s="95"/>
      <c r="DV258" s="95">
        <v>5</v>
      </c>
      <c r="DW258" s="95"/>
      <c r="DY258" s="1209"/>
      <c r="DZ258" s="1209"/>
      <c r="EA258" s="1210"/>
      <c r="EB258" s="1211" t="s">
        <v>1163</v>
      </c>
      <c r="EC258" s="1212"/>
      <c r="ED258" s="1212"/>
      <c r="EE258" s="1212"/>
      <c r="EF258" s="1212"/>
      <c r="EG258" s="1212"/>
      <c r="EH258" s="1213">
        <v>7</v>
      </c>
      <c r="EI258" s="1212"/>
      <c r="EJ258" s="1213">
        <v>0</v>
      </c>
      <c r="EK258" s="611"/>
      <c r="EL258" s="611"/>
      <c r="EM258" s="612">
        <v>7</v>
      </c>
      <c r="EN258" s="36"/>
      <c r="EP258" s="527"/>
      <c r="EQ258" s="527"/>
      <c r="ER258" s="528" t="s">
        <v>485</v>
      </c>
      <c r="ES258" s="529" t="s">
        <v>1071</v>
      </c>
      <c r="ET258" s="531">
        <v>0</v>
      </c>
      <c r="EU258" s="531">
        <v>0</v>
      </c>
      <c r="EV258" s="531">
        <v>0</v>
      </c>
      <c r="EW258" s="531">
        <v>0</v>
      </c>
      <c r="EX258" s="530"/>
      <c r="EY258" s="531">
        <v>0</v>
      </c>
      <c r="EZ258" s="531">
        <v>1</v>
      </c>
      <c r="FA258" s="531">
        <v>1</v>
      </c>
      <c r="FB258" s="532">
        <v>0</v>
      </c>
      <c r="FC258" s="527"/>
      <c r="FD258" s="532">
        <v>2</v>
      </c>
      <c r="FE258" s="95"/>
      <c r="FG258" s="533"/>
      <c r="FH258" s="533"/>
      <c r="FI258" s="533"/>
      <c r="FJ258" s="534" t="s">
        <v>1076</v>
      </c>
      <c r="FK258" s="536">
        <v>0</v>
      </c>
      <c r="FL258" s="536">
        <v>0</v>
      </c>
      <c r="FM258" s="536">
        <v>0</v>
      </c>
      <c r="FN258" s="536">
        <v>4</v>
      </c>
      <c r="FO258" s="536">
        <v>1</v>
      </c>
      <c r="FP258" s="536">
        <v>1</v>
      </c>
      <c r="FQ258" s="536">
        <v>23</v>
      </c>
      <c r="FR258" s="536">
        <v>37</v>
      </c>
      <c r="FS258" s="536">
        <v>6</v>
      </c>
      <c r="FT258" s="538">
        <v>3</v>
      </c>
      <c r="FU258" s="538">
        <v>1</v>
      </c>
      <c r="FV258" s="538">
        <v>76</v>
      </c>
      <c r="FW258" s="539"/>
      <c r="GA258" s="540"/>
      <c r="GB258" s="550" t="s">
        <v>105</v>
      </c>
      <c r="GC258" s="551"/>
      <c r="GD258" s="552">
        <v>1</v>
      </c>
      <c r="GE258" s="552">
        <v>15</v>
      </c>
      <c r="GF258" s="552">
        <v>9</v>
      </c>
      <c r="GG258" s="552">
        <v>5</v>
      </c>
      <c r="GH258" s="552">
        <v>21</v>
      </c>
      <c r="GI258" s="552">
        <v>13</v>
      </c>
      <c r="GJ258" s="552">
        <v>13</v>
      </c>
      <c r="GK258" s="552">
        <v>1</v>
      </c>
      <c r="GL258" s="552">
        <v>4</v>
      </c>
      <c r="GM258" s="552">
        <v>82</v>
      </c>
      <c r="GN258" s="553">
        <f>+(GM257+GM256+GM253)/GM258</f>
        <v>0.23170731707317074</v>
      </c>
      <c r="GR258" s="63"/>
      <c r="GS258" s="416" t="s">
        <v>15</v>
      </c>
      <c r="GT258" s="416">
        <v>1</v>
      </c>
      <c r="GU258" s="416">
        <v>5</v>
      </c>
      <c r="GV258" s="416">
        <v>29</v>
      </c>
      <c r="GW258" s="416">
        <v>10</v>
      </c>
      <c r="GX258" s="416">
        <v>6</v>
      </c>
      <c r="GY258" s="416">
        <v>46</v>
      </c>
      <c r="GZ258" s="416">
        <v>30</v>
      </c>
      <c r="HA258" s="416">
        <v>14</v>
      </c>
      <c r="HB258" s="416"/>
      <c r="HC258" s="416">
        <v>3</v>
      </c>
      <c r="HD258" s="416">
        <v>144</v>
      </c>
      <c r="HE258" s="466">
        <f>+(HD253+HD256+HD257)/HD258</f>
        <v>0.27083333333333331</v>
      </c>
      <c r="HF258" s="37"/>
      <c r="HG258" s="446"/>
      <c r="HH258" s="446"/>
      <c r="HI258" s="446"/>
      <c r="HJ258" s="449" t="s">
        <v>15</v>
      </c>
      <c r="HK258" s="449">
        <v>1</v>
      </c>
      <c r="HL258" s="449">
        <v>0</v>
      </c>
      <c r="HM258" s="449">
        <v>4</v>
      </c>
      <c r="HN258" s="449">
        <v>6</v>
      </c>
      <c r="HO258" s="449">
        <v>20</v>
      </c>
      <c r="HP258" s="449">
        <v>6</v>
      </c>
      <c r="HQ258" s="449">
        <v>25</v>
      </c>
      <c r="HR258" s="449">
        <v>15</v>
      </c>
      <c r="HS258" s="449">
        <v>13</v>
      </c>
      <c r="HT258" s="449">
        <v>0</v>
      </c>
      <c r="HU258" s="449">
        <v>0</v>
      </c>
      <c r="HV258" s="507">
        <v>90</v>
      </c>
      <c r="HW258" s="450">
        <f>+(HV257+HV256+HV253)/HV258</f>
        <v>0.27777777777777779</v>
      </c>
      <c r="HX258" s="448">
        <f>+HV253+HV256+HV257</f>
        <v>25</v>
      </c>
    </row>
    <row r="259" spans="1:232">
      <c r="A259" s="5682">
        <v>3</v>
      </c>
      <c r="B259" s="5682">
        <v>3</v>
      </c>
      <c r="C259" s="5683" t="s">
        <v>292</v>
      </c>
      <c r="D259" s="5683" t="s">
        <v>2709</v>
      </c>
      <c r="E259" s="5682">
        <v>1</v>
      </c>
      <c r="F259" s="5682">
        <v>3</v>
      </c>
      <c r="I259" s="4915">
        <v>3</v>
      </c>
      <c r="J259" s="4915">
        <v>4</v>
      </c>
      <c r="K259" s="4916" t="s">
        <v>297</v>
      </c>
      <c r="L259" s="4916" t="s">
        <v>2709</v>
      </c>
      <c r="M259" s="4915">
        <v>18</v>
      </c>
      <c r="N259" s="4915">
        <v>6</v>
      </c>
      <c r="O259" s="157"/>
      <c r="Q259" s="4705">
        <v>3</v>
      </c>
      <c r="R259" s="4705">
        <v>3</v>
      </c>
      <c r="S259" s="4706" t="s">
        <v>293</v>
      </c>
      <c r="T259" s="4708" t="s">
        <v>1076</v>
      </c>
      <c r="U259" s="4709">
        <v>3</v>
      </c>
      <c r="V259" s="4709">
        <v>7</v>
      </c>
      <c r="W259" s="4722"/>
      <c r="Y259" s="36"/>
      <c r="Z259" s="36"/>
      <c r="AA259" s="36"/>
      <c r="AB259" s="36" t="s">
        <v>1072</v>
      </c>
      <c r="AC259" s="1681">
        <v>0</v>
      </c>
      <c r="AD259" s="1681">
        <v>7</v>
      </c>
      <c r="AE259" s="1681">
        <v>2</v>
      </c>
      <c r="AF259" s="1681">
        <v>4</v>
      </c>
      <c r="AG259" s="1681">
        <v>4</v>
      </c>
      <c r="AH259" s="1681">
        <v>9</v>
      </c>
      <c r="AI259" s="1681">
        <v>128</v>
      </c>
      <c r="AJ259" s="1681">
        <v>6</v>
      </c>
      <c r="AK259" s="1681">
        <v>0</v>
      </c>
      <c r="AL259" s="95">
        <v>0</v>
      </c>
      <c r="AM259" s="95">
        <v>160</v>
      </c>
      <c r="AN259" s="4545"/>
      <c r="AS259" s="3868" t="s">
        <v>15</v>
      </c>
      <c r="AT259" s="3721">
        <v>1</v>
      </c>
      <c r="AU259" s="3721">
        <v>1</v>
      </c>
      <c r="AV259" s="3721"/>
      <c r="AW259" s="3721">
        <v>1</v>
      </c>
      <c r="AX259" s="3721"/>
      <c r="AY259" s="3721"/>
      <c r="AZ259" s="3721">
        <v>3</v>
      </c>
      <c r="BA259" s="3721">
        <v>6</v>
      </c>
      <c r="BB259" s="3721">
        <v>5</v>
      </c>
      <c r="BC259" s="2110"/>
      <c r="BD259" s="2110">
        <v>1</v>
      </c>
      <c r="BE259" s="2110">
        <v>18</v>
      </c>
      <c r="BF259" s="1665">
        <f>+(BE256+BE258)/(BE259-BE257)</f>
        <v>0.47058823529411764</v>
      </c>
      <c r="BG259" s="1665"/>
      <c r="BJ259" s="1520"/>
      <c r="BK259" s="1520" t="s">
        <v>1076</v>
      </c>
      <c r="BL259" s="3872">
        <v>0</v>
      </c>
      <c r="BM259" s="3872">
        <v>0</v>
      </c>
      <c r="BN259" s="3872">
        <v>0</v>
      </c>
      <c r="BO259" s="3872">
        <v>0</v>
      </c>
      <c r="BP259" s="3872">
        <v>0</v>
      </c>
      <c r="BQ259" s="3872">
        <v>2</v>
      </c>
      <c r="BR259" s="3872">
        <v>2</v>
      </c>
      <c r="BS259" s="3872">
        <v>2</v>
      </c>
      <c r="BT259" s="3806">
        <v>0</v>
      </c>
      <c r="BU259" s="3806">
        <v>6</v>
      </c>
      <c r="BV259" s="1520"/>
      <c r="BX259" s="36"/>
      <c r="BY259" s="36"/>
      <c r="BZ259" s="36"/>
      <c r="CA259" s="36" t="s">
        <v>1081</v>
      </c>
      <c r="CB259" s="1681"/>
      <c r="CC259" s="1681">
        <v>0</v>
      </c>
      <c r="CD259" s="1681"/>
      <c r="CE259" s="1681"/>
      <c r="CF259" s="1681"/>
      <c r="CG259" s="1681">
        <v>0</v>
      </c>
      <c r="CH259" s="1681">
        <v>4</v>
      </c>
      <c r="CI259" s="1681"/>
      <c r="CJ259" s="95"/>
      <c r="CK259" s="95"/>
      <c r="CL259" s="95">
        <v>4</v>
      </c>
      <c r="CM259" s="36"/>
      <c r="CO259" s="37"/>
      <c r="CP259" s="37"/>
      <c r="CQ259" s="37"/>
      <c r="CR259" s="416" t="s">
        <v>15</v>
      </c>
      <c r="CS259" s="1679"/>
      <c r="CT259" s="1679"/>
      <c r="CU259" s="1679"/>
      <c r="CV259" s="1679"/>
      <c r="CW259" s="1679"/>
      <c r="CX259" s="1679"/>
      <c r="CY259" s="1679">
        <v>2</v>
      </c>
      <c r="CZ259" s="1679">
        <v>6</v>
      </c>
      <c r="DA259" s="1679">
        <v>3</v>
      </c>
      <c r="DB259" s="386"/>
      <c r="DC259" s="386"/>
      <c r="DD259" s="386">
        <v>11</v>
      </c>
      <c r="DE259" s="2045">
        <f>+DD258/DD259</f>
        <v>9.0909090909090912E-2</v>
      </c>
      <c r="DG259" s="95"/>
      <c r="DH259" s="95"/>
      <c r="DI259" s="36"/>
      <c r="DJ259" s="393" t="s">
        <v>15</v>
      </c>
      <c r="DK259" s="1485"/>
      <c r="DL259" s="1485"/>
      <c r="DM259" s="1485"/>
      <c r="DN259" s="1485"/>
      <c r="DO259" s="1485"/>
      <c r="DP259" s="1485"/>
      <c r="DQ259" s="1485">
        <v>5</v>
      </c>
      <c r="DR259" s="1485">
        <v>7</v>
      </c>
      <c r="DS259" s="1485">
        <v>3</v>
      </c>
      <c r="DT259" s="86">
        <v>2</v>
      </c>
      <c r="DU259" s="86"/>
      <c r="DV259" s="86">
        <v>17</v>
      </c>
      <c r="DW259" s="560">
        <f>+(DV255+DV257+DV258)/DV259</f>
        <v>0.58823529411764708</v>
      </c>
      <c r="DY259" s="1209"/>
      <c r="DZ259" s="1209"/>
      <c r="EA259" s="1210"/>
      <c r="EB259" s="415" t="s">
        <v>15</v>
      </c>
      <c r="EC259" s="1214"/>
      <c r="ED259" s="1214"/>
      <c r="EE259" s="1214"/>
      <c r="EF259" s="1214"/>
      <c r="EG259" s="1214"/>
      <c r="EH259" s="1215">
        <v>18</v>
      </c>
      <c r="EI259" s="1214"/>
      <c r="EJ259" s="1215">
        <v>2</v>
      </c>
      <c r="EK259" s="620"/>
      <c r="EL259" s="620"/>
      <c r="EM259" s="621">
        <v>20</v>
      </c>
      <c r="EN259" s="1178">
        <f>+(EM256+EM257+EM258)/EM259</f>
        <v>0.75</v>
      </c>
      <c r="EP259" s="527"/>
      <c r="EQ259" s="527"/>
      <c r="ER259" s="528"/>
      <c r="ES259" s="529" t="s">
        <v>1072</v>
      </c>
      <c r="ET259" s="531">
        <v>1</v>
      </c>
      <c r="EU259" s="531">
        <v>1</v>
      </c>
      <c r="EV259" s="531">
        <v>20</v>
      </c>
      <c r="EW259" s="531">
        <v>2</v>
      </c>
      <c r="EX259" s="530"/>
      <c r="EY259" s="531">
        <v>9</v>
      </c>
      <c r="EZ259" s="531">
        <v>11</v>
      </c>
      <c r="FA259" s="531">
        <v>1</v>
      </c>
      <c r="FB259" s="532">
        <v>0</v>
      </c>
      <c r="FC259" s="527"/>
      <c r="FD259" s="532">
        <v>45</v>
      </c>
      <c r="FE259" s="95"/>
      <c r="FG259" s="533"/>
      <c r="FH259" s="533"/>
      <c r="FI259" s="533"/>
      <c r="FJ259" s="534" t="s">
        <v>1077</v>
      </c>
      <c r="FK259" s="536">
        <v>0</v>
      </c>
      <c r="FL259" s="536">
        <v>2</v>
      </c>
      <c r="FM259" s="536">
        <v>4</v>
      </c>
      <c r="FN259" s="536">
        <v>17</v>
      </c>
      <c r="FO259" s="536">
        <v>11</v>
      </c>
      <c r="FP259" s="536">
        <v>10</v>
      </c>
      <c r="FQ259" s="536">
        <v>6</v>
      </c>
      <c r="FR259" s="536">
        <v>0</v>
      </c>
      <c r="FS259" s="536">
        <v>0</v>
      </c>
      <c r="FT259" s="538">
        <v>0</v>
      </c>
      <c r="FU259" s="538">
        <v>0</v>
      </c>
      <c r="FV259" s="538">
        <v>50</v>
      </c>
      <c r="FW259" s="539"/>
      <c r="GA259" s="540" t="s">
        <v>109</v>
      </c>
      <c r="GB259" s="541" t="s">
        <v>1071</v>
      </c>
      <c r="GC259" s="543">
        <v>0</v>
      </c>
      <c r="GD259" s="543">
        <v>0</v>
      </c>
      <c r="GE259" s="543">
        <v>0</v>
      </c>
      <c r="GF259" s="543">
        <v>0</v>
      </c>
      <c r="GG259" s="543">
        <v>0</v>
      </c>
      <c r="GH259" s="543">
        <v>0</v>
      </c>
      <c r="GI259" s="543">
        <v>1</v>
      </c>
      <c r="GJ259" s="543">
        <v>10</v>
      </c>
      <c r="GK259" s="543">
        <v>4</v>
      </c>
      <c r="GL259" s="543">
        <v>11</v>
      </c>
      <c r="GM259" s="543">
        <v>26</v>
      </c>
      <c r="GN259" s="445"/>
      <c r="GR259" s="63" t="s">
        <v>25</v>
      </c>
      <c r="GS259" s="37" t="s">
        <v>1071</v>
      </c>
      <c r="GT259" s="37">
        <v>0</v>
      </c>
      <c r="GU259" s="37">
        <v>0</v>
      </c>
      <c r="GV259" s="37">
        <v>0</v>
      </c>
      <c r="GW259" s="37"/>
      <c r="GX259" s="37">
        <v>0</v>
      </c>
      <c r="GY259" s="37">
        <v>0</v>
      </c>
      <c r="GZ259" s="37">
        <v>2</v>
      </c>
      <c r="HA259" s="37">
        <v>19</v>
      </c>
      <c r="HB259" s="37">
        <v>2</v>
      </c>
      <c r="HC259" s="37">
        <v>2</v>
      </c>
      <c r="HD259" s="37">
        <v>25</v>
      </c>
      <c r="HE259" s="37"/>
      <c r="HF259" s="37"/>
      <c r="HG259" s="446"/>
      <c r="HH259" s="446"/>
      <c r="HI259" s="446" t="s">
        <v>25</v>
      </c>
      <c r="HJ259" s="446" t="s">
        <v>1071</v>
      </c>
      <c r="HK259" s="446">
        <v>0</v>
      </c>
      <c r="HL259" s="446">
        <v>0</v>
      </c>
      <c r="HM259" s="446">
        <v>0</v>
      </c>
      <c r="HN259" s="446">
        <v>0</v>
      </c>
      <c r="HO259" s="446">
        <v>0</v>
      </c>
      <c r="HP259" s="446">
        <v>0</v>
      </c>
      <c r="HQ259" s="446">
        <v>0</v>
      </c>
      <c r="HR259" s="446">
        <v>1</v>
      </c>
      <c r="HS259" s="446">
        <v>15</v>
      </c>
      <c r="HT259" s="446">
        <v>2</v>
      </c>
      <c r="HU259" s="446">
        <v>5</v>
      </c>
      <c r="HV259" s="447">
        <v>23</v>
      </c>
      <c r="HW259" s="446"/>
      <c r="HX259" s="448"/>
    </row>
    <row r="260" spans="1:232">
      <c r="A260" s="5682">
        <v>3</v>
      </c>
      <c r="B260" s="5682">
        <v>3</v>
      </c>
      <c r="C260" s="5683" t="s">
        <v>292</v>
      </c>
      <c r="D260" s="5683" t="s">
        <v>2709</v>
      </c>
      <c r="E260" s="5682">
        <v>3</v>
      </c>
      <c r="F260" s="5682">
        <v>6</v>
      </c>
      <c r="I260" s="4915"/>
      <c r="J260" s="4915"/>
      <c r="K260" s="4916"/>
      <c r="L260" s="4916"/>
      <c r="M260" s="4920">
        <f>SUM(M258:M259)</f>
        <v>19</v>
      </c>
      <c r="N260" s="4915"/>
      <c r="O260" s="4921">
        <v>0</v>
      </c>
      <c r="Q260" s="4705">
        <v>3</v>
      </c>
      <c r="R260" s="4705">
        <v>3</v>
      </c>
      <c r="S260" s="4706" t="s">
        <v>293</v>
      </c>
      <c r="T260" s="4706" t="s">
        <v>2709</v>
      </c>
      <c r="U260" s="4707">
        <v>1</v>
      </c>
      <c r="V260" s="4707">
        <v>5</v>
      </c>
      <c r="W260" s="4722"/>
      <c r="X260" s="4452"/>
      <c r="Y260" s="36"/>
      <c r="Z260" s="36"/>
      <c r="AA260" s="36"/>
      <c r="AB260" s="36" t="s">
        <v>1074</v>
      </c>
      <c r="AC260" s="1681">
        <v>0</v>
      </c>
      <c r="AD260" s="1681">
        <v>1</v>
      </c>
      <c r="AE260" s="1681">
        <v>0</v>
      </c>
      <c r="AF260" s="1681">
        <v>0</v>
      </c>
      <c r="AG260" s="1681">
        <v>0</v>
      </c>
      <c r="AH260" s="1681">
        <v>0</v>
      </c>
      <c r="AI260" s="1681">
        <v>0</v>
      </c>
      <c r="AJ260" s="1681">
        <v>0</v>
      </c>
      <c r="AK260" s="1681">
        <v>0</v>
      </c>
      <c r="AL260" s="95">
        <v>0</v>
      </c>
      <c r="AM260" s="95">
        <v>1</v>
      </c>
      <c r="AN260" s="4545"/>
      <c r="AR260" s="3868" t="s">
        <v>141</v>
      </c>
      <c r="AS260" s="3868" t="s">
        <v>1071</v>
      </c>
      <c r="AT260" s="3721">
        <v>0</v>
      </c>
      <c r="AU260" s="3721"/>
      <c r="AV260" s="3721"/>
      <c r="AW260" s="3721"/>
      <c r="AX260" s="3721">
        <v>0</v>
      </c>
      <c r="AY260" s="3721"/>
      <c r="AZ260" s="3721">
        <v>0</v>
      </c>
      <c r="BA260" s="3721">
        <v>0</v>
      </c>
      <c r="BB260" s="3721">
        <v>1</v>
      </c>
      <c r="BC260" s="2110"/>
      <c r="BD260" s="2110"/>
      <c r="BE260" s="2110">
        <v>1</v>
      </c>
      <c r="BF260" s="2110"/>
      <c r="BG260" s="2110"/>
      <c r="BJ260" s="1520"/>
      <c r="BK260" s="1520" t="s">
        <v>1080</v>
      </c>
      <c r="BL260" s="3872">
        <v>0</v>
      </c>
      <c r="BM260" s="3872">
        <v>0</v>
      </c>
      <c r="BN260" s="3872">
        <v>0</v>
      </c>
      <c r="BO260" s="3872">
        <v>0</v>
      </c>
      <c r="BP260" s="3872">
        <v>0</v>
      </c>
      <c r="BQ260" s="3872">
        <v>0</v>
      </c>
      <c r="BR260" s="3872">
        <v>12</v>
      </c>
      <c r="BS260" s="3872">
        <v>7</v>
      </c>
      <c r="BT260" s="3806">
        <v>1</v>
      </c>
      <c r="BU260" s="3806">
        <v>20</v>
      </c>
      <c r="BV260" s="1520"/>
      <c r="BX260" s="36"/>
      <c r="BY260" s="36"/>
      <c r="BZ260" s="36"/>
      <c r="CA260" s="393" t="s">
        <v>15</v>
      </c>
      <c r="CB260" s="1682"/>
      <c r="CC260" s="1682">
        <v>1</v>
      </c>
      <c r="CD260" s="1682"/>
      <c r="CE260" s="1682"/>
      <c r="CF260" s="1682"/>
      <c r="CG260" s="1682">
        <v>1</v>
      </c>
      <c r="CH260" s="1682">
        <v>10</v>
      </c>
      <c r="CI260" s="1682"/>
      <c r="CJ260" s="2041"/>
      <c r="CK260" s="2041"/>
      <c r="CL260" s="2041">
        <v>12</v>
      </c>
      <c r="CM260" s="560">
        <f>+(CL259+CL258)/CL260</f>
        <v>0.75</v>
      </c>
      <c r="CN260" s="1665"/>
      <c r="CO260" s="37"/>
      <c r="CP260" s="37"/>
      <c r="CQ260" s="37" t="s">
        <v>485</v>
      </c>
      <c r="CR260" s="37" t="s">
        <v>1071</v>
      </c>
      <c r="CS260" s="1678"/>
      <c r="CT260" s="1678">
        <v>0</v>
      </c>
      <c r="CU260" s="1678">
        <v>0</v>
      </c>
      <c r="CV260" s="1678">
        <v>0</v>
      </c>
      <c r="CW260" s="1678">
        <v>0</v>
      </c>
      <c r="CX260" s="1678">
        <v>1</v>
      </c>
      <c r="CY260" s="1678">
        <v>0</v>
      </c>
      <c r="CZ260" s="1678">
        <v>0</v>
      </c>
      <c r="DA260" s="1678">
        <v>0</v>
      </c>
      <c r="DB260" s="63"/>
      <c r="DC260" s="63"/>
      <c r="DD260" s="63">
        <v>1</v>
      </c>
      <c r="DG260" s="95"/>
      <c r="DH260" s="95"/>
      <c r="DI260" s="36" t="s">
        <v>141</v>
      </c>
      <c r="DJ260" s="36" t="s">
        <v>1072</v>
      </c>
      <c r="DK260" s="1484"/>
      <c r="DL260" s="1484">
        <v>1</v>
      </c>
      <c r="DM260" s="1484"/>
      <c r="DN260" s="1484"/>
      <c r="DO260" s="1484"/>
      <c r="DP260" s="1484"/>
      <c r="DQ260" s="1484">
        <v>9</v>
      </c>
      <c r="DR260" s="1484">
        <v>1</v>
      </c>
      <c r="DS260" s="1484">
        <v>2</v>
      </c>
      <c r="DT260" s="95"/>
      <c r="DU260" s="95"/>
      <c r="DV260" s="95">
        <v>13</v>
      </c>
      <c r="DW260" s="95"/>
      <c r="DY260" s="1209"/>
      <c r="DZ260" s="1209"/>
      <c r="EA260" s="1210" t="s">
        <v>390</v>
      </c>
      <c r="EB260" s="1211" t="s">
        <v>1071</v>
      </c>
      <c r="EC260" s="1212"/>
      <c r="ED260" s="1213">
        <v>0</v>
      </c>
      <c r="EE260" s="1213">
        <v>0</v>
      </c>
      <c r="EF260" s="1212"/>
      <c r="EG260" s="1213">
        <v>1</v>
      </c>
      <c r="EH260" s="1213">
        <v>0</v>
      </c>
      <c r="EI260" s="1212"/>
      <c r="EJ260" s="1212"/>
      <c r="EK260" s="611"/>
      <c r="EL260" s="611"/>
      <c r="EM260" s="612">
        <v>1</v>
      </c>
      <c r="EN260" s="36"/>
      <c r="EP260" s="527"/>
      <c r="EQ260" s="527"/>
      <c r="ER260" s="528"/>
      <c r="ES260" s="529" t="s">
        <v>1076</v>
      </c>
      <c r="ET260" s="531">
        <v>0</v>
      </c>
      <c r="EU260" s="531">
        <v>0</v>
      </c>
      <c r="EV260" s="531">
        <v>0</v>
      </c>
      <c r="EW260" s="531">
        <v>0</v>
      </c>
      <c r="EX260" s="530"/>
      <c r="EY260" s="531">
        <v>1</v>
      </c>
      <c r="EZ260" s="531">
        <v>7</v>
      </c>
      <c r="FA260" s="531">
        <v>0</v>
      </c>
      <c r="FB260" s="532">
        <v>0</v>
      </c>
      <c r="FC260" s="527"/>
      <c r="FD260" s="532">
        <v>8</v>
      </c>
      <c r="FE260" s="95"/>
      <c r="FG260" s="533"/>
      <c r="FH260" s="533"/>
      <c r="FI260" s="533"/>
      <c r="FJ260" s="534" t="s">
        <v>1080</v>
      </c>
      <c r="FK260" s="536">
        <v>0</v>
      </c>
      <c r="FL260" s="536">
        <v>0</v>
      </c>
      <c r="FM260" s="536">
        <v>0</v>
      </c>
      <c r="FN260" s="536">
        <v>0</v>
      </c>
      <c r="FO260" s="536">
        <v>0</v>
      </c>
      <c r="FP260" s="536">
        <v>3</v>
      </c>
      <c r="FQ260" s="536">
        <v>0</v>
      </c>
      <c r="FR260" s="536">
        <v>0</v>
      </c>
      <c r="FS260" s="536">
        <v>79</v>
      </c>
      <c r="FT260" s="538">
        <v>8</v>
      </c>
      <c r="FU260" s="538">
        <v>3</v>
      </c>
      <c r="FV260" s="538">
        <v>93</v>
      </c>
      <c r="FW260" s="539"/>
      <c r="GA260" s="540"/>
      <c r="GB260" s="541" t="s">
        <v>1072</v>
      </c>
      <c r="GC260" s="543">
        <v>1</v>
      </c>
      <c r="GD260" s="543">
        <v>0</v>
      </c>
      <c r="GE260" s="543">
        <v>0</v>
      </c>
      <c r="GF260" s="543">
        <v>2</v>
      </c>
      <c r="GG260" s="543">
        <v>1</v>
      </c>
      <c r="GH260" s="543">
        <v>9</v>
      </c>
      <c r="GI260" s="543">
        <v>27</v>
      </c>
      <c r="GJ260" s="543">
        <v>6</v>
      </c>
      <c r="GK260" s="543">
        <v>3</v>
      </c>
      <c r="GL260" s="543">
        <v>0</v>
      </c>
      <c r="GM260" s="543">
        <v>49</v>
      </c>
      <c r="GN260" s="445"/>
      <c r="GR260" s="63"/>
      <c r="GS260" s="37" t="s">
        <v>1072</v>
      </c>
      <c r="GT260" s="37">
        <v>2</v>
      </c>
      <c r="GU260" s="37">
        <v>3</v>
      </c>
      <c r="GV260" s="37">
        <v>2</v>
      </c>
      <c r="GW260" s="37"/>
      <c r="GX260" s="37">
        <v>0</v>
      </c>
      <c r="GY260" s="37">
        <v>4</v>
      </c>
      <c r="GZ260" s="37">
        <v>14</v>
      </c>
      <c r="HA260" s="37">
        <v>2</v>
      </c>
      <c r="HB260" s="37">
        <v>0</v>
      </c>
      <c r="HC260" s="37">
        <v>0</v>
      </c>
      <c r="HD260" s="37">
        <v>27</v>
      </c>
      <c r="HE260" s="37"/>
      <c r="HF260" s="37"/>
      <c r="HG260" s="446"/>
      <c r="HH260" s="446"/>
      <c r="HI260" s="446"/>
      <c r="HJ260" s="446" t="s">
        <v>1072</v>
      </c>
      <c r="HK260" s="446">
        <v>0</v>
      </c>
      <c r="HL260" s="446">
        <v>1</v>
      </c>
      <c r="HM260" s="446">
        <v>2</v>
      </c>
      <c r="HN260" s="446">
        <v>3</v>
      </c>
      <c r="HO260" s="446">
        <v>1</v>
      </c>
      <c r="HP260" s="446">
        <v>0</v>
      </c>
      <c r="HQ260" s="446">
        <v>8</v>
      </c>
      <c r="HR260" s="446">
        <v>7</v>
      </c>
      <c r="HS260" s="446">
        <v>0</v>
      </c>
      <c r="HT260" s="446">
        <v>0</v>
      </c>
      <c r="HU260" s="446">
        <v>0</v>
      </c>
      <c r="HV260" s="447">
        <v>22</v>
      </c>
      <c r="HW260" s="446"/>
      <c r="HX260" s="448"/>
    </row>
    <row r="261" spans="1:232">
      <c r="A261" s="5682">
        <v>3</v>
      </c>
      <c r="B261" s="5682">
        <v>3</v>
      </c>
      <c r="C261" s="5683" t="s">
        <v>292</v>
      </c>
      <c r="D261" s="5683" t="s">
        <v>2709</v>
      </c>
      <c r="E261" s="5682">
        <v>4</v>
      </c>
      <c r="F261" s="5682">
        <v>7</v>
      </c>
      <c r="I261" s="4915">
        <v>3</v>
      </c>
      <c r="J261" s="4915">
        <v>4</v>
      </c>
      <c r="K261" s="4916" t="s">
        <v>2087</v>
      </c>
      <c r="L261" s="4916" t="s">
        <v>1071</v>
      </c>
      <c r="M261" s="4915">
        <v>1</v>
      </c>
      <c r="N261" s="4915">
        <v>3</v>
      </c>
      <c r="O261" s="157"/>
      <c r="Q261" s="4705">
        <v>3</v>
      </c>
      <c r="R261" s="4705">
        <v>3</v>
      </c>
      <c r="S261" s="4706" t="s">
        <v>293</v>
      </c>
      <c r="T261" s="4706" t="s">
        <v>2709</v>
      </c>
      <c r="U261" s="4707">
        <v>9</v>
      </c>
      <c r="V261" s="4707">
        <v>7</v>
      </c>
      <c r="W261" s="4722"/>
      <c r="Y261" s="36"/>
      <c r="Z261" s="36"/>
      <c r="AA261" s="36"/>
      <c r="AB261" s="36" t="s">
        <v>1076</v>
      </c>
      <c r="AC261" s="1681">
        <v>0</v>
      </c>
      <c r="AD261" s="1681">
        <v>0</v>
      </c>
      <c r="AE261" s="1681">
        <v>0</v>
      </c>
      <c r="AF261" s="1681">
        <v>7</v>
      </c>
      <c r="AG261" s="1681">
        <v>3</v>
      </c>
      <c r="AH261" s="1681">
        <v>0</v>
      </c>
      <c r="AI261" s="1681">
        <v>2</v>
      </c>
      <c r="AJ261" s="1681">
        <v>4</v>
      </c>
      <c r="AK261" s="1681">
        <v>1</v>
      </c>
      <c r="AL261" s="95">
        <v>0</v>
      </c>
      <c r="AM261" s="95">
        <v>17</v>
      </c>
      <c r="AN261" s="4545"/>
      <c r="AS261" s="3868" t="s">
        <v>1072</v>
      </c>
      <c r="AT261" s="3721">
        <v>0</v>
      </c>
      <c r="AU261" s="3721"/>
      <c r="AV261" s="3721"/>
      <c r="AW261" s="3721"/>
      <c r="AX261" s="3721">
        <v>1</v>
      </c>
      <c r="AY261" s="3721"/>
      <c r="AZ261" s="3721">
        <v>3</v>
      </c>
      <c r="BA261" s="3721">
        <v>2</v>
      </c>
      <c r="BB261" s="3721">
        <v>0</v>
      </c>
      <c r="BC261" s="2110"/>
      <c r="BD261" s="2110"/>
      <c r="BE261" s="2110">
        <v>6</v>
      </c>
      <c r="BF261" s="2110"/>
      <c r="BG261" s="2110"/>
      <c r="BJ261" s="1520"/>
      <c r="BK261" s="1520" t="s">
        <v>1081</v>
      </c>
      <c r="BL261" s="3872">
        <v>0</v>
      </c>
      <c r="BM261" s="3872">
        <v>0</v>
      </c>
      <c r="BN261" s="3872">
        <v>0</v>
      </c>
      <c r="BO261" s="3872">
        <v>0</v>
      </c>
      <c r="BP261" s="3872">
        <v>0</v>
      </c>
      <c r="BQ261" s="3872">
        <v>2</v>
      </c>
      <c r="BR261" s="3872">
        <v>4</v>
      </c>
      <c r="BS261" s="3872">
        <v>1</v>
      </c>
      <c r="BT261" s="3806">
        <v>0</v>
      </c>
      <c r="BU261" s="3806">
        <v>7</v>
      </c>
      <c r="BV261" s="1520"/>
      <c r="BX261" s="36"/>
      <c r="BY261" s="36"/>
      <c r="BZ261" s="36" t="s">
        <v>139</v>
      </c>
      <c r="CA261" s="36" t="s">
        <v>1072</v>
      </c>
      <c r="CB261" s="1681"/>
      <c r="CC261" s="1681">
        <v>1</v>
      </c>
      <c r="CD261" s="1681"/>
      <c r="CE261" s="1681"/>
      <c r="CF261" s="1681">
        <v>3</v>
      </c>
      <c r="CG261" s="1681">
        <v>5</v>
      </c>
      <c r="CH261" s="1681"/>
      <c r="CI261" s="1681"/>
      <c r="CJ261" s="95"/>
      <c r="CK261" s="95"/>
      <c r="CL261" s="95">
        <v>9</v>
      </c>
      <c r="CM261" s="36"/>
      <c r="CO261" s="37"/>
      <c r="CP261" s="37"/>
      <c r="CQ261" s="37"/>
      <c r="CR261" s="37" t="s">
        <v>1072</v>
      </c>
      <c r="CS261" s="1678"/>
      <c r="CT261" s="1678">
        <v>2</v>
      </c>
      <c r="CU261" s="1678">
        <v>2</v>
      </c>
      <c r="CV261" s="1678">
        <v>0</v>
      </c>
      <c r="CW261" s="1678">
        <v>0</v>
      </c>
      <c r="CX261" s="1678">
        <v>2</v>
      </c>
      <c r="CY261" s="1678">
        <v>38</v>
      </c>
      <c r="CZ261" s="1678">
        <v>10</v>
      </c>
      <c r="DA261" s="1678">
        <v>2</v>
      </c>
      <c r="DB261" s="63"/>
      <c r="DC261" s="63"/>
      <c r="DD261" s="63">
        <v>56</v>
      </c>
      <c r="DG261" s="95"/>
      <c r="DH261" s="95"/>
      <c r="DI261" s="36"/>
      <c r="DJ261" s="36" t="s">
        <v>1076</v>
      </c>
      <c r="DK261" s="1484"/>
      <c r="DL261" s="1484">
        <v>0</v>
      </c>
      <c r="DM261" s="1484"/>
      <c r="DN261" s="1484"/>
      <c r="DO261" s="1484"/>
      <c r="DP261" s="1484"/>
      <c r="DQ261" s="1484">
        <v>2</v>
      </c>
      <c r="DR261" s="1484">
        <v>0</v>
      </c>
      <c r="DS261" s="1484">
        <v>0</v>
      </c>
      <c r="DT261" s="95"/>
      <c r="DU261" s="95"/>
      <c r="DV261" s="95">
        <v>2</v>
      </c>
      <c r="DW261" s="95"/>
      <c r="DY261" s="1209"/>
      <c r="DZ261" s="1209"/>
      <c r="EA261" s="1210"/>
      <c r="EB261" s="1211" t="s">
        <v>1072</v>
      </c>
      <c r="EC261" s="1212"/>
      <c r="ED261" s="1213">
        <v>1</v>
      </c>
      <c r="EE261" s="1213">
        <v>2</v>
      </c>
      <c r="EF261" s="1212"/>
      <c r="EG261" s="1213">
        <v>0</v>
      </c>
      <c r="EH261" s="1213">
        <v>17</v>
      </c>
      <c r="EI261" s="1212"/>
      <c r="EJ261" s="1212"/>
      <c r="EK261" s="611"/>
      <c r="EL261" s="611"/>
      <c r="EM261" s="612">
        <v>20</v>
      </c>
      <c r="EN261" s="36"/>
      <c r="EP261" s="527"/>
      <c r="EQ261" s="527"/>
      <c r="ER261" s="528"/>
      <c r="ES261" s="529" t="s">
        <v>1077</v>
      </c>
      <c r="ET261" s="531">
        <v>1</v>
      </c>
      <c r="EU261" s="531">
        <v>0</v>
      </c>
      <c r="EV261" s="531">
        <v>1</v>
      </c>
      <c r="EW261" s="531">
        <v>1</v>
      </c>
      <c r="EX261" s="530"/>
      <c r="EY261" s="531">
        <v>0</v>
      </c>
      <c r="EZ261" s="531">
        <v>0</v>
      </c>
      <c r="FA261" s="531">
        <v>0</v>
      </c>
      <c r="FB261" s="532">
        <v>0</v>
      </c>
      <c r="FC261" s="527"/>
      <c r="FD261" s="532">
        <v>3</v>
      </c>
      <c r="FE261" s="95"/>
      <c r="FG261" s="533"/>
      <c r="FH261" s="533"/>
      <c r="FI261" s="533"/>
      <c r="FJ261" s="534" t="s">
        <v>1081</v>
      </c>
      <c r="FK261" s="536">
        <v>0</v>
      </c>
      <c r="FL261" s="536">
        <v>0</v>
      </c>
      <c r="FM261" s="536">
        <v>0</v>
      </c>
      <c r="FN261" s="536">
        <v>5</v>
      </c>
      <c r="FO261" s="536">
        <v>1</v>
      </c>
      <c r="FP261" s="536">
        <v>5</v>
      </c>
      <c r="FQ261" s="536">
        <v>20</v>
      </c>
      <c r="FR261" s="536">
        <v>4</v>
      </c>
      <c r="FS261" s="536">
        <v>3</v>
      </c>
      <c r="FT261" s="538">
        <v>1</v>
      </c>
      <c r="FU261" s="538">
        <v>1</v>
      </c>
      <c r="FV261" s="538">
        <v>40</v>
      </c>
      <c r="FW261" s="539"/>
      <c r="GA261" s="540"/>
      <c r="GB261" s="541" t="s">
        <v>1074</v>
      </c>
      <c r="GC261" s="543">
        <v>0</v>
      </c>
      <c r="GD261" s="543">
        <v>1</v>
      </c>
      <c r="GE261" s="543">
        <v>0</v>
      </c>
      <c r="GF261" s="543">
        <v>0</v>
      </c>
      <c r="GG261" s="543">
        <v>0</v>
      </c>
      <c r="GH261" s="543">
        <v>0</v>
      </c>
      <c r="GI261" s="543">
        <v>0</v>
      </c>
      <c r="GJ261" s="543">
        <v>0</v>
      </c>
      <c r="GK261" s="543">
        <v>0</v>
      </c>
      <c r="GL261" s="543">
        <v>0</v>
      </c>
      <c r="GM261" s="543">
        <v>1</v>
      </c>
      <c r="GN261" s="445"/>
      <c r="GR261" s="63"/>
      <c r="GS261" s="37" t="s">
        <v>1076</v>
      </c>
      <c r="GT261" s="37">
        <v>0</v>
      </c>
      <c r="GU261" s="37">
        <v>0</v>
      </c>
      <c r="GV261" s="37">
        <v>0</v>
      </c>
      <c r="GW261" s="37"/>
      <c r="GX261" s="37">
        <v>0</v>
      </c>
      <c r="GY261" s="37">
        <v>8</v>
      </c>
      <c r="GZ261" s="37">
        <v>24</v>
      </c>
      <c r="HA261" s="37">
        <v>2</v>
      </c>
      <c r="HB261" s="37">
        <v>0</v>
      </c>
      <c r="HC261" s="37">
        <v>0</v>
      </c>
      <c r="HD261" s="37">
        <v>34</v>
      </c>
      <c r="HE261" s="37"/>
      <c r="HF261" s="37"/>
      <c r="HG261" s="446"/>
      <c r="HH261" s="446"/>
      <c r="HI261" s="446"/>
      <c r="HJ261" s="446" t="s">
        <v>1074</v>
      </c>
      <c r="HK261" s="446">
        <v>0</v>
      </c>
      <c r="HL261" s="446">
        <v>1</v>
      </c>
      <c r="HM261" s="446">
        <v>1</v>
      </c>
      <c r="HN261" s="446">
        <v>1</v>
      </c>
      <c r="HO261" s="446">
        <v>0</v>
      </c>
      <c r="HP261" s="446">
        <v>0</v>
      </c>
      <c r="HQ261" s="446">
        <v>0</v>
      </c>
      <c r="HR261" s="446">
        <v>0</v>
      </c>
      <c r="HS261" s="446">
        <v>0</v>
      </c>
      <c r="HT261" s="446">
        <v>0</v>
      </c>
      <c r="HU261" s="446">
        <v>0</v>
      </c>
      <c r="HV261" s="447">
        <v>3</v>
      </c>
      <c r="HW261" s="446"/>
      <c r="HX261" s="448"/>
    </row>
    <row r="262" spans="1:232">
      <c r="A262" s="5682">
        <v>3</v>
      </c>
      <c r="B262" s="5682">
        <v>3</v>
      </c>
      <c r="C262" s="5683" t="s">
        <v>292</v>
      </c>
      <c r="D262" s="5683" t="s">
        <v>2709</v>
      </c>
      <c r="E262" s="5682">
        <v>5</v>
      </c>
      <c r="F262" s="5682">
        <v>8</v>
      </c>
      <c r="I262" s="4915">
        <v>3</v>
      </c>
      <c r="J262" s="4915">
        <v>4</v>
      </c>
      <c r="K262" s="4916" t="s">
        <v>2087</v>
      </c>
      <c r="L262" s="4916" t="s">
        <v>2709</v>
      </c>
      <c r="M262" s="4915">
        <v>11</v>
      </c>
      <c r="N262" s="4915">
        <v>6</v>
      </c>
      <c r="O262" s="157"/>
      <c r="Q262" s="4705"/>
      <c r="R262" s="4744"/>
      <c r="S262" s="4737"/>
      <c r="T262" s="4737"/>
      <c r="U262" s="4740">
        <f>SUM(U258:U261)</f>
        <v>15</v>
      </c>
      <c r="V262" s="4740"/>
      <c r="W262" s="4722">
        <f>(U258+U259+U260)/(U262)</f>
        <v>0.4</v>
      </c>
      <c r="Y262" s="36"/>
      <c r="Z262" s="36"/>
      <c r="AA262" s="36"/>
      <c r="AB262" s="36" t="s">
        <v>1077</v>
      </c>
      <c r="AC262" s="1681">
        <v>0</v>
      </c>
      <c r="AD262" s="1681">
        <v>0</v>
      </c>
      <c r="AE262" s="1681">
        <v>0</v>
      </c>
      <c r="AF262" s="1681">
        <v>3</v>
      </c>
      <c r="AG262" s="1681">
        <v>1</v>
      </c>
      <c r="AH262" s="1681">
        <v>0</v>
      </c>
      <c r="AI262" s="1681">
        <v>0</v>
      </c>
      <c r="AJ262" s="1681">
        <v>0</v>
      </c>
      <c r="AK262" s="1681">
        <v>0</v>
      </c>
      <c r="AL262" s="95">
        <v>0</v>
      </c>
      <c r="AM262" s="95">
        <v>4</v>
      </c>
      <c r="AN262" s="4545"/>
      <c r="AS262" s="3868" t="s">
        <v>1076</v>
      </c>
      <c r="AT262" s="3721">
        <v>0</v>
      </c>
      <c r="AU262" s="3721"/>
      <c r="AV262" s="3721"/>
      <c r="AW262" s="3721"/>
      <c r="AX262" s="3721">
        <v>0</v>
      </c>
      <c r="AY262" s="3721"/>
      <c r="AZ262" s="3721">
        <v>2</v>
      </c>
      <c r="BA262" s="3721">
        <v>3</v>
      </c>
      <c r="BB262" s="3721">
        <v>0</v>
      </c>
      <c r="BC262" s="2110"/>
      <c r="BD262" s="2110"/>
      <c r="BE262" s="2110">
        <v>5</v>
      </c>
      <c r="BF262" s="2110"/>
      <c r="BG262" s="2110"/>
      <c r="BJ262" s="1520"/>
      <c r="BK262" s="1520" t="s">
        <v>1163</v>
      </c>
      <c r="BL262" s="3872">
        <v>0</v>
      </c>
      <c r="BM262" s="3872">
        <v>0</v>
      </c>
      <c r="BN262" s="3872">
        <v>0</v>
      </c>
      <c r="BO262" s="3872">
        <v>0</v>
      </c>
      <c r="BP262" s="3872">
        <v>0</v>
      </c>
      <c r="BQ262" s="3872">
        <v>3</v>
      </c>
      <c r="BR262" s="3872">
        <v>3</v>
      </c>
      <c r="BS262" s="3872">
        <v>0</v>
      </c>
      <c r="BT262" s="3806">
        <v>0</v>
      </c>
      <c r="BU262" s="3806">
        <v>6</v>
      </c>
      <c r="BV262" s="1520"/>
      <c r="BX262" s="36"/>
      <c r="BY262" s="36"/>
      <c r="BZ262" s="36"/>
      <c r="CA262" s="36" t="s">
        <v>1076</v>
      </c>
      <c r="CB262" s="1681"/>
      <c r="CC262" s="1681">
        <v>0</v>
      </c>
      <c r="CD262" s="1681"/>
      <c r="CE262" s="1681"/>
      <c r="CF262" s="1681">
        <v>1</v>
      </c>
      <c r="CG262" s="1681">
        <v>0</v>
      </c>
      <c r="CH262" s="1681"/>
      <c r="CI262" s="1681"/>
      <c r="CJ262" s="95"/>
      <c r="CK262" s="95"/>
      <c r="CL262" s="95">
        <v>1</v>
      </c>
      <c r="CM262" s="36"/>
      <c r="CO262" s="37"/>
      <c r="CP262" s="37"/>
      <c r="CQ262" s="37"/>
      <c r="CR262" s="37" t="s">
        <v>1074</v>
      </c>
      <c r="CS262" s="1678"/>
      <c r="CT262" s="1678">
        <v>1</v>
      </c>
      <c r="CU262" s="1678">
        <v>0</v>
      </c>
      <c r="CV262" s="1678">
        <v>1</v>
      </c>
      <c r="CW262" s="1678">
        <v>0</v>
      </c>
      <c r="CX262" s="1678">
        <v>0</v>
      </c>
      <c r="CY262" s="1678">
        <v>0</v>
      </c>
      <c r="CZ262" s="1678">
        <v>0</v>
      </c>
      <c r="DA262" s="1678">
        <v>0</v>
      </c>
      <c r="DB262" s="63"/>
      <c r="DC262" s="63"/>
      <c r="DD262" s="63">
        <v>2</v>
      </c>
      <c r="DG262" s="95"/>
      <c r="DH262" s="95"/>
      <c r="DI262" s="36"/>
      <c r="DJ262" s="36" t="s">
        <v>1080</v>
      </c>
      <c r="DK262" s="1484"/>
      <c r="DL262" s="1484">
        <v>0</v>
      </c>
      <c r="DM262" s="1484"/>
      <c r="DN262" s="1484"/>
      <c r="DO262" s="1484"/>
      <c r="DP262" s="1484"/>
      <c r="DQ262" s="1484">
        <v>0</v>
      </c>
      <c r="DR262" s="1484">
        <v>0</v>
      </c>
      <c r="DS262" s="1484">
        <v>1</v>
      </c>
      <c r="DT262" s="95"/>
      <c r="DU262" s="95"/>
      <c r="DV262" s="95">
        <v>1</v>
      </c>
      <c r="DW262" s="95"/>
      <c r="DY262" s="1209"/>
      <c r="DZ262" s="1209"/>
      <c r="EA262" s="1210"/>
      <c r="EB262" s="1211" t="s">
        <v>1074</v>
      </c>
      <c r="EC262" s="1212"/>
      <c r="ED262" s="1213">
        <v>0</v>
      </c>
      <c r="EE262" s="1213">
        <v>1</v>
      </c>
      <c r="EF262" s="1212"/>
      <c r="EG262" s="1213">
        <v>0</v>
      </c>
      <c r="EH262" s="1213">
        <v>0</v>
      </c>
      <c r="EI262" s="1212"/>
      <c r="EJ262" s="1212"/>
      <c r="EK262" s="611"/>
      <c r="EL262" s="611"/>
      <c r="EM262" s="612">
        <v>1</v>
      </c>
      <c r="EN262" s="36"/>
      <c r="EP262" s="527"/>
      <c r="EQ262" s="527"/>
      <c r="ER262" s="528"/>
      <c r="ES262" s="529" t="s">
        <v>1080</v>
      </c>
      <c r="ET262" s="531">
        <v>0</v>
      </c>
      <c r="EU262" s="531">
        <v>0</v>
      </c>
      <c r="EV262" s="531">
        <v>0</v>
      </c>
      <c r="EW262" s="531">
        <v>0</v>
      </c>
      <c r="EX262" s="530"/>
      <c r="EY262" s="531">
        <v>0</v>
      </c>
      <c r="EZ262" s="531">
        <v>0</v>
      </c>
      <c r="FA262" s="531">
        <v>8</v>
      </c>
      <c r="FB262" s="532">
        <v>2</v>
      </c>
      <c r="FC262" s="527"/>
      <c r="FD262" s="532">
        <v>10</v>
      </c>
      <c r="FE262" s="95"/>
      <c r="FG262" s="533"/>
      <c r="FH262" s="533"/>
      <c r="FI262" s="533"/>
      <c r="FJ262" s="534" t="s">
        <v>1163</v>
      </c>
      <c r="FK262" s="536">
        <v>1</v>
      </c>
      <c r="FL262" s="536">
        <v>0</v>
      </c>
      <c r="FM262" s="536">
        <v>0</v>
      </c>
      <c r="FN262" s="536">
        <v>6</v>
      </c>
      <c r="FO262" s="536">
        <v>4</v>
      </c>
      <c r="FP262" s="536">
        <v>5</v>
      </c>
      <c r="FQ262" s="536">
        <v>34</v>
      </c>
      <c r="FR262" s="536">
        <v>8</v>
      </c>
      <c r="FS262" s="536">
        <v>2</v>
      </c>
      <c r="FT262" s="538">
        <v>0</v>
      </c>
      <c r="FU262" s="538">
        <v>0</v>
      </c>
      <c r="FV262" s="538">
        <v>60</v>
      </c>
      <c r="FW262" s="539"/>
      <c r="GA262" s="540"/>
      <c r="GB262" s="541" t="s">
        <v>1076</v>
      </c>
      <c r="GC262" s="543">
        <v>0</v>
      </c>
      <c r="GD262" s="543">
        <v>0</v>
      </c>
      <c r="GE262" s="543">
        <v>9</v>
      </c>
      <c r="GF262" s="543">
        <v>0</v>
      </c>
      <c r="GG262" s="543">
        <v>0</v>
      </c>
      <c r="GH262" s="543">
        <v>13</v>
      </c>
      <c r="GI262" s="543">
        <v>48</v>
      </c>
      <c r="GJ262" s="543">
        <v>1</v>
      </c>
      <c r="GK262" s="543">
        <v>1</v>
      </c>
      <c r="GL262" s="543">
        <v>0</v>
      </c>
      <c r="GM262" s="543">
        <v>72</v>
      </c>
      <c r="GN262" s="445"/>
      <c r="GR262" s="63"/>
      <c r="GS262" s="37" t="s">
        <v>1077</v>
      </c>
      <c r="GT262" s="37">
        <v>0</v>
      </c>
      <c r="GU262" s="37">
        <v>1</v>
      </c>
      <c r="GV262" s="37">
        <v>0</v>
      </c>
      <c r="GW262" s="37"/>
      <c r="GX262" s="37">
        <v>1</v>
      </c>
      <c r="GY262" s="37">
        <v>0</v>
      </c>
      <c r="GZ262" s="37">
        <v>0</v>
      </c>
      <c r="HA262" s="37">
        <v>0</v>
      </c>
      <c r="HB262" s="37">
        <v>0</v>
      </c>
      <c r="HC262" s="37">
        <v>0</v>
      </c>
      <c r="HD262" s="37">
        <v>2</v>
      </c>
      <c r="HE262" s="37"/>
      <c r="HF262" s="37"/>
      <c r="HG262" s="446"/>
      <c r="HH262" s="446"/>
      <c r="HI262" s="446"/>
      <c r="HJ262" s="446" t="s">
        <v>1076</v>
      </c>
      <c r="HK262" s="446">
        <v>0</v>
      </c>
      <c r="HL262" s="446">
        <v>0</v>
      </c>
      <c r="HM262" s="446">
        <v>0</v>
      </c>
      <c r="HN262" s="446">
        <v>10</v>
      </c>
      <c r="HO262" s="446">
        <v>2</v>
      </c>
      <c r="HP262" s="446">
        <v>0</v>
      </c>
      <c r="HQ262" s="446">
        <v>14</v>
      </c>
      <c r="HR262" s="446">
        <v>17</v>
      </c>
      <c r="HS262" s="446">
        <v>0</v>
      </c>
      <c r="HT262" s="446">
        <v>1</v>
      </c>
      <c r="HU262" s="446">
        <v>0</v>
      </c>
      <c r="HV262" s="447">
        <v>44</v>
      </c>
      <c r="HW262" s="446"/>
      <c r="HX262" s="448"/>
    </row>
    <row r="263" spans="1:232" ht="15" thickBot="1">
      <c r="A263" s="5682"/>
      <c r="B263" s="5682"/>
      <c r="C263" s="5683"/>
      <c r="D263" s="5683"/>
      <c r="E263" s="5686">
        <f>SUM(E254:E262)</f>
        <v>20</v>
      </c>
      <c r="F263" s="5682"/>
      <c r="G263" s="4921">
        <f>(E255+E256)/(E263)</f>
        <v>0.1</v>
      </c>
      <c r="I263" s="4915"/>
      <c r="J263" s="4915"/>
      <c r="K263" s="4916"/>
      <c r="L263" s="4916"/>
      <c r="M263" s="4920">
        <f>SUM(M261:M262)</f>
        <v>12</v>
      </c>
      <c r="N263" s="4915"/>
      <c r="O263" s="4921">
        <v>0</v>
      </c>
      <c r="Q263" s="4705"/>
      <c r="R263" s="4713"/>
      <c r="S263" s="4714"/>
      <c r="T263" s="4714"/>
      <c r="U263" s="4748">
        <f>SUM(U226:U227,U235:U237,U244:U245,U251,U255,U258:U259)</f>
        <v>24</v>
      </c>
      <c r="V263" s="4733"/>
      <c r="W263" s="4722"/>
      <c r="Y263" s="36"/>
      <c r="Z263" s="36"/>
      <c r="AA263" s="36"/>
      <c r="AB263" s="36" t="s">
        <v>1080</v>
      </c>
      <c r="AC263" s="1681">
        <v>0</v>
      </c>
      <c r="AD263" s="1681">
        <v>0</v>
      </c>
      <c r="AE263" s="1681">
        <v>0</v>
      </c>
      <c r="AF263" s="1681">
        <v>0</v>
      </c>
      <c r="AG263" s="1681">
        <v>0</v>
      </c>
      <c r="AH263" s="1681">
        <v>0</v>
      </c>
      <c r="AI263" s="1681">
        <v>0</v>
      </c>
      <c r="AJ263" s="1681">
        <v>48</v>
      </c>
      <c r="AK263" s="1681">
        <v>14</v>
      </c>
      <c r="AL263" s="95">
        <v>5</v>
      </c>
      <c r="AM263" s="95">
        <v>67</v>
      </c>
      <c r="AN263" s="4545"/>
      <c r="AS263" s="3868" t="s">
        <v>1080</v>
      </c>
      <c r="AT263" s="3721">
        <v>0</v>
      </c>
      <c r="AU263" s="3721"/>
      <c r="AV263" s="3721"/>
      <c r="AW263" s="3721"/>
      <c r="AX263" s="3721">
        <v>0</v>
      </c>
      <c r="AY263" s="3721"/>
      <c r="AZ263" s="3721">
        <v>0</v>
      </c>
      <c r="BA263" s="3721">
        <v>3</v>
      </c>
      <c r="BB263" s="3721">
        <v>5</v>
      </c>
      <c r="BC263" s="2110"/>
      <c r="BD263" s="2110"/>
      <c r="BE263" s="2110">
        <v>8</v>
      </c>
      <c r="BF263" s="2110"/>
      <c r="BG263" s="2110"/>
      <c r="BJ263" s="1520"/>
      <c r="BK263" s="1520" t="s">
        <v>485</v>
      </c>
      <c r="BL263" s="3872">
        <v>4</v>
      </c>
      <c r="BM263" s="3872">
        <v>3</v>
      </c>
      <c r="BN263" s="3872">
        <v>1</v>
      </c>
      <c r="BO263" s="3872">
        <v>1</v>
      </c>
      <c r="BP263" s="3872">
        <v>1</v>
      </c>
      <c r="BQ263" s="3872">
        <v>46</v>
      </c>
      <c r="BR263" s="3872">
        <v>25</v>
      </c>
      <c r="BS263" s="3872">
        <v>10</v>
      </c>
      <c r="BT263" s="3806">
        <v>1</v>
      </c>
      <c r="BU263" s="3806">
        <v>92</v>
      </c>
      <c r="BV263" s="3807">
        <f>+(BU259+BU261+BU262)/BU263</f>
        <v>0.20652173913043478</v>
      </c>
      <c r="BX263" s="36"/>
      <c r="BY263" s="36"/>
      <c r="BZ263" s="36"/>
      <c r="CA263" s="36" t="s">
        <v>1081</v>
      </c>
      <c r="CB263" s="1681"/>
      <c r="CC263" s="1681">
        <v>0</v>
      </c>
      <c r="CD263" s="1681"/>
      <c r="CE263" s="1681"/>
      <c r="CF263" s="1681">
        <v>3</v>
      </c>
      <c r="CG263" s="1681">
        <v>1</v>
      </c>
      <c r="CH263" s="1681"/>
      <c r="CI263" s="1681"/>
      <c r="CJ263" s="95"/>
      <c r="CK263" s="95"/>
      <c r="CL263" s="95">
        <v>4</v>
      </c>
      <c r="CM263" s="36"/>
      <c r="CO263" s="37"/>
      <c r="CP263" s="37"/>
      <c r="CQ263" s="37"/>
      <c r="CR263" s="37" t="s">
        <v>1076</v>
      </c>
      <c r="CS263" s="1678"/>
      <c r="CT263" s="1678">
        <v>0</v>
      </c>
      <c r="CU263" s="1678">
        <v>0</v>
      </c>
      <c r="CV263" s="1678">
        <v>0</v>
      </c>
      <c r="CW263" s="1678">
        <v>0</v>
      </c>
      <c r="CX263" s="1678">
        <v>0</v>
      </c>
      <c r="CY263" s="1678">
        <v>6</v>
      </c>
      <c r="CZ263" s="1678">
        <v>1</v>
      </c>
      <c r="DA263" s="1678">
        <v>0</v>
      </c>
      <c r="DB263" s="63"/>
      <c r="DC263" s="63"/>
      <c r="DD263" s="63">
        <v>7</v>
      </c>
      <c r="DG263" s="95"/>
      <c r="DH263" s="95"/>
      <c r="DI263" s="36"/>
      <c r="DJ263" s="36" t="s">
        <v>1081</v>
      </c>
      <c r="DK263" s="1484"/>
      <c r="DL263" s="1484">
        <v>0</v>
      </c>
      <c r="DM263" s="1484"/>
      <c r="DN263" s="1484"/>
      <c r="DO263" s="1484"/>
      <c r="DP263" s="1484"/>
      <c r="DQ263" s="1484">
        <v>2</v>
      </c>
      <c r="DR263" s="1484">
        <v>4</v>
      </c>
      <c r="DS263" s="1484">
        <v>0</v>
      </c>
      <c r="DT263" s="95"/>
      <c r="DU263" s="95"/>
      <c r="DV263" s="95">
        <v>6</v>
      </c>
      <c r="DW263" s="95"/>
      <c r="DY263" s="1209"/>
      <c r="DZ263" s="1209"/>
      <c r="EA263" s="1210"/>
      <c r="EB263" s="1211" t="s">
        <v>1080</v>
      </c>
      <c r="EC263" s="1212"/>
      <c r="ED263" s="1213">
        <v>0</v>
      </c>
      <c r="EE263" s="1213">
        <v>0</v>
      </c>
      <c r="EF263" s="1212"/>
      <c r="EG263" s="1213">
        <v>1</v>
      </c>
      <c r="EH263" s="1213">
        <v>0</v>
      </c>
      <c r="EI263" s="1212"/>
      <c r="EJ263" s="1212"/>
      <c r="EK263" s="611"/>
      <c r="EL263" s="611"/>
      <c r="EM263" s="612">
        <v>1</v>
      </c>
      <c r="EN263" s="36"/>
      <c r="EP263" s="527"/>
      <c r="EQ263" s="527"/>
      <c r="ER263" s="528"/>
      <c r="ES263" s="529" t="s">
        <v>1081</v>
      </c>
      <c r="ET263" s="531">
        <v>0</v>
      </c>
      <c r="EU263" s="531">
        <v>0</v>
      </c>
      <c r="EV263" s="531">
        <v>1</v>
      </c>
      <c r="EW263" s="531">
        <v>0</v>
      </c>
      <c r="EX263" s="530"/>
      <c r="EY263" s="531">
        <v>2</v>
      </c>
      <c r="EZ263" s="531">
        <v>3</v>
      </c>
      <c r="FA263" s="531">
        <v>1</v>
      </c>
      <c r="FB263" s="532">
        <v>0</v>
      </c>
      <c r="FC263" s="527"/>
      <c r="FD263" s="532">
        <v>7</v>
      </c>
      <c r="FE263" s="95"/>
      <c r="FG263" s="570"/>
      <c r="FH263" s="570"/>
      <c r="FI263" s="570"/>
      <c r="FJ263" s="571" t="s">
        <v>112</v>
      </c>
      <c r="FK263" s="572">
        <v>4</v>
      </c>
      <c r="FL263" s="572">
        <v>13</v>
      </c>
      <c r="FM263" s="572">
        <v>10</v>
      </c>
      <c r="FN263" s="572">
        <v>44</v>
      </c>
      <c r="FO263" s="572">
        <v>18</v>
      </c>
      <c r="FP263" s="572">
        <v>30</v>
      </c>
      <c r="FQ263" s="572">
        <v>167</v>
      </c>
      <c r="FR263" s="572">
        <v>85</v>
      </c>
      <c r="FS263" s="572">
        <v>112</v>
      </c>
      <c r="FT263" s="573">
        <v>16</v>
      </c>
      <c r="FU263" s="573">
        <v>13</v>
      </c>
      <c r="FV263" s="573">
        <v>512</v>
      </c>
      <c r="FW263" s="574">
        <f>+(FV262+FV261+FV258-FU261-FT261-FU258-FT258)/FV263</f>
        <v>0.33203125</v>
      </c>
      <c r="GA263" s="540"/>
      <c r="GB263" s="541" t="s">
        <v>1077</v>
      </c>
      <c r="GC263" s="543">
        <v>0</v>
      </c>
      <c r="GD263" s="543">
        <v>0</v>
      </c>
      <c r="GE263" s="543">
        <v>1</v>
      </c>
      <c r="GF263" s="543">
        <v>0</v>
      </c>
      <c r="GG263" s="543">
        <v>3</v>
      </c>
      <c r="GH263" s="543">
        <v>3</v>
      </c>
      <c r="GI263" s="543">
        <v>1</v>
      </c>
      <c r="GJ263" s="543">
        <v>0</v>
      </c>
      <c r="GK263" s="543">
        <v>0</v>
      </c>
      <c r="GL263" s="543">
        <v>0</v>
      </c>
      <c r="GM263" s="543">
        <v>8</v>
      </c>
      <c r="GN263" s="445"/>
      <c r="GR263" s="63"/>
      <c r="GS263" s="37" t="s">
        <v>1080</v>
      </c>
      <c r="GT263" s="37">
        <v>0</v>
      </c>
      <c r="GU263" s="37">
        <v>0</v>
      </c>
      <c r="GV263" s="37">
        <v>0</v>
      </c>
      <c r="GW263" s="37"/>
      <c r="GX263" s="37">
        <v>0</v>
      </c>
      <c r="GY263" s="37">
        <v>0</v>
      </c>
      <c r="GZ263" s="37">
        <v>1</v>
      </c>
      <c r="HA263" s="37">
        <v>55</v>
      </c>
      <c r="HB263" s="37">
        <v>1</v>
      </c>
      <c r="HC263" s="37">
        <v>3</v>
      </c>
      <c r="HD263" s="37">
        <v>60</v>
      </c>
      <c r="HE263" s="37"/>
      <c r="HF263" s="37"/>
      <c r="HG263" s="446"/>
      <c r="HH263" s="446"/>
      <c r="HI263" s="446"/>
      <c r="HJ263" s="446" t="s">
        <v>1077</v>
      </c>
      <c r="HK263" s="446">
        <v>0</v>
      </c>
      <c r="HL263" s="446">
        <v>0</v>
      </c>
      <c r="HM263" s="446">
        <v>1</v>
      </c>
      <c r="HN263" s="446">
        <v>1</v>
      </c>
      <c r="HO263" s="446">
        <v>2</v>
      </c>
      <c r="HP263" s="446">
        <v>1</v>
      </c>
      <c r="HQ263" s="446">
        <v>2</v>
      </c>
      <c r="HR263" s="446">
        <v>0</v>
      </c>
      <c r="HS263" s="446">
        <v>0</v>
      </c>
      <c r="HT263" s="446">
        <v>0</v>
      </c>
      <c r="HU263" s="446">
        <v>0</v>
      </c>
      <c r="HV263" s="447">
        <v>7</v>
      </c>
      <c r="HW263" s="446"/>
      <c r="HX263" s="448"/>
    </row>
    <row r="264" spans="1:232">
      <c r="A264" s="5682">
        <v>3</v>
      </c>
      <c r="B264" s="5682">
        <v>3</v>
      </c>
      <c r="C264" s="5683" t="s">
        <v>610</v>
      </c>
      <c r="D264" s="5683" t="s">
        <v>2709</v>
      </c>
      <c r="E264" s="5682">
        <v>3</v>
      </c>
      <c r="F264" s="5682">
        <v>6</v>
      </c>
      <c r="I264" s="4915">
        <v>3</v>
      </c>
      <c r="J264" s="4915">
        <v>4</v>
      </c>
      <c r="K264" s="4916" t="s">
        <v>2088</v>
      </c>
      <c r="L264" s="4916" t="s">
        <v>1071</v>
      </c>
      <c r="M264" s="4915">
        <v>1</v>
      </c>
      <c r="N264" s="4915">
        <v>3</v>
      </c>
      <c r="O264" s="157"/>
      <c r="Q264" s="4705"/>
      <c r="R264" s="4744"/>
      <c r="S264" s="4749" t="s">
        <v>41</v>
      </c>
      <c r="T264" s="4737"/>
      <c r="U264" s="4740">
        <f>SUM(U262,U257,U253,U249,U243,U231)</f>
        <v>84</v>
      </c>
      <c r="V264" s="4740"/>
      <c r="W264" s="4750">
        <f>(U263)/(U264)</f>
        <v>0.2857142857142857</v>
      </c>
      <c r="Y264" s="36"/>
      <c r="Z264" s="36"/>
      <c r="AA264" s="36"/>
      <c r="AB264" s="36" t="s">
        <v>1081</v>
      </c>
      <c r="AC264" s="1681">
        <v>0</v>
      </c>
      <c r="AD264" s="1681">
        <v>0</v>
      </c>
      <c r="AE264" s="1681">
        <v>0</v>
      </c>
      <c r="AF264" s="1681">
        <v>5</v>
      </c>
      <c r="AG264" s="1681">
        <v>4</v>
      </c>
      <c r="AH264" s="1681">
        <v>2</v>
      </c>
      <c r="AI264" s="1681">
        <v>1</v>
      </c>
      <c r="AJ264" s="1681">
        <v>3</v>
      </c>
      <c r="AK264" s="1681">
        <v>4</v>
      </c>
      <c r="AL264" s="95">
        <v>0</v>
      </c>
      <c r="AM264" s="95">
        <v>19</v>
      </c>
      <c r="AN264" s="4545"/>
      <c r="AS264" s="3868" t="s">
        <v>2571</v>
      </c>
      <c r="AT264" s="3721">
        <v>1</v>
      </c>
      <c r="AU264" s="3721"/>
      <c r="AV264" s="3721"/>
      <c r="AW264" s="3721"/>
      <c r="AX264" s="3721">
        <v>0</v>
      </c>
      <c r="AY264" s="3721"/>
      <c r="AZ264" s="3721">
        <v>0</v>
      </c>
      <c r="BA264" s="3721">
        <v>0</v>
      </c>
      <c r="BB264" s="3721">
        <v>0</v>
      </c>
      <c r="BC264" s="2110"/>
      <c r="BD264" s="2110"/>
      <c r="BE264" s="2110">
        <v>1</v>
      </c>
      <c r="BF264" s="2110"/>
      <c r="BG264" s="2110"/>
      <c r="BI264" s="32" t="s">
        <v>21</v>
      </c>
      <c r="BJ264" s="32" t="s">
        <v>142</v>
      </c>
      <c r="BK264" s="32" t="s">
        <v>1072</v>
      </c>
      <c r="BL264" s="3871"/>
      <c r="BM264" s="3871"/>
      <c r="BN264" s="3871"/>
      <c r="BO264" s="3871"/>
      <c r="BP264" s="3871">
        <v>1</v>
      </c>
      <c r="BQ264" s="3871">
        <v>22</v>
      </c>
      <c r="BR264" s="3871"/>
      <c r="BS264" s="3871"/>
      <c r="BT264" s="1518"/>
      <c r="BU264" s="1518">
        <v>23</v>
      </c>
      <c r="BX264" s="36"/>
      <c r="BY264" s="36"/>
      <c r="BZ264" s="36"/>
      <c r="CA264" s="393" t="s">
        <v>15</v>
      </c>
      <c r="CB264" s="1682"/>
      <c r="CC264" s="1682">
        <v>1</v>
      </c>
      <c r="CD264" s="1682"/>
      <c r="CE264" s="1682"/>
      <c r="CF264" s="1682">
        <v>7</v>
      </c>
      <c r="CG264" s="1682">
        <v>6</v>
      </c>
      <c r="CH264" s="1682"/>
      <c r="CI264" s="1682"/>
      <c r="CJ264" s="2041"/>
      <c r="CK264" s="2041"/>
      <c r="CL264" s="2041">
        <v>14</v>
      </c>
      <c r="CM264" s="560">
        <f>+(CL263+CL262)/CL264</f>
        <v>0.35714285714285715</v>
      </c>
      <c r="CN264" s="1665"/>
      <c r="CO264" s="37"/>
      <c r="CP264" s="37"/>
      <c r="CQ264" s="37"/>
      <c r="CR264" s="37" t="s">
        <v>1077</v>
      </c>
      <c r="CS264" s="1678"/>
      <c r="CT264" s="1678">
        <v>0</v>
      </c>
      <c r="CU264" s="1678">
        <v>0</v>
      </c>
      <c r="CV264" s="1678">
        <v>0</v>
      </c>
      <c r="CW264" s="1678">
        <v>1</v>
      </c>
      <c r="CX264" s="1678">
        <v>0</v>
      </c>
      <c r="CY264" s="1678">
        <v>0</v>
      </c>
      <c r="CZ264" s="1678">
        <v>0</v>
      </c>
      <c r="DA264" s="1678">
        <v>0</v>
      </c>
      <c r="DB264" s="63"/>
      <c r="DC264" s="63"/>
      <c r="DD264" s="63">
        <v>1</v>
      </c>
      <c r="DG264" s="95"/>
      <c r="DH264" s="95"/>
      <c r="DI264" s="36"/>
      <c r="DJ264" s="36" t="s">
        <v>1163</v>
      </c>
      <c r="DK264" s="1484"/>
      <c r="DL264" s="1484">
        <v>0</v>
      </c>
      <c r="DM264" s="1484"/>
      <c r="DN264" s="1484"/>
      <c r="DO264" s="1484"/>
      <c r="DP264" s="1484"/>
      <c r="DQ264" s="1484">
        <v>2</v>
      </c>
      <c r="DR264" s="1484">
        <v>0</v>
      </c>
      <c r="DS264" s="1484">
        <v>0</v>
      </c>
      <c r="DT264" s="95"/>
      <c r="DU264" s="95"/>
      <c r="DV264" s="95">
        <v>2</v>
      </c>
      <c r="DW264" s="95"/>
      <c r="DY264" s="1209"/>
      <c r="DZ264" s="1209"/>
      <c r="EA264" s="1210"/>
      <c r="EB264" s="415" t="s">
        <v>15</v>
      </c>
      <c r="EC264" s="1214"/>
      <c r="ED264" s="1215">
        <v>1</v>
      </c>
      <c r="EE264" s="1215">
        <v>3</v>
      </c>
      <c r="EF264" s="1214"/>
      <c r="EG264" s="1215">
        <v>2</v>
      </c>
      <c r="EH264" s="1215">
        <v>17</v>
      </c>
      <c r="EI264" s="1214"/>
      <c r="EJ264" s="1214"/>
      <c r="EK264" s="620"/>
      <c r="EL264" s="620"/>
      <c r="EM264" s="621">
        <v>23</v>
      </c>
      <c r="EN264" s="1178">
        <v>0</v>
      </c>
      <c r="EP264" s="527"/>
      <c r="EQ264" s="527"/>
      <c r="ER264" s="528"/>
      <c r="ES264" s="529" t="s">
        <v>1163</v>
      </c>
      <c r="ET264" s="531">
        <v>0</v>
      </c>
      <c r="EU264" s="531">
        <v>0</v>
      </c>
      <c r="EV264" s="531">
        <v>1</v>
      </c>
      <c r="EW264" s="531">
        <v>5</v>
      </c>
      <c r="EX264" s="530"/>
      <c r="EY264" s="531">
        <v>4</v>
      </c>
      <c r="EZ264" s="531">
        <v>2</v>
      </c>
      <c r="FA264" s="531">
        <v>2</v>
      </c>
      <c r="FB264" s="532">
        <v>0</v>
      </c>
      <c r="FC264" s="527"/>
      <c r="FD264" s="532">
        <v>14</v>
      </c>
      <c r="FE264" s="95"/>
      <c r="GA264" s="540"/>
      <c r="GB264" s="541" t="s">
        <v>1080</v>
      </c>
      <c r="GC264" s="543">
        <v>0</v>
      </c>
      <c r="GD264" s="543">
        <v>0</v>
      </c>
      <c r="GE264" s="543">
        <v>0</v>
      </c>
      <c r="GF264" s="543">
        <v>0</v>
      </c>
      <c r="GG264" s="543">
        <v>0</v>
      </c>
      <c r="GH264" s="543">
        <v>0</v>
      </c>
      <c r="GI264" s="543">
        <v>2</v>
      </c>
      <c r="GJ264" s="543">
        <v>75</v>
      </c>
      <c r="GK264" s="543">
        <v>5</v>
      </c>
      <c r="GL264" s="543">
        <v>2</v>
      </c>
      <c r="GM264" s="543">
        <v>84</v>
      </c>
      <c r="GN264" s="445"/>
      <c r="GR264" s="63"/>
      <c r="GS264" s="37" t="s">
        <v>1081</v>
      </c>
      <c r="GT264" s="37">
        <v>0</v>
      </c>
      <c r="GU264" s="37">
        <v>0</v>
      </c>
      <c r="GV264" s="37">
        <v>0</v>
      </c>
      <c r="GW264" s="37"/>
      <c r="GX264" s="37">
        <v>0</v>
      </c>
      <c r="GY264" s="37">
        <v>0</v>
      </c>
      <c r="GZ264" s="37">
        <v>4</v>
      </c>
      <c r="HA264" s="37">
        <v>0</v>
      </c>
      <c r="HB264" s="37">
        <v>0</v>
      </c>
      <c r="HC264" s="37">
        <v>0</v>
      </c>
      <c r="HD264" s="37">
        <v>4</v>
      </c>
      <c r="HE264" s="37"/>
      <c r="HF264" s="37"/>
      <c r="HG264" s="446"/>
      <c r="HH264" s="446"/>
      <c r="HI264" s="446"/>
      <c r="HJ264" s="446" t="s">
        <v>1080</v>
      </c>
      <c r="HK264" s="446">
        <v>0</v>
      </c>
      <c r="HL264" s="446">
        <v>0</v>
      </c>
      <c r="HM264" s="446">
        <v>0</v>
      </c>
      <c r="HN264" s="446">
        <v>0</v>
      </c>
      <c r="HO264" s="446">
        <v>0</v>
      </c>
      <c r="HP264" s="446">
        <v>0</v>
      </c>
      <c r="HQ264" s="446">
        <v>0</v>
      </c>
      <c r="HR264" s="446">
        <v>29</v>
      </c>
      <c r="HS264" s="446">
        <v>109</v>
      </c>
      <c r="HT264" s="446">
        <v>5</v>
      </c>
      <c r="HU264" s="446">
        <v>2</v>
      </c>
      <c r="HV264" s="447">
        <v>145</v>
      </c>
      <c r="HW264" s="446"/>
      <c r="HX264" s="448"/>
    </row>
    <row r="265" spans="1:232">
      <c r="A265" s="5682">
        <v>3</v>
      </c>
      <c r="B265" s="5682">
        <v>3</v>
      </c>
      <c r="C265" s="5683" t="s">
        <v>610</v>
      </c>
      <c r="D265" s="5683" t="s">
        <v>2709</v>
      </c>
      <c r="E265" s="5682">
        <v>1</v>
      </c>
      <c r="F265" s="5682">
        <v>7</v>
      </c>
      <c r="I265" s="4915">
        <v>3</v>
      </c>
      <c r="J265" s="4915">
        <v>4</v>
      </c>
      <c r="K265" s="4916" t="s">
        <v>2088</v>
      </c>
      <c r="L265" s="4916" t="s">
        <v>2709</v>
      </c>
      <c r="M265" s="4915">
        <v>2</v>
      </c>
      <c r="N265" s="4915">
        <v>1</v>
      </c>
      <c r="O265" s="157"/>
      <c r="Q265" s="4705">
        <v>3</v>
      </c>
      <c r="R265" s="4713">
        <v>4</v>
      </c>
      <c r="S265" s="4714" t="s">
        <v>297</v>
      </c>
      <c r="T265" s="4714" t="s">
        <v>1071</v>
      </c>
      <c r="U265" s="4732">
        <v>1</v>
      </c>
      <c r="V265" s="4732">
        <v>6</v>
      </c>
      <c r="W265" s="4722"/>
      <c r="Y265" s="36"/>
      <c r="Z265" s="36"/>
      <c r="AA265" s="36"/>
      <c r="AB265" s="36" t="s">
        <v>2571</v>
      </c>
      <c r="AC265" s="1681">
        <v>21</v>
      </c>
      <c r="AD265" s="1681">
        <v>0</v>
      </c>
      <c r="AE265" s="1681">
        <v>0</v>
      </c>
      <c r="AF265" s="1681">
        <v>0</v>
      </c>
      <c r="AG265" s="1681">
        <v>0</v>
      </c>
      <c r="AH265" s="1681">
        <v>0</v>
      </c>
      <c r="AI265" s="1681">
        <v>0</v>
      </c>
      <c r="AJ265" s="1681">
        <v>0</v>
      </c>
      <c r="AK265" s="1681">
        <v>0</v>
      </c>
      <c r="AL265" s="95">
        <v>0</v>
      </c>
      <c r="AM265" s="95">
        <v>21</v>
      </c>
      <c r="AN265" s="4545"/>
      <c r="AS265" s="3868" t="s">
        <v>1163</v>
      </c>
      <c r="AT265" s="3721">
        <v>0</v>
      </c>
      <c r="AU265" s="3721"/>
      <c r="AV265" s="3721"/>
      <c r="AW265" s="3721"/>
      <c r="AX265" s="3721">
        <v>0</v>
      </c>
      <c r="AY265" s="3721"/>
      <c r="AZ265" s="3721">
        <v>1</v>
      </c>
      <c r="BA265" s="3721">
        <v>1</v>
      </c>
      <c r="BB265" s="3721">
        <v>0</v>
      </c>
      <c r="BC265" s="2110"/>
      <c r="BD265" s="2110"/>
      <c r="BE265" s="2110">
        <v>2</v>
      </c>
      <c r="BF265" s="2110"/>
      <c r="BG265" s="2110"/>
      <c r="BK265" s="1520" t="s">
        <v>15</v>
      </c>
      <c r="BL265" s="3872"/>
      <c r="BM265" s="3872"/>
      <c r="BN265" s="3872"/>
      <c r="BO265" s="3872"/>
      <c r="BP265" s="3872">
        <v>1</v>
      </c>
      <c r="BQ265" s="3872">
        <v>22</v>
      </c>
      <c r="BR265" s="3872"/>
      <c r="BS265" s="3872"/>
      <c r="BT265" s="3806"/>
      <c r="BU265" s="3806">
        <v>23</v>
      </c>
      <c r="BV265" s="3807">
        <v>0</v>
      </c>
      <c r="BX265" s="36"/>
      <c r="BY265" s="36"/>
      <c r="BZ265" s="36" t="s">
        <v>140</v>
      </c>
      <c r="CA265" s="36" t="s">
        <v>1072</v>
      </c>
      <c r="CB265" s="1681"/>
      <c r="CC265" s="1681">
        <v>1</v>
      </c>
      <c r="CD265" s="1681"/>
      <c r="CE265" s="1681"/>
      <c r="CF265" s="1681"/>
      <c r="CG265" s="1681">
        <v>3</v>
      </c>
      <c r="CH265" s="1681">
        <v>1</v>
      </c>
      <c r="CI265" s="1681">
        <v>1</v>
      </c>
      <c r="CJ265" s="95"/>
      <c r="CK265" s="95"/>
      <c r="CL265" s="95">
        <v>6</v>
      </c>
      <c r="CM265" s="36"/>
      <c r="CO265" s="37"/>
      <c r="CP265" s="37"/>
      <c r="CQ265" s="37"/>
      <c r="CR265" s="37" t="s">
        <v>1080</v>
      </c>
      <c r="CS265" s="1678"/>
      <c r="CT265" s="1678">
        <v>0</v>
      </c>
      <c r="CU265" s="1678">
        <v>0</v>
      </c>
      <c r="CV265" s="1678">
        <v>0</v>
      </c>
      <c r="CW265" s="1678">
        <v>0</v>
      </c>
      <c r="CX265" s="1678">
        <v>0</v>
      </c>
      <c r="CY265" s="1678">
        <v>0</v>
      </c>
      <c r="CZ265" s="1678">
        <v>1</v>
      </c>
      <c r="DA265" s="1678">
        <v>9</v>
      </c>
      <c r="DB265" s="63"/>
      <c r="DC265" s="63"/>
      <c r="DD265" s="63">
        <v>10</v>
      </c>
      <c r="DG265" s="95"/>
      <c r="DH265" s="95"/>
      <c r="DI265" s="36"/>
      <c r="DJ265" s="393" t="s">
        <v>15</v>
      </c>
      <c r="DK265" s="1485"/>
      <c r="DL265" s="1485">
        <v>1</v>
      </c>
      <c r="DM265" s="1485"/>
      <c r="DN265" s="1485"/>
      <c r="DO265" s="1485"/>
      <c r="DP265" s="1485"/>
      <c r="DQ265" s="1485">
        <v>15</v>
      </c>
      <c r="DR265" s="1485">
        <v>5</v>
      </c>
      <c r="DS265" s="1485">
        <v>3</v>
      </c>
      <c r="DT265" s="86"/>
      <c r="DU265" s="86"/>
      <c r="DV265" s="86">
        <v>24</v>
      </c>
      <c r="DW265" s="560">
        <f>+(DV263+DV264)/DV265</f>
        <v>0.33333333333333331</v>
      </c>
      <c r="DY265" s="1209"/>
      <c r="DZ265" s="1209"/>
      <c r="EA265" s="1210" t="s">
        <v>726</v>
      </c>
      <c r="EB265" s="1211" t="s">
        <v>1071</v>
      </c>
      <c r="EC265" s="1212"/>
      <c r="ED265" s="1213">
        <v>0</v>
      </c>
      <c r="EE265" s="1213">
        <v>0</v>
      </c>
      <c r="EF265" s="1213">
        <v>0</v>
      </c>
      <c r="EG265" s="1213">
        <v>1</v>
      </c>
      <c r="EH265" s="1213">
        <v>0</v>
      </c>
      <c r="EI265" s="1212"/>
      <c r="EJ265" s="1213">
        <v>0</v>
      </c>
      <c r="EK265" s="611"/>
      <c r="EL265" s="611"/>
      <c r="EM265" s="612">
        <v>1</v>
      </c>
      <c r="EN265" s="36"/>
      <c r="EP265" s="527"/>
      <c r="EQ265" s="527"/>
      <c r="ER265" s="528"/>
      <c r="ES265" s="555" t="s">
        <v>485</v>
      </c>
      <c r="ET265" s="557">
        <v>2</v>
      </c>
      <c r="EU265" s="557">
        <v>1</v>
      </c>
      <c r="EV265" s="557">
        <v>23</v>
      </c>
      <c r="EW265" s="557">
        <v>8</v>
      </c>
      <c r="EX265" s="556"/>
      <c r="EY265" s="557">
        <v>16</v>
      </c>
      <c r="EZ265" s="557">
        <v>24</v>
      </c>
      <c r="FA265" s="557">
        <v>13</v>
      </c>
      <c r="FB265" s="559">
        <v>2</v>
      </c>
      <c r="FC265" s="558"/>
      <c r="FD265" s="559">
        <v>89</v>
      </c>
      <c r="FE265" s="560">
        <f>+(FD260+FD263+FD264)/FD265</f>
        <v>0.3258426966292135</v>
      </c>
      <c r="GA265" s="540"/>
      <c r="GB265" s="541" t="s">
        <v>1081</v>
      </c>
      <c r="GC265" s="543">
        <v>0</v>
      </c>
      <c r="GD265" s="543">
        <v>0</v>
      </c>
      <c r="GE265" s="543">
        <v>0</v>
      </c>
      <c r="GF265" s="543">
        <v>0</v>
      </c>
      <c r="GG265" s="543">
        <v>0</v>
      </c>
      <c r="GH265" s="543">
        <v>0</v>
      </c>
      <c r="GI265" s="543">
        <v>3</v>
      </c>
      <c r="GJ265" s="543">
        <v>0</v>
      </c>
      <c r="GK265" s="543">
        <v>0</v>
      </c>
      <c r="GL265" s="543">
        <v>0</v>
      </c>
      <c r="GM265" s="543">
        <v>3</v>
      </c>
      <c r="GN265" s="445"/>
      <c r="GR265" s="63"/>
      <c r="GS265" s="37" t="s">
        <v>1163</v>
      </c>
      <c r="GT265" s="37">
        <v>0</v>
      </c>
      <c r="GU265" s="37">
        <v>0</v>
      </c>
      <c r="GV265" s="37">
        <v>0</v>
      </c>
      <c r="GW265" s="37"/>
      <c r="GX265" s="37">
        <v>0</v>
      </c>
      <c r="GY265" s="37">
        <v>11</v>
      </c>
      <c r="GZ265" s="37">
        <v>7</v>
      </c>
      <c r="HA265" s="37">
        <v>0</v>
      </c>
      <c r="HB265" s="37">
        <v>0</v>
      </c>
      <c r="HC265" s="37">
        <v>0</v>
      </c>
      <c r="HD265" s="37">
        <v>18</v>
      </c>
      <c r="HE265" s="37"/>
      <c r="HF265" s="37"/>
      <c r="HG265" s="446"/>
      <c r="HH265" s="446"/>
      <c r="HI265" s="446"/>
      <c r="HJ265" s="446" t="s">
        <v>1163</v>
      </c>
      <c r="HK265" s="446">
        <v>0</v>
      </c>
      <c r="HL265" s="446">
        <v>0</v>
      </c>
      <c r="HM265" s="446">
        <v>0</v>
      </c>
      <c r="HN265" s="446">
        <v>3</v>
      </c>
      <c r="HO265" s="446">
        <v>0</v>
      </c>
      <c r="HP265" s="446">
        <v>0</v>
      </c>
      <c r="HQ265" s="446">
        <v>29</v>
      </c>
      <c r="HR265" s="446">
        <v>11</v>
      </c>
      <c r="HS265" s="446">
        <v>2</v>
      </c>
      <c r="HT265" s="446">
        <v>0</v>
      </c>
      <c r="HU265" s="446">
        <v>0</v>
      </c>
      <c r="HV265" s="447">
        <v>45</v>
      </c>
      <c r="HW265" s="446"/>
      <c r="HX265" s="448"/>
    </row>
    <row r="266" spans="1:232">
      <c r="A266" s="5682"/>
      <c r="B266" s="5682"/>
      <c r="C266" s="5683"/>
      <c r="D266" s="5683"/>
      <c r="E266" s="5686">
        <f>SUM(E264:E265)</f>
        <v>4</v>
      </c>
      <c r="F266" s="5682"/>
      <c r="G266" s="4921">
        <v>0</v>
      </c>
      <c r="I266" s="4915">
        <v>3</v>
      </c>
      <c r="J266" s="4915">
        <v>4</v>
      </c>
      <c r="K266" s="4916" t="s">
        <v>2088</v>
      </c>
      <c r="L266" s="4916" t="s">
        <v>2709</v>
      </c>
      <c r="M266" s="4915">
        <v>1</v>
      </c>
      <c r="N266" s="4915">
        <v>2</v>
      </c>
      <c r="O266" s="157"/>
      <c r="Q266" s="4705">
        <v>3</v>
      </c>
      <c r="R266" s="4705">
        <v>4</v>
      </c>
      <c r="S266" s="4706" t="s">
        <v>297</v>
      </c>
      <c r="T266" s="4706" t="s">
        <v>2703</v>
      </c>
      <c r="U266" s="4707">
        <v>1</v>
      </c>
      <c r="V266" s="4707">
        <v>1</v>
      </c>
      <c r="W266" s="4722"/>
      <c r="Y266" s="36"/>
      <c r="Z266" s="36"/>
      <c r="AA266" s="36"/>
      <c r="AB266" s="36" t="s">
        <v>1163</v>
      </c>
      <c r="AC266" s="1681">
        <v>0</v>
      </c>
      <c r="AD266" s="1681">
        <v>0</v>
      </c>
      <c r="AE266" s="1681">
        <v>0</v>
      </c>
      <c r="AF266" s="1681">
        <v>1</v>
      </c>
      <c r="AG266" s="1681">
        <v>0</v>
      </c>
      <c r="AH266" s="1681">
        <v>0</v>
      </c>
      <c r="AI266" s="1681">
        <v>0</v>
      </c>
      <c r="AJ266" s="1681">
        <v>0</v>
      </c>
      <c r="AK266" s="1681">
        <v>0</v>
      </c>
      <c r="AL266" s="95">
        <v>0</v>
      </c>
      <c r="AM266" s="95">
        <v>1</v>
      </c>
      <c r="AN266" s="4545"/>
      <c r="AS266" s="3868" t="s">
        <v>15</v>
      </c>
      <c r="AT266" s="3721">
        <v>1</v>
      </c>
      <c r="AU266" s="3721"/>
      <c r="AV266" s="3721"/>
      <c r="AW266" s="3721"/>
      <c r="AX266" s="3721">
        <v>1</v>
      </c>
      <c r="AY266" s="3721"/>
      <c r="AZ266" s="3721">
        <v>6</v>
      </c>
      <c r="BA266" s="3721">
        <v>9</v>
      </c>
      <c r="BB266" s="3721">
        <v>6</v>
      </c>
      <c r="BC266" s="2110"/>
      <c r="BD266" s="2110"/>
      <c r="BE266" s="2110">
        <v>23</v>
      </c>
      <c r="BF266" s="1665">
        <f>+(BE262+BE265)/(BE266-BE264)</f>
        <v>0.31818181818181818</v>
      </c>
      <c r="BG266" s="1665"/>
      <c r="BJ266" s="32" t="s">
        <v>389</v>
      </c>
      <c r="BK266" s="32" t="s">
        <v>1071</v>
      </c>
      <c r="BL266" s="3871">
        <v>0</v>
      </c>
      <c r="BM266" s="3871"/>
      <c r="BN266" s="3871"/>
      <c r="BO266" s="3871"/>
      <c r="BP266" s="3871"/>
      <c r="BQ266" s="3871">
        <v>0</v>
      </c>
      <c r="BR266" s="3871"/>
      <c r="BS266" s="3871">
        <v>2</v>
      </c>
      <c r="BT266" s="1518"/>
      <c r="BU266" s="1518">
        <v>2</v>
      </c>
      <c r="BX266" s="36"/>
      <c r="BY266" s="36"/>
      <c r="BZ266" s="36"/>
      <c r="CA266" s="36" t="s">
        <v>1076</v>
      </c>
      <c r="CB266" s="1681"/>
      <c r="CC266" s="1681">
        <v>0</v>
      </c>
      <c r="CD266" s="1681"/>
      <c r="CE266" s="1681"/>
      <c r="CF266" s="1681"/>
      <c r="CG266" s="1681">
        <v>2</v>
      </c>
      <c r="CH266" s="1681">
        <v>2</v>
      </c>
      <c r="CI266" s="1681">
        <v>1</v>
      </c>
      <c r="CJ266" s="95"/>
      <c r="CK266" s="95"/>
      <c r="CL266" s="95">
        <v>5</v>
      </c>
      <c r="CM266" s="36"/>
      <c r="CO266" s="37"/>
      <c r="CP266" s="37"/>
      <c r="CQ266" s="37"/>
      <c r="CR266" s="37" t="s">
        <v>1081</v>
      </c>
      <c r="CS266" s="1678"/>
      <c r="CT266" s="1678">
        <v>0</v>
      </c>
      <c r="CU266" s="1678">
        <v>0</v>
      </c>
      <c r="CV266" s="1678">
        <v>0</v>
      </c>
      <c r="CW266" s="1678">
        <v>0</v>
      </c>
      <c r="CX266" s="1678">
        <v>2</v>
      </c>
      <c r="CY266" s="1678">
        <v>9</v>
      </c>
      <c r="CZ266" s="1678">
        <v>2</v>
      </c>
      <c r="DA266" s="1678">
        <v>0</v>
      </c>
      <c r="DB266" s="63"/>
      <c r="DC266" s="63"/>
      <c r="DD266" s="63">
        <v>13</v>
      </c>
      <c r="DG266" s="95"/>
      <c r="DH266" s="95"/>
      <c r="DI266" s="36" t="s">
        <v>1732</v>
      </c>
      <c r="DJ266" s="36" t="s">
        <v>1072</v>
      </c>
      <c r="DK266" s="1484"/>
      <c r="DL266" s="1484">
        <v>1</v>
      </c>
      <c r="DM266" s="1484"/>
      <c r="DN266" s="1484"/>
      <c r="DO266" s="1484"/>
      <c r="DP266" s="1484"/>
      <c r="DQ266" s="1484">
        <v>6</v>
      </c>
      <c r="DR266" s="1484"/>
      <c r="DS266" s="1484"/>
      <c r="DT266" s="95"/>
      <c r="DU266" s="95"/>
      <c r="DV266" s="95">
        <v>7</v>
      </c>
      <c r="DW266" s="95"/>
      <c r="DY266" s="1209"/>
      <c r="DZ266" s="1209"/>
      <c r="EA266" s="1210"/>
      <c r="EB266" s="1211" t="s">
        <v>1072</v>
      </c>
      <c r="EC266" s="1212"/>
      <c r="ED266" s="1213">
        <v>1</v>
      </c>
      <c r="EE266" s="1213">
        <v>2</v>
      </c>
      <c r="EF266" s="1213">
        <v>1</v>
      </c>
      <c r="EG266" s="1213">
        <v>0</v>
      </c>
      <c r="EH266" s="1213">
        <v>22</v>
      </c>
      <c r="EI266" s="1212"/>
      <c r="EJ266" s="1213">
        <v>2</v>
      </c>
      <c r="EK266" s="611"/>
      <c r="EL266" s="611"/>
      <c r="EM266" s="612">
        <v>28</v>
      </c>
      <c r="EN266" s="36"/>
      <c r="EP266" s="527"/>
      <c r="EQ266" s="527" t="s">
        <v>103</v>
      </c>
      <c r="ER266" s="528" t="s">
        <v>142</v>
      </c>
      <c r="ES266" s="529" t="s">
        <v>1072</v>
      </c>
      <c r="ET266" s="530"/>
      <c r="EU266" s="530"/>
      <c r="EV266" s="530"/>
      <c r="EW266" s="530"/>
      <c r="EX266" s="530"/>
      <c r="EY266" s="531">
        <v>3</v>
      </c>
      <c r="EZ266" s="530"/>
      <c r="FA266" s="530"/>
      <c r="FB266" s="527"/>
      <c r="FC266" s="527"/>
      <c r="FD266" s="532">
        <v>3</v>
      </c>
      <c r="FE266" s="95"/>
      <c r="GA266" s="540"/>
      <c r="GB266" s="541" t="s">
        <v>1163</v>
      </c>
      <c r="GC266" s="543">
        <v>0</v>
      </c>
      <c r="GD266" s="543">
        <v>0</v>
      </c>
      <c r="GE266" s="543">
        <v>3</v>
      </c>
      <c r="GF266" s="543">
        <v>2</v>
      </c>
      <c r="GG266" s="543">
        <v>0</v>
      </c>
      <c r="GH266" s="543">
        <v>7</v>
      </c>
      <c r="GI266" s="543">
        <v>10</v>
      </c>
      <c r="GJ266" s="543">
        <v>1</v>
      </c>
      <c r="GK266" s="543">
        <v>0</v>
      </c>
      <c r="GL266" s="543">
        <v>0</v>
      </c>
      <c r="GM266" s="543">
        <v>23</v>
      </c>
      <c r="GN266" s="445"/>
      <c r="GR266" s="63"/>
      <c r="GS266" s="416" t="s">
        <v>15</v>
      </c>
      <c r="GT266" s="416">
        <v>2</v>
      </c>
      <c r="GU266" s="416">
        <v>4</v>
      </c>
      <c r="GV266" s="416">
        <v>2</v>
      </c>
      <c r="GW266" s="416"/>
      <c r="GX266" s="416">
        <v>1</v>
      </c>
      <c r="GY266" s="416">
        <v>23</v>
      </c>
      <c r="GZ266" s="416">
        <v>52</v>
      </c>
      <c r="HA266" s="416">
        <v>78</v>
      </c>
      <c r="HB266" s="416">
        <v>3</v>
      </c>
      <c r="HC266" s="416">
        <v>5</v>
      </c>
      <c r="HD266" s="416">
        <v>170</v>
      </c>
      <c r="HE266" s="466">
        <f>+(HD261+HD264+HD265)/HD266</f>
        <v>0.32941176470588235</v>
      </c>
      <c r="HF266" s="37"/>
      <c r="HG266" s="446"/>
      <c r="HH266" s="446"/>
      <c r="HI266" s="446"/>
      <c r="HJ266" s="449" t="s">
        <v>15</v>
      </c>
      <c r="HK266" s="449">
        <v>0</v>
      </c>
      <c r="HL266" s="449">
        <v>2</v>
      </c>
      <c r="HM266" s="449">
        <v>4</v>
      </c>
      <c r="HN266" s="449">
        <v>18</v>
      </c>
      <c r="HO266" s="449">
        <v>5</v>
      </c>
      <c r="HP266" s="449">
        <v>1</v>
      </c>
      <c r="HQ266" s="449">
        <v>53</v>
      </c>
      <c r="HR266" s="449">
        <v>65</v>
      </c>
      <c r="HS266" s="449">
        <v>126</v>
      </c>
      <c r="HT266" s="449">
        <v>8</v>
      </c>
      <c r="HU266" s="449">
        <v>7</v>
      </c>
      <c r="HV266" s="507">
        <v>289</v>
      </c>
      <c r="HW266" s="450">
        <f>+(HV265+HV262-HT262)/HV266</f>
        <v>0.30449826989619377</v>
      </c>
      <c r="HX266" s="448">
        <f>+HV262+HV265-HT262</f>
        <v>88</v>
      </c>
    </row>
    <row r="267" spans="1:232">
      <c r="A267" s="5682">
        <v>3</v>
      </c>
      <c r="B267" s="5682">
        <v>3</v>
      </c>
      <c r="C267" s="5683" t="s">
        <v>2085</v>
      </c>
      <c r="D267" s="5683" t="s">
        <v>2709</v>
      </c>
      <c r="E267" s="5682">
        <v>7</v>
      </c>
      <c r="F267" s="5682">
        <v>6</v>
      </c>
      <c r="I267" s="4915">
        <v>3</v>
      </c>
      <c r="J267" s="4915">
        <v>4</v>
      </c>
      <c r="K267" s="4916" t="s">
        <v>2088</v>
      </c>
      <c r="L267" s="4916" t="s">
        <v>2709</v>
      </c>
      <c r="M267" s="4915">
        <v>1</v>
      </c>
      <c r="N267" s="4915">
        <v>4</v>
      </c>
      <c r="O267" s="157"/>
      <c r="Q267" s="4705">
        <v>3</v>
      </c>
      <c r="R267" s="4705">
        <v>4</v>
      </c>
      <c r="S267" s="4706" t="s">
        <v>297</v>
      </c>
      <c r="T267" s="4706" t="s">
        <v>2705</v>
      </c>
      <c r="U267" s="4707">
        <v>1</v>
      </c>
      <c r="V267" s="4707">
        <v>4</v>
      </c>
      <c r="W267" s="4722"/>
      <c r="Y267" s="36"/>
      <c r="Z267" s="36"/>
      <c r="AA267" s="36"/>
      <c r="AB267" s="36" t="s">
        <v>15</v>
      </c>
      <c r="AC267" s="1681">
        <v>21</v>
      </c>
      <c r="AD267" s="1681">
        <v>8</v>
      </c>
      <c r="AE267" s="1681">
        <v>2</v>
      </c>
      <c r="AF267" s="1681">
        <v>20</v>
      </c>
      <c r="AG267" s="1681">
        <v>12</v>
      </c>
      <c r="AH267" s="1681">
        <v>12</v>
      </c>
      <c r="AI267" s="1681">
        <v>131</v>
      </c>
      <c r="AJ267" s="1681">
        <v>61</v>
      </c>
      <c r="AK267" s="1681">
        <v>20</v>
      </c>
      <c r="AL267" s="95">
        <v>11</v>
      </c>
      <c r="AM267" s="95">
        <v>298</v>
      </c>
      <c r="AN267" s="560">
        <f>+(AF261+AG261+AI261+AJ261+AK261+AF264+AG264+AH264+AI264+AJ264+AK264)/(AM267-AM265)</f>
        <v>0.1299638989169675</v>
      </c>
      <c r="AR267" s="3868" t="s">
        <v>1732</v>
      </c>
      <c r="AS267" s="3868" t="s">
        <v>1074</v>
      </c>
      <c r="AT267" s="3721"/>
      <c r="AU267" s="3721">
        <v>2</v>
      </c>
      <c r="AV267" s="3721"/>
      <c r="AW267" s="3721"/>
      <c r="AX267" s="3721"/>
      <c r="AY267" s="3721"/>
      <c r="AZ267" s="3721"/>
      <c r="BA267" s="3721">
        <v>0</v>
      </c>
      <c r="BB267" s="3721">
        <v>0</v>
      </c>
      <c r="BC267" s="2110">
        <v>0</v>
      </c>
      <c r="BD267" s="2110"/>
      <c r="BE267" s="2110">
        <v>2</v>
      </c>
      <c r="BF267" s="2110"/>
      <c r="BG267" s="2110"/>
      <c r="BK267" s="32" t="s">
        <v>1072</v>
      </c>
      <c r="BL267" s="3871">
        <v>0</v>
      </c>
      <c r="BM267" s="3871"/>
      <c r="BN267" s="3871"/>
      <c r="BO267" s="3871"/>
      <c r="BP267" s="3871"/>
      <c r="BQ267" s="3871">
        <v>11</v>
      </c>
      <c r="BR267" s="3871"/>
      <c r="BS267" s="3871">
        <v>0</v>
      </c>
      <c r="BT267" s="1518"/>
      <c r="BU267" s="1518">
        <v>11</v>
      </c>
      <c r="BX267" s="36"/>
      <c r="BY267" s="36"/>
      <c r="BZ267" s="36"/>
      <c r="CA267" s="36" t="s">
        <v>1080</v>
      </c>
      <c r="CB267" s="1681"/>
      <c r="CC267" s="1681">
        <v>0</v>
      </c>
      <c r="CD267" s="1681"/>
      <c r="CE267" s="1681"/>
      <c r="CF267" s="1681"/>
      <c r="CG267" s="1681">
        <v>0</v>
      </c>
      <c r="CH267" s="1681">
        <v>0</v>
      </c>
      <c r="CI267" s="1681">
        <v>1</v>
      </c>
      <c r="CJ267" s="95"/>
      <c r="CK267" s="95"/>
      <c r="CL267" s="95">
        <v>1</v>
      </c>
      <c r="CM267" s="36"/>
      <c r="CO267" s="37"/>
      <c r="CP267" s="37"/>
      <c r="CQ267" s="37"/>
      <c r="CR267" s="37" t="s">
        <v>1163</v>
      </c>
      <c r="CS267" s="1678"/>
      <c r="CT267" s="1678">
        <v>0</v>
      </c>
      <c r="CU267" s="1678">
        <v>0</v>
      </c>
      <c r="CV267" s="1678">
        <v>0</v>
      </c>
      <c r="CW267" s="1678">
        <v>1</v>
      </c>
      <c r="CX267" s="1678">
        <v>2</v>
      </c>
      <c r="CY267" s="1678">
        <v>14</v>
      </c>
      <c r="CZ267" s="1678">
        <v>1</v>
      </c>
      <c r="DA267" s="1678">
        <v>0</v>
      </c>
      <c r="DB267" s="63"/>
      <c r="DC267" s="63"/>
      <c r="DD267" s="63">
        <v>18</v>
      </c>
      <c r="DG267" s="95"/>
      <c r="DH267" s="95"/>
      <c r="DI267" s="36"/>
      <c r="DJ267" s="36" t="s">
        <v>1081</v>
      </c>
      <c r="DK267" s="1484"/>
      <c r="DL267" s="1484">
        <v>0</v>
      </c>
      <c r="DM267" s="1484"/>
      <c r="DN267" s="1484"/>
      <c r="DO267" s="1484"/>
      <c r="DP267" s="1484"/>
      <c r="DQ267" s="1484">
        <v>2</v>
      </c>
      <c r="DR267" s="1484"/>
      <c r="DS267" s="1484"/>
      <c r="DT267" s="95"/>
      <c r="DU267" s="95"/>
      <c r="DV267" s="95">
        <v>2</v>
      </c>
      <c r="DW267" s="95"/>
      <c r="DY267" s="1209"/>
      <c r="DZ267" s="1209"/>
      <c r="EA267" s="1210"/>
      <c r="EB267" s="1211" t="s">
        <v>1074</v>
      </c>
      <c r="EC267" s="1212"/>
      <c r="ED267" s="1213">
        <v>0</v>
      </c>
      <c r="EE267" s="1213">
        <v>1</v>
      </c>
      <c r="EF267" s="1213">
        <v>0</v>
      </c>
      <c r="EG267" s="1213">
        <v>0</v>
      </c>
      <c r="EH267" s="1213">
        <v>0</v>
      </c>
      <c r="EI267" s="1212"/>
      <c r="EJ267" s="1213">
        <v>0</v>
      </c>
      <c r="EK267" s="611"/>
      <c r="EL267" s="611"/>
      <c r="EM267" s="612">
        <v>1</v>
      </c>
      <c r="EN267" s="36"/>
      <c r="EP267" s="527"/>
      <c r="EQ267" s="527"/>
      <c r="ER267" s="528"/>
      <c r="ES267" s="529" t="s">
        <v>1076</v>
      </c>
      <c r="ET267" s="530"/>
      <c r="EU267" s="530"/>
      <c r="EV267" s="530"/>
      <c r="EW267" s="530"/>
      <c r="EX267" s="530"/>
      <c r="EY267" s="531">
        <v>3</v>
      </c>
      <c r="EZ267" s="530"/>
      <c r="FA267" s="530"/>
      <c r="FB267" s="527"/>
      <c r="FC267" s="527"/>
      <c r="FD267" s="532">
        <v>3</v>
      </c>
      <c r="FE267" s="95"/>
      <c r="GA267" s="540"/>
      <c r="GB267" s="550" t="s">
        <v>109</v>
      </c>
      <c r="GC267" s="552">
        <v>1</v>
      </c>
      <c r="GD267" s="552">
        <v>1</v>
      </c>
      <c r="GE267" s="552">
        <v>13</v>
      </c>
      <c r="GF267" s="552">
        <v>4</v>
      </c>
      <c r="GG267" s="552">
        <v>4</v>
      </c>
      <c r="GH267" s="552">
        <v>32</v>
      </c>
      <c r="GI267" s="552">
        <v>92</v>
      </c>
      <c r="GJ267" s="552">
        <v>93</v>
      </c>
      <c r="GK267" s="552">
        <v>13</v>
      </c>
      <c r="GL267" s="552">
        <v>13</v>
      </c>
      <c r="GM267" s="552">
        <v>266</v>
      </c>
      <c r="GN267" s="553">
        <f>+(GM266+GM265+GM262-GK262)/GM267</f>
        <v>0.36466165413533835</v>
      </c>
      <c r="GR267" s="63" t="s">
        <v>48</v>
      </c>
      <c r="GS267" s="37" t="s">
        <v>1071</v>
      </c>
      <c r="GT267" s="37"/>
      <c r="GU267" s="37">
        <v>0</v>
      </c>
      <c r="GV267" s="37">
        <v>0</v>
      </c>
      <c r="GW267" s="37">
        <v>0</v>
      </c>
      <c r="GX267" s="37">
        <v>0</v>
      </c>
      <c r="GY267" s="37">
        <v>0</v>
      </c>
      <c r="GZ267" s="37">
        <v>1</v>
      </c>
      <c r="HA267" s="37">
        <v>2</v>
      </c>
      <c r="HB267" s="37"/>
      <c r="HC267" s="37">
        <v>0</v>
      </c>
      <c r="HD267" s="37">
        <v>3</v>
      </c>
      <c r="HE267" s="37"/>
      <c r="HF267" s="37"/>
      <c r="HG267" s="446"/>
      <c r="HH267" s="446"/>
      <c r="HI267" s="446" t="s">
        <v>48</v>
      </c>
      <c r="HJ267" s="446" t="s">
        <v>1071</v>
      </c>
      <c r="HK267" s="446">
        <v>0</v>
      </c>
      <c r="HL267" s="446">
        <v>0</v>
      </c>
      <c r="HM267" s="446">
        <v>0</v>
      </c>
      <c r="HN267" s="446">
        <v>1</v>
      </c>
      <c r="HO267" s="446">
        <v>0</v>
      </c>
      <c r="HP267" s="446">
        <v>0</v>
      </c>
      <c r="HQ267" s="446">
        <v>3</v>
      </c>
      <c r="HR267" s="446">
        <v>1</v>
      </c>
      <c r="HS267" s="446">
        <v>1</v>
      </c>
      <c r="HT267" s="446">
        <v>0</v>
      </c>
      <c r="HU267" s="446">
        <v>0</v>
      </c>
      <c r="HV267" s="447">
        <v>6</v>
      </c>
      <c r="HW267" s="446"/>
      <c r="HX267" s="448"/>
    </row>
    <row r="268" spans="1:232">
      <c r="A268" s="5682"/>
      <c r="B268" s="5682"/>
      <c r="C268" s="5683"/>
      <c r="D268" s="5683"/>
      <c r="E268" s="5686">
        <f>SUM(E267)</f>
        <v>7</v>
      </c>
      <c r="F268" s="5682"/>
      <c r="G268" s="4921">
        <v>0</v>
      </c>
      <c r="I268" s="4915">
        <v>3</v>
      </c>
      <c r="J268" s="4915">
        <v>4</v>
      </c>
      <c r="K268" s="4916" t="s">
        <v>2088</v>
      </c>
      <c r="L268" s="4916" t="s">
        <v>2709</v>
      </c>
      <c r="M268" s="4915">
        <v>1</v>
      </c>
      <c r="N268" s="4915">
        <v>5</v>
      </c>
      <c r="O268" s="157"/>
      <c r="Q268" s="4705">
        <v>3</v>
      </c>
      <c r="R268" s="4705">
        <v>4</v>
      </c>
      <c r="S268" s="4706" t="s">
        <v>297</v>
      </c>
      <c r="T268" s="4708" t="s">
        <v>2707</v>
      </c>
      <c r="U268" s="4709">
        <v>4</v>
      </c>
      <c r="V268" s="4709">
        <v>6</v>
      </c>
      <c r="W268" s="4722"/>
      <c r="Y268" s="36" t="s">
        <v>59</v>
      </c>
      <c r="Z268" s="36" t="s">
        <v>16</v>
      </c>
      <c r="AA268" s="36" t="s">
        <v>608</v>
      </c>
      <c r="AB268" s="36" t="s">
        <v>1072</v>
      </c>
      <c r="AC268" s="1681">
        <v>0</v>
      </c>
      <c r="AD268" s="1681"/>
      <c r="AE268" s="1681"/>
      <c r="AF268" s="1681"/>
      <c r="AG268" s="1681"/>
      <c r="AH268" s="1681"/>
      <c r="AI268" s="1681">
        <v>1</v>
      </c>
      <c r="AJ268" s="1681">
        <v>0</v>
      </c>
      <c r="AK268" s="1681"/>
      <c r="AL268" s="95"/>
      <c r="AM268" s="95">
        <v>1</v>
      </c>
      <c r="AN268" s="4545"/>
      <c r="AS268" s="3868" t="s">
        <v>1076</v>
      </c>
      <c r="AT268" s="3721"/>
      <c r="AU268" s="3721">
        <v>0</v>
      </c>
      <c r="AV268" s="3721"/>
      <c r="AW268" s="3721"/>
      <c r="AX268" s="3721"/>
      <c r="AY268" s="3721"/>
      <c r="AZ268" s="3721"/>
      <c r="BA268" s="3721">
        <v>1</v>
      </c>
      <c r="BB268" s="3721">
        <v>0</v>
      </c>
      <c r="BC268" s="2110">
        <v>0</v>
      </c>
      <c r="BD268" s="2110"/>
      <c r="BE268" s="2110">
        <v>1</v>
      </c>
      <c r="BF268" s="2110"/>
      <c r="BG268" s="2110"/>
      <c r="BK268" s="32" t="s">
        <v>1074</v>
      </c>
      <c r="BL268" s="3871">
        <v>1</v>
      </c>
      <c r="BM268" s="3871"/>
      <c r="BN268" s="3871"/>
      <c r="BO268" s="3871"/>
      <c r="BP268" s="3871"/>
      <c r="BQ268" s="3871">
        <v>0</v>
      </c>
      <c r="BR268" s="3871"/>
      <c r="BS268" s="3871">
        <v>0</v>
      </c>
      <c r="BT268" s="1518"/>
      <c r="BU268" s="1518">
        <v>1</v>
      </c>
      <c r="BX268" s="36"/>
      <c r="BY268" s="36"/>
      <c r="BZ268" s="36"/>
      <c r="CA268" s="36" t="s">
        <v>1081</v>
      </c>
      <c r="CB268" s="1681"/>
      <c r="CC268" s="1681">
        <v>0</v>
      </c>
      <c r="CD268" s="1681"/>
      <c r="CE268" s="1681"/>
      <c r="CF268" s="1681"/>
      <c r="CG268" s="1681">
        <v>0</v>
      </c>
      <c r="CH268" s="1681">
        <v>2</v>
      </c>
      <c r="CI268" s="1681">
        <v>1</v>
      </c>
      <c r="CJ268" s="95"/>
      <c r="CK268" s="95"/>
      <c r="CL268" s="95">
        <v>3</v>
      </c>
      <c r="CM268" s="36"/>
      <c r="CO268" s="37"/>
      <c r="CP268" s="37"/>
      <c r="CQ268" s="37"/>
      <c r="CR268" s="416" t="s">
        <v>485</v>
      </c>
      <c r="CS268" s="1679"/>
      <c r="CT268" s="1679">
        <v>3</v>
      </c>
      <c r="CU268" s="1679">
        <v>2</v>
      </c>
      <c r="CV268" s="1679">
        <v>1</v>
      </c>
      <c r="CW268" s="1679">
        <v>2</v>
      </c>
      <c r="CX268" s="1679">
        <v>7</v>
      </c>
      <c r="CY268" s="1679">
        <v>67</v>
      </c>
      <c r="CZ268" s="1679">
        <v>15</v>
      </c>
      <c r="DA268" s="1679">
        <v>11</v>
      </c>
      <c r="DB268" s="386"/>
      <c r="DC268" s="386"/>
      <c r="DD268" s="386">
        <v>108</v>
      </c>
      <c r="DE268" s="2045">
        <f>+(DD263+DD266+DD267)/DD268</f>
        <v>0.35185185185185186</v>
      </c>
      <c r="DG268" s="95"/>
      <c r="DH268" s="95"/>
      <c r="DI268" s="36"/>
      <c r="DJ268" s="36" t="s">
        <v>1163</v>
      </c>
      <c r="DK268" s="1484"/>
      <c r="DL268" s="1484">
        <v>0</v>
      </c>
      <c r="DM268" s="1484"/>
      <c r="DN268" s="1484"/>
      <c r="DO268" s="1484"/>
      <c r="DP268" s="1484"/>
      <c r="DQ268" s="1484">
        <v>1</v>
      </c>
      <c r="DR268" s="1484"/>
      <c r="DS268" s="1484"/>
      <c r="DT268" s="95"/>
      <c r="DU268" s="95"/>
      <c r="DV268" s="95">
        <v>1</v>
      </c>
      <c r="DW268" s="95"/>
      <c r="DY268" s="1209"/>
      <c r="DZ268" s="1209"/>
      <c r="EA268" s="1210"/>
      <c r="EB268" s="1211" t="s">
        <v>1076</v>
      </c>
      <c r="EC268" s="1212"/>
      <c r="ED268" s="1213">
        <v>0</v>
      </c>
      <c r="EE268" s="1213">
        <v>0</v>
      </c>
      <c r="EF268" s="1213">
        <v>0</v>
      </c>
      <c r="EG268" s="1213">
        <v>0</v>
      </c>
      <c r="EH268" s="1213">
        <v>5</v>
      </c>
      <c r="EI268" s="1212"/>
      <c r="EJ268" s="1213">
        <v>0</v>
      </c>
      <c r="EK268" s="611"/>
      <c r="EL268" s="611"/>
      <c r="EM268" s="612">
        <v>5</v>
      </c>
      <c r="EN268" s="36"/>
      <c r="EP268" s="527"/>
      <c r="EQ268" s="527"/>
      <c r="ER268" s="528"/>
      <c r="ES268" s="529" t="s">
        <v>1081</v>
      </c>
      <c r="ET268" s="530"/>
      <c r="EU268" s="530"/>
      <c r="EV268" s="530"/>
      <c r="EW268" s="530"/>
      <c r="EX268" s="530"/>
      <c r="EY268" s="531">
        <v>3</v>
      </c>
      <c r="EZ268" s="530"/>
      <c r="FA268" s="530"/>
      <c r="FB268" s="527"/>
      <c r="FC268" s="527"/>
      <c r="FD268" s="532">
        <v>3</v>
      </c>
      <c r="FE268" s="95"/>
      <c r="GA268" s="540" t="s">
        <v>412</v>
      </c>
      <c r="GB268" s="541" t="s">
        <v>1072</v>
      </c>
      <c r="GC268" s="542"/>
      <c r="GD268" s="543">
        <v>1</v>
      </c>
      <c r="GE268" s="543">
        <v>23</v>
      </c>
      <c r="GF268" s="543">
        <v>5</v>
      </c>
      <c r="GG268" s="543">
        <v>2</v>
      </c>
      <c r="GH268" s="543">
        <v>57</v>
      </c>
      <c r="GI268" s="543">
        <v>13</v>
      </c>
      <c r="GJ268" s="543">
        <v>1</v>
      </c>
      <c r="GK268" s="542"/>
      <c r="GL268" s="543">
        <v>0</v>
      </c>
      <c r="GM268" s="543">
        <v>102</v>
      </c>
      <c r="GN268" s="445"/>
      <c r="GR268" s="63"/>
      <c r="GS268" s="37" t="s">
        <v>1072</v>
      </c>
      <c r="GT268" s="37"/>
      <c r="GU268" s="37">
        <v>1</v>
      </c>
      <c r="GV268" s="37">
        <v>1</v>
      </c>
      <c r="GW268" s="37">
        <v>0</v>
      </c>
      <c r="GX268" s="37">
        <v>3</v>
      </c>
      <c r="GY268" s="37">
        <v>64</v>
      </c>
      <c r="GZ268" s="37">
        <v>4</v>
      </c>
      <c r="HA268" s="37">
        <v>1</v>
      </c>
      <c r="HB268" s="37"/>
      <c r="HC268" s="37">
        <v>0</v>
      </c>
      <c r="HD268" s="37">
        <v>74</v>
      </c>
      <c r="HE268" s="37"/>
      <c r="HF268" s="37"/>
      <c r="HG268" s="446"/>
      <c r="HH268" s="446"/>
      <c r="HI268" s="446"/>
      <c r="HJ268" s="446" t="s">
        <v>1072</v>
      </c>
      <c r="HK268" s="446">
        <v>0</v>
      </c>
      <c r="HL268" s="446">
        <v>1</v>
      </c>
      <c r="HM268" s="446">
        <v>4</v>
      </c>
      <c r="HN268" s="446">
        <v>2</v>
      </c>
      <c r="HO268" s="446">
        <v>4</v>
      </c>
      <c r="HP268" s="446">
        <v>1</v>
      </c>
      <c r="HQ268" s="446">
        <v>75</v>
      </c>
      <c r="HR268" s="446">
        <v>4</v>
      </c>
      <c r="HS268" s="446">
        <v>0</v>
      </c>
      <c r="HT268" s="446">
        <v>0</v>
      </c>
      <c r="HU268" s="446">
        <v>0</v>
      </c>
      <c r="HV268" s="447">
        <v>91</v>
      </c>
      <c r="HW268" s="446"/>
      <c r="HX268" s="448"/>
    </row>
    <row r="269" spans="1:232">
      <c r="A269" s="5682">
        <v>3</v>
      </c>
      <c r="B269" s="5682">
        <v>3</v>
      </c>
      <c r="C269" s="5683" t="s">
        <v>294</v>
      </c>
      <c r="D269" s="5683" t="s">
        <v>2709</v>
      </c>
      <c r="E269" s="5682">
        <v>13</v>
      </c>
      <c r="F269" s="5682">
        <v>6</v>
      </c>
      <c r="I269" s="4915">
        <v>3</v>
      </c>
      <c r="J269" s="4915">
        <v>4</v>
      </c>
      <c r="K269" s="4916" t="s">
        <v>2088</v>
      </c>
      <c r="L269" s="4916" t="s">
        <v>2709</v>
      </c>
      <c r="M269" s="4915">
        <v>16</v>
      </c>
      <c r="N269" s="4915">
        <v>6</v>
      </c>
      <c r="O269" s="157"/>
      <c r="Q269" s="4705">
        <v>3</v>
      </c>
      <c r="R269" s="4705">
        <v>4</v>
      </c>
      <c r="S269" s="4706" t="s">
        <v>297</v>
      </c>
      <c r="T269" s="4708" t="s">
        <v>1076</v>
      </c>
      <c r="U269" s="4709">
        <v>14</v>
      </c>
      <c r="V269" s="4709">
        <v>6</v>
      </c>
      <c r="W269" s="4722"/>
      <c r="X269" s="4452"/>
      <c r="Y269" s="36"/>
      <c r="Z269" s="36"/>
      <c r="AA269" s="36"/>
      <c r="AB269" s="36" t="s">
        <v>1080</v>
      </c>
      <c r="AC269" s="1681">
        <v>0</v>
      </c>
      <c r="AD269" s="1681"/>
      <c r="AE269" s="1681"/>
      <c r="AF269" s="1681"/>
      <c r="AG269" s="1681"/>
      <c r="AH269" s="1681"/>
      <c r="AI269" s="1681">
        <v>0</v>
      </c>
      <c r="AJ269" s="1681">
        <v>6</v>
      </c>
      <c r="AK269" s="1681"/>
      <c r="AL269" s="95"/>
      <c r="AM269" s="95">
        <v>6</v>
      </c>
      <c r="AN269" s="4545"/>
      <c r="AS269" s="3868" t="s">
        <v>1080</v>
      </c>
      <c r="AT269" s="3721"/>
      <c r="AU269" s="3721">
        <v>0</v>
      </c>
      <c r="AV269" s="3721"/>
      <c r="AW269" s="3721"/>
      <c r="AX269" s="3721"/>
      <c r="AY269" s="3721"/>
      <c r="AZ269" s="3721"/>
      <c r="BA269" s="3721">
        <v>0</v>
      </c>
      <c r="BB269" s="3721">
        <v>1</v>
      </c>
      <c r="BC269" s="2110">
        <v>4</v>
      </c>
      <c r="BD269" s="2110"/>
      <c r="BE269" s="2110">
        <v>5</v>
      </c>
      <c r="BF269" s="2110"/>
      <c r="BG269" s="2110"/>
      <c r="BK269" s="32" t="s">
        <v>1076</v>
      </c>
      <c r="BL269" s="3871">
        <v>0</v>
      </c>
      <c r="BM269" s="3871"/>
      <c r="BN269" s="3871"/>
      <c r="BO269" s="3871"/>
      <c r="BP269" s="3871"/>
      <c r="BQ269" s="3871">
        <v>2</v>
      </c>
      <c r="BR269" s="3871"/>
      <c r="BS269" s="3871">
        <v>0</v>
      </c>
      <c r="BT269" s="1518"/>
      <c r="BU269" s="1518">
        <v>2</v>
      </c>
      <c r="BX269" s="36"/>
      <c r="BY269" s="36"/>
      <c r="BZ269" s="36"/>
      <c r="CA269" s="36" t="s">
        <v>1163</v>
      </c>
      <c r="CB269" s="1681"/>
      <c r="CC269" s="1681">
        <v>0</v>
      </c>
      <c r="CD269" s="1681"/>
      <c r="CE269" s="1681"/>
      <c r="CF269" s="1681"/>
      <c r="CG269" s="1681">
        <v>3</v>
      </c>
      <c r="CH269" s="1681">
        <v>1</v>
      </c>
      <c r="CI269" s="1681">
        <v>0</v>
      </c>
      <c r="CJ269" s="95"/>
      <c r="CK269" s="95"/>
      <c r="CL269" s="95">
        <v>4</v>
      </c>
      <c r="CM269" s="36"/>
      <c r="CO269" s="37"/>
      <c r="CP269" s="37" t="s">
        <v>21</v>
      </c>
      <c r="CQ269" s="37" t="s">
        <v>142</v>
      </c>
      <c r="CR269" s="37" t="s">
        <v>1071</v>
      </c>
      <c r="CS269" s="1678"/>
      <c r="CT269" s="1678">
        <v>0</v>
      </c>
      <c r="CU269" s="1678">
        <v>0</v>
      </c>
      <c r="CV269" s="1678"/>
      <c r="CW269" s="1678">
        <v>0</v>
      </c>
      <c r="CX269" s="1678">
        <v>0</v>
      </c>
      <c r="CY269" s="1678">
        <v>0</v>
      </c>
      <c r="CZ269" s="1678">
        <v>1</v>
      </c>
      <c r="DA269" s="1678"/>
      <c r="DB269" s="63"/>
      <c r="DC269" s="63"/>
      <c r="DD269" s="63">
        <v>1</v>
      </c>
      <c r="DG269" s="95"/>
      <c r="DH269" s="95"/>
      <c r="DI269" s="36"/>
      <c r="DJ269" s="393" t="s">
        <v>15</v>
      </c>
      <c r="DK269" s="1485"/>
      <c r="DL269" s="1485">
        <v>1</v>
      </c>
      <c r="DM269" s="1485"/>
      <c r="DN269" s="1485"/>
      <c r="DO269" s="1485"/>
      <c r="DP269" s="1485"/>
      <c r="DQ269" s="1485">
        <v>9</v>
      </c>
      <c r="DR269" s="1485"/>
      <c r="DS269" s="1485"/>
      <c r="DT269" s="86"/>
      <c r="DU269" s="86"/>
      <c r="DV269" s="86">
        <v>10</v>
      </c>
      <c r="DW269" s="560">
        <f>+(DV267+DV268)/DV269</f>
        <v>0.3</v>
      </c>
      <c r="DY269" s="1209"/>
      <c r="DZ269" s="1209"/>
      <c r="EA269" s="1210"/>
      <c r="EB269" s="1211" t="s">
        <v>1077</v>
      </c>
      <c r="EC269" s="1212"/>
      <c r="ED269" s="1213">
        <v>0</v>
      </c>
      <c r="EE269" s="1213">
        <v>0</v>
      </c>
      <c r="EF269" s="1213">
        <v>0</v>
      </c>
      <c r="EG269" s="1213">
        <v>1</v>
      </c>
      <c r="EH269" s="1213">
        <v>0</v>
      </c>
      <c r="EI269" s="1212"/>
      <c r="EJ269" s="1213">
        <v>0</v>
      </c>
      <c r="EK269" s="611"/>
      <c r="EL269" s="611"/>
      <c r="EM269" s="612">
        <v>1</v>
      </c>
      <c r="EN269" s="36"/>
      <c r="EP269" s="527"/>
      <c r="EQ269" s="527"/>
      <c r="ER269" s="528"/>
      <c r="ES269" s="529" t="s">
        <v>1163</v>
      </c>
      <c r="ET269" s="530"/>
      <c r="EU269" s="530"/>
      <c r="EV269" s="530"/>
      <c r="EW269" s="530"/>
      <c r="EX269" s="530"/>
      <c r="EY269" s="531">
        <v>10</v>
      </c>
      <c r="EZ269" s="530"/>
      <c r="FA269" s="530"/>
      <c r="FB269" s="527"/>
      <c r="FC269" s="527"/>
      <c r="FD269" s="532">
        <v>10</v>
      </c>
      <c r="FE269" s="95"/>
      <c r="FY269" s="540"/>
      <c r="FZ269" s="540"/>
      <c r="GA269" s="540"/>
      <c r="GB269" s="541" t="s">
        <v>1074</v>
      </c>
      <c r="GC269" s="542"/>
      <c r="GD269" s="543">
        <v>1</v>
      </c>
      <c r="GE269" s="543">
        <v>0</v>
      </c>
      <c r="GF269" s="543">
        <v>1</v>
      </c>
      <c r="GG269" s="543">
        <v>0</v>
      </c>
      <c r="GH269" s="543">
        <v>0</v>
      </c>
      <c r="GI269" s="543">
        <v>0</v>
      </c>
      <c r="GJ269" s="543">
        <v>0</v>
      </c>
      <c r="GK269" s="542"/>
      <c r="GL269" s="543">
        <v>0</v>
      </c>
      <c r="GM269" s="543">
        <v>2</v>
      </c>
      <c r="GN269" s="445"/>
      <c r="GP269" s="63"/>
      <c r="GQ269" s="63"/>
      <c r="GR269" s="63"/>
      <c r="GS269" s="37" t="s">
        <v>1074</v>
      </c>
      <c r="GT269" s="37"/>
      <c r="GU269" s="37">
        <v>0</v>
      </c>
      <c r="GV269" s="37">
        <v>1</v>
      </c>
      <c r="GW269" s="37">
        <v>0</v>
      </c>
      <c r="GX269" s="37">
        <v>0</v>
      </c>
      <c r="GY269" s="37">
        <v>0</v>
      </c>
      <c r="GZ269" s="37">
        <v>0</v>
      </c>
      <c r="HA269" s="37">
        <v>0</v>
      </c>
      <c r="HB269" s="37"/>
      <c r="HC269" s="37">
        <v>0</v>
      </c>
      <c r="HD269" s="37">
        <v>1</v>
      </c>
      <c r="HE269" s="37"/>
      <c r="HF269" s="37"/>
      <c r="HG269" s="446"/>
      <c r="HH269" s="446"/>
      <c r="HI269" s="446"/>
      <c r="HJ269" s="446" t="s">
        <v>1076</v>
      </c>
      <c r="HK269" s="446">
        <v>0</v>
      </c>
      <c r="HL269" s="446">
        <v>0</v>
      </c>
      <c r="HM269" s="446">
        <v>0</v>
      </c>
      <c r="HN269" s="446">
        <v>2</v>
      </c>
      <c r="HO269" s="446">
        <v>0</v>
      </c>
      <c r="HP269" s="446">
        <v>0</v>
      </c>
      <c r="HQ269" s="446">
        <v>12</v>
      </c>
      <c r="HR269" s="446">
        <v>2</v>
      </c>
      <c r="HS269" s="446">
        <v>1</v>
      </c>
      <c r="HT269" s="446">
        <v>0</v>
      </c>
      <c r="HU269" s="446">
        <v>0</v>
      </c>
      <c r="HV269" s="447">
        <v>17</v>
      </c>
      <c r="HW269" s="446"/>
      <c r="HX269" s="448"/>
    </row>
    <row r="270" spans="1:232">
      <c r="A270" s="5682"/>
      <c r="B270" s="5682"/>
      <c r="C270" s="5683"/>
      <c r="D270" s="5683"/>
      <c r="E270" s="5686">
        <f>SUM(E269)</f>
        <v>13</v>
      </c>
      <c r="F270" s="5682"/>
      <c r="G270" s="4921">
        <v>0</v>
      </c>
      <c r="I270" s="4915"/>
      <c r="J270" s="4915"/>
      <c r="K270" s="4916"/>
      <c r="L270" s="4916"/>
      <c r="M270" s="4920">
        <f>SUM(M264:M269)</f>
        <v>22</v>
      </c>
      <c r="N270" s="4915"/>
      <c r="O270" s="4921">
        <v>0</v>
      </c>
      <c r="Q270" s="4705">
        <v>3</v>
      </c>
      <c r="R270" s="4705">
        <v>4</v>
      </c>
      <c r="S270" s="4706" t="s">
        <v>297</v>
      </c>
      <c r="T270" s="4706" t="s">
        <v>2709</v>
      </c>
      <c r="U270" s="4707">
        <v>1</v>
      </c>
      <c r="V270" s="4707">
        <v>1</v>
      </c>
      <c r="W270" s="4722"/>
      <c r="Y270" s="36"/>
      <c r="Z270" s="36"/>
      <c r="AA270" s="36"/>
      <c r="AB270" s="36" t="s">
        <v>1081</v>
      </c>
      <c r="AC270" s="1681">
        <v>0</v>
      </c>
      <c r="AD270" s="1681"/>
      <c r="AE270" s="1681"/>
      <c r="AF270" s="1681"/>
      <c r="AG270" s="1681"/>
      <c r="AH270" s="1681"/>
      <c r="AI270" s="1681">
        <v>4</v>
      </c>
      <c r="AJ270" s="1681">
        <v>0</v>
      </c>
      <c r="AK270" s="1681"/>
      <c r="AL270" s="95"/>
      <c r="AM270" s="95">
        <v>4</v>
      </c>
      <c r="AN270" s="4545"/>
      <c r="AS270" s="3868" t="s">
        <v>1163</v>
      </c>
      <c r="AT270" s="3721"/>
      <c r="AU270" s="3721">
        <v>0</v>
      </c>
      <c r="AV270" s="3721"/>
      <c r="AW270" s="3721"/>
      <c r="AX270" s="3721"/>
      <c r="AY270" s="3721"/>
      <c r="AZ270" s="3721"/>
      <c r="BA270" s="3721">
        <v>1</v>
      </c>
      <c r="BB270" s="3721">
        <v>0</v>
      </c>
      <c r="BC270" s="2110">
        <v>0</v>
      </c>
      <c r="BD270" s="2110"/>
      <c r="BE270" s="2110">
        <v>1</v>
      </c>
      <c r="BF270" s="2110"/>
      <c r="BG270" s="2110"/>
      <c r="BK270" s="1520" t="s">
        <v>15</v>
      </c>
      <c r="BL270" s="3872">
        <v>1</v>
      </c>
      <c r="BM270" s="3872"/>
      <c r="BN270" s="3872"/>
      <c r="BO270" s="3872"/>
      <c r="BP270" s="3872"/>
      <c r="BQ270" s="3872">
        <v>13</v>
      </c>
      <c r="BR270" s="3872"/>
      <c r="BS270" s="3872">
        <v>2</v>
      </c>
      <c r="BT270" s="3806"/>
      <c r="BU270" s="3806">
        <v>16</v>
      </c>
      <c r="BV270" s="3807">
        <f>+BU269/BU270</f>
        <v>0.125</v>
      </c>
      <c r="BX270" s="36"/>
      <c r="BY270" s="36"/>
      <c r="BZ270" s="36"/>
      <c r="CA270" s="393" t="s">
        <v>15</v>
      </c>
      <c r="CB270" s="1682"/>
      <c r="CC270" s="1682">
        <v>1</v>
      </c>
      <c r="CD270" s="1682"/>
      <c r="CE270" s="1682"/>
      <c r="CF270" s="1682"/>
      <c r="CG270" s="1682">
        <v>8</v>
      </c>
      <c r="CH270" s="1682">
        <v>6</v>
      </c>
      <c r="CI270" s="1682">
        <v>4</v>
      </c>
      <c r="CJ270" s="2041"/>
      <c r="CK270" s="2041"/>
      <c r="CL270" s="2041">
        <v>19</v>
      </c>
      <c r="CM270" s="560">
        <f>+(CL269+CL268+CL266)/CL270</f>
        <v>0.63157894736842102</v>
      </c>
      <c r="CN270" s="1665"/>
      <c r="CO270" s="37"/>
      <c r="CP270" s="37"/>
      <c r="CQ270" s="37"/>
      <c r="CR270" s="37" t="s">
        <v>1072</v>
      </c>
      <c r="CS270" s="1678"/>
      <c r="CT270" s="1678">
        <v>1</v>
      </c>
      <c r="CU270" s="1678">
        <v>1</v>
      </c>
      <c r="CV270" s="1678"/>
      <c r="CW270" s="1678">
        <v>1</v>
      </c>
      <c r="CX270" s="1678">
        <v>1</v>
      </c>
      <c r="CY270" s="1678">
        <v>8</v>
      </c>
      <c r="CZ270" s="1678">
        <v>0</v>
      </c>
      <c r="DA270" s="1678"/>
      <c r="DB270" s="63"/>
      <c r="DC270" s="63"/>
      <c r="DD270" s="63">
        <v>12</v>
      </c>
      <c r="DG270" s="95"/>
      <c r="DH270" s="95"/>
      <c r="DI270" s="36" t="s">
        <v>485</v>
      </c>
      <c r="DJ270" s="36" t="s">
        <v>1072</v>
      </c>
      <c r="DK270" s="1484"/>
      <c r="DL270" s="1484">
        <v>2</v>
      </c>
      <c r="DM270" s="1484"/>
      <c r="DN270" s="1484">
        <v>0</v>
      </c>
      <c r="DO270" s="1484"/>
      <c r="DP270" s="1484"/>
      <c r="DQ270" s="1484">
        <v>24</v>
      </c>
      <c r="DR270" s="1484">
        <v>7</v>
      </c>
      <c r="DS270" s="1484">
        <v>2</v>
      </c>
      <c r="DT270" s="95">
        <v>0</v>
      </c>
      <c r="DU270" s="95"/>
      <c r="DV270" s="95">
        <v>35</v>
      </c>
      <c r="DW270" s="95"/>
      <c r="DY270" s="1209"/>
      <c r="DZ270" s="1209"/>
      <c r="EA270" s="1210"/>
      <c r="EB270" s="1211" t="s">
        <v>1080</v>
      </c>
      <c r="EC270" s="1212"/>
      <c r="ED270" s="1213">
        <v>0</v>
      </c>
      <c r="EE270" s="1213">
        <v>0</v>
      </c>
      <c r="EF270" s="1213">
        <v>0</v>
      </c>
      <c r="EG270" s="1213">
        <v>2</v>
      </c>
      <c r="EH270" s="1213">
        <v>0</v>
      </c>
      <c r="EI270" s="1212"/>
      <c r="EJ270" s="1213">
        <v>0</v>
      </c>
      <c r="EK270" s="611"/>
      <c r="EL270" s="611"/>
      <c r="EM270" s="612">
        <v>2</v>
      </c>
      <c r="EN270" s="36"/>
      <c r="EP270" s="527"/>
      <c r="EQ270" s="527"/>
      <c r="ER270" s="528"/>
      <c r="ES270" s="555" t="s">
        <v>15</v>
      </c>
      <c r="ET270" s="556"/>
      <c r="EU270" s="556"/>
      <c r="EV270" s="556"/>
      <c r="EW270" s="556"/>
      <c r="EX270" s="556"/>
      <c r="EY270" s="557">
        <v>19</v>
      </c>
      <c r="EZ270" s="556"/>
      <c r="FA270" s="556"/>
      <c r="FB270" s="558"/>
      <c r="FC270" s="558"/>
      <c r="FD270" s="559">
        <v>19</v>
      </c>
      <c r="FE270" s="560">
        <f>+(FD267+FD268+FD269)/FD270</f>
        <v>0.84210526315789469</v>
      </c>
      <c r="FY270" s="540"/>
      <c r="FZ270" s="540"/>
      <c r="GA270" s="540"/>
      <c r="GB270" s="541" t="s">
        <v>1076</v>
      </c>
      <c r="GC270" s="542"/>
      <c r="GD270" s="543">
        <v>0</v>
      </c>
      <c r="GE270" s="543">
        <v>3</v>
      </c>
      <c r="GF270" s="543">
        <v>1</v>
      </c>
      <c r="GG270" s="543">
        <v>0</v>
      </c>
      <c r="GH270" s="543">
        <v>13</v>
      </c>
      <c r="GI270" s="543">
        <v>1</v>
      </c>
      <c r="GJ270" s="543">
        <v>1</v>
      </c>
      <c r="GK270" s="542"/>
      <c r="GL270" s="543">
        <v>0</v>
      </c>
      <c r="GM270" s="543">
        <v>19</v>
      </c>
      <c r="GN270" s="445"/>
      <c r="GP270" s="63"/>
      <c r="GQ270" s="63"/>
      <c r="GR270" s="63"/>
      <c r="GS270" s="37" t="s">
        <v>1076</v>
      </c>
      <c r="GT270" s="37"/>
      <c r="GU270" s="37">
        <v>0</v>
      </c>
      <c r="GV270" s="37">
        <v>1</v>
      </c>
      <c r="GW270" s="37">
        <v>0</v>
      </c>
      <c r="GX270" s="37">
        <v>0</v>
      </c>
      <c r="GY270" s="37">
        <v>8</v>
      </c>
      <c r="GZ270" s="37">
        <v>4</v>
      </c>
      <c r="HA270" s="37">
        <v>0</v>
      </c>
      <c r="HB270" s="37"/>
      <c r="HC270" s="37">
        <v>0</v>
      </c>
      <c r="HD270" s="37">
        <v>13</v>
      </c>
      <c r="HE270" s="37"/>
      <c r="HF270" s="37"/>
      <c r="HG270" s="446"/>
      <c r="HH270" s="446"/>
      <c r="HI270" s="446"/>
      <c r="HJ270" s="446" t="s">
        <v>1077</v>
      </c>
      <c r="HK270" s="446">
        <v>0</v>
      </c>
      <c r="HL270" s="446">
        <v>0</v>
      </c>
      <c r="HM270" s="446">
        <v>1</v>
      </c>
      <c r="HN270" s="446">
        <v>0</v>
      </c>
      <c r="HO270" s="446">
        <v>0</v>
      </c>
      <c r="HP270" s="446">
        <v>0</v>
      </c>
      <c r="HQ270" s="446">
        <v>1</v>
      </c>
      <c r="HR270" s="446">
        <v>0</v>
      </c>
      <c r="HS270" s="446">
        <v>0</v>
      </c>
      <c r="HT270" s="446">
        <v>0</v>
      </c>
      <c r="HU270" s="446">
        <v>0</v>
      </c>
      <c r="HV270" s="447">
        <v>2</v>
      </c>
      <c r="HW270" s="446"/>
      <c r="HX270" s="448"/>
    </row>
    <row r="271" spans="1:232">
      <c r="A271" s="5682">
        <v>3</v>
      </c>
      <c r="B271" s="5682">
        <v>3</v>
      </c>
      <c r="C271" s="5683" t="s">
        <v>2153</v>
      </c>
      <c r="D271" s="5683" t="s">
        <v>2709</v>
      </c>
      <c r="E271" s="5682">
        <v>7</v>
      </c>
      <c r="F271" s="5682">
        <v>6</v>
      </c>
      <c r="I271" s="4915"/>
      <c r="J271" s="4915"/>
      <c r="K271" s="4916"/>
      <c r="L271" s="4916"/>
      <c r="M271" s="4920"/>
      <c r="N271" s="4915"/>
      <c r="O271" s="157"/>
      <c r="Q271" s="4705">
        <v>3</v>
      </c>
      <c r="R271" s="4705">
        <v>4</v>
      </c>
      <c r="S271" s="4706" t="s">
        <v>297</v>
      </c>
      <c r="T271" s="4706" t="s">
        <v>2709</v>
      </c>
      <c r="U271" s="4707">
        <v>1</v>
      </c>
      <c r="V271" s="4707">
        <v>4</v>
      </c>
      <c r="W271" s="4722"/>
      <c r="Y271" s="36"/>
      <c r="Z271" s="36"/>
      <c r="AA271" s="36"/>
      <c r="AB271" s="36" t="s">
        <v>2571</v>
      </c>
      <c r="AC271" s="1681">
        <v>1</v>
      </c>
      <c r="AD271" s="1681"/>
      <c r="AE271" s="1681"/>
      <c r="AF271" s="1681"/>
      <c r="AG271" s="1681"/>
      <c r="AH271" s="1681"/>
      <c r="AI271" s="1681">
        <v>0</v>
      </c>
      <c r="AJ271" s="1681">
        <v>0</v>
      </c>
      <c r="AK271" s="1681"/>
      <c r="AL271" s="95"/>
      <c r="AM271" s="95">
        <v>1</v>
      </c>
      <c r="AN271" s="4545"/>
      <c r="AS271" s="3868" t="s">
        <v>15</v>
      </c>
      <c r="AT271" s="3721"/>
      <c r="AU271" s="3721">
        <v>2</v>
      </c>
      <c r="AV271" s="3721"/>
      <c r="AW271" s="3721"/>
      <c r="AX271" s="3721"/>
      <c r="AY271" s="3721"/>
      <c r="AZ271" s="3721"/>
      <c r="BA271" s="3721">
        <v>2</v>
      </c>
      <c r="BB271" s="3721">
        <v>1</v>
      </c>
      <c r="BC271" s="2110">
        <v>4</v>
      </c>
      <c r="BD271" s="2110"/>
      <c r="BE271" s="2110">
        <v>9</v>
      </c>
      <c r="BF271" s="1665">
        <f>+(BE268)/(BE271)</f>
        <v>0.1111111111111111</v>
      </c>
      <c r="BG271" s="1665"/>
      <c r="BJ271" s="32" t="s">
        <v>390</v>
      </c>
      <c r="BK271" s="32" t="s">
        <v>1072</v>
      </c>
      <c r="BL271" s="3871"/>
      <c r="BM271" s="3871">
        <v>0</v>
      </c>
      <c r="BN271" s="3871"/>
      <c r="BO271" s="3871">
        <v>3</v>
      </c>
      <c r="BP271" s="3871">
        <v>1</v>
      </c>
      <c r="BQ271" s="3871">
        <v>18</v>
      </c>
      <c r="BR271" s="3871">
        <v>1</v>
      </c>
      <c r="BS271" s="3871"/>
      <c r="BT271" s="1518"/>
      <c r="BU271" s="1518">
        <v>23</v>
      </c>
      <c r="BX271" s="36"/>
      <c r="BY271" s="36"/>
      <c r="BZ271" s="36" t="s">
        <v>141</v>
      </c>
      <c r="CA271" s="36" t="s">
        <v>1072</v>
      </c>
      <c r="CB271" s="1681"/>
      <c r="CC271" s="1681"/>
      <c r="CD271" s="1681"/>
      <c r="CE271" s="1681"/>
      <c r="CF271" s="1681"/>
      <c r="CG271" s="1681">
        <v>0</v>
      </c>
      <c r="CH271" s="1681">
        <v>1</v>
      </c>
      <c r="CI271" s="1681">
        <v>4</v>
      </c>
      <c r="CJ271" s="95">
        <v>0</v>
      </c>
      <c r="CK271" s="95"/>
      <c r="CL271" s="95">
        <v>5</v>
      </c>
      <c r="CM271" s="36"/>
      <c r="CO271" s="37"/>
      <c r="CP271" s="37"/>
      <c r="CQ271" s="37"/>
      <c r="CR271" s="37" t="s">
        <v>1076</v>
      </c>
      <c r="CS271" s="1678"/>
      <c r="CT271" s="1678">
        <v>0</v>
      </c>
      <c r="CU271" s="1678">
        <v>0</v>
      </c>
      <c r="CV271" s="1678"/>
      <c r="CW271" s="1678">
        <v>0</v>
      </c>
      <c r="CX271" s="1678">
        <v>0</v>
      </c>
      <c r="CY271" s="1678">
        <v>4</v>
      </c>
      <c r="CZ271" s="1678">
        <v>0</v>
      </c>
      <c r="DA271" s="1678"/>
      <c r="DB271" s="63"/>
      <c r="DC271" s="63"/>
      <c r="DD271" s="63">
        <v>4</v>
      </c>
      <c r="DG271" s="95"/>
      <c r="DH271" s="95"/>
      <c r="DI271" s="36"/>
      <c r="DJ271" s="36" t="s">
        <v>1074</v>
      </c>
      <c r="DK271" s="1484"/>
      <c r="DL271" s="1484">
        <v>1</v>
      </c>
      <c r="DM271" s="1484"/>
      <c r="DN271" s="1484">
        <v>0</v>
      </c>
      <c r="DO271" s="1484"/>
      <c r="DP271" s="1484"/>
      <c r="DQ271" s="1484">
        <v>0</v>
      </c>
      <c r="DR271" s="1484">
        <v>0</v>
      </c>
      <c r="DS271" s="1484">
        <v>0</v>
      </c>
      <c r="DT271" s="95">
        <v>0</v>
      </c>
      <c r="DU271" s="95"/>
      <c r="DV271" s="95">
        <v>1</v>
      </c>
      <c r="DW271" s="95"/>
      <c r="DY271" s="1209"/>
      <c r="DZ271" s="1209"/>
      <c r="EA271" s="1210"/>
      <c r="EB271" s="1211" t="s">
        <v>1081</v>
      </c>
      <c r="EC271" s="1212"/>
      <c r="ED271" s="1213">
        <v>0</v>
      </c>
      <c r="EE271" s="1213">
        <v>0</v>
      </c>
      <c r="EF271" s="1213">
        <v>0</v>
      </c>
      <c r="EG271" s="1213">
        <v>0</v>
      </c>
      <c r="EH271" s="1213">
        <v>16</v>
      </c>
      <c r="EI271" s="1212"/>
      <c r="EJ271" s="1213">
        <v>0</v>
      </c>
      <c r="EK271" s="611"/>
      <c r="EL271" s="611"/>
      <c r="EM271" s="612">
        <v>16</v>
      </c>
      <c r="EN271" s="36"/>
      <c r="EP271" s="527"/>
      <c r="EQ271" s="527"/>
      <c r="ER271" s="528" t="s">
        <v>726</v>
      </c>
      <c r="ES271" s="529" t="s">
        <v>1072</v>
      </c>
      <c r="ET271" s="530"/>
      <c r="EU271" s="530"/>
      <c r="EV271" s="530"/>
      <c r="EW271" s="530"/>
      <c r="EX271" s="530"/>
      <c r="EY271" s="531">
        <v>3</v>
      </c>
      <c r="EZ271" s="530"/>
      <c r="FA271" s="530"/>
      <c r="FB271" s="527"/>
      <c r="FC271" s="527"/>
      <c r="FD271" s="532">
        <v>3</v>
      </c>
      <c r="FE271" s="95"/>
      <c r="FY271" s="540"/>
      <c r="FZ271" s="540"/>
      <c r="GA271" s="540"/>
      <c r="GB271" s="541" t="s">
        <v>1077</v>
      </c>
      <c r="GC271" s="542"/>
      <c r="GD271" s="543">
        <v>0</v>
      </c>
      <c r="GE271" s="543">
        <v>2</v>
      </c>
      <c r="GF271" s="543">
        <v>0</v>
      </c>
      <c r="GG271" s="543">
        <v>0</v>
      </c>
      <c r="GH271" s="543">
        <v>1</v>
      </c>
      <c r="GI271" s="543">
        <v>0</v>
      </c>
      <c r="GJ271" s="543">
        <v>0</v>
      </c>
      <c r="GK271" s="542"/>
      <c r="GL271" s="543">
        <v>0</v>
      </c>
      <c r="GM271" s="543">
        <v>3</v>
      </c>
      <c r="GN271" s="445"/>
      <c r="GP271" s="63"/>
      <c r="GQ271" s="63"/>
      <c r="GR271" s="63"/>
      <c r="GS271" s="37" t="s">
        <v>1077</v>
      </c>
      <c r="GT271" s="37"/>
      <c r="GU271" s="37">
        <v>0</v>
      </c>
      <c r="GV271" s="37">
        <v>3</v>
      </c>
      <c r="GW271" s="37">
        <v>1</v>
      </c>
      <c r="GX271" s="37">
        <v>0</v>
      </c>
      <c r="GY271" s="37">
        <v>0</v>
      </c>
      <c r="GZ271" s="37">
        <v>0</v>
      </c>
      <c r="HA271" s="37">
        <v>0</v>
      </c>
      <c r="HB271" s="37"/>
      <c r="HC271" s="37">
        <v>0</v>
      </c>
      <c r="HD271" s="37">
        <v>4</v>
      </c>
      <c r="HE271" s="37"/>
      <c r="HF271" s="37"/>
      <c r="HG271" s="446"/>
      <c r="HH271" s="446"/>
      <c r="HI271" s="446"/>
      <c r="HJ271" s="446" t="s">
        <v>1080</v>
      </c>
      <c r="HK271" s="446">
        <v>0</v>
      </c>
      <c r="HL271" s="446">
        <v>0</v>
      </c>
      <c r="HM271" s="446">
        <v>0</v>
      </c>
      <c r="HN271" s="446">
        <v>0</v>
      </c>
      <c r="HO271" s="446">
        <v>0</v>
      </c>
      <c r="HP271" s="446">
        <v>1</v>
      </c>
      <c r="HQ271" s="446">
        <v>1</v>
      </c>
      <c r="HR271" s="446">
        <v>9</v>
      </c>
      <c r="HS271" s="446">
        <v>15</v>
      </c>
      <c r="HT271" s="446">
        <v>1</v>
      </c>
      <c r="HU271" s="446">
        <v>1</v>
      </c>
      <c r="HV271" s="447">
        <v>28</v>
      </c>
      <c r="HW271" s="446"/>
      <c r="HX271" s="448"/>
    </row>
    <row r="272" spans="1:232">
      <c r="A272" s="5682"/>
      <c r="B272" s="5682"/>
      <c r="C272" s="5683"/>
      <c r="D272" s="5683"/>
      <c r="E272" s="5686">
        <f>SUM(E271)</f>
        <v>7</v>
      </c>
      <c r="F272" s="5682"/>
      <c r="G272" s="4921">
        <v>0</v>
      </c>
      <c r="I272" s="4915"/>
      <c r="J272" s="4925"/>
      <c r="K272" s="4929" t="s">
        <v>21</v>
      </c>
      <c r="L272" s="4926"/>
      <c r="M272" s="4929">
        <f>SUM(M270,M263,M260)</f>
        <v>53</v>
      </c>
      <c r="N272" s="4925"/>
      <c r="O272" s="4955">
        <v>0</v>
      </c>
      <c r="Q272" s="4705"/>
      <c r="R272" s="4756"/>
      <c r="S272" s="4734"/>
      <c r="T272" s="4734"/>
      <c r="U272" s="4748">
        <f>SUM(U268:U269)</f>
        <v>18</v>
      </c>
      <c r="V272" s="4735"/>
      <c r="W272" s="4722"/>
      <c r="Y272" s="36"/>
      <c r="Z272" s="36"/>
      <c r="AA272" s="36"/>
      <c r="AB272" s="36" t="s">
        <v>15</v>
      </c>
      <c r="AC272" s="1681">
        <v>1</v>
      </c>
      <c r="AD272" s="1681"/>
      <c r="AE272" s="1681"/>
      <c r="AF272" s="1681"/>
      <c r="AG272" s="1681"/>
      <c r="AH272" s="1681"/>
      <c r="AI272" s="1681">
        <v>5</v>
      </c>
      <c r="AJ272" s="1681">
        <v>6</v>
      </c>
      <c r="AK272" s="1681"/>
      <c r="AL272" s="95"/>
      <c r="AM272" s="95">
        <v>12</v>
      </c>
      <c r="AN272" s="560">
        <f>+AI270/(AM272-AM271)</f>
        <v>0.36363636363636365</v>
      </c>
      <c r="AR272" s="3868" t="s">
        <v>709</v>
      </c>
      <c r="AS272" s="3868" t="s">
        <v>1072</v>
      </c>
      <c r="AT272" s="3721"/>
      <c r="AU272" s="3721"/>
      <c r="AV272" s="3721">
        <v>1</v>
      </c>
      <c r="AW272" s="3721"/>
      <c r="AX272" s="3721"/>
      <c r="AY272" s="3721"/>
      <c r="AZ272" s="3721">
        <v>7</v>
      </c>
      <c r="BA272" s="3721"/>
      <c r="BB272" s="3721"/>
      <c r="BC272" s="2110"/>
      <c r="BD272" s="2110"/>
      <c r="BE272" s="2110">
        <v>8</v>
      </c>
      <c r="BF272" s="2110"/>
      <c r="BG272" s="2110"/>
      <c r="BK272" s="32" t="s">
        <v>1074</v>
      </c>
      <c r="BL272" s="3871"/>
      <c r="BM272" s="3871">
        <v>1</v>
      </c>
      <c r="BN272" s="3871"/>
      <c r="BO272" s="3871">
        <v>0</v>
      </c>
      <c r="BP272" s="3871">
        <v>0</v>
      </c>
      <c r="BQ272" s="3871">
        <v>0</v>
      </c>
      <c r="BR272" s="3871">
        <v>0</v>
      </c>
      <c r="BS272" s="3871"/>
      <c r="BT272" s="1518"/>
      <c r="BU272" s="1518">
        <v>1</v>
      </c>
      <c r="BX272" s="36"/>
      <c r="BY272" s="36"/>
      <c r="BZ272" s="36"/>
      <c r="CA272" s="36" t="s">
        <v>1076</v>
      </c>
      <c r="CB272" s="1681"/>
      <c r="CC272" s="1681"/>
      <c r="CD272" s="1681"/>
      <c r="CE272" s="1681"/>
      <c r="CF272" s="1681"/>
      <c r="CG272" s="1681">
        <v>0</v>
      </c>
      <c r="CH272" s="1681">
        <v>4</v>
      </c>
      <c r="CI272" s="1681">
        <v>0</v>
      </c>
      <c r="CJ272" s="95">
        <v>0</v>
      </c>
      <c r="CK272" s="95"/>
      <c r="CL272" s="95">
        <v>4</v>
      </c>
      <c r="CM272" s="36"/>
      <c r="CO272" s="37"/>
      <c r="CP272" s="37"/>
      <c r="CQ272" s="37"/>
      <c r="CR272" s="37" t="s">
        <v>1081</v>
      </c>
      <c r="CS272" s="1678"/>
      <c r="CT272" s="1678">
        <v>0</v>
      </c>
      <c r="CU272" s="1678">
        <v>0</v>
      </c>
      <c r="CV272" s="1678"/>
      <c r="CW272" s="1678">
        <v>0</v>
      </c>
      <c r="CX272" s="1678">
        <v>0</v>
      </c>
      <c r="CY272" s="1678">
        <v>7</v>
      </c>
      <c r="CZ272" s="1678">
        <v>0</v>
      </c>
      <c r="DA272" s="1678"/>
      <c r="DB272" s="63"/>
      <c r="DC272" s="63"/>
      <c r="DD272" s="63">
        <v>7</v>
      </c>
      <c r="DG272" s="95"/>
      <c r="DH272" s="95"/>
      <c r="DI272" s="36"/>
      <c r="DJ272" s="36" t="s">
        <v>1076</v>
      </c>
      <c r="DK272" s="1484"/>
      <c r="DL272" s="1484">
        <v>0</v>
      </c>
      <c r="DM272" s="1484"/>
      <c r="DN272" s="1484">
        <v>0</v>
      </c>
      <c r="DO272" s="1484"/>
      <c r="DP272" s="1484"/>
      <c r="DQ272" s="1484">
        <v>4</v>
      </c>
      <c r="DR272" s="1484">
        <v>0</v>
      </c>
      <c r="DS272" s="1484">
        <v>1</v>
      </c>
      <c r="DT272" s="95">
        <v>0</v>
      </c>
      <c r="DU272" s="95"/>
      <c r="DV272" s="95">
        <v>5</v>
      </c>
      <c r="DW272" s="95"/>
      <c r="DY272" s="1209"/>
      <c r="DZ272" s="1209"/>
      <c r="EA272" s="1210"/>
      <c r="EB272" s="1211" t="s">
        <v>1163</v>
      </c>
      <c r="EC272" s="1212"/>
      <c r="ED272" s="1213">
        <v>0</v>
      </c>
      <c r="EE272" s="1213">
        <v>0</v>
      </c>
      <c r="EF272" s="1213">
        <v>0</v>
      </c>
      <c r="EG272" s="1213">
        <v>0</v>
      </c>
      <c r="EH272" s="1213">
        <v>12</v>
      </c>
      <c r="EI272" s="1212"/>
      <c r="EJ272" s="1213">
        <v>0</v>
      </c>
      <c r="EK272" s="611"/>
      <c r="EL272" s="611"/>
      <c r="EM272" s="612">
        <v>12</v>
      </c>
      <c r="EN272" s="36"/>
      <c r="EP272" s="527"/>
      <c r="EQ272" s="527"/>
      <c r="ER272" s="528"/>
      <c r="ES272" s="529" t="s">
        <v>1076</v>
      </c>
      <c r="ET272" s="530"/>
      <c r="EU272" s="530"/>
      <c r="EV272" s="530"/>
      <c r="EW272" s="530"/>
      <c r="EX272" s="530"/>
      <c r="EY272" s="531">
        <v>3</v>
      </c>
      <c r="EZ272" s="530"/>
      <c r="FA272" s="530"/>
      <c r="FB272" s="527"/>
      <c r="FC272" s="527"/>
      <c r="FD272" s="532">
        <v>3</v>
      </c>
      <c r="FE272" s="95"/>
      <c r="FY272" s="540"/>
      <c r="FZ272" s="540"/>
      <c r="GA272" s="540"/>
      <c r="GB272" s="541" t="s">
        <v>1080</v>
      </c>
      <c r="GC272" s="542"/>
      <c r="GD272" s="543">
        <v>0</v>
      </c>
      <c r="GE272" s="543">
        <v>0</v>
      </c>
      <c r="GF272" s="543">
        <v>0</v>
      </c>
      <c r="GG272" s="543">
        <v>0</v>
      </c>
      <c r="GH272" s="543">
        <v>0</v>
      </c>
      <c r="GI272" s="543">
        <v>2</v>
      </c>
      <c r="GJ272" s="543">
        <v>33</v>
      </c>
      <c r="GK272" s="542"/>
      <c r="GL272" s="543">
        <v>1</v>
      </c>
      <c r="GM272" s="543">
        <v>36</v>
      </c>
      <c r="GN272" s="445"/>
      <c r="GP272" s="63"/>
      <c r="GQ272" s="63"/>
      <c r="GR272" s="63"/>
      <c r="GS272" s="37" t="s">
        <v>1080</v>
      </c>
      <c r="GT272" s="37"/>
      <c r="GU272" s="37">
        <v>0</v>
      </c>
      <c r="GV272" s="37">
        <v>0</v>
      </c>
      <c r="GW272" s="37">
        <v>0</v>
      </c>
      <c r="GX272" s="37">
        <v>0</v>
      </c>
      <c r="GY272" s="37">
        <v>0</v>
      </c>
      <c r="GZ272" s="37">
        <v>1</v>
      </c>
      <c r="HA272" s="37">
        <v>4</v>
      </c>
      <c r="HB272" s="37"/>
      <c r="HC272" s="37">
        <v>2</v>
      </c>
      <c r="HD272" s="37">
        <v>7</v>
      </c>
      <c r="HE272" s="37"/>
      <c r="HF272" s="37"/>
      <c r="HG272" s="446"/>
      <c r="HH272" s="446"/>
      <c r="HI272" s="446"/>
      <c r="HJ272" s="446" t="s">
        <v>1081</v>
      </c>
      <c r="HK272" s="446">
        <v>0</v>
      </c>
      <c r="HL272" s="446">
        <v>0</v>
      </c>
      <c r="HM272" s="446">
        <v>0</v>
      </c>
      <c r="HN272" s="446">
        <v>3</v>
      </c>
      <c r="HO272" s="446">
        <v>0</v>
      </c>
      <c r="HP272" s="446">
        <v>1</v>
      </c>
      <c r="HQ272" s="446">
        <v>20</v>
      </c>
      <c r="HR272" s="446">
        <v>3</v>
      </c>
      <c r="HS272" s="446">
        <v>0</v>
      </c>
      <c r="HT272" s="446">
        <v>0</v>
      </c>
      <c r="HU272" s="446">
        <v>0</v>
      </c>
      <c r="HV272" s="447">
        <v>27</v>
      </c>
      <c r="HW272" s="446"/>
      <c r="HX272" s="448"/>
    </row>
    <row r="273" spans="1:232">
      <c r="A273" s="5682">
        <v>3</v>
      </c>
      <c r="B273" s="5682">
        <v>3</v>
      </c>
      <c r="C273" s="5683" t="s">
        <v>2740</v>
      </c>
      <c r="D273" s="5683" t="s">
        <v>2731</v>
      </c>
      <c r="E273" s="5682">
        <v>4</v>
      </c>
      <c r="F273" s="5682">
        <v>8</v>
      </c>
      <c r="I273" s="4915"/>
      <c r="J273" s="4923"/>
      <c r="K273" s="4932" t="s">
        <v>2754</v>
      </c>
      <c r="L273" s="4924"/>
      <c r="M273" s="4936">
        <f>SUM(M219,M256,M271)</f>
        <v>11</v>
      </c>
      <c r="N273" s="4923"/>
      <c r="O273" s="157"/>
      <c r="Q273" s="4705"/>
      <c r="R273" s="4744"/>
      <c r="S273" s="4749" t="s">
        <v>21</v>
      </c>
      <c r="T273" s="4737"/>
      <c r="U273" s="4740">
        <f>SUM(U265:U271)</f>
        <v>23</v>
      </c>
      <c r="V273" s="4740"/>
      <c r="W273" s="4722">
        <f>(U272)/(U273)</f>
        <v>0.78260869565217395</v>
      </c>
      <c r="Y273" s="36"/>
      <c r="Z273" s="36"/>
      <c r="AA273" s="393" t="s">
        <v>483</v>
      </c>
      <c r="AB273" s="36" t="s">
        <v>1072</v>
      </c>
      <c r="AC273" s="1681">
        <v>0</v>
      </c>
      <c r="AD273" s="1681"/>
      <c r="AE273" s="1681"/>
      <c r="AF273" s="1681"/>
      <c r="AG273" s="1681"/>
      <c r="AH273" s="1681"/>
      <c r="AI273" s="1681">
        <v>1</v>
      </c>
      <c r="AJ273" s="1681">
        <v>0</v>
      </c>
      <c r="AK273" s="1681"/>
      <c r="AL273" s="95"/>
      <c r="AM273" s="95">
        <v>1</v>
      </c>
      <c r="AN273" s="4545"/>
      <c r="AS273" s="3868" t="s">
        <v>1163</v>
      </c>
      <c r="AT273" s="3721"/>
      <c r="AU273" s="3721"/>
      <c r="AV273" s="3721">
        <v>0</v>
      </c>
      <c r="AW273" s="3721"/>
      <c r="AX273" s="3721"/>
      <c r="AY273" s="3721"/>
      <c r="AZ273" s="3721">
        <v>3</v>
      </c>
      <c r="BA273" s="3721"/>
      <c r="BB273" s="3721"/>
      <c r="BC273" s="2110"/>
      <c r="BD273" s="2110"/>
      <c r="BE273" s="2110">
        <v>3</v>
      </c>
      <c r="BF273" s="2110"/>
      <c r="BG273" s="2110"/>
      <c r="BK273" s="1520" t="s">
        <v>15</v>
      </c>
      <c r="BL273" s="3872"/>
      <c r="BM273" s="3872">
        <v>1</v>
      </c>
      <c r="BN273" s="3872"/>
      <c r="BO273" s="3872">
        <v>3</v>
      </c>
      <c r="BP273" s="3872">
        <v>1</v>
      </c>
      <c r="BQ273" s="3872">
        <v>18</v>
      </c>
      <c r="BR273" s="3872">
        <v>1</v>
      </c>
      <c r="BS273" s="3872"/>
      <c r="BT273" s="3806"/>
      <c r="BU273" s="3806">
        <v>24</v>
      </c>
      <c r="BV273" s="3807">
        <v>0</v>
      </c>
      <c r="BX273" s="36"/>
      <c r="BY273" s="36"/>
      <c r="BZ273" s="36"/>
      <c r="CA273" s="36" t="s">
        <v>1080</v>
      </c>
      <c r="CB273" s="1681"/>
      <c r="CC273" s="1681"/>
      <c r="CD273" s="1681"/>
      <c r="CE273" s="1681"/>
      <c r="CF273" s="1681"/>
      <c r="CG273" s="1681">
        <v>0</v>
      </c>
      <c r="CH273" s="1681">
        <v>0</v>
      </c>
      <c r="CI273" s="1681">
        <v>7</v>
      </c>
      <c r="CJ273" s="95">
        <v>1</v>
      </c>
      <c r="CK273" s="95"/>
      <c r="CL273" s="95">
        <v>8</v>
      </c>
      <c r="CM273" s="36"/>
      <c r="CO273" s="37"/>
      <c r="CP273" s="37"/>
      <c r="CQ273" s="37"/>
      <c r="CR273" s="416" t="s">
        <v>15</v>
      </c>
      <c r="CS273" s="1679"/>
      <c r="CT273" s="1679">
        <v>1</v>
      </c>
      <c r="CU273" s="1679">
        <v>1</v>
      </c>
      <c r="CV273" s="1679"/>
      <c r="CW273" s="1679">
        <v>1</v>
      </c>
      <c r="CX273" s="1679">
        <v>1</v>
      </c>
      <c r="CY273" s="1679">
        <v>19</v>
      </c>
      <c r="CZ273" s="1679">
        <v>1</v>
      </c>
      <c r="DA273" s="1679"/>
      <c r="DB273" s="386"/>
      <c r="DC273" s="386"/>
      <c r="DD273" s="386">
        <v>24</v>
      </c>
      <c r="DE273" s="2045">
        <f>+(DD271+DD272)/DD273</f>
        <v>0.45833333333333331</v>
      </c>
      <c r="DG273" s="95"/>
      <c r="DH273" s="95"/>
      <c r="DI273" s="36"/>
      <c r="DJ273" s="36" t="s">
        <v>1080</v>
      </c>
      <c r="DK273" s="1484"/>
      <c r="DL273" s="1484">
        <v>0</v>
      </c>
      <c r="DM273" s="1484"/>
      <c r="DN273" s="1484">
        <v>0</v>
      </c>
      <c r="DO273" s="1484"/>
      <c r="DP273" s="1484"/>
      <c r="DQ273" s="1484">
        <v>0</v>
      </c>
      <c r="DR273" s="1484">
        <v>0</v>
      </c>
      <c r="DS273" s="1484">
        <v>3</v>
      </c>
      <c r="DT273" s="95">
        <v>2</v>
      </c>
      <c r="DU273" s="95"/>
      <c r="DV273" s="95">
        <v>5</v>
      </c>
      <c r="DW273" s="95"/>
      <c r="DY273" s="1209"/>
      <c r="DZ273" s="1209"/>
      <c r="EA273" s="1210"/>
      <c r="EB273" s="415" t="s">
        <v>726</v>
      </c>
      <c r="EC273" s="1214"/>
      <c r="ED273" s="1215">
        <v>1</v>
      </c>
      <c r="EE273" s="1215">
        <v>3</v>
      </c>
      <c r="EF273" s="1215">
        <v>1</v>
      </c>
      <c r="EG273" s="1215">
        <v>4</v>
      </c>
      <c r="EH273" s="1215">
        <v>55</v>
      </c>
      <c r="EI273" s="1214"/>
      <c r="EJ273" s="1215">
        <v>2</v>
      </c>
      <c r="EK273" s="620"/>
      <c r="EL273" s="620"/>
      <c r="EM273" s="621">
        <v>66</v>
      </c>
      <c r="EN273" s="1178">
        <f>+(EM268+EM271+EM272)/EM273</f>
        <v>0.5</v>
      </c>
      <c r="EP273" s="527"/>
      <c r="EQ273" s="527"/>
      <c r="ER273" s="528"/>
      <c r="ES273" s="529" t="s">
        <v>1081</v>
      </c>
      <c r="ET273" s="530"/>
      <c r="EU273" s="530"/>
      <c r="EV273" s="530"/>
      <c r="EW273" s="530"/>
      <c r="EX273" s="530"/>
      <c r="EY273" s="531">
        <v>3</v>
      </c>
      <c r="EZ273" s="530"/>
      <c r="FA273" s="530"/>
      <c r="FB273" s="527"/>
      <c r="FC273" s="527"/>
      <c r="FD273" s="532">
        <v>3</v>
      </c>
      <c r="FE273" s="95"/>
      <c r="FY273" s="540"/>
      <c r="FZ273" s="540"/>
      <c r="GA273" s="540"/>
      <c r="GB273" s="541" t="s">
        <v>1081</v>
      </c>
      <c r="GC273" s="542"/>
      <c r="GD273" s="543">
        <v>0</v>
      </c>
      <c r="GE273" s="543">
        <v>5</v>
      </c>
      <c r="GF273" s="543">
        <v>4</v>
      </c>
      <c r="GG273" s="543">
        <v>2</v>
      </c>
      <c r="GH273" s="543">
        <v>6</v>
      </c>
      <c r="GI273" s="543">
        <v>3</v>
      </c>
      <c r="GJ273" s="543">
        <v>0</v>
      </c>
      <c r="GK273" s="542"/>
      <c r="GL273" s="543">
        <v>0</v>
      </c>
      <c r="GM273" s="543">
        <v>20</v>
      </c>
      <c r="GN273" s="445"/>
      <c r="GP273" s="63"/>
      <c r="GQ273" s="63"/>
      <c r="GR273" s="63"/>
      <c r="GS273" s="37" t="s">
        <v>1081</v>
      </c>
      <c r="GT273" s="37"/>
      <c r="GU273" s="37">
        <v>0</v>
      </c>
      <c r="GV273" s="37">
        <v>2</v>
      </c>
      <c r="GW273" s="37">
        <v>1</v>
      </c>
      <c r="GX273" s="37">
        <v>0</v>
      </c>
      <c r="GY273" s="37">
        <v>14</v>
      </c>
      <c r="GZ273" s="37">
        <v>2</v>
      </c>
      <c r="HA273" s="37">
        <v>0</v>
      </c>
      <c r="HB273" s="37"/>
      <c r="HC273" s="37">
        <v>0</v>
      </c>
      <c r="HD273" s="37">
        <v>19</v>
      </c>
      <c r="HE273" s="37"/>
      <c r="HF273" s="37"/>
      <c r="HG273" s="446"/>
      <c r="HH273" s="446"/>
      <c r="HI273" s="446"/>
      <c r="HJ273" s="446" t="s">
        <v>1163</v>
      </c>
      <c r="HK273" s="446">
        <v>0</v>
      </c>
      <c r="HL273" s="446">
        <v>0</v>
      </c>
      <c r="HM273" s="446">
        <v>0</v>
      </c>
      <c r="HN273" s="446">
        <v>3</v>
      </c>
      <c r="HO273" s="446">
        <v>0</v>
      </c>
      <c r="HP273" s="446">
        <v>3</v>
      </c>
      <c r="HQ273" s="446">
        <v>18</v>
      </c>
      <c r="HR273" s="446">
        <v>3</v>
      </c>
      <c r="HS273" s="446">
        <v>1</v>
      </c>
      <c r="HT273" s="446">
        <v>0</v>
      </c>
      <c r="HU273" s="446">
        <v>0</v>
      </c>
      <c r="HV273" s="447">
        <v>28</v>
      </c>
      <c r="HW273" s="446"/>
      <c r="HX273" s="448"/>
    </row>
    <row r="274" spans="1:232" ht="15" thickBot="1">
      <c r="A274" s="5682">
        <v>3</v>
      </c>
      <c r="B274" s="5682">
        <v>3</v>
      </c>
      <c r="C274" s="5683" t="s">
        <v>2740</v>
      </c>
      <c r="D274" s="5683" t="s">
        <v>2731</v>
      </c>
      <c r="E274" s="5682">
        <v>6</v>
      </c>
      <c r="F274" s="5682">
        <v>9</v>
      </c>
      <c r="I274" s="4956"/>
      <c r="J274" s="4956"/>
      <c r="K274" s="4956" t="s">
        <v>48</v>
      </c>
      <c r="L274" s="4957"/>
      <c r="M274" s="4956">
        <f>SUM(M220,M257,M272)</f>
        <v>184</v>
      </c>
      <c r="N274" s="4958"/>
      <c r="O274" s="4942">
        <f>M273/M274</f>
        <v>5.9782608695652176E-2</v>
      </c>
      <c r="Q274" s="4705"/>
      <c r="R274" s="4713"/>
      <c r="S274" s="4714"/>
      <c r="T274" s="4714"/>
      <c r="U274" s="4748">
        <f>SUM(U272,U263,U221)</f>
        <v>109</v>
      </c>
      <c r="V274" s="4733"/>
      <c r="W274" s="4722"/>
      <c r="X274" s="4522">
        <v>109</v>
      </c>
      <c r="Y274" s="36"/>
      <c r="Z274" s="36"/>
      <c r="AA274" s="36"/>
      <c r="AB274" s="36" t="s">
        <v>1080</v>
      </c>
      <c r="AC274" s="1681">
        <v>0</v>
      </c>
      <c r="AD274" s="1681"/>
      <c r="AE274" s="1681"/>
      <c r="AF274" s="1681"/>
      <c r="AG274" s="1681"/>
      <c r="AH274" s="1681"/>
      <c r="AI274" s="1681">
        <v>0</v>
      </c>
      <c r="AJ274" s="1681">
        <v>6</v>
      </c>
      <c r="AK274" s="1681"/>
      <c r="AL274" s="95"/>
      <c r="AM274" s="95">
        <v>6</v>
      </c>
      <c r="AN274" s="4545"/>
      <c r="AS274" s="3868" t="s">
        <v>15</v>
      </c>
      <c r="AT274" s="3721"/>
      <c r="AU274" s="3721"/>
      <c r="AV274" s="3721">
        <v>1</v>
      </c>
      <c r="AW274" s="3721"/>
      <c r="AX274" s="3721"/>
      <c r="AY274" s="3721"/>
      <c r="AZ274" s="3721">
        <v>10</v>
      </c>
      <c r="BA274" s="3721"/>
      <c r="BB274" s="3721"/>
      <c r="BC274" s="2110"/>
      <c r="BD274" s="2110"/>
      <c r="BE274" s="2110">
        <v>11</v>
      </c>
      <c r="BF274" s="1665">
        <f>+(BE273)/(BE274)</f>
        <v>0.27272727272727271</v>
      </c>
      <c r="BG274" s="1665"/>
      <c r="BJ274" s="1520" t="s">
        <v>484</v>
      </c>
      <c r="BK274" s="1520" t="s">
        <v>1071</v>
      </c>
      <c r="BL274" s="3872">
        <v>0</v>
      </c>
      <c r="BM274" s="3872">
        <v>0</v>
      </c>
      <c r="BN274" s="3872"/>
      <c r="BO274" s="3872">
        <v>0</v>
      </c>
      <c r="BP274" s="3872">
        <v>0</v>
      </c>
      <c r="BQ274" s="3872">
        <v>0</v>
      </c>
      <c r="BR274" s="3872">
        <v>0</v>
      </c>
      <c r="BS274" s="3872">
        <v>2</v>
      </c>
      <c r="BT274" s="3806"/>
      <c r="BU274" s="3806">
        <v>2</v>
      </c>
      <c r="BV274" s="1520"/>
      <c r="BX274" s="36"/>
      <c r="BY274" s="36"/>
      <c r="BZ274" s="36"/>
      <c r="CA274" s="36" t="s">
        <v>1081</v>
      </c>
      <c r="CB274" s="1681"/>
      <c r="CC274" s="1681"/>
      <c r="CD274" s="1681"/>
      <c r="CE274" s="1681"/>
      <c r="CF274" s="1681"/>
      <c r="CG274" s="1681">
        <v>0</v>
      </c>
      <c r="CH274" s="1681">
        <v>1</v>
      </c>
      <c r="CI274" s="1681">
        <v>1</v>
      </c>
      <c r="CJ274" s="95">
        <v>0</v>
      </c>
      <c r="CK274" s="95"/>
      <c r="CL274" s="95">
        <v>2</v>
      </c>
      <c r="CM274" s="36"/>
      <c r="CO274" s="37"/>
      <c r="CP274" s="37"/>
      <c r="CQ274" s="37" t="s">
        <v>389</v>
      </c>
      <c r="CR274" s="37" t="s">
        <v>1072</v>
      </c>
      <c r="CS274" s="1678"/>
      <c r="CT274" s="1678"/>
      <c r="CU274" s="1678"/>
      <c r="CV274" s="1678"/>
      <c r="CW274" s="1678"/>
      <c r="CX274" s="1678"/>
      <c r="CY274" s="1678">
        <v>4</v>
      </c>
      <c r="CZ274" s="1678">
        <v>1</v>
      </c>
      <c r="DA274" s="1678">
        <v>1</v>
      </c>
      <c r="DB274" s="63"/>
      <c r="DC274" s="63"/>
      <c r="DD274" s="63">
        <v>6</v>
      </c>
      <c r="DG274" s="95"/>
      <c r="DH274" s="95"/>
      <c r="DI274" s="36"/>
      <c r="DJ274" s="36" t="s">
        <v>1081</v>
      </c>
      <c r="DK274" s="1484"/>
      <c r="DL274" s="1484">
        <v>0</v>
      </c>
      <c r="DM274" s="1484"/>
      <c r="DN274" s="1484">
        <v>0</v>
      </c>
      <c r="DO274" s="1484"/>
      <c r="DP274" s="1484"/>
      <c r="DQ274" s="1484">
        <v>6</v>
      </c>
      <c r="DR274" s="1484">
        <v>6</v>
      </c>
      <c r="DS274" s="1484">
        <v>0</v>
      </c>
      <c r="DT274" s="95">
        <v>0</v>
      </c>
      <c r="DU274" s="95"/>
      <c r="DV274" s="95">
        <v>12</v>
      </c>
      <c r="DW274" s="95"/>
      <c r="DY274" s="1209"/>
      <c r="DZ274" s="1209"/>
      <c r="EA274" s="1210" t="s">
        <v>412</v>
      </c>
      <c r="EB274" s="1211" t="s">
        <v>1071</v>
      </c>
      <c r="EC274" s="1213">
        <v>0</v>
      </c>
      <c r="ED274" s="1213">
        <v>0</v>
      </c>
      <c r="EE274" s="1213">
        <v>0</v>
      </c>
      <c r="EF274" s="1213">
        <v>0</v>
      </c>
      <c r="EG274" s="1213">
        <v>1</v>
      </c>
      <c r="EH274" s="1213">
        <v>0</v>
      </c>
      <c r="EI274" s="1213">
        <v>0</v>
      </c>
      <c r="EJ274" s="1213">
        <v>0</v>
      </c>
      <c r="EK274" s="612">
        <v>0</v>
      </c>
      <c r="EL274" s="611"/>
      <c r="EM274" s="612">
        <v>1</v>
      </c>
      <c r="EN274" s="36"/>
      <c r="EP274" s="527"/>
      <c r="EQ274" s="527"/>
      <c r="ER274" s="528"/>
      <c r="ES274" s="529" t="s">
        <v>1163</v>
      </c>
      <c r="ET274" s="530"/>
      <c r="EU274" s="530"/>
      <c r="EV274" s="530"/>
      <c r="EW274" s="530"/>
      <c r="EX274" s="530"/>
      <c r="EY274" s="531">
        <v>10</v>
      </c>
      <c r="EZ274" s="530"/>
      <c r="FA274" s="530"/>
      <c r="FB274" s="527"/>
      <c r="FC274" s="527"/>
      <c r="FD274" s="532">
        <v>10</v>
      </c>
      <c r="FE274" s="95"/>
      <c r="FY274" s="540"/>
      <c r="FZ274" s="540"/>
      <c r="GA274" s="540"/>
      <c r="GB274" s="541" t="s">
        <v>1163</v>
      </c>
      <c r="GC274" s="542"/>
      <c r="GD274" s="543">
        <v>0</v>
      </c>
      <c r="GE274" s="543">
        <v>11</v>
      </c>
      <c r="GF274" s="543">
        <v>0</v>
      </c>
      <c r="GG274" s="543">
        <v>3</v>
      </c>
      <c r="GH274" s="543">
        <v>13</v>
      </c>
      <c r="GI274" s="543">
        <v>9</v>
      </c>
      <c r="GJ274" s="543">
        <v>0</v>
      </c>
      <c r="GK274" s="542"/>
      <c r="GL274" s="543">
        <v>0</v>
      </c>
      <c r="GM274" s="543">
        <v>36</v>
      </c>
      <c r="GN274" s="445"/>
      <c r="GP274" s="63"/>
      <c r="GQ274" s="63"/>
      <c r="GR274" s="37"/>
      <c r="GS274" s="37" t="s">
        <v>1163</v>
      </c>
      <c r="GT274" s="37"/>
      <c r="GU274" s="37">
        <v>0</v>
      </c>
      <c r="GV274" s="37">
        <v>9</v>
      </c>
      <c r="GW274" s="37">
        <v>1</v>
      </c>
      <c r="GX274" s="37">
        <v>0</v>
      </c>
      <c r="GY274" s="37">
        <v>15</v>
      </c>
      <c r="GZ274" s="37">
        <v>4</v>
      </c>
      <c r="HA274" s="37">
        <v>0</v>
      </c>
      <c r="HB274" s="37"/>
      <c r="HC274" s="37">
        <v>0</v>
      </c>
      <c r="HD274" s="37">
        <v>29</v>
      </c>
      <c r="HE274" s="37"/>
      <c r="HF274" s="37"/>
      <c r="HG274" s="446"/>
      <c r="HH274" s="446"/>
      <c r="HI274" s="469"/>
      <c r="HJ274" s="469" t="s">
        <v>15</v>
      </c>
      <c r="HK274" s="469">
        <v>0</v>
      </c>
      <c r="HL274" s="469">
        <v>1</v>
      </c>
      <c r="HM274" s="469">
        <v>5</v>
      </c>
      <c r="HN274" s="469">
        <v>11</v>
      </c>
      <c r="HO274" s="469">
        <v>4</v>
      </c>
      <c r="HP274" s="469">
        <v>6</v>
      </c>
      <c r="HQ274" s="469">
        <v>130</v>
      </c>
      <c r="HR274" s="469">
        <v>22</v>
      </c>
      <c r="HS274" s="469">
        <v>18</v>
      </c>
      <c r="HT274" s="469">
        <v>1</v>
      </c>
      <c r="HU274" s="469">
        <v>1</v>
      </c>
      <c r="HV274" s="470">
        <v>199</v>
      </c>
      <c r="HW274" s="471">
        <f>+(HV273+HV272+HV269)/HV274</f>
        <v>0.36180904522613067</v>
      </c>
      <c r="HX274" s="425">
        <f>+HV269+HV272+HV273</f>
        <v>72</v>
      </c>
    </row>
    <row r="275" spans="1:232" ht="15" thickBot="1">
      <c r="A275" s="5682">
        <v>3</v>
      </c>
      <c r="B275" s="5682">
        <v>3</v>
      </c>
      <c r="C275" s="5683" t="s">
        <v>2740</v>
      </c>
      <c r="D275" s="5683" t="s">
        <v>2731</v>
      </c>
      <c r="E275" s="5682">
        <v>1</v>
      </c>
      <c r="F275" s="5682">
        <v>10</v>
      </c>
      <c r="I275" s="4915">
        <v>4</v>
      </c>
      <c r="J275" s="4915">
        <v>2</v>
      </c>
      <c r="K275" s="4916" t="s">
        <v>608</v>
      </c>
      <c r="L275" s="4916" t="s">
        <v>2731</v>
      </c>
      <c r="M275" s="4915">
        <v>13</v>
      </c>
      <c r="N275" s="4915">
        <v>7</v>
      </c>
      <c r="O275" s="157"/>
      <c r="Q275" s="4744"/>
      <c r="R275" s="4744"/>
      <c r="S275" s="4773" t="s">
        <v>48</v>
      </c>
      <c r="T275" s="4769"/>
      <c r="U275" s="4774">
        <f>SUM(U273,U264,U222)</f>
        <v>276</v>
      </c>
      <c r="V275" s="4775"/>
      <c r="W275" s="4776">
        <f>(U274)/(U275)</f>
        <v>0.39492753623188404</v>
      </c>
      <c r="Y275" s="36"/>
      <c r="Z275" s="36"/>
      <c r="AA275" s="36"/>
      <c r="AB275" s="36" t="s">
        <v>1081</v>
      </c>
      <c r="AC275" s="1681">
        <v>0</v>
      </c>
      <c r="AD275" s="1681"/>
      <c r="AE275" s="1681"/>
      <c r="AF275" s="1681"/>
      <c r="AG275" s="1681"/>
      <c r="AH275" s="1681"/>
      <c r="AI275" s="1681">
        <v>4</v>
      </c>
      <c r="AJ275" s="1681">
        <v>0</v>
      </c>
      <c r="AK275" s="1681"/>
      <c r="AL275" s="95"/>
      <c r="AM275" s="95">
        <v>4</v>
      </c>
      <c r="AN275" s="4545"/>
      <c r="AR275" s="3868" t="s">
        <v>2272</v>
      </c>
      <c r="AS275" s="3868" t="s">
        <v>1072</v>
      </c>
      <c r="AT275" s="3721"/>
      <c r="AU275" s="3721"/>
      <c r="AV275" s="3721"/>
      <c r="AW275" s="3721"/>
      <c r="AX275" s="3721"/>
      <c r="AY275" s="3721"/>
      <c r="AZ275" s="3721">
        <v>2</v>
      </c>
      <c r="BA275" s="3721">
        <v>0</v>
      </c>
      <c r="BB275" s="3721"/>
      <c r="BC275" s="2110"/>
      <c r="BD275" s="2110"/>
      <c r="BE275" s="2110">
        <v>2</v>
      </c>
      <c r="BF275" s="2110"/>
      <c r="BG275" s="2110"/>
      <c r="BJ275" s="1520"/>
      <c r="BK275" s="1520" t="s">
        <v>1072</v>
      </c>
      <c r="BL275" s="3872">
        <v>0</v>
      </c>
      <c r="BM275" s="3872">
        <v>0</v>
      </c>
      <c r="BN275" s="3872"/>
      <c r="BO275" s="3872">
        <v>3</v>
      </c>
      <c r="BP275" s="3872">
        <v>2</v>
      </c>
      <c r="BQ275" s="3872">
        <v>51</v>
      </c>
      <c r="BR275" s="3872">
        <v>1</v>
      </c>
      <c r="BS275" s="3872">
        <v>0</v>
      </c>
      <c r="BT275" s="3806"/>
      <c r="BU275" s="3806">
        <v>57</v>
      </c>
      <c r="BV275" s="1520"/>
      <c r="BX275" s="36"/>
      <c r="BY275" s="36"/>
      <c r="BZ275" s="36"/>
      <c r="CA275" s="36" t="s">
        <v>1163</v>
      </c>
      <c r="CB275" s="1681"/>
      <c r="CC275" s="1681"/>
      <c r="CD275" s="1681"/>
      <c r="CE275" s="1681"/>
      <c r="CF275" s="1681"/>
      <c r="CG275" s="1681">
        <v>2</v>
      </c>
      <c r="CH275" s="1681">
        <v>1</v>
      </c>
      <c r="CI275" s="1681">
        <v>0</v>
      </c>
      <c r="CJ275" s="95">
        <v>0</v>
      </c>
      <c r="CK275" s="95"/>
      <c r="CL275" s="95">
        <v>3</v>
      </c>
      <c r="CM275" s="36"/>
      <c r="CO275" s="37"/>
      <c r="CP275" s="37"/>
      <c r="CQ275" s="37"/>
      <c r="CR275" s="37" t="s">
        <v>1076</v>
      </c>
      <c r="CS275" s="1678"/>
      <c r="CT275" s="1678"/>
      <c r="CU275" s="1678"/>
      <c r="CV275" s="1678"/>
      <c r="CW275" s="1678"/>
      <c r="CX275" s="1678"/>
      <c r="CY275" s="1678">
        <v>1</v>
      </c>
      <c r="CZ275" s="1678">
        <v>0</v>
      </c>
      <c r="DA275" s="1678">
        <v>0</v>
      </c>
      <c r="DB275" s="63"/>
      <c r="DC275" s="63"/>
      <c r="DD275" s="63">
        <v>1</v>
      </c>
      <c r="DG275" s="95"/>
      <c r="DH275" s="95"/>
      <c r="DI275" s="36"/>
      <c r="DJ275" s="36" t="s">
        <v>1163</v>
      </c>
      <c r="DK275" s="1484"/>
      <c r="DL275" s="1484">
        <v>0</v>
      </c>
      <c r="DM275" s="1484"/>
      <c r="DN275" s="1484">
        <v>1</v>
      </c>
      <c r="DO275" s="1484"/>
      <c r="DP275" s="1484"/>
      <c r="DQ275" s="1484">
        <v>5</v>
      </c>
      <c r="DR275" s="1484">
        <v>4</v>
      </c>
      <c r="DS275" s="1484">
        <v>0</v>
      </c>
      <c r="DT275" s="95">
        <v>0</v>
      </c>
      <c r="DU275" s="95"/>
      <c r="DV275" s="95">
        <v>10</v>
      </c>
      <c r="DW275" s="95"/>
      <c r="DY275" s="1209"/>
      <c r="DZ275" s="1209"/>
      <c r="EA275" s="1210"/>
      <c r="EB275" s="1211" t="s">
        <v>1072</v>
      </c>
      <c r="EC275" s="1213">
        <v>4</v>
      </c>
      <c r="ED275" s="1213">
        <v>2</v>
      </c>
      <c r="EE275" s="1213">
        <v>2</v>
      </c>
      <c r="EF275" s="1213">
        <v>4</v>
      </c>
      <c r="EG275" s="1213">
        <v>1</v>
      </c>
      <c r="EH275" s="1213">
        <v>46</v>
      </c>
      <c r="EI275" s="1213">
        <v>9</v>
      </c>
      <c r="EJ275" s="1213">
        <v>5</v>
      </c>
      <c r="EK275" s="612">
        <v>0</v>
      </c>
      <c r="EL275" s="611"/>
      <c r="EM275" s="612">
        <v>73</v>
      </c>
      <c r="EN275" s="36"/>
      <c r="EP275" s="527"/>
      <c r="EQ275" s="527"/>
      <c r="ER275" s="528"/>
      <c r="ES275" s="555" t="s">
        <v>726</v>
      </c>
      <c r="ET275" s="556"/>
      <c r="EU275" s="556"/>
      <c r="EV275" s="556"/>
      <c r="EW275" s="556"/>
      <c r="EX275" s="556"/>
      <c r="EY275" s="557">
        <v>19</v>
      </c>
      <c r="EZ275" s="556"/>
      <c r="FA275" s="556"/>
      <c r="FB275" s="558"/>
      <c r="FC275" s="558"/>
      <c r="FD275" s="559">
        <v>19</v>
      </c>
      <c r="FE275" s="560">
        <f>+(FD272+FD273+FD274)/FD275</f>
        <v>0.84210526315789469</v>
      </c>
      <c r="FY275" s="540"/>
      <c r="FZ275" s="540"/>
      <c r="GA275" s="563"/>
      <c r="GB275" s="564" t="s">
        <v>412</v>
      </c>
      <c r="GC275" s="565"/>
      <c r="GD275" s="566">
        <v>2</v>
      </c>
      <c r="GE275" s="566">
        <v>44</v>
      </c>
      <c r="GF275" s="566">
        <v>11</v>
      </c>
      <c r="GG275" s="566">
        <v>7</v>
      </c>
      <c r="GH275" s="566">
        <v>90</v>
      </c>
      <c r="GI275" s="566">
        <v>28</v>
      </c>
      <c r="GJ275" s="566">
        <v>35</v>
      </c>
      <c r="GK275" s="565"/>
      <c r="GL275" s="566">
        <v>1</v>
      </c>
      <c r="GM275" s="566">
        <v>218</v>
      </c>
      <c r="GN275" s="567">
        <f>+(GM274+GM273+GM270)/GM275</f>
        <v>0.34403669724770641</v>
      </c>
      <c r="GP275" s="63"/>
      <c r="GQ275" s="63"/>
      <c r="GR275" s="473"/>
      <c r="GS275" s="474" t="s">
        <v>15</v>
      </c>
      <c r="GT275" s="474"/>
      <c r="GU275" s="474">
        <v>1</v>
      </c>
      <c r="GV275" s="474">
        <v>17</v>
      </c>
      <c r="GW275" s="474">
        <v>3</v>
      </c>
      <c r="GX275" s="474">
        <v>3</v>
      </c>
      <c r="GY275" s="474">
        <v>101</v>
      </c>
      <c r="GZ275" s="474">
        <v>16</v>
      </c>
      <c r="HA275" s="474">
        <v>7</v>
      </c>
      <c r="HB275" s="474"/>
      <c r="HC275" s="474">
        <v>2</v>
      </c>
      <c r="HD275" s="474">
        <v>150</v>
      </c>
      <c r="HE275" s="568">
        <f>+(HD270+HD273+HD274)/HD275</f>
        <v>0.40666666666666668</v>
      </c>
      <c r="HF275" s="37"/>
      <c r="HG275" s="446"/>
      <c r="HH275" s="446"/>
      <c r="HI275" s="446"/>
      <c r="HJ275" s="446"/>
      <c r="HK275" s="446"/>
      <c r="HL275" s="446"/>
      <c r="HM275" s="446"/>
      <c r="HN275" s="446"/>
      <c r="HO275" s="446"/>
      <c r="HP275" s="446"/>
      <c r="HQ275" s="446"/>
      <c r="HR275" s="446"/>
      <c r="HS275" s="446"/>
      <c r="HT275" s="446"/>
      <c r="HU275" s="446"/>
      <c r="HV275" s="447"/>
      <c r="HW275" s="446"/>
      <c r="HX275" s="446"/>
    </row>
    <row r="276" spans="1:232">
      <c r="A276" s="5682">
        <v>3</v>
      </c>
      <c r="B276" s="5682">
        <v>3</v>
      </c>
      <c r="C276" s="5683" t="s">
        <v>2740</v>
      </c>
      <c r="D276" s="5685" t="s">
        <v>2707</v>
      </c>
      <c r="E276" s="5682">
        <v>1</v>
      </c>
      <c r="F276" s="5682">
        <v>7</v>
      </c>
      <c r="I276" s="4915">
        <v>4</v>
      </c>
      <c r="J276" s="4915">
        <v>2</v>
      </c>
      <c r="K276" s="4916" t="s">
        <v>608</v>
      </c>
      <c r="L276" s="4916" t="s">
        <v>1071</v>
      </c>
      <c r="M276" s="4915">
        <v>1</v>
      </c>
      <c r="N276" s="4915">
        <v>7</v>
      </c>
      <c r="O276" s="157"/>
      <c r="Q276" s="4713">
        <v>4</v>
      </c>
      <c r="R276" s="4713">
        <v>2</v>
      </c>
      <c r="S276" s="4714" t="s">
        <v>608</v>
      </c>
      <c r="T276" s="4714" t="s">
        <v>2731</v>
      </c>
      <c r="U276" s="4732">
        <v>2</v>
      </c>
      <c r="V276" s="4732">
        <v>8</v>
      </c>
      <c r="W276" s="4722"/>
      <c r="X276" s="4452"/>
      <c r="Y276" s="36"/>
      <c r="Z276" s="36"/>
      <c r="AA276" s="36"/>
      <c r="AB276" s="36" t="s">
        <v>2571</v>
      </c>
      <c r="AC276" s="1681">
        <v>1</v>
      </c>
      <c r="AD276" s="1681"/>
      <c r="AE276" s="1681"/>
      <c r="AF276" s="1681"/>
      <c r="AG276" s="1681"/>
      <c r="AH276" s="1681"/>
      <c r="AI276" s="1681">
        <v>0</v>
      </c>
      <c r="AJ276" s="1681">
        <v>0</v>
      </c>
      <c r="AK276" s="1681"/>
      <c r="AL276" s="95"/>
      <c r="AM276" s="95">
        <v>1</v>
      </c>
      <c r="AN276" s="4545"/>
      <c r="AS276" s="3868" t="s">
        <v>1080</v>
      </c>
      <c r="AT276" s="3721"/>
      <c r="AU276" s="3721"/>
      <c r="AV276" s="3721"/>
      <c r="AW276" s="3721"/>
      <c r="AX276" s="3721"/>
      <c r="AY276" s="3721"/>
      <c r="AZ276" s="3721">
        <v>0</v>
      </c>
      <c r="BA276" s="3721">
        <v>1</v>
      </c>
      <c r="BB276" s="3721"/>
      <c r="BC276" s="2110"/>
      <c r="BD276" s="2110"/>
      <c r="BE276" s="2110">
        <v>1</v>
      </c>
      <c r="BF276" s="2110"/>
      <c r="BG276" s="2110"/>
      <c r="BJ276" s="1520"/>
      <c r="BK276" s="1520" t="s">
        <v>1074</v>
      </c>
      <c r="BL276" s="3872">
        <v>1</v>
      </c>
      <c r="BM276" s="3872">
        <v>1</v>
      </c>
      <c r="BN276" s="3872"/>
      <c r="BO276" s="3872">
        <v>0</v>
      </c>
      <c r="BP276" s="3872">
        <v>0</v>
      </c>
      <c r="BQ276" s="3872">
        <v>0</v>
      </c>
      <c r="BR276" s="3872">
        <v>0</v>
      </c>
      <c r="BS276" s="3872">
        <v>0</v>
      </c>
      <c r="BT276" s="3806"/>
      <c r="BU276" s="3806">
        <v>2</v>
      </c>
      <c r="BV276" s="1520"/>
      <c r="BX276" s="36"/>
      <c r="BY276" s="36"/>
      <c r="BZ276" s="36"/>
      <c r="CA276" s="393" t="s">
        <v>15</v>
      </c>
      <c r="CB276" s="1682"/>
      <c r="CC276" s="1682"/>
      <c r="CD276" s="1682"/>
      <c r="CE276" s="1682"/>
      <c r="CF276" s="1682"/>
      <c r="CG276" s="1682">
        <v>2</v>
      </c>
      <c r="CH276" s="1682">
        <v>7</v>
      </c>
      <c r="CI276" s="1682">
        <v>12</v>
      </c>
      <c r="CJ276" s="2041">
        <v>1</v>
      </c>
      <c r="CK276" s="2041"/>
      <c r="CL276" s="2041">
        <v>22</v>
      </c>
      <c r="CM276" s="560">
        <f>+(CL275+CL274+CL272)/CL276</f>
        <v>0.40909090909090912</v>
      </c>
      <c r="CN276" s="1665"/>
      <c r="CO276" s="37"/>
      <c r="CP276" s="37"/>
      <c r="CQ276" s="37"/>
      <c r="CR276" s="37" t="s">
        <v>1081</v>
      </c>
      <c r="CS276" s="1678"/>
      <c r="CT276" s="1678"/>
      <c r="CU276" s="1678"/>
      <c r="CV276" s="1678"/>
      <c r="CW276" s="1678"/>
      <c r="CX276" s="1678"/>
      <c r="CY276" s="1678">
        <v>14</v>
      </c>
      <c r="CZ276" s="1678">
        <v>0</v>
      </c>
      <c r="DA276" s="1678">
        <v>0</v>
      </c>
      <c r="DB276" s="63"/>
      <c r="DC276" s="63"/>
      <c r="DD276" s="63">
        <v>14</v>
      </c>
      <c r="DG276" s="95"/>
      <c r="DH276" s="95"/>
      <c r="DI276" s="36"/>
      <c r="DJ276" s="393" t="s">
        <v>485</v>
      </c>
      <c r="DK276" s="1485"/>
      <c r="DL276" s="1485">
        <v>3</v>
      </c>
      <c r="DM276" s="1485"/>
      <c r="DN276" s="1485">
        <v>1</v>
      </c>
      <c r="DO276" s="1485"/>
      <c r="DP276" s="1485"/>
      <c r="DQ276" s="1485">
        <v>39</v>
      </c>
      <c r="DR276" s="1485">
        <v>17</v>
      </c>
      <c r="DS276" s="1485">
        <v>6</v>
      </c>
      <c r="DT276" s="86">
        <v>2</v>
      </c>
      <c r="DU276" s="86"/>
      <c r="DV276" s="86">
        <v>68</v>
      </c>
      <c r="DW276" s="560">
        <f>+(DV272+DV274+DV275)/DV276</f>
        <v>0.39705882352941174</v>
      </c>
      <c r="DY276" s="1209"/>
      <c r="DZ276" s="1209"/>
      <c r="EA276" s="1210"/>
      <c r="EB276" s="1211" t="s">
        <v>1074</v>
      </c>
      <c r="EC276" s="1213">
        <v>0</v>
      </c>
      <c r="ED276" s="1213">
        <v>1</v>
      </c>
      <c r="EE276" s="1213">
        <v>1</v>
      </c>
      <c r="EF276" s="1213">
        <v>0</v>
      </c>
      <c r="EG276" s="1213">
        <v>0</v>
      </c>
      <c r="EH276" s="1213">
        <v>0</v>
      </c>
      <c r="EI276" s="1213">
        <v>0</v>
      </c>
      <c r="EJ276" s="1213">
        <v>0</v>
      </c>
      <c r="EK276" s="612">
        <v>0</v>
      </c>
      <c r="EL276" s="611"/>
      <c r="EM276" s="612">
        <v>2</v>
      </c>
      <c r="EN276" s="36"/>
      <c r="EP276" s="527"/>
      <c r="EQ276" s="527"/>
      <c r="ER276" s="555" t="s">
        <v>412</v>
      </c>
      <c r="ES276" s="529" t="s">
        <v>1071</v>
      </c>
      <c r="ET276" s="531">
        <v>0</v>
      </c>
      <c r="EU276" s="531">
        <v>0</v>
      </c>
      <c r="EV276" s="531">
        <v>1</v>
      </c>
      <c r="EW276" s="531">
        <v>1</v>
      </c>
      <c r="EX276" s="531">
        <v>0</v>
      </c>
      <c r="EY276" s="531">
        <v>0</v>
      </c>
      <c r="EZ276" s="531">
        <v>1</v>
      </c>
      <c r="FA276" s="531">
        <v>1</v>
      </c>
      <c r="FB276" s="532">
        <v>0</v>
      </c>
      <c r="FC276" s="527"/>
      <c r="FD276" s="532">
        <v>4</v>
      </c>
      <c r="FE276" s="95"/>
      <c r="FY276" s="540"/>
      <c r="FZ276" s="540"/>
      <c r="GA276" s="540"/>
      <c r="GB276" s="541"/>
      <c r="GC276" s="542"/>
      <c r="GD276" s="543"/>
      <c r="GE276" s="543"/>
      <c r="GF276" s="543"/>
      <c r="GG276" s="543"/>
      <c r="GH276" s="543"/>
      <c r="GI276" s="543"/>
      <c r="GJ276" s="543"/>
      <c r="GK276" s="542"/>
      <c r="GL276" s="542"/>
      <c r="GM276" s="543"/>
      <c r="GP276" s="63"/>
      <c r="GQ276" s="63"/>
      <c r="GR276" s="37"/>
      <c r="GS276" s="37"/>
      <c r="GT276" s="37"/>
      <c r="GU276" s="37"/>
      <c r="GV276" s="37"/>
      <c r="GW276" s="37"/>
      <c r="GX276" s="37"/>
      <c r="GY276" s="37"/>
      <c r="GZ276" s="37"/>
      <c r="HA276" s="37"/>
      <c r="HB276" s="37"/>
      <c r="HC276" s="37"/>
      <c r="HD276" s="37"/>
      <c r="HE276" s="37"/>
      <c r="HF276" s="37"/>
      <c r="HG276" s="446"/>
      <c r="HH276" s="446"/>
      <c r="HI276" s="446"/>
      <c r="HJ276" s="446"/>
      <c r="HK276" s="446"/>
      <c r="HL276" s="446"/>
      <c r="HM276" s="446"/>
      <c r="HN276" s="446"/>
      <c r="HO276" s="446"/>
      <c r="HP276" s="446"/>
      <c r="HQ276" s="446"/>
      <c r="HR276" s="446"/>
      <c r="HS276" s="446"/>
      <c r="HT276" s="446"/>
      <c r="HU276" s="446"/>
      <c r="HV276" s="447"/>
      <c r="HW276" s="446"/>
      <c r="HX276" s="446"/>
    </row>
    <row r="277" spans="1:232">
      <c r="A277" s="5682">
        <v>3</v>
      </c>
      <c r="B277" s="5682">
        <v>3</v>
      </c>
      <c r="C277" s="5683" t="s">
        <v>2740</v>
      </c>
      <c r="D277" s="5685" t="s">
        <v>1076</v>
      </c>
      <c r="E277" s="5682">
        <v>2</v>
      </c>
      <c r="F277" s="5682">
        <v>8</v>
      </c>
      <c r="I277" s="4915"/>
      <c r="J277" s="4915"/>
      <c r="K277" s="4920" t="s">
        <v>16</v>
      </c>
      <c r="L277" s="4916"/>
      <c r="M277" s="4920">
        <f>SUM(M275:M276)</f>
        <v>14</v>
      </c>
      <c r="N277" s="4915"/>
      <c r="O277" s="4921">
        <v>0</v>
      </c>
      <c r="Q277" s="4705">
        <v>4</v>
      </c>
      <c r="R277" s="4705">
        <v>2</v>
      </c>
      <c r="S277" s="4706" t="s">
        <v>608</v>
      </c>
      <c r="T277" s="4706" t="s">
        <v>1071</v>
      </c>
      <c r="U277" s="4707">
        <v>1</v>
      </c>
      <c r="V277" s="4707">
        <v>8</v>
      </c>
      <c r="W277" s="4722"/>
      <c r="Y277" s="36"/>
      <c r="Z277" s="36"/>
      <c r="AA277" s="36"/>
      <c r="AB277" s="36" t="s">
        <v>15</v>
      </c>
      <c r="AC277" s="1681">
        <v>1</v>
      </c>
      <c r="AD277" s="1681"/>
      <c r="AE277" s="1681"/>
      <c r="AF277" s="1681"/>
      <c r="AG277" s="1681"/>
      <c r="AH277" s="1681"/>
      <c r="AI277" s="1681">
        <v>5</v>
      </c>
      <c r="AJ277" s="1681">
        <v>6</v>
      </c>
      <c r="AK277" s="1681"/>
      <c r="AL277" s="95"/>
      <c r="AM277" s="95">
        <v>12</v>
      </c>
      <c r="AN277" s="560">
        <f>+AI275/(AM277-AM276)</f>
        <v>0.36363636363636365</v>
      </c>
      <c r="AS277" s="3868" t="s">
        <v>1081</v>
      </c>
      <c r="AT277" s="3721"/>
      <c r="AU277" s="3721"/>
      <c r="AV277" s="3721"/>
      <c r="AW277" s="3721"/>
      <c r="AX277" s="3721"/>
      <c r="AY277" s="3721"/>
      <c r="AZ277" s="3721">
        <v>2</v>
      </c>
      <c r="BA277" s="3721">
        <v>0</v>
      </c>
      <c r="BB277" s="3721"/>
      <c r="BC277" s="2110"/>
      <c r="BD277" s="2110"/>
      <c r="BE277" s="2110">
        <v>2</v>
      </c>
      <c r="BF277" s="2110"/>
      <c r="BG277" s="2110"/>
      <c r="BJ277" s="1520"/>
      <c r="BK277" s="1520" t="s">
        <v>1076</v>
      </c>
      <c r="BL277" s="3872">
        <v>0</v>
      </c>
      <c r="BM277" s="3872">
        <v>0</v>
      </c>
      <c r="BN277" s="3872"/>
      <c r="BO277" s="3872">
        <v>0</v>
      </c>
      <c r="BP277" s="3872">
        <v>0</v>
      </c>
      <c r="BQ277" s="3872">
        <v>2</v>
      </c>
      <c r="BR277" s="3872">
        <v>0</v>
      </c>
      <c r="BS277" s="3872">
        <v>0</v>
      </c>
      <c r="BT277" s="3806"/>
      <c r="BU277" s="3806">
        <v>2</v>
      </c>
      <c r="BV277" s="1520"/>
      <c r="BX277" s="36"/>
      <c r="BY277" s="36"/>
      <c r="BZ277" s="36" t="s">
        <v>1732</v>
      </c>
      <c r="CA277" s="36" t="s">
        <v>1072</v>
      </c>
      <c r="CB277" s="1681"/>
      <c r="CC277" s="1681"/>
      <c r="CD277" s="1681"/>
      <c r="CE277" s="1681">
        <v>1</v>
      </c>
      <c r="CF277" s="1681"/>
      <c r="CG277" s="1681">
        <v>5</v>
      </c>
      <c r="CH277" s="1681">
        <v>1</v>
      </c>
      <c r="CI277" s="1681"/>
      <c r="CJ277" s="95"/>
      <c r="CK277" s="95"/>
      <c r="CL277" s="95">
        <v>7</v>
      </c>
      <c r="CM277" s="36"/>
      <c r="CO277" s="37"/>
      <c r="CP277" s="37"/>
      <c r="CQ277" s="37"/>
      <c r="CR277" s="416" t="s">
        <v>15</v>
      </c>
      <c r="CS277" s="1679"/>
      <c r="CT277" s="1679"/>
      <c r="CU277" s="1679"/>
      <c r="CV277" s="1679"/>
      <c r="CW277" s="1679"/>
      <c r="CX277" s="1679"/>
      <c r="CY277" s="1679">
        <v>19</v>
      </c>
      <c r="CZ277" s="1679">
        <v>1</v>
      </c>
      <c r="DA277" s="1679">
        <v>1</v>
      </c>
      <c r="DB277" s="386"/>
      <c r="DC277" s="386"/>
      <c r="DD277" s="386">
        <v>21</v>
      </c>
      <c r="DE277" s="2045">
        <f>+(DD275+DD276)/DD277</f>
        <v>0.7142857142857143</v>
      </c>
      <c r="DG277" s="95"/>
      <c r="DH277" s="95" t="s">
        <v>103</v>
      </c>
      <c r="DI277" s="36" t="s">
        <v>142</v>
      </c>
      <c r="DJ277" s="36" t="s">
        <v>1072</v>
      </c>
      <c r="DK277" s="1484"/>
      <c r="DL277" s="1484"/>
      <c r="DM277" s="1484"/>
      <c r="DN277" s="1484"/>
      <c r="DO277" s="1484"/>
      <c r="DP277" s="1484"/>
      <c r="DQ277" s="1484">
        <v>2</v>
      </c>
      <c r="DR277" s="1484"/>
      <c r="DS277" s="1484"/>
      <c r="DT277" s="95"/>
      <c r="DU277" s="95"/>
      <c r="DV277" s="95">
        <v>2</v>
      </c>
      <c r="DW277" s="95"/>
      <c r="DY277" s="1209"/>
      <c r="DZ277" s="1209"/>
      <c r="EA277" s="1210"/>
      <c r="EB277" s="1211" t="s">
        <v>1076</v>
      </c>
      <c r="EC277" s="1213">
        <v>0</v>
      </c>
      <c r="ED277" s="1213">
        <v>0</v>
      </c>
      <c r="EE277" s="1213">
        <v>0</v>
      </c>
      <c r="EF277" s="1213">
        <v>1</v>
      </c>
      <c r="EG277" s="1213">
        <v>2</v>
      </c>
      <c r="EH277" s="1213">
        <v>11</v>
      </c>
      <c r="EI277" s="1213">
        <v>2</v>
      </c>
      <c r="EJ277" s="1213">
        <v>0</v>
      </c>
      <c r="EK277" s="612">
        <v>0</v>
      </c>
      <c r="EL277" s="611"/>
      <c r="EM277" s="612">
        <v>16</v>
      </c>
      <c r="EN277" s="36"/>
      <c r="EP277" s="527"/>
      <c r="EQ277" s="527"/>
      <c r="ER277" s="528"/>
      <c r="ES277" s="529" t="s">
        <v>1072</v>
      </c>
      <c r="ET277" s="531">
        <v>7</v>
      </c>
      <c r="EU277" s="531">
        <v>4</v>
      </c>
      <c r="EV277" s="531">
        <v>40</v>
      </c>
      <c r="EW277" s="531">
        <v>5</v>
      </c>
      <c r="EX277" s="531">
        <v>2</v>
      </c>
      <c r="EY277" s="531">
        <v>95</v>
      </c>
      <c r="EZ277" s="531">
        <v>22</v>
      </c>
      <c r="FA277" s="531">
        <v>1</v>
      </c>
      <c r="FB277" s="532">
        <v>0</v>
      </c>
      <c r="FC277" s="527"/>
      <c r="FD277" s="532">
        <v>176</v>
      </c>
      <c r="FE277" s="95"/>
      <c r="GC277" s="7010" t="s">
        <v>1137</v>
      </c>
      <c r="GD277" s="7010"/>
      <c r="GE277" s="7010"/>
      <c r="GF277" s="7010"/>
      <c r="GG277" s="7010"/>
      <c r="GH277" s="7010"/>
      <c r="GI277" s="7010"/>
      <c r="GJ277" s="7010"/>
      <c r="GK277" s="7010"/>
      <c r="GL277" s="7010"/>
      <c r="GT277" s="6999" t="s">
        <v>1138</v>
      </c>
      <c r="GU277" s="6999"/>
      <c r="GV277" s="6999"/>
      <c r="GW277" s="6999"/>
      <c r="GX277" s="6999"/>
      <c r="GY277" s="6999"/>
      <c r="GZ277" s="6999"/>
      <c r="HA277" s="6999"/>
      <c r="HB277" s="6999"/>
      <c r="HC277" s="6999"/>
      <c r="HF277" s="37"/>
      <c r="HG277" s="446"/>
      <c r="HH277" s="446"/>
      <c r="HI277" s="446"/>
      <c r="HJ277" s="446"/>
      <c r="HK277" s="7012" t="s">
        <v>1138</v>
      </c>
      <c r="HL277" s="7012"/>
      <c r="HM277" s="7012"/>
      <c r="HN277" s="7012"/>
      <c r="HO277" s="7012"/>
      <c r="HP277" s="7012"/>
      <c r="HQ277" s="7012"/>
      <c r="HR277" s="7012"/>
      <c r="HS277" s="7012"/>
      <c r="HT277" s="7012"/>
      <c r="HU277" s="7012"/>
      <c r="HV277" s="447"/>
      <c r="HW277" s="446"/>
      <c r="HX277" s="446"/>
    </row>
    <row r="278" spans="1:232" ht="13.95" customHeight="1" thickBot="1">
      <c r="A278" s="5682">
        <v>3</v>
      </c>
      <c r="B278" s="5682">
        <v>3</v>
      </c>
      <c r="C278" s="5683" t="s">
        <v>2740</v>
      </c>
      <c r="D278" s="5683" t="s">
        <v>3027</v>
      </c>
      <c r="E278" s="5682">
        <v>1</v>
      </c>
      <c r="F278" s="5682">
        <v>5</v>
      </c>
      <c r="I278" s="4915">
        <v>4</v>
      </c>
      <c r="J278" s="4915">
        <v>5</v>
      </c>
      <c r="K278" s="4916" t="s">
        <v>383</v>
      </c>
      <c r="L278" s="4916" t="s">
        <v>2731</v>
      </c>
      <c r="M278" s="4915">
        <v>17</v>
      </c>
      <c r="N278" s="4915">
        <v>7</v>
      </c>
      <c r="O278" s="157"/>
      <c r="Q278" s="4705">
        <v>4</v>
      </c>
      <c r="R278" s="4705">
        <v>2</v>
      </c>
      <c r="S278" s="4706" t="s">
        <v>608</v>
      </c>
      <c r="T278" s="4708" t="s">
        <v>2707</v>
      </c>
      <c r="U278" s="4709">
        <v>3</v>
      </c>
      <c r="V278" s="4709">
        <v>6</v>
      </c>
      <c r="W278" s="4722"/>
      <c r="X278" s="4544"/>
      <c r="Y278" s="36"/>
      <c r="Z278" s="36" t="s">
        <v>61</v>
      </c>
      <c r="AA278" s="36" t="s">
        <v>711</v>
      </c>
      <c r="AB278" s="36" t="s">
        <v>1072</v>
      </c>
      <c r="AC278" s="1681">
        <v>0</v>
      </c>
      <c r="AD278" s="1681">
        <v>1</v>
      </c>
      <c r="AE278" s="1681"/>
      <c r="AF278" s="1681"/>
      <c r="AG278" s="1681">
        <v>1</v>
      </c>
      <c r="AH278" s="1681"/>
      <c r="AI278" s="1681">
        <v>7</v>
      </c>
      <c r="AJ278" s="1681">
        <v>0</v>
      </c>
      <c r="AK278" s="1681"/>
      <c r="AL278" s="95"/>
      <c r="AM278" s="95">
        <v>9</v>
      </c>
      <c r="AN278" s="4545"/>
      <c r="AS278" s="3868" t="s">
        <v>1163</v>
      </c>
      <c r="AT278" s="3721"/>
      <c r="AU278" s="3721"/>
      <c r="AV278" s="3721"/>
      <c r="AW278" s="3721"/>
      <c r="AX278" s="3721"/>
      <c r="AY278" s="3721"/>
      <c r="AZ278" s="3721">
        <v>1</v>
      </c>
      <c r="BA278" s="3721">
        <v>0</v>
      </c>
      <c r="BB278" s="3721"/>
      <c r="BC278" s="2110"/>
      <c r="BD278" s="2110"/>
      <c r="BE278" s="2110">
        <v>1</v>
      </c>
      <c r="BF278" s="2110"/>
      <c r="BG278" s="2110"/>
      <c r="BJ278" s="1520"/>
      <c r="BK278" s="1520" t="s">
        <v>484</v>
      </c>
      <c r="BL278" s="3872">
        <v>1</v>
      </c>
      <c r="BM278" s="3872">
        <v>1</v>
      </c>
      <c r="BN278" s="3872"/>
      <c r="BO278" s="3872">
        <v>3</v>
      </c>
      <c r="BP278" s="3872">
        <v>2</v>
      </c>
      <c r="BQ278" s="3872">
        <v>53</v>
      </c>
      <c r="BR278" s="3872">
        <v>1</v>
      </c>
      <c r="BS278" s="3872">
        <v>2</v>
      </c>
      <c r="BT278" s="3806"/>
      <c r="BU278" s="3806">
        <v>63</v>
      </c>
      <c r="BV278" s="3807">
        <f>+BU277/BU278</f>
        <v>3.1746031746031744E-2</v>
      </c>
      <c r="BX278" s="36"/>
      <c r="BY278" s="36"/>
      <c r="BZ278" s="36"/>
      <c r="CA278" s="36" t="s">
        <v>1076</v>
      </c>
      <c r="CB278" s="1681"/>
      <c r="CC278" s="1681"/>
      <c r="CD278" s="1681"/>
      <c r="CE278" s="1681">
        <v>0</v>
      </c>
      <c r="CF278" s="1681"/>
      <c r="CG278" s="1681">
        <v>2</v>
      </c>
      <c r="CH278" s="1681">
        <v>0</v>
      </c>
      <c r="CI278" s="1681"/>
      <c r="CJ278" s="95"/>
      <c r="CK278" s="95"/>
      <c r="CL278" s="95">
        <v>2</v>
      </c>
      <c r="CM278" s="36"/>
      <c r="CO278" s="37"/>
      <c r="CP278" s="37"/>
      <c r="CQ278" s="37" t="s">
        <v>390</v>
      </c>
      <c r="CR278" s="37" t="s">
        <v>1072</v>
      </c>
      <c r="CS278" s="1678"/>
      <c r="CT278" s="1678"/>
      <c r="CU278" s="1678">
        <v>2</v>
      </c>
      <c r="CV278" s="1678"/>
      <c r="CW278" s="1678"/>
      <c r="CX278" s="1678"/>
      <c r="CY278" s="1678">
        <v>22</v>
      </c>
      <c r="CZ278" s="1678"/>
      <c r="DA278" s="1678"/>
      <c r="DB278" s="63"/>
      <c r="DC278" s="63"/>
      <c r="DD278" s="63">
        <v>24</v>
      </c>
      <c r="DG278" s="95"/>
      <c r="DH278" s="95"/>
      <c r="DI278" s="36"/>
      <c r="DJ278" s="36" t="s">
        <v>1076</v>
      </c>
      <c r="DK278" s="1484"/>
      <c r="DL278" s="1484"/>
      <c r="DM278" s="1484"/>
      <c r="DN278" s="1484"/>
      <c r="DO278" s="1484"/>
      <c r="DP278" s="1484"/>
      <c r="DQ278" s="1484">
        <v>10</v>
      </c>
      <c r="DR278" s="1484"/>
      <c r="DS278" s="1484"/>
      <c r="DT278" s="95"/>
      <c r="DU278" s="95"/>
      <c r="DV278" s="95">
        <v>10</v>
      </c>
      <c r="DW278" s="95"/>
      <c r="DY278" s="1209"/>
      <c r="DZ278" s="1209"/>
      <c r="EA278" s="1210"/>
      <c r="EB278" s="1211" t="s">
        <v>1077</v>
      </c>
      <c r="EC278" s="1213">
        <v>0</v>
      </c>
      <c r="ED278" s="1213">
        <v>0</v>
      </c>
      <c r="EE278" s="1213">
        <v>0</v>
      </c>
      <c r="EF278" s="1213">
        <v>0</v>
      </c>
      <c r="EG278" s="1213">
        <v>1</v>
      </c>
      <c r="EH278" s="1213">
        <v>0</v>
      </c>
      <c r="EI278" s="1213">
        <v>0</v>
      </c>
      <c r="EJ278" s="1213">
        <v>0</v>
      </c>
      <c r="EK278" s="612">
        <v>0</v>
      </c>
      <c r="EL278" s="611"/>
      <c r="EM278" s="612">
        <v>1</v>
      </c>
      <c r="EN278" s="36"/>
      <c r="EP278" s="527"/>
      <c r="EQ278" s="527"/>
      <c r="ER278" s="528"/>
      <c r="ES278" s="529" t="s">
        <v>1074</v>
      </c>
      <c r="ET278" s="531">
        <v>3</v>
      </c>
      <c r="EU278" s="531">
        <v>0</v>
      </c>
      <c r="EV278" s="531">
        <v>0</v>
      </c>
      <c r="EW278" s="531">
        <v>0</v>
      </c>
      <c r="EX278" s="531">
        <v>0</v>
      </c>
      <c r="EY278" s="531">
        <v>0</v>
      </c>
      <c r="EZ278" s="531">
        <v>0</v>
      </c>
      <c r="FA278" s="531">
        <v>0</v>
      </c>
      <c r="FB278" s="532">
        <v>0</v>
      </c>
      <c r="FC278" s="527"/>
      <c r="FD278" s="532">
        <v>3</v>
      </c>
      <c r="FE278" s="95"/>
      <c r="FY278" s="40"/>
      <c r="FZ278" s="40"/>
      <c r="GA278" s="575" t="s">
        <v>0</v>
      </c>
      <c r="GB278" s="575" t="s">
        <v>1070</v>
      </c>
      <c r="GC278" s="575">
        <v>1</v>
      </c>
      <c r="GD278" s="575">
        <v>2</v>
      </c>
      <c r="GE278" s="575">
        <v>3</v>
      </c>
      <c r="GF278" s="575">
        <v>4</v>
      </c>
      <c r="GG278" s="575">
        <v>5</v>
      </c>
      <c r="GH278" s="575">
        <v>6</v>
      </c>
      <c r="GI278" s="575">
        <v>7</v>
      </c>
      <c r="GJ278" s="575">
        <v>8</v>
      </c>
      <c r="GK278" s="575">
        <v>9</v>
      </c>
      <c r="GL278" s="575">
        <v>10</v>
      </c>
      <c r="GM278" s="575" t="s">
        <v>15</v>
      </c>
      <c r="GN278" s="489" t="s">
        <v>66</v>
      </c>
      <c r="GO278" s="40"/>
      <c r="GP278" s="46"/>
      <c r="GQ278" s="46"/>
      <c r="GR278" s="47" t="s">
        <v>146</v>
      </c>
      <c r="GS278" s="576" t="s">
        <v>1070</v>
      </c>
      <c r="GT278" s="47">
        <v>1</v>
      </c>
      <c r="GU278" s="47">
        <v>2</v>
      </c>
      <c r="GV278" s="47">
        <v>3</v>
      </c>
      <c r="GW278" s="47">
        <v>4</v>
      </c>
      <c r="GX278" s="47">
        <v>5</v>
      </c>
      <c r="GY278" s="47">
        <v>6</v>
      </c>
      <c r="GZ278" s="47">
        <v>7</v>
      </c>
      <c r="HA278" s="47">
        <v>8</v>
      </c>
      <c r="HB278" s="47">
        <v>9</v>
      </c>
      <c r="HC278" s="47">
        <v>10</v>
      </c>
      <c r="HD278" s="47" t="s">
        <v>15</v>
      </c>
      <c r="HE278" s="576" t="s">
        <v>66</v>
      </c>
      <c r="HF278" s="37"/>
      <c r="HG278" s="446"/>
      <c r="HH278" s="446"/>
      <c r="HI278" s="500" t="s">
        <v>0</v>
      </c>
      <c r="HJ278" s="500" t="s">
        <v>1140</v>
      </c>
      <c r="HK278" s="499">
        <v>0</v>
      </c>
      <c r="HL278" s="499">
        <v>1</v>
      </c>
      <c r="HM278" s="499">
        <v>2</v>
      </c>
      <c r="HN278" s="499">
        <v>3</v>
      </c>
      <c r="HO278" s="499">
        <v>4</v>
      </c>
      <c r="HP278" s="499">
        <v>5</v>
      </c>
      <c r="HQ278" s="499">
        <v>6</v>
      </c>
      <c r="HR278" s="499">
        <v>7</v>
      </c>
      <c r="HS278" s="499">
        <v>8</v>
      </c>
      <c r="HT278" s="499">
        <v>9</v>
      </c>
      <c r="HU278" s="499">
        <v>10</v>
      </c>
      <c r="HV278" s="499" t="s">
        <v>15</v>
      </c>
      <c r="HW278" s="500" t="s">
        <v>66</v>
      </c>
      <c r="HX278" s="499" t="s">
        <v>1141</v>
      </c>
    </row>
    <row r="279" spans="1:232">
      <c r="A279" s="5682">
        <v>3</v>
      </c>
      <c r="B279" s="5682">
        <v>3</v>
      </c>
      <c r="C279" s="5683" t="s">
        <v>2740</v>
      </c>
      <c r="D279" s="5683" t="s">
        <v>2709</v>
      </c>
      <c r="E279" s="5682">
        <v>1</v>
      </c>
      <c r="F279" s="5682">
        <v>1</v>
      </c>
      <c r="I279" s="4915">
        <v>4</v>
      </c>
      <c r="J279" s="4915">
        <v>5</v>
      </c>
      <c r="K279" s="4916" t="s">
        <v>383</v>
      </c>
      <c r="L279" s="4916" t="s">
        <v>1071</v>
      </c>
      <c r="M279" s="4915">
        <v>2</v>
      </c>
      <c r="N279" s="4915">
        <v>7</v>
      </c>
      <c r="O279" s="157"/>
      <c r="Q279" s="4705">
        <v>4</v>
      </c>
      <c r="R279" s="4705">
        <v>2</v>
      </c>
      <c r="S279" s="4706" t="s">
        <v>608</v>
      </c>
      <c r="T279" s="4706" t="s">
        <v>2709</v>
      </c>
      <c r="U279" s="4707">
        <v>1</v>
      </c>
      <c r="V279" s="4707">
        <v>6</v>
      </c>
      <c r="W279" s="4722"/>
      <c r="Y279" s="36"/>
      <c r="Z279" s="36"/>
      <c r="AA279" s="36"/>
      <c r="AB279" s="36" t="s">
        <v>1080</v>
      </c>
      <c r="AC279" s="1681">
        <v>0</v>
      </c>
      <c r="AD279" s="1681">
        <v>0</v>
      </c>
      <c r="AE279" s="1681"/>
      <c r="AF279" s="1681"/>
      <c r="AG279" s="1681">
        <v>0</v>
      </c>
      <c r="AH279" s="1681"/>
      <c r="AI279" s="1681">
        <v>0</v>
      </c>
      <c r="AJ279" s="1681">
        <v>13</v>
      </c>
      <c r="AK279" s="1681"/>
      <c r="AL279" s="95"/>
      <c r="AM279" s="95">
        <v>13</v>
      </c>
      <c r="AN279" s="4545"/>
      <c r="AS279" s="3868" t="s">
        <v>15</v>
      </c>
      <c r="AT279" s="3721"/>
      <c r="AU279" s="3721"/>
      <c r="AV279" s="3721"/>
      <c r="AW279" s="3721"/>
      <c r="AX279" s="3721"/>
      <c r="AY279" s="3721"/>
      <c r="AZ279" s="3721">
        <v>5</v>
      </c>
      <c r="BA279" s="3721">
        <v>1</v>
      </c>
      <c r="BB279" s="3721"/>
      <c r="BC279" s="2110"/>
      <c r="BD279" s="2110"/>
      <c r="BE279" s="2110">
        <v>6</v>
      </c>
      <c r="BF279" s="1665">
        <f>+(BE277+BE278)/(BE279)</f>
        <v>0.5</v>
      </c>
      <c r="BG279" s="1665"/>
      <c r="BJ279" s="1520" t="s">
        <v>412</v>
      </c>
      <c r="BK279" s="1520" t="s">
        <v>1071</v>
      </c>
      <c r="BL279" s="3872">
        <v>0</v>
      </c>
      <c r="BM279" s="3872">
        <v>0</v>
      </c>
      <c r="BN279" s="3872">
        <v>0</v>
      </c>
      <c r="BO279" s="3872">
        <v>1</v>
      </c>
      <c r="BP279" s="3872">
        <v>0</v>
      </c>
      <c r="BQ279" s="3872">
        <v>1</v>
      </c>
      <c r="BR279" s="3872">
        <v>1</v>
      </c>
      <c r="BS279" s="3872">
        <v>2</v>
      </c>
      <c r="BT279" s="3806">
        <v>0</v>
      </c>
      <c r="BU279" s="3806">
        <v>5</v>
      </c>
      <c r="BV279" s="1520"/>
      <c r="BX279" s="36"/>
      <c r="BY279" s="36"/>
      <c r="BZ279" s="36"/>
      <c r="CA279" s="36" t="s">
        <v>1163</v>
      </c>
      <c r="CB279" s="1681"/>
      <c r="CC279" s="1681"/>
      <c r="CD279" s="1681"/>
      <c r="CE279" s="1681">
        <v>0</v>
      </c>
      <c r="CF279" s="1681"/>
      <c r="CG279" s="1681">
        <v>1</v>
      </c>
      <c r="CH279" s="1681">
        <v>0</v>
      </c>
      <c r="CI279" s="1681"/>
      <c r="CJ279" s="95"/>
      <c r="CK279" s="95"/>
      <c r="CL279" s="95">
        <v>1</v>
      </c>
      <c r="CM279" s="36"/>
      <c r="CO279" s="37"/>
      <c r="CP279" s="37"/>
      <c r="CQ279" s="37"/>
      <c r="CR279" s="416" t="s">
        <v>15</v>
      </c>
      <c r="CS279" s="1679"/>
      <c r="CT279" s="1679"/>
      <c r="CU279" s="1679">
        <v>2</v>
      </c>
      <c r="CV279" s="1679"/>
      <c r="CW279" s="1679"/>
      <c r="CX279" s="1679"/>
      <c r="CY279" s="1679">
        <v>22</v>
      </c>
      <c r="CZ279" s="1679"/>
      <c r="DA279" s="1679"/>
      <c r="DB279" s="386"/>
      <c r="DC279" s="386"/>
      <c r="DD279" s="386">
        <v>24</v>
      </c>
      <c r="DE279" s="2045">
        <v>0</v>
      </c>
      <c r="DG279" s="95"/>
      <c r="DH279" s="95"/>
      <c r="DI279" s="36"/>
      <c r="DJ279" s="36" t="s">
        <v>1081</v>
      </c>
      <c r="DK279" s="1484"/>
      <c r="DL279" s="1484"/>
      <c r="DM279" s="1484"/>
      <c r="DN279" s="1484"/>
      <c r="DO279" s="1484"/>
      <c r="DP279" s="1484"/>
      <c r="DQ279" s="1484">
        <v>9</v>
      </c>
      <c r="DR279" s="1484"/>
      <c r="DS279" s="1484"/>
      <c r="DT279" s="95"/>
      <c r="DU279" s="95"/>
      <c r="DV279" s="95">
        <v>9</v>
      </c>
      <c r="DW279" s="95"/>
      <c r="DY279" s="1209"/>
      <c r="DZ279" s="1209"/>
      <c r="EA279" s="1210"/>
      <c r="EB279" s="1211" t="s">
        <v>1080</v>
      </c>
      <c r="EC279" s="1213">
        <v>0</v>
      </c>
      <c r="ED279" s="1213">
        <v>0</v>
      </c>
      <c r="EE279" s="1213">
        <v>0</v>
      </c>
      <c r="EF279" s="1213">
        <v>0</v>
      </c>
      <c r="EG279" s="1213">
        <v>2</v>
      </c>
      <c r="EH279" s="1213">
        <v>1</v>
      </c>
      <c r="EI279" s="1213">
        <v>1</v>
      </c>
      <c r="EJ279" s="1213">
        <v>5</v>
      </c>
      <c r="EK279" s="612">
        <v>2</v>
      </c>
      <c r="EL279" s="611"/>
      <c r="EM279" s="612">
        <v>11</v>
      </c>
      <c r="EN279" s="36"/>
      <c r="EP279" s="527"/>
      <c r="EQ279" s="527"/>
      <c r="ER279" s="528"/>
      <c r="ES279" s="529" t="s">
        <v>1076</v>
      </c>
      <c r="ET279" s="531">
        <v>0</v>
      </c>
      <c r="EU279" s="531">
        <v>0</v>
      </c>
      <c r="EV279" s="531">
        <v>1</v>
      </c>
      <c r="EW279" s="531">
        <v>0</v>
      </c>
      <c r="EX279" s="531">
        <v>0</v>
      </c>
      <c r="EY279" s="531">
        <v>8</v>
      </c>
      <c r="EZ279" s="531">
        <v>8</v>
      </c>
      <c r="FA279" s="531">
        <v>0</v>
      </c>
      <c r="FB279" s="532">
        <v>0</v>
      </c>
      <c r="FC279" s="527"/>
      <c r="FD279" s="532">
        <v>17</v>
      </c>
      <c r="FE279" s="95"/>
      <c r="FY279" s="540"/>
      <c r="FZ279" s="540"/>
      <c r="GA279" s="577" t="s">
        <v>75</v>
      </c>
      <c r="GB279" s="541" t="s">
        <v>1071</v>
      </c>
      <c r="GC279" s="543">
        <v>0</v>
      </c>
      <c r="GD279" s="543">
        <v>0</v>
      </c>
      <c r="GE279" s="543">
        <v>0</v>
      </c>
      <c r="GF279" s="543">
        <v>0</v>
      </c>
      <c r="GG279" s="543">
        <v>0</v>
      </c>
      <c r="GH279" s="543">
        <v>0</v>
      </c>
      <c r="GI279" s="543">
        <v>2</v>
      </c>
      <c r="GJ279" s="543">
        <v>11</v>
      </c>
      <c r="GK279" s="543">
        <v>4</v>
      </c>
      <c r="GL279" s="543">
        <v>13</v>
      </c>
      <c r="GM279" s="543">
        <v>30</v>
      </c>
      <c r="GN279" s="445"/>
      <c r="GP279" s="63"/>
      <c r="GQ279" s="63"/>
      <c r="GR279" s="386" t="s">
        <v>75</v>
      </c>
      <c r="GS279" s="37" t="s">
        <v>1071</v>
      </c>
      <c r="GT279" s="37">
        <v>0</v>
      </c>
      <c r="GU279" s="37">
        <v>0</v>
      </c>
      <c r="GV279" s="37">
        <v>0</v>
      </c>
      <c r="GW279" s="37">
        <v>0</v>
      </c>
      <c r="GX279" s="37">
        <v>0</v>
      </c>
      <c r="GY279" s="37">
        <v>1</v>
      </c>
      <c r="GZ279" s="37">
        <v>4</v>
      </c>
      <c r="HA279" s="37">
        <v>26</v>
      </c>
      <c r="HB279" s="37">
        <v>2</v>
      </c>
      <c r="HC279" s="37">
        <v>2</v>
      </c>
      <c r="HD279" s="37">
        <v>35</v>
      </c>
      <c r="HE279" s="37"/>
      <c r="HF279" s="37"/>
      <c r="HG279" s="446"/>
      <c r="HH279" s="446"/>
      <c r="HI279" s="447" t="s">
        <v>75</v>
      </c>
      <c r="HJ279" s="446" t="s">
        <v>1071</v>
      </c>
      <c r="HK279" s="446">
        <v>0</v>
      </c>
      <c r="HL279" s="446">
        <v>0</v>
      </c>
      <c r="HM279" s="446">
        <v>0</v>
      </c>
      <c r="HN279" s="446">
        <v>1</v>
      </c>
      <c r="HO279" s="446">
        <v>1</v>
      </c>
      <c r="HP279" s="446">
        <v>0</v>
      </c>
      <c r="HQ279" s="446">
        <v>5</v>
      </c>
      <c r="HR279" s="446">
        <v>2</v>
      </c>
      <c r="HS279" s="446">
        <v>18</v>
      </c>
      <c r="HT279" s="446">
        <v>2</v>
      </c>
      <c r="HU279" s="446">
        <v>5</v>
      </c>
      <c r="HV279" s="447">
        <v>34</v>
      </c>
      <c r="HW279" s="446"/>
      <c r="HX279" s="448"/>
    </row>
    <row r="280" spans="1:232">
      <c r="A280" s="5682">
        <v>3</v>
      </c>
      <c r="B280" s="5682">
        <v>3</v>
      </c>
      <c r="C280" s="5683" t="s">
        <v>2740</v>
      </c>
      <c r="D280" s="5683" t="s">
        <v>2709</v>
      </c>
      <c r="E280" s="5682">
        <v>1</v>
      </c>
      <c r="F280" s="5682">
        <v>6</v>
      </c>
      <c r="I280" s="4915">
        <v>4</v>
      </c>
      <c r="J280" s="4915">
        <v>5</v>
      </c>
      <c r="K280" s="4916" t="s">
        <v>383</v>
      </c>
      <c r="L280" s="4916" t="s">
        <v>2703</v>
      </c>
      <c r="M280" s="4915">
        <v>1</v>
      </c>
      <c r="N280" s="4915">
        <v>1</v>
      </c>
      <c r="O280" s="157"/>
      <c r="Q280" s="4705">
        <v>4</v>
      </c>
      <c r="R280" s="4705">
        <v>2</v>
      </c>
      <c r="S280" s="4706" t="s">
        <v>608</v>
      </c>
      <c r="T280" s="4706" t="s">
        <v>2709</v>
      </c>
      <c r="U280" s="4707">
        <v>4</v>
      </c>
      <c r="V280" s="4707">
        <v>7</v>
      </c>
      <c r="W280" s="4722"/>
      <c r="Y280" s="36"/>
      <c r="Z280" s="36"/>
      <c r="AA280" s="36"/>
      <c r="AB280" s="36" t="s">
        <v>2571</v>
      </c>
      <c r="AC280" s="1681">
        <v>3</v>
      </c>
      <c r="AD280" s="1681">
        <v>0</v>
      </c>
      <c r="AE280" s="1681"/>
      <c r="AF280" s="1681"/>
      <c r="AG280" s="1681">
        <v>0</v>
      </c>
      <c r="AH280" s="1681"/>
      <c r="AI280" s="1681">
        <v>0</v>
      </c>
      <c r="AJ280" s="1681">
        <v>0</v>
      </c>
      <c r="AK280" s="1681"/>
      <c r="AL280" s="95"/>
      <c r="AM280" s="95">
        <v>3</v>
      </c>
      <c r="AN280" s="4545"/>
      <c r="AR280" s="27" t="s">
        <v>485</v>
      </c>
      <c r="AS280" s="27" t="s">
        <v>1071</v>
      </c>
      <c r="AT280" s="3722">
        <v>0</v>
      </c>
      <c r="AU280" s="3722">
        <v>0</v>
      </c>
      <c r="AV280" s="3722">
        <v>0</v>
      </c>
      <c r="AW280" s="3722">
        <v>0</v>
      </c>
      <c r="AX280" s="3722">
        <v>0</v>
      </c>
      <c r="AY280" s="3722"/>
      <c r="AZ280" s="3722">
        <v>1</v>
      </c>
      <c r="BA280" s="3722">
        <v>0</v>
      </c>
      <c r="BB280" s="3722">
        <v>1</v>
      </c>
      <c r="BC280" s="3701">
        <v>0</v>
      </c>
      <c r="BD280" s="3701">
        <v>0</v>
      </c>
      <c r="BE280" s="3701">
        <v>2</v>
      </c>
      <c r="BF280" s="3701"/>
      <c r="BG280" s="3701"/>
      <c r="BJ280" s="1520"/>
      <c r="BK280" s="1520" t="s">
        <v>1072</v>
      </c>
      <c r="BL280" s="3872">
        <v>5</v>
      </c>
      <c r="BM280" s="3872">
        <v>3</v>
      </c>
      <c r="BN280" s="3872">
        <v>1</v>
      </c>
      <c r="BO280" s="3872">
        <v>4</v>
      </c>
      <c r="BP280" s="3872">
        <v>3</v>
      </c>
      <c r="BQ280" s="3872">
        <v>102</v>
      </c>
      <c r="BR280" s="3872">
        <v>4</v>
      </c>
      <c r="BS280" s="3872">
        <v>0</v>
      </c>
      <c r="BT280" s="3806">
        <v>0</v>
      </c>
      <c r="BU280" s="3806">
        <v>122</v>
      </c>
      <c r="BV280" s="1520"/>
      <c r="BX280" s="36"/>
      <c r="BY280" s="36"/>
      <c r="BZ280" s="36"/>
      <c r="CA280" s="393" t="s">
        <v>15</v>
      </c>
      <c r="CB280" s="1682"/>
      <c r="CC280" s="1682"/>
      <c r="CD280" s="1682"/>
      <c r="CE280" s="1682">
        <v>1</v>
      </c>
      <c r="CF280" s="1682"/>
      <c r="CG280" s="1682">
        <v>8</v>
      </c>
      <c r="CH280" s="1682">
        <v>1</v>
      </c>
      <c r="CI280" s="1682"/>
      <c r="CJ280" s="2041"/>
      <c r="CK280" s="2041"/>
      <c r="CL280" s="2041">
        <v>10</v>
      </c>
      <c r="CM280" s="560">
        <f>+(CL279+CL278)/CL280</f>
        <v>0.3</v>
      </c>
      <c r="CN280" s="1665"/>
      <c r="CO280" s="37"/>
      <c r="CP280" s="37"/>
      <c r="CQ280" s="37" t="s">
        <v>484</v>
      </c>
      <c r="CR280" s="37" t="s">
        <v>1071</v>
      </c>
      <c r="CS280" s="1678"/>
      <c r="CT280" s="1678">
        <v>0</v>
      </c>
      <c r="CU280" s="1678">
        <v>0</v>
      </c>
      <c r="CV280" s="1678"/>
      <c r="CW280" s="1678">
        <v>0</v>
      </c>
      <c r="CX280" s="1678">
        <v>0</v>
      </c>
      <c r="CY280" s="1678">
        <v>0</v>
      </c>
      <c r="CZ280" s="1678">
        <v>1</v>
      </c>
      <c r="DA280" s="1678">
        <v>0</v>
      </c>
      <c r="DB280" s="63"/>
      <c r="DC280" s="63"/>
      <c r="DD280" s="63">
        <v>1</v>
      </c>
      <c r="DG280" s="95"/>
      <c r="DH280" s="95"/>
      <c r="DI280" s="36"/>
      <c r="DJ280" s="36" t="s">
        <v>1163</v>
      </c>
      <c r="DK280" s="1484"/>
      <c r="DL280" s="1484"/>
      <c r="DM280" s="1484"/>
      <c r="DN280" s="1484"/>
      <c r="DO280" s="1484"/>
      <c r="DP280" s="1484"/>
      <c r="DQ280" s="1484">
        <v>4</v>
      </c>
      <c r="DR280" s="1484"/>
      <c r="DS280" s="1484"/>
      <c r="DT280" s="95"/>
      <c r="DU280" s="95"/>
      <c r="DV280" s="95">
        <v>4</v>
      </c>
      <c r="DW280" s="95"/>
      <c r="DY280" s="1209"/>
      <c r="DZ280" s="1209"/>
      <c r="EA280" s="1210"/>
      <c r="EB280" s="1211" t="s">
        <v>1081</v>
      </c>
      <c r="EC280" s="1213">
        <v>0</v>
      </c>
      <c r="ED280" s="1213">
        <v>0</v>
      </c>
      <c r="EE280" s="1213">
        <v>0</v>
      </c>
      <c r="EF280" s="1213">
        <v>1</v>
      </c>
      <c r="EG280" s="1213">
        <v>1</v>
      </c>
      <c r="EH280" s="1213">
        <v>20</v>
      </c>
      <c r="EI280" s="1213">
        <v>4</v>
      </c>
      <c r="EJ280" s="1213">
        <v>0</v>
      </c>
      <c r="EK280" s="612">
        <v>0</v>
      </c>
      <c r="EL280" s="611"/>
      <c r="EM280" s="612">
        <v>26</v>
      </c>
      <c r="EN280" s="36"/>
      <c r="EP280" s="527"/>
      <c r="EQ280" s="527"/>
      <c r="ER280" s="528"/>
      <c r="ES280" s="529" t="s">
        <v>1077</v>
      </c>
      <c r="ET280" s="531">
        <v>1</v>
      </c>
      <c r="EU280" s="531">
        <v>1</v>
      </c>
      <c r="EV280" s="531">
        <v>1</v>
      </c>
      <c r="EW280" s="531">
        <v>1</v>
      </c>
      <c r="EX280" s="531">
        <v>0</v>
      </c>
      <c r="EY280" s="531">
        <v>0</v>
      </c>
      <c r="EZ280" s="531">
        <v>0</v>
      </c>
      <c r="FA280" s="531">
        <v>0</v>
      </c>
      <c r="FB280" s="532">
        <v>0</v>
      </c>
      <c r="FC280" s="527"/>
      <c r="FD280" s="532">
        <v>4</v>
      </c>
      <c r="FE280" s="95"/>
      <c r="FY280" s="540"/>
      <c r="FZ280" s="540"/>
      <c r="GA280" s="540"/>
      <c r="GB280" s="541" t="s">
        <v>1072</v>
      </c>
      <c r="GC280" s="543">
        <v>1</v>
      </c>
      <c r="GD280" s="543">
        <v>1</v>
      </c>
      <c r="GE280" s="543">
        <v>27</v>
      </c>
      <c r="GF280" s="543">
        <v>11</v>
      </c>
      <c r="GG280" s="543">
        <v>4</v>
      </c>
      <c r="GH280" s="543">
        <v>76</v>
      </c>
      <c r="GI280" s="543">
        <v>47</v>
      </c>
      <c r="GJ280" s="543">
        <v>8</v>
      </c>
      <c r="GK280" s="543">
        <v>4</v>
      </c>
      <c r="GL280" s="543">
        <v>0</v>
      </c>
      <c r="GM280" s="543">
        <v>179</v>
      </c>
      <c r="GN280" s="445"/>
      <c r="GP280" s="63"/>
      <c r="GQ280" s="63"/>
      <c r="GR280" s="37"/>
      <c r="GS280" s="37" t="s">
        <v>1072</v>
      </c>
      <c r="GT280" s="37">
        <v>3</v>
      </c>
      <c r="GU280" s="37">
        <v>9</v>
      </c>
      <c r="GV280" s="37">
        <v>4</v>
      </c>
      <c r="GW280" s="37">
        <v>2</v>
      </c>
      <c r="GX280" s="37">
        <v>4</v>
      </c>
      <c r="GY280" s="37">
        <v>91</v>
      </c>
      <c r="GZ280" s="37">
        <v>39</v>
      </c>
      <c r="HA280" s="37">
        <v>4</v>
      </c>
      <c r="HB280" s="37">
        <v>0</v>
      </c>
      <c r="HC280" s="37">
        <v>0</v>
      </c>
      <c r="HD280" s="37">
        <v>156</v>
      </c>
      <c r="HE280" s="37"/>
      <c r="HF280" s="37"/>
      <c r="HG280" s="446"/>
      <c r="HH280" s="446"/>
      <c r="HI280" s="446"/>
      <c r="HJ280" s="446" t="s">
        <v>1072</v>
      </c>
      <c r="HK280" s="446">
        <v>1</v>
      </c>
      <c r="HL280" s="446">
        <v>2</v>
      </c>
      <c r="HM280" s="446">
        <v>7</v>
      </c>
      <c r="HN280" s="446">
        <v>6</v>
      </c>
      <c r="HO280" s="446">
        <v>9</v>
      </c>
      <c r="HP280" s="446">
        <v>1</v>
      </c>
      <c r="HQ280" s="446">
        <v>87</v>
      </c>
      <c r="HR280" s="446">
        <v>16</v>
      </c>
      <c r="HS280" s="446">
        <v>0</v>
      </c>
      <c r="HT280" s="446">
        <v>0</v>
      </c>
      <c r="HU280" s="446">
        <v>0</v>
      </c>
      <c r="HV280" s="447">
        <v>129</v>
      </c>
      <c r="HW280" s="446"/>
      <c r="HX280" s="448"/>
    </row>
    <row r="281" spans="1:232">
      <c r="A281" s="5682">
        <v>3</v>
      </c>
      <c r="B281" s="5682">
        <v>3</v>
      </c>
      <c r="C281" s="5683" t="s">
        <v>2740</v>
      </c>
      <c r="D281" s="5683" t="s">
        <v>2709</v>
      </c>
      <c r="E281" s="5682">
        <v>1</v>
      </c>
      <c r="F281" s="5682">
        <v>9</v>
      </c>
      <c r="I281" s="4915">
        <v>4</v>
      </c>
      <c r="J281" s="4915">
        <v>5</v>
      </c>
      <c r="K281" s="4916" t="s">
        <v>383</v>
      </c>
      <c r="L281" s="4916" t="s">
        <v>2709</v>
      </c>
      <c r="M281" s="4915">
        <v>1</v>
      </c>
      <c r="N281" s="4915">
        <v>6</v>
      </c>
      <c r="O281" s="157"/>
      <c r="Q281" s="4705"/>
      <c r="R281" s="4777"/>
      <c r="S281" s="4749" t="s">
        <v>16</v>
      </c>
      <c r="T281" s="4745"/>
      <c r="U281" s="4740">
        <f>SUM(U276:U280)</f>
        <v>11</v>
      </c>
      <c r="V281" s="4740"/>
      <c r="W281" s="4750">
        <f>(U278)/(U281)</f>
        <v>0.27272727272727271</v>
      </c>
      <c r="X281" s="4513"/>
      <c r="Y281" s="36"/>
      <c r="Z281" s="36"/>
      <c r="AA281" s="36"/>
      <c r="AB281" s="36" t="s">
        <v>15</v>
      </c>
      <c r="AC281" s="1681">
        <v>3</v>
      </c>
      <c r="AD281" s="1681">
        <v>1</v>
      </c>
      <c r="AE281" s="1681"/>
      <c r="AF281" s="1681"/>
      <c r="AG281" s="1681">
        <v>1</v>
      </c>
      <c r="AH281" s="1681"/>
      <c r="AI281" s="1681">
        <v>7</v>
      </c>
      <c r="AJ281" s="1681">
        <v>13</v>
      </c>
      <c r="AK281" s="1681"/>
      <c r="AL281" s="95"/>
      <c r="AM281" s="95">
        <v>25</v>
      </c>
      <c r="AN281" s="4545">
        <v>0</v>
      </c>
      <c r="AR281" s="27"/>
      <c r="AS281" s="27" t="s">
        <v>1072</v>
      </c>
      <c r="AT281" s="3722">
        <v>0</v>
      </c>
      <c r="AU281" s="3722">
        <v>1</v>
      </c>
      <c r="AV281" s="3722">
        <v>3</v>
      </c>
      <c r="AW281" s="3722">
        <v>1</v>
      </c>
      <c r="AX281" s="3722">
        <v>1</v>
      </c>
      <c r="AY281" s="3722"/>
      <c r="AZ281" s="3722">
        <v>31</v>
      </c>
      <c r="BA281" s="3722">
        <v>3</v>
      </c>
      <c r="BB281" s="3722">
        <v>0</v>
      </c>
      <c r="BC281" s="3701">
        <v>0</v>
      </c>
      <c r="BD281" s="3701">
        <v>0</v>
      </c>
      <c r="BE281" s="3701">
        <v>40</v>
      </c>
      <c r="BF281" s="3701"/>
      <c r="BG281" s="3701"/>
      <c r="BJ281" s="1520"/>
      <c r="BK281" s="1520" t="s">
        <v>1074</v>
      </c>
      <c r="BL281" s="3872">
        <v>3</v>
      </c>
      <c r="BM281" s="3872">
        <v>1</v>
      </c>
      <c r="BN281" s="3872">
        <v>0</v>
      </c>
      <c r="BO281" s="3872">
        <v>0</v>
      </c>
      <c r="BP281" s="3872">
        <v>0</v>
      </c>
      <c r="BQ281" s="3872">
        <v>0</v>
      </c>
      <c r="BR281" s="3872">
        <v>0</v>
      </c>
      <c r="BS281" s="3872">
        <v>0</v>
      </c>
      <c r="BT281" s="3806">
        <v>0</v>
      </c>
      <c r="BU281" s="3806">
        <v>4</v>
      </c>
      <c r="BV281" s="1520"/>
      <c r="BX281" s="36"/>
      <c r="BY281" s="36"/>
      <c r="BZ281" s="393" t="s">
        <v>485</v>
      </c>
      <c r="CA281" s="393" t="s">
        <v>1071</v>
      </c>
      <c r="CB281" s="1682"/>
      <c r="CC281" s="1682">
        <v>0</v>
      </c>
      <c r="CD281" s="1682"/>
      <c r="CE281" s="1682">
        <v>0</v>
      </c>
      <c r="CF281" s="1682">
        <v>0</v>
      </c>
      <c r="CG281" s="1682">
        <v>0</v>
      </c>
      <c r="CH281" s="1682">
        <v>1</v>
      </c>
      <c r="CI281" s="1682">
        <v>0</v>
      </c>
      <c r="CJ281" s="2041">
        <v>0</v>
      </c>
      <c r="CK281" s="2041"/>
      <c r="CL281" s="2041">
        <v>1</v>
      </c>
      <c r="CM281" s="36"/>
      <c r="CO281" s="37"/>
      <c r="CP281" s="37"/>
      <c r="CQ281" s="37"/>
      <c r="CR281" s="37" t="s">
        <v>1072</v>
      </c>
      <c r="CS281" s="1678"/>
      <c r="CT281" s="1678">
        <v>1</v>
      </c>
      <c r="CU281" s="1678">
        <v>3</v>
      </c>
      <c r="CV281" s="1678"/>
      <c r="CW281" s="1678">
        <v>1</v>
      </c>
      <c r="CX281" s="1678">
        <v>1</v>
      </c>
      <c r="CY281" s="1678">
        <v>34</v>
      </c>
      <c r="CZ281" s="1678">
        <v>1</v>
      </c>
      <c r="DA281" s="1678">
        <v>1</v>
      </c>
      <c r="DB281" s="63"/>
      <c r="DC281" s="63"/>
      <c r="DD281" s="63">
        <v>42</v>
      </c>
      <c r="DG281" s="95"/>
      <c r="DH281" s="95"/>
      <c r="DI281" s="36"/>
      <c r="DJ281" s="393" t="s">
        <v>15</v>
      </c>
      <c r="DK281" s="1485"/>
      <c r="DL281" s="1485"/>
      <c r="DM281" s="1485"/>
      <c r="DN281" s="1485"/>
      <c r="DO281" s="1485"/>
      <c r="DP281" s="1485"/>
      <c r="DQ281" s="1485">
        <v>25</v>
      </c>
      <c r="DR281" s="1485"/>
      <c r="DS281" s="1485"/>
      <c r="DT281" s="86"/>
      <c r="DU281" s="86"/>
      <c r="DV281" s="86">
        <v>25</v>
      </c>
      <c r="DW281" s="560">
        <f>+(DV278+DV279+DV280)/DV281</f>
        <v>0.92</v>
      </c>
      <c r="DY281" s="1209"/>
      <c r="DZ281" s="1209"/>
      <c r="EA281" s="1210"/>
      <c r="EB281" s="1211" t="s">
        <v>1163</v>
      </c>
      <c r="EC281" s="1213">
        <v>0</v>
      </c>
      <c r="ED281" s="1213">
        <v>0</v>
      </c>
      <c r="EE281" s="1213">
        <v>0</v>
      </c>
      <c r="EF281" s="1213">
        <v>2</v>
      </c>
      <c r="EG281" s="1213">
        <v>2</v>
      </c>
      <c r="EH281" s="1213">
        <v>18</v>
      </c>
      <c r="EI281" s="1213">
        <v>3</v>
      </c>
      <c r="EJ281" s="1213">
        <v>0</v>
      </c>
      <c r="EK281" s="612">
        <v>0</v>
      </c>
      <c r="EL281" s="611"/>
      <c r="EM281" s="612">
        <v>25</v>
      </c>
      <c r="EN281" s="36"/>
      <c r="EP281" s="527"/>
      <c r="EQ281" s="527"/>
      <c r="ER281" s="528"/>
      <c r="ES281" s="529" t="s">
        <v>1080</v>
      </c>
      <c r="ET281" s="531">
        <v>0</v>
      </c>
      <c r="EU281" s="531">
        <v>0</v>
      </c>
      <c r="EV281" s="531">
        <v>0</v>
      </c>
      <c r="EW281" s="531">
        <v>0</v>
      </c>
      <c r="EX281" s="531">
        <v>0</v>
      </c>
      <c r="EY281" s="531">
        <v>0</v>
      </c>
      <c r="EZ281" s="531">
        <v>1</v>
      </c>
      <c r="FA281" s="531">
        <v>19</v>
      </c>
      <c r="FB281" s="532">
        <v>2</v>
      </c>
      <c r="FC281" s="527"/>
      <c r="FD281" s="532">
        <v>22</v>
      </c>
      <c r="FE281" s="95"/>
      <c r="FY281" s="540"/>
      <c r="FZ281" s="540"/>
      <c r="GA281" s="540"/>
      <c r="GB281" s="541" t="s">
        <v>1074</v>
      </c>
      <c r="GC281" s="543">
        <v>0</v>
      </c>
      <c r="GD281" s="543">
        <v>2</v>
      </c>
      <c r="GE281" s="543">
        <v>0</v>
      </c>
      <c r="GF281" s="543">
        <v>1</v>
      </c>
      <c r="GG281" s="543">
        <v>0</v>
      </c>
      <c r="GH281" s="543">
        <v>0</v>
      </c>
      <c r="GI281" s="543">
        <v>0</v>
      </c>
      <c r="GJ281" s="543">
        <v>0</v>
      </c>
      <c r="GK281" s="543">
        <v>0</v>
      </c>
      <c r="GL281" s="543">
        <v>0</v>
      </c>
      <c r="GM281" s="543">
        <v>3</v>
      </c>
      <c r="GN281" s="445"/>
      <c r="GP281" s="63"/>
      <c r="GQ281" s="63"/>
      <c r="GR281" s="37"/>
      <c r="GS281" s="37" t="s">
        <v>1074</v>
      </c>
      <c r="GT281" s="37">
        <v>0</v>
      </c>
      <c r="GU281" s="37">
        <v>0</v>
      </c>
      <c r="GV281" s="37">
        <v>1</v>
      </c>
      <c r="GW281" s="37">
        <v>0</v>
      </c>
      <c r="GX281" s="37">
        <v>0</v>
      </c>
      <c r="GY281" s="37">
        <v>0</v>
      </c>
      <c r="GZ281" s="37">
        <v>0</v>
      </c>
      <c r="HA281" s="37">
        <v>0</v>
      </c>
      <c r="HB281" s="37">
        <v>0</v>
      </c>
      <c r="HC281" s="37">
        <v>0</v>
      </c>
      <c r="HD281" s="37">
        <v>1</v>
      </c>
      <c r="HE281" s="37"/>
      <c r="HF281" s="37"/>
      <c r="HG281" s="446"/>
      <c r="HH281" s="446"/>
      <c r="HI281" s="446"/>
      <c r="HJ281" s="446" t="s">
        <v>1074</v>
      </c>
      <c r="HK281" s="446">
        <v>0</v>
      </c>
      <c r="HL281" s="446">
        <v>1</v>
      </c>
      <c r="HM281" s="446">
        <v>1</v>
      </c>
      <c r="HN281" s="446">
        <v>1</v>
      </c>
      <c r="HO281" s="446">
        <v>0</v>
      </c>
      <c r="HP281" s="446">
        <v>0</v>
      </c>
      <c r="HQ281" s="446">
        <v>0</v>
      </c>
      <c r="HR281" s="446">
        <v>0</v>
      </c>
      <c r="HS281" s="446">
        <v>0</v>
      </c>
      <c r="HT281" s="446">
        <v>0</v>
      </c>
      <c r="HU281" s="446">
        <v>0</v>
      </c>
      <c r="HV281" s="447">
        <v>3</v>
      </c>
      <c r="HW281" s="446"/>
      <c r="HX281" s="448"/>
    </row>
    <row r="282" spans="1:232">
      <c r="A282" s="5682"/>
      <c r="B282" s="5682"/>
      <c r="C282" s="5683"/>
      <c r="D282" s="5683"/>
      <c r="E282" s="5686">
        <f>SUM(E273:E281,E253)</f>
        <v>19</v>
      </c>
      <c r="F282" s="5686"/>
      <c r="G282" s="4921">
        <f>(E276+E277)/(E282)</f>
        <v>0.15789473684210525</v>
      </c>
      <c r="I282" s="4915"/>
      <c r="J282" s="4915"/>
      <c r="K282" s="4920" t="s">
        <v>61</v>
      </c>
      <c r="L282" s="4916"/>
      <c r="M282" s="4920">
        <f>SUM(M278:M281)</f>
        <v>21</v>
      </c>
      <c r="N282" s="4915"/>
      <c r="O282" s="4921">
        <v>0</v>
      </c>
      <c r="Q282" s="4705">
        <v>4</v>
      </c>
      <c r="R282" s="4713">
        <v>5</v>
      </c>
      <c r="S282" s="4714" t="s">
        <v>383</v>
      </c>
      <c r="T282" s="4714" t="s">
        <v>2731</v>
      </c>
      <c r="U282" s="4732">
        <v>2</v>
      </c>
      <c r="V282" s="4732">
        <v>8</v>
      </c>
      <c r="W282" s="4722"/>
      <c r="Y282" s="36"/>
      <c r="Z282" s="36"/>
      <c r="AA282" s="393" t="s">
        <v>486</v>
      </c>
      <c r="AB282" s="36" t="s">
        <v>1072</v>
      </c>
      <c r="AC282" s="1681">
        <v>0</v>
      </c>
      <c r="AD282" s="1681">
        <v>1</v>
      </c>
      <c r="AE282" s="1681"/>
      <c r="AF282" s="1681"/>
      <c r="AG282" s="1681">
        <v>1</v>
      </c>
      <c r="AH282" s="1681"/>
      <c r="AI282" s="1681">
        <v>7</v>
      </c>
      <c r="AJ282" s="1681">
        <v>0</v>
      </c>
      <c r="AK282" s="1681"/>
      <c r="AL282" s="95"/>
      <c r="AM282" s="95">
        <v>9</v>
      </c>
      <c r="AN282" s="4545"/>
      <c r="AR282" s="27"/>
      <c r="AS282" s="27" t="s">
        <v>1074</v>
      </c>
      <c r="AT282" s="3722">
        <v>0</v>
      </c>
      <c r="AU282" s="3722">
        <v>3</v>
      </c>
      <c r="AV282" s="3722">
        <v>0</v>
      </c>
      <c r="AW282" s="3722">
        <v>0</v>
      </c>
      <c r="AX282" s="3722">
        <v>0</v>
      </c>
      <c r="AY282" s="3722"/>
      <c r="AZ282" s="3722">
        <v>0</v>
      </c>
      <c r="BA282" s="3722">
        <v>0</v>
      </c>
      <c r="BB282" s="3722">
        <v>0</v>
      </c>
      <c r="BC282" s="3701">
        <v>0</v>
      </c>
      <c r="BD282" s="3701">
        <v>0</v>
      </c>
      <c r="BE282" s="3701">
        <v>3</v>
      </c>
      <c r="BF282" s="3701"/>
      <c r="BG282" s="3701"/>
      <c r="BJ282" s="1520"/>
      <c r="BK282" s="1520" t="s">
        <v>1076</v>
      </c>
      <c r="BL282" s="3872">
        <v>0</v>
      </c>
      <c r="BM282" s="3872">
        <v>0</v>
      </c>
      <c r="BN282" s="3872">
        <v>0</v>
      </c>
      <c r="BO282" s="3872">
        <v>0</v>
      </c>
      <c r="BP282" s="3872">
        <v>0</v>
      </c>
      <c r="BQ282" s="3872">
        <v>13</v>
      </c>
      <c r="BR282" s="3872">
        <v>3</v>
      </c>
      <c r="BS282" s="3872">
        <v>2</v>
      </c>
      <c r="BT282" s="3806">
        <v>0</v>
      </c>
      <c r="BU282" s="3806">
        <v>18</v>
      </c>
      <c r="BV282" s="1520"/>
      <c r="BX282" s="36"/>
      <c r="BY282" s="36"/>
      <c r="BZ282" s="393"/>
      <c r="CA282" s="393" t="s">
        <v>1072</v>
      </c>
      <c r="CB282" s="1682"/>
      <c r="CC282" s="1682">
        <v>3</v>
      </c>
      <c r="CD282" s="1682"/>
      <c r="CE282" s="1682">
        <v>1</v>
      </c>
      <c r="CF282" s="1682">
        <v>3</v>
      </c>
      <c r="CG282" s="1682">
        <v>14</v>
      </c>
      <c r="CH282" s="1682">
        <v>3</v>
      </c>
      <c r="CI282" s="1682">
        <v>5</v>
      </c>
      <c r="CJ282" s="2041">
        <v>0</v>
      </c>
      <c r="CK282" s="2041"/>
      <c r="CL282" s="2041">
        <v>29</v>
      </c>
      <c r="CM282" s="36"/>
      <c r="CO282" s="37"/>
      <c r="CP282" s="37"/>
      <c r="CQ282" s="37"/>
      <c r="CR282" s="37" t="s">
        <v>1076</v>
      </c>
      <c r="CS282" s="1678"/>
      <c r="CT282" s="1678">
        <v>0</v>
      </c>
      <c r="CU282" s="1678">
        <v>0</v>
      </c>
      <c r="CV282" s="1678"/>
      <c r="CW282" s="1678">
        <v>0</v>
      </c>
      <c r="CX282" s="1678">
        <v>0</v>
      </c>
      <c r="CY282" s="1678">
        <v>5</v>
      </c>
      <c r="CZ282" s="1678">
        <v>0</v>
      </c>
      <c r="DA282" s="1678">
        <v>0</v>
      </c>
      <c r="DB282" s="63"/>
      <c r="DC282" s="63"/>
      <c r="DD282" s="63">
        <v>5</v>
      </c>
      <c r="DG282" s="95"/>
      <c r="DH282" s="95"/>
      <c r="DI282" s="36" t="s">
        <v>726</v>
      </c>
      <c r="DJ282" s="36" t="s">
        <v>1072</v>
      </c>
      <c r="DK282" s="1484"/>
      <c r="DL282" s="1484"/>
      <c r="DM282" s="1484"/>
      <c r="DN282" s="1484"/>
      <c r="DO282" s="1484"/>
      <c r="DP282" s="1484"/>
      <c r="DQ282" s="1484">
        <v>2</v>
      </c>
      <c r="DR282" s="1484"/>
      <c r="DS282" s="1484"/>
      <c r="DT282" s="95"/>
      <c r="DU282" s="95"/>
      <c r="DV282" s="95">
        <v>2</v>
      </c>
      <c r="DW282" s="95"/>
      <c r="DY282" s="1209"/>
      <c r="DZ282" s="1209"/>
      <c r="EA282" s="1210"/>
      <c r="EB282" s="415" t="s">
        <v>412</v>
      </c>
      <c r="EC282" s="1215">
        <v>4</v>
      </c>
      <c r="ED282" s="1215">
        <v>3</v>
      </c>
      <c r="EE282" s="1215">
        <v>3</v>
      </c>
      <c r="EF282" s="1215">
        <v>8</v>
      </c>
      <c r="EG282" s="1215">
        <v>10</v>
      </c>
      <c r="EH282" s="1215">
        <v>96</v>
      </c>
      <c r="EI282" s="1215">
        <v>19</v>
      </c>
      <c r="EJ282" s="1215">
        <v>10</v>
      </c>
      <c r="EK282" s="621">
        <v>2</v>
      </c>
      <c r="EL282" s="620"/>
      <c r="EM282" s="621">
        <v>155</v>
      </c>
      <c r="EN282" s="1178">
        <f>+(EM277+EM280+EM281)/EM282</f>
        <v>0.43225806451612903</v>
      </c>
      <c r="EP282" s="527"/>
      <c r="EQ282" s="527"/>
      <c r="ER282" s="528"/>
      <c r="ES282" s="529" t="s">
        <v>1081</v>
      </c>
      <c r="ET282" s="531">
        <v>0</v>
      </c>
      <c r="EU282" s="531">
        <v>0</v>
      </c>
      <c r="EV282" s="531">
        <v>7</v>
      </c>
      <c r="EW282" s="531">
        <v>0</v>
      </c>
      <c r="EX282" s="531">
        <v>0</v>
      </c>
      <c r="EY282" s="531">
        <v>17</v>
      </c>
      <c r="EZ282" s="531">
        <v>4</v>
      </c>
      <c r="FA282" s="531">
        <v>1</v>
      </c>
      <c r="FB282" s="532">
        <v>0</v>
      </c>
      <c r="FC282" s="527"/>
      <c r="FD282" s="532">
        <v>29</v>
      </c>
      <c r="FE282" s="95"/>
      <c r="FY282" s="540"/>
      <c r="FZ282" s="540"/>
      <c r="GA282" s="540"/>
      <c r="GB282" s="541" t="s">
        <v>1076</v>
      </c>
      <c r="GC282" s="543">
        <v>0</v>
      </c>
      <c r="GD282" s="543">
        <v>0</v>
      </c>
      <c r="GE282" s="543">
        <v>12</v>
      </c>
      <c r="GF282" s="543">
        <v>1</v>
      </c>
      <c r="GG282" s="543">
        <v>1</v>
      </c>
      <c r="GH282" s="543">
        <v>27</v>
      </c>
      <c r="GI282" s="543">
        <v>49</v>
      </c>
      <c r="GJ282" s="543">
        <v>3</v>
      </c>
      <c r="GK282" s="543">
        <v>1</v>
      </c>
      <c r="GL282" s="543">
        <v>0</v>
      </c>
      <c r="GM282" s="543">
        <v>94</v>
      </c>
      <c r="GN282" s="445"/>
      <c r="GP282" s="63"/>
      <c r="GQ282" s="63"/>
      <c r="GR282" s="37"/>
      <c r="GS282" s="37" t="s">
        <v>1076</v>
      </c>
      <c r="GT282" s="37">
        <v>0</v>
      </c>
      <c r="GU282" s="37">
        <v>0</v>
      </c>
      <c r="GV282" s="37">
        <v>4</v>
      </c>
      <c r="GW282" s="37">
        <v>0</v>
      </c>
      <c r="GX282" s="37">
        <v>0</v>
      </c>
      <c r="GY282" s="37">
        <v>25</v>
      </c>
      <c r="GZ282" s="37">
        <v>32</v>
      </c>
      <c r="HA282" s="37">
        <v>2</v>
      </c>
      <c r="HB282" s="37">
        <v>0</v>
      </c>
      <c r="HC282" s="37">
        <v>0</v>
      </c>
      <c r="HD282" s="37">
        <v>63</v>
      </c>
      <c r="HE282" s="37"/>
      <c r="HF282" s="37"/>
      <c r="HG282" s="446"/>
      <c r="HH282" s="446"/>
      <c r="HI282" s="446"/>
      <c r="HJ282" s="446" t="s">
        <v>1076</v>
      </c>
      <c r="HK282" s="446">
        <v>0</v>
      </c>
      <c r="HL282" s="446">
        <v>0</v>
      </c>
      <c r="HM282" s="446">
        <v>0</v>
      </c>
      <c r="HN282" s="446">
        <v>13</v>
      </c>
      <c r="HO282" s="446">
        <v>2</v>
      </c>
      <c r="HP282" s="446">
        <v>0</v>
      </c>
      <c r="HQ282" s="446">
        <v>30</v>
      </c>
      <c r="HR282" s="446">
        <v>21</v>
      </c>
      <c r="HS282" s="446">
        <v>2</v>
      </c>
      <c r="HT282" s="446">
        <v>1</v>
      </c>
      <c r="HU282" s="446">
        <v>0</v>
      </c>
      <c r="HV282" s="447">
        <v>69</v>
      </c>
      <c r="HW282" s="446"/>
      <c r="HX282" s="448"/>
    </row>
    <row r="283" spans="1:232">
      <c r="A283" s="5682"/>
      <c r="B283" s="5682"/>
      <c r="C283" s="5683"/>
      <c r="D283" s="5690" t="s">
        <v>2754</v>
      </c>
      <c r="E283" s="5693">
        <f>SUM(E246,E255:E256,E276:E277)</f>
        <v>6</v>
      </c>
      <c r="F283" s="5686"/>
      <c r="I283" s="4915">
        <v>4</v>
      </c>
      <c r="J283" s="4915">
        <v>6</v>
      </c>
      <c r="K283" s="4916" t="s">
        <v>609</v>
      </c>
      <c r="L283" s="4916" t="s">
        <v>2731</v>
      </c>
      <c r="M283" s="4915">
        <v>6</v>
      </c>
      <c r="N283" s="4915">
        <v>7</v>
      </c>
      <c r="O283" s="157"/>
      <c r="Q283" s="4705">
        <v>4</v>
      </c>
      <c r="R283" s="4705">
        <v>5</v>
      </c>
      <c r="S283" s="4706" t="s">
        <v>383</v>
      </c>
      <c r="T283" s="4708" t="s">
        <v>2707</v>
      </c>
      <c r="U283" s="4709">
        <v>2</v>
      </c>
      <c r="V283" s="4709">
        <v>6</v>
      </c>
      <c r="W283" s="4722"/>
      <c r="Y283" s="36"/>
      <c r="Z283" s="36"/>
      <c r="AA283" s="36"/>
      <c r="AB283" s="36" t="s">
        <v>1080</v>
      </c>
      <c r="AC283" s="1681">
        <v>0</v>
      </c>
      <c r="AD283" s="1681">
        <v>0</v>
      </c>
      <c r="AE283" s="1681"/>
      <c r="AF283" s="1681"/>
      <c r="AG283" s="1681">
        <v>0</v>
      </c>
      <c r="AH283" s="1681"/>
      <c r="AI283" s="1681">
        <v>0</v>
      </c>
      <c r="AJ283" s="1681">
        <v>13</v>
      </c>
      <c r="AK283" s="1681"/>
      <c r="AL283" s="95"/>
      <c r="AM283" s="95">
        <v>13</v>
      </c>
      <c r="AN283" s="4545"/>
      <c r="AR283" s="27"/>
      <c r="AS283" s="27" t="s">
        <v>1076</v>
      </c>
      <c r="AT283" s="3722">
        <v>0</v>
      </c>
      <c r="AU283" s="3722">
        <v>0</v>
      </c>
      <c r="AV283" s="3722">
        <v>0</v>
      </c>
      <c r="AW283" s="3722">
        <v>0</v>
      </c>
      <c r="AX283" s="3722">
        <v>0</v>
      </c>
      <c r="AY283" s="3722"/>
      <c r="AZ283" s="3722">
        <v>6</v>
      </c>
      <c r="BA283" s="3722">
        <v>4</v>
      </c>
      <c r="BB283" s="3722">
        <v>0</v>
      </c>
      <c r="BC283" s="3701">
        <v>0</v>
      </c>
      <c r="BD283" s="3701">
        <v>0</v>
      </c>
      <c r="BE283" s="3701">
        <v>10</v>
      </c>
      <c r="BF283" s="3701"/>
      <c r="BG283" s="3701"/>
      <c r="BJ283" s="1520"/>
      <c r="BK283" s="1520" t="s">
        <v>1080</v>
      </c>
      <c r="BL283" s="3872">
        <v>0</v>
      </c>
      <c r="BM283" s="3872">
        <v>0</v>
      </c>
      <c r="BN283" s="3872">
        <v>0</v>
      </c>
      <c r="BO283" s="3872">
        <v>0</v>
      </c>
      <c r="BP283" s="3872">
        <v>0</v>
      </c>
      <c r="BQ283" s="3872">
        <v>0</v>
      </c>
      <c r="BR283" s="3872">
        <v>12</v>
      </c>
      <c r="BS283" s="3872">
        <v>7</v>
      </c>
      <c r="BT283" s="3806">
        <v>1</v>
      </c>
      <c r="BU283" s="3806">
        <v>20</v>
      </c>
      <c r="BV283" s="1520"/>
      <c r="BX283" s="36"/>
      <c r="BY283" s="36"/>
      <c r="BZ283" s="393"/>
      <c r="CA283" s="393" t="s">
        <v>1076</v>
      </c>
      <c r="CB283" s="1682"/>
      <c r="CC283" s="1682">
        <v>0</v>
      </c>
      <c r="CD283" s="1682"/>
      <c r="CE283" s="1682">
        <v>0</v>
      </c>
      <c r="CF283" s="1682">
        <v>1</v>
      </c>
      <c r="CG283" s="1682">
        <v>4</v>
      </c>
      <c r="CH283" s="1682">
        <v>11</v>
      </c>
      <c r="CI283" s="1682">
        <v>1</v>
      </c>
      <c r="CJ283" s="2041">
        <v>0</v>
      </c>
      <c r="CK283" s="2041"/>
      <c r="CL283" s="2041">
        <v>17</v>
      </c>
      <c r="CM283" s="36"/>
      <c r="CO283" s="37"/>
      <c r="CP283" s="37"/>
      <c r="CQ283" s="37"/>
      <c r="CR283" s="37" t="s">
        <v>1081</v>
      </c>
      <c r="CS283" s="1678"/>
      <c r="CT283" s="1678">
        <v>0</v>
      </c>
      <c r="CU283" s="1678">
        <v>0</v>
      </c>
      <c r="CV283" s="1678"/>
      <c r="CW283" s="1678">
        <v>0</v>
      </c>
      <c r="CX283" s="1678">
        <v>0</v>
      </c>
      <c r="CY283" s="1678">
        <v>21</v>
      </c>
      <c r="CZ283" s="1678">
        <v>0</v>
      </c>
      <c r="DA283" s="1678">
        <v>0</v>
      </c>
      <c r="DB283" s="63"/>
      <c r="DC283" s="63"/>
      <c r="DD283" s="63">
        <v>21</v>
      </c>
      <c r="DG283" s="95"/>
      <c r="DH283" s="95"/>
      <c r="DI283" s="36"/>
      <c r="DJ283" s="36" t="s">
        <v>1076</v>
      </c>
      <c r="DK283" s="1484"/>
      <c r="DL283" s="1484"/>
      <c r="DM283" s="1484"/>
      <c r="DN283" s="1484"/>
      <c r="DO283" s="1484"/>
      <c r="DP283" s="1484"/>
      <c r="DQ283" s="1484">
        <v>10</v>
      </c>
      <c r="DR283" s="1484"/>
      <c r="DS283" s="1484"/>
      <c r="DT283" s="95"/>
      <c r="DU283" s="95"/>
      <c r="DV283" s="95">
        <v>10</v>
      </c>
      <c r="DW283" s="95"/>
      <c r="DY283" s="1209" t="s">
        <v>59</v>
      </c>
      <c r="DZ283" s="1209" t="s">
        <v>16</v>
      </c>
      <c r="EA283" s="1210" t="s">
        <v>608</v>
      </c>
      <c r="EB283" s="1211" t="s">
        <v>1072</v>
      </c>
      <c r="EC283" s="1213">
        <v>0</v>
      </c>
      <c r="ED283" s="1213">
        <v>0</v>
      </c>
      <c r="EE283" s="1213">
        <v>0</v>
      </c>
      <c r="EF283" s="1212"/>
      <c r="EG283" s="1212"/>
      <c r="EH283" s="1213">
        <v>10</v>
      </c>
      <c r="EI283" s="1213">
        <v>1</v>
      </c>
      <c r="EJ283" s="1213">
        <v>1</v>
      </c>
      <c r="EK283" s="611"/>
      <c r="EL283" s="611"/>
      <c r="EM283" s="612">
        <v>12</v>
      </c>
      <c r="EN283" s="36"/>
      <c r="EP283" s="527"/>
      <c r="EQ283" s="527"/>
      <c r="ER283" s="528"/>
      <c r="ES283" s="529" t="s">
        <v>1163</v>
      </c>
      <c r="ET283" s="531">
        <v>0</v>
      </c>
      <c r="EU283" s="531">
        <v>0</v>
      </c>
      <c r="EV283" s="531">
        <v>10</v>
      </c>
      <c r="EW283" s="531">
        <v>6</v>
      </c>
      <c r="EX283" s="531">
        <v>0</v>
      </c>
      <c r="EY283" s="531">
        <v>27</v>
      </c>
      <c r="EZ283" s="531">
        <v>2</v>
      </c>
      <c r="FA283" s="531">
        <v>2</v>
      </c>
      <c r="FB283" s="532">
        <v>0</v>
      </c>
      <c r="FC283" s="527"/>
      <c r="FD283" s="532">
        <v>47</v>
      </c>
      <c r="FE283" s="95"/>
      <c r="FY283" s="540"/>
      <c r="FZ283" s="540"/>
      <c r="GA283" s="540"/>
      <c r="GB283" s="541" t="s">
        <v>1077</v>
      </c>
      <c r="GC283" s="543">
        <v>0</v>
      </c>
      <c r="GD283" s="543">
        <v>1</v>
      </c>
      <c r="GE283" s="543">
        <v>12</v>
      </c>
      <c r="GF283" s="543">
        <v>1</v>
      </c>
      <c r="GG283" s="543">
        <v>5</v>
      </c>
      <c r="GH283" s="543">
        <v>4</v>
      </c>
      <c r="GI283" s="543">
        <v>1</v>
      </c>
      <c r="GJ283" s="543">
        <v>0</v>
      </c>
      <c r="GK283" s="543">
        <v>0</v>
      </c>
      <c r="GL283" s="543">
        <v>0</v>
      </c>
      <c r="GM283" s="543">
        <v>24</v>
      </c>
      <c r="GN283" s="445"/>
      <c r="GP283" s="63"/>
      <c r="GQ283" s="63"/>
      <c r="GR283" s="37"/>
      <c r="GS283" s="37" t="s">
        <v>1077</v>
      </c>
      <c r="GT283" s="37">
        <v>0</v>
      </c>
      <c r="GU283" s="37">
        <v>1</v>
      </c>
      <c r="GV283" s="37">
        <v>26</v>
      </c>
      <c r="GW283" s="37">
        <v>6</v>
      </c>
      <c r="GX283" s="37">
        <v>5</v>
      </c>
      <c r="GY283" s="37">
        <v>1</v>
      </c>
      <c r="GZ283" s="37">
        <v>0</v>
      </c>
      <c r="HA283" s="37">
        <v>0</v>
      </c>
      <c r="HB283" s="37">
        <v>0</v>
      </c>
      <c r="HC283" s="37">
        <v>0</v>
      </c>
      <c r="HD283" s="37">
        <v>39</v>
      </c>
      <c r="HE283" s="37"/>
      <c r="HF283" s="37"/>
      <c r="HG283" s="446"/>
      <c r="HH283" s="446"/>
      <c r="HI283" s="446"/>
      <c r="HJ283" s="446" t="s">
        <v>1077</v>
      </c>
      <c r="HK283" s="446">
        <v>0</v>
      </c>
      <c r="HL283" s="446">
        <v>0</v>
      </c>
      <c r="HM283" s="446">
        <v>5</v>
      </c>
      <c r="HN283" s="446">
        <v>4</v>
      </c>
      <c r="HO283" s="446">
        <v>17</v>
      </c>
      <c r="HP283" s="446">
        <v>7</v>
      </c>
      <c r="HQ283" s="446">
        <v>6</v>
      </c>
      <c r="HR283" s="446">
        <v>0</v>
      </c>
      <c r="HS283" s="446">
        <v>0</v>
      </c>
      <c r="HT283" s="446">
        <v>0</v>
      </c>
      <c r="HU283" s="446">
        <v>0</v>
      </c>
      <c r="HV283" s="447">
        <v>39</v>
      </c>
      <c r="HW283" s="446"/>
      <c r="HX283" s="448"/>
    </row>
    <row r="284" spans="1:232">
      <c r="A284" s="5682"/>
      <c r="B284" s="5682"/>
      <c r="C284" s="5686" t="s">
        <v>41</v>
      </c>
      <c r="D284" s="5683"/>
      <c r="E284" s="5686">
        <f>SUM(E248,E282,E272,E270,E268,E266,E263,E252)</f>
        <v>96</v>
      </c>
      <c r="F284" s="5686"/>
      <c r="G284" s="5692">
        <f>E283/E284</f>
        <v>6.25E-2</v>
      </c>
      <c r="I284" s="4915">
        <v>4</v>
      </c>
      <c r="J284" s="4915">
        <v>6</v>
      </c>
      <c r="K284" s="4916" t="s">
        <v>609</v>
      </c>
      <c r="L284" s="4916" t="s">
        <v>1071</v>
      </c>
      <c r="M284" s="4915">
        <v>1</v>
      </c>
      <c r="N284" s="4915">
        <v>5</v>
      </c>
      <c r="O284" s="157"/>
      <c r="Q284" s="4705">
        <v>4</v>
      </c>
      <c r="R284" s="4705">
        <v>5</v>
      </c>
      <c r="S284" s="4706" t="s">
        <v>383</v>
      </c>
      <c r="T284" s="4708" t="s">
        <v>2707</v>
      </c>
      <c r="U284" s="4709">
        <v>1</v>
      </c>
      <c r="V284" s="4709">
        <v>7</v>
      </c>
      <c r="W284" s="4722"/>
      <c r="Y284" s="36"/>
      <c r="Z284" s="36"/>
      <c r="AA284" s="36"/>
      <c r="AB284" s="36" t="s">
        <v>2571</v>
      </c>
      <c r="AC284" s="1681">
        <v>3</v>
      </c>
      <c r="AD284" s="1681">
        <v>0</v>
      </c>
      <c r="AE284" s="1681"/>
      <c r="AF284" s="1681"/>
      <c r="AG284" s="1681">
        <v>0</v>
      </c>
      <c r="AH284" s="1681"/>
      <c r="AI284" s="1681">
        <v>0</v>
      </c>
      <c r="AJ284" s="1681">
        <v>0</v>
      </c>
      <c r="AK284" s="1681"/>
      <c r="AL284" s="95"/>
      <c r="AM284" s="95">
        <v>3</v>
      </c>
      <c r="AN284" s="4545"/>
      <c r="AR284" s="27"/>
      <c r="AS284" s="27" t="s">
        <v>1080</v>
      </c>
      <c r="AT284" s="3722">
        <v>0</v>
      </c>
      <c r="AU284" s="3722">
        <v>0</v>
      </c>
      <c r="AV284" s="3722">
        <v>0</v>
      </c>
      <c r="AW284" s="3722">
        <v>0</v>
      </c>
      <c r="AX284" s="3722">
        <v>0</v>
      </c>
      <c r="AY284" s="3722"/>
      <c r="AZ284" s="3722">
        <v>0</v>
      </c>
      <c r="BA284" s="3722">
        <v>8</v>
      </c>
      <c r="BB284" s="3722">
        <v>7</v>
      </c>
      <c r="BC284" s="3701">
        <v>4</v>
      </c>
      <c r="BD284" s="3701">
        <v>1</v>
      </c>
      <c r="BE284" s="3701">
        <v>20</v>
      </c>
      <c r="BF284" s="3701"/>
      <c r="BG284" s="3701"/>
      <c r="BJ284" s="1520"/>
      <c r="BK284" s="1520" t="s">
        <v>1081</v>
      </c>
      <c r="BL284" s="3872">
        <v>0</v>
      </c>
      <c r="BM284" s="3872">
        <v>0</v>
      </c>
      <c r="BN284" s="3872">
        <v>0</v>
      </c>
      <c r="BO284" s="3872">
        <v>0</v>
      </c>
      <c r="BP284" s="3872">
        <v>0</v>
      </c>
      <c r="BQ284" s="3872">
        <v>5</v>
      </c>
      <c r="BR284" s="3872">
        <v>4</v>
      </c>
      <c r="BS284" s="3872">
        <v>1</v>
      </c>
      <c r="BT284" s="3806">
        <v>0</v>
      </c>
      <c r="BU284" s="3806">
        <v>10</v>
      </c>
      <c r="BV284" s="1520"/>
      <c r="BX284" s="36"/>
      <c r="BY284" s="36"/>
      <c r="BZ284" s="393"/>
      <c r="CA284" s="393" t="s">
        <v>1080</v>
      </c>
      <c r="CB284" s="1682"/>
      <c r="CC284" s="1682">
        <v>0</v>
      </c>
      <c r="CD284" s="1682"/>
      <c r="CE284" s="1682">
        <v>0</v>
      </c>
      <c r="CF284" s="1682">
        <v>0</v>
      </c>
      <c r="CG284" s="1682">
        <v>0</v>
      </c>
      <c r="CH284" s="1682">
        <v>0</v>
      </c>
      <c r="CI284" s="1682">
        <v>8</v>
      </c>
      <c r="CJ284" s="2041">
        <v>1</v>
      </c>
      <c r="CK284" s="2041"/>
      <c r="CL284" s="2041">
        <v>9</v>
      </c>
      <c r="CM284" s="36"/>
      <c r="CO284" s="37"/>
      <c r="CP284" s="37"/>
      <c r="CQ284" s="37"/>
      <c r="CR284" s="416" t="s">
        <v>484</v>
      </c>
      <c r="CS284" s="1679"/>
      <c r="CT284" s="1679">
        <v>1</v>
      </c>
      <c r="CU284" s="1679">
        <v>3</v>
      </c>
      <c r="CV284" s="1679"/>
      <c r="CW284" s="1679">
        <v>1</v>
      </c>
      <c r="CX284" s="1679">
        <v>1</v>
      </c>
      <c r="CY284" s="1679">
        <v>60</v>
      </c>
      <c r="CZ284" s="1679">
        <v>2</v>
      </c>
      <c r="DA284" s="1679">
        <v>1</v>
      </c>
      <c r="DB284" s="386"/>
      <c r="DC284" s="386"/>
      <c r="DD284" s="386">
        <v>69</v>
      </c>
      <c r="DE284" s="2045">
        <f>+(DD282+DD283)/DD284</f>
        <v>0.37681159420289856</v>
      </c>
      <c r="DG284" s="95"/>
      <c r="DH284" s="95"/>
      <c r="DI284" s="36"/>
      <c r="DJ284" s="36" t="s">
        <v>1081</v>
      </c>
      <c r="DK284" s="1484"/>
      <c r="DL284" s="1484"/>
      <c r="DM284" s="1484"/>
      <c r="DN284" s="1484"/>
      <c r="DO284" s="1484"/>
      <c r="DP284" s="1484"/>
      <c r="DQ284" s="1484">
        <v>9</v>
      </c>
      <c r="DR284" s="1484"/>
      <c r="DS284" s="1484"/>
      <c r="DT284" s="95"/>
      <c r="DU284" s="95"/>
      <c r="DV284" s="95">
        <v>9</v>
      </c>
      <c r="DW284" s="95"/>
      <c r="DY284" s="1209"/>
      <c r="DZ284" s="1209"/>
      <c r="EA284" s="1210"/>
      <c r="EB284" s="1211" t="s">
        <v>1074</v>
      </c>
      <c r="EC284" s="1213">
        <v>1</v>
      </c>
      <c r="ED284" s="1213">
        <v>0</v>
      </c>
      <c r="EE284" s="1213">
        <v>0</v>
      </c>
      <c r="EF284" s="1212"/>
      <c r="EG284" s="1212"/>
      <c r="EH284" s="1213">
        <v>0</v>
      </c>
      <c r="EI284" s="1213">
        <v>0</v>
      </c>
      <c r="EJ284" s="1213">
        <v>0</v>
      </c>
      <c r="EK284" s="611"/>
      <c r="EL284" s="611"/>
      <c r="EM284" s="612">
        <v>1</v>
      </c>
      <c r="EN284" s="36"/>
      <c r="EP284" s="527"/>
      <c r="EQ284" s="527"/>
      <c r="ER284" s="528"/>
      <c r="ES284" s="555" t="s">
        <v>412</v>
      </c>
      <c r="ET284" s="557">
        <v>11</v>
      </c>
      <c r="EU284" s="557">
        <v>5</v>
      </c>
      <c r="EV284" s="557">
        <v>60</v>
      </c>
      <c r="EW284" s="557">
        <v>13</v>
      </c>
      <c r="EX284" s="557">
        <v>2</v>
      </c>
      <c r="EY284" s="557">
        <v>147</v>
      </c>
      <c r="EZ284" s="557">
        <v>38</v>
      </c>
      <c r="FA284" s="557">
        <v>24</v>
      </c>
      <c r="FB284" s="559">
        <v>2</v>
      </c>
      <c r="FC284" s="558"/>
      <c r="FD284" s="559">
        <v>302</v>
      </c>
      <c r="FE284" s="560">
        <f>+(FD279+FD282+FD283)/FD284</f>
        <v>0.30794701986754969</v>
      </c>
      <c r="FY284" s="540"/>
      <c r="FZ284" s="540"/>
      <c r="GA284" s="540"/>
      <c r="GB284" s="541" t="s">
        <v>1080</v>
      </c>
      <c r="GC284" s="543">
        <v>0</v>
      </c>
      <c r="GD284" s="543">
        <v>0</v>
      </c>
      <c r="GE284" s="543">
        <v>0</v>
      </c>
      <c r="GF284" s="543">
        <v>3</v>
      </c>
      <c r="GG284" s="543">
        <v>0</v>
      </c>
      <c r="GH284" s="543">
        <v>2</v>
      </c>
      <c r="GI284" s="543">
        <v>6</v>
      </c>
      <c r="GJ284" s="543">
        <v>117</v>
      </c>
      <c r="GK284" s="543">
        <v>5</v>
      </c>
      <c r="GL284" s="543">
        <v>5</v>
      </c>
      <c r="GM284" s="543">
        <v>138</v>
      </c>
      <c r="GN284" s="445"/>
      <c r="GP284" s="63"/>
      <c r="GQ284" s="63"/>
      <c r="GR284" s="37"/>
      <c r="GS284" s="37" t="s">
        <v>1080</v>
      </c>
      <c r="GT284" s="37">
        <v>0</v>
      </c>
      <c r="GU284" s="37">
        <v>0</v>
      </c>
      <c r="GV284" s="37">
        <v>0</v>
      </c>
      <c r="GW284" s="37">
        <v>1</v>
      </c>
      <c r="GX284" s="37">
        <v>0</v>
      </c>
      <c r="GY284" s="37">
        <v>0</v>
      </c>
      <c r="GZ284" s="37">
        <v>2</v>
      </c>
      <c r="HA284" s="37">
        <v>65</v>
      </c>
      <c r="HB284" s="37">
        <v>1</v>
      </c>
      <c r="HC284" s="37">
        <v>8</v>
      </c>
      <c r="HD284" s="37">
        <v>77</v>
      </c>
      <c r="HE284" s="37"/>
      <c r="HF284" s="37"/>
      <c r="HG284" s="446"/>
      <c r="HH284" s="446"/>
      <c r="HI284" s="446"/>
      <c r="HJ284" s="446" t="s">
        <v>1080</v>
      </c>
      <c r="HK284" s="446">
        <v>0</v>
      </c>
      <c r="HL284" s="446">
        <v>0</v>
      </c>
      <c r="HM284" s="446">
        <v>0</v>
      </c>
      <c r="HN284" s="446">
        <v>0</v>
      </c>
      <c r="HO284" s="446">
        <v>0</v>
      </c>
      <c r="HP284" s="446">
        <v>1</v>
      </c>
      <c r="HQ284" s="446">
        <v>3</v>
      </c>
      <c r="HR284" s="446">
        <v>40</v>
      </c>
      <c r="HS284" s="446">
        <v>134</v>
      </c>
      <c r="HT284" s="446">
        <v>6</v>
      </c>
      <c r="HU284" s="446">
        <v>3</v>
      </c>
      <c r="HV284" s="447">
        <v>187</v>
      </c>
      <c r="HW284" s="446"/>
      <c r="HX284" s="448"/>
    </row>
    <row r="285" spans="1:232">
      <c r="A285" s="5682">
        <v>3</v>
      </c>
      <c r="B285" s="5682">
        <v>4</v>
      </c>
      <c r="C285" s="5683" t="s">
        <v>297</v>
      </c>
      <c r="D285" s="5685" t="s">
        <v>2707</v>
      </c>
      <c r="E285" s="5682">
        <v>4</v>
      </c>
      <c r="F285" s="5682">
        <v>6</v>
      </c>
      <c r="I285" s="4915">
        <v>4</v>
      </c>
      <c r="J285" s="4915">
        <v>6</v>
      </c>
      <c r="K285" s="4916" t="s">
        <v>609</v>
      </c>
      <c r="L285" s="4916" t="s">
        <v>1071</v>
      </c>
      <c r="M285" s="4915">
        <v>1</v>
      </c>
      <c r="N285" s="4915">
        <v>7</v>
      </c>
      <c r="O285" s="157"/>
      <c r="Q285" s="4705">
        <v>4</v>
      </c>
      <c r="R285" s="4705">
        <v>5</v>
      </c>
      <c r="S285" s="4706" t="s">
        <v>383</v>
      </c>
      <c r="T285" s="4708" t="s">
        <v>1076</v>
      </c>
      <c r="U285" s="4709">
        <v>1</v>
      </c>
      <c r="V285" s="4709">
        <v>6</v>
      </c>
      <c r="W285" s="4722"/>
      <c r="Y285" s="36"/>
      <c r="Z285" s="36"/>
      <c r="AA285" s="36"/>
      <c r="AB285" s="36" t="s">
        <v>15</v>
      </c>
      <c r="AC285" s="1681">
        <v>3</v>
      </c>
      <c r="AD285" s="1681">
        <v>1</v>
      </c>
      <c r="AE285" s="1681"/>
      <c r="AF285" s="1681"/>
      <c r="AG285" s="1681">
        <v>1</v>
      </c>
      <c r="AH285" s="1681"/>
      <c r="AI285" s="1681">
        <v>7</v>
      </c>
      <c r="AJ285" s="1681">
        <v>13</v>
      </c>
      <c r="AK285" s="1681"/>
      <c r="AL285" s="95"/>
      <c r="AM285" s="95">
        <v>25</v>
      </c>
      <c r="AN285" s="4545">
        <v>0</v>
      </c>
      <c r="AR285" s="27"/>
      <c r="AS285" s="27" t="s">
        <v>1081</v>
      </c>
      <c r="AT285" s="3722">
        <v>0</v>
      </c>
      <c r="AU285" s="3722">
        <v>0</v>
      </c>
      <c r="AV285" s="3722">
        <v>0</v>
      </c>
      <c r="AW285" s="3722">
        <v>0</v>
      </c>
      <c r="AX285" s="3722">
        <v>0</v>
      </c>
      <c r="AY285" s="3722"/>
      <c r="AZ285" s="3722">
        <v>2</v>
      </c>
      <c r="BA285" s="3722">
        <v>1</v>
      </c>
      <c r="BB285" s="3722">
        <v>1</v>
      </c>
      <c r="BC285" s="3701">
        <v>0</v>
      </c>
      <c r="BD285" s="3701">
        <v>0</v>
      </c>
      <c r="BE285" s="3701">
        <v>4</v>
      </c>
      <c r="BF285" s="3701"/>
      <c r="BG285" s="3701"/>
      <c r="BJ285" s="1520"/>
      <c r="BK285" s="1520" t="s">
        <v>1163</v>
      </c>
      <c r="BL285" s="3872">
        <v>0</v>
      </c>
      <c r="BM285" s="3872">
        <v>0</v>
      </c>
      <c r="BN285" s="3872">
        <v>0</v>
      </c>
      <c r="BO285" s="3872">
        <v>0</v>
      </c>
      <c r="BP285" s="3872">
        <v>0</v>
      </c>
      <c r="BQ285" s="3872">
        <v>10</v>
      </c>
      <c r="BR285" s="3872">
        <v>4</v>
      </c>
      <c r="BS285" s="3872">
        <v>0</v>
      </c>
      <c r="BT285" s="3806">
        <v>0</v>
      </c>
      <c r="BU285" s="3806">
        <v>14</v>
      </c>
      <c r="BV285" s="1520"/>
      <c r="BX285" s="36"/>
      <c r="BY285" s="36"/>
      <c r="BZ285" s="393"/>
      <c r="CA285" s="393" t="s">
        <v>1081</v>
      </c>
      <c r="CB285" s="1682"/>
      <c r="CC285" s="1682">
        <v>0</v>
      </c>
      <c r="CD285" s="1682"/>
      <c r="CE285" s="1682">
        <v>0</v>
      </c>
      <c r="CF285" s="1682">
        <v>3</v>
      </c>
      <c r="CG285" s="1682">
        <v>1</v>
      </c>
      <c r="CH285" s="1682">
        <v>7</v>
      </c>
      <c r="CI285" s="1682">
        <v>2</v>
      </c>
      <c r="CJ285" s="2041">
        <v>0</v>
      </c>
      <c r="CK285" s="2041"/>
      <c r="CL285" s="2041">
        <v>13</v>
      </c>
      <c r="CM285" s="36"/>
      <c r="CO285" s="37"/>
      <c r="CP285" s="37"/>
      <c r="CQ285" s="37" t="s">
        <v>412</v>
      </c>
      <c r="CR285" s="37" t="s">
        <v>1071</v>
      </c>
      <c r="CS285" s="1678"/>
      <c r="CT285" s="1678">
        <v>0</v>
      </c>
      <c r="CU285" s="1678">
        <v>0</v>
      </c>
      <c r="CV285" s="1678">
        <v>0</v>
      </c>
      <c r="CW285" s="1678">
        <v>0</v>
      </c>
      <c r="CX285" s="1678">
        <v>1</v>
      </c>
      <c r="CY285" s="1678">
        <v>0</v>
      </c>
      <c r="CZ285" s="1678">
        <v>1</v>
      </c>
      <c r="DA285" s="1678">
        <v>0</v>
      </c>
      <c r="DB285" s="63"/>
      <c r="DC285" s="63"/>
      <c r="DD285" s="63">
        <v>2</v>
      </c>
      <c r="DG285" s="95"/>
      <c r="DH285" s="95"/>
      <c r="DI285" s="36"/>
      <c r="DJ285" s="36" t="s">
        <v>1163</v>
      </c>
      <c r="DK285" s="1484"/>
      <c r="DL285" s="1484"/>
      <c r="DM285" s="1484"/>
      <c r="DN285" s="1484"/>
      <c r="DO285" s="1484"/>
      <c r="DP285" s="1484"/>
      <c r="DQ285" s="1484">
        <v>4</v>
      </c>
      <c r="DR285" s="1484"/>
      <c r="DS285" s="1484"/>
      <c r="DT285" s="95"/>
      <c r="DU285" s="95"/>
      <c r="DV285" s="95">
        <v>4</v>
      </c>
      <c r="DW285" s="95"/>
      <c r="DY285" s="1209"/>
      <c r="DZ285" s="1209"/>
      <c r="EA285" s="1210"/>
      <c r="EB285" s="1211" t="s">
        <v>1076</v>
      </c>
      <c r="EC285" s="1213">
        <v>0</v>
      </c>
      <c r="ED285" s="1213">
        <v>0</v>
      </c>
      <c r="EE285" s="1213">
        <v>0</v>
      </c>
      <c r="EF285" s="1212"/>
      <c r="EG285" s="1212"/>
      <c r="EH285" s="1213">
        <v>3</v>
      </c>
      <c r="EI285" s="1213">
        <v>0</v>
      </c>
      <c r="EJ285" s="1213">
        <v>0</v>
      </c>
      <c r="EK285" s="611"/>
      <c r="EL285" s="611"/>
      <c r="EM285" s="612">
        <v>3</v>
      </c>
      <c r="EN285" s="36"/>
      <c r="EP285" s="527" t="s">
        <v>59</v>
      </c>
      <c r="EQ285" s="527" t="s">
        <v>16</v>
      </c>
      <c r="ER285" s="528" t="s">
        <v>608</v>
      </c>
      <c r="ES285" s="529" t="s">
        <v>1072</v>
      </c>
      <c r="ET285" s="531">
        <v>0</v>
      </c>
      <c r="EU285" s="531">
        <v>0</v>
      </c>
      <c r="EV285" s="530"/>
      <c r="EW285" s="530"/>
      <c r="EX285" s="530"/>
      <c r="EY285" s="531">
        <v>5</v>
      </c>
      <c r="EZ285" s="531">
        <v>0</v>
      </c>
      <c r="FA285" s="530"/>
      <c r="FB285" s="527"/>
      <c r="FC285" s="527"/>
      <c r="FD285" s="532">
        <v>5</v>
      </c>
      <c r="FE285" s="95"/>
      <c r="FY285" s="540"/>
      <c r="FZ285" s="540"/>
      <c r="GA285" s="540"/>
      <c r="GB285" s="541" t="s">
        <v>1081</v>
      </c>
      <c r="GC285" s="543">
        <v>0</v>
      </c>
      <c r="GD285" s="543">
        <v>0</v>
      </c>
      <c r="GE285" s="543">
        <v>6</v>
      </c>
      <c r="GF285" s="543">
        <v>5</v>
      </c>
      <c r="GG285" s="543">
        <v>3</v>
      </c>
      <c r="GH285" s="543">
        <v>12</v>
      </c>
      <c r="GI285" s="543">
        <v>7</v>
      </c>
      <c r="GJ285" s="543">
        <v>1</v>
      </c>
      <c r="GK285" s="543">
        <v>0</v>
      </c>
      <c r="GL285" s="543">
        <v>0</v>
      </c>
      <c r="GM285" s="543">
        <v>34</v>
      </c>
      <c r="GN285" s="445"/>
      <c r="GP285" s="63"/>
      <c r="GQ285" s="63"/>
      <c r="GR285" s="37"/>
      <c r="GS285" s="37" t="s">
        <v>1081</v>
      </c>
      <c r="GT285" s="37">
        <v>0</v>
      </c>
      <c r="GU285" s="37">
        <v>0</v>
      </c>
      <c r="GV285" s="37">
        <v>2</v>
      </c>
      <c r="GW285" s="37">
        <v>2</v>
      </c>
      <c r="GX285" s="37">
        <v>0</v>
      </c>
      <c r="GY285" s="37">
        <v>25</v>
      </c>
      <c r="GZ285" s="37">
        <v>9</v>
      </c>
      <c r="HA285" s="37">
        <v>1</v>
      </c>
      <c r="HB285" s="37">
        <v>0</v>
      </c>
      <c r="HC285" s="37">
        <v>0</v>
      </c>
      <c r="HD285" s="37">
        <v>39</v>
      </c>
      <c r="HE285" s="37"/>
      <c r="HF285" s="37"/>
      <c r="HG285" s="446"/>
      <c r="HH285" s="446"/>
      <c r="HI285" s="446"/>
      <c r="HJ285" s="446" t="s">
        <v>1081</v>
      </c>
      <c r="HK285" s="446">
        <v>0</v>
      </c>
      <c r="HL285" s="446">
        <v>0</v>
      </c>
      <c r="HM285" s="446">
        <v>0</v>
      </c>
      <c r="HN285" s="446">
        <v>3</v>
      </c>
      <c r="HO285" s="446">
        <v>0</v>
      </c>
      <c r="HP285" s="446">
        <v>1</v>
      </c>
      <c r="HQ285" s="446">
        <v>20</v>
      </c>
      <c r="HR285" s="446">
        <v>7</v>
      </c>
      <c r="HS285" s="446">
        <v>0</v>
      </c>
      <c r="HT285" s="446">
        <v>0</v>
      </c>
      <c r="HU285" s="446">
        <v>0</v>
      </c>
      <c r="HV285" s="447">
        <v>31</v>
      </c>
      <c r="HW285" s="446"/>
      <c r="HX285" s="448"/>
    </row>
    <row r="286" spans="1:232">
      <c r="A286" s="5682">
        <v>3</v>
      </c>
      <c r="B286" s="5682">
        <v>4</v>
      </c>
      <c r="C286" s="5683" t="s">
        <v>297</v>
      </c>
      <c r="D286" s="5685" t="s">
        <v>1076</v>
      </c>
      <c r="E286" s="5682">
        <v>13</v>
      </c>
      <c r="F286" s="5682">
        <v>6</v>
      </c>
      <c r="I286" s="4915">
        <v>4</v>
      </c>
      <c r="J286" s="4915">
        <v>6</v>
      </c>
      <c r="K286" s="4916" t="s">
        <v>609</v>
      </c>
      <c r="L286" s="4916" t="s">
        <v>2709</v>
      </c>
      <c r="M286" s="4915">
        <v>1</v>
      </c>
      <c r="N286" s="4915">
        <v>6</v>
      </c>
      <c r="Q286" s="4705">
        <v>4</v>
      </c>
      <c r="R286" s="4705">
        <v>5</v>
      </c>
      <c r="S286" s="4706" t="s">
        <v>383</v>
      </c>
      <c r="T286" s="4706" t="s">
        <v>2709</v>
      </c>
      <c r="U286" s="4707">
        <v>1</v>
      </c>
      <c r="V286" s="4707">
        <v>1</v>
      </c>
      <c r="W286" s="4722"/>
      <c r="Y286" s="36"/>
      <c r="Z286" s="36" t="s">
        <v>64</v>
      </c>
      <c r="AA286" s="36" t="s">
        <v>609</v>
      </c>
      <c r="AB286" s="36" t="s">
        <v>1072</v>
      </c>
      <c r="AC286" s="1681"/>
      <c r="AD286" s="1681"/>
      <c r="AE286" s="1681"/>
      <c r="AF286" s="1681"/>
      <c r="AG286" s="1681"/>
      <c r="AH286" s="1681"/>
      <c r="AI286" s="1681">
        <v>1</v>
      </c>
      <c r="AJ286" s="1681">
        <v>0</v>
      </c>
      <c r="AK286" s="1681"/>
      <c r="AL286" s="95"/>
      <c r="AM286" s="95">
        <v>1</v>
      </c>
      <c r="AN286" s="4545"/>
      <c r="AR286" s="27"/>
      <c r="AS286" s="27" t="s">
        <v>2571</v>
      </c>
      <c r="AT286" s="3722">
        <v>5</v>
      </c>
      <c r="AU286" s="3722">
        <v>0</v>
      </c>
      <c r="AV286" s="3722">
        <v>0</v>
      </c>
      <c r="AW286" s="3722">
        <v>0</v>
      </c>
      <c r="AX286" s="3722">
        <v>0</v>
      </c>
      <c r="AY286" s="3722"/>
      <c r="AZ286" s="3722">
        <v>0</v>
      </c>
      <c r="BA286" s="3722">
        <v>0</v>
      </c>
      <c r="BB286" s="3722">
        <v>0</v>
      </c>
      <c r="BC286" s="3701">
        <v>0</v>
      </c>
      <c r="BD286" s="3701">
        <v>0</v>
      </c>
      <c r="BE286" s="3701">
        <v>5</v>
      </c>
      <c r="BF286" s="3701"/>
      <c r="BG286" s="3701"/>
      <c r="BJ286" s="1520"/>
      <c r="BK286" s="1520" t="s">
        <v>412</v>
      </c>
      <c r="BL286" s="3872">
        <v>8</v>
      </c>
      <c r="BM286" s="3872">
        <v>4</v>
      </c>
      <c r="BN286" s="3872">
        <v>1</v>
      </c>
      <c r="BO286" s="3872">
        <v>5</v>
      </c>
      <c r="BP286" s="3872">
        <v>3</v>
      </c>
      <c r="BQ286" s="3872">
        <v>131</v>
      </c>
      <c r="BR286" s="3872">
        <v>28</v>
      </c>
      <c r="BS286" s="3872">
        <v>12</v>
      </c>
      <c r="BT286" s="3806">
        <v>1</v>
      </c>
      <c r="BU286" s="3806">
        <v>193</v>
      </c>
      <c r="BV286" s="3807">
        <f>+(BU282+BU284+BU285)/BU286</f>
        <v>0.21761658031088082</v>
      </c>
      <c r="BX286" s="36"/>
      <c r="BY286" s="36"/>
      <c r="BZ286" s="393"/>
      <c r="CA286" s="393" t="s">
        <v>1163</v>
      </c>
      <c r="CB286" s="1682"/>
      <c r="CC286" s="1682">
        <v>0</v>
      </c>
      <c r="CD286" s="1682"/>
      <c r="CE286" s="1682">
        <v>0</v>
      </c>
      <c r="CF286" s="1682">
        <v>0</v>
      </c>
      <c r="CG286" s="1682">
        <v>6</v>
      </c>
      <c r="CH286" s="1682">
        <v>2</v>
      </c>
      <c r="CI286" s="1682">
        <v>0</v>
      </c>
      <c r="CJ286" s="2041">
        <v>0</v>
      </c>
      <c r="CK286" s="2041"/>
      <c r="CL286" s="2041">
        <v>8</v>
      </c>
      <c r="CM286" s="36"/>
      <c r="CO286" s="37"/>
      <c r="CP286" s="37"/>
      <c r="CQ286" s="37"/>
      <c r="CR286" s="37" t="s">
        <v>1072</v>
      </c>
      <c r="CS286" s="1678"/>
      <c r="CT286" s="1678">
        <v>3</v>
      </c>
      <c r="CU286" s="1678">
        <v>5</v>
      </c>
      <c r="CV286" s="1678">
        <v>1</v>
      </c>
      <c r="CW286" s="1678">
        <v>2</v>
      </c>
      <c r="CX286" s="1678">
        <v>3</v>
      </c>
      <c r="CY286" s="1678">
        <v>86</v>
      </c>
      <c r="CZ286" s="1678">
        <v>11</v>
      </c>
      <c r="DA286" s="1678">
        <v>3</v>
      </c>
      <c r="DB286" s="63"/>
      <c r="DC286" s="63"/>
      <c r="DD286" s="63">
        <v>114</v>
      </c>
      <c r="DG286" s="95"/>
      <c r="DH286" s="95"/>
      <c r="DI286" s="36"/>
      <c r="DJ286" s="393" t="s">
        <v>726</v>
      </c>
      <c r="DK286" s="1485"/>
      <c r="DL286" s="1485"/>
      <c r="DM286" s="1485"/>
      <c r="DN286" s="1485"/>
      <c r="DO286" s="1485"/>
      <c r="DP286" s="1485"/>
      <c r="DQ286" s="1485">
        <v>25</v>
      </c>
      <c r="DR286" s="1485"/>
      <c r="DS286" s="1485"/>
      <c r="DT286" s="86"/>
      <c r="DU286" s="86"/>
      <c r="DV286" s="86">
        <v>25</v>
      </c>
      <c r="DW286" s="560">
        <f>+(DV283+DV284+DV285)/DV286</f>
        <v>0.92</v>
      </c>
      <c r="DY286" s="1209"/>
      <c r="DZ286" s="1209"/>
      <c r="EA286" s="1210"/>
      <c r="EB286" s="1211" t="s">
        <v>1077</v>
      </c>
      <c r="EC286" s="1213">
        <v>0</v>
      </c>
      <c r="ED286" s="1213">
        <v>1</v>
      </c>
      <c r="EE286" s="1213">
        <v>1</v>
      </c>
      <c r="EF286" s="1212"/>
      <c r="EG286" s="1212"/>
      <c r="EH286" s="1213">
        <v>0</v>
      </c>
      <c r="EI286" s="1213">
        <v>0</v>
      </c>
      <c r="EJ286" s="1213">
        <v>0</v>
      </c>
      <c r="EK286" s="611"/>
      <c r="EL286" s="611"/>
      <c r="EM286" s="612">
        <v>2</v>
      </c>
      <c r="EN286" s="36"/>
      <c r="EP286" s="527"/>
      <c r="EQ286" s="527"/>
      <c r="ER286" s="528"/>
      <c r="ES286" s="529" t="s">
        <v>1074</v>
      </c>
      <c r="ET286" s="531">
        <v>1</v>
      </c>
      <c r="EU286" s="531">
        <v>1</v>
      </c>
      <c r="EV286" s="530"/>
      <c r="EW286" s="530"/>
      <c r="EX286" s="530"/>
      <c r="EY286" s="531">
        <v>0</v>
      </c>
      <c r="EZ286" s="531">
        <v>0</v>
      </c>
      <c r="FA286" s="530"/>
      <c r="FB286" s="527"/>
      <c r="FC286" s="527"/>
      <c r="FD286" s="532">
        <v>2</v>
      </c>
      <c r="FE286" s="95"/>
      <c r="FY286" s="540"/>
      <c r="FZ286" s="540"/>
      <c r="GA286" s="540"/>
      <c r="GB286" s="541" t="s">
        <v>1163</v>
      </c>
      <c r="GC286" s="543">
        <v>0</v>
      </c>
      <c r="GD286" s="543">
        <v>0</v>
      </c>
      <c r="GE286" s="543">
        <v>15</v>
      </c>
      <c r="GF286" s="543">
        <v>2</v>
      </c>
      <c r="GG286" s="543">
        <v>3</v>
      </c>
      <c r="GH286" s="543">
        <v>22</v>
      </c>
      <c r="GI286" s="543">
        <v>21</v>
      </c>
      <c r="GJ286" s="543">
        <v>1</v>
      </c>
      <c r="GK286" s="543">
        <v>0</v>
      </c>
      <c r="GL286" s="543">
        <v>0</v>
      </c>
      <c r="GM286" s="543">
        <v>64</v>
      </c>
      <c r="GN286" s="445"/>
      <c r="GP286" s="63"/>
      <c r="GQ286" s="63"/>
      <c r="GR286" s="37"/>
      <c r="GS286" s="37" t="s">
        <v>1163</v>
      </c>
      <c r="GT286" s="37">
        <v>0</v>
      </c>
      <c r="GU286" s="37">
        <v>0</v>
      </c>
      <c r="GV286" s="37">
        <v>11</v>
      </c>
      <c r="GW286" s="37">
        <v>2</v>
      </c>
      <c r="GX286" s="37">
        <v>1</v>
      </c>
      <c r="GY286" s="37">
        <v>27</v>
      </c>
      <c r="GZ286" s="37">
        <v>12</v>
      </c>
      <c r="HA286" s="37">
        <v>1</v>
      </c>
      <c r="HB286" s="37">
        <v>0</v>
      </c>
      <c r="HC286" s="37">
        <v>0</v>
      </c>
      <c r="HD286" s="37">
        <v>54</v>
      </c>
      <c r="HE286" s="37"/>
      <c r="HF286" s="37"/>
      <c r="HG286" s="446"/>
      <c r="HH286" s="446"/>
      <c r="HI286" s="446"/>
      <c r="HJ286" s="446" t="s">
        <v>1163</v>
      </c>
      <c r="HK286" s="446">
        <v>0</v>
      </c>
      <c r="HL286" s="446">
        <v>0</v>
      </c>
      <c r="HM286" s="446">
        <v>0</v>
      </c>
      <c r="HN286" s="446">
        <v>7</v>
      </c>
      <c r="HO286" s="446">
        <v>0</v>
      </c>
      <c r="HP286" s="446">
        <v>3</v>
      </c>
      <c r="HQ286" s="446">
        <v>57</v>
      </c>
      <c r="HR286" s="446">
        <v>16</v>
      </c>
      <c r="HS286" s="446">
        <v>3</v>
      </c>
      <c r="HT286" s="446">
        <v>0</v>
      </c>
      <c r="HU286" s="446">
        <v>0</v>
      </c>
      <c r="HV286" s="447">
        <v>86</v>
      </c>
      <c r="HW286" s="446"/>
      <c r="HX286" s="448"/>
    </row>
    <row r="287" spans="1:232" ht="15" thickBot="1">
      <c r="A287" s="5682">
        <v>3</v>
      </c>
      <c r="B287" s="5682">
        <v>4</v>
      </c>
      <c r="C287" s="5683" t="s">
        <v>297</v>
      </c>
      <c r="D287" s="5683" t="s">
        <v>2709</v>
      </c>
      <c r="E287" s="5682">
        <v>1</v>
      </c>
      <c r="F287" s="5682">
        <v>1</v>
      </c>
      <c r="I287" s="4705" t="s">
        <v>2613</v>
      </c>
      <c r="J287" s="4705" t="s">
        <v>2613</v>
      </c>
      <c r="K287" s="4920" t="s">
        <v>64</v>
      </c>
      <c r="L287" s="4705" t="s">
        <v>2613</v>
      </c>
      <c r="M287" s="135">
        <f>SUM(M283:M286)</f>
        <v>9</v>
      </c>
      <c r="N287" s="4705" t="s">
        <v>2613</v>
      </c>
      <c r="O287" s="4921">
        <v>0</v>
      </c>
      <c r="Q287" s="4705">
        <v>4</v>
      </c>
      <c r="R287" s="4705">
        <v>5</v>
      </c>
      <c r="S287" s="4706" t="s">
        <v>383</v>
      </c>
      <c r="T287" s="4706" t="s">
        <v>2709</v>
      </c>
      <c r="U287" s="4707">
        <v>1</v>
      </c>
      <c r="V287" s="4707">
        <v>4</v>
      </c>
      <c r="W287" s="4722"/>
      <c r="Y287" s="36"/>
      <c r="Z287" s="36"/>
      <c r="AA287" s="36"/>
      <c r="AB287" s="36" t="s">
        <v>1080</v>
      </c>
      <c r="AC287" s="1681"/>
      <c r="AD287" s="1681"/>
      <c r="AE287" s="1681"/>
      <c r="AF287" s="1681"/>
      <c r="AG287" s="1681"/>
      <c r="AH287" s="1681"/>
      <c r="AI287" s="1681">
        <v>0</v>
      </c>
      <c r="AJ287" s="1681">
        <v>6</v>
      </c>
      <c r="AK287" s="1681"/>
      <c r="AL287" s="95"/>
      <c r="AM287" s="95">
        <v>6</v>
      </c>
      <c r="AN287" s="4545"/>
      <c r="AR287" s="27"/>
      <c r="AS287" s="27" t="s">
        <v>1163</v>
      </c>
      <c r="AT287" s="3722">
        <v>0</v>
      </c>
      <c r="AU287" s="3722">
        <v>0</v>
      </c>
      <c r="AV287" s="3722">
        <v>0</v>
      </c>
      <c r="AW287" s="3722">
        <v>0</v>
      </c>
      <c r="AX287" s="3722">
        <v>0</v>
      </c>
      <c r="AY287" s="3722"/>
      <c r="AZ287" s="3722">
        <v>5</v>
      </c>
      <c r="BA287" s="3722">
        <v>5</v>
      </c>
      <c r="BB287" s="3722">
        <v>3</v>
      </c>
      <c r="BC287" s="3701">
        <v>0</v>
      </c>
      <c r="BD287" s="3701">
        <v>0</v>
      </c>
      <c r="BE287" s="3701">
        <v>13</v>
      </c>
      <c r="BF287" s="3701"/>
      <c r="BG287" s="3701"/>
      <c r="BH287" s="32" t="s">
        <v>59</v>
      </c>
      <c r="BI287" s="32" t="s">
        <v>16</v>
      </c>
      <c r="BJ287" s="32" t="s">
        <v>608</v>
      </c>
      <c r="BK287" s="32" t="s">
        <v>1072</v>
      </c>
      <c r="BL287" s="3871"/>
      <c r="BM287" s="3871"/>
      <c r="BN287" s="3871">
        <v>0</v>
      </c>
      <c r="BO287" s="3871">
        <v>1</v>
      </c>
      <c r="BP287" s="3871"/>
      <c r="BQ287" s="3871">
        <v>6</v>
      </c>
      <c r="BR287" s="3871">
        <v>0</v>
      </c>
      <c r="BS287" s="3871"/>
      <c r="BT287" s="1518"/>
      <c r="BU287" s="1518">
        <v>7</v>
      </c>
      <c r="BX287" s="36"/>
      <c r="BY287" s="36"/>
      <c r="BZ287" s="393"/>
      <c r="CA287" s="393" t="s">
        <v>485</v>
      </c>
      <c r="CB287" s="1682"/>
      <c r="CC287" s="1682">
        <v>3</v>
      </c>
      <c r="CD287" s="1682"/>
      <c r="CE287" s="1682">
        <v>1</v>
      </c>
      <c r="CF287" s="1682">
        <v>7</v>
      </c>
      <c r="CG287" s="1682">
        <v>25</v>
      </c>
      <c r="CH287" s="1682">
        <v>24</v>
      </c>
      <c r="CI287" s="1682">
        <v>16</v>
      </c>
      <c r="CJ287" s="2041">
        <v>1</v>
      </c>
      <c r="CK287" s="2041"/>
      <c r="CL287" s="2041">
        <v>77</v>
      </c>
      <c r="CM287" s="560">
        <f>+(CL286+CL285+CL283)/CL287</f>
        <v>0.4935064935064935</v>
      </c>
      <c r="CN287" s="1665"/>
      <c r="CO287" s="37"/>
      <c r="CP287" s="37"/>
      <c r="CQ287" s="37"/>
      <c r="CR287" s="37" t="s">
        <v>1074</v>
      </c>
      <c r="CS287" s="1678"/>
      <c r="CT287" s="1678">
        <v>1</v>
      </c>
      <c r="CU287" s="1678">
        <v>0</v>
      </c>
      <c r="CV287" s="1678">
        <v>1</v>
      </c>
      <c r="CW287" s="1678">
        <v>0</v>
      </c>
      <c r="CX287" s="1678">
        <v>0</v>
      </c>
      <c r="CY287" s="1678">
        <v>0</v>
      </c>
      <c r="CZ287" s="1678">
        <v>0</v>
      </c>
      <c r="DA287" s="1678">
        <v>0</v>
      </c>
      <c r="DB287" s="63"/>
      <c r="DC287" s="63"/>
      <c r="DD287" s="63">
        <v>2</v>
      </c>
      <c r="DG287" s="95"/>
      <c r="DH287" s="95"/>
      <c r="DI287" s="36" t="s">
        <v>412</v>
      </c>
      <c r="DJ287" s="36" t="s">
        <v>1072</v>
      </c>
      <c r="DK287" s="1484"/>
      <c r="DL287" s="1484">
        <v>4</v>
      </c>
      <c r="DM287" s="1484">
        <v>4</v>
      </c>
      <c r="DN287" s="1484">
        <v>13</v>
      </c>
      <c r="DO287" s="1484">
        <v>1</v>
      </c>
      <c r="DP287" s="1484">
        <v>1</v>
      </c>
      <c r="DQ287" s="1484">
        <v>109</v>
      </c>
      <c r="DR287" s="1484">
        <v>14</v>
      </c>
      <c r="DS287" s="1484">
        <v>2</v>
      </c>
      <c r="DT287" s="95">
        <v>0</v>
      </c>
      <c r="DU287" s="95"/>
      <c r="DV287" s="95">
        <v>148</v>
      </c>
      <c r="DW287" s="95"/>
      <c r="DY287" s="1209"/>
      <c r="DZ287" s="1209"/>
      <c r="EA287" s="1210"/>
      <c r="EB287" s="1211" t="s">
        <v>1081</v>
      </c>
      <c r="EC287" s="1213">
        <v>0</v>
      </c>
      <c r="ED287" s="1213">
        <v>0</v>
      </c>
      <c r="EE287" s="1213">
        <v>0</v>
      </c>
      <c r="EF287" s="1212"/>
      <c r="EG287" s="1212"/>
      <c r="EH287" s="1213">
        <v>3</v>
      </c>
      <c r="EI287" s="1213">
        <v>0</v>
      </c>
      <c r="EJ287" s="1213">
        <v>0</v>
      </c>
      <c r="EK287" s="611"/>
      <c r="EL287" s="611"/>
      <c r="EM287" s="612">
        <v>3</v>
      </c>
      <c r="EN287" s="36"/>
      <c r="EP287" s="527"/>
      <c r="EQ287" s="527"/>
      <c r="ER287" s="528"/>
      <c r="ES287" s="529" t="s">
        <v>1077</v>
      </c>
      <c r="ET287" s="531">
        <v>0</v>
      </c>
      <c r="EU287" s="531">
        <v>0</v>
      </c>
      <c r="EV287" s="530"/>
      <c r="EW287" s="530"/>
      <c r="EX287" s="530"/>
      <c r="EY287" s="531">
        <v>0</v>
      </c>
      <c r="EZ287" s="531">
        <v>1</v>
      </c>
      <c r="FA287" s="530"/>
      <c r="FB287" s="527"/>
      <c r="FC287" s="527"/>
      <c r="FD287" s="532">
        <v>1</v>
      </c>
      <c r="FE287" s="95"/>
      <c r="FY287" s="563"/>
      <c r="FZ287" s="563"/>
      <c r="GA287" s="563"/>
      <c r="GB287" s="564" t="s">
        <v>112</v>
      </c>
      <c r="GC287" s="566">
        <v>1</v>
      </c>
      <c r="GD287" s="566">
        <v>4</v>
      </c>
      <c r="GE287" s="566">
        <v>72</v>
      </c>
      <c r="GF287" s="566">
        <v>24</v>
      </c>
      <c r="GG287" s="566">
        <v>16</v>
      </c>
      <c r="GH287" s="566">
        <v>143</v>
      </c>
      <c r="GI287" s="566">
        <v>133</v>
      </c>
      <c r="GJ287" s="566">
        <v>141</v>
      </c>
      <c r="GK287" s="566">
        <v>14</v>
      </c>
      <c r="GL287" s="566">
        <v>18</v>
      </c>
      <c r="GM287" s="566">
        <v>566</v>
      </c>
      <c r="GN287" s="567">
        <f>+(GM286+GM285+GM282-GK282)/GM287</f>
        <v>0.33745583038869259</v>
      </c>
      <c r="GP287" s="423"/>
      <c r="GQ287" s="423"/>
      <c r="GR287" s="474"/>
      <c r="GS287" s="474" t="s">
        <v>15</v>
      </c>
      <c r="GT287" s="474">
        <v>3</v>
      </c>
      <c r="GU287" s="474">
        <v>10</v>
      </c>
      <c r="GV287" s="474">
        <v>48</v>
      </c>
      <c r="GW287" s="474">
        <v>13</v>
      </c>
      <c r="GX287" s="474">
        <v>10</v>
      </c>
      <c r="GY287" s="474">
        <v>170</v>
      </c>
      <c r="GZ287" s="474">
        <v>98</v>
      </c>
      <c r="HA287" s="474">
        <v>99</v>
      </c>
      <c r="HB287" s="474">
        <v>3</v>
      </c>
      <c r="HC287" s="474">
        <v>10</v>
      </c>
      <c r="HD287" s="474">
        <v>464</v>
      </c>
      <c r="HE287" s="508">
        <f>+(HD282+HD285+HD286)/HD287</f>
        <v>0.33620689655172414</v>
      </c>
      <c r="HF287" s="37"/>
      <c r="HG287" s="446"/>
      <c r="HH287" s="446"/>
      <c r="HI287" s="446"/>
      <c r="HJ287" s="469" t="s">
        <v>15</v>
      </c>
      <c r="HK287" s="469">
        <v>1</v>
      </c>
      <c r="HL287" s="469">
        <v>3</v>
      </c>
      <c r="HM287" s="469">
        <v>13</v>
      </c>
      <c r="HN287" s="469">
        <v>35</v>
      </c>
      <c r="HO287" s="469">
        <v>29</v>
      </c>
      <c r="HP287" s="469">
        <v>13</v>
      </c>
      <c r="HQ287" s="469">
        <v>208</v>
      </c>
      <c r="HR287" s="469">
        <v>102</v>
      </c>
      <c r="HS287" s="469">
        <v>157</v>
      </c>
      <c r="HT287" s="469">
        <v>9</v>
      </c>
      <c r="HU287" s="469">
        <v>8</v>
      </c>
      <c r="HV287" s="470">
        <v>578</v>
      </c>
      <c r="HW287" s="509">
        <f>+(HV286+HV285+HV282-HT282)/HV287</f>
        <v>0.32006920415224915</v>
      </c>
      <c r="HX287" s="510">
        <f>+HV282+HV285+HV286-HT282</f>
        <v>185</v>
      </c>
    </row>
    <row r="288" spans="1:232">
      <c r="A288" s="5682">
        <v>3</v>
      </c>
      <c r="B288" s="5682">
        <v>4</v>
      </c>
      <c r="C288" s="5683" t="s">
        <v>297</v>
      </c>
      <c r="D288" s="5683" t="s">
        <v>2709</v>
      </c>
      <c r="E288" s="5682">
        <v>1</v>
      </c>
      <c r="F288" s="5682">
        <v>6</v>
      </c>
      <c r="I288" s="36"/>
      <c r="J288" s="36"/>
      <c r="N288" s="36"/>
      <c r="Q288" s="4705">
        <v>4</v>
      </c>
      <c r="R288" s="4705">
        <v>5</v>
      </c>
      <c r="S288" s="4706" t="s">
        <v>383</v>
      </c>
      <c r="T288" s="4706" t="s">
        <v>2709</v>
      </c>
      <c r="U288" s="4707">
        <v>4</v>
      </c>
      <c r="V288" s="4707">
        <v>6</v>
      </c>
      <c r="W288" s="4722"/>
      <c r="Y288" s="36"/>
      <c r="Z288" s="36"/>
      <c r="AA288" s="36"/>
      <c r="AB288" s="36" t="s">
        <v>15</v>
      </c>
      <c r="AC288" s="1681"/>
      <c r="AD288" s="1681"/>
      <c r="AE288" s="1681"/>
      <c r="AF288" s="1681"/>
      <c r="AG288" s="1681"/>
      <c r="AH288" s="1681"/>
      <c r="AI288" s="1681">
        <v>1</v>
      </c>
      <c r="AJ288" s="1681">
        <v>6</v>
      </c>
      <c r="AK288" s="1681"/>
      <c r="AL288" s="95"/>
      <c r="AM288" s="95">
        <v>7</v>
      </c>
      <c r="AN288" s="4545">
        <v>0</v>
      </c>
      <c r="AR288" s="27"/>
      <c r="AS288" s="3868" t="s">
        <v>15</v>
      </c>
      <c r="AT288" s="3722">
        <v>5</v>
      </c>
      <c r="AU288" s="3722">
        <v>4</v>
      </c>
      <c r="AV288" s="3722">
        <v>3</v>
      </c>
      <c r="AW288" s="3722">
        <v>1</v>
      </c>
      <c r="AX288" s="3722">
        <v>1</v>
      </c>
      <c r="AY288" s="3722"/>
      <c r="AZ288" s="3722">
        <v>45</v>
      </c>
      <c r="BA288" s="3722">
        <v>21</v>
      </c>
      <c r="BB288" s="3722">
        <v>12</v>
      </c>
      <c r="BC288" s="3701">
        <v>4</v>
      </c>
      <c r="BD288" s="3701">
        <v>1</v>
      </c>
      <c r="BE288" s="3701">
        <v>97</v>
      </c>
      <c r="BF288" s="1665">
        <f>+(BE283+BE285+BE287)/(BE288-BE286)</f>
        <v>0.29347826086956524</v>
      </c>
      <c r="BG288" s="1665"/>
      <c r="BK288" s="32" t="s">
        <v>1076</v>
      </c>
      <c r="BL288" s="3871"/>
      <c r="BM288" s="3871"/>
      <c r="BN288" s="3871">
        <v>0</v>
      </c>
      <c r="BO288" s="3871">
        <v>0</v>
      </c>
      <c r="BP288" s="3871"/>
      <c r="BQ288" s="3871">
        <v>1</v>
      </c>
      <c r="BR288" s="3871">
        <v>0</v>
      </c>
      <c r="BS288" s="3871"/>
      <c r="BT288" s="1518"/>
      <c r="BU288" s="1518">
        <v>1</v>
      </c>
      <c r="BX288" s="36"/>
      <c r="BY288" s="36" t="s">
        <v>21</v>
      </c>
      <c r="BZ288" s="36" t="s">
        <v>142</v>
      </c>
      <c r="CA288" s="36" t="s">
        <v>1071</v>
      </c>
      <c r="CB288" s="1681"/>
      <c r="CC288" s="1681">
        <v>0</v>
      </c>
      <c r="CD288" s="1681"/>
      <c r="CE288" s="1681"/>
      <c r="CF288" s="1681"/>
      <c r="CG288" s="1681">
        <v>1</v>
      </c>
      <c r="CH288" s="1681">
        <v>1</v>
      </c>
      <c r="CI288" s="1681"/>
      <c r="CJ288" s="95"/>
      <c r="CK288" s="95"/>
      <c r="CL288" s="95">
        <v>2</v>
      </c>
      <c r="CM288" s="36"/>
      <c r="CO288" s="37"/>
      <c r="CP288" s="37"/>
      <c r="CQ288" s="37"/>
      <c r="CR288" s="37" t="s">
        <v>1076</v>
      </c>
      <c r="CS288" s="1678"/>
      <c r="CT288" s="1678">
        <v>0</v>
      </c>
      <c r="CU288" s="1678">
        <v>0</v>
      </c>
      <c r="CV288" s="1678">
        <v>0</v>
      </c>
      <c r="CW288" s="1678">
        <v>0</v>
      </c>
      <c r="CX288" s="1678">
        <v>0</v>
      </c>
      <c r="CY288" s="1678">
        <v>13</v>
      </c>
      <c r="CZ288" s="1678">
        <v>3</v>
      </c>
      <c r="DA288" s="1678">
        <v>0</v>
      </c>
      <c r="DB288" s="63"/>
      <c r="DC288" s="63"/>
      <c r="DD288" s="63">
        <v>16</v>
      </c>
      <c r="DG288" s="95"/>
      <c r="DH288" s="95"/>
      <c r="DI288" s="36"/>
      <c r="DJ288" s="36" t="s">
        <v>1074</v>
      </c>
      <c r="DK288" s="1484"/>
      <c r="DL288" s="1484">
        <v>1</v>
      </c>
      <c r="DM288" s="1484">
        <v>0</v>
      </c>
      <c r="DN288" s="1484">
        <v>0</v>
      </c>
      <c r="DO288" s="1484">
        <v>0</v>
      </c>
      <c r="DP288" s="1484">
        <v>0</v>
      </c>
      <c r="DQ288" s="1484">
        <v>0</v>
      </c>
      <c r="DR288" s="1484">
        <v>0</v>
      </c>
      <c r="DS288" s="1484">
        <v>0</v>
      </c>
      <c r="DT288" s="95">
        <v>0</v>
      </c>
      <c r="DU288" s="95"/>
      <c r="DV288" s="95">
        <v>1</v>
      </c>
      <c r="DW288" s="95"/>
      <c r="DY288" s="1209"/>
      <c r="DZ288" s="1209"/>
      <c r="EA288" s="1210"/>
      <c r="EB288" s="1211" t="s">
        <v>1163</v>
      </c>
      <c r="EC288" s="1213">
        <v>0</v>
      </c>
      <c r="ED288" s="1213">
        <v>0</v>
      </c>
      <c r="EE288" s="1213">
        <v>0</v>
      </c>
      <c r="EF288" s="1212"/>
      <c r="EG288" s="1212"/>
      <c r="EH288" s="1213">
        <v>2</v>
      </c>
      <c r="EI288" s="1213">
        <v>0</v>
      </c>
      <c r="EJ288" s="1213">
        <v>0</v>
      </c>
      <c r="EK288" s="611"/>
      <c r="EL288" s="611"/>
      <c r="EM288" s="612">
        <v>2</v>
      </c>
      <c r="EN288" s="36"/>
      <c r="EP288" s="527"/>
      <c r="EQ288" s="527"/>
      <c r="ER288" s="528"/>
      <c r="ES288" s="529" t="s">
        <v>1080</v>
      </c>
      <c r="ET288" s="531">
        <v>0</v>
      </c>
      <c r="EU288" s="531">
        <v>0</v>
      </c>
      <c r="EV288" s="530"/>
      <c r="EW288" s="530"/>
      <c r="EX288" s="530"/>
      <c r="EY288" s="531">
        <v>0</v>
      </c>
      <c r="EZ288" s="531">
        <v>1</v>
      </c>
      <c r="FA288" s="530"/>
      <c r="FB288" s="527"/>
      <c r="FC288" s="527"/>
      <c r="FD288" s="532">
        <v>1</v>
      </c>
      <c r="FE288" s="95"/>
      <c r="FY288" s="441" t="s">
        <v>1166</v>
      </c>
      <c r="GP288" s="37" t="s">
        <v>1125</v>
      </c>
      <c r="GQ288" s="63"/>
      <c r="GR288" s="37"/>
      <c r="GS288" s="37"/>
      <c r="GT288" s="37"/>
      <c r="GU288" s="37"/>
      <c r="GV288" s="37"/>
      <c r="GW288" s="37"/>
      <c r="GX288" s="37"/>
      <c r="GY288" s="37"/>
      <c r="GZ288" s="37"/>
      <c r="HA288" s="37"/>
      <c r="HB288" s="37"/>
      <c r="HC288" s="37"/>
      <c r="HD288" s="37"/>
      <c r="HE288" s="37"/>
      <c r="HF288" s="37"/>
      <c r="HG288" s="446"/>
      <c r="HH288" s="446"/>
      <c r="HI288" s="446"/>
      <c r="HJ288" s="446"/>
      <c r="HK288" s="446"/>
      <c r="HL288" s="446"/>
      <c r="HM288" s="446"/>
      <c r="HN288" s="446"/>
      <c r="HO288" s="446"/>
      <c r="HP288" s="446"/>
      <c r="HQ288" s="446"/>
      <c r="HR288" s="446"/>
      <c r="HS288" s="446"/>
      <c r="HT288" s="446"/>
      <c r="HU288" s="446"/>
      <c r="HV288" s="447"/>
      <c r="HW288" s="446"/>
      <c r="HX288" s="446"/>
    </row>
    <row r="289" spans="1:232">
      <c r="A289" s="5682"/>
      <c r="B289" s="5682"/>
      <c r="C289" s="5683"/>
      <c r="D289" s="5683"/>
      <c r="E289" s="5686">
        <f>SUM(E285:E288)</f>
        <v>19</v>
      </c>
      <c r="F289" s="5682"/>
      <c r="G289" s="4921">
        <f>(E285+E286)/(E289)</f>
        <v>0.89473684210526316</v>
      </c>
      <c r="I289" s="4959"/>
      <c r="J289" s="4959"/>
      <c r="K289" s="4956" t="s">
        <v>59</v>
      </c>
      <c r="L289" s="4959"/>
      <c r="M289" s="4960">
        <f>SUM(M287,M282,M277)</f>
        <v>44</v>
      </c>
      <c r="N289" s="4959"/>
      <c r="O289" s="4921">
        <v>0</v>
      </c>
      <c r="Q289" s="4705">
        <v>4</v>
      </c>
      <c r="R289" s="4705">
        <v>5</v>
      </c>
      <c r="S289" s="4706" t="s">
        <v>383</v>
      </c>
      <c r="T289" s="4706" t="s">
        <v>2709</v>
      </c>
      <c r="U289" s="4707">
        <v>10</v>
      </c>
      <c r="V289" s="4707">
        <v>7</v>
      </c>
      <c r="W289" s="4722"/>
      <c r="Y289" s="36"/>
      <c r="Z289" s="36"/>
      <c r="AA289" s="393" t="s">
        <v>487</v>
      </c>
      <c r="AB289" s="36" t="s">
        <v>1072</v>
      </c>
      <c r="AC289" s="1681"/>
      <c r="AD289" s="1681"/>
      <c r="AE289" s="1681"/>
      <c r="AF289" s="1681"/>
      <c r="AG289" s="1681"/>
      <c r="AH289" s="1681"/>
      <c r="AI289" s="1681">
        <v>1</v>
      </c>
      <c r="AJ289" s="1681">
        <v>0</v>
      </c>
      <c r="AK289" s="1681"/>
      <c r="AL289" s="95"/>
      <c r="AM289" s="95">
        <v>1</v>
      </c>
      <c r="AN289" s="4545"/>
      <c r="AQ289" s="157" t="s">
        <v>21</v>
      </c>
      <c r="AR289" s="3868" t="s">
        <v>142</v>
      </c>
      <c r="AS289" s="3868" t="s">
        <v>1072</v>
      </c>
      <c r="AT289" s="3721">
        <v>0</v>
      </c>
      <c r="AU289" s="3721"/>
      <c r="AV289" s="3721"/>
      <c r="AW289" s="3721"/>
      <c r="AX289" s="3721"/>
      <c r="AY289" s="3721">
        <v>1</v>
      </c>
      <c r="AZ289" s="3721">
        <v>6</v>
      </c>
      <c r="BA289" s="3721"/>
      <c r="BB289" s="3721"/>
      <c r="BC289" s="2110"/>
      <c r="BD289" s="2110"/>
      <c r="BE289" s="2110">
        <v>7</v>
      </c>
      <c r="BF289" s="2110"/>
      <c r="BG289" s="2110"/>
      <c r="BK289" s="32" t="s">
        <v>1077</v>
      </c>
      <c r="BL289" s="3871"/>
      <c r="BM289" s="3871"/>
      <c r="BN289" s="3871">
        <v>1</v>
      </c>
      <c r="BO289" s="3871">
        <v>0</v>
      </c>
      <c r="BP289" s="3871"/>
      <c r="BQ289" s="3871">
        <v>0</v>
      </c>
      <c r="BR289" s="3871">
        <v>0</v>
      </c>
      <c r="BS289" s="3871"/>
      <c r="BT289" s="1518"/>
      <c r="BU289" s="1518">
        <v>1</v>
      </c>
      <c r="BX289" s="36"/>
      <c r="BY289" s="36"/>
      <c r="BZ289" s="36"/>
      <c r="CA289" s="36" t="s">
        <v>1072</v>
      </c>
      <c r="CB289" s="1681"/>
      <c r="CC289" s="1681">
        <v>1</v>
      </c>
      <c r="CD289" s="1681"/>
      <c r="CE289" s="1681"/>
      <c r="CF289" s="1681"/>
      <c r="CG289" s="1681">
        <v>3</v>
      </c>
      <c r="CH289" s="1681">
        <v>0</v>
      </c>
      <c r="CI289" s="1681"/>
      <c r="CJ289" s="95"/>
      <c r="CK289" s="95"/>
      <c r="CL289" s="95">
        <v>4</v>
      </c>
      <c r="CM289" s="36"/>
      <c r="CO289" s="37"/>
      <c r="CP289" s="37"/>
      <c r="CQ289" s="37"/>
      <c r="CR289" s="37" t="s">
        <v>1077</v>
      </c>
      <c r="CS289" s="1678"/>
      <c r="CT289" s="1678">
        <v>0</v>
      </c>
      <c r="CU289" s="1678">
        <v>0</v>
      </c>
      <c r="CV289" s="1678">
        <v>0</v>
      </c>
      <c r="CW289" s="1678">
        <v>1</v>
      </c>
      <c r="CX289" s="1678">
        <v>0</v>
      </c>
      <c r="CY289" s="1678">
        <v>0</v>
      </c>
      <c r="CZ289" s="1678">
        <v>0</v>
      </c>
      <c r="DA289" s="1678">
        <v>0</v>
      </c>
      <c r="DB289" s="63"/>
      <c r="DC289" s="63"/>
      <c r="DD289" s="63">
        <v>1</v>
      </c>
      <c r="DG289" s="95"/>
      <c r="DH289" s="95"/>
      <c r="DI289" s="36"/>
      <c r="DJ289" s="36" t="s">
        <v>1076</v>
      </c>
      <c r="DK289" s="1484"/>
      <c r="DL289" s="1484">
        <v>0</v>
      </c>
      <c r="DM289" s="1484">
        <v>0</v>
      </c>
      <c r="DN289" s="1484">
        <v>3</v>
      </c>
      <c r="DO289" s="1484">
        <v>3</v>
      </c>
      <c r="DP289" s="1484">
        <v>0</v>
      </c>
      <c r="DQ289" s="1484">
        <v>23</v>
      </c>
      <c r="DR289" s="1484">
        <v>1</v>
      </c>
      <c r="DS289" s="1484">
        <v>1</v>
      </c>
      <c r="DT289" s="95">
        <v>0</v>
      </c>
      <c r="DU289" s="95"/>
      <c r="DV289" s="95">
        <v>31</v>
      </c>
      <c r="DW289" s="95"/>
      <c r="DY289" s="1209"/>
      <c r="DZ289" s="1209"/>
      <c r="EA289" s="1210"/>
      <c r="EB289" s="415" t="s">
        <v>15</v>
      </c>
      <c r="EC289" s="1215">
        <v>1</v>
      </c>
      <c r="ED289" s="1215">
        <v>1</v>
      </c>
      <c r="EE289" s="1215">
        <v>1</v>
      </c>
      <c r="EF289" s="1214"/>
      <c r="EG289" s="1214"/>
      <c r="EH289" s="1215">
        <v>18</v>
      </c>
      <c r="EI289" s="1215">
        <v>1</v>
      </c>
      <c r="EJ289" s="1215">
        <v>1</v>
      </c>
      <c r="EK289" s="620"/>
      <c r="EL289" s="620"/>
      <c r="EM289" s="621">
        <v>23</v>
      </c>
      <c r="EN289" s="1178">
        <f>+(EM285+EM287+EM288)/EM289</f>
        <v>0.34782608695652173</v>
      </c>
      <c r="EP289" s="527"/>
      <c r="EQ289" s="527"/>
      <c r="ER289" s="528"/>
      <c r="ES289" s="529" t="s">
        <v>1163</v>
      </c>
      <c r="ET289" s="531">
        <v>0</v>
      </c>
      <c r="EU289" s="531">
        <v>0</v>
      </c>
      <c r="EV289" s="530"/>
      <c r="EW289" s="530"/>
      <c r="EX289" s="530"/>
      <c r="EY289" s="531">
        <v>3</v>
      </c>
      <c r="EZ289" s="531">
        <v>1</v>
      </c>
      <c r="FA289" s="530"/>
      <c r="FB289" s="527"/>
      <c r="FC289" s="527"/>
      <c r="FD289" s="532">
        <v>4</v>
      </c>
      <c r="FE289" s="95"/>
      <c r="FY289" s="578" t="s">
        <v>1167</v>
      </c>
      <c r="GP289" s="63"/>
      <c r="GQ289" s="63"/>
      <c r="GR289" s="37"/>
      <c r="GS289" s="37"/>
      <c r="GT289" s="37"/>
      <c r="GU289" s="37"/>
      <c r="GV289" s="37"/>
      <c r="GW289" s="37"/>
      <c r="GX289" s="37"/>
      <c r="GY289" s="37"/>
      <c r="GZ289" s="37"/>
      <c r="HA289" s="37"/>
      <c r="HB289" s="37"/>
      <c r="HC289" s="37"/>
      <c r="HD289" s="37"/>
      <c r="HE289" s="37"/>
      <c r="HF289" s="37"/>
      <c r="HG289" s="446"/>
      <c r="HH289" s="446"/>
      <c r="HI289" s="446"/>
      <c r="HJ289" s="446"/>
      <c r="HK289" s="446"/>
      <c r="HL289" s="446"/>
      <c r="HM289" s="446"/>
      <c r="HN289" s="446"/>
      <c r="HO289" s="446"/>
      <c r="HP289" s="446"/>
      <c r="HQ289" s="446"/>
      <c r="HR289" s="446"/>
      <c r="HS289" s="446"/>
      <c r="HT289" s="446"/>
      <c r="HU289" s="446"/>
      <c r="HV289" s="447"/>
      <c r="HW289" s="446"/>
      <c r="HX289" s="446"/>
    </row>
    <row r="290" spans="1:232" ht="14.4" customHeight="1">
      <c r="A290" s="5682">
        <v>3</v>
      </c>
      <c r="B290" s="5682">
        <v>4</v>
      </c>
      <c r="C290" s="5683" t="s">
        <v>2087</v>
      </c>
      <c r="D290" s="5685" t="s">
        <v>2707</v>
      </c>
      <c r="E290" s="5682">
        <v>1</v>
      </c>
      <c r="F290" s="5682">
        <v>6</v>
      </c>
      <c r="I290" s="36"/>
      <c r="J290" s="36"/>
      <c r="K290" s="36"/>
      <c r="L290" s="36"/>
      <c r="Q290" s="4705"/>
      <c r="R290" s="4744"/>
      <c r="S290" s="4749" t="s">
        <v>16</v>
      </c>
      <c r="T290" s="4737"/>
      <c r="U290" s="4740">
        <f>SUM(U282:U289)</f>
        <v>22</v>
      </c>
      <c r="V290" s="4740"/>
      <c r="W290" s="4722">
        <f>(U283+U284+U285)/(U290)</f>
        <v>0.18181818181818182</v>
      </c>
      <c r="Y290" s="36"/>
      <c r="Z290" s="36"/>
      <c r="AA290" s="36"/>
      <c r="AB290" s="36" t="s">
        <v>1080</v>
      </c>
      <c r="AC290" s="1681"/>
      <c r="AD290" s="1681"/>
      <c r="AE290" s="1681"/>
      <c r="AF290" s="1681"/>
      <c r="AG290" s="1681"/>
      <c r="AH290" s="1681"/>
      <c r="AI290" s="1681">
        <v>0</v>
      </c>
      <c r="AJ290" s="1681">
        <v>6</v>
      </c>
      <c r="AK290" s="1681"/>
      <c r="AL290" s="95"/>
      <c r="AM290" s="95">
        <v>6</v>
      </c>
      <c r="AN290" s="4545"/>
      <c r="AS290" s="3868" t="s">
        <v>1076</v>
      </c>
      <c r="AT290" s="3721">
        <v>0</v>
      </c>
      <c r="AU290" s="3721"/>
      <c r="AV290" s="3721"/>
      <c r="AW290" s="3721"/>
      <c r="AX290" s="3721"/>
      <c r="AY290" s="3721">
        <v>0</v>
      </c>
      <c r="AZ290" s="3721">
        <v>6</v>
      </c>
      <c r="BA290" s="3721"/>
      <c r="BB290" s="3721"/>
      <c r="BC290" s="2110"/>
      <c r="BD290" s="2110"/>
      <c r="BE290" s="2110">
        <v>6</v>
      </c>
      <c r="BF290" s="2110"/>
      <c r="BG290" s="2110"/>
      <c r="BK290" s="32" t="s">
        <v>1080</v>
      </c>
      <c r="BL290" s="3871"/>
      <c r="BM290" s="3871"/>
      <c r="BN290" s="3871">
        <v>0</v>
      </c>
      <c r="BO290" s="3871">
        <v>0</v>
      </c>
      <c r="BP290" s="3871"/>
      <c r="BQ290" s="3871">
        <v>0</v>
      </c>
      <c r="BR290" s="3871">
        <v>3</v>
      </c>
      <c r="BS290" s="3871"/>
      <c r="BT290" s="1518"/>
      <c r="BU290" s="1518">
        <v>3</v>
      </c>
      <c r="BX290" s="36"/>
      <c r="BY290" s="36"/>
      <c r="BZ290" s="36"/>
      <c r="CA290" s="36" t="s">
        <v>1076</v>
      </c>
      <c r="CB290" s="1681"/>
      <c r="CC290" s="1681">
        <v>0</v>
      </c>
      <c r="CD290" s="1681"/>
      <c r="CE290" s="1681"/>
      <c r="CF290" s="1681"/>
      <c r="CG290" s="1681">
        <v>9</v>
      </c>
      <c r="CH290" s="1681">
        <v>0</v>
      </c>
      <c r="CI290" s="1681"/>
      <c r="CJ290" s="95"/>
      <c r="CK290" s="95"/>
      <c r="CL290" s="95">
        <v>9</v>
      </c>
      <c r="CM290" s="36"/>
      <c r="CO290" s="37"/>
      <c r="CP290" s="37"/>
      <c r="CQ290" s="37"/>
      <c r="CR290" s="37" t="s">
        <v>1080</v>
      </c>
      <c r="CS290" s="1678"/>
      <c r="CT290" s="1678">
        <v>0</v>
      </c>
      <c r="CU290" s="1678">
        <v>0</v>
      </c>
      <c r="CV290" s="1678">
        <v>0</v>
      </c>
      <c r="CW290" s="1678">
        <v>0</v>
      </c>
      <c r="CX290" s="1678">
        <v>0</v>
      </c>
      <c r="CY290" s="1678">
        <v>0</v>
      </c>
      <c r="CZ290" s="1678">
        <v>1</v>
      </c>
      <c r="DA290" s="1678">
        <v>9</v>
      </c>
      <c r="DB290" s="63"/>
      <c r="DC290" s="63"/>
      <c r="DD290" s="63">
        <v>10</v>
      </c>
      <c r="DG290" s="95"/>
      <c r="DH290" s="95"/>
      <c r="DI290" s="36"/>
      <c r="DJ290" s="36" t="s">
        <v>1080</v>
      </c>
      <c r="DK290" s="1484"/>
      <c r="DL290" s="1484">
        <v>0</v>
      </c>
      <c r="DM290" s="1484">
        <v>0</v>
      </c>
      <c r="DN290" s="1484">
        <v>0</v>
      </c>
      <c r="DO290" s="1484">
        <v>1</v>
      </c>
      <c r="DP290" s="1484">
        <v>0</v>
      </c>
      <c r="DQ290" s="1484">
        <v>0</v>
      </c>
      <c r="DR290" s="1484">
        <v>0</v>
      </c>
      <c r="DS290" s="1484">
        <v>4</v>
      </c>
      <c r="DT290" s="95">
        <v>2</v>
      </c>
      <c r="DU290" s="95"/>
      <c r="DV290" s="95">
        <v>7</v>
      </c>
      <c r="DW290" s="95"/>
      <c r="DY290" s="1209"/>
      <c r="DZ290" s="1209"/>
      <c r="EA290" s="1210" t="s">
        <v>483</v>
      </c>
      <c r="EB290" s="1211" t="s">
        <v>1072</v>
      </c>
      <c r="EC290" s="1213">
        <v>0</v>
      </c>
      <c r="ED290" s="1213">
        <v>0</v>
      </c>
      <c r="EE290" s="1213">
        <v>0</v>
      </c>
      <c r="EF290" s="1212"/>
      <c r="EG290" s="1212"/>
      <c r="EH290" s="1213">
        <v>10</v>
      </c>
      <c r="EI290" s="1213">
        <v>1</v>
      </c>
      <c r="EJ290" s="1213">
        <v>1</v>
      </c>
      <c r="EK290" s="611"/>
      <c r="EL290" s="611"/>
      <c r="EM290" s="612">
        <v>12</v>
      </c>
      <c r="EN290" s="36"/>
      <c r="EP290" s="527"/>
      <c r="EQ290" s="527"/>
      <c r="ER290" s="528"/>
      <c r="ES290" s="555" t="s">
        <v>15</v>
      </c>
      <c r="ET290" s="557">
        <v>1</v>
      </c>
      <c r="EU290" s="557">
        <v>1</v>
      </c>
      <c r="EV290" s="556"/>
      <c r="EW290" s="556"/>
      <c r="EX290" s="556"/>
      <c r="EY290" s="557">
        <v>8</v>
      </c>
      <c r="EZ290" s="557">
        <v>3</v>
      </c>
      <c r="FA290" s="556"/>
      <c r="FB290" s="558"/>
      <c r="FC290" s="558"/>
      <c r="FD290" s="559">
        <v>13</v>
      </c>
      <c r="FE290" s="560">
        <f>+FD289/FD290</f>
        <v>0.30769230769230771</v>
      </c>
      <c r="FY290" s="540"/>
      <c r="FZ290" s="540"/>
      <c r="GA290" s="540"/>
      <c r="GB290" s="541"/>
      <c r="GC290" s="542"/>
      <c r="GD290" s="543"/>
      <c r="GE290" s="543"/>
      <c r="GF290" s="543"/>
      <c r="GG290" s="543"/>
      <c r="GH290" s="543"/>
      <c r="GI290" s="543"/>
      <c r="GJ290" s="543"/>
      <c r="GK290" s="542"/>
      <c r="GL290" s="542"/>
      <c r="GM290" s="543"/>
      <c r="GP290" s="579" t="s">
        <v>1151</v>
      </c>
      <c r="GQ290" s="63"/>
      <c r="GR290" s="37"/>
      <c r="GS290" s="37"/>
      <c r="GT290" s="37"/>
      <c r="GU290" s="37"/>
      <c r="GV290" s="37"/>
      <c r="GW290" s="37"/>
      <c r="GX290" s="37"/>
      <c r="GY290" s="37"/>
      <c r="GZ290" s="37"/>
      <c r="HA290" s="37"/>
      <c r="HB290" s="37"/>
      <c r="HC290" s="37"/>
      <c r="HD290" s="37"/>
      <c r="HE290" s="37"/>
      <c r="HF290" s="37"/>
      <c r="HG290" s="446"/>
      <c r="HH290" s="446"/>
      <c r="HI290" s="512" t="s">
        <v>1151</v>
      </c>
      <c r="HJ290" s="446"/>
      <c r="HK290" s="446"/>
      <c r="HL290" s="446"/>
      <c r="HM290" s="446"/>
      <c r="HN290" s="446"/>
      <c r="HO290" s="446"/>
      <c r="HP290" s="446"/>
      <c r="HQ290" s="446"/>
      <c r="HR290" s="446"/>
      <c r="HS290" s="446"/>
      <c r="HT290" s="446"/>
      <c r="HU290" s="446"/>
      <c r="HV290" s="447"/>
      <c r="HW290" s="446"/>
      <c r="HX290" s="446"/>
    </row>
    <row r="291" spans="1:232" ht="14.4" customHeight="1">
      <c r="A291" s="5682">
        <v>3</v>
      </c>
      <c r="B291" s="5682">
        <v>4</v>
      </c>
      <c r="C291" s="5683" t="s">
        <v>2087</v>
      </c>
      <c r="D291" s="5685" t="s">
        <v>1076</v>
      </c>
      <c r="E291" s="5682">
        <v>4</v>
      </c>
      <c r="F291" s="5682">
        <v>6</v>
      </c>
      <c r="I291" s="36"/>
      <c r="J291" s="36"/>
      <c r="L291" s="36"/>
      <c r="M291" s="4962">
        <f>SUM(M288,M273,M202,M92)</f>
        <v>79</v>
      </c>
      <c r="Q291" s="4705">
        <v>4</v>
      </c>
      <c r="R291" s="4713">
        <v>6</v>
      </c>
      <c r="S291" s="4714" t="s">
        <v>609</v>
      </c>
      <c r="T291" s="4714" t="s">
        <v>2731</v>
      </c>
      <c r="U291" s="4732">
        <v>1</v>
      </c>
      <c r="V291" s="4732">
        <v>8</v>
      </c>
      <c r="W291" s="4722"/>
      <c r="Y291" s="36"/>
      <c r="Z291" s="36"/>
      <c r="AA291" s="36"/>
      <c r="AB291" s="36" t="s">
        <v>15</v>
      </c>
      <c r="AC291" s="1681"/>
      <c r="AD291" s="1681"/>
      <c r="AE291" s="1681"/>
      <c r="AF291" s="1681"/>
      <c r="AG291" s="1681"/>
      <c r="AH291" s="1681"/>
      <c r="AI291" s="1681">
        <v>1</v>
      </c>
      <c r="AJ291" s="1681">
        <v>6</v>
      </c>
      <c r="AK291" s="1681"/>
      <c r="AL291" s="95"/>
      <c r="AM291" s="95">
        <v>7</v>
      </c>
      <c r="AN291" s="4545">
        <v>0</v>
      </c>
      <c r="AS291" s="3868" t="s">
        <v>1081</v>
      </c>
      <c r="AT291" s="3721">
        <v>0</v>
      </c>
      <c r="AU291" s="3721"/>
      <c r="AV291" s="3721"/>
      <c r="AW291" s="3721"/>
      <c r="AX291" s="3721"/>
      <c r="AY291" s="3721">
        <v>0</v>
      </c>
      <c r="AZ291" s="3721">
        <v>9</v>
      </c>
      <c r="BA291" s="3721"/>
      <c r="BB291" s="3721"/>
      <c r="BC291" s="2110"/>
      <c r="BD291" s="2110"/>
      <c r="BE291" s="2110">
        <v>9</v>
      </c>
      <c r="BF291" s="2110"/>
      <c r="BG291" s="2110"/>
      <c r="BK291" s="1520" t="s">
        <v>15</v>
      </c>
      <c r="BL291" s="3872"/>
      <c r="BM291" s="3872"/>
      <c r="BN291" s="3872">
        <v>1</v>
      </c>
      <c r="BO291" s="3872">
        <v>1</v>
      </c>
      <c r="BP291" s="3872"/>
      <c r="BQ291" s="3872">
        <v>7</v>
      </c>
      <c r="BR291" s="3872">
        <v>3</v>
      </c>
      <c r="BS291" s="3872"/>
      <c r="BT291" s="3806"/>
      <c r="BU291" s="3806">
        <v>12</v>
      </c>
      <c r="BV291" s="3807">
        <f>+BU288/BU291</f>
        <v>8.3333333333333329E-2</v>
      </c>
      <c r="BX291" s="36"/>
      <c r="BY291" s="36"/>
      <c r="BZ291" s="36"/>
      <c r="CA291" s="36" t="s">
        <v>1081</v>
      </c>
      <c r="CB291" s="1681"/>
      <c r="CC291" s="1681">
        <v>0</v>
      </c>
      <c r="CD291" s="1681"/>
      <c r="CE291" s="1681"/>
      <c r="CF291" s="1681"/>
      <c r="CG291" s="1681">
        <v>10</v>
      </c>
      <c r="CH291" s="1681">
        <v>0</v>
      </c>
      <c r="CI291" s="1681"/>
      <c r="CJ291" s="95"/>
      <c r="CK291" s="95"/>
      <c r="CL291" s="95">
        <v>10</v>
      </c>
      <c r="CM291" s="36"/>
      <c r="CO291" s="37"/>
      <c r="CP291" s="37"/>
      <c r="CQ291" s="37"/>
      <c r="CR291" s="37" t="s">
        <v>1081</v>
      </c>
      <c r="CS291" s="1678"/>
      <c r="CT291" s="1678">
        <v>0</v>
      </c>
      <c r="CU291" s="1678">
        <v>0</v>
      </c>
      <c r="CV291" s="1678">
        <v>0</v>
      </c>
      <c r="CW291" s="1678">
        <v>0</v>
      </c>
      <c r="CX291" s="1678">
        <v>2</v>
      </c>
      <c r="CY291" s="1678">
        <v>45</v>
      </c>
      <c r="CZ291" s="1678">
        <v>2</v>
      </c>
      <c r="DA291" s="1678">
        <v>0</v>
      </c>
      <c r="DB291" s="63"/>
      <c r="DC291" s="63"/>
      <c r="DD291" s="63">
        <v>49</v>
      </c>
      <c r="DG291" s="95"/>
      <c r="DH291" s="95"/>
      <c r="DI291" s="36"/>
      <c r="DJ291" s="36" t="s">
        <v>1081</v>
      </c>
      <c r="DK291" s="1484"/>
      <c r="DL291" s="1484">
        <v>0</v>
      </c>
      <c r="DM291" s="1484">
        <v>0</v>
      </c>
      <c r="DN291" s="1484">
        <v>2</v>
      </c>
      <c r="DO291" s="1484">
        <v>1</v>
      </c>
      <c r="DP291" s="1484">
        <v>0</v>
      </c>
      <c r="DQ291" s="1484">
        <v>30</v>
      </c>
      <c r="DR291" s="1484">
        <v>8</v>
      </c>
      <c r="DS291" s="1484">
        <v>1</v>
      </c>
      <c r="DT291" s="95">
        <v>0</v>
      </c>
      <c r="DU291" s="95"/>
      <c r="DV291" s="95">
        <v>42</v>
      </c>
      <c r="DW291" s="95"/>
      <c r="DY291" s="1209"/>
      <c r="DZ291" s="1209"/>
      <c r="EA291" s="1210"/>
      <c r="EB291" s="1211" t="s">
        <v>1074</v>
      </c>
      <c r="EC291" s="1213">
        <v>1</v>
      </c>
      <c r="ED291" s="1213">
        <v>0</v>
      </c>
      <c r="EE291" s="1213">
        <v>0</v>
      </c>
      <c r="EF291" s="1212"/>
      <c r="EG291" s="1212"/>
      <c r="EH291" s="1213">
        <v>0</v>
      </c>
      <c r="EI291" s="1213">
        <v>0</v>
      </c>
      <c r="EJ291" s="1213">
        <v>0</v>
      </c>
      <c r="EK291" s="611"/>
      <c r="EL291" s="611"/>
      <c r="EM291" s="612">
        <v>1</v>
      </c>
      <c r="EN291" s="36"/>
      <c r="EP291" s="527"/>
      <c r="EQ291" s="527"/>
      <c r="ER291" s="528" t="s">
        <v>483</v>
      </c>
      <c r="ES291" s="529" t="s">
        <v>1072</v>
      </c>
      <c r="ET291" s="531">
        <v>0</v>
      </c>
      <c r="EU291" s="531">
        <v>0</v>
      </c>
      <c r="EV291" s="530"/>
      <c r="EW291" s="530"/>
      <c r="EX291" s="530"/>
      <c r="EY291" s="531">
        <v>5</v>
      </c>
      <c r="EZ291" s="531">
        <v>0</v>
      </c>
      <c r="FA291" s="530"/>
      <c r="FB291" s="527"/>
      <c r="FC291" s="527"/>
      <c r="FD291" s="532">
        <v>5</v>
      </c>
      <c r="FE291" s="95"/>
      <c r="FY291" s="540"/>
      <c r="FZ291" s="540"/>
      <c r="GA291" s="540"/>
      <c r="GB291" s="541"/>
      <c r="GC291" s="542"/>
      <c r="GD291" s="543"/>
      <c r="GE291" s="543"/>
      <c r="GF291" s="543"/>
      <c r="GG291" s="543"/>
      <c r="GH291" s="543"/>
      <c r="GI291" s="543"/>
      <c r="GJ291" s="543"/>
      <c r="GK291" s="542"/>
      <c r="GL291" s="542"/>
      <c r="GM291" s="543"/>
      <c r="GP291" s="579" t="s">
        <v>1167</v>
      </c>
      <c r="GQ291" s="63"/>
      <c r="GR291" s="37"/>
      <c r="GS291" s="37"/>
      <c r="GT291" s="37"/>
      <c r="GU291" s="37"/>
      <c r="GV291" s="37"/>
      <c r="GW291" s="37"/>
      <c r="GX291" s="37"/>
      <c r="GY291" s="37"/>
      <c r="GZ291" s="37"/>
      <c r="HA291" s="37"/>
      <c r="HB291" s="37"/>
      <c r="HC291" s="37"/>
      <c r="HD291" s="37"/>
      <c r="HE291" s="37"/>
      <c r="HF291" s="37"/>
      <c r="HG291" s="446"/>
      <c r="HH291" s="446"/>
      <c r="HI291" s="512" t="s">
        <v>1153</v>
      </c>
      <c r="HJ291" s="446"/>
      <c r="HK291" s="446"/>
      <c r="HL291" s="446"/>
      <c r="HM291" s="446"/>
      <c r="HN291" s="446"/>
      <c r="HO291" s="446"/>
      <c r="HP291" s="446"/>
      <c r="HQ291" s="446"/>
      <c r="HR291" s="446"/>
      <c r="HS291" s="446"/>
      <c r="HT291" s="446"/>
      <c r="HU291" s="446"/>
      <c r="HV291" s="447"/>
      <c r="HW291" s="446"/>
      <c r="HX291" s="446"/>
    </row>
    <row r="292" spans="1:232" ht="28.95" customHeight="1">
      <c r="A292" s="5682">
        <v>3</v>
      </c>
      <c r="B292" s="5682">
        <v>4</v>
      </c>
      <c r="C292" s="5683" t="s">
        <v>2087</v>
      </c>
      <c r="D292" s="5683" t="s">
        <v>3027</v>
      </c>
      <c r="E292" s="5682">
        <v>1</v>
      </c>
      <c r="F292" s="5682">
        <v>4</v>
      </c>
      <c r="I292" s="4911"/>
      <c r="J292" s="4911"/>
      <c r="K292" s="4911" t="s">
        <v>75</v>
      </c>
      <c r="L292" s="4911"/>
      <c r="M292" s="4911">
        <f>SUM(M289,M274,M203,M93)</f>
        <v>637</v>
      </c>
      <c r="N292" s="4911"/>
      <c r="O292" s="4961">
        <f>M291/M292</f>
        <v>0.12401883830455258</v>
      </c>
      <c r="Q292" s="4705">
        <v>4</v>
      </c>
      <c r="R292" s="4705">
        <v>6</v>
      </c>
      <c r="S292" s="4706" t="s">
        <v>609</v>
      </c>
      <c r="T292" s="4706" t="s">
        <v>1071</v>
      </c>
      <c r="U292" s="4707">
        <v>1</v>
      </c>
      <c r="V292" s="4707">
        <v>8</v>
      </c>
      <c r="W292" s="4722"/>
      <c r="Y292" s="36"/>
      <c r="Z292" s="36"/>
      <c r="AA292" s="393" t="s">
        <v>256</v>
      </c>
      <c r="AB292" s="36" t="s">
        <v>1072</v>
      </c>
      <c r="AC292" s="1681">
        <v>0</v>
      </c>
      <c r="AD292" s="1681">
        <v>1</v>
      </c>
      <c r="AE292" s="1681"/>
      <c r="AF292" s="1681"/>
      <c r="AG292" s="1681">
        <v>1</v>
      </c>
      <c r="AH292" s="1681"/>
      <c r="AI292" s="1681">
        <v>9</v>
      </c>
      <c r="AJ292" s="1681">
        <v>0</v>
      </c>
      <c r="AK292" s="1681"/>
      <c r="AL292" s="95"/>
      <c r="AM292" s="95">
        <v>11</v>
      </c>
      <c r="AN292" s="4545"/>
      <c r="AS292" s="3868" t="s">
        <v>2571</v>
      </c>
      <c r="AT292" s="3721">
        <v>2</v>
      </c>
      <c r="AU292" s="3721"/>
      <c r="AV292" s="3721"/>
      <c r="AW292" s="3721"/>
      <c r="AX292" s="3721"/>
      <c r="AY292" s="3721">
        <v>0</v>
      </c>
      <c r="AZ292" s="3721">
        <v>0</v>
      </c>
      <c r="BA292" s="3721"/>
      <c r="BB292" s="3721"/>
      <c r="BC292" s="2110"/>
      <c r="BD292" s="2110"/>
      <c r="BE292" s="2110">
        <v>2</v>
      </c>
      <c r="BF292" s="2110"/>
      <c r="BG292" s="2110"/>
      <c r="BJ292" s="1520" t="s">
        <v>483</v>
      </c>
      <c r="BK292" s="1520" t="s">
        <v>1072</v>
      </c>
      <c r="BL292" s="3872"/>
      <c r="BM292" s="3872"/>
      <c r="BN292" s="3872">
        <v>0</v>
      </c>
      <c r="BO292" s="3872">
        <v>1</v>
      </c>
      <c r="BP292" s="3872"/>
      <c r="BQ292" s="3872">
        <v>6</v>
      </c>
      <c r="BR292" s="3872">
        <v>0</v>
      </c>
      <c r="BS292" s="3872"/>
      <c r="BT292" s="3806"/>
      <c r="BU292" s="3806">
        <v>7</v>
      </c>
      <c r="BV292" s="1520"/>
      <c r="BX292" s="36"/>
      <c r="BY292" s="36"/>
      <c r="BZ292" s="36"/>
      <c r="CA292" s="36" t="s">
        <v>1163</v>
      </c>
      <c r="CB292" s="1681"/>
      <c r="CC292" s="1681">
        <v>0</v>
      </c>
      <c r="CD292" s="1681"/>
      <c r="CE292" s="1681"/>
      <c r="CF292" s="1681"/>
      <c r="CG292" s="1681">
        <v>1</v>
      </c>
      <c r="CH292" s="1681">
        <v>0</v>
      </c>
      <c r="CI292" s="1681"/>
      <c r="CJ292" s="95"/>
      <c r="CK292" s="95"/>
      <c r="CL292" s="95">
        <v>1</v>
      </c>
      <c r="CM292" s="36"/>
      <c r="CO292" s="37"/>
      <c r="CP292" s="37"/>
      <c r="CQ292" s="37"/>
      <c r="CR292" s="37" t="s">
        <v>1163</v>
      </c>
      <c r="CS292" s="1678"/>
      <c r="CT292" s="1678">
        <v>0</v>
      </c>
      <c r="CU292" s="1678">
        <v>0</v>
      </c>
      <c r="CV292" s="1678">
        <v>0</v>
      </c>
      <c r="CW292" s="1678">
        <v>1</v>
      </c>
      <c r="CX292" s="1678">
        <v>2</v>
      </c>
      <c r="CY292" s="1678">
        <v>17</v>
      </c>
      <c r="CZ292" s="1678">
        <v>1</v>
      </c>
      <c r="DA292" s="1678">
        <v>0</v>
      </c>
      <c r="DB292" s="63"/>
      <c r="DC292" s="63"/>
      <c r="DD292" s="63">
        <v>21</v>
      </c>
      <c r="DG292" s="95"/>
      <c r="DH292" s="95"/>
      <c r="DI292" s="36"/>
      <c r="DJ292" s="36" t="s">
        <v>1163</v>
      </c>
      <c r="DK292" s="1484"/>
      <c r="DL292" s="1484">
        <v>0</v>
      </c>
      <c r="DM292" s="1484">
        <v>0</v>
      </c>
      <c r="DN292" s="1484">
        <v>11</v>
      </c>
      <c r="DO292" s="1484">
        <v>2</v>
      </c>
      <c r="DP292" s="1484">
        <v>0</v>
      </c>
      <c r="DQ292" s="1484">
        <v>18</v>
      </c>
      <c r="DR292" s="1484">
        <v>7</v>
      </c>
      <c r="DS292" s="1484">
        <v>0</v>
      </c>
      <c r="DT292" s="95">
        <v>0</v>
      </c>
      <c r="DU292" s="95"/>
      <c r="DV292" s="95">
        <v>38</v>
      </c>
      <c r="DW292" s="95"/>
      <c r="DY292" s="1209"/>
      <c r="DZ292" s="1209"/>
      <c r="EA292" s="1210"/>
      <c r="EB292" s="1211" t="s">
        <v>1076</v>
      </c>
      <c r="EC292" s="1213">
        <v>0</v>
      </c>
      <c r="ED292" s="1213">
        <v>0</v>
      </c>
      <c r="EE292" s="1213">
        <v>0</v>
      </c>
      <c r="EF292" s="1212"/>
      <c r="EG292" s="1212"/>
      <c r="EH292" s="1213">
        <v>3</v>
      </c>
      <c r="EI292" s="1213">
        <v>0</v>
      </c>
      <c r="EJ292" s="1213">
        <v>0</v>
      </c>
      <c r="EK292" s="611"/>
      <c r="EL292" s="611"/>
      <c r="EM292" s="612">
        <v>3</v>
      </c>
      <c r="EN292" s="36"/>
      <c r="EP292" s="527"/>
      <c r="EQ292" s="527"/>
      <c r="ER292" s="528"/>
      <c r="ES292" s="529" t="s">
        <v>1074</v>
      </c>
      <c r="ET292" s="531">
        <v>1</v>
      </c>
      <c r="EU292" s="531">
        <v>1</v>
      </c>
      <c r="EV292" s="530"/>
      <c r="EW292" s="530"/>
      <c r="EX292" s="530"/>
      <c r="EY292" s="531">
        <v>0</v>
      </c>
      <c r="EZ292" s="531">
        <v>0</v>
      </c>
      <c r="FA292" s="530"/>
      <c r="FB292" s="527"/>
      <c r="FC292" s="527"/>
      <c r="FD292" s="532">
        <v>2</v>
      </c>
      <c r="FE292" s="95"/>
      <c r="FY292" s="540"/>
      <c r="FZ292" s="540"/>
      <c r="GA292" s="540"/>
      <c r="GB292" s="550"/>
      <c r="GC292" s="551"/>
      <c r="GD292" s="552"/>
      <c r="GE292" s="552"/>
      <c r="GF292" s="552"/>
      <c r="GG292" s="552"/>
      <c r="GH292" s="552"/>
      <c r="GI292" s="552"/>
      <c r="GJ292" s="552"/>
      <c r="GK292" s="551"/>
      <c r="GL292" s="551"/>
      <c r="GM292" s="552"/>
      <c r="GP292" s="579" t="s">
        <v>1154</v>
      </c>
      <c r="GQ292" s="63"/>
      <c r="GR292" s="37"/>
      <c r="GS292" s="37"/>
      <c r="GT292" s="37"/>
      <c r="GU292" s="37"/>
      <c r="GV292" s="37"/>
      <c r="GW292" s="37"/>
      <c r="GX292" s="37"/>
      <c r="GY292" s="37"/>
      <c r="GZ292" s="37"/>
      <c r="HA292" s="37"/>
      <c r="HB292" s="37"/>
      <c r="HC292" s="37"/>
      <c r="HD292" s="37"/>
      <c r="HE292" s="37"/>
      <c r="HF292" s="37"/>
      <c r="HG292" s="446"/>
      <c r="HH292" s="446"/>
      <c r="HI292" s="512" t="s">
        <v>1126</v>
      </c>
      <c r="HJ292" s="446"/>
      <c r="HK292" s="446"/>
      <c r="HL292" s="446"/>
      <c r="HM292" s="446"/>
      <c r="HN292" s="446"/>
      <c r="HO292" s="446"/>
      <c r="HP292" s="446"/>
      <c r="HQ292" s="446"/>
      <c r="HR292" s="446"/>
      <c r="HS292" s="446"/>
      <c r="HT292" s="446"/>
      <c r="HU292" s="446"/>
      <c r="HV292" s="447"/>
      <c r="HW292" s="446"/>
      <c r="HX292" s="446"/>
    </row>
    <row r="293" spans="1:232">
      <c r="A293" s="5682">
        <v>3</v>
      </c>
      <c r="B293" s="5682">
        <v>4</v>
      </c>
      <c r="C293" s="5683" t="s">
        <v>2087</v>
      </c>
      <c r="D293" s="5683" t="s">
        <v>2709</v>
      </c>
      <c r="E293" s="5682">
        <v>6</v>
      </c>
      <c r="F293" s="5682">
        <v>6</v>
      </c>
      <c r="I293" s="36"/>
      <c r="J293" s="36"/>
      <c r="K293" s="36"/>
      <c r="L293" s="36"/>
      <c r="M293" s="36"/>
      <c r="N293" s="36"/>
      <c r="Q293" s="4705">
        <v>4</v>
      </c>
      <c r="R293" s="4705">
        <v>6</v>
      </c>
      <c r="S293" s="4706" t="s">
        <v>609</v>
      </c>
      <c r="T293" s="4708" t="s">
        <v>2707</v>
      </c>
      <c r="U293" s="4709">
        <v>1</v>
      </c>
      <c r="V293" s="4709">
        <v>7</v>
      </c>
      <c r="W293" s="4722"/>
      <c r="Y293" s="36"/>
      <c r="Z293" s="36"/>
      <c r="AA293" s="36"/>
      <c r="AB293" s="36" t="s">
        <v>1080</v>
      </c>
      <c r="AC293" s="1681">
        <v>0</v>
      </c>
      <c r="AD293" s="1681">
        <v>0</v>
      </c>
      <c r="AE293" s="1681"/>
      <c r="AF293" s="1681"/>
      <c r="AG293" s="1681">
        <v>0</v>
      </c>
      <c r="AH293" s="1681"/>
      <c r="AI293" s="1681">
        <v>0</v>
      </c>
      <c r="AJ293" s="1681">
        <v>25</v>
      </c>
      <c r="AK293" s="1681"/>
      <c r="AL293" s="95"/>
      <c r="AM293" s="95">
        <v>25</v>
      </c>
      <c r="AN293" s="4545"/>
      <c r="AS293" s="3868" t="s">
        <v>1163</v>
      </c>
      <c r="AT293" s="3721">
        <v>0</v>
      </c>
      <c r="AU293" s="3721"/>
      <c r="AV293" s="3721"/>
      <c r="AW293" s="3721"/>
      <c r="AX293" s="3721"/>
      <c r="AY293" s="3721">
        <v>0</v>
      </c>
      <c r="AZ293" s="3721">
        <v>1</v>
      </c>
      <c r="BA293" s="3721"/>
      <c r="BB293" s="3721"/>
      <c r="BC293" s="2110"/>
      <c r="BD293" s="2110"/>
      <c r="BE293" s="2110">
        <v>1</v>
      </c>
      <c r="BF293" s="2110"/>
      <c r="BG293" s="2110"/>
      <c r="BJ293" s="1520"/>
      <c r="BK293" s="1520" t="s">
        <v>1076</v>
      </c>
      <c r="BL293" s="3872"/>
      <c r="BM293" s="3872"/>
      <c r="BN293" s="3872">
        <v>0</v>
      </c>
      <c r="BO293" s="3872">
        <v>0</v>
      </c>
      <c r="BP293" s="3872"/>
      <c r="BQ293" s="3872">
        <v>1</v>
      </c>
      <c r="BR293" s="3872">
        <v>0</v>
      </c>
      <c r="BS293" s="3872"/>
      <c r="BT293" s="3806"/>
      <c r="BU293" s="3806">
        <v>1</v>
      </c>
      <c r="BV293" s="1520"/>
      <c r="BX293" s="36"/>
      <c r="BY293" s="36"/>
      <c r="BZ293" s="36"/>
      <c r="CA293" s="393" t="s">
        <v>15</v>
      </c>
      <c r="CB293" s="1682"/>
      <c r="CC293" s="1682">
        <v>1</v>
      </c>
      <c r="CD293" s="1682"/>
      <c r="CE293" s="1682"/>
      <c r="CF293" s="1682"/>
      <c r="CG293" s="1682">
        <v>24</v>
      </c>
      <c r="CH293" s="1682">
        <v>1</v>
      </c>
      <c r="CI293" s="1682"/>
      <c r="CJ293" s="2041"/>
      <c r="CK293" s="2041"/>
      <c r="CL293" s="2041">
        <v>26</v>
      </c>
      <c r="CM293" s="560">
        <f>+(CL292+CL291+CL290)/CL293</f>
        <v>0.76923076923076927</v>
      </c>
      <c r="CN293" s="1665"/>
      <c r="CO293" s="37"/>
      <c r="CP293" s="37"/>
      <c r="CQ293" s="37"/>
      <c r="CR293" s="416" t="s">
        <v>412</v>
      </c>
      <c r="CS293" s="1679"/>
      <c r="CT293" s="1679">
        <v>4</v>
      </c>
      <c r="CU293" s="1679">
        <v>5</v>
      </c>
      <c r="CV293" s="1679">
        <v>2</v>
      </c>
      <c r="CW293" s="1679">
        <v>4</v>
      </c>
      <c r="CX293" s="1679">
        <v>8</v>
      </c>
      <c r="CY293" s="1679">
        <v>161</v>
      </c>
      <c r="CZ293" s="1679">
        <v>19</v>
      </c>
      <c r="DA293" s="1679">
        <v>12</v>
      </c>
      <c r="DB293" s="386"/>
      <c r="DC293" s="386"/>
      <c r="DD293" s="386">
        <v>215</v>
      </c>
      <c r="DE293" s="2045">
        <f>+(DD288+DD291+DD292)/DD293</f>
        <v>0.4</v>
      </c>
      <c r="DG293" s="95"/>
      <c r="DH293" s="95"/>
      <c r="DI293" s="36"/>
      <c r="DJ293" s="393" t="s">
        <v>412</v>
      </c>
      <c r="DK293" s="1485"/>
      <c r="DL293" s="1485">
        <v>5</v>
      </c>
      <c r="DM293" s="1485">
        <v>4</v>
      </c>
      <c r="DN293" s="1485">
        <v>29</v>
      </c>
      <c r="DO293" s="1485">
        <v>8</v>
      </c>
      <c r="DP293" s="1485">
        <v>1</v>
      </c>
      <c r="DQ293" s="1485">
        <v>180</v>
      </c>
      <c r="DR293" s="1485">
        <v>30</v>
      </c>
      <c r="DS293" s="1485">
        <v>8</v>
      </c>
      <c r="DT293" s="86">
        <v>2</v>
      </c>
      <c r="DU293" s="86"/>
      <c r="DV293" s="86">
        <v>267</v>
      </c>
      <c r="DW293" s="560">
        <f>+(DV289+DV291+DV292)/DV293</f>
        <v>0.4157303370786517</v>
      </c>
      <c r="DY293" s="1209"/>
      <c r="DZ293" s="1209"/>
      <c r="EA293" s="1210"/>
      <c r="EB293" s="1211" t="s">
        <v>1077</v>
      </c>
      <c r="EC293" s="1213">
        <v>0</v>
      </c>
      <c r="ED293" s="1213">
        <v>1</v>
      </c>
      <c r="EE293" s="1213">
        <v>1</v>
      </c>
      <c r="EF293" s="1212"/>
      <c r="EG293" s="1212"/>
      <c r="EH293" s="1213">
        <v>0</v>
      </c>
      <c r="EI293" s="1213">
        <v>0</v>
      </c>
      <c r="EJ293" s="1213">
        <v>0</v>
      </c>
      <c r="EK293" s="611"/>
      <c r="EL293" s="611"/>
      <c r="EM293" s="612">
        <v>2</v>
      </c>
      <c r="EN293" s="36"/>
      <c r="EP293" s="527"/>
      <c r="EQ293" s="527"/>
      <c r="ER293" s="528"/>
      <c r="ES293" s="529" t="s">
        <v>1077</v>
      </c>
      <c r="ET293" s="531">
        <v>0</v>
      </c>
      <c r="EU293" s="531">
        <v>0</v>
      </c>
      <c r="EV293" s="530"/>
      <c r="EW293" s="530"/>
      <c r="EX293" s="530"/>
      <c r="EY293" s="531">
        <v>0</v>
      </c>
      <c r="EZ293" s="531">
        <v>1</v>
      </c>
      <c r="FA293" s="530"/>
      <c r="FB293" s="527"/>
      <c r="FC293" s="527"/>
      <c r="FD293" s="532">
        <v>1</v>
      </c>
      <c r="FE293" s="95"/>
      <c r="GP293" s="63"/>
      <c r="GQ293" s="63"/>
      <c r="GR293" s="37"/>
      <c r="GS293" s="37"/>
      <c r="GT293" s="37"/>
      <c r="GU293" s="37"/>
      <c r="GV293" s="37"/>
      <c r="GW293" s="37"/>
      <c r="GX293" s="37"/>
      <c r="GY293" s="37"/>
      <c r="GZ293" s="37"/>
      <c r="HA293" s="37"/>
      <c r="HB293" s="37"/>
      <c r="HC293" s="37"/>
      <c r="HD293" s="37"/>
      <c r="HE293" s="37"/>
      <c r="HF293" s="37"/>
      <c r="HG293" s="580"/>
      <c r="HH293" s="580"/>
      <c r="HI293" s="580"/>
      <c r="HJ293" s="580"/>
      <c r="HK293" s="580"/>
      <c r="HL293" s="580"/>
      <c r="HM293" s="580"/>
      <c r="HN293" s="580"/>
      <c r="HO293" s="580"/>
      <c r="HP293" s="580"/>
      <c r="HQ293" s="580"/>
      <c r="HR293" s="580"/>
      <c r="HS293" s="580"/>
      <c r="HT293" s="580"/>
      <c r="HU293" s="580"/>
      <c r="HV293" s="581"/>
      <c r="HW293" s="580"/>
      <c r="HX293" s="580"/>
    </row>
    <row r="294" spans="1:232">
      <c r="A294" s="5682"/>
      <c r="B294" s="5682"/>
      <c r="C294" s="5683"/>
      <c r="D294" s="5683"/>
      <c r="E294" s="5686">
        <f>SUM(E290:E293)</f>
        <v>12</v>
      </c>
      <c r="F294" s="5682"/>
      <c r="G294" s="4921">
        <f>(E290+E291)/(E294)</f>
        <v>0.41666666666666669</v>
      </c>
      <c r="I294" s="36"/>
      <c r="J294" s="36"/>
      <c r="K294" s="36"/>
      <c r="L294" s="36"/>
      <c r="M294" s="36"/>
      <c r="N294" s="36"/>
      <c r="Q294" s="4705">
        <v>4</v>
      </c>
      <c r="R294" s="4705">
        <v>6</v>
      </c>
      <c r="S294" s="4706" t="s">
        <v>609</v>
      </c>
      <c r="T294" s="4708" t="s">
        <v>1076</v>
      </c>
      <c r="U294" s="4709">
        <v>1</v>
      </c>
      <c r="V294" s="4709">
        <v>6</v>
      </c>
      <c r="W294" s="4722"/>
      <c r="Y294" s="36"/>
      <c r="Z294" s="36"/>
      <c r="AA294" s="36"/>
      <c r="AB294" s="36" t="s">
        <v>1081</v>
      </c>
      <c r="AC294" s="1681">
        <v>0</v>
      </c>
      <c r="AD294" s="1681">
        <v>0</v>
      </c>
      <c r="AE294" s="1681"/>
      <c r="AF294" s="1681"/>
      <c r="AG294" s="1681">
        <v>0</v>
      </c>
      <c r="AH294" s="1681"/>
      <c r="AI294" s="1681">
        <v>4</v>
      </c>
      <c r="AJ294" s="1681">
        <v>0</v>
      </c>
      <c r="AK294" s="1681"/>
      <c r="AL294" s="95"/>
      <c r="AM294" s="95">
        <v>4</v>
      </c>
      <c r="AN294" s="4545"/>
      <c r="AS294" s="3868" t="s">
        <v>15</v>
      </c>
      <c r="AT294" s="3721">
        <v>2</v>
      </c>
      <c r="AU294" s="3721"/>
      <c r="AV294" s="3721"/>
      <c r="AW294" s="3721"/>
      <c r="AX294" s="3721"/>
      <c r="AY294" s="3721">
        <v>1</v>
      </c>
      <c r="AZ294" s="3721">
        <v>22</v>
      </c>
      <c r="BA294" s="3721"/>
      <c r="BB294" s="3721"/>
      <c r="BC294" s="2110"/>
      <c r="BD294" s="2110"/>
      <c r="BE294" s="2110">
        <v>25</v>
      </c>
      <c r="BF294" s="1665">
        <f>+(BE290+BE291+BE293)/(BE294-BE292)</f>
        <v>0.69565217391304346</v>
      </c>
      <c r="BG294" s="1665"/>
      <c r="BJ294" s="1520"/>
      <c r="BK294" s="1520" t="s">
        <v>1077</v>
      </c>
      <c r="BL294" s="3872"/>
      <c r="BM294" s="3872"/>
      <c r="BN294" s="3872">
        <v>1</v>
      </c>
      <c r="BO294" s="3872">
        <v>0</v>
      </c>
      <c r="BP294" s="3872"/>
      <c r="BQ294" s="3872">
        <v>0</v>
      </c>
      <c r="BR294" s="3872">
        <v>0</v>
      </c>
      <c r="BS294" s="3872"/>
      <c r="BT294" s="3806"/>
      <c r="BU294" s="3806">
        <v>1</v>
      </c>
      <c r="BV294" s="1520"/>
      <c r="BX294" s="36"/>
      <c r="BY294" s="36"/>
      <c r="BZ294" s="393" t="s">
        <v>484</v>
      </c>
      <c r="CA294" s="393" t="s">
        <v>1071</v>
      </c>
      <c r="CB294" s="1682"/>
      <c r="CC294" s="1682">
        <v>0</v>
      </c>
      <c r="CD294" s="1682"/>
      <c r="CE294" s="1682"/>
      <c r="CF294" s="1682"/>
      <c r="CG294" s="1682">
        <v>1</v>
      </c>
      <c r="CH294" s="1682">
        <v>1</v>
      </c>
      <c r="CI294" s="1682"/>
      <c r="CJ294" s="2041"/>
      <c r="CK294" s="2041"/>
      <c r="CL294" s="2041">
        <v>2</v>
      </c>
      <c r="CM294" s="36"/>
      <c r="CO294" s="37" t="s">
        <v>59</v>
      </c>
      <c r="CP294" s="37" t="s">
        <v>16</v>
      </c>
      <c r="CQ294" s="37" t="s">
        <v>608</v>
      </c>
      <c r="CR294" s="37" t="s">
        <v>1072</v>
      </c>
      <c r="CS294" s="1678"/>
      <c r="CT294" s="1678"/>
      <c r="CU294" s="1678">
        <v>0</v>
      </c>
      <c r="CV294" s="1678"/>
      <c r="CW294" s="1678"/>
      <c r="CX294" s="1678">
        <v>0</v>
      </c>
      <c r="CY294" s="1678">
        <v>10</v>
      </c>
      <c r="CZ294" s="1678">
        <v>5</v>
      </c>
      <c r="DA294" s="1678"/>
      <c r="DB294" s="63"/>
      <c r="DC294" s="63"/>
      <c r="DD294" s="63">
        <v>15</v>
      </c>
      <c r="DG294" s="95" t="s">
        <v>59</v>
      </c>
      <c r="DH294" s="95" t="s">
        <v>16</v>
      </c>
      <c r="DI294" s="36" t="s">
        <v>608</v>
      </c>
      <c r="DJ294" s="36" t="s">
        <v>1072</v>
      </c>
      <c r="DK294" s="1484"/>
      <c r="DL294" s="1484"/>
      <c r="DM294" s="1484"/>
      <c r="DN294" s="1484"/>
      <c r="DO294" s="1484"/>
      <c r="DP294" s="1484"/>
      <c r="DQ294" s="1484">
        <v>6</v>
      </c>
      <c r="DR294" s="1484"/>
      <c r="DS294" s="1484"/>
      <c r="DT294" s="95"/>
      <c r="DU294" s="95"/>
      <c r="DV294" s="95">
        <v>6</v>
      </c>
      <c r="DW294" s="95"/>
      <c r="DY294" s="1209"/>
      <c r="DZ294" s="1209"/>
      <c r="EA294" s="1210"/>
      <c r="EB294" s="1211" t="s">
        <v>1081</v>
      </c>
      <c r="EC294" s="1213">
        <v>0</v>
      </c>
      <c r="ED294" s="1213">
        <v>0</v>
      </c>
      <c r="EE294" s="1213">
        <v>0</v>
      </c>
      <c r="EF294" s="1212"/>
      <c r="EG294" s="1212"/>
      <c r="EH294" s="1213">
        <v>3</v>
      </c>
      <c r="EI294" s="1213">
        <v>0</v>
      </c>
      <c r="EJ294" s="1213">
        <v>0</v>
      </c>
      <c r="EK294" s="611"/>
      <c r="EL294" s="611"/>
      <c r="EM294" s="612">
        <v>3</v>
      </c>
      <c r="EN294" s="36"/>
      <c r="EP294" s="527"/>
      <c r="EQ294" s="527"/>
      <c r="ER294" s="528"/>
      <c r="ES294" s="529" t="s">
        <v>1080</v>
      </c>
      <c r="ET294" s="531">
        <v>0</v>
      </c>
      <c r="EU294" s="531">
        <v>0</v>
      </c>
      <c r="EV294" s="530"/>
      <c r="EW294" s="530"/>
      <c r="EX294" s="530"/>
      <c r="EY294" s="531">
        <v>0</v>
      </c>
      <c r="EZ294" s="531">
        <v>1</v>
      </c>
      <c r="FA294" s="530"/>
      <c r="FB294" s="527"/>
      <c r="FC294" s="527"/>
      <c r="FD294" s="532">
        <v>1</v>
      </c>
      <c r="FE294" s="95"/>
      <c r="GP294" s="63"/>
      <c r="GQ294" s="63"/>
      <c r="GR294" s="37"/>
      <c r="GS294" s="37"/>
      <c r="GT294" s="37"/>
      <c r="GU294" s="37"/>
      <c r="GV294" s="37"/>
      <c r="GW294" s="37"/>
      <c r="GX294" s="37"/>
      <c r="GY294" s="37"/>
      <c r="GZ294" s="37"/>
      <c r="HA294" s="37"/>
      <c r="HB294" s="37"/>
      <c r="HC294" s="37"/>
      <c r="HD294" s="37"/>
      <c r="HE294" s="37"/>
      <c r="HF294" s="37"/>
      <c r="HG294" s="580"/>
      <c r="HH294" s="580"/>
      <c r="HI294" s="580"/>
      <c r="HJ294" s="580"/>
      <c r="HK294" s="580"/>
      <c r="HL294" s="580"/>
      <c r="HM294" s="580"/>
      <c r="HN294" s="580"/>
      <c r="HO294" s="580"/>
      <c r="HP294" s="580"/>
      <c r="HQ294" s="580"/>
      <c r="HR294" s="580"/>
      <c r="HS294" s="580"/>
      <c r="HT294" s="580"/>
      <c r="HU294" s="580"/>
      <c r="HV294" s="581"/>
      <c r="HW294" s="580"/>
      <c r="HX294" s="580"/>
    </row>
    <row r="295" spans="1:232" ht="14.4" customHeight="1">
      <c r="A295" s="5682">
        <v>3</v>
      </c>
      <c r="B295" s="5682">
        <v>4</v>
      </c>
      <c r="C295" s="5683" t="s">
        <v>2088</v>
      </c>
      <c r="D295" s="5683" t="s">
        <v>3027</v>
      </c>
      <c r="E295" s="5682">
        <v>1</v>
      </c>
      <c r="F295" s="5682">
        <v>4</v>
      </c>
      <c r="I295" s="36"/>
      <c r="J295" s="36"/>
      <c r="K295" s="36"/>
      <c r="L295" s="36"/>
      <c r="M295" s="36"/>
      <c r="N295" s="36"/>
      <c r="Q295" s="4705">
        <v>4</v>
      </c>
      <c r="R295" s="4705">
        <v>6</v>
      </c>
      <c r="S295" s="4706" t="s">
        <v>609</v>
      </c>
      <c r="T295" s="4708" t="s">
        <v>1076</v>
      </c>
      <c r="U295" s="4709">
        <v>1</v>
      </c>
      <c r="V295" s="4709">
        <v>7</v>
      </c>
      <c r="W295" s="4722"/>
      <c r="Y295" s="36"/>
      <c r="Z295" s="36"/>
      <c r="AA295" s="36"/>
      <c r="AB295" s="36" t="s">
        <v>2571</v>
      </c>
      <c r="AC295" s="1681">
        <v>4</v>
      </c>
      <c r="AD295" s="1681">
        <v>0</v>
      </c>
      <c r="AE295" s="1681"/>
      <c r="AF295" s="1681"/>
      <c r="AG295" s="1681">
        <v>0</v>
      </c>
      <c r="AH295" s="1681"/>
      <c r="AI295" s="1681">
        <v>0</v>
      </c>
      <c r="AJ295" s="1681">
        <v>0</v>
      </c>
      <c r="AK295" s="1681"/>
      <c r="AL295" s="95"/>
      <c r="AM295" s="95">
        <v>4</v>
      </c>
      <c r="AN295" s="4545"/>
      <c r="AR295" s="3868" t="s">
        <v>389</v>
      </c>
      <c r="AS295" s="3868" t="s">
        <v>1072</v>
      </c>
      <c r="AT295" s="3721">
        <v>0</v>
      </c>
      <c r="AU295" s="3721">
        <v>0</v>
      </c>
      <c r="AV295" s="3721"/>
      <c r="AW295" s="3721"/>
      <c r="AX295" s="3721"/>
      <c r="AY295" s="3721"/>
      <c r="AZ295" s="3721">
        <v>7</v>
      </c>
      <c r="BA295" s="3721"/>
      <c r="BB295" s="3721">
        <v>2</v>
      </c>
      <c r="BC295" s="2110"/>
      <c r="BD295" s="2110"/>
      <c r="BE295" s="2110">
        <v>9</v>
      </c>
      <c r="BF295" s="2110"/>
      <c r="BG295" s="2110"/>
      <c r="BJ295" s="1520"/>
      <c r="BK295" s="1520" t="s">
        <v>1080</v>
      </c>
      <c r="BL295" s="3872"/>
      <c r="BM295" s="3872"/>
      <c r="BN295" s="3872">
        <v>0</v>
      </c>
      <c r="BO295" s="3872">
        <v>0</v>
      </c>
      <c r="BP295" s="3872"/>
      <c r="BQ295" s="3872">
        <v>0</v>
      </c>
      <c r="BR295" s="3872">
        <v>3</v>
      </c>
      <c r="BS295" s="3872"/>
      <c r="BT295" s="3806"/>
      <c r="BU295" s="3806">
        <v>3</v>
      </c>
      <c r="BV295" s="1520"/>
      <c r="BX295" s="36"/>
      <c r="BY295" s="36"/>
      <c r="BZ295" s="393"/>
      <c r="CA295" s="393" t="s">
        <v>1072</v>
      </c>
      <c r="CB295" s="1682"/>
      <c r="CC295" s="1682">
        <v>1</v>
      </c>
      <c r="CD295" s="1682"/>
      <c r="CE295" s="1682"/>
      <c r="CF295" s="1682"/>
      <c r="CG295" s="1682">
        <v>3</v>
      </c>
      <c r="CH295" s="1682">
        <v>0</v>
      </c>
      <c r="CI295" s="1682"/>
      <c r="CJ295" s="2041"/>
      <c r="CK295" s="2041"/>
      <c r="CL295" s="2041">
        <v>4</v>
      </c>
      <c r="CM295" s="36"/>
      <c r="CO295" s="37"/>
      <c r="CP295" s="37"/>
      <c r="CQ295" s="37"/>
      <c r="CR295" s="37" t="s">
        <v>1076</v>
      </c>
      <c r="CS295" s="1678"/>
      <c r="CT295" s="1678"/>
      <c r="CU295" s="1678">
        <v>0</v>
      </c>
      <c r="CV295" s="1678"/>
      <c r="CW295" s="1678"/>
      <c r="CX295" s="1678">
        <v>0</v>
      </c>
      <c r="CY295" s="1678">
        <v>2</v>
      </c>
      <c r="CZ295" s="1678">
        <v>0</v>
      </c>
      <c r="DA295" s="1678"/>
      <c r="DB295" s="63"/>
      <c r="DC295" s="63"/>
      <c r="DD295" s="63">
        <v>2</v>
      </c>
      <c r="DG295" s="95"/>
      <c r="DH295" s="95"/>
      <c r="DI295" s="36"/>
      <c r="DJ295" s="36" t="s">
        <v>1076</v>
      </c>
      <c r="DK295" s="1484"/>
      <c r="DL295" s="1484"/>
      <c r="DM295" s="1484"/>
      <c r="DN295" s="1484"/>
      <c r="DO295" s="1484"/>
      <c r="DP295" s="1484"/>
      <c r="DQ295" s="1484">
        <v>2</v>
      </c>
      <c r="DR295" s="1484"/>
      <c r="DS295" s="1484"/>
      <c r="DT295" s="95"/>
      <c r="DU295" s="95"/>
      <c r="DV295" s="95">
        <v>2</v>
      </c>
      <c r="DW295" s="95"/>
      <c r="DY295" s="1209"/>
      <c r="DZ295" s="1209"/>
      <c r="EA295" s="1210"/>
      <c r="EB295" s="1211" t="s">
        <v>1163</v>
      </c>
      <c r="EC295" s="1213">
        <v>0</v>
      </c>
      <c r="ED295" s="1213">
        <v>0</v>
      </c>
      <c r="EE295" s="1213">
        <v>0</v>
      </c>
      <c r="EF295" s="1212"/>
      <c r="EG295" s="1212"/>
      <c r="EH295" s="1213">
        <v>2</v>
      </c>
      <c r="EI295" s="1213">
        <v>0</v>
      </c>
      <c r="EJ295" s="1213">
        <v>0</v>
      </c>
      <c r="EK295" s="611"/>
      <c r="EL295" s="611"/>
      <c r="EM295" s="612">
        <v>2</v>
      </c>
      <c r="EN295" s="36"/>
      <c r="EP295" s="527"/>
      <c r="EQ295" s="527"/>
      <c r="ER295" s="528"/>
      <c r="ES295" s="529" t="s">
        <v>1163</v>
      </c>
      <c r="ET295" s="531">
        <v>0</v>
      </c>
      <c r="EU295" s="531">
        <v>0</v>
      </c>
      <c r="EV295" s="530"/>
      <c r="EW295" s="530"/>
      <c r="EX295" s="530"/>
      <c r="EY295" s="531">
        <v>3</v>
      </c>
      <c r="EZ295" s="531">
        <v>1</v>
      </c>
      <c r="FA295" s="530"/>
      <c r="FB295" s="527"/>
      <c r="FC295" s="527"/>
      <c r="FD295" s="532">
        <v>4</v>
      </c>
      <c r="FE295" s="95"/>
      <c r="HF295" s="37"/>
      <c r="HG295" s="580"/>
      <c r="HH295" s="580"/>
      <c r="HI295" s="580"/>
      <c r="HJ295" s="580"/>
      <c r="HK295" s="580"/>
      <c r="HL295" s="580"/>
      <c r="HM295" s="580"/>
      <c r="HN295" s="580"/>
      <c r="HO295" s="580"/>
      <c r="HP295" s="580"/>
      <c r="HQ295" s="580"/>
      <c r="HR295" s="580"/>
      <c r="HS295" s="580"/>
      <c r="HT295" s="580"/>
      <c r="HU295" s="580"/>
      <c r="HV295" s="581"/>
      <c r="HW295" s="580"/>
      <c r="HX295" s="580"/>
    </row>
    <row r="296" spans="1:232" ht="14.4" customHeight="1">
      <c r="A296" s="5682">
        <v>3</v>
      </c>
      <c r="B296" s="5682">
        <v>4</v>
      </c>
      <c r="C296" s="5683" t="s">
        <v>2088</v>
      </c>
      <c r="D296" s="5683" t="s">
        <v>3027</v>
      </c>
      <c r="E296" s="5682">
        <v>2</v>
      </c>
      <c r="F296" s="5682">
        <v>7</v>
      </c>
      <c r="J296" s="36"/>
      <c r="K296" s="36"/>
      <c r="L296" s="36"/>
      <c r="M296" s="36"/>
      <c r="N296" s="36"/>
      <c r="O296" s="4722"/>
      <c r="Q296" s="4705">
        <v>4</v>
      </c>
      <c r="R296" s="4705">
        <v>6</v>
      </c>
      <c r="S296" s="4706" t="s">
        <v>609</v>
      </c>
      <c r="T296" s="4706" t="s">
        <v>2709</v>
      </c>
      <c r="U296" s="4707">
        <v>2</v>
      </c>
      <c r="V296" s="4707">
        <v>7</v>
      </c>
      <c r="W296" s="4722"/>
      <c r="Y296" s="36"/>
      <c r="Z296" s="36"/>
      <c r="AA296" s="36"/>
      <c r="AB296" s="36" t="s">
        <v>15</v>
      </c>
      <c r="AC296" s="1681">
        <v>4</v>
      </c>
      <c r="AD296" s="1681">
        <v>1</v>
      </c>
      <c r="AE296" s="1681"/>
      <c r="AF296" s="1681"/>
      <c r="AG296" s="1681">
        <v>1</v>
      </c>
      <c r="AH296" s="1681"/>
      <c r="AI296" s="1681">
        <v>13</v>
      </c>
      <c r="AJ296" s="1681">
        <v>25</v>
      </c>
      <c r="AK296" s="1681"/>
      <c r="AL296" s="95"/>
      <c r="AM296" s="95">
        <v>44</v>
      </c>
      <c r="AN296" s="560">
        <f>+AI294/(AM296-AM295)</f>
        <v>0.1</v>
      </c>
      <c r="AS296" s="3868" t="s">
        <v>1074</v>
      </c>
      <c r="AT296" s="3721">
        <v>0</v>
      </c>
      <c r="AU296" s="3721">
        <v>1</v>
      </c>
      <c r="AV296" s="3721"/>
      <c r="AW296" s="3721"/>
      <c r="AX296" s="3721"/>
      <c r="AY296" s="3721"/>
      <c r="AZ296" s="3721">
        <v>0</v>
      </c>
      <c r="BA296" s="3721"/>
      <c r="BB296" s="3721">
        <v>0</v>
      </c>
      <c r="BC296" s="2110"/>
      <c r="BD296" s="2110"/>
      <c r="BE296" s="2110">
        <v>1</v>
      </c>
      <c r="BF296" s="2110"/>
      <c r="BG296" s="2110"/>
      <c r="BJ296" s="1520"/>
      <c r="BK296" s="1520" t="s">
        <v>483</v>
      </c>
      <c r="BL296" s="3872"/>
      <c r="BM296" s="3872"/>
      <c r="BN296" s="3872">
        <v>1</v>
      </c>
      <c r="BO296" s="3872">
        <v>1</v>
      </c>
      <c r="BP296" s="3872"/>
      <c r="BQ296" s="3872">
        <v>7</v>
      </c>
      <c r="BR296" s="3872">
        <v>3</v>
      </c>
      <c r="BS296" s="3872"/>
      <c r="BT296" s="3806"/>
      <c r="BU296" s="3806">
        <v>12</v>
      </c>
      <c r="BV296" s="3807">
        <f>+BU293/BU296</f>
        <v>8.3333333333333329E-2</v>
      </c>
      <c r="BX296" s="36"/>
      <c r="BY296" s="36"/>
      <c r="BZ296" s="393"/>
      <c r="CA296" s="393" t="s">
        <v>1076</v>
      </c>
      <c r="CB296" s="1682"/>
      <c r="CC296" s="1682">
        <v>0</v>
      </c>
      <c r="CD296" s="1682"/>
      <c r="CE296" s="1682"/>
      <c r="CF296" s="1682"/>
      <c r="CG296" s="1682">
        <v>9</v>
      </c>
      <c r="CH296" s="1682">
        <v>0</v>
      </c>
      <c r="CI296" s="1682"/>
      <c r="CJ296" s="2041"/>
      <c r="CK296" s="2041"/>
      <c r="CL296" s="2041">
        <v>9</v>
      </c>
      <c r="CM296" s="36"/>
      <c r="CO296" s="37"/>
      <c r="CP296" s="37"/>
      <c r="CQ296" s="37"/>
      <c r="CR296" s="37" t="s">
        <v>1077</v>
      </c>
      <c r="CS296" s="1678"/>
      <c r="CT296" s="1678"/>
      <c r="CU296" s="1678">
        <v>1</v>
      </c>
      <c r="CV296" s="1678"/>
      <c r="CW296" s="1678"/>
      <c r="CX296" s="1678">
        <v>1</v>
      </c>
      <c r="CY296" s="1678">
        <v>0</v>
      </c>
      <c r="CZ296" s="1678">
        <v>0</v>
      </c>
      <c r="DA296" s="1678"/>
      <c r="DB296" s="63"/>
      <c r="DC296" s="63"/>
      <c r="DD296" s="63">
        <v>2</v>
      </c>
      <c r="DG296" s="95"/>
      <c r="DH296" s="95"/>
      <c r="DI296" s="36"/>
      <c r="DJ296" s="36" t="s">
        <v>1077</v>
      </c>
      <c r="DK296" s="1484"/>
      <c r="DL296" s="1484"/>
      <c r="DM296" s="1484"/>
      <c r="DN296" s="1484"/>
      <c r="DO296" s="1484"/>
      <c r="DP296" s="1484"/>
      <c r="DQ296" s="1484">
        <v>1</v>
      </c>
      <c r="DR296" s="1484"/>
      <c r="DS296" s="1484"/>
      <c r="DT296" s="95"/>
      <c r="DU296" s="95"/>
      <c r="DV296" s="95">
        <v>1</v>
      </c>
      <c r="DW296" s="95"/>
      <c r="DY296" s="1209"/>
      <c r="DZ296" s="1209"/>
      <c r="EA296" s="1210"/>
      <c r="EB296" s="415" t="s">
        <v>483</v>
      </c>
      <c r="EC296" s="1215">
        <v>1</v>
      </c>
      <c r="ED296" s="1215">
        <v>1</v>
      </c>
      <c r="EE296" s="1215">
        <v>1</v>
      </c>
      <c r="EF296" s="1214"/>
      <c r="EG296" s="1214"/>
      <c r="EH296" s="1215">
        <v>18</v>
      </c>
      <c r="EI296" s="1215">
        <v>1</v>
      </c>
      <c r="EJ296" s="1215">
        <v>1</v>
      </c>
      <c r="EK296" s="620"/>
      <c r="EL296" s="620"/>
      <c r="EM296" s="621">
        <v>23</v>
      </c>
      <c r="EN296" s="1178">
        <f>+(EM292+EM294+EM295)/EM296</f>
        <v>0.34782608695652173</v>
      </c>
      <c r="EP296" s="527"/>
      <c r="EQ296" s="527"/>
      <c r="ER296" s="528"/>
      <c r="ES296" s="555" t="s">
        <v>483</v>
      </c>
      <c r="ET296" s="557">
        <v>1</v>
      </c>
      <c r="EU296" s="557">
        <v>1</v>
      </c>
      <c r="EV296" s="556"/>
      <c r="EW296" s="556"/>
      <c r="EX296" s="556"/>
      <c r="EY296" s="557">
        <v>8</v>
      </c>
      <c r="EZ296" s="557">
        <v>3</v>
      </c>
      <c r="FA296" s="556"/>
      <c r="FB296" s="558"/>
      <c r="FC296" s="558"/>
      <c r="FD296" s="559">
        <v>13</v>
      </c>
      <c r="FE296" s="560">
        <f>+FD295/FD296</f>
        <v>0.30769230769230771</v>
      </c>
      <c r="HF296" s="37"/>
    </row>
    <row r="297" spans="1:232" ht="28.95" customHeight="1">
      <c r="A297" s="5682">
        <v>3</v>
      </c>
      <c r="B297" s="5682">
        <v>4</v>
      </c>
      <c r="C297" s="5683" t="s">
        <v>2088</v>
      </c>
      <c r="D297" s="5683" t="s">
        <v>2709</v>
      </c>
      <c r="E297" s="5682">
        <v>2</v>
      </c>
      <c r="F297" s="5682">
        <v>1</v>
      </c>
      <c r="I297" s="36"/>
      <c r="J297" s="36"/>
      <c r="K297" s="36"/>
      <c r="L297" s="36"/>
      <c r="M297" s="4705"/>
      <c r="N297" s="36"/>
      <c r="Q297" s="4446"/>
      <c r="R297" s="4736"/>
      <c r="S297" s="4749" t="s">
        <v>16</v>
      </c>
      <c r="T297" s="4778"/>
      <c r="U297" s="4740">
        <f>SUM(U291:U296)</f>
        <v>7</v>
      </c>
      <c r="V297" s="4740"/>
      <c r="W297" s="4750">
        <f>(U293+U294+U295)/(U297)</f>
        <v>0.42857142857142855</v>
      </c>
      <c r="Y297" s="36"/>
      <c r="Z297" s="36"/>
      <c r="AA297" s="393" t="s">
        <v>112</v>
      </c>
      <c r="AB297" s="36" t="s">
        <v>1071</v>
      </c>
      <c r="AC297" s="1681">
        <v>0</v>
      </c>
      <c r="AD297" s="1681">
        <v>0</v>
      </c>
      <c r="AE297" s="1681">
        <v>0</v>
      </c>
      <c r="AF297" s="1681">
        <v>0</v>
      </c>
      <c r="AG297" s="1681">
        <v>0</v>
      </c>
      <c r="AH297" s="1681">
        <v>1</v>
      </c>
      <c r="AI297" s="1681">
        <v>0</v>
      </c>
      <c r="AJ297" s="1681">
        <v>9</v>
      </c>
      <c r="AK297" s="1681">
        <v>1</v>
      </c>
      <c r="AL297" s="95">
        <v>8</v>
      </c>
      <c r="AM297" s="95">
        <v>19</v>
      </c>
      <c r="AN297" s="4545"/>
      <c r="AS297" s="3868" t="s">
        <v>1076</v>
      </c>
      <c r="AT297" s="3721">
        <v>0</v>
      </c>
      <c r="AU297" s="3721">
        <v>0</v>
      </c>
      <c r="AV297" s="3721"/>
      <c r="AW297" s="3721"/>
      <c r="AX297" s="3721"/>
      <c r="AY297" s="3721"/>
      <c r="AZ297" s="3721">
        <v>1</v>
      </c>
      <c r="BA297" s="3721"/>
      <c r="BB297" s="3721">
        <v>0</v>
      </c>
      <c r="BC297" s="2110"/>
      <c r="BD297" s="2110"/>
      <c r="BE297" s="2110">
        <v>1</v>
      </c>
      <c r="BF297" s="2110"/>
      <c r="BG297" s="2110"/>
      <c r="BI297" s="32" t="s">
        <v>61</v>
      </c>
      <c r="BJ297" s="32" t="s">
        <v>711</v>
      </c>
      <c r="BK297" s="32" t="s">
        <v>1072</v>
      </c>
      <c r="BL297" s="3871"/>
      <c r="BM297" s="3871"/>
      <c r="BN297" s="3871">
        <v>0</v>
      </c>
      <c r="BO297" s="3871"/>
      <c r="BP297" s="3871"/>
      <c r="BQ297" s="3871">
        <v>19</v>
      </c>
      <c r="BR297" s="3871">
        <v>0</v>
      </c>
      <c r="BS297" s="3871"/>
      <c r="BT297" s="1518"/>
      <c r="BU297" s="1518">
        <v>19</v>
      </c>
      <c r="BX297" s="36"/>
      <c r="BY297" s="36"/>
      <c r="BZ297" s="393"/>
      <c r="CA297" s="393" t="s">
        <v>1081</v>
      </c>
      <c r="CB297" s="1682"/>
      <c r="CC297" s="1682">
        <v>0</v>
      </c>
      <c r="CD297" s="1682"/>
      <c r="CE297" s="1682"/>
      <c r="CF297" s="1682"/>
      <c r="CG297" s="1682">
        <v>10</v>
      </c>
      <c r="CH297" s="1682">
        <v>0</v>
      </c>
      <c r="CI297" s="1682"/>
      <c r="CJ297" s="2041"/>
      <c r="CK297" s="2041"/>
      <c r="CL297" s="2041">
        <v>10</v>
      </c>
      <c r="CM297" s="36"/>
      <c r="CO297" s="37"/>
      <c r="CP297" s="37"/>
      <c r="CQ297" s="37"/>
      <c r="CR297" s="37" t="s">
        <v>1080</v>
      </c>
      <c r="CS297" s="1678"/>
      <c r="CT297" s="1678"/>
      <c r="CU297" s="1678">
        <v>0</v>
      </c>
      <c r="CV297" s="1678"/>
      <c r="CW297" s="1678"/>
      <c r="CX297" s="1678">
        <v>0</v>
      </c>
      <c r="CY297" s="1678">
        <v>0</v>
      </c>
      <c r="CZ297" s="1678">
        <v>1</v>
      </c>
      <c r="DA297" s="1678"/>
      <c r="DB297" s="63"/>
      <c r="DC297" s="63"/>
      <c r="DD297" s="63">
        <v>1</v>
      </c>
      <c r="DG297" s="95"/>
      <c r="DH297" s="95"/>
      <c r="DI297" s="36"/>
      <c r="DJ297" s="36" t="s">
        <v>1081</v>
      </c>
      <c r="DK297" s="1484"/>
      <c r="DL297" s="1484"/>
      <c r="DM297" s="1484"/>
      <c r="DN297" s="1484"/>
      <c r="DO297" s="1484"/>
      <c r="DP297" s="1484"/>
      <c r="DQ297" s="1484">
        <v>2</v>
      </c>
      <c r="DR297" s="1484"/>
      <c r="DS297" s="1484"/>
      <c r="DT297" s="95"/>
      <c r="DU297" s="95"/>
      <c r="DV297" s="95">
        <v>2</v>
      </c>
      <c r="DW297" s="95"/>
      <c r="DY297" s="1209"/>
      <c r="DZ297" s="1209" t="s">
        <v>710</v>
      </c>
      <c r="EA297" s="1210" t="s">
        <v>711</v>
      </c>
      <c r="EB297" s="1211" t="s">
        <v>1071</v>
      </c>
      <c r="EC297" s="1213">
        <v>0</v>
      </c>
      <c r="ED297" s="1212"/>
      <c r="EE297" s="1212"/>
      <c r="EF297" s="1212"/>
      <c r="EG297" s="1212"/>
      <c r="EH297" s="1213">
        <v>1</v>
      </c>
      <c r="EI297" s="1213">
        <v>0</v>
      </c>
      <c r="EJ297" s="1212"/>
      <c r="EK297" s="611"/>
      <c r="EL297" s="611"/>
      <c r="EM297" s="612">
        <v>1</v>
      </c>
      <c r="EN297" s="36"/>
      <c r="EP297" s="527"/>
      <c r="EQ297" s="527" t="s">
        <v>710</v>
      </c>
      <c r="ER297" s="528" t="s">
        <v>711</v>
      </c>
      <c r="ES297" s="529" t="s">
        <v>1071</v>
      </c>
      <c r="ET297" s="530"/>
      <c r="EU297" s="531">
        <v>0</v>
      </c>
      <c r="EV297" s="530"/>
      <c r="EW297" s="530"/>
      <c r="EX297" s="530"/>
      <c r="EY297" s="531">
        <v>1</v>
      </c>
      <c r="EZ297" s="530"/>
      <c r="FA297" s="530"/>
      <c r="FB297" s="527"/>
      <c r="FC297" s="527"/>
      <c r="FD297" s="532">
        <v>1</v>
      </c>
      <c r="FE297" s="95"/>
      <c r="HF297" s="37"/>
    </row>
    <row r="298" spans="1:232" ht="28.95" customHeight="1">
      <c r="A298" s="5682">
        <v>3</v>
      </c>
      <c r="B298" s="5682">
        <v>4</v>
      </c>
      <c r="C298" s="5683" t="s">
        <v>2088</v>
      </c>
      <c r="D298" s="5683" t="s">
        <v>2709</v>
      </c>
      <c r="E298" s="5682">
        <v>1</v>
      </c>
      <c r="F298" s="5682">
        <v>2</v>
      </c>
      <c r="I298" s="36"/>
      <c r="J298" s="36"/>
      <c r="K298" s="36"/>
      <c r="L298" s="36"/>
      <c r="M298" s="36"/>
      <c r="N298" s="36"/>
      <c r="Q298" s="4446"/>
      <c r="R298" s="4447"/>
      <c r="S298" s="4714"/>
      <c r="T298" s="4714"/>
      <c r="U298" s="4748">
        <f>SUM(U278,U283:U285,U293:U295)</f>
        <v>10</v>
      </c>
      <c r="V298" s="4732"/>
      <c r="W298" s="4722"/>
      <c r="Y298" s="36"/>
      <c r="Z298" s="36"/>
      <c r="AA298" s="36"/>
      <c r="AB298" s="36" t="s">
        <v>1072</v>
      </c>
      <c r="AC298" s="1681">
        <v>0</v>
      </c>
      <c r="AD298" s="1681">
        <v>10</v>
      </c>
      <c r="AE298" s="1681">
        <v>3</v>
      </c>
      <c r="AF298" s="1681">
        <v>7</v>
      </c>
      <c r="AG298" s="1681">
        <v>6</v>
      </c>
      <c r="AH298" s="1681">
        <v>16</v>
      </c>
      <c r="AI298" s="1681">
        <v>198</v>
      </c>
      <c r="AJ298" s="1681">
        <v>9</v>
      </c>
      <c r="AK298" s="1681">
        <v>8</v>
      </c>
      <c r="AL298" s="95">
        <v>0</v>
      </c>
      <c r="AM298" s="95">
        <v>257</v>
      </c>
      <c r="AN298" s="4545"/>
      <c r="AS298" s="3868" t="s">
        <v>1081</v>
      </c>
      <c r="AT298" s="3721">
        <v>0</v>
      </c>
      <c r="AU298" s="3721">
        <v>0</v>
      </c>
      <c r="AV298" s="3721"/>
      <c r="AW298" s="3721"/>
      <c r="AX298" s="3721"/>
      <c r="AY298" s="3721"/>
      <c r="AZ298" s="3721">
        <v>3</v>
      </c>
      <c r="BA298" s="3721"/>
      <c r="BB298" s="3721">
        <v>0</v>
      </c>
      <c r="BC298" s="2110"/>
      <c r="BD298" s="2110"/>
      <c r="BE298" s="2110">
        <v>3</v>
      </c>
      <c r="BF298" s="2110"/>
      <c r="BG298" s="2110"/>
      <c r="BK298" s="32" t="s">
        <v>1074</v>
      </c>
      <c r="BL298" s="3871"/>
      <c r="BM298" s="3871"/>
      <c r="BN298" s="3871">
        <v>1</v>
      </c>
      <c r="BO298" s="3871"/>
      <c r="BP298" s="3871"/>
      <c r="BQ298" s="3871">
        <v>0</v>
      </c>
      <c r="BR298" s="3871">
        <v>0</v>
      </c>
      <c r="BS298" s="3871"/>
      <c r="BT298" s="1518"/>
      <c r="BU298" s="1518">
        <v>1</v>
      </c>
      <c r="BX298" s="36"/>
      <c r="BY298" s="36"/>
      <c r="BZ298" s="393"/>
      <c r="CA298" s="393" t="s">
        <v>1163</v>
      </c>
      <c r="CB298" s="1682"/>
      <c r="CC298" s="1682">
        <v>0</v>
      </c>
      <c r="CD298" s="1682"/>
      <c r="CE298" s="1682"/>
      <c r="CF298" s="1682"/>
      <c r="CG298" s="1682">
        <v>1</v>
      </c>
      <c r="CH298" s="1682">
        <v>0</v>
      </c>
      <c r="CI298" s="1682"/>
      <c r="CJ298" s="2041"/>
      <c r="CK298" s="2041"/>
      <c r="CL298" s="2041">
        <v>1</v>
      </c>
      <c r="CM298" s="36"/>
      <c r="CO298" s="37"/>
      <c r="CP298" s="37"/>
      <c r="CQ298" s="37"/>
      <c r="CR298" s="37" t="s">
        <v>1081</v>
      </c>
      <c r="CS298" s="1678"/>
      <c r="CT298" s="1678"/>
      <c r="CU298" s="1678">
        <v>0</v>
      </c>
      <c r="CV298" s="1678"/>
      <c r="CW298" s="1678"/>
      <c r="CX298" s="1678">
        <v>0</v>
      </c>
      <c r="CY298" s="1678">
        <v>1</v>
      </c>
      <c r="CZ298" s="1678">
        <v>0</v>
      </c>
      <c r="DA298" s="1678"/>
      <c r="DB298" s="63"/>
      <c r="DC298" s="63"/>
      <c r="DD298" s="63">
        <v>1</v>
      </c>
      <c r="DG298" s="95"/>
      <c r="DH298" s="95"/>
      <c r="DI298" s="36"/>
      <c r="DJ298" s="36" t="s">
        <v>1163</v>
      </c>
      <c r="DK298" s="1484"/>
      <c r="DL298" s="1484"/>
      <c r="DM298" s="1484"/>
      <c r="DN298" s="1484"/>
      <c r="DO298" s="1484"/>
      <c r="DP298" s="1484"/>
      <c r="DQ298" s="1484">
        <v>1</v>
      </c>
      <c r="DR298" s="1484"/>
      <c r="DS298" s="1484"/>
      <c r="DT298" s="95"/>
      <c r="DU298" s="95"/>
      <c r="DV298" s="95">
        <v>1</v>
      </c>
      <c r="DW298" s="95"/>
      <c r="DY298" s="1209"/>
      <c r="DZ298" s="1209"/>
      <c r="EA298" s="1210"/>
      <c r="EB298" s="1211" t="s">
        <v>1072</v>
      </c>
      <c r="EC298" s="1213">
        <v>1</v>
      </c>
      <c r="ED298" s="1212"/>
      <c r="EE298" s="1212"/>
      <c r="EF298" s="1212"/>
      <c r="EG298" s="1212"/>
      <c r="EH298" s="1213">
        <v>0</v>
      </c>
      <c r="EI298" s="1213">
        <v>0</v>
      </c>
      <c r="EJ298" s="1212"/>
      <c r="EK298" s="611"/>
      <c r="EL298" s="611"/>
      <c r="EM298" s="612">
        <v>1</v>
      </c>
      <c r="EN298" s="36"/>
      <c r="EP298" s="527"/>
      <c r="EQ298" s="527"/>
      <c r="ER298" s="528"/>
      <c r="ES298" s="529" t="s">
        <v>1072</v>
      </c>
      <c r="ET298" s="530"/>
      <c r="EU298" s="531">
        <v>1</v>
      </c>
      <c r="EV298" s="530"/>
      <c r="EW298" s="530"/>
      <c r="EX298" s="530"/>
      <c r="EY298" s="531">
        <v>2</v>
      </c>
      <c r="EZ298" s="530"/>
      <c r="FA298" s="530"/>
      <c r="FB298" s="527"/>
      <c r="FC298" s="527"/>
      <c r="FD298" s="532">
        <v>3</v>
      </c>
      <c r="FE298" s="95"/>
      <c r="HF298" s="37"/>
    </row>
    <row r="299" spans="1:232">
      <c r="A299" s="5682">
        <v>3</v>
      </c>
      <c r="B299" s="5682">
        <v>4</v>
      </c>
      <c r="C299" s="5683" t="s">
        <v>2088</v>
      </c>
      <c r="D299" s="5683" t="s">
        <v>2709</v>
      </c>
      <c r="E299" s="5682">
        <v>1</v>
      </c>
      <c r="F299" s="5682">
        <v>4</v>
      </c>
      <c r="I299" s="36"/>
      <c r="J299" s="36"/>
      <c r="K299" s="36"/>
      <c r="L299" s="36"/>
      <c r="M299" s="36"/>
      <c r="N299" s="36"/>
      <c r="Q299" s="4736"/>
      <c r="R299" s="4736"/>
      <c r="S299" s="4779" t="s">
        <v>59</v>
      </c>
      <c r="T299" s="4738"/>
      <c r="U299" s="4759">
        <f>SUM(U297,U290,U281)</f>
        <v>40</v>
      </c>
      <c r="V299" s="4780"/>
      <c r="W299" s="4781">
        <f>(U298)/(U299)</f>
        <v>0.25</v>
      </c>
      <c r="Y299" s="36"/>
      <c r="Z299" s="36"/>
      <c r="AA299" s="36"/>
      <c r="AB299" s="36" t="s">
        <v>1074</v>
      </c>
      <c r="AC299" s="1681">
        <v>0</v>
      </c>
      <c r="AD299" s="1681">
        <v>4</v>
      </c>
      <c r="AE299" s="1681">
        <v>2</v>
      </c>
      <c r="AF299" s="1681">
        <v>0</v>
      </c>
      <c r="AG299" s="1681">
        <v>0</v>
      </c>
      <c r="AH299" s="1681">
        <v>0</v>
      </c>
      <c r="AI299" s="1681">
        <v>0</v>
      </c>
      <c r="AJ299" s="1681">
        <v>0</v>
      </c>
      <c r="AK299" s="1681">
        <v>0</v>
      </c>
      <c r="AL299" s="95">
        <v>0</v>
      </c>
      <c r="AM299" s="95">
        <v>6</v>
      </c>
      <c r="AN299" s="4545"/>
      <c r="AS299" s="3868" t="s">
        <v>2571</v>
      </c>
      <c r="AT299" s="3721">
        <v>1</v>
      </c>
      <c r="AU299" s="3721">
        <v>0</v>
      </c>
      <c r="AV299" s="3721"/>
      <c r="AW299" s="3721"/>
      <c r="AX299" s="3721"/>
      <c r="AY299" s="3721"/>
      <c r="AZ299" s="3721">
        <v>0</v>
      </c>
      <c r="BA299" s="3721"/>
      <c r="BB299" s="3721">
        <v>0</v>
      </c>
      <c r="BC299" s="2110"/>
      <c r="BD299" s="2110"/>
      <c r="BE299" s="2110">
        <v>1</v>
      </c>
      <c r="BF299" s="2110"/>
      <c r="BG299" s="2110"/>
      <c r="BK299" s="32" t="s">
        <v>1080</v>
      </c>
      <c r="BL299" s="3871"/>
      <c r="BM299" s="3871"/>
      <c r="BN299" s="3871">
        <v>0</v>
      </c>
      <c r="BO299" s="3871"/>
      <c r="BP299" s="3871"/>
      <c r="BQ299" s="3871">
        <v>0</v>
      </c>
      <c r="BR299" s="3871">
        <v>2</v>
      </c>
      <c r="BS299" s="3871"/>
      <c r="BT299" s="1518"/>
      <c r="BU299" s="1518">
        <v>2</v>
      </c>
      <c r="BX299" s="36"/>
      <c r="BY299" s="36"/>
      <c r="BZ299" s="393"/>
      <c r="CA299" s="393" t="s">
        <v>484</v>
      </c>
      <c r="CB299" s="1682"/>
      <c r="CC299" s="1682">
        <v>1</v>
      </c>
      <c r="CD299" s="1682"/>
      <c r="CE299" s="1682"/>
      <c r="CF299" s="1682"/>
      <c r="CG299" s="1682">
        <v>24</v>
      </c>
      <c r="CH299" s="1682">
        <v>1</v>
      </c>
      <c r="CI299" s="1682"/>
      <c r="CJ299" s="2041"/>
      <c r="CK299" s="2041"/>
      <c r="CL299" s="2041">
        <v>26</v>
      </c>
      <c r="CM299" s="560">
        <f>+(CL298+CL297+CL296)/CL299</f>
        <v>0.76923076923076927</v>
      </c>
      <c r="CN299" s="1665"/>
      <c r="CO299" s="37"/>
      <c r="CP299" s="37"/>
      <c r="CQ299" s="37"/>
      <c r="CR299" s="416" t="s">
        <v>15</v>
      </c>
      <c r="CS299" s="1679"/>
      <c r="CT299" s="1679"/>
      <c r="CU299" s="1679">
        <v>1</v>
      </c>
      <c r="CV299" s="1679"/>
      <c r="CW299" s="1679"/>
      <c r="CX299" s="1679">
        <v>1</v>
      </c>
      <c r="CY299" s="1679">
        <v>13</v>
      </c>
      <c r="CZ299" s="1679">
        <v>6</v>
      </c>
      <c r="DA299" s="1679"/>
      <c r="DB299" s="386"/>
      <c r="DC299" s="386"/>
      <c r="DD299" s="386">
        <v>21</v>
      </c>
      <c r="DE299" s="2045">
        <f>+(DD295+DD298)/DD299</f>
        <v>0.14285714285714285</v>
      </c>
      <c r="DG299" s="95"/>
      <c r="DH299" s="95"/>
      <c r="DI299" s="36"/>
      <c r="DJ299" s="393" t="s">
        <v>15</v>
      </c>
      <c r="DK299" s="1485"/>
      <c r="DL299" s="1485"/>
      <c r="DM299" s="1485"/>
      <c r="DN299" s="1485"/>
      <c r="DO299" s="1485"/>
      <c r="DP299" s="1485"/>
      <c r="DQ299" s="1485">
        <v>12</v>
      </c>
      <c r="DR299" s="1485"/>
      <c r="DS299" s="1485"/>
      <c r="DT299" s="86"/>
      <c r="DU299" s="86"/>
      <c r="DV299" s="86">
        <v>12</v>
      </c>
      <c r="DW299" s="560">
        <f>+(DV295+DV297+DV298)/DV299</f>
        <v>0.41666666666666669</v>
      </c>
      <c r="DY299" s="1209"/>
      <c r="DZ299" s="1209"/>
      <c r="EA299" s="1210"/>
      <c r="EB299" s="1211" t="s">
        <v>1076</v>
      </c>
      <c r="EC299" s="1213">
        <v>0</v>
      </c>
      <c r="ED299" s="1212"/>
      <c r="EE299" s="1212"/>
      <c r="EF299" s="1212"/>
      <c r="EG299" s="1212"/>
      <c r="EH299" s="1213">
        <v>7</v>
      </c>
      <c r="EI299" s="1213">
        <v>2</v>
      </c>
      <c r="EJ299" s="1212"/>
      <c r="EK299" s="611"/>
      <c r="EL299" s="611"/>
      <c r="EM299" s="612">
        <v>9</v>
      </c>
      <c r="EN299" s="36"/>
      <c r="EP299" s="527"/>
      <c r="EQ299" s="527"/>
      <c r="ER299" s="528"/>
      <c r="ES299" s="529" t="s">
        <v>1076</v>
      </c>
      <c r="ET299" s="530"/>
      <c r="EU299" s="531">
        <v>0</v>
      </c>
      <c r="EV299" s="530"/>
      <c r="EW299" s="530"/>
      <c r="EX299" s="530"/>
      <c r="EY299" s="531">
        <v>6</v>
      </c>
      <c r="EZ299" s="530"/>
      <c r="FA299" s="530"/>
      <c r="FB299" s="527"/>
      <c r="FC299" s="527"/>
      <c r="FD299" s="532">
        <v>6</v>
      </c>
      <c r="FE299" s="95"/>
    </row>
    <row r="300" spans="1:232" ht="14.4" customHeight="1">
      <c r="A300" s="5682">
        <v>3</v>
      </c>
      <c r="B300" s="5682">
        <v>4</v>
      </c>
      <c r="C300" s="5683" t="s">
        <v>2088</v>
      </c>
      <c r="D300" s="5683" t="s">
        <v>2709</v>
      </c>
      <c r="E300" s="5682">
        <v>1</v>
      </c>
      <c r="F300" s="5682">
        <v>5</v>
      </c>
      <c r="I300" s="36"/>
      <c r="J300" s="36"/>
      <c r="K300" s="36"/>
      <c r="L300" s="36"/>
      <c r="M300" s="36"/>
      <c r="N300" s="36"/>
      <c r="Q300" s="4447"/>
      <c r="R300" s="4447"/>
      <c r="S300" s="4714"/>
      <c r="T300" s="4714"/>
      <c r="U300" s="4748"/>
      <c r="V300" s="4732"/>
      <c r="W300" s="4722"/>
      <c r="Y300" s="36"/>
      <c r="Z300" s="36"/>
      <c r="AA300" s="36"/>
      <c r="AB300" s="36" t="s">
        <v>1076</v>
      </c>
      <c r="AC300" s="1681">
        <v>0</v>
      </c>
      <c r="AD300" s="1681">
        <v>0</v>
      </c>
      <c r="AE300" s="1681">
        <v>0</v>
      </c>
      <c r="AF300" s="1681">
        <v>7</v>
      </c>
      <c r="AG300" s="1681">
        <v>3</v>
      </c>
      <c r="AH300" s="1681">
        <v>0</v>
      </c>
      <c r="AI300" s="1681">
        <v>28</v>
      </c>
      <c r="AJ300" s="1681">
        <v>9</v>
      </c>
      <c r="AK300" s="1681">
        <v>2</v>
      </c>
      <c r="AL300" s="95">
        <v>1</v>
      </c>
      <c r="AM300" s="95">
        <v>50</v>
      </c>
      <c r="AN300" s="4545"/>
      <c r="AO300" s="4387">
        <v>49</v>
      </c>
      <c r="AS300" s="3868" t="s">
        <v>1163</v>
      </c>
      <c r="AT300" s="3721">
        <v>0</v>
      </c>
      <c r="AU300" s="3721">
        <v>0</v>
      </c>
      <c r="AV300" s="3721"/>
      <c r="AW300" s="3721"/>
      <c r="AX300" s="3721"/>
      <c r="AY300" s="3721"/>
      <c r="AZ300" s="3721">
        <v>2</v>
      </c>
      <c r="BA300" s="3721"/>
      <c r="BB300" s="3721">
        <v>0</v>
      </c>
      <c r="BC300" s="2110"/>
      <c r="BD300" s="2110"/>
      <c r="BE300" s="2110">
        <v>2</v>
      </c>
      <c r="BF300" s="2110"/>
      <c r="BG300" s="2110"/>
      <c r="BK300" s="1520" t="s">
        <v>15</v>
      </c>
      <c r="BL300" s="3872"/>
      <c r="BM300" s="3872"/>
      <c r="BN300" s="3872">
        <v>1</v>
      </c>
      <c r="BO300" s="3872"/>
      <c r="BP300" s="3872"/>
      <c r="BQ300" s="3872">
        <v>19</v>
      </c>
      <c r="BR300" s="3872">
        <v>2</v>
      </c>
      <c r="BS300" s="3872"/>
      <c r="BT300" s="3806"/>
      <c r="BU300" s="3806">
        <v>22</v>
      </c>
      <c r="BV300" s="3807">
        <v>0</v>
      </c>
      <c r="BX300" s="36"/>
      <c r="BY300" s="36"/>
      <c r="BZ300" s="393" t="s">
        <v>412</v>
      </c>
      <c r="CA300" s="393" t="s">
        <v>1071</v>
      </c>
      <c r="CB300" s="1682">
        <v>0</v>
      </c>
      <c r="CC300" s="1682">
        <v>0</v>
      </c>
      <c r="CD300" s="1682">
        <v>1</v>
      </c>
      <c r="CE300" s="1682">
        <v>0</v>
      </c>
      <c r="CF300" s="1682">
        <v>1</v>
      </c>
      <c r="CG300" s="1682">
        <v>1</v>
      </c>
      <c r="CH300" s="1682">
        <v>2</v>
      </c>
      <c r="CI300" s="1682">
        <v>0</v>
      </c>
      <c r="CJ300" s="2041">
        <v>0</v>
      </c>
      <c r="CK300" s="2041"/>
      <c r="CL300" s="2041">
        <v>5</v>
      </c>
      <c r="CM300" s="36"/>
      <c r="CO300" s="37"/>
      <c r="CP300" s="37"/>
      <c r="CQ300" s="37" t="s">
        <v>483</v>
      </c>
      <c r="CR300" s="37" t="s">
        <v>1072</v>
      </c>
      <c r="CS300" s="1678"/>
      <c r="CT300" s="1678"/>
      <c r="CU300" s="1678">
        <v>0</v>
      </c>
      <c r="CV300" s="1678"/>
      <c r="CW300" s="1678"/>
      <c r="CX300" s="1678">
        <v>0</v>
      </c>
      <c r="CY300" s="1678">
        <v>10</v>
      </c>
      <c r="CZ300" s="1678">
        <v>5</v>
      </c>
      <c r="DA300" s="1678"/>
      <c r="DB300" s="63"/>
      <c r="DC300" s="63"/>
      <c r="DD300" s="63">
        <v>15</v>
      </c>
      <c r="DG300" s="95"/>
      <c r="DH300" s="95"/>
      <c r="DI300" s="36" t="s">
        <v>15</v>
      </c>
      <c r="DJ300" s="36" t="s">
        <v>1072</v>
      </c>
      <c r="DK300" s="1484"/>
      <c r="DL300" s="1484"/>
      <c r="DM300" s="1484"/>
      <c r="DN300" s="1484"/>
      <c r="DO300" s="1484"/>
      <c r="DP300" s="1484"/>
      <c r="DQ300" s="1484">
        <v>6</v>
      </c>
      <c r="DR300" s="1484"/>
      <c r="DS300" s="1484"/>
      <c r="DT300" s="95"/>
      <c r="DU300" s="95"/>
      <c r="DV300" s="95">
        <v>6</v>
      </c>
      <c r="DW300" s="95"/>
      <c r="DY300" s="1209"/>
      <c r="DZ300" s="1209"/>
      <c r="EA300" s="1210"/>
      <c r="EB300" s="1211" t="s">
        <v>1081</v>
      </c>
      <c r="EC300" s="1213">
        <v>0</v>
      </c>
      <c r="ED300" s="1212"/>
      <c r="EE300" s="1212"/>
      <c r="EF300" s="1212"/>
      <c r="EG300" s="1212"/>
      <c r="EH300" s="1213">
        <v>1</v>
      </c>
      <c r="EI300" s="1213">
        <v>0</v>
      </c>
      <c r="EJ300" s="1212"/>
      <c r="EK300" s="611"/>
      <c r="EL300" s="611"/>
      <c r="EM300" s="612">
        <v>1</v>
      </c>
      <c r="EN300" s="36"/>
      <c r="EP300" s="527"/>
      <c r="EQ300" s="527"/>
      <c r="ER300" s="528"/>
      <c r="ES300" s="529" t="s">
        <v>1081</v>
      </c>
      <c r="ET300" s="530"/>
      <c r="EU300" s="531">
        <v>0</v>
      </c>
      <c r="EV300" s="530"/>
      <c r="EW300" s="530"/>
      <c r="EX300" s="530"/>
      <c r="EY300" s="531">
        <v>1</v>
      </c>
      <c r="EZ300" s="530"/>
      <c r="FA300" s="530"/>
      <c r="FB300" s="527"/>
      <c r="FC300" s="527"/>
      <c r="FD300" s="532">
        <v>1</v>
      </c>
      <c r="FE300" s="95"/>
    </row>
    <row r="301" spans="1:232" ht="14.4" customHeight="1">
      <c r="A301" s="5682">
        <v>3</v>
      </c>
      <c r="B301" s="5682">
        <v>4</v>
      </c>
      <c r="C301" s="5683" t="s">
        <v>2088</v>
      </c>
      <c r="D301" s="5683" t="s">
        <v>2709</v>
      </c>
      <c r="E301" s="5682">
        <v>14</v>
      </c>
      <c r="F301" s="5682">
        <v>6</v>
      </c>
      <c r="I301" s="36"/>
      <c r="J301" s="36"/>
      <c r="K301" s="36"/>
      <c r="L301" s="36"/>
      <c r="M301" s="36"/>
      <c r="N301" s="36"/>
      <c r="Q301" s="4446"/>
      <c r="R301" s="4446"/>
      <c r="S301" s="4706"/>
      <c r="T301" s="4708"/>
      <c r="U301" s="4748">
        <f>SUM(U68,U162,U274,U298)</f>
        <v>224</v>
      </c>
      <c r="V301" s="4709"/>
      <c r="W301" s="4722"/>
      <c r="Y301" s="36"/>
      <c r="Z301" s="36"/>
      <c r="AA301" s="36"/>
      <c r="AB301" s="36" t="s">
        <v>1077</v>
      </c>
      <c r="AC301" s="1681">
        <v>0</v>
      </c>
      <c r="AD301" s="1681">
        <v>2</v>
      </c>
      <c r="AE301" s="1681">
        <v>0</v>
      </c>
      <c r="AF301" s="1681">
        <v>4</v>
      </c>
      <c r="AG301" s="1681">
        <v>2</v>
      </c>
      <c r="AH301" s="1681">
        <v>0</v>
      </c>
      <c r="AI301" s="1681">
        <v>0</v>
      </c>
      <c r="AJ301" s="1681">
        <v>0</v>
      </c>
      <c r="AK301" s="1681">
        <v>0</v>
      </c>
      <c r="AL301" s="95">
        <v>0</v>
      </c>
      <c r="AM301" s="95">
        <v>8</v>
      </c>
      <c r="AN301" s="4545"/>
      <c r="AS301" s="3868" t="s">
        <v>15</v>
      </c>
      <c r="AT301" s="3721">
        <v>1</v>
      </c>
      <c r="AU301" s="3721">
        <v>1</v>
      </c>
      <c r="AV301" s="3721"/>
      <c r="AW301" s="3721"/>
      <c r="AX301" s="3721"/>
      <c r="AY301" s="3721"/>
      <c r="AZ301" s="3721">
        <v>13</v>
      </c>
      <c r="BA301" s="3721"/>
      <c r="BB301" s="3721">
        <v>2</v>
      </c>
      <c r="BC301" s="2110"/>
      <c r="BD301" s="2110"/>
      <c r="BE301" s="2110">
        <v>17</v>
      </c>
      <c r="BF301" s="1665">
        <f>+(BE297+BE298+BE300)/(BE301-BE299)</f>
        <v>0.375</v>
      </c>
      <c r="BG301" s="1665"/>
      <c r="BJ301" s="1520" t="s">
        <v>486</v>
      </c>
      <c r="BK301" s="1520" t="s">
        <v>1072</v>
      </c>
      <c r="BL301" s="3872"/>
      <c r="BM301" s="3872"/>
      <c r="BN301" s="3872">
        <v>0</v>
      </c>
      <c r="BO301" s="3872"/>
      <c r="BP301" s="3872"/>
      <c r="BQ301" s="3872">
        <v>19</v>
      </c>
      <c r="BR301" s="3872">
        <v>0</v>
      </c>
      <c r="BS301" s="3872"/>
      <c r="BT301" s="3806"/>
      <c r="BU301" s="3806">
        <v>19</v>
      </c>
      <c r="BV301" s="1520"/>
      <c r="BX301" s="36"/>
      <c r="BY301" s="36"/>
      <c r="BZ301" s="393"/>
      <c r="CA301" s="393" t="s">
        <v>1072</v>
      </c>
      <c r="CB301" s="1682">
        <v>4</v>
      </c>
      <c r="CC301" s="1682">
        <v>8</v>
      </c>
      <c r="CD301" s="1682">
        <v>3</v>
      </c>
      <c r="CE301" s="1682">
        <v>4</v>
      </c>
      <c r="CF301" s="1682">
        <v>4</v>
      </c>
      <c r="CG301" s="1682">
        <v>79</v>
      </c>
      <c r="CH301" s="1682">
        <v>13</v>
      </c>
      <c r="CI301" s="1682">
        <v>5</v>
      </c>
      <c r="CJ301" s="2041">
        <v>0</v>
      </c>
      <c r="CK301" s="2041"/>
      <c r="CL301" s="2041">
        <v>120</v>
      </c>
      <c r="CM301" s="36"/>
      <c r="CO301" s="37"/>
      <c r="CP301" s="37"/>
      <c r="CQ301" s="37"/>
      <c r="CR301" s="37" t="s">
        <v>1076</v>
      </c>
      <c r="CS301" s="1678"/>
      <c r="CT301" s="1678"/>
      <c r="CU301" s="1678">
        <v>0</v>
      </c>
      <c r="CV301" s="1678"/>
      <c r="CW301" s="1678"/>
      <c r="CX301" s="1678">
        <v>0</v>
      </c>
      <c r="CY301" s="1678">
        <v>2</v>
      </c>
      <c r="CZ301" s="1678">
        <v>0</v>
      </c>
      <c r="DA301" s="1678"/>
      <c r="DB301" s="63"/>
      <c r="DC301" s="63"/>
      <c r="DD301" s="63">
        <v>2</v>
      </c>
      <c r="DG301" s="95"/>
      <c r="DH301" s="95"/>
      <c r="DI301" s="36"/>
      <c r="DJ301" s="36" t="s">
        <v>1076</v>
      </c>
      <c r="DK301" s="1484"/>
      <c r="DL301" s="1484"/>
      <c r="DM301" s="1484"/>
      <c r="DN301" s="1484"/>
      <c r="DO301" s="1484"/>
      <c r="DP301" s="1484"/>
      <c r="DQ301" s="1484">
        <v>2</v>
      </c>
      <c r="DR301" s="1484"/>
      <c r="DS301" s="1484"/>
      <c r="DT301" s="95"/>
      <c r="DU301" s="95"/>
      <c r="DV301" s="95">
        <v>2</v>
      </c>
      <c r="DW301" s="95"/>
      <c r="DY301" s="1209"/>
      <c r="DZ301" s="1209"/>
      <c r="EA301" s="1210"/>
      <c r="EB301" s="415" t="s">
        <v>15</v>
      </c>
      <c r="EC301" s="1215">
        <v>1</v>
      </c>
      <c r="ED301" s="1214"/>
      <c r="EE301" s="1214"/>
      <c r="EF301" s="1214"/>
      <c r="EG301" s="1214"/>
      <c r="EH301" s="1215">
        <v>9</v>
      </c>
      <c r="EI301" s="1215">
        <v>2</v>
      </c>
      <c r="EJ301" s="1214"/>
      <c r="EK301" s="620"/>
      <c r="EL301" s="620"/>
      <c r="EM301" s="621">
        <v>12</v>
      </c>
      <c r="EN301" s="1178">
        <f>+(EM299+EM300)/EM301</f>
        <v>0.83333333333333337</v>
      </c>
      <c r="EP301" s="527"/>
      <c r="EQ301" s="527"/>
      <c r="ER301" s="528"/>
      <c r="ES301" s="529" t="s">
        <v>1163</v>
      </c>
      <c r="ET301" s="530"/>
      <c r="EU301" s="531">
        <v>0</v>
      </c>
      <c r="EV301" s="530"/>
      <c r="EW301" s="530"/>
      <c r="EX301" s="530"/>
      <c r="EY301" s="531">
        <v>1</v>
      </c>
      <c r="EZ301" s="530"/>
      <c r="FA301" s="530"/>
      <c r="FB301" s="527"/>
      <c r="FC301" s="527"/>
      <c r="FD301" s="532">
        <v>1</v>
      </c>
      <c r="FE301" s="95"/>
    </row>
    <row r="302" spans="1:232" ht="14.4" customHeight="1">
      <c r="A302" s="5682"/>
      <c r="B302" s="5682"/>
      <c r="C302" s="5683"/>
      <c r="D302" s="5683"/>
      <c r="E302" s="5686">
        <f>SUM(E295:E301)</f>
        <v>22</v>
      </c>
      <c r="F302" s="5682"/>
      <c r="G302" s="4921">
        <v>0</v>
      </c>
      <c r="I302" s="36"/>
      <c r="J302" s="36"/>
      <c r="K302" s="36"/>
      <c r="L302" s="36"/>
      <c r="M302" s="36"/>
      <c r="N302" s="36"/>
      <c r="Q302" s="4446"/>
      <c r="R302" s="4446"/>
      <c r="S302" s="4749" t="s">
        <v>75</v>
      </c>
      <c r="T302" s="4738"/>
      <c r="U302" s="4739">
        <f>SUM(U69,U163,U275,U299)</f>
        <v>640</v>
      </c>
      <c r="V302" s="4780"/>
      <c r="W302" s="4750">
        <f>(U301)/(U302)</f>
        <v>0.35</v>
      </c>
      <c r="Y302" s="36"/>
      <c r="Z302" s="36"/>
      <c r="AA302" s="36"/>
      <c r="AB302" s="36" t="s">
        <v>1080</v>
      </c>
      <c r="AC302" s="1681">
        <v>0</v>
      </c>
      <c r="AD302" s="1681">
        <v>0</v>
      </c>
      <c r="AE302" s="1681">
        <v>0</v>
      </c>
      <c r="AF302" s="1681">
        <v>0</v>
      </c>
      <c r="AG302" s="1681">
        <v>0</v>
      </c>
      <c r="AH302" s="1681">
        <v>0</v>
      </c>
      <c r="AI302" s="1681">
        <v>2</v>
      </c>
      <c r="AJ302" s="1681">
        <v>226</v>
      </c>
      <c r="AK302" s="1681">
        <v>27</v>
      </c>
      <c r="AL302" s="95">
        <v>18</v>
      </c>
      <c r="AM302" s="95">
        <v>273</v>
      </c>
      <c r="AN302" s="4545"/>
      <c r="AR302" s="3868" t="s">
        <v>390</v>
      </c>
      <c r="AS302" s="3868" t="s">
        <v>1071</v>
      </c>
      <c r="AT302" s="3721"/>
      <c r="AU302" s="3721"/>
      <c r="AV302" s="3721">
        <v>0</v>
      </c>
      <c r="AW302" s="3721"/>
      <c r="AX302" s="3721">
        <v>0</v>
      </c>
      <c r="AY302" s="3721">
        <v>1</v>
      </c>
      <c r="AZ302" s="3721">
        <v>0</v>
      </c>
      <c r="BA302" s="3721">
        <v>4</v>
      </c>
      <c r="BB302" s="3721"/>
      <c r="BC302" s="2110"/>
      <c r="BD302" s="2110"/>
      <c r="BE302" s="2110">
        <v>5</v>
      </c>
      <c r="BF302" s="2110"/>
      <c r="BG302" s="2110"/>
      <c r="BJ302" s="1520"/>
      <c r="BK302" s="1520" t="s">
        <v>1074</v>
      </c>
      <c r="BL302" s="3872"/>
      <c r="BM302" s="3872"/>
      <c r="BN302" s="3872">
        <v>1</v>
      </c>
      <c r="BO302" s="3872"/>
      <c r="BP302" s="3872"/>
      <c r="BQ302" s="3872">
        <v>0</v>
      </c>
      <c r="BR302" s="3872">
        <v>0</v>
      </c>
      <c r="BS302" s="3872"/>
      <c r="BT302" s="3806"/>
      <c r="BU302" s="3806">
        <v>1</v>
      </c>
      <c r="BV302" s="1520"/>
      <c r="BX302" s="36"/>
      <c r="BY302" s="36"/>
      <c r="BZ302" s="393"/>
      <c r="CA302" s="393" t="s">
        <v>1074</v>
      </c>
      <c r="CB302" s="1682">
        <v>1</v>
      </c>
      <c r="CC302" s="1682">
        <v>0</v>
      </c>
      <c r="CD302" s="1682">
        <v>0</v>
      </c>
      <c r="CE302" s="1682">
        <v>1</v>
      </c>
      <c r="CF302" s="1682">
        <v>1</v>
      </c>
      <c r="CG302" s="1682">
        <v>0</v>
      </c>
      <c r="CH302" s="1682">
        <v>0</v>
      </c>
      <c r="CI302" s="1682">
        <v>0</v>
      </c>
      <c r="CJ302" s="2041">
        <v>0</v>
      </c>
      <c r="CK302" s="2041"/>
      <c r="CL302" s="2041">
        <v>3</v>
      </c>
      <c r="CM302" s="36"/>
      <c r="CO302" s="37"/>
      <c r="CP302" s="37"/>
      <c r="CQ302" s="37"/>
      <c r="CR302" s="37" t="s">
        <v>1077</v>
      </c>
      <c r="CS302" s="1678"/>
      <c r="CT302" s="1678"/>
      <c r="CU302" s="1678">
        <v>1</v>
      </c>
      <c r="CV302" s="1678"/>
      <c r="CW302" s="1678"/>
      <c r="CX302" s="1678">
        <v>1</v>
      </c>
      <c r="CY302" s="1678">
        <v>0</v>
      </c>
      <c r="CZ302" s="1678">
        <v>0</v>
      </c>
      <c r="DA302" s="1678"/>
      <c r="DB302" s="63"/>
      <c r="DC302" s="63"/>
      <c r="DD302" s="63">
        <v>2</v>
      </c>
      <c r="DG302" s="95"/>
      <c r="DH302" s="95"/>
      <c r="DI302" s="36"/>
      <c r="DJ302" s="36" t="s">
        <v>1077</v>
      </c>
      <c r="DK302" s="1484"/>
      <c r="DL302" s="1484"/>
      <c r="DM302" s="1484"/>
      <c r="DN302" s="1484"/>
      <c r="DO302" s="1484"/>
      <c r="DP302" s="1484"/>
      <c r="DQ302" s="1484">
        <v>1</v>
      </c>
      <c r="DR302" s="1484"/>
      <c r="DS302" s="1484"/>
      <c r="DT302" s="95"/>
      <c r="DU302" s="95"/>
      <c r="DV302" s="95">
        <v>1</v>
      </c>
      <c r="DW302" s="95"/>
      <c r="DY302" s="1209"/>
      <c r="DZ302" s="1209"/>
      <c r="EA302" s="1210" t="s">
        <v>731</v>
      </c>
      <c r="EB302" s="1211" t="s">
        <v>1071</v>
      </c>
      <c r="EC302" s="1213">
        <v>0</v>
      </c>
      <c r="ED302" s="1212"/>
      <c r="EE302" s="1212"/>
      <c r="EF302" s="1212"/>
      <c r="EG302" s="1212"/>
      <c r="EH302" s="1213">
        <v>1</v>
      </c>
      <c r="EI302" s="1213">
        <v>0</v>
      </c>
      <c r="EJ302" s="1212"/>
      <c r="EK302" s="611"/>
      <c r="EL302" s="611"/>
      <c r="EM302" s="612">
        <v>1</v>
      </c>
      <c r="EN302" s="36"/>
      <c r="EP302" s="527"/>
      <c r="EQ302" s="527"/>
      <c r="ER302" s="528"/>
      <c r="ES302" s="555" t="s">
        <v>15</v>
      </c>
      <c r="ET302" s="556"/>
      <c r="EU302" s="557">
        <v>1</v>
      </c>
      <c r="EV302" s="556"/>
      <c r="EW302" s="556"/>
      <c r="EX302" s="556"/>
      <c r="EY302" s="557">
        <v>11</v>
      </c>
      <c r="EZ302" s="556"/>
      <c r="FA302" s="556"/>
      <c r="FB302" s="558"/>
      <c r="FC302" s="558"/>
      <c r="FD302" s="559">
        <v>12</v>
      </c>
      <c r="FE302" s="560">
        <f>+(FD299+FD300+FD301)/FD302</f>
        <v>0.66666666666666663</v>
      </c>
    </row>
    <row r="303" spans="1:232" ht="14.4" customHeight="1">
      <c r="A303" s="5682"/>
      <c r="B303" s="5682"/>
      <c r="C303" s="5683"/>
      <c r="D303" s="5690" t="s">
        <v>2754</v>
      </c>
      <c r="E303" s="5693">
        <f>SUM(E285:E286,E290:E291)</f>
        <v>22</v>
      </c>
      <c r="F303" s="5682"/>
      <c r="I303" s="36"/>
      <c r="J303" s="36"/>
      <c r="K303" s="36"/>
      <c r="L303" s="36"/>
      <c r="M303" s="36"/>
      <c r="N303" s="36"/>
      <c r="Q303" s="4446"/>
      <c r="R303" s="4446"/>
      <c r="S303" s="4706"/>
      <c r="T303" s="4746"/>
      <c r="U303" s="4747"/>
      <c r="V303" s="4747"/>
      <c r="W303" s="4722"/>
      <c r="Y303" s="36"/>
      <c r="Z303" s="36"/>
      <c r="AA303" s="36"/>
      <c r="AB303" s="36" t="s">
        <v>1081</v>
      </c>
      <c r="AC303" s="1681">
        <v>0</v>
      </c>
      <c r="AD303" s="1681">
        <v>0</v>
      </c>
      <c r="AE303" s="1681">
        <v>0</v>
      </c>
      <c r="AF303" s="1681">
        <v>5</v>
      </c>
      <c r="AG303" s="1681">
        <v>4</v>
      </c>
      <c r="AH303" s="1681">
        <v>2</v>
      </c>
      <c r="AI303" s="1681">
        <v>6</v>
      </c>
      <c r="AJ303" s="1681">
        <v>4</v>
      </c>
      <c r="AK303" s="1681">
        <v>4</v>
      </c>
      <c r="AL303" s="95">
        <v>0</v>
      </c>
      <c r="AM303" s="95">
        <v>25</v>
      </c>
      <c r="AN303" s="4545"/>
      <c r="AO303" s="4387">
        <v>25</v>
      </c>
      <c r="AS303" s="3868" t="s">
        <v>1072</v>
      </c>
      <c r="AT303" s="3721"/>
      <c r="AU303" s="3721"/>
      <c r="AV303" s="3721">
        <v>0</v>
      </c>
      <c r="AW303" s="3721"/>
      <c r="AX303" s="3721">
        <v>2</v>
      </c>
      <c r="AY303" s="3721">
        <v>1</v>
      </c>
      <c r="AZ303" s="3721">
        <v>14</v>
      </c>
      <c r="BA303" s="3721">
        <v>1</v>
      </c>
      <c r="BB303" s="3721"/>
      <c r="BC303" s="2110"/>
      <c r="BD303" s="2110"/>
      <c r="BE303" s="2110">
        <v>18</v>
      </c>
      <c r="BF303" s="2110"/>
      <c r="BG303" s="2110"/>
      <c r="BJ303" s="1520"/>
      <c r="BK303" s="1520" t="s">
        <v>1080</v>
      </c>
      <c r="BL303" s="3872"/>
      <c r="BM303" s="3872"/>
      <c r="BN303" s="3872">
        <v>0</v>
      </c>
      <c r="BO303" s="3872"/>
      <c r="BP303" s="3872"/>
      <c r="BQ303" s="3872">
        <v>0</v>
      </c>
      <c r="BR303" s="3872">
        <v>2</v>
      </c>
      <c r="BS303" s="3872"/>
      <c r="BT303" s="3806"/>
      <c r="BU303" s="3806">
        <v>2</v>
      </c>
      <c r="BV303" s="1520"/>
      <c r="BX303" s="36"/>
      <c r="BY303" s="36"/>
      <c r="BZ303" s="393"/>
      <c r="CA303" s="393" t="s">
        <v>1076</v>
      </c>
      <c r="CB303" s="1682">
        <v>0</v>
      </c>
      <c r="CC303" s="1682">
        <v>0</v>
      </c>
      <c r="CD303" s="1682">
        <v>0</v>
      </c>
      <c r="CE303" s="1682">
        <v>0</v>
      </c>
      <c r="CF303" s="1682">
        <v>1</v>
      </c>
      <c r="CG303" s="1682">
        <v>33</v>
      </c>
      <c r="CH303" s="1682">
        <v>16</v>
      </c>
      <c r="CI303" s="1682">
        <v>1</v>
      </c>
      <c r="CJ303" s="2041">
        <v>1</v>
      </c>
      <c r="CK303" s="2041"/>
      <c r="CL303" s="2041">
        <v>52</v>
      </c>
      <c r="CM303" s="36"/>
      <c r="CO303" s="37"/>
      <c r="CP303" s="37"/>
      <c r="CQ303" s="37"/>
      <c r="CR303" s="37" t="s">
        <v>1080</v>
      </c>
      <c r="CS303" s="1678"/>
      <c r="CT303" s="1678"/>
      <c r="CU303" s="1678">
        <v>0</v>
      </c>
      <c r="CV303" s="1678"/>
      <c r="CW303" s="1678"/>
      <c r="CX303" s="1678">
        <v>0</v>
      </c>
      <c r="CY303" s="1678">
        <v>0</v>
      </c>
      <c r="CZ303" s="1678">
        <v>1</v>
      </c>
      <c r="DA303" s="1678"/>
      <c r="DB303" s="63"/>
      <c r="DC303" s="63"/>
      <c r="DD303" s="63">
        <v>1</v>
      </c>
      <c r="DG303" s="95"/>
      <c r="DH303" s="95"/>
      <c r="DI303" s="36"/>
      <c r="DJ303" s="36" t="s">
        <v>1081</v>
      </c>
      <c r="DK303" s="1484"/>
      <c r="DL303" s="1484"/>
      <c r="DM303" s="1484"/>
      <c r="DN303" s="1484"/>
      <c r="DO303" s="1484"/>
      <c r="DP303" s="1484"/>
      <c r="DQ303" s="1484">
        <v>2</v>
      </c>
      <c r="DR303" s="1484"/>
      <c r="DS303" s="1484"/>
      <c r="DT303" s="95"/>
      <c r="DU303" s="95"/>
      <c r="DV303" s="95">
        <v>2</v>
      </c>
      <c r="DW303" s="95"/>
      <c r="DY303" s="1209"/>
      <c r="DZ303" s="1209"/>
      <c r="EA303" s="1210"/>
      <c r="EB303" s="1211" t="s">
        <v>1072</v>
      </c>
      <c r="EC303" s="1213">
        <v>1</v>
      </c>
      <c r="ED303" s="1212"/>
      <c r="EE303" s="1212"/>
      <c r="EF303" s="1212"/>
      <c r="EG303" s="1212"/>
      <c r="EH303" s="1213">
        <v>0</v>
      </c>
      <c r="EI303" s="1213">
        <v>0</v>
      </c>
      <c r="EJ303" s="1212"/>
      <c r="EK303" s="611"/>
      <c r="EL303" s="611"/>
      <c r="EM303" s="612">
        <v>1</v>
      </c>
      <c r="EN303" s="36"/>
      <c r="EP303" s="527"/>
      <c r="EQ303" s="527"/>
      <c r="ER303" s="528" t="s">
        <v>731</v>
      </c>
      <c r="ES303" s="529" t="s">
        <v>1071</v>
      </c>
      <c r="ET303" s="530"/>
      <c r="EU303" s="531">
        <v>0</v>
      </c>
      <c r="EV303" s="530"/>
      <c r="EW303" s="530"/>
      <c r="EX303" s="530"/>
      <c r="EY303" s="531">
        <v>1</v>
      </c>
      <c r="EZ303" s="530"/>
      <c r="FA303" s="530"/>
      <c r="FB303" s="527"/>
      <c r="FC303" s="527"/>
      <c r="FD303" s="532">
        <v>1</v>
      </c>
      <c r="FE303" s="95"/>
    </row>
    <row r="304" spans="1:232">
      <c r="A304" s="5682"/>
      <c r="B304" s="5682"/>
      <c r="C304" s="5686" t="s">
        <v>21</v>
      </c>
      <c r="D304" s="5683"/>
      <c r="E304" s="5686">
        <f>SUM(E302,E294,E289)</f>
        <v>53</v>
      </c>
      <c r="F304" s="5682"/>
      <c r="G304" s="5692">
        <f>E303/E304</f>
        <v>0.41509433962264153</v>
      </c>
      <c r="I304" s="36"/>
      <c r="J304" s="36"/>
      <c r="K304" s="36"/>
      <c r="L304" s="36"/>
      <c r="M304" s="36"/>
      <c r="N304" s="36"/>
      <c r="Q304" s="4722"/>
      <c r="R304" s="4446"/>
      <c r="S304" s="4706"/>
      <c r="T304" s="4706"/>
      <c r="U304" s="4707"/>
      <c r="V304" s="4707"/>
      <c r="W304" s="4722"/>
      <c r="Y304" s="36"/>
      <c r="Z304" s="36"/>
      <c r="AA304" s="36"/>
      <c r="AB304" s="36" t="s">
        <v>2571</v>
      </c>
      <c r="AC304" s="1681">
        <v>50</v>
      </c>
      <c r="AD304" s="1681">
        <v>0</v>
      </c>
      <c r="AE304" s="1681">
        <v>0</v>
      </c>
      <c r="AF304" s="1681">
        <v>0</v>
      </c>
      <c r="AG304" s="1681">
        <v>0</v>
      </c>
      <c r="AH304" s="1681">
        <v>0</v>
      </c>
      <c r="AI304" s="1681">
        <v>0</v>
      </c>
      <c r="AJ304" s="1681">
        <v>0</v>
      </c>
      <c r="AK304" s="1681">
        <v>0</v>
      </c>
      <c r="AL304" s="95">
        <v>0</v>
      </c>
      <c r="AM304" s="95">
        <v>50</v>
      </c>
      <c r="AN304" s="4545"/>
      <c r="AO304" s="4387">
        <v>50</v>
      </c>
      <c r="AS304" s="3868" t="s">
        <v>1074</v>
      </c>
      <c r="AT304" s="3721"/>
      <c r="AU304" s="3721"/>
      <c r="AV304" s="3721">
        <v>1</v>
      </c>
      <c r="AW304" s="3721"/>
      <c r="AX304" s="3721">
        <v>0</v>
      </c>
      <c r="AY304" s="3721">
        <v>0</v>
      </c>
      <c r="AZ304" s="3721">
        <v>0</v>
      </c>
      <c r="BA304" s="3721">
        <v>0</v>
      </c>
      <c r="BB304" s="3721"/>
      <c r="BC304" s="2110"/>
      <c r="BD304" s="2110"/>
      <c r="BE304" s="2110">
        <v>1</v>
      </c>
      <c r="BF304" s="2110"/>
      <c r="BG304" s="2110"/>
      <c r="BJ304" s="1520"/>
      <c r="BK304" s="1520" t="s">
        <v>486</v>
      </c>
      <c r="BL304" s="3872"/>
      <c r="BM304" s="3872"/>
      <c r="BN304" s="3872">
        <v>1</v>
      </c>
      <c r="BO304" s="3872"/>
      <c r="BP304" s="3872"/>
      <c r="BQ304" s="3872">
        <v>19</v>
      </c>
      <c r="BR304" s="3872">
        <v>2</v>
      </c>
      <c r="BS304" s="3872"/>
      <c r="BT304" s="3806"/>
      <c r="BU304" s="3806">
        <v>22</v>
      </c>
      <c r="BV304" s="3807">
        <v>0</v>
      </c>
      <c r="BX304" s="36"/>
      <c r="BY304" s="36"/>
      <c r="BZ304" s="393"/>
      <c r="CA304" s="393" t="s">
        <v>1080</v>
      </c>
      <c r="CB304" s="1682">
        <v>0</v>
      </c>
      <c r="CC304" s="1682">
        <v>0</v>
      </c>
      <c r="CD304" s="1682">
        <v>0</v>
      </c>
      <c r="CE304" s="1682">
        <v>0</v>
      </c>
      <c r="CF304" s="1682">
        <v>0</v>
      </c>
      <c r="CG304" s="1682">
        <v>0</v>
      </c>
      <c r="CH304" s="1682">
        <v>2</v>
      </c>
      <c r="CI304" s="1682">
        <v>13</v>
      </c>
      <c r="CJ304" s="2041">
        <v>2</v>
      </c>
      <c r="CK304" s="2041"/>
      <c r="CL304" s="2041">
        <v>17</v>
      </c>
      <c r="CM304" s="36"/>
      <c r="CO304" s="37"/>
      <c r="CP304" s="37"/>
      <c r="CQ304" s="37"/>
      <c r="CR304" s="37" t="s">
        <v>1081</v>
      </c>
      <c r="CS304" s="1678"/>
      <c r="CT304" s="1678"/>
      <c r="CU304" s="1678">
        <v>0</v>
      </c>
      <c r="CV304" s="1678"/>
      <c r="CW304" s="1678"/>
      <c r="CX304" s="1678">
        <v>0</v>
      </c>
      <c r="CY304" s="1678">
        <v>1</v>
      </c>
      <c r="CZ304" s="1678">
        <v>0</v>
      </c>
      <c r="DA304" s="1678"/>
      <c r="DB304" s="63"/>
      <c r="DC304" s="63"/>
      <c r="DD304" s="63">
        <v>1</v>
      </c>
      <c r="DG304" s="95"/>
      <c r="DH304" s="95"/>
      <c r="DI304" s="36"/>
      <c r="DJ304" s="36" t="s">
        <v>1163</v>
      </c>
      <c r="DK304" s="1484"/>
      <c r="DL304" s="1484"/>
      <c r="DM304" s="1484"/>
      <c r="DN304" s="1484"/>
      <c r="DO304" s="1484"/>
      <c r="DP304" s="1484"/>
      <c r="DQ304" s="1484">
        <v>1</v>
      </c>
      <c r="DR304" s="1484"/>
      <c r="DS304" s="1484"/>
      <c r="DT304" s="95"/>
      <c r="DU304" s="95"/>
      <c r="DV304" s="95">
        <v>1</v>
      </c>
      <c r="DW304" s="95"/>
      <c r="DY304" s="1209"/>
      <c r="DZ304" s="1209"/>
      <c r="EA304" s="1210"/>
      <c r="EB304" s="1211" t="s">
        <v>1076</v>
      </c>
      <c r="EC304" s="1213">
        <v>0</v>
      </c>
      <c r="ED304" s="1212"/>
      <c r="EE304" s="1212"/>
      <c r="EF304" s="1212"/>
      <c r="EG304" s="1212"/>
      <c r="EH304" s="1213">
        <v>7</v>
      </c>
      <c r="EI304" s="1213">
        <v>2</v>
      </c>
      <c r="EJ304" s="1212"/>
      <c r="EK304" s="611"/>
      <c r="EL304" s="611"/>
      <c r="EM304" s="612">
        <v>9</v>
      </c>
      <c r="EN304" s="36"/>
      <c r="EP304" s="527"/>
      <c r="EQ304" s="527"/>
      <c r="ER304" s="528"/>
      <c r="ES304" s="529" t="s">
        <v>1072</v>
      </c>
      <c r="ET304" s="530"/>
      <c r="EU304" s="531">
        <v>1</v>
      </c>
      <c r="EV304" s="530"/>
      <c r="EW304" s="530"/>
      <c r="EX304" s="530"/>
      <c r="EY304" s="531">
        <v>2</v>
      </c>
      <c r="EZ304" s="530"/>
      <c r="FA304" s="530"/>
      <c r="FB304" s="527"/>
      <c r="FC304" s="527"/>
      <c r="FD304" s="532">
        <v>3</v>
      </c>
      <c r="FE304" s="95"/>
    </row>
    <row r="305" spans="1:161">
      <c r="A305" s="5682"/>
      <c r="B305" s="5682"/>
      <c r="C305" s="5683"/>
      <c r="D305" s="5690" t="s">
        <v>2754</v>
      </c>
      <c r="E305" s="5693">
        <f>SUM(E243,E283,E303)</f>
        <v>39</v>
      </c>
      <c r="F305" s="5682"/>
      <c r="I305" s="36"/>
      <c r="J305" s="36"/>
      <c r="K305" s="36"/>
      <c r="L305" s="36"/>
      <c r="M305" s="36"/>
      <c r="N305" s="36"/>
      <c r="Q305" s="4722"/>
      <c r="R305" s="4446"/>
      <c r="S305" s="4706"/>
      <c r="T305" s="4706"/>
      <c r="U305" s="4707"/>
      <c r="V305" s="4707"/>
      <c r="W305" s="4722"/>
      <c r="Y305" s="36"/>
      <c r="Z305" s="36"/>
      <c r="AA305" s="36"/>
      <c r="AB305" s="36" t="s">
        <v>1163</v>
      </c>
      <c r="AC305" s="1681">
        <v>0</v>
      </c>
      <c r="AD305" s="1681">
        <v>0</v>
      </c>
      <c r="AE305" s="1681">
        <v>0</v>
      </c>
      <c r="AF305" s="1681">
        <v>1</v>
      </c>
      <c r="AG305" s="1681">
        <v>0</v>
      </c>
      <c r="AH305" s="1681">
        <v>1</v>
      </c>
      <c r="AI305" s="1681">
        <v>0</v>
      </c>
      <c r="AJ305" s="1681">
        <v>0</v>
      </c>
      <c r="AK305" s="1681">
        <v>0</v>
      </c>
      <c r="AL305" s="95">
        <v>0</v>
      </c>
      <c r="AM305" s="95">
        <v>2</v>
      </c>
      <c r="AN305" s="4545"/>
      <c r="AO305" s="4387">
        <v>2</v>
      </c>
      <c r="AS305" s="3868" t="s">
        <v>15</v>
      </c>
      <c r="AT305" s="3721"/>
      <c r="AU305" s="3721"/>
      <c r="AV305" s="3721">
        <v>1</v>
      </c>
      <c r="AW305" s="3721"/>
      <c r="AX305" s="3721">
        <v>2</v>
      </c>
      <c r="AY305" s="3721">
        <v>2</v>
      </c>
      <c r="AZ305" s="3721">
        <v>14</v>
      </c>
      <c r="BA305" s="3721">
        <v>5</v>
      </c>
      <c r="BB305" s="3721"/>
      <c r="BC305" s="2110"/>
      <c r="BD305" s="2110"/>
      <c r="BE305" s="2110">
        <v>24</v>
      </c>
      <c r="BF305" s="1665">
        <v>0</v>
      </c>
      <c r="BG305" s="1665"/>
      <c r="BI305" s="32" t="s">
        <v>64</v>
      </c>
      <c r="BJ305" s="32" t="s">
        <v>609</v>
      </c>
      <c r="BK305" s="32" t="s">
        <v>1071</v>
      </c>
      <c r="BL305" s="3871"/>
      <c r="BM305" s="3871"/>
      <c r="BN305" s="3871"/>
      <c r="BO305" s="3871"/>
      <c r="BP305" s="3871">
        <v>1</v>
      </c>
      <c r="BQ305" s="3871">
        <v>0</v>
      </c>
      <c r="BR305" s="3871">
        <v>0</v>
      </c>
      <c r="BS305" s="3871"/>
      <c r="BT305" s="1518"/>
      <c r="BU305" s="1518">
        <v>1</v>
      </c>
      <c r="BX305" s="36"/>
      <c r="BY305" s="36"/>
      <c r="BZ305" s="393"/>
      <c r="CA305" s="393" t="s">
        <v>1081</v>
      </c>
      <c r="CB305" s="1682">
        <v>0</v>
      </c>
      <c r="CC305" s="1682">
        <v>0</v>
      </c>
      <c r="CD305" s="1682">
        <v>0</v>
      </c>
      <c r="CE305" s="1682">
        <v>0</v>
      </c>
      <c r="CF305" s="1682">
        <v>3</v>
      </c>
      <c r="CG305" s="1682">
        <v>26</v>
      </c>
      <c r="CH305" s="1682">
        <v>8</v>
      </c>
      <c r="CI305" s="1682">
        <v>2</v>
      </c>
      <c r="CJ305" s="2041">
        <v>0</v>
      </c>
      <c r="CK305" s="2041"/>
      <c r="CL305" s="2041">
        <v>39</v>
      </c>
      <c r="CM305" s="36"/>
      <c r="CO305" s="37"/>
      <c r="CP305" s="37"/>
      <c r="CQ305" s="37"/>
      <c r="CR305" s="416" t="s">
        <v>483</v>
      </c>
      <c r="CS305" s="1679"/>
      <c r="CT305" s="1679"/>
      <c r="CU305" s="1679">
        <v>1</v>
      </c>
      <c r="CV305" s="1679"/>
      <c r="CW305" s="1679"/>
      <c r="CX305" s="1679">
        <v>1</v>
      </c>
      <c r="CY305" s="1679">
        <v>13</v>
      </c>
      <c r="CZ305" s="1679">
        <v>6</v>
      </c>
      <c r="DA305" s="1679"/>
      <c r="DB305" s="386"/>
      <c r="DC305" s="386"/>
      <c r="DD305" s="386">
        <v>21</v>
      </c>
      <c r="DE305" s="2045">
        <f>+(DD301+DD304)/DD305</f>
        <v>0.14285714285714285</v>
      </c>
      <c r="DG305" s="95"/>
      <c r="DH305" s="95"/>
      <c r="DI305" s="36"/>
      <c r="DJ305" s="393" t="s">
        <v>15</v>
      </c>
      <c r="DK305" s="1485"/>
      <c r="DL305" s="1485"/>
      <c r="DM305" s="1485"/>
      <c r="DN305" s="1485"/>
      <c r="DO305" s="1485"/>
      <c r="DP305" s="1485"/>
      <c r="DQ305" s="1485">
        <v>12</v>
      </c>
      <c r="DR305" s="1485"/>
      <c r="DS305" s="1485"/>
      <c r="DT305" s="86"/>
      <c r="DU305" s="86"/>
      <c r="DV305" s="86">
        <v>12</v>
      </c>
      <c r="DW305" s="560">
        <f>+(DV301+DV303+DV304)/DV305</f>
        <v>0.41666666666666669</v>
      </c>
      <c r="DY305" s="1209"/>
      <c r="DZ305" s="1209"/>
      <c r="EA305" s="1210"/>
      <c r="EB305" s="1211" t="s">
        <v>1081</v>
      </c>
      <c r="EC305" s="1213">
        <v>0</v>
      </c>
      <c r="ED305" s="1212"/>
      <c r="EE305" s="1212"/>
      <c r="EF305" s="1212"/>
      <c r="EG305" s="1212"/>
      <c r="EH305" s="1213">
        <v>1</v>
      </c>
      <c r="EI305" s="1213">
        <v>0</v>
      </c>
      <c r="EJ305" s="1212"/>
      <c r="EK305" s="611"/>
      <c r="EL305" s="611"/>
      <c r="EM305" s="612">
        <v>1</v>
      </c>
      <c r="EN305" s="36"/>
      <c r="EP305" s="527"/>
      <c r="EQ305" s="527"/>
      <c r="ER305" s="528"/>
      <c r="ES305" s="529" t="s">
        <v>1076</v>
      </c>
      <c r="ET305" s="530"/>
      <c r="EU305" s="531">
        <v>0</v>
      </c>
      <c r="EV305" s="530"/>
      <c r="EW305" s="530"/>
      <c r="EX305" s="530"/>
      <c r="EY305" s="531">
        <v>6</v>
      </c>
      <c r="EZ305" s="530"/>
      <c r="FA305" s="530"/>
      <c r="FB305" s="527"/>
      <c r="FC305" s="527"/>
      <c r="FD305" s="532">
        <v>6</v>
      </c>
      <c r="FE305" s="95"/>
    </row>
    <row r="306" spans="1:161">
      <c r="A306" s="5708"/>
      <c r="B306" s="5708"/>
      <c r="C306" s="5702" t="s">
        <v>74</v>
      </c>
      <c r="D306" s="5702"/>
      <c r="E306" s="5702">
        <f>SUM(E244,E284,E304)</f>
        <v>184</v>
      </c>
      <c r="F306" s="5709"/>
      <c r="G306" s="5703">
        <f>E305/E306</f>
        <v>0.21195652173913043</v>
      </c>
      <c r="I306" s="36"/>
      <c r="J306" s="36"/>
      <c r="K306" s="36"/>
      <c r="L306" s="36"/>
      <c r="M306" s="36"/>
      <c r="N306" s="36"/>
      <c r="Q306" s="4722"/>
      <c r="R306" s="4446"/>
      <c r="S306" s="4706"/>
      <c r="T306" s="4706"/>
      <c r="U306" s="4707"/>
      <c r="V306" s="4707"/>
      <c r="W306" s="4722"/>
      <c r="Y306" s="36"/>
      <c r="Z306" s="36"/>
      <c r="AA306" s="36"/>
      <c r="AB306" s="36">
        <v>22</v>
      </c>
      <c r="AC306" s="1681">
        <v>0</v>
      </c>
      <c r="AD306" s="1681">
        <v>0</v>
      </c>
      <c r="AE306" s="1681">
        <v>0</v>
      </c>
      <c r="AF306" s="1681">
        <v>1</v>
      </c>
      <c r="AG306" s="1681">
        <v>0</v>
      </c>
      <c r="AH306" s="1681">
        <v>0</v>
      </c>
      <c r="AI306" s="1681">
        <v>0</v>
      </c>
      <c r="AJ306" s="1681">
        <v>0</v>
      </c>
      <c r="AK306" s="1681">
        <v>0</v>
      </c>
      <c r="AL306" s="95">
        <v>0</v>
      </c>
      <c r="AM306" s="95">
        <v>1</v>
      </c>
      <c r="AN306" s="4545"/>
      <c r="AR306" s="27" t="s">
        <v>484</v>
      </c>
      <c r="AS306" s="27" t="s">
        <v>1071</v>
      </c>
      <c r="AT306" s="3722">
        <v>0</v>
      </c>
      <c r="AU306" s="3722">
        <v>0</v>
      </c>
      <c r="AV306" s="3722">
        <v>0</v>
      </c>
      <c r="AW306" s="3722"/>
      <c r="AX306" s="3722">
        <v>0</v>
      </c>
      <c r="AY306" s="3722">
        <v>1</v>
      </c>
      <c r="AZ306" s="3722">
        <v>0</v>
      </c>
      <c r="BA306" s="3722">
        <v>4</v>
      </c>
      <c r="BB306" s="3722">
        <v>0</v>
      </c>
      <c r="BC306" s="3701"/>
      <c r="BD306" s="3701"/>
      <c r="BE306" s="3701">
        <v>5</v>
      </c>
      <c r="BF306" s="3701"/>
      <c r="BG306" s="3701"/>
      <c r="BK306" s="32" t="s">
        <v>1072</v>
      </c>
      <c r="BL306" s="3871"/>
      <c r="BM306" s="3871"/>
      <c r="BN306" s="3871"/>
      <c r="BO306" s="3871"/>
      <c r="BP306" s="3871">
        <v>0</v>
      </c>
      <c r="BQ306" s="3871">
        <v>5</v>
      </c>
      <c r="BR306" s="3871">
        <v>0</v>
      </c>
      <c r="BS306" s="3871"/>
      <c r="BT306" s="1518"/>
      <c r="BU306" s="1518">
        <v>5</v>
      </c>
      <c r="BX306" s="36"/>
      <c r="BY306" s="36"/>
      <c r="BZ306" s="393"/>
      <c r="CA306" s="393" t="s">
        <v>1163</v>
      </c>
      <c r="CB306" s="1682">
        <v>0</v>
      </c>
      <c r="CC306" s="1682">
        <v>0</v>
      </c>
      <c r="CD306" s="1682">
        <v>1</v>
      </c>
      <c r="CE306" s="1682">
        <v>0</v>
      </c>
      <c r="CF306" s="1682">
        <v>0</v>
      </c>
      <c r="CG306" s="1682">
        <v>18</v>
      </c>
      <c r="CH306" s="1682">
        <v>6</v>
      </c>
      <c r="CI306" s="1682">
        <v>0</v>
      </c>
      <c r="CJ306" s="2041">
        <v>0</v>
      </c>
      <c r="CK306" s="2041"/>
      <c r="CL306" s="2041">
        <v>25</v>
      </c>
      <c r="CM306" s="36"/>
      <c r="CO306" s="37"/>
      <c r="CP306" s="37" t="s">
        <v>61</v>
      </c>
      <c r="CQ306" s="37" t="s">
        <v>711</v>
      </c>
      <c r="CR306" s="37" t="s">
        <v>1072</v>
      </c>
      <c r="CS306" s="1678"/>
      <c r="CT306" s="1678"/>
      <c r="CU306" s="1678"/>
      <c r="CV306" s="1678"/>
      <c r="CW306" s="1678"/>
      <c r="CX306" s="1678">
        <v>1</v>
      </c>
      <c r="CY306" s="1678"/>
      <c r="CZ306" s="1678">
        <v>10</v>
      </c>
      <c r="DA306" s="1678"/>
      <c r="DB306" s="63"/>
      <c r="DC306" s="63"/>
      <c r="DD306" s="63">
        <v>11</v>
      </c>
      <c r="DG306" s="95"/>
      <c r="DH306" s="95" t="s">
        <v>710</v>
      </c>
      <c r="DI306" s="36" t="s">
        <v>711</v>
      </c>
      <c r="DJ306" s="36" t="s">
        <v>1072</v>
      </c>
      <c r="DK306" s="1484"/>
      <c r="DL306" s="1484"/>
      <c r="DM306" s="1484"/>
      <c r="DN306" s="1484"/>
      <c r="DO306" s="1484"/>
      <c r="DP306" s="1484"/>
      <c r="DQ306" s="1484">
        <v>0</v>
      </c>
      <c r="DR306" s="1484">
        <v>2</v>
      </c>
      <c r="DS306" s="1484"/>
      <c r="DT306" s="95"/>
      <c r="DU306" s="95"/>
      <c r="DV306" s="95">
        <v>2</v>
      </c>
      <c r="DW306" s="95"/>
      <c r="DY306" s="1209"/>
      <c r="DZ306" s="1209"/>
      <c r="EA306" s="1210"/>
      <c r="EB306" s="415" t="s">
        <v>731</v>
      </c>
      <c r="EC306" s="1215">
        <v>1</v>
      </c>
      <c r="ED306" s="1214"/>
      <c r="EE306" s="1214"/>
      <c r="EF306" s="1214"/>
      <c r="EG306" s="1214"/>
      <c r="EH306" s="1215">
        <v>9</v>
      </c>
      <c r="EI306" s="1215">
        <v>2</v>
      </c>
      <c r="EJ306" s="1214"/>
      <c r="EK306" s="620"/>
      <c r="EL306" s="620"/>
      <c r="EM306" s="621">
        <v>12</v>
      </c>
      <c r="EN306" s="1178">
        <f>+(EM304+EM305)/EM306</f>
        <v>0.83333333333333337</v>
      </c>
      <c r="EP306" s="527"/>
      <c r="EQ306" s="527"/>
      <c r="ER306" s="528"/>
      <c r="ES306" s="529" t="s">
        <v>1081</v>
      </c>
      <c r="ET306" s="530"/>
      <c r="EU306" s="531">
        <v>0</v>
      </c>
      <c r="EV306" s="530"/>
      <c r="EW306" s="530"/>
      <c r="EX306" s="530"/>
      <c r="EY306" s="531">
        <v>1</v>
      </c>
      <c r="EZ306" s="530"/>
      <c r="FA306" s="530"/>
      <c r="FB306" s="527"/>
      <c r="FC306" s="527"/>
      <c r="FD306" s="532">
        <v>1</v>
      </c>
      <c r="FE306" s="95"/>
    </row>
    <row r="307" spans="1:161" ht="15" thickBot="1">
      <c r="A307" s="5694">
        <v>4</v>
      </c>
      <c r="B307" s="5694">
        <v>2</v>
      </c>
      <c r="C307" s="5695" t="s">
        <v>608</v>
      </c>
      <c r="D307" s="5695" t="s">
        <v>2731</v>
      </c>
      <c r="E307" s="5694">
        <v>10</v>
      </c>
      <c r="F307" s="5694">
        <v>8</v>
      </c>
      <c r="I307" s="36"/>
      <c r="J307" s="36"/>
      <c r="K307" s="36"/>
      <c r="L307" s="36"/>
      <c r="M307" s="36"/>
      <c r="N307" s="36"/>
      <c r="Q307" s="4722"/>
      <c r="R307" s="4446"/>
      <c r="S307" s="4706"/>
      <c r="T307" s="4706"/>
      <c r="U307" s="4707"/>
      <c r="V307" s="4707"/>
      <c r="W307" s="4722"/>
      <c r="Y307" s="401"/>
      <c r="Z307" s="401"/>
      <c r="AA307" s="401"/>
      <c r="AB307" s="401" t="s">
        <v>15</v>
      </c>
      <c r="AC307" s="4538">
        <v>50</v>
      </c>
      <c r="AD307" s="4538">
        <v>16</v>
      </c>
      <c r="AE307" s="4538">
        <v>5</v>
      </c>
      <c r="AF307" s="4538">
        <v>25</v>
      </c>
      <c r="AG307" s="4538">
        <v>15</v>
      </c>
      <c r="AH307" s="4538">
        <v>20</v>
      </c>
      <c r="AI307" s="4538">
        <v>234</v>
      </c>
      <c r="AJ307" s="4538">
        <v>257</v>
      </c>
      <c r="AK307" s="4538">
        <v>42</v>
      </c>
      <c r="AL307" s="396">
        <v>27</v>
      </c>
      <c r="AM307" s="396">
        <v>691</v>
      </c>
      <c r="AN307" s="1470">
        <f>+(AF300+AG300+AI300+AJ300+AK300+AF303+AG303+AH303+AI303+AJ303+AK303+AF305+AH305)/(AM307-AM304)</f>
        <v>0.11856474258970359</v>
      </c>
      <c r="AR307" s="27"/>
      <c r="AS307" s="27" t="s">
        <v>1072</v>
      </c>
      <c r="AT307" s="3722">
        <v>0</v>
      </c>
      <c r="AU307" s="3722">
        <v>0</v>
      </c>
      <c r="AV307" s="3722">
        <v>0</v>
      </c>
      <c r="AW307" s="3722"/>
      <c r="AX307" s="3722">
        <v>2</v>
      </c>
      <c r="AY307" s="3722">
        <v>2</v>
      </c>
      <c r="AZ307" s="3722">
        <v>27</v>
      </c>
      <c r="BA307" s="3722">
        <v>1</v>
      </c>
      <c r="BB307" s="3722">
        <v>2</v>
      </c>
      <c r="BC307" s="3701"/>
      <c r="BD307" s="3701"/>
      <c r="BE307" s="3701">
        <v>34</v>
      </c>
      <c r="BF307" s="3701"/>
      <c r="BG307" s="3701"/>
      <c r="BK307" s="32" t="s">
        <v>1080</v>
      </c>
      <c r="BL307" s="3871"/>
      <c r="BM307" s="3871"/>
      <c r="BN307" s="3871"/>
      <c r="BO307" s="3871"/>
      <c r="BP307" s="3871">
        <v>0</v>
      </c>
      <c r="BQ307" s="3871">
        <v>0</v>
      </c>
      <c r="BR307" s="3871">
        <v>4</v>
      </c>
      <c r="BS307" s="3871"/>
      <c r="BT307" s="1518"/>
      <c r="BU307" s="1518">
        <v>4</v>
      </c>
      <c r="BX307" s="36"/>
      <c r="BY307" s="36"/>
      <c r="BZ307" s="393"/>
      <c r="CA307" s="393" t="s">
        <v>412</v>
      </c>
      <c r="CB307" s="1682">
        <v>5</v>
      </c>
      <c r="CC307" s="1682">
        <v>8</v>
      </c>
      <c r="CD307" s="1682">
        <v>5</v>
      </c>
      <c r="CE307" s="1682">
        <v>5</v>
      </c>
      <c r="CF307" s="1682">
        <v>10</v>
      </c>
      <c r="CG307" s="1682">
        <v>157</v>
      </c>
      <c r="CH307" s="1682">
        <v>47</v>
      </c>
      <c r="CI307" s="1682">
        <v>21</v>
      </c>
      <c r="CJ307" s="2041">
        <v>3</v>
      </c>
      <c r="CK307" s="2041"/>
      <c r="CL307" s="2041">
        <v>261</v>
      </c>
      <c r="CM307" s="560">
        <f>+(CL306+CL305+CL303-CJ303)/CL307</f>
        <v>0.44061302681992337</v>
      </c>
      <c r="CN307" s="1665"/>
      <c r="CO307" s="37"/>
      <c r="CP307" s="37"/>
      <c r="CQ307" s="37"/>
      <c r="CR307" s="37" t="s">
        <v>1076</v>
      </c>
      <c r="CS307" s="1678"/>
      <c r="CT307" s="1678"/>
      <c r="CU307" s="1678"/>
      <c r="CV307" s="1678"/>
      <c r="CW307" s="1678"/>
      <c r="CX307" s="1678">
        <v>0</v>
      </c>
      <c r="CY307" s="1678"/>
      <c r="CZ307" s="1678">
        <v>1</v>
      </c>
      <c r="DA307" s="1678"/>
      <c r="DB307" s="63"/>
      <c r="DC307" s="63"/>
      <c r="DD307" s="63">
        <v>1</v>
      </c>
      <c r="DG307" s="95"/>
      <c r="DH307" s="95"/>
      <c r="DI307" s="36"/>
      <c r="DJ307" s="36" t="s">
        <v>1076</v>
      </c>
      <c r="DK307" s="1484"/>
      <c r="DL307" s="1484"/>
      <c r="DM307" s="1484"/>
      <c r="DN307" s="1484"/>
      <c r="DO307" s="1484"/>
      <c r="DP307" s="1484"/>
      <c r="DQ307" s="1484">
        <v>0</v>
      </c>
      <c r="DR307" s="1484">
        <v>7</v>
      </c>
      <c r="DS307" s="1484"/>
      <c r="DT307" s="95"/>
      <c r="DU307" s="95"/>
      <c r="DV307" s="95">
        <v>7</v>
      </c>
      <c r="DW307" s="95"/>
      <c r="DY307" s="1209"/>
      <c r="DZ307" s="1209" t="s">
        <v>64</v>
      </c>
      <c r="EA307" s="1210" t="s">
        <v>609</v>
      </c>
      <c r="EB307" s="1211" t="s">
        <v>1072</v>
      </c>
      <c r="EC307" s="1213">
        <v>1</v>
      </c>
      <c r="ED307" s="1212"/>
      <c r="EE307" s="1212"/>
      <c r="EF307" s="1212"/>
      <c r="EG307" s="1213">
        <v>1</v>
      </c>
      <c r="EH307" s="1213">
        <v>2</v>
      </c>
      <c r="EI307" s="1213">
        <v>2</v>
      </c>
      <c r="EJ307" s="1213">
        <v>0</v>
      </c>
      <c r="EK307" s="611"/>
      <c r="EL307" s="611"/>
      <c r="EM307" s="612">
        <v>6</v>
      </c>
      <c r="EN307" s="36"/>
      <c r="EP307" s="527"/>
      <c r="EQ307" s="527"/>
      <c r="ER307" s="528"/>
      <c r="ES307" s="529" t="s">
        <v>1163</v>
      </c>
      <c r="ET307" s="530"/>
      <c r="EU307" s="531">
        <v>0</v>
      </c>
      <c r="EV307" s="530"/>
      <c r="EW307" s="530"/>
      <c r="EX307" s="530"/>
      <c r="EY307" s="531">
        <v>1</v>
      </c>
      <c r="EZ307" s="530"/>
      <c r="FA307" s="530"/>
      <c r="FB307" s="527"/>
      <c r="FC307" s="527"/>
      <c r="FD307" s="532">
        <v>1</v>
      </c>
      <c r="FE307" s="95"/>
    </row>
    <row r="308" spans="1:161" ht="14.4" customHeight="1">
      <c r="A308" s="5682">
        <v>4</v>
      </c>
      <c r="B308" s="5682">
        <v>2</v>
      </c>
      <c r="C308" s="5683" t="s">
        <v>608</v>
      </c>
      <c r="D308" s="5685" t="s">
        <v>1076</v>
      </c>
      <c r="E308" s="5682">
        <v>1</v>
      </c>
      <c r="F308" s="5682">
        <v>7</v>
      </c>
      <c r="I308" s="36"/>
      <c r="J308" s="36"/>
      <c r="K308" s="36"/>
      <c r="L308" s="36"/>
      <c r="M308" s="36"/>
      <c r="N308" s="36"/>
      <c r="Q308" s="4722"/>
      <c r="R308" s="4446"/>
      <c r="S308" s="4706"/>
      <c r="T308" s="4706"/>
      <c r="U308" s="4707"/>
      <c r="V308" s="4707"/>
      <c r="W308" s="4722"/>
      <c r="Y308" s="36"/>
      <c r="Z308" s="36"/>
      <c r="AA308" s="36"/>
      <c r="AB308" s="36"/>
      <c r="AC308" s="36"/>
      <c r="AD308" s="36"/>
      <c r="AE308" s="36"/>
      <c r="AF308" s="36"/>
      <c r="AG308" s="36"/>
      <c r="AH308" s="36"/>
      <c r="AI308" s="36"/>
      <c r="AJ308" s="36"/>
      <c r="AK308" s="36"/>
      <c r="AL308" s="36"/>
      <c r="AM308" s="36"/>
      <c r="AN308" s="36"/>
      <c r="AR308" s="27"/>
      <c r="AS308" s="27" t="s">
        <v>1074</v>
      </c>
      <c r="AT308" s="3722">
        <v>0</v>
      </c>
      <c r="AU308" s="3722">
        <v>1</v>
      </c>
      <c r="AV308" s="3722">
        <v>1</v>
      </c>
      <c r="AW308" s="3722"/>
      <c r="AX308" s="3722">
        <v>0</v>
      </c>
      <c r="AY308" s="3722">
        <v>0</v>
      </c>
      <c r="AZ308" s="3722">
        <v>0</v>
      </c>
      <c r="BA308" s="3722">
        <v>0</v>
      </c>
      <c r="BB308" s="3722">
        <v>0</v>
      </c>
      <c r="BC308" s="3701"/>
      <c r="BD308" s="3701"/>
      <c r="BE308" s="3701">
        <v>2</v>
      </c>
      <c r="BF308" s="3701"/>
      <c r="BG308" s="3701"/>
      <c r="BK308" s="1520" t="s">
        <v>15</v>
      </c>
      <c r="BL308" s="3872"/>
      <c r="BM308" s="3872"/>
      <c r="BN308" s="3872"/>
      <c r="BO308" s="3872"/>
      <c r="BP308" s="3872">
        <v>1</v>
      </c>
      <c r="BQ308" s="3872">
        <v>5</v>
      </c>
      <c r="BR308" s="3872">
        <v>4</v>
      </c>
      <c r="BS308" s="3872"/>
      <c r="BT308" s="3806"/>
      <c r="BU308" s="3806">
        <v>10</v>
      </c>
      <c r="BV308" s="3807">
        <v>0</v>
      </c>
      <c r="BX308" s="36" t="s">
        <v>59</v>
      </c>
      <c r="BY308" s="36" t="s">
        <v>16</v>
      </c>
      <c r="BZ308" s="36" t="s">
        <v>608</v>
      </c>
      <c r="CA308" s="36" t="s">
        <v>1072</v>
      </c>
      <c r="CB308" s="1681"/>
      <c r="CC308" s="1681"/>
      <c r="CD308" s="1681"/>
      <c r="CE308" s="1681"/>
      <c r="CF308" s="1681"/>
      <c r="CG308" s="1681">
        <v>7</v>
      </c>
      <c r="CH308" s="1681"/>
      <c r="CI308" s="1681">
        <v>0</v>
      </c>
      <c r="CJ308" s="95"/>
      <c r="CK308" s="95"/>
      <c r="CL308" s="95">
        <v>7</v>
      </c>
      <c r="CM308" s="36"/>
      <c r="CO308" s="37"/>
      <c r="CP308" s="37"/>
      <c r="CQ308" s="37"/>
      <c r="CR308" s="37" t="s">
        <v>1081</v>
      </c>
      <c r="CS308" s="1678"/>
      <c r="CT308" s="1678"/>
      <c r="CU308" s="1678"/>
      <c r="CV308" s="1678"/>
      <c r="CW308" s="1678"/>
      <c r="CX308" s="1678">
        <v>0</v>
      </c>
      <c r="CY308" s="1678"/>
      <c r="CZ308" s="1678">
        <v>6</v>
      </c>
      <c r="DA308" s="1678"/>
      <c r="DB308" s="63"/>
      <c r="DC308" s="63"/>
      <c r="DD308" s="63">
        <v>6</v>
      </c>
      <c r="DG308" s="95"/>
      <c r="DH308" s="95"/>
      <c r="DI308" s="36"/>
      <c r="DJ308" s="36" t="s">
        <v>1081</v>
      </c>
      <c r="DK308" s="1484"/>
      <c r="DL308" s="1484"/>
      <c r="DM308" s="1484"/>
      <c r="DN308" s="1484"/>
      <c r="DO308" s="1484"/>
      <c r="DP308" s="1484"/>
      <c r="DQ308" s="1484">
        <v>0</v>
      </c>
      <c r="DR308" s="1484">
        <v>7</v>
      </c>
      <c r="DS308" s="1484"/>
      <c r="DT308" s="95"/>
      <c r="DU308" s="95"/>
      <c r="DV308" s="95">
        <v>7</v>
      </c>
      <c r="DW308" s="95"/>
      <c r="DY308" s="1209"/>
      <c r="DZ308" s="1209"/>
      <c r="EA308" s="1210"/>
      <c r="EB308" s="1211" t="s">
        <v>1076</v>
      </c>
      <c r="EC308" s="1213">
        <v>0</v>
      </c>
      <c r="ED308" s="1212"/>
      <c r="EE308" s="1212"/>
      <c r="EF308" s="1212"/>
      <c r="EG308" s="1213">
        <v>0</v>
      </c>
      <c r="EH308" s="1213">
        <v>2</v>
      </c>
      <c r="EI308" s="1213">
        <v>0</v>
      </c>
      <c r="EJ308" s="1213">
        <v>0</v>
      </c>
      <c r="EK308" s="611"/>
      <c r="EL308" s="611"/>
      <c r="EM308" s="612">
        <v>2</v>
      </c>
      <c r="EN308" s="36"/>
      <c r="EP308" s="527"/>
      <c r="EQ308" s="527"/>
      <c r="ER308" s="528"/>
      <c r="ES308" s="555" t="s">
        <v>731</v>
      </c>
      <c r="ET308" s="556"/>
      <c r="EU308" s="557">
        <v>1</v>
      </c>
      <c r="EV308" s="556"/>
      <c r="EW308" s="556"/>
      <c r="EX308" s="556"/>
      <c r="EY308" s="557">
        <v>11</v>
      </c>
      <c r="EZ308" s="556"/>
      <c r="FA308" s="556"/>
      <c r="FB308" s="558"/>
      <c r="FC308" s="558"/>
      <c r="FD308" s="559">
        <v>12</v>
      </c>
      <c r="FE308" s="560">
        <f>+(FD305+FD306+FD307)/FD308</f>
        <v>0.66666666666666663</v>
      </c>
    </row>
    <row r="309" spans="1:161" ht="14.4" customHeight="1">
      <c r="A309" s="5682">
        <v>4</v>
      </c>
      <c r="B309" s="5682">
        <v>2</v>
      </c>
      <c r="C309" s="5683" t="s">
        <v>608</v>
      </c>
      <c r="D309" s="5683" t="s">
        <v>2709</v>
      </c>
      <c r="E309" s="5682">
        <v>3</v>
      </c>
      <c r="F309" s="5682">
        <v>7</v>
      </c>
      <c r="I309" s="36"/>
      <c r="J309" s="36"/>
      <c r="K309" s="36"/>
      <c r="L309" s="36"/>
      <c r="M309" s="36"/>
      <c r="N309" s="36"/>
      <c r="Q309" s="4722"/>
      <c r="R309" s="4446"/>
      <c r="S309" s="4706"/>
      <c r="T309" s="4706"/>
      <c r="U309" s="4707"/>
      <c r="V309" s="4707"/>
      <c r="W309" s="4722"/>
      <c r="Y309" s="36"/>
      <c r="Z309" s="36"/>
      <c r="AA309" s="36"/>
      <c r="AB309" s="36"/>
      <c r="AC309" s="36"/>
      <c r="AD309" s="36"/>
      <c r="AE309" s="36"/>
      <c r="AF309" s="36"/>
      <c r="AG309" s="36"/>
      <c r="AH309" s="36"/>
      <c r="AI309" s="36"/>
      <c r="AJ309" s="36"/>
      <c r="AK309" s="36"/>
      <c r="AL309" s="36"/>
      <c r="AM309" s="36"/>
      <c r="AN309" s="4539" t="s">
        <v>2757</v>
      </c>
      <c r="AR309" s="27"/>
      <c r="AS309" s="27" t="s">
        <v>1076</v>
      </c>
      <c r="AT309" s="3722">
        <v>0</v>
      </c>
      <c r="AU309" s="3722">
        <v>0</v>
      </c>
      <c r="AV309" s="3722">
        <v>0</v>
      </c>
      <c r="AW309" s="3722"/>
      <c r="AX309" s="3722">
        <v>0</v>
      </c>
      <c r="AY309" s="3722">
        <v>0</v>
      </c>
      <c r="AZ309" s="3722">
        <v>7</v>
      </c>
      <c r="BA309" s="3722">
        <v>0</v>
      </c>
      <c r="BB309" s="3722">
        <v>0</v>
      </c>
      <c r="BC309" s="3701"/>
      <c r="BD309" s="3701"/>
      <c r="BE309" s="3701">
        <v>7</v>
      </c>
      <c r="BF309" s="3701"/>
      <c r="BG309" s="3701"/>
      <c r="BJ309" s="1520" t="s">
        <v>487</v>
      </c>
      <c r="BK309" s="1520" t="s">
        <v>1071</v>
      </c>
      <c r="BL309" s="3872"/>
      <c r="BM309" s="3872"/>
      <c r="BN309" s="3872"/>
      <c r="BO309" s="3872"/>
      <c r="BP309" s="3872">
        <v>1</v>
      </c>
      <c r="BQ309" s="3872">
        <v>0</v>
      </c>
      <c r="BR309" s="3872">
        <v>0</v>
      </c>
      <c r="BS309" s="3872"/>
      <c r="BT309" s="3806"/>
      <c r="BU309" s="3806">
        <v>1</v>
      </c>
      <c r="BV309" s="1520"/>
      <c r="BX309" s="36"/>
      <c r="BY309" s="36"/>
      <c r="BZ309" s="36"/>
      <c r="CA309" s="36" t="s">
        <v>1080</v>
      </c>
      <c r="CB309" s="1681"/>
      <c r="CC309" s="1681"/>
      <c r="CD309" s="1681"/>
      <c r="CE309" s="1681"/>
      <c r="CF309" s="1681"/>
      <c r="CG309" s="1681">
        <v>0</v>
      </c>
      <c r="CH309" s="1681"/>
      <c r="CI309" s="1681">
        <v>1</v>
      </c>
      <c r="CJ309" s="95"/>
      <c r="CK309" s="95"/>
      <c r="CL309" s="95">
        <v>1</v>
      </c>
      <c r="CM309" s="36"/>
      <c r="CO309" s="37"/>
      <c r="CP309" s="37"/>
      <c r="CQ309" s="37"/>
      <c r="CR309" s="416" t="s">
        <v>15</v>
      </c>
      <c r="CS309" s="1679"/>
      <c r="CT309" s="1679"/>
      <c r="CU309" s="1679"/>
      <c r="CV309" s="1679"/>
      <c r="CW309" s="1679"/>
      <c r="CX309" s="1679">
        <v>1</v>
      </c>
      <c r="CY309" s="1679"/>
      <c r="CZ309" s="1679">
        <v>17</v>
      </c>
      <c r="DA309" s="1679"/>
      <c r="DB309" s="386"/>
      <c r="DC309" s="386"/>
      <c r="DD309" s="386">
        <v>18</v>
      </c>
      <c r="DE309" s="2045">
        <f>+(DD307+DD308)/DD309</f>
        <v>0.3888888888888889</v>
      </c>
      <c r="DG309" s="95"/>
      <c r="DH309" s="95"/>
      <c r="DI309" s="36"/>
      <c r="DJ309" s="36" t="s">
        <v>1163</v>
      </c>
      <c r="DK309" s="1484"/>
      <c r="DL309" s="1484"/>
      <c r="DM309" s="1484"/>
      <c r="DN309" s="1484"/>
      <c r="DO309" s="1484"/>
      <c r="DP309" s="1484"/>
      <c r="DQ309" s="1484">
        <v>3</v>
      </c>
      <c r="DR309" s="1484">
        <v>1</v>
      </c>
      <c r="DS309" s="1484"/>
      <c r="DT309" s="95"/>
      <c r="DU309" s="95"/>
      <c r="DV309" s="95">
        <v>4</v>
      </c>
      <c r="DW309" s="95"/>
      <c r="DY309" s="1209"/>
      <c r="DZ309" s="1209"/>
      <c r="EA309" s="1210"/>
      <c r="EB309" s="1211" t="s">
        <v>1080</v>
      </c>
      <c r="EC309" s="1213">
        <v>0</v>
      </c>
      <c r="ED309" s="1212"/>
      <c r="EE309" s="1212"/>
      <c r="EF309" s="1212"/>
      <c r="EG309" s="1213">
        <v>0</v>
      </c>
      <c r="EH309" s="1213">
        <v>0</v>
      </c>
      <c r="EI309" s="1213">
        <v>0</v>
      </c>
      <c r="EJ309" s="1213">
        <v>6</v>
      </c>
      <c r="EK309" s="611"/>
      <c r="EL309" s="611"/>
      <c r="EM309" s="612">
        <v>6</v>
      </c>
      <c r="EN309" s="36"/>
      <c r="EP309" s="527"/>
      <c r="EQ309" s="527" t="s">
        <v>64</v>
      </c>
      <c r="ER309" s="528" t="s">
        <v>609</v>
      </c>
      <c r="ES309" s="529" t="s">
        <v>1072</v>
      </c>
      <c r="ET309" s="530"/>
      <c r="EU309" s="531">
        <v>0</v>
      </c>
      <c r="EV309" s="530"/>
      <c r="EW309" s="531">
        <v>2</v>
      </c>
      <c r="EX309" s="530"/>
      <c r="EY309" s="531">
        <v>3</v>
      </c>
      <c r="EZ309" s="531">
        <v>2</v>
      </c>
      <c r="FA309" s="530"/>
      <c r="FB309" s="527"/>
      <c r="FC309" s="527"/>
      <c r="FD309" s="532">
        <v>7</v>
      </c>
      <c r="FE309" s="95"/>
    </row>
    <row r="310" spans="1:161" ht="28.95" customHeight="1">
      <c r="A310" s="5682"/>
      <c r="B310" s="5682"/>
      <c r="C310" s="5686" t="s">
        <v>16</v>
      </c>
      <c r="D310" s="5683"/>
      <c r="E310" s="5686">
        <f>SUM(E307:E309)</f>
        <v>14</v>
      </c>
      <c r="F310" s="5691"/>
      <c r="G310" s="4940">
        <f>E308/E310</f>
        <v>7.1428571428571425E-2</v>
      </c>
      <c r="I310" s="36"/>
      <c r="J310" s="36"/>
      <c r="K310" s="36"/>
      <c r="L310" s="36"/>
      <c r="M310" s="36"/>
      <c r="N310" s="36"/>
      <c r="Q310" s="4722"/>
      <c r="R310" s="4446"/>
      <c r="S310" s="4706"/>
      <c r="T310" s="4706"/>
      <c r="U310" s="4707"/>
      <c r="V310" s="4707"/>
      <c r="W310" s="4722"/>
      <c r="X310" s="4622"/>
      <c r="AR310" s="27"/>
      <c r="AS310" s="27" t="s">
        <v>1081</v>
      </c>
      <c r="AT310" s="3722">
        <v>0</v>
      </c>
      <c r="AU310" s="3722">
        <v>0</v>
      </c>
      <c r="AV310" s="3722">
        <v>0</v>
      </c>
      <c r="AW310" s="3722"/>
      <c r="AX310" s="3722">
        <v>0</v>
      </c>
      <c r="AY310" s="3722">
        <v>0</v>
      </c>
      <c r="AZ310" s="3722">
        <v>12</v>
      </c>
      <c r="BA310" s="3722">
        <v>0</v>
      </c>
      <c r="BB310" s="3722">
        <v>0</v>
      </c>
      <c r="BC310" s="3701"/>
      <c r="BD310" s="3701"/>
      <c r="BE310" s="3701">
        <v>12</v>
      </c>
      <c r="BF310" s="3701"/>
      <c r="BG310" s="3701"/>
      <c r="BJ310" s="1520"/>
      <c r="BK310" s="1520" t="s">
        <v>1072</v>
      </c>
      <c r="BL310" s="3872"/>
      <c r="BM310" s="3872"/>
      <c r="BN310" s="3872"/>
      <c r="BO310" s="3872"/>
      <c r="BP310" s="3872">
        <v>0</v>
      </c>
      <c r="BQ310" s="3872">
        <v>5</v>
      </c>
      <c r="BR310" s="3872">
        <v>0</v>
      </c>
      <c r="BS310" s="3872"/>
      <c r="BT310" s="3806"/>
      <c r="BU310" s="3806">
        <v>5</v>
      </c>
      <c r="BV310" s="1520"/>
      <c r="BX310" s="36"/>
      <c r="BY310" s="36"/>
      <c r="BZ310" s="36"/>
      <c r="CA310" s="393" t="s">
        <v>15</v>
      </c>
      <c r="CB310" s="1682"/>
      <c r="CC310" s="1682"/>
      <c r="CD310" s="1682"/>
      <c r="CE310" s="1682"/>
      <c r="CF310" s="1682"/>
      <c r="CG310" s="1682">
        <v>7</v>
      </c>
      <c r="CH310" s="1682"/>
      <c r="CI310" s="1682">
        <v>1</v>
      </c>
      <c r="CJ310" s="2041"/>
      <c r="CK310" s="2041"/>
      <c r="CL310" s="2041">
        <v>8</v>
      </c>
      <c r="CM310" s="560">
        <v>0</v>
      </c>
      <c r="CN310" s="1665"/>
      <c r="CO310" s="37"/>
      <c r="CP310" s="37"/>
      <c r="CQ310" s="37" t="s">
        <v>486</v>
      </c>
      <c r="CR310" s="37" t="s">
        <v>1072</v>
      </c>
      <c r="CS310" s="1678"/>
      <c r="CT310" s="1678"/>
      <c r="CU310" s="1678"/>
      <c r="CV310" s="1678"/>
      <c r="CW310" s="1678"/>
      <c r="CX310" s="1678">
        <v>1</v>
      </c>
      <c r="CY310" s="1678"/>
      <c r="CZ310" s="1678">
        <v>10</v>
      </c>
      <c r="DA310" s="1678"/>
      <c r="DB310" s="63"/>
      <c r="DC310" s="63"/>
      <c r="DD310" s="63">
        <v>11</v>
      </c>
      <c r="DG310" s="95"/>
      <c r="DH310" s="95"/>
      <c r="DI310" s="36"/>
      <c r="DJ310" s="393" t="s">
        <v>15</v>
      </c>
      <c r="DK310" s="1485"/>
      <c r="DL310" s="1485"/>
      <c r="DM310" s="1485"/>
      <c r="DN310" s="1485"/>
      <c r="DO310" s="1485"/>
      <c r="DP310" s="1485"/>
      <c r="DQ310" s="1485">
        <v>3</v>
      </c>
      <c r="DR310" s="1485">
        <v>17</v>
      </c>
      <c r="DS310" s="1485"/>
      <c r="DT310" s="86"/>
      <c r="DU310" s="86"/>
      <c r="DV310" s="86">
        <v>20</v>
      </c>
      <c r="DW310" s="560">
        <f>+(DV307+DV308+DV309)/DV310</f>
        <v>0.9</v>
      </c>
      <c r="DY310" s="1209"/>
      <c r="DZ310" s="1209"/>
      <c r="EA310" s="1210"/>
      <c r="EB310" s="1211" t="s">
        <v>1081</v>
      </c>
      <c r="EC310" s="1213">
        <v>0</v>
      </c>
      <c r="ED310" s="1212"/>
      <c r="EE310" s="1212"/>
      <c r="EF310" s="1212"/>
      <c r="EG310" s="1213">
        <v>0</v>
      </c>
      <c r="EH310" s="1213">
        <v>0</v>
      </c>
      <c r="EI310" s="1213">
        <v>1</v>
      </c>
      <c r="EJ310" s="1213">
        <v>0</v>
      </c>
      <c r="EK310" s="611"/>
      <c r="EL310" s="611"/>
      <c r="EM310" s="612">
        <v>1</v>
      </c>
      <c r="EN310" s="36"/>
      <c r="EP310" s="527"/>
      <c r="EQ310" s="527"/>
      <c r="ER310" s="528"/>
      <c r="ES310" s="529" t="s">
        <v>1074</v>
      </c>
      <c r="ET310" s="530"/>
      <c r="EU310" s="531">
        <v>1</v>
      </c>
      <c r="EV310" s="530"/>
      <c r="EW310" s="531">
        <v>0</v>
      </c>
      <c r="EX310" s="530"/>
      <c r="EY310" s="531">
        <v>0</v>
      </c>
      <c r="EZ310" s="531">
        <v>0</v>
      </c>
      <c r="FA310" s="530"/>
      <c r="FB310" s="527"/>
      <c r="FC310" s="527"/>
      <c r="FD310" s="532">
        <v>1</v>
      </c>
      <c r="FE310" s="95"/>
    </row>
    <row r="311" spans="1:161" ht="28.95" customHeight="1">
      <c r="A311" s="5682">
        <v>4</v>
      </c>
      <c r="B311" s="5682">
        <v>5</v>
      </c>
      <c r="C311" s="5683" t="s">
        <v>383</v>
      </c>
      <c r="D311" s="5683" t="s">
        <v>2731</v>
      </c>
      <c r="E311" s="5682">
        <v>12</v>
      </c>
      <c r="F311" s="5682">
        <v>8</v>
      </c>
      <c r="I311" s="36"/>
      <c r="J311" s="36"/>
      <c r="K311" s="36"/>
      <c r="L311" s="36"/>
      <c r="M311" s="36"/>
      <c r="N311" s="36"/>
      <c r="Q311" s="4722"/>
      <c r="R311" s="4446"/>
      <c r="S311" s="4706"/>
      <c r="T311" s="4706"/>
      <c r="U311" s="4707"/>
      <c r="V311" s="4707"/>
      <c r="W311" s="4722"/>
      <c r="X311" s="4622"/>
      <c r="AL311" s="4522">
        <v>76</v>
      </c>
      <c r="AN311" s="25">
        <f>AL311/AM307</f>
        <v>0.10998552821997105</v>
      </c>
      <c r="AR311" s="27"/>
      <c r="AS311" s="27" t="s">
        <v>2571</v>
      </c>
      <c r="AT311" s="3722">
        <v>3</v>
      </c>
      <c r="AU311" s="3722">
        <v>0</v>
      </c>
      <c r="AV311" s="3722">
        <v>0</v>
      </c>
      <c r="AW311" s="3722"/>
      <c r="AX311" s="3722">
        <v>0</v>
      </c>
      <c r="AY311" s="3722">
        <v>0</v>
      </c>
      <c r="AZ311" s="3722">
        <v>0</v>
      </c>
      <c r="BA311" s="3722">
        <v>0</v>
      </c>
      <c r="BB311" s="3722">
        <v>0</v>
      </c>
      <c r="BC311" s="3701"/>
      <c r="BD311" s="3701"/>
      <c r="BE311" s="3701">
        <v>3</v>
      </c>
      <c r="BF311" s="3701"/>
      <c r="BG311" s="3701"/>
      <c r="BJ311" s="1520"/>
      <c r="BK311" s="1520" t="s">
        <v>1080</v>
      </c>
      <c r="BL311" s="3872"/>
      <c r="BM311" s="3872"/>
      <c r="BN311" s="3872"/>
      <c r="BO311" s="3872"/>
      <c r="BP311" s="3872">
        <v>0</v>
      </c>
      <c r="BQ311" s="3872">
        <v>0</v>
      </c>
      <c r="BR311" s="3872">
        <v>4</v>
      </c>
      <c r="BS311" s="3872"/>
      <c r="BT311" s="3806"/>
      <c r="BU311" s="3806">
        <v>4</v>
      </c>
      <c r="BV311" s="1520"/>
      <c r="BX311" s="36"/>
      <c r="BY311" s="36"/>
      <c r="BZ311" s="393" t="s">
        <v>483</v>
      </c>
      <c r="CA311" s="393" t="s">
        <v>1072</v>
      </c>
      <c r="CB311" s="1682"/>
      <c r="CC311" s="1682"/>
      <c r="CD311" s="1682"/>
      <c r="CE311" s="1682"/>
      <c r="CF311" s="1682"/>
      <c r="CG311" s="1682">
        <v>7</v>
      </c>
      <c r="CH311" s="1682"/>
      <c r="CI311" s="1682">
        <v>0</v>
      </c>
      <c r="CJ311" s="2041"/>
      <c r="CK311" s="2041"/>
      <c r="CL311" s="2041">
        <v>7</v>
      </c>
      <c r="CM311" s="36"/>
      <c r="CO311" s="37"/>
      <c r="CP311" s="37"/>
      <c r="CQ311" s="37"/>
      <c r="CR311" s="37" t="s">
        <v>1076</v>
      </c>
      <c r="CS311" s="1678"/>
      <c r="CT311" s="1678"/>
      <c r="CU311" s="1678"/>
      <c r="CV311" s="1678"/>
      <c r="CW311" s="1678"/>
      <c r="CX311" s="1678">
        <v>0</v>
      </c>
      <c r="CY311" s="1678"/>
      <c r="CZ311" s="1678">
        <v>1</v>
      </c>
      <c r="DA311" s="1678"/>
      <c r="DB311" s="63"/>
      <c r="DC311" s="63"/>
      <c r="DD311" s="63">
        <v>1</v>
      </c>
      <c r="DG311" s="95"/>
      <c r="DH311" s="95"/>
      <c r="DI311" s="36" t="s">
        <v>15</v>
      </c>
      <c r="DJ311" s="36" t="s">
        <v>1072</v>
      </c>
      <c r="DK311" s="1484"/>
      <c r="DL311" s="1484"/>
      <c r="DM311" s="1484"/>
      <c r="DN311" s="1484"/>
      <c r="DO311" s="1484"/>
      <c r="DP311" s="1484"/>
      <c r="DQ311" s="1484">
        <v>0</v>
      </c>
      <c r="DR311" s="1484">
        <v>2</v>
      </c>
      <c r="DS311" s="1484"/>
      <c r="DT311" s="95"/>
      <c r="DU311" s="95"/>
      <c r="DV311" s="95">
        <v>2</v>
      </c>
      <c r="DW311" s="95"/>
      <c r="DY311" s="1209"/>
      <c r="DZ311" s="1209"/>
      <c r="EA311" s="1210"/>
      <c r="EB311" s="415" t="s">
        <v>15</v>
      </c>
      <c r="EC311" s="1215">
        <v>1</v>
      </c>
      <c r="ED311" s="1214"/>
      <c r="EE311" s="1214"/>
      <c r="EF311" s="1214"/>
      <c r="EG311" s="1215">
        <v>1</v>
      </c>
      <c r="EH311" s="1215">
        <v>4</v>
      </c>
      <c r="EI311" s="1215">
        <v>3</v>
      </c>
      <c r="EJ311" s="1215">
        <v>6</v>
      </c>
      <c r="EK311" s="620"/>
      <c r="EL311" s="620"/>
      <c r="EM311" s="621">
        <v>15</v>
      </c>
      <c r="EN311" s="1178">
        <f>+(EM308+EM310)/EM311</f>
        <v>0.2</v>
      </c>
      <c r="EP311" s="527"/>
      <c r="EQ311" s="527"/>
      <c r="ER311" s="528"/>
      <c r="ES311" s="529" t="s">
        <v>1081</v>
      </c>
      <c r="ET311" s="530"/>
      <c r="EU311" s="531">
        <v>0</v>
      </c>
      <c r="EV311" s="530"/>
      <c r="EW311" s="531">
        <v>0</v>
      </c>
      <c r="EX311" s="530"/>
      <c r="EY311" s="531">
        <v>0</v>
      </c>
      <c r="EZ311" s="531">
        <v>1</v>
      </c>
      <c r="FA311" s="530"/>
      <c r="FB311" s="527"/>
      <c r="FC311" s="527"/>
      <c r="FD311" s="532">
        <v>1</v>
      </c>
      <c r="FE311" s="95"/>
    </row>
    <row r="312" spans="1:161" ht="28.95" customHeight="1" thickBot="1">
      <c r="A312" s="5682">
        <v>4</v>
      </c>
      <c r="B312" s="5682">
        <v>5</v>
      </c>
      <c r="C312" s="5683" t="s">
        <v>383</v>
      </c>
      <c r="D312" s="5683" t="s">
        <v>2703</v>
      </c>
      <c r="E312" s="5682">
        <v>1</v>
      </c>
      <c r="F312" s="5682">
        <v>1</v>
      </c>
      <c r="I312" s="36"/>
      <c r="J312" s="36"/>
      <c r="K312" s="36"/>
      <c r="L312" s="36"/>
      <c r="M312" s="36"/>
      <c r="N312" s="36"/>
      <c r="Q312" s="4722"/>
      <c r="R312" s="4446"/>
      <c r="S312" s="4706"/>
      <c r="T312" s="4706"/>
      <c r="U312" s="4707"/>
      <c r="V312" s="4707"/>
      <c r="W312" s="4722"/>
      <c r="X312" s="4622"/>
      <c r="Y312" s="4715" t="s">
        <v>2698</v>
      </c>
      <c r="Z312" s="4715" t="s">
        <v>2699</v>
      </c>
      <c r="AA312" s="4715" t="s">
        <v>2722</v>
      </c>
      <c r="AB312" s="4715" t="s">
        <v>2730</v>
      </c>
      <c r="AC312" s="4715" t="s">
        <v>2767</v>
      </c>
      <c r="AD312" s="4715" t="s">
        <v>1138</v>
      </c>
      <c r="AE312" s="4622"/>
      <c r="AR312" s="27"/>
      <c r="AS312" s="27" t="s">
        <v>1163</v>
      </c>
      <c r="AT312" s="3722">
        <v>0</v>
      </c>
      <c r="AU312" s="3722">
        <v>0</v>
      </c>
      <c r="AV312" s="3722">
        <v>0</v>
      </c>
      <c r="AW312" s="3722"/>
      <c r="AX312" s="3722">
        <v>0</v>
      </c>
      <c r="AY312" s="3722">
        <v>0</v>
      </c>
      <c r="AZ312" s="3722">
        <v>3</v>
      </c>
      <c r="BA312" s="3722">
        <v>0</v>
      </c>
      <c r="BB312" s="3722">
        <v>0</v>
      </c>
      <c r="BC312" s="3701"/>
      <c r="BD312" s="3701"/>
      <c r="BE312" s="3701">
        <v>3</v>
      </c>
      <c r="BF312" s="3701"/>
      <c r="BG312" s="3701"/>
      <c r="BJ312" s="1520"/>
      <c r="BK312" s="1520" t="s">
        <v>487</v>
      </c>
      <c r="BL312" s="3872"/>
      <c r="BM312" s="3872"/>
      <c r="BN312" s="3872"/>
      <c r="BO312" s="3872"/>
      <c r="BP312" s="3872">
        <v>1</v>
      </c>
      <c r="BQ312" s="3872">
        <v>5</v>
      </c>
      <c r="BR312" s="3872">
        <v>4</v>
      </c>
      <c r="BS312" s="3872"/>
      <c r="BT312" s="3806"/>
      <c r="BU312" s="3806">
        <v>10</v>
      </c>
      <c r="BV312" s="3807">
        <v>0</v>
      </c>
      <c r="BX312" s="36"/>
      <c r="BY312" s="36"/>
      <c r="BZ312" s="393"/>
      <c r="CA312" s="393" t="s">
        <v>1080</v>
      </c>
      <c r="CB312" s="1682"/>
      <c r="CC312" s="1682"/>
      <c r="CD312" s="1682"/>
      <c r="CE312" s="1682"/>
      <c r="CF312" s="1682"/>
      <c r="CG312" s="1682">
        <v>0</v>
      </c>
      <c r="CH312" s="1682"/>
      <c r="CI312" s="1682">
        <v>1</v>
      </c>
      <c r="CJ312" s="2041"/>
      <c r="CK312" s="2041"/>
      <c r="CL312" s="2041">
        <v>1</v>
      </c>
      <c r="CM312" s="36"/>
      <c r="CO312" s="37"/>
      <c r="CP312" s="37"/>
      <c r="CQ312" s="37"/>
      <c r="CR312" s="37" t="s">
        <v>1081</v>
      </c>
      <c r="CS312" s="1678"/>
      <c r="CT312" s="1678"/>
      <c r="CU312" s="1678"/>
      <c r="CV312" s="1678"/>
      <c r="CW312" s="1678"/>
      <c r="CX312" s="1678">
        <v>0</v>
      </c>
      <c r="CY312" s="1678"/>
      <c r="CZ312" s="1678">
        <v>6</v>
      </c>
      <c r="DA312" s="1678"/>
      <c r="DB312" s="63"/>
      <c r="DC312" s="63"/>
      <c r="DD312" s="63">
        <v>6</v>
      </c>
      <c r="DG312" s="95"/>
      <c r="DH312" s="95"/>
      <c r="DI312" s="36"/>
      <c r="DJ312" s="36" t="s">
        <v>1076</v>
      </c>
      <c r="DK312" s="1484"/>
      <c r="DL312" s="1484"/>
      <c r="DM312" s="1484"/>
      <c r="DN312" s="1484"/>
      <c r="DO312" s="1484"/>
      <c r="DP312" s="1484"/>
      <c r="DQ312" s="1484">
        <v>0</v>
      </c>
      <c r="DR312" s="1484">
        <v>7</v>
      </c>
      <c r="DS312" s="1484"/>
      <c r="DT312" s="95"/>
      <c r="DU312" s="95"/>
      <c r="DV312" s="95">
        <v>7</v>
      </c>
      <c r="DW312" s="95"/>
      <c r="DY312" s="1209"/>
      <c r="DZ312" s="1209"/>
      <c r="EA312" s="1210" t="s">
        <v>487</v>
      </c>
      <c r="EB312" s="1211" t="s">
        <v>1072</v>
      </c>
      <c r="EC312" s="1213">
        <v>1</v>
      </c>
      <c r="ED312" s="1212"/>
      <c r="EE312" s="1212"/>
      <c r="EF312" s="1212"/>
      <c r="EG312" s="1213">
        <v>1</v>
      </c>
      <c r="EH312" s="1213">
        <v>2</v>
      </c>
      <c r="EI312" s="1213">
        <v>2</v>
      </c>
      <c r="EJ312" s="1213">
        <v>0</v>
      </c>
      <c r="EK312" s="611"/>
      <c r="EL312" s="611"/>
      <c r="EM312" s="612">
        <v>6</v>
      </c>
      <c r="EN312" s="36"/>
      <c r="EP312" s="527"/>
      <c r="EQ312" s="527"/>
      <c r="ER312" s="528"/>
      <c r="ES312" s="555" t="s">
        <v>15</v>
      </c>
      <c r="ET312" s="556"/>
      <c r="EU312" s="557">
        <v>1</v>
      </c>
      <c r="EV312" s="556"/>
      <c r="EW312" s="557">
        <v>2</v>
      </c>
      <c r="EX312" s="556"/>
      <c r="EY312" s="557">
        <v>3</v>
      </c>
      <c r="EZ312" s="557">
        <v>3</v>
      </c>
      <c r="FA312" s="556"/>
      <c r="FB312" s="558"/>
      <c r="FC312" s="558"/>
      <c r="FD312" s="559">
        <v>9</v>
      </c>
      <c r="FE312" s="560">
        <f>+FD311/FD312</f>
        <v>0.1111111111111111</v>
      </c>
    </row>
    <row r="313" spans="1:161" ht="28.95" customHeight="1">
      <c r="A313" s="5682">
        <v>4</v>
      </c>
      <c r="B313" s="5682">
        <v>5</v>
      </c>
      <c r="C313" s="5683" t="s">
        <v>383</v>
      </c>
      <c r="D313" s="5683" t="s">
        <v>2709</v>
      </c>
      <c r="E313" s="5682">
        <v>1</v>
      </c>
      <c r="F313" s="5682">
        <v>6</v>
      </c>
      <c r="I313" s="36"/>
      <c r="J313" s="36"/>
      <c r="K313" s="36"/>
      <c r="L313" s="36"/>
      <c r="M313" s="36"/>
      <c r="N313" s="36"/>
      <c r="Q313" s="4722"/>
      <c r="R313" s="4446"/>
      <c r="S313" s="4706"/>
      <c r="T313" s="4706"/>
      <c r="U313" s="4707"/>
      <c r="V313" s="4707"/>
      <c r="W313" s="4722"/>
      <c r="X313" s="4622"/>
      <c r="Y313" s="4713">
        <v>1</v>
      </c>
      <c r="Z313" s="4713">
        <v>1</v>
      </c>
      <c r="AA313" s="4714" t="s">
        <v>265</v>
      </c>
      <c r="AB313" s="4714" t="s">
        <v>2731</v>
      </c>
      <c r="AC313" s="4713">
        <v>2</v>
      </c>
      <c r="AD313" s="4713">
        <v>6</v>
      </c>
      <c r="AE313" s="4622"/>
      <c r="AF313" s="4622"/>
      <c r="AG313" s="4622"/>
      <c r="AH313" s="4622"/>
      <c r="AI313" s="4622"/>
      <c r="AJ313" s="4622"/>
      <c r="AK313" s="4622"/>
      <c r="AL313" s="4622"/>
      <c r="AM313" s="4622"/>
      <c r="AN313" s="4622">
        <v>76</v>
      </c>
      <c r="AR313" s="27"/>
      <c r="AS313" s="3868" t="s">
        <v>15</v>
      </c>
      <c r="AT313" s="3722">
        <v>3</v>
      </c>
      <c r="AU313" s="3722">
        <v>1</v>
      </c>
      <c r="AV313" s="3722">
        <v>1</v>
      </c>
      <c r="AW313" s="3722"/>
      <c r="AX313" s="3722">
        <v>2</v>
      </c>
      <c r="AY313" s="3722">
        <v>3</v>
      </c>
      <c r="AZ313" s="3722">
        <v>49</v>
      </c>
      <c r="BA313" s="3722">
        <v>5</v>
      </c>
      <c r="BB313" s="3722">
        <v>2</v>
      </c>
      <c r="BC313" s="3701"/>
      <c r="BD313" s="3701"/>
      <c r="BE313" s="3701">
        <v>66</v>
      </c>
      <c r="BF313" s="1665">
        <f>+(BE309+BE310+BE312)/(BE313-BE311)</f>
        <v>0.34920634920634919</v>
      </c>
      <c r="BG313" s="1665"/>
      <c r="BJ313" s="1520" t="s">
        <v>256</v>
      </c>
      <c r="BK313" s="1520" t="s">
        <v>1071</v>
      </c>
      <c r="BL313" s="3872"/>
      <c r="BM313" s="3872"/>
      <c r="BN313" s="3872">
        <v>0</v>
      </c>
      <c r="BO313" s="3872">
        <v>0</v>
      </c>
      <c r="BP313" s="3872">
        <v>1</v>
      </c>
      <c r="BQ313" s="3872">
        <v>0</v>
      </c>
      <c r="BR313" s="3872">
        <v>0</v>
      </c>
      <c r="BS313" s="3872"/>
      <c r="BT313" s="3806"/>
      <c r="BU313" s="3806">
        <v>1</v>
      </c>
      <c r="BV313" s="1520"/>
      <c r="BX313" s="36"/>
      <c r="BY313" s="36"/>
      <c r="BZ313" s="393"/>
      <c r="CA313" s="393" t="s">
        <v>483</v>
      </c>
      <c r="CB313" s="1682"/>
      <c r="CC313" s="1682"/>
      <c r="CD313" s="1682"/>
      <c r="CE313" s="1682"/>
      <c r="CF313" s="1682"/>
      <c r="CG313" s="1682">
        <v>7</v>
      </c>
      <c r="CH313" s="1682"/>
      <c r="CI313" s="1682">
        <v>1</v>
      </c>
      <c r="CJ313" s="2041"/>
      <c r="CK313" s="2041"/>
      <c r="CL313" s="2041">
        <v>8</v>
      </c>
      <c r="CM313" s="560">
        <v>0</v>
      </c>
      <c r="CN313" s="1665"/>
      <c r="CO313" s="37"/>
      <c r="CP313" s="37"/>
      <c r="CQ313" s="37"/>
      <c r="CR313" s="416" t="s">
        <v>486</v>
      </c>
      <c r="CS313" s="1679"/>
      <c r="CT313" s="1679"/>
      <c r="CU313" s="1679"/>
      <c r="CV313" s="1679"/>
      <c r="CW313" s="1679"/>
      <c r="CX313" s="1679">
        <v>1</v>
      </c>
      <c r="CY313" s="1679"/>
      <c r="CZ313" s="1679">
        <v>17</v>
      </c>
      <c r="DA313" s="1679"/>
      <c r="DB313" s="386"/>
      <c r="DC313" s="386"/>
      <c r="DD313" s="386">
        <v>18</v>
      </c>
      <c r="DE313" s="2045">
        <f>+(DD311+DD312)/DD313</f>
        <v>0.3888888888888889</v>
      </c>
      <c r="DG313" s="95"/>
      <c r="DH313" s="95"/>
      <c r="DI313" s="36"/>
      <c r="DJ313" s="36" t="s">
        <v>1081</v>
      </c>
      <c r="DK313" s="1484"/>
      <c r="DL313" s="1484"/>
      <c r="DM313" s="1484"/>
      <c r="DN313" s="1484"/>
      <c r="DO313" s="1484"/>
      <c r="DP313" s="1484"/>
      <c r="DQ313" s="1484">
        <v>0</v>
      </c>
      <c r="DR313" s="1484">
        <v>7</v>
      </c>
      <c r="DS313" s="1484"/>
      <c r="DT313" s="95"/>
      <c r="DU313" s="95"/>
      <c r="DV313" s="95">
        <v>7</v>
      </c>
      <c r="DW313" s="95"/>
      <c r="DY313" s="1209"/>
      <c r="DZ313" s="1209"/>
      <c r="EA313" s="1210"/>
      <c r="EB313" s="1211" t="s">
        <v>1076</v>
      </c>
      <c r="EC313" s="1213">
        <v>0</v>
      </c>
      <c r="ED313" s="1212"/>
      <c r="EE313" s="1212"/>
      <c r="EF313" s="1212"/>
      <c r="EG313" s="1213">
        <v>0</v>
      </c>
      <c r="EH313" s="1213">
        <v>2</v>
      </c>
      <c r="EI313" s="1213">
        <v>0</v>
      </c>
      <c r="EJ313" s="1213">
        <v>0</v>
      </c>
      <c r="EK313" s="611"/>
      <c r="EL313" s="611"/>
      <c r="EM313" s="612">
        <v>2</v>
      </c>
      <c r="EN313" s="36"/>
      <c r="EP313" s="527"/>
      <c r="EQ313" s="527"/>
      <c r="ER313" s="528" t="s">
        <v>487</v>
      </c>
      <c r="ES313" s="529" t="s">
        <v>1072</v>
      </c>
      <c r="ET313" s="530"/>
      <c r="EU313" s="531">
        <v>0</v>
      </c>
      <c r="EV313" s="530"/>
      <c r="EW313" s="531">
        <v>2</v>
      </c>
      <c r="EX313" s="530"/>
      <c r="EY313" s="531">
        <v>3</v>
      </c>
      <c r="EZ313" s="531">
        <v>2</v>
      </c>
      <c r="FA313" s="530"/>
      <c r="FB313" s="527"/>
      <c r="FC313" s="527"/>
      <c r="FD313" s="532">
        <v>7</v>
      </c>
      <c r="FE313" s="95"/>
    </row>
    <row r="314" spans="1:161" ht="14.4" customHeight="1">
      <c r="A314" s="5682">
        <v>4</v>
      </c>
      <c r="B314" s="5682">
        <v>5</v>
      </c>
      <c r="C314" s="5683" t="s">
        <v>383</v>
      </c>
      <c r="D314" s="5683" t="s">
        <v>2709</v>
      </c>
      <c r="E314" s="5682">
        <v>7</v>
      </c>
      <c r="F314" s="5682">
        <v>7</v>
      </c>
      <c r="I314" s="5710"/>
      <c r="J314" s="36"/>
      <c r="K314" s="36"/>
      <c r="L314" s="36"/>
      <c r="M314" s="36"/>
      <c r="N314" s="36"/>
      <c r="Q314" s="4722"/>
      <c r="R314" s="4446"/>
      <c r="S314" s="4706"/>
      <c r="T314" s="4706"/>
      <c r="U314" s="4707"/>
      <c r="V314" s="4707"/>
      <c r="W314" s="4722"/>
      <c r="X314" s="4622"/>
      <c r="Y314" s="4705">
        <v>1</v>
      </c>
      <c r="Z314" s="4705">
        <v>1</v>
      </c>
      <c r="AA314" s="4706" t="s">
        <v>265</v>
      </c>
      <c r="AB314" s="4706" t="s">
        <v>2731</v>
      </c>
      <c r="AC314" s="4705">
        <v>2</v>
      </c>
      <c r="AD314" s="4705">
        <v>7</v>
      </c>
      <c r="AE314" s="4622"/>
      <c r="AF314" s="4622"/>
      <c r="AG314" s="4622"/>
      <c r="AH314" s="4622"/>
      <c r="AI314" s="4622"/>
      <c r="AJ314" s="4622"/>
      <c r="AK314" s="4622"/>
      <c r="AL314" s="4622"/>
      <c r="AM314" s="4622"/>
      <c r="AN314" s="4622"/>
      <c r="AR314" s="27" t="s">
        <v>412</v>
      </c>
      <c r="AS314" s="27" t="s">
        <v>1071</v>
      </c>
      <c r="AT314" s="3722">
        <v>0</v>
      </c>
      <c r="AU314" s="3722">
        <v>0</v>
      </c>
      <c r="AV314" s="3722">
        <v>0</v>
      </c>
      <c r="AW314" s="3722">
        <v>0</v>
      </c>
      <c r="AX314" s="3722">
        <v>0</v>
      </c>
      <c r="AY314" s="3722">
        <v>2</v>
      </c>
      <c r="AZ314" s="3722">
        <v>1</v>
      </c>
      <c r="BA314" s="3722">
        <v>4</v>
      </c>
      <c r="BB314" s="3722">
        <v>1</v>
      </c>
      <c r="BC314" s="3701">
        <v>0</v>
      </c>
      <c r="BD314" s="3701">
        <v>0</v>
      </c>
      <c r="BE314" s="3701">
        <v>8</v>
      </c>
      <c r="BF314" s="3701"/>
      <c r="BG314" s="3701"/>
      <c r="BJ314" s="1520"/>
      <c r="BK314" s="1520" t="s">
        <v>1072</v>
      </c>
      <c r="BL314" s="3872"/>
      <c r="BM314" s="3872"/>
      <c r="BN314" s="3872">
        <v>0</v>
      </c>
      <c r="BO314" s="3872">
        <v>1</v>
      </c>
      <c r="BP314" s="3872">
        <v>0</v>
      </c>
      <c r="BQ314" s="3872">
        <v>30</v>
      </c>
      <c r="BR314" s="3872">
        <v>0</v>
      </c>
      <c r="BS314" s="3872"/>
      <c r="BT314" s="3806"/>
      <c r="BU314" s="3806">
        <v>31</v>
      </c>
      <c r="BV314" s="1520"/>
      <c r="BX314" s="36"/>
      <c r="BY314" s="36" t="s">
        <v>61</v>
      </c>
      <c r="BZ314" s="36" t="s">
        <v>711</v>
      </c>
      <c r="CA314" s="36" t="s">
        <v>1080</v>
      </c>
      <c r="CB314" s="1681"/>
      <c r="CC314" s="1681"/>
      <c r="CD314" s="1681"/>
      <c r="CE314" s="1681"/>
      <c r="CF314" s="1681"/>
      <c r="CG314" s="1681"/>
      <c r="CH314" s="1681">
        <v>21</v>
      </c>
      <c r="CI314" s="1681">
        <v>1</v>
      </c>
      <c r="CJ314" s="95"/>
      <c r="CK314" s="95"/>
      <c r="CL314" s="95">
        <v>22</v>
      </c>
      <c r="CM314" s="36"/>
      <c r="CO314" s="37"/>
      <c r="CP314" s="37" t="s">
        <v>64</v>
      </c>
      <c r="CQ314" s="37" t="s">
        <v>609</v>
      </c>
      <c r="CR314" s="37" t="s">
        <v>1072</v>
      </c>
      <c r="CS314" s="1678"/>
      <c r="CT314" s="1678"/>
      <c r="CU314" s="1678"/>
      <c r="CV314" s="1678">
        <v>1</v>
      </c>
      <c r="CW314" s="1678"/>
      <c r="CX314" s="1678"/>
      <c r="CY314" s="1678">
        <v>2</v>
      </c>
      <c r="CZ314" s="1678">
        <v>2</v>
      </c>
      <c r="DA314" s="1678">
        <v>0</v>
      </c>
      <c r="DB314" s="63"/>
      <c r="DC314" s="63"/>
      <c r="DD314" s="63">
        <v>5</v>
      </c>
      <c r="DG314" s="95"/>
      <c r="DH314" s="95"/>
      <c r="DI314" s="36"/>
      <c r="DJ314" s="36" t="s">
        <v>1163</v>
      </c>
      <c r="DK314" s="1484"/>
      <c r="DL314" s="1484"/>
      <c r="DM314" s="1484"/>
      <c r="DN314" s="1484"/>
      <c r="DO314" s="1484"/>
      <c r="DP314" s="1484"/>
      <c r="DQ314" s="1484">
        <v>3</v>
      </c>
      <c r="DR314" s="1484">
        <v>1</v>
      </c>
      <c r="DS314" s="1484"/>
      <c r="DT314" s="95"/>
      <c r="DU314" s="95"/>
      <c r="DV314" s="95">
        <v>4</v>
      </c>
      <c r="DW314" s="95"/>
      <c r="DY314" s="1209"/>
      <c r="DZ314" s="1209"/>
      <c r="EA314" s="1210"/>
      <c r="EB314" s="1211" t="s">
        <v>1080</v>
      </c>
      <c r="EC314" s="1213">
        <v>0</v>
      </c>
      <c r="ED314" s="1212"/>
      <c r="EE314" s="1212"/>
      <c r="EF314" s="1212"/>
      <c r="EG314" s="1213">
        <v>0</v>
      </c>
      <c r="EH314" s="1213">
        <v>0</v>
      </c>
      <c r="EI314" s="1213">
        <v>0</v>
      </c>
      <c r="EJ314" s="1213">
        <v>6</v>
      </c>
      <c r="EK314" s="611"/>
      <c r="EL314" s="611"/>
      <c r="EM314" s="612">
        <v>6</v>
      </c>
      <c r="EN314" s="36"/>
      <c r="EP314" s="527"/>
      <c r="EQ314" s="527"/>
      <c r="ER314" s="528"/>
      <c r="ES314" s="529" t="s">
        <v>1074</v>
      </c>
      <c r="ET314" s="530"/>
      <c r="EU314" s="531">
        <v>1</v>
      </c>
      <c r="EV314" s="530"/>
      <c r="EW314" s="531">
        <v>0</v>
      </c>
      <c r="EX314" s="530"/>
      <c r="EY314" s="531">
        <v>0</v>
      </c>
      <c r="EZ314" s="531">
        <v>0</v>
      </c>
      <c r="FA314" s="530"/>
      <c r="FB314" s="527"/>
      <c r="FC314" s="527"/>
      <c r="FD314" s="532">
        <v>1</v>
      </c>
      <c r="FE314" s="95"/>
    </row>
    <row r="315" spans="1:161" ht="14.4" customHeight="1">
      <c r="A315" s="5682"/>
      <c r="B315" s="5682"/>
      <c r="C315" s="5686" t="s">
        <v>61</v>
      </c>
      <c r="D315" s="5683"/>
      <c r="E315" s="5686">
        <f>SUM(E311:E314)</f>
        <v>21</v>
      </c>
      <c r="F315" s="5682"/>
      <c r="G315" s="4921">
        <v>0</v>
      </c>
      <c r="I315" s="36"/>
      <c r="J315" s="36"/>
      <c r="K315" s="36"/>
      <c r="L315" s="36"/>
      <c r="M315" s="36"/>
      <c r="N315" s="36"/>
      <c r="Q315" s="4722"/>
      <c r="R315" s="4446"/>
      <c r="S315" s="4706"/>
      <c r="T315" s="4706"/>
      <c r="U315" s="4707"/>
      <c r="V315" s="4707"/>
      <c r="W315" s="4722"/>
      <c r="X315" s="4622"/>
      <c r="Y315" s="4705">
        <v>1</v>
      </c>
      <c r="Z315" s="4705">
        <v>1</v>
      </c>
      <c r="AA315" s="4706" t="s">
        <v>265</v>
      </c>
      <c r="AB315" s="4708" t="s">
        <v>1076</v>
      </c>
      <c r="AC315" s="4716">
        <v>2</v>
      </c>
      <c r="AD315" s="4716">
        <v>6</v>
      </c>
      <c r="AE315" s="4622"/>
      <c r="AF315" s="4622"/>
      <c r="AG315" s="4622"/>
      <c r="AH315" s="4622"/>
      <c r="AI315" s="4622"/>
      <c r="AJ315" s="4622"/>
      <c r="AK315" s="4622"/>
      <c r="AL315" s="4622"/>
      <c r="AM315" s="4622"/>
      <c r="AN315" s="4622">
        <v>641</v>
      </c>
      <c r="AR315" s="27"/>
      <c r="AS315" s="27" t="s">
        <v>1072</v>
      </c>
      <c r="AT315" s="3722">
        <v>0</v>
      </c>
      <c r="AU315" s="3722">
        <v>4</v>
      </c>
      <c r="AV315" s="3722">
        <v>3</v>
      </c>
      <c r="AW315" s="3722">
        <v>1</v>
      </c>
      <c r="AX315" s="3722">
        <v>3</v>
      </c>
      <c r="AY315" s="3722">
        <v>2</v>
      </c>
      <c r="AZ315" s="3722">
        <v>70</v>
      </c>
      <c r="BA315" s="3722">
        <v>4</v>
      </c>
      <c r="BB315" s="3722">
        <v>2</v>
      </c>
      <c r="BC315" s="3701">
        <v>0</v>
      </c>
      <c r="BD315" s="3701">
        <v>0</v>
      </c>
      <c r="BE315" s="3701">
        <v>89</v>
      </c>
      <c r="BF315" s="3701"/>
      <c r="BG315" s="3701"/>
      <c r="BJ315" s="1520"/>
      <c r="BK315" s="1520" t="s">
        <v>1074</v>
      </c>
      <c r="BL315" s="3872"/>
      <c r="BM315" s="3872"/>
      <c r="BN315" s="3872">
        <v>1</v>
      </c>
      <c r="BO315" s="3872">
        <v>0</v>
      </c>
      <c r="BP315" s="3872">
        <v>0</v>
      </c>
      <c r="BQ315" s="3872">
        <v>0</v>
      </c>
      <c r="BR315" s="3872">
        <v>0</v>
      </c>
      <c r="BS315" s="3872"/>
      <c r="BT315" s="3806"/>
      <c r="BU315" s="3806">
        <v>1</v>
      </c>
      <c r="BV315" s="1520"/>
      <c r="BX315" s="36"/>
      <c r="BY315" s="36"/>
      <c r="BZ315" s="36"/>
      <c r="CA315" s="393" t="s">
        <v>15</v>
      </c>
      <c r="CB315" s="1682"/>
      <c r="CC315" s="1682"/>
      <c r="CD315" s="1682"/>
      <c r="CE315" s="1682"/>
      <c r="CF315" s="1682"/>
      <c r="CG315" s="1682"/>
      <c r="CH315" s="1682">
        <v>21</v>
      </c>
      <c r="CI315" s="1682">
        <v>1</v>
      </c>
      <c r="CJ315" s="2041"/>
      <c r="CK315" s="2041"/>
      <c r="CL315" s="2041">
        <v>22</v>
      </c>
      <c r="CM315" s="560">
        <v>0</v>
      </c>
      <c r="CN315" s="1665"/>
      <c r="CO315" s="37"/>
      <c r="CP315" s="37"/>
      <c r="CQ315" s="37"/>
      <c r="CR315" s="37" t="s">
        <v>1076</v>
      </c>
      <c r="CS315" s="1678"/>
      <c r="CT315" s="1678"/>
      <c r="CU315" s="1678"/>
      <c r="CV315" s="1678">
        <v>0</v>
      </c>
      <c r="CW315" s="1678"/>
      <c r="CX315" s="1678"/>
      <c r="CY315" s="1678">
        <v>1</v>
      </c>
      <c r="CZ315" s="1678">
        <v>1</v>
      </c>
      <c r="DA315" s="1678">
        <v>0</v>
      </c>
      <c r="DB315" s="63"/>
      <c r="DC315" s="63"/>
      <c r="DD315" s="63">
        <v>2</v>
      </c>
      <c r="DG315" s="95"/>
      <c r="DH315" s="95"/>
      <c r="DI315" s="36"/>
      <c r="DJ315" s="393" t="s">
        <v>15</v>
      </c>
      <c r="DK315" s="1485"/>
      <c r="DL315" s="1485"/>
      <c r="DM315" s="1485"/>
      <c r="DN315" s="1485"/>
      <c r="DO315" s="1485"/>
      <c r="DP315" s="1485"/>
      <c r="DQ315" s="1485">
        <v>3</v>
      </c>
      <c r="DR315" s="1485">
        <v>17</v>
      </c>
      <c r="DS315" s="1485"/>
      <c r="DT315" s="86"/>
      <c r="DU315" s="86"/>
      <c r="DV315" s="86">
        <v>20</v>
      </c>
      <c r="DW315" s="560">
        <f>+(DV312+DV313+DV314)/DV315</f>
        <v>0.9</v>
      </c>
      <c r="DY315" s="1209"/>
      <c r="DZ315" s="1209"/>
      <c r="EA315" s="1210"/>
      <c r="EB315" s="1211" t="s">
        <v>1081</v>
      </c>
      <c r="EC315" s="1213">
        <v>0</v>
      </c>
      <c r="ED315" s="1212"/>
      <c r="EE315" s="1212"/>
      <c r="EF315" s="1212"/>
      <c r="EG315" s="1213">
        <v>0</v>
      </c>
      <c r="EH315" s="1213">
        <v>0</v>
      </c>
      <c r="EI315" s="1213">
        <v>1</v>
      </c>
      <c r="EJ315" s="1213">
        <v>0</v>
      </c>
      <c r="EK315" s="611"/>
      <c r="EL315" s="611"/>
      <c r="EM315" s="612">
        <v>1</v>
      </c>
      <c r="EN315" s="36"/>
      <c r="EP315" s="527"/>
      <c r="EQ315" s="527"/>
      <c r="ER315" s="528"/>
      <c r="ES315" s="529" t="s">
        <v>1081</v>
      </c>
      <c r="ET315" s="530"/>
      <c r="EU315" s="531">
        <v>0</v>
      </c>
      <c r="EV315" s="530"/>
      <c r="EW315" s="531">
        <v>0</v>
      </c>
      <c r="EX315" s="530"/>
      <c r="EY315" s="531">
        <v>0</v>
      </c>
      <c r="EZ315" s="531">
        <v>1</v>
      </c>
      <c r="FA315" s="530"/>
      <c r="FB315" s="527"/>
      <c r="FC315" s="527"/>
      <c r="FD315" s="532">
        <v>1</v>
      </c>
      <c r="FE315" s="95"/>
    </row>
    <row r="316" spans="1:161" ht="14.4" customHeight="1">
      <c r="A316" s="5682">
        <v>4</v>
      </c>
      <c r="B316" s="5682">
        <v>6</v>
      </c>
      <c r="C316" s="5683" t="s">
        <v>609</v>
      </c>
      <c r="D316" s="5683" t="s">
        <v>2731</v>
      </c>
      <c r="E316" s="5682">
        <v>1</v>
      </c>
      <c r="F316" s="5682">
        <v>7</v>
      </c>
      <c r="I316" s="36"/>
      <c r="J316" s="36"/>
      <c r="K316" s="36"/>
      <c r="L316" s="36"/>
      <c r="M316" s="36"/>
      <c r="N316" s="36"/>
      <c r="Q316" s="4722"/>
      <c r="R316" s="4446"/>
      <c r="S316" s="4706"/>
      <c r="T316" s="4706"/>
      <c r="U316" s="4707"/>
      <c r="V316" s="4707"/>
      <c r="W316" s="4722"/>
      <c r="X316" s="4622"/>
      <c r="Y316" s="4705">
        <v>1</v>
      </c>
      <c r="Z316" s="4705">
        <v>1</v>
      </c>
      <c r="AA316" s="4706" t="s">
        <v>265</v>
      </c>
      <c r="AB316" s="4706" t="s">
        <v>2709</v>
      </c>
      <c r="AC316" s="4705">
        <v>1</v>
      </c>
      <c r="AD316" s="4705">
        <v>6</v>
      </c>
      <c r="AE316" s="4622"/>
      <c r="AF316" s="4622"/>
      <c r="AG316" s="4622"/>
      <c r="AH316" s="4622"/>
      <c r="AI316" s="4622"/>
      <c r="AJ316" s="4622"/>
      <c r="AK316" s="4622"/>
      <c r="AL316" s="4622"/>
      <c r="AM316" s="4622"/>
      <c r="AN316" s="4622"/>
      <c r="AR316" s="27"/>
      <c r="AS316" s="27" t="s">
        <v>1074</v>
      </c>
      <c r="AT316" s="3722">
        <v>0</v>
      </c>
      <c r="AU316" s="3722">
        <v>4</v>
      </c>
      <c r="AV316" s="3722">
        <v>1</v>
      </c>
      <c r="AW316" s="3722">
        <v>0</v>
      </c>
      <c r="AX316" s="3722">
        <v>0</v>
      </c>
      <c r="AY316" s="3722">
        <v>0</v>
      </c>
      <c r="AZ316" s="3722">
        <v>0</v>
      </c>
      <c r="BA316" s="3722">
        <v>0</v>
      </c>
      <c r="BB316" s="3722">
        <v>0</v>
      </c>
      <c r="BC316" s="3701">
        <v>0</v>
      </c>
      <c r="BD316" s="3701">
        <v>0</v>
      </c>
      <c r="BE316" s="3701">
        <v>5</v>
      </c>
      <c r="BF316" s="3701"/>
      <c r="BG316" s="3701"/>
      <c r="BJ316" s="1520"/>
      <c r="BK316" s="1520" t="s">
        <v>1076</v>
      </c>
      <c r="BL316" s="3872"/>
      <c r="BM316" s="3872"/>
      <c r="BN316" s="3872">
        <v>0</v>
      </c>
      <c r="BO316" s="3872">
        <v>0</v>
      </c>
      <c r="BP316" s="3872">
        <v>0</v>
      </c>
      <c r="BQ316" s="3872">
        <v>1</v>
      </c>
      <c r="BR316" s="3872">
        <v>0</v>
      </c>
      <c r="BS316" s="3872"/>
      <c r="BT316" s="3806"/>
      <c r="BU316" s="3806">
        <v>1</v>
      </c>
      <c r="BV316" s="1520"/>
      <c r="BX316" s="36"/>
      <c r="BY316" s="36"/>
      <c r="BZ316" s="393" t="s">
        <v>486</v>
      </c>
      <c r="CA316" s="393" t="s">
        <v>1080</v>
      </c>
      <c r="CB316" s="1682"/>
      <c r="CC316" s="1682"/>
      <c r="CD316" s="1682"/>
      <c r="CE316" s="1682"/>
      <c r="CF316" s="1682"/>
      <c r="CG316" s="1682"/>
      <c r="CH316" s="1682">
        <v>21</v>
      </c>
      <c r="CI316" s="1682">
        <v>1</v>
      </c>
      <c r="CJ316" s="2041"/>
      <c r="CK316" s="2041"/>
      <c r="CL316" s="2041">
        <v>22</v>
      </c>
      <c r="CM316" s="36"/>
      <c r="CO316" s="37"/>
      <c r="CP316" s="37"/>
      <c r="CQ316" s="37"/>
      <c r="CR316" s="37" t="s">
        <v>1080</v>
      </c>
      <c r="CS316" s="1678"/>
      <c r="CT316" s="1678"/>
      <c r="CU316" s="1678"/>
      <c r="CV316" s="1678">
        <v>0</v>
      </c>
      <c r="CW316" s="1678"/>
      <c r="CX316" s="1678"/>
      <c r="CY316" s="1678">
        <v>0</v>
      </c>
      <c r="CZ316" s="1678">
        <v>0</v>
      </c>
      <c r="DA316" s="1678">
        <v>5</v>
      </c>
      <c r="DB316" s="63"/>
      <c r="DC316" s="63"/>
      <c r="DD316" s="63">
        <v>5</v>
      </c>
      <c r="DG316" s="95"/>
      <c r="DH316" s="95" t="s">
        <v>64</v>
      </c>
      <c r="DI316" s="36" t="s">
        <v>609</v>
      </c>
      <c r="DJ316" s="36" t="s">
        <v>1072</v>
      </c>
      <c r="DK316" s="1484">
        <v>1</v>
      </c>
      <c r="DL316" s="1484">
        <v>0</v>
      </c>
      <c r="DM316" s="1484"/>
      <c r="DN316" s="1484"/>
      <c r="DO316" s="1484">
        <v>1</v>
      </c>
      <c r="DP316" s="1484"/>
      <c r="DQ316" s="1484">
        <v>1</v>
      </c>
      <c r="DR316" s="1484">
        <v>5</v>
      </c>
      <c r="DS316" s="1484">
        <v>0</v>
      </c>
      <c r="DT316" s="95"/>
      <c r="DU316" s="95"/>
      <c r="DV316" s="95">
        <v>8</v>
      </c>
      <c r="DW316" s="95"/>
      <c r="DY316" s="1209"/>
      <c r="DZ316" s="1209"/>
      <c r="EA316" s="1210"/>
      <c r="EB316" s="415" t="s">
        <v>487</v>
      </c>
      <c r="EC316" s="1215">
        <v>1</v>
      </c>
      <c r="ED316" s="1214"/>
      <c r="EE316" s="1214"/>
      <c r="EF316" s="1214"/>
      <c r="EG316" s="1215">
        <v>1</v>
      </c>
      <c r="EH316" s="1215">
        <v>4</v>
      </c>
      <c r="EI316" s="1215">
        <v>3</v>
      </c>
      <c r="EJ316" s="1215">
        <v>6</v>
      </c>
      <c r="EK316" s="620"/>
      <c r="EL316" s="620"/>
      <c r="EM316" s="621">
        <v>15</v>
      </c>
      <c r="EN316" s="1178">
        <f>+(EM313+EM315)/EM316</f>
        <v>0.2</v>
      </c>
      <c r="EP316" s="527"/>
      <c r="EQ316" s="527"/>
      <c r="ER316" s="528"/>
      <c r="ES316" s="555" t="s">
        <v>487</v>
      </c>
      <c r="ET316" s="556"/>
      <c r="EU316" s="557">
        <v>1</v>
      </c>
      <c r="EV316" s="556"/>
      <c r="EW316" s="557">
        <v>2</v>
      </c>
      <c r="EX316" s="556"/>
      <c r="EY316" s="557">
        <v>3</v>
      </c>
      <c r="EZ316" s="557">
        <v>3</v>
      </c>
      <c r="FA316" s="556"/>
      <c r="FB316" s="558"/>
      <c r="FC316" s="558"/>
      <c r="FD316" s="559">
        <v>9</v>
      </c>
      <c r="FE316" s="560">
        <f>+FD315/FD316</f>
        <v>0.1111111111111111</v>
      </c>
    </row>
    <row r="317" spans="1:161" ht="28.95" customHeight="1">
      <c r="A317" s="5682">
        <v>4</v>
      </c>
      <c r="B317" s="5682">
        <v>6</v>
      </c>
      <c r="C317" s="5683" t="s">
        <v>609</v>
      </c>
      <c r="D317" s="5683" t="s">
        <v>2731</v>
      </c>
      <c r="E317" s="5682">
        <v>4</v>
      </c>
      <c r="F317" s="5682">
        <v>8</v>
      </c>
      <c r="I317" s="36"/>
      <c r="J317" s="36"/>
      <c r="K317" s="36"/>
      <c r="L317" s="36"/>
      <c r="M317" s="36"/>
      <c r="N317" s="36"/>
      <c r="Q317" s="4722"/>
      <c r="R317" s="4446"/>
      <c r="S317" s="4706"/>
      <c r="T317" s="4706"/>
      <c r="U317" s="4707"/>
      <c r="V317" s="4707"/>
      <c r="W317" s="4722"/>
      <c r="X317" s="4622"/>
      <c r="Y317" s="4705">
        <v>1</v>
      </c>
      <c r="Z317" s="4705">
        <v>1</v>
      </c>
      <c r="AA317" s="4706" t="s">
        <v>2310</v>
      </c>
      <c r="AB317" s="4706" t="s">
        <v>1071</v>
      </c>
      <c r="AC317" s="4705">
        <v>3</v>
      </c>
      <c r="AD317" s="4705">
        <v>7</v>
      </c>
      <c r="AE317" s="4622"/>
      <c r="AF317" s="4622"/>
      <c r="AG317" s="4622"/>
      <c r="AH317" s="4622"/>
      <c r="AI317" s="4622"/>
      <c r="AJ317" s="4622"/>
      <c r="AK317" s="4622"/>
      <c r="AL317" s="4622"/>
      <c r="AM317" s="4622"/>
      <c r="AN317" s="4622">
        <f>AN313/AN315</f>
        <v>0.11856474258970359</v>
      </c>
      <c r="AR317" s="27"/>
      <c r="AS317" s="27" t="s">
        <v>1076</v>
      </c>
      <c r="AT317" s="3722">
        <v>0</v>
      </c>
      <c r="AU317" s="3722">
        <v>0</v>
      </c>
      <c r="AV317" s="3722">
        <v>0</v>
      </c>
      <c r="AW317" s="3722">
        <v>0</v>
      </c>
      <c r="AX317" s="3722">
        <v>0</v>
      </c>
      <c r="AY317" s="3722">
        <v>0</v>
      </c>
      <c r="AZ317" s="3722">
        <v>18</v>
      </c>
      <c r="BA317" s="3722">
        <v>5</v>
      </c>
      <c r="BB317" s="3722">
        <v>0</v>
      </c>
      <c r="BC317" s="3701">
        <v>0</v>
      </c>
      <c r="BD317" s="3701">
        <v>0</v>
      </c>
      <c r="BE317" s="3701">
        <v>23</v>
      </c>
      <c r="BF317" s="3701"/>
      <c r="BG317" s="3701"/>
      <c r="BJ317" s="1520"/>
      <c r="BK317" s="1520" t="s">
        <v>1077</v>
      </c>
      <c r="BL317" s="3872"/>
      <c r="BM317" s="3872"/>
      <c r="BN317" s="3872">
        <v>1</v>
      </c>
      <c r="BO317" s="3872">
        <v>0</v>
      </c>
      <c r="BP317" s="3872">
        <v>0</v>
      </c>
      <c r="BQ317" s="3872">
        <v>0</v>
      </c>
      <c r="BR317" s="3872">
        <v>0</v>
      </c>
      <c r="BS317" s="3872"/>
      <c r="BT317" s="3806"/>
      <c r="BU317" s="3806">
        <v>1</v>
      </c>
      <c r="BV317" s="1520"/>
      <c r="BX317" s="36"/>
      <c r="BY317" s="36"/>
      <c r="BZ317" s="393"/>
      <c r="CA317" s="393" t="s">
        <v>486</v>
      </c>
      <c r="CB317" s="1682"/>
      <c r="CC317" s="1682"/>
      <c r="CD317" s="1682"/>
      <c r="CE317" s="1682"/>
      <c r="CF317" s="1682"/>
      <c r="CG317" s="1682"/>
      <c r="CH317" s="1682">
        <v>21</v>
      </c>
      <c r="CI317" s="1682">
        <v>1</v>
      </c>
      <c r="CJ317" s="2041"/>
      <c r="CK317" s="2041"/>
      <c r="CL317" s="2041">
        <v>22</v>
      </c>
      <c r="CM317" s="560">
        <v>0</v>
      </c>
      <c r="CN317" s="1665"/>
      <c r="CO317" s="37"/>
      <c r="CP317" s="37"/>
      <c r="CQ317" s="37"/>
      <c r="CR317" s="37" t="s">
        <v>1081</v>
      </c>
      <c r="CS317" s="1678"/>
      <c r="CT317" s="1678"/>
      <c r="CU317" s="1678"/>
      <c r="CV317" s="1678">
        <v>0</v>
      </c>
      <c r="CW317" s="1678"/>
      <c r="CX317" s="1678"/>
      <c r="CY317" s="1678">
        <v>0</v>
      </c>
      <c r="CZ317" s="1678">
        <v>1</v>
      </c>
      <c r="DA317" s="1678">
        <v>0</v>
      </c>
      <c r="DB317" s="63"/>
      <c r="DC317" s="63"/>
      <c r="DD317" s="63">
        <v>1</v>
      </c>
      <c r="DG317" s="95"/>
      <c r="DH317" s="95"/>
      <c r="DI317" s="36"/>
      <c r="DJ317" s="36" t="s">
        <v>1074</v>
      </c>
      <c r="DK317" s="1484">
        <v>0</v>
      </c>
      <c r="DL317" s="1484">
        <v>1</v>
      </c>
      <c r="DM317" s="1484"/>
      <c r="DN317" s="1484"/>
      <c r="DO317" s="1484">
        <v>0</v>
      </c>
      <c r="DP317" s="1484"/>
      <c r="DQ317" s="1484">
        <v>0</v>
      </c>
      <c r="DR317" s="1484">
        <v>0</v>
      </c>
      <c r="DS317" s="1484">
        <v>0</v>
      </c>
      <c r="DT317" s="95"/>
      <c r="DU317" s="95"/>
      <c r="DV317" s="95">
        <v>1</v>
      </c>
      <c r="DW317" s="95"/>
      <c r="DY317" s="1209"/>
      <c r="DZ317" s="1209"/>
      <c r="EA317" s="1210" t="s">
        <v>256</v>
      </c>
      <c r="EB317" s="1211" t="s">
        <v>1071</v>
      </c>
      <c r="EC317" s="1213">
        <v>0</v>
      </c>
      <c r="ED317" s="1213">
        <v>0</v>
      </c>
      <c r="EE317" s="1213">
        <v>0</v>
      </c>
      <c r="EF317" s="1212"/>
      <c r="EG317" s="1213">
        <v>0</v>
      </c>
      <c r="EH317" s="1213">
        <v>1</v>
      </c>
      <c r="EI317" s="1213">
        <v>0</v>
      </c>
      <c r="EJ317" s="1213">
        <v>0</v>
      </c>
      <c r="EK317" s="611"/>
      <c r="EL317" s="611"/>
      <c r="EM317" s="612">
        <v>1</v>
      </c>
      <c r="EN317" s="36"/>
      <c r="EP317" s="527"/>
      <c r="EQ317" s="527"/>
      <c r="ER317" s="555" t="s">
        <v>256</v>
      </c>
      <c r="ES317" s="529" t="s">
        <v>1071</v>
      </c>
      <c r="ET317" s="531">
        <v>0</v>
      </c>
      <c r="EU317" s="531">
        <v>0</v>
      </c>
      <c r="EV317" s="530"/>
      <c r="EW317" s="531">
        <v>0</v>
      </c>
      <c r="EX317" s="530"/>
      <c r="EY317" s="531">
        <v>1</v>
      </c>
      <c r="EZ317" s="531">
        <v>0</v>
      </c>
      <c r="FA317" s="530"/>
      <c r="FB317" s="527"/>
      <c r="FC317" s="527"/>
      <c r="FD317" s="532">
        <v>1</v>
      </c>
      <c r="FE317" s="95"/>
    </row>
    <row r="318" spans="1:161" ht="28.95" customHeight="1">
      <c r="A318" s="5682">
        <v>4</v>
      </c>
      <c r="B318" s="5682">
        <v>6</v>
      </c>
      <c r="C318" s="5683" t="s">
        <v>609</v>
      </c>
      <c r="D318" s="5685" t="s">
        <v>2707</v>
      </c>
      <c r="E318" s="5682">
        <v>2</v>
      </c>
      <c r="F318" s="5682">
        <v>7</v>
      </c>
      <c r="I318" s="36"/>
      <c r="J318" s="36"/>
      <c r="K318" s="36"/>
      <c r="L318" s="36"/>
      <c r="M318" s="36"/>
      <c r="N318" s="36"/>
      <c r="Q318" s="4722"/>
      <c r="R318" s="4446"/>
      <c r="S318" s="4706"/>
      <c r="T318" s="4706"/>
      <c r="U318" s="4707"/>
      <c r="V318" s="4707"/>
      <c r="W318" s="4722"/>
      <c r="X318" s="4622"/>
      <c r="Y318" s="4705">
        <v>1</v>
      </c>
      <c r="Z318" s="4705">
        <v>1</v>
      </c>
      <c r="AA318" s="4706" t="s">
        <v>2310</v>
      </c>
      <c r="AB318" s="4708" t="s">
        <v>2707</v>
      </c>
      <c r="AC318" s="4716">
        <v>1</v>
      </c>
      <c r="AD318" s="4716">
        <v>6</v>
      </c>
      <c r="AE318" s="4622"/>
      <c r="AF318" s="4622"/>
      <c r="AG318" s="4622"/>
      <c r="AH318" s="4622"/>
      <c r="AI318" s="4622"/>
      <c r="AJ318" s="4622"/>
      <c r="AK318" s="4622"/>
      <c r="AL318" s="4622"/>
      <c r="AM318" s="4622"/>
      <c r="AN318" s="4622"/>
      <c r="AR318" s="27"/>
      <c r="AS318" s="27" t="s">
        <v>1080</v>
      </c>
      <c r="AT318" s="3722">
        <v>0</v>
      </c>
      <c r="AU318" s="3722">
        <v>0</v>
      </c>
      <c r="AV318" s="3722">
        <v>0</v>
      </c>
      <c r="AW318" s="3722">
        <v>0</v>
      </c>
      <c r="AX318" s="3722">
        <v>0</v>
      </c>
      <c r="AY318" s="3722">
        <v>0</v>
      </c>
      <c r="AZ318" s="3722">
        <v>0</v>
      </c>
      <c r="BA318" s="3722">
        <v>8</v>
      </c>
      <c r="BB318" s="3722">
        <v>7</v>
      </c>
      <c r="BC318" s="3701">
        <v>4</v>
      </c>
      <c r="BD318" s="3701">
        <v>1</v>
      </c>
      <c r="BE318" s="3701">
        <v>20</v>
      </c>
      <c r="BF318" s="3701"/>
      <c r="BG318" s="3701"/>
      <c r="BJ318" s="1520"/>
      <c r="BK318" s="1520" t="s">
        <v>1080</v>
      </c>
      <c r="BL318" s="3872"/>
      <c r="BM318" s="3872"/>
      <c r="BN318" s="3872">
        <v>0</v>
      </c>
      <c r="BO318" s="3872">
        <v>0</v>
      </c>
      <c r="BP318" s="3872">
        <v>0</v>
      </c>
      <c r="BQ318" s="3872">
        <v>0</v>
      </c>
      <c r="BR318" s="3872">
        <v>9</v>
      </c>
      <c r="BS318" s="3872"/>
      <c r="BT318" s="3806"/>
      <c r="BU318" s="3806">
        <v>9</v>
      </c>
      <c r="BV318" s="1520"/>
      <c r="BX318" s="36"/>
      <c r="BY318" s="36" t="s">
        <v>64</v>
      </c>
      <c r="BZ318" s="36" t="s">
        <v>609</v>
      </c>
      <c r="CA318" s="36" t="s">
        <v>1072</v>
      </c>
      <c r="CB318" s="1681"/>
      <c r="CC318" s="1681"/>
      <c r="CD318" s="1681"/>
      <c r="CE318" s="1681"/>
      <c r="CF318" s="1681"/>
      <c r="CG318" s="1681">
        <v>1</v>
      </c>
      <c r="CH318" s="1681">
        <v>0</v>
      </c>
      <c r="CI318" s="1681">
        <v>0</v>
      </c>
      <c r="CJ318" s="95"/>
      <c r="CK318" s="95"/>
      <c r="CL318" s="95">
        <v>1</v>
      </c>
      <c r="CM318" s="36"/>
      <c r="CO318" s="37"/>
      <c r="CP318" s="37"/>
      <c r="CQ318" s="37"/>
      <c r="CR318" s="416" t="s">
        <v>15</v>
      </c>
      <c r="CS318" s="1679"/>
      <c r="CT318" s="1679"/>
      <c r="CU318" s="1679"/>
      <c r="CV318" s="1679">
        <v>1</v>
      </c>
      <c r="CW318" s="1679"/>
      <c r="CX318" s="1679"/>
      <c r="CY318" s="1679">
        <v>3</v>
      </c>
      <c r="CZ318" s="1679">
        <v>4</v>
      </c>
      <c r="DA318" s="1679">
        <v>5</v>
      </c>
      <c r="DB318" s="386"/>
      <c r="DC318" s="386"/>
      <c r="DD318" s="386">
        <v>13</v>
      </c>
      <c r="DE318" s="466">
        <f>+(DD315+DD317)/DD318</f>
        <v>0.23076923076923078</v>
      </c>
      <c r="DG318" s="95"/>
      <c r="DH318" s="95"/>
      <c r="DI318" s="36"/>
      <c r="DJ318" s="36" t="s">
        <v>1076</v>
      </c>
      <c r="DK318" s="1484">
        <v>0</v>
      </c>
      <c r="DL318" s="1484">
        <v>0</v>
      </c>
      <c r="DM318" s="1484"/>
      <c r="DN318" s="1484"/>
      <c r="DO318" s="1484">
        <v>0</v>
      </c>
      <c r="DP318" s="1484"/>
      <c r="DQ318" s="1484">
        <v>1</v>
      </c>
      <c r="DR318" s="1484">
        <v>1</v>
      </c>
      <c r="DS318" s="1484">
        <v>0</v>
      </c>
      <c r="DT318" s="95"/>
      <c r="DU318" s="95"/>
      <c r="DV318" s="95">
        <v>2</v>
      </c>
      <c r="DW318" s="95"/>
      <c r="DY318" s="1209"/>
      <c r="DZ318" s="1209"/>
      <c r="EA318" s="1210"/>
      <c r="EB318" s="1211" t="s">
        <v>1072</v>
      </c>
      <c r="EC318" s="1213">
        <v>2</v>
      </c>
      <c r="ED318" s="1213">
        <v>0</v>
      </c>
      <c r="EE318" s="1213">
        <v>0</v>
      </c>
      <c r="EF318" s="1212"/>
      <c r="EG318" s="1213">
        <v>1</v>
      </c>
      <c r="EH318" s="1213">
        <v>12</v>
      </c>
      <c r="EI318" s="1213">
        <v>3</v>
      </c>
      <c r="EJ318" s="1213">
        <v>1</v>
      </c>
      <c r="EK318" s="611"/>
      <c r="EL318" s="611"/>
      <c r="EM318" s="612">
        <v>19</v>
      </c>
      <c r="EN318" s="36"/>
      <c r="EP318" s="527"/>
      <c r="EQ318" s="527"/>
      <c r="ER318" s="528"/>
      <c r="ES318" s="529" t="s">
        <v>1072</v>
      </c>
      <c r="ET318" s="531">
        <v>0</v>
      </c>
      <c r="EU318" s="531">
        <v>1</v>
      </c>
      <c r="EV318" s="530"/>
      <c r="EW318" s="531">
        <v>2</v>
      </c>
      <c r="EX318" s="530"/>
      <c r="EY318" s="531">
        <v>10</v>
      </c>
      <c r="EZ318" s="531">
        <v>2</v>
      </c>
      <c r="FA318" s="530"/>
      <c r="FB318" s="527"/>
      <c r="FC318" s="527"/>
      <c r="FD318" s="532">
        <v>15</v>
      </c>
      <c r="FE318" s="95"/>
    </row>
    <row r="319" spans="1:161" ht="14.4" customHeight="1">
      <c r="A319" s="5682">
        <v>4</v>
      </c>
      <c r="B319" s="5682">
        <v>6</v>
      </c>
      <c r="C319" s="5683" t="s">
        <v>609</v>
      </c>
      <c r="D319" s="5685" t="s">
        <v>1076</v>
      </c>
      <c r="E319" s="5682">
        <v>1</v>
      </c>
      <c r="F319" s="5682">
        <v>7</v>
      </c>
      <c r="I319" s="36"/>
      <c r="J319" s="36"/>
      <c r="K319" s="36"/>
      <c r="L319" s="36"/>
      <c r="M319" s="36"/>
      <c r="N319" s="36"/>
      <c r="Q319" s="4722"/>
      <c r="R319" s="4446"/>
      <c r="S319" s="4706"/>
      <c r="T319" s="4706"/>
      <c r="U319" s="4707"/>
      <c r="V319" s="4707"/>
      <c r="W319" s="4722"/>
      <c r="X319" s="4622"/>
      <c r="Y319" s="4705">
        <v>1</v>
      </c>
      <c r="Z319" s="4705">
        <v>1</v>
      </c>
      <c r="AA319" s="4706" t="s">
        <v>2310</v>
      </c>
      <c r="AB319" s="4706" t="s">
        <v>2709</v>
      </c>
      <c r="AC319" s="4705">
        <v>2</v>
      </c>
      <c r="AD319" s="4705">
        <v>6</v>
      </c>
      <c r="AE319" s="4622"/>
      <c r="AF319" s="4622"/>
      <c r="AG319" s="4622"/>
      <c r="AH319" s="4622"/>
      <c r="AI319" s="4622"/>
      <c r="AJ319" s="4622"/>
      <c r="AK319" s="4622"/>
      <c r="AL319" s="4622"/>
      <c r="AM319" s="4622"/>
      <c r="AN319" s="4622"/>
      <c r="AR319" s="27"/>
      <c r="AS319" s="27" t="s">
        <v>1081</v>
      </c>
      <c r="AT319" s="3722">
        <v>0</v>
      </c>
      <c r="AU319" s="3722">
        <v>0</v>
      </c>
      <c r="AV319" s="3722">
        <v>0</v>
      </c>
      <c r="AW319" s="3722">
        <v>0</v>
      </c>
      <c r="AX319" s="3722">
        <v>0</v>
      </c>
      <c r="AY319" s="3722">
        <v>0</v>
      </c>
      <c r="AZ319" s="3722">
        <v>18</v>
      </c>
      <c r="BA319" s="3722">
        <v>1</v>
      </c>
      <c r="BB319" s="3722">
        <v>1</v>
      </c>
      <c r="BC319" s="3701">
        <v>0</v>
      </c>
      <c r="BD319" s="3701">
        <v>0</v>
      </c>
      <c r="BE319" s="3701">
        <v>20</v>
      </c>
      <c r="BF319" s="3701"/>
      <c r="BG319" s="3701"/>
      <c r="BJ319" s="1520"/>
      <c r="BK319" s="1520" t="s">
        <v>256</v>
      </c>
      <c r="BL319" s="3872"/>
      <c r="BM319" s="3872"/>
      <c r="BN319" s="3872">
        <v>2</v>
      </c>
      <c r="BO319" s="3872">
        <v>1</v>
      </c>
      <c r="BP319" s="3872">
        <v>1</v>
      </c>
      <c r="BQ319" s="3872">
        <v>31</v>
      </c>
      <c r="BR319" s="3872">
        <v>9</v>
      </c>
      <c r="BS319" s="3872"/>
      <c r="BT319" s="3806"/>
      <c r="BU319" s="3806">
        <v>44</v>
      </c>
      <c r="BV319" s="3807">
        <f>+BU316/BU319</f>
        <v>2.2727272727272728E-2</v>
      </c>
      <c r="BX319" s="36"/>
      <c r="BY319" s="36"/>
      <c r="BZ319" s="36"/>
      <c r="CA319" s="36" t="s">
        <v>1076</v>
      </c>
      <c r="CB319" s="1681"/>
      <c r="CC319" s="1681"/>
      <c r="CD319" s="1681"/>
      <c r="CE319" s="1681"/>
      <c r="CF319" s="1681"/>
      <c r="CG319" s="1681">
        <v>0</v>
      </c>
      <c r="CH319" s="1681">
        <v>1</v>
      </c>
      <c r="CI319" s="1681">
        <v>0</v>
      </c>
      <c r="CJ319" s="95"/>
      <c r="CK319" s="95"/>
      <c r="CL319" s="95">
        <v>1</v>
      </c>
      <c r="CM319" s="36"/>
      <c r="CO319" s="37"/>
      <c r="CP319" s="37"/>
      <c r="CQ319" s="37" t="s">
        <v>487</v>
      </c>
      <c r="CR319" s="37" t="s">
        <v>1072</v>
      </c>
      <c r="CS319" s="1678"/>
      <c r="CT319" s="1678"/>
      <c r="CU319" s="1678"/>
      <c r="CV319" s="1678">
        <v>1</v>
      </c>
      <c r="CW319" s="1678"/>
      <c r="CX319" s="1678"/>
      <c r="CY319" s="1678">
        <v>2</v>
      </c>
      <c r="CZ319" s="1678">
        <v>2</v>
      </c>
      <c r="DA319" s="1678">
        <v>0</v>
      </c>
      <c r="DB319" s="63"/>
      <c r="DC319" s="63"/>
      <c r="DD319" s="63">
        <v>5</v>
      </c>
      <c r="DG319" s="95"/>
      <c r="DH319" s="95"/>
      <c r="DI319" s="36"/>
      <c r="DJ319" s="36" t="s">
        <v>1080</v>
      </c>
      <c r="DK319" s="1484">
        <v>0</v>
      </c>
      <c r="DL319" s="1484">
        <v>0</v>
      </c>
      <c r="DM319" s="1484"/>
      <c r="DN319" s="1484"/>
      <c r="DO319" s="1484">
        <v>0</v>
      </c>
      <c r="DP319" s="1484"/>
      <c r="DQ319" s="1484">
        <v>0</v>
      </c>
      <c r="DR319" s="1484">
        <v>0</v>
      </c>
      <c r="DS319" s="1484">
        <v>1</v>
      </c>
      <c r="DT319" s="95"/>
      <c r="DU319" s="95"/>
      <c r="DV319" s="95">
        <v>1</v>
      </c>
      <c r="DW319" s="95"/>
      <c r="DY319" s="1209"/>
      <c r="DZ319" s="1209"/>
      <c r="EA319" s="1210"/>
      <c r="EB319" s="1211" t="s">
        <v>1074</v>
      </c>
      <c r="EC319" s="1213">
        <v>1</v>
      </c>
      <c r="ED319" s="1213">
        <v>0</v>
      </c>
      <c r="EE319" s="1213">
        <v>0</v>
      </c>
      <c r="EF319" s="1212"/>
      <c r="EG319" s="1213">
        <v>0</v>
      </c>
      <c r="EH319" s="1213">
        <v>0</v>
      </c>
      <c r="EI319" s="1213">
        <v>0</v>
      </c>
      <c r="EJ319" s="1213">
        <v>0</v>
      </c>
      <c r="EK319" s="611"/>
      <c r="EL319" s="611"/>
      <c r="EM319" s="612">
        <v>1</v>
      </c>
      <c r="EN319" s="36"/>
      <c r="EP319" s="527"/>
      <c r="EQ319" s="527"/>
      <c r="ER319" s="528"/>
      <c r="ES319" s="529" t="s">
        <v>1074</v>
      </c>
      <c r="ET319" s="531">
        <v>1</v>
      </c>
      <c r="EU319" s="531">
        <v>2</v>
      </c>
      <c r="EV319" s="530"/>
      <c r="EW319" s="531">
        <v>0</v>
      </c>
      <c r="EX319" s="530"/>
      <c r="EY319" s="531">
        <v>0</v>
      </c>
      <c r="EZ319" s="531">
        <v>0</v>
      </c>
      <c r="FA319" s="530"/>
      <c r="FB319" s="527"/>
      <c r="FC319" s="527"/>
      <c r="FD319" s="532">
        <v>3</v>
      </c>
      <c r="FE319" s="95"/>
    </row>
    <row r="320" spans="1:161" ht="28.95" customHeight="1">
      <c r="A320" s="5682">
        <v>4</v>
      </c>
      <c r="B320" s="5682">
        <v>6</v>
      </c>
      <c r="C320" s="5683" t="s">
        <v>609</v>
      </c>
      <c r="D320" s="5683" t="s">
        <v>3027</v>
      </c>
      <c r="E320" s="5682">
        <v>1</v>
      </c>
      <c r="F320" s="5682">
        <v>6</v>
      </c>
      <c r="I320" s="5712"/>
      <c r="J320" s="36"/>
      <c r="K320" s="36"/>
      <c r="L320" s="36"/>
      <c r="M320" s="36"/>
      <c r="N320" s="36"/>
      <c r="Q320" s="4722"/>
      <c r="R320" s="4446"/>
      <c r="S320" s="4706"/>
      <c r="T320" s="4706"/>
      <c r="U320" s="4707"/>
      <c r="V320" s="4707"/>
      <c r="W320" s="4722"/>
      <c r="X320" s="4622"/>
      <c r="Y320" s="4705">
        <v>1</v>
      </c>
      <c r="Z320" s="4705">
        <v>1</v>
      </c>
      <c r="AA320" s="4706" t="s">
        <v>2733</v>
      </c>
      <c r="AB320" s="4706" t="s">
        <v>2731</v>
      </c>
      <c r="AC320" s="4705">
        <v>12</v>
      </c>
      <c r="AD320" s="4705">
        <v>7</v>
      </c>
      <c r="AE320" s="4622"/>
      <c r="AF320" s="4622"/>
      <c r="AG320" s="4622"/>
      <c r="AH320" s="4622"/>
      <c r="AI320" s="4622"/>
      <c r="AJ320" s="4622"/>
      <c r="AK320" s="4622"/>
      <c r="AL320" s="4622"/>
      <c r="AM320" s="4622"/>
      <c r="AN320" s="4622"/>
      <c r="AR320" s="27"/>
      <c r="AS320" s="27" t="s">
        <v>2571</v>
      </c>
      <c r="AT320" s="3722">
        <v>9</v>
      </c>
      <c r="AU320" s="3722">
        <v>0</v>
      </c>
      <c r="AV320" s="3722">
        <v>0</v>
      </c>
      <c r="AW320" s="3722">
        <v>0</v>
      </c>
      <c r="AX320" s="3722">
        <v>0</v>
      </c>
      <c r="AY320" s="3722">
        <v>0</v>
      </c>
      <c r="AZ320" s="3722">
        <v>0</v>
      </c>
      <c r="BA320" s="3722">
        <v>0</v>
      </c>
      <c r="BB320" s="3722">
        <v>0</v>
      </c>
      <c r="BC320" s="3701">
        <v>0</v>
      </c>
      <c r="BD320" s="3701">
        <v>0</v>
      </c>
      <c r="BE320" s="3701">
        <v>9</v>
      </c>
      <c r="BF320" s="3701"/>
      <c r="BG320" s="3701"/>
      <c r="BJ320" s="1520" t="s">
        <v>112</v>
      </c>
      <c r="BK320" s="1520" t="s">
        <v>1071</v>
      </c>
      <c r="BL320" s="3872">
        <v>0</v>
      </c>
      <c r="BM320" s="3872">
        <v>0</v>
      </c>
      <c r="BN320" s="3872">
        <v>0</v>
      </c>
      <c r="BO320" s="3872">
        <v>4</v>
      </c>
      <c r="BP320" s="3872">
        <v>1</v>
      </c>
      <c r="BQ320" s="3872">
        <v>2</v>
      </c>
      <c r="BR320" s="3872">
        <v>16</v>
      </c>
      <c r="BS320" s="3872">
        <v>7</v>
      </c>
      <c r="BT320" s="3806">
        <v>11</v>
      </c>
      <c r="BU320" s="3806">
        <v>41</v>
      </c>
      <c r="BV320" s="1520"/>
      <c r="BX320" s="36"/>
      <c r="BY320" s="36"/>
      <c r="BZ320" s="36"/>
      <c r="CA320" s="36" t="s">
        <v>1080</v>
      </c>
      <c r="CB320" s="1681"/>
      <c r="CC320" s="1681"/>
      <c r="CD320" s="1681"/>
      <c r="CE320" s="1681"/>
      <c r="CF320" s="1681"/>
      <c r="CG320" s="1681">
        <v>0</v>
      </c>
      <c r="CH320" s="1681">
        <v>3</v>
      </c>
      <c r="CI320" s="1681">
        <v>5</v>
      </c>
      <c r="CJ320" s="95"/>
      <c r="CK320" s="95"/>
      <c r="CL320" s="95">
        <v>8</v>
      </c>
      <c r="CM320" s="36"/>
      <c r="CO320" s="37"/>
      <c r="CP320" s="37"/>
      <c r="CQ320" s="37"/>
      <c r="CR320" s="37" t="s">
        <v>1076</v>
      </c>
      <c r="CS320" s="1678"/>
      <c r="CT320" s="1678"/>
      <c r="CU320" s="1678"/>
      <c r="CV320" s="1678">
        <v>0</v>
      </c>
      <c r="CW320" s="1678"/>
      <c r="CX320" s="1678"/>
      <c r="CY320" s="1678">
        <v>1</v>
      </c>
      <c r="CZ320" s="1678">
        <v>1</v>
      </c>
      <c r="DA320" s="1678">
        <v>0</v>
      </c>
      <c r="DB320" s="63"/>
      <c r="DC320" s="63"/>
      <c r="DD320" s="63">
        <v>2</v>
      </c>
      <c r="DG320" s="95"/>
      <c r="DH320" s="95"/>
      <c r="DI320" s="36"/>
      <c r="DJ320" s="36" t="s">
        <v>1081</v>
      </c>
      <c r="DK320" s="1484">
        <v>0</v>
      </c>
      <c r="DL320" s="1484">
        <v>0</v>
      </c>
      <c r="DM320" s="1484"/>
      <c r="DN320" s="1484"/>
      <c r="DO320" s="1484">
        <v>0</v>
      </c>
      <c r="DP320" s="1484"/>
      <c r="DQ320" s="1484">
        <v>0</v>
      </c>
      <c r="DR320" s="1484">
        <v>1</v>
      </c>
      <c r="DS320" s="1484">
        <v>0</v>
      </c>
      <c r="DT320" s="95"/>
      <c r="DU320" s="95"/>
      <c r="DV320" s="95">
        <v>1</v>
      </c>
      <c r="DW320" s="95"/>
      <c r="DY320" s="1209"/>
      <c r="DZ320" s="1209"/>
      <c r="EA320" s="1210"/>
      <c r="EB320" s="1211" t="s">
        <v>1076</v>
      </c>
      <c r="EC320" s="1213">
        <v>0</v>
      </c>
      <c r="ED320" s="1213">
        <v>0</v>
      </c>
      <c r="EE320" s="1213">
        <v>0</v>
      </c>
      <c r="EF320" s="1212"/>
      <c r="EG320" s="1213">
        <v>0</v>
      </c>
      <c r="EH320" s="1213">
        <v>12</v>
      </c>
      <c r="EI320" s="1213">
        <v>2</v>
      </c>
      <c r="EJ320" s="1213">
        <v>0</v>
      </c>
      <c r="EK320" s="611"/>
      <c r="EL320" s="611"/>
      <c r="EM320" s="612">
        <v>14</v>
      </c>
      <c r="EN320" s="36"/>
      <c r="EP320" s="527"/>
      <c r="EQ320" s="527"/>
      <c r="ER320" s="528"/>
      <c r="ES320" s="529" t="s">
        <v>1076</v>
      </c>
      <c r="ET320" s="531">
        <v>0</v>
      </c>
      <c r="EU320" s="531">
        <v>0</v>
      </c>
      <c r="EV320" s="530"/>
      <c r="EW320" s="531">
        <v>0</v>
      </c>
      <c r="EX320" s="530"/>
      <c r="EY320" s="531">
        <v>6</v>
      </c>
      <c r="EZ320" s="531">
        <v>0</v>
      </c>
      <c r="FA320" s="530"/>
      <c r="FB320" s="527"/>
      <c r="FC320" s="527"/>
      <c r="FD320" s="532">
        <v>6</v>
      </c>
      <c r="FE320" s="95"/>
    </row>
    <row r="321" spans="1:161" ht="14.4" customHeight="1">
      <c r="A321" s="5681" t="s">
        <v>2613</v>
      </c>
      <c r="B321" s="5681" t="s">
        <v>2613</v>
      </c>
      <c r="C321" s="5686" t="s">
        <v>64</v>
      </c>
      <c r="D321" s="5681" t="s">
        <v>2613</v>
      </c>
      <c r="E321" s="5686">
        <f>SUM(E316:E320)</f>
        <v>9</v>
      </c>
      <c r="F321" s="5682" t="s">
        <v>2613</v>
      </c>
      <c r="G321" s="4940">
        <f>(E318+E319)/E321</f>
        <v>0.33333333333333331</v>
      </c>
      <c r="I321" s="36"/>
      <c r="J321" s="36"/>
      <c r="K321" s="36"/>
      <c r="L321" s="36"/>
      <c r="M321" s="36"/>
      <c r="N321" s="36"/>
      <c r="Q321" s="4722"/>
      <c r="R321" s="4446"/>
      <c r="S321" s="4706"/>
      <c r="T321" s="4706"/>
      <c r="U321" s="4707"/>
      <c r="V321" s="4707"/>
      <c r="W321" s="4722"/>
      <c r="X321" s="4622"/>
      <c r="Y321" s="4705">
        <v>1</v>
      </c>
      <c r="Z321" s="4705">
        <v>1</v>
      </c>
      <c r="AA321" s="4706" t="s">
        <v>2733</v>
      </c>
      <c r="AB321" s="4706" t="s">
        <v>1071</v>
      </c>
      <c r="AC321" s="4705">
        <v>2</v>
      </c>
      <c r="AD321" s="4705">
        <v>7</v>
      </c>
      <c r="AE321" s="4622"/>
      <c r="AF321" s="4622"/>
      <c r="AG321" s="4622"/>
      <c r="AH321" s="4622"/>
      <c r="AI321" s="4622"/>
      <c r="AJ321" s="4622"/>
      <c r="AK321" s="4622"/>
      <c r="AL321" s="4622"/>
      <c r="AM321" s="4622"/>
      <c r="AN321" s="4622"/>
      <c r="AR321" s="27"/>
      <c r="AS321" s="27" t="s">
        <v>1163</v>
      </c>
      <c r="AT321" s="3722">
        <v>0</v>
      </c>
      <c r="AU321" s="3722">
        <v>0</v>
      </c>
      <c r="AV321" s="3722">
        <v>0</v>
      </c>
      <c r="AW321" s="3722">
        <v>0</v>
      </c>
      <c r="AX321" s="3722">
        <v>0</v>
      </c>
      <c r="AY321" s="3722">
        <v>0</v>
      </c>
      <c r="AZ321" s="3722">
        <v>19</v>
      </c>
      <c r="BA321" s="3722">
        <v>6</v>
      </c>
      <c r="BB321" s="3722">
        <v>3</v>
      </c>
      <c r="BC321" s="3701">
        <v>0</v>
      </c>
      <c r="BD321" s="3701">
        <v>0</v>
      </c>
      <c r="BE321" s="3701">
        <v>28</v>
      </c>
      <c r="BF321" s="3701"/>
      <c r="BG321" s="3701"/>
      <c r="BJ321" s="1520"/>
      <c r="BK321" s="1520" t="s">
        <v>1072</v>
      </c>
      <c r="BL321" s="3872">
        <v>21</v>
      </c>
      <c r="BM321" s="3872">
        <v>7</v>
      </c>
      <c r="BN321" s="3872">
        <v>6</v>
      </c>
      <c r="BO321" s="3872">
        <v>5</v>
      </c>
      <c r="BP321" s="3872">
        <v>13</v>
      </c>
      <c r="BQ321" s="3872">
        <v>189</v>
      </c>
      <c r="BR321" s="3872">
        <v>25</v>
      </c>
      <c r="BS321" s="3872">
        <v>16</v>
      </c>
      <c r="BT321" s="3806">
        <v>0</v>
      </c>
      <c r="BU321" s="3806">
        <v>282</v>
      </c>
      <c r="BV321" s="1520"/>
      <c r="BX321" s="36"/>
      <c r="BY321" s="36"/>
      <c r="BZ321" s="36"/>
      <c r="CA321" s="36" t="s">
        <v>1163</v>
      </c>
      <c r="CB321" s="1681"/>
      <c r="CC321" s="1681"/>
      <c r="CD321" s="1681"/>
      <c r="CE321" s="1681"/>
      <c r="CF321" s="1681"/>
      <c r="CG321" s="1681">
        <v>2</v>
      </c>
      <c r="CH321" s="1681">
        <v>0</v>
      </c>
      <c r="CI321" s="1681">
        <v>0</v>
      </c>
      <c r="CJ321" s="95"/>
      <c r="CK321" s="95"/>
      <c r="CL321" s="95">
        <v>2</v>
      </c>
      <c r="CM321" s="36"/>
      <c r="CO321" s="37"/>
      <c r="CP321" s="37"/>
      <c r="CQ321" s="37"/>
      <c r="CR321" s="37" t="s">
        <v>1080</v>
      </c>
      <c r="CS321" s="1678"/>
      <c r="CT321" s="1678"/>
      <c r="CU321" s="1678"/>
      <c r="CV321" s="1678">
        <v>0</v>
      </c>
      <c r="CW321" s="1678"/>
      <c r="CX321" s="1678"/>
      <c r="CY321" s="1678">
        <v>0</v>
      </c>
      <c r="CZ321" s="1678">
        <v>0</v>
      </c>
      <c r="DA321" s="1678">
        <v>5</v>
      </c>
      <c r="DB321" s="63"/>
      <c r="DC321" s="63"/>
      <c r="DD321" s="63">
        <v>5</v>
      </c>
      <c r="DG321" s="95"/>
      <c r="DH321" s="95"/>
      <c r="DI321" s="36"/>
      <c r="DJ321" s="36" t="s">
        <v>1163</v>
      </c>
      <c r="DK321" s="1484">
        <v>0</v>
      </c>
      <c r="DL321" s="1484">
        <v>0</v>
      </c>
      <c r="DM321" s="1484"/>
      <c r="DN321" s="1484"/>
      <c r="DO321" s="1484">
        <v>0</v>
      </c>
      <c r="DP321" s="1484"/>
      <c r="DQ321" s="1484">
        <v>1</v>
      </c>
      <c r="DR321" s="1484">
        <v>0</v>
      </c>
      <c r="DS321" s="1484">
        <v>0</v>
      </c>
      <c r="DT321" s="95"/>
      <c r="DU321" s="95"/>
      <c r="DV321" s="95">
        <v>1</v>
      </c>
      <c r="DW321" s="95"/>
      <c r="DY321" s="1209"/>
      <c r="DZ321" s="1209"/>
      <c r="EA321" s="1210"/>
      <c r="EB321" s="1211" t="s">
        <v>1077</v>
      </c>
      <c r="EC321" s="1213">
        <v>0</v>
      </c>
      <c r="ED321" s="1213">
        <v>1</v>
      </c>
      <c r="EE321" s="1213">
        <v>1</v>
      </c>
      <c r="EF321" s="1212"/>
      <c r="EG321" s="1213">
        <v>0</v>
      </c>
      <c r="EH321" s="1213">
        <v>0</v>
      </c>
      <c r="EI321" s="1213">
        <v>0</v>
      </c>
      <c r="EJ321" s="1213">
        <v>0</v>
      </c>
      <c r="EK321" s="611"/>
      <c r="EL321" s="611"/>
      <c r="EM321" s="612">
        <v>2</v>
      </c>
      <c r="EN321" s="36"/>
      <c r="EP321" s="527"/>
      <c r="EQ321" s="527"/>
      <c r="ER321" s="528"/>
      <c r="ES321" s="529" t="s">
        <v>1077</v>
      </c>
      <c r="ET321" s="531">
        <v>0</v>
      </c>
      <c r="EU321" s="531">
        <v>0</v>
      </c>
      <c r="EV321" s="530"/>
      <c r="EW321" s="531">
        <v>0</v>
      </c>
      <c r="EX321" s="530"/>
      <c r="EY321" s="531">
        <v>0</v>
      </c>
      <c r="EZ321" s="531">
        <v>1</v>
      </c>
      <c r="FA321" s="530"/>
      <c r="FB321" s="527"/>
      <c r="FC321" s="527"/>
      <c r="FD321" s="532">
        <v>1</v>
      </c>
      <c r="FE321" s="95"/>
    </row>
    <row r="322" spans="1:161" ht="14.4" customHeight="1">
      <c r="C322" s="5683"/>
      <c r="D322" s="5690" t="s">
        <v>2754</v>
      </c>
      <c r="E322" s="5693">
        <f>SUM(E308,E318:E319)</f>
        <v>4</v>
      </c>
      <c r="I322" s="36"/>
      <c r="J322" s="36"/>
      <c r="K322" s="36"/>
      <c r="L322" s="36"/>
      <c r="M322" s="36"/>
      <c r="N322" s="36"/>
      <c r="Q322" s="4722"/>
      <c r="R322" s="4446"/>
      <c r="S322" s="4706"/>
      <c r="T322" s="4706"/>
      <c r="U322" s="4707"/>
      <c r="V322" s="4707"/>
      <c r="W322" s="4722"/>
      <c r="X322" s="4622"/>
      <c r="Y322" s="4705">
        <v>1</v>
      </c>
      <c r="Z322" s="4705">
        <v>1</v>
      </c>
      <c r="AA322" s="4706" t="s">
        <v>2733</v>
      </c>
      <c r="AB322" s="4706" t="s">
        <v>2705</v>
      </c>
      <c r="AC322" s="4705">
        <v>1</v>
      </c>
      <c r="AD322" s="4705">
        <v>4</v>
      </c>
      <c r="AE322" s="4622"/>
      <c r="AF322" s="4622"/>
      <c r="AG322" s="4622"/>
      <c r="AH322" s="4622"/>
      <c r="AI322" s="4622"/>
      <c r="AJ322" s="4622"/>
      <c r="AK322" s="4622"/>
      <c r="AL322" s="4622"/>
      <c r="AM322" s="4622"/>
      <c r="AN322" s="4622"/>
      <c r="AR322" s="27"/>
      <c r="AS322" s="3868" t="s">
        <v>15</v>
      </c>
      <c r="AT322" s="3722">
        <v>9</v>
      </c>
      <c r="AU322" s="3722">
        <v>8</v>
      </c>
      <c r="AV322" s="3722">
        <v>4</v>
      </c>
      <c r="AW322" s="3722">
        <v>1</v>
      </c>
      <c r="AX322" s="3722">
        <v>3</v>
      </c>
      <c r="AY322" s="3722">
        <v>4</v>
      </c>
      <c r="AZ322" s="3722">
        <v>126</v>
      </c>
      <c r="BA322" s="3722">
        <v>28</v>
      </c>
      <c r="BB322" s="3722">
        <v>14</v>
      </c>
      <c r="BC322" s="3701">
        <v>4</v>
      </c>
      <c r="BD322" s="3701">
        <v>1</v>
      </c>
      <c r="BE322" s="3701">
        <v>202</v>
      </c>
      <c r="BF322" s="1665">
        <f>+(BE317+BE319+BE321)/(BE322-BE320)</f>
        <v>0.36787564766839376</v>
      </c>
      <c r="BG322" s="1665"/>
      <c r="BJ322" s="1520"/>
      <c r="BK322" s="1520" t="s">
        <v>1074</v>
      </c>
      <c r="BL322" s="3872">
        <v>7</v>
      </c>
      <c r="BM322" s="3872">
        <v>3</v>
      </c>
      <c r="BN322" s="3872">
        <v>2</v>
      </c>
      <c r="BO322" s="3872">
        <v>0</v>
      </c>
      <c r="BP322" s="3872">
        <v>0</v>
      </c>
      <c r="BQ322" s="3872">
        <v>0</v>
      </c>
      <c r="BR322" s="3872">
        <v>0</v>
      </c>
      <c r="BS322" s="3872">
        <v>0</v>
      </c>
      <c r="BT322" s="3806">
        <v>0</v>
      </c>
      <c r="BU322" s="3806">
        <v>12</v>
      </c>
      <c r="BV322" s="1520"/>
      <c r="BX322" s="36"/>
      <c r="BY322" s="36"/>
      <c r="BZ322" s="36"/>
      <c r="CA322" s="393" t="s">
        <v>15</v>
      </c>
      <c r="CB322" s="1682"/>
      <c r="CC322" s="1682"/>
      <c r="CD322" s="1682"/>
      <c r="CE322" s="1682"/>
      <c r="CF322" s="1682"/>
      <c r="CG322" s="1682">
        <v>3</v>
      </c>
      <c r="CH322" s="1682">
        <v>4</v>
      </c>
      <c r="CI322" s="1682">
        <v>5</v>
      </c>
      <c r="CJ322" s="2041"/>
      <c r="CK322" s="2041"/>
      <c r="CL322" s="2041">
        <v>12</v>
      </c>
      <c r="CM322" s="560">
        <f>+(CL321+CL319)/CL322</f>
        <v>0.25</v>
      </c>
      <c r="CN322" s="1665"/>
      <c r="CO322" s="37"/>
      <c r="CP322" s="37"/>
      <c r="CQ322" s="37"/>
      <c r="CR322" s="37" t="s">
        <v>1081</v>
      </c>
      <c r="CS322" s="1678"/>
      <c r="CT322" s="1678"/>
      <c r="CU322" s="1678"/>
      <c r="CV322" s="1678">
        <v>0</v>
      </c>
      <c r="CW322" s="1678"/>
      <c r="CX322" s="1678"/>
      <c r="CY322" s="1678">
        <v>0</v>
      </c>
      <c r="CZ322" s="1678">
        <v>1</v>
      </c>
      <c r="DA322" s="1678">
        <v>0</v>
      </c>
      <c r="DB322" s="63"/>
      <c r="DC322" s="63"/>
      <c r="DD322" s="63">
        <v>1</v>
      </c>
      <c r="DG322" s="95"/>
      <c r="DH322" s="95"/>
      <c r="DI322" s="36"/>
      <c r="DJ322" s="393" t="s">
        <v>15</v>
      </c>
      <c r="DK322" s="1485">
        <v>1</v>
      </c>
      <c r="DL322" s="1485">
        <v>1</v>
      </c>
      <c r="DM322" s="1485"/>
      <c r="DN322" s="1485"/>
      <c r="DO322" s="1485">
        <v>1</v>
      </c>
      <c r="DP322" s="1485"/>
      <c r="DQ322" s="1485">
        <v>3</v>
      </c>
      <c r="DR322" s="1485">
        <v>7</v>
      </c>
      <c r="DS322" s="1485">
        <v>1</v>
      </c>
      <c r="DT322" s="86"/>
      <c r="DU322" s="86"/>
      <c r="DV322" s="86">
        <v>14</v>
      </c>
      <c r="DW322" s="560">
        <f>+(DV318+DV320+DV321)/DV322</f>
        <v>0.2857142857142857</v>
      </c>
      <c r="DY322" s="1209"/>
      <c r="DZ322" s="1209"/>
      <c r="EA322" s="1210"/>
      <c r="EB322" s="1211" t="s">
        <v>1080</v>
      </c>
      <c r="EC322" s="1213">
        <v>0</v>
      </c>
      <c r="ED322" s="1213">
        <v>0</v>
      </c>
      <c r="EE322" s="1213">
        <v>0</v>
      </c>
      <c r="EF322" s="1212"/>
      <c r="EG322" s="1213">
        <v>0</v>
      </c>
      <c r="EH322" s="1213">
        <v>0</v>
      </c>
      <c r="EI322" s="1213">
        <v>0</v>
      </c>
      <c r="EJ322" s="1213">
        <v>6</v>
      </c>
      <c r="EK322" s="611"/>
      <c r="EL322" s="611"/>
      <c r="EM322" s="612">
        <v>6</v>
      </c>
      <c r="EN322" s="36"/>
      <c r="EP322" s="527"/>
      <c r="EQ322" s="527"/>
      <c r="ER322" s="528"/>
      <c r="ES322" s="529" t="s">
        <v>1080</v>
      </c>
      <c r="ET322" s="531">
        <v>0</v>
      </c>
      <c r="EU322" s="531">
        <v>0</v>
      </c>
      <c r="EV322" s="530"/>
      <c r="EW322" s="531">
        <v>0</v>
      </c>
      <c r="EX322" s="530"/>
      <c r="EY322" s="531">
        <v>0</v>
      </c>
      <c r="EZ322" s="531">
        <v>1</v>
      </c>
      <c r="FA322" s="530"/>
      <c r="FB322" s="527"/>
      <c r="FC322" s="527"/>
      <c r="FD322" s="532">
        <v>1</v>
      </c>
      <c r="FE322" s="95"/>
    </row>
    <row r="323" spans="1:161" ht="14.4" customHeight="1">
      <c r="A323" s="5654"/>
      <c r="B323" s="5731"/>
      <c r="C323" s="5711" t="s">
        <v>72</v>
      </c>
      <c r="D323" s="5711"/>
      <c r="E323" s="5711">
        <f>SUM(E321,E315,E310)</f>
        <v>44</v>
      </c>
      <c r="F323" s="5713"/>
      <c r="G323" s="5730">
        <f>E322/E323</f>
        <v>9.0909090909090912E-2</v>
      </c>
      <c r="I323" s="36"/>
      <c r="J323" s="36"/>
      <c r="K323" s="36"/>
      <c r="L323" s="36"/>
      <c r="M323" s="36"/>
      <c r="N323" s="36"/>
      <c r="Q323" s="4722"/>
      <c r="R323" s="4446"/>
      <c r="S323" s="4706"/>
      <c r="T323" s="4706"/>
      <c r="U323" s="4707"/>
      <c r="V323" s="4707"/>
      <c r="W323" s="4722"/>
      <c r="X323" s="4622"/>
      <c r="Y323" s="4705">
        <v>1</v>
      </c>
      <c r="Z323" s="4705">
        <v>1</v>
      </c>
      <c r="AA323" s="4706" t="s">
        <v>2734</v>
      </c>
      <c r="AB323" s="4706" t="s">
        <v>2731</v>
      </c>
      <c r="AC323" s="4705">
        <v>13</v>
      </c>
      <c r="AD323" s="4705">
        <v>7</v>
      </c>
      <c r="AE323" s="4622"/>
      <c r="AF323" s="4622"/>
      <c r="AG323" s="4622"/>
      <c r="AH323" s="4622"/>
      <c r="AI323" s="4622"/>
      <c r="AJ323" s="4622"/>
      <c r="AK323" s="4622"/>
      <c r="AL323" s="4622"/>
      <c r="AM323" s="4622"/>
      <c r="AN323" s="4622"/>
      <c r="AP323" s="157" t="s">
        <v>59</v>
      </c>
      <c r="AQ323" s="157" t="s">
        <v>16</v>
      </c>
      <c r="AR323" s="3868" t="s">
        <v>608</v>
      </c>
      <c r="AS323" s="3868" t="s">
        <v>1072</v>
      </c>
      <c r="AT323" s="3721">
        <v>0</v>
      </c>
      <c r="AU323" s="3721"/>
      <c r="AV323" s="3721"/>
      <c r="AW323" s="3721">
        <v>0</v>
      </c>
      <c r="AX323" s="3721">
        <v>1</v>
      </c>
      <c r="AY323" s="3721"/>
      <c r="AZ323" s="3721">
        <v>5</v>
      </c>
      <c r="BA323" s="3721">
        <v>0</v>
      </c>
      <c r="BB323" s="3721">
        <v>0</v>
      </c>
      <c r="BC323" s="2110"/>
      <c r="BD323" s="2110"/>
      <c r="BE323" s="2110">
        <v>6</v>
      </c>
      <c r="BF323" s="2110"/>
      <c r="BG323" s="2110"/>
      <c r="BJ323" s="1520"/>
      <c r="BK323" s="1520" t="s">
        <v>1076</v>
      </c>
      <c r="BL323" s="3872">
        <v>0</v>
      </c>
      <c r="BM323" s="3872">
        <v>0</v>
      </c>
      <c r="BN323" s="3872">
        <v>0</v>
      </c>
      <c r="BO323" s="3872">
        <v>0</v>
      </c>
      <c r="BP323" s="3872">
        <v>0</v>
      </c>
      <c r="BQ323" s="3872">
        <v>60</v>
      </c>
      <c r="BR323" s="3872">
        <v>22</v>
      </c>
      <c r="BS323" s="3872">
        <v>4</v>
      </c>
      <c r="BT323" s="3806">
        <v>0</v>
      </c>
      <c r="BU323" s="3806">
        <v>86</v>
      </c>
      <c r="BV323" s="1520"/>
      <c r="BX323" s="36"/>
      <c r="BY323" s="36"/>
      <c r="BZ323" s="393" t="s">
        <v>487</v>
      </c>
      <c r="CA323" s="393" t="s">
        <v>1072</v>
      </c>
      <c r="CB323" s="1682"/>
      <c r="CC323" s="1682"/>
      <c r="CD323" s="1682"/>
      <c r="CE323" s="1682"/>
      <c r="CF323" s="1682"/>
      <c r="CG323" s="1682">
        <v>1</v>
      </c>
      <c r="CH323" s="1682">
        <v>0</v>
      </c>
      <c r="CI323" s="1682">
        <v>0</v>
      </c>
      <c r="CJ323" s="2041"/>
      <c r="CK323" s="2041"/>
      <c r="CL323" s="2041">
        <v>1</v>
      </c>
      <c r="CM323" s="36"/>
      <c r="CO323" s="37"/>
      <c r="CP323" s="37"/>
      <c r="CQ323" s="37"/>
      <c r="CR323" s="416" t="s">
        <v>487</v>
      </c>
      <c r="CS323" s="1679"/>
      <c r="CT323" s="1679"/>
      <c r="CU323" s="1679"/>
      <c r="CV323" s="1679">
        <v>1</v>
      </c>
      <c r="CW323" s="1679"/>
      <c r="CX323" s="1679"/>
      <c r="CY323" s="1679">
        <v>3</v>
      </c>
      <c r="CZ323" s="1679">
        <v>4</v>
      </c>
      <c r="DA323" s="1679">
        <v>5</v>
      </c>
      <c r="DB323" s="386"/>
      <c r="DC323" s="386"/>
      <c r="DD323" s="386">
        <v>13</v>
      </c>
      <c r="DE323" s="466">
        <f>+(DD320+DD322)/DD323</f>
        <v>0.23076923076923078</v>
      </c>
      <c r="DG323" s="95"/>
      <c r="DH323" s="95"/>
      <c r="DI323" s="36" t="s">
        <v>15</v>
      </c>
      <c r="DJ323" s="36" t="s">
        <v>1072</v>
      </c>
      <c r="DK323" s="1484">
        <v>1</v>
      </c>
      <c r="DL323" s="1484">
        <v>0</v>
      </c>
      <c r="DM323" s="1484"/>
      <c r="DN323" s="1484"/>
      <c r="DO323" s="1484">
        <v>1</v>
      </c>
      <c r="DP323" s="1484"/>
      <c r="DQ323" s="1484">
        <v>1</v>
      </c>
      <c r="DR323" s="1484">
        <v>5</v>
      </c>
      <c r="DS323" s="1484">
        <v>0</v>
      </c>
      <c r="DT323" s="95"/>
      <c r="DU323" s="95"/>
      <c r="DV323" s="95">
        <v>8</v>
      </c>
      <c r="DW323" s="95"/>
      <c r="DY323" s="1209"/>
      <c r="DZ323" s="1209"/>
      <c r="EA323" s="1210"/>
      <c r="EB323" s="1211" t="s">
        <v>1081</v>
      </c>
      <c r="EC323" s="1213">
        <v>0</v>
      </c>
      <c r="ED323" s="1213">
        <v>0</v>
      </c>
      <c r="EE323" s="1213">
        <v>0</v>
      </c>
      <c r="EF323" s="1212"/>
      <c r="EG323" s="1213">
        <v>0</v>
      </c>
      <c r="EH323" s="1213">
        <v>4</v>
      </c>
      <c r="EI323" s="1213">
        <v>1</v>
      </c>
      <c r="EJ323" s="1213">
        <v>0</v>
      </c>
      <c r="EK323" s="611"/>
      <c r="EL323" s="611"/>
      <c r="EM323" s="612">
        <v>5</v>
      </c>
      <c r="EN323" s="36"/>
      <c r="EP323" s="527"/>
      <c r="EQ323" s="527"/>
      <c r="ER323" s="528"/>
      <c r="ES323" s="529" t="s">
        <v>1081</v>
      </c>
      <c r="ET323" s="531">
        <v>0</v>
      </c>
      <c r="EU323" s="531">
        <v>0</v>
      </c>
      <c r="EV323" s="530"/>
      <c r="EW323" s="531">
        <v>0</v>
      </c>
      <c r="EX323" s="530"/>
      <c r="EY323" s="531">
        <v>1</v>
      </c>
      <c r="EZ323" s="531">
        <v>1</v>
      </c>
      <c r="FA323" s="530"/>
      <c r="FB323" s="527"/>
      <c r="FC323" s="527"/>
      <c r="FD323" s="532">
        <v>2</v>
      </c>
      <c r="FE323" s="95"/>
    </row>
    <row r="324" spans="1:161" ht="14.4" customHeight="1">
      <c r="D324" s="5690" t="s">
        <v>2754</v>
      </c>
      <c r="E324" s="5714">
        <f>SUM(E322,E305,E224,E105)</f>
        <v>149</v>
      </c>
      <c r="Q324" s="4722"/>
      <c r="R324" s="4446"/>
      <c r="S324" s="4706"/>
      <c r="T324" s="4706"/>
      <c r="U324" s="4707"/>
      <c r="V324" s="4707"/>
      <c r="W324" s="4722"/>
      <c r="X324" s="4622"/>
      <c r="Y324" s="4705">
        <v>1</v>
      </c>
      <c r="Z324" s="4705">
        <v>1</v>
      </c>
      <c r="AA324" s="4706" t="s">
        <v>2734</v>
      </c>
      <c r="AB324" s="4706" t="s">
        <v>2709</v>
      </c>
      <c r="AC324" s="4705">
        <v>1</v>
      </c>
      <c r="AD324" s="4705">
        <v>6</v>
      </c>
      <c r="AE324" s="4622"/>
      <c r="AF324" s="4622"/>
      <c r="AG324" s="4622"/>
      <c r="AH324" s="4622"/>
      <c r="AI324" s="4622"/>
      <c r="AJ324" s="4622"/>
      <c r="AK324" s="4622"/>
      <c r="AL324" s="4622"/>
      <c r="AM324" s="4622"/>
      <c r="AN324" s="4622"/>
      <c r="AS324" s="3868" t="s">
        <v>1163</v>
      </c>
      <c r="AT324" s="3721">
        <v>0</v>
      </c>
      <c r="AU324" s="3721"/>
      <c r="AV324" s="3721"/>
      <c r="AW324" s="3721">
        <v>0</v>
      </c>
      <c r="AX324" s="3721">
        <v>0</v>
      </c>
      <c r="AY324" s="3721"/>
      <c r="AZ324" s="3721">
        <v>1</v>
      </c>
      <c r="BA324" s="3721">
        <v>0</v>
      </c>
      <c r="BB324" s="3721">
        <v>0</v>
      </c>
      <c r="BC324" s="2110"/>
      <c r="BD324" s="2110"/>
      <c r="BE324" s="2110">
        <v>1</v>
      </c>
      <c r="BF324" s="2110"/>
      <c r="BG324" s="2110"/>
      <c r="BJ324" s="1520"/>
      <c r="BK324" s="1520" t="s">
        <v>2264</v>
      </c>
      <c r="BL324" s="3872">
        <v>0</v>
      </c>
      <c r="BM324" s="3872">
        <v>1</v>
      </c>
      <c r="BN324" s="3872">
        <v>0</v>
      </c>
      <c r="BO324" s="3872">
        <v>0</v>
      </c>
      <c r="BP324" s="3872">
        <v>0</v>
      </c>
      <c r="BQ324" s="3872">
        <v>0</v>
      </c>
      <c r="BR324" s="3872">
        <v>0</v>
      </c>
      <c r="BS324" s="3872">
        <v>0</v>
      </c>
      <c r="BT324" s="3806">
        <v>0</v>
      </c>
      <c r="BU324" s="3806">
        <v>1</v>
      </c>
      <c r="BV324" s="1520"/>
      <c r="BX324" s="36"/>
      <c r="BY324" s="36"/>
      <c r="BZ324" s="393" t="s">
        <v>256</v>
      </c>
      <c r="CA324" s="393" t="s">
        <v>1072</v>
      </c>
      <c r="CB324" s="1682"/>
      <c r="CC324" s="1682"/>
      <c r="CD324" s="1682"/>
      <c r="CE324" s="1682"/>
      <c r="CF324" s="1682"/>
      <c r="CG324" s="1682">
        <v>8</v>
      </c>
      <c r="CH324" s="1682">
        <v>0</v>
      </c>
      <c r="CI324" s="1682">
        <v>0</v>
      </c>
      <c r="CJ324" s="2041"/>
      <c r="CK324" s="2041"/>
      <c r="CL324" s="2041">
        <v>8</v>
      </c>
      <c r="CM324" s="36"/>
      <c r="CO324" s="37"/>
      <c r="CP324" s="37"/>
      <c r="CQ324" s="37"/>
      <c r="CR324" s="37" t="s">
        <v>1081</v>
      </c>
      <c r="CS324" s="1678"/>
      <c r="CT324" s="1678"/>
      <c r="CU324" s="1678">
        <v>0</v>
      </c>
      <c r="CV324" s="1678">
        <v>0</v>
      </c>
      <c r="CW324" s="1678"/>
      <c r="CX324" s="1678">
        <v>0</v>
      </c>
      <c r="CY324" s="1678">
        <v>1</v>
      </c>
      <c r="CZ324" s="1678">
        <v>7</v>
      </c>
      <c r="DA324" s="1678">
        <v>0</v>
      </c>
      <c r="DB324" s="63"/>
      <c r="DC324" s="63"/>
      <c r="DD324" s="63">
        <v>8</v>
      </c>
      <c r="DG324" s="95"/>
      <c r="DH324" s="95"/>
      <c r="DI324" s="36"/>
      <c r="DJ324" s="36" t="s">
        <v>1163</v>
      </c>
      <c r="DK324" s="1484">
        <v>0</v>
      </c>
      <c r="DL324" s="1484">
        <v>0</v>
      </c>
      <c r="DM324" s="1484"/>
      <c r="DN324" s="1484"/>
      <c r="DO324" s="1484">
        <v>0</v>
      </c>
      <c r="DP324" s="1484"/>
      <c r="DQ324" s="1484">
        <v>1</v>
      </c>
      <c r="DR324" s="1484">
        <v>0</v>
      </c>
      <c r="DS324" s="1484">
        <v>0</v>
      </c>
      <c r="DT324" s="95"/>
      <c r="DU324" s="95"/>
      <c r="DV324" s="95">
        <v>1</v>
      </c>
      <c r="DW324" s="95"/>
      <c r="DY324" s="1209"/>
      <c r="DZ324" s="1209"/>
      <c r="EA324" s="1210"/>
      <c r="EB324" s="1211" t="s">
        <v>1074</v>
      </c>
      <c r="EC324" s="1213">
        <v>10</v>
      </c>
      <c r="ED324" s="1213">
        <v>7</v>
      </c>
      <c r="EE324" s="1213">
        <v>3</v>
      </c>
      <c r="EF324" s="1213">
        <v>1</v>
      </c>
      <c r="EG324" s="1213">
        <v>1</v>
      </c>
      <c r="EH324" s="1213">
        <v>0</v>
      </c>
      <c r="EI324" s="1213">
        <v>0</v>
      </c>
      <c r="EJ324" s="1213">
        <v>0</v>
      </c>
      <c r="EK324" s="612">
        <v>0</v>
      </c>
      <c r="EL324" s="612">
        <v>0</v>
      </c>
      <c r="EM324" s="612">
        <v>22</v>
      </c>
      <c r="EN324" s="36"/>
      <c r="EP324" s="527"/>
      <c r="EQ324" s="527"/>
      <c r="ER324" s="528"/>
      <c r="ES324" s="529" t="s">
        <v>1074</v>
      </c>
      <c r="ET324" s="531">
        <v>11</v>
      </c>
      <c r="EU324" s="531">
        <v>4</v>
      </c>
      <c r="EV324" s="531">
        <v>0</v>
      </c>
      <c r="EW324" s="531">
        <v>0</v>
      </c>
      <c r="EX324" s="531">
        <v>0</v>
      </c>
      <c r="EY324" s="531">
        <v>0</v>
      </c>
      <c r="EZ324" s="531">
        <v>0</v>
      </c>
      <c r="FA324" s="531">
        <v>0</v>
      </c>
      <c r="FB324" s="532">
        <v>0</v>
      </c>
      <c r="FC324" s="532">
        <v>0</v>
      </c>
      <c r="FD324" s="532">
        <v>15</v>
      </c>
      <c r="FE324" s="95"/>
    </row>
    <row r="325" spans="1:161" s="157" customFormat="1" ht="15" customHeight="1">
      <c r="A325" s="5725"/>
      <c r="B325" s="5725"/>
      <c r="C325" s="5728" t="s">
        <v>75</v>
      </c>
      <c r="D325" s="5725"/>
      <c r="E325" s="5726">
        <f>SUM(E323,E306,E225,E106)</f>
        <v>636</v>
      </c>
      <c r="F325" s="5725"/>
      <c r="G325" s="5727">
        <f>E324/E325</f>
        <v>0.23427672955974843</v>
      </c>
      <c r="K325" s="5729"/>
      <c r="Q325" s="195"/>
      <c r="R325" s="5715"/>
      <c r="S325" s="4915"/>
      <c r="T325" s="4915"/>
      <c r="U325" s="4915"/>
      <c r="V325" s="4915"/>
      <c r="W325" s="195"/>
      <c r="Y325" s="4915">
        <v>1</v>
      </c>
      <c r="Z325" s="4915">
        <v>1</v>
      </c>
      <c r="AA325" s="4915" t="s">
        <v>2734</v>
      </c>
      <c r="AB325" s="4915" t="s">
        <v>2709</v>
      </c>
      <c r="AC325" s="4915">
        <v>2</v>
      </c>
      <c r="AD325" s="4915">
        <v>8</v>
      </c>
      <c r="AS325" s="157" t="s">
        <v>15</v>
      </c>
      <c r="AT325" s="5716">
        <v>1</v>
      </c>
      <c r="AU325" s="5716"/>
      <c r="AV325" s="5716"/>
      <c r="AW325" s="5716">
        <v>1</v>
      </c>
      <c r="AX325" s="5716">
        <v>1</v>
      </c>
      <c r="AY325" s="5716"/>
      <c r="AZ325" s="5716">
        <v>7</v>
      </c>
      <c r="BA325" s="5716">
        <v>2</v>
      </c>
      <c r="BB325" s="5716">
        <v>1</v>
      </c>
      <c r="BE325" s="157">
        <v>13</v>
      </c>
      <c r="BF325" s="5717" t="e">
        <f>+(#REF!+BE324)/(BE325-#REF!)</f>
        <v>#REF!</v>
      </c>
      <c r="BG325" s="5717"/>
      <c r="BH325" s="3518"/>
      <c r="BI325" s="3518"/>
      <c r="BJ325" s="3816"/>
      <c r="BK325" s="3816">
        <v>22</v>
      </c>
      <c r="BL325" s="5718">
        <v>0</v>
      </c>
      <c r="BM325" s="5718">
        <v>0</v>
      </c>
      <c r="BN325" s="5718">
        <v>0</v>
      </c>
      <c r="BO325" s="5718">
        <v>1</v>
      </c>
      <c r="BP325" s="5718">
        <v>0</v>
      </c>
      <c r="BQ325" s="5718">
        <v>1</v>
      </c>
      <c r="BR325" s="5718">
        <v>0</v>
      </c>
      <c r="BS325" s="5718">
        <v>0</v>
      </c>
      <c r="BT325" s="3816">
        <v>0</v>
      </c>
      <c r="BU325" s="3816">
        <v>2</v>
      </c>
      <c r="BV325" s="3816"/>
      <c r="BX325" s="97"/>
      <c r="BY325" s="97"/>
      <c r="BZ325" s="135"/>
      <c r="CA325" s="135" t="s">
        <v>1076</v>
      </c>
      <c r="CB325" s="5719"/>
      <c r="CC325" s="5719"/>
      <c r="CD325" s="5719"/>
      <c r="CE325" s="5719"/>
      <c r="CF325" s="5719"/>
      <c r="CG325" s="5719">
        <v>0</v>
      </c>
      <c r="CH325" s="5719">
        <v>1</v>
      </c>
      <c r="CI325" s="5719">
        <v>0</v>
      </c>
      <c r="CJ325" s="135"/>
      <c r="CK325" s="135"/>
      <c r="CL325" s="135">
        <v>1</v>
      </c>
      <c r="CM325" s="97"/>
      <c r="CO325" s="2043"/>
      <c r="CP325" s="2043"/>
      <c r="CQ325" s="2043"/>
      <c r="CR325" s="1691" t="s">
        <v>256</v>
      </c>
      <c r="CS325" s="5720"/>
      <c r="CT325" s="5720"/>
      <c r="CU325" s="5720">
        <v>1</v>
      </c>
      <c r="CV325" s="5720">
        <v>1</v>
      </c>
      <c r="CW325" s="5720"/>
      <c r="CX325" s="5720">
        <v>2</v>
      </c>
      <c r="CY325" s="5720">
        <v>16</v>
      </c>
      <c r="CZ325" s="5720">
        <v>27</v>
      </c>
      <c r="DA325" s="5720">
        <v>5</v>
      </c>
      <c r="DB325" s="1691"/>
      <c r="DC325" s="1691"/>
      <c r="DD325" s="1691">
        <v>52</v>
      </c>
      <c r="DE325" s="5721" t="e">
        <f>+(#REF!+DD324)/DD325</f>
        <v>#REF!</v>
      </c>
      <c r="DG325" s="97"/>
      <c r="DH325" s="97"/>
      <c r="DI325" s="97"/>
      <c r="DJ325" s="135" t="s">
        <v>15</v>
      </c>
      <c r="DK325" s="5722">
        <v>1</v>
      </c>
      <c r="DL325" s="5722">
        <v>1</v>
      </c>
      <c r="DM325" s="5722"/>
      <c r="DN325" s="5722"/>
      <c r="DO325" s="5722">
        <v>1</v>
      </c>
      <c r="DP325" s="5722"/>
      <c r="DQ325" s="5722">
        <v>3</v>
      </c>
      <c r="DR325" s="5722">
        <v>7</v>
      </c>
      <c r="DS325" s="5722">
        <v>1</v>
      </c>
      <c r="DT325" s="135"/>
      <c r="DU325" s="135"/>
      <c r="DV325" s="135">
        <v>14</v>
      </c>
      <c r="DW325" s="5723" t="e">
        <f>+(#REF!+#REF!+DV324)/DV325</f>
        <v>#REF!</v>
      </c>
      <c r="DY325" s="1209"/>
      <c r="DZ325" s="1209"/>
      <c r="EA325" s="1209"/>
      <c r="EB325" s="1209" t="s">
        <v>1076</v>
      </c>
      <c r="EC325" s="5724">
        <v>0</v>
      </c>
      <c r="ED325" s="5724">
        <v>0</v>
      </c>
      <c r="EE325" s="5724">
        <v>8</v>
      </c>
      <c r="EF325" s="5724">
        <v>3</v>
      </c>
      <c r="EG325" s="5724">
        <v>3</v>
      </c>
      <c r="EH325" s="5724">
        <v>31</v>
      </c>
      <c r="EI325" s="5724">
        <v>19</v>
      </c>
      <c r="EJ325" s="5724">
        <v>1</v>
      </c>
      <c r="EK325" s="1307">
        <v>0</v>
      </c>
      <c r="EL325" s="1307">
        <v>0</v>
      </c>
      <c r="EM325" s="1307">
        <v>65</v>
      </c>
      <c r="EN325" s="97"/>
      <c r="EP325" s="527"/>
      <c r="EQ325" s="527"/>
      <c r="ER325" s="527"/>
      <c r="ES325" s="527" t="s">
        <v>1076</v>
      </c>
      <c r="ET325" s="531">
        <v>0</v>
      </c>
      <c r="EU325" s="531">
        <v>0</v>
      </c>
      <c r="EV325" s="531">
        <v>1</v>
      </c>
      <c r="EW325" s="531">
        <v>0</v>
      </c>
      <c r="EX325" s="531">
        <v>1</v>
      </c>
      <c r="EY325" s="531">
        <v>26</v>
      </c>
      <c r="EZ325" s="531">
        <v>70</v>
      </c>
      <c r="FA325" s="531">
        <v>10</v>
      </c>
      <c r="FB325" s="532">
        <v>2</v>
      </c>
      <c r="FC325" s="532">
        <v>0</v>
      </c>
      <c r="FD325" s="532">
        <v>110</v>
      </c>
      <c r="FE325" s="97"/>
    </row>
    <row r="326" spans="1:161" ht="29.4" customHeight="1" thickBot="1">
      <c r="Q326" s="4722"/>
      <c r="R326" s="4446"/>
      <c r="S326" s="4706"/>
      <c r="T326" s="4706"/>
      <c r="U326" s="4707"/>
      <c r="V326" s="4707"/>
      <c r="W326" s="4722"/>
      <c r="X326" s="4622"/>
      <c r="Y326" s="4705">
        <v>1</v>
      </c>
      <c r="Z326" s="4705">
        <v>1</v>
      </c>
      <c r="AA326" s="4706" t="s">
        <v>607</v>
      </c>
      <c r="AB326" s="4706" t="s">
        <v>2731</v>
      </c>
      <c r="AC326" s="4705">
        <v>6</v>
      </c>
      <c r="AD326" s="4705">
        <v>7</v>
      </c>
      <c r="AE326" s="4622"/>
      <c r="AF326" s="4622"/>
      <c r="AG326" s="4622"/>
      <c r="AH326" s="4622"/>
      <c r="AI326" s="4622"/>
      <c r="AJ326" s="4622"/>
      <c r="AK326" s="4622"/>
      <c r="AL326" s="4622"/>
      <c r="AM326" s="4622"/>
      <c r="AN326" s="4622"/>
      <c r="AR326" s="27" t="s">
        <v>483</v>
      </c>
      <c r="AS326" s="27" t="s">
        <v>1072</v>
      </c>
      <c r="AT326" s="3722">
        <v>0</v>
      </c>
      <c r="AU326" s="3722"/>
      <c r="AV326" s="3722"/>
      <c r="AW326" s="3722">
        <v>0</v>
      </c>
      <c r="AX326" s="3722">
        <v>1</v>
      </c>
      <c r="AY326" s="3722"/>
      <c r="AZ326" s="3722">
        <v>5</v>
      </c>
      <c r="BA326" s="3722">
        <v>0</v>
      </c>
      <c r="BB326" s="3722">
        <v>0</v>
      </c>
      <c r="BC326" s="3701"/>
      <c r="BD326" s="3701"/>
      <c r="BE326" s="3701">
        <v>6</v>
      </c>
      <c r="BF326" s="3701"/>
      <c r="BG326" s="3701"/>
      <c r="BH326" s="3833"/>
      <c r="BI326" s="3833"/>
      <c r="BJ326" s="3804"/>
      <c r="BK326" s="3804" t="s">
        <v>112</v>
      </c>
      <c r="BL326" s="3870">
        <v>28</v>
      </c>
      <c r="BM326" s="3870">
        <v>11</v>
      </c>
      <c r="BN326" s="3870">
        <v>21</v>
      </c>
      <c r="BO326" s="3870">
        <v>12</v>
      </c>
      <c r="BP326" s="3870">
        <v>16</v>
      </c>
      <c r="BQ326" s="3870">
        <v>277</v>
      </c>
      <c r="BR326" s="3870">
        <v>225</v>
      </c>
      <c r="BS326" s="3870">
        <v>46</v>
      </c>
      <c r="BT326" s="3803">
        <v>38</v>
      </c>
      <c r="BU326" s="3803">
        <v>674</v>
      </c>
      <c r="BV326" s="3809" t="e">
        <f>+(BU323+#REF!+#REF!)/BU326</f>
        <v>#REF!</v>
      </c>
      <c r="BX326" s="36"/>
      <c r="BY326" s="36"/>
      <c r="BZ326" s="393"/>
      <c r="CA326" s="393" t="s">
        <v>1080</v>
      </c>
      <c r="CB326" s="1682"/>
      <c r="CC326" s="1682"/>
      <c r="CD326" s="1682"/>
      <c r="CE326" s="1682"/>
      <c r="CF326" s="1682"/>
      <c r="CG326" s="1682">
        <v>0</v>
      </c>
      <c r="CH326" s="1682">
        <v>24</v>
      </c>
      <c r="CI326" s="1682">
        <v>7</v>
      </c>
      <c r="CJ326" s="2041"/>
      <c r="CK326" s="2041"/>
      <c r="CL326" s="2041">
        <v>31</v>
      </c>
      <c r="CM326" s="36"/>
      <c r="CO326" s="37"/>
      <c r="CP326" s="37"/>
      <c r="CQ326" s="37" t="s">
        <v>112</v>
      </c>
      <c r="CR326" s="37" t="s">
        <v>1071</v>
      </c>
      <c r="CS326" s="1678">
        <v>0</v>
      </c>
      <c r="CT326" s="1678">
        <v>0</v>
      </c>
      <c r="CU326" s="1678">
        <v>0</v>
      </c>
      <c r="CV326" s="1678">
        <v>0</v>
      </c>
      <c r="CW326" s="1678">
        <v>0</v>
      </c>
      <c r="CX326" s="1678">
        <v>1</v>
      </c>
      <c r="CY326" s="1678">
        <v>0</v>
      </c>
      <c r="CZ326" s="1678">
        <v>5</v>
      </c>
      <c r="DA326" s="1678">
        <v>11</v>
      </c>
      <c r="DB326" s="63">
        <v>4</v>
      </c>
      <c r="DC326" s="63">
        <v>4</v>
      </c>
      <c r="DD326" s="63">
        <v>25</v>
      </c>
      <c r="DG326" s="95"/>
      <c r="DH326" s="95"/>
      <c r="DI326" s="36" t="s">
        <v>256</v>
      </c>
      <c r="DJ326" s="36" t="s">
        <v>1072</v>
      </c>
      <c r="DK326" s="1484">
        <v>1</v>
      </c>
      <c r="DL326" s="1484">
        <v>0</v>
      </c>
      <c r="DM326" s="1484"/>
      <c r="DN326" s="1484"/>
      <c r="DO326" s="1484">
        <v>1</v>
      </c>
      <c r="DP326" s="1484"/>
      <c r="DQ326" s="1484">
        <v>7</v>
      </c>
      <c r="DR326" s="1484">
        <v>7</v>
      </c>
      <c r="DS326" s="1484">
        <v>0</v>
      </c>
      <c r="DT326" s="95"/>
      <c r="DU326" s="95"/>
      <c r="DV326" s="95">
        <v>16</v>
      </c>
      <c r="DW326" s="95"/>
      <c r="DY326" s="1209"/>
      <c r="DZ326" s="1209"/>
      <c r="EA326" s="1210"/>
      <c r="EB326" s="1211" t="s">
        <v>1077</v>
      </c>
      <c r="EC326" s="1213">
        <v>0</v>
      </c>
      <c r="ED326" s="1213">
        <v>2</v>
      </c>
      <c r="EE326" s="1213">
        <v>8</v>
      </c>
      <c r="EF326" s="1213">
        <v>9</v>
      </c>
      <c r="EG326" s="1213">
        <v>8</v>
      </c>
      <c r="EH326" s="1213">
        <v>10</v>
      </c>
      <c r="EI326" s="1213">
        <v>1</v>
      </c>
      <c r="EJ326" s="1213">
        <v>0</v>
      </c>
      <c r="EK326" s="612">
        <v>0</v>
      </c>
      <c r="EL326" s="612">
        <v>0</v>
      </c>
      <c r="EM326" s="612">
        <v>38</v>
      </c>
      <c r="EN326" s="36"/>
      <c r="EP326" s="527"/>
      <c r="EQ326" s="527"/>
      <c r="ER326" s="528"/>
      <c r="ES326" s="529" t="s">
        <v>1077</v>
      </c>
      <c r="ET326" s="531">
        <v>2</v>
      </c>
      <c r="EU326" s="531">
        <v>2</v>
      </c>
      <c r="EV326" s="531">
        <v>3</v>
      </c>
      <c r="EW326" s="531">
        <v>2</v>
      </c>
      <c r="EX326" s="531">
        <v>3</v>
      </c>
      <c r="EY326" s="531">
        <v>2</v>
      </c>
      <c r="EZ326" s="531">
        <v>2</v>
      </c>
      <c r="FA326" s="531">
        <v>0</v>
      </c>
      <c r="FB326" s="532">
        <v>0</v>
      </c>
      <c r="FC326" s="532">
        <v>0</v>
      </c>
      <c r="FD326" s="532">
        <v>16</v>
      </c>
      <c r="FE326" s="95"/>
    </row>
    <row r="327" spans="1:161" ht="15" thickBot="1">
      <c r="F327" s="6396"/>
      <c r="G327" s="6397" t="s">
        <v>3274</v>
      </c>
      <c r="Q327" s="4722"/>
      <c r="R327" s="4446"/>
      <c r="S327" s="4706"/>
      <c r="T327" s="4706"/>
      <c r="U327" s="4707"/>
      <c r="V327" s="4707"/>
      <c r="W327" s="4722"/>
      <c r="X327" s="4622"/>
      <c r="Y327" s="4705">
        <v>1</v>
      </c>
      <c r="Z327" s="4705">
        <v>1</v>
      </c>
      <c r="AA327" s="4706" t="s">
        <v>607</v>
      </c>
      <c r="AB327" s="4706" t="s">
        <v>2731</v>
      </c>
      <c r="AC327" s="4705">
        <v>1</v>
      </c>
      <c r="AD327" s="4705">
        <v>9</v>
      </c>
      <c r="AE327" s="4622"/>
      <c r="AF327" s="4622"/>
      <c r="AG327" s="4622"/>
      <c r="AH327" s="4622"/>
      <c r="AI327" s="4622"/>
      <c r="AJ327" s="4622"/>
      <c r="AK327" s="4622"/>
      <c r="AL327" s="4622"/>
      <c r="AM327" s="4622"/>
      <c r="AN327" s="4622"/>
      <c r="AR327" s="27"/>
      <c r="AS327" s="27" t="s">
        <v>1076</v>
      </c>
      <c r="AT327" s="3722">
        <v>0</v>
      </c>
      <c r="AU327" s="3722"/>
      <c r="AV327" s="3722"/>
      <c r="AW327" s="3722">
        <v>0</v>
      </c>
      <c r="AX327" s="3722">
        <v>0</v>
      </c>
      <c r="AY327" s="3722"/>
      <c r="AZ327" s="3722">
        <v>1</v>
      </c>
      <c r="BA327" s="3722">
        <v>0</v>
      </c>
      <c r="BB327" s="3722">
        <v>0</v>
      </c>
      <c r="BC327" s="3701"/>
      <c r="BD327" s="3701"/>
      <c r="BE327" s="3701">
        <v>1</v>
      </c>
      <c r="BF327" s="3701"/>
      <c r="BG327" s="3701"/>
      <c r="BH327" s="3833"/>
      <c r="BI327" s="3833"/>
      <c r="BJ327" s="3804"/>
      <c r="BK327" s="3804"/>
      <c r="BL327" s="3870"/>
      <c r="BM327" s="3870"/>
      <c r="BN327" s="3870"/>
      <c r="BO327" s="3870"/>
      <c r="BP327" s="3870"/>
      <c r="BQ327" s="3870"/>
      <c r="BR327" s="3870"/>
      <c r="BS327" s="3870"/>
      <c r="BT327" s="3803"/>
      <c r="BU327" s="3803"/>
      <c r="BV327" s="3803"/>
      <c r="BX327" s="36"/>
      <c r="BY327" s="36"/>
      <c r="BZ327" s="393"/>
      <c r="CA327" s="393" t="s">
        <v>1163</v>
      </c>
      <c r="CB327" s="1682"/>
      <c r="CC327" s="1682"/>
      <c r="CD327" s="1682"/>
      <c r="CE327" s="1682"/>
      <c r="CF327" s="1682"/>
      <c r="CG327" s="1682">
        <v>2</v>
      </c>
      <c r="CH327" s="1682">
        <v>0</v>
      </c>
      <c r="CI327" s="1682">
        <v>0</v>
      </c>
      <c r="CJ327" s="2041"/>
      <c r="CK327" s="2041"/>
      <c r="CL327" s="2041">
        <v>2</v>
      </c>
      <c r="CM327" s="36"/>
      <c r="CO327" s="37"/>
      <c r="CP327" s="37"/>
      <c r="CQ327" s="37"/>
      <c r="CR327" s="37" t="s">
        <v>1072</v>
      </c>
      <c r="CS327" s="1678">
        <v>2</v>
      </c>
      <c r="CT327" s="1678">
        <v>14</v>
      </c>
      <c r="CU327" s="1678">
        <v>8</v>
      </c>
      <c r="CV327" s="1678">
        <v>4</v>
      </c>
      <c r="CW327" s="1678">
        <v>8</v>
      </c>
      <c r="CX327" s="1678">
        <v>12</v>
      </c>
      <c r="CY327" s="1678">
        <v>126</v>
      </c>
      <c r="CZ327" s="1678">
        <v>61</v>
      </c>
      <c r="DA327" s="1678">
        <v>7</v>
      </c>
      <c r="DB327" s="63">
        <v>1</v>
      </c>
      <c r="DC327" s="63">
        <v>0</v>
      </c>
      <c r="DD327" s="63">
        <v>243</v>
      </c>
      <c r="DG327" s="95"/>
      <c r="DH327" s="95"/>
      <c r="DI327" s="36"/>
      <c r="DJ327" s="36" t="s">
        <v>1074</v>
      </c>
      <c r="DK327" s="1484">
        <v>0</v>
      </c>
      <c r="DL327" s="1484">
        <v>1</v>
      </c>
      <c r="DM327" s="1484"/>
      <c r="DN327" s="1484"/>
      <c r="DO327" s="1484">
        <v>0</v>
      </c>
      <c r="DP327" s="1484"/>
      <c r="DQ327" s="1484">
        <v>0</v>
      </c>
      <c r="DR327" s="1484">
        <v>0</v>
      </c>
      <c r="DS327" s="1484">
        <v>0</v>
      </c>
      <c r="DT327" s="95"/>
      <c r="DU327" s="95"/>
      <c r="DV327" s="95">
        <v>1</v>
      </c>
      <c r="DW327" s="95"/>
      <c r="DY327" s="1209"/>
      <c r="DZ327" s="1209"/>
      <c r="EA327" s="1210"/>
      <c r="EB327" s="1211" t="s">
        <v>1080</v>
      </c>
      <c r="EC327" s="1213">
        <v>0</v>
      </c>
      <c r="ED327" s="1213">
        <v>0</v>
      </c>
      <c r="EE327" s="1213">
        <v>0</v>
      </c>
      <c r="EF327" s="1213">
        <v>2</v>
      </c>
      <c r="EG327" s="1213">
        <v>4</v>
      </c>
      <c r="EH327" s="1213">
        <v>1</v>
      </c>
      <c r="EI327" s="1213">
        <v>8</v>
      </c>
      <c r="EJ327" s="1213">
        <v>87</v>
      </c>
      <c r="EK327" s="612">
        <v>5</v>
      </c>
      <c r="EL327" s="612">
        <v>15</v>
      </c>
      <c r="EM327" s="612">
        <v>122</v>
      </c>
      <c r="EN327" s="36"/>
      <c r="EP327" s="527"/>
      <c r="EQ327" s="527"/>
      <c r="ER327" s="528"/>
      <c r="ES327" s="529" t="s">
        <v>1080</v>
      </c>
      <c r="ET327" s="531">
        <v>0</v>
      </c>
      <c r="EU327" s="531">
        <v>0</v>
      </c>
      <c r="EV327" s="531">
        <v>0</v>
      </c>
      <c r="EW327" s="531">
        <v>0</v>
      </c>
      <c r="EX327" s="531">
        <v>0</v>
      </c>
      <c r="EY327" s="531">
        <v>0</v>
      </c>
      <c r="EZ327" s="531">
        <v>8</v>
      </c>
      <c r="FA327" s="531">
        <v>95</v>
      </c>
      <c r="FB327" s="532">
        <v>4</v>
      </c>
      <c r="FC327" s="532">
        <v>3</v>
      </c>
      <c r="FD327" s="532">
        <v>110</v>
      </c>
      <c r="FE327" s="95"/>
    </row>
    <row r="328" spans="1:161">
      <c r="C328" s="4940"/>
      <c r="F328" s="6399" t="s">
        <v>2344</v>
      </c>
      <c r="G328" s="6398">
        <v>550</v>
      </c>
      <c r="K328" s="4940"/>
      <c r="M328" s="6119"/>
      <c r="Q328" s="4722"/>
      <c r="R328" s="4446"/>
      <c r="S328" s="4706"/>
      <c r="T328" s="4706"/>
      <c r="U328" s="4707"/>
      <c r="V328" s="4707"/>
      <c r="W328" s="4722"/>
      <c r="X328" s="4622"/>
      <c r="Y328" s="4705">
        <v>1</v>
      </c>
      <c r="Z328" s="4705">
        <v>1</v>
      </c>
      <c r="AA328" s="4706" t="s">
        <v>607</v>
      </c>
      <c r="AB328" s="4708" t="s">
        <v>2707</v>
      </c>
      <c r="AC328" s="4716">
        <v>1</v>
      </c>
      <c r="AD328" s="4716">
        <v>7</v>
      </c>
      <c r="AE328" s="4622"/>
      <c r="AF328" s="4622"/>
      <c r="AG328" s="4622"/>
      <c r="AH328" s="4622"/>
      <c r="AI328" s="4622"/>
      <c r="AJ328" s="4622"/>
      <c r="AK328" s="4622"/>
      <c r="AL328" s="4622"/>
      <c r="AM328" s="4622"/>
      <c r="AN328" s="4622"/>
      <c r="AR328" s="27"/>
      <c r="AS328" s="27" t="s">
        <v>1077</v>
      </c>
      <c r="AT328" s="3722">
        <v>0</v>
      </c>
      <c r="AU328" s="3722"/>
      <c r="AV328" s="3722"/>
      <c r="AW328" s="3722">
        <v>1</v>
      </c>
      <c r="AX328" s="3722">
        <v>0</v>
      </c>
      <c r="AY328" s="3722"/>
      <c r="AZ328" s="3722">
        <v>0</v>
      </c>
      <c r="BA328" s="3722">
        <v>0</v>
      </c>
      <c r="BB328" s="3722">
        <v>0</v>
      </c>
      <c r="BC328" s="3701"/>
      <c r="BD328" s="3701"/>
      <c r="BE328" s="3701">
        <v>1</v>
      </c>
      <c r="BF328" s="3701"/>
      <c r="BG328" s="3701"/>
      <c r="BX328" s="36"/>
      <c r="BY328" s="36"/>
      <c r="BZ328" s="393"/>
      <c r="CA328" s="393" t="s">
        <v>256</v>
      </c>
      <c r="CB328" s="1682"/>
      <c r="CC328" s="1682"/>
      <c r="CD328" s="1682"/>
      <c r="CE328" s="1682"/>
      <c r="CF328" s="1682"/>
      <c r="CG328" s="1682">
        <v>10</v>
      </c>
      <c r="CH328" s="1682">
        <v>25</v>
      </c>
      <c r="CI328" s="1682">
        <v>7</v>
      </c>
      <c r="CJ328" s="2041"/>
      <c r="CK328" s="2041"/>
      <c r="CL328" s="2041">
        <v>42</v>
      </c>
      <c r="CM328" s="560">
        <f>+(CL327+CL325)/CL328</f>
        <v>7.1428571428571425E-2</v>
      </c>
      <c r="CN328" s="1665"/>
      <c r="CO328" s="37"/>
      <c r="CP328" s="37"/>
      <c r="CQ328" s="37"/>
      <c r="CR328" s="37" t="s">
        <v>1074</v>
      </c>
      <c r="CS328" s="1678">
        <v>1</v>
      </c>
      <c r="CT328" s="1678">
        <v>4</v>
      </c>
      <c r="CU328" s="1678">
        <v>2</v>
      </c>
      <c r="CV328" s="1678">
        <v>1</v>
      </c>
      <c r="CW328" s="1678">
        <v>0</v>
      </c>
      <c r="CX328" s="1678">
        <v>0</v>
      </c>
      <c r="CY328" s="1678">
        <v>0</v>
      </c>
      <c r="CZ328" s="1678">
        <v>0</v>
      </c>
      <c r="DA328" s="1678">
        <v>0</v>
      </c>
      <c r="DB328" s="63">
        <v>0</v>
      </c>
      <c r="DC328" s="63">
        <v>0</v>
      </c>
      <c r="DD328" s="63">
        <v>8</v>
      </c>
      <c r="DG328" s="95"/>
      <c r="DH328" s="95"/>
      <c r="DI328" s="36"/>
      <c r="DJ328" s="36" t="s">
        <v>1076</v>
      </c>
      <c r="DK328" s="1484">
        <v>0</v>
      </c>
      <c r="DL328" s="1484">
        <v>0</v>
      </c>
      <c r="DM328" s="1484"/>
      <c r="DN328" s="1484"/>
      <c r="DO328" s="1484">
        <v>0</v>
      </c>
      <c r="DP328" s="1484"/>
      <c r="DQ328" s="1484">
        <v>3</v>
      </c>
      <c r="DR328" s="1484">
        <v>8</v>
      </c>
      <c r="DS328" s="1484">
        <v>0</v>
      </c>
      <c r="DT328" s="95"/>
      <c r="DU328" s="95"/>
      <c r="DV328" s="95">
        <v>11</v>
      </c>
      <c r="DW328" s="95"/>
      <c r="DY328" s="1209"/>
      <c r="DZ328" s="1209"/>
      <c r="EA328" s="1210"/>
      <c r="EB328" s="1211" t="s">
        <v>1081</v>
      </c>
      <c r="EC328" s="1213">
        <v>0</v>
      </c>
      <c r="ED328" s="1213">
        <v>0</v>
      </c>
      <c r="EE328" s="1213">
        <v>0</v>
      </c>
      <c r="EF328" s="1213">
        <v>1</v>
      </c>
      <c r="EG328" s="1213">
        <v>2</v>
      </c>
      <c r="EH328" s="1213">
        <v>43</v>
      </c>
      <c r="EI328" s="1213">
        <v>6</v>
      </c>
      <c r="EJ328" s="1213">
        <v>1</v>
      </c>
      <c r="EK328" s="612">
        <v>0</v>
      </c>
      <c r="EL328" s="612">
        <v>1</v>
      </c>
      <c r="EM328" s="612">
        <v>54</v>
      </c>
      <c r="EN328" s="36"/>
      <c r="EP328" s="527"/>
      <c r="EQ328" s="527"/>
      <c r="ER328" s="528"/>
      <c r="ES328" s="529" t="s">
        <v>1081</v>
      </c>
      <c r="ET328" s="531">
        <v>0</v>
      </c>
      <c r="EU328" s="531">
        <v>0</v>
      </c>
      <c r="EV328" s="531">
        <v>7</v>
      </c>
      <c r="EW328" s="531">
        <v>0</v>
      </c>
      <c r="EX328" s="531">
        <v>2</v>
      </c>
      <c r="EY328" s="531">
        <v>23</v>
      </c>
      <c r="EZ328" s="531">
        <v>9</v>
      </c>
      <c r="FA328" s="531">
        <v>2</v>
      </c>
      <c r="FB328" s="532">
        <v>0</v>
      </c>
      <c r="FC328" s="532">
        <v>0</v>
      </c>
      <c r="FD328" s="532">
        <v>43</v>
      </c>
      <c r="FE328" s="95"/>
    </row>
    <row r="329" spans="1:161" ht="14.4" customHeight="1">
      <c r="F329" s="6399" t="s">
        <v>3275</v>
      </c>
      <c r="G329" s="6398">
        <v>143</v>
      </c>
      <c r="Q329" s="4722"/>
      <c r="R329" s="4446"/>
      <c r="S329" s="4706"/>
      <c r="T329" s="4706"/>
      <c r="U329" s="4707"/>
      <c r="V329" s="4707"/>
      <c r="W329" s="4722"/>
      <c r="X329" s="4622"/>
      <c r="Y329" s="4705">
        <v>1</v>
      </c>
      <c r="Z329" s="4705">
        <v>1</v>
      </c>
      <c r="AA329" s="4706" t="s">
        <v>607</v>
      </c>
      <c r="AB329" s="4706" t="s">
        <v>2709</v>
      </c>
      <c r="AC329" s="4705">
        <v>2</v>
      </c>
      <c r="AD329" s="4705">
        <v>5</v>
      </c>
      <c r="AE329" s="4622"/>
      <c r="AF329" s="4622"/>
      <c r="AG329" s="4622"/>
      <c r="AH329" s="4622"/>
      <c r="AI329" s="4622"/>
      <c r="AJ329" s="4622"/>
      <c r="AK329" s="4622"/>
      <c r="AL329" s="4622"/>
      <c r="AM329" s="4622"/>
      <c r="AN329" s="4622"/>
      <c r="AR329" s="27"/>
      <c r="AS329" s="27" t="s">
        <v>1080</v>
      </c>
      <c r="AT329" s="3722">
        <v>0</v>
      </c>
      <c r="AU329" s="3722"/>
      <c r="AV329" s="3722"/>
      <c r="AW329" s="3722">
        <v>0</v>
      </c>
      <c r="AX329" s="3722">
        <v>0</v>
      </c>
      <c r="AY329" s="3722"/>
      <c r="AZ329" s="3722">
        <v>0</v>
      </c>
      <c r="BA329" s="3722">
        <v>2</v>
      </c>
      <c r="BB329" s="3722">
        <v>1</v>
      </c>
      <c r="BC329" s="3701"/>
      <c r="BD329" s="3701"/>
      <c r="BE329" s="3701">
        <v>3</v>
      </c>
      <c r="BF329" s="3701"/>
      <c r="BG329" s="3701"/>
      <c r="BX329" s="36"/>
      <c r="BY329" s="36"/>
      <c r="BZ329" s="393" t="s">
        <v>112</v>
      </c>
      <c r="CA329" s="393" t="s">
        <v>1071</v>
      </c>
      <c r="CB329" s="1682">
        <v>0</v>
      </c>
      <c r="CC329" s="1682">
        <v>0</v>
      </c>
      <c r="CD329" s="1682">
        <v>1</v>
      </c>
      <c r="CE329" s="1682">
        <v>0</v>
      </c>
      <c r="CF329" s="1682">
        <v>2</v>
      </c>
      <c r="CG329" s="1682">
        <v>2</v>
      </c>
      <c r="CH329" s="1682">
        <v>6</v>
      </c>
      <c r="CI329" s="1682">
        <v>14</v>
      </c>
      <c r="CJ329" s="2041">
        <v>0</v>
      </c>
      <c r="CK329" s="2041">
        <v>0</v>
      </c>
      <c r="CL329" s="2041">
        <v>25</v>
      </c>
      <c r="CM329" s="36"/>
      <c r="CO329" s="37"/>
      <c r="CP329" s="37"/>
      <c r="CQ329" s="37"/>
      <c r="CR329" s="37" t="s">
        <v>1076</v>
      </c>
      <c r="CS329" s="1678">
        <v>0</v>
      </c>
      <c r="CT329" s="1678">
        <v>0</v>
      </c>
      <c r="CU329" s="1678">
        <v>0</v>
      </c>
      <c r="CV329" s="1678">
        <v>0</v>
      </c>
      <c r="CW329" s="1678">
        <v>5</v>
      </c>
      <c r="CX329" s="1678">
        <v>2</v>
      </c>
      <c r="CY329" s="1678">
        <v>47</v>
      </c>
      <c r="CZ329" s="1678">
        <v>33</v>
      </c>
      <c r="DA329" s="1678">
        <v>8</v>
      </c>
      <c r="DB329" s="63">
        <v>2</v>
      </c>
      <c r="DC329" s="63">
        <v>0</v>
      </c>
      <c r="DD329" s="63">
        <v>97</v>
      </c>
      <c r="DG329" s="95"/>
      <c r="DH329" s="95"/>
      <c r="DI329" s="36"/>
      <c r="DJ329" s="36" t="s">
        <v>1077</v>
      </c>
      <c r="DK329" s="1484">
        <v>0</v>
      </c>
      <c r="DL329" s="1484">
        <v>0</v>
      </c>
      <c r="DM329" s="1484"/>
      <c r="DN329" s="1484"/>
      <c r="DO329" s="1484">
        <v>0</v>
      </c>
      <c r="DP329" s="1484"/>
      <c r="DQ329" s="1484">
        <v>1</v>
      </c>
      <c r="DR329" s="1484">
        <v>0</v>
      </c>
      <c r="DS329" s="1484">
        <v>0</v>
      </c>
      <c r="DT329" s="95"/>
      <c r="DU329" s="95"/>
      <c r="DV329" s="95">
        <v>1</v>
      </c>
      <c r="DW329" s="95"/>
      <c r="DY329" s="1209"/>
      <c r="DZ329" s="1209"/>
      <c r="EA329" s="1210"/>
      <c r="EB329" s="1211" t="s">
        <v>1163</v>
      </c>
      <c r="EC329" s="1213">
        <v>0</v>
      </c>
      <c r="ED329" s="1213">
        <v>0</v>
      </c>
      <c r="EE329" s="1213">
        <v>8</v>
      </c>
      <c r="EF329" s="1213">
        <v>5</v>
      </c>
      <c r="EG329" s="1213">
        <v>4</v>
      </c>
      <c r="EH329" s="1213">
        <v>57</v>
      </c>
      <c r="EI329" s="1213">
        <v>12</v>
      </c>
      <c r="EJ329" s="1213">
        <v>7</v>
      </c>
      <c r="EK329" s="612">
        <v>0</v>
      </c>
      <c r="EL329" s="612">
        <v>0</v>
      </c>
      <c r="EM329" s="612">
        <v>93</v>
      </c>
      <c r="EN329" s="36"/>
      <c r="EP329" s="527"/>
      <c r="EQ329" s="527"/>
      <c r="ER329" s="528"/>
      <c r="ES329" s="529" t="s">
        <v>1163</v>
      </c>
      <c r="ET329" s="531">
        <v>0</v>
      </c>
      <c r="EU329" s="531">
        <v>0</v>
      </c>
      <c r="EV329" s="531">
        <v>13</v>
      </c>
      <c r="EW329" s="531">
        <v>6</v>
      </c>
      <c r="EX329" s="531">
        <v>0</v>
      </c>
      <c r="EY329" s="531">
        <v>57</v>
      </c>
      <c r="EZ329" s="531">
        <v>28</v>
      </c>
      <c r="FA329" s="531">
        <v>9</v>
      </c>
      <c r="FB329" s="532">
        <v>0</v>
      </c>
      <c r="FC329" s="532">
        <v>0</v>
      </c>
      <c r="FD329" s="532">
        <v>113</v>
      </c>
      <c r="FE329" s="95"/>
    </row>
    <row r="330" spans="1:161" ht="15" customHeight="1" thickBot="1">
      <c r="F330" s="6401" t="s">
        <v>3276</v>
      </c>
      <c r="G330" s="6402">
        <f>+(G329)/(G328)</f>
        <v>0.26</v>
      </c>
      <c r="Q330" s="4722"/>
      <c r="R330" s="4446"/>
      <c r="S330" s="4706"/>
      <c r="T330" s="4706"/>
      <c r="U330" s="4707"/>
      <c r="V330" s="4707"/>
      <c r="W330" s="4722"/>
      <c r="X330" s="4622"/>
      <c r="Y330" s="4705">
        <v>1</v>
      </c>
      <c r="Z330" s="4705">
        <v>1</v>
      </c>
      <c r="AA330" s="4706" t="s">
        <v>607</v>
      </c>
      <c r="AB330" s="4706" t="s">
        <v>2709</v>
      </c>
      <c r="AC330" s="4705">
        <v>1</v>
      </c>
      <c r="AD330" s="4705">
        <v>7</v>
      </c>
      <c r="AE330" s="4622"/>
      <c r="AF330" s="4622"/>
      <c r="AG330" s="4622"/>
      <c r="AH330" s="4622"/>
      <c r="AI330" s="4622"/>
      <c r="AJ330" s="4622"/>
      <c r="AK330" s="4622"/>
      <c r="AL330" s="4622"/>
      <c r="AM330" s="4622"/>
      <c r="AN330" s="4622"/>
      <c r="AR330" s="27"/>
      <c r="AS330" s="27" t="s">
        <v>2571</v>
      </c>
      <c r="AT330" s="3722">
        <v>1</v>
      </c>
      <c r="AU330" s="3722"/>
      <c r="AV330" s="3722"/>
      <c r="AW330" s="3722">
        <v>0</v>
      </c>
      <c r="AX330" s="3722">
        <v>0</v>
      </c>
      <c r="AY330" s="3722"/>
      <c r="AZ330" s="3722">
        <v>0</v>
      </c>
      <c r="BA330" s="3722">
        <v>0</v>
      </c>
      <c r="BB330" s="3722">
        <v>0</v>
      </c>
      <c r="BC330" s="3701"/>
      <c r="BD330" s="3701"/>
      <c r="BE330" s="3701">
        <v>1</v>
      </c>
      <c r="BF330" s="3701"/>
      <c r="BG330" s="3701"/>
      <c r="BX330" s="36"/>
      <c r="BY330" s="36"/>
      <c r="BZ330" s="393"/>
      <c r="CA330" s="393" t="s">
        <v>1072</v>
      </c>
      <c r="CB330" s="1682">
        <v>8</v>
      </c>
      <c r="CC330" s="1682">
        <v>11</v>
      </c>
      <c r="CD330" s="1682">
        <v>5</v>
      </c>
      <c r="CE330" s="1682">
        <v>6</v>
      </c>
      <c r="CF330" s="1682">
        <v>5</v>
      </c>
      <c r="CG330" s="1682">
        <v>117</v>
      </c>
      <c r="CH330" s="1682">
        <v>45</v>
      </c>
      <c r="CI330" s="1682">
        <v>7</v>
      </c>
      <c r="CJ330" s="2041">
        <v>1</v>
      </c>
      <c r="CK330" s="2041">
        <v>0</v>
      </c>
      <c r="CL330" s="2041">
        <v>205</v>
      </c>
      <c r="CM330" s="36"/>
      <c r="CO330" s="37"/>
      <c r="CP330" s="37"/>
      <c r="CQ330" s="37"/>
      <c r="CR330" s="37" t="s">
        <v>1077</v>
      </c>
      <c r="CS330" s="1678">
        <v>0</v>
      </c>
      <c r="CT330" s="1678">
        <v>1</v>
      </c>
      <c r="CU330" s="1678">
        <v>4</v>
      </c>
      <c r="CV330" s="1678">
        <v>1</v>
      </c>
      <c r="CW330" s="1678">
        <v>5</v>
      </c>
      <c r="CX330" s="1678">
        <v>3</v>
      </c>
      <c r="CY330" s="1678">
        <v>0</v>
      </c>
      <c r="CZ330" s="1678">
        <v>0</v>
      </c>
      <c r="DA330" s="1678">
        <v>0</v>
      </c>
      <c r="DB330" s="63">
        <v>0</v>
      </c>
      <c r="DC330" s="63">
        <v>0</v>
      </c>
      <c r="DD330" s="63">
        <v>14</v>
      </c>
      <c r="DG330" s="95"/>
      <c r="DH330" s="95"/>
      <c r="DI330" s="36"/>
      <c r="DJ330" s="36" t="s">
        <v>1080</v>
      </c>
      <c r="DK330" s="1484">
        <v>0</v>
      </c>
      <c r="DL330" s="1484">
        <v>0</v>
      </c>
      <c r="DM330" s="1484"/>
      <c r="DN330" s="1484"/>
      <c r="DO330" s="1484">
        <v>0</v>
      </c>
      <c r="DP330" s="1484"/>
      <c r="DQ330" s="1484">
        <v>0</v>
      </c>
      <c r="DR330" s="1484">
        <v>0</v>
      </c>
      <c r="DS330" s="1484">
        <v>1</v>
      </c>
      <c r="DT330" s="95"/>
      <c r="DU330" s="95"/>
      <c r="DV330" s="95">
        <v>1</v>
      </c>
      <c r="DW330" s="95"/>
      <c r="DY330" s="1216"/>
      <c r="DZ330" s="1216"/>
      <c r="EA330" s="1217"/>
      <c r="EB330" s="1218" t="s">
        <v>112</v>
      </c>
      <c r="EC330" s="1219">
        <v>20</v>
      </c>
      <c r="ED330" s="1219">
        <v>15</v>
      </c>
      <c r="EE330" s="1219">
        <v>34</v>
      </c>
      <c r="EF330" s="1219">
        <v>28</v>
      </c>
      <c r="EG330" s="1219">
        <v>32</v>
      </c>
      <c r="EH330" s="1219">
        <v>236</v>
      </c>
      <c r="EI330" s="1219">
        <v>89</v>
      </c>
      <c r="EJ330" s="1219">
        <v>117</v>
      </c>
      <c r="EK330" s="660">
        <v>10</v>
      </c>
      <c r="EL330" s="660">
        <v>27</v>
      </c>
      <c r="EM330" s="660">
        <v>608</v>
      </c>
      <c r="EN330" s="1182">
        <f>+(EM325+EM328-EL328+EM329)/EM330</f>
        <v>0.34703947368421051</v>
      </c>
      <c r="EP330" s="582"/>
      <c r="EQ330" s="582"/>
      <c r="ER330" s="583"/>
      <c r="ES330" s="584" t="s">
        <v>112</v>
      </c>
      <c r="ET330" s="585">
        <v>25</v>
      </c>
      <c r="EU330" s="585">
        <v>15</v>
      </c>
      <c r="EV330" s="585">
        <v>66</v>
      </c>
      <c r="EW330" s="585">
        <v>16</v>
      </c>
      <c r="EX330" s="585">
        <v>9</v>
      </c>
      <c r="EY330" s="585">
        <v>232</v>
      </c>
      <c r="EZ330" s="585">
        <v>174</v>
      </c>
      <c r="FA330" s="585">
        <v>147</v>
      </c>
      <c r="FB330" s="586">
        <v>15</v>
      </c>
      <c r="FC330" s="586">
        <v>10</v>
      </c>
      <c r="FD330" s="586">
        <v>709</v>
      </c>
      <c r="FE330" s="587">
        <f>+(FD325-FB325+FD328+FD329)/FD330</f>
        <v>0.37235543018335682</v>
      </c>
    </row>
    <row r="331" spans="1:161" ht="14.4" customHeight="1">
      <c r="Q331" s="4722"/>
      <c r="R331" s="4446"/>
      <c r="S331" s="4706"/>
      <c r="T331" s="4706"/>
      <c r="U331" s="4707"/>
      <c r="V331" s="4707"/>
      <c r="W331" s="4722"/>
      <c r="X331" s="4622"/>
      <c r="Y331" s="4705">
        <v>1</v>
      </c>
      <c r="Z331" s="4705">
        <v>1</v>
      </c>
      <c r="AA331" s="4706" t="s">
        <v>607</v>
      </c>
      <c r="AB331" s="4706" t="s">
        <v>2709</v>
      </c>
      <c r="AC331" s="4705">
        <v>3</v>
      </c>
      <c r="AD331" s="4705">
        <v>8</v>
      </c>
      <c r="AE331" s="4622"/>
      <c r="AF331" s="4622"/>
      <c r="AG331" s="4622"/>
      <c r="AH331" s="4622"/>
      <c r="AI331" s="4622"/>
      <c r="AJ331" s="4622"/>
      <c r="AK331" s="4622"/>
      <c r="AL331" s="4622"/>
      <c r="AM331" s="4622"/>
      <c r="AN331" s="4622"/>
      <c r="AR331" s="27"/>
      <c r="AS331" s="27" t="s">
        <v>1163</v>
      </c>
      <c r="AT331" s="3722">
        <v>0</v>
      </c>
      <c r="AU331" s="3722"/>
      <c r="AV331" s="3722"/>
      <c r="AW331" s="3722">
        <v>0</v>
      </c>
      <c r="AX331" s="3722">
        <v>0</v>
      </c>
      <c r="AY331" s="3722"/>
      <c r="AZ331" s="3722">
        <v>1</v>
      </c>
      <c r="BA331" s="3722">
        <v>0</v>
      </c>
      <c r="BB331" s="3722">
        <v>0</v>
      </c>
      <c r="BC331" s="3701"/>
      <c r="BD331" s="3701"/>
      <c r="BE331" s="3701">
        <v>1</v>
      </c>
      <c r="BF331" s="3701"/>
      <c r="BG331" s="3701"/>
      <c r="BX331" s="36"/>
      <c r="BY331" s="36"/>
      <c r="BZ331" s="393"/>
      <c r="CA331" s="393" t="s">
        <v>1074</v>
      </c>
      <c r="CB331" s="1682">
        <v>4</v>
      </c>
      <c r="CC331" s="1682">
        <v>0</v>
      </c>
      <c r="CD331" s="1682">
        <v>0</v>
      </c>
      <c r="CE331" s="1682">
        <v>1</v>
      </c>
      <c r="CF331" s="1682">
        <v>1</v>
      </c>
      <c r="CG331" s="1682">
        <v>0</v>
      </c>
      <c r="CH331" s="1682">
        <v>0</v>
      </c>
      <c r="CI331" s="1682">
        <v>0</v>
      </c>
      <c r="CJ331" s="2041">
        <v>0</v>
      </c>
      <c r="CK331" s="2041">
        <v>0</v>
      </c>
      <c r="CL331" s="2041">
        <v>6</v>
      </c>
      <c r="CM331" s="36"/>
      <c r="CO331" s="37"/>
      <c r="CP331" s="37"/>
      <c r="CQ331" s="37"/>
      <c r="CR331" s="37" t="s">
        <v>1080</v>
      </c>
      <c r="CS331" s="1678">
        <v>0</v>
      </c>
      <c r="CT331" s="1678">
        <v>0</v>
      </c>
      <c r="CU331" s="1678">
        <v>0</v>
      </c>
      <c r="CV331" s="1678">
        <v>0</v>
      </c>
      <c r="CW331" s="1678">
        <v>0</v>
      </c>
      <c r="CX331" s="1678">
        <v>1</v>
      </c>
      <c r="CY331" s="1678">
        <v>0</v>
      </c>
      <c r="CZ331" s="1678">
        <v>4</v>
      </c>
      <c r="DA331" s="1678">
        <v>115</v>
      </c>
      <c r="DB331" s="63">
        <v>11</v>
      </c>
      <c r="DC331" s="63">
        <v>8</v>
      </c>
      <c r="DD331" s="63">
        <v>139</v>
      </c>
      <c r="DG331" s="95"/>
      <c r="DH331" s="95"/>
      <c r="DI331" s="36"/>
      <c r="DJ331" s="36" t="s">
        <v>1081</v>
      </c>
      <c r="DK331" s="1484">
        <v>0</v>
      </c>
      <c r="DL331" s="1484">
        <v>0</v>
      </c>
      <c r="DM331" s="1484"/>
      <c r="DN331" s="1484"/>
      <c r="DO331" s="1484">
        <v>0</v>
      </c>
      <c r="DP331" s="1484"/>
      <c r="DQ331" s="1484">
        <v>2</v>
      </c>
      <c r="DR331" s="1484">
        <v>8</v>
      </c>
      <c r="DS331" s="1484">
        <v>0</v>
      </c>
      <c r="DT331" s="95"/>
      <c r="DU331" s="95"/>
      <c r="DV331" s="95">
        <v>10</v>
      </c>
      <c r="DW331" s="95"/>
      <c r="DY331" s="1451" t="s">
        <v>1167</v>
      </c>
    </row>
    <row r="332" spans="1:161" ht="14.4" customHeight="1">
      <c r="Q332" s="4722"/>
      <c r="R332" s="4446"/>
      <c r="S332" s="4706"/>
      <c r="T332" s="4706"/>
      <c r="U332" s="4707"/>
      <c r="V332" s="4707"/>
      <c r="W332" s="4722"/>
      <c r="X332" s="4622"/>
      <c r="Y332" s="4705">
        <v>1</v>
      </c>
      <c r="Z332" s="4705">
        <v>1</v>
      </c>
      <c r="AA332" s="4706" t="s">
        <v>606</v>
      </c>
      <c r="AB332" s="4706" t="s">
        <v>1071</v>
      </c>
      <c r="AC332" s="4705">
        <v>2</v>
      </c>
      <c r="AD332" s="4705">
        <v>7</v>
      </c>
      <c r="AE332" s="4622"/>
      <c r="AF332" s="4622"/>
      <c r="AG332" s="4622"/>
      <c r="AH332" s="4622"/>
      <c r="AI332" s="4622"/>
      <c r="AJ332" s="4622"/>
      <c r="AK332" s="4622"/>
      <c r="AL332" s="4622"/>
      <c r="AM332" s="4622"/>
      <c r="AN332" s="4622"/>
      <c r="AR332" s="27"/>
      <c r="AS332" s="3868" t="s">
        <v>15</v>
      </c>
      <c r="AT332" s="3722">
        <v>1</v>
      </c>
      <c r="AU332" s="3722"/>
      <c r="AV332" s="3722"/>
      <c r="AW332" s="3722">
        <v>1</v>
      </c>
      <c r="AX332" s="3722">
        <v>1</v>
      </c>
      <c r="AY332" s="3722"/>
      <c r="AZ332" s="3722">
        <v>7</v>
      </c>
      <c r="BA332" s="3722">
        <v>2</v>
      </c>
      <c r="BB332" s="3722">
        <v>1</v>
      </c>
      <c r="BC332" s="3701"/>
      <c r="BD332" s="3701"/>
      <c r="BE332" s="3701">
        <v>13</v>
      </c>
      <c r="BF332" s="1665">
        <f>+(BE327+BE331)/(BE332-BE330)</f>
        <v>0.16666666666666666</v>
      </c>
      <c r="BG332" s="1665"/>
      <c r="BX332" s="36"/>
      <c r="BY332" s="36"/>
      <c r="BZ332" s="393"/>
      <c r="CA332" s="393" t="s">
        <v>1076</v>
      </c>
      <c r="CB332" s="1682">
        <v>0</v>
      </c>
      <c r="CC332" s="1682">
        <v>0</v>
      </c>
      <c r="CD332" s="1682">
        <v>0</v>
      </c>
      <c r="CE332" s="1682">
        <v>0</v>
      </c>
      <c r="CF332" s="1682">
        <v>2</v>
      </c>
      <c r="CG332" s="1682">
        <v>42</v>
      </c>
      <c r="CH332" s="1682">
        <v>57</v>
      </c>
      <c r="CI332" s="1682">
        <v>7</v>
      </c>
      <c r="CJ332" s="2041">
        <v>3</v>
      </c>
      <c r="CK332" s="2041">
        <v>0</v>
      </c>
      <c r="CL332" s="2041">
        <v>111</v>
      </c>
      <c r="CM332" s="36"/>
      <c r="CO332" s="37"/>
      <c r="CP332" s="37"/>
      <c r="CQ332" s="37"/>
      <c r="CR332" s="37" t="s">
        <v>1081</v>
      </c>
      <c r="CS332" s="1678">
        <v>0</v>
      </c>
      <c r="CT332" s="1678">
        <v>0</v>
      </c>
      <c r="CU332" s="1678">
        <v>0</v>
      </c>
      <c r="CV332" s="1678">
        <v>0</v>
      </c>
      <c r="CW332" s="1678">
        <v>1</v>
      </c>
      <c r="CX332" s="1678">
        <v>4</v>
      </c>
      <c r="CY332" s="1678">
        <v>59</v>
      </c>
      <c r="CZ332" s="1678">
        <v>17</v>
      </c>
      <c r="DA332" s="1678">
        <v>6</v>
      </c>
      <c r="DB332" s="63">
        <v>1</v>
      </c>
      <c r="DC332" s="63">
        <v>0</v>
      </c>
      <c r="DD332" s="63">
        <v>88</v>
      </c>
      <c r="DG332" s="95"/>
      <c r="DH332" s="95"/>
      <c r="DI332" s="36"/>
      <c r="DJ332" s="36" t="s">
        <v>1163</v>
      </c>
      <c r="DK332" s="1484">
        <v>0</v>
      </c>
      <c r="DL332" s="1484">
        <v>0</v>
      </c>
      <c r="DM332" s="1484"/>
      <c r="DN332" s="1484"/>
      <c r="DO332" s="1484">
        <v>0</v>
      </c>
      <c r="DP332" s="1484"/>
      <c r="DQ332" s="1484">
        <v>5</v>
      </c>
      <c r="DR332" s="1484">
        <v>1</v>
      </c>
      <c r="DS332" s="1484">
        <v>0</v>
      </c>
      <c r="DT332" s="95"/>
      <c r="DU332" s="95"/>
      <c r="DV332" s="95">
        <v>6</v>
      </c>
      <c r="DW332" s="95"/>
      <c r="EP332" s="578" t="s">
        <v>1167</v>
      </c>
    </row>
    <row r="333" spans="1:161" ht="28.95" customHeight="1">
      <c r="Q333" s="4722"/>
      <c r="R333" s="4446"/>
      <c r="S333" s="4706"/>
      <c r="T333" s="4706"/>
      <c r="U333" s="4707"/>
      <c r="V333" s="4707"/>
      <c r="W333" s="4722"/>
      <c r="X333" s="4622"/>
      <c r="Y333" s="4705">
        <v>1</v>
      </c>
      <c r="Z333" s="4705">
        <v>1</v>
      </c>
      <c r="AA333" s="4706" t="s">
        <v>606</v>
      </c>
      <c r="AB333" s="4706" t="s">
        <v>2703</v>
      </c>
      <c r="AC333" s="4705">
        <v>1</v>
      </c>
      <c r="AD333" s="4705">
        <v>1</v>
      </c>
      <c r="AE333" s="4622"/>
      <c r="AF333" s="4622"/>
      <c r="AG333" s="4622"/>
      <c r="AH333" s="4622"/>
      <c r="AI333" s="4622"/>
      <c r="AJ333" s="4622"/>
      <c r="AK333" s="4622"/>
      <c r="AL333" s="4622"/>
      <c r="AM333" s="4622"/>
      <c r="AN333" s="4622"/>
      <c r="AQ333" s="157" t="s">
        <v>61</v>
      </c>
      <c r="AR333" s="3868" t="s">
        <v>711</v>
      </c>
      <c r="AS333" s="3868" t="s">
        <v>1072</v>
      </c>
      <c r="AT333" s="3721">
        <v>0</v>
      </c>
      <c r="AU333" s="3721"/>
      <c r="AV333" s="3721"/>
      <c r="AW333" s="3721">
        <v>0</v>
      </c>
      <c r="AX333" s="3721"/>
      <c r="AY333" s="3721"/>
      <c r="AZ333" s="3721">
        <v>16</v>
      </c>
      <c r="BA333" s="3721">
        <v>0</v>
      </c>
      <c r="BB333" s="3721">
        <v>0</v>
      </c>
      <c r="BC333" s="2110"/>
      <c r="BD333" s="2110"/>
      <c r="BE333" s="2110">
        <v>16</v>
      </c>
      <c r="BF333" s="2110"/>
      <c r="BG333" s="2110"/>
      <c r="BX333" s="36"/>
      <c r="BY333" s="36"/>
      <c r="BZ333" s="393"/>
      <c r="CA333" s="393" t="s">
        <v>1077</v>
      </c>
      <c r="CB333" s="1682">
        <v>1</v>
      </c>
      <c r="CC333" s="1682">
        <v>0</v>
      </c>
      <c r="CD333" s="1682">
        <v>2</v>
      </c>
      <c r="CE333" s="1682">
        <v>3</v>
      </c>
      <c r="CF333" s="1682">
        <v>3</v>
      </c>
      <c r="CG333" s="1682">
        <v>2</v>
      </c>
      <c r="CH333" s="1682">
        <v>0</v>
      </c>
      <c r="CI333" s="1682">
        <v>0</v>
      </c>
      <c r="CJ333" s="2041">
        <v>0</v>
      </c>
      <c r="CK333" s="2041">
        <v>0</v>
      </c>
      <c r="CL333" s="2041">
        <v>11</v>
      </c>
      <c r="CM333" s="36"/>
      <c r="CO333" s="37"/>
      <c r="CP333" s="37"/>
      <c r="CQ333" s="37"/>
      <c r="CR333" s="37" t="s">
        <v>1163</v>
      </c>
      <c r="CS333" s="1678">
        <v>0</v>
      </c>
      <c r="CT333" s="1678">
        <v>0</v>
      </c>
      <c r="CU333" s="1678">
        <v>0</v>
      </c>
      <c r="CV333" s="1678">
        <v>10</v>
      </c>
      <c r="CW333" s="1678">
        <v>3</v>
      </c>
      <c r="CX333" s="1678">
        <v>5</v>
      </c>
      <c r="CY333" s="1678">
        <v>37</v>
      </c>
      <c r="CZ333" s="1678">
        <v>6</v>
      </c>
      <c r="DA333" s="1678">
        <v>3</v>
      </c>
      <c r="DB333" s="63">
        <v>0</v>
      </c>
      <c r="DC333" s="63">
        <v>0</v>
      </c>
      <c r="DD333" s="63">
        <v>64</v>
      </c>
      <c r="DG333" s="95"/>
      <c r="DH333" s="95"/>
      <c r="DI333" s="36"/>
      <c r="DJ333" s="36" t="s">
        <v>256</v>
      </c>
      <c r="DK333" s="1484">
        <v>1</v>
      </c>
      <c r="DL333" s="1484">
        <v>1</v>
      </c>
      <c r="DM333" s="1484"/>
      <c r="DN333" s="1484"/>
      <c r="DO333" s="1484">
        <v>1</v>
      </c>
      <c r="DP333" s="1484"/>
      <c r="DQ333" s="1484">
        <v>18</v>
      </c>
      <c r="DR333" s="1484">
        <v>24</v>
      </c>
      <c r="DS333" s="1484">
        <v>1</v>
      </c>
      <c r="DT333" s="95"/>
      <c r="DU333" s="95"/>
      <c r="DV333" s="95">
        <v>46</v>
      </c>
      <c r="DW333" s="95"/>
    </row>
    <row r="334" spans="1:161" ht="15" customHeight="1" thickBot="1">
      <c r="Q334" s="4722"/>
      <c r="R334" s="4446"/>
      <c r="S334" s="4706"/>
      <c r="T334" s="4706"/>
      <c r="U334" s="4707"/>
      <c r="V334" s="4707"/>
      <c r="W334" s="4722"/>
      <c r="X334" s="4622"/>
      <c r="Y334" s="4705">
        <v>1</v>
      </c>
      <c r="Z334" s="4705">
        <v>1</v>
      </c>
      <c r="AA334" s="4706" t="s">
        <v>606</v>
      </c>
      <c r="AB334" s="4706" t="s">
        <v>2709</v>
      </c>
      <c r="AC334" s="4705">
        <v>1</v>
      </c>
      <c r="AD334" s="4705">
        <v>6</v>
      </c>
      <c r="AE334" s="4622"/>
      <c r="AF334" s="4622"/>
      <c r="AG334" s="4622"/>
      <c r="AH334" s="4622"/>
      <c r="AI334" s="4622"/>
      <c r="AJ334" s="4622"/>
      <c r="AK334" s="4622"/>
      <c r="AL334" s="4622"/>
      <c r="AM334" s="4622"/>
      <c r="AN334" s="4622"/>
      <c r="AS334" s="3868" t="s">
        <v>1074</v>
      </c>
      <c r="AT334" s="3721">
        <v>0</v>
      </c>
      <c r="AU334" s="3721"/>
      <c r="AV334" s="3721"/>
      <c r="AW334" s="3721">
        <v>1</v>
      </c>
      <c r="AX334" s="3721"/>
      <c r="AY334" s="3721"/>
      <c r="AZ334" s="3721">
        <v>0</v>
      </c>
      <c r="BA334" s="3721">
        <v>0</v>
      </c>
      <c r="BB334" s="3721">
        <v>0</v>
      </c>
      <c r="BC334" s="2110"/>
      <c r="BD334" s="2110"/>
      <c r="BE334" s="2110">
        <v>1</v>
      </c>
      <c r="BF334" s="2110"/>
      <c r="BG334" s="2110"/>
      <c r="BX334" s="36"/>
      <c r="BY334" s="36"/>
      <c r="BZ334" s="393"/>
      <c r="CA334" s="393" t="s">
        <v>1080</v>
      </c>
      <c r="CB334" s="1682">
        <v>0</v>
      </c>
      <c r="CC334" s="1682">
        <v>0</v>
      </c>
      <c r="CD334" s="1682">
        <v>0</v>
      </c>
      <c r="CE334" s="1682">
        <v>0</v>
      </c>
      <c r="CF334" s="1682">
        <v>0</v>
      </c>
      <c r="CG334" s="1682">
        <v>0</v>
      </c>
      <c r="CH334" s="1682">
        <v>27</v>
      </c>
      <c r="CI334" s="1682">
        <v>107</v>
      </c>
      <c r="CJ334" s="2041">
        <v>10</v>
      </c>
      <c r="CK334" s="2041">
        <v>8</v>
      </c>
      <c r="CL334" s="2041">
        <v>152</v>
      </c>
      <c r="CM334" s="36"/>
      <c r="CO334" s="473"/>
      <c r="CP334" s="473"/>
      <c r="CQ334" s="473"/>
      <c r="CR334" s="474" t="s">
        <v>112</v>
      </c>
      <c r="CS334" s="1677">
        <v>3</v>
      </c>
      <c r="CT334" s="1677">
        <v>19</v>
      </c>
      <c r="CU334" s="1677">
        <v>14</v>
      </c>
      <c r="CV334" s="1677">
        <v>16</v>
      </c>
      <c r="CW334" s="1677">
        <v>22</v>
      </c>
      <c r="CX334" s="1677">
        <v>28</v>
      </c>
      <c r="CY334" s="1677">
        <v>269</v>
      </c>
      <c r="CZ334" s="1677">
        <v>126</v>
      </c>
      <c r="DA334" s="1677">
        <v>150</v>
      </c>
      <c r="DB334" s="423">
        <v>19</v>
      </c>
      <c r="DC334" s="423">
        <v>12</v>
      </c>
      <c r="DD334" s="423">
        <v>678</v>
      </c>
      <c r="DE334" s="568">
        <f>+(DD329-DB329+DD332-DB332+DD333)/DD334</f>
        <v>0.36283185840707965</v>
      </c>
      <c r="DG334" s="95"/>
      <c r="DH334" s="95"/>
      <c r="DI334" s="36" t="s">
        <v>112</v>
      </c>
      <c r="DJ334" s="393" t="s">
        <v>1071</v>
      </c>
      <c r="DK334" s="1485">
        <v>0</v>
      </c>
      <c r="DL334" s="1485">
        <v>0</v>
      </c>
      <c r="DM334" s="1485">
        <v>0</v>
      </c>
      <c r="DN334" s="1485">
        <v>0</v>
      </c>
      <c r="DO334" s="1485">
        <v>0</v>
      </c>
      <c r="DP334" s="1485">
        <v>1</v>
      </c>
      <c r="DQ334" s="1485">
        <v>0</v>
      </c>
      <c r="DR334" s="1485">
        <v>5</v>
      </c>
      <c r="DS334" s="1485">
        <v>15</v>
      </c>
      <c r="DT334" s="86">
        <v>4</v>
      </c>
      <c r="DU334" s="86">
        <v>2</v>
      </c>
      <c r="DV334" s="86">
        <v>27</v>
      </c>
      <c r="DW334" s="560">
        <f>+(DV328+DV331+DV332)/DV333</f>
        <v>0.58695652173913049</v>
      </c>
    </row>
    <row r="335" spans="1:161" ht="14.4" customHeight="1">
      <c r="Q335" s="4722"/>
      <c r="R335" s="4446"/>
      <c r="S335" s="4706"/>
      <c r="T335" s="4706"/>
      <c r="U335" s="4707"/>
      <c r="V335" s="4707"/>
      <c r="W335" s="4722"/>
      <c r="X335" s="4622"/>
      <c r="Y335" s="4705">
        <v>1</v>
      </c>
      <c r="Z335" s="4705">
        <v>2</v>
      </c>
      <c r="AA335" s="4706" t="s">
        <v>1706</v>
      </c>
      <c r="AB335" s="4706" t="s">
        <v>2709</v>
      </c>
      <c r="AC335" s="4705">
        <v>18</v>
      </c>
      <c r="AD335" s="4705">
        <v>6</v>
      </c>
      <c r="AE335" s="4622"/>
      <c r="AF335" s="4622"/>
      <c r="AG335" s="4622"/>
      <c r="AH335" s="4622"/>
      <c r="AI335" s="4622"/>
      <c r="AJ335" s="4622"/>
      <c r="AK335" s="4622"/>
      <c r="AL335" s="4622"/>
      <c r="AM335" s="4622"/>
      <c r="AN335" s="4622"/>
      <c r="AS335" s="3868" t="s">
        <v>1080</v>
      </c>
      <c r="AT335" s="3721">
        <v>0</v>
      </c>
      <c r="AU335" s="3721"/>
      <c r="AV335" s="3721"/>
      <c r="AW335" s="3721">
        <v>0</v>
      </c>
      <c r="AX335" s="3721"/>
      <c r="AY335" s="3721"/>
      <c r="AZ335" s="3721">
        <v>0</v>
      </c>
      <c r="BA335" s="3721">
        <v>2</v>
      </c>
      <c r="BB335" s="3721">
        <v>3</v>
      </c>
      <c r="BC335" s="2110"/>
      <c r="BD335" s="2110"/>
      <c r="BE335" s="2110">
        <v>5</v>
      </c>
      <c r="BF335" s="2110"/>
      <c r="BG335" s="2110"/>
      <c r="BX335" s="36"/>
      <c r="BY335" s="36"/>
      <c r="BZ335" s="393"/>
      <c r="CA335" s="393" t="s">
        <v>1081</v>
      </c>
      <c r="CB335" s="1682">
        <v>0</v>
      </c>
      <c r="CC335" s="1682">
        <v>0</v>
      </c>
      <c r="CD335" s="1682">
        <v>0</v>
      </c>
      <c r="CE335" s="1682">
        <v>0</v>
      </c>
      <c r="CF335" s="1682">
        <v>3</v>
      </c>
      <c r="CG335" s="1682">
        <v>29</v>
      </c>
      <c r="CH335" s="1682">
        <v>19</v>
      </c>
      <c r="CI335" s="1682">
        <v>7</v>
      </c>
      <c r="CJ335" s="2041">
        <v>0</v>
      </c>
      <c r="CK335" s="2041">
        <v>0</v>
      </c>
      <c r="CL335" s="2041">
        <v>58</v>
      </c>
      <c r="CM335" s="36"/>
      <c r="DG335" s="95"/>
      <c r="DH335" s="95"/>
      <c r="DI335" s="36"/>
      <c r="DJ335" s="36" t="s">
        <v>1072</v>
      </c>
      <c r="DK335" s="1484">
        <v>1</v>
      </c>
      <c r="DL335" s="1484">
        <v>10</v>
      </c>
      <c r="DM335" s="1484">
        <v>7</v>
      </c>
      <c r="DN335" s="1484">
        <v>15</v>
      </c>
      <c r="DO335" s="1484">
        <v>3</v>
      </c>
      <c r="DP335" s="1484">
        <v>4</v>
      </c>
      <c r="DQ335" s="1484">
        <v>164</v>
      </c>
      <c r="DR335" s="1484">
        <v>66</v>
      </c>
      <c r="DS335" s="1484">
        <v>5</v>
      </c>
      <c r="DT335" s="95">
        <v>2</v>
      </c>
      <c r="DU335" s="95">
        <v>0</v>
      </c>
      <c r="DV335" s="95">
        <v>277</v>
      </c>
      <c r="DW335" s="95"/>
    </row>
    <row r="336" spans="1:161" ht="14.4" customHeight="1">
      <c r="Q336" s="4722"/>
      <c r="R336" s="4446"/>
      <c r="S336" s="4706"/>
      <c r="T336" s="4706"/>
      <c r="U336" s="4707"/>
      <c r="V336" s="4707"/>
      <c r="W336" s="4722"/>
      <c r="X336" s="4622"/>
      <c r="Y336" s="4705">
        <v>1</v>
      </c>
      <c r="Z336" s="4705">
        <v>2</v>
      </c>
      <c r="AA336" s="4706" t="s">
        <v>270</v>
      </c>
      <c r="AB336" s="4706" t="s">
        <v>2709</v>
      </c>
      <c r="AC336" s="4705">
        <v>1</v>
      </c>
      <c r="AD336" s="4705">
        <v>5</v>
      </c>
      <c r="AE336" s="4622"/>
      <c r="AF336" s="4622"/>
      <c r="AG336" s="4622"/>
      <c r="AH336" s="4622"/>
      <c r="AI336" s="4622"/>
      <c r="AJ336" s="4622"/>
      <c r="AK336" s="4622"/>
      <c r="AL336" s="4622"/>
      <c r="AM336" s="4622"/>
      <c r="AN336" s="4622"/>
      <c r="AS336" s="3868" t="s">
        <v>2571</v>
      </c>
      <c r="AT336" s="3721">
        <v>4</v>
      </c>
      <c r="AU336" s="3721"/>
      <c r="AV336" s="3721"/>
      <c r="AW336" s="3721">
        <v>0</v>
      </c>
      <c r="AX336" s="3721"/>
      <c r="AY336" s="3721"/>
      <c r="AZ336" s="3721">
        <v>0</v>
      </c>
      <c r="BA336" s="3721">
        <v>0</v>
      </c>
      <c r="BB336" s="3721">
        <v>0</v>
      </c>
      <c r="BC336" s="2110"/>
      <c r="BD336" s="2110"/>
      <c r="BE336" s="2110">
        <v>4</v>
      </c>
      <c r="BF336" s="2110"/>
      <c r="BG336" s="2110"/>
      <c r="BX336" s="36"/>
      <c r="BY336" s="36"/>
      <c r="BZ336" s="393"/>
      <c r="CA336" s="393" t="s">
        <v>1163</v>
      </c>
      <c r="CB336" s="1682">
        <v>0</v>
      </c>
      <c r="CC336" s="1682">
        <v>0</v>
      </c>
      <c r="CD336" s="1682">
        <v>1</v>
      </c>
      <c r="CE336" s="1682">
        <v>0</v>
      </c>
      <c r="CF336" s="1682">
        <v>0</v>
      </c>
      <c r="CG336" s="1682">
        <v>60</v>
      </c>
      <c r="CH336" s="1682">
        <v>24</v>
      </c>
      <c r="CI336" s="1682">
        <v>17</v>
      </c>
      <c r="CJ336" s="2041">
        <v>0</v>
      </c>
      <c r="CK336" s="2041">
        <v>0</v>
      </c>
      <c r="CL336" s="2041">
        <v>102</v>
      </c>
      <c r="CM336" s="36"/>
      <c r="DG336" s="95"/>
      <c r="DH336" s="95"/>
      <c r="DI336" s="36"/>
      <c r="DJ336" s="36" t="s">
        <v>1074</v>
      </c>
      <c r="DK336" s="1484">
        <v>0</v>
      </c>
      <c r="DL336" s="1484">
        <v>8</v>
      </c>
      <c r="DM336" s="1484">
        <v>1</v>
      </c>
      <c r="DN336" s="1484">
        <v>1</v>
      </c>
      <c r="DO336" s="1484">
        <v>0</v>
      </c>
      <c r="DP336" s="1484">
        <v>0</v>
      </c>
      <c r="DQ336" s="1484">
        <v>0</v>
      </c>
      <c r="DR336" s="1484">
        <v>0</v>
      </c>
      <c r="DS336" s="1484">
        <v>0</v>
      </c>
      <c r="DT336" s="95">
        <v>0</v>
      </c>
      <c r="DU336" s="95">
        <v>0</v>
      </c>
      <c r="DV336" s="95">
        <v>10</v>
      </c>
      <c r="DW336" s="95"/>
    </row>
    <row r="337" spans="17:127" ht="14.4" customHeight="1">
      <c r="Q337" s="4722"/>
      <c r="R337" s="4446"/>
      <c r="S337" s="4706"/>
      <c r="T337" s="4706"/>
      <c r="U337" s="4707"/>
      <c r="V337" s="4707"/>
      <c r="W337" s="4722"/>
      <c r="X337" s="4622"/>
      <c r="Y337" s="4705">
        <v>1</v>
      </c>
      <c r="Z337" s="4705">
        <v>2</v>
      </c>
      <c r="AA337" s="4706" t="s">
        <v>270</v>
      </c>
      <c r="AB337" s="4706" t="s">
        <v>2709</v>
      </c>
      <c r="AC337" s="4705">
        <v>10</v>
      </c>
      <c r="AD337" s="4705">
        <v>6</v>
      </c>
      <c r="AE337" s="4622"/>
      <c r="AF337" s="4622"/>
      <c r="AG337" s="4622"/>
      <c r="AH337" s="4622"/>
      <c r="AI337" s="4622"/>
      <c r="AJ337" s="4622"/>
      <c r="AK337" s="4622"/>
      <c r="AL337" s="4622"/>
      <c r="AM337" s="4622"/>
      <c r="AN337" s="4622"/>
      <c r="AS337" s="3868" t="s">
        <v>15</v>
      </c>
      <c r="AT337" s="3721">
        <v>4</v>
      </c>
      <c r="AU337" s="3721"/>
      <c r="AV337" s="3721"/>
      <c r="AW337" s="3721">
        <v>1</v>
      </c>
      <c r="AX337" s="3721"/>
      <c r="AY337" s="3721"/>
      <c r="AZ337" s="3721">
        <v>16</v>
      </c>
      <c r="BA337" s="3721">
        <v>2</v>
      </c>
      <c r="BB337" s="3721">
        <v>3</v>
      </c>
      <c r="BC337" s="2110"/>
      <c r="BD337" s="2110"/>
      <c r="BE337" s="2110">
        <v>26</v>
      </c>
      <c r="BF337" s="1665">
        <v>0</v>
      </c>
      <c r="BG337" s="1665"/>
      <c r="BX337" s="36"/>
      <c r="BY337" s="36"/>
      <c r="BZ337" s="393"/>
      <c r="CA337" s="393" t="s">
        <v>2416</v>
      </c>
      <c r="CB337" s="1682">
        <v>0</v>
      </c>
      <c r="CC337" s="1682">
        <v>0</v>
      </c>
      <c r="CD337" s="1682">
        <v>0</v>
      </c>
      <c r="CE337" s="1682">
        <v>0</v>
      </c>
      <c r="CF337" s="1682">
        <v>0</v>
      </c>
      <c r="CG337" s="1682">
        <v>0</v>
      </c>
      <c r="CH337" s="1682">
        <v>0</v>
      </c>
      <c r="CI337" s="1682">
        <v>0</v>
      </c>
      <c r="CJ337" s="2041">
        <v>3</v>
      </c>
      <c r="CK337" s="2041">
        <v>4</v>
      </c>
      <c r="CL337" s="2041">
        <v>7</v>
      </c>
      <c r="CM337" s="36"/>
      <c r="DG337" s="95"/>
      <c r="DH337" s="95"/>
      <c r="DI337" s="36"/>
      <c r="DJ337" s="36" t="s">
        <v>1076</v>
      </c>
      <c r="DK337" s="1484">
        <v>0</v>
      </c>
      <c r="DL337" s="1484">
        <v>0</v>
      </c>
      <c r="DM337" s="1484">
        <v>0</v>
      </c>
      <c r="DN337" s="1484">
        <v>3</v>
      </c>
      <c r="DO337" s="1484">
        <v>3</v>
      </c>
      <c r="DP337" s="1484">
        <v>0</v>
      </c>
      <c r="DQ337" s="1484">
        <v>42</v>
      </c>
      <c r="DR337" s="1484">
        <v>47</v>
      </c>
      <c r="DS337" s="1484">
        <v>3</v>
      </c>
      <c r="DT337" s="95">
        <v>3</v>
      </c>
      <c r="DU337" s="95">
        <v>0</v>
      </c>
      <c r="DV337" s="95">
        <v>101</v>
      </c>
      <c r="DW337" s="95"/>
    </row>
    <row r="338" spans="17:127" ht="15" customHeight="1" thickBot="1">
      <c r="Q338" s="4722"/>
      <c r="R338" s="4446"/>
      <c r="S338" s="4706"/>
      <c r="T338" s="4706"/>
      <c r="U338" s="4707"/>
      <c r="V338" s="4707"/>
      <c r="W338" s="4722"/>
      <c r="X338" s="4622"/>
      <c r="Y338" s="4705">
        <v>1</v>
      </c>
      <c r="Z338" s="4705">
        <v>4</v>
      </c>
      <c r="AA338" s="4706" t="s">
        <v>2724</v>
      </c>
      <c r="AB338" s="4706" t="s">
        <v>2731</v>
      </c>
      <c r="AC338" s="4705">
        <v>4</v>
      </c>
      <c r="AD338" s="4705">
        <v>7</v>
      </c>
      <c r="AE338" s="4622"/>
      <c r="AF338" s="4622"/>
      <c r="AG338" s="4622"/>
      <c r="AH338" s="4622"/>
      <c r="AI338" s="4622"/>
      <c r="AJ338" s="4622"/>
      <c r="AK338" s="4622"/>
      <c r="AL338" s="4622"/>
      <c r="AM338" s="4622"/>
      <c r="AN338" s="4622"/>
      <c r="AR338" s="27" t="s">
        <v>486</v>
      </c>
      <c r="AS338" s="27" t="s">
        <v>1072</v>
      </c>
      <c r="AT338" s="3722">
        <v>0</v>
      </c>
      <c r="AU338" s="3722"/>
      <c r="AV338" s="3722"/>
      <c r="AW338" s="3722">
        <v>0</v>
      </c>
      <c r="AX338" s="3722"/>
      <c r="AY338" s="3722"/>
      <c r="AZ338" s="3722">
        <v>16</v>
      </c>
      <c r="BA338" s="3722">
        <v>0</v>
      </c>
      <c r="BB338" s="3722">
        <v>0</v>
      </c>
      <c r="BC338" s="3701"/>
      <c r="BD338" s="3701"/>
      <c r="BE338" s="3701">
        <v>16</v>
      </c>
      <c r="BF338" s="3701"/>
      <c r="BG338" s="3701"/>
      <c r="BX338" s="401"/>
      <c r="BY338" s="401"/>
      <c r="BZ338" s="397"/>
      <c r="CA338" s="397" t="s">
        <v>112</v>
      </c>
      <c r="CB338" s="1680">
        <v>13</v>
      </c>
      <c r="CC338" s="1680">
        <v>11</v>
      </c>
      <c r="CD338" s="1680">
        <v>9</v>
      </c>
      <c r="CE338" s="1680">
        <v>10</v>
      </c>
      <c r="CF338" s="1680">
        <v>16</v>
      </c>
      <c r="CG338" s="1680">
        <v>252</v>
      </c>
      <c r="CH338" s="1680">
        <v>178</v>
      </c>
      <c r="CI338" s="1680">
        <v>159</v>
      </c>
      <c r="CJ338" s="398">
        <v>17</v>
      </c>
      <c r="CK338" s="398">
        <v>12</v>
      </c>
      <c r="CL338" s="398">
        <v>677</v>
      </c>
      <c r="CM338" s="4712">
        <f>+(CL336+CL335+CL332-CJ332)/CL338</f>
        <v>0.39586410635155095</v>
      </c>
      <c r="CN338" s="2047"/>
      <c r="DG338" s="95"/>
      <c r="DH338" s="95"/>
      <c r="DI338" s="36"/>
      <c r="DJ338" s="36" t="s">
        <v>1077</v>
      </c>
      <c r="DK338" s="1484">
        <v>0</v>
      </c>
      <c r="DL338" s="1484">
        <v>3</v>
      </c>
      <c r="DM338" s="1484">
        <v>1</v>
      </c>
      <c r="DN338" s="1484">
        <v>2</v>
      </c>
      <c r="DO338" s="1484">
        <v>3</v>
      </c>
      <c r="DP338" s="1484">
        <v>3</v>
      </c>
      <c r="DQ338" s="1484">
        <v>1</v>
      </c>
      <c r="DR338" s="1484">
        <v>1</v>
      </c>
      <c r="DS338" s="1484">
        <v>0</v>
      </c>
      <c r="DT338" s="95">
        <v>0</v>
      </c>
      <c r="DU338" s="95">
        <v>0</v>
      </c>
      <c r="DV338" s="95">
        <v>14</v>
      </c>
      <c r="DW338" s="95"/>
    </row>
    <row r="339" spans="17:127" ht="14.4" customHeight="1">
      <c r="Q339" s="4722"/>
      <c r="R339" s="4446"/>
      <c r="S339" s="4706"/>
      <c r="T339" s="4706"/>
      <c r="U339" s="4707"/>
      <c r="V339" s="4707"/>
      <c r="W339" s="4722"/>
      <c r="X339" s="4622"/>
      <c r="Y339" s="4705">
        <v>1</v>
      </c>
      <c r="Z339" s="4705">
        <v>4</v>
      </c>
      <c r="AA339" s="4706" t="s">
        <v>1454</v>
      </c>
      <c r="AB339" s="4706" t="s">
        <v>2731</v>
      </c>
      <c r="AC339" s="4705">
        <v>2</v>
      </c>
      <c r="AD339" s="4705">
        <v>7</v>
      </c>
      <c r="AE339" s="4622"/>
      <c r="AF339" s="4622"/>
      <c r="AG339" s="4622"/>
      <c r="AH339" s="4622"/>
      <c r="AI339" s="4622"/>
      <c r="AJ339" s="4622"/>
      <c r="AK339" s="4622"/>
      <c r="AL339" s="4622"/>
      <c r="AM339" s="4622"/>
      <c r="AN339" s="4622"/>
      <c r="AR339" s="27"/>
      <c r="AS339" s="27" t="s">
        <v>1074</v>
      </c>
      <c r="AT339" s="3722">
        <v>0</v>
      </c>
      <c r="AU339" s="3722"/>
      <c r="AV339" s="3722"/>
      <c r="AW339" s="3722">
        <v>1</v>
      </c>
      <c r="AX339" s="3722"/>
      <c r="AY339" s="3722"/>
      <c r="AZ339" s="3722">
        <v>0</v>
      </c>
      <c r="BA339" s="3722">
        <v>0</v>
      </c>
      <c r="BB339" s="3722">
        <v>0</v>
      </c>
      <c r="BC339" s="3701"/>
      <c r="BD339" s="3701"/>
      <c r="BE339" s="3701">
        <v>1</v>
      </c>
      <c r="BF339" s="3701"/>
      <c r="BG339" s="3701"/>
      <c r="DG339" s="95"/>
      <c r="DH339" s="95"/>
      <c r="DI339" s="36"/>
      <c r="DJ339" s="36" t="s">
        <v>1080</v>
      </c>
      <c r="DK339" s="1484">
        <v>0</v>
      </c>
      <c r="DL339" s="1484">
        <v>0</v>
      </c>
      <c r="DM339" s="1484">
        <v>0</v>
      </c>
      <c r="DN339" s="1484">
        <v>0</v>
      </c>
      <c r="DO339" s="1484">
        <v>1</v>
      </c>
      <c r="DP339" s="1484">
        <v>0</v>
      </c>
      <c r="DQ339" s="1484">
        <v>0</v>
      </c>
      <c r="DR339" s="1484">
        <v>3</v>
      </c>
      <c r="DS339" s="1484">
        <v>70</v>
      </c>
      <c r="DT339" s="95">
        <v>7</v>
      </c>
      <c r="DU339" s="95">
        <v>10</v>
      </c>
      <c r="DV339" s="95">
        <v>91</v>
      </c>
      <c r="DW339" s="95"/>
    </row>
    <row r="340" spans="17:127" ht="14.4" customHeight="1">
      <c r="Q340" s="4722"/>
      <c r="R340" s="4446"/>
      <c r="S340" s="4706"/>
      <c r="T340" s="4706"/>
      <c r="U340" s="4707"/>
      <c r="V340" s="4707"/>
      <c r="W340" s="4722"/>
      <c r="X340" s="4622"/>
      <c r="Y340" s="4705">
        <v>1</v>
      </c>
      <c r="Z340" s="4705">
        <v>4</v>
      </c>
      <c r="AA340" s="4706" t="s">
        <v>1454</v>
      </c>
      <c r="AB340" s="4706" t="s">
        <v>2709</v>
      </c>
      <c r="AC340" s="4705">
        <v>2</v>
      </c>
      <c r="AD340" s="4705">
        <v>6</v>
      </c>
      <c r="AE340" s="4622"/>
      <c r="AF340" s="4622"/>
      <c r="AG340" s="4622"/>
      <c r="AH340" s="4622"/>
      <c r="AI340" s="4622"/>
      <c r="AJ340" s="4622"/>
      <c r="AK340" s="4622"/>
      <c r="AL340" s="4622"/>
      <c r="AM340" s="4622"/>
      <c r="AN340" s="4622"/>
      <c r="AR340" s="27"/>
      <c r="AS340" s="27" t="s">
        <v>1080</v>
      </c>
      <c r="AT340" s="3722">
        <v>0</v>
      </c>
      <c r="AU340" s="3722"/>
      <c r="AV340" s="3722"/>
      <c r="AW340" s="3722">
        <v>0</v>
      </c>
      <c r="AX340" s="3722"/>
      <c r="AY340" s="3722"/>
      <c r="AZ340" s="3722">
        <v>0</v>
      </c>
      <c r="BA340" s="3722">
        <v>2</v>
      </c>
      <c r="BB340" s="3722">
        <v>3</v>
      </c>
      <c r="BC340" s="3701"/>
      <c r="BD340" s="3701"/>
      <c r="BE340" s="3701">
        <v>5</v>
      </c>
      <c r="BF340" s="3701"/>
      <c r="BG340" s="3701"/>
      <c r="DG340" s="95"/>
      <c r="DH340" s="95"/>
      <c r="DI340" s="36"/>
      <c r="DJ340" s="36" t="s">
        <v>1663</v>
      </c>
      <c r="DK340" s="1484">
        <v>4</v>
      </c>
      <c r="DL340" s="1484">
        <v>0</v>
      </c>
      <c r="DM340" s="1484">
        <v>0</v>
      </c>
      <c r="DN340" s="1484">
        <v>0</v>
      </c>
      <c r="DO340" s="1484">
        <v>0</v>
      </c>
      <c r="DP340" s="1484">
        <v>0</v>
      </c>
      <c r="DQ340" s="1484">
        <v>0</v>
      </c>
      <c r="DR340" s="1484">
        <v>0</v>
      </c>
      <c r="DS340" s="1484">
        <v>0</v>
      </c>
      <c r="DT340" s="95">
        <v>0</v>
      </c>
      <c r="DU340" s="95">
        <v>0</v>
      </c>
      <c r="DV340" s="95">
        <v>4</v>
      </c>
      <c r="DW340" s="95"/>
    </row>
    <row r="341" spans="17:127" ht="28.95" customHeight="1" thickBot="1">
      <c r="Q341" s="4722"/>
      <c r="R341" s="4446"/>
      <c r="S341" s="4706"/>
      <c r="T341" s="4706"/>
      <c r="U341" s="4707"/>
      <c r="V341" s="4707"/>
      <c r="W341" s="4722"/>
      <c r="X341" s="4622"/>
      <c r="Y341" s="4705">
        <v>2</v>
      </c>
      <c r="Z341" s="4705">
        <v>1</v>
      </c>
      <c r="AA341" s="4706" t="s">
        <v>388</v>
      </c>
      <c r="AB341" s="4706" t="s">
        <v>2731</v>
      </c>
      <c r="AC341" s="4705">
        <v>6</v>
      </c>
      <c r="AD341" s="4705">
        <v>7</v>
      </c>
      <c r="AE341" s="4622"/>
      <c r="AF341" s="4622"/>
      <c r="AG341" s="4622"/>
      <c r="AH341" s="4622"/>
      <c r="AI341" s="4622"/>
      <c r="AJ341" s="4622"/>
      <c r="AK341" s="4622"/>
      <c r="AL341" s="4622"/>
      <c r="AM341" s="4622"/>
      <c r="AN341" s="4622"/>
      <c r="AR341" s="27"/>
      <c r="AS341" s="27" t="s">
        <v>2571</v>
      </c>
      <c r="AT341" s="3722">
        <v>4</v>
      </c>
      <c r="AU341" s="3722"/>
      <c r="AV341" s="3722"/>
      <c r="AW341" s="3722">
        <v>0</v>
      </c>
      <c r="AX341" s="3722"/>
      <c r="AY341" s="3722"/>
      <c r="AZ341" s="3722">
        <v>0</v>
      </c>
      <c r="BA341" s="3722">
        <v>0</v>
      </c>
      <c r="BB341" s="3722">
        <v>0</v>
      </c>
      <c r="BC341" s="3701"/>
      <c r="BD341" s="3701"/>
      <c r="BE341" s="3701">
        <v>4</v>
      </c>
      <c r="BF341" s="3701"/>
      <c r="BG341" s="3701"/>
      <c r="BX341" s="4702" t="s">
        <v>2698</v>
      </c>
      <c r="BY341" s="4702" t="s">
        <v>2699</v>
      </c>
      <c r="BZ341" s="4702" t="s">
        <v>2722</v>
      </c>
      <c r="CA341" s="4702" t="s">
        <v>2730</v>
      </c>
      <c r="CB341" s="4702" t="s">
        <v>2767</v>
      </c>
      <c r="CC341" s="4702" t="s">
        <v>1138</v>
      </c>
      <c r="DG341" s="95"/>
      <c r="DH341" s="95"/>
      <c r="DI341" s="36"/>
      <c r="DJ341" s="36" t="s">
        <v>1081</v>
      </c>
      <c r="DK341" s="1484">
        <v>0</v>
      </c>
      <c r="DL341" s="1484">
        <v>0</v>
      </c>
      <c r="DM341" s="1484">
        <v>0</v>
      </c>
      <c r="DN341" s="1484">
        <v>2</v>
      </c>
      <c r="DO341" s="1484">
        <v>1</v>
      </c>
      <c r="DP341" s="1484">
        <v>0</v>
      </c>
      <c r="DQ341" s="1484">
        <v>43</v>
      </c>
      <c r="DR341" s="1484">
        <v>23</v>
      </c>
      <c r="DS341" s="1484">
        <v>3</v>
      </c>
      <c r="DT341" s="95">
        <v>0</v>
      </c>
      <c r="DU341" s="95">
        <v>0</v>
      </c>
      <c r="DV341" s="95">
        <v>72</v>
      </c>
      <c r="DW341" s="95"/>
    </row>
    <row r="342" spans="17:127" ht="14.4" customHeight="1">
      <c r="Q342" s="4722"/>
      <c r="R342" s="4446"/>
      <c r="S342" s="4706"/>
      <c r="T342" s="4706"/>
      <c r="U342" s="4707"/>
      <c r="V342" s="4707"/>
      <c r="W342" s="4722"/>
      <c r="X342" s="4622"/>
      <c r="Y342" s="4705">
        <v>2</v>
      </c>
      <c r="Z342" s="4705">
        <v>1</v>
      </c>
      <c r="AA342" s="4706" t="s">
        <v>388</v>
      </c>
      <c r="AB342" s="4706" t="s">
        <v>1071</v>
      </c>
      <c r="AC342" s="4705">
        <v>1</v>
      </c>
      <c r="AD342" s="4705">
        <v>9</v>
      </c>
      <c r="AE342" s="4622"/>
      <c r="AF342" s="4622"/>
      <c r="AG342" s="4622"/>
      <c r="AH342" s="4622"/>
      <c r="AI342" s="4622"/>
      <c r="AJ342" s="4622"/>
      <c r="AK342" s="4622"/>
      <c r="AL342" s="4622"/>
      <c r="AM342" s="4622"/>
      <c r="AN342" s="4622"/>
      <c r="AR342" s="27"/>
      <c r="AS342" s="3868" t="s">
        <v>15</v>
      </c>
      <c r="AT342" s="3722">
        <v>4</v>
      </c>
      <c r="AU342" s="3722"/>
      <c r="AV342" s="3722"/>
      <c r="AW342" s="3722">
        <v>1</v>
      </c>
      <c r="AX342" s="3722"/>
      <c r="AY342" s="3722"/>
      <c r="AZ342" s="3722">
        <v>16</v>
      </c>
      <c r="BA342" s="3722">
        <v>2</v>
      </c>
      <c r="BB342" s="3722">
        <v>3</v>
      </c>
      <c r="BC342" s="3701"/>
      <c r="BD342" s="3701"/>
      <c r="BE342" s="3701">
        <v>26</v>
      </c>
      <c r="BF342" s="1665">
        <v>0</v>
      </c>
      <c r="BG342" s="1665"/>
      <c r="BX342" s="4699">
        <v>1</v>
      </c>
      <c r="BY342" s="4699">
        <v>1</v>
      </c>
      <c r="BZ342" s="4700" t="s">
        <v>265</v>
      </c>
      <c r="CA342" s="4700" t="s">
        <v>2731</v>
      </c>
      <c r="CB342" s="4701">
        <v>1</v>
      </c>
      <c r="CC342" s="4699">
        <v>8</v>
      </c>
      <c r="DG342" s="95"/>
      <c r="DH342" s="95"/>
      <c r="DI342" s="36"/>
      <c r="DJ342" s="36" t="s">
        <v>1163</v>
      </c>
      <c r="DK342" s="1484">
        <v>0</v>
      </c>
      <c r="DL342" s="1484">
        <v>0</v>
      </c>
      <c r="DM342" s="1484">
        <v>0</v>
      </c>
      <c r="DN342" s="1484">
        <v>11</v>
      </c>
      <c r="DO342" s="1484">
        <v>2</v>
      </c>
      <c r="DP342" s="1484">
        <v>0</v>
      </c>
      <c r="DQ342" s="1484">
        <v>71</v>
      </c>
      <c r="DR342" s="1484">
        <v>48</v>
      </c>
      <c r="DS342" s="1484">
        <v>7</v>
      </c>
      <c r="DT342" s="95">
        <v>0</v>
      </c>
      <c r="DU342" s="95">
        <v>0</v>
      </c>
      <c r="DV342" s="95">
        <v>139</v>
      </c>
      <c r="DW342" s="95"/>
    </row>
    <row r="343" spans="17:127" ht="15" customHeight="1" thickBot="1">
      <c r="Q343" s="4722"/>
      <c r="R343" s="4446"/>
      <c r="S343" s="4706"/>
      <c r="T343" s="4706"/>
      <c r="U343" s="4707"/>
      <c r="V343" s="4707"/>
      <c r="W343" s="4722"/>
      <c r="X343" s="4622"/>
      <c r="Y343" s="4705">
        <v>2</v>
      </c>
      <c r="Z343" s="4705">
        <v>1</v>
      </c>
      <c r="AA343" s="4706" t="s">
        <v>388</v>
      </c>
      <c r="AB343" s="4706" t="s">
        <v>2709</v>
      </c>
      <c r="AC343" s="4705">
        <v>1</v>
      </c>
      <c r="AD343" s="4705">
        <v>2</v>
      </c>
      <c r="AE343" s="4622"/>
      <c r="AF343" s="4622"/>
      <c r="AG343" s="4622"/>
      <c r="AH343" s="4622"/>
      <c r="AI343" s="4622"/>
      <c r="AJ343" s="4622"/>
      <c r="AK343" s="4622"/>
      <c r="AL343" s="4622"/>
      <c r="AM343" s="4622"/>
      <c r="AN343" s="4622"/>
      <c r="AQ343" s="157" t="s">
        <v>64</v>
      </c>
      <c r="AR343" s="3868" t="s">
        <v>609</v>
      </c>
      <c r="AS343" s="3868" t="s">
        <v>1072</v>
      </c>
      <c r="AT343" s="3721"/>
      <c r="AU343" s="3721"/>
      <c r="AV343" s="3721"/>
      <c r="AW343" s="3721"/>
      <c r="AX343" s="3721"/>
      <c r="AY343" s="3721">
        <v>0</v>
      </c>
      <c r="AZ343" s="3721">
        <v>3</v>
      </c>
      <c r="BA343" s="3721">
        <v>0</v>
      </c>
      <c r="BB343" s="3721">
        <v>0</v>
      </c>
      <c r="BC343" s="2110"/>
      <c r="BD343" s="2110"/>
      <c r="BE343" s="2110">
        <v>3</v>
      </c>
      <c r="BF343" s="2110"/>
      <c r="BG343" s="2110"/>
      <c r="BX343" s="4694">
        <v>1</v>
      </c>
      <c r="BY343" s="4694">
        <v>1</v>
      </c>
      <c r="BZ343" s="4695" t="s">
        <v>265</v>
      </c>
      <c r="CA343" s="4695" t="s">
        <v>2731</v>
      </c>
      <c r="CB343" s="4696">
        <v>1</v>
      </c>
      <c r="CC343" s="4694">
        <v>10</v>
      </c>
      <c r="DG343" s="396"/>
      <c r="DH343" s="396"/>
      <c r="DI343" s="401"/>
      <c r="DJ343" s="397" t="s">
        <v>112</v>
      </c>
      <c r="DK343" s="1483">
        <v>5</v>
      </c>
      <c r="DL343" s="1483">
        <v>21</v>
      </c>
      <c r="DM343" s="1483">
        <v>9</v>
      </c>
      <c r="DN343" s="1483">
        <v>34</v>
      </c>
      <c r="DO343" s="1483">
        <v>13</v>
      </c>
      <c r="DP343" s="1483">
        <v>8</v>
      </c>
      <c r="DQ343" s="1483">
        <v>321</v>
      </c>
      <c r="DR343" s="1483">
        <v>193</v>
      </c>
      <c r="DS343" s="1483">
        <v>103</v>
      </c>
      <c r="DT343" s="398">
        <v>16</v>
      </c>
      <c r="DU343" s="398">
        <v>12</v>
      </c>
      <c r="DV343" s="398">
        <v>735</v>
      </c>
      <c r="DW343" s="1470">
        <f>+(DV337+DV341+DV342-DT337)/DV343</f>
        <v>0.42040816326530611</v>
      </c>
    </row>
    <row r="344" spans="17:127" ht="14.4" customHeight="1">
      <c r="Q344" s="4722"/>
      <c r="R344" s="4446"/>
      <c r="S344" s="4706"/>
      <c r="T344" s="4706"/>
      <c r="U344" s="4707"/>
      <c r="V344" s="4707"/>
      <c r="W344" s="4722"/>
      <c r="X344" s="4622"/>
      <c r="Y344" s="4705">
        <v>2</v>
      </c>
      <c r="Z344" s="4705">
        <v>1</v>
      </c>
      <c r="AA344" s="4706" t="s">
        <v>388</v>
      </c>
      <c r="AB344" s="4706" t="s">
        <v>2709</v>
      </c>
      <c r="AC344" s="4705">
        <v>1</v>
      </c>
      <c r="AD344" s="4705">
        <v>5</v>
      </c>
      <c r="AE344" s="4622"/>
      <c r="AF344" s="4622"/>
      <c r="AG344" s="4622"/>
      <c r="AH344" s="4622"/>
      <c r="AI344" s="4622"/>
      <c r="AJ344" s="4622"/>
      <c r="AK344" s="4622"/>
      <c r="AL344" s="4622"/>
      <c r="AM344" s="4622"/>
      <c r="AN344" s="4622"/>
      <c r="AS344" s="3868" t="s">
        <v>1076</v>
      </c>
      <c r="AT344" s="3721"/>
      <c r="AU344" s="3721"/>
      <c r="AV344" s="3721"/>
      <c r="AW344" s="3721"/>
      <c r="AX344" s="3721"/>
      <c r="AY344" s="3721">
        <v>0</v>
      </c>
      <c r="AZ344" s="3721">
        <v>1</v>
      </c>
      <c r="BA344" s="3721">
        <v>1</v>
      </c>
      <c r="BB344" s="3721">
        <v>0</v>
      </c>
      <c r="BC344" s="2110"/>
      <c r="BD344" s="2110"/>
      <c r="BE344" s="2110">
        <v>2</v>
      </c>
      <c r="BF344" s="2110"/>
      <c r="BG344" s="2110"/>
      <c r="BX344" s="4694">
        <v>1</v>
      </c>
      <c r="BY344" s="4694">
        <v>1</v>
      </c>
      <c r="BZ344" s="4695" t="s">
        <v>265</v>
      </c>
      <c r="CA344" s="4697" t="s">
        <v>2732</v>
      </c>
      <c r="CB344" s="4696">
        <v>1</v>
      </c>
      <c r="CC344" s="4694">
        <v>6</v>
      </c>
    </row>
    <row r="345" spans="17:127" ht="14.4" customHeight="1">
      <c r="Q345" s="4722"/>
      <c r="R345" s="4446"/>
      <c r="S345" s="4706"/>
      <c r="T345" s="4706"/>
      <c r="U345" s="4707"/>
      <c r="V345" s="4707"/>
      <c r="W345" s="4722"/>
      <c r="X345" s="4622"/>
      <c r="Y345" s="4705">
        <v>2</v>
      </c>
      <c r="Z345" s="4705">
        <v>1</v>
      </c>
      <c r="AA345" s="4706" t="s">
        <v>388</v>
      </c>
      <c r="AB345" s="4706" t="s">
        <v>2709</v>
      </c>
      <c r="AC345" s="4705">
        <v>2</v>
      </c>
      <c r="AD345" s="4705">
        <v>6</v>
      </c>
      <c r="AE345" s="4622"/>
      <c r="AF345" s="4622"/>
      <c r="AG345" s="4622"/>
      <c r="AH345" s="4622"/>
      <c r="AI345" s="4622"/>
      <c r="AJ345" s="4622"/>
      <c r="AK345" s="4622"/>
      <c r="AL345" s="4622"/>
      <c r="AM345" s="4622"/>
      <c r="AN345" s="4622"/>
      <c r="AS345" s="3868" t="s">
        <v>1080</v>
      </c>
      <c r="AT345" s="3721"/>
      <c r="AU345" s="3721"/>
      <c r="AV345" s="3721"/>
      <c r="AW345" s="3721"/>
      <c r="AX345" s="3721"/>
      <c r="AY345" s="3721">
        <v>1</v>
      </c>
      <c r="AZ345" s="3721">
        <v>0</v>
      </c>
      <c r="BA345" s="3721">
        <v>0</v>
      </c>
      <c r="BB345" s="3721">
        <v>3</v>
      </c>
      <c r="BC345" s="2110"/>
      <c r="BD345" s="2110"/>
      <c r="BE345" s="2110">
        <v>4</v>
      </c>
      <c r="BF345" s="2110"/>
      <c r="BG345" s="2110"/>
      <c r="BX345" s="4694">
        <v>1</v>
      </c>
      <c r="BY345" s="4694">
        <v>1</v>
      </c>
      <c r="BZ345" s="4695" t="s">
        <v>265</v>
      </c>
      <c r="CA345" s="4695" t="s">
        <v>2705</v>
      </c>
      <c r="CB345" s="4696">
        <v>1</v>
      </c>
      <c r="CC345" s="4694">
        <v>5</v>
      </c>
    </row>
    <row r="346" spans="17:127" ht="14.4" customHeight="1">
      <c r="Q346" s="4722"/>
      <c r="R346" s="4446"/>
      <c r="S346" s="4706"/>
      <c r="T346" s="4706"/>
      <c r="U346" s="4707"/>
      <c r="V346" s="4707"/>
      <c r="W346" s="4722"/>
      <c r="X346" s="4622"/>
      <c r="Y346" s="4705">
        <v>2</v>
      </c>
      <c r="Z346" s="4705">
        <v>1</v>
      </c>
      <c r="AA346" s="4706" t="s">
        <v>681</v>
      </c>
      <c r="AB346" s="4706" t="s">
        <v>2731</v>
      </c>
      <c r="AC346" s="4705">
        <v>9</v>
      </c>
      <c r="AD346" s="4705">
        <v>9</v>
      </c>
      <c r="AE346" s="4622"/>
      <c r="AF346" s="4622"/>
      <c r="AG346" s="4622"/>
      <c r="AH346" s="4622"/>
      <c r="AI346" s="4622"/>
      <c r="AJ346" s="4622"/>
      <c r="AK346" s="4622"/>
      <c r="AL346" s="4622"/>
      <c r="AM346" s="4622"/>
      <c r="AN346" s="4622"/>
      <c r="AS346" s="3868" t="s">
        <v>1081</v>
      </c>
      <c r="AT346" s="3721"/>
      <c r="AU346" s="3721"/>
      <c r="AV346" s="3721"/>
      <c r="AW346" s="3721"/>
      <c r="AX346" s="3721"/>
      <c r="AY346" s="3721">
        <v>0</v>
      </c>
      <c r="AZ346" s="3721">
        <v>1</v>
      </c>
      <c r="BA346" s="3721">
        <v>0</v>
      </c>
      <c r="BB346" s="3721">
        <v>0</v>
      </c>
      <c r="BC346" s="2110"/>
      <c r="BD346" s="2110"/>
      <c r="BE346" s="2110">
        <v>1</v>
      </c>
      <c r="BF346" s="2110"/>
      <c r="BG346" s="2110"/>
      <c r="BX346" s="4694">
        <v>1</v>
      </c>
      <c r="BY346" s="4694">
        <v>1</v>
      </c>
      <c r="BZ346" s="4695" t="s">
        <v>265</v>
      </c>
      <c r="CA346" s="4697" t="s">
        <v>2707</v>
      </c>
      <c r="CB346" s="4696">
        <v>1</v>
      </c>
      <c r="CC346" s="4694">
        <v>7</v>
      </c>
    </row>
    <row r="347" spans="17:127" ht="14.4" customHeight="1">
      <c r="Q347" s="4722"/>
      <c r="R347" s="4446"/>
      <c r="S347" s="4706"/>
      <c r="T347" s="4706"/>
      <c r="U347" s="4707"/>
      <c r="V347" s="4707"/>
      <c r="W347" s="4722"/>
      <c r="X347" s="4622"/>
      <c r="Y347" s="4705">
        <v>2</v>
      </c>
      <c r="Z347" s="4705">
        <v>1</v>
      </c>
      <c r="AA347" s="4706" t="s">
        <v>681</v>
      </c>
      <c r="AB347" s="4708" t="s">
        <v>1076</v>
      </c>
      <c r="AC347" s="4716">
        <v>1</v>
      </c>
      <c r="AD347" s="4716">
        <v>6</v>
      </c>
      <c r="AE347" s="4622"/>
      <c r="AF347" s="4622"/>
      <c r="AG347" s="4622"/>
      <c r="AH347" s="4622"/>
      <c r="AI347" s="4622"/>
      <c r="AJ347" s="4622"/>
      <c r="AK347" s="4622"/>
      <c r="AL347" s="4622"/>
      <c r="AM347" s="4622"/>
      <c r="AN347" s="4622"/>
      <c r="AS347" s="3868" t="s">
        <v>15</v>
      </c>
      <c r="AT347" s="3721"/>
      <c r="AU347" s="3721"/>
      <c r="AV347" s="3721"/>
      <c r="AW347" s="3721"/>
      <c r="AX347" s="3721"/>
      <c r="AY347" s="3721">
        <v>1</v>
      </c>
      <c r="AZ347" s="3721">
        <v>5</v>
      </c>
      <c r="BA347" s="3721">
        <v>1</v>
      </c>
      <c r="BB347" s="3721">
        <v>3</v>
      </c>
      <c r="BC347" s="2110"/>
      <c r="BD347" s="2110"/>
      <c r="BE347" s="2110">
        <v>10</v>
      </c>
      <c r="BF347" s="1665">
        <f>+(BE344+BE346)/(BE347)</f>
        <v>0.3</v>
      </c>
      <c r="BG347" s="1665"/>
      <c r="BX347" s="4694">
        <v>1</v>
      </c>
      <c r="BY347" s="4694">
        <v>1</v>
      </c>
      <c r="BZ347" s="4695" t="s">
        <v>265</v>
      </c>
      <c r="CA347" s="4695" t="s">
        <v>2709</v>
      </c>
      <c r="CB347" s="4696">
        <v>1</v>
      </c>
      <c r="CC347" s="4694">
        <v>3</v>
      </c>
    </row>
    <row r="348" spans="17:127" ht="28.95" customHeight="1">
      <c r="Q348" s="4722"/>
      <c r="R348" s="4446"/>
      <c r="S348" s="4706"/>
      <c r="T348" s="4706"/>
      <c r="U348" s="4707"/>
      <c r="V348" s="4707"/>
      <c r="W348" s="4722"/>
      <c r="X348" s="4622"/>
      <c r="Y348" s="4705">
        <v>2</v>
      </c>
      <c r="Z348" s="4705">
        <v>1</v>
      </c>
      <c r="AA348" s="4706" t="s">
        <v>681</v>
      </c>
      <c r="AB348" s="4708" t="s">
        <v>1076</v>
      </c>
      <c r="AC348" s="4716">
        <v>1</v>
      </c>
      <c r="AD348" s="4716">
        <v>7</v>
      </c>
      <c r="AE348" s="4622"/>
      <c r="AF348" s="4622"/>
      <c r="AG348" s="4622"/>
      <c r="AH348" s="4622"/>
      <c r="AI348" s="4622"/>
      <c r="AJ348" s="4622"/>
      <c r="AK348" s="4622"/>
      <c r="AL348" s="4622"/>
      <c r="AM348" s="4622"/>
      <c r="AN348" s="4622"/>
      <c r="AR348" s="27" t="s">
        <v>487</v>
      </c>
      <c r="AS348" s="27" t="s">
        <v>1072</v>
      </c>
      <c r="AT348" s="3722"/>
      <c r="AU348" s="3722"/>
      <c r="AV348" s="3722"/>
      <c r="AW348" s="3722"/>
      <c r="AX348" s="3722"/>
      <c r="AY348" s="3722">
        <v>0</v>
      </c>
      <c r="AZ348" s="3722">
        <v>3</v>
      </c>
      <c r="BA348" s="3722">
        <v>0</v>
      </c>
      <c r="BB348" s="3722">
        <v>0</v>
      </c>
      <c r="BC348" s="3701"/>
      <c r="BD348" s="3701"/>
      <c r="BE348" s="3701">
        <v>3</v>
      </c>
      <c r="BF348" s="3701"/>
      <c r="BG348" s="3701"/>
      <c r="BX348" s="4694">
        <v>1</v>
      </c>
      <c r="BY348" s="4694">
        <v>1</v>
      </c>
      <c r="BZ348" s="4695" t="s">
        <v>265</v>
      </c>
      <c r="CA348" s="4695" t="s">
        <v>2709</v>
      </c>
      <c r="CB348" s="4696">
        <v>1</v>
      </c>
      <c r="CC348" s="4694">
        <v>4</v>
      </c>
    </row>
    <row r="349" spans="17:127" ht="14.4" customHeight="1">
      <c r="Q349" s="4722"/>
      <c r="R349" s="4446"/>
      <c r="S349" s="4706"/>
      <c r="T349" s="4706"/>
      <c r="U349" s="4707"/>
      <c r="V349" s="4707"/>
      <c r="W349" s="4722"/>
      <c r="X349" s="4622"/>
      <c r="Y349" s="4705">
        <v>2</v>
      </c>
      <c r="Z349" s="4705">
        <v>1</v>
      </c>
      <c r="AA349" s="4706" t="s">
        <v>681</v>
      </c>
      <c r="AB349" s="4708" t="s">
        <v>1076</v>
      </c>
      <c r="AC349" s="4716">
        <v>1</v>
      </c>
      <c r="AD349" s="4716">
        <v>9</v>
      </c>
      <c r="AE349" s="4622"/>
      <c r="AF349" s="4622"/>
      <c r="AG349" s="4622"/>
      <c r="AH349" s="4622"/>
      <c r="AI349" s="4622"/>
      <c r="AJ349" s="4622"/>
      <c r="AK349" s="4622"/>
      <c r="AL349" s="4622"/>
      <c r="AM349" s="4622"/>
      <c r="AN349" s="4622"/>
      <c r="AR349" s="27"/>
      <c r="AS349" s="27" t="s">
        <v>1076</v>
      </c>
      <c r="AT349" s="3722"/>
      <c r="AU349" s="3722"/>
      <c r="AV349" s="3722"/>
      <c r="AW349" s="3722"/>
      <c r="AX349" s="3722"/>
      <c r="AY349" s="3722">
        <v>0</v>
      </c>
      <c r="AZ349" s="3722">
        <v>1</v>
      </c>
      <c r="BA349" s="3722">
        <v>1</v>
      </c>
      <c r="BB349" s="3722">
        <v>0</v>
      </c>
      <c r="BC349" s="3701"/>
      <c r="BD349" s="3701"/>
      <c r="BE349" s="3701">
        <v>2</v>
      </c>
      <c r="BF349" s="3701"/>
      <c r="BG349" s="3701"/>
      <c r="BX349" s="4694">
        <v>1</v>
      </c>
      <c r="BY349" s="4694">
        <v>1</v>
      </c>
      <c r="BZ349" s="4695" t="s">
        <v>265</v>
      </c>
      <c r="CA349" s="4695" t="s">
        <v>2710</v>
      </c>
      <c r="CB349" s="4696">
        <v>2</v>
      </c>
      <c r="CC349" s="4694">
        <v>0</v>
      </c>
    </row>
    <row r="350" spans="17:127" ht="28.95" customHeight="1">
      <c r="Q350" s="4722"/>
      <c r="R350" s="4446"/>
      <c r="S350" s="4706"/>
      <c r="T350" s="4706"/>
      <c r="U350" s="4707"/>
      <c r="V350" s="4707"/>
      <c r="W350" s="4722"/>
      <c r="X350" s="4622"/>
      <c r="Y350" s="4705">
        <v>2</v>
      </c>
      <c r="Z350" s="4705">
        <v>1</v>
      </c>
      <c r="AA350" s="4706" t="s">
        <v>681</v>
      </c>
      <c r="AB350" s="4706" t="s">
        <v>2709</v>
      </c>
      <c r="AC350" s="4705">
        <v>3</v>
      </c>
      <c r="AD350" s="4705">
        <v>8</v>
      </c>
      <c r="AE350" s="4622"/>
      <c r="AF350" s="4622"/>
      <c r="AG350" s="4622"/>
      <c r="AH350" s="4622"/>
      <c r="AI350" s="4622"/>
      <c r="AJ350" s="4622"/>
      <c r="AK350" s="4622"/>
      <c r="AL350" s="4622"/>
      <c r="AM350" s="4622"/>
      <c r="AN350" s="4622"/>
      <c r="AR350" s="27"/>
      <c r="AS350" s="27" t="s">
        <v>1080</v>
      </c>
      <c r="AT350" s="3722"/>
      <c r="AU350" s="3722"/>
      <c r="AV350" s="3722"/>
      <c r="AW350" s="3722"/>
      <c r="AX350" s="3722"/>
      <c r="AY350" s="3722">
        <v>1</v>
      </c>
      <c r="AZ350" s="3722">
        <v>0</v>
      </c>
      <c r="BA350" s="3722">
        <v>0</v>
      </c>
      <c r="BB350" s="3722">
        <v>3</v>
      </c>
      <c r="BC350" s="3701"/>
      <c r="BD350" s="3701"/>
      <c r="BE350" s="3701">
        <v>4</v>
      </c>
      <c r="BF350" s="3701"/>
      <c r="BG350" s="3701"/>
      <c r="BX350" s="4694">
        <v>1</v>
      </c>
      <c r="BY350" s="4694">
        <v>1</v>
      </c>
      <c r="BZ350" s="4695" t="s">
        <v>2733</v>
      </c>
      <c r="CA350" s="4697" t="s">
        <v>2732</v>
      </c>
      <c r="CB350" s="4696">
        <v>2</v>
      </c>
      <c r="CC350" s="4694">
        <v>6</v>
      </c>
    </row>
    <row r="351" spans="17:127" ht="14.4" customHeight="1">
      <c r="Q351" s="4722"/>
      <c r="R351" s="4446"/>
      <c r="S351" s="4706"/>
      <c r="T351" s="4706"/>
      <c r="U351" s="4707"/>
      <c r="V351" s="4707"/>
      <c r="W351" s="4722"/>
      <c r="X351" s="4622"/>
      <c r="Y351" s="4705">
        <v>2</v>
      </c>
      <c r="Z351" s="4705">
        <v>1</v>
      </c>
      <c r="AA351" s="4706" t="s">
        <v>119</v>
      </c>
      <c r="AB351" s="4706" t="s">
        <v>2731</v>
      </c>
      <c r="AC351" s="4705">
        <v>3</v>
      </c>
      <c r="AD351" s="4705">
        <v>7</v>
      </c>
      <c r="AE351" s="4622"/>
      <c r="AF351" s="4622"/>
      <c r="AG351" s="4622"/>
      <c r="AH351" s="4622"/>
      <c r="AI351" s="4622"/>
      <c r="AJ351" s="4622"/>
      <c r="AK351" s="4622"/>
      <c r="AL351" s="4622"/>
      <c r="AM351" s="4622"/>
      <c r="AN351" s="4622"/>
      <c r="AR351" s="27"/>
      <c r="AS351" s="27" t="s">
        <v>1081</v>
      </c>
      <c r="AT351" s="3722"/>
      <c r="AU351" s="3722"/>
      <c r="AV351" s="3722"/>
      <c r="AW351" s="3722"/>
      <c r="AX351" s="3722"/>
      <c r="AY351" s="3722">
        <v>0</v>
      </c>
      <c r="AZ351" s="3722">
        <v>1</v>
      </c>
      <c r="BA351" s="3722">
        <v>0</v>
      </c>
      <c r="BB351" s="3722">
        <v>0</v>
      </c>
      <c r="BC351" s="3701"/>
      <c r="BD351" s="3701"/>
      <c r="BE351" s="3701">
        <v>1</v>
      </c>
      <c r="BF351" s="3701"/>
      <c r="BG351" s="3701"/>
      <c r="BX351" s="4694">
        <v>1</v>
      </c>
      <c r="BY351" s="4694">
        <v>1</v>
      </c>
      <c r="BZ351" s="4695" t="s">
        <v>2733</v>
      </c>
      <c r="CA351" s="4695" t="s">
        <v>2705</v>
      </c>
      <c r="CB351" s="4696">
        <v>1</v>
      </c>
      <c r="CC351" s="4694">
        <v>5</v>
      </c>
    </row>
    <row r="352" spans="17:127" ht="14.4" customHeight="1">
      <c r="Q352" s="4722"/>
      <c r="R352" s="4446"/>
      <c r="S352" s="4706"/>
      <c r="T352" s="4706"/>
      <c r="U352" s="4707"/>
      <c r="V352" s="4707"/>
      <c r="W352" s="4722"/>
      <c r="X352" s="4622"/>
      <c r="Y352" s="4705">
        <v>2</v>
      </c>
      <c r="Z352" s="4705">
        <v>1</v>
      </c>
      <c r="AA352" s="4706" t="s">
        <v>119</v>
      </c>
      <c r="AB352" s="4706" t="s">
        <v>2731</v>
      </c>
      <c r="AC352" s="4705">
        <v>9</v>
      </c>
      <c r="AD352" s="4705">
        <v>8</v>
      </c>
      <c r="AE352" s="4622"/>
      <c r="AF352" s="4622"/>
      <c r="AG352" s="4622"/>
      <c r="AH352" s="4622"/>
      <c r="AI352" s="4622"/>
      <c r="AJ352" s="4622"/>
      <c r="AK352" s="4622"/>
      <c r="AL352" s="4622"/>
      <c r="AM352" s="4622"/>
      <c r="AN352" s="4622"/>
      <c r="AR352" s="27"/>
      <c r="AS352" s="3868" t="s">
        <v>15</v>
      </c>
      <c r="AT352" s="3722"/>
      <c r="AU352" s="3722"/>
      <c r="AV352" s="3722"/>
      <c r="AW352" s="3722"/>
      <c r="AX352" s="3722"/>
      <c r="AY352" s="3722">
        <v>1</v>
      </c>
      <c r="AZ352" s="3722">
        <v>5</v>
      </c>
      <c r="BA352" s="3722">
        <v>1</v>
      </c>
      <c r="BB352" s="3722">
        <v>3</v>
      </c>
      <c r="BC352" s="3701"/>
      <c r="BD352" s="3701"/>
      <c r="BE352" s="3701">
        <v>10</v>
      </c>
      <c r="BF352" s="1665">
        <f>+(BE349+BE351)/(BE352)</f>
        <v>0.3</v>
      </c>
      <c r="BG352" s="1665"/>
      <c r="BX352" s="4694">
        <v>1</v>
      </c>
      <c r="BY352" s="4694">
        <v>1</v>
      </c>
      <c r="BZ352" s="4695" t="s">
        <v>2733</v>
      </c>
      <c r="CA352" s="4695" t="s">
        <v>2775</v>
      </c>
      <c r="CB352" s="4696">
        <v>1</v>
      </c>
      <c r="CC352" s="4694">
        <v>6</v>
      </c>
    </row>
    <row r="353" spans="17:81" ht="14.4" customHeight="1">
      <c r="Q353" s="4722"/>
      <c r="R353" s="4446"/>
      <c r="S353" s="4706"/>
      <c r="T353" s="4706"/>
      <c r="U353" s="4707"/>
      <c r="V353" s="4707"/>
      <c r="W353" s="4722"/>
      <c r="X353" s="4622"/>
      <c r="Y353" s="4705">
        <v>2</v>
      </c>
      <c r="Z353" s="4705">
        <v>1</v>
      </c>
      <c r="AA353" s="4706" t="s">
        <v>119</v>
      </c>
      <c r="AB353" s="4706" t="s">
        <v>2731</v>
      </c>
      <c r="AC353" s="4705">
        <v>2</v>
      </c>
      <c r="AD353" s="4705">
        <v>9</v>
      </c>
      <c r="AE353" s="4622"/>
      <c r="AF353" s="4622"/>
      <c r="AG353" s="4622"/>
      <c r="AH353" s="4622"/>
      <c r="AI353" s="4622"/>
      <c r="AJ353" s="4622"/>
      <c r="AK353" s="4622"/>
      <c r="AL353" s="4622"/>
      <c r="AM353" s="4622"/>
      <c r="AN353" s="4622"/>
      <c r="AR353" s="27" t="s">
        <v>256</v>
      </c>
      <c r="AS353" s="27" t="s">
        <v>1072</v>
      </c>
      <c r="AT353" s="3722">
        <v>0</v>
      </c>
      <c r="AU353" s="3722"/>
      <c r="AV353" s="3722"/>
      <c r="AW353" s="3722">
        <v>0</v>
      </c>
      <c r="AX353" s="3722">
        <v>1</v>
      </c>
      <c r="AY353" s="3722">
        <v>0</v>
      </c>
      <c r="AZ353" s="3722">
        <v>24</v>
      </c>
      <c r="BA353" s="3722">
        <v>0</v>
      </c>
      <c r="BB353" s="3722">
        <v>0</v>
      </c>
      <c r="BC353" s="3701"/>
      <c r="BD353" s="3701"/>
      <c r="BE353" s="3701">
        <v>25</v>
      </c>
      <c r="BF353" s="3701"/>
      <c r="BG353" s="3701"/>
      <c r="BX353" s="4694">
        <v>1</v>
      </c>
      <c r="BY353" s="4694">
        <v>1</v>
      </c>
      <c r="BZ353" s="4695" t="s">
        <v>2733</v>
      </c>
      <c r="CA353" s="4695" t="s">
        <v>2775</v>
      </c>
      <c r="CB353" s="4696">
        <v>2</v>
      </c>
      <c r="CC353" s="4694">
        <v>8</v>
      </c>
    </row>
    <row r="354" spans="17:81" ht="14.4" customHeight="1">
      <c r="Q354" s="4722"/>
      <c r="R354" s="4446"/>
      <c r="S354" s="4706"/>
      <c r="T354" s="4706"/>
      <c r="U354" s="4707"/>
      <c r="V354" s="4707"/>
      <c r="W354" s="4722"/>
      <c r="X354" s="4622"/>
      <c r="Y354" s="4705">
        <v>2</v>
      </c>
      <c r="Z354" s="4705">
        <v>1</v>
      </c>
      <c r="AA354" s="4706" t="s">
        <v>119</v>
      </c>
      <c r="AB354" s="4706" t="s">
        <v>1071</v>
      </c>
      <c r="AC354" s="4705">
        <v>1</v>
      </c>
      <c r="AD354" s="4705">
        <v>7</v>
      </c>
      <c r="AE354" s="4622"/>
      <c r="AF354" s="4622"/>
      <c r="AG354" s="4622"/>
      <c r="AH354" s="4622"/>
      <c r="AI354" s="4622"/>
      <c r="AJ354" s="4622"/>
      <c r="AK354" s="4622"/>
      <c r="AL354" s="4622"/>
      <c r="AM354" s="4622"/>
      <c r="AN354" s="4622"/>
      <c r="AR354" s="27"/>
      <c r="AS354" s="27" t="s">
        <v>1074</v>
      </c>
      <c r="AT354" s="3722">
        <v>0</v>
      </c>
      <c r="AU354" s="3722"/>
      <c r="AV354" s="3722"/>
      <c r="AW354" s="3722">
        <v>1</v>
      </c>
      <c r="AX354" s="3722">
        <v>0</v>
      </c>
      <c r="AY354" s="3722">
        <v>0</v>
      </c>
      <c r="AZ354" s="3722">
        <v>0</v>
      </c>
      <c r="BA354" s="3722">
        <v>0</v>
      </c>
      <c r="BB354" s="3722">
        <v>0</v>
      </c>
      <c r="BC354" s="3701"/>
      <c r="BD354" s="3701"/>
      <c r="BE354" s="3701">
        <v>1</v>
      </c>
      <c r="BF354" s="3701"/>
      <c r="BG354" s="3701"/>
      <c r="BX354" s="4694">
        <v>1</v>
      </c>
      <c r="BY354" s="4694">
        <v>1</v>
      </c>
      <c r="BZ354" s="4695" t="s">
        <v>2733</v>
      </c>
      <c r="CA354" s="4695" t="s">
        <v>2709</v>
      </c>
      <c r="CB354" s="4696">
        <v>3</v>
      </c>
      <c r="CC354" s="4694">
        <v>6</v>
      </c>
    </row>
    <row r="355" spans="17:81" ht="14.4" customHeight="1">
      <c r="Q355" s="4722"/>
      <c r="R355" s="4446"/>
      <c r="S355" s="4706"/>
      <c r="T355" s="4706"/>
      <c r="U355" s="4707"/>
      <c r="V355" s="4707"/>
      <c r="W355" s="4722"/>
      <c r="X355" s="4622"/>
      <c r="Y355" s="4705">
        <v>2</v>
      </c>
      <c r="Z355" s="4705">
        <v>1</v>
      </c>
      <c r="AA355" s="4706" t="s">
        <v>119</v>
      </c>
      <c r="AB355" s="4706" t="s">
        <v>2703</v>
      </c>
      <c r="AC355" s="4705">
        <v>1</v>
      </c>
      <c r="AD355" s="4705">
        <v>2</v>
      </c>
      <c r="AE355" s="4622"/>
      <c r="AF355" s="4622"/>
      <c r="AG355" s="4622"/>
      <c r="AH355" s="4622"/>
      <c r="AI355" s="4622"/>
      <c r="AJ355" s="4622"/>
      <c r="AK355" s="4622"/>
      <c r="AL355" s="4622"/>
      <c r="AM355" s="4622"/>
      <c r="AN355" s="4622"/>
      <c r="AR355" s="27"/>
      <c r="AS355" s="27" t="s">
        <v>1076</v>
      </c>
      <c r="AT355" s="3722">
        <v>0</v>
      </c>
      <c r="AU355" s="3722"/>
      <c r="AV355" s="3722"/>
      <c r="AW355" s="3722">
        <v>0</v>
      </c>
      <c r="AX355" s="3722">
        <v>0</v>
      </c>
      <c r="AY355" s="3722">
        <v>0</v>
      </c>
      <c r="AZ355" s="3722">
        <v>2</v>
      </c>
      <c r="BA355" s="3722">
        <v>1</v>
      </c>
      <c r="BB355" s="3722">
        <v>0</v>
      </c>
      <c r="BC355" s="3701"/>
      <c r="BD355" s="3701"/>
      <c r="BE355" s="3701">
        <v>3</v>
      </c>
      <c r="BF355" s="3701"/>
      <c r="BG355" s="3701"/>
      <c r="BX355" s="4694">
        <v>1</v>
      </c>
      <c r="BY355" s="4694">
        <v>1</v>
      </c>
      <c r="BZ355" s="4695" t="s">
        <v>2733</v>
      </c>
      <c r="CA355" s="4695" t="s">
        <v>2709</v>
      </c>
      <c r="CB355" s="4696">
        <v>9</v>
      </c>
      <c r="CC355" s="4694">
        <v>7</v>
      </c>
    </row>
    <row r="356" spans="17:81" ht="24.6">
      <c r="Q356" s="4722"/>
      <c r="R356" s="4446"/>
      <c r="S356" s="4706"/>
      <c r="T356" s="4706"/>
      <c r="U356" s="4707"/>
      <c r="V356" s="4707"/>
      <c r="W356" s="4722"/>
      <c r="X356" s="4622"/>
      <c r="Y356" s="4705">
        <v>2</v>
      </c>
      <c r="Z356" s="4705">
        <v>1</v>
      </c>
      <c r="AA356" s="4706" t="s">
        <v>119</v>
      </c>
      <c r="AB356" s="4708" t="s">
        <v>1076</v>
      </c>
      <c r="AC356" s="4716">
        <v>1</v>
      </c>
      <c r="AD356" s="4716">
        <v>8</v>
      </c>
      <c r="AE356" s="4622"/>
      <c r="AF356" s="4622"/>
      <c r="AG356" s="4622"/>
      <c r="AH356" s="4622"/>
      <c r="AI356" s="4622"/>
      <c r="AJ356" s="4622"/>
      <c r="AK356" s="4622"/>
      <c r="AL356" s="4622"/>
      <c r="AM356" s="4622"/>
      <c r="AN356" s="4622"/>
      <c r="AR356" s="27"/>
      <c r="AS356" s="27" t="s">
        <v>1077</v>
      </c>
      <c r="AT356" s="3722">
        <v>0</v>
      </c>
      <c r="AU356" s="3722"/>
      <c r="AV356" s="3722"/>
      <c r="AW356" s="3722">
        <v>1</v>
      </c>
      <c r="AX356" s="3722">
        <v>0</v>
      </c>
      <c r="AY356" s="3722">
        <v>0</v>
      </c>
      <c r="AZ356" s="3722">
        <v>0</v>
      </c>
      <c r="BA356" s="3722">
        <v>0</v>
      </c>
      <c r="BB356" s="3722">
        <v>0</v>
      </c>
      <c r="BC356" s="3701"/>
      <c r="BD356" s="3701"/>
      <c r="BE356" s="3701">
        <v>1</v>
      </c>
      <c r="BF356" s="3701"/>
      <c r="BG356" s="3701"/>
      <c r="BX356" s="4694">
        <v>1</v>
      </c>
      <c r="BY356" s="4694">
        <v>1</v>
      </c>
      <c r="BZ356" s="4695" t="s">
        <v>2733</v>
      </c>
      <c r="CA356" s="4695" t="s">
        <v>2710</v>
      </c>
      <c r="CB356" s="4696">
        <v>1</v>
      </c>
      <c r="CC356" s="4694">
        <v>0</v>
      </c>
    </row>
    <row r="357" spans="17:81" ht="28.95" customHeight="1">
      <c r="Q357" s="4722"/>
      <c r="R357" s="4446"/>
      <c r="S357" s="4706"/>
      <c r="T357" s="4706"/>
      <c r="U357" s="4707"/>
      <c r="V357" s="4707"/>
      <c r="W357" s="4722"/>
      <c r="X357" s="4622"/>
      <c r="Y357" s="4705">
        <v>2</v>
      </c>
      <c r="Z357" s="4705">
        <v>1</v>
      </c>
      <c r="AA357" s="4706" t="s">
        <v>119</v>
      </c>
      <c r="AB357" s="4706" t="s">
        <v>2709</v>
      </c>
      <c r="AC357" s="4705">
        <v>2</v>
      </c>
      <c r="AD357" s="4705">
        <v>7</v>
      </c>
      <c r="AE357" s="4622"/>
      <c r="AF357" s="4622"/>
      <c r="AG357" s="4622"/>
      <c r="AH357" s="4622"/>
      <c r="AI357" s="4622"/>
      <c r="AJ357" s="4622"/>
      <c r="AK357" s="4622"/>
      <c r="AL357" s="4622"/>
      <c r="AM357" s="4622"/>
      <c r="AN357" s="4622"/>
      <c r="AR357" s="27"/>
      <c r="AS357" s="27" t="s">
        <v>1080</v>
      </c>
      <c r="AT357" s="3722">
        <v>0</v>
      </c>
      <c r="AU357" s="3722"/>
      <c r="AV357" s="3722"/>
      <c r="AW357" s="3722">
        <v>0</v>
      </c>
      <c r="AX357" s="3722">
        <v>0</v>
      </c>
      <c r="AY357" s="3722">
        <v>1</v>
      </c>
      <c r="AZ357" s="3722">
        <v>0</v>
      </c>
      <c r="BA357" s="3722">
        <v>4</v>
      </c>
      <c r="BB357" s="3722">
        <v>7</v>
      </c>
      <c r="BC357" s="3701"/>
      <c r="BD357" s="3701"/>
      <c r="BE357" s="3701">
        <v>12</v>
      </c>
      <c r="BF357" s="3701"/>
      <c r="BG357" s="3701"/>
      <c r="BX357" s="4694">
        <v>1</v>
      </c>
      <c r="BY357" s="4694">
        <v>1</v>
      </c>
      <c r="BZ357" s="4695" t="s">
        <v>2734</v>
      </c>
      <c r="CA357" s="4695" t="s">
        <v>2731</v>
      </c>
      <c r="CB357" s="4696">
        <v>2</v>
      </c>
      <c r="CC357" s="4694">
        <v>8</v>
      </c>
    </row>
    <row r="358" spans="17:81" ht="14.4" customHeight="1">
      <c r="Q358" s="4722"/>
      <c r="R358" s="4446"/>
      <c r="S358" s="4706"/>
      <c r="T358" s="4706"/>
      <c r="U358" s="4707"/>
      <c r="V358" s="4707"/>
      <c r="W358" s="4722"/>
      <c r="X358" s="4622"/>
      <c r="Y358" s="4705">
        <v>2</v>
      </c>
      <c r="Z358" s="4705">
        <v>1</v>
      </c>
      <c r="AA358" s="4706" t="s">
        <v>123</v>
      </c>
      <c r="AB358" s="4706" t="s">
        <v>2731</v>
      </c>
      <c r="AC358" s="4705">
        <v>4</v>
      </c>
      <c r="AD358" s="4705">
        <v>7</v>
      </c>
      <c r="AE358" s="4622"/>
      <c r="AF358" s="4622"/>
      <c r="AG358" s="4622"/>
      <c r="AH358" s="4622"/>
      <c r="AI358" s="4622"/>
      <c r="AJ358" s="4622"/>
      <c r="AK358" s="4622"/>
      <c r="AL358" s="4622"/>
      <c r="AM358" s="4622"/>
      <c r="AN358" s="4622"/>
      <c r="AR358" s="27"/>
      <c r="AS358" s="27" t="s">
        <v>1081</v>
      </c>
      <c r="AT358" s="3722">
        <v>0</v>
      </c>
      <c r="AU358" s="3722"/>
      <c r="AV358" s="3722"/>
      <c r="AW358" s="3722">
        <v>0</v>
      </c>
      <c r="AX358" s="3722">
        <v>0</v>
      </c>
      <c r="AY358" s="3722">
        <v>0</v>
      </c>
      <c r="AZ358" s="3722">
        <v>1</v>
      </c>
      <c r="BA358" s="3722">
        <v>0</v>
      </c>
      <c r="BB358" s="3722">
        <v>0</v>
      </c>
      <c r="BC358" s="3701"/>
      <c r="BD358" s="3701"/>
      <c r="BE358" s="3701">
        <v>1</v>
      </c>
      <c r="BF358" s="3701"/>
      <c r="BG358" s="3701"/>
      <c r="BX358" s="4694">
        <v>1</v>
      </c>
      <c r="BY358" s="4694">
        <v>1</v>
      </c>
      <c r="BZ358" s="4695" t="s">
        <v>2734</v>
      </c>
      <c r="CA358" s="4695" t="s">
        <v>2731</v>
      </c>
      <c r="CB358" s="4696">
        <v>1</v>
      </c>
      <c r="CC358" s="4694">
        <v>9</v>
      </c>
    </row>
    <row r="359" spans="17:81">
      <c r="Q359" s="4722"/>
      <c r="R359" s="4446"/>
      <c r="S359" s="4706"/>
      <c r="T359" s="4706"/>
      <c r="U359" s="4707"/>
      <c r="V359" s="4707"/>
      <c r="W359" s="4722"/>
      <c r="X359" s="4622"/>
      <c r="Y359" s="4705">
        <v>2</v>
      </c>
      <c r="Z359" s="4705">
        <v>1</v>
      </c>
      <c r="AA359" s="4706" t="s">
        <v>123</v>
      </c>
      <c r="AB359" s="4706" t="s">
        <v>2731</v>
      </c>
      <c r="AC359" s="4705">
        <v>2</v>
      </c>
      <c r="AD359" s="4705">
        <v>8</v>
      </c>
      <c r="AE359" s="4622"/>
      <c r="AF359" s="4622"/>
      <c r="AG359" s="4622"/>
      <c r="AH359" s="4622"/>
      <c r="AI359" s="4622"/>
      <c r="AJ359" s="4622"/>
      <c r="AK359" s="4622"/>
      <c r="AL359" s="4622"/>
      <c r="AM359" s="4622"/>
      <c r="AN359" s="4622"/>
      <c r="AR359" s="27"/>
      <c r="AS359" s="27" t="s">
        <v>2571</v>
      </c>
      <c r="AT359" s="3722">
        <v>5</v>
      </c>
      <c r="AU359" s="3722"/>
      <c r="AV359" s="3722"/>
      <c r="AW359" s="3722">
        <v>0</v>
      </c>
      <c r="AX359" s="3722">
        <v>0</v>
      </c>
      <c r="AY359" s="3722">
        <v>0</v>
      </c>
      <c r="AZ359" s="3722">
        <v>0</v>
      </c>
      <c r="BA359" s="3722">
        <v>0</v>
      </c>
      <c r="BB359" s="3722">
        <v>0</v>
      </c>
      <c r="BC359" s="3701"/>
      <c r="BD359" s="3701"/>
      <c r="BE359" s="3701">
        <v>5</v>
      </c>
      <c r="BF359" s="3701"/>
      <c r="BG359" s="3701"/>
      <c r="BX359" s="4694">
        <v>1</v>
      </c>
      <c r="BY359" s="4694">
        <v>1</v>
      </c>
      <c r="BZ359" s="4695" t="s">
        <v>2734</v>
      </c>
      <c r="CA359" s="4695" t="s">
        <v>2731</v>
      </c>
      <c r="CB359" s="4696">
        <v>1</v>
      </c>
      <c r="CC359" s="4694">
        <v>10</v>
      </c>
    </row>
    <row r="360" spans="17:81">
      <c r="Q360" s="4722"/>
      <c r="R360" s="4446"/>
      <c r="S360" s="4706"/>
      <c r="T360" s="4706"/>
      <c r="U360" s="4707"/>
      <c r="V360" s="4707"/>
      <c r="W360" s="4722"/>
      <c r="X360" s="4622"/>
      <c r="Y360" s="4705">
        <v>2</v>
      </c>
      <c r="Z360" s="4705">
        <v>1</v>
      </c>
      <c r="AA360" s="4706" t="s">
        <v>123</v>
      </c>
      <c r="AB360" s="4706" t="s">
        <v>2731</v>
      </c>
      <c r="AC360" s="4705">
        <v>1</v>
      </c>
      <c r="AD360" s="4705">
        <v>9</v>
      </c>
      <c r="AE360" s="4622"/>
      <c r="AF360" s="4622"/>
      <c r="AG360" s="4622"/>
      <c r="AH360" s="4622"/>
      <c r="AI360" s="4622"/>
      <c r="AJ360" s="4622"/>
      <c r="AK360" s="4622"/>
      <c r="AL360" s="4622"/>
      <c r="AM360" s="4622"/>
      <c r="AN360" s="4622"/>
      <c r="AR360" s="27"/>
      <c r="AS360" s="27" t="s">
        <v>1163</v>
      </c>
      <c r="AT360" s="3722">
        <v>0</v>
      </c>
      <c r="AU360" s="3722"/>
      <c r="AV360" s="3722"/>
      <c r="AW360" s="3722">
        <v>0</v>
      </c>
      <c r="AX360" s="3722">
        <v>0</v>
      </c>
      <c r="AY360" s="3722">
        <v>0</v>
      </c>
      <c r="AZ360" s="3722">
        <v>1</v>
      </c>
      <c r="BA360" s="3722">
        <v>0</v>
      </c>
      <c r="BB360" s="3722">
        <v>0</v>
      </c>
      <c r="BC360" s="3701"/>
      <c r="BD360" s="3701"/>
      <c r="BE360" s="3701">
        <v>1</v>
      </c>
      <c r="BF360" s="3701"/>
      <c r="BG360" s="3701"/>
      <c r="BX360" s="4694">
        <v>1</v>
      </c>
      <c r="BY360" s="4694">
        <v>1</v>
      </c>
      <c r="BZ360" s="4695" t="s">
        <v>2734</v>
      </c>
      <c r="CA360" s="4697" t="s">
        <v>2732</v>
      </c>
      <c r="CB360" s="4696">
        <v>3</v>
      </c>
      <c r="CC360" s="4694">
        <v>7</v>
      </c>
    </row>
    <row r="361" spans="17:81">
      <c r="Q361" s="4722"/>
      <c r="R361" s="4446"/>
      <c r="S361" s="4706"/>
      <c r="T361" s="4706"/>
      <c r="U361" s="4707"/>
      <c r="V361" s="4707"/>
      <c r="W361" s="4722"/>
      <c r="X361" s="4622"/>
      <c r="Y361" s="4705">
        <v>2</v>
      </c>
      <c r="Z361" s="4705">
        <v>1</v>
      </c>
      <c r="AA361" s="4706" t="s">
        <v>123</v>
      </c>
      <c r="AB361" s="4708" t="s">
        <v>2732</v>
      </c>
      <c r="AC361" s="4716">
        <v>1</v>
      </c>
      <c r="AD361" s="4716">
        <v>5</v>
      </c>
      <c r="AE361" s="4622"/>
      <c r="AF361" s="4622"/>
      <c r="AG361" s="4622"/>
      <c r="AH361" s="4622"/>
      <c r="AI361" s="4622"/>
      <c r="AJ361" s="4622"/>
      <c r="AK361" s="4622"/>
      <c r="AL361" s="4622"/>
      <c r="AM361" s="4622"/>
      <c r="AN361" s="4622"/>
      <c r="AR361" s="27"/>
      <c r="AS361" s="3868" t="s">
        <v>15</v>
      </c>
      <c r="AT361" s="3722">
        <v>5</v>
      </c>
      <c r="AU361" s="3722"/>
      <c r="AV361" s="3722"/>
      <c r="AW361" s="3722">
        <v>2</v>
      </c>
      <c r="AX361" s="3722">
        <v>1</v>
      </c>
      <c r="AY361" s="3722">
        <v>1</v>
      </c>
      <c r="AZ361" s="3722">
        <v>28</v>
      </c>
      <c r="BA361" s="3722">
        <v>5</v>
      </c>
      <c r="BB361" s="3722">
        <v>7</v>
      </c>
      <c r="BC361" s="3701"/>
      <c r="BD361" s="3701"/>
      <c r="BE361" s="3701">
        <v>49</v>
      </c>
      <c r="BF361" s="1665">
        <f>+(BE355+BE358+BE360)/(BE361-BE359)</f>
        <v>0.11363636363636363</v>
      </c>
      <c r="BG361" s="1665"/>
      <c r="BX361" s="4694">
        <v>1</v>
      </c>
      <c r="BY361" s="4694">
        <v>1</v>
      </c>
      <c r="BZ361" s="4695" t="s">
        <v>2734</v>
      </c>
      <c r="CA361" s="4697" t="s">
        <v>2732</v>
      </c>
      <c r="CB361" s="4696">
        <v>1</v>
      </c>
      <c r="CC361" s="4694">
        <v>8</v>
      </c>
    </row>
    <row r="362" spans="17:81" ht="14.4" customHeight="1">
      <c r="Q362" s="4722"/>
      <c r="R362" s="4446"/>
      <c r="S362" s="4706"/>
      <c r="T362" s="4706"/>
      <c r="U362" s="4707"/>
      <c r="V362" s="4707"/>
      <c r="W362" s="4722"/>
      <c r="X362" s="4622"/>
      <c r="Y362" s="4705">
        <v>2</v>
      </c>
      <c r="Z362" s="4705">
        <v>1</v>
      </c>
      <c r="AA362" s="4706" t="s">
        <v>123</v>
      </c>
      <c r="AB362" s="4706" t="s">
        <v>2709</v>
      </c>
      <c r="AC362" s="4705">
        <v>1</v>
      </c>
      <c r="AD362" s="4705">
        <v>4</v>
      </c>
      <c r="AE362" s="4622"/>
      <c r="AF362" s="4622"/>
      <c r="AG362" s="4622"/>
      <c r="AH362" s="4622"/>
      <c r="AI362" s="4622"/>
      <c r="AJ362" s="4622"/>
      <c r="AK362" s="4622"/>
      <c r="AL362" s="4622"/>
      <c r="AM362" s="4622"/>
      <c r="AN362" s="4622"/>
      <c r="AR362" s="27" t="s">
        <v>112</v>
      </c>
      <c r="AS362" s="27" t="s">
        <v>1071</v>
      </c>
      <c r="AT362" s="3722">
        <v>0</v>
      </c>
      <c r="AU362" s="3722">
        <v>0</v>
      </c>
      <c r="AV362" s="3722">
        <v>0</v>
      </c>
      <c r="AW362" s="3722">
        <v>0</v>
      </c>
      <c r="AX362" s="3722">
        <v>0</v>
      </c>
      <c r="AY362" s="3722">
        <v>4</v>
      </c>
      <c r="AZ362" s="3722">
        <v>1</v>
      </c>
      <c r="BA362" s="3722">
        <v>5</v>
      </c>
      <c r="BB362" s="3722">
        <v>6</v>
      </c>
      <c r="BC362" s="3701">
        <v>0</v>
      </c>
      <c r="BD362" s="3701">
        <v>2</v>
      </c>
      <c r="BE362" s="3701">
        <v>18</v>
      </c>
      <c r="BF362" s="3701"/>
      <c r="BG362" s="3701"/>
      <c r="BX362" s="4694">
        <v>1</v>
      </c>
      <c r="BY362" s="4694">
        <v>1</v>
      </c>
      <c r="BZ362" s="4695" t="s">
        <v>2734</v>
      </c>
      <c r="CA362" s="4697" t="s">
        <v>2707</v>
      </c>
      <c r="CB362" s="4696">
        <v>2</v>
      </c>
      <c r="CC362" s="4694">
        <v>6</v>
      </c>
    </row>
    <row r="363" spans="17:81" ht="14.4" customHeight="1">
      <c r="Q363" s="4722"/>
      <c r="R363" s="4446"/>
      <c r="S363" s="4706"/>
      <c r="T363" s="4706"/>
      <c r="U363" s="4707"/>
      <c r="V363" s="4707"/>
      <c r="W363" s="4634"/>
      <c r="X363" s="4622"/>
      <c r="Y363" s="4705">
        <v>2</v>
      </c>
      <c r="Z363" s="4705">
        <v>1</v>
      </c>
      <c r="AA363" s="4706" t="s">
        <v>122</v>
      </c>
      <c r="AB363" s="4706" t="s">
        <v>2731</v>
      </c>
      <c r="AC363" s="4705">
        <v>11</v>
      </c>
      <c r="AD363" s="4705">
        <v>7</v>
      </c>
      <c r="AE363" s="4622"/>
      <c r="AF363" s="4622"/>
      <c r="AG363" s="4622"/>
      <c r="AH363" s="4622"/>
      <c r="AI363" s="4622"/>
      <c r="AJ363" s="4622"/>
      <c r="AK363" s="4622"/>
      <c r="AL363" s="4622"/>
      <c r="AM363" s="4622"/>
      <c r="AN363" s="4622"/>
      <c r="AR363" s="27"/>
      <c r="AS363" s="27" t="s">
        <v>1072</v>
      </c>
      <c r="AT363" s="3722">
        <v>0</v>
      </c>
      <c r="AU363" s="3722">
        <v>20</v>
      </c>
      <c r="AV363" s="3722">
        <v>7</v>
      </c>
      <c r="AW363" s="3722">
        <v>4</v>
      </c>
      <c r="AX363" s="3722">
        <v>4</v>
      </c>
      <c r="AY363" s="3722">
        <v>12</v>
      </c>
      <c r="AZ363" s="3722">
        <v>139</v>
      </c>
      <c r="BA363" s="3722">
        <v>33</v>
      </c>
      <c r="BB363" s="3722">
        <v>21</v>
      </c>
      <c r="BC363" s="3701">
        <v>9</v>
      </c>
      <c r="BD363" s="3701">
        <v>0</v>
      </c>
      <c r="BE363" s="3701">
        <v>249</v>
      </c>
      <c r="BF363" s="3701"/>
      <c r="BG363" s="3701"/>
      <c r="BX363" s="4694">
        <v>1</v>
      </c>
      <c r="BY363" s="4694">
        <v>1</v>
      </c>
      <c r="BZ363" s="4695" t="s">
        <v>2734</v>
      </c>
      <c r="CA363" s="4697" t="s">
        <v>2707</v>
      </c>
      <c r="CB363" s="4696">
        <v>5</v>
      </c>
      <c r="CC363" s="4694">
        <v>7</v>
      </c>
    </row>
    <row r="364" spans="17:81" ht="14.4" customHeight="1">
      <c r="Q364" s="4722"/>
      <c r="R364" s="4446"/>
      <c r="S364" s="4706"/>
      <c r="T364" s="4706"/>
      <c r="U364" s="4707"/>
      <c r="V364" s="4707"/>
      <c r="W364" s="4634"/>
      <c r="X364" s="4622"/>
      <c r="Y364" s="4705">
        <v>2</v>
      </c>
      <c r="Z364" s="4705">
        <v>1</v>
      </c>
      <c r="AA364" s="4706" t="s">
        <v>122</v>
      </c>
      <c r="AB364" s="4706" t="s">
        <v>2703</v>
      </c>
      <c r="AC364" s="4705">
        <v>2</v>
      </c>
      <c r="AD364" s="4705">
        <v>1</v>
      </c>
      <c r="AE364" s="4622"/>
      <c r="AF364" s="4622"/>
      <c r="AG364" s="4622"/>
      <c r="AH364" s="4622"/>
      <c r="AI364" s="4622"/>
      <c r="AJ364" s="4622"/>
      <c r="AK364" s="4622"/>
      <c r="AL364" s="4622"/>
      <c r="AM364" s="4622"/>
      <c r="AN364" s="4622"/>
      <c r="AR364" s="27"/>
      <c r="AS364" s="27" t="s">
        <v>1074</v>
      </c>
      <c r="AT364" s="3722">
        <v>0</v>
      </c>
      <c r="AU364" s="3722">
        <v>8</v>
      </c>
      <c r="AV364" s="3722">
        <v>3</v>
      </c>
      <c r="AW364" s="3722">
        <v>2</v>
      </c>
      <c r="AX364" s="3722">
        <v>0</v>
      </c>
      <c r="AY364" s="3722">
        <v>0</v>
      </c>
      <c r="AZ364" s="3722">
        <v>0</v>
      </c>
      <c r="BA364" s="3722">
        <v>0</v>
      </c>
      <c r="BB364" s="3722">
        <v>0</v>
      </c>
      <c r="BC364" s="3701">
        <v>0</v>
      </c>
      <c r="BD364" s="3701">
        <v>0</v>
      </c>
      <c r="BE364" s="3701">
        <v>13</v>
      </c>
      <c r="BF364" s="3701"/>
      <c r="BG364" s="3701"/>
      <c r="BX364" s="4694">
        <v>1</v>
      </c>
      <c r="BY364" s="4694">
        <v>1</v>
      </c>
      <c r="BZ364" s="4695" t="s">
        <v>2734</v>
      </c>
      <c r="CA364" s="4697" t="s">
        <v>2707</v>
      </c>
      <c r="CB364" s="4696">
        <v>4</v>
      </c>
      <c r="CC364" s="4694">
        <v>8</v>
      </c>
    </row>
    <row r="365" spans="17:81">
      <c r="Q365" s="4722"/>
      <c r="R365" s="4446"/>
      <c r="S365" s="4706"/>
      <c r="T365" s="4706"/>
      <c r="U365" s="4707"/>
      <c r="V365" s="4707"/>
      <c r="W365" s="4634"/>
      <c r="X365" s="4622"/>
      <c r="Y365" s="4705">
        <v>2</v>
      </c>
      <c r="Z365" s="4705">
        <v>1</v>
      </c>
      <c r="AA365" s="4706" t="s">
        <v>122</v>
      </c>
      <c r="AB365" s="4706" t="s">
        <v>2709</v>
      </c>
      <c r="AC365" s="4705">
        <v>2</v>
      </c>
      <c r="AD365" s="4705">
        <v>5</v>
      </c>
      <c r="AE365" s="4622"/>
      <c r="AF365" s="4622"/>
      <c r="AG365" s="4622"/>
      <c r="AH365" s="4622"/>
      <c r="AI365" s="4622"/>
      <c r="AJ365" s="4622"/>
      <c r="AK365" s="4622"/>
      <c r="AL365" s="4622"/>
      <c r="AM365" s="4622"/>
      <c r="AN365" s="4622"/>
      <c r="AR365" s="27"/>
      <c r="AS365" s="27" t="s">
        <v>1076</v>
      </c>
      <c r="AT365" s="3722">
        <v>0</v>
      </c>
      <c r="AU365" s="3722">
        <v>0</v>
      </c>
      <c r="AV365" s="3722">
        <v>1</v>
      </c>
      <c r="AW365" s="3722">
        <v>0</v>
      </c>
      <c r="AX365" s="3722">
        <v>1</v>
      </c>
      <c r="AY365" s="3722">
        <v>0</v>
      </c>
      <c r="AZ365" s="3722">
        <v>41</v>
      </c>
      <c r="BA365" s="3722">
        <v>33</v>
      </c>
      <c r="BB365" s="3722">
        <v>0</v>
      </c>
      <c r="BC365" s="3701">
        <v>0</v>
      </c>
      <c r="BD365" s="3701">
        <v>0</v>
      </c>
      <c r="BE365" s="3701">
        <v>76</v>
      </c>
      <c r="BF365" s="3701"/>
      <c r="BG365" s="3701"/>
      <c r="BX365" s="4694">
        <v>1</v>
      </c>
      <c r="BY365" s="4694">
        <v>1</v>
      </c>
      <c r="BZ365" s="4695" t="s">
        <v>2734</v>
      </c>
      <c r="CA365" s="4697" t="s">
        <v>1076</v>
      </c>
      <c r="CB365" s="4696">
        <v>1</v>
      </c>
      <c r="CC365" s="4694">
        <v>6</v>
      </c>
    </row>
    <row r="366" spans="17:81">
      <c r="Q366" s="4722"/>
      <c r="R366" s="4446"/>
      <c r="S366" s="4706"/>
      <c r="T366" s="4706"/>
      <c r="U366" s="4707"/>
      <c r="V366" s="4707"/>
      <c r="W366" s="4634"/>
      <c r="X366" s="4622"/>
      <c r="Y366" s="4705">
        <v>2</v>
      </c>
      <c r="Z366" s="4705">
        <v>1</v>
      </c>
      <c r="AA366" s="4706" t="s">
        <v>120</v>
      </c>
      <c r="AB366" s="4706" t="s">
        <v>2731</v>
      </c>
      <c r="AC366" s="4705">
        <v>10</v>
      </c>
      <c r="AD366" s="4705">
        <v>7</v>
      </c>
      <c r="AE366" s="4622"/>
      <c r="AF366" s="4622"/>
      <c r="AG366" s="4622"/>
      <c r="AH366" s="4622"/>
      <c r="AI366" s="4622"/>
      <c r="AJ366" s="4622"/>
      <c r="AK366" s="4622"/>
      <c r="AL366" s="4622"/>
      <c r="AM366" s="4622"/>
      <c r="AN366" s="4622"/>
      <c r="AR366" s="27"/>
      <c r="AS366" s="27" t="s">
        <v>1077</v>
      </c>
      <c r="AT366" s="3722">
        <v>0</v>
      </c>
      <c r="AU366" s="3722">
        <v>0</v>
      </c>
      <c r="AV366" s="3722">
        <v>0</v>
      </c>
      <c r="AW366" s="3722">
        <v>5</v>
      </c>
      <c r="AX366" s="3722">
        <v>3</v>
      </c>
      <c r="AY366" s="3722">
        <v>0</v>
      </c>
      <c r="AZ366" s="3722">
        <v>0</v>
      </c>
      <c r="BA366" s="3722">
        <v>0</v>
      </c>
      <c r="BB366" s="3722">
        <v>0</v>
      </c>
      <c r="BC366" s="3701">
        <v>0</v>
      </c>
      <c r="BD366" s="3701">
        <v>0</v>
      </c>
      <c r="BE366" s="3701">
        <v>8</v>
      </c>
      <c r="BF366" s="3701"/>
      <c r="BG366" s="3701"/>
      <c r="BX366" s="4694">
        <v>1</v>
      </c>
      <c r="BY366" s="4694">
        <v>1</v>
      </c>
      <c r="BZ366" s="4695" t="s">
        <v>2734</v>
      </c>
      <c r="CA366" s="4697" t="s">
        <v>1076</v>
      </c>
      <c r="CB366" s="4696">
        <v>2</v>
      </c>
      <c r="CC366" s="4694">
        <v>7</v>
      </c>
    </row>
    <row r="367" spans="17:81" ht="28.95" customHeight="1">
      <c r="Q367" s="4722"/>
      <c r="R367" s="4446"/>
      <c r="S367" s="4706"/>
      <c r="T367" s="4706"/>
      <c r="U367" s="4707"/>
      <c r="V367" s="4707"/>
      <c r="W367" s="4634"/>
      <c r="X367" s="4622"/>
      <c r="Y367" s="4705">
        <v>2</v>
      </c>
      <c r="Z367" s="4705">
        <v>1</v>
      </c>
      <c r="AA367" s="4706" t="s">
        <v>120</v>
      </c>
      <c r="AB367" s="4706" t="s">
        <v>2731</v>
      </c>
      <c r="AC367" s="4705">
        <v>2</v>
      </c>
      <c r="AD367" s="4705">
        <v>8</v>
      </c>
      <c r="AE367" s="4622"/>
      <c r="AF367" s="4622"/>
      <c r="AG367" s="4622"/>
      <c r="AH367" s="4622"/>
      <c r="AI367" s="4622"/>
      <c r="AJ367" s="4622"/>
      <c r="AK367" s="4622"/>
      <c r="AL367" s="4622"/>
      <c r="AM367" s="4622"/>
      <c r="AN367" s="4622"/>
      <c r="AR367" s="27"/>
      <c r="AS367" s="27" t="s">
        <v>1080</v>
      </c>
      <c r="AT367" s="3722">
        <v>0</v>
      </c>
      <c r="AU367" s="3722">
        <v>0</v>
      </c>
      <c r="AV367" s="3722">
        <v>0</v>
      </c>
      <c r="AW367" s="3722">
        <v>0</v>
      </c>
      <c r="AX367" s="3722">
        <v>0</v>
      </c>
      <c r="AY367" s="3722">
        <v>1</v>
      </c>
      <c r="AZ367" s="3722">
        <v>0</v>
      </c>
      <c r="BA367" s="3722">
        <v>81</v>
      </c>
      <c r="BB367" s="3722">
        <v>56</v>
      </c>
      <c r="BC367" s="3701">
        <v>27</v>
      </c>
      <c r="BD367" s="3701">
        <v>8</v>
      </c>
      <c r="BE367" s="3701">
        <v>173</v>
      </c>
      <c r="BF367" s="3701"/>
      <c r="BG367" s="3701"/>
      <c r="BX367" s="4694">
        <v>1</v>
      </c>
      <c r="BY367" s="4694">
        <v>1</v>
      </c>
      <c r="BZ367" s="4695" t="s">
        <v>2734</v>
      </c>
      <c r="CA367" s="4697" t="s">
        <v>1076</v>
      </c>
      <c r="CB367" s="4696">
        <v>1</v>
      </c>
      <c r="CC367" s="4694">
        <v>8</v>
      </c>
    </row>
    <row r="368" spans="17:81" ht="28.95" customHeight="1">
      <c r="Q368" s="4722"/>
      <c r="R368" s="4446"/>
      <c r="S368" s="4706"/>
      <c r="T368" s="4706"/>
      <c r="U368" s="4707"/>
      <c r="V368" s="4707"/>
      <c r="W368" s="4634"/>
      <c r="X368" s="4622"/>
      <c r="Y368" s="4705">
        <v>2</v>
      </c>
      <c r="Z368" s="4705">
        <v>1</v>
      </c>
      <c r="AA368" s="4706" t="s">
        <v>120</v>
      </c>
      <c r="AB368" s="4708" t="s">
        <v>1076</v>
      </c>
      <c r="AC368" s="4716">
        <v>1</v>
      </c>
      <c r="AD368" s="4716">
        <v>7</v>
      </c>
      <c r="AE368" s="4622"/>
      <c r="AF368" s="4622"/>
      <c r="AG368" s="4622"/>
      <c r="AH368" s="4622"/>
      <c r="AI368" s="4622"/>
      <c r="AJ368" s="4622"/>
      <c r="AK368" s="4622"/>
      <c r="AL368" s="4622"/>
      <c r="AM368" s="4622"/>
      <c r="AN368" s="4622"/>
      <c r="AR368" s="27"/>
      <c r="AS368" s="27" t="s">
        <v>1081</v>
      </c>
      <c r="AT368" s="3722">
        <v>0</v>
      </c>
      <c r="AU368" s="3722">
        <v>0</v>
      </c>
      <c r="AV368" s="3722">
        <v>0</v>
      </c>
      <c r="AW368" s="3722">
        <v>0</v>
      </c>
      <c r="AX368" s="3722">
        <v>0</v>
      </c>
      <c r="AY368" s="3722">
        <v>0</v>
      </c>
      <c r="AZ368" s="3722">
        <v>21</v>
      </c>
      <c r="BA368" s="3722">
        <v>4</v>
      </c>
      <c r="BB368" s="3722">
        <v>2</v>
      </c>
      <c r="BC368" s="3701">
        <v>0</v>
      </c>
      <c r="BD368" s="3701">
        <v>0</v>
      </c>
      <c r="BE368" s="3701">
        <v>27</v>
      </c>
      <c r="BF368" s="3701"/>
      <c r="BG368" s="3701"/>
      <c r="BX368" s="4694">
        <v>1</v>
      </c>
      <c r="BY368" s="4694">
        <v>1</v>
      </c>
      <c r="BZ368" s="4695" t="s">
        <v>2734</v>
      </c>
      <c r="CA368" s="4695" t="s">
        <v>2775</v>
      </c>
      <c r="CB368" s="4696">
        <v>1</v>
      </c>
      <c r="CC368" s="4694">
        <v>8</v>
      </c>
    </row>
    <row r="369" spans="17:81">
      <c r="Q369" s="4722"/>
      <c r="R369" s="4446"/>
      <c r="S369" s="4706"/>
      <c r="T369" s="4706"/>
      <c r="U369" s="4707"/>
      <c r="V369" s="4707"/>
      <c r="W369" s="4634"/>
      <c r="X369" s="4622"/>
      <c r="Y369" s="4705">
        <v>2</v>
      </c>
      <c r="Z369" s="4705">
        <v>1</v>
      </c>
      <c r="AA369" s="4706" t="s">
        <v>120</v>
      </c>
      <c r="AB369" s="4706" t="s">
        <v>2709</v>
      </c>
      <c r="AC369" s="4705">
        <v>1</v>
      </c>
      <c r="AD369" s="4705">
        <v>3</v>
      </c>
      <c r="AE369" s="4622"/>
      <c r="AF369" s="4622"/>
      <c r="AG369" s="4622"/>
      <c r="AH369" s="4622"/>
      <c r="AI369" s="4622"/>
      <c r="AJ369" s="4622"/>
      <c r="AK369" s="4622"/>
      <c r="AL369" s="4622"/>
      <c r="AM369" s="4622"/>
      <c r="AN369" s="4622"/>
      <c r="AR369" s="27"/>
      <c r="AS369" s="27" t="s">
        <v>2571</v>
      </c>
      <c r="AT369" s="3722">
        <v>46</v>
      </c>
      <c r="AU369" s="3722">
        <v>0</v>
      </c>
      <c r="AV369" s="3722">
        <v>0</v>
      </c>
      <c r="AW369" s="3722">
        <v>0</v>
      </c>
      <c r="AX369" s="3722">
        <v>0</v>
      </c>
      <c r="AY369" s="3722">
        <v>0</v>
      </c>
      <c r="AZ369" s="3722">
        <v>0</v>
      </c>
      <c r="BA369" s="3722">
        <v>0</v>
      </c>
      <c r="BB369" s="3722">
        <v>0</v>
      </c>
      <c r="BC369" s="3701">
        <v>0</v>
      </c>
      <c r="BD369" s="3701">
        <v>0</v>
      </c>
      <c r="BE369" s="3701">
        <v>46</v>
      </c>
      <c r="BF369" s="3701"/>
      <c r="BG369" s="3701"/>
      <c r="BX369" s="4694">
        <v>1</v>
      </c>
      <c r="BY369" s="4694">
        <v>1</v>
      </c>
      <c r="BZ369" s="4695" t="s">
        <v>2734</v>
      </c>
      <c r="CA369" s="4695" t="s">
        <v>2709</v>
      </c>
      <c r="CB369" s="4696">
        <v>1</v>
      </c>
      <c r="CC369" s="4694">
        <v>1</v>
      </c>
    </row>
    <row r="370" spans="17:81">
      <c r="Q370" s="4722"/>
      <c r="R370" s="4446"/>
      <c r="S370" s="4706"/>
      <c r="T370" s="4706"/>
      <c r="U370" s="4707"/>
      <c r="V370" s="4707"/>
      <c r="W370" s="4634"/>
      <c r="X370" s="4622"/>
      <c r="Y370" s="4705">
        <v>2</v>
      </c>
      <c r="Z370" s="4705">
        <v>1</v>
      </c>
      <c r="AA370" s="4706" t="s">
        <v>120</v>
      </c>
      <c r="AB370" s="4706" t="s">
        <v>2709</v>
      </c>
      <c r="AC370" s="4705">
        <v>1</v>
      </c>
      <c r="AD370" s="4705">
        <v>6</v>
      </c>
      <c r="AE370" s="4622"/>
      <c r="AF370" s="4622"/>
      <c r="AG370" s="4622"/>
      <c r="AH370" s="4622"/>
      <c r="AI370" s="4622"/>
      <c r="AJ370" s="4622"/>
      <c r="AK370" s="4622"/>
      <c r="AL370" s="4622"/>
      <c r="AM370" s="4622"/>
      <c r="AN370" s="4622"/>
      <c r="AR370" s="27"/>
      <c r="AS370" s="27" t="s">
        <v>1163</v>
      </c>
      <c r="AT370" s="3722">
        <v>0</v>
      </c>
      <c r="AU370" s="3722">
        <v>0</v>
      </c>
      <c r="AV370" s="3722">
        <v>0</v>
      </c>
      <c r="AW370" s="3722">
        <v>10</v>
      </c>
      <c r="AX370" s="3722">
        <v>0</v>
      </c>
      <c r="AY370" s="3722">
        <v>2</v>
      </c>
      <c r="AZ370" s="3722">
        <v>65</v>
      </c>
      <c r="BA370" s="3722">
        <v>27</v>
      </c>
      <c r="BB370" s="3722">
        <v>6</v>
      </c>
      <c r="BC370" s="3701">
        <v>0</v>
      </c>
      <c r="BD370" s="3701">
        <v>0</v>
      </c>
      <c r="BE370" s="3701">
        <v>110</v>
      </c>
      <c r="BF370" s="3701"/>
      <c r="BG370" s="3701"/>
      <c r="BX370" s="4694">
        <v>1</v>
      </c>
      <c r="BY370" s="4694">
        <v>1</v>
      </c>
      <c r="BZ370" s="4695" t="s">
        <v>2734</v>
      </c>
      <c r="CA370" s="4695" t="s">
        <v>2709</v>
      </c>
      <c r="CB370" s="4696">
        <v>4</v>
      </c>
      <c r="CC370" s="4694">
        <v>6</v>
      </c>
    </row>
    <row r="371" spans="17:81" ht="28.95" customHeight="1">
      <c r="Q371" s="4722"/>
      <c r="R371" s="4446"/>
      <c r="S371" s="4706"/>
      <c r="T371" s="4706"/>
      <c r="U371" s="4707"/>
      <c r="V371" s="4707"/>
      <c r="W371" s="4634"/>
      <c r="X371" s="4622"/>
      <c r="Y371" s="4705">
        <v>2</v>
      </c>
      <c r="Z371" s="4705">
        <v>1</v>
      </c>
      <c r="AA371" s="4706" t="s">
        <v>121</v>
      </c>
      <c r="AB371" s="4708" t="s">
        <v>1076</v>
      </c>
      <c r="AC371" s="4716">
        <v>3</v>
      </c>
      <c r="AD371" s="4716">
        <v>7</v>
      </c>
      <c r="AE371" s="4622"/>
      <c r="AF371" s="4622"/>
      <c r="AG371" s="4622"/>
      <c r="AH371" s="4622"/>
      <c r="AI371" s="4622"/>
      <c r="AJ371" s="4622"/>
      <c r="AK371" s="4622"/>
      <c r="AL371" s="4622"/>
      <c r="AM371" s="4622"/>
      <c r="AN371" s="4622"/>
      <c r="AR371" s="27"/>
      <c r="AS371" s="3868" t="s">
        <v>15</v>
      </c>
      <c r="AT371" s="3722">
        <v>46</v>
      </c>
      <c r="AU371" s="3722">
        <v>28</v>
      </c>
      <c r="AV371" s="3722">
        <v>11</v>
      </c>
      <c r="AW371" s="3722">
        <v>21</v>
      </c>
      <c r="AX371" s="3722">
        <v>8</v>
      </c>
      <c r="AY371" s="3722">
        <v>19</v>
      </c>
      <c r="AZ371" s="3722">
        <v>267</v>
      </c>
      <c r="BA371" s="3722">
        <v>183</v>
      </c>
      <c r="BB371" s="3722">
        <v>91</v>
      </c>
      <c r="BC371" s="3701">
        <v>36</v>
      </c>
      <c r="BD371" s="3701">
        <v>10</v>
      </c>
      <c r="BE371" s="3701">
        <v>720</v>
      </c>
      <c r="BF371" s="1665">
        <f>+(BE365+BE368+BE370)/(BE371-BE369)</f>
        <v>0.31602373887240354</v>
      </c>
      <c r="BG371" s="1665"/>
      <c r="BX371" s="4694">
        <v>1</v>
      </c>
      <c r="BY371" s="4694">
        <v>1</v>
      </c>
      <c r="BZ371" s="4695" t="s">
        <v>2734</v>
      </c>
      <c r="CA371" s="4695" t="s">
        <v>2709</v>
      </c>
      <c r="CB371" s="4696">
        <v>3</v>
      </c>
      <c r="CC371" s="4694">
        <v>7</v>
      </c>
    </row>
    <row r="372" spans="17:81" ht="28.95" customHeight="1">
      <c r="Q372" s="4722"/>
      <c r="R372" s="4446"/>
      <c r="S372" s="4706"/>
      <c r="T372" s="4706"/>
      <c r="U372" s="4707"/>
      <c r="V372" s="4707"/>
      <c r="W372" s="4634"/>
      <c r="X372" s="4622"/>
      <c r="Y372" s="4705">
        <v>2</v>
      </c>
      <c r="Z372" s="4705">
        <v>2</v>
      </c>
      <c r="AA372" s="4706" t="s">
        <v>2737</v>
      </c>
      <c r="AB372" s="4706" t="s">
        <v>1071</v>
      </c>
      <c r="AC372" s="4705">
        <v>1</v>
      </c>
      <c r="AD372" s="4705">
        <v>9</v>
      </c>
      <c r="AE372" s="4622"/>
      <c r="AF372" s="4622"/>
      <c r="AG372" s="4622"/>
      <c r="AH372" s="4622"/>
      <c r="AI372" s="4622"/>
      <c r="AJ372" s="4622"/>
      <c r="AK372" s="4622"/>
      <c r="AL372" s="4622"/>
      <c r="AM372" s="4622"/>
      <c r="AN372" s="4622"/>
      <c r="BX372" s="4694">
        <v>1</v>
      </c>
      <c r="BY372" s="4694">
        <v>1</v>
      </c>
      <c r="BZ372" s="4695" t="s">
        <v>607</v>
      </c>
      <c r="CA372" s="4695" t="s">
        <v>2731</v>
      </c>
      <c r="CB372" s="4696">
        <v>1</v>
      </c>
      <c r="CC372" s="4694">
        <v>7</v>
      </c>
    </row>
    <row r="373" spans="17:81">
      <c r="Q373" s="4722"/>
      <c r="R373" s="4446"/>
      <c r="S373" s="4706"/>
      <c r="T373" s="4706"/>
      <c r="U373" s="4707"/>
      <c r="V373" s="4707"/>
      <c r="W373" s="4634"/>
      <c r="X373" s="4622"/>
      <c r="Y373" s="4705">
        <v>2</v>
      </c>
      <c r="Z373" s="4705">
        <v>2</v>
      </c>
      <c r="AA373" s="4706" t="s">
        <v>2736</v>
      </c>
      <c r="AB373" s="4706" t="s">
        <v>2731</v>
      </c>
      <c r="AC373" s="4705">
        <v>4</v>
      </c>
      <c r="AD373" s="4705">
        <v>7</v>
      </c>
      <c r="AE373" s="4622"/>
      <c r="AF373" s="4622"/>
      <c r="AG373" s="4622"/>
      <c r="AH373" s="4622"/>
      <c r="AI373" s="4622"/>
      <c r="AJ373" s="4622"/>
      <c r="AK373" s="4622"/>
      <c r="AL373" s="4622"/>
      <c r="AM373" s="4622"/>
      <c r="AN373" s="4622"/>
      <c r="BF373" s="115" t="s">
        <v>2579</v>
      </c>
      <c r="BX373" s="4694">
        <v>1</v>
      </c>
      <c r="BY373" s="4694">
        <v>1</v>
      </c>
      <c r="BZ373" s="4695" t="s">
        <v>607</v>
      </c>
      <c r="CA373" s="4695" t="s">
        <v>2731</v>
      </c>
      <c r="CB373" s="4696">
        <v>4</v>
      </c>
      <c r="CC373" s="4694">
        <v>8</v>
      </c>
    </row>
    <row r="374" spans="17:81">
      <c r="Q374" s="4722"/>
      <c r="R374" s="4446"/>
      <c r="S374" s="4706"/>
      <c r="T374" s="4706"/>
      <c r="U374" s="4707"/>
      <c r="V374" s="4707"/>
      <c r="W374" s="4634"/>
      <c r="X374" s="4622"/>
      <c r="Y374" s="4705">
        <v>2</v>
      </c>
      <c r="Z374" s="4705">
        <v>2</v>
      </c>
      <c r="AA374" s="4706" t="s">
        <v>2736</v>
      </c>
      <c r="AB374" s="4706" t="s">
        <v>2705</v>
      </c>
      <c r="AC374" s="4705">
        <v>2</v>
      </c>
      <c r="AD374" s="4705">
        <v>1</v>
      </c>
      <c r="AE374" s="4622"/>
      <c r="AF374" s="4622"/>
      <c r="AG374" s="4622"/>
      <c r="AH374" s="4622"/>
      <c r="AI374" s="4622"/>
      <c r="AJ374" s="4622"/>
      <c r="AK374" s="4622"/>
      <c r="AL374" s="4622"/>
      <c r="AM374" s="4622"/>
      <c r="AN374" s="4622"/>
      <c r="BX374" s="4694">
        <v>1</v>
      </c>
      <c r="BY374" s="4694">
        <v>1</v>
      </c>
      <c r="BZ374" s="4695" t="s">
        <v>607</v>
      </c>
      <c r="CA374" s="4697" t="s">
        <v>2732</v>
      </c>
      <c r="CB374" s="4696">
        <v>3</v>
      </c>
      <c r="CC374" s="4694">
        <v>7</v>
      </c>
    </row>
    <row r="375" spans="17:81" ht="14.4" customHeight="1">
      <c r="Q375" s="4722"/>
      <c r="R375" s="4446"/>
      <c r="S375" s="4706"/>
      <c r="T375" s="4706"/>
      <c r="U375" s="4707"/>
      <c r="V375" s="4707"/>
      <c r="W375" s="4634"/>
      <c r="X375" s="4622"/>
      <c r="Y375" s="4705">
        <v>2</v>
      </c>
      <c r="Z375" s="4705">
        <v>2</v>
      </c>
      <c r="AA375" s="4706" t="s">
        <v>2736</v>
      </c>
      <c r="AB375" s="4708" t="s">
        <v>1076</v>
      </c>
      <c r="AC375" s="4716">
        <v>13</v>
      </c>
      <c r="AD375" s="4716">
        <v>6</v>
      </c>
      <c r="AE375" s="4622"/>
      <c r="AF375" s="4622"/>
      <c r="AG375" s="4622"/>
      <c r="AH375" s="4622"/>
      <c r="AI375" s="4622"/>
      <c r="AJ375" s="4622"/>
      <c r="AK375" s="4622"/>
      <c r="AL375" s="4622"/>
      <c r="AM375" s="4622"/>
      <c r="AN375" s="4622"/>
      <c r="BX375" s="4694">
        <v>1</v>
      </c>
      <c r="BY375" s="4694">
        <v>1</v>
      </c>
      <c r="BZ375" s="4695" t="s">
        <v>607</v>
      </c>
      <c r="CA375" s="4697" t="s">
        <v>2707</v>
      </c>
      <c r="CB375" s="4696">
        <v>1</v>
      </c>
      <c r="CC375" s="4694">
        <v>7</v>
      </c>
    </row>
    <row r="376" spans="17:81" ht="14.4" customHeight="1">
      <c r="Q376" s="4722"/>
      <c r="R376" s="4446"/>
      <c r="S376" s="4706"/>
      <c r="T376" s="4706"/>
      <c r="U376" s="4707"/>
      <c r="V376" s="4707"/>
      <c r="W376" s="4634"/>
      <c r="Y376" s="4705">
        <v>2</v>
      </c>
      <c r="Z376" s="4705">
        <v>2</v>
      </c>
      <c r="AA376" s="4706" t="s">
        <v>2736</v>
      </c>
      <c r="AB376" s="4706" t="s">
        <v>2709</v>
      </c>
      <c r="AC376" s="4705">
        <v>1</v>
      </c>
      <c r="AD376" s="4705">
        <v>6</v>
      </c>
      <c r="AE376" s="4622"/>
      <c r="AF376" s="4622"/>
      <c r="AG376" s="4622"/>
      <c r="AH376" s="4622"/>
      <c r="AI376" s="4622"/>
      <c r="AJ376" s="4622"/>
      <c r="AK376" s="4622"/>
      <c r="AL376" s="4622"/>
      <c r="AM376" s="4622"/>
      <c r="AN376" s="4622"/>
      <c r="BX376" s="4694">
        <v>1</v>
      </c>
      <c r="BY376" s="4694">
        <v>1</v>
      </c>
      <c r="BZ376" s="4695" t="s">
        <v>607</v>
      </c>
      <c r="CA376" s="4697" t="s">
        <v>2707</v>
      </c>
      <c r="CB376" s="4696">
        <v>1</v>
      </c>
      <c r="CC376" s="4694">
        <v>8</v>
      </c>
    </row>
    <row r="377" spans="17:81">
      <c r="Q377" s="4722"/>
      <c r="R377" s="4446"/>
      <c r="S377" s="4706"/>
      <c r="T377" s="4706"/>
      <c r="U377" s="4707"/>
      <c r="V377" s="4707"/>
      <c r="W377" s="4634"/>
      <c r="Y377" s="4705">
        <v>2</v>
      </c>
      <c r="Z377" s="4705">
        <v>2</v>
      </c>
      <c r="AA377" s="4706" t="s">
        <v>2735</v>
      </c>
      <c r="AB377" s="4706" t="s">
        <v>2731</v>
      </c>
      <c r="AC377" s="4705">
        <v>44</v>
      </c>
      <c r="AD377" s="4705">
        <v>7</v>
      </c>
      <c r="AE377" s="4622"/>
      <c r="AF377" s="4622"/>
      <c r="AG377" s="4622"/>
      <c r="AH377" s="4622"/>
      <c r="AI377" s="4622"/>
      <c r="AJ377" s="4622"/>
      <c r="AK377" s="4622"/>
      <c r="AL377" s="4622"/>
      <c r="AM377" s="4622"/>
      <c r="AN377" s="4622"/>
      <c r="BX377" s="4694">
        <v>1</v>
      </c>
      <c r="BY377" s="4694">
        <v>1</v>
      </c>
      <c r="BZ377" s="4695" t="s">
        <v>607</v>
      </c>
      <c r="CA377" s="4697" t="s">
        <v>1076</v>
      </c>
      <c r="CB377" s="4696">
        <v>1</v>
      </c>
      <c r="CC377" s="4694">
        <v>7</v>
      </c>
    </row>
    <row r="378" spans="17:81" ht="28.95" customHeight="1">
      <c r="Q378" s="4722"/>
      <c r="R378" s="4446"/>
      <c r="S378" s="4706"/>
      <c r="T378" s="4706"/>
      <c r="U378" s="4707"/>
      <c r="V378" s="4707"/>
      <c r="W378" s="4634"/>
      <c r="X378" s="4622"/>
      <c r="Y378" s="4705">
        <v>2</v>
      </c>
      <c r="Z378" s="4705">
        <v>2</v>
      </c>
      <c r="AA378" s="4706" t="s">
        <v>2735</v>
      </c>
      <c r="AB378" s="4706" t="s">
        <v>1071</v>
      </c>
      <c r="AC378" s="4705">
        <v>1</v>
      </c>
      <c r="AD378" s="4705">
        <v>7</v>
      </c>
      <c r="AE378" s="4622"/>
      <c r="AF378" s="4622"/>
      <c r="AG378" s="4622"/>
      <c r="AH378" s="4622"/>
      <c r="AI378" s="4622"/>
      <c r="AJ378" s="4622"/>
      <c r="AK378" s="4622"/>
      <c r="AL378" s="4622"/>
      <c r="AM378" s="4622"/>
      <c r="AN378" s="4622"/>
      <c r="BX378" s="4694">
        <v>1</v>
      </c>
      <c r="BY378" s="4694">
        <v>1</v>
      </c>
      <c r="BZ378" s="4695" t="s">
        <v>607</v>
      </c>
      <c r="CA378" s="4695" t="s">
        <v>2709</v>
      </c>
      <c r="CB378" s="4696">
        <v>1</v>
      </c>
      <c r="CC378" s="4694">
        <v>1</v>
      </c>
    </row>
    <row r="379" spans="17:81">
      <c r="Q379" s="4722"/>
      <c r="R379" s="4446"/>
      <c r="S379" s="4706"/>
      <c r="T379" s="4706"/>
      <c r="U379" s="4707"/>
      <c r="V379" s="4707"/>
      <c r="W379" s="4634"/>
      <c r="Y379" s="4705">
        <v>2</v>
      </c>
      <c r="Z379" s="4705">
        <v>2</v>
      </c>
      <c r="AA379" s="4706" t="s">
        <v>2735</v>
      </c>
      <c r="AB379" s="4706" t="s">
        <v>2705</v>
      </c>
      <c r="AC379" s="4705">
        <v>1</v>
      </c>
      <c r="AD379" s="4705">
        <v>3</v>
      </c>
      <c r="AE379" s="4622"/>
      <c r="BX379" s="4694">
        <v>1</v>
      </c>
      <c r="BY379" s="4694">
        <v>1</v>
      </c>
      <c r="BZ379" s="4695" t="s">
        <v>607</v>
      </c>
      <c r="CA379" s="4695" t="s">
        <v>2709</v>
      </c>
      <c r="CB379" s="4696">
        <v>1</v>
      </c>
      <c r="CC379" s="4694">
        <v>6</v>
      </c>
    </row>
    <row r="380" spans="17:81" ht="14.4" customHeight="1">
      <c r="Q380" s="4722"/>
      <c r="R380" s="4446"/>
      <c r="S380" s="4706"/>
      <c r="T380" s="4706"/>
      <c r="U380" s="4707"/>
      <c r="V380" s="4707"/>
      <c r="W380" s="4634"/>
      <c r="Y380" s="4705">
        <v>2</v>
      </c>
      <c r="Z380" s="4705">
        <v>2</v>
      </c>
      <c r="AA380" s="4706" t="s">
        <v>2735</v>
      </c>
      <c r="AB380" s="4708" t="s">
        <v>1076</v>
      </c>
      <c r="AC380" s="4716">
        <v>1</v>
      </c>
      <c r="AD380" s="4716">
        <v>6</v>
      </c>
      <c r="AE380" s="4622"/>
      <c r="BX380" s="4694">
        <v>1</v>
      </c>
      <c r="BY380" s="4694">
        <v>1</v>
      </c>
      <c r="BZ380" s="4695" t="s">
        <v>607</v>
      </c>
      <c r="CA380" s="4695" t="s">
        <v>2709</v>
      </c>
      <c r="CB380" s="4696">
        <v>1</v>
      </c>
      <c r="CC380" s="4694">
        <v>7</v>
      </c>
    </row>
    <row r="381" spans="17:81" ht="14.4" customHeight="1">
      <c r="Q381" s="4722"/>
      <c r="R381" s="4446"/>
      <c r="S381" s="4706"/>
      <c r="T381" s="4706"/>
      <c r="U381" s="4707"/>
      <c r="V381" s="4707"/>
      <c r="W381" s="4634"/>
      <c r="X381" s="4622"/>
      <c r="Y381" s="4705">
        <v>2</v>
      </c>
      <c r="Z381" s="4705">
        <v>2</v>
      </c>
      <c r="AA381" s="4706" t="s">
        <v>2735</v>
      </c>
      <c r="AB381" s="4706" t="s">
        <v>2709</v>
      </c>
      <c r="AC381" s="4705">
        <v>1</v>
      </c>
      <c r="AD381" s="4705">
        <v>3</v>
      </c>
      <c r="AE381" s="4622"/>
      <c r="AF381" s="4622"/>
      <c r="AG381" s="4622"/>
      <c r="AH381" s="4622"/>
      <c r="AI381" s="4622"/>
      <c r="AJ381" s="4622"/>
      <c r="AK381" s="4622"/>
      <c r="AL381" s="4622"/>
      <c r="AM381" s="4622"/>
      <c r="AN381" s="4622"/>
      <c r="BX381" s="4694">
        <v>1</v>
      </c>
      <c r="BY381" s="4694">
        <v>1</v>
      </c>
      <c r="BZ381" s="4695" t="s">
        <v>607</v>
      </c>
      <c r="CA381" s="4695" t="s">
        <v>2709</v>
      </c>
      <c r="CB381" s="4696">
        <v>1</v>
      </c>
      <c r="CC381" s="4694">
        <v>9</v>
      </c>
    </row>
    <row r="382" spans="17:81" ht="14.4" customHeight="1">
      <c r="Q382" s="4722"/>
      <c r="R382" s="4446"/>
      <c r="S382" s="4706"/>
      <c r="T382" s="4706"/>
      <c r="U382" s="4707"/>
      <c r="V382" s="4707"/>
      <c r="W382" s="4634"/>
      <c r="Y382" s="4705">
        <v>2</v>
      </c>
      <c r="Z382" s="4705">
        <v>2</v>
      </c>
      <c r="AA382" s="4706" t="s">
        <v>2735</v>
      </c>
      <c r="AB382" s="4706" t="s">
        <v>2709</v>
      </c>
      <c r="AC382" s="4705">
        <v>10</v>
      </c>
      <c r="AD382" s="4705">
        <v>6</v>
      </c>
      <c r="AE382" s="4622"/>
      <c r="BX382" s="4694">
        <v>1</v>
      </c>
      <c r="BY382" s="4694">
        <v>1</v>
      </c>
      <c r="BZ382" s="4695" t="s">
        <v>606</v>
      </c>
      <c r="CA382" s="4695" t="s">
        <v>2731</v>
      </c>
      <c r="CB382" s="4696">
        <v>3</v>
      </c>
      <c r="CC382" s="4694">
        <v>8</v>
      </c>
    </row>
    <row r="383" spans="17:81">
      <c r="Q383" s="4722"/>
      <c r="R383" s="4446"/>
      <c r="S383" s="4706"/>
      <c r="T383" s="4706"/>
      <c r="U383" s="4707"/>
      <c r="V383" s="4707"/>
      <c r="W383" s="4634"/>
      <c r="Y383" s="4705">
        <v>2</v>
      </c>
      <c r="Z383" s="4705">
        <v>3</v>
      </c>
      <c r="AA383" s="4706" t="s">
        <v>286</v>
      </c>
      <c r="AB383" s="4706" t="s">
        <v>2731</v>
      </c>
      <c r="AC383" s="4705">
        <v>9</v>
      </c>
      <c r="AD383" s="4705">
        <v>7</v>
      </c>
      <c r="AE383" s="4622"/>
      <c r="BX383" s="4694">
        <v>1</v>
      </c>
      <c r="BY383" s="4694">
        <v>1</v>
      </c>
      <c r="BZ383" s="4695" t="s">
        <v>606</v>
      </c>
      <c r="CA383" s="4695" t="s">
        <v>2731</v>
      </c>
      <c r="CB383" s="4696">
        <v>1</v>
      </c>
      <c r="CC383" s="4694">
        <v>10</v>
      </c>
    </row>
    <row r="384" spans="17:81">
      <c r="Q384" s="4722"/>
      <c r="R384" s="4446"/>
      <c r="S384" s="4706"/>
      <c r="T384" s="4706"/>
      <c r="U384" s="4707"/>
      <c r="V384" s="4707"/>
      <c r="W384" s="4634"/>
      <c r="Y384" s="4705">
        <v>2</v>
      </c>
      <c r="Z384" s="4705">
        <v>3</v>
      </c>
      <c r="AA384" s="4706" t="s">
        <v>440</v>
      </c>
      <c r="AB384" s="4706" t="s">
        <v>2731</v>
      </c>
      <c r="AC384" s="4705">
        <v>11</v>
      </c>
      <c r="AD384" s="4705">
        <v>7</v>
      </c>
      <c r="AE384" s="4622"/>
      <c r="AF384" s="4622"/>
      <c r="AG384" s="4622"/>
      <c r="AH384" s="4622"/>
      <c r="AI384" s="4622"/>
      <c r="AJ384" s="4622"/>
      <c r="AK384" s="4622"/>
      <c r="AL384" s="4622"/>
      <c r="AM384" s="4622"/>
      <c r="AN384" s="4622"/>
      <c r="BX384" s="4694">
        <v>1</v>
      </c>
      <c r="BY384" s="4694">
        <v>1</v>
      </c>
      <c r="BZ384" s="4695" t="s">
        <v>606</v>
      </c>
      <c r="CA384" s="4697" t="s">
        <v>2707</v>
      </c>
      <c r="CB384" s="4696">
        <v>1</v>
      </c>
      <c r="CC384" s="4694">
        <v>7</v>
      </c>
    </row>
    <row r="385" spans="17:81" ht="28.95" customHeight="1">
      <c r="Q385" s="4722"/>
      <c r="R385" s="4446"/>
      <c r="S385" s="4706"/>
      <c r="T385" s="4706"/>
      <c r="U385" s="4707"/>
      <c r="V385" s="4707"/>
      <c r="W385" s="4634"/>
      <c r="Y385" s="4705">
        <v>2</v>
      </c>
      <c r="Z385" s="4705">
        <v>3</v>
      </c>
      <c r="AA385" s="4706" t="s">
        <v>440</v>
      </c>
      <c r="AB385" s="4706" t="s">
        <v>2703</v>
      </c>
      <c r="AC385" s="4705">
        <v>1</v>
      </c>
      <c r="AD385" s="4705">
        <v>2</v>
      </c>
      <c r="AE385" s="4622"/>
      <c r="BX385" s="4694">
        <v>1</v>
      </c>
      <c r="BY385" s="4694">
        <v>1</v>
      </c>
      <c r="BZ385" s="4695" t="s">
        <v>606</v>
      </c>
      <c r="CA385" s="4697" t="s">
        <v>1076</v>
      </c>
      <c r="CB385" s="4696">
        <v>1</v>
      </c>
      <c r="CC385" s="4694">
        <v>7</v>
      </c>
    </row>
    <row r="386" spans="17:81" ht="14.4" customHeight="1">
      <c r="Q386" s="4722"/>
      <c r="R386" s="4446"/>
      <c r="S386" s="4706"/>
      <c r="T386" s="4706"/>
      <c r="U386" s="4707"/>
      <c r="V386" s="4707"/>
      <c r="W386" s="4634"/>
      <c r="Y386" s="4705">
        <v>2</v>
      </c>
      <c r="Z386" s="4705">
        <v>3</v>
      </c>
      <c r="AA386" s="4706" t="s">
        <v>440</v>
      </c>
      <c r="AB386" s="4706" t="s">
        <v>2709</v>
      </c>
      <c r="AC386" s="4705">
        <v>3</v>
      </c>
      <c r="AD386" s="4705">
        <v>6</v>
      </c>
      <c r="AE386" s="4622"/>
      <c r="BX386" s="4694">
        <v>1</v>
      </c>
      <c r="BY386" s="4694">
        <v>1</v>
      </c>
      <c r="BZ386" s="4695" t="s">
        <v>606</v>
      </c>
      <c r="CA386" s="4695" t="s">
        <v>2775</v>
      </c>
      <c r="CB386" s="4696">
        <v>1</v>
      </c>
      <c r="CC386" s="4694">
        <v>8</v>
      </c>
    </row>
    <row r="387" spans="17:81">
      <c r="Q387" s="4722"/>
      <c r="R387" s="4446"/>
      <c r="S387" s="4706"/>
      <c r="T387" s="4706"/>
      <c r="U387" s="4707"/>
      <c r="V387" s="4707"/>
      <c r="W387" s="4634"/>
      <c r="X387" s="4622"/>
      <c r="Y387" s="4705">
        <v>2</v>
      </c>
      <c r="Z387" s="4705">
        <v>3</v>
      </c>
      <c r="AA387" s="4706" t="s">
        <v>129</v>
      </c>
      <c r="AB387" s="4706" t="s">
        <v>2731</v>
      </c>
      <c r="AC387" s="4705">
        <v>6</v>
      </c>
      <c r="AD387" s="4705">
        <v>7</v>
      </c>
      <c r="AE387" s="4622"/>
      <c r="BX387" s="4694">
        <v>1</v>
      </c>
      <c r="BY387" s="4694">
        <v>1</v>
      </c>
      <c r="BZ387" s="4695" t="s">
        <v>606</v>
      </c>
      <c r="CA387" s="4695" t="s">
        <v>2709</v>
      </c>
      <c r="CB387" s="4696">
        <v>1</v>
      </c>
      <c r="CC387" s="4694">
        <v>8</v>
      </c>
    </row>
    <row r="388" spans="17:81" ht="28.95" customHeight="1">
      <c r="Q388" s="4722"/>
      <c r="R388" s="4446"/>
      <c r="S388" s="4706"/>
      <c r="T388" s="4706"/>
      <c r="U388" s="4707"/>
      <c r="V388" s="4707"/>
      <c r="W388" s="4634"/>
      <c r="Y388" s="4705">
        <v>2</v>
      </c>
      <c r="Z388" s="4705">
        <v>3</v>
      </c>
      <c r="AA388" s="4706" t="s">
        <v>129</v>
      </c>
      <c r="AB388" s="4708" t="s">
        <v>1076</v>
      </c>
      <c r="AC388" s="4716">
        <v>3</v>
      </c>
      <c r="AD388" s="4716">
        <v>6</v>
      </c>
      <c r="AE388" s="4622"/>
      <c r="BX388" s="4694">
        <v>1</v>
      </c>
      <c r="BY388" s="4694">
        <v>1</v>
      </c>
      <c r="BZ388" s="4695" t="s">
        <v>606</v>
      </c>
      <c r="CA388" s="4695" t="s">
        <v>2710</v>
      </c>
      <c r="CB388" s="4696">
        <v>1</v>
      </c>
      <c r="CC388" s="4694">
        <v>0</v>
      </c>
    </row>
    <row r="389" spans="17:81">
      <c r="Q389" s="4722"/>
      <c r="R389" s="4446"/>
      <c r="S389" s="4706"/>
      <c r="T389" s="4706"/>
      <c r="U389" s="4707"/>
      <c r="V389" s="4707"/>
      <c r="W389" s="4634"/>
      <c r="Y389" s="4705">
        <v>2</v>
      </c>
      <c r="Z389" s="4705">
        <v>3</v>
      </c>
      <c r="AA389" s="4706" t="s">
        <v>129</v>
      </c>
      <c r="AB389" s="4706" t="s">
        <v>2709</v>
      </c>
      <c r="AC389" s="4705">
        <v>7</v>
      </c>
      <c r="AD389" s="4705">
        <v>6</v>
      </c>
      <c r="AE389" s="4622"/>
      <c r="BX389" s="4694">
        <v>1</v>
      </c>
      <c r="BY389" s="4694">
        <v>2</v>
      </c>
      <c r="BZ389" s="4695" t="s">
        <v>1706</v>
      </c>
      <c r="CA389" s="4697" t="s">
        <v>2732</v>
      </c>
      <c r="CB389" s="4696">
        <v>1</v>
      </c>
      <c r="CC389" s="4694">
        <v>6</v>
      </c>
    </row>
    <row r="390" spans="17:81" ht="14.4" customHeight="1">
      <c r="Q390" s="4722"/>
      <c r="R390" s="4446"/>
      <c r="S390" s="4706"/>
      <c r="T390" s="4706"/>
      <c r="U390" s="4707"/>
      <c r="V390" s="4707"/>
      <c r="W390" s="4634"/>
      <c r="Y390" s="4705">
        <v>2</v>
      </c>
      <c r="Z390" s="4705">
        <v>3</v>
      </c>
      <c r="AA390" s="4706" t="s">
        <v>128</v>
      </c>
      <c r="AB390" s="4706" t="s">
        <v>2731</v>
      </c>
      <c r="AC390" s="4705">
        <v>6</v>
      </c>
      <c r="AD390" s="4705">
        <v>7</v>
      </c>
      <c r="AE390" s="4622"/>
      <c r="AF390" s="4622"/>
      <c r="AG390" s="4622"/>
      <c r="AH390" s="4622"/>
      <c r="AI390" s="4622"/>
      <c r="AJ390" s="4622"/>
      <c r="AK390" s="4622"/>
      <c r="AL390" s="4622"/>
      <c r="AM390" s="4622"/>
      <c r="AN390" s="4622"/>
      <c r="BX390" s="4694">
        <v>1</v>
      </c>
      <c r="BY390" s="4694">
        <v>2</v>
      </c>
      <c r="BZ390" s="4695" t="s">
        <v>1706</v>
      </c>
      <c r="CA390" s="4697" t="s">
        <v>2707</v>
      </c>
      <c r="CB390" s="4696">
        <v>1</v>
      </c>
      <c r="CC390" s="4694">
        <v>6</v>
      </c>
    </row>
    <row r="391" spans="17:81">
      <c r="Q391" s="4722"/>
      <c r="R391" s="4446"/>
      <c r="S391" s="4706"/>
      <c r="T391" s="4706"/>
      <c r="U391" s="4707"/>
      <c r="V391" s="4707"/>
      <c r="Y391" s="4705">
        <v>2</v>
      </c>
      <c r="Z391" s="4705">
        <v>3</v>
      </c>
      <c r="AA391" s="4706" t="s">
        <v>128</v>
      </c>
      <c r="AB391" s="4708" t="s">
        <v>1076</v>
      </c>
      <c r="AC391" s="4716">
        <v>5</v>
      </c>
      <c r="AD391" s="4716">
        <v>6</v>
      </c>
      <c r="AE391" s="4622"/>
      <c r="BX391" s="4694">
        <v>1</v>
      </c>
      <c r="BY391" s="4694">
        <v>2</v>
      </c>
      <c r="BZ391" s="4695" t="s">
        <v>1706</v>
      </c>
      <c r="CA391" s="4697" t="s">
        <v>1076</v>
      </c>
      <c r="CB391" s="4696">
        <v>2</v>
      </c>
      <c r="CC391" s="4694">
        <v>6</v>
      </c>
    </row>
    <row r="392" spans="17:81" ht="28.95" customHeight="1">
      <c r="Q392" s="4722"/>
      <c r="R392" s="4446"/>
      <c r="S392" s="4706"/>
      <c r="T392" s="4706"/>
      <c r="U392" s="4707"/>
      <c r="V392" s="4707"/>
      <c r="Y392" s="4705">
        <v>2</v>
      </c>
      <c r="Z392" s="4705">
        <v>3</v>
      </c>
      <c r="AA392" s="4706" t="s">
        <v>128</v>
      </c>
      <c r="AB392" s="4706" t="s">
        <v>2709</v>
      </c>
      <c r="AC392" s="4705">
        <v>1</v>
      </c>
      <c r="AD392" s="4705">
        <v>1</v>
      </c>
      <c r="AE392" s="4622"/>
      <c r="BX392" s="4694">
        <v>1</v>
      </c>
      <c r="BY392" s="4694">
        <v>2</v>
      </c>
      <c r="BZ392" s="4695" t="s">
        <v>1706</v>
      </c>
      <c r="CA392" s="4695" t="s">
        <v>2775</v>
      </c>
      <c r="CB392" s="4696">
        <v>2</v>
      </c>
      <c r="CC392" s="4694">
        <v>7</v>
      </c>
    </row>
    <row r="393" spans="17:81" ht="14.4" customHeight="1">
      <c r="Q393" s="4722"/>
      <c r="R393" s="4446"/>
      <c r="S393" s="4706"/>
      <c r="T393" s="4706"/>
      <c r="U393" s="4707"/>
      <c r="V393" s="4707"/>
      <c r="Y393" s="4705">
        <v>2</v>
      </c>
      <c r="Z393" s="4705">
        <v>3</v>
      </c>
      <c r="AA393" s="4706" t="s">
        <v>128</v>
      </c>
      <c r="AB393" s="4706" t="s">
        <v>2709</v>
      </c>
      <c r="AC393" s="4705">
        <v>2</v>
      </c>
      <c r="AD393" s="4705">
        <v>6</v>
      </c>
      <c r="AE393" s="4622"/>
      <c r="BX393" s="4694">
        <v>1</v>
      </c>
      <c r="BY393" s="4694">
        <v>2</v>
      </c>
      <c r="BZ393" s="4695" t="s">
        <v>1706</v>
      </c>
      <c r="CA393" s="4695" t="s">
        <v>2709</v>
      </c>
      <c r="CB393" s="4696">
        <v>12</v>
      </c>
      <c r="CC393" s="4694">
        <v>6</v>
      </c>
    </row>
    <row r="394" spans="17:81">
      <c r="Q394" s="4722"/>
      <c r="R394" s="4446"/>
      <c r="S394" s="4706"/>
      <c r="T394" s="4706"/>
      <c r="U394" s="4707"/>
      <c r="V394" s="4707"/>
      <c r="Y394" s="4705">
        <v>3</v>
      </c>
      <c r="Z394" s="4705">
        <v>2</v>
      </c>
      <c r="AA394" s="4706" t="s">
        <v>2738</v>
      </c>
      <c r="AB394" s="4708" t="s">
        <v>2732</v>
      </c>
      <c r="AC394" s="4716">
        <v>1</v>
      </c>
      <c r="AD394" s="4716">
        <v>3</v>
      </c>
      <c r="AE394" s="4622"/>
      <c r="BX394" s="4694">
        <v>1</v>
      </c>
      <c r="BY394" s="4694">
        <v>2</v>
      </c>
      <c r="BZ394" s="4695" t="s">
        <v>270</v>
      </c>
      <c r="CA394" s="4695" t="s">
        <v>2731</v>
      </c>
      <c r="CB394" s="4696">
        <v>1</v>
      </c>
      <c r="CC394" s="4694">
        <v>8</v>
      </c>
    </row>
    <row r="395" spans="17:81">
      <c r="Q395" s="4722"/>
      <c r="R395" s="4446"/>
      <c r="S395" s="4706"/>
      <c r="T395" s="4706"/>
      <c r="U395" s="4707"/>
      <c r="V395" s="4707"/>
      <c r="X395" s="4622"/>
      <c r="Y395" s="4705">
        <v>3</v>
      </c>
      <c r="Z395" s="4705">
        <v>2</v>
      </c>
      <c r="AA395" s="4706" t="s">
        <v>2738</v>
      </c>
      <c r="AB395" s="4706" t="s">
        <v>2705</v>
      </c>
      <c r="AC395" s="4705">
        <v>1</v>
      </c>
      <c r="AD395" s="4705">
        <v>3</v>
      </c>
      <c r="AE395" s="4622"/>
      <c r="BX395" s="4694">
        <v>1</v>
      </c>
      <c r="BY395" s="4694">
        <v>2</v>
      </c>
      <c r="BZ395" s="4695" t="s">
        <v>270</v>
      </c>
      <c r="CA395" s="4695" t="s">
        <v>2703</v>
      </c>
      <c r="CB395" s="4696">
        <v>1</v>
      </c>
      <c r="CC395" s="4694">
        <v>1</v>
      </c>
    </row>
    <row r="396" spans="17:81" ht="14.4" customHeight="1">
      <c r="Q396" s="4722"/>
      <c r="R396" s="4446"/>
      <c r="S396" s="4706"/>
      <c r="T396" s="4706"/>
      <c r="U396" s="4707"/>
      <c r="V396" s="4707"/>
      <c r="Y396" s="4705">
        <v>3</v>
      </c>
      <c r="Z396" s="4705">
        <v>2</v>
      </c>
      <c r="AA396" s="4706" t="s">
        <v>2738</v>
      </c>
      <c r="AB396" s="4708" t="s">
        <v>2707</v>
      </c>
      <c r="AC396" s="4716">
        <v>5</v>
      </c>
      <c r="AD396" s="4716">
        <v>3</v>
      </c>
      <c r="AE396" s="4622"/>
      <c r="BX396" s="4694">
        <v>1</v>
      </c>
      <c r="BY396" s="4694">
        <v>2</v>
      </c>
      <c r="BZ396" s="4695" t="s">
        <v>270</v>
      </c>
      <c r="CA396" s="4697" t="s">
        <v>2707</v>
      </c>
      <c r="CB396" s="4696">
        <v>2</v>
      </c>
      <c r="CC396" s="4694">
        <v>7</v>
      </c>
    </row>
    <row r="397" spans="17:81" ht="14.4" customHeight="1">
      <c r="Q397" s="4722"/>
      <c r="R397" s="4446"/>
      <c r="S397" s="4706"/>
      <c r="T397" s="4706"/>
      <c r="U397" s="4707"/>
      <c r="V397" s="4707"/>
      <c r="Y397" s="4705">
        <v>3</v>
      </c>
      <c r="Z397" s="4705">
        <v>2</v>
      </c>
      <c r="AA397" s="4706" t="s">
        <v>2738</v>
      </c>
      <c r="AB397" s="4708" t="s">
        <v>2707</v>
      </c>
      <c r="AC397" s="4716">
        <v>4</v>
      </c>
      <c r="AD397" s="4716">
        <v>4</v>
      </c>
      <c r="AE397" s="4622"/>
      <c r="BX397" s="4694">
        <v>1</v>
      </c>
      <c r="BY397" s="4694">
        <v>2</v>
      </c>
      <c r="BZ397" s="4695" t="s">
        <v>270</v>
      </c>
      <c r="CA397" s="4697" t="s">
        <v>1076</v>
      </c>
      <c r="CB397" s="4696">
        <v>2</v>
      </c>
      <c r="CC397" s="4694">
        <v>6</v>
      </c>
    </row>
    <row r="398" spans="17:81">
      <c r="Q398" s="4722"/>
      <c r="R398" s="4446"/>
      <c r="S398" s="4706"/>
      <c r="T398" s="4706"/>
      <c r="U398" s="4707"/>
      <c r="V398" s="4707"/>
      <c r="Y398" s="4705">
        <v>3</v>
      </c>
      <c r="Z398" s="4705">
        <v>2</v>
      </c>
      <c r="AA398" s="4706" t="s">
        <v>2738</v>
      </c>
      <c r="AB398" s="4708" t="s">
        <v>1076</v>
      </c>
      <c r="AC398" s="4716">
        <v>7</v>
      </c>
      <c r="AD398" s="4716">
        <v>3</v>
      </c>
      <c r="AE398" s="4622"/>
      <c r="AF398" s="4622"/>
      <c r="AG398" s="4622"/>
      <c r="AH398" s="4622"/>
      <c r="AI398" s="4622"/>
      <c r="AJ398" s="4622"/>
      <c r="AK398" s="4622"/>
      <c r="AL398" s="4622"/>
      <c r="AM398" s="4622"/>
      <c r="AN398" s="4622"/>
      <c r="BX398" s="4694">
        <v>1</v>
      </c>
      <c r="BY398" s="4694">
        <v>2</v>
      </c>
      <c r="BZ398" s="4695" t="s">
        <v>270</v>
      </c>
      <c r="CA398" s="4697" t="s">
        <v>1076</v>
      </c>
      <c r="CB398" s="4696">
        <v>2</v>
      </c>
      <c r="CC398" s="4694">
        <v>7</v>
      </c>
    </row>
    <row r="399" spans="17:81" ht="28.95" customHeight="1">
      <c r="Q399" s="4722"/>
      <c r="R399" s="4446"/>
      <c r="S399" s="4706"/>
      <c r="T399" s="4706"/>
      <c r="U399" s="4707"/>
      <c r="V399" s="4707"/>
      <c r="Y399" s="4705">
        <v>3</v>
      </c>
      <c r="Z399" s="4705">
        <v>2</v>
      </c>
      <c r="AA399" s="4706" t="s">
        <v>2738</v>
      </c>
      <c r="AB399" s="4708" t="s">
        <v>1076</v>
      </c>
      <c r="AC399" s="4716">
        <v>3</v>
      </c>
      <c r="AD399" s="4716">
        <v>4</v>
      </c>
      <c r="AE399" s="4622"/>
      <c r="BX399" s="4694">
        <v>1</v>
      </c>
      <c r="BY399" s="4694">
        <v>2</v>
      </c>
      <c r="BZ399" s="4695" t="s">
        <v>270</v>
      </c>
      <c r="CA399" s="4695" t="s">
        <v>2775</v>
      </c>
      <c r="CB399" s="4696">
        <v>1</v>
      </c>
      <c r="CC399" s="4694">
        <v>8</v>
      </c>
    </row>
    <row r="400" spans="17:81" ht="14.4" customHeight="1">
      <c r="Q400" s="4722"/>
      <c r="R400" s="4446"/>
      <c r="S400" s="4706"/>
      <c r="T400" s="4706"/>
      <c r="U400" s="4707"/>
      <c r="V400" s="4707"/>
      <c r="Y400" s="4705">
        <v>3</v>
      </c>
      <c r="Z400" s="4705">
        <v>2</v>
      </c>
      <c r="AA400" s="4706" t="s">
        <v>2738</v>
      </c>
      <c r="AB400" s="4706" t="s">
        <v>2709</v>
      </c>
      <c r="AC400" s="4705">
        <v>3</v>
      </c>
      <c r="AD400" s="4705">
        <v>3</v>
      </c>
      <c r="AE400" s="4622"/>
      <c r="BX400" s="4694">
        <v>1</v>
      </c>
      <c r="BY400" s="4694">
        <v>2</v>
      </c>
      <c r="BZ400" s="4695" t="s">
        <v>270</v>
      </c>
      <c r="CA400" s="4695" t="s">
        <v>2709</v>
      </c>
      <c r="CB400" s="4696">
        <v>4</v>
      </c>
      <c r="CC400" s="4694">
        <v>7</v>
      </c>
    </row>
    <row r="401" spans="17:81" ht="14.4" customHeight="1">
      <c r="Q401" s="4722"/>
      <c r="R401" s="4446"/>
      <c r="S401" s="4706"/>
      <c r="T401" s="4706"/>
      <c r="U401" s="4707"/>
      <c r="V401" s="4707"/>
      <c r="Y401" s="4705">
        <v>3</v>
      </c>
      <c r="Z401" s="4705">
        <v>2</v>
      </c>
      <c r="AA401" s="4706" t="s">
        <v>2738</v>
      </c>
      <c r="AB401" s="4706" t="s">
        <v>2709</v>
      </c>
      <c r="AC401" s="4705">
        <v>3</v>
      </c>
      <c r="AD401" s="4705">
        <v>4</v>
      </c>
      <c r="AE401" s="4622"/>
      <c r="BX401" s="4694">
        <v>1</v>
      </c>
      <c r="BY401" s="4694">
        <v>4</v>
      </c>
      <c r="BZ401" s="4695" t="s">
        <v>2724</v>
      </c>
      <c r="CA401" s="4695" t="s">
        <v>2731</v>
      </c>
      <c r="CB401" s="4696">
        <v>1</v>
      </c>
      <c r="CC401" s="4694">
        <v>8</v>
      </c>
    </row>
    <row r="402" spans="17:81">
      <c r="Q402" s="4722"/>
      <c r="R402" s="4446"/>
      <c r="S402" s="4706"/>
      <c r="T402" s="4706"/>
      <c r="U402" s="4707"/>
      <c r="V402" s="4707"/>
      <c r="Y402" s="4705">
        <v>3</v>
      </c>
      <c r="Z402" s="4705">
        <v>2</v>
      </c>
      <c r="AA402" s="4706" t="s">
        <v>443</v>
      </c>
      <c r="AB402" s="4706" t="s">
        <v>2709</v>
      </c>
      <c r="AC402" s="4705">
        <v>1</v>
      </c>
      <c r="AD402" s="4705">
        <v>1</v>
      </c>
      <c r="AE402" s="4622"/>
      <c r="BX402" s="4694">
        <v>1</v>
      </c>
      <c r="BY402" s="4694">
        <v>4</v>
      </c>
      <c r="BZ402" s="4695" t="s">
        <v>2724</v>
      </c>
      <c r="CA402" s="4697" t="s">
        <v>1076</v>
      </c>
      <c r="CB402" s="4696">
        <v>1</v>
      </c>
      <c r="CC402" s="4694">
        <v>7</v>
      </c>
    </row>
    <row r="403" spans="17:81" ht="14.4" customHeight="1">
      <c r="Q403" s="4722"/>
      <c r="R403" s="4446"/>
      <c r="S403" s="4706"/>
      <c r="T403" s="4706"/>
      <c r="U403" s="4707"/>
      <c r="V403" s="4707"/>
      <c r="Y403" s="4705">
        <v>3</v>
      </c>
      <c r="Z403" s="4705">
        <v>2</v>
      </c>
      <c r="AA403" s="4706" t="s">
        <v>443</v>
      </c>
      <c r="AB403" s="4706" t="s">
        <v>2709</v>
      </c>
      <c r="AC403" s="4705">
        <v>12</v>
      </c>
      <c r="AD403" s="4705">
        <v>6</v>
      </c>
      <c r="AE403" s="4622"/>
      <c r="BX403" s="4694">
        <v>1</v>
      </c>
      <c r="BY403" s="4694">
        <v>4</v>
      </c>
      <c r="BZ403" s="4695" t="s">
        <v>2724</v>
      </c>
      <c r="CA403" s="4695" t="s">
        <v>2710</v>
      </c>
      <c r="CB403" s="4696">
        <v>2</v>
      </c>
      <c r="CC403" s="4694">
        <v>0</v>
      </c>
    </row>
    <row r="404" spans="17:81" ht="14.4" customHeight="1">
      <c r="Q404" s="4722"/>
      <c r="R404" s="4446"/>
      <c r="S404" s="4706"/>
      <c r="T404" s="4706"/>
      <c r="U404" s="4707"/>
      <c r="V404" s="4707"/>
      <c r="Y404" s="4705">
        <v>3</v>
      </c>
      <c r="Z404" s="4705">
        <v>2</v>
      </c>
      <c r="AA404" s="4706" t="s">
        <v>382</v>
      </c>
      <c r="AB404" s="4706" t="s">
        <v>2709</v>
      </c>
      <c r="AC404" s="4705">
        <v>23</v>
      </c>
      <c r="AD404" s="4705">
        <v>6</v>
      </c>
      <c r="AE404" s="4622"/>
      <c r="BX404" s="4694">
        <v>1</v>
      </c>
      <c r="BY404" s="4694">
        <v>4</v>
      </c>
      <c r="BZ404" s="4695" t="s">
        <v>1527</v>
      </c>
      <c r="CA404" s="4695" t="s">
        <v>2731</v>
      </c>
      <c r="CB404" s="4696">
        <v>2</v>
      </c>
      <c r="CC404" s="4694">
        <v>8</v>
      </c>
    </row>
    <row r="405" spans="17:81">
      <c r="Q405" s="4722"/>
      <c r="R405" s="4446"/>
      <c r="S405" s="4706"/>
      <c r="T405" s="4706"/>
      <c r="U405" s="4707"/>
      <c r="V405" s="4707"/>
      <c r="Y405" s="4705">
        <v>3</v>
      </c>
      <c r="Z405" s="4705">
        <v>2</v>
      </c>
      <c r="AA405" s="4706" t="s">
        <v>2739</v>
      </c>
      <c r="AB405" s="4706" t="s">
        <v>2731</v>
      </c>
      <c r="AC405" s="4705">
        <v>18</v>
      </c>
      <c r="AD405" s="4705">
        <v>7</v>
      </c>
      <c r="AE405" s="4622"/>
      <c r="BX405" s="4694">
        <v>1</v>
      </c>
      <c r="BY405" s="4694">
        <v>4</v>
      </c>
      <c r="BZ405" s="4695" t="s">
        <v>1456</v>
      </c>
      <c r="CA405" s="4695" t="s">
        <v>2731</v>
      </c>
      <c r="CB405" s="4696">
        <v>1</v>
      </c>
      <c r="CC405" s="4694">
        <v>8</v>
      </c>
    </row>
    <row r="406" spans="17:81">
      <c r="Q406" s="4722"/>
      <c r="R406" s="4446"/>
      <c r="S406" s="4706"/>
      <c r="T406" s="4706"/>
      <c r="U406" s="4707"/>
      <c r="V406" s="4707"/>
      <c r="Y406" s="4705">
        <v>3</v>
      </c>
      <c r="Z406" s="4705">
        <v>2</v>
      </c>
      <c r="AA406" s="4706" t="s">
        <v>2739</v>
      </c>
      <c r="AB406" s="4706" t="s">
        <v>2709</v>
      </c>
      <c r="AC406" s="4705">
        <v>1</v>
      </c>
      <c r="AD406" s="4705">
        <v>1</v>
      </c>
      <c r="AE406" s="4622"/>
      <c r="BX406" s="4694">
        <v>1</v>
      </c>
      <c r="BY406" s="4694">
        <v>4</v>
      </c>
      <c r="BZ406" s="4695" t="s">
        <v>1456</v>
      </c>
      <c r="CA406" s="4695" t="s">
        <v>2709</v>
      </c>
      <c r="CB406" s="4696">
        <v>1</v>
      </c>
      <c r="CC406" s="4694">
        <v>2</v>
      </c>
    </row>
    <row r="407" spans="17:81" ht="14.4" customHeight="1">
      <c r="Q407" s="4722"/>
      <c r="R407" s="4446"/>
      <c r="S407" s="4706"/>
      <c r="T407" s="4706"/>
      <c r="U407" s="4707"/>
      <c r="V407" s="4707"/>
      <c r="Y407" s="4705">
        <v>3</v>
      </c>
      <c r="Z407" s="4705">
        <v>2</v>
      </c>
      <c r="AA407" s="4706" t="s">
        <v>2739</v>
      </c>
      <c r="AB407" s="4706" t="s">
        <v>2709</v>
      </c>
      <c r="AC407" s="4705">
        <v>1</v>
      </c>
      <c r="AD407" s="4705">
        <v>5</v>
      </c>
      <c r="AE407" s="4622"/>
      <c r="BX407" s="4694">
        <v>1</v>
      </c>
      <c r="BY407" s="4694">
        <v>4</v>
      </c>
      <c r="BZ407" s="4695" t="s">
        <v>1457</v>
      </c>
      <c r="CA407" s="4695" t="s">
        <v>2731</v>
      </c>
      <c r="CB407" s="4696">
        <v>2</v>
      </c>
      <c r="CC407" s="4694">
        <v>8</v>
      </c>
    </row>
    <row r="408" spans="17:81">
      <c r="Q408" s="4722"/>
      <c r="R408" s="4446"/>
      <c r="S408" s="4706"/>
      <c r="T408" s="4706"/>
      <c r="U408" s="4707"/>
      <c r="V408" s="4707"/>
      <c r="Y408" s="4705">
        <v>3</v>
      </c>
      <c r="Z408" s="4705">
        <v>2</v>
      </c>
      <c r="AA408" s="4706" t="s">
        <v>2739</v>
      </c>
      <c r="AB408" s="4706" t="s">
        <v>2709</v>
      </c>
      <c r="AC408" s="4705">
        <v>5</v>
      </c>
      <c r="AD408" s="4705">
        <v>6</v>
      </c>
      <c r="AE408" s="4622"/>
      <c r="BX408" s="4694">
        <v>1</v>
      </c>
      <c r="BY408" s="4694">
        <v>4</v>
      </c>
      <c r="BZ408" s="4695" t="s">
        <v>1457</v>
      </c>
      <c r="CA408" s="4695" t="s">
        <v>2705</v>
      </c>
      <c r="CB408" s="4696">
        <v>1</v>
      </c>
      <c r="CC408" s="4694">
        <v>6</v>
      </c>
    </row>
    <row r="409" spans="17:81">
      <c r="Q409" s="4722"/>
      <c r="R409" s="4446"/>
      <c r="S409" s="4706"/>
      <c r="T409" s="4706"/>
      <c r="U409" s="4707"/>
      <c r="V409" s="4707"/>
      <c r="Y409" s="4705">
        <v>3</v>
      </c>
      <c r="Z409" s="4705">
        <v>2</v>
      </c>
      <c r="AA409" s="4706" t="s">
        <v>290</v>
      </c>
      <c r="AB409" s="4706" t="s">
        <v>2709</v>
      </c>
      <c r="AC409" s="4705">
        <v>1</v>
      </c>
      <c r="AD409" s="4705">
        <v>1</v>
      </c>
      <c r="AE409" s="4622"/>
      <c r="BX409" s="4694">
        <v>1</v>
      </c>
      <c r="BY409" s="4694">
        <v>4</v>
      </c>
      <c r="BZ409" s="4695" t="s">
        <v>1457</v>
      </c>
      <c r="CA409" s="4695" t="s">
        <v>2709</v>
      </c>
      <c r="CB409" s="4696">
        <v>2</v>
      </c>
      <c r="CC409" s="4694">
        <v>6</v>
      </c>
    </row>
    <row r="410" spans="17:81" ht="14.4" customHeight="1">
      <c r="Q410" s="4722"/>
      <c r="R410" s="4446"/>
      <c r="S410" s="4706"/>
      <c r="T410" s="4706"/>
      <c r="U410" s="4707"/>
      <c r="V410" s="4707"/>
      <c r="Y410" s="4705">
        <v>3</v>
      </c>
      <c r="Z410" s="4705">
        <v>2</v>
      </c>
      <c r="AA410" s="4706" t="s">
        <v>290</v>
      </c>
      <c r="AB410" s="4706" t="s">
        <v>2709</v>
      </c>
      <c r="AC410" s="4705">
        <v>19</v>
      </c>
      <c r="AD410" s="4705">
        <v>6</v>
      </c>
      <c r="AE410" s="4622"/>
      <c r="BX410" s="4694">
        <v>1</v>
      </c>
      <c r="BY410" s="4694">
        <v>4</v>
      </c>
      <c r="BZ410" s="4695" t="s">
        <v>1458</v>
      </c>
      <c r="CA410" s="4695" t="s">
        <v>2731</v>
      </c>
      <c r="CB410" s="4696">
        <v>1</v>
      </c>
      <c r="CC410" s="4694">
        <v>8</v>
      </c>
    </row>
    <row r="411" spans="17:81" ht="14.4" customHeight="1">
      <c r="Q411" s="4722"/>
      <c r="R411" s="4446"/>
      <c r="S411" s="4706"/>
      <c r="T411" s="4706"/>
      <c r="U411" s="4707"/>
      <c r="V411" s="4707"/>
      <c r="Y411" s="4705">
        <v>3</v>
      </c>
      <c r="Z411" s="4705">
        <v>2</v>
      </c>
      <c r="AA411" s="4706" t="s">
        <v>289</v>
      </c>
      <c r="AB411" s="4706" t="s">
        <v>2709</v>
      </c>
      <c r="AC411" s="4705">
        <v>1</v>
      </c>
      <c r="AD411" s="4705">
        <v>2</v>
      </c>
      <c r="AE411" s="4622"/>
      <c r="BX411" s="4694">
        <v>1</v>
      </c>
      <c r="BY411" s="4694">
        <v>4</v>
      </c>
      <c r="BZ411" s="4695" t="s">
        <v>1458</v>
      </c>
      <c r="CA411" s="4697" t="s">
        <v>2707</v>
      </c>
      <c r="CB411" s="4696">
        <v>1</v>
      </c>
      <c r="CC411" s="4694">
        <v>7</v>
      </c>
    </row>
    <row r="412" spans="17:81">
      <c r="Q412" s="4722"/>
      <c r="R412" s="4446"/>
      <c r="S412" s="4706"/>
      <c r="T412" s="4706"/>
      <c r="U412" s="4707"/>
      <c r="V412" s="4707"/>
      <c r="Y412" s="4705">
        <v>3</v>
      </c>
      <c r="Z412" s="4705">
        <v>2</v>
      </c>
      <c r="AA412" s="4706" t="s">
        <v>289</v>
      </c>
      <c r="AB412" s="4706" t="s">
        <v>2709</v>
      </c>
      <c r="AC412" s="4705">
        <v>14</v>
      </c>
      <c r="AD412" s="4705">
        <v>6</v>
      </c>
      <c r="AE412" s="4622"/>
      <c r="BX412" s="4694">
        <v>1</v>
      </c>
      <c r="BY412" s="4694">
        <v>4</v>
      </c>
      <c r="BZ412" s="4695" t="s">
        <v>1458</v>
      </c>
      <c r="CA412" s="4697" t="s">
        <v>1076</v>
      </c>
      <c r="CB412" s="4696">
        <v>1</v>
      </c>
      <c r="CC412" s="4694">
        <v>5</v>
      </c>
    </row>
    <row r="413" spans="17:81">
      <c r="Q413" s="4722"/>
      <c r="R413" s="4446"/>
      <c r="S413" s="4706"/>
      <c r="T413" s="4706"/>
      <c r="U413" s="4707"/>
      <c r="V413" s="4707"/>
      <c r="Y413" s="4705">
        <v>3</v>
      </c>
      <c r="Z413" s="4705">
        <v>2</v>
      </c>
      <c r="AA413" s="4706" t="s">
        <v>288</v>
      </c>
      <c r="AB413" s="4706" t="s">
        <v>2709</v>
      </c>
      <c r="AC413" s="4705">
        <v>1</v>
      </c>
      <c r="AD413" s="4705">
        <v>1</v>
      </c>
      <c r="AE413" s="4622"/>
      <c r="BX413" s="4694">
        <v>1</v>
      </c>
      <c r="BY413" s="4694">
        <v>4</v>
      </c>
      <c r="BZ413" s="4695" t="s">
        <v>1458</v>
      </c>
      <c r="CA413" s="4695" t="s">
        <v>2775</v>
      </c>
      <c r="CB413" s="4696">
        <v>1</v>
      </c>
      <c r="CC413" s="4694">
        <v>7</v>
      </c>
    </row>
    <row r="414" spans="17:81" ht="28.95" customHeight="1">
      <c r="Q414" s="4722"/>
      <c r="R414" s="4446"/>
      <c r="S414" s="4706"/>
      <c r="T414" s="4706"/>
      <c r="U414" s="4707"/>
      <c r="V414" s="4707"/>
      <c r="X414" s="4622"/>
      <c r="Y414" s="4705">
        <v>3</v>
      </c>
      <c r="Z414" s="4705">
        <v>2</v>
      </c>
      <c r="AA414" s="4706" t="s">
        <v>288</v>
      </c>
      <c r="AB414" s="4706" t="s">
        <v>2709</v>
      </c>
      <c r="AC414" s="4705">
        <v>17</v>
      </c>
      <c r="AD414" s="4705">
        <v>6</v>
      </c>
      <c r="AE414" s="4622"/>
      <c r="BX414" s="4694">
        <v>1</v>
      </c>
      <c r="BY414" s="4694">
        <v>4</v>
      </c>
      <c r="BZ414" s="4695" t="s">
        <v>1458</v>
      </c>
      <c r="CA414" s="4695" t="s">
        <v>2709</v>
      </c>
      <c r="CB414" s="4696">
        <v>1</v>
      </c>
      <c r="CC414" s="4694">
        <v>6</v>
      </c>
    </row>
    <row r="415" spans="17:81">
      <c r="Q415" s="4722"/>
      <c r="R415" s="4446"/>
      <c r="S415" s="4706"/>
      <c r="T415" s="4706"/>
      <c r="U415" s="4707"/>
      <c r="V415" s="4707"/>
      <c r="X415" s="4622"/>
      <c r="Y415" s="4705">
        <v>3</v>
      </c>
      <c r="Z415" s="4705">
        <v>2</v>
      </c>
      <c r="AA415" s="4706" t="s">
        <v>2082</v>
      </c>
      <c r="AB415" s="4706" t="s">
        <v>2731</v>
      </c>
      <c r="AC415" s="4705">
        <v>2</v>
      </c>
      <c r="AD415" s="4705">
        <v>8</v>
      </c>
      <c r="AE415" s="4622"/>
      <c r="BX415" s="4694">
        <v>2</v>
      </c>
      <c r="BY415" s="4694">
        <v>1</v>
      </c>
      <c r="BZ415" s="4695" t="s">
        <v>388</v>
      </c>
      <c r="CA415" s="4695" t="s">
        <v>2731</v>
      </c>
      <c r="CB415" s="4696">
        <v>3</v>
      </c>
      <c r="CC415" s="4694">
        <v>8</v>
      </c>
    </row>
    <row r="416" spans="17:81">
      <c r="Q416" s="4722"/>
      <c r="R416" s="4446"/>
      <c r="S416" s="4706"/>
      <c r="T416" s="4706"/>
      <c r="U416" s="4707"/>
      <c r="V416" s="4707"/>
      <c r="Y416" s="4705">
        <v>3</v>
      </c>
      <c r="Z416" s="4705">
        <v>2</v>
      </c>
      <c r="AA416" s="4706" t="s">
        <v>2082</v>
      </c>
      <c r="AB416" s="4706" t="s">
        <v>2731</v>
      </c>
      <c r="AC416" s="4705">
        <v>3</v>
      </c>
      <c r="AD416" s="4705">
        <v>9</v>
      </c>
      <c r="AE416" s="4622"/>
      <c r="BX416" s="4694">
        <v>2</v>
      </c>
      <c r="BY416" s="4694">
        <v>1</v>
      </c>
      <c r="BZ416" s="4695" t="s">
        <v>388</v>
      </c>
      <c r="CA416" s="4697" t="s">
        <v>1076</v>
      </c>
      <c r="CB416" s="4696">
        <v>2</v>
      </c>
      <c r="CC416" s="4694">
        <v>7</v>
      </c>
    </row>
    <row r="417" spans="17:81">
      <c r="Q417" s="4722"/>
      <c r="R417" s="4446"/>
      <c r="S417" s="4706"/>
      <c r="T417" s="4706"/>
      <c r="U417" s="4707"/>
      <c r="V417" s="4707"/>
      <c r="Y417" s="4705">
        <v>3</v>
      </c>
      <c r="Z417" s="4705">
        <v>2</v>
      </c>
      <c r="AA417" s="4706" t="s">
        <v>2082</v>
      </c>
      <c r="AB417" s="4708" t="s">
        <v>2707</v>
      </c>
      <c r="AC417" s="4716">
        <v>3</v>
      </c>
      <c r="AD417" s="4716">
        <v>8</v>
      </c>
      <c r="AE417" s="4622"/>
      <c r="AF417" s="4622"/>
      <c r="AG417" s="4622"/>
      <c r="AH417" s="4622"/>
      <c r="AI417" s="4622"/>
      <c r="AJ417" s="4622"/>
      <c r="AK417" s="4622"/>
      <c r="AL417" s="4622"/>
      <c r="AM417" s="4622"/>
      <c r="AN417" s="4622"/>
      <c r="BX417" s="4694">
        <v>2</v>
      </c>
      <c r="BY417" s="4694">
        <v>1</v>
      </c>
      <c r="BZ417" s="4695" t="s">
        <v>388</v>
      </c>
      <c r="CA417" s="4695" t="s">
        <v>2709</v>
      </c>
      <c r="CB417" s="4696">
        <v>1</v>
      </c>
      <c r="CC417" s="4694">
        <v>7</v>
      </c>
    </row>
    <row r="418" spans="17:81" ht="14.4" customHeight="1">
      <c r="Q418" s="4722"/>
      <c r="R418" s="4446"/>
      <c r="S418" s="4706"/>
      <c r="T418" s="4706"/>
      <c r="U418" s="4707"/>
      <c r="V418" s="4707"/>
      <c r="Y418" s="4705">
        <v>3</v>
      </c>
      <c r="Z418" s="4705">
        <v>2</v>
      </c>
      <c r="AA418" s="4706" t="s">
        <v>2082</v>
      </c>
      <c r="AB418" s="4708" t="s">
        <v>1076</v>
      </c>
      <c r="AC418" s="4716">
        <v>4</v>
      </c>
      <c r="AD418" s="4716">
        <v>7</v>
      </c>
      <c r="AE418" s="4622"/>
      <c r="AF418" s="4622"/>
      <c r="AG418" s="4622"/>
      <c r="AH418" s="4622"/>
      <c r="AI418" s="4622"/>
      <c r="AJ418" s="4622"/>
      <c r="AK418" s="4622"/>
      <c r="AL418" s="4622"/>
      <c r="AM418" s="4622"/>
      <c r="AN418" s="4622"/>
      <c r="BX418" s="4694">
        <v>2</v>
      </c>
      <c r="BY418" s="4694">
        <v>1</v>
      </c>
      <c r="BZ418" s="4695" t="s">
        <v>388</v>
      </c>
      <c r="CA418" s="4695" t="s">
        <v>2710</v>
      </c>
      <c r="CB418" s="4696">
        <v>2</v>
      </c>
      <c r="CC418" s="4694">
        <v>0</v>
      </c>
    </row>
    <row r="419" spans="17:81" ht="14.4" customHeight="1">
      <c r="Q419" s="4722"/>
      <c r="R419" s="4446"/>
      <c r="S419" s="4706"/>
      <c r="T419" s="4706"/>
      <c r="U419" s="4707"/>
      <c r="V419" s="4707"/>
      <c r="Y419" s="4705">
        <v>3</v>
      </c>
      <c r="Z419" s="4705">
        <v>2</v>
      </c>
      <c r="AA419" s="4706" t="s">
        <v>2082</v>
      </c>
      <c r="AB419" s="4708" t="s">
        <v>1076</v>
      </c>
      <c r="AC419" s="4716">
        <v>1</v>
      </c>
      <c r="AD419" s="4716">
        <v>8</v>
      </c>
      <c r="AE419" s="4622"/>
      <c r="BX419" s="4694">
        <v>2</v>
      </c>
      <c r="BY419" s="4694">
        <v>1</v>
      </c>
      <c r="BZ419" s="4695" t="s">
        <v>681</v>
      </c>
      <c r="CA419" s="4695" t="s">
        <v>2731</v>
      </c>
      <c r="CB419" s="4696">
        <v>1</v>
      </c>
      <c r="CC419" s="4694">
        <v>8</v>
      </c>
    </row>
    <row r="420" spans="17:81" ht="14.4" customHeight="1">
      <c r="Q420" s="4722"/>
      <c r="R420" s="4446"/>
      <c r="S420" s="4706"/>
      <c r="T420" s="4706"/>
      <c r="U420" s="4707"/>
      <c r="V420" s="4707"/>
      <c r="Y420" s="4705">
        <v>3</v>
      </c>
      <c r="Z420" s="4705">
        <v>2</v>
      </c>
      <c r="AA420" s="4706" t="s">
        <v>2082</v>
      </c>
      <c r="AB420" s="4706" t="s">
        <v>2709</v>
      </c>
      <c r="AC420" s="4705">
        <v>1</v>
      </c>
      <c r="AD420" s="4705">
        <v>5</v>
      </c>
      <c r="AE420" s="4622"/>
      <c r="BX420" s="4694">
        <v>2</v>
      </c>
      <c r="BY420" s="4694">
        <v>1</v>
      </c>
      <c r="BZ420" s="4695" t="s">
        <v>681</v>
      </c>
      <c r="CA420" s="4695" t="s">
        <v>2731</v>
      </c>
      <c r="CB420" s="4696">
        <v>3</v>
      </c>
      <c r="CC420" s="4694">
        <v>10</v>
      </c>
    </row>
    <row r="421" spans="17:81">
      <c r="Q421" s="4722"/>
      <c r="R421" s="4446"/>
      <c r="S421" s="4706"/>
      <c r="T421" s="4706"/>
      <c r="U421" s="4707"/>
      <c r="V421" s="4707"/>
      <c r="Y421" s="4705">
        <v>3</v>
      </c>
      <c r="Z421" s="4705">
        <v>2</v>
      </c>
      <c r="AA421" s="4706" t="s">
        <v>2082</v>
      </c>
      <c r="AB421" s="4706" t="s">
        <v>2709</v>
      </c>
      <c r="AC421" s="4705">
        <v>3</v>
      </c>
      <c r="AD421" s="4705">
        <v>7</v>
      </c>
      <c r="AE421" s="4622"/>
      <c r="BX421" s="4694">
        <v>2</v>
      </c>
      <c r="BY421" s="4694">
        <v>1</v>
      </c>
      <c r="BZ421" s="4695" t="s">
        <v>681</v>
      </c>
      <c r="CA421" s="4697" t="s">
        <v>2732</v>
      </c>
      <c r="CB421" s="4696">
        <v>7</v>
      </c>
      <c r="CC421" s="4694">
        <v>7</v>
      </c>
    </row>
    <row r="422" spans="17:81">
      <c r="Q422" s="4722"/>
      <c r="R422" s="4446"/>
      <c r="S422" s="4706"/>
      <c r="T422" s="4706"/>
      <c r="U422" s="4707"/>
      <c r="V422" s="4707"/>
      <c r="Y422" s="4705">
        <v>3</v>
      </c>
      <c r="Z422" s="4705">
        <v>2</v>
      </c>
      <c r="AA422" s="4706" t="s">
        <v>2737</v>
      </c>
      <c r="AB422" s="4706" t="s">
        <v>1071</v>
      </c>
      <c r="AC422" s="4705">
        <v>6</v>
      </c>
      <c r="AD422" s="4705">
        <v>9</v>
      </c>
      <c r="AE422" s="4622"/>
      <c r="BX422" s="4694">
        <v>2</v>
      </c>
      <c r="BY422" s="4694">
        <v>1</v>
      </c>
      <c r="BZ422" s="4695" t="s">
        <v>681</v>
      </c>
      <c r="CA422" s="4697" t="s">
        <v>2732</v>
      </c>
      <c r="CB422" s="4696">
        <v>14</v>
      </c>
      <c r="CC422" s="4694">
        <v>8</v>
      </c>
    </row>
    <row r="423" spans="17:81">
      <c r="Q423" s="4722"/>
      <c r="R423" s="4446"/>
      <c r="S423" s="4706"/>
      <c r="T423" s="4706"/>
      <c r="U423" s="4707"/>
      <c r="V423" s="4707"/>
      <c r="X423" s="4622"/>
      <c r="Y423" s="4705">
        <v>3</v>
      </c>
      <c r="Z423" s="4705">
        <v>2</v>
      </c>
      <c r="AA423" s="4706" t="s">
        <v>2737</v>
      </c>
      <c r="AB423" s="4708" t="s">
        <v>1076</v>
      </c>
      <c r="AC423" s="4716">
        <v>1</v>
      </c>
      <c r="AD423" s="4716">
        <v>6</v>
      </c>
      <c r="AE423" s="4622"/>
      <c r="BX423" s="4694">
        <v>2</v>
      </c>
      <c r="BY423" s="4694">
        <v>1</v>
      </c>
      <c r="BZ423" s="4695" t="s">
        <v>681</v>
      </c>
      <c r="CA423" s="4697" t="s">
        <v>1076</v>
      </c>
      <c r="CB423" s="4696">
        <v>2</v>
      </c>
      <c r="CC423" s="4694">
        <v>8</v>
      </c>
    </row>
    <row r="424" spans="17:81">
      <c r="Q424" s="4722"/>
      <c r="R424" s="4446"/>
      <c r="S424" s="4706"/>
      <c r="T424" s="4706"/>
      <c r="U424" s="4707"/>
      <c r="V424" s="4707"/>
      <c r="Y424" s="4705">
        <v>3</v>
      </c>
      <c r="Z424" s="4705">
        <v>2</v>
      </c>
      <c r="AA424" s="4706" t="s">
        <v>2737</v>
      </c>
      <c r="AB424" s="4706" t="s">
        <v>2709</v>
      </c>
      <c r="AC424" s="4705">
        <v>5</v>
      </c>
      <c r="AD424" s="4705">
        <v>6</v>
      </c>
      <c r="AE424" s="4622"/>
      <c r="BX424" s="4694">
        <v>2</v>
      </c>
      <c r="BY424" s="4694">
        <v>1</v>
      </c>
      <c r="BZ424" s="4695" t="s">
        <v>681</v>
      </c>
      <c r="CA424" s="4695" t="s">
        <v>2709</v>
      </c>
      <c r="CB424" s="4696">
        <v>1</v>
      </c>
      <c r="CC424" s="4694">
        <v>8</v>
      </c>
    </row>
    <row r="425" spans="17:81" ht="14.4" customHeight="1">
      <c r="Q425" s="4722"/>
      <c r="R425" s="4446"/>
      <c r="S425" s="4706"/>
      <c r="T425" s="4706"/>
      <c r="U425" s="4707"/>
      <c r="V425" s="4707"/>
      <c r="Y425" s="4705">
        <v>3</v>
      </c>
      <c r="Z425" s="4705">
        <v>3</v>
      </c>
      <c r="AA425" s="4706" t="s">
        <v>2740</v>
      </c>
      <c r="AB425" s="4706" t="s">
        <v>2731</v>
      </c>
      <c r="AC425" s="4705">
        <v>3</v>
      </c>
      <c r="AD425" s="4705">
        <v>7</v>
      </c>
      <c r="AE425" s="4622"/>
      <c r="BX425" s="4694">
        <v>2</v>
      </c>
      <c r="BY425" s="4694">
        <v>1</v>
      </c>
      <c r="BZ425" s="4695" t="s">
        <v>681</v>
      </c>
      <c r="CA425" s="4695" t="s">
        <v>2710</v>
      </c>
      <c r="CB425" s="4696">
        <v>2</v>
      </c>
      <c r="CC425" s="4694">
        <v>0</v>
      </c>
    </row>
    <row r="426" spans="17:81" ht="14.4" customHeight="1">
      <c r="Q426" s="4722"/>
      <c r="R426" s="4446"/>
      <c r="S426" s="4706"/>
      <c r="T426" s="4706"/>
      <c r="U426" s="4707"/>
      <c r="V426" s="4707"/>
      <c r="Y426" s="4705">
        <v>3</v>
      </c>
      <c r="Z426" s="4705">
        <v>3</v>
      </c>
      <c r="AA426" s="4706" t="s">
        <v>2740</v>
      </c>
      <c r="AB426" s="4706" t="s">
        <v>2731</v>
      </c>
      <c r="AC426" s="4705">
        <v>3</v>
      </c>
      <c r="AD426" s="4705">
        <v>8</v>
      </c>
      <c r="AE426" s="4622"/>
      <c r="AF426" s="4622"/>
      <c r="AG426" s="4622"/>
      <c r="AH426" s="4622"/>
      <c r="AI426" s="4622"/>
      <c r="AJ426" s="4622"/>
      <c r="AK426" s="4622"/>
      <c r="AL426" s="4622"/>
      <c r="AM426" s="4622"/>
      <c r="AN426" s="4622"/>
      <c r="BX426" s="4694">
        <v>2</v>
      </c>
      <c r="BY426" s="4694">
        <v>1</v>
      </c>
      <c r="BZ426" s="4695" t="s">
        <v>119</v>
      </c>
      <c r="CA426" s="4695" t="s">
        <v>2731</v>
      </c>
      <c r="CB426" s="4696">
        <v>7</v>
      </c>
      <c r="CC426" s="4694">
        <v>8</v>
      </c>
    </row>
    <row r="427" spans="17:81">
      <c r="Q427" s="4722"/>
      <c r="R427" s="4446"/>
      <c r="S427" s="4706"/>
      <c r="T427" s="4706"/>
      <c r="U427" s="4707"/>
      <c r="V427" s="4707"/>
      <c r="Y427" s="4705">
        <v>3</v>
      </c>
      <c r="Z427" s="4705">
        <v>3</v>
      </c>
      <c r="AA427" s="4706" t="s">
        <v>2740</v>
      </c>
      <c r="AB427" s="4706" t="s">
        <v>2731</v>
      </c>
      <c r="AC427" s="4705">
        <v>2</v>
      </c>
      <c r="AD427" s="4705">
        <v>9</v>
      </c>
      <c r="AE427" s="4622"/>
      <c r="BX427" s="4694">
        <v>2</v>
      </c>
      <c r="BY427" s="4694">
        <v>1</v>
      </c>
      <c r="BZ427" s="4695" t="s">
        <v>119</v>
      </c>
      <c r="CA427" s="4695" t="s">
        <v>2731</v>
      </c>
      <c r="CB427" s="4696">
        <v>4</v>
      </c>
      <c r="CC427" s="4694">
        <v>9</v>
      </c>
    </row>
    <row r="428" spans="17:81" ht="14.4" customHeight="1">
      <c r="Q428" s="4722"/>
      <c r="R428" s="4446"/>
      <c r="S428" s="4706"/>
      <c r="T428" s="4706"/>
      <c r="U428" s="4707"/>
      <c r="V428" s="4707"/>
      <c r="X428" s="4622"/>
      <c r="Y428" s="4705">
        <v>3</v>
      </c>
      <c r="Z428" s="4705">
        <v>3</v>
      </c>
      <c r="AA428" s="4706" t="s">
        <v>2740</v>
      </c>
      <c r="AB428" s="4706" t="s">
        <v>1071</v>
      </c>
      <c r="AC428" s="4705">
        <v>1</v>
      </c>
      <c r="AD428" s="4705">
        <v>8</v>
      </c>
      <c r="AE428" s="4622"/>
      <c r="BX428" s="4694">
        <v>2</v>
      </c>
      <c r="BY428" s="4694">
        <v>1</v>
      </c>
      <c r="BZ428" s="4695" t="s">
        <v>119</v>
      </c>
      <c r="CA428" s="4697" t="s">
        <v>2732</v>
      </c>
      <c r="CB428" s="4696">
        <v>1</v>
      </c>
      <c r="CC428" s="4694">
        <v>7</v>
      </c>
    </row>
    <row r="429" spans="17:81" ht="14.4" customHeight="1">
      <c r="Q429" s="4722"/>
      <c r="R429" s="4446"/>
      <c r="S429" s="4706"/>
      <c r="T429" s="4706"/>
      <c r="U429" s="4707"/>
      <c r="V429" s="4707"/>
      <c r="Y429" s="4705">
        <v>3</v>
      </c>
      <c r="Z429" s="4705">
        <v>3</v>
      </c>
      <c r="AA429" s="4706" t="s">
        <v>2740</v>
      </c>
      <c r="AB429" s="4708" t="s">
        <v>2707</v>
      </c>
      <c r="AC429" s="4716">
        <v>1</v>
      </c>
      <c r="AD429" s="4716">
        <v>7</v>
      </c>
      <c r="AE429" s="4622"/>
      <c r="BX429" s="4694">
        <v>2</v>
      </c>
      <c r="BY429" s="4694">
        <v>1</v>
      </c>
      <c r="BZ429" s="4695" t="s">
        <v>119</v>
      </c>
      <c r="CA429" s="4697" t="s">
        <v>2732</v>
      </c>
      <c r="CB429" s="4696">
        <v>1</v>
      </c>
      <c r="CC429" s="4694">
        <v>8</v>
      </c>
    </row>
    <row r="430" spans="17:81" ht="14.4" customHeight="1">
      <c r="Q430" s="4722"/>
      <c r="R430" s="4446"/>
      <c r="S430" s="4706"/>
      <c r="T430" s="4706"/>
      <c r="U430" s="4707"/>
      <c r="V430" s="4707"/>
      <c r="Y430" s="4705">
        <v>3</v>
      </c>
      <c r="Z430" s="4705">
        <v>3</v>
      </c>
      <c r="AA430" s="4706" t="s">
        <v>2740</v>
      </c>
      <c r="AB430" s="4708" t="s">
        <v>2707</v>
      </c>
      <c r="AC430" s="4716">
        <v>1</v>
      </c>
      <c r="AD430" s="4716">
        <v>8</v>
      </c>
      <c r="AE430" s="4622"/>
      <c r="BX430" s="4694">
        <v>2</v>
      </c>
      <c r="BY430" s="4694">
        <v>1</v>
      </c>
      <c r="BZ430" s="4695" t="s">
        <v>119</v>
      </c>
      <c r="CA430" s="4695" t="s">
        <v>2705</v>
      </c>
      <c r="CB430" s="4696">
        <v>1</v>
      </c>
      <c r="CC430" s="4694">
        <v>3</v>
      </c>
    </row>
    <row r="431" spans="17:81" ht="14.4" customHeight="1">
      <c r="Q431" s="4722"/>
      <c r="R431" s="4446"/>
      <c r="S431" s="4706"/>
      <c r="T431" s="4706"/>
      <c r="U431" s="4707"/>
      <c r="V431" s="4707"/>
      <c r="Y431" s="4705">
        <v>3</v>
      </c>
      <c r="Z431" s="4705">
        <v>3</v>
      </c>
      <c r="AA431" s="4706" t="s">
        <v>2740</v>
      </c>
      <c r="AB431" s="4706" t="s">
        <v>2709</v>
      </c>
      <c r="AC431" s="4705">
        <v>1</v>
      </c>
      <c r="AD431" s="4705">
        <v>1</v>
      </c>
      <c r="AE431" s="4622"/>
      <c r="AF431" s="4622"/>
      <c r="AG431" s="4622"/>
      <c r="AH431" s="4622"/>
      <c r="AI431" s="4622"/>
      <c r="AJ431" s="4622"/>
      <c r="AK431" s="4622"/>
      <c r="AL431" s="4622"/>
      <c r="AM431" s="4622"/>
      <c r="AN431" s="4622"/>
      <c r="BX431" s="4694">
        <v>2</v>
      </c>
      <c r="BY431" s="4694">
        <v>1</v>
      </c>
      <c r="BZ431" s="4695" t="s">
        <v>119</v>
      </c>
      <c r="CA431" s="4695" t="s">
        <v>2705</v>
      </c>
      <c r="CB431" s="4696">
        <v>1</v>
      </c>
      <c r="CC431" s="4694">
        <v>4</v>
      </c>
    </row>
    <row r="432" spans="17:81">
      <c r="Q432" s="4722"/>
      <c r="R432" s="4446"/>
      <c r="S432" s="4706"/>
      <c r="T432" s="4706"/>
      <c r="U432" s="4707"/>
      <c r="V432" s="4707"/>
      <c r="Y432" s="4705">
        <v>3</v>
      </c>
      <c r="Z432" s="4705">
        <v>3</v>
      </c>
      <c r="AA432" s="4706" t="s">
        <v>2740</v>
      </c>
      <c r="AB432" s="4706" t="s">
        <v>2709</v>
      </c>
      <c r="AC432" s="4705">
        <v>2</v>
      </c>
      <c r="AD432" s="4705">
        <v>6</v>
      </c>
      <c r="AE432" s="4622"/>
      <c r="BX432" s="4694">
        <v>2</v>
      </c>
      <c r="BY432" s="4694">
        <v>1</v>
      </c>
      <c r="BZ432" s="4695" t="s">
        <v>119</v>
      </c>
      <c r="CA432" s="4695" t="s">
        <v>2705</v>
      </c>
      <c r="CB432" s="4696">
        <v>1</v>
      </c>
      <c r="CC432" s="4694">
        <v>6</v>
      </c>
    </row>
    <row r="433" spans="17:81">
      <c r="Q433" s="4722"/>
      <c r="R433" s="4446"/>
      <c r="S433" s="4706"/>
      <c r="T433" s="4706"/>
      <c r="U433" s="4707"/>
      <c r="V433" s="4707"/>
      <c r="Y433" s="4705">
        <v>3</v>
      </c>
      <c r="Z433" s="4705">
        <v>3</v>
      </c>
      <c r="AA433" s="4706" t="s">
        <v>2740</v>
      </c>
      <c r="AB433" s="4706" t="s">
        <v>2709</v>
      </c>
      <c r="AC433" s="4705">
        <v>1</v>
      </c>
      <c r="AD433" s="4705">
        <v>7</v>
      </c>
      <c r="AE433" s="4622"/>
      <c r="BX433" s="4694">
        <v>2</v>
      </c>
      <c r="BY433" s="4694">
        <v>1</v>
      </c>
      <c r="BZ433" s="4695" t="s">
        <v>119</v>
      </c>
      <c r="CA433" s="4697" t="s">
        <v>1076</v>
      </c>
      <c r="CB433" s="4696">
        <v>1</v>
      </c>
      <c r="CC433" s="4694">
        <v>7</v>
      </c>
    </row>
    <row r="434" spans="17:81">
      <c r="Q434" s="4722"/>
      <c r="R434" s="4446"/>
      <c r="S434" s="4706"/>
      <c r="T434" s="4706"/>
      <c r="U434" s="4707"/>
      <c r="V434" s="4707"/>
      <c r="Y434" s="4705">
        <v>3</v>
      </c>
      <c r="Z434" s="4705">
        <v>3</v>
      </c>
      <c r="AA434" s="4706" t="s">
        <v>292</v>
      </c>
      <c r="AB434" s="4706" t="s">
        <v>2731</v>
      </c>
      <c r="AC434" s="4705">
        <v>13</v>
      </c>
      <c r="AD434" s="4705">
        <v>7</v>
      </c>
      <c r="AE434" s="4622"/>
      <c r="BX434" s="4694">
        <v>2</v>
      </c>
      <c r="BY434" s="4694">
        <v>1</v>
      </c>
      <c r="BZ434" s="4695" t="s">
        <v>119</v>
      </c>
      <c r="CA434" s="4697" t="s">
        <v>1076</v>
      </c>
      <c r="CB434" s="4696">
        <v>1</v>
      </c>
      <c r="CC434" s="4694">
        <v>8</v>
      </c>
    </row>
    <row r="435" spans="17:81">
      <c r="Q435" s="4722"/>
      <c r="R435" s="4446"/>
      <c r="S435" s="4706"/>
      <c r="T435" s="4706"/>
      <c r="U435" s="4707"/>
      <c r="V435" s="4707"/>
      <c r="X435" s="4622"/>
      <c r="Y435" s="4705">
        <v>3</v>
      </c>
      <c r="Z435" s="4705">
        <v>3</v>
      </c>
      <c r="AA435" s="4706" t="s">
        <v>292</v>
      </c>
      <c r="AB435" s="4706" t="s">
        <v>2731</v>
      </c>
      <c r="AC435" s="4705">
        <v>5</v>
      </c>
      <c r="AD435" s="4705">
        <v>8</v>
      </c>
      <c r="AE435" s="4622"/>
      <c r="BX435" s="4694">
        <v>2</v>
      </c>
      <c r="BY435" s="4694">
        <v>1</v>
      </c>
      <c r="BZ435" s="4695" t="s">
        <v>119</v>
      </c>
      <c r="CA435" s="4697" t="s">
        <v>1076</v>
      </c>
      <c r="CB435" s="4696">
        <v>2</v>
      </c>
      <c r="CC435" s="4694">
        <v>9</v>
      </c>
    </row>
    <row r="436" spans="17:81" ht="14.4" customHeight="1">
      <c r="Q436" s="4722"/>
      <c r="R436" s="4446"/>
      <c r="S436" s="4706"/>
      <c r="T436" s="4706"/>
      <c r="U436" s="4707"/>
      <c r="V436" s="4707"/>
      <c r="Y436" s="4705">
        <v>3</v>
      </c>
      <c r="Z436" s="4705">
        <v>3</v>
      </c>
      <c r="AA436" s="4706" t="s">
        <v>292</v>
      </c>
      <c r="AB436" s="4706" t="s">
        <v>2705</v>
      </c>
      <c r="AC436" s="4705">
        <v>1</v>
      </c>
      <c r="AD436" s="4705">
        <v>3</v>
      </c>
      <c r="AE436" s="4622"/>
      <c r="BX436" s="4694">
        <v>2</v>
      </c>
      <c r="BY436" s="4694">
        <v>1</v>
      </c>
      <c r="BZ436" s="4695" t="s">
        <v>119</v>
      </c>
      <c r="CA436" s="4695" t="s">
        <v>2709</v>
      </c>
      <c r="CB436" s="4696">
        <v>1</v>
      </c>
      <c r="CC436" s="4694">
        <v>1</v>
      </c>
    </row>
    <row r="437" spans="17:81" ht="14.4" customHeight="1">
      <c r="Q437" s="4722"/>
      <c r="R437" s="4446"/>
      <c r="S437" s="4706"/>
      <c r="T437" s="4706"/>
      <c r="U437" s="4707"/>
      <c r="V437" s="4707"/>
      <c r="Y437" s="4705">
        <v>3</v>
      </c>
      <c r="Z437" s="4705">
        <v>3</v>
      </c>
      <c r="AA437" s="4706" t="s">
        <v>292</v>
      </c>
      <c r="AB437" s="4708" t="s">
        <v>2707</v>
      </c>
      <c r="AC437" s="4716">
        <v>1</v>
      </c>
      <c r="AD437" s="4716">
        <v>7</v>
      </c>
      <c r="AE437" s="4622"/>
      <c r="BX437" s="4694">
        <v>2</v>
      </c>
      <c r="BY437" s="4694">
        <v>1</v>
      </c>
      <c r="BZ437" s="4695" t="s">
        <v>119</v>
      </c>
      <c r="CA437" s="4695" t="s">
        <v>2710</v>
      </c>
      <c r="CB437" s="4696">
        <v>3</v>
      </c>
      <c r="CC437" s="4694">
        <v>0</v>
      </c>
    </row>
    <row r="438" spans="17:81">
      <c r="Q438" s="4722"/>
      <c r="R438" s="4446"/>
      <c r="S438" s="4706"/>
      <c r="T438" s="4706"/>
      <c r="U438" s="4707"/>
      <c r="V438" s="4707"/>
      <c r="X438" s="4622"/>
      <c r="Y438" s="4705">
        <v>3</v>
      </c>
      <c r="Z438" s="4705">
        <v>3</v>
      </c>
      <c r="AA438" s="4706" t="s">
        <v>292</v>
      </c>
      <c r="AB438" s="4708" t="s">
        <v>1076</v>
      </c>
      <c r="AC438" s="4716">
        <v>1</v>
      </c>
      <c r="AD438" s="4716">
        <v>6</v>
      </c>
      <c r="AE438" s="4622"/>
      <c r="AF438" s="4622"/>
      <c r="AG438" s="4622"/>
      <c r="AH438" s="4622"/>
      <c r="AI438" s="4622"/>
      <c r="AJ438" s="4622"/>
      <c r="AK438" s="4622"/>
      <c r="AL438" s="4622"/>
      <c r="AM438" s="4622"/>
      <c r="AN438" s="4622"/>
      <c r="BX438" s="4694">
        <v>2</v>
      </c>
      <c r="BY438" s="4694">
        <v>1</v>
      </c>
      <c r="BZ438" s="4695" t="s">
        <v>123</v>
      </c>
      <c r="CA438" s="4695" t="s">
        <v>2731</v>
      </c>
      <c r="CB438" s="4696">
        <v>4</v>
      </c>
      <c r="CC438" s="4694">
        <v>8</v>
      </c>
    </row>
    <row r="439" spans="17:81">
      <c r="Q439" s="4722"/>
      <c r="R439" s="4446"/>
      <c r="S439" s="4706"/>
      <c r="T439" s="4706"/>
      <c r="U439" s="4707"/>
      <c r="V439" s="4707"/>
      <c r="Y439" s="4705">
        <v>3</v>
      </c>
      <c r="Z439" s="4705">
        <v>3</v>
      </c>
      <c r="AA439" s="4706" t="s">
        <v>292</v>
      </c>
      <c r="AB439" s="4706" t="s">
        <v>2709</v>
      </c>
      <c r="AC439" s="4705">
        <v>1</v>
      </c>
      <c r="AD439" s="4705">
        <v>2</v>
      </c>
      <c r="AE439" s="4622"/>
      <c r="BX439" s="4694">
        <v>2</v>
      </c>
      <c r="BY439" s="4694">
        <v>1</v>
      </c>
      <c r="BZ439" s="4695" t="s">
        <v>123</v>
      </c>
      <c r="CA439" s="4695" t="s">
        <v>2731</v>
      </c>
      <c r="CB439" s="4696">
        <v>1</v>
      </c>
      <c r="CC439" s="4694">
        <v>9</v>
      </c>
    </row>
    <row r="440" spans="17:81" ht="14.4" customHeight="1">
      <c r="Q440" s="4722"/>
      <c r="R440" s="4446"/>
      <c r="S440" s="4706"/>
      <c r="T440" s="4706"/>
      <c r="U440" s="4707"/>
      <c r="V440" s="4707"/>
      <c r="Y440" s="4705">
        <v>3</v>
      </c>
      <c r="Z440" s="4705">
        <v>3</v>
      </c>
      <c r="AA440" s="4706" t="s">
        <v>292</v>
      </c>
      <c r="AB440" s="4706" t="s">
        <v>2709</v>
      </c>
      <c r="AC440" s="4705">
        <v>1</v>
      </c>
      <c r="AD440" s="4705">
        <v>3</v>
      </c>
      <c r="AE440" s="4622"/>
      <c r="BX440" s="4694">
        <v>2</v>
      </c>
      <c r="BY440" s="4694">
        <v>1</v>
      </c>
      <c r="BZ440" s="4695" t="s">
        <v>123</v>
      </c>
      <c r="CA440" s="4695" t="s">
        <v>2731</v>
      </c>
      <c r="CB440" s="4696">
        <v>2</v>
      </c>
      <c r="CC440" s="4694">
        <v>10</v>
      </c>
    </row>
    <row r="441" spans="17:81" ht="14.4" customHeight="1">
      <c r="Q441" s="4722"/>
      <c r="R441" s="4446"/>
      <c r="S441" s="4706"/>
      <c r="T441" s="4706"/>
      <c r="U441" s="4707"/>
      <c r="V441" s="4707"/>
      <c r="Y441" s="4705">
        <v>3</v>
      </c>
      <c r="Z441" s="4705">
        <v>3</v>
      </c>
      <c r="AA441" s="4706" t="s">
        <v>292</v>
      </c>
      <c r="AB441" s="4706" t="s">
        <v>2709</v>
      </c>
      <c r="AC441" s="4705">
        <v>2</v>
      </c>
      <c r="AD441" s="4705">
        <v>6</v>
      </c>
      <c r="AE441" s="4622"/>
      <c r="AF441" s="4622"/>
      <c r="AG441" s="4622"/>
      <c r="AH441" s="4622"/>
      <c r="AI441" s="4622"/>
      <c r="AJ441" s="4622"/>
      <c r="AK441" s="4622"/>
      <c r="AL441" s="4622"/>
      <c r="AM441" s="4622"/>
      <c r="AN441" s="4622"/>
      <c r="BX441" s="4694">
        <v>2</v>
      </c>
      <c r="BY441" s="4694">
        <v>1</v>
      </c>
      <c r="BZ441" s="4695" t="s">
        <v>123</v>
      </c>
      <c r="CA441" s="4697" t="s">
        <v>2732</v>
      </c>
      <c r="CB441" s="4696">
        <v>2</v>
      </c>
      <c r="CC441" s="4694">
        <v>6</v>
      </c>
    </row>
    <row r="442" spans="17:81" ht="14.4" customHeight="1">
      <c r="Q442" s="4722"/>
      <c r="R442" s="4446"/>
      <c r="S442" s="4706"/>
      <c r="T442" s="4706"/>
      <c r="U442" s="4707"/>
      <c r="V442" s="4707"/>
      <c r="X442" s="4622"/>
      <c r="Y442" s="4705">
        <v>3</v>
      </c>
      <c r="Z442" s="4705">
        <v>3</v>
      </c>
      <c r="AA442" s="4706" t="s">
        <v>292</v>
      </c>
      <c r="AB442" s="4706" t="s">
        <v>2709</v>
      </c>
      <c r="AC442" s="4705">
        <v>2</v>
      </c>
      <c r="AD442" s="4705">
        <v>7</v>
      </c>
      <c r="AE442" s="4622"/>
      <c r="BX442" s="4694">
        <v>2</v>
      </c>
      <c r="BY442" s="4694">
        <v>1</v>
      </c>
      <c r="BZ442" s="4695" t="s">
        <v>123</v>
      </c>
      <c r="CA442" s="4697" t="s">
        <v>1076</v>
      </c>
      <c r="CB442" s="4696">
        <v>1</v>
      </c>
      <c r="CC442" s="4694">
        <v>8</v>
      </c>
    </row>
    <row r="443" spans="17:81">
      <c r="Q443" s="4722"/>
      <c r="R443" s="4446"/>
      <c r="S443" s="4706"/>
      <c r="T443" s="4706"/>
      <c r="U443" s="4707"/>
      <c r="V443" s="4707"/>
      <c r="Y443" s="4705">
        <v>3</v>
      </c>
      <c r="Z443" s="4705">
        <v>3</v>
      </c>
      <c r="AA443" s="4706" t="s">
        <v>446</v>
      </c>
      <c r="AB443" s="4708" t="s">
        <v>2707</v>
      </c>
      <c r="AC443" s="4716">
        <v>2</v>
      </c>
      <c r="AD443" s="4716">
        <v>5</v>
      </c>
      <c r="AE443" s="4622"/>
      <c r="BX443" s="4694">
        <v>2</v>
      </c>
      <c r="BY443" s="4694">
        <v>1</v>
      </c>
      <c r="BZ443" s="4695" t="s">
        <v>123</v>
      </c>
      <c r="CA443" s="4695" t="s">
        <v>2775</v>
      </c>
      <c r="CB443" s="4696">
        <v>1</v>
      </c>
      <c r="CC443" s="4694">
        <v>8</v>
      </c>
    </row>
    <row r="444" spans="17:81" ht="24.6">
      <c r="Q444" s="4722"/>
      <c r="R444" s="4446"/>
      <c r="S444" s="4706"/>
      <c r="T444" s="4706"/>
      <c r="U444" s="4707"/>
      <c r="V444" s="4707"/>
      <c r="Y444" s="4705">
        <v>3</v>
      </c>
      <c r="Z444" s="4705">
        <v>3</v>
      </c>
      <c r="AA444" s="4706" t="s">
        <v>446</v>
      </c>
      <c r="AB444" s="4706" t="s">
        <v>2709</v>
      </c>
      <c r="AC444" s="4705">
        <v>1</v>
      </c>
      <c r="AD444" s="4705">
        <v>1</v>
      </c>
      <c r="AE444" s="4622"/>
      <c r="BX444" s="4694">
        <v>2</v>
      </c>
      <c r="BY444" s="4694">
        <v>1</v>
      </c>
      <c r="BZ444" s="4695" t="s">
        <v>123</v>
      </c>
      <c r="CA444" s="4695" t="s">
        <v>2710</v>
      </c>
      <c r="CB444" s="4696">
        <v>2</v>
      </c>
      <c r="CC444" s="4694">
        <v>0</v>
      </c>
    </row>
    <row r="445" spans="17:81" ht="14.4" customHeight="1">
      <c r="Q445" s="4722"/>
      <c r="R445" s="4446"/>
      <c r="S445" s="4706"/>
      <c r="T445" s="4706"/>
      <c r="U445" s="4707"/>
      <c r="V445" s="4707"/>
      <c r="Y445" s="4705">
        <v>3</v>
      </c>
      <c r="Z445" s="4705">
        <v>3</v>
      </c>
      <c r="AA445" s="4706" t="s">
        <v>446</v>
      </c>
      <c r="AB445" s="4706" t="s">
        <v>2709</v>
      </c>
      <c r="AC445" s="4705">
        <v>6</v>
      </c>
      <c r="AD445" s="4705">
        <v>5</v>
      </c>
      <c r="AE445" s="4622"/>
      <c r="AF445" s="4622"/>
      <c r="AG445" s="4622"/>
      <c r="AH445" s="4622"/>
      <c r="AI445" s="4622"/>
      <c r="AJ445" s="4622"/>
      <c r="AK445" s="4622"/>
      <c r="AL445" s="4622"/>
      <c r="AM445" s="4622"/>
      <c r="AN445" s="4622"/>
      <c r="BX445" s="4694">
        <v>2</v>
      </c>
      <c r="BY445" s="4694">
        <v>1</v>
      </c>
      <c r="BZ445" s="4695" t="s">
        <v>122</v>
      </c>
      <c r="CA445" s="4695" t="s">
        <v>2731</v>
      </c>
      <c r="CB445" s="4696">
        <v>1</v>
      </c>
      <c r="CC445" s="4694">
        <v>8</v>
      </c>
    </row>
    <row r="446" spans="17:81" ht="14.4" customHeight="1">
      <c r="Q446" s="4722"/>
      <c r="R446" s="4446"/>
      <c r="S446" s="4706"/>
      <c r="T446" s="4706"/>
      <c r="U446" s="4707"/>
      <c r="V446" s="4707"/>
      <c r="Y446" s="4705">
        <v>3</v>
      </c>
      <c r="Z446" s="4705">
        <v>3</v>
      </c>
      <c r="AA446" s="4706" t="s">
        <v>446</v>
      </c>
      <c r="AB446" s="4706" t="s">
        <v>2709</v>
      </c>
      <c r="AC446" s="4705">
        <v>2</v>
      </c>
      <c r="AD446" s="4705">
        <v>6</v>
      </c>
      <c r="AE446" s="4622"/>
      <c r="BX446" s="4694">
        <v>2</v>
      </c>
      <c r="BY446" s="4694">
        <v>1</v>
      </c>
      <c r="BZ446" s="4695" t="s">
        <v>122</v>
      </c>
      <c r="CA446" s="4697" t="s">
        <v>2732</v>
      </c>
      <c r="CB446" s="4696">
        <v>1</v>
      </c>
      <c r="CC446" s="4694">
        <v>6</v>
      </c>
    </row>
    <row r="447" spans="17:81" ht="14.4" customHeight="1">
      <c r="Q447" s="4722"/>
      <c r="R447" s="4446"/>
      <c r="S447" s="4706"/>
      <c r="T447" s="4706"/>
      <c r="U447" s="4707"/>
      <c r="V447" s="4707"/>
      <c r="X447" s="4622"/>
      <c r="Y447" s="4705">
        <v>3</v>
      </c>
      <c r="Z447" s="4705">
        <v>3</v>
      </c>
      <c r="AA447" s="4706" t="s">
        <v>2153</v>
      </c>
      <c r="AB447" s="4706" t="s">
        <v>2705</v>
      </c>
      <c r="AC447" s="4705">
        <v>1</v>
      </c>
      <c r="AD447" s="4705">
        <v>3</v>
      </c>
      <c r="AE447" s="4622"/>
      <c r="BX447" s="4694">
        <v>2</v>
      </c>
      <c r="BY447" s="4694">
        <v>1</v>
      </c>
      <c r="BZ447" s="4695" t="s">
        <v>122</v>
      </c>
      <c r="CA447" s="4697" t="s">
        <v>1076</v>
      </c>
      <c r="CB447" s="4696">
        <v>3</v>
      </c>
      <c r="CC447" s="4694">
        <v>7</v>
      </c>
    </row>
    <row r="448" spans="17:81" ht="14.4" customHeight="1">
      <c r="Q448" s="4722"/>
      <c r="R448" s="4446"/>
      <c r="S448" s="4706"/>
      <c r="T448" s="4706"/>
      <c r="U448" s="4707"/>
      <c r="V448" s="4707"/>
      <c r="Y448" s="4705">
        <v>3</v>
      </c>
      <c r="Z448" s="4705">
        <v>3</v>
      </c>
      <c r="AA448" s="4706" t="s">
        <v>2153</v>
      </c>
      <c r="AB448" s="4708" t="s">
        <v>2707</v>
      </c>
      <c r="AC448" s="4716">
        <v>1</v>
      </c>
      <c r="AD448" s="4716">
        <v>6</v>
      </c>
      <c r="AE448" s="4622"/>
      <c r="BX448" s="4694">
        <v>2</v>
      </c>
      <c r="BY448" s="4694">
        <v>1</v>
      </c>
      <c r="BZ448" s="4695" t="s">
        <v>122</v>
      </c>
      <c r="CA448" s="4695" t="s">
        <v>2775</v>
      </c>
      <c r="CB448" s="4696">
        <v>1</v>
      </c>
      <c r="CC448" s="4694">
        <v>5</v>
      </c>
    </row>
    <row r="449" spans="17:81" ht="14.4" customHeight="1">
      <c r="Q449" s="4722"/>
      <c r="R449" s="4446"/>
      <c r="S449" s="4706"/>
      <c r="T449" s="4706"/>
      <c r="U449" s="4707"/>
      <c r="V449" s="4707"/>
      <c r="Y449" s="4705">
        <v>3</v>
      </c>
      <c r="Z449" s="4705">
        <v>3</v>
      </c>
      <c r="AA449" s="4706" t="s">
        <v>2153</v>
      </c>
      <c r="AB449" s="4706" t="s">
        <v>2709</v>
      </c>
      <c r="AC449" s="4705">
        <v>8</v>
      </c>
      <c r="AD449" s="4705">
        <v>6</v>
      </c>
      <c r="AE449" s="4622"/>
      <c r="BX449" s="4694">
        <v>2</v>
      </c>
      <c r="BY449" s="4694">
        <v>1</v>
      </c>
      <c r="BZ449" s="4695" t="s">
        <v>122</v>
      </c>
      <c r="CA449" s="4695" t="s">
        <v>2775</v>
      </c>
      <c r="CB449" s="4696">
        <v>1</v>
      </c>
      <c r="CC449" s="4694">
        <v>8</v>
      </c>
    </row>
    <row r="450" spans="17:81">
      <c r="Q450" s="4722"/>
      <c r="R450" s="4446"/>
      <c r="S450" s="4706"/>
      <c r="T450" s="4706"/>
      <c r="U450" s="4707"/>
      <c r="V450" s="4707"/>
      <c r="Y450" s="4705">
        <v>3</v>
      </c>
      <c r="Z450" s="4705">
        <v>3</v>
      </c>
      <c r="AA450" s="4706" t="s">
        <v>610</v>
      </c>
      <c r="AB450" s="4706" t="s">
        <v>2731</v>
      </c>
      <c r="AC450" s="4705">
        <v>4</v>
      </c>
      <c r="AD450" s="4705">
        <v>8</v>
      </c>
      <c r="AE450" s="4622"/>
      <c r="AF450" s="4622"/>
      <c r="AG450" s="4622"/>
      <c r="AH450" s="4622"/>
      <c r="AI450" s="4622"/>
      <c r="AJ450" s="4622"/>
      <c r="AK450" s="4622"/>
      <c r="AL450" s="4622"/>
      <c r="AM450" s="4622"/>
      <c r="AN450" s="4622"/>
      <c r="BX450" s="4694">
        <v>2</v>
      </c>
      <c r="BY450" s="4694">
        <v>1</v>
      </c>
      <c r="BZ450" s="4695" t="s">
        <v>122</v>
      </c>
      <c r="CA450" s="4695" t="s">
        <v>2709</v>
      </c>
      <c r="CB450" s="4696">
        <v>1</v>
      </c>
      <c r="CC450" s="4694">
        <v>7</v>
      </c>
    </row>
    <row r="451" spans="17:81" ht="28.95" customHeight="1">
      <c r="Q451" s="4722"/>
      <c r="R451" s="4446"/>
      <c r="S451" s="4706"/>
      <c r="T451" s="4706"/>
      <c r="U451" s="4707"/>
      <c r="V451" s="4707"/>
      <c r="Y451" s="4705">
        <v>3</v>
      </c>
      <c r="Z451" s="4705">
        <v>3</v>
      </c>
      <c r="AA451" s="4706" t="s">
        <v>610</v>
      </c>
      <c r="AB451" s="4708" t="s">
        <v>2707</v>
      </c>
      <c r="AC451" s="4716">
        <v>1</v>
      </c>
      <c r="AD451" s="4716">
        <v>7</v>
      </c>
      <c r="AE451" s="4622"/>
      <c r="BX451" s="4694">
        <v>2</v>
      </c>
      <c r="BY451" s="4694">
        <v>1</v>
      </c>
      <c r="BZ451" s="4695" t="s">
        <v>122</v>
      </c>
      <c r="CA451" s="4695" t="s">
        <v>2710</v>
      </c>
      <c r="CB451" s="4696">
        <v>1</v>
      </c>
      <c r="CC451" s="4694">
        <v>0</v>
      </c>
    </row>
    <row r="452" spans="17:81" ht="28.95" customHeight="1">
      <c r="Q452" s="4722"/>
      <c r="R452" s="4446"/>
      <c r="S452" s="4706"/>
      <c r="T452" s="4706"/>
      <c r="U452" s="4707"/>
      <c r="V452" s="4707"/>
      <c r="Y452" s="4705">
        <v>3</v>
      </c>
      <c r="Z452" s="4705">
        <v>3</v>
      </c>
      <c r="AA452" s="4706" t="s">
        <v>610</v>
      </c>
      <c r="AB452" s="4706" t="s">
        <v>2709</v>
      </c>
      <c r="AC452" s="4705">
        <v>1</v>
      </c>
      <c r="AD452" s="4705">
        <v>6</v>
      </c>
      <c r="AE452" s="4622"/>
      <c r="BX452" s="4694">
        <v>2</v>
      </c>
      <c r="BY452" s="4694">
        <v>1</v>
      </c>
      <c r="BZ452" s="4695" t="s">
        <v>120</v>
      </c>
      <c r="CA452" s="4695" t="s">
        <v>2731</v>
      </c>
      <c r="CB452" s="4696">
        <v>9</v>
      </c>
      <c r="CC452" s="4694">
        <v>8</v>
      </c>
    </row>
    <row r="453" spans="17:81">
      <c r="Q453" s="4722"/>
      <c r="R453" s="4446"/>
      <c r="S453" s="4706"/>
      <c r="T453" s="4706"/>
      <c r="U453" s="4707"/>
      <c r="V453" s="4707"/>
      <c r="Y453" s="4705">
        <v>3</v>
      </c>
      <c r="Z453" s="4705">
        <v>3</v>
      </c>
      <c r="AA453" s="4706" t="s">
        <v>293</v>
      </c>
      <c r="AB453" s="4706" t="s">
        <v>2731</v>
      </c>
      <c r="AC453" s="4705">
        <v>14</v>
      </c>
      <c r="AD453" s="4705">
        <v>7</v>
      </c>
      <c r="AE453" s="4622"/>
      <c r="BX453" s="4694">
        <v>2</v>
      </c>
      <c r="BY453" s="4694">
        <v>1</v>
      </c>
      <c r="BZ453" s="4695" t="s">
        <v>120</v>
      </c>
      <c r="CA453" s="4695" t="s">
        <v>2731</v>
      </c>
      <c r="CB453" s="4696">
        <v>2</v>
      </c>
      <c r="CC453" s="4694">
        <v>9</v>
      </c>
    </row>
    <row r="454" spans="17:81">
      <c r="Q454" s="4722"/>
      <c r="R454" s="4446"/>
      <c r="S454" s="4706"/>
      <c r="T454" s="4706"/>
      <c r="U454" s="4707"/>
      <c r="V454" s="4707"/>
      <c r="Y454" s="4705">
        <v>3</v>
      </c>
      <c r="Z454" s="4705">
        <v>3</v>
      </c>
      <c r="AA454" s="4706" t="s">
        <v>293</v>
      </c>
      <c r="AB454" s="4706" t="s">
        <v>2709</v>
      </c>
      <c r="AC454" s="4705">
        <v>1</v>
      </c>
      <c r="AD454" s="4705">
        <v>5</v>
      </c>
      <c r="AE454" s="4622"/>
      <c r="BX454" s="4694">
        <v>2</v>
      </c>
      <c r="BY454" s="4694">
        <v>1</v>
      </c>
      <c r="BZ454" s="4695" t="s">
        <v>120</v>
      </c>
      <c r="CA454" s="4695" t="s">
        <v>2709</v>
      </c>
      <c r="CB454" s="4696">
        <v>1</v>
      </c>
      <c r="CC454" s="4694">
        <v>2</v>
      </c>
    </row>
    <row r="455" spans="17:81" ht="14.4" customHeight="1">
      <c r="Q455" s="4722"/>
      <c r="R455" s="4446"/>
      <c r="S455" s="4706"/>
      <c r="T455" s="4706"/>
      <c r="U455" s="4707"/>
      <c r="V455" s="4707"/>
      <c r="X455" s="4622"/>
      <c r="Y455" s="4705">
        <v>3</v>
      </c>
      <c r="Z455" s="4705">
        <v>4</v>
      </c>
      <c r="AA455" s="4706" t="s">
        <v>297</v>
      </c>
      <c r="AB455" s="4706" t="s">
        <v>1071</v>
      </c>
      <c r="AC455" s="4705">
        <v>1</v>
      </c>
      <c r="AD455" s="4705">
        <v>5</v>
      </c>
      <c r="AE455" s="4622"/>
      <c r="BX455" s="4694">
        <v>2</v>
      </c>
      <c r="BY455" s="4694">
        <v>1</v>
      </c>
      <c r="BZ455" s="4695" t="s">
        <v>120</v>
      </c>
      <c r="CA455" s="4695" t="s">
        <v>2709</v>
      </c>
      <c r="CB455" s="4696">
        <v>1</v>
      </c>
      <c r="CC455" s="4694">
        <v>4</v>
      </c>
    </row>
    <row r="456" spans="17:81">
      <c r="Q456" s="4722"/>
      <c r="R456" s="4446"/>
      <c r="S456" s="4706"/>
      <c r="T456" s="4706"/>
      <c r="U456" s="4707"/>
      <c r="V456" s="4707"/>
      <c r="Y456" s="4705">
        <v>3</v>
      </c>
      <c r="Z456" s="4705">
        <v>4</v>
      </c>
      <c r="AA456" s="4706" t="s">
        <v>297</v>
      </c>
      <c r="AB456" s="4706" t="s">
        <v>2703</v>
      </c>
      <c r="AC456" s="4705">
        <v>1</v>
      </c>
      <c r="AD456" s="4705">
        <v>1</v>
      </c>
      <c r="AE456" s="4622"/>
      <c r="BX456" s="4694">
        <v>2</v>
      </c>
      <c r="BY456" s="4694">
        <v>1</v>
      </c>
      <c r="BZ456" s="4695" t="s">
        <v>120</v>
      </c>
      <c r="CA456" s="4695" t="s">
        <v>2709</v>
      </c>
      <c r="CB456" s="4696">
        <v>1</v>
      </c>
      <c r="CC456" s="4694">
        <v>7</v>
      </c>
    </row>
    <row r="457" spans="17:81" ht="14.4" customHeight="1">
      <c r="Q457" s="4722"/>
      <c r="R457" s="4446"/>
      <c r="S457" s="4706"/>
      <c r="T457" s="4706"/>
      <c r="U457" s="4707"/>
      <c r="V457" s="4707"/>
      <c r="Y457" s="4705">
        <v>3</v>
      </c>
      <c r="Z457" s="4705">
        <v>4</v>
      </c>
      <c r="AA457" s="4706" t="s">
        <v>297</v>
      </c>
      <c r="AB457" s="4706" t="s">
        <v>2705</v>
      </c>
      <c r="AC457" s="4705">
        <v>1</v>
      </c>
      <c r="AD457" s="4705">
        <v>4</v>
      </c>
      <c r="AE457" s="4622"/>
      <c r="BX457" s="4694">
        <v>2</v>
      </c>
      <c r="BY457" s="4694">
        <v>1</v>
      </c>
      <c r="BZ457" s="4695" t="s">
        <v>120</v>
      </c>
      <c r="CA457" s="4695" t="s">
        <v>2710</v>
      </c>
      <c r="CB457" s="4696">
        <v>2</v>
      </c>
      <c r="CC457" s="4694">
        <v>0</v>
      </c>
    </row>
    <row r="458" spans="17:81" ht="28.95" customHeight="1">
      <c r="Q458" s="4722"/>
      <c r="R458" s="4446"/>
      <c r="S458" s="4706"/>
      <c r="T458" s="4706"/>
      <c r="U458" s="4707"/>
      <c r="V458" s="4707"/>
      <c r="X458" s="4622"/>
      <c r="Y458" s="4705">
        <v>3</v>
      </c>
      <c r="Z458" s="4705">
        <v>4</v>
      </c>
      <c r="AA458" s="4706" t="s">
        <v>297</v>
      </c>
      <c r="AB458" s="4706" t="s">
        <v>2709</v>
      </c>
      <c r="AC458" s="4705">
        <v>1</v>
      </c>
      <c r="AD458" s="4705">
        <v>1</v>
      </c>
      <c r="AE458" s="4622"/>
      <c r="AF458" s="4622"/>
      <c r="AG458" s="4622"/>
      <c r="AH458" s="4622"/>
      <c r="AI458" s="4622"/>
      <c r="AJ458" s="4622"/>
      <c r="AK458" s="4622"/>
      <c r="AL458" s="4622"/>
      <c r="AM458" s="4622"/>
      <c r="AN458" s="4622"/>
      <c r="BX458" s="4694">
        <v>2</v>
      </c>
      <c r="BY458" s="4694">
        <v>1</v>
      </c>
      <c r="BZ458" s="4695" t="s">
        <v>121</v>
      </c>
      <c r="CA458" s="4695" t="s">
        <v>2731</v>
      </c>
      <c r="CB458" s="4696">
        <v>2</v>
      </c>
      <c r="CC458" s="4694">
        <v>8</v>
      </c>
    </row>
    <row r="459" spans="17:81">
      <c r="Q459" s="4722"/>
      <c r="R459" s="4446"/>
      <c r="S459" s="4706"/>
      <c r="T459" s="4706"/>
      <c r="U459" s="4707"/>
      <c r="V459" s="4707"/>
      <c r="Y459" s="4705">
        <v>3</v>
      </c>
      <c r="Z459" s="4705">
        <v>4</v>
      </c>
      <c r="AA459" s="4706" t="s">
        <v>297</v>
      </c>
      <c r="AB459" s="4706" t="s">
        <v>2709</v>
      </c>
      <c r="AC459" s="4705">
        <v>1</v>
      </c>
      <c r="AD459" s="4705">
        <v>4</v>
      </c>
      <c r="AE459" s="4622"/>
      <c r="BX459" s="4694">
        <v>2</v>
      </c>
      <c r="BY459" s="4694">
        <v>1</v>
      </c>
      <c r="BZ459" s="4695" t="s">
        <v>121</v>
      </c>
      <c r="CA459" s="4697" t="s">
        <v>2732</v>
      </c>
      <c r="CB459" s="4696">
        <v>9</v>
      </c>
      <c r="CC459" s="4694">
        <v>6</v>
      </c>
    </row>
    <row r="460" spans="17:81" ht="14.4" customHeight="1">
      <c r="Q460" s="4722"/>
      <c r="R460" s="4446"/>
      <c r="S460" s="4706"/>
      <c r="T460" s="4706"/>
      <c r="U460" s="4707"/>
      <c r="V460" s="4707"/>
      <c r="Y460" s="4705">
        <v>3</v>
      </c>
      <c r="Z460" s="4705">
        <v>4</v>
      </c>
      <c r="AA460" s="4706" t="s">
        <v>297</v>
      </c>
      <c r="AB460" s="4706" t="s">
        <v>2709</v>
      </c>
      <c r="AC460" s="4705">
        <v>18</v>
      </c>
      <c r="AD460" s="4705">
        <v>6</v>
      </c>
      <c r="AE460" s="4622"/>
      <c r="BX460" s="4694">
        <v>2</v>
      </c>
      <c r="BY460" s="4694">
        <v>1</v>
      </c>
      <c r="BZ460" s="4695" t="s">
        <v>121</v>
      </c>
      <c r="CA460" s="4697" t="s">
        <v>2732</v>
      </c>
      <c r="CB460" s="4696">
        <v>1</v>
      </c>
      <c r="CC460" s="4694">
        <v>7</v>
      </c>
    </row>
    <row r="461" spans="17:81" ht="14.4" customHeight="1">
      <c r="Q461" s="4722"/>
      <c r="R461" s="4446"/>
      <c r="S461" s="4706"/>
      <c r="T461" s="4706"/>
      <c r="U461" s="4707"/>
      <c r="V461" s="4707"/>
      <c r="X461" s="4622"/>
      <c r="Y461" s="4705">
        <v>4</v>
      </c>
      <c r="Z461" s="4705">
        <v>2</v>
      </c>
      <c r="AA461" s="4706" t="s">
        <v>608</v>
      </c>
      <c r="AB461" s="4706" t="s">
        <v>2731</v>
      </c>
      <c r="AC461" s="4705">
        <v>6</v>
      </c>
      <c r="AD461" s="4705">
        <v>7</v>
      </c>
      <c r="AE461" s="4622"/>
      <c r="AF461" s="4622"/>
      <c r="AG461" s="4622"/>
      <c r="AH461" s="4622"/>
      <c r="AI461" s="4622"/>
      <c r="AJ461" s="4622"/>
      <c r="AK461" s="4622"/>
      <c r="AL461" s="4622"/>
      <c r="AM461" s="4622"/>
      <c r="AN461" s="4622"/>
      <c r="BX461" s="4694">
        <v>2</v>
      </c>
      <c r="BY461" s="4694">
        <v>1</v>
      </c>
      <c r="BZ461" s="4695" t="s">
        <v>121</v>
      </c>
      <c r="CA461" s="4697" t="s">
        <v>2732</v>
      </c>
      <c r="CB461" s="4696">
        <v>1</v>
      </c>
      <c r="CC461" s="4694">
        <v>8</v>
      </c>
    </row>
    <row r="462" spans="17:81" ht="14.4" customHeight="1">
      <c r="Q462" s="4722"/>
      <c r="R462" s="4446"/>
      <c r="S462" s="4706"/>
      <c r="T462" s="4706"/>
      <c r="U462" s="4707"/>
      <c r="V462" s="4707"/>
      <c r="Y462" s="4705">
        <v>4</v>
      </c>
      <c r="Z462" s="4705">
        <v>2</v>
      </c>
      <c r="AA462" s="4706" t="s">
        <v>608</v>
      </c>
      <c r="AB462" s="4708" t="s">
        <v>2707</v>
      </c>
      <c r="AC462" s="4716">
        <v>4</v>
      </c>
      <c r="AD462" s="4716">
        <v>6</v>
      </c>
      <c r="AE462" s="4622"/>
      <c r="BX462" s="4694">
        <v>2</v>
      </c>
      <c r="BY462" s="4694">
        <v>1</v>
      </c>
      <c r="BZ462" s="4695" t="s">
        <v>121</v>
      </c>
      <c r="CA462" s="4697" t="s">
        <v>1076</v>
      </c>
      <c r="CB462" s="4696">
        <v>1</v>
      </c>
      <c r="CC462" s="4694">
        <v>6</v>
      </c>
    </row>
    <row r="463" spans="17:81" ht="28.95" customHeight="1">
      <c r="Q463" s="4722"/>
      <c r="R463" s="4446"/>
      <c r="S463" s="4706"/>
      <c r="T463" s="4706"/>
      <c r="U463" s="4707"/>
      <c r="V463" s="4707"/>
      <c r="X463" s="4622"/>
      <c r="Y463" s="4705">
        <v>4</v>
      </c>
      <c r="Z463" s="4705">
        <v>2</v>
      </c>
      <c r="AA463" s="4706" t="s">
        <v>608</v>
      </c>
      <c r="AB463" s="4706" t="s">
        <v>2709</v>
      </c>
      <c r="AC463" s="4705">
        <v>1</v>
      </c>
      <c r="AD463" s="4705">
        <v>6</v>
      </c>
      <c r="AE463" s="4622"/>
      <c r="BX463" s="4694">
        <v>2</v>
      </c>
      <c r="BY463" s="4694">
        <v>1</v>
      </c>
      <c r="BZ463" s="4695" t="s">
        <v>121</v>
      </c>
      <c r="CA463" s="4697" t="s">
        <v>1076</v>
      </c>
      <c r="CB463" s="4696">
        <v>2</v>
      </c>
      <c r="CC463" s="4694">
        <v>7</v>
      </c>
    </row>
    <row r="464" spans="17:81">
      <c r="Q464" s="4722"/>
      <c r="R464" s="4446"/>
      <c r="S464" s="4706"/>
      <c r="T464" s="4706"/>
      <c r="U464" s="4707"/>
      <c r="V464" s="4707"/>
      <c r="X464" s="4622"/>
      <c r="Y464" s="4705">
        <v>4</v>
      </c>
      <c r="Z464" s="4705">
        <v>5</v>
      </c>
      <c r="AA464" s="4706" t="s">
        <v>383</v>
      </c>
      <c r="AB464" s="4706" t="s">
        <v>2731</v>
      </c>
      <c r="AC464" s="4705">
        <v>13</v>
      </c>
      <c r="AD464" s="4705">
        <v>7</v>
      </c>
      <c r="AE464" s="4622"/>
      <c r="AF464" s="4622"/>
      <c r="AG464" s="4622"/>
      <c r="AH464" s="4622"/>
      <c r="AI464" s="4622"/>
      <c r="AJ464" s="4622"/>
      <c r="AK464" s="4622"/>
      <c r="AL464" s="4622"/>
      <c r="AM464" s="4622"/>
      <c r="AN464" s="4622"/>
      <c r="BX464" s="4694">
        <v>2</v>
      </c>
      <c r="BY464" s="4694">
        <v>1</v>
      </c>
      <c r="BZ464" s="4695" t="s">
        <v>121</v>
      </c>
      <c r="CA464" s="4697" t="s">
        <v>1076</v>
      </c>
      <c r="CB464" s="4696">
        <v>1</v>
      </c>
      <c r="CC464" s="4694">
        <v>8</v>
      </c>
    </row>
    <row r="465" spans="17:81">
      <c r="Q465" s="4722"/>
      <c r="R465" s="4446"/>
      <c r="S465" s="4706"/>
      <c r="T465" s="4706"/>
      <c r="U465" s="4707"/>
      <c r="V465" s="4707"/>
      <c r="X465" s="4622"/>
      <c r="Y465" s="4705">
        <v>4</v>
      </c>
      <c r="Z465" s="4705">
        <v>5</v>
      </c>
      <c r="AA465" s="4706" t="s">
        <v>383</v>
      </c>
      <c r="AB465" s="4706" t="s">
        <v>2709</v>
      </c>
      <c r="AC465" s="4705">
        <v>1</v>
      </c>
      <c r="AD465" s="4705">
        <v>1</v>
      </c>
      <c r="AE465" s="4622"/>
      <c r="BX465" s="4694">
        <v>2</v>
      </c>
      <c r="BY465" s="4694">
        <v>1</v>
      </c>
      <c r="BZ465" s="4695" t="s">
        <v>121</v>
      </c>
      <c r="CA465" s="4695" t="s">
        <v>2775</v>
      </c>
      <c r="CB465" s="4696">
        <v>1</v>
      </c>
      <c r="CC465" s="4694">
        <v>8</v>
      </c>
    </row>
    <row r="466" spans="17:81" ht="14.4" customHeight="1">
      <c r="Q466" s="4722"/>
      <c r="R466" s="4446"/>
      <c r="S466" s="4706"/>
      <c r="T466" s="4706"/>
      <c r="U466" s="4707"/>
      <c r="V466" s="4707"/>
      <c r="X466" s="4622"/>
      <c r="Y466" s="4705">
        <v>4</v>
      </c>
      <c r="Z466" s="4705">
        <v>5</v>
      </c>
      <c r="AA466" s="4706" t="s">
        <v>383</v>
      </c>
      <c r="AB466" s="4706" t="s">
        <v>2709</v>
      </c>
      <c r="AC466" s="4705">
        <v>1</v>
      </c>
      <c r="AD466" s="4705">
        <v>4</v>
      </c>
      <c r="AE466" s="4622"/>
      <c r="AF466" s="4622"/>
      <c r="AG466" s="4622"/>
      <c r="AH466" s="4622"/>
      <c r="AI466" s="4622"/>
      <c r="AJ466" s="4622"/>
      <c r="AK466" s="4622"/>
      <c r="AL466" s="4622"/>
      <c r="AM466" s="4622"/>
      <c r="AN466" s="4622"/>
      <c r="BX466" s="4694">
        <v>2</v>
      </c>
      <c r="BY466" s="4694">
        <v>1</v>
      </c>
      <c r="BZ466" s="4695" t="s">
        <v>121</v>
      </c>
      <c r="CA466" s="4695" t="s">
        <v>2709</v>
      </c>
      <c r="CB466" s="4696">
        <v>1</v>
      </c>
      <c r="CC466" s="4694">
        <v>6</v>
      </c>
    </row>
    <row r="467" spans="17:81" ht="14.4" customHeight="1">
      <c r="Q467" s="4722"/>
      <c r="R467" s="4446"/>
      <c r="S467" s="4706"/>
      <c r="T467" s="4706"/>
      <c r="U467" s="4707"/>
      <c r="V467" s="4707"/>
      <c r="Y467" s="4705">
        <v>4</v>
      </c>
      <c r="Z467" s="4705">
        <v>5</v>
      </c>
      <c r="AA467" s="4706" t="s">
        <v>383</v>
      </c>
      <c r="AB467" s="4706" t="s">
        <v>2709</v>
      </c>
      <c r="AC467" s="4705">
        <v>7</v>
      </c>
      <c r="AD467" s="4705">
        <v>6</v>
      </c>
      <c r="AE467" s="4622"/>
      <c r="AF467" s="4622"/>
      <c r="AG467" s="4622"/>
      <c r="AH467" s="4622"/>
      <c r="AI467" s="4622"/>
      <c r="AJ467" s="4622"/>
      <c r="AK467" s="4622"/>
      <c r="AL467" s="4622"/>
      <c r="AM467" s="4622"/>
      <c r="AN467" s="4622"/>
      <c r="BX467" s="4694">
        <v>2</v>
      </c>
      <c r="BY467" s="4694">
        <v>2</v>
      </c>
      <c r="BZ467" s="4695" t="s">
        <v>2737</v>
      </c>
      <c r="CA467" s="4697" t="s">
        <v>2732</v>
      </c>
      <c r="CB467" s="4696">
        <v>1</v>
      </c>
      <c r="CC467" s="4694">
        <v>6</v>
      </c>
    </row>
    <row r="468" spans="17:81" ht="14.4" customHeight="1">
      <c r="Q468" s="4722"/>
      <c r="R468" s="4446"/>
      <c r="S468" s="4706"/>
      <c r="T468" s="4706"/>
      <c r="U468" s="4707"/>
      <c r="V468" s="4707"/>
      <c r="Y468" s="4705">
        <v>4</v>
      </c>
      <c r="Z468" s="4705">
        <v>6</v>
      </c>
      <c r="AA468" s="4706" t="s">
        <v>609</v>
      </c>
      <c r="AB468" s="4706" t="s">
        <v>2731</v>
      </c>
      <c r="AC468" s="4705">
        <v>6</v>
      </c>
      <c r="AD468" s="4705">
        <v>7</v>
      </c>
      <c r="AE468" s="4622"/>
      <c r="AF468" s="4622"/>
      <c r="AG468" s="4622"/>
      <c r="AH468" s="4622"/>
      <c r="AI468" s="4622"/>
      <c r="AJ468" s="4622"/>
      <c r="AK468" s="4622"/>
      <c r="AL468" s="4622"/>
      <c r="AM468" s="4622"/>
      <c r="AN468" s="4622"/>
      <c r="BX468" s="4694">
        <v>2</v>
      </c>
      <c r="BY468" s="4694">
        <v>2</v>
      </c>
      <c r="BZ468" s="4695" t="s">
        <v>2737</v>
      </c>
      <c r="CA468" s="4695" t="s">
        <v>2705</v>
      </c>
      <c r="CB468" s="4696">
        <v>1</v>
      </c>
      <c r="CC468" s="4694">
        <v>1</v>
      </c>
    </row>
    <row r="469" spans="17:81" ht="14.4" customHeight="1">
      <c r="Q469" s="4722"/>
      <c r="R469" s="4446"/>
      <c r="S469" s="4706"/>
      <c r="T469" s="4706"/>
      <c r="U469" s="4707"/>
      <c r="V469" s="4707"/>
      <c r="Y469" s="4705">
        <v>4</v>
      </c>
      <c r="Z469" s="4705">
        <v>6</v>
      </c>
      <c r="AA469" s="4706" t="s">
        <v>609</v>
      </c>
      <c r="AB469" s="4706" t="s">
        <v>2709</v>
      </c>
      <c r="AC469" s="4705">
        <v>1</v>
      </c>
      <c r="AD469" s="4705">
        <v>6</v>
      </c>
      <c r="AE469" s="4622"/>
      <c r="AF469" s="4622"/>
      <c r="AG469" s="4622"/>
      <c r="AH469" s="4622"/>
      <c r="AI469" s="4622"/>
      <c r="AJ469" s="4622"/>
      <c r="AK469" s="4622"/>
      <c r="AL469" s="4622"/>
      <c r="AM469" s="4622"/>
      <c r="AN469" s="4622"/>
      <c r="BX469" s="4694">
        <v>2</v>
      </c>
      <c r="BY469" s="4694">
        <v>2</v>
      </c>
      <c r="BZ469" s="4695" t="s">
        <v>2737</v>
      </c>
      <c r="CA469" s="4695" t="s">
        <v>2705</v>
      </c>
      <c r="CB469" s="4696">
        <v>1</v>
      </c>
      <c r="CC469" s="4694">
        <v>3</v>
      </c>
    </row>
    <row r="470" spans="17:81">
      <c r="Q470" s="4722"/>
      <c r="R470" s="4446"/>
      <c r="S470" s="4706"/>
      <c r="T470" s="4706"/>
      <c r="U470" s="4707"/>
      <c r="V470" s="4707"/>
      <c r="Y470" s="4705" t="s">
        <v>2613</v>
      </c>
      <c r="Z470" s="4705" t="s">
        <v>2613</v>
      </c>
      <c r="AA470" s="4705" t="s">
        <v>2613</v>
      </c>
      <c r="AB470" s="4705" t="s">
        <v>2613</v>
      </c>
      <c r="AC470" s="4705" t="s">
        <v>2777</v>
      </c>
      <c r="AD470" s="4705" t="s">
        <v>2613</v>
      </c>
      <c r="AE470" s="4622"/>
      <c r="BX470" s="4694">
        <v>2</v>
      </c>
      <c r="BY470" s="4694">
        <v>2</v>
      </c>
      <c r="BZ470" s="4695" t="s">
        <v>2737</v>
      </c>
      <c r="CA470" s="4695" t="s">
        <v>2709</v>
      </c>
      <c r="CB470" s="4696">
        <v>1</v>
      </c>
      <c r="CC470" s="4694">
        <v>6</v>
      </c>
    </row>
    <row r="471" spans="17:81" ht="28.95" customHeight="1">
      <c r="Q471" s="4722"/>
      <c r="R471" s="4446"/>
      <c r="S471" s="4706"/>
      <c r="T471" s="4706"/>
      <c r="U471" s="4707"/>
      <c r="V471" s="4707"/>
      <c r="Y471" s="4694"/>
      <c r="Z471" s="4694"/>
      <c r="AA471" s="4695"/>
      <c r="AB471" s="4697"/>
      <c r="AC471" s="3868"/>
      <c r="AD471" s="4703"/>
      <c r="AE471" s="4622"/>
      <c r="BX471" s="4694">
        <v>2</v>
      </c>
      <c r="BY471" s="4694">
        <v>2</v>
      </c>
      <c r="BZ471" s="4695" t="s">
        <v>2736</v>
      </c>
      <c r="CA471" s="4695" t="s">
        <v>2731</v>
      </c>
      <c r="CB471" s="4696">
        <v>1</v>
      </c>
      <c r="CC471" s="4694">
        <v>8</v>
      </c>
    </row>
    <row r="472" spans="17:81">
      <c r="Q472" s="4722"/>
      <c r="R472" s="4446"/>
      <c r="S472" s="4706"/>
      <c r="T472" s="4706"/>
      <c r="U472" s="4707"/>
      <c r="V472" s="4707"/>
      <c r="Y472" s="4694"/>
      <c r="Z472" s="4694"/>
      <c r="AA472" s="4695"/>
      <c r="AB472" s="4697"/>
      <c r="AC472" s="4704"/>
      <c r="AD472" s="4703"/>
      <c r="AE472" s="4622"/>
      <c r="BX472" s="4694">
        <v>2</v>
      </c>
      <c r="BY472" s="4694">
        <v>2</v>
      </c>
      <c r="BZ472" s="4695" t="s">
        <v>2736</v>
      </c>
      <c r="CA472" s="4697" t="s">
        <v>2732</v>
      </c>
      <c r="CB472" s="4696">
        <v>13</v>
      </c>
      <c r="CC472" s="4694">
        <v>6</v>
      </c>
    </row>
    <row r="473" spans="17:81" ht="14.4" customHeight="1">
      <c r="Q473" s="4722"/>
      <c r="R473" s="4446"/>
      <c r="S473" s="4706"/>
      <c r="T473" s="4706"/>
      <c r="U473" s="4707"/>
      <c r="V473" s="4707"/>
      <c r="Y473" s="4694"/>
      <c r="Z473" s="4694"/>
      <c r="AA473" s="4695"/>
      <c r="AB473" s="36"/>
      <c r="AC473" s="4719">
        <v>640</v>
      </c>
      <c r="AD473" s="4703"/>
      <c r="AE473" s="4622"/>
      <c r="BX473" s="4694">
        <v>2</v>
      </c>
      <c r="BY473" s="4694">
        <v>2</v>
      </c>
      <c r="BZ473" s="4695" t="s">
        <v>2736</v>
      </c>
      <c r="CA473" s="4697" t="s">
        <v>2732</v>
      </c>
      <c r="CB473" s="4696">
        <v>1</v>
      </c>
      <c r="CC473" s="4694">
        <v>7</v>
      </c>
    </row>
    <row r="474" spans="17:81" ht="14.4" customHeight="1">
      <c r="Q474" s="4722"/>
      <c r="R474" s="4446"/>
      <c r="S474" s="4706"/>
      <c r="T474" s="4706"/>
      <c r="U474" s="4707"/>
      <c r="V474" s="4707"/>
      <c r="Y474" s="4694"/>
      <c r="Z474" s="4694"/>
      <c r="AA474" s="4695"/>
      <c r="AB474" s="36"/>
      <c r="AC474" s="4698">
        <v>77</v>
      </c>
      <c r="AD474" s="4704"/>
      <c r="AE474" s="4622"/>
      <c r="BX474" s="4694">
        <v>2</v>
      </c>
      <c r="BY474" s="4694">
        <v>2</v>
      </c>
      <c r="BZ474" s="4695" t="s">
        <v>2736</v>
      </c>
      <c r="CA474" s="4695" t="s">
        <v>2703</v>
      </c>
      <c r="CB474" s="4696">
        <v>1</v>
      </c>
      <c r="CC474" s="4694">
        <v>1</v>
      </c>
    </row>
    <row r="475" spans="17:81" ht="14.4" customHeight="1">
      <c r="Q475" s="4722"/>
      <c r="R475" s="4446"/>
      <c r="S475" s="4706"/>
      <c r="T475" s="4706"/>
      <c r="U475" s="4707"/>
      <c r="V475" s="4707"/>
      <c r="Y475" s="4694"/>
      <c r="Z475" s="4694"/>
      <c r="AA475" s="4695"/>
      <c r="AB475" s="4251">
        <f>AC474/AC473</f>
        <v>0.1203125</v>
      </c>
      <c r="AC475" s="4718">
        <v>76</v>
      </c>
      <c r="AD475" s="4703"/>
      <c r="AE475" s="4622"/>
      <c r="BX475" s="4694">
        <v>2</v>
      </c>
      <c r="BY475" s="4694">
        <v>2</v>
      </c>
      <c r="BZ475" s="4695" t="s">
        <v>2736</v>
      </c>
      <c r="CA475" s="4697" t="s">
        <v>1076</v>
      </c>
      <c r="CB475" s="4696">
        <v>2</v>
      </c>
      <c r="CC475" s="4694">
        <v>7</v>
      </c>
    </row>
    <row r="476" spans="17:81" ht="28.95" customHeight="1">
      <c r="Q476" s="4722"/>
      <c r="R476" s="4446"/>
      <c r="S476" s="4706"/>
      <c r="T476" s="4706"/>
      <c r="U476" s="4707"/>
      <c r="V476" s="4707"/>
      <c r="Y476" s="4694"/>
      <c r="Z476" s="4694"/>
      <c r="AA476" s="4695"/>
      <c r="AC476" s="4704"/>
      <c r="AD476" s="4703"/>
      <c r="AE476" s="4622"/>
      <c r="BX476" s="4694">
        <v>2</v>
      </c>
      <c r="BY476" s="4694">
        <v>2</v>
      </c>
      <c r="BZ476" s="4695" t="s">
        <v>2736</v>
      </c>
      <c r="CA476" s="4695" t="s">
        <v>2709</v>
      </c>
      <c r="CB476" s="4696">
        <v>2</v>
      </c>
      <c r="CC476" s="4694">
        <v>6</v>
      </c>
    </row>
    <row r="477" spans="17:81" ht="24.6">
      <c r="Q477" s="4722"/>
      <c r="R477" s="4446"/>
      <c r="S477" s="4706"/>
      <c r="T477" s="4706"/>
      <c r="U477" s="4707"/>
      <c r="V477" s="4707"/>
      <c r="Y477" s="4705"/>
      <c r="Z477" s="4705"/>
      <c r="AA477" s="4706"/>
      <c r="AB477" s="4708"/>
      <c r="AC477" s="4709"/>
      <c r="AD477" s="4709"/>
      <c r="AE477" s="4622"/>
      <c r="BX477" s="4694">
        <v>2</v>
      </c>
      <c r="BY477" s="4694">
        <v>2</v>
      </c>
      <c r="BZ477" s="4695" t="s">
        <v>2736</v>
      </c>
      <c r="CA477" s="4695" t="s">
        <v>2710</v>
      </c>
      <c r="CB477" s="4696">
        <v>3</v>
      </c>
      <c r="CC477" s="4694">
        <v>0</v>
      </c>
    </row>
    <row r="478" spans="17:81" ht="14.4" customHeight="1">
      <c r="Q478" s="4722"/>
      <c r="R478" s="4446"/>
      <c r="S478" s="4706"/>
      <c r="T478" s="4706"/>
      <c r="U478" s="4707"/>
      <c r="V478" s="4707"/>
      <c r="Y478" s="4705"/>
      <c r="Z478" s="4705"/>
      <c r="AA478" s="4706"/>
      <c r="AB478" s="4708"/>
      <c r="AC478" s="4709"/>
      <c r="AD478" s="4709"/>
      <c r="AE478" s="4622"/>
      <c r="BX478" s="4694">
        <v>2</v>
      </c>
      <c r="BY478" s="4694">
        <v>2</v>
      </c>
      <c r="BZ478" s="4695" t="s">
        <v>2735</v>
      </c>
      <c r="CA478" s="4695" t="s">
        <v>2731</v>
      </c>
      <c r="CB478" s="4696">
        <v>18</v>
      </c>
      <c r="CC478" s="4694">
        <v>8</v>
      </c>
    </row>
    <row r="479" spans="17:81" ht="14.4" customHeight="1">
      <c r="Q479" s="4722"/>
      <c r="R479" s="4446"/>
      <c r="S479" s="4706"/>
      <c r="T479" s="4706"/>
      <c r="U479" s="4707"/>
      <c r="V479" s="4707"/>
      <c r="Y479" s="4705"/>
      <c r="Z479" s="4705"/>
      <c r="AA479" s="4706"/>
      <c r="AB479" s="4706"/>
      <c r="AC479" s="4707"/>
      <c r="AD479" s="4707"/>
      <c r="AE479" s="4622"/>
      <c r="BX479" s="4694">
        <v>2</v>
      </c>
      <c r="BY479" s="4694">
        <v>2</v>
      </c>
      <c r="BZ479" s="4695" t="s">
        <v>2735</v>
      </c>
      <c r="CA479" s="4697" t="s">
        <v>2732</v>
      </c>
      <c r="CB479" s="4696">
        <v>3</v>
      </c>
      <c r="CC479" s="4694">
        <v>6</v>
      </c>
    </row>
    <row r="480" spans="17:81" ht="14.4" customHeight="1">
      <c r="Q480" s="4722"/>
      <c r="R480" s="4446"/>
      <c r="S480" s="4706"/>
      <c r="T480" s="4706"/>
      <c r="U480" s="4707"/>
      <c r="V480" s="4707"/>
      <c r="Y480" s="4705"/>
      <c r="Z480" s="4705"/>
      <c r="AA480" s="4706"/>
      <c r="AB480" s="4706"/>
      <c r="AC480" s="4707"/>
      <c r="AD480" s="4707"/>
      <c r="AE480" s="4622"/>
      <c r="BX480" s="4694">
        <v>2</v>
      </c>
      <c r="BY480" s="4694">
        <v>2</v>
      </c>
      <c r="BZ480" s="4695" t="s">
        <v>2735</v>
      </c>
      <c r="CA480" s="4695" t="s">
        <v>2705</v>
      </c>
      <c r="CB480" s="4696">
        <v>2</v>
      </c>
      <c r="CC480" s="4694">
        <v>4</v>
      </c>
    </row>
    <row r="481" spans="17:81" ht="14.4" customHeight="1">
      <c r="Q481" s="4722"/>
      <c r="R481" s="4446"/>
      <c r="S481" s="4706"/>
      <c r="T481" s="4706"/>
      <c r="U481" s="4707"/>
      <c r="V481" s="4707"/>
      <c r="Y481" s="4705"/>
      <c r="Z481" s="4705"/>
      <c r="AA481" s="4706"/>
      <c r="AB481" s="4708"/>
      <c r="AC481" s="4709"/>
      <c r="AD481" s="4709"/>
      <c r="AE481" s="4622"/>
      <c r="BX481" s="4694">
        <v>2</v>
      </c>
      <c r="BY481" s="4694">
        <v>2</v>
      </c>
      <c r="BZ481" s="4695" t="s">
        <v>2735</v>
      </c>
      <c r="CA481" s="4695" t="s">
        <v>2705</v>
      </c>
      <c r="CB481" s="4696">
        <v>1</v>
      </c>
      <c r="CC481" s="4694">
        <v>5</v>
      </c>
    </row>
    <row r="482" spans="17:81">
      <c r="Q482" s="4722"/>
      <c r="R482" s="4446"/>
      <c r="S482" s="4706"/>
      <c r="T482" s="4706"/>
      <c r="U482" s="4707"/>
      <c r="V482" s="4707"/>
      <c r="Y482" s="4705"/>
      <c r="Z482" s="4705"/>
      <c r="AA482" s="4706"/>
      <c r="AB482" s="4708"/>
      <c r="AC482" s="4709"/>
      <c r="AD482" s="4709"/>
      <c r="AE482" s="4622"/>
      <c r="BX482" s="4694">
        <v>2</v>
      </c>
      <c r="BY482" s="4694">
        <v>2</v>
      </c>
      <c r="BZ482" s="4695" t="s">
        <v>2735</v>
      </c>
      <c r="CA482" s="4697" t="s">
        <v>1076</v>
      </c>
      <c r="CB482" s="4696">
        <v>1</v>
      </c>
      <c r="CC482" s="4694">
        <v>6</v>
      </c>
    </row>
    <row r="483" spans="17:81" ht="28.95" customHeight="1">
      <c r="Q483" s="4722"/>
      <c r="R483" s="4446"/>
      <c r="S483" s="4706"/>
      <c r="T483" s="4706"/>
      <c r="U483" s="4707"/>
      <c r="V483" s="4707"/>
      <c r="Y483" s="4705"/>
      <c r="Z483" s="4705"/>
      <c r="AA483" s="4706"/>
      <c r="AB483" s="4708"/>
      <c r="AC483" s="4709"/>
      <c r="AD483" s="4709"/>
      <c r="AE483" s="4622"/>
      <c r="BX483" s="4694">
        <v>2</v>
      </c>
      <c r="BY483" s="4694">
        <v>2</v>
      </c>
      <c r="BZ483" s="4695" t="s">
        <v>2735</v>
      </c>
      <c r="CA483" s="4697" t="s">
        <v>1076</v>
      </c>
      <c r="CB483" s="4696">
        <v>7</v>
      </c>
      <c r="CC483" s="4694">
        <v>7</v>
      </c>
    </row>
    <row r="484" spans="17:81">
      <c r="Q484" s="4722"/>
      <c r="R484" s="4446"/>
      <c r="S484" s="4706"/>
      <c r="T484" s="4706"/>
      <c r="U484" s="4707"/>
      <c r="V484" s="4707"/>
      <c r="X484" s="4622"/>
      <c r="Y484" s="4705"/>
      <c r="Z484" s="4705"/>
      <c r="AA484" s="4706"/>
      <c r="AB484" s="4706"/>
      <c r="AC484" s="4707"/>
      <c r="AD484" s="4707"/>
      <c r="AE484" s="4622"/>
      <c r="BX484" s="4694">
        <v>2</v>
      </c>
      <c r="BY484" s="4694">
        <v>2</v>
      </c>
      <c r="BZ484" s="4695" t="s">
        <v>2735</v>
      </c>
      <c r="CA484" s="4695" t="s">
        <v>2775</v>
      </c>
      <c r="CB484" s="4696">
        <v>6</v>
      </c>
      <c r="CC484" s="4694">
        <v>8</v>
      </c>
    </row>
    <row r="485" spans="17:81">
      <c r="Q485" s="4722"/>
      <c r="R485" s="4446"/>
      <c r="S485" s="4706"/>
      <c r="T485" s="4706"/>
      <c r="U485" s="4707"/>
      <c r="V485" s="4707"/>
      <c r="X485" s="4622"/>
      <c r="Y485" s="4705"/>
      <c r="Z485" s="4705"/>
      <c r="AA485" s="4706"/>
      <c r="AB485" s="4706"/>
      <c r="AC485" s="4707"/>
      <c r="AD485" s="4707"/>
      <c r="AE485" s="4622"/>
      <c r="BX485" s="4694">
        <v>2</v>
      </c>
      <c r="BY485" s="4694">
        <v>2</v>
      </c>
      <c r="BZ485" s="4695" t="s">
        <v>2735</v>
      </c>
      <c r="CA485" s="4695" t="s">
        <v>2709</v>
      </c>
      <c r="CB485" s="4696">
        <v>1</v>
      </c>
      <c r="CC485" s="4694">
        <v>1</v>
      </c>
    </row>
    <row r="486" spans="17:81" ht="14.4" customHeight="1">
      <c r="Q486" s="4722"/>
      <c r="R486" s="4446"/>
      <c r="S486" s="4706"/>
      <c r="T486" s="4706"/>
      <c r="U486" s="4707"/>
      <c r="V486" s="4707"/>
      <c r="X486" s="4622"/>
      <c r="Y486" s="4705"/>
      <c r="Z486" s="4705"/>
      <c r="AA486" s="4706"/>
      <c r="AB486" s="4706"/>
      <c r="AC486" s="4707"/>
      <c r="AD486" s="4707"/>
      <c r="AE486" s="4622"/>
      <c r="BX486" s="4694">
        <v>2</v>
      </c>
      <c r="BY486" s="4694">
        <v>2</v>
      </c>
      <c r="BZ486" s="4695" t="s">
        <v>2735</v>
      </c>
      <c r="CA486" s="4695" t="s">
        <v>2709</v>
      </c>
      <c r="CB486" s="4696">
        <v>1</v>
      </c>
      <c r="CC486" s="4694">
        <v>6</v>
      </c>
    </row>
    <row r="487" spans="17:81" ht="14.4" customHeight="1">
      <c r="Q487" s="4722"/>
      <c r="R487" s="4446"/>
      <c r="S487" s="4706"/>
      <c r="T487" s="4706"/>
      <c r="U487" s="4707"/>
      <c r="V487" s="4707"/>
      <c r="Y487" s="4622"/>
      <c r="Z487" s="4622"/>
      <c r="AA487" s="4622"/>
      <c r="AB487" s="4622"/>
      <c r="AC487" s="4622"/>
      <c r="AD487" s="4622"/>
      <c r="AE487" s="4622"/>
      <c r="AF487" s="4622"/>
      <c r="AG487" s="4622"/>
      <c r="AH487" s="4622"/>
      <c r="AI487" s="4622"/>
      <c r="AJ487" s="4622"/>
      <c r="AK487" s="4622"/>
      <c r="AL487" s="4622"/>
      <c r="AM487" s="4622"/>
      <c r="AN487" s="4622"/>
      <c r="BX487" s="4694">
        <v>2</v>
      </c>
      <c r="BY487" s="4694">
        <v>2</v>
      </c>
      <c r="BZ487" s="4695" t="s">
        <v>2735</v>
      </c>
      <c r="CA487" s="4695" t="s">
        <v>2709</v>
      </c>
      <c r="CB487" s="4696">
        <v>11</v>
      </c>
      <c r="CC487" s="4694">
        <v>7</v>
      </c>
    </row>
    <row r="488" spans="17:81" ht="24.6">
      <c r="Q488" s="4722"/>
      <c r="R488" s="4446"/>
      <c r="S488" s="4706"/>
      <c r="T488" s="4706"/>
      <c r="U488" s="4707"/>
      <c r="V488" s="4707"/>
      <c r="Y488" s="4622"/>
      <c r="Z488" s="4622"/>
      <c r="AA488" s="4622"/>
      <c r="AB488" s="4622"/>
      <c r="AC488" s="4622"/>
      <c r="AD488" s="4622"/>
      <c r="AE488" s="4622"/>
      <c r="AF488" s="4622"/>
      <c r="AG488" s="4622"/>
      <c r="AH488" s="4622"/>
      <c r="AI488" s="4622"/>
      <c r="AJ488" s="4622"/>
      <c r="AK488" s="4622"/>
      <c r="AL488" s="4622"/>
      <c r="AM488" s="4622"/>
      <c r="AN488" s="4622"/>
      <c r="BX488" s="4694">
        <v>2</v>
      </c>
      <c r="BY488" s="4694">
        <v>2</v>
      </c>
      <c r="BZ488" s="4695" t="s">
        <v>2735</v>
      </c>
      <c r="CA488" s="4695" t="s">
        <v>2710</v>
      </c>
      <c r="CB488" s="4696">
        <v>7</v>
      </c>
      <c r="CC488" s="4694">
        <v>0</v>
      </c>
    </row>
    <row r="489" spans="17:81">
      <c r="Q489" s="4722"/>
      <c r="R489" s="4446"/>
      <c r="S489" s="4706"/>
      <c r="T489" s="4706"/>
      <c r="U489" s="4707"/>
      <c r="V489" s="4707"/>
      <c r="Y489" s="4622"/>
      <c r="Z489" s="4622"/>
      <c r="AA489" s="4622"/>
      <c r="AB489" s="4622"/>
      <c r="AC489" s="4622"/>
      <c r="AD489" s="4622"/>
      <c r="AE489" s="4622"/>
      <c r="AF489" s="4622"/>
      <c r="AG489" s="4622"/>
      <c r="AH489" s="4622"/>
      <c r="AI489" s="4622"/>
      <c r="AJ489" s="4622"/>
      <c r="AK489" s="4622"/>
      <c r="AL489" s="4622"/>
      <c r="AM489" s="4622"/>
      <c r="AN489" s="4622"/>
      <c r="BX489" s="4694">
        <v>2</v>
      </c>
      <c r="BY489" s="4694">
        <v>3</v>
      </c>
      <c r="BZ489" s="4695" t="s">
        <v>286</v>
      </c>
      <c r="CA489" s="4695" t="s">
        <v>2731</v>
      </c>
      <c r="CB489" s="4696">
        <v>9</v>
      </c>
      <c r="CC489" s="4694">
        <v>8</v>
      </c>
    </row>
    <row r="490" spans="17:81" ht="28.95" customHeight="1">
      <c r="Q490" s="4722"/>
      <c r="R490" s="4446"/>
      <c r="S490" s="4706"/>
      <c r="T490" s="4706"/>
      <c r="U490" s="4707"/>
      <c r="V490" s="4707"/>
      <c r="X490" s="4622"/>
      <c r="Y490" s="4705"/>
      <c r="Z490" s="4705"/>
      <c r="AA490" s="4706"/>
      <c r="AB490" s="4708"/>
      <c r="AC490" s="4709"/>
      <c r="AD490" s="4709"/>
      <c r="AE490" s="4622"/>
      <c r="BX490" s="4694">
        <v>2</v>
      </c>
      <c r="BY490" s="4694">
        <v>3</v>
      </c>
      <c r="BZ490" s="4695" t="s">
        <v>286</v>
      </c>
      <c r="CA490" s="4697" t="s">
        <v>1076</v>
      </c>
      <c r="CB490" s="4696">
        <v>3</v>
      </c>
      <c r="CC490" s="4694">
        <v>7</v>
      </c>
    </row>
    <row r="491" spans="17:81">
      <c r="Q491" s="4722"/>
      <c r="R491" s="4446"/>
      <c r="S491" s="4706"/>
      <c r="T491" s="4706"/>
      <c r="U491" s="4707"/>
      <c r="V491" s="4707"/>
      <c r="Y491" s="4705"/>
      <c r="Z491" s="4705"/>
      <c r="AA491" s="4706"/>
      <c r="AB491" s="4708"/>
      <c r="AC491" s="4709"/>
      <c r="AD491" s="4709"/>
      <c r="AE491" s="4622"/>
      <c r="BX491" s="4694">
        <v>2</v>
      </c>
      <c r="BY491" s="4694">
        <v>3</v>
      </c>
      <c r="BZ491" s="4695" t="s">
        <v>286</v>
      </c>
      <c r="CA491" s="4695" t="s">
        <v>2709</v>
      </c>
      <c r="CB491" s="4696">
        <v>1</v>
      </c>
      <c r="CC491" s="4694">
        <v>5</v>
      </c>
    </row>
    <row r="492" spans="17:81" ht="14.4" customHeight="1">
      <c r="Q492" s="4722"/>
      <c r="R492" s="4446"/>
      <c r="S492" s="4706"/>
      <c r="T492" s="4706"/>
      <c r="U492" s="4707"/>
      <c r="V492" s="4707"/>
      <c r="Y492" s="4705"/>
      <c r="Z492" s="4705"/>
      <c r="AA492" s="4706"/>
      <c r="AB492" s="4708"/>
      <c r="AC492" s="4709"/>
      <c r="AD492" s="4709"/>
      <c r="AE492" s="4622"/>
      <c r="BX492" s="4694">
        <v>2</v>
      </c>
      <c r="BY492" s="4694">
        <v>3</v>
      </c>
      <c r="BZ492" s="4695" t="s">
        <v>286</v>
      </c>
      <c r="CA492" s="4695" t="s">
        <v>2709</v>
      </c>
      <c r="CB492" s="4696">
        <v>1</v>
      </c>
      <c r="CC492" s="4694">
        <v>7</v>
      </c>
    </row>
    <row r="493" spans="17:81" ht="24.6">
      <c r="Q493" s="4722"/>
      <c r="R493" s="4446"/>
      <c r="S493" s="4706"/>
      <c r="T493" s="4706"/>
      <c r="U493" s="4707"/>
      <c r="V493" s="4707"/>
      <c r="Y493" s="4622"/>
      <c r="Z493" s="4622"/>
      <c r="AA493" s="4622"/>
      <c r="AB493" s="4622"/>
      <c r="AC493" s="4622"/>
      <c r="AD493" s="4622"/>
      <c r="AE493" s="4622"/>
      <c r="AF493" s="4622"/>
      <c r="AG493" s="4622"/>
      <c r="AH493" s="4622"/>
      <c r="AI493" s="4622"/>
      <c r="AJ493" s="4622"/>
      <c r="AK493" s="4622"/>
      <c r="AL493" s="4622"/>
      <c r="AM493" s="4622"/>
      <c r="AN493" s="4622"/>
      <c r="BX493" s="4694">
        <v>2</v>
      </c>
      <c r="BY493" s="4694">
        <v>3</v>
      </c>
      <c r="BZ493" s="4695" t="s">
        <v>286</v>
      </c>
      <c r="CA493" s="4695" t="s">
        <v>2710</v>
      </c>
      <c r="CB493" s="4696">
        <v>2</v>
      </c>
      <c r="CC493" s="4694">
        <v>0</v>
      </c>
    </row>
    <row r="494" spans="17:81">
      <c r="Q494" s="4722"/>
      <c r="R494" s="4446"/>
      <c r="S494" s="4706"/>
      <c r="T494" s="4706"/>
      <c r="U494" s="4707"/>
      <c r="V494" s="4707"/>
      <c r="Y494" s="4705"/>
      <c r="Z494" s="4705"/>
      <c r="AA494" s="4706"/>
      <c r="AB494" s="4706"/>
      <c r="AC494" s="4707"/>
      <c r="AD494" s="4707"/>
      <c r="AE494" s="4622"/>
      <c r="BX494" s="4694">
        <v>2</v>
      </c>
      <c r="BY494" s="4694">
        <v>3</v>
      </c>
      <c r="BZ494" s="4695" t="s">
        <v>440</v>
      </c>
      <c r="CA494" s="4695" t="s">
        <v>2731</v>
      </c>
      <c r="CB494" s="4696">
        <v>7</v>
      </c>
      <c r="CC494" s="4694">
        <v>8</v>
      </c>
    </row>
    <row r="495" spans="17:81">
      <c r="Q495" s="4722"/>
      <c r="R495" s="4446"/>
      <c r="S495" s="4706"/>
      <c r="T495" s="4706"/>
      <c r="U495" s="4707"/>
      <c r="V495" s="4707"/>
      <c r="Y495" s="4705"/>
      <c r="Z495" s="4705"/>
      <c r="AA495" s="4706"/>
      <c r="AB495" s="4706"/>
      <c r="AC495" s="4707"/>
      <c r="AD495" s="4707"/>
      <c r="AE495" s="4622"/>
      <c r="BX495" s="4694">
        <v>2</v>
      </c>
      <c r="BY495" s="4694">
        <v>3</v>
      </c>
      <c r="BZ495" s="4695" t="s">
        <v>440</v>
      </c>
      <c r="CA495" s="4697" t="s">
        <v>2732</v>
      </c>
      <c r="CB495" s="4696">
        <v>2</v>
      </c>
      <c r="CC495" s="4694">
        <v>7</v>
      </c>
    </row>
    <row r="496" spans="17:81">
      <c r="Q496" s="4722"/>
      <c r="R496" s="4446"/>
      <c r="S496" s="4706"/>
      <c r="T496" s="4706"/>
      <c r="U496" s="4707"/>
      <c r="V496" s="4707"/>
      <c r="X496" s="4622"/>
      <c r="Y496" s="4705"/>
      <c r="Z496" s="4705"/>
      <c r="AA496" s="4706"/>
      <c r="AB496" s="4708"/>
      <c r="AC496" s="4709"/>
      <c r="AD496" s="4709"/>
      <c r="AE496" s="4622"/>
      <c r="BX496" s="4694">
        <v>2</v>
      </c>
      <c r="BY496" s="4694">
        <v>3</v>
      </c>
      <c r="BZ496" s="4695" t="s">
        <v>440</v>
      </c>
      <c r="CA496" s="4697" t="s">
        <v>1076</v>
      </c>
      <c r="CB496" s="4696">
        <v>5</v>
      </c>
      <c r="CC496" s="4694">
        <v>7</v>
      </c>
    </row>
    <row r="497" spans="17:81">
      <c r="Q497" s="4722"/>
      <c r="R497" s="4446"/>
      <c r="S497" s="4706"/>
      <c r="T497" s="4706"/>
      <c r="U497" s="4707"/>
      <c r="V497" s="4707"/>
      <c r="X497" s="4622"/>
      <c r="Y497" s="4705"/>
      <c r="Z497" s="4705"/>
      <c r="AA497" s="4706"/>
      <c r="AB497" s="4708"/>
      <c r="AC497" s="4709"/>
      <c r="AD497" s="4709"/>
      <c r="AE497" s="4622"/>
      <c r="BX497" s="4694">
        <v>2</v>
      </c>
      <c r="BY497" s="4694">
        <v>3</v>
      </c>
      <c r="BZ497" s="4695" t="s">
        <v>440</v>
      </c>
      <c r="CA497" s="4695" t="s">
        <v>2709</v>
      </c>
      <c r="CB497" s="4696">
        <v>1</v>
      </c>
      <c r="CC497" s="4694">
        <v>2</v>
      </c>
    </row>
    <row r="498" spans="17:81">
      <c r="Q498" s="4722"/>
      <c r="R498" s="4446"/>
      <c r="S498" s="4706"/>
      <c r="T498" s="4706"/>
      <c r="U498" s="4707"/>
      <c r="V498" s="4707"/>
      <c r="Y498" s="4705"/>
      <c r="Z498" s="4705"/>
      <c r="AA498" s="4706"/>
      <c r="AB498" s="4708"/>
      <c r="AC498" s="4709"/>
      <c r="AD498" s="4709"/>
      <c r="AE498" s="4622"/>
      <c r="BX498" s="4694">
        <v>2</v>
      </c>
      <c r="BY498" s="4694">
        <v>3</v>
      </c>
      <c r="BZ498" s="4695" t="s">
        <v>129</v>
      </c>
      <c r="CA498" s="4695" t="s">
        <v>2731</v>
      </c>
      <c r="CB498" s="4696">
        <v>2</v>
      </c>
      <c r="CC498" s="4694">
        <v>8</v>
      </c>
    </row>
    <row r="499" spans="17:81">
      <c r="Q499" s="4722"/>
      <c r="R499" s="4446"/>
      <c r="S499" s="4706"/>
      <c r="T499" s="4706"/>
      <c r="U499" s="4707"/>
      <c r="V499" s="4707"/>
      <c r="Y499" s="4622"/>
      <c r="Z499" s="4622"/>
      <c r="AA499" s="4622"/>
      <c r="AB499" s="4622"/>
      <c r="AC499" s="4622"/>
      <c r="AD499" s="4622"/>
      <c r="AE499" s="4622"/>
      <c r="AF499" s="4622"/>
      <c r="AG499" s="4622"/>
      <c r="AH499" s="4622"/>
      <c r="AI499" s="4622"/>
      <c r="AJ499" s="4622"/>
      <c r="AK499" s="4622"/>
      <c r="AL499" s="4622"/>
      <c r="AM499" s="4622"/>
      <c r="AN499" s="4622"/>
      <c r="BX499" s="4694">
        <v>2</v>
      </c>
      <c r="BY499" s="4694">
        <v>3</v>
      </c>
      <c r="BZ499" s="4695" t="s">
        <v>129</v>
      </c>
      <c r="CA499" s="4697" t="s">
        <v>1076</v>
      </c>
      <c r="CB499" s="4696">
        <v>2</v>
      </c>
      <c r="CC499" s="4694">
        <v>6</v>
      </c>
    </row>
    <row r="500" spans="17:81">
      <c r="Q500" s="4722"/>
      <c r="R500" s="4446"/>
      <c r="S500" s="4706"/>
      <c r="T500" s="4706"/>
      <c r="U500" s="4707"/>
      <c r="V500" s="4707"/>
      <c r="Y500" s="4622"/>
      <c r="Z500" s="4622"/>
      <c r="AA500" s="4622"/>
      <c r="AB500" s="4622"/>
      <c r="AC500" s="4622"/>
      <c r="AD500" s="4622"/>
      <c r="AE500" s="4622"/>
      <c r="AF500" s="4622"/>
      <c r="AG500" s="4622"/>
      <c r="AH500" s="4622"/>
      <c r="AI500" s="4622"/>
      <c r="AJ500" s="4622"/>
      <c r="AK500" s="4622"/>
      <c r="AL500" s="4622"/>
      <c r="AM500" s="4622"/>
      <c r="AN500" s="4622"/>
      <c r="BX500" s="4694">
        <v>2</v>
      </c>
      <c r="BY500" s="4694">
        <v>3</v>
      </c>
      <c r="BZ500" s="4695" t="s">
        <v>129</v>
      </c>
      <c r="CA500" s="4697" t="s">
        <v>1076</v>
      </c>
      <c r="CB500" s="4696">
        <v>8</v>
      </c>
      <c r="CC500" s="4694">
        <v>7</v>
      </c>
    </row>
    <row r="501" spans="17:81">
      <c r="Q501" s="4722"/>
      <c r="R501" s="4446"/>
      <c r="S501" s="4706"/>
      <c r="T501" s="4706"/>
      <c r="U501" s="4707"/>
      <c r="V501" s="4707"/>
      <c r="Y501" s="4705"/>
      <c r="Z501" s="4705"/>
      <c r="AA501" s="4706"/>
      <c r="AB501" s="4708"/>
      <c r="AC501" s="4709"/>
      <c r="AD501" s="4709"/>
      <c r="AE501" s="4622"/>
      <c r="BX501" s="4694">
        <v>2</v>
      </c>
      <c r="BY501" s="4694">
        <v>3</v>
      </c>
      <c r="BZ501" s="4695" t="s">
        <v>129</v>
      </c>
      <c r="CA501" s="4695" t="s">
        <v>2709</v>
      </c>
      <c r="CB501" s="4696">
        <v>2</v>
      </c>
      <c r="CC501" s="4694">
        <v>6</v>
      </c>
    </row>
    <row r="502" spans="17:81" ht="24.6">
      <c r="Q502" s="4722"/>
      <c r="R502" s="4446"/>
      <c r="S502" s="4706"/>
      <c r="T502" s="4706"/>
      <c r="U502" s="4707"/>
      <c r="V502" s="4707"/>
      <c r="Y502" s="4705"/>
      <c r="Z502" s="4705"/>
      <c r="AA502" s="4706"/>
      <c r="AB502" s="4708"/>
      <c r="AC502" s="4709"/>
      <c r="AD502" s="4709"/>
      <c r="AE502" s="4622"/>
      <c r="BX502" s="4694">
        <v>2</v>
      </c>
      <c r="BY502" s="4694">
        <v>3</v>
      </c>
      <c r="BZ502" s="4695" t="s">
        <v>129</v>
      </c>
      <c r="CA502" s="4695" t="s">
        <v>2710</v>
      </c>
      <c r="CB502" s="4696">
        <v>1</v>
      </c>
      <c r="CC502" s="4694">
        <v>0</v>
      </c>
    </row>
    <row r="503" spans="17:81">
      <c r="Q503" s="4722"/>
      <c r="R503" s="4446"/>
      <c r="S503" s="4706"/>
      <c r="T503" s="4706"/>
      <c r="U503" s="4707"/>
      <c r="V503" s="4707"/>
      <c r="Y503" s="4705"/>
      <c r="Z503" s="4705"/>
      <c r="AA503" s="4706"/>
      <c r="AB503" s="4708"/>
      <c r="AC503" s="4709"/>
      <c r="AD503" s="4709"/>
      <c r="AE503" s="4622"/>
      <c r="BX503" s="4694">
        <v>2</v>
      </c>
      <c r="BY503" s="4694">
        <v>3</v>
      </c>
      <c r="BZ503" s="4695" t="s">
        <v>128</v>
      </c>
      <c r="CA503" s="4695" t="s">
        <v>2731</v>
      </c>
      <c r="CB503" s="4696">
        <v>5</v>
      </c>
      <c r="CC503" s="4694">
        <v>8</v>
      </c>
    </row>
    <row r="504" spans="17:81">
      <c r="Q504" s="4722"/>
      <c r="R504" s="4446"/>
      <c r="S504" s="4706"/>
      <c r="T504" s="4706"/>
      <c r="U504" s="4707"/>
      <c r="V504" s="4707"/>
      <c r="X504" s="4622"/>
      <c r="Y504" s="4705"/>
      <c r="Z504" s="4705"/>
      <c r="AA504" s="4706"/>
      <c r="AB504" s="4706"/>
      <c r="AC504" s="4707"/>
      <c r="AD504" s="4707"/>
      <c r="AE504" s="4622"/>
      <c r="BX504" s="4694">
        <v>2</v>
      </c>
      <c r="BY504" s="4694">
        <v>3</v>
      </c>
      <c r="BZ504" s="4695" t="s">
        <v>128</v>
      </c>
      <c r="CA504" s="4697" t="s">
        <v>2732</v>
      </c>
      <c r="CB504" s="4696">
        <v>7</v>
      </c>
      <c r="CC504" s="4694">
        <v>6</v>
      </c>
    </row>
    <row r="505" spans="17:81">
      <c r="Q505" s="4722"/>
      <c r="R505" s="4446"/>
      <c r="S505" s="4706"/>
      <c r="T505" s="4706"/>
      <c r="U505" s="4707"/>
      <c r="V505" s="4707"/>
      <c r="X505" s="4622"/>
      <c r="Y505" s="4705"/>
      <c r="Z505" s="4705"/>
      <c r="AA505" s="4706"/>
      <c r="AB505" s="4708"/>
      <c r="AC505" s="4709"/>
      <c r="AD505" s="4709"/>
      <c r="AE505" s="4622"/>
      <c r="BX505" s="4694">
        <v>2</v>
      </c>
      <c r="BY505" s="4694">
        <v>3</v>
      </c>
      <c r="BZ505" s="4695" t="s">
        <v>128</v>
      </c>
      <c r="CA505" s="4695" t="s">
        <v>2703</v>
      </c>
      <c r="CB505" s="4696">
        <v>1</v>
      </c>
      <c r="CC505" s="4694">
        <v>1</v>
      </c>
    </row>
    <row r="506" spans="17:81">
      <c r="Q506" s="4722"/>
      <c r="R506" s="4446"/>
      <c r="S506" s="4706"/>
      <c r="T506" s="4706"/>
      <c r="U506" s="4707"/>
      <c r="V506" s="4707"/>
      <c r="Y506" s="4705"/>
      <c r="Z506" s="4705"/>
      <c r="AA506" s="4706"/>
      <c r="AB506" s="4708"/>
      <c r="AC506" s="4709"/>
      <c r="AD506" s="4709"/>
      <c r="AE506" s="4622"/>
      <c r="BX506" s="4694">
        <v>2</v>
      </c>
      <c r="BY506" s="4694">
        <v>3</v>
      </c>
      <c r="BZ506" s="4695" t="s">
        <v>128</v>
      </c>
      <c r="CA506" s="4695" t="s">
        <v>2775</v>
      </c>
      <c r="CB506" s="4696">
        <v>1</v>
      </c>
      <c r="CC506" s="4694">
        <v>7</v>
      </c>
    </row>
    <row r="507" spans="17:81">
      <c r="Q507" s="4722"/>
      <c r="R507" s="4446"/>
      <c r="S507" s="4706"/>
      <c r="T507" s="4706"/>
      <c r="U507" s="4707"/>
      <c r="V507" s="4707"/>
      <c r="Y507" s="4622"/>
      <c r="Z507" s="4622"/>
      <c r="AA507" s="4622"/>
      <c r="AB507" s="4622"/>
      <c r="AC507" s="4622"/>
      <c r="AD507" s="4622"/>
      <c r="AE507" s="4622"/>
      <c r="AF507" s="4622"/>
      <c r="AG507" s="4622"/>
      <c r="AH507" s="4622"/>
      <c r="AI507" s="4622"/>
      <c r="AJ507" s="4622"/>
      <c r="AK507" s="4622"/>
      <c r="AL507" s="4622"/>
      <c r="AM507" s="4622"/>
      <c r="AN507" s="4622"/>
      <c r="BX507" s="4694">
        <v>2</v>
      </c>
      <c r="BY507" s="4694">
        <v>3</v>
      </c>
      <c r="BZ507" s="4695" t="s">
        <v>128</v>
      </c>
      <c r="CA507" s="4695" t="s">
        <v>2709</v>
      </c>
      <c r="CB507" s="4696">
        <v>1</v>
      </c>
      <c r="CC507" s="4694">
        <v>3</v>
      </c>
    </row>
    <row r="508" spans="17:81" ht="24.6">
      <c r="Q508" s="4722"/>
      <c r="R508" s="4446"/>
      <c r="S508" s="4706"/>
      <c r="T508" s="4706"/>
      <c r="U508" s="4707"/>
      <c r="V508" s="4707"/>
      <c r="Y508" s="4622"/>
      <c r="Z508" s="4622"/>
      <c r="AA508" s="4622"/>
      <c r="AB508" s="4622"/>
      <c r="AC508" s="4622"/>
      <c r="AD508" s="4622"/>
      <c r="AE508" s="4622"/>
      <c r="AF508" s="4622"/>
      <c r="AG508" s="4622"/>
      <c r="AH508" s="4622"/>
      <c r="AI508" s="4622"/>
      <c r="AJ508" s="4622"/>
      <c r="AK508" s="4622"/>
      <c r="AL508" s="4622"/>
      <c r="AM508" s="4622"/>
      <c r="AN508" s="4622"/>
      <c r="BX508" s="4694">
        <v>2</v>
      </c>
      <c r="BY508" s="4694">
        <v>3</v>
      </c>
      <c r="BZ508" s="4695" t="s">
        <v>128</v>
      </c>
      <c r="CA508" s="4695" t="s">
        <v>2710</v>
      </c>
      <c r="CB508" s="4696">
        <v>5</v>
      </c>
      <c r="CC508" s="4694">
        <v>0</v>
      </c>
    </row>
    <row r="509" spans="17:81">
      <c r="Q509" s="4722"/>
      <c r="R509" s="4446"/>
      <c r="S509" s="4706"/>
      <c r="T509" s="4706"/>
      <c r="U509" s="4707"/>
      <c r="V509" s="4707"/>
      <c r="Y509" s="4705"/>
      <c r="Z509" s="4705"/>
      <c r="AA509" s="4706"/>
      <c r="AB509" s="4706"/>
      <c r="AC509" s="4707"/>
      <c r="AD509" s="4707"/>
      <c r="AE509" s="4622"/>
      <c r="BX509" s="4694">
        <v>3</v>
      </c>
      <c r="BY509" s="4694">
        <v>2</v>
      </c>
      <c r="BZ509" s="4695" t="s">
        <v>2738</v>
      </c>
      <c r="CA509" s="4697" t="s">
        <v>2732</v>
      </c>
      <c r="CB509" s="4696">
        <v>1</v>
      </c>
      <c r="CC509" s="4694">
        <v>3</v>
      </c>
    </row>
    <row r="510" spans="17:81">
      <c r="Q510" s="4722"/>
      <c r="R510" s="4446"/>
      <c r="S510" s="4706"/>
      <c r="T510" s="4706"/>
      <c r="U510" s="4707"/>
      <c r="V510" s="4707"/>
      <c r="X510" s="4622"/>
      <c r="Y510" s="4705"/>
      <c r="Z510" s="4705"/>
      <c r="AA510" s="4706"/>
      <c r="AB510" s="4706"/>
      <c r="AC510" s="4707"/>
      <c r="AD510" s="4707"/>
      <c r="AE510" s="4622"/>
      <c r="BX510" s="4694">
        <v>3</v>
      </c>
      <c r="BY510" s="4694">
        <v>2</v>
      </c>
      <c r="BZ510" s="4695" t="s">
        <v>443</v>
      </c>
      <c r="CA510" s="4695" t="s">
        <v>2731</v>
      </c>
      <c r="CB510" s="4696">
        <v>4</v>
      </c>
      <c r="CC510" s="4694">
        <v>8</v>
      </c>
    </row>
    <row r="511" spans="17:81">
      <c r="Q511" s="4722"/>
      <c r="R511" s="4446"/>
      <c r="S511" s="4706"/>
      <c r="T511" s="4706"/>
      <c r="U511" s="4707"/>
      <c r="V511" s="4707"/>
      <c r="Y511" s="4705"/>
      <c r="Z511" s="4705"/>
      <c r="AA511" s="4706"/>
      <c r="AB511" s="4708"/>
      <c r="AC511" s="4709"/>
      <c r="AD511" s="4709"/>
      <c r="AE511" s="4622"/>
      <c r="BX511" s="4694">
        <v>3</v>
      </c>
      <c r="BY511" s="4694">
        <v>2</v>
      </c>
      <c r="BZ511" s="4695" t="s">
        <v>443</v>
      </c>
      <c r="CA511" s="4697" t="s">
        <v>2732</v>
      </c>
      <c r="CB511" s="4696">
        <v>1</v>
      </c>
      <c r="CC511" s="4694">
        <v>6</v>
      </c>
    </row>
    <row r="512" spans="17:81">
      <c r="Q512" s="4722"/>
      <c r="R512" s="4446"/>
      <c r="S512" s="4706"/>
      <c r="T512" s="4706"/>
      <c r="U512" s="4707"/>
      <c r="V512" s="4707"/>
      <c r="Y512" s="4705"/>
      <c r="Z512" s="4705"/>
      <c r="AA512" s="4706"/>
      <c r="AB512" s="4706"/>
      <c r="AC512" s="4707"/>
      <c r="AD512" s="4707"/>
      <c r="AE512" s="4622"/>
      <c r="BX512" s="4694">
        <v>3</v>
      </c>
      <c r="BY512" s="4694">
        <v>2</v>
      </c>
      <c r="BZ512" s="4695" t="s">
        <v>443</v>
      </c>
      <c r="CA512" s="4697" t="s">
        <v>2732</v>
      </c>
      <c r="CB512" s="4696">
        <v>1</v>
      </c>
      <c r="CC512" s="4694">
        <v>7</v>
      </c>
    </row>
    <row r="513" spans="17:81">
      <c r="Q513" s="4722"/>
      <c r="R513" s="4446"/>
      <c r="S513" s="4706"/>
      <c r="T513" s="4706"/>
      <c r="U513" s="4707"/>
      <c r="V513" s="4707"/>
      <c r="Y513" s="4622"/>
      <c r="Z513" s="4622"/>
      <c r="AA513" s="4622"/>
      <c r="AB513" s="4622"/>
      <c r="AC513" s="4622"/>
      <c r="AD513" s="4622"/>
      <c r="AE513" s="4622"/>
      <c r="AF513" s="4622"/>
      <c r="AG513" s="4622"/>
      <c r="AH513" s="4622"/>
      <c r="AI513" s="4622"/>
      <c r="AJ513" s="4622"/>
      <c r="AK513" s="4622"/>
      <c r="AL513" s="4622"/>
      <c r="AM513" s="4622"/>
      <c r="AN513" s="4622"/>
      <c r="BX513" s="4694">
        <v>3</v>
      </c>
      <c r="BY513" s="4694">
        <v>2</v>
      </c>
      <c r="BZ513" s="4695" t="s">
        <v>443</v>
      </c>
      <c r="CA513" s="4697" t="s">
        <v>2707</v>
      </c>
      <c r="CB513" s="4696">
        <v>1</v>
      </c>
      <c r="CC513" s="4694">
        <v>7</v>
      </c>
    </row>
    <row r="514" spans="17:81">
      <c r="Q514" s="4722"/>
      <c r="R514" s="4446"/>
      <c r="S514" s="4706"/>
      <c r="T514" s="4706"/>
      <c r="U514" s="4707"/>
      <c r="V514" s="4707"/>
      <c r="Y514" s="4705"/>
      <c r="Z514" s="4705"/>
      <c r="AA514" s="4706"/>
      <c r="AB514" s="4706"/>
      <c r="AC514" s="4707"/>
      <c r="AD514" s="4707"/>
      <c r="AE514" s="4622"/>
      <c r="BX514" s="4694">
        <v>3</v>
      </c>
      <c r="BY514" s="4694">
        <v>2</v>
      </c>
      <c r="BZ514" s="4695" t="s">
        <v>443</v>
      </c>
      <c r="CA514" s="4697" t="s">
        <v>1076</v>
      </c>
      <c r="CB514" s="4696">
        <v>1</v>
      </c>
      <c r="CC514" s="4694">
        <v>6</v>
      </c>
    </row>
    <row r="515" spans="17:81">
      <c r="Q515" s="4722"/>
      <c r="R515" s="4446"/>
      <c r="S515" s="4706"/>
      <c r="T515" s="4706"/>
      <c r="U515" s="4707"/>
      <c r="V515" s="4707"/>
      <c r="X515" s="4622"/>
      <c r="Y515" s="4705"/>
      <c r="Z515" s="4705"/>
      <c r="AA515" s="4706"/>
      <c r="AB515" s="4708"/>
      <c r="AC515" s="4709"/>
      <c r="AD515" s="4709"/>
      <c r="AE515" s="4622"/>
      <c r="BX515" s="4694">
        <v>3</v>
      </c>
      <c r="BY515" s="4694">
        <v>2</v>
      </c>
      <c r="BZ515" s="4695" t="s">
        <v>443</v>
      </c>
      <c r="CA515" s="4697" t="s">
        <v>1076</v>
      </c>
      <c r="CB515" s="4696">
        <v>2</v>
      </c>
      <c r="CC515" s="4694">
        <v>7</v>
      </c>
    </row>
    <row r="516" spans="17:81">
      <c r="Q516" s="4722"/>
      <c r="R516" s="4446"/>
      <c r="S516" s="4706"/>
      <c r="T516" s="4706"/>
      <c r="U516" s="4707"/>
      <c r="V516" s="4707"/>
      <c r="Y516" s="4705"/>
      <c r="Z516" s="4705"/>
      <c r="AA516" s="4706"/>
      <c r="AB516" s="4708"/>
      <c r="AC516" s="4709"/>
      <c r="AD516" s="4709"/>
      <c r="AE516" s="4622"/>
      <c r="BX516" s="4694">
        <v>3</v>
      </c>
      <c r="BY516" s="4694">
        <v>2</v>
      </c>
      <c r="BZ516" s="4695" t="s">
        <v>443</v>
      </c>
      <c r="CA516" s="4695" t="s">
        <v>2709</v>
      </c>
      <c r="CB516" s="4696">
        <v>1</v>
      </c>
      <c r="CC516" s="4694">
        <v>6</v>
      </c>
    </row>
    <row r="517" spans="17:81">
      <c r="Q517" s="4722"/>
      <c r="R517" s="4446"/>
      <c r="S517" s="4706"/>
      <c r="T517" s="4706"/>
      <c r="U517" s="4707"/>
      <c r="V517" s="4707"/>
      <c r="Y517" s="4705"/>
      <c r="Z517" s="4705"/>
      <c r="AA517" s="4706"/>
      <c r="AB517" s="4708"/>
      <c r="AC517" s="4709"/>
      <c r="AD517" s="4709"/>
      <c r="AE517" s="4622"/>
      <c r="BX517" s="4694">
        <v>3</v>
      </c>
      <c r="BY517" s="4694">
        <v>2</v>
      </c>
      <c r="BZ517" s="4695" t="s">
        <v>443</v>
      </c>
      <c r="CA517" s="4695" t="s">
        <v>2709</v>
      </c>
      <c r="CB517" s="4696">
        <v>5</v>
      </c>
      <c r="CC517" s="4694">
        <v>7</v>
      </c>
    </row>
    <row r="518" spans="17:81" ht="24.6">
      <c r="Q518" s="4722"/>
      <c r="R518" s="4446"/>
      <c r="S518" s="4706"/>
      <c r="T518" s="4706"/>
      <c r="U518" s="4707"/>
      <c r="V518" s="4707"/>
      <c r="X518" s="4622"/>
      <c r="Y518" s="4622"/>
      <c r="Z518" s="4622"/>
      <c r="AA518" s="4622"/>
      <c r="AB518" s="4622"/>
      <c r="AC518" s="4622"/>
      <c r="AD518" s="4622"/>
      <c r="AE518" s="4622"/>
      <c r="AF518" s="4622"/>
      <c r="AG518" s="4622"/>
      <c r="AH518" s="4622"/>
      <c r="AI518" s="4622"/>
      <c r="AJ518" s="4622"/>
      <c r="AK518" s="4622"/>
      <c r="AL518" s="4622"/>
      <c r="AM518" s="4622"/>
      <c r="AN518" s="4622"/>
      <c r="BX518" s="4694">
        <v>3</v>
      </c>
      <c r="BY518" s="4694">
        <v>2</v>
      </c>
      <c r="BZ518" s="4695" t="s">
        <v>443</v>
      </c>
      <c r="CA518" s="4695" t="s">
        <v>2710</v>
      </c>
      <c r="CB518" s="4696">
        <v>1</v>
      </c>
      <c r="CC518" s="4694">
        <v>0</v>
      </c>
    </row>
    <row r="519" spans="17:81">
      <c r="Q519" s="4722"/>
      <c r="R519" s="4446"/>
      <c r="S519" s="4706"/>
      <c r="T519" s="4706"/>
      <c r="U519" s="4707"/>
      <c r="V519" s="4707"/>
      <c r="Y519" s="4705"/>
      <c r="Z519" s="4705"/>
      <c r="AA519" s="4706"/>
      <c r="AB519" s="4706"/>
      <c r="AC519" s="4707"/>
      <c r="AD519" s="4707"/>
      <c r="AE519" s="4622"/>
      <c r="BX519" s="4694">
        <v>3</v>
      </c>
      <c r="BY519" s="4694">
        <v>2</v>
      </c>
      <c r="BZ519" s="4695" t="s">
        <v>382</v>
      </c>
      <c r="CA519" s="4695" t="s">
        <v>2703</v>
      </c>
      <c r="CB519" s="4696">
        <v>1</v>
      </c>
      <c r="CC519" s="4694">
        <v>1</v>
      </c>
    </row>
    <row r="520" spans="17:81">
      <c r="Q520" s="4722"/>
      <c r="R520" s="4446"/>
      <c r="S520" s="4706"/>
      <c r="T520" s="4706"/>
      <c r="U520" s="4707"/>
      <c r="V520" s="4707"/>
      <c r="Y520" s="4705"/>
      <c r="Z520" s="4705"/>
      <c r="AA520" s="4706"/>
      <c r="AB520" s="4708"/>
      <c r="AC520" s="4709"/>
      <c r="AD520" s="4709"/>
      <c r="AE520" s="4622"/>
      <c r="BX520" s="4694">
        <v>3</v>
      </c>
      <c r="BY520" s="4694">
        <v>2</v>
      </c>
      <c r="BZ520" s="4695" t="s">
        <v>382</v>
      </c>
      <c r="CA520" s="4697" t="s">
        <v>2707</v>
      </c>
      <c r="CB520" s="4696">
        <v>1</v>
      </c>
      <c r="CC520" s="4694">
        <v>6</v>
      </c>
    </row>
    <row r="521" spans="17:81">
      <c r="Q521" s="4722"/>
      <c r="R521" s="4446"/>
      <c r="S521" s="4706"/>
      <c r="T521" s="4706"/>
      <c r="U521" s="4707"/>
      <c r="V521" s="4707"/>
      <c r="Y521" s="4622"/>
      <c r="Z521" s="4622"/>
      <c r="AA521" s="4622"/>
      <c r="AB521" s="4622"/>
      <c r="AC521" s="4622"/>
      <c r="AD521" s="4622"/>
      <c r="AE521" s="4622"/>
      <c r="AF521" s="4622"/>
      <c r="AG521" s="4622"/>
      <c r="AH521" s="4622"/>
      <c r="AI521" s="4622"/>
      <c r="AJ521" s="4622"/>
      <c r="AK521" s="4622"/>
      <c r="AL521" s="4622"/>
      <c r="AM521" s="4622"/>
      <c r="AN521" s="4622"/>
      <c r="BX521" s="4694">
        <v>3</v>
      </c>
      <c r="BY521" s="4694">
        <v>2</v>
      </c>
      <c r="BZ521" s="4695" t="s">
        <v>382</v>
      </c>
      <c r="CA521" s="4697" t="s">
        <v>1076</v>
      </c>
      <c r="CB521" s="4696">
        <v>4</v>
      </c>
      <c r="CC521" s="4694">
        <v>6</v>
      </c>
    </row>
    <row r="522" spans="17:81">
      <c r="Q522" s="4722"/>
      <c r="R522" s="4446"/>
      <c r="S522" s="4706"/>
      <c r="T522" s="4706"/>
      <c r="U522" s="4707"/>
      <c r="V522" s="4707"/>
      <c r="Y522" s="4705"/>
      <c r="Z522" s="4705"/>
      <c r="AA522" s="4706"/>
      <c r="AB522" s="4706"/>
      <c r="AC522" s="4707"/>
      <c r="AD522" s="4707"/>
      <c r="AE522" s="4622"/>
      <c r="BX522" s="4694">
        <v>3</v>
      </c>
      <c r="BY522" s="4694">
        <v>2</v>
      </c>
      <c r="BZ522" s="4695" t="s">
        <v>382</v>
      </c>
      <c r="CA522" s="4695" t="s">
        <v>2709</v>
      </c>
      <c r="CB522" s="4696">
        <v>2</v>
      </c>
      <c r="CC522" s="4694">
        <v>1</v>
      </c>
    </row>
    <row r="523" spans="17:81">
      <c r="Q523" s="4722"/>
      <c r="R523" s="4446"/>
      <c r="S523" s="4706"/>
      <c r="T523" s="4706"/>
      <c r="U523" s="4707"/>
      <c r="V523" s="4707"/>
      <c r="Y523" s="4705"/>
      <c r="Z523" s="4705"/>
      <c r="AA523" s="4706"/>
      <c r="AB523" s="4708"/>
      <c r="AC523" s="4709"/>
      <c r="AD523" s="4709"/>
      <c r="AE523" s="4622"/>
      <c r="BX523" s="4694">
        <v>3</v>
      </c>
      <c r="BY523" s="4694">
        <v>2</v>
      </c>
      <c r="BZ523" s="4695" t="s">
        <v>382</v>
      </c>
      <c r="CA523" s="4695" t="s">
        <v>2709</v>
      </c>
      <c r="CB523" s="4696">
        <v>1</v>
      </c>
      <c r="CC523" s="4694">
        <v>2</v>
      </c>
    </row>
    <row r="524" spans="17:81">
      <c r="Q524" s="4722"/>
      <c r="R524" s="4446"/>
      <c r="S524" s="4706"/>
      <c r="T524" s="4706"/>
      <c r="U524" s="4707"/>
      <c r="V524" s="4707"/>
      <c r="Y524" s="4705"/>
      <c r="Z524" s="4705"/>
      <c r="AA524" s="4706"/>
      <c r="AB524" s="4708"/>
      <c r="AC524" s="4709"/>
      <c r="AD524" s="4709"/>
      <c r="AE524" s="4622"/>
      <c r="BX524" s="4694">
        <v>3</v>
      </c>
      <c r="BY524" s="4694">
        <v>2</v>
      </c>
      <c r="BZ524" s="4695" t="s">
        <v>382</v>
      </c>
      <c r="CA524" s="4695" t="s">
        <v>2709</v>
      </c>
      <c r="CB524" s="4696">
        <v>15</v>
      </c>
      <c r="CC524" s="4694">
        <v>6</v>
      </c>
    </row>
    <row r="525" spans="17:81">
      <c r="Q525" s="4722"/>
      <c r="R525" s="4446"/>
      <c r="S525" s="4706"/>
      <c r="T525" s="4706"/>
      <c r="U525" s="4707"/>
      <c r="V525" s="4707"/>
      <c r="Y525" s="4705"/>
      <c r="Z525" s="4705"/>
      <c r="AA525" s="4706"/>
      <c r="AB525" s="4708"/>
      <c r="AC525" s="4709"/>
      <c r="AD525" s="4709"/>
      <c r="AE525" s="4622"/>
      <c r="BX525" s="4694">
        <v>3</v>
      </c>
      <c r="BY525" s="4694">
        <v>2</v>
      </c>
      <c r="BZ525" s="4695" t="s">
        <v>382</v>
      </c>
      <c r="CA525" s="4695" t="s">
        <v>2709</v>
      </c>
      <c r="CB525" s="4696">
        <v>1</v>
      </c>
      <c r="CC525" s="4694">
        <v>7</v>
      </c>
    </row>
    <row r="526" spans="17:81" ht="24.6">
      <c r="Q526" s="4722"/>
      <c r="R526" s="4446"/>
      <c r="S526" s="4706"/>
      <c r="T526" s="4706"/>
      <c r="U526" s="4707"/>
      <c r="V526" s="4707"/>
      <c r="Y526" s="4705"/>
      <c r="Z526" s="4705"/>
      <c r="AA526" s="4706"/>
      <c r="AB526" s="4706"/>
      <c r="AC526" s="4707"/>
      <c r="AD526" s="4707"/>
      <c r="AE526" s="4622"/>
      <c r="BX526" s="4694">
        <v>3</v>
      </c>
      <c r="BY526" s="4694">
        <v>2</v>
      </c>
      <c r="BZ526" s="4695" t="s">
        <v>382</v>
      </c>
      <c r="CA526" s="4695" t="s">
        <v>2710</v>
      </c>
      <c r="CB526" s="4696">
        <v>1</v>
      </c>
      <c r="CC526" s="4694">
        <v>0</v>
      </c>
    </row>
    <row r="527" spans="17:81">
      <c r="Q527" s="4722"/>
      <c r="R527" s="4446"/>
      <c r="S527" s="4706"/>
      <c r="T527" s="4706"/>
      <c r="U527" s="4707"/>
      <c r="V527" s="4707"/>
      <c r="Y527" s="4705"/>
      <c r="Z527" s="4705"/>
      <c r="AA527" s="4706"/>
      <c r="AB527" s="4706"/>
      <c r="AC527" s="4707"/>
      <c r="AD527" s="4707"/>
      <c r="AE527" s="4622"/>
      <c r="BX527" s="4694">
        <v>3</v>
      </c>
      <c r="BY527" s="4694">
        <v>2</v>
      </c>
      <c r="BZ527" s="4695" t="s">
        <v>2739</v>
      </c>
      <c r="CA527" s="4697" t="s">
        <v>2707</v>
      </c>
      <c r="CB527" s="4696">
        <v>7</v>
      </c>
      <c r="CC527" s="4694">
        <v>6</v>
      </c>
    </row>
    <row r="528" spans="17:81">
      <c r="Q528" s="4722"/>
      <c r="R528" s="4446"/>
      <c r="S528" s="4706"/>
      <c r="T528" s="4706"/>
      <c r="U528" s="4707"/>
      <c r="V528" s="4707"/>
      <c r="Y528" s="4705"/>
      <c r="Z528" s="4705"/>
      <c r="AA528" s="4706"/>
      <c r="AB528" s="4706"/>
      <c r="AC528" s="4707"/>
      <c r="AD528" s="4707"/>
      <c r="AE528" s="4622"/>
      <c r="BX528" s="4694">
        <v>3</v>
      </c>
      <c r="BY528" s="4694">
        <v>2</v>
      </c>
      <c r="BZ528" s="4695" t="s">
        <v>2739</v>
      </c>
      <c r="CA528" s="4697" t="s">
        <v>1076</v>
      </c>
      <c r="CB528" s="4696">
        <v>4</v>
      </c>
      <c r="CC528" s="4694">
        <v>6</v>
      </c>
    </row>
    <row r="529" spans="17:81">
      <c r="Q529" s="4722"/>
      <c r="R529" s="4446"/>
      <c r="S529" s="4706"/>
      <c r="T529" s="4706"/>
      <c r="U529" s="4707"/>
      <c r="V529" s="4707"/>
      <c r="X529" s="4622"/>
      <c r="Y529" s="4705"/>
      <c r="Z529" s="4705"/>
      <c r="AA529" s="4706"/>
      <c r="AB529" s="4706"/>
      <c r="AC529" s="4707"/>
      <c r="AD529" s="4707"/>
      <c r="AE529" s="4622"/>
      <c r="BX529" s="4694">
        <v>3</v>
      </c>
      <c r="BY529" s="4694">
        <v>2</v>
      </c>
      <c r="BZ529" s="4695" t="s">
        <v>2739</v>
      </c>
      <c r="CA529" s="4697" t="s">
        <v>1076</v>
      </c>
      <c r="CB529" s="4696">
        <v>2</v>
      </c>
      <c r="CC529" s="4694">
        <v>7</v>
      </c>
    </row>
    <row r="530" spans="17:81">
      <c r="Q530" s="4722"/>
      <c r="R530" s="4446"/>
      <c r="S530" s="4706"/>
      <c r="T530" s="4706"/>
      <c r="U530" s="4707"/>
      <c r="V530" s="4707"/>
      <c r="Y530" s="4705"/>
      <c r="Z530" s="4705"/>
      <c r="AA530" s="4706"/>
      <c r="AB530" s="4706"/>
      <c r="AC530" s="4707"/>
      <c r="AD530" s="4707"/>
      <c r="AE530" s="4622"/>
      <c r="BX530" s="4694">
        <v>3</v>
      </c>
      <c r="BY530" s="4694">
        <v>2</v>
      </c>
      <c r="BZ530" s="4695" t="s">
        <v>2739</v>
      </c>
      <c r="CA530" s="4695" t="s">
        <v>2709</v>
      </c>
      <c r="CB530" s="4696">
        <v>1</v>
      </c>
      <c r="CC530" s="4694">
        <v>1</v>
      </c>
    </row>
    <row r="531" spans="17:81">
      <c r="Y531" s="4705"/>
      <c r="Z531" s="4705"/>
      <c r="AA531" s="4706"/>
      <c r="AB531" s="4706"/>
      <c r="AC531" s="4707"/>
      <c r="AD531" s="4707"/>
      <c r="AE531" s="4622"/>
      <c r="BX531" s="4694">
        <v>3</v>
      </c>
      <c r="BY531" s="4694">
        <v>2</v>
      </c>
      <c r="BZ531" s="4695" t="s">
        <v>2739</v>
      </c>
      <c r="CA531" s="4695" t="s">
        <v>2709</v>
      </c>
      <c r="CB531" s="4696">
        <v>5</v>
      </c>
      <c r="CC531" s="4694">
        <v>6</v>
      </c>
    </row>
    <row r="532" spans="17:81">
      <c r="Y532" s="4622"/>
      <c r="Z532" s="4622"/>
      <c r="AA532" s="4622"/>
      <c r="AB532" s="4622"/>
      <c r="AC532" s="4622"/>
      <c r="AD532" s="4622"/>
      <c r="AE532" s="4622"/>
      <c r="AF532" s="4622"/>
      <c r="AG532" s="4622"/>
      <c r="AH532" s="4622"/>
      <c r="AI532" s="4622"/>
      <c r="AJ532" s="4622"/>
      <c r="AK532" s="4622"/>
      <c r="AL532" s="4622"/>
      <c r="AM532" s="4622"/>
      <c r="AN532" s="4622"/>
      <c r="BX532" s="4694">
        <v>3</v>
      </c>
      <c r="BY532" s="4694">
        <v>2</v>
      </c>
      <c r="BZ532" s="4695" t="s">
        <v>290</v>
      </c>
      <c r="CA532" s="4697" t="s">
        <v>2707</v>
      </c>
      <c r="CB532" s="4696">
        <v>4</v>
      </c>
      <c r="CC532" s="4694">
        <v>6</v>
      </c>
    </row>
    <row r="533" spans="17:81">
      <c r="Y533" s="4705"/>
      <c r="Z533" s="4705"/>
      <c r="AA533" s="4706"/>
      <c r="AB533" s="4706"/>
      <c r="AC533" s="4707"/>
      <c r="AD533" s="4707"/>
      <c r="AE533" s="4622"/>
      <c r="BX533" s="4694">
        <v>3</v>
      </c>
      <c r="BY533" s="4694">
        <v>2</v>
      </c>
      <c r="BZ533" s="4695" t="s">
        <v>290</v>
      </c>
      <c r="CA533" s="4697" t="s">
        <v>1076</v>
      </c>
      <c r="CB533" s="4696">
        <v>4</v>
      </c>
      <c r="CC533" s="4694">
        <v>6</v>
      </c>
    </row>
    <row r="534" spans="17:81">
      <c r="Y534" s="4705"/>
      <c r="Z534" s="4705"/>
      <c r="AA534" s="4706"/>
      <c r="AB534" s="4706"/>
      <c r="AC534" s="4707"/>
      <c r="AD534" s="4707"/>
      <c r="AE534" s="4622"/>
      <c r="BX534" s="4694">
        <v>3</v>
      </c>
      <c r="BY534" s="4694">
        <v>2</v>
      </c>
      <c r="BZ534" s="4695" t="s">
        <v>290</v>
      </c>
      <c r="CA534" s="4695" t="s">
        <v>2709</v>
      </c>
      <c r="CB534" s="4696">
        <v>1</v>
      </c>
      <c r="CC534" s="4694">
        <v>3</v>
      </c>
    </row>
    <row r="535" spans="17:81">
      <c r="Y535" s="4705"/>
      <c r="Z535" s="4705"/>
      <c r="AA535" s="4706"/>
      <c r="AB535" s="4706"/>
      <c r="AC535" s="4707"/>
      <c r="AD535" s="4707"/>
      <c r="AE535" s="4622"/>
      <c r="BX535" s="4694">
        <v>3</v>
      </c>
      <c r="BY535" s="4694">
        <v>2</v>
      </c>
      <c r="BZ535" s="4695" t="s">
        <v>290</v>
      </c>
      <c r="CA535" s="4695" t="s">
        <v>2709</v>
      </c>
      <c r="CB535" s="4696">
        <v>1</v>
      </c>
      <c r="CC535" s="4694">
        <v>4</v>
      </c>
    </row>
    <row r="536" spans="17:81">
      <c r="Y536" s="4705"/>
      <c r="Z536" s="4705"/>
      <c r="AA536" s="4706"/>
      <c r="AB536" s="4708"/>
      <c r="AC536" s="4709"/>
      <c r="AD536" s="4709"/>
      <c r="AE536" s="4622"/>
      <c r="BX536" s="4694">
        <v>3</v>
      </c>
      <c r="BY536" s="4694">
        <v>2</v>
      </c>
      <c r="BZ536" s="4695" t="s">
        <v>290</v>
      </c>
      <c r="CA536" s="4695" t="s">
        <v>2709</v>
      </c>
      <c r="CB536" s="4696">
        <v>13</v>
      </c>
      <c r="CC536" s="4694">
        <v>6</v>
      </c>
    </row>
    <row r="537" spans="17:81" ht="24.6">
      <c r="Y537" s="4705"/>
      <c r="Z537" s="4705"/>
      <c r="AA537" s="4706"/>
      <c r="AB537" s="4708"/>
      <c r="AC537" s="4709"/>
      <c r="AD537" s="4709"/>
      <c r="AE537" s="4622"/>
      <c r="BX537" s="4694">
        <v>3</v>
      </c>
      <c r="BY537" s="4694">
        <v>2</v>
      </c>
      <c r="BZ537" s="4695" t="s">
        <v>290</v>
      </c>
      <c r="CA537" s="4695" t="s">
        <v>2710</v>
      </c>
      <c r="CB537" s="4696">
        <v>1</v>
      </c>
      <c r="CC537" s="4694">
        <v>0</v>
      </c>
    </row>
    <row r="538" spans="17:81">
      <c r="X538" s="4622"/>
      <c r="Y538" s="4705"/>
      <c r="Z538" s="4705"/>
      <c r="AA538" s="4706"/>
      <c r="AB538" s="4706"/>
      <c r="AC538" s="4707"/>
      <c r="AD538" s="4707"/>
      <c r="AE538" s="4622"/>
      <c r="BX538" s="4694">
        <v>3</v>
      </c>
      <c r="BY538" s="4694">
        <v>2</v>
      </c>
      <c r="BZ538" s="4695" t="s">
        <v>289</v>
      </c>
      <c r="CA538" s="4695" t="s">
        <v>2731</v>
      </c>
      <c r="CB538" s="4696">
        <v>2</v>
      </c>
      <c r="CC538" s="4694">
        <v>7</v>
      </c>
    </row>
    <row r="539" spans="17:81">
      <c r="X539" s="4622"/>
      <c r="Y539" s="4705"/>
      <c r="Z539" s="4705"/>
      <c r="AA539" s="4706"/>
      <c r="AB539" s="4706"/>
      <c r="AC539" s="4707"/>
      <c r="AD539" s="4707"/>
      <c r="AE539" s="4622"/>
      <c r="BX539" s="4694">
        <v>3</v>
      </c>
      <c r="BY539" s="4694">
        <v>2</v>
      </c>
      <c r="BZ539" s="4695" t="s">
        <v>289</v>
      </c>
      <c r="CA539" s="4695" t="s">
        <v>2731</v>
      </c>
      <c r="CB539" s="4696">
        <v>1</v>
      </c>
      <c r="CC539" s="4694">
        <v>8</v>
      </c>
    </row>
    <row r="540" spans="17:81">
      <c r="X540" s="4622"/>
      <c r="Y540" s="4705"/>
      <c r="Z540" s="4705"/>
      <c r="AA540" s="4706"/>
      <c r="AB540" s="4706"/>
      <c r="AC540" s="4707"/>
      <c r="AD540" s="4707"/>
      <c r="AE540" s="4622"/>
      <c r="BX540" s="4694">
        <v>3</v>
      </c>
      <c r="BY540" s="4694">
        <v>2</v>
      </c>
      <c r="BZ540" s="4695" t="s">
        <v>289</v>
      </c>
      <c r="CA540" s="4697" t="s">
        <v>2732</v>
      </c>
      <c r="CB540" s="4696">
        <v>1</v>
      </c>
      <c r="CC540" s="4694">
        <v>6</v>
      </c>
    </row>
    <row r="541" spans="17:81">
      <c r="X541" s="4622"/>
      <c r="Y541" s="4622"/>
      <c r="Z541" s="4622"/>
      <c r="AA541" s="4622"/>
      <c r="AB541" s="4622"/>
      <c r="AC541" s="4622"/>
      <c r="AD541" s="4622"/>
      <c r="AE541" s="4622"/>
      <c r="AF541" s="4622"/>
      <c r="AG541" s="4622"/>
      <c r="AH541" s="4622"/>
      <c r="AI541" s="4622"/>
      <c r="AJ541" s="4622"/>
      <c r="AK541" s="4622"/>
      <c r="AL541" s="4622"/>
      <c r="AM541" s="4622"/>
      <c r="AN541" s="4622"/>
      <c r="BX541" s="4694">
        <v>3</v>
      </c>
      <c r="BY541" s="4694">
        <v>2</v>
      </c>
      <c r="BZ541" s="4695" t="s">
        <v>289</v>
      </c>
      <c r="CA541" s="4697" t="s">
        <v>2707</v>
      </c>
      <c r="CB541" s="4696">
        <v>2</v>
      </c>
      <c r="CC541" s="4694">
        <v>6</v>
      </c>
    </row>
    <row r="542" spans="17:81">
      <c r="X542" s="4622"/>
      <c r="Y542" s="4622"/>
      <c r="Z542" s="4622"/>
      <c r="AA542" s="4622"/>
      <c r="AB542" s="4622"/>
      <c r="AC542" s="4622"/>
      <c r="AD542" s="4622"/>
      <c r="AE542" s="4622"/>
      <c r="AF542" s="4622"/>
      <c r="AG542" s="4622"/>
      <c r="AH542" s="4622"/>
      <c r="AI542" s="4622"/>
      <c r="AJ542" s="4622"/>
      <c r="AK542" s="4622"/>
      <c r="AL542" s="4622"/>
      <c r="AM542" s="4622"/>
      <c r="AN542" s="4622"/>
      <c r="BX542" s="4694">
        <v>3</v>
      </c>
      <c r="BY542" s="4694">
        <v>2</v>
      </c>
      <c r="BZ542" s="4695" t="s">
        <v>289</v>
      </c>
      <c r="CA542" s="4697" t="s">
        <v>1076</v>
      </c>
      <c r="CB542" s="4696">
        <v>1</v>
      </c>
      <c r="CC542" s="4694">
        <v>6</v>
      </c>
    </row>
    <row r="543" spans="17:81">
      <c r="X543" s="4622"/>
      <c r="Y543" s="4622"/>
      <c r="Z543" s="4622"/>
      <c r="AA543" s="4622"/>
      <c r="AB543" s="4622"/>
      <c r="AC543" s="4622"/>
      <c r="AD543" s="4622"/>
      <c r="AE543" s="4622"/>
      <c r="AF543" s="4622"/>
      <c r="AG543" s="4622"/>
      <c r="AH543" s="4622"/>
      <c r="AI543" s="4622"/>
      <c r="AJ543" s="4622"/>
      <c r="AK543" s="4622"/>
      <c r="AL543" s="4622"/>
      <c r="AM543" s="4622"/>
      <c r="AN543" s="4622"/>
      <c r="BX543" s="4694">
        <v>3</v>
      </c>
      <c r="BY543" s="4694">
        <v>2</v>
      </c>
      <c r="BZ543" s="4695" t="s">
        <v>289</v>
      </c>
      <c r="CA543" s="4695" t="s">
        <v>2775</v>
      </c>
      <c r="CB543" s="4696">
        <v>1</v>
      </c>
      <c r="CC543" s="4694">
        <v>3</v>
      </c>
    </row>
    <row r="544" spans="17:81">
      <c r="X544" s="4622"/>
      <c r="Y544" s="4622"/>
      <c r="Z544" s="4622"/>
      <c r="AA544" s="4622"/>
      <c r="AB544" s="4622"/>
      <c r="AC544" s="4622"/>
      <c r="AD544" s="4622"/>
      <c r="AE544" s="4622"/>
      <c r="AF544" s="4622"/>
      <c r="AG544" s="4622"/>
      <c r="AH544" s="4622"/>
      <c r="AI544" s="4622"/>
      <c r="AJ544" s="4622"/>
      <c r="AK544" s="4622"/>
      <c r="AL544" s="4622"/>
      <c r="AM544" s="4622"/>
      <c r="AN544" s="4622"/>
      <c r="BX544" s="4694">
        <v>3</v>
      </c>
      <c r="BY544" s="4694">
        <v>2</v>
      </c>
      <c r="BZ544" s="4695" t="s">
        <v>289</v>
      </c>
      <c r="CA544" s="4695" t="s">
        <v>2709</v>
      </c>
      <c r="CB544" s="4696">
        <v>9</v>
      </c>
      <c r="CC544" s="4694">
        <v>6</v>
      </c>
    </row>
    <row r="545" spans="24:81">
      <c r="X545" s="4622"/>
      <c r="Y545" s="4622"/>
      <c r="Z545" s="4622"/>
      <c r="AA545" s="4622"/>
      <c r="AB545" s="4622"/>
      <c r="AC545" s="4622"/>
      <c r="AD545" s="4622"/>
      <c r="AE545" s="4622"/>
      <c r="AF545" s="4622"/>
      <c r="AG545" s="4622"/>
      <c r="AH545" s="4622"/>
      <c r="AI545" s="4622"/>
      <c r="AJ545" s="4622"/>
      <c r="AK545" s="4622"/>
      <c r="AL545" s="4622"/>
      <c r="AM545" s="4622"/>
      <c r="AN545" s="4622"/>
      <c r="BX545" s="4694">
        <v>3</v>
      </c>
      <c r="BY545" s="4694">
        <v>2</v>
      </c>
      <c r="BZ545" s="4695" t="s">
        <v>289</v>
      </c>
      <c r="CA545" s="4695" t="s">
        <v>2709</v>
      </c>
      <c r="CB545" s="4696">
        <v>3</v>
      </c>
      <c r="CC545" s="4694">
        <v>7</v>
      </c>
    </row>
    <row r="546" spans="24:81" ht="24.6">
      <c r="X546" s="4622"/>
      <c r="Y546" s="4622"/>
      <c r="Z546" s="4622"/>
      <c r="AA546" s="4622"/>
      <c r="AB546" s="4622"/>
      <c r="AC546" s="4622"/>
      <c r="AD546" s="4622"/>
      <c r="AE546" s="4622"/>
      <c r="AF546" s="4622"/>
      <c r="AG546" s="4622"/>
      <c r="AH546" s="4622"/>
      <c r="AI546" s="4622"/>
      <c r="AJ546" s="4622"/>
      <c r="AK546" s="4622"/>
      <c r="AL546" s="4622"/>
      <c r="AM546" s="4622"/>
      <c r="AN546" s="4622"/>
      <c r="BX546" s="4694">
        <v>3</v>
      </c>
      <c r="BY546" s="4694">
        <v>2</v>
      </c>
      <c r="BZ546" s="4695" t="s">
        <v>289</v>
      </c>
      <c r="CA546" s="4695" t="s">
        <v>2710</v>
      </c>
      <c r="CB546" s="4696">
        <v>4</v>
      </c>
      <c r="CC546" s="4694">
        <v>0</v>
      </c>
    </row>
    <row r="547" spans="24:81">
      <c r="X547" s="4622"/>
      <c r="Y547" s="4622"/>
      <c r="Z547" s="4622"/>
      <c r="AA547" s="4622"/>
      <c r="AB547" s="4622"/>
      <c r="AC547" s="4622"/>
      <c r="AD547" s="4622"/>
      <c r="AE547" s="4622"/>
      <c r="AF547" s="4622"/>
      <c r="AG547" s="4622"/>
      <c r="AH547" s="4622"/>
      <c r="AI547" s="4622"/>
      <c r="AJ547" s="4622"/>
      <c r="AK547" s="4622"/>
      <c r="AL547" s="4622"/>
      <c r="AM547" s="4622"/>
      <c r="AN547" s="4622"/>
      <c r="AP547" s="4694"/>
      <c r="AQ547" s="4694"/>
      <c r="AR547" s="4695"/>
      <c r="AS547" s="4695"/>
      <c r="AT547" s="4704"/>
      <c r="AU547" s="4703"/>
      <c r="BX547" s="4694">
        <v>3</v>
      </c>
      <c r="BY547" s="4694">
        <v>2</v>
      </c>
      <c r="BZ547" s="4695" t="s">
        <v>288</v>
      </c>
      <c r="CA547" s="4697" t="s">
        <v>1076</v>
      </c>
      <c r="CB547" s="4696">
        <v>5</v>
      </c>
      <c r="CC547" s="4694">
        <v>6</v>
      </c>
    </row>
    <row r="548" spans="24:81">
      <c r="X548" s="4622"/>
      <c r="Y548" s="4622"/>
      <c r="Z548" s="4622"/>
      <c r="AA548" s="4622"/>
      <c r="AB548" s="4622"/>
      <c r="AC548" s="4622"/>
      <c r="AD548" s="4622"/>
      <c r="AE548" s="4622"/>
      <c r="AF548" s="4622"/>
      <c r="AG548" s="4622"/>
      <c r="AH548" s="4622"/>
      <c r="AI548" s="4622"/>
      <c r="AJ548" s="4622"/>
      <c r="AK548" s="4622"/>
      <c r="AL548" s="4622"/>
      <c r="AM548" s="4622"/>
      <c r="AN548" s="4622"/>
      <c r="AP548" s="4694"/>
      <c r="AQ548" s="4694"/>
      <c r="AR548" s="4695"/>
      <c r="AS548" s="4697"/>
      <c r="AT548" s="4704"/>
      <c r="AU548" s="4703"/>
      <c r="BX548" s="4694">
        <v>3</v>
      </c>
      <c r="BY548" s="4694">
        <v>2</v>
      </c>
      <c r="BZ548" s="4695" t="s">
        <v>288</v>
      </c>
      <c r="CA548" s="4695" t="s">
        <v>2709</v>
      </c>
      <c r="CB548" s="4696">
        <v>1</v>
      </c>
      <c r="CC548" s="4694">
        <v>1</v>
      </c>
    </row>
    <row r="549" spans="24:81">
      <c r="X549" s="4622"/>
      <c r="Y549" s="4622"/>
      <c r="Z549" s="4622"/>
      <c r="AA549" s="4622"/>
      <c r="AB549" s="4622"/>
      <c r="AC549" s="4622"/>
      <c r="AD549" s="4622"/>
      <c r="AE549" s="4622"/>
      <c r="AF549" s="4622"/>
      <c r="AG549" s="4622"/>
      <c r="AH549" s="4622"/>
      <c r="AI549" s="4622"/>
      <c r="AJ549" s="4622"/>
      <c r="AK549" s="4622"/>
      <c r="AL549" s="4622"/>
      <c r="AM549" s="4622"/>
      <c r="AN549" s="4622"/>
      <c r="AP549" s="4694"/>
      <c r="AQ549" s="4694"/>
      <c r="AR549" s="4695"/>
      <c r="AS549" s="4697"/>
      <c r="AT549" s="4704"/>
      <c r="AU549" s="4703"/>
      <c r="BX549" s="4694">
        <v>3</v>
      </c>
      <c r="BY549" s="4694">
        <v>2</v>
      </c>
      <c r="BZ549" s="4695" t="s">
        <v>288</v>
      </c>
      <c r="CA549" s="4695" t="s">
        <v>2709</v>
      </c>
      <c r="CB549" s="4696">
        <v>1</v>
      </c>
      <c r="CC549" s="4694">
        <v>4</v>
      </c>
    </row>
    <row r="550" spans="24:81">
      <c r="X550" s="4622"/>
      <c r="Y550" s="4622"/>
      <c r="Z550" s="4622"/>
      <c r="AA550" s="4622"/>
      <c r="AB550" s="4622"/>
      <c r="AC550" s="4622"/>
      <c r="AD550" s="4622"/>
      <c r="AE550" s="4622"/>
      <c r="AF550" s="4622"/>
      <c r="AG550" s="4622"/>
      <c r="AH550" s="4622"/>
      <c r="AI550" s="4622"/>
      <c r="AJ550" s="4622"/>
      <c r="AK550" s="4622"/>
      <c r="AL550" s="4622"/>
      <c r="AM550" s="4622"/>
      <c r="AN550" s="4622"/>
      <c r="AP550" s="4694"/>
      <c r="AQ550" s="4694"/>
      <c r="AR550" s="4695"/>
      <c r="AS550" s="4697"/>
      <c r="AT550" s="4704"/>
      <c r="AU550" s="4703"/>
      <c r="BX550" s="4694">
        <v>3</v>
      </c>
      <c r="BY550" s="4694">
        <v>2</v>
      </c>
      <c r="BZ550" s="4695" t="s">
        <v>288</v>
      </c>
      <c r="CA550" s="4695" t="s">
        <v>2709</v>
      </c>
      <c r="CB550" s="4696">
        <v>17</v>
      </c>
      <c r="CC550" s="4694">
        <v>6</v>
      </c>
    </row>
    <row r="551" spans="24:81">
      <c r="X551" s="4622"/>
      <c r="Y551" s="4622"/>
      <c r="Z551" s="4622"/>
      <c r="AA551" s="4622"/>
      <c r="AB551" s="4622"/>
      <c r="AC551" s="4622"/>
      <c r="AD551" s="4622"/>
      <c r="AE551" s="4622"/>
      <c r="AF551" s="4622"/>
      <c r="AG551" s="4622"/>
      <c r="AH551" s="4622"/>
      <c r="AI551" s="4622"/>
      <c r="AJ551" s="4622"/>
      <c r="AK551" s="4622"/>
      <c r="AL551" s="4622"/>
      <c r="AM551" s="4622"/>
      <c r="AN551" s="4622"/>
      <c r="AP551" s="4694"/>
      <c r="AQ551" s="4694"/>
      <c r="AR551" s="4695"/>
      <c r="AS551" s="4695"/>
      <c r="AT551" s="4704"/>
      <c r="AU551" s="4703"/>
      <c r="BX551" s="4694">
        <v>3</v>
      </c>
      <c r="BY551" s="4694">
        <v>2</v>
      </c>
      <c r="BZ551" s="4695" t="s">
        <v>2082</v>
      </c>
      <c r="CA551" s="4695" t="s">
        <v>2731</v>
      </c>
      <c r="CB551" s="4696">
        <v>1</v>
      </c>
      <c r="CC551" s="4694">
        <v>9</v>
      </c>
    </row>
    <row r="552" spans="24:81">
      <c r="X552" s="4622"/>
      <c r="Y552" s="4622"/>
      <c r="Z552" s="4622"/>
      <c r="AA552" s="4622"/>
      <c r="AB552" s="4622"/>
      <c r="AC552" s="4622"/>
      <c r="AD552" s="4622"/>
      <c r="AE552" s="4622"/>
      <c r="AF552" s="4622"/>
      <c r="AG552" s="4622"/>
      <c r="AH552" s="4622"/>
      <c r="AI552" s="4622"/>
      <c r="AJ552" s="4622"/>
      <c r="AK552" s="4622"/>
      <c r="AL552" s="4622"/>
      <c r="AM552" s="4622"/>
      <c r="AN552" s="4622"/>
      <c r="AP552" s="4694"/>
      <c r="AQ552" s="4694"/>
      <c r="AR552" s="4695"/>
      <c r="AS552" s="4695"/>
      <c r="AT552" s="4704"/>
      <c r="AU552" s="4703"/>
      <c r="BX552" s="4694">
        <v>3</v>
      </c>
      <c r="BY552" s="4694">
        <v>2</v>
      </c>
      <c r="BZ552" s="4695" t="s">
        <v>2082</v>
      </c>
      <c r="CA552" s="4697" t="s">
        <v>2732</v>
      </c>
      <c r="CB552" s="4696">
        <v>2</v>
      </c>
      <c r="CC552" s="4694">
        <v>6</v>
      </c>
    </row>
    <row r="553" spans="24:81">
      <c r="X553" s="4622"/>
      <c r="Y553" s="4622"/>
      <c r="Z553" s="4622"/>
      <c r="AA553" s="4622"/>
      <c r="AB553" s="4622"/>
      <c r="AC553" s="4622"/>
      <c r="AD553" s="4622"/>
      <c r="AE553" s="4622"/>
      <c r="AF553" s="4622"/>
      <c r="AG553" s="4622"/>
      <c r="AH553" s="4622"/>
      <c r="AI553" s="4622"/>
      <c r="AJ553" s="4622"/>
      <c r="AK553" s="4622"/>
      <c r="AL553" s="4622"/>
      <c r="AM553" s="4622"/>
      <c r="AN553" s="4622"/>
      <c r="AP553" s="4694"/>
      <c r="AQ553" s="4694"/>
      <c r="AR553" s="4695"/>
      <c r="AS553" s="4695"/>
      <c r="AT553" s="4704"/>
      <c r="AU553" s="4703"/>
      <c r="BX553" s="4694">
        <v>3</v>
      </c>
      <c r="BY553" s="4694">
        <v>2</v>
      </c>
      <c r="BZ553" s="4695" t="s">
        <v>2082</v>
      </c>
      <c r="CA553" s="4697" t="s">
        <v>2732</v>
      </c>
      <c r="CB553" s="4696">
        <v>3</v>
      </c>
      <c r="CC553" s="4694">
        <v>7</v>
      </c>
    </row>
    <row r="554" spans="24:81">
      <c r="X554" s="4622"/>
      <c r="Y554" s="4622"/>
      <c r="Z554" s="4622"/>
      <c r="AA554" s="4622"/>
      <c r="AB554" s="4622"/>
      <c r="AC554" s="4622"/>
      <c r="AD554" s="4622"/>
      <c r="AE554" s="4622"/>
      <c r="AF554" s="4622"/>
      <c r="AG554" s="4622"/>
      <c r="AH554" s="4622"/>
      <c r="AI554" s="4622"/>
      <c r="AJ554" s="4622"/>
      <c r="AK554" s="4622"/>
      <c r="AL554" s="4622"/>
      <c r="AM554" s="4622"/>
      <c r="AN554" s="4622"/>
      <c r="AP554" s="4694"/>
      <c r="AQ554" s="4694"/>
      <c r="AR554" s="4695"/>
      <c r="AS554" s="4695"/>
      <c r="AT554" s="4704"/>
      <c r="AU554" s="4703"/>
      <c r="BX554" s="4694">
        <v>3</v>
      </c>
      <c r="BY554" s="4694">
        <v>2</v>
      </c>
      <c r="BZ554" s="4695" t="s">
        <v>2082</v>
      </c>
      <c r="CA554" s="4695" t="s">
        <v>2703</v>
      </c>
      <c r="CB554" s="4696">
        <v>1</v>
      </c>
      <c r="CC554" s="4694">
        <v>4</v>
      </c>
    </row>
    <row r="555" spans="24:81">
      <c r="X555" s="4622"/>
      <c r="Y555" s="4622"/>
      <c r="Z555" s="4622"/>
      <c r="AA555" s="4622"/>
      <c r="AB555" s="4622"/>
      <c r="AC555" s="4622"/>
      <c r="AD555" s="4622"/>
      <c r="AE555" s="4622"/>
      <c r="AF555" s="4622"/>
      <c r="AG555" s="4622"/>
      <c r="AH555" s="4622"/>
      <c r="AI555" s="4622"/>
      <c r="AJ555" s="4622"/>
      <c r="AK555" s="4622"/>
      <c r="AL555" s="4622"/>
      <c r="AM555" s="4622"/>
      <c r="AN555" s="4622"/>
      <c r="AP555" s="4694"/>
      <c r="AQ555" s="4694"/>
      <c r="AR555" s="4695"/>
      <c r="AS555" s="4697"/>
      <c r="AT555" s="4704"/>
      <c r="AU555" s="4703"/>
      <c r="BX555" s="4694">
        <v>3</v>
      </c>
      <c r="BY555" s="4694">
        <v>2</v>
      </c>
      <c r="BZ555" s="4695" t="s">
        <v>2082</v>
      </c>
      <c r="CA555" s="4695" t="s">
        <v>2703</v>
      </c>
      <c r="CB555" s="4696">
        <v>1</v>
      </c>
      <c r="CC555" s="4694">
        <v>5</v>
      </c>
    </row>
    <row r="556" spans="24:81">
      <c r="X556" s="4622"/>
      <c r="Y556" s="4622"/>
      <c r="Z556" s="4622"/>
      <c r="AA556" s="4622"/>
      <c r="AB556" s="4622"/>
      <c r="AC556" s="4622"/>
      <c r="AD556" s="4622"/>
      <c r="AE556" s="4622"/>
      <c r="AF556" s="4622"/>
      <c r="AG556" s="4622"/>
      <c r="AH556" s="4622"/>
      <c r="AI556" s="4622"/>
      <c r="AJ556" s="4622"/>
      <c r="AK556" s="4622"/>
      <c r="AL556" s="4622"/>
      <c r="AM556" s="4622"/>
      <c r="AN556" s="4622"/>
      <c r="AP556" s="4694"/>
      <c r="AQ556" s="4694"/>
      <c r="AR556" s="4695"/>
      <c r="AS556" s="4697"/>
      <c r="AT556" s="4704"/>
      <c r="AU556" s="4703"/>
      <c r="BX556" s="4694">
        <v>3</v>
      </c>
      <c r="BY556" s="4694">
        <v>2</v>
      </c>
      <c r="BZ556" s="4695" t="s">
        <v>2082</v>
      </c>
      <c r="CA556" s="4697" t="s">
        <v>2707</v>
      </c>
      <c r="CB556" s="4696">
        <v>1</v>
      </c>
      <c r="CC556" s="4694">
        <v>6</v>
      </c>
    </row>
    <row r="557" spans="24:81">
      <c r="X557" s="4622"/>
      <c r="Y557" s="4622"/>
      <c r="Z557" s="4622"/>
      <c r="AA557" s="4622"/>
      <c r="AB557" s="4622"/>
      <c r="AC557" s="4622"/>
      <c r="AD557" s="4622"/>
      <c r="AE557" s="4622"/>
      <c r="AF557" s="4622"/>
      <c r="AG557" s="4622"/>
      <c r="AH557" s="4622"/>
      <c r="AI557" s="4622"/>
      <c r="AJ557" s="4622"/>
      <c r="AK557" s="4622"/>
      <c r="AL557" s="4622"/>
      <c r="AM557" s="4622"/>
      <c r="AN557" s="4622"/>
      <c r="AP557" s="4694"/>
      <c r="AQ557" s="4694"/>
      <c r="AR557" s="4695"/>
      <c r="AS557" s="4697"/>
      <c r="AT557" s="4704"/>
      <c r="AU557" s="4703"/>
      <c r="BX557" s="4694">
        <v>3</v>
      </c>
      <c r="BY557" s="4694">
        <v>2</v>
      </c>
      <c r="BZ557" s="4695" t="s">
        <v>2082</v>
      </c>
      <c r="CA557" s="4697" t="s">
        <v>1076</v>
      </c>
      <c r="CB557" s="4696">
        <v>1</v>
      </c>
      <c r="CC557" s="4694">
        <v>6</v>
      </c>
    </row>
    <row r="558" spans="24:81">
      <c r="X558" s="4622"/>
      <c r="Y558" s="4622"/>
      <c r="Z558" s="4622"/>
      <c r="AA558" s="4622"/>
      <c r="AB558" s="4622"/>
      <c r="AC558" s="4622"/>
      <c r="AD558" s="4622"/>
      <c r="AE558" s="4622"/>
      <c r="AF558" s="4622"/>
      <c r="AG558" s="4622"/>
      <c r="AH558" s="4622"/>
      <c r="AI558" s="4622"/>
      <c r="AJ558" s="4622"/>
      <c r="AK558" s="4622"/>
      <c r="AL558" s="4622"/>
      <c r="AM558" s="4622"/>
      <c r="AN558" s="4622"/>
      <c r="AP558" s="4694"/>
      <c r="AQ558" s="4694"/>
      <c r="AR558" s="4695"/>
      <c r="AS558" s="4697"/>
      <c r="AT558" s="4704"/>
      <c r="AU558" s="4703"/>
      <c r="BX558" s="4694">
        <v>3</v>
      </c>
      <c r="BY558" s="4694">
        <v>2</v>
      </c>
      <c r="BZ558" s="4695" t="s">
        <v>2082</v>
      </c>
      <c r="CA558" s="4697" t="s">
        <v>1076</v>
      </c>
      <c r="CB558" s="4696">
        <v>1</v>
      </c>
      <c r="CC558" s="4694">
        <v>7</v>
      </c>
    </row>
    <row r="559" spans="24:81">
      <c r="X559" s="4622"/>
      <c r="Y559" s="4622"/>
      <c r="Z559" s="4622"/>
      <c r="AA559" s="4622"/>
      <c r="AB559" s="4622"/>
      <c r="AC559" s="4622"/>
      <c r="AD559" s="4622"/>
      <c r="AE559" s="4622"/>
      <c r="AF559" s="4622"/>
      <c r="AG559" s="4622"/>
      <c r="AH559" s="4622"/>
      <c r="AI559" s="4622"/>
      <c r="AJ559" s="4622"/>
      <c r="AK559" s="4622"/>
      <c r="AL559" s="4622"/>
      <c r="AM559" s="4622"/>
      <c r="AN559" s="4622"/>
      <c r="AP559" s="4694"/>
      <c r="AQ559" s="4694"/>
      <c r="AR559" s="4695"/>
      <c r="AS559" s="4695"/>
      <c r="AT559" s="4704"/>
      <c r="AU559" s="4703"/>
      <c r="BX559" s="4694">
        <v>3</v>
      </c>
      <c r="BY559" s="4694">
        <v>2</v>
      </c>
      <c r="BZ559" s="4695" t="s">
        <v>2082</v>
      </c>
      <c r="CA559" s="4697" t="s">
        <v>1076</v>
      </c>
      <c r="CB559" s="4696">
        <v>1</v>
      </c>
      <c r="CC559" s="4694">
        <v>9</v>
      </c>
    </row>
    <row r="560" spans="24:81">
      <c r="X560" s="4622"/>
      <c r="Y560" s="4622"/>
      <c r="Z560" s="4622"/>
      <c r="AA560" s="4622"/>
      <c r="AB560" s="4622"/>
      <c r="AC560" s="4622"/>
      <c r="AD560" s="4622"/>
      <c r="AE560" s="4622"/>
      <c r="AF560" s="4622"/>
      <c r="AG560" s="4622"/>
      <c r="AH560" s="4622"/>
      <c r="AI560" s="4622"/>
      <c r="AJ560" s="4622"/>
      <c r="AK560" s="4622"/>
      <c r="AL560" s="4622"/>
      <c r="AM560" s="4622"/>
      <c r="AN560" s="4622"/>
      <c r="AP560" s="4694"/>
      <c r="AQ560" s="4694"/>
      <c r="AR560" s="4695"/>
      <c r="AS560" s="4695"/>
      <c r="AT560" s="4704"/>
      <c r="AU560" s="4703"/>
      <c r="BX560" s="4694">
        <v>3</v>
      </c>
      <c r="BY560" s="4694">
        <v>2</v>
      </c>
      <c r="BZ560" s="4695" t="s">
        <v>2082</v>
      </c>
      <c r="CA560" s="4695" t="s">
        <v>2775</v>
      </c>
      <c r="CB560" s="4696">
        <v>1</v>
      </c>
      <c r="CC560" s="4694">
        <v>5</v>
      </c>
    </row>
    <row r="561" spans="23:81">
      <c r="X561" s="4622"/>
      <c r="Y561" s="4622"/>
      <c r="Z561" s="4622"/>
      <c r="AA561" s="4622"/>
      <c r="AB561" s="4622"/>
      <c r="AC561" s="4622"/>
      <c r="AD561" s="4622"/>
      <c r="AE561" s="4622"/>
      <c r="AF561" s="4622"/>
      <c r="AG561" s="4622"/>
      <c r="AH561" s="4622"/>
      <c r="AI561" s="4622"/>
      <c r="AJ561" s="4622"/>
      <c r="AK561" s="4622"/>
      <c r="AL561" s="4622"/>
      <c r="AM561" s="4622"/>
      <c r="AN561" s="4622"/>
      <c r="AP561" s="4694"/>
      <c r="AQ561" s="4694"/>
      <c r="AR561" s="4695"/>
      <c r="AS561" s="4695"/>
      <c r="AT561" s="4704"/>
      <c r="AU561" s="4703"/>
      <c r="BX561" s="4694">
        <v>3</v>
      </c>
      <c r="BY561" s="4694">
        <v>2</v>
      </c>
      <c r="BZ561" s="4695" t="s">
        <v>2082</v>
      </c>
      <c r="CA561" s="4695" t="s">
        <v>2709</v>
      </c>
      <c r="CB561" s="4696">
        <v>3</v>
      </c>
      <c r="CC561" s="4694">
        <v>2</v>
      </c>
    </row>
    <row r="562" spans="23:81">
      <c r="X562" s="4622"/>
      <c r="Y562" s="4622"/>
      <c r="Z562" s="4622"/>
      <c r="AA562" s="4622"/>
      <c r="AB562" s="4622"/>
      <c r="AC562" s="4622"/>
      <c r="AD562" s="4622"/>
      <c r="AE562" s="4622"/>
      <c r="AF562" s="4622"/>
      <c r="AG562" s="4622"/>
      <c r="AH562" s="4622"/>
      <c r="AI562" s="4622"/>
      <c r="AJ562" s="4622"/>
      <c r="AK562" s="4622"/>
      <c r="AL562" s="4622"/>
      <c r="AM562" s="4622"/>
      <c r="AN562" s="4622"/>
      <c r="AP562" s="4694"/>
      <c r="AQ562" s="4694"/>
      <c r="AR562" s="4695"/>
      <c r="AS562" s="4695"/>
      <c r="AT562" s="4704"/>
      <c r="AU562" s="4703"/>
      <c r="BX562" s="4694">
        <v>3</v>
      </c>
      <c r="BY562" s="4694">
        <v>2</v>
      </c>
      <c r="BZ562" s="4695" t="s">
        <v>2082</v>
      </c>
      <c r="CA562" s="4695" t="s">
        <v>2709</v>
      </c>
      <c r="CB562" s="4696">
        <v>2</v>
      </c>
      <c r="CC562" s="4694">
        <v>3</v>
      </c>
    </row>
    <row r="563" spans="23:81">
      <c r="X563" s="4622"/>
      <c r="Y563" s="4622"/>
      <c r="Z563" s="4622"/>
      <c r="AA563" s="4622"/>
      <c r="AB563" s="4622"/>
      <c r="AC563" s="4622"/>
      <c r="AD563" s="4622"/>
      <c r="AE563" s="4622"/>
      <c r="AF563" s="4622"/>
      <c r="AG563" s="4622"/>
      <c r="AH563" s="4622"/>
      <c r="AI563" s="4622"/>
      <c r="AJ563" s="4622"/>
      <c r="AK563" s="4622"/>
      <c r="AL563" s="4622"/>
      <c r="AM563" s="4622"/>
      <c r="AN563" s="4622"/>
      <c r="AP563" s="4694"/>
      <c r="AQ563" s="4694"/>
      <c r="AR563" s="4695"/>
      <c r="AS563" s="4695"/>
      <c r="AT563" s="4704"/>
      <c r="AU563" s="4703"/>
      <c r="BX563" s="4694">
        <v>3</v>
      </c>
      <c r="BY563" s="4694">
        <v>2</v>
      </c>
      <c r="BZ563" s="4695" t="s">
        <v>2082</v>
      </c>
      <c r="CA563" s="4695" t="s">
        <v>2709</v>
      </c>
      <c r="CB563" s="4696">
        <v>1</v>
      </c>
      <c r="CC563" s="4694">
        <v>4</v>
      </c>
    </row>
    <row r="564" spans="23:81">
      <c r="X564" s="4622"/>
      <c r="Y564" s="4622"/>
      <c r="Z564" s="4622"/>
      <c r="AA564" s="4622"/>
      <c r="AB564" s="4622"/>
      <c r="AC564" s="4622"/>
      <c r="AD564" s="4622"/>
      <c r="AE564" s="4622"/>
      <c r="AF564" s="4622"/>
      <c r="AG564" s="4622"/>
      <c r="AH564" s="4622"/>
      <c r="AI564" s="4622"/>
      <c r="AJ564" s="4622"/>
      <c r="AK564" s="4622"/>
      <c r="AL564" s="4622"/>
      <c r="AM564" s="4622"/>
      <c r="AN564" s="4622"/>
      <c r="AP564" s="4694"/>
      <c r="AQ564" s="4694"/>
      <c r="AR564" s="4695"/>
      <c r="AS564" s="4695"/>
      <c r="AT564" s="4704"/>
      <c r="AU564" s="4703"/>
      <c r="BX564" s="4694">
        <v>3</v>
      </c>
      <c r="BY564" s="4694">
        <v>2</v>
      </c>
      <c r="BZ564" s="4695" t="s">
        <v>2082</v>
      </c>
      <c r="CA564" s="4695" t="s">
        <v>2709</v>
      </c>
      <c r="CB564" s="4696">
        <v>1</v>
      </c>
      <c r="CC564" s="4694">
        <v>5</v>
      </c>
    </row>
    <row r="565" spans="23:81">
      <c r="X565" s="4622"/>
      <c r="Y565" s="4622"/>
      <c r="Z565" s="4622"/>
      <c r="AA565" s="4622"/>
      <c r="AB565" s="4622"/>
      <c r="AC565" s="4622"/>
      <c r="AD565" s="4622"/>
      <c r="AE565" s="4622"/>
      <c r="AF565" s="4622"/>
      <c r="AG565" s="4622"/>
      <c r="AH565" s="4622"/>
      <c r="AI565" s="4622"/>
      <c r="AJ565" s="4622"/>
      <c r="AK565" s="4622"/>
      <c r="AL565" s="4622"/>
      <c r="AM565" s="4622"/>
      <c r="AN565" s="4622"/>
      <c r="AP565" s="4694"/>
      <c r="AQ565" s="4694"/>
      <c r="AR565" s="4695"/>
      <c r="AS565" s="4695"/>
      <c r="AT565" s="4704"/>
      <c r="AU565" s="4703"/>
      <c r="BX565" s="4694">
        <v>3</v>
      </c>
      <c r="BY565" s="4694">
        <v>2</v>
      </c>
      <c r="BZ565" s="4695" t="s">
        <v>2082</v>
      </c>
      <c r="CA565" s="4695" t="s">
        <v>2709</v>
      </c>
      <c r="CB565" s="4696">
        <v>2</v>
      </c>
      <c r="CC565" s="4694">
        <v>6</v>
      </c>
    </row>
    <row r="566" spans="23:81">
      <c r="X566" s="4622"/>
      <c r="Y566" s="4622"/>
      <c r="Z566" s="4622"/>
      <c r="AA566" s="4622"/>
      <c r="AB566" s="4622"/>
      <c r="AC566" s="4622"/>
      <c r="AD566" s="4622"/>
      <c r="AE566" s="4622"/>
      <c r="AF566" s="4622"/>
      <c r="AG566" s="4622"/>
      <c r="AH566" s="4622"/>
      <c r="AI566" s="4622"/>
      <c r="AJ566" s="4622"/>
      <c r="AK566" s="4622"/>
      <c r="AL566" s="4622"/>
      <c r="AM566" s="4622"/>
      <c r="AN566" s="4622"/>
      <c r="AP566" s="4694"/>
      <c r="AQ566" s="4694"/>
      <c r="AR566" s="4695"/>
      <c r="AS566" s="4697"/>
      <c r="AT566" s="4704"/>
      <c r="AU566" s="4703"/>
      <c r="BX566" s="4694">
        <v>3</v>
      </c>
      <c r="BY566" s="4694">
        <v>2</v>
      </c>
      <c r="BZ566" s="4695" t="s">
        <v>2082</v>
      </c>
      <c r="CA566" s="4695" t="s">
        <v>2709</v>
      </c>
      <c r="CB566" s="4696">
        <v>1</v>
      </c>
      <c r="CC566" s="4694">
        <v>7</v>
      </c>
    </row>
    <row r="567" spans="23:81" ht="24.6">
      <c r="X567" s="4622"/>
      <c r="Y567" s="4622"/>
      <c r="Z567" s="4622"/>
      <c r="AA567" s="4622"/>
      <c r="AB567" s="4622"/>
      <c r="AC567" s="4622"/>
      <c r="AD567" s="4622"/>
      <c r="AE567" s="4622"/>
      <c r="AF567" s="4622"/>
      <c r="AG567" s="4622"/>
      <c r="AH567" s="4622"/>
      <c r="AI567" s="4622"/>
      <c r="AJ567" s="4622"/>
      <c r="AK567" s="4622"/>
      <c r="AL567" s="4622"/>
      <c r="AM567" s="4622"/>
      <c r="AN567" s="4622"/>
      <c r="AP567" s="4694"/>
      <c r="AQ567" s="4694"/>
      <c r="AR567" s="4695"/>
      <c r="AS567" s="4697"/>
      <c r="AT567" s="4704"/>
      <c r="AU567" s="4703"/>
      <c r="BX567" s="4694">
        <v>3</v>
      </c>
      <c r="BY567" s="4694">
        <v>2</v>
      </c>
      <c r="BZ567" s="4695" t="s">
        <v>2082</v>
      </c>
      <c r="CA567" s="4695" t="s">
        <v>2710</v>
      </c>
      <c r="CB567" s="4696">
        <v>1</v>
      </c>
      <c r="CC567" s="4694">
        <v>0</v>
      </c>
    </row>
    <row r="568" spans="23:81">
      <c r="X568" s="4622"/>
      <c r="Y568" s="4622"/>
      <c r="Z568" s="4622"/>
      <c r="AA568" s="4622"/>
      <c r="AB568" s="4622"/>
      <c r="AC568" s="4622"/>
      <c r="AD568" s="4622"/>
      <c r="AE568" s="4622"/>
      <c r="AF568" s="4622"/>
      <c r="AG568" s="4622"/>
      <c r="AH568" s="4622"/>
      <c r="AI568" s="4622"/>
      <c r="AJ568" s="4622"/>
      <c r="AK568" s="4622"/>
      <c r="AL568" s="4622"/>
      <c r="AM568" s="4622"/>
      <c r="AN568" s="4622"/>
      <c r="AP568" s="4694"/>
      <c r="AQ568" s="4694"/>
      <c r="AR568" s="4695"/>
      <c r="AS568" s="4695"/>
      <c r="AT568" s="4704"/>
      <c r="AU568" s="4703"/>
      <c r="BX568" s="4694">
        <v>3</v>
      </c>
      <c r="BY568" s="4694">
        <v>2</v>
      </c>
      <c r="BZ568" s="4695" t="s">
        <v>2737</v>
      </c>
      <c r="CA568" s="4697" t="s">
        <v>2732</v>
      </c>
      <c r="CB568" s="4696">
        <v>7</v>
      </c>
      <c r="CC568" s="4694">
        <v>6</v>
      </c>
    </row>
    <row r="569" spans="23:81">
      <c r="X569" s="4622"/>
      <c r="Y569" s="4622"/>
      <c r="Z569" s="4622"/>
      <c r="AA569" s="4622"/>
      <c r="AB569" s="4622"/>
      <c r="AC569" s="4622"/>
      <c r="AD569" s="4622"/>
      <c r="AE569" s="4622"/>
      <c r="AF569" s="4622"/>
      <c r="AG569" s="4622"/>
      <c r="AH569" s="4622"/>
      <c r="AI569" s="4622"/>
      <c r="AJ569" s="4622"/>
      <c r="AK569" s="4622"/>
      <c r="AL569" s="4622"/>
      <c r="AM569" s="4622"/>
      <c r="AN569" s="4622"/>
      <c r="AP569" s="4694"/>
      <c r="AQ569" s="4694"/>
      <c r="AR569" s="4695"/>
      <c r="AS569" s="4697"/>
      <c r="AT569" s="4704"/>
      <c r="AU569" s="4703"/>
      <c r="BX569" s="4694">
        <v>3</v>
      </c>
      <c r="BY569" s="4694">
        <v>3</v>
      </c>
      <c r="BZ569" s="4695" t="s">
        <v>292</v>
      </c>
      <c r="CA569" s="4695" t="s">
        <v>2731</v>
      </c>
      <c r="CB569" s="4696">
        <v>7</v>
      </c>
      <c r="CC569" s="4694">
        <v>8</v>
      </c>
    </row>
    <row r="570" spans="23:81">
      <c r="X570" s="4622"/>
      <c r="Y570" s="4622"/>
      <c r="Z570" s="4622"/>
      <c r="AA570" s="4622"/>
      <c r="AB570" s="4622"/>
      <c r="AC570" s="4622"/>
      <c r="AD570" s="4622"/>
      <c r="AE570" s="4622"/>
      <c r="AF570" s="4622"/>
      <c r="AG570" s="4622"/>
      <c r="AH570" s="4622"/>
      <c r="AI570" s="4622"/>
      <c r="AJ570" s="4622"/>
      <c r="AK570" s="4622"/>
      <c r="AL570" s="4622"/>
      <c r="AM570" s="4622"/>
      <c r="AN570" s="4622"/>
      <c r="AP570" s="4694"/>
      <c r="AQ570" s="4694"/>
      <c r="AR570" s="4695"/>
      <c r="AS570" s="4697"/>
      <c r="AT570" s="4704"/>
      <c r="AU570" s="4703"/>
      <c r="BX570" s="4694">
        <v>3</v>
      </c>
      <c r="BY570" s="4694">
        <v>3</v>
      </c>
      <c r="BZ570" s="4695" t="s">
        <v>292</v>
      </c>
      <c r="CA570" s="4695" t="s">
        <v>2731</v>
      </c>
      <c r="CB570" s="4696">
        <v>1</v>
      </c>
      <c r="CC570" s="4694">
        <v>9</v>
      </c>
    </row>
    <row r="571" spans="23:81">
      <c r="X571" s="4622"/>
      <c r="Y571" s="4622"/>
      <c r="Z571" s="4622"/>
      <c r="AA571" s="4622"/>
      <c r="AB571" s="4622"/>
      <c r="AC571" s="4622"/>
      <c r="AD571" s="4622"/>
      <c r="AE571" s="4622"/>
      <c r="AF571" s="4622"/>
      <c r="AG571" s="4622"/>
      <c r="AH571" s="4622"/>
      <c r="AI571" s="4622"/>
      <c r="AJ571" s="4622"/>
      <c r="AK571" s="4622"/>
      <c r="AL571" s="4622"/>
      <c r="AM571" s="4622"/>
      <c r="AN571" s="4622"/>
      <c r="AP571" s="4694"/>
      <c r="AQ571" s="4694"/>
      <c r="AR571" s="4695"/>
      <c r="AS571" s="4695"/>
      <c r="AT571" s="4704"/>
      <c r="AU571" s="4703"/>
      <c r="BX571" s="4694">
        <v>3</v>
      </c>
      <c r="BY571" s="4694">
        <v>3</v>
      </c>
      <c r="BZ571" s="4695" t="s">
        <v>292</v>
      </c>
      <c r="CA571" s="4697" t="s">
        <v>2732</v>
      </c>
      <c r="CB571" s="4696">
        <v>2</v>
      </c>
      <c r="CC571" s="4694">
        <v>6</v>
      </c>
    </row>
    <row r="572" spans="23:81">
      <c r="X572" s="4622"/>
      <c r="Y572" s="4622"/>
      <c r="Z572" s="4622"/>
      <c r="AA572" s="4622"/>
      <c r="AB572" s="4622"/>
      <c r="AC572" s="4622"/>
      <c r="AD572" s="4622"/>
      <c r="AE572" s="4622"/>
      <c r="AF572" s="4622"/>
      <c r="AG572" s="4622"/>
      <c r="AH572" s="4622"/>
      <c r="AI572" s="4622"/>
      <c r="AJ572" s="4622"/>
      <c r="AK572" s="4622"/>
      <c r="AL572" s="4622"/>
      <c r="AM572" s="4622"/>
      <c r="AN572" s="4622"/>
      <c r="AP572" s="4694"/>
      <c r="AQ572" s="4694"/>
      <c r="AR572" s="4695"/>
      <c r="AS572" s="4695"/>
      <c r="AT572" s="4704"/>
      <c r="AU572" s="4703"/>
      <c r="BX572" s="4694">
        <v>3</v>
      </c>
      <c r="BY572" s="4694">
        <v>3</v>
      </c>
      <c r="BZ572" s="4695" t="s">
        <v>292</v>
      </c>
      <c r="CA572" s="4697" t="s">
        <v>2732</v>
      </c>
      <c r="CB572" s="4696">
        <v>1</v>
      </c>
      <c r="CC572" s="4694">
        <v>7</v>
      </c>
    </row>
    <row r="573" spans="23:81">
      <c r="X573" s="4622"/>
      <c r="Y573" s="4622"/>
      <c r="Z573" s="4622"/>
      <c r="AA573" s="4622"/>
      <c r="AB573" s="4622"/>
      <c r="AC573" s="4622"/>
      <c r="AD573" s="4622"/>
      <c r="AE573" s="4622"/>
      <c r="AF573" s="4622"/>
      <c r="AG573" s="4622"/>
      <c r="AH573" s="4622"/>
      <c r="AI573" s="4622"/>
      <c r="AJ573" s="4622"/>
      <c r="AK573" s="4622"/>
      <c r="AL573" s="4622"/>
      <c r="AM573" s="4622"/>
      <c r="AN573" s="4622"/>
      <c r="AP573" s="4694"/>
      <c r="AQ573" s="4694"/>
      <c r="AR573" s="4695"/>
      <c r="AS573" s="4695"/>
      <c r="AT573" s="4704"/>
      <c r="AU573" s="4703"/>
      <c r="BX573" s="4694">
        <v>3</v>
      </c>
      <c r="BY573" s="4694">
        <v>3</v>
      </c>
      <c r="BZ573" s="4695" t="s">
        <v>292</v>
      </c>
      <c r="CA573" s="4697" t="s">
        <v>2707</v>
      </c>
      <c r="CB573" s="4696">
        <v>1</v>
      </c>
      <c r="CC573" s="4694">
        <v>7</v>
      </c>
    </row>
    <row r="574" spans="23:81">
      <c r="X574" s="4622"/>
      <c r="Y574" s="4622"/>
      <c r="Z574" s="4622"/>
      <c r="AA574" s="4622"/>
      <c r="AB574" s="4622"/>
      <c r="AC574" s="4622"/>
      <c r="AD574" s="4622"/>
      <c r="AE574" s="4622"/>
      <c r="AF574" s="4622"/>
      <c r="AG574" s="4622"/>
      <c r="AH574" s="4622"/>
      <c r="AI574" s="4622"/>
      <c r="AJ574" s="4622"/>
      <c r="AK574" s="4622"/>
      <c r="AL574" s="4622"/>
      <c r="AM574" s="4622"/>
      <c r="AN574" s="4622"/>
      <c r="AP574" s="4694"/>
      <c r="AQ574" s="4694"/>
      <c r="AR574" s="4695"/>
      <c r="AS574" s="4695"/>
      <c r="AT574" s="4704"/>
      <c r="AU574" s="4703"/>
      <c r="BX574" s="4694">
        <v>3</v>
      </c>
      <c r="BY574" s="4694">
        <v>3</v>
      </c>
      <c r="BZ574" s="4695" t="s">
        <v>292</v>
      </c>
      <c r="CA574" s="4697" t="s">
        <v>2707</v>
      </c>
      <c r="CB574" s="4696">
        <v>1</v>
      </c>
      <c r="CC574" s="4694">
        <v>8</v>
      </c>
    </row>
    <row r="575" spans="23:81">
      <c r="W575" s="4705" t="s">
        <v>2613</v>
      </c>
      <c r="X575" s="4622"/>
      <c r="Y575" s="4622"/>
      <c r="Z575" s="4622"/>
      <c r="AA575" s="4622"/>
      <c r="AB575" s="4622"/>
      <c r="AC575" s="4622"/>
      <c r="AD575" s="4622"/>
      <c r="AE575" s="4622"/>
      <c r="AF575" s="4622"/>
      <c r="AG575" s="4622"/>
      <c r="AH575" s="4622"/>
      <c r="AI575" s="4622"/>
      <c r="AJ575" s="4622"/>
      <c r="AK575" s="4622"/>
      <c r="AL575" s="4622"/>
      <c r="AM575" s="4622"/>
      <c r="AN575" s="4622"/>
      <c r="AP575" s="4694"/>
      <c r="AQ575" s="4694"/>
      <c r="AR575" s="4695"/>
      <c r="AS575" s="4695"/>
      <c r="AT575" s="4704"/>
      <c r="AU575" s="4703"/>
      <c r="BX575" s="4694">
        <v>3</v>
      </c>
      <c r="BY575" s="4694">
        <v>3</v>
      </c>
      <c r="BZ575" s="4695" t="s">
        <v>292</v>
      </c>
      <c r="CA575" s="4697" t="s">
        <v>1076</v>
      </c>
      <c r="CB575" s="4696">
        <v>4</v>
      </c>
      <c r="CC575" s="4694">
        <v>7</v>
      </c>
    </row>
    <row r="576" spans="23:81">
      <c r="X576" s="4622"/>
      <c r="Y576" s="4622"/>
      <c r="Z576" s="4622"/>
      <c r="AA576" s="4622"/>
      <c r="AB576" s="4622"/>
      <c r="AC576" s="4622"/>
      <c r="AD576" s="4622"/>
      <c r="AE576" s="4622"/>
      <c r="AF576" s="4622"/>
      <c r="AG576" s="4622"/>
      <c r="AH576" s="4622"/>
      <c r="AI576" s="4622"/>
      <c r="AJ576" s="4622"/>
      <c r="AK576" s="4622"/>
      <c r="AL576" s="4622"/>
      <c r="AM576" s="4622"/>
      <c r="AN576" s="4622"/>
      <c r="AP576" s="4694"/>
      <c r="AQ576" s="4694"/>
      <c r="AR576" s="4695"/>
      <c r="AS576" s="4697"/>
      <c r="AT576" s="4704"/>
      <c r="AU576" s="4703"/>
      <c r="BX576" s="4694">
        <v>3</v>
      </c>
      <c r="BY576" s="4694">
        <v>3</v>
      </c>
      <c r="BZ576" s="4695" t="s">
        <v>292</v>
      </c>
      <c r="CA576" s="4695" t="s">
        <v>2709</v>
      </c>
      <c r="CB576" s="4696">
        <v>1</v>
      </c>
      <c r="CC576" s="4694">
        <v>7</v>
      </c>
    </row>
    <row r="577" spans="23:81">
      <c r="W577" s="4634"/>
      <c r="X577" s="4622"/>
      <c r="Y577" s="4622"/>
      <c r="Z577" s="4622"/>
      <c r="AA577" s="4622"/>
      <c r="AB577" s="4622"/>
      <c r="AC577" s="4622"/>
      <c r="AD577" s="4622"/>
      <c r="AE577" s="4622"/>
      <c r="AF577" s="4622"/>
      <c r="AG577" s="4622"/>
      <c r="AH577" s="4622"/>
      <c r="AI577" s="4622"/>
      <c r="AJ577" s="4622"/>
      <c r="AK577" s="4622"/>
      <c r="AL577" s="4622"/>
      <c r="AM577" s="4622"/>
      <c r="AN577" s="4622"/>
      <c r="AP577" s="4694"/>
      <c r="AQ577" s="4694"/>
      <c r="AR577" s="4695"/>
      <c r="AS577" s="4695"/>
      <c r="AT577" s="4704"/>
      <c r="AU577" s="4703"/>
      <c r="BX577" s="4694">
        <v>3</v>
      </c>
      <c r="BY577" s="4694">
        <v>3</v>
      </c>
      <c r="BZ577" s="4695" t="s">
        <v>292</v>
      </c>
      <c r="CA577" s="4695" t="s">
        <v>2709</v>
      </c>
      <c r="CB577" s="4696">
        <v>4</v>
      </c>
      <c r="CC577" s="4694">
        <v>8</v>
      </c>
    </row>
    <row r="578" spans="23:81">
      <c r="W578" s="4634"/>
      <c r="X578" s="4622"/>
      <c r="Y578" s="4622"/>
      <c r="Z578" s="4622"/>
      <c r="AA578" s="4622"/>
      <c r="AB578" s="4622"/>
      <c r="AC578" s="4622"/>
      <c r="AD578" s="4622"/>
      <c r="AE578" s="4622"/>
      <c r="AF578" s="4622"/>
      <c r="AG578" s="4622"/>
      <c r="AH578" s="4622"/>
      <c r="AI578" s="4622"/>
      <c r="AJ578" s="4622"/>
      <c r="AK578" s="4622"/>
      <c r="AL578" s="4622"/>
      <c r="AM578" s="4622"/>
      <c r="AN578" s="4622"/>
      <c r="AP578" s="4694"/>
      <c r="AQ578" s="4694"/>
      <c r="AR578" s="4695"/>
      <c r="AS578" s="4697"/>
      <c r="AT578" s="4704"/>
      <c r="AU578" s="4703"/>
      <c r="BX578" s="4694">
        <v>3</v>
      </c>
      <c r="BY578" s="4694">
        <v>3</v>
      </c>
      <c r="BZ578" s="4695" t="s">
        <v>446</v>
      </c>
      <c r="CA578" s="4697" t="s">
        <v>2707</v>
      </c>
      <c r="CB578" s="4696">
        <v>3</v>
      </c>
      <c r="CC578" s="4694">
        <v>5</v>
      </c>
    </row>
    <row r="579" spans="23:81">
      <c r="W579" s="4634"/>
      <c r="X579" s="4622"/>
      <c r="Y579" s="4622"/>
      <c r="Z579" s="4622"/>
      <c r="AA579" s="4622"/>
      <c r="AB579" s="4622"/>
      <c r="AC579" s="4622"/>
      <c r="AD579" s="4622"/>
      <c r="AE579" s="4622"/>
      <c r="AF579" s="4622"/>
      <c r="AG579" s="4622"/>
      <c r="AH579" s="4622"/>
      <c r="AI579" s="4622"/>
      <c r="AJ579" s="4622"/>
      <c r="AK579" s="4622"/>
      <c r="AL579" s="4622"/>
      <c r="AM579" s="4622"/>
      <c r="AN579" s="4622"/>
      <c r="AP579" s="4694"/>
      <c r="AQ579" s="4694"/>
      <c r="AR579" s="4695"/>
      <c r="AS579" s="4695"/>
      <c r="AT579" s="4704"/>
      <c r="AU579" s="4703"/>
      <c r="BX579" s="4694">
        <v>3</v>
      </c>
      <c r="BY579" s="4694">
        <v>3</v>
      </c>
      <c r="BZ579" s="4695" t="s">
        <v>446</v>
      </c>
      <c r="CA579" s="4697" t="s">
        <v>2707</v>
      </c>
      <c r="CB579" s="4696">
        <v>1</v>
      </c>
      <c r="CC579" s="4694">
        <v>6</v>
      </c>
    </row>
    <row r="580" spans="23:81">
      <c r="W580" s="4634"/>
      <c r="X580" s="4622"/>
      <c r="Y580" s="4622"/>
      <c r="Z580" s="4622"/>
      <c r="AA580" s="4622"/>
      <c r="AB580" s="4622"/>
      <c r="AC580" s="4622"/>
      <c r="AD580" s="4622"/>
      <c r="AE580" s="4622"/>
      <c r="AF580" s="4622"/>
      <c r="AG580" s="4622"/>
      <c r="AH580" s="4622"/>
      <c r="AI580" s="4622"/>
      <c r="AJ580" s="4622"/>
      <c r="AK580" s="4622"/>
      <c r="AL580" s="4622"/>
      <c r="AM580" s="4622"/>
      <c r="AN580" s="4622"/>
      <c r="AP580" s="4694"/>
      <c r="AQ580" s="4694"/>
      <c r="AR580" s="4695"/>
      <c r="AS580" s="4697"/>
      <c r="AT580" s="4704"/>
      <c r="AU580" s="4703"/>
      <c r="BX580" s="4694">
        <v>3</v>
      </c>
      <c r="BY580" s="4694">
        <v>3</v>
      </c>
      <c r="BZ580" s="4695" t="s">
        <v>446</v>
      </c>
      <c r="CA580" s="4697" t="s">
        <v>1076</v>
      </c>
      <c r="CB580" s="4696">
        <v>1</v>
      </c>
      <c r="CC580" s="4694">
        <v>5</v>
      </c>
    </row>
    <row r="581" spans="23:81">
      <c r="W581" s="4634"/>
      <c r="X581" s="4622"/>
      <c r="Y581" s="4622"/>
      <c r="Z581" s="4622"/>
      <c r="AA581" s="4622"/>
      <c r="AB581" s="4622"/>
      <c r="AC581" s="4622"/>
      <c r="AD581" s="4622"/>
      <c r="AE581" s="4622"/>
      <c r="AF581" s="4622"/>
      <c r="AG581" s="4622"/>
      <c r="AH581" s="4622"/>
      <c r="AI581" s="4622"/>
      <c r="AJ581" s="4622"/>
      <c r="AK581" s="4622"/>
      <c r="AL581" s="4622"/>
      <c r="AM581" s="4622"/>
      <c r="AN581" s="4622"/>
      <c r="AP581" s="4694"/>
      <c r="AQ581" s="4694"/>
      <c r="AR581" s="4695"/>
      <c r="AS581" s="4697"/>
      <c r="AT581" s="4704"/>
      <c r="AU581" s="4703"/>
      <c r="BX581" s="4694">
        <v>3</v>
      </c>
      <c r="BY581" s="4694">
        <v>3</v>
      </c>
      <c r="BZ581" s="4695" t="s">
        <v>446</v>
      </c>
      <c r="CA581" s="4695" t="s">
        <v>2709</v>
      </c>
      <c r="CB581" s="4696">
        <v>1</v>
      </c>
      <c r="CC581" s="4694">
        <v>2</v>
      </c>
    </row>
    <row r="582" spans="23:81">
      <c r="W582" s="4634"/>
      <c r="X582" s="4622"/>
      <c r="Y582" s="4622"/>
      <c r="Z582" s="4622"/>
      <c r="AA582" s="4622"/>
      <c r="AB582" s="4622"/>
      <c r="AC582" s="4622"/>
      <c r="AD582" s="4622"/>
      <c r="AE582" s="4622"/>
      <c r="AF582" s="4622"/>
      <c r="AG582" s="4622"/>
      <c r="AH582" s="4622"/>
      <c r="AI582" s="4622"/>
      <c r="AJ582" s="4622"/>
      <c r="AK582" s="4622"/>
      <c r="AL582" s="4622"/>
      <c r="AM582" s="4622"/>
      <c r="AN582" s="4622"/>
      <c r="AP582" s="4694"/>
      <c r="AQ582" s="4694"/>
      <c r="AR582" s="4695"/>
      <c r="AS582" s="4695"/>
      <c r="AT582" s="4704"/>
      <c r="AU582" s="4703"/>
      <c r="BX582" s="4694">
        <v>3</v>
      </c>
      <c r="BY582" s="4694">
        <v>3</v>
      </c>
      <c r="BZ582" s="4695" t="s">
        <v>446</v>
      </c>
      <c r="CA582" s="4695" t="s">
        <v>2709</v>
      </c>
      <c r="CB582" s="4696">
        <v>3</v>
      </c>
      <c r="CC582" s="4694">
        <v>5</v>
      </c>
    </row>
    <row r="583" spans="23:81">
      <c r="X583" s="4622"/>
      <c r="Y583" s="4622"/>
      <c r="Z583" s="4622"/>
      <c r="AA583" s="4622"/>
      <c r="AB583" s="4622"/>
      <c r="AC583" s="4622"/>
      <c r="AD583" s="4622"/>
      <c r="AE583" s="4622"/>
      <c r="AF583" s="4622"/>
      <c r="AG583" s="4622"/>
      <c r="AH583" s="4622"/>
      <c r="AI583" s="4622"/>
      <c r="AJ583" s="4622"/>
      <c r="AK583" s="4622"/>
      <c r="AL583" s="4622"/>
      <c r="AM583" s="4622"/>
      <c r="AN583" s="4622"/>
      <c r="AP583" s="4694"/>
      <c r="AQ583" s="4694"/>
      <c r="AR583" s="4695"/>
      <c r="AS583" s="4697"/>
      <c r="AT583" s="4704"/>
      <c r="AU583" s="4703"/>
      <c r="BX583" s="4694">
        <v>3</v>
      </c>
      <c r="BY583" s="4694">
        <v>3</v>
      </c>
      <c r="BZ583" s="4695" t="s">
        <v>446</v>
      </c>
      <c r="CA583" s="4695" t="s">
        <v>2709</v>
      </c>
      <c r="CB583" s="4696">
        <v>5</v>
      </c>
      <c r="CC583" s="4694">
        <v>6</v>
      </c>
    </row>
    <row r="584" spans="23:81">
      <c r="X584" s="4622"/>
      <c r="Y584" s="4622"/>
      <c r="Z584" s="4622"/>
      <c r="AA584" s="4622"/>
      <c r="AB584" s="4622"/>
      <c r="AC584" s="4622"/>
      <c r="AD584" s="4622"/>
      <c r="AE584" s="4622"/>
      <c r="AF584" s="4622"/>
      <c r="AG584" s="4622"/>
      <c r="AH584" s="4622"/>
      <c r="AI584" s="4622"/>
      <c r="AJ584" s="4622"/>
      <c r="AK584" s="4622"/>
      <c r="AL584" s="4622"/>
      <c r="AM584" s="4622"/>
      <c r="AN584" s="4622"/>
      <c r="AP584" s="4694"/>
      <c r="AQ584" s="4694"/>
      <c r="AR584" s="4695"/>
      <c r="AS584" s="4695"/>
      <c r="AT584" s="4704"/>
      <c r="AU584" s="4703"/>
      <c r="BX584" s="4694">
        <v>3</v>
      </c>
      <c r="BY584" s="4694">
        <v>3</v>
      </c>
      <c r="BZ584" s="4695" t="s">
        <v>295</v>
      </c>
      <c r="CA584" s="4695" t="s">
        <v>2731</v>
      </c>
      <c r="CB584" s="4696">
        <v>1</v>
      </c>
      <c r="CC584" s="4694">
        <v>8</v>
      </c>
    </row>
    <row r="585" spans="23:81">
      <c r="W585" s="4622"/>
      <c r="X585" s="4622"/>
      <c r="Y585" s="4622"/>
      <c r="Z585" s="4622"/>
      <c r="AA585" s="4622"/>
      <c r="AB585" s="4622"/>
      <c r="AC585" s="4622"/>
      <c r="AD585" s="4622"/>
      <c r="AE585" s="4622"/>
      <c r="AF585" s="4622"/>
      <c r="AG585" s="4622"/>
      <c r="AH585" s="4622"/>
      <c r="AI585" s="4622"/>
      <c r="AJ585" s="4622"/>
      <c r="AK585" s="4622"/>
      <c r="AL585" s="4622"/>
      <c r="AM585" s="4622"/>
      <c r="AN585" s="4622"/>
      <c r="AP585" s="4694"/>
      <c r="AQ585" s="4694"/>
      <c r="AR585" s="4695"/>
      <c r="AS585" s="4695"/>
      <c r="AT585" s="4704"/>
      <c r="AU585" s="4703"/>
      <c r="BX585" s="4694">
        <v>3</v>
      </c>
      <c r="BY585" s="4694">
        <v>3</v>
      </c>
      <c r="BZ585" s="4695" t="s">
        <v>295</v>
      </c>
      <c r="CA585" s="4697" t="s">
        <v>2732</v>
      </c>
      <c r="CB585" s="4696">
        <v>3</v>
      </c>
      <c r="CC585" s="4694">
        <v>6</v>
      </c>
    </row>
    <row r="586" spans="23:81">
      <c r="X586" s="4622"/>
      <c r="Y586" s="4622"/>
      <c r="Z586" s="4622"/>
      <c r="AA586" s="4622"/>
      <c r="AB586" s="4622"/>
      <c r="AC586" s="4622"/>
      <c r="AD586" s="4622"/>
      <c r="AE586" s="4622"/>
      <c r="AF586" s="4622"/>
      <c r="AG586" s="4622"/>
      <c r="AH586" s="4622"/>
      <c r="AI586" s="4622"/>
      <c r="AJ586" s="4622"/>
      <c r="AK586" s="4622"/>
      <c r="AL586" s="4622"/>
      <c r="AM586" s="4622"/>
      <c r="AN586" s="4622"/>
      <c r="AP586" s="4694"/>
      <c r="AQ586" s="4694"/>
      <c r="AR586" s="4695"/>
      <c r="AS586" s="4695"/>
      <c r="AT586" s="4704"/>
      <c r="AU586" s="4703"/>
      <c r="BX586" s="4694">
        <v>3</v>
      </c>
      <c r="BY586" s="4694">
        <v>3</v>
      </c>
      <c r="BZ586" s="4695" t="s">
        <v>295</v>
      </c>
      <c r="CA586" s="4697" t="s">
        <v>2732</v>
      </c>
      <c r="CB586" s="4696">
        <v>1</v>
      </c>
      <c r="CC586" s="4694">
        <v>7</v>
      </c>
    </row>
    <row r="587" spans="23:81">
      <c r="X587" s="4622"/>
      <c r="Y587" s="4622"/>
      <c r="Z587" s="4622"/>
      <c r="AA587" s="4622"/>
      <c r="AB587" s="4622"/>
      <c r="AC587" s="4622"/>
      <c r="AD587" s="4622"/>
      <c r="AE587" s="4622"/>
      <c r="AF587" s="4622"/>
      <c r="AG587" s="4622"/>
      <c r="AH587" s="4622"/>
      <c r="AI587" s="4622"/>
      <c r="AJ587" s="4622"/>
      <c r="AK587" s="4622"/>
      <c r="AL587" s="4622"/>
      <c r="AM587" s="4622"/>
      <c r="AN587" s="4622"/>
      <c r="AP587" s="4694"/>
      <c r="AQ587" s="4694"/>
      <c r="AR587" s="4695"/>
      <c r="AS587" s="4695"/>
      <c r="AT587" s="4704"/>
      <c r="AU587" s="4703"/>
      <c r="BX587" s="4694">
        <v>3</v>
      </c>
      <c r="BY587" s="4694">
        <v>3</v>
      </c>
      <c r="BZ587" s="4695" t="s">
        <v>295</v>
      </c>
      <c r="CA587" s="4697" t="s">
        <v>2707</v>
      </c>
      <c r="CB587" s="4696">
        <v>2</v>
      </c>
      <c r="CC587" s="4694">
        <v>7</v>
      </c>
    </row>
    <row r="588" spans="23:81">
      <c r="X588" s="4622"/>
      <c r="Y588" s="4622"/>
      <c r="Z588" s="4622"/>
      <c r="AA588" s="4622"/>
      <c r="AB588" s="4622"/>
      <c r="AC588" s="4622"/>
      <c r="AD588" s="4622"/>
      <c r="AE588" s="4622"/>
      <c r="AF588" s="4622"/>
      <c r="AG588" s="4622"/>
      <c r="AH588" s="4622"/>
      <c r="AI588" s="4622"/>
      <c r="AJ588" s="4622"/>
      <c r="AK588" s="4622"/>
      <c r="AL588" s="4622"/>
      <c r="AM588" s="4622"/>
      <c r="AN588" s="4622"/>
      <c r="AP588" s="4694"/>
      <c r="AQ588" s="4694"/>
      <c r="AR588" s="4695"/>
      <c r="AS588" s="4695"/>
      <c r="AT588" s="4704"/>
      <c r="AU588" s="4703"/>
      <c r="BX588" s="4694">
        <v>3</v>
      </c>
      <c r="BY588" s="4694">
        <v>3</v>
      </c>
      <c r="BZ588" s="4695" t="s">
        <v>295</v>
      </c>
      <c r="CA588" s="4697" t="s">
        <v>2707</v>
      </c>
      <c r="CB588" s="4696">
        <v>1</v>
      </c>
      <c r="CC588" s="4694">
        <v>8</v>
      </c>
    </row>
    <row r="589" spans="23:81">
      <c r="X589" s="4622"/>
      <c r="Y589" s="4622"/>
      <c r="Z589" s="4622"/>
      <c r="AA589" s="4622"/>
      <c r="AB589" s="4622"/>
      <c r="AC589" s="4622"/>
      <c r="AD589" s="4622"/>
      <c r="AE589" s="4622"/>
      <c r="AF589" s="4622"/>
      <c r="AG589" s="4622"/>
      <c r="AH589" s="4622"/>
      <c r="AI589" s="4622"/>
      <c r="AJ589" s="4622"/>
      <c r="AK589" s="4622"/>
      <c r="AL589" s="4622"/>
      <c r="AM589" s="4622"/>
      <c r="AN589" s="4622"/>
      <c r="AP589" s="4694"/>
      <c r="AQ589" s="4694"/>
      <c r="AR589" s="4695"/>
      <c r="AS589" s="4697"/>
      <c r="AT589" s="4704"/>
      <c r="AU589" s="4703"/>
      <c r="BX589" s="4694">
        <v>3</v>
      </c>
      <c r="BY589" s="4694">
        <v>3</v>
      </c>
      <c r="BZ589" s="4695" t="s">
        <v>295</v>
      </c>
      <c r="CA589" s="4697" t="s">
        <v>1076</v>
      </c>
      <c r="CB589" s="4696">
        <v>2</v>
      </c>
      <c r="CC589" s="4694">
        <v>6</v>
      </c>
    </row>
    <row r="590" spans="23:81">
      <c r="X590" s="4622"/>
      <c r="Y590" s="4622"/>
      <c r="Z590" s="4622"/>
      <c r="AA590" s="4622"/>
      <c r="AB590" s="4622"/>
      <c r="AC590" s="4622"/>
      <c r="AD590" s="4622"/>
      <c r="AE590" s="4622"/>
      <c r="AF590" s="4622"/>
      <c r="AG590" s="4622"/>
      <c r="AH590" s="4622"/>
      <c r="AI590" s="4622"/>
      <c r="AJ590" s="4622"/>
      <c r="AK590" s="4622"/>
      <c r="AL590" s="4622"/>
      <c r="AM590" s="4622"/>
      <c r="AN590" s="4622"/>
      <c r="AP590" s="4694"/>
      <c r="AQ590" s="4694"/>
      <c r="AR590" s="4695"/>
      <c r="AS590" s="4695"/>
      <c r="AT590" s="4704"/>
      <c r="AU590" s="4703"/>
      <c r="BX590" s="4694">
        <v>3</v>
      </c>
      <c r="BY590" s="4694">
        <v>3</v>
      </c>
      <c r="BZ590" s="4695" t="s">
        <v>295</v>
      </c>
      <c r="CA590" s="4697" t="s">
        <v>1076</v>
      </c>
      <c r="CB590" s="4696">
        <v>2</v>
      </c>
      <c r="CC590" s="4694">
        <v>7</v>
      </c>
    </row>
    <row r="591" spans="23:81">
      <c r="X591" s="4622"/>
      <c r="Y591" s="4622"/>
      <c r="Z591" s="4622"/>
      <c r="AA591" s="4622"/>
      <c r="AB591" s="4622"/>
      <c r="AC591" s="4622"/>
      <c r="AD591" s="4622"/>
      <c r="AE591" s="4622"/>
      <c r="AF591" s="4622"/>
      <c r="AG591" s="4622"/>
      <c r="AH591" s="4622"/>
      <c r="AI591" s="4622"/>
      <c r="AJ591" s="4622"/>
      <c r="AK591" s="4622"/>
      <c r="AL591" s="4622"/>
      <c r="AM591" s="4622"/>
      <c r="AN591" s="4622"/>
      <c r="AP591" s="4694"/>
      <c r="AQ591" s="4694"/>
      <c r="AR591" s="4695"/>
      <c r="AS591" s="4695"/>
      <c r="AT591" s="4704"/>
      <c r="AU591" s="4703"/>
      <c r="BX591" s="4694">
        <v>3</v>
      </c>
      <c r="BY591" s="4694">
        <v>3</v>
      </c>
      <c r="BZ591" s="4695" t="s">
        <v>295</v>
      </c>
      <c r="CA591" s="4697" t="s">
        <v>1076</v>
      </c>
      <c r="CB591" s="4696">
        <v>1</v>
      </c>
      <c r="CC591" s="4694">
        <v>8</v>
      </c>
    </row>
    <row r="592" spans="23:81">
      <c r="X592" s="4622"/>
      <c r="Y592" s="4622"/>
      <c r="Z592" s="4622"/>
      <c r="AA592" s="4622"/>
      <c r="AB592" s="4622"/>
      <c r="AC592" s="4622"/>
      <c r="AD592" s="4622"/>
      <c r="AE592" s="4622"/>
      <c r="AF592" s="4622"/>
      <c r="AG592" s="4622"/>
      <c r="AH592" s="4622"/>
      <c r="AI592" s="4622"/>
      <c r="AJ592" s="4622"/>
      <c r="AK592" s="4622"/>
      <c r="AL592" s="4622"/>
      <c r="AM592" s="4622"/>
      <c r="AN592" s="4622"/>
      <c r="AP592" s="4694"/>
      <c r="AQ592" s="4694"/>
      <c r="AR592" s="4695"/>
      <c r="AS592" s="4697"/>
      <c r="AT592" s="4704"/>
      <c r="AU592" s="4703"/>
      <c r="BX592" s="4694">
        <v>3</v>
      </c>
      <c r="BY592" s="4694">
        <v>3</v>
      </c>
      <c r="BZ592" s="4695" t="s">
        <v>295</v>
      </c>
      <c r="CA592" s="4695" t="s">
        <v>2709</v>
      </c>
      <c r="CB592" s="4696">
        <v>1</v>
      </c>
      <c r="CC592" s="4694">
        <v>2</v>
      </c>
    </row>
    <row r="593" spans="20:81">
      <c r="X593" s="4622"/>
      <c r="Y593" s="4622"/>
      <c r="Z593" s="4622"/>
      <c r="AA593" s="4622"/>
      <c r="AB593" s="4622"/>
      <c r="AC593" s="4622"/>
      <c r="AD593" s="4622"/>
      <c r="AE593" s="4622"/>
      <c r="AF593" s="4622"/>
      <c r="AG593" s="4622"/>
      <c r="AH593" s="4622"/>
      <c r="AI593" s="4622"/>
      <c r="AJ593" s="4622"/>
      <c r="AK593" s="4622"/>
      <c r="AL593" s="4622"/>
      <c r="AM593" s="4622"/>
      <c r="AN593" s="4622"/>
      <c r="AP593" s="4694"/>
      <c r="AQ593" s="4694"/>
      <c r="AR593" s="4695"/>
      <c r="AS593" s="4697"/>
      <c r="AT593" s="4704"/>
      <c r="AU593" s="4703"/>
      <c r="BX593" s="4694">
        <v>3</v>
      </c>
      <c r="BY593" s="4694">
        <v>3</v>
      </c>
      <c r="BZ593" s="4695" t="s">
        <v>295</v>
      </c>
      <c r="CA593" s="4695" t="s">
        <v>2709</v>
      </c>
      <c r="CB593" s="4696">
        <v>3</v>
      </c>
      <c r="CC593" s="4694">
        <v>6</v>
      </c>
    </row>
    <row r="594" spans="20:81">
      <c r="X594" s="4622"/>
      <c r="Y594" s="4622"/>
      <c r="Z594" s="4622"/>
      <c r="AA594" s="4622"/>
      <c r="AB594" s="4622"/>
      <c r="AC594" s="4622"/>
      <c r="AD594" s="4622"/>
      <c r="AE594" s="4622"/>
      <c r="AF594" s="4622"/>
      <c r="AG594" s="4622"/>
      <c r="AH594" s="4622"/>
      <c r="AI594" s="4622"/>
      <c r="AJ594" s="4622"/>
      <c r="AK594" s="4622"/>
      <c r="AL594" s="4622"/>
      <c r="AM594" s="4622"/>
      <c r="AN594" s="4622"/>
      <c r="AP594" s="4694"/>
      <c r="AQ594" s="4694"/>
      <c r="AR594" s="4695"/>
      <c r="AS594" s="4697"/>
      <c r="AT594" s="4704"/>
      <c r="AU594" s="4703"/>
      <c r="BX594" s="4694">
        <v>3</v>
      </c>
      <c r="BY594" s="4694">
        <v>3</v>
      </c>
      <c r="BZ594" s="4695" t="s">
        <v>295</v>
      </c>
      <c r="CA594" s="4695" t="s">
        <v>2709</v>
      </c>
      <c r="CB594" s="4696">
        <v>1</v>
      </c>
      <c r="CC594" s="4694">
        <v>7</v>
      </c>
    </row>
    <row r="595" spans="20:81">
      <c r="X595" s="4622"/>
      <c r="Y595" s="4622"/>
      <c r="Z595" s="4622"/>
      <c r="AA595" s="4622"/>
      <c r="AB595" s="4622"/>
      <c r="AC595" s="4622"/>
      <c r="AD595" s="4622"/>
      <c r="AE595" s="4622"/>
      <c r="AF595" s="4622"/>
      <c r="AG595" s="4622"/>
      <c r="AH595" s="4622"/>
      <c r="AI595" s="4622"/>
      <c r="AJ595" s="4622"/>
      <c r="AK595" s="4622"/>
      <c r="AL595" s="4622"/>
      <c r="AM595" s="4622"/>
      <c r="AN595" s="4622"/>
      <c r="AP595" s="4694"/>
      <c r="AQ595" s="4694"/>
      <c r="AR595" s="4695"/>
      <c r="AS595" s="4695"/>
      <c r="AT595" s="4704"/>
      <c r="AU595" s="4703"/>
      <c r="BX595" s="4694">
        <v>3</v>
      </c>
      <c r="BY595" s="4694">
        <v>3</v>
      </c>
      <c r="BZ595" s="4695" t="s">
        <v>295</v>
      </c>
      <c r="CA595" s="4695" t="s">
        <v>2709</v>
      </c>
      <c r="CB595" s="4696">
        <v>1</v>
      </c>
      <c r="CC595" s="4694">
        <v>8</v>
      </c>
    </row>
    <row r="596" spans="20:81" ht="24.6">
      <c r="U596" s="4721">
        <v>640</v>
      </c>
      <c r="V596" s="4721"/>
      <c r="W596" s="4622"/>
      <c r="X596" s="4622"/>
      <c r="Y596" s="4622"/>
      <c r="Z596" s="4622"/>
      <c r="AA596" s="4622"/>
      <c r="AB596" s="4622"/>
      <c r="AC596" s="4622"/>
      <c r="AD596" s="4622"/>
      <c r="AE596" s="4622"/>
      <c r="AF596" s="4622"/>
      <c r="AG596" s="4622"/>
      <c r="AH596" s="4622"/>
      <c r="AI596" s="4622"/>
      <c r="AJ596" s="4622"/>
      <c r="AK596" s="4622"/>
      <c r="AL596" s="4622"/>
      <c r="AM596" s="4622"/>
      <c r="AN596" s="4622"/>
      <c r="AP596" s="4694"/>
      <c r="AQ596" s="4694"/>
      <c r="AR596" s="4695"/>
      <c r="AS596" s="4695"/>
      <c r="AT596" s="4704"/>
      <c r="AU596" s="4703"/>
      <c r="BX596" s="4694">
        <v>3</v>
      </c>
      <c r="BY596" s="4694">
        <v>3</v>
      </c>
      <c r="BZ596" s="4695" t="s">
        <v>295</v>
      </c>
      <c r="CA596" s="4695" t="s">
        <v>2710</v>
      </c>
      <c r="CB596" s="4696">
        <v>3</v>
      </c>
      <c r="CC596" s="4694">
        <v>0</v>
      </c>
    </row>
    <row r="597" spans="20:81">
      <c r="U597" s="4717">
        <v>232</v>
      </c>
      <c r="V597" s="4717"/>
      <c r="X597" s="4622"/>
      <c r="Y597" s="4622"/>
      <c r="Z597" s="4622"/>
      <c r="AA597" s="4622"/>
      <c r="AB597" s="4622"/>
      <c r="AC597" s="4622"/>
      <c r="AD597" s="4622"/>
      <c r="AE597" s="4622"/>
      <c r="AF597" s="4622"/>
      <c r="AG597" s="4622"/>
      <c r="AH597" s="4622"/>
      <c r="AI597" s="4622"/>
      <c r="AJ597" s="4622"/>
      <c r="AK597" s="4622"/>
      <c r="AL597" s="4622"/>
      <c r="AM597" s="4622"/>
      <c r="AN597" s="4622"/>
      <c r="AP597" s="4694"/>
      <c r="AQ597" s="4694"/>
      <c r="AR597" s="4695"/>
      <c r="AS597" s="4695"/>
      <c r="AT597" s="4704"/>
      <c r="AU597" s="4703"/>
      <c r="BX597" s="4694">
        <v>3</v>
      </c>
      <c r="BY597" s="4694">
        <v>3</v>
      </c>
      <c r="BZ597" s="4695" t="s">
        <v>610</v>
      </c>
      <c r="CA597" s="4697" t="s">
        <v>2732</v>
      </c>
      <c r="CB597" s="4696">
        <v>1</v>
      </c>
      <c r="CC597" s="4694">
        <v>6</v>
      </c>
    </row>
    <row r="598" spans="20:81">
      <c r="T598" s="4722">
        <f>U598/U596</f>
        <v>0.35</v>
      </c>
      <c r="U598" s="4718">
        <v>224</v>
      </c>
      <c r="V598" s="4718"/>
      <c r="X598" s="4622"/>
      <c r="Y598" s="4622"/>
      <c r="Z598" s="4622"/>
      <c r="AA598" s="4622"/>
      <c r="AB598" s="4622"/>
      <c r="AC598" s="4622"/>
      <c r="AD598" s="4622"/>
      <c r="AE598" s="4622"/>
      <c r="AF598" s="4622"/>
      <c r="AG598" s="4622"/>
      <c r="AH598" s="4622"/>
      <c r="AI598" s="4622"/>
      <c r="AJ598" s="4622"/>
      <c r="AK598" s="4622"/>
      <c r="AL598" s="4622"/>
      <c r="AM598" s="4622"/>
      <c r="AN598" s="4622"/>
      <c r="AP598" s="4694"/>
      <c r="AQ598" s="4694"/>
      <c r="AR598" s="4695"/>
      <c r="AS598" s="4695"/>
      <c r="AT598" s="4704"/>
      <c r="AU598" s="4703"/>
      <c r="BX598" s="4694">
        <v>3</v>
      </c>
      <c r="BY598" s="4694">
        <v>3</v>
      </c>
      <c r="BZ598" s="4695" t="s">
        <v>610</v>
      </c>
      <c r="CA598" s="4697" t="s">
        <v>1076</v>
      </c>
      <c r="CB598" s="4696">
        <v>2</v>
      </c>
      <c r="CC598" s="4694">
        <v>6</v>
      </c>
    </row>
    <row r="599" spans="20:81">
      <c r="X599" s="4622"/>
      <c r="Y599" s="4622"/>
      <c r="Z599" s="4622"/>
      <c r="AA599" s="4622"/>
      <c r="AB599" s="4622"/>
      <c r="AC599" s="4622"/>
      <c r="AD599" s="4622"/>
      <c r="AE599" s="4622"/>
      <c r="AF599" s="4622"/>
      <c r="AG599" s="4622"/>
      <c r="AH599" s="4622"/>
      <c r="AI599" s="4622"/>
      <c r="AJ599" s="4622"/>
      <c r="AK599" s="4622"/>
      <c r="AL599" s="4622"/>
      <c r="AM599" s="4622"/>
      <c r="AN599" s="4622"/>
      <c r="AP599" s="4694"/>
      <c r="AQ599" s="4694"/>
      <c r="AR599" s="4695"/>
      <c r="AS599" s="4695"/>
      <c r="AT599" s="4704"/>
      <c r="AU599" s="4703"/>
      <c r="BX599" s="4694">
        <v>3</v>
      </c>
      <c r="BY599" s="4694">
        <v>3</v>
      </c>
      <c r="BZ599" s="4695" t="s">
        <v>610</v>
      </c>
      <c r="CA599" s="4695" t="s">
        <v>2709</v>
      </c>
      <c r="CB599" s="4696">
        <v>1</v>
      </c>
      <c r="CC599" s="4694">
        <v>4</v>
      </c>
    </row>
    <row r="600" spans="20:81">
      <c r="X600" s="4622"/>
      <c r="Y600" s="4622"/>
      <c r="Z600" s="4622"/>
      <c r="AA600" s="4622"/>
      <c r="AB600" s="4622"/>
      <c r="AC600" s="4622"/>
      <c r="AD600" s="4622"/>
      <c r="AE600" s="4622"/>
      <c r="AF600" s="4622"/>
      <c r="AG600" s="4622"/>
      <c r="AH600" s="4622"/>
      <c r="AI600" s="4622"/>
      <c r="AJ600" s="4622"/>
      <c r="AK600" s="4622"/>
      <c r="AL600" s="4622"/>
      <c r="AM600" s="4622"/>
      <c r="AN600" s="4622"/>
      <c r="AP600" s="4694"/>
      <c r="AQ600" s="4694"/>
      <c r="AR600" s="4695"/>
      <c r="AS600" s="4695"/>
      <c r="AT600" s="4704"/>
      <c r="AU600" s="4703"/>
      <c r="BX600" s="4694">
        <v>3</v>
      </c>
      <c r="BY600" s="4694">
        <v>3</v>
      </c>
      <c r="BZ600" s="4695" t="s">
        <v>610</v>
      </c>
      <c r="CA600" s="4695" t="s">
        <v>2709</v>
      </c>
      <c r="CB600" s="4696">
        <v>5</v>
      </c>
      <c r="CC600" s="4694">
        <v>6</v>
      </c>
    </row>
    <row r="601" spans="20:81">
      <c r="X601" s="4622"/>
      <c r="Y601" s="4622"/>
      <c r="Z601" s="4622"/>
      <c r="AA601" s="4622"/>
      <c r="AB601" s="4622"/>
      <c r="AC601" s="4622"/>
      <c r="AD601" s="4622"/>
      <c r="AE601" s="4622"/>
      <c r="AF601" s="4622"/>
      <c r="AG601" s="4622"/>
      <c r="AH601" s="4622"/>
      <c r="AI601" s="4622"/>
      <c r="AJ601" s="4622"/>
      <c r="AK601" s="4622"/>
      <c r="AL601" s="4622"/>
      <c r="AM601" s="4622"/>
      <c r="AN601" s="4622"/>
      <c r="AP601" s="4694"/>
      <c r="AQ601" s="4694"/>
      <c r="AR601" s="4695"/>
      <c r="AS601" s="4695"/>
      <c r="AT601" s="4704"/>
      <c r="AU601" s="4703"/>
      <c r="BX601" s="4694">
        <v>3</v>
      </c>
      <c r="BY601" s="4694">
        <v>3</v>
      </c>
      <c r="BZ601" s="4695" t="s">
        <v>610</v>
      </c>
      <c r="CA601" s="4695" t="s">
        <v>2709</v>
      </c>
      <c r="CB601" s="4696">
        <v>1</v>
      </c>
      <c r="CC601" s="4694">
        <v>7</v>
      </c>
    </row>
    <row r="602" spans="20:81" ht="24.6">
      <c r="X602" s="4622"/>
      <c r="Y602" s="4622"/>
      <c r="Z602" s="4622"/>
      <c r="AA602" s="4622"/>
      <c r="AB602" s="4622"/>
      <c r="AC602" s="4622"/>
      <c r="AD602" s="4622"/>
      <c r="AE602" s="4622"/>
      <c r="AF602" s="4622"/>
      <c r="AG602" s="4622"/>
      <c r="AH602" s="4622"/>
      <c r="AI602" s="4622"/>
      <c r="AJ602" s="4622"/>
      <c r="AK602" s="4622"/>
      <c r="AL602" s="4622"/>
      <c r="AM602" s="4622"/>
      <c r="AN602" s="4622"/>
      <c r="AP602" s="4694"/>
      <c r="AQ602" s="4694"/>
      <c r="AR602" s="4695"/>
      <c r="AS602" s="4695"/>
      <c r="AT602" s="4704"/>
      <c r="AU602" s="4703"/>
      <c r="BX602" s="4694">
        <v>3</v>
      </c>
      <c r="BY602" s="4694">
        <v>3</v>
      </c>
      <c r="BZ602" s="4695" t="s">
        <v>610</v>
      </c>
      <c r="CA602" s="4695" t="s">
        <v>2710</v>
      </c>
      <c r="CB602" s="4696">
        <v>1</v>
      </c>
      <c r="CC602" s="4694">
        <v>0</v>
      </c>
    </row>
    <row r="603" spans="20:81">
      <c r="X603" s="4622"/>
      <c r="Y603" s="4622"/>
      <c r="Z603" s="4622"/>
      <c r="AA603" s="4622"/>
      <c r="AB603" s="4622"/>
      <c r="AC603" s="4622"/>
      <c r="AD603" s="4622"/>
      <c r="AE603" s="4622"/>
      <c r="AF603" s="4622"/>
      <c r="AG603" s="4622"/>
      <c r="AH603" s="4622"/>
      <c r="AI603" s="4622"/>
      <c r="AJ603" s="4622"/>
      <c r="AK603" s="4622"/>
      <c r="AL603" s="4622"/>
      <c r="AM603" s="4622"/>
      <c r="AN603" s="4622"/>
      <c r="AP603" s="4694"/>
      <c r="AQ603" s="4694"/>
      <c r="AR603" s="4695"/>
      <c r="AS603" s="4695"/>
      <c r="AT603" s="4704"/>
      <c r="AU603" s="4703"/>
      <c r="BX603" s="4694">
        <v>3</v>
      </c>
      <c r="BY603" s="4694">
        <v>3</v>
      </c>
      <c r="BZ603" s="4695" t="s">
        <v>293</v>
      </c>
      <c r="CA603" s="4697" t="s">
        <v>2707</v>
      </c>
      <c r="CB603" s="4696">
        <v>4</v>
      </c>
      <c r="CC603" s="4694">
        <v>7</v>
      </c>
    </row>
    <row r="604" spans="20:81">
      <c r="X604" s="4622"/>
      <c r="Y604" s="4622"/>
      <c r="Z604" s="4622"/>
      <c r="AA604" s="4622"/>
      <c r="AB604" s="4622"/>
      <c r="AC604" s="4622"/>
      <c r="AD604" s="4622"/>
      <c r="AE604" s="4622"/>
      <c r="AF604" s="4622"/>
      <c r="AG604" s="4622"/>
      <c r="AH604" s="4622"/>
      <c r="AI604" s="4622"/>
      <c r="AJ604" s="4622"/>
      <c r="AK604" s="4622"/>
      <c r="AL604" s="4622"/>
      <c r="AM604" s="4622"/>
      <c r="AN604" s="4622"/>
      <c r="AP604" s="4694"/>
      <c r="AQ604" s="4694"/>
      <c r="AR604" s="4695"/>
      <c r="AS604" s="4697"/>
      <c r="AT604" s="4704"/>
      <c r="AU604" s="4703"/>
      <c r="BX604" s="4694">
        <v>3</v>
      </c>
      <c r="BY604" s="4694">
        <v>3</v>
      </c>
      <c r="BZ604" s="4695" t="s">
        <v>293</v>
      </c>
      <c r="CA604" s="4697" t="s">
        <v>1076</v>
      </c>
      <c r="CB604" s="4696">
        <v>5</v>
      </c>
      <c r="CC604" s="4694">
        <v>7</v>
      </c>
    </row>
    <row r="605" spans="20:81">
      <c r="W605" s="4622"/>
      <c r="X605" s="4622"/>
      <c r="Y605" s="4622"/>
      <c r="Z605" s="4622"/>
      <c r="AA605" s="4622"/>
      <c r="AB605" s="4622"/>
      <c r="AC605" s="4622"/>
      <c r="AD605" s="4622"/>
      <c r="AE605" s="4622"/>
      <c r="AF605" s="4622"/>
      <c r="AG605" s="4622"/>
      <c r="AH605" s="4622"/>
      <c r="AI605" s="4622"/>
      <c r="AJ605" s="4622"/>
      <c r="AK605" s="4622"/>
      <c r="AL605" s="4622"/>
      <c r="AM605" s="4622"/>
      <c r="AN605" s="4622"/>
      <c r="AP605" s="4694"/>
      <c r="AQ605" s="4694"/>
      <c r="AR605" s="4695"/>
      <c r="AS605" s="4695"/>
      <c r="AT605" s="4704"/>
      <c r="AU605" s="4703"/>
      <c r="BX605" s="4694">
        <v>3</v>
      </c>
      <c r="BY605" s="4694">
        <v>3</v>
      </c>
      <c r="BZ605" s="4695" t="s">
        <v>293</v>
      </c>
      <c r="CA605" s="4695" t="s">
        <v>2775</v>
      </c>
      <c r="CB605" s="4696">
        <v>1</v>
      </c>
      <c r="CC605" s="4694">
        <v>7</v>
      </c>
    </row>
    <row r="606" spans="20:81">
      <c r="W606" s="4622"/>
      <c r="X606" s="4622"/>
      <c r="Y606" s="4622"/>
      <c r="Z606" s="4622"/>
      <c r="AA606" s="4622"/>
      <c r="AB606" s="4622"/>
      <c r="AC606" s="4622"/>
      <c r="AD606" s="4622"/>
      <c r="AE606" s="4622"/>
      <c r="AF606" s="4622"/>
      <c r="AG606" s="4622"/>
      <c r="AH606" s="4622"/>
      <c r="AI606" s="4622"/>
      <c r="AJ606" s="4622"/>
      <c r="AK606" s="4622"/>
      <c r="AL606" s="4622"/>
      <c r="AM606" s="4622"/>
      <c r="AN606" s="4622"/>
      <c r="AP606" s="4694"/>
      <c r="AQ606" s="4694"/>
      <c r="AR606" s="4695"/>
      <c r="AS606" s="4697"/>
      <c r="AT606" s="4704"/>
      <c r="AU606" s="4703"/>
      <c r="BX606" s="4694">
        <v>3</v>
      </c>
      <c r="BY606" s="4694">
        <v>3</v>
      </c>
      <c r="BZ606" s="4695" t="s">
        <v>293</v>
      </c>
      <c r="CA606" s="4695" t="s">
        <v>2709</v>
      </c>
      <c r="CB606" s="4696">
        <v>1</v>
      </c>
      <c r="CC606" s="4694">
        <v>2</v>
      </c>
    </row>
    <row r="607" spans="20:81">
      <c r="W607" s="4622"/>
      <c r="X607" s="4622"/>
      <c r="Y607" s="4622"/>
      <c r="Z607" s="4622"/>
      <c r="AA607" s="4622"/>
      <c r="AB607" s="4622"/>
      <c r="AC607" s="4622"/>
      <c r="AD607" s="4622"/>
      <c r="AE607" s="4622"/>
      <c r="AF607" s="4622"/>
      <c r="AG607" s="4622"/>
      <c r="AH607" s="4622"/>
      <c r="AI607" s="4622"/>
      <c r="AJ607" s="4622"/>
      <c r="AK607" s="4622"/>
      <c r="AL607" s="4622"/>
      <c r="AM607" s="4622"/>
      <c r="AN607" s="4622"/>
      <c r="AP607" s="4694"/>
      <c r="AQ607" s="4694"/>
      <c r="AR607" s="4695"/>
      <c r="AS607" s="4697"/>
      <c r="AT607" s="4704"/>
      <c r="AU607" s="4703"/>
      <c r="BX607" s="4694">
        <v>3</v>
      </c>
      <c r="BY607" s="4694">
        <v>3</v>
      </c>
      <c r="BZ607" s="4695" t="s">
        <v>293</v>
      </c>
      <c r="CA607" s="4695" t="s">
        <v>2709</v>
      </c>
      <c r="CB607" s="4696">
        <v>1</v>
      </c>
      <c r="CC607" s="4694">
        <v>6</v>
      </c>
    </row>
    <row r="608" spans="20:81" ht="24.6">
      <c r="W608" s="4622"/>
      <c r="X608" s="4622"/>
      <c r="Y608" s="4622"/>
      <c r="Z608" s="4622"/>
      <c r="AA608" s="4622"/>
      <c r="AB608" s="4622"/>
      <c r="AC608" s="4622"/>
      <c r="AD608" s="4622"/>
      <c r="AE608" s="4622"/>
      <c r="AF608" s="4622"/>
      <c r="AG608" s="4622"/>
      <c r="AH608" s="4622"/>
      <c r="AI608" s="4622"/>
      <c r="AJ608" s="4622"/>
      <c r="AK608" s="4622"/>
      <c r="AL608" s="4622"/>
      <c r="AM608" s="4622"/>
      <c r="AN608" s="4622"/>
      <c r="AP608" s="4694"/>
      <c r="AQ608" s="4694"/>
      <c r="AR608" s="4695"/>
      <c r="AS608" s="4695"/>
      <c r="AT608" s="4704"/>
      <c r="AU608" s="4703"/>
      <c r="BX608" s="4694">
        <v>3</v>
      </c>
      <c r="BY608" s="4694">
        <v>3</v>
      </c>
      <c r="BZ608" s="4695" t="s">
        <v>293</v>
      </c>
      <c r="CA608" s="4695" t="s">
        <v>2710</v>
      </c>
      <c r="CB608" s="4696">
        <v>2</v>
      </c>
      <c r="CC608" s="4694">
        <v>0</v>
      </c>
    </row>
    <row r="609" spans="23:81">
      <c r="W609" s="4622"/>
      <c r="X609" s="4622"/>
      <c r="Y609" s="4622"/>
      <c r="Z609" s="4622"/>
      <c r="AA609" s="4622"/>
      <c r="AB609" s="4622"/>
      <c r="AC609" s="4622"/>
      <c r="AD609" s="4622"/>
      <c r="AE609" s="4622"/>
      <c r="AF609" s="4622"/>
      <c r="AG609" s="4622"/>
      <c r="AH609" s="4622"/>
      <c r="AI609" s="4622"/>
      <c r="AJ609" s="4622"/>
      <c r="AK609" s="4622"/>
      <c r="AL609" s="4622"/>
      <c r="AM609" s="4622"/>
      <c r="AN609" s="4622"/>
      <c r="AP609" s="4694"/>
      <c r="AQ609" s="4694"/>
      <c r="AR609" s="4695"/>
      <c r="AS609" s="4695"/>
      <c r="AT609" s="4704"/>
      <c r="AU609" s="4703"/>
      <c r="BX609" s="4694">
        <v>3</v>
      </c>
      <c r="BY609" s="4694">
        <v>4</v>
      </c>
      <c r="BZ609" s="4695" t="s">
        <v>297</v>
      </c>
      <c r="CA609" s="4697" t="s">
        <v>2732</v>
      </c>
      <c r="CB609" s="4696">
        <v>1</v>
      </c>
      <c r="CC609" s="4694">
        <v>6</v>
      </c>
    </row>
    <row r="610" spans="23:81">
      <c r="W610" s="4622"/>
      <c r="X610" s="4622"/>
      <c r="Y610" s="4622"/>
      <c r="Z610" s="4622"/>
      <c r="AA610" s="4622"/>
      <c r="AB610" s="4622"/>
      <c r="AC610" s="4622"/>
      <c r="AD610" s="4622"/>
      <c r="AE610" s="4622"/>
      <c r="AF610" s="4622"/>
      <c r="AG610" s="4622"/>
      <c r="AH610" s="4622"/>
      <c r="AI610" s="4622"/>
      <c r="AJ610" s="4622"/>
      <c r="AK610" s="4622"/>
      <c r="AL610" s="4622"/>
      <c r="AM610" s="4622"/>
      <c r="AN610" s="4622"/>
      <c r="AP610" s="4694"/>
      <c r="AQ610" s="4694"/>
      <c r="AR610" s="4695"/>
      <c r="AS610" s="4695"/>
      <c r="AT610" s="4704"/>
      <c r="AU610" s="4703"/>
      <c r="BX610" s="4694">
        <v>3</v>
      </c>
      <c r="BY610" s="4694">
        <v>4</v>
      </c>
      <c r="BZ610" s="4695" t="s">
        <v>297</v>
      </c>
      <c r="CA610" s="4697" t="s">
        <v>2707</v>
      </c>
      <c r="CB610" s="4696">
        <v>10</v>
      </c>
      <c r="CC610" s="4694">
        <v>6</v>
      </c>
    </row>
    <row r="611" spans="23:81">
      <c r="W611" s="4622"/>
      <c r="X611" s="4622"/>
      <c r="Y611" s="4622"/>
      <c r="Z611" s="4622"/>
      <c r="AA611" s="4622"/>
      <c r="AB611" s="4622"/>
      <c r="AC611" s="4622"/>
      <c r="AD611" s="4622"/>
      <c r="AE611" s="4622"/>
      <c r="AF611" s="4622"/>
      <c r="AG611" s="4622"/>
      <c r="AH611" s="4622"/>
      <c r="AI611" s="4622"/>
      <c r="AJ611" s="4622"/>
      <c r="AK611" s="4622"/>
      <c r="AL611" s="4622"/>
      <c r="AM611" s="4622"/>
      <c r="AN611" s="4622"/>
      <c r="AP611" s="4694"/>
      <c r="AQ611" s="4694"/>
      <c r="AR611" s="4695"/>
      <c r="AS611" s="4695"/>
      <c r="AT611" s="4704"/>
      <c r="AU611" s="4703"/>
      <c r="BX611" s="4694">
        <v>3</v>
      </c>
      <c r="BY611" s="4694">
        <v>4</v>
      </c>
      <c r="BZ611" s="4695" t="s">
        <v>297</v>
      </c>
      <c r="CA611" s="4697" t="s">
        <v>1076</v>
      </c>
      <c r="CB611" s="4696">
        <v>9</v>
      </c>
      <c r="CC611" s="4694">
        <v>6</v>
      </c>
    </row>
    <row r="612" spans="23:81">
      <c r="W612" s="4622"/>
      <c r="X612" s="4622"/>
      <c r="Y612" s="4622"/>
      <c r="Z612" s="4622"/>
      <c r="AA612" s="4622"/>
      <c r="AB612" s="4622"/>
      <c r="AC612" s="4622"/>
      <c r="AD612" s="4622"/>
      <c r="AE612" s="4622"/>
      <c r="AF612" s="4622"/>
      <c r="AG612" s="4622"/>
      <c r="AH612" s="4622"/>
      <c r="AI612" s="4622"/>
      <c r="AJ612" s="4622"/>
      <c r="AK612" s="4622"/>
      <c r="AL612" s="4622"/>
      <c r="AM612" s="4622"/>
      <c r="AN612" s="4622"/>
      <c r="AP612" s="4694"/>
      <c r="AQ612" s="4694"/>
      <c r="AR612" s="4695"/>
      <c r="AS612" s="4697"/>
      <c r="AT612" s="4704"/>
      <c r="AU612" s="4703"/>
      <c r="BX612" s="4694">
        <v>3</v>
      </c>
      <c r="BY612" s="4694">
        <v>4</v>
      </c>
      <c r="BZ612" s="4695" t="s">
        <v>297</v>
      </c>
      <c r="CA612" s="4695" t="s">
        <v>2775</v>
      </c>
      <c r="CB612" s="4696">
        <v>1</v>
      </c>
      <c r="CC612" s="4694">
        <v>6</v>
      </c>
    </row>
    <row r="613" spans="23:81">
      <c r="W613" s="4622"/>
      <c r="X613" s="4622"/>
      <c r="Y613" s="4622"/>
      <c r="Z613" s="4622"/>
      <c r="AA613" s="4622"/>
      <c r="AB613" s="4622"/>
      <c r="AC613" s="4622"/>
      <c r="AD613" s="4622"/>
      <c r="AE613" s="4622"/>
      <c r="AF613" s="4622"/>
      <c r="AG613" s="4622"/>
      <c r="AH613" s="4622"/>
      <c r="AI613" s="4622"/>
      <c r="AJ613" s="4622"/>
      <c r="AK613" s="4622"/>
      <c r="AL613" s="4622"/>
      <c r="AM613" s="4622"/>
      <c r="AN613" s="4622"/>
      <c r="AP613" s="4694"/>
      <c r="AQ613" s="4694"/>
      <c r="AR613" s="4695"/>
      <c r="AS613" s="4695"/>
      <c r="AT613" s="4704"/>
      <c r="AU613" s="4703"/>
      <c r="BX613" s="4694">
        <v>3</v>
      </c>
      <c r="BY613" s="4694">
        <v>4</v>
      </c>
      <c r="BZ613" s="4695" t="s">
        <v>297</v>
      </c>
      <c r="CA613" s="4695" t="s">
        <v>2775</v>
      </c>
      <c r="CB613" s="4696">
        <v>1</v>
      </c>
      <c r="CC613" s="4694">
        <v>7</v>
      </c>
    </row>
    <row r="614" spans="23:81">
      <c r="W614" s="4622"/>
      <c r="X614" s="4622"/>
      <c r="Y614" s="4622"/>
      <c r="Z614" s="4622"/>
      <c r="AA614" s="4622"/>
      <c r="AB614" s="4622"/>
      <c r="AC614" s="4622"/>
      <c r="AD614" s="4622"/>
      <c r="AE614" s="4622"/>
      <c r="AF614" s="4622"/>
      <c r="AG614" s="4622"/>
      <c r="AH614" s="4622"/>
      <c r="AI614" s="4622"/>
      <c r="AJ614" s="4622"/>
      <c r="AK614" s="4622"/>
      <c r="AL614" s="4622"/>
      <c r="AM614" s="4622"/>
      <c r="AN614" s="4622"/>
      <c r="AP614" s="4694"/>
      <c r="AQ614" s="4694"/>
      <c r="AR614" s="4695"/>
      <c r="AS614" s="4697"/>
      <c r="AT614" s="4704"/>
      <c r="AU614" s="4703"/>
      <c r="BX614" s="4694">
        <v>3</v>
      </c>
      <c r="BY614" s="4694">
        <v>4</v>
      </c>
      <c r="BZ614" s="4695" t="s">
        <v>297</v>
      </c>
      <c r="CA614" s="4695" t="s">
        <v>2709</v>
      </c>
      <c r="CB614" s="4696">
        <v>1</v>
      </c>
      <c r="CC614" s="4694">
        <v>2</v>
      </c>
    </row>
    <row r="615" spans="23:81">
      <c r="W615" s="4622"/>
      <c r="Y615" s="4622"/>
      <c r="Z615" s="4622"/>
      <c r="AA615" s="4622"/>
      <c r="AB615" s="4622"/>
      <c r="AC615" s="4622"/>
      <c r="AD615" s="4622"/>
      <c r="AE615" s="4622"/>
      <c r="AF615" s="4622"/>
      <c r="AG615" s="4622"/>
      <c r="AH615" s="4622"/>
      <c r="AI615" s="4622"/>
      <c r="AJ615" s="4622"/>
      <c r="AK615" s="4622"/>
      <c r="AL615" s="4622"/>
      <c r="AM615" s="4622"/>
      <c r="AN615" s="4622"/>
      <c r="AP615" s="4694"/>
      <c r="AQ615" s="4694"/>
      <c r="AR615" s="4695"/>
      <c r="AS615" s="4695"/>
      <c r="AT615" s="4704"/>
      <c r="AU615" s="4703"/>
      <c r="BX615" s="4694">
        <v>3</v>
      </c>
      <c r="BY615" s="4694">
        <v>4</v>
      </c>
      <c r="BZ615" s="4695" t="s">
        <v>297</v>
      </c>
      <c r="CA615" s="4695" t="s">
        <v>2709</v>
      </c>
      <c r="CB615" s="4696">
        <v>3</v>
      </c>
      <c r="CC615" s="4694">
        <v>6</v>
      </c>
    </row>
    <row r="616" spans="23:81">
      <c r="W616" s="4622"/>
      <c r="Y616" s="4622"/>
      <c r="Z616" s="4622"/>
      <c r="AA616" s="4622"/>
      <c r="AB616" s="4622"/>
      <c r="AC616" s="4622"/>
      <c r="AD616" s="4622"/>
      <c r="AE616" s="4622"/>
      <c r="AF616" s="4622"/>
      <c r="AG616" s="4622"/>
      <c r="AH616" s="4622"/>
      <c r="AI616" s="4622"/>
      <c r="AJ616" s="4622"/>
      <c r="AK616" s="4622"/>
      <c r="AL616" s="4622"/>
      <c r="AM616" s="4622"/>
      <c r="AN616" s="4622"/>
      <c r="AP616" s="4694"/>
      <c r="AQ616" s="4694"/>
      <c r="AR616" s="4695"/>
      <c r="AS616" s="4695"/>
      <c r="AT616" s="4704"/>
      <c r="AU616" s="4703"/>
      <c r="BX616" s="4694">
        <v>4</v>
      </c>
      <c r="BY616" s="4694">
        <v>2</v>
      </c>
      <c r="BZ616" s="4695" t="s">
        <v>608</v>
      </c>
      <c r="CA616" s="4695" t="s">
        <v>2731</v>
      </c>
      <c r="CB616" s="4696">
        <v>1</v>
      </c>
      <c r="CC616" s="4694">
        <v>8</v>
      </c>
    </row>
    <row r="617" spans="23:81">
      <c r="W617" s="4622"/>
      <c r="Y617" s="4622"/>
      <c r="Z617" s="4622"/>
      <c r="AA617" s="4622"/>
      <c r="AB617" s="4622"/>
      <c r="AC617" s="4622"/>
      <c r="AD617" s="4622"/>
      <c r="AE617" s="4622"/>
      <c r="AF617" s="4622"/>
      <c r="AG617" s="4622"/>
      <c r="AH617" s="4622"/>
      <c r="AI617" s="4622"/>
      <c r="AJ617" s="4622"/>
      <c r="AK617" s="4622"/>
      <c r="AL617" s="4622"/>
      <c r="AM617" s="4622"/>
      <c r="AN617" s="4622"/>
      <c r="AP617" s="4694"/>
      <c r="AQ617" s="4694"/>
      <c r="AR617" s="4695"/>
      <c r="AS617" s="4695"/>
      <c r="AT617" s="4704"/>
      <c r="AU617" s="4703"/>
      <c r="BX617" s="4694">
        <v>4</v>
      </c>
      <c r="BY617" s="4694">
        <v>2</v>
      </c>
      <c r="BZ617" s="4695" t="s">
        <v>608</v>
      </c>
      <c r="CA617" s="4695" t="s">
        <v>2709</v>
      </c>
      <c r="CB617" s="4696">
        <v>7</v>
      </c>
      <c r="CC617" s="4694">
        <v>6</v>
      </c>
    </row>
    <row r="618" spans="23:81" ht="24.6">
      <c r="W618" s="4622"/>
      <c r="Y618" s="4622"/>
      <c r="Z618" s="4622"/>
      <c r="AA618" s="4622"/>
      <c r="AB618" s="4622"/>
      <c r="AC618" s="4622"/>
      <c r="AD618" s="4622"/>
      <c r="AE618" s="4622"/>
      <c r="AF618" s="4622"/>
      <c r="AG618" s="4622"/>
      <c r="AH618" s="4622"/>
      <c r="AI618" s="4622"/>
      <c r="AJ618" s="4622"/>
      <c r="AK618" s="4622"/>
      <c r="AL618" s="4622"/>
      <c r="AM618" s="4622"/>
      <c r="AN618" s="4622"/>
      <c r="AP618" s="4694"/>
      <c r="AQ618" s="4694"/>
      <c r="AR618" s="4695"/>
      <c r="AS618" s="4695"/>
      <c r="AT618" s="4704"/>
      <c r="AU618" s="4703"/>
      <c r="BX618" s="4694">
        <v>4</v>
      </c>
      <c r="BY618" s="4694">
        <v>2</v>
      </c>
      <c r="BZ618" s="4695" t="s">
        <v>608</v>
      </c>
      <c r="CA618" s="4695" t="s">
        <v>2710</v>
      </c>
      <c r="CB618" s="4696">
        <v>2</v>
      </c>
      <c r="CC618" s="4694">
        <v>0</v>
      </c>
    </row>
    <row r="619" spans="23:81">
      <c r="W619" s="4622"/>
      <c r="Y619" s="4622"/>
      <c r="Z619" s="4622"/>
      <c r="AA619" s="4622"/>
      <c r="AB619" s="4622"/>
      <c r="AC619" s="4622"/>
      <c r="AD619" s="4622"/>
      <c r="AE619" s="4622"/>
      <c r="AF619" s="4622"/>
      <c r="AG619" s="4622"/>
      <c r="AH619" s="4622"/>
      <c r="AI619" s="4622"/>
      <c r="AJ619" s="4622"/>
      <c r="AK619" s="4622"/>
      <c r="AL619" s="4622"/>
      <c r="AM619" s="4622"/>
      <c r="AN619" s="4622"/>
      <c r="AP619" s="4694"/>
      <c r="AQ619" s="4694"/>
      <c r="AR619" s="4695"/>
      <c r="AS619" s="4695"/>
      <c r="AT619" s="4704"/>
      <c r="AU619" s="4703"/>
      <c r="BX619" s="4694">
        <v>4</v>
      </c>
      <c r="BY619" s="4694">
        <v>5</v>
      </c>
      <c r="BZ619" s="4695" t="s">
        <v>383</v>
      </c>
      <c r="CA619" s="4695" t="s">
        <v>2731</v>
      </c>
      <c r="CB619" s="4696">
        <v>21</v>
      </c>
      <c r="CC619" s="4694">
        <v>7</v>
      </c>
    </row>
    <row r="620" spans="23:81">
      <c r="W620" s="4622"/>
      <c r="Y620" s="4622"/>
      <c r="Z620" s="4622"/>
      <c r="AA620" s="4622"/>
      <c r="AB620" s="4622"/>
      <c r="AC620" s="4622"/>
      <c r="AD620" s="4622"/>
      <c r="AE620" s="4622"/>
      <c r="AF620" s="4622"/>
      <c r="AG620" s="4622"/>
      <c r="AH620" s="4622"/>
      <c r="AI620" s="4622"/>
      <c r="AJ620" s="4622"/>
      <c r="AK620" s="4622"/>
      <c r="AL620" s="4622"/>
      <c r="AM620" s="4622"/>
      <c r="AN620" s="4622"/>
      <c r="AP620" s="4694"/>
      <c r="AQ620" s="4694"/>
      <c r="AR620" s="4695"/>
      <c r="AS620" s="4695"/>
      <c r="AT620" s="4704"/>
      <c r="AU620" s="4703"/>
      <c r="BX620" s="4694">
        <v>4</v>
      </c>
      <c r="BY620" s="4694">
        <v>5</v>
      </c>
      <c r="BZ620" s="4695" t="s">
        <v>383</v>
      </c>
      <c r="CA620" s="4695" t="s">
        <v>2731</v>
      </c>
      <c r="CB620" s="4696">
        <v>1</v>
      </c>
      <c r="CC620" s="4694">
        <v>8</v>
      </c>
    </row>
    <row r="621" spans="23:81" ht="24.6">
      <c r="W621" s="4622"/>
      <c r="Y621" s="4622"/>
      <c r="Z621" s="4622"/>
      <c r="AA621" s="4622"/>
      <c r="AB621" s="4622"/>
      <c r="AC621" s="4622"/>
      <c r="AD621" s="4622"/>
      <c r="AE621" s="4622"/>
      <c r="AF621" s="4622"/>
      <c r="AG621" s="4622"/>
      <c r="AH621" s="4622"/>
      <c r="AI621" s="4622"/>
      <c r="AJ621" s="4622"/>
      <c r="AK621" s="4622"/>
      <c r="AL621" s="4622"/>
      <c r="AM621" s="4622"/>
      <c r="AN621" s="4622"/>
      <c r="AP621" s="4694"/>
      <c r="AQ621" s="4694"/>
      <c r="AR621" s="4695"/>
      <c r="AS621" s="4695"/>
      <c r="AT621" s="4704"/>
      <c r="AU621" s="4703"/>
      <c r="BX621" s="4694">
        <v>4</v>
      </c>
      <c r="BY621" s="4694">
        <v>5</v>
      </c>
      <c r="BZ621" s="4695" t="s">
        <v>383</v>
      </c>
      <c r="CA621" s="4695" t="s">
        <v>2710</v>
      </c>
      <c r="CB621" s="4696">
        <v>1</v>
      </c>
      <c r="CC621" s="4694">
        <v>0</v>
      </c>
    </row>
    <row r="622" spans="23:81">
      <c r="W622" s="4622"/>
      <c r="Y622" s="4622"/>
      <c r="Z622" s="4622"/>
      <c r="AA622" s="4622"/>
      <c r="AB622" s="4622"/>
      <c r="AC622" s="4622"/>
      <c r="AD622" s="4622"/>
      <c r="AE622" s="4622"/>
      <c r="AF622" s="4622"/>
      <c r="AG622" s="4622"/>
      <c r="AH622" s="4622"/>
      <c r="AI622" s="4622"/>
      <c r="AJ622" s="4622"/>
      <c r="AK622" s="4622"/>
      <c r="AL622" s="4622"/>
      <c r="AM622" s="4622"/>
      <c r="AN622" s="4622"/>
      <c r="AP622" s="4694"/>
      <c r="AQ622" s="4694"/>
      <c r="AR622" s="4695"/>
      <c r="AS622" s="4695"/>
      <c r="AT622" s="4704"/>
      <c r="AU622" s="4703"/>
      <c r="BX622" s="4694">
        <v>4</v>
      </c>
      <c r="BY622" s="4694">
        <v>6</v>
      </c>
      <c r="BZ622" s="4695" t="s">
        <v>609</v>
      </c>
      <c r="CA622" s="4695" t="s">
        <v>2731</v>
      </c>
      <c r="CB622" s="4696">
        <v>3</v>
      </c>
      <c r="CC622" s="4694">
        <v>7</v>
      </c>
    </row>
    <row r="623" spans="23:81">
      <c r="W623" s="4622"/>
      <c r="Y623" s="4622"/>
      <c r="Z623" s="4622"/>
      <c r="AA623" s="4622"/>
      <c r="AB623" s="4622"/>
      <c r="AC623" s="4622"/>
      <c r="AD623" s="4622"/>
      <c r="AE623" s="4622"/>
      <c r="AF623" s="4622"/>
      <c r="AG623" s="4622"/>
      <c r="AH623" s="4622"/>
      <c r="AI623" s="4622"/>
      <c r="AJ623" s="4622"/>
      <c r="AK623" s="4622"/>
      <c r="AL623" s="4622"/>
      <c r="AM623" s="4622"/>
      <c r="AN623" s="4622"/>
      <c r="AP623" s="4694"/>
      <c r="AQ623" s="4694"/>
      <c r="AR623" s="4695"/>
      <c r="AS623" s="4697"/>
      <c r="AT623" s="4704"/>
      <c r="AU623" s="4703"/>
      <c r="BX623" s="4694">
        <v>4</v>
      </c>
      <c r="BY623" s="4694">
        <v>6</v>
      </c>
      <c r="BZ623" s="4695" t="s">
        <v>609</v>
      </c>
      <c r="CA623" s="4695" t="s">
        <v>2731</v>
      </c>
      <c r="CB623" s="4696">
        <v>5</v>
      </c>
      <c r="CC623" s="4694">
        <v>8</v>
      </c>
    </row>
    <row r="624" spans="23:81">
      <c r="W624" s="4622"/>
      <c r="AP624" s="4694"/>
      <c r="AQ624" s="4694"/>
      <c r="AR624" s="4695"/>
      <c r="AS624" s="4697"/>
      <c r="AT624" s="4704"/>
      <c r="AU624" s="4703"/>
      <c r="BX624" s="4694">
        <v>4</v>
      </c>
      <c r="BY624" s="4694">
        <v>6</v>
      </c>
      <c r="BZ624" s="4695" t="s">
        <v>609</v>
      </c>
      <c r="CA624" s="4697" t="s">
        <v>2732</v>
      </c>
      <c r="CB624" s="4696">
        <v>2</v>
      </c>
      <c r="CC624" s="4694">
        <v>6</v>
      </c>
    </row>
    <row r="625" spans="23:81">
      <c r="W625" s="4622"/>
      <c r="AP625" s="4694"/>
      <c r="AQ625" s="4694"/>
      <c r="AR625" s="4695"/>
      <c r="AS625" s="4697"/>
      <c r="AT625" s="4704"/>
      <c r="AU625" s="4703"/>
      <c r="BX625" s="4694">
        <v>4</v>
      </c>
      <c r="BY625" s="4694">
        <v>6</v>
      </c>
      <c r="BZ625" s="4695" t="s">
        <v>609</v>
      </c>
      <c r="CA625" s="4697" t="s">
        <v>1076</v>
      </c>
      <c r="CB625" s="4696">
        <v>1</v>
      </c>
      <c r="CC625" s="4694">
        <v>7</v>
      </c>
    </row>
    <row r="626" spans="23:81">
      <c r="W626" s="4622"/>
      <c r="AP626" s="4694"/>
      <c r="AQ626" s="4694"/>
      <c r="AR626" s="4695"/>
      <c r="AS626" s="4695"/>
      <c r="AT626" s="4704"/>
      <c r="AU626" s="4703"/>
      <c r="BX626" s="4694">
        <v>4</v>
      </c>
      <c r="BY626" s="4694">
        <v>6</v>
      </c>
      <c r="BZ626" s="4695" t="s">
        <v>609</v>
      </c>
      <c r="CA626" s="4695" t="s">
        <v>2709</v>
      </c>
      <c r="CB626" s="4696">
        <v>1</v>
      </c>
      <c r="CC626" s="4694">
        <v>6</v>
      </c>
    </row>
    <row r="627" spans="23:81">
      <c r="W627" s="4622"/>
      <c r="AP627" s="4694" t="s">
        <v>2613</v>
      </c>
      <c r="AQ627" s="4694" t="s">
        <v>2613</v>
      </c>
      <c r="AR627" s="4694" t="s">
        <v>2613</v>
      </c>
      <c r="AS627" s="4694" t="s">
        <v>2613</v>
      </c>
      <c r="AT627" s="4694"/>
      <c r="AU627" s="4694" t="s">
        <v>2613</v>
      </c>
    </row>
    <row r="628" spans="23:81">
      <c r="W628" s="4622"/>
      <c r="AP628" s="97"/>
      <c r="AQ628" s="97"/>
      <c r="AR628" s="36"/>
      <c r="AS628" s="36"/>
      <c r="AT628" s="36"/>
      <c r="AU628" s="36"/>
    </row>
    <row r="629" spans="23:81">
      <c r="W629" s="4622"/>
      <c r="AP629" s="97"/>
      <c r="AQ629" s="97"/>
      <c r="AR629" s="36"/>
      <c r="AU629" s="36"/>
      <c r="CA629" s="2042">
        <v>723</v>
      </c>
    </row>
    <row r="630" spans="23:81">
      <c r="W630" s="4622"/>
      <c r="X630" s="4622"/>
      <c r="AP630" s="97"/>
      <c r="AQ630" s="97"/>
      <c r="AR630" s="36"/>
      <c r="AU630" s="36"/>
      <c r="CA630" s="4640">
        <v>271</v>
      </c>
    </row>
    <row r="631" spans="23:81">
      <c r="W631" s="4622"/>
      <c r="X631" s="4622"/>
      <c r="AP631" s="97"/>
      <c r="AQ631" s="97"/>
      <c r="AR631" s="36"/>
      <c r="AU631" s="36"/>
      <c r="CA631" s="4710">
        <v>268</v>
      </c>
    </row>
    <row r="632" spans="23:81">
      <c r="W632" s="4622"/>
      <c r="X632" s="4622"/>
      <c r="CA632" s="4711">
        <f>CA631/CA629</f>
        <v>0.37067773167358231</v>
      </c>
    </row>
    <row r="633" spans="23:81">
      <c r="W633" s="4622"/>
      <c r="X633" s="4622"/>
    </row>
    <row r="634" spans="23:81">
      <c r="W634" s="4622"/>
      <c r="X634" s="4622"/>
    </row>
    <row r="635" spans="23:81">
      <c r="W635" s="4622"/>
      <c r="X635" s="4622"/>
    </row>
    <row r="636" spans="23:81">
      <c r="W636" s="4622"/>
    </row>
    <row r="637" spans="23:81">
      <c r="W637" s="4622"/>
    </row>
    <row r="638" spans="23:81">
      <c r="W638" s="4622"/>
    </row>
    <row r="639" spans="23:81">
      <c r="W639" s="4622"/>
    </row>
    <row r="640" spans="23:81">
      <c r="W640" s="4622"/>
    </row>
    <row r="641" spans="23:23">
      <c r="W641" s="4622"/>
    </row>
    <row r="642" spans="23:23">
      <c r="W642" s="4622"/>
    </row>
    <row r="643" spans="23:23">
      <c r="W643" s="4622"/>
    </row>
    <row r="644" spans="23:23">
      <c r="W644" s="4622"/>
    </row>
    <row r="645" spans="23:23">
      <c r="W645" s="4622"/>
    </row>
    <row r="646" spans="23:23">
      <c r="W646" s="4622"/>
    </row>
    <row r="647" spans="23:23">
      <c r="W647" s="4622"/>
    </row>
    <row r="648" spans="23:23">
      <c r="W648" s="4622"/>
    </row>
    <row r="649" spans="23:23">
      <c r="W649" s="4622"/>
    </row>
    <row r="650" spans="23:23">
      <c r="W650" s="4622"/>
    </row>
    <row r="651" spans="23:23">
      <c r="W651" s="4622"/>
    </row>
    <row r="652" spans="23:23">
      <c r="W652" s="4622"/>
    </row>
    <row r="653" spans="23:23">
      <c r="W653" s="4622"/>
    </row>
    <row r="654" spans="23:23">
      <c r="W654" s="4622"/>
    </row>
    <row r="655" spans="23:23">
      <c r="W655" s="4622"/>
    </row>
    <row r="656" spans="23:23">
      <c r="W656" s="4622"/>
    </row>
    <row r="657" spans="23:23">
      <c r="W657" s="4622"/>
    </row>
    <row r="658" spans="23:23">
      <c r="W658" s="4622"/>
    </row>
    <row r="659" spans="23:23">
      <c r="W659" s="4622"/>
    </row>
    <row r="660" spans="23:23">
      <c r="W660" s="4622"/>
    </row>
    <row r="661" spans="23:23">
      <c r="W661" s="4622"/>
    </row>
    <row r="662" spans="23:23">
      <c r="W662" s="4622"/>
    </row>
    <row r="663" spans="23:23">
      <c r="W663" s="4622"/>
    </row>
    <row r="664" spans="23:23">
      <c r="W664" s="4622"/>
    </row>
    <row r="665" spans="23:23">
      <c r="W665" s="4622"/>
    </row>
    <row r="666" spans="23:23">
      <c r="W666" s="4622"/>
    </row>
    <row r="682" spans="23:23">
      <c r="W682" s="4622"/>
    </row>
    <row r="683" spans="23:23">
      <c r="W683" s="4622"/>
    </row>
    <row r="684" spans="23:23">
      <c r="W684" s="4622"/>
    </row>
    <row r="685" spans="23:23">
      <c r="W685" s="4622"/>
    </row>
    <row r="686" spans="23:23">
      <c r="W686" s="4622"/>
    </row>
    <row r="687" spans="23:23">
      <c r="W687" s="4622"/>
    </row>
    <row r="688" spans="23:23">
      <c r="W688" s="4622"/>
    </row>
    <row r="689" spans="23:23">
      <c r="W689" s="4622"/>
    </row>
    <row r="690" spans="23:23">
      <c r="W690" s="4622"/>
    </row>
    <row r="691" spans="23:23">
      <c r="W691" s="4622"/>
    </row>
    <row r="692" spans="23:23">
      <c r="W692" s="4622"/>
    </row>
    <row r="693" spans="23:23">
      <c r="W693" s="4622"/>
    </row>
    <row r="694" spans="23:23">
      <c r="W694" s="4622"/>
    </row>
    <row r="695" spans="23:23">
      <c r="W695" s="4622"/>
    </row>
    <row r="696" spans="23:23">
      <c r="W696" s="4622"/>
    </row>
    <row r="697" spans="23:23">
      <c r="W697" s="4622"/>
    </row>
    <row r="698" spans="23:23">
      <c r="W698" s="4622"/>
    </row>
    <row r="699" spans="23:23">
      <c r="W699" s="4622"/>
    </row>
    <row r="700" spans="23:23">
      <c r="W700" s="4622"/>
    </row>
    <row r="701" spans="23:23">
      <c r="W701" s="4622"/>
    </row>
    <row r="702" spans="23:23">
      <c r="W702" s="4622"/>
    </row>
  </sheetData>
  <mergeCells count="26">
    <mergeCell ref="L3:M3"/>
    <mergeCell ref="Y2:Z2"/>
    <mergeCell ref="AT5:BD5"/>
    <mergeCell ref="CB5:CI5"/>
    <mergeCell ref="CS5:DC5"/>
    <mergeCell ref="DK5:DU5"/>
    <mergeCell ref="GC277:GL277"/>
    <mergeCell ref="BL5:BT5"/>
    <mergeCell ref="GT277:HC277"/>
    <mergeCell ref="EC5:EM5"/>
    <mergeCell ref="HK277:HU277"/>
    <mergeCell ref="GC182:GL182"/>
    <mergeCell ref="GT182:HC182"/>
    <mergeCell ref="HK182:HU182"/>
    <mergeCell ref="GC249:GL249"/>
    <mergeCell ref="GT249:HC249"/>
    <mergeCell ref="HK249:HU249"/>
    <mergeCell ref="GP1:HE1"/>
    <mergeCell ref="GP2:HE2"/>
    <mergeCell ref="GP3:HE3"/>
    <mergeCell ref="HG3:HX3"/>
    <mergeCell ref="ET5:FC5"/>
    <mergeCell ref="FK5:FU5"/>
    <mergeCell ref="GC5:GL5"/>
    <mergeCell ref="GT5:HC5"/>
    <mergeCell ref="HK5:HU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P99"/>
  <sheetViews>
    <sheetView showGridLines="0" zoomScale="110" zoomScaleNormal="110" workbookViewId="0">
      <pane xSplit="2" ySplit="4" topLeftCell="I71" activePane="bottomRight" state="frozen"/>
      <selection activeCell="C65" sqref="C65:C67"/>
      <selection pane="topRight" activeCell="C65" sqref="C65:C67"/>
      <selection pane="bottomLeft" activeCell="C65" sqref="C65:C67"/>
      <selection pane="bottomRight" activeCell="S98" sqref="S98"/>
    </sheetView>
  </sheetViews>
  <sheetFormatPr baseColWidth="10" defaultRowHeight="14.4"/>
  <cols>
    <col min="1" max="1" width="2.6640625" customWidth="1"/>
    <col min="2" max="2" width="49.5546875" customWidth="1"/>
  </cols>
  <sheetData>
    <row r="1" spans="2:16" ht="32.25" customHeight="1">
      <c r="L1" s="7021" t="s">
        <v>3308</v>
      </c>
      <c r="M1" s="7021"/>
      <c r="N1" s="7021"/>
      <c r="O1" s="7021"/>
      <c r="P1" s="7021"/>
    </row>
    <row r="2" spans="2:16">
      <c r="P2" s="6488" t="s">
        <v>708</v>
      </c>
    </row>
    <row r="3" spans="2:16">
      <c r="B3" s="2117"/>
      <c r="C3" s="2117"/>
      <c r="D3" s="2117"/>
      <c r="E3" s="2117"/>
      <c r="F3" s="2117"/>
      <c r="G3" s="2117"/>
      <c r="H3" s="2117"/>
      <c r="I3" s="2117"/>
      <c r="J3" s="2117"/>
      <c r="K3" s="2117"/>
    </row>
    <row r="4" spans="2:16" ht="15" thickBot="1">
      <c r="B4" s="2118" t="s">
        <v>2439</v>
      </c>
      <c r="C4" s="2119">
        <v>2010</v>
      </c>
      <c r="D4" s="2119">
        <v>2011</v>
      </c>
      <c r="E4" s="2119">
        <v>2012</v>
      </c>
      <c r="F4" s="2119">
        <v>2013</v>
      </c>
      <c r="G4" s="2119">
        <v>2014</v>
      </c>
      <c r="H4" s="2119">
        <v>2015</v>
      </c>
      <c r="I4" s="2119">
        <v>2016</v>
      </c>
      <c r="J4" s="2119">
        <v>2017</v>
      </c>
      <c r="K4" s="2119">
        <v>2018</v>
      </c>
      <c r="L4" s="2114">
        <v>2019</v>
      </c>
      <c r="M4" s="2114">
        <v>2020</v>
      </c>
      <c r="N4" s="3270">
        <v>2021</v>
      </c>
      <c r="O4" s="3270">
        <v>2022</v>
      </c>
      <c r="P4" s="3270">
        <v>2023</v>
      </c>
    </row>
    <row r="5" spans="2:16" ht="15" customHeight="1">
      <c r="B5" s="3059" t="s">
        <v>114</v>
      </c>
      <c r="C5" s="2471">
        <v>0.31818181818181818</v>
      </c>
      <c r="D5" s="3060">
        <v>0.2</v>
      </c>
      <c r="E5" s="3061">
        <v>0.4375</v>
      </c>
      <c r="F5" s="2475">
        <v>0.30769230769230771</v>
      </c>
      <c r="G5" s="3060">
        <v>0.42105263157894735</v>
      </c>
      <c r="H5" s="3060">
        <v>0.24242424242424243</v>
      </c>
      <c r="I5" s="3060">
        <v>0.34090909090909088</v>
      </c>
      <c r="J5" s="3060">
        <v>1</v>
      </c>
      <c r="K5" s="3062"/>
      <c r="L5" s="3062"/>
      <c r="M5" s="3062"/>
      <c r="N5" s="3062"/>
      <c r="O5" s="3062"/>
      <c r="P5" s="3062"/>
    </row>
    <row r="6" spans="2:16" ht="15" customHeight="1">
      <c r="B6" s="3063" t="s">
        <v>607</v>
      </c>
      <c r="C6" s="3064"/>
      <c r="D6" s="3065"/>
      <c r="E6" s="3066"/>
      <c r="F6" s="3064"/>
      <c r="G6" s="3065">
        <v>0.41666666666666669</v>
      </c>
      <c r="H6" s="3065">
        <v>0.41666666666666669</v>
      </c>
      <c r="I6" s="3065">
        <v>0.21052631578947367</v>
      </c>
      <c r="J6" s="3065">
        <v>0.5625</v>
      </c>
      <c r="K6" s="3067">
        <v>0.4</v>
      </c>
      <c r="L6" s="3067">
        <v>0.30769999999999997</v>
      </c>
      <c r="M6" s="3067">
        <v>0.14299999999999999</v>
      </c>
      <c r="N6" s="3067">
        <v>0.3</v>
      </c>
      <c r="O6" s="3067">
        <v>0</v>
      </c>
      <c r="P6" s="3067">
        <v>4.4999999999999998E-2</v>
      </c>
    </row>
    <row r="7" spans="2:16" ht="15" customHeight="1">
      <c r="B7" s="3063" t="s">
        <v>115</v>
      </c>
      <c r="C7" s="2489">
        <v>0</v>
      </c>
      <c r="D7" s="3065">
        <v>0.66666666666666663</v>
      </c>
      <c r="E7" s="2480">
        <v>0.6</v>
      </c>
      <c r="F7" s="2481">
        <v>0.125</v>
      </c>
      <c r="G7" s="3065">
        <v>0.4</v>
      </c>
      <c r="H7" s="3065">
        <v>0.35714285714285715</v>
      </c>
      <c r="I7" s="3065">
        <v>0.4</v>
      </c>
      <c r="J7" s="3065">
        <v>0.375</v>
      </c>
      <c r="K7" s="3067">
        <v>0.1111111111111111</v>
      </c>
      <c r="L7" s="3067">
        <v>9.5200000000000007E-2</v>
      </c>
      <c r="M7" s="3067">
        <v>0.13300000000000001</v>
      </c>
      <c r="N7" s="3067">
        <v>0</v>
      </c>
      <c r="O7" s="3067">
        <v>0.14300000000000002</v>
      </c>
      <c r="P7" s="3067"/>
    </row>
    <row r="8" spans="2:16" ht="15" customHeight="1">
      <c r="B8" s="3063" t="s">
        <v>606</v>
      </c>
      <c r="C8" s="3064"/>
      <c r="D8" s="3068"/>
      <c r="E8" s="3066"/>
      <c r="F8" s="3064"/>
      <c r="G8" s="3065">
        <v>0.25</v>
      </c>
      <c r="H8" s="3065">
        <v>0</v>
      </c>
      <c r="I8" s="3065">
        <v>0</v>
      </c>
      <c r="J8" s="3065"/>
      <c r="K8" s="3067">
        <v>0.25</v>
      </c>
      <c r="L8" s="3067">
        <v>0</v>
      </c>
      <c r="M8" s="3067">
        <v>0</v>
      </c>
      <c r="N8" s="3067">
        <v>0</v>
      </c>
      <c r="O8" s="3067">
        <v>0.33299999999999996</v>
      </c>
      <c r="P8" s="3067"/>
    </row>
    <row r="9" spans="2:16" ht="15" customHeight="1">
      <c r="B9" s="3063" t="s">
        <v>113</v>
      </c>
      <c r="C9" s="2489">
        <v>0</v>
      </c>
      <c r="D9" s="3069">
        <v>0</v>
      </c>
      <c r="E9" s="2480">
        <v>0</v>
      </c>
      <c r="F9" s="2481">
        <v>0</v>
      </c>
      <c r="G9" s="3065"/>
      <c r="H9" s="3065"/>
      <c r="I9" s="3065"/>
      <c r="J9" s="3065">
        <v>0.33333333333333331</v>
      </c>
      <c r="K9" s="3067">
        <v>0.2857142857142857</v>
      </c>
      <c r="L9" s="3067">
        <v>0.33300000000000002</v>
      </c>
      <c r="M9" s="3067">
        <v>0.28599999999999998</v>
      </c>
      <c r="N9" s="3067">
        <v>0</v>
      </c>
      <c r="O9" s="3067">
        <v>0.23100000000000001</v>
      </c>
      <c r="P9" s="3067"/>
    </row>
    <row r="10" spans="2:16" ht="15" customHeight="1">
      <c r="B10" s="3063" t="s">
        <v>2270</v>
      </c>
      <c r="C10" s="2489"/>
      <c r="D10" s="3069"/>
      <c r="E10" s="2480"/>
      <c r="F10" s="2481"/>
      <c r="G10" s="3065"/>
      <c r="H10" s="3065"/>
      <c r="I10" s="3065"/>
      <c r="J10" s="3065">
        <v>0.33333333333333331</v>
      </c>
      <c r="K10" s="3067">
        <v>0.59375</v>
      </c>
      <c r="L10" s="3067">
        <v>0.35709999999999997</v>
      </c>
      <c r="M10" s="3067">
        <v>0.2</v>
      </c>
      <c r="N10" s="3067">
        <v>0.25</v>
      </c>
      <c r="O10" s="3067">
        <v>0.4</v>
      </c>
      <c r="P10" s="3067">
        <v>6.7000000000000004E-2</v>
      </c>
    </row>
    <row r="11" spans="2:16" s="4139" customFormat="1" ht="15" customHeight="1">
      <c r="B11" s="3063" t="s">
        <v>2660</v>
      </c>
      <c r="C11" s="2489"/>
      <c r="D11" s="3069"/>
      <c r="E11" s="2480"/>
      <c r="F11" s="2481"/>
      <c r="G11" s="3065"/>
      <c r="H11" s="3065"/>
      <c r="I11" s="3065"/>
      <c r="J11" s="3065"/>
      <c r="K11" s="3067"/>
      <c r="L11" s="3067"/>
      <c r="M11" s="3067">
        <v>0.83299999999999996</v>
      </c>
      <c r="N11" s="3067">
        <v>0.66700000000000004</v>
      </c>
      <c r="O11" s="3067">
        <v>0</v>
      </c>
      <c r="P11" s="3067"/>
    </row>
    <row r="12" spans="2:16" ht="15" customHeight="1">
      <c r="B12" s="3070" t="s">
        <v>482</v>
      </c>
      <c r="C12" s="2486">
        <v>0.21875</v>
      </c>
      <c r="D12" s="3069">
        <v>0.23076923076923078</v>
      </c>
      <c r="E12" s="2488">
        <v>0.3902439024390244</v>
      </c>
      <c r="F12" s="2484">
        <v>0.1875</v>
      </c>
      <c r="G12" s="3069">
        <v>0.4</v>
      </c>
      <c r="H12" s="3069">
        <v>0.2857142857142857</v>
      </c>
      <c r="I12" s="3069">
        <v>0.30864197530864196</v>
      </c>
      <c r="J12" s="3069">
        <v>0.41176470588235292</v>
      </c>
      <c r="K12" s="3071">
        <v>0.38750000000000001</v>
      </c>
      <c r="L12" s="3071">
        <v>0.26390000000000002</v>
      </c>
      <c r="M12" s="3071">
        <v>0.22700000000000001</v>
      </c>
      <c r="N12" s="3071">
        <v>0.217</v>
      </c>
      <c r="O12" s="3071">
        <v>0.20300000000000001</v>
      </c>
      <c r="P12" s="3071">
        <v>2.5999999999999999E-2</v>
      </c>
    </row>
    <row r="13" spans="2:16" ht="15" customHeight="1">
      <c r="B13" s="3072" t="s">
        <v>238</v>
      </c>
      <c r="C13" s="2489">
        <v>0.6875</v>
      </c>
      <c r="D13" s="3065">
        <v>0.55555555555555558</v>
      </c>
      <c r="E13" s="3066"/>
      <c r="F13" s="2481">
        <v>0.6</v>
      </c>
      <c r="G13" s="3065"/>
      <c r="H13" s="3065">
        <v>0.24</v>
      </c>
      <c r="I13" s="3065"/>
      <c r="J13" s="3065">
        <v>9.0909090909090912E-2</v>
      </c>
      <c r="K13" s="3067"/>
      <c r="L13" s="3067">
        <v>0</v>
      </c>
      <c r="M13" s="3067"/>
      <c r="N13" s="3067">
        <v>0.188</v>
      </c>
      <c r="O13" s="3067"/>
      <c r="P13" s="3067">
        <v>0.1</v>
      </c>
    </row>
    <row r="14" spans="2:16" ht="15" customHeight="1">
      <c r="B14" s="3063" t="s">
        <v>117</v>
      </c>
      <c r="C14" s="3064"/>
      <c r="D14" s="3065">
        <v>0.35714285714285715</v>
      </c>
      <c r="E14" s="3066"/>
      <c r="F14" s="3064"/>
      <c r="G14" s="3065">
        <v>0.6</v>
      </c>
      <c r="H14" s="3065"/>
      <c r="I14" s="3065">
        <v>0.625</v>
      </c>
      <c r="J14" s="3065">
        <v>5.8823529411764705E-2</v>
      </c>
      <c r="K14" s="3067"/>
      <c r="L14" s="3067">
        <v>0</v>
      </c>
      <c r="M14" s="3067"/>
      <c r="N14" s="3067">
        <v>5.2999999999999999E-2</v>
      </c>
      <c r="O14" s="3067"/>
      <c r="P14" s="3067"/>
    </row>
    <row r="15" spans="2:16" ht="15" customHeight="1">
      <c r="B15" s="3063" t="s">
        <v>460</v>
      </c>
      <c r="C15" s="3073"/>
      <c r="D15" s="3068"/>
      <c r="E15" s="3066"/>
      <c r="F15" s="3064"/>
      <c r="G15" s="3065">
        <v>0.41666666666666669</v>
      </c>
      <c r="H15" s="3065"/>
      <c r="I15" s="3065">
        <v>0.42105263157894735</v>
      </c>
      <c r="J15" s="3065"/>
      <c r="K15" s="3067"/>
      <c r="L15" s="3067"/>
      <c r="M15" s="3067">
        <v>0.27800000000000002</v>
      </c>
      <c r="N15" s="3067"/>
      <c r="O15" s="3067"/>
      <c r="P15" s="3067"/>
    </row>
    <row r="16" spans="2:16" ht="15" customHeight="1">
      <c r="B16" s="3063" t="s">
        <v>116</v>
      </c>
      <c r="C16" s="2489">
        <v>0.55555555555555558</v>
      </c>
      <c r="D16" s="3065">
        <v>6.25E-2</v>
      </c>
      <c r="E16" s="2488">
        <v>0</v>
      </c>
      <c r="F16" s="2481">
        <v>0</v>
      </c>
      <c r="G16" s="3065">
        <v>0</v>
      </c>
      <c r="H16" s="3065">
        <v>5.5555555555555552E-2</v>
      </c>
      <c r="I16" s="3065">
        <v>0.1</v>
      </c>
      <c r="J16" s="3065"/>
      <c r="K16" s="3067">
        <v>0.46153846153846156</v>
      </c>
      <c r="L16" s="3067">
        <v>0.2727</v>
      </c>
      <c r="M16" s="3067">
        <v>9.0999999999999998E-2</v>
      </c>
      <c r="N16" s="3067">
        <v>7.6999999999999999E-2</v>
      </c>
      <c r="O16" s="3067">
        <v>0</v>
      </c>
      <c r="P16" s="3067"/>
    </row>
    <row r="17" spans="2:16" ht="15" customHeight="1">
      <c r="B17" s="3063" t="s">
        <v>118</v>
      </c>
      <c r="C17" s="3073">
        <v>0</v>
      </c>
      <c r="D17" s="3068">
        <v>0.27272727272727271</v>
      </c>
      <c r="E17" s="3066"/>
      <c r="F17" s="3064">
        <v>0</v>
      </c>
      <c r="G17" s="3065"/>
      <c r="H17" s="3065">
        <v>8.3333333333333329E-2</v>
      </c>
      <c r="I17" s="3065"/>
      <c r="J17" s="3065">
        <v>0.5</v>
      </c>
      <c r="K17" s="3067">
        <v>0.22222222222222221</v>
      </c>
      <c r="L17" s="3067">
        <v>0.57140000000000002</v>
      </c>
      <c r="M17" s="3067"/>
      <c r="N17" s="3067">
        <v>0.44400000000000001</v>
      </c>
      <c r="O17" s="3067"/>
      <c r="P17" s="3067">
        <v>0.14299999999999999</v>
      </c>
    </row>
    <row r="18" spans="2:16" s="3773" customFormat="1" ht="15" customHeight="1">
      <c r="B18" s="3063" t="s">
        <v>2057</v>
      </c>
      <c r="C18" s="2489"/>
      <c r="D18" s="3065"/>
      <c r="E18" s="2488"/>
      <c r="F18" s="2481"/>
      <c r="G18" s="3065"/>
      <c r="H18" s="3065"/>
      <c r="I18" s="3065"/>
      <c r="J18" s="3065"/>
      <c r="K18" s="3067"/>
      <c r="L18" s="3067">
        <v>0</v>
      </c>
      <c r="M18" s="3067"/>
      <c r="N18" s="3067">
        <v>8.7999999999999995E-2</v>
      </c>
      <c r="O18" s="3067"/>
      <c r="P18" s="3067"/>
    </row>
    <row r="19" spans="2:16" s="5317" customFormat="1" ht="15" customHeight="1">
      <c r="B19" s="6582" t="s">
        <v>2737</v>
      </c>
      <c r="C19" s="2489"/>
      <c r="D19" s="3065"/>
      <c r="E19" s="2488"/>
      <c r="F19" s="2481"/>
      <c r="G19" s="3065"/>
      <c r="H19" s="3065"/>
      <c r="I19" s="3065"/>
      <c r="J19" s="3065"/>
      <c r="K19" s="3067"/>
      <c r="L19" s="3067"/>
      <c r="M19" s="3067"/>
      <c r="N19" s="3067"/>
      <c r="O19" s="3067"/>
      <c r="P19" s="3067"/>
    </row>
    <row r="20" spans="2:16" s="3773" customFormat="1" ht="15" customHeight="1">
      <c r="B20" s="3773" t="s">
        <v>2058</v>
      </c>
      <c r="C20" s="2489"/>
      <c r="D20" s="3065"/>
      <c r="E20" s="3066"/>
      <c r="F20" s="2481"/>
      <c r="G20" s="3065"/>
      <c r="H20" s="3065"/>
      <c r="I20" s="3065"/>
      <c r="J20" s="3065"/>
      <c r="K20" s="3067"/>
      <c r="L20" s="3067">
        <v>0.3125</v>
      </c>
      <c r="M20" s="3067"/>
      <c r="N20" s="3067">
        <v>0.1</v>
      </c>
      <c r="O20" s="3067"/>
      <c r="P20" s="3067"/>
    </row>
    <row r="21" spans="2:16" ht="15" customHeight="1">
      <c r="B21" s="3070" t="s">
        <v>483</v>
      </c>
      <c r="C21" s="2486">
        <v>0.59259259259259256</v>
      </c>
      <c r="D21" s="3069">
        <v>0.32203389830508472</v>
      </c>
      <c r="E21" s="2488">
        <v>0</v>
      </c>
      <c r="F21" s="2484">
        <v>0.3125</v>
      </c>
      <c r="G21" s="3069">
        <v>0.35897435897435898</v>
      </c>
      <c r="H21" s="3069">
        <v>0.14545454545454545</v>
      </c>
      <c r="I21" s="3069">
        <v>0.45283018867924529</v>
      </c>
      <c r="J21" s="3069">
        <v>0.14705882352941177</v>
      </c>
      <c r="K21" s="3071">
        <v>0.32258064516129031</v>
      </c>
      <c r="L21" s="3071">
        <v>0.1008</v>
      </c>
      <c r="M21" s="3071">
        <v>0.20699999999999999</v>
      </c>
      <c r="N21" s="3071">
        <v>0.129</v>
      </c>
      <c r="O21" s="3071">
        <v>0</v>
      </c>
      <c r="P21" s="3071">
        <v>2.5999999999999999E-2</v>
      </c>
    </row>
    <row r="22" spans="2:16" ht="15" customHeight="1">
      <c r="B22" s="3063" t="s">
        <v>104</v>
      </c>
      <c r="C22" s="2489">
        <v>6.4516129032258063E-2</v>
      </c>
      <c r="D22" s="3065">
        <v>0.2391304347826087</v>
      </c>
      <c r="E22" s="2480">
        <v>9.0909090909090912E-2</v>
      </c>
      <c r="F22" s="2481">
        <v>0.21311475409836064</v>
      </c>
      <c r="G22" s="3065">
        <v>0.375</v>
      </c>
      <c r="H22" s="3065">
        <v>0.16666666666666666</v>
      </c>
      <c r="I22" s="3065"/>
      <c r="J22" s="3065">
        <v>1</v>
      </c>
      <c r="K22" s="3067"/>
      <c r="L22" s="3067"/>
      <c r="M22" s="3067"/>
      <c r="N22" s="3067"/>
      <c r="O22" s="3067"/>
      <c r="P22" s="3067"/>
    </row>
    <row r="23" spans="2:16" ht="15" customHeight="1">
      <c r="B23" s="3074" t="s">
        <v>1455</v>
      </c>
      <c r="C23" s="2489"/>
      <c r="D23" s="3065"/>
      <c r="E23" s="2480"/>
      <c r="F23" s="2481"/>
      <c r="G23" s="3065"/>
      <c r="H23" s="3065">
        <v>0</v>
      </c>
      <c r="I23" s="3065"/>
      <c r="J23" s="3065">
        <v>0.45454545454545453</v>
      </c>
      <c r="K23" s="3067">
        <v>0.5</v>
      </c>
      <c r="L23" s="3067"/>
      <c r="M23" s="3067">
        <v>0</v>
      </c>
      <c r="N23" s="3067"/>
      <c r="O23" s="3067"/>
      <c r="P23" s="3067">
        <v>0.1</v>
      </c>
    </row>
    <row r="24" spans="2:16" ht="15" customHeight="1">
      <c r="B24" s="3074" t="s">
        <v>1456</v>
      </c>
      <c r="C24" s="2489"/>
      <c r="D24" s="3065"/>
      <c r="E24" s="2480"/>
      <c r="F24" s="2481"/>
      <c r="G24" s="3065"/>
      <c r="H24" s="3065">
        <v>0.33333333333333331</v>
      </c>
      <c r="I24" s="3065">
        <v>0</v>
      </c>
      <c r="J24" s="3065">
        <v>0</v>
      </c>
      <c r="K24" s="3067">
        <v>0</v>
      </c>
      <c r="L24" s="3067">
        <v>0</v>
      </c>
      <c r="M24" s="3067"/>
      <c r="N24" s="3067">
        <v>0.14299999999999999</v>
      </c>
      <c r="O24" s="3067">
        <v>0</v>
      </c>
      <c r="P24" s="3067"/>
    </row>
    <row r="25" spans="2:16">
      <c r="B25" s="3074" t="s">
        <v>1457</v>
      </c>
      <c r="C25" s="2489"/>
      <c r="D25" s="3065"/>
      <c r="E25" s="2480"/>
      <c r="F25" s="2481"/>
      <c r="G25" s="3065"/>
      <c r="H25" s="3065"/>
      <c r="I25" s="3065"/>
      <c r="J25" s="3065">
        <v>0.33333333333333331</v>
      </c>
      <c r="K25" s="3067">
        <v>0</v>
      </c>
      <c r="L25" s="3067">
        <v>0</v>
      </c>
      <c r="M25" s="3067"/>
      <c r="N25" s="3067">
        <v>0</v>
      </c>
      <c r="O25" s="3067">
        <v>0.111</v>
      </c>
      <c r="P25" s="3067"/>
    </row>
    <row r="26" spans="2:16" ht="28.8">
      <c r="B26" s="3074" t="s">
        <v>1454</v>
      </c>
      <c r="C26" s="2489"/>
      <c r="D26" s="3065"/>
      <c r="E26" s="2480"/>
      <c r="F26" s="2481"/>
      <c r="G26" s="3065"/>
      <c r="H26" s="3065">
        <v>0.25</v>
      </c>
      <c r="I26" s="3065">
        <v>0</v>
      </c>
      <c r="J26" s="3065">
        <v>5.8823529411764705E-2</v>
      </c>
      <c r="K26" s="3067"/>
      <c r="L26" s="3067">
        <v>0</v>
      </c>
      <c r="M26" s="3067">
        <v>0</v>
      </c>
      <c r="N26" s="3067"/>
      <c r="O26" s="3067">
        <v>0.33299999999999996</v>
      </c>
      <c r="P26" s="3067"/>
    </row>
    <row r="27" spans="2:16">
      <c r="B27" s="3074" t="s">
        <v>1458</v>
      </c>
      <c r="C27" s="2489"/>
      <c r="D27" s="3065"/>
      <c r="E27" s="2480"/>
      <c r="F27" s="2481"/>
      <c r="G27" s="3065"/>
      <c r="H27" s="3065">
        <v>0.5</v>
      </c>
      <c r="I27" s="3065">
        <v>0</v>
      </c>
      <c r="J27" s="3065">
        <v>7.6923076923076927E-2</v>
      </c>
      <c r="K27" s="3067">
        <v>0.4</v>
      </c>
      <c r="L27" s="3067">
        <v>0</v>
      </c>
      <c r="M27" s="3067"/>
      <c r="N27" s="3067">
        <v>0.25</v>
      </c>
      <c r="O27" s="3067">
        <v>0</v>
      </c>
      <c r="P27" s="3067">
        <v>0.25</v>
      </c>
    </row>
    <row r="28" spans="2:16" ht="33.75" customHeight="1">
      <c r="B28" s="3075" t="s">
        <v>2271</v>
      </c>
      <c r="C28" s="2489"/>
      <c r="D28" s="3065"/>
      <c r="E28" s="2480"/>
      <c r="F28" s="2481"/>
      <c r="G28" s="3065"/>
      <c r="H28" s="3065"/>
      <c r="I28" s="3065"/>
      <c r="J28" s="3065">
        <v>0</v>
      </c>
      <c r="K28" s="3067">
        <v>0</v>
      </c>
      <c r="L28" s="3067"/>
      <c r="M28" s="3067"/>
      <c r="N28" s="3067">
        <v>0</v>
      </c>
      <c r="O28" s="3067">
        <v>0</v>
      </c>
      <c r="P28" s="3067"/>
    </row>
    <row r="29" spans="2:16" s="5317" customFormat="1">
      <c r="B29" s="3075" t="s">
        <v>3368</v>
      </c>
      <c r="C29" s="2489"/>
      <c r="D29" s="3065"/>
      <c r="E29" s="2480"/>
      <c r="F29" s="2481"/>
      <c r="G29" s="3065"/>
      <c r="H29" s="3065"/>
      <c r="I29" s="3065"/>
      <c r="J29" s="3065"/>
      <c r="K29" s="3067"/>
      <c r="L29" s="3067"/>
      <c r="M29" s="3067"/>
      <c r="N29" s="3067"/>
      <c r="O29" s="3067"/>
      <c r="P29" s="3067">
        <v>0</v>
      </c>
    </row>
    <row r="30" spans="2:16" ht="15" customHeight="1">
      <c r="B30" s="3070" t="s">
        <v>484</v>
      </c>
      <c r="C30" s="2486">
        <v>6.4516129032258063E-2</v>
      </c>
      <c r="D30" s="3069">
        <v>0.2391304347826087</v>
      </c>
      <c r="E30" s="2488">
        <v>9.0909090909090912E-2</v>
      </c>
      <c r="F30" s="2484">
        <v>0.21311475409836064</v>
      </c>
      <c r="G30" s="3069">
        <v>0.375</v>
      </c>
      <c r="H30" s="3069">
        <v>0.22916666666666666</v>
      </c>
      <c r="I30" s="3069">
        <v>0</v>
      </c>
      <c r="J30" s="3069">
        <v>0.1875</v>
      </c>
      <c r="K30" s="3071">
        <v>0.1875</v>
      </c>
      <c r="L30" s="3071">
        <v>0</v>
      </c>
      <c r="M30" s="3071">
        <v>0</v>
      </c>
      <c r="N30" s="3071">
        <v>0.105</v>
      </c>
      <c r="O30" s="3071">
        <v>9.0999999999999998E-2</v>
      </c>
      <c r="P30" s="3071">
        <v>4.8000000000000001E-2</v>
      </c>
    </row>
    <row r="31" spans="2:16" ht="15" customHeight="1">
      <c r="B31" s="3076" t="s">
        <v>105</v>
      </c>
      <c r="C31" s="3077">
        <v>0.27777777777777779</v>
      </c>
      <c r="D31" s="3078">
        <v>0.27083333333333331</v>
      </c>
      <c r="E31" s="2517">
        <v>0.23170731707317074</v>
      </c>
      <c r="F31" s="2518">
        <v>0.24113475177304963</v>
      </c>
      <c r="G31" s="3078">
        <v>0.38043478260869568</v>
      </c>
      <c r="H31" s="3078">
        <v>0.22289156626506024</v>
      </c>
      <c r="I31" s="3078">
        <v>0.34265734265734266</v>
      </c>
      <c r="J31" s="3078">
        <v>0.26373626373626374</v>
      </c>
      <c r="K31" s="3079">
        <v>0.34645669291338582</v>
      </c>
      <c r="L31" s="3079">
        <v>0.14549999999999999</v>
      </c>
      <c r="M31" s="3079">
        <v>0.20399999999999999</v>
      </c>
      <c r="N31" s="3079">
        <v>0.156</v>
      </c>
      <c r="O31" s="3079">
        <v>0.15</v>
      </c>
      <c r="P31" s="3079">
        <v>3.1E-2</v>
      </c>
    </row>
    <row r="32" spans="2:16" s="5317" customFormat="1" ht="15" customHeight="1">
      <c r="B32" s="3080" t="s">
        <v>608</v>
      </c>
      <c r="C32" s="3093"/>
      <c r="D32" s="3094"/>
      <c r="E32" s="3093"/>
      <c r="F32" s="2511">
        <v>0.5</v>
      </c>
      <c r="G32" s="3082">
        <v>0.30769230769230771</v>
      </c>
      <c r="H32" s="3082">
        <v>0.34782608695652173</v>
      </c>
      <c r="I32" s="3082">
        <v>0.41666666666666669</v>
      </c>
      <c r="J32" s="3082">
        <v>0.14285714285714285</v>
      </c>
      <c r="K32" s="3083">
        <v>0</v>
      </c>
      <c r="L32" s="3083">
        <v>0.16669999999999999</v>
      </c>
      <c r="M32" s="3083">
        <v>0.23699999999999999</v>
      </c>
      <c r="N32" s="3083">
        <v>7.0999999999999994E-2</v>
      </c>
      <c r="O32" s="3083">
        <v>0</v>
      </c>
      <c r="P32" s="3083">
        <v>0</v>
      </c>
    </row>
    <row r="33" spans="2:16" s="5317" customFormat="1" ht="15" customHeight="1">
      <c r="B33" s="3087" t="s">
        <v>483</v>
      </c>
      <c r="C33" s="3091"/>
      <c r="D33" s="3095"/>
      <c r="E33" s="3066"/>
      <c r="F33" s="2484">
        <v>0.5</v>
      </c>
      <c r="G33" s="3069">
        <v>0.30769230769230771</v>
      </c>
      <c r="H33" s="3069">
        <v>0.34782608695652173</v>
      </c>
      <c r="I33" s="3069">
        <v>0.41666666666666669</v>
      </c>
      <c r="J33" s="3069">
        <v>0.14285714285714285</v>
      </c>
      <c r="K33" s="3071">
        <v>0</v>
      </c>
      <c r="L33" s="3071">
        <v>0.16669999999999999</v>
      </c>
      <c r="M33" s="3071">
        <v>0.23699999999999999</v>
      </c>
      <c r="N33" s="3071">
        <v>7.0999999999999994E-2</v>
      </c>
      <c r="O33" s="3071">
        <v>0</v>
      </c>
      <c r="P33" s="3071"/>
    </row>
    <row r="34" spans="2:16" s="5317" customFormat="1" ht="15" customHeight="1">
      <c r="B34" s="3084" t="s">
        <v>711</v>
      </c>
      <c r="C34" s="3091"/>
      <c r="D34" s="3068"/>
      <c r="E34" s="3066"/>
      <c r="F34" s="3073"/>
      <c r="G34" s="3065">
        <v>0.66666666666666663</v>
      </c>
      <c r="H34" s="3065">
        <v>0.83333333333333337</v>
      </c>
      <c r="I34" s="3065">
        <v>0.9</v>
      </c>
      <c r="J34" s="3065">
        <v>0.3888888888888889</v>
      </c>
      <c r="K34" s="3067">
        <v>0</v>
      </c>
      <c r="L34" s="3067">
        <v>0</v>
      </c>
      <c r="M34" s="3067">
        <v>0.182</v>
      </c>
      <c r="N34" s="3067">
        <v>0</v>
      </c>
      <c r="O34" s="3067">
        <v>0.1</v>
      </c>
      <c r="P34" s="3067">
        <v>0</v>
      </c>
    </row>
    <row r="35" spans="2:16" s="5317" customFormat="1" ht="15" customHeight="1">
      <c r="B35" s="3087" t="s">
        <v>486</v>
      </c>
      <c r="C35" s="3091"/>
      <c r="D35" s="3068"/>
      <c r="E35" s="3066"/>
      <c r="F35" s="3064"/>
      <c r="G35" s="3069">
        <v>0.66666666666666663</v>
      </c>
      <c r="H35" s="3069">
        <v>0.83333333333333337</v>
      </c>
      <c r="I35" s="3069">
        <v>0.9</v>
      </c>
      <c r="J35" s="3069">
        <v>0.3888888888888889</v>
      </c>
      <c r="K35" s="3071">
        <v>0</v>
      </c>
      <c r="L35" s="3071">
        <v>0</v>
      </c>
      <c r="M35" s="3071">
        <v>0.182</v>
      </c>
      <c r="N35" s="3071">
        <v>0</v>
      </c>
      <c r="O35" s="3071">
        <v>0.1</v>
      </c>
      <c r="P35" s="3071"/>
    </row>
    <row r="36" spans="2:16" s="5317" customFormat="1" ht="15" customHeight="1">
      <c r="B36" s="3084" t="s">
        <v>609</v>
      </c>
      <c r="C36" s="3066"/>
      <c r="D36" s="3068"/>
      <c r="E36" s="3066"/>
      <c r="F36" s="3064"/>
      <c r="G36" s="3065">
        <v>0.1111111111111111</v>
      </c>
      <c r="H36" s="3065">
        <v>0.2</v>
      </c>
      <c r="I36" s="3065">
        <v>0.2857142857142857</v>
      </c>
      <c r="J36" s="3065">
        <v>0.23076923076923078</v>
      </c>
      <c r="K36" s="3067">
        <v>0.25</v>
      </c>
      <c r="L36" s="3067">
        <v>0.3</v>
      </c>
      <c r="M36" s="3067">
        <v>0.42899999999999999</v>
      </c>
      <c r="N36" s="3067">
        <v>0.33300000000000002</v>
      </c>
      <c r="O36" s="3067">
        <v>0.33299999999999996</v>
      </c>
      <c r="P36" s="3067">
        <v>0.03</v>
      </c>
    </row>
    <row r="37" spans="2:16" s="5317" customFormat="1" ht="15" customHeight="1">
      <c r="B37" s="3096" t="s">
        <v>487</v>
      </c>
      <c r="C37" s="3097"/>
      <c r="D37" s="3098"/>
      <c r="E37" s="3097"/>
      <c r="F37" s="3099"/>
      <c r="G37" s="3100">
        <v>0.1111111111111111</v>
      </c>
      <c r="H37" s="3100">
        <v>0.2</v>
      </c>
      <c r="I37" s="3100">
        <v>0.2857142857142857</v>
      </c>
      <c r="J37" s="3100">
        <v>0.23076923076923078</v>
      </c>
      <c r="K37" s="3101">
        <v>0.25</v>
      </c>
      <c r="L37" s="3101">
        <v>0.3</v>
      </c>
      <c r="M37" s="3101">
        <v>0.42899999999999999</v>
      </c>
      <c r="N37" s="3101">
        <v>0.33300000000000002</v>
      </c>
      <c r="O37" s="3101">
        <v>0.33300000000000002</v>
      </c>
      <c r="P37" s="3101">
        <v>0.03</v>
      </c>
    </row>
    <row r="38" spans="2:16" s="5317" customFormat="1" ht="15" customHeight="1">
      <c r="B38" s="3102" t="s">
        <v>256</v>
      </c>
      <c r="C38" s="3103"/>
      <c r="D38" s="3104"/>
      <c r="E38" s="2123"/>
      <c r="F38" s="2124">
        <v>0.5</v>
      </c>
      <c r="G38" s="3104">
        <v>0.38235294117647056</v>
      </c>
      <c r="H38" s="3104">
        <v>0.42</v>
      </c>
      <c r="I38" s="3104">
        <v>0.58695652173913049</v>
      </c>
      <c r="J38" s="3104">
        <v>0.25</v>
      </c>
      <c r="K38" s="3105">
        <v>7.1428571428571425E-2</v>
      </c>
      <c r="L38" s="3105">
        <v>0.11360000000000001</v>
      </c>
      <c r="M38" s="3105">
        <v>0.25</v>
      </c>
      <c r="N38" s="3105">
        <v>9.0999999999999998E-2</v>
      </c>
      <c r="O38" s="3105">
        <v>8.3000000000000004E-2</v>
      </c>
      <c r="P38" s="3105">
        <v>8.0000000000000002E-3</v>
      </c>
    </row>
    <row r="39" spans="2:16" ht="15" customHeight="1">
      <c r="B39" s="3080" t="s">
        <v>119</v>
      </c>
      <c r="C39" s="3081">
        <v>0</v>
      </c>
      <c r="D39" s="3082">
        <v>0</v>
      </c>
      <c r="E39" s="2522">
        <v>0</v>
      </c>
      <c r="F39" s="2511">
        <v>0.5</v>
      </c>
      <c r="G39" s="3082">
        <v>0.2</v>
      </c>
      <c r="H39" s="3082">
        <v>0.125</v>
      </c>
      <c r="I39" s="3082">
        <v>0.16666666666666666</v>
      </c>
      <c r="J39" s="3082">
        <v>0.26315789473684209</v>
      </c>
      <c r="K39" s="3083">
        <v>0.19047619047619047</v>
      </c>
      <c r="L39" s="3083">
        <v>0.08</v>
      </c>
      <c r="M39" s="3083">
        <v>5.2999999999999999E-2</v>
      </c>
      <c r="N39" s="3083">
        <v>0.25</v>
      </c>
      <c r="O39" s="3083">
        <v>0.11800000000000001</v>
      </c>
      <c r="P39" s="3083"/>
    </row>
    <row r="40" spans="2:16" ht="15" customHeight="1">
      <c r="B40" s="3084" t="s">
        <v>120</v>
      </c>
      <c r="C40" s="3085">
        <v>0.2</v>
      </c>
      <c r="D40" s="3065">
        <v>0.1</v>
      </c>
      <c r="E40" s="2480">
        <v>0.15</v>
      </c>
      <c r="F40" s="2481">
        <v>0.17948717948717949</v>
      </c>
      <c r="G40" s="3065">
        <v>0.08</v>
      </c>
      <c r="H40" s="3065">
        <v>0.04</v>
      </c>
      <c r="I40" s="3065">
        <v>0.1111111111111111</v>
      </c>
      <c r="J40" s="3065">
        <v>0.08</v>
      </c>
      <c r="K40" s="3067">
        <v>0</v>
      </c>
      <c r="L40" s="3067">
        <v>0.16666666666666666</v>
      </c>
      <c r="M40" s="3067">
        <v>0.33300000000000002</v>
      </c>
      <c r="N40" s="3067">
        <v>0.1</v>
      </c>
      <c r="O40" s="3067">
        <v>0</v>
      </c>
      <c r="P40" s="3067">
        <v>1.9E-2</v>
      </c>
    </row>
    <row r="41" spans="2:16" ht="15" customHeight="1">
      <c r="B41" s="3084" t="s">
        <v>121</v>
      </c>
      <c r="C41" s="3085">
        <v>0.16666666666666666</v>
      </c>
      <c r="D41" s="3065">
        <v>0</v>
      </c>
      <c r="E41" s="2480">
        <v>0.125</v>
      </c>
      <c r="F41" s="2481">
        <v>0.33333333333333331</v>
      </c>
      <c r="G41" s="3065">
        <v>0.23076923076923078</v>
      </c>
      <c r="H41" s="3065">
        <v>0.21052631578947367</v>
      </c>
      <c r="I41" s="3065">
        <v>0.23076923076923078</v>
      </c>
      <c r="J41" s="3065">
        <v>0.6</v>
      </c>
      <c r="K41" s="3067">
        <v>0.78947368421052633</v>
      </c>
      <c r="L41" s="3067">
        <v>0.41176470588235292</v>
      </c>
      <c r="M41" s="3067">
        <v>1</v>
      </c>
      <c r="N41" s="3067">
        <v>0.5</v>
      </c>
      <c r="O41" s="3067">
        <v>0.111</v>
      </c>
      <c r="P41" s="3067"/>
    </row>
    <row r="42" spans="2:16" ht="15" customHeight="1">
      <c r="B42" s="3084" t="s">
        <v>122</v>
      </c>
      <c r="C42" s="3085">
        <v>0.2</v>
      </c>
      <c r="D42" s="3065">
        <v>0.14285714285714285</v>
      </c>
      <c r="E42" s="2480"/>
      <c r="F42" s="2481">
        <v>0.25</v>
      </c>
      <c r="G42" s="3065">
        <v>0.36363636363636365</v>
      </c>
      <c r="H42" s="3065">
        <v>0.2857142857142857</v>
      </c>
      <c r="I42" s="3065">
        <v>0.44444444444444442</v>
      </c>
      <c r="J42" s="3065">
        <v>0.33333333333333331</v>
      </c>
      <c r="K42" s="3067">
        <v>0.33333333333333331</v>
      </c>
      <c r="L42" s="3067">
        <v>0.3</v>
      </c>
      <c r="M42" s="3067">
        <v>0</v>
      </c>
      <c r="N42" s="3067">
        <v>0.182</v>
      </c>
      <c r="O42" s="3067">
        <v>0.5</v>
      </c>
      <c r="P42" s="3067"/>
    </row>
    <row r="43" spans="2:16" ht="15" customHeight="1">
      <c r="B43" s="3084" t="s">
        <v>123</v>
      </c>
      <c r="C43" s="3085">
        <v>0.33333333333333331</v>
      </c>
      <c r="D43" s="3065">
        <v>0.13333333333333333</v>
      </c>
      <c r="E43" s="2480">
        <v>6.6666666666666666E-2</v>
      </c>
      <c r="F43" s="2481">
        <v>0.25</v>
      </c>
      <c r="G43" s="3065">
        <v>0.33333333333333331</v>
      </c>
      <c r="H43" s="3065">
        <v>0.3</v>
      </c>
      <c r="I43" s="3065">
        <v>0.33333333333333331</v>
      </c>
      <c r="J43" s="3065">
        <v>0</v>
      </c>
      <c r="K43" s="3067">
        <v>0.27272727272727271</v>
      </c>
      <c r="L43" s="3067">
        <v>7.6923076923076927E-2</v>
      </c>
      <c r="M43" s="3067">
        <v>0.111</v>
      </c>
      <c r="N43" s="3067">
        <v>0.1</v>
      </c>
      <c r="O43" s="3067">
        <v>0.5</v>
      </c>
      <c r="P43" s="3067"/>
    </row>
    <row r="44" spans="2:16" ht="15" customHeight="1">
      <c r="B44" s="3084" t="s">
        <v>388</v>
      </c>
      <c r="C44" s="3085">
        <v>0.5</v>
      </c>
      <c r="D44" s="3065">
        <v>0.5</v>
      </c>
      <c r="E44" s="2480">
        <v>0.2</v>
      </c>
      <c r="F44" s="2481">
        <v>0.17391304347826086</v>
      </c>
      <c r="G44" s="3065">
        <v>9.5238095238095233E-2</v>
      </c>
      <c r="H44" s="3065">
        <v>0.2</v>
      </c>
      <c r="I44" s="3065">
        <v>5.8823529411764705E-2</v>
      </c>
      <c r="J44" s="3065">
        <v>0.26666666666666666</v>
      </c>
      <c r="K44" s="3067">
        <v>0.22222222222222221</v>
      </c>
      <c r="L44" s="3067">
        <v>0.5</v>
      </c>
      <c r="M44" s="3067">
        <v>0.36399999999999999</v>
      </c>
      <c r="N44" s="3067">
        <v>0.125</v>
      </c>
      <c r="O44" s="3067">
        <v>0.45500000000000002</v>
      </c>
      <c r="P44" s="3067">
        <v>0.214</v>
      </c>
    </row>
    <row r="45" spans="2:16" ht="15" customHeight="1">
      <c r="B45" s="3086" t="s">
        <v>681</v>
      </c>
      <c r="C45" s="3085"/>
      <c r="D45" s="3065"/>
      <c r="E45" s="2480"/>
      <c r="F45" s="2481"/>
      <c r="G45" s="3065"/>
      <c r="H45" s="3065">
        <v>0.26923076923076922</v>
      </c>
      <c r="I45" s="3065">
        <v>0.15384615384615385</v>
      </c>
      <c r="J45" s="3065">
        <v>0.53333333333333333</v>
      </c>
      <c r="K45" s="3067">
        <v>0.8214285714285714</v>
      </c>
      <c r="L45" s="3067">
        <v>0.2</v>
      </c>
      <c r="M45" s="3067">
        <v>0.2</v>
      </c>
      <c r="N45" s="3067">
        <v>0.314</v>
      </c>
      <c r="O45" s="3067">
        <v>4.8000000000000001E-2</v>
      </c>
      <c r="P45" s="3067"/>
    </row>
    <row r="46" spans="2:16" ht="15" customHeight="1">
      <c r="B46" s="3086" t="s">
        <v>727</v>
      </c>
      <c r="C46" s="3085">
        <v>0.1</v>
      </c>
      <c r="D46" s="3065"/>
      <c r="E46" s="2480"/>
      <c r="F46" s="2481"/>
      <c r="G46" s="3065"/>
      <c r="H46" s="3065"/>
      <c r="I46" s="3065"/>
      <c r="J46" s="3065"/>
      <c r="K46" s="3067"/>
      <c r="L46" s="3067"/>
      <c r="M46" s="3067"/>
      <c r="N46" s="3067"/>
      <c r="O46" s="3067">
        <v>0.28600000000000003</v>
      </c>
      <c r="P46" s="3067"/>
    </row>
    <row r="47" spans="2:16" ht="15" customHeight="1">
      <c r="B47" s="3087" t="s">
        <v>482</v>
      </c>
      <c r="C47" s="3088">
        <v>0.20512820512820512</v>
      </c>
      <c r="D47" s="3069">
        <v>0.16666666666666666</v>
      </c>
      <c r="E47" s="2488">
        <v>0.15384615384615385</v>
      </c>
      <c r="F47" s="2484">
        <v>0.23214285714285715</v>
      </c>
      <c r="G47" s="3069">
        <v>0.19469026548672566</v>
      </c>
      <c r="H47" s="3069">
        <v>0.19658119658119658</v>
      </c>
      <c r="I47" s="3069">
        <v>0.17525773195876287</v>
      </c>
      <c r="J47" s="3069">
        <v>0.27272727272727271</v>
      </c>
      <c r="K47" s="3071">
        <v>0.44736842105263158</v>
      </c>
      <c r="L47" s="3071">
        <v>0.24299999999999999</v>
      </c>
      <c r="M47" s="3071">
        <v>0.19500000000000001</v>
      </c>
      <c r="N47" s="3071">
        <v>0.23699999999999999</v>
      </c>
      <c r="O47" s="3071">
        <v>0.22</v>
      </c>
      <c r="P47" s="3071">
        <v>1.4999999999999999E-2</v>
      </c>
    </row>
    <row r="48" spans="2:16" ht="15" customHeight="1">
      <c r="B48" s="3089" t="s">
        <v>106</v>
      </c>
      <c r="C48" s="3085">
        <v>0.88888888888888884</v>
      </c>
      <c r="D48" s="3068"/>
      <c r="E48" s="2480">
        <v>0.93333333333333335</v>
      </c>
      <c r="F48" s="2481"/>
      <c r="G48" s="3065"/>
      <c r="H48" s="3065">
        <v>0.93333333333333335</v>
      </c>
      <c r="I48" s="3065"/>
      <c r="J48" s="3065">
        <v>0.93333333333333335</v>
      </c>
      <c r="K48" s="3067"/>
      <c r="L48" s="3067">
        <v>0.83330000000000004</v>
      </c>
      <c r="M48" s="3067"/>
      <c r="N48" s="3067">
        <v>0.90900000000000003</v>
      </c>
      <c r="O48" s="3067"/>
      <c r="P48" s="3067">
        <v>1</v>
      </c>
    </row>
    <row r="49" spans="2:16" ht="15" customHeight="1">
      <c r="B49" s="3084" t="s">
        <v>127</v>
      </c>
      <c r="C49" s="3085">
        <v>0.77777777777777779</v>
      </c>
      <c r="D49" s="3065">
        <v>0.9</v>
      </c>
      <c r="E49" s="2480">
        <v>0.7857142857142857</v>
      </c>
      <c r="F49" s="2481">
        <v>0.35714285714285715</v>
      </c>
      <c r="G49" s="3065">
        <v>0.8571428571428571</v>
      </c>
      <c r="H49" s="3065">
        <v>0.61538461538461542</v>
      </c>
      <c r="I49" s="3065">
        <v>0.83333333333333337</v>
      </c>
      <c r="J49" s="3065">
        <v>0.5714285714285714</v>
      </c>
      <c r="K49" s="3067">
        <v>0.25</v>
      </c>
      <c r="L49" s="3067">
        <v>0.5</v>
      </c>
      <c r="M49" s="3067">
        <v>1</v>
      </c>
      <c r="N49" s="3067">
        <v>1</v>
      </c>
      <c r="O49" s="3067"/>
      <c r="P49" s="3067"/>
    </row>
    <row r="50" spans="2:16" ht="15" customHeight="1">
      <c r="B50" s="3084" t="s">
        <v>126</v>
      </c>
      <c r="C50" s="3085">
        <v>0.58064516129032262</v>
      </c>
      <c r="D50" s="3068"/>
      <c r="E50" s="2480">
        <v>0.72222222222222221</v>
      </c>
      <c r="F50" s="3064"/>
      <c r="G50" s="3065">
        <v>0.7857142857142857</v>
      </c>
      <c r="H50" s="3058"/>
      <c r="I50" s="3065">
        <v>0.5714285714285714</v>
      </c>
      <c r="J50" s="3065"/>
      <c r="K50" s="3067">
        <v>0.8</v>
      </c>
      <c r="L50" s="3067"/>
      <c r="M50" s="3067">
        <v>0.85</v>
      </c>
      <c r="N50" s="3067"/>
      <c r="O50" s="3067">
        <v>0.55600000000000005</v>
      </c>
      <c r="P50" s="3067"/>
    </row>
    <row r="51" spans="2:16" ht="15" customHeight="1">
      <c r="B51" s="3090" t="s">
        <v>124</v>
      </c>
      <c r="C51" s="3085">
        <v>0.42857142857142855</v>
      </c>
      <c r="D51" s="3065">
        <v>0.21428571428571427</v>
      </c>
      <c r="E51" s="3091"/>
      <c r="F51" s="2481">
        <v>0.16666666666666666</v>
      </c>
      <c r="G51" s="3065"/>
      <c r="H51" s="3065"/>
      <c r="I51" s="3065">
        <v>0.53333333333333333</v>
      </c>
      <c r="J51" s="3065">
        <v>0.77419354838709675</v>
      </c>
      <c r="K51" s="3067"/>
      <c r="L51" s="3067">
        <v>0.84</v>
      </c>
      <c r="M51" s="3067"/>
      <c r="N51" s="3067">
        <v>0.25</v>
      </c>
      <c r="O51" s="3067"/>
      <c r="P51" s="3067">
        <v>6.4000000000000001E-2</v>
      </c>
    </row>
    <row r="52" spans="2:16" ht="15" customHeight="1">
      <c r="B52" s="3084" t="s">
        <v>125</v>
      </c>
      <c r="C52" s="3085">
        <v>7.4999999999999997E-2</v>
      </c>
      <c r="D52" s="3065">
        <v>0.16666666666666666</v>
      </c>
      <c r="E52" s="2480">
        <v>0.16666666666666666</v>
      </c>
      <c r="F52" s="3064"/>
      <c r="G52" s="3065">
        <v>0.546875</v>
      </c>
      <c r="H52" s="3065"/>
      <c r="I52" s="3065">
        <v>0.58620689655172409</v>
      </c>
      <c r="J52" s="3065"/>
      <c r="K52" s="3067">
        <v>0.21568627450980393</v>
      </c>
      <c r="L52" s="3067"/>
      <c r="M52" s="3067">
        <v>0.36199999999999999</v>
      </c>
      <c r="N52" s="3067"/>
      <c r="O52" s="3067">
        <v>0.308</v>
      </c>
      <c r="P52" s="3067"/>
    </row>
    <row r="53" spans="2:16" s="3773" customFormat="1" ht="15" customHeight="1">
      <c r="B53" s="3084" t="s">
        <v>2058</v>
      </c>
      <c r="C53" s="3085"/>
      <c r="D53" s="3068"/>
      <c r="E53" s="2480"/>
      <c r="F53" s="3064"/>
      <c r="G53" s="3065"/>
      <c r="H53" s="3058"/>
      <c r="I53" s="3065"/>
      <c r="J53" s="3065"/>
      <c r="K53" s="3067"/>
      <c r="L53" s="3067">
        <v>0.17649999999999999</v>
      </c>
      <c r="M53" s="3067"/>
      <c r="N53" s="3067">
        <v>0.1</v>
      </c>
      <c r="O53" s="3067"/>
      <c r="P53" s="3067"/>
    </row>
    <row r="54" spans="2:16" s="3773" customFormat="1" ht="15" customHeight="1">
      <c r="B54" s="3090" t="s">
        <v>2549</v>
      </c>
      <c r="C54" s="3085"/>
      <c r="D54" s="3065"/>
      <c r="E54" s="3091"/>
      <c r="F54" s="2481"/>
      <c r="G54" s="3065"/>
      <c r="H54" s="3065"/>
      <c r="I54" s="3065"/>
      <c r="J54" s="3065"/>
      <c r="K54" s="3067"/>
      <c r="L54" s="3067">
        <v>1</v>
      </c>
      <c r="M54" s="3067"/>
      <c r="N54" s="3067">
        <v>0.75</v>
      </c>
      <c r="O54" s="3067"/>
      <c r="P54" s="3067"/>
    </row>
    <row r="55" spans="2:16" ht="15" customHeight="1">
      <c r="B55" s="3087" t="s">
        <v>483</v>
      </c>
      <c r="C55" s="3088">
        <v>0.3522012578616352</v>
      </c>
      <c r="D55" s="3069">
        <v>0.43333333333333335</v>
      </c>
      <c r="E55" s="2488">
        <v>0.47328244274809161</v>
      </c>
      <c r="F55" s="2484">
        <v>0.3125</v>
      </c>
      <c r="G55" s="3069">
        <v>0.65094339622641506</v>
      </c>
      <c r="H55" s="3069">
        <v>0.73170731707317072</v>
      </c>
      <c r="I55" s="3069">
        <v>0.60176991150442483</v>
      </c>
      <c r="J55" s="3069">
        <v>0.79245283018867929</v>
      </c>
      <c r="K55" s="3071">
        <v>0.37333333333333335</v>
      </c>
      <c r="L55" s="3071">
        <v>0.67689999999999995</v>
      </c>
      <c r="M55" s="3071">
        <v>0.47499999999999998</v>
      </c>
      <c r="N55" s="3071">
        <v>0.42899999999999999</v>
      </c>
      <c r="O55" s="3071">
        <v>0.38600000000000001</v>
      </c>
      <c r="P55" s="3071">
        <v>8.5000000000000006E-2</v>
      </c>
    </row>
    <row r="56" spans="2:16" ht="15" customHeight="1">
      <c r="B56" s="3084" t="s">
        <v>413</v>
      </c>
      <c r="C56" s="3066"/>
      <c r="D56" s="3068"/>
      <c r="E56" s="3066"/>
      <c r="F56" s="3064"/>
      <c r="G56" s="3065">
        <v>0.6875</v>
      </c>
      <c r="H56" s="3065">
        <v>0.2</v>
      </c>
      <c r="I56" s="3065">
        <v>0.46666666666666667</v>
      </c>
      <c r="J56" s="3065">
        <v>0.35714285714285715</v>
      </c>
      <c r="K56" s="3067">
        <v>0.46666666666666667</v>
      </c>
      <c r="L56" s="3067">
        <v>0.73333333333333328</v>
      </c>
      <c r="M56" s="3067">
        <v>0.73299999999999998</v>
      </c>
      <c r="N56" s="3067">
        <v>0.3</v>
      </c>
      <c r="O56" s="3067">
        <v>0.125</v>
      </c>
      <c r="P56" s="3067">
        <v>9.5000000000000001E-2</v>
      </c>
    </row>
    <row r="57" spans="2:16" ht="15" customHeight="1">
      <c r="B57" s="3084" t="s">
        <v>128</v>
      </c>
      <c r="C57" s="3085">
        <v>0.625</v>
      </c>
      <c r="D57" s="3065">
        <v>0.61904761904761907</v>
      </c>
      <c r="E57" s="2480">
        <v>0.69230769230769229</v>
      </c>
      <c r="F57" s="2481">
        <v>0.625</v>
      </c>
      <c r="G57" s="3065">
        <v>0.625</v>
      </c>
      <c r="H57" s="3065">
        <v>0.6071428571428571</v>
      </c>
      <c r="I57" s="3065">
        <v>0.57894736842105265</v>
      </c>
      <c r="J57" s="3065">
        <v>0.66666666666666663</v>
      </c>
      <c r="K57" s="3067">
        <v>0.46666666666666667</v>
      </c>
      <c r="L57" s="3067">
        <v>0.61111111111111116</v>
      </c>
      <c r="M57" s="3067">
        <v>0.5</v>
      </c>
      <c r="N57" s="3067">
        <v>0.85699999999999998</v>
      </c>
      <c r="O57" s="3067">
        <v>0.77800000000000002</v>
      </c>
      <c r="P57" s="3067">
        <v>7.9000000000000001E-2</v>
      </c>
    </row>
    <row r="58" spans="2:16" ht="15" customHeight="1">
      <c r="B58" s="3084" t="s">
        <v>129</v>
      </c>
      <c r="C58" s="3085">
        <v>0.14285714285714285</v>
      </c>
      <c r="D58" s="3065">
        <v>0.56521739130434778</v>
      </c>
      <c r="E58" s="2480">
        <v>0.63157894736842102</v>
      </c>
      <c r="F58" s="2481">
        <v>0.55555555555555558</v>
      </c>
      <c r="G58" s="3065">
        <v>0.57894736842105265</v>
      </c>
      <c r="H58" s="3065">
        <v>0.47058823529411764</v>
      </c>
      <c r="I58" s="3065">
        <v>0.70588235294117652</v>
      </c>
      <c r="J58" s="3065">
        <v>0.5</v>
      </c>
      <c r="K58" s="3067">
        <v>0.7142857142857143</v>
      </c>
      <c r="L58" s="3067">
        <v>0.88888888888888884</v>
      </c>
      <c r="M58" s="3067">
        <v>0.5</v>
      </c>
      <c r="N58" s="3067">
        <v>0.6470588235294118</v>
      </c>
      <c r="O58" s="3067">
        <v>0.71399999999999997</v>
      </c>
      <c r="P58" s="3067">
        <v>0.192</v>
      </c>
    </row>
    <row r="59" spans="2:16" ht="15" customHeight="1">
      <c r="B59" s="3084" t="s">
        <v>130</v>
      </c>
      <c r="C59" s="3085">
        <v>0.18181818181818182</v>
      </c>
      <c r="D59" s="3065">
        <v>0.25</v>
      </c>
      <c r="E59" s="2480">
        <v>0</v>
      </c>
      <c r="F59" s="2481">
        <v>0.14814814814814814</v>
      </c>
      <c r="G59" s="3065">
        <v>0</v>
      </c>
      <c r="H59" s="3065">
        <v>0.25</v>
      </c>
      <c r="I59" s="3065">
        <v>0.3888888888888889</v>
      </c>
      <c r="J59" s="3065">
        <v>0.21739130434782608</v>
      </c>
      <c r="K59" s="3067">
        <v>0.21428571428571427</v>
      </c>
      <c r="L59" s="3067">
        <v>0.41666666666666669</v>
      </c>
      <c r="M59" s="3067">
        <v>0.33300000000000002</v>
      </c>
      <c r="N59" s="3067">
        <v>0.1</v>
      </c>
      <c r="O59" s="3067">
        <v>0.28599999999999998</v>
      </c>
      <c r="P59" s="3067">
        <v>1.9E-2</v>
      </c>
    </row>
    <row r="60" spans="2:16" ht="15" customHeight="1">
      <c r="B60" s="3087" t="s">
        <v>485</v>
      </c>
      <c r="C60" s="3088">
        <v>0.30769230769230771</v>
      </c>
      <c r="D60" s="3069">
        <v>0.5178571428571429</v>
      </c>
      <c r="E60" s="2488">
        <v>0.47727272727272729</v>
      </c>
      <c r="F60" s="2484">
        <v>0.42028985507246375</v>
      </c>
      <c r="G60" s="2484">
        <v>0.532258064516129</v>
      </c>
      <c r="H60" s="2484">
        <v>0.41772151898734178</v>
      </c>
      <c r="I60" s="2484">
        <v>0.53623188405797106</v>
      </c>
      <c r="J60" s="2484">
        <v>0.40909090909090912</v>
      </c>
      <c r="K60" s="2485">
        <v>0.46551724137931033</v>
      </c>
      <c r="L60" s="2485">
        <v>0.67307692307692313</v>
      </c>
      <c r="M60" s="2485">
        <v>0.53700000000000003</v>
      </c>
      <c r="N60" s="2485">
        <v>0.47727272727272729</v>
      </c>
      <c r="O60" s="2485">
        <v>0.39100000000000001</v>
      </c>
      <c r="P60" s="2485">
        <v>0.08</v>
      </c>
    </row>
    <row r="61" spans="2:16" ht="15" customHeight="1">
      <c r="B61" s="3076" t="s">
        <v>109</v>
      </c>
      <c r="C61" s="3077">
        <v>0.30449826989619377</v>
      </c>
      <c r="D61" s="3078">
        <v>0.32941176470588235</v>
      </c>
      <c r="E61" s="2517">
        <v>0.36466165413533835</v>
      </c>
      <c r="F61" s="2518">
        <v>0.29577464788732394</v>
      </c>
      <c r="G61" s="3078">
        <v>0.44483985765124556</v>
      </c>
      <c r="H61" s="3078">
        <v>0.3628691983122363</v>
      </c>
      <c r="I61" s="3078">
        <v>0.43727598566308246</v>
      </c>
      <c r="J61" s="3078">
        <v>0.43231441048034935</v>
      </c>
      <c r="K61" s="3079">
        <v>0.43724696356275305</v>
      </c>
      <c r="L61" s="3079">
        <v>0.46875</v>
      </c>
      <c r="M61" s="3079">
        <v>0.38</v>
      </c>
      <c r="N61" s="3079">
        <v>0.34210526315789475</v>
      </c>
      <c r="O61" s="3079">
        <v>0.314</v>
      </c>
      <c r="P61" s="3079">
        <v>5.0999999999999997E-2</v>
      </c>
    </row>
    <row r="62" spans="2:16" s="5317" customFormat="1" ht="15" customHeight="1">
      <c r="B62" s="3084" t="s">
        <v>3106</v>
      </c>
      <c r="C62" s="3066"/>
      <c r="D62" s="3068"/>
      <c r="E62" s="3066"/>
      <c r="F62" s="3064"/>
      <c r="G62" s="3065"/>
      <c r="H62" s="3065"/>
      <c r="I62" s="3065"/>
      <c r="J62" s="3065"/>
      <c r="K62" s="3067"/>
      <c r="L62" s="3067"/>
      <c r="M62" s="3067"/>
      <c r="N62" s="3067"/>
      <c r="O62" s="3067"/>
      <c r="P62" s="3067"/>
    </row>
    <row r="63" spans="2:16" s="5317" customFormat="1" ht="15" customHeight="1">
      <c r="B63" s="3096" t="s">
        <v>16</v>
      </c>
      <c r="C63" s="3097"/>
      <c r="D63" s="3098"/>
      <c r="E63" s="3097"/>
      <c r="F63" s="3099"/>
      <c r="G63" s="3100"/>
      <c r="H63" s="3100"/>
      <c r="I63" s="3100"/>
      <c r="J63" s="3100"/>
      <c r="K63" s="3101"/>
      <c r="L63" s="3101"/>
      <c r="M63" s="3101"/>
      <c r="N63" s="3101"/>
      <c r="O63" s="3101"/>
      <c r="P63" s="3101"/>
    </row>
    <row r="64" spans="2:16" s="5317" customFormat="1" ht="15" customHeight="1">
      <c r="B64" s="3102" t="s">
        <v>1017</v>
      </c>
      <c r="C64" s="3103"/>
      <c r="D64" s="3104"/>
      <c r="E64" s="2123"/>
      <c r="F64" s="2124"/>
      <c r="G64" s="3104"/>
      <c r="H64" s="3104"/>
      <c r="I64" s="3104"/>
      <c r="J64" s="3104"/>
      <c r="K64" s="3105"/>
      <c r="L64" s="3105"/>
      <c r="M64" s="3105"/>
      <c r="N64" s="3105"/>
      <c r="O64" s="3105"/>
      <c r="P64" s="3105"/>
    </row>
    <row r="65" spans="2:16" ht="15" customHeight="1">
      <c r="B65" s="3092" t="s">
        <v>133</v>
      </c>
      <c r="C65" s="3081">
        <v>0.81818181818181823</v>
      </c>
      <c r="D65" s="3082">
        <v>0.875</v>
      </c>
      <c r="E65" s="3093"/>
      <c r="F65" s="2511">
        <v>1</v>
      </c>
      <c r="G65" s="3082"/>
      <c r="H65" s="3082"/>
      <c r="I65" s="3082"/>
      <c r="J65" s="3082"/>
      <c r="K65" s="3083"/>
      <c r="L65" s="3083"/>
      <c r="M65" s="3083"/>
      <c r="N65" s="3083"/>
      <c r="O65" s="3083"/>
      <c r="P65" s="3083"/>
    </row>
    <row r="66" spans="2:16" ht="15" customHeight="1">
      <c r="B66" s="3084" t="s">
        <v>529</v>
      </c>
      <c r="C66" s="3066"/>
      <c r="D66" s="3068"/>
      <c r="E66" s="3066"/>
      <c r="F66" s="2481">
        <v>0.625</v>
      </c>
      <c r="G66" s="3065">
        <v>0.39130434782608697</v>
      </c>
      <c r="H66" s="3065"/>
      <c r="I66" s="3065">
        <v>0.22727272727272727</v>
      </c>
      <c r="J66" s="3065"/>
      <c r="K66" s="3067">
        <v>0.34782608695652173</v>
      </c>
      <c r="L66" s="3067"/>
      <c r="M66" s="3067"/>
      <c r="N66" s="3067"/>
      <c r="O66" s="3067">
        <v>0.63600000000000001</v>
      </c>
      <c r="P66" s="3067"/>
    </row>
    <row r="67" spans="2:16" ht="15" customHeight="1">
      <c r="B67" s="3084" t="s">
        <v>110</v>
      </c>
      <c r="C67" s="3085">
        <v>0</v>
      </c>
      <c r="D67" s="3068"/>
      <c r="E67" s="2480">
        <v>0.53846153846153844</v>
      </c>
      <c r="F67" s="3064"/>
      <c r="G67" s="3065">
        <v>0.45945945945945948</v>
      </c>
      <c r="H67" s="3065"/>
      <c r="I67" s="3065">
        <v>0.63636363636363635</v>
      </c>
      <c r="J67" s="3065">
        <v>0.54285714285714282</v>
      </c>
      <c r="K67" s="3067">
        <v>1</v>
      </c>
      <c r="L67" s="3067">
        <v>0</v>
      </c>
      <c r="M67" s="3067">
        <v>0.81499999999999995</v>
      </c>
      <c r="N67" s="3067"/>
      <c r="O67" s="3067">
        <v>0.4</v>
      </c>
      <c r="P67" s="3067">
        <v>0.1</v>
      </c>
    </row>
    <row r="68" spans="2:16" ht="15" customHeight="1">
      <c r="B68" s="3084" t="s">
        <v>461</v>
      </c>
      <c r="C68" s="3066"/>
      <c r="D68" s="3068"/>
      <c r="E68" s="3066"/>
      <c r="F68" s="3064"/>
      <c r="G68" s="3065">
        <v>0.42105263157894735</v>
      </c>
      <c r="H68" s="3065"/>
      <c r="I68" s="3065">
        <v>0.66666666666666663</v>
      </c>
      <c r="J68" s="3065"/>
      <c r="K68" s="3067">
        <v>0.34782608695652173</v>
      </c>
      <c r="L68" s="3067"/>
      <c r="M68" s="3067">
        <v>0.52900000000000003</v>
      </c>
      <c r="N68" s="3067"/>
      <c r="O68" s="3067">
        <v>0.77</v>
      </c>
      <c r="P68" s="3067"/>
    </row>
    <row r="69" spans="2:16" ht="15" customHeight="1">
      <c r="B69" s="3084" t="s">
        <v>135</v>
      </c>
      <c r="C69" s="3085">
        <v>0.5</v>
      </c>
      <c r="D69" s="3068"/>
      <c r="E69" s="2480">
        <v>0.26315789473684209</v>
      </c>
      <c r="F69" s="3064"/>
      <c r="G69" s="3065">
        <v>0</v>
      </c>
      <c r="H69" s="3065"/>
      <c r="I69" s="3065">
        <v>0</v>
      </c>
      <c r="J69" s="3065"/>
      <c r="K69" s="3067">
        <v>0.2</v>
      </c>
      <c r="L69" s="3067"/>
      <c r="M69" s="3067">
        <v>0.25700000000000001</v>
      </c>
      <c r="N69" s="3067"/>
      <c r="O69" s="3067">
        <v>0.23499999999999999</v>
      </c>
      <c r="P69" s="3067"/>
    </row>
    <row r="70" spans="2:16" ht="15" customHeight="1">
      <c r="B70" s="3084" t="s">
        <v>1731</v>
      </c>
      <c r="C70" s="3085">
        <v>0.59090909090909094</v>
      </c>
      <c r="D70" s="3068"/>
      <c r="E70" s="2480">
        <v>0.30769230769230771</v>
      </c>
      <c r="F70" s="3064"/>
      <c r="G70" s="3065">
        <v>0.17857142857142858</v>
      </c>
      <c r="H70" s="3065"/>
      <c r="I70" s="3065">
        <v>0.42857142857142855</v>
      </c>
      <c r="J70" s="3065"/>
      <c r="K70" s="3067">
        <v>0.68421052631578949</v>
      </c>
      <c r="L70" s="3067"/>
      <c r="M70" s="3067">
        <v>0.64</v>
      </c>
      <c r="N70" s="3067"/>
      <c r="O70" s="3067">
        <v>0.5</v>
      </c>
      <c r="P70" s="3067"/>
    </row>
    <row r="71" spans="2:16" ht="15" customHeight="1">
      <c r="B71" s="3084" t="s">
        <v>136</v>
      </c>
      <c r="C71" s="3085">
        <v>0.17647058823529413</v>
      </c>
      <c r="D71" s="3068"/>
      <c r="E71" s="2480">
        <v>0.35714285714285715</v>
      </c>
      <c r="F71" s="3064"/>
      <c r="G71" s="3065">
        <v>0.2857142857142857</v>
      </c>
      <c r="H71" s="3065"/>
      <c r="I71" s="3065">
        <v>0.29411764705882354</v>
      </c>
      <c r="J71" s="3065"/>
      <c r="K71" s="3067">
        <v>0.375</v>
      </c>
      <c r="L71" s="3067"/>
      <c r="M71" s="3067">
        <v>0.23100000000000001</v>
      </c>
      <c r="N71" s="3067"/>
      <c r="O71" s="3067">
        <v>0.2</v>
      </c>
      <c r="P71" s="3067"/>
    </row>
    <row r="72" spans="2:16" ht="15" customHeight="1">
      <c r="B72" s="3084" t="s">
        <v>127</v>
      </c>
      <c r="C72" s="3085"/>
      <c r="D72" s="3068"/>
      <c r="E72" s="2480"/>
      <c r="F72" s="3064"/>
      <c r="G72" s="3065"/>
      <c r="H72" s="3065"/>
      <c r="I72" s="3065">
        <v>1</v>
      </c>
      <c r="J72" s="3065">
        <v>1</v>
      </c>
      <c r="K72" s="3067">
        <v>1</v>
      </c>
      <c r="L72" s="3067">
        <v>0.91669999999999996</v>
      </c>
      <c r="M72" s="3067">
        <v>0.54500000000000004</v>
      </c>
      <c r="N72" s="3067">
        <v>0.57099999999999995</v>
      </c>
      <c r="O72" s="3067"/>
      <c r="P72" s="3067"/>
    </row>
    <row r="73" spans="2:16" ht="15" customHeight="1">
      <c r="B73" s="3084" t="s">
        <v>134</v>
      </c>
      <c r="C73" s="3085">
        <v>3.8461538461538464E-2</v>
      </c>
      <c r="D73" s="3068"/>
      <c r="E73" s="2480">
        <v>0.1875</v>
      </c>
      <c r="F73" s="3064"/>
      <c r="G73" s="3065">
        <v>0.2</v>
      </c>
      <c r="H73" s="3065"/>
      <c r="I73" s="3065">
        <v>0.10526315789473684</v>
      </c>
      <c r="J73" s="3065"/>
      <c r="K73" s="3067">
        <v>0.20833333333333334</v>
      </c>
      <c r="L73" s="3067"/>
      <c r="M73" s="3067">
        <v>0.111</v>
      </c>
      <c r="N73" s="3067"/>
      <c r="O73" s="3067">
        <v>0.105</v>
      </c>
      <c r="P73" s="3067"/>
    </row>
    <row r="74" spans="2:16" ht="15" customHeight="1">
      <c r="B74" s="3084" t="s">
        <v>131</v>
      </c>
      <c r="C74" s="3085">
        <v>0.125</v>
      </c>
      <c r="D74" s="3068"/>
      <c r="E74" s="2480">
        <v>9.0909090909090912E-2</v>
      </c>
      <c r="F74" s="3064"/>
      <c r="G74" s="3065">
        <v>2.564102564102564E-2</v>
      </c>
      <c r="H74" s="3065"/>
      <c r="I74" s="3065">
        <v>0.17241379310344829</v>
      </c>
      <c r="J74" s="3065"/>
      <c r="K74" s="3067">
        <v>0.2</v>
      </c>
      <c r="L74" s="3067"/>
      <c r="M74" s="3067">
        <v>0.217</v>
      </c>
      <c r="N74" s="3067"/>
      <c r="O74" s="3067">
        <v>0.13600000000000001</v>
      </c>
      <c r="P74" s="3067"/>
    </row>
    <row r="75" spans="2:16" s="3773" customFormat="1" ht="15" customHeight="1">
      <c r="B75" s="3084" t="s">
        <v>2058</v>
      </c>
      <c r="C75" s="3085"/>
      <c r="D75" s="3068"/>
      <c r="E75" s="2480"/>
      <c r="F75" s="3064"/>
      <c r="G75" s="3065"/>
      <c r="H75" s="3065"/>
      <c r="I75" s="3065"/>
      <c r="J75" s="3065"/>
      <c r="K75" s="3067"/>
      <c r="L75" s="3067">
        <v>0.6</v>
      </c>
      <c r="M75" s="3067"/>
      <c r="N75" s="3067">
        <v>0.1</v>
      </c>
      <c r="O75" s="3067"/>
      <c r="P75" s="3067"/>
    </row>
    <row r="76" spans="2:16" s="3773" customFormat="1" ht="15" customHeight="1">
      <c r="B76" s="3084" t="s">
        <v>2061</v>
      </c>
      <c r="C76" s="3085"/>
      <c r="D76" s="3068"/>
      <c r="E76" s="2480"/>
      <c r="F76" s="3064"/>
      <c r="G76" s="3065"/>
      <c r="H76" s="3065"/>
      <c r="I76" s="3065"/>
      <c r="J76" s="3065"/>
      <c r="K76" s="3067"/>
      <c r="L76" s="3067">
        <v>0.42109999999999997</v>
      </c>
      <c r="M76" s="3067"/>
      <c r="N76" s="3067">
        <v>0.33300000000000002</v>
      </c>
      <c r="O76" s="3067"/>
      <c r="P76" s="3067"/>
    </row>
    <row r="77" spans="2:16" ht="15" customHeight="1">
      <c r="B77" s="3087" t="s">
        <v>483</v>
      </c>
      <c r="C77" s="3088">
        <v>0.31666666666666665</v>
      </c>
      <c r="D77" s="3069">
        <v>0.875</v>
      </c>
      <c r="E77" s="2488">
        <v>0.3235294117647059</v>
      </c>
      <c r="F77" s="2484">
        <v>0.7</v>
      </c>
      <c r="G77" s="3069">
        <v>0.24742268041237114</v>
      </c>
      <c r="H77" s="3069"/>
      <c r="I77" s="3069">
        <v>0.35057471264367818</v>
      </c>
      <c r="J77" s="3069">
        <v>0.57894736842105265</v>
      </c>
      <c r="K77" s="3071">
        <v>0.36075949367088606</v>
      </c>
      <c r="L77" s="3071">
        <v>0.57889999999999997</v>
      </c>
      <c r="M77" s="3071">
        <v>0.39600000000000002</v>
      </c>
      <c r="N77" s="3071">
        <v>0.314</v>
      </c>
      <c r="O77" s="3071">
        <v>0.28399999999999997</v>
      </c>
      <c r="P77" s="3071">
        <v>1.2E-2</v>
      </c>
    </row>
    <row r="78" spans="2:16" ht="15" customHeight="1">
      <c r="B78" s="3090" t="s">
        <v>2532</v>
      </c>
      <c r="C78" s="3085">
        <v>0.7</v>
      </c>
      <c r="D78" s="3068"/>
      <c r="E78" s="2480">
        <v>0.7</v>
      </c>
      <c r="F78" s="2481">
        <v>0.53846153846153844</v>
      </c>
      <c r="G78" s="3065"/>
      <c r="H78" s="3065">
        <v>0.5714285714285714</v>
      </c>
      <c r="I78" s="3065"/>
      <c r="J78" s="3065">
        <v>0.8666666666666667</v>
      </c>
      <c r="K78" s="3067">
        <v>0.35714285714285715</v>
      </c>
      <c r="L78" s="3067"/>
      <c r="M78" s="3067">
        <v>0.45500000000000002</v>
      </c>
      <c r="N78" s="3067"/>
      <c r="O78" s="3067">
        <v>0.63600000000000001</v>
      </c>
      <c r="P78" s="3067">
        <v>0.105</v>
      </c>
    </row>
    <row r="79" spans="2:16" ht="15" customHeight="1">
      <c r="B79" s="3084" t="s">
        <v>111</v>
      </c>
      <c r="C79" s="3091"/>
      <c r="D79" s="3068"/>
      <c r="E79" s="2480">
        <v>0.66666666666666663</v>
      </c>
      <c r="F79" s="2481">
        <v>0</v>
      </c>
      <c r="G79" s="3065">
        <v>0.625</v>
      </c>
      <c r="H79" s="3065">
        <v>0.5</v>
      </c>
      <c r="I79" s="3065"/>
      <c r="J79" s="3065"/>
      <c r="K79" s="3067"/>
      <c r="L79" s="3067"/>
      <c r="M79" s="3067"/>
      <c r="N79" s="3067"/>
      <c r="O79" s="3067"/>
      <c r="P79" s="3067"/>
    </row>
    <row r="80" spans="2:16" ht="15" customHeight="1">
      <c r="B80" s="3084" t="s">
        <v>137</v>
      </c>
      <c r="C80" s="3066"/>
      <c r="D80" s="3065">
        <v>0</v>
      </c>
      <c r="E80" s="2480">
        <v>0</v>
      </c>
      <c r="F80" s="3064"/>
      <c r="G80" s="3065">
        <v>0.1</v>
      </c>
      <c r="H80" s="3065">
        <v>0.1</v>
      </c>
      <c r="I80" s="3065">
        <v>1</v>
      </c>
      <c r="J80" s="3065">
        <v>1</v>
      </c>
      <c r="K80" s="3067"/>
      <c r="L80" s="3067"/>
      <c r="M80" s="3067"/>
      <c r="N80" s="3067"/>
      <c r="O80" s="3067">
        <v>0</v>
      </c>
      <c r="P80" s="3067"/>
    </row>
    <row r="81" spans="2:16" ht="15" customHeight="1">
      <c r="B81" s="3084" t="s">
        <v>138</v>
      </c>
      <c r="C81" s="3085">
        <v>0.35714285714285715</v>
      </c>
      <c r="D81" s="3065">
        <v>0.1875</v>
      </c>
      <c r="E81" s="2480">
        <v>0.26666666666666666</v>
      </c>
      <c r="F81" s="2481">
        <v>0.7857142857142857</v>
      </c>
      <c r="G81" s="3065">
        <v>0.21428571428571427</v>
      </c>
      <c r="H81" s="3065">
        <v>0.1875</v>
      </c>
      <c r="I81" s="3065">
        <v>0.1875</v>
      </c>
      <c r="J81" s="3065">
        <v>0.15384615384615385</v>
      </c>
      <c r="K81" s="3067">
        <v>0.75</v>
      </c>
      <c r="L81" s="3067">
        <v>0.25</v>
      </c>
      <c r="M81" s="3067">
        <v>0.4</v>
      </c>
      <c r="N81" s="3067">
        <v>6.3E-2</v>
      </c>
      <c r="O81" s="3067"/>
      <c r="P81" s="3067"/>
    </row>
    <row r="82" spans="2:16" ht="15" customHeight="1">
      <c r="B82" s="3084" t="s">
        <v>2888</v>
      </c>
      <c r="C82" s="3085">
        <v>0.21052631578947367</v>
      </c>
      <c r="D82" s="3065">
        <v>0.44444444444444442</v>
      </c>
      <c r="E82" s="2480">
        <v>0.33333333333333331</v>
      </c>
      <c r="F82" s="2481">
        <v>0.33333333333333331</v>
      </c>
      <c r="G82" s="3065">
        <v>0.5625</v>
      </c>
      <c r="H82" s="3065">
        <v>0.4375</v>
      </c>
      <c r="I82" s="3065">
        <v>0.58823529411764708</v>
      </c>
      <c r="J82" s="3065">
        <v>0.35714285714285715</v>
      </c>
      <c r="K82" s="3067">
        <v>0.63157894736842102</v>
      </c>
      <c r="L82" s="3067">
        <v>0.47060000000000002</v>
      </c>
      <c r="M82" s="3067">
        <v>0.2</v>
      </c>
      <c r="N82" s="3067">
        <v>0.158</v>
      </c>
      <c r="O82" s="3067">
        <v>0.154</v>
      </c>
      <c r="P82" s="3067"/>
    </row>
    <row r="83" spans="2:16" ht="15" customHeight="1">
      <c r="B83" s="3084" t="s">
        <v>141</v>
      </c>
      <c r="C83" s="3085">
        <v>0.22222222222222221</v>
      </c>
      <c r="D83" s="3065">
        <v>0.35294117647058826</v>
      </c>
      <c r="E83" s="2480">
        <v>0.05</v>
      </c>
      <c r="F83" s="2481">
        <v>0.21739130434782608</v>
      </c>
      <c r="G83" s="3065">
        <v>0.43478260869565216</v>
      </c>
      <c r="H83" s="3065">
        <v>0.45833333333333331</v>
      </c>
      <c r="I83" s="3065">
        <v>0.33333333333333331</v>
      </c>
      <c r="J83" s="3065">
        <v>0.375</v>
      </c>
      <c r="K83" s="3067">
        <v>0.40909090909090912</v>
      </c>
      <c r="L83" s="3067">
        <v>0.31819999999999998</v>
      </c>
      <c r="M83" s="3067">
        <v>0.222</v>
      </c>
      <c r="N83" s="3067">
        <v>0.1</v>
      </c>
      <c r="O83" s="3067">
        <v>8.3000000000000004E-2</v>
      </c>
      <c r="P83" s="3067">
        <v>0.104</v>
      </c>
    </row>
    <row r="84" spans="2:16" ht="15" customHeight="1">
      <c r="B84" s="3084" t="s">
        <v>1732</v>
      </c>
      <c r="C84" s="3085"/>
      <c r="D84" s="3065"/>
      <c r="E84" s="2480"/>
      <c r="F84" s="2481"/>
      <c r="G84" s="3065"/>
      <c r="H84" s="3065"/>
      <c r="I84" s="3065">
        <v>0.3</v>
      </c>
      <c r="J84" s="3065">
        <v>9.0909090909090912E-2</v>
      </c>
      <c r="K84" s="3067">
        <v>0.3</v>
      </c>
      <c r="L84" s="3067">
        <v>0.1111</v>
      </c>
      <c r="M84" s="3067">
        <v>0.16700000000000001</v>
      </c>
      <c r="N84" s="3067">
        <v>0</v>
      </c>
      <c r="O84" s="3067">
        <v>0</v>
      </c>
      <c r="P84" s="3067"/>
    </row>
    <row r="85" spans="2:16" s="4139" customFormat="1" ht="15" customHeight="1">
      <c r="B85" s="3084" t="s">
        <v>2661</v>
      </c>
      <c r="C85" s="3085"/>
      <c r="D85" s="3065"/>
      <c r="E85" s="2480"/>
      <c r="F85" s="2481"/>
      <c r="G85" s="3065"/>
      <c r="H85" s="3065"/>
      <c r="I85" s="3065"/>
      <c r="J85" s="3065"/>
      <c r="K85" s="3067"/>
      <c r="L85" s="3067"/>
      <c r="M85" s="3067">
        <v>0.4</v>
      </c>
      <c r="N85" s="3067">
        <v>0</v>
      </c>
      <c r="O85" s="3067"/>
      <c r="P85" s="3067"/>
    </row>
    <row r="86" spans="2:16" ht="15" customHeight="1">
      <c r="B86" s="3084" t="s">
        <v>414</v>
      </c>
      <c r="C86" s="3066"/>
      <c r="D86" s="3068"/>
      <c r="E86" s="2480">
        <v>0</v>
      </c>
      <c r="F86" s="3064"/>
      <c r="G86" s="3065">
        <v>0</v>
      </c>
      <c r="H86" s="3065"/>
      <c r="I86" s="3065"/>
      <c r="J86" s="3065">
        <v>0</v>
      </c>
      <c r="K86" s="3067"/>
      <c r="L86" s="3067">
        <v>0</v>
      </c>
      <c r="M86" s="3067"/>
      <c r="N86" s="3067">
        <v>0.1</v>
      </c>
      <c r="O86" s="3067"/>
      <c r="P86" s="3067"/>
    </row>
    <row r="87" spans="2:16" ht="15" customHeight="1">
      <c r="B87" s="3084" t="s">
        <v>709</v>
      </c>
      <c r="C87" s="3066"/>
      <c r="D87" s="3068"/>
      <c r="E87" s="3066"/>
      <c r="F87" s="3064"/>
      <c r="G87" s="3065">
        <v>0</v>
      </c>
      <c r="H87" s="3065"/>
      <c r="I87" s="3065"/>
      <c r="J87" s="3065">
        <v>0.5</v>
      </c>
      <c r="K87" s="3067"/>
      <c r="L87" s="3067">
        <v>0.2727</v>
      </c>
      <c r="M87" s="3067"/>
      <c r="N87" s="3067">
        <v>0</v>
      </c>
      <c r="O87" s="3067"/>
      <c r="P87" s="3067"/>
    </row>
    <row r="88" spans="2:16" ht="15" customHeight="1">
      <c r="B88" s="3084" t="s">
        <v>2272</v>
      </c>
      <c r="C88" s="3066"/>
      <c r="D88" s="3068"/>
      <c r="E88" s="3066"/>
      <c r="F88" s="3064"/>
      <c r="G88" s="3065"/>
      <c r="H88" s="3065"/>
      <c r="I88" s="3065"/>
      <c r="J88" s="3065">
        <v>9.0909090909090912E-2</v>
      </c>
      <c r="K88" s="3067"/>
      <c r="L88" s="3067">
        <v>0.5</v>
      </c>
      <c r="M88" s="3067"/>
      <c r="N88" s="3067">
        <v>0</v>
      </c>
      <c r="O88" s="3067"/>
      <c r="P88" s="3067"/>
    </row>
    <row r="89" spans="2:16" s="5317" customFormat="1" ht="15" customHeight="1">
      <c r="B89" s="3084" t="s">
        <v>2862</v>
      </c>
      <c r="C89" s="3066"/>
      <c r="D89" s="3068"/>
      <c r="E89" s="3066"/>
      <c r="F89" s="3064"/>
      <c r="G89" s="3065"/>
      <c r="H89" s="3065"/>
      <c r="I89" s="3065"/>
      <c r="J89" s="3065"/>
      <c r="K89" s="3067"/>
      <c r="L89" s="3067"/>
      <c r="M89" s="3067"/>
      <c r="N89" s="3067"/>
      <c r="O89" s="3067"/>
      <c r="P89" s="3067"/>
    </row>
    <row r="90" spans="2:16" ht="15" customHeight="1">
      <c r="B90" s="3087" t="s">
        <v>485</v>
      </c>
      <c r="C90" s="3088">
        <v>0.32786885245901637</v>
      </c>
      <c r="D90" s="3069">
        <v>0.26984126984126983</v>
      </c>
      <c r="E90" s="2488">
        <v>0.28358208955223879</v>
      </c>
      <c r="F90" s="2484">
        <v>0.43333333333333335</v>
      </c>
      <c r="G90" s="3069">
        <v>0.3258426966292135</v>
      </c>
      <c r="H90" s="3069">
        <v>0.38202247191011235</v>
      </c>
      <c r="I90" s="3069">
        <v>0.39705882352941174</v>
      </c>
      <c r="J90" s="3069">
        <v>0.35185185185185186</v>
      </c>
      <c r="K90" s="3071">
        <v>0.4935064935064935</v>
      </c>
      <c r="L90" s="3071">
        <v>0.29349999999999998</v>
      </c>
      <c r="M90" s="3071">
        <v>0.28599999999999998</v>
      </c>
      <c r="N90" s="3071">
        <v>6.3E-2</v>
      </c>
      <c r="O90" s="3071">
        <v>0.189</v>
      </c>
      <c r="P90" s="3071">
        <v>3.2000000000000001E-2</v>
      </c>
    </row>
    <row r="91" spans="2:16" ht="15" customHeight="1">
      <c r="B91" s="3084" t="s">
        <v>142</v>
      </c>
      <c r="C91" s="3085">
        <v>0.77777777777777779</v>
      </c>
      <c r="D91" s="3065">
        <v>0.80952380952380953</v>
      </c>
      <c r="E91" s="2480">
        <v>0.8</v>
      </c>
      <c r="F91" s="2481">
        <v>0.73684210526315785</v>
      </c>
      <c r="G91" s="3065">
        <v>0.84210526315789469</v>
      </c>
      <c r="H91" s="3065">
        <v>0.78260869565217395</v>
      </c>
      <c r="I91" s="3065">
        <v>0.92</v>
      </c>
      <c r="J91" s="3065">
        <v>0.45833333333333331</v>
      </c>
      <c r="K91" s="3067">
        <v>0.76923076923076927</v>
      </c>
      <c r="L91" s="3067">
        <v>0.69569999999999999</v>
      </c>
      <c r="M91" s="3067">
        <v>0.78300000000000003</v>
      </c>
      <c r="N91" s="3067">
        <v>0.89500000000000002</v>
      </c>
      <c r="O91" s="3067">
        <v>0.625</v>
      </c>
      <c r="P91" s="3067">
        <v>1.6E-2</v>
      </c>
    </row>
    <row r="92" spans="2:16" ht="15" customHeight="1">
      <c r="B92" s="3090" t="s">
        <v>389</v>
      </c>
      <c r="C92" s="3066"/>
      <c r="D92" s="3065">
        <v>0.76470588235294112</v>
      </c>
      <c r="E92" s="3066"/>
      <c r="F92" s="2481">
        <v>0.6</v>
      </c>
      <c r="G92" s="3065"/>
      <c r="H92" s="3065"/>
      <c r="I92" s="3065"/>
      <c r="J92" s="3065">
        <v>0.7142857142857143</v>
      </c>
      <c r="K92" s="3067"/>
      <c r="L92" s="3067">
        <v>0.375</v>
      </c>
      <c r="M92" s="3067"/>
      <c r="N92" s="3067">
        <v>0.41699999999999998</v>
      </c>
      <c r="O92" s="3067" t="s">
        <v>315</v>
      </c>
      <c r="P92" s="3067"/>
    </row>
    <row r="93" spans="2:16" ht="15" customHeight="1">
      <c r="B93" s="3090" t="s">
        <v>390</v>
      </c>
      <c r="C93" s="3066"/>
      <c r="D93" s="3065">
        <v>0</v>
      </c>
      <c r="E93" s="3066"/>
      <c r="F93" s="2481">
        <v>0</v>
      </c>
      <c r="G93" s="3069"/>
      <c r="H93" s="3069">
        <v>0</v>
      </c>
      <c r="I93" s="3069"/>
      <c r="J93" s="3069">
        <v>0</v>
      </c>
      <c r="K93" s="3071"/>
      <c r="L93" s="3067">
        <v>0</v>
      </c>
      <c r="M93" s="3067"/>
      <c r="N93" s="3067">
        <v>0</v>
      </c>
      <c r="O93" s="3067"/>
      <c r="P93" s="3067"/>
    </row>
    <row r="94" spans="2:16" ht="15" customHeight="1">
      <c r="B94" s="3087" t="s">
        <v>484</v>
      </c>
      <c r="C94" s="3088">
        <v>0.77777777777777779</v>
      </c>
      <c r="D94" s="3069">
        <v>0.42253521126760563</v>
      </c>
      <c r="E94" s="2488">
        <v>0.8</v>
      </c>
      <c r="F94" s="2484">
        <v>0.39655172413793105</v>
      </c>
      <c r="G94" s="3069">
        <v>0.84210526315789469</v>
      </c>
      <c r="H94" s="3069">
        <v>0.5</v>
      </c>
      <c r="I94" s="3069">
        <v>0.92</v>
      </c>
      <c r="J94" s="3069">
        <v>0.37681159420289856</v>
      </c>
      <c r="K94" s="3071">
        <v>0.76923076923076927</v>
      </c>
      <c r="L94" s="3071">
        <v>0.34920634920634919</v>
      </c>
      <c r="M94" s="3071">
        <v>0.78300000000000003</v>
      </c>
      <c r="N94" s="3071">
        <v>0.41499999999999998</v>
      </c>
      <c r="O94" s="3071">
        <v>0.625</v>
      </c>
      <c r="P94" s="3071">
        <v>8.0000000000000002E-3</v>
      </c>
    </row>
    <row r="95" spans="2:16" ht="15" customHeight="1">
      <c r="B95" s="3076" t="s">
        <v>412</v>
      </c>
      <c r="C95" s="3077">
        <v>0.36180904522613067</v>
      </c>
      <c r="D95" s="3078">
        <v>0.40666666666666668</v>
      </c>
      <c r="E95" s="2517">
        <v>0.34403669724770641</v>
      </c>
      <c r="F95" s="2518">
        <v>0.45652173913043476</v>
      </c>
      <c r="G95" s="3078">
        <v>0.30794701986754969</v>
      </c>
      <c r="H95" s="3078">
        <v>0.43225806451612903</v>
      </c>
      <c r="I95" s="3078">
        <v>0.4157303370786517</v>
      </c>
      <c r="J95" s="3078">
        <v>0.4</v>
      </c>
      <c r="K95" s="3079">
        <v>0.44061302681992337</v>
      </c>
      <c r="L95" s="3079">
        <v>0.36787564766839376</v>
      </c>
      <c r="M95" s="3079">
        <v>0.39500000000000002</v>
      </c>
      <c r="N95" s="3079">
        <v>0.21199999999999999</v>
      </c>
      <c r="O95" s="3079">
        <v>0.29799999999999999</v>
      </c>
      <c r="P95" s="3079">
        <v>1.9E-2</v>
      </c>
    </row>
    <row r="96" spans="2:16" ht="15" customHeight="1"/>
    <row r="97" spans="2:16" ht="15" customHeight="1">
      <c r="B97" s="3106" t="s">
        <v>724</v>
      </c>
      <c r="C97" s="3103">
        <v>0.32006920415224915</v>
      </c>
      <c r="D97" s="3104">
        <v>0.33620689655172414</v>
      </c>
      <c r="E97" s="2123">
        <v>0.33745583038869259</v>
      </c>
      <c r="F97" s="3104">
        <v>0.33203125</v>
      </c>
      <c r="G97" s="3104">
        <v>0.37235543018335682</v>
      </c>
      <c r="H97" s="3104">
        <v>0.34703947368421051</v>
      </c>
      <c r="I97" s="3104">
        <v>0.42040816326530611</v>
      </c>
      <c r="J97" s="3104">
        <v>0.36283185840707965</v>
      </c>
      <c r="K97" s="3105">
        <v>0.39586410635155095</v>
      </c>
      <c r="L97" s="3105">
        <v>0.316</v>
      </c>
      <c r="M97" s="3105">
        <v>0.35</v>
      </c>
      <c r="N97" s="3105">
        <v>0.23400000000000001</v>
      </c>
      <c r="O97" s="3105">
        <v>0.25800000000000001</v>
      </c>
      <c r="P97" s="3105">
        <v>3.2000000000000001E-2</v>
      </c>
    </row>
    <row r="98" spans="2:16" ht="14.4" customHeight="1">
      <c r="B98" s="7003" t="s">
        <v>3370</v>
      </c>
      <c r="L98" s="4619"/>
      <c r="M98" s="4619"/>
      <c r="N98" s="4913"/>
      <c r="P98" s="6580" t="s">
        <v>3366</v>
      </c>
    </row>
    <row r="99" spans="2:16">
      <c r="B99" s="7003"/>
      <c r="L99" s="4620"/>
      <c r="M99" s="4620"/>
      <c r="O99" s="6118"/>
    </row>
  </sheetData>
  <mergeCells count="2">
    <mergeCell ref="L1:P1"/>
    <mergeCell ref="B98:B99"/>
  </mergeCells>
  <printOptions horizontalCentered="1" verticalCentered="1"/>
  <pageMargins left="0.70866141732283472" right="0.70866141732283472" top="0.74803149606299213" bottom="0.74803149606299213" header="0.31496062992125984" footer="0.31496062992125984"/>
  <pageSetup scale="60" firstPageNumber="8" orientation="landscape" useFirstPageNumber="1" r:id="rId1"/>
  <headerFooter scaleWithDoc="0" alignWithMargins="0">
    <oddFooter>&amp;R&amp;P</oddFooter>
  </headerFooter>
  <rowBreaks count="1" manualBreakCount="1">
    <brk id="47" min="1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O440"/>
  <sheetViews>
    <sheetView topLeftCell="A127" zoomScaleNormal="100" workbookViewId="0">
      <selection activeCell="I235" sqref="I235"/>
    </sheetView>
  </sheetViews>
  <sheetFormatPr baseColWidth="10" defaultRowHeight="14.4"/>
  <cols>
    <col min="1" max="1" width="6.33203125" style="5317" customWidth="1"/>
    <col min="2" max="2" width="6.6640625" style="5317" bestFit="1" customWidth="1"/>
    <col min="3" max="3" width="42.5546875" style="5317" customWidth="1"/>
    <col min="4" max="4" width="16.109375" style="5317" bestFit="1" customWidth="1"/>
    <col min="5" max="5" width="4.88671875" style="5317" bestFit="1" customWidth="1"/>
    <col min="6" max="6" width="6" style="5317" customWidth="1"/>
    <col min="7" max="7" width="11.44140625" style="157"/>
    <col min="8" max="8" width="11.44140625" style="5317"/>
    <col min="9" max="9" width="6.44140625" style="4832" customWidth="1"/>
    <col min="10" max="10" width="6.6640625" style="4832" bestFit="1" customWidth="1"/>
    <col min="11" max="11" width="36.44140625" style="4832" customWidth="1"/>
    <col min="12" max="12" width="16.109375" style="4832" bestFit="1" customWidth="1"/>
    <col min="13" max="13" width="7.88671875" style="4832" bestFit="1" customWidth="1"/>
    <col min="14" max="14" width="5.6640625" style="4832" customWidth="1"/>
    <col min="15" max="15" width="8.44140625" style="4832" bestFit="1" customWidth="1"/>
    <col min="16" max="16" width="11.44140625" style="4832"/>
    <col min="17" max="17" width="6.33203125" style="4456" customWidth="1"/>
    <col min="18" max="18" width="6.5546875" style="4456" bestFit="1" customWidth="1"/>
    <col min="19" max="19" width="45.6640625" style="4456" bestFit="1" customWidth="1"/>
    <col min="20" max="20" width="14.33203125" style="4456" bestFit="1" customWidth="1"/>
    <col min="21" max="21" width="4.6640625" style="4456" bestFit="1" customWidth="1"/>
    <col min="22" max="22" width="4.44140625" style="4456" bestFit="1" customWidth="1"/>
    <col min="23" max="23" width="9.109375" style="3701" customWidth="1"/>
    <col min="24" max="25" width="5.6640625" style="95" customWidth="1"/>
    <col min="26" max="26" width="11.109375" style="95" customWidth="1"/>
    <col min="27" max="27" width="6.33203125" style="95" bestFit="1" customWidth="1"/>
    <col min="28" max="28" width="44.6640625" style="95" bestFit="1" customWidth="1"/>
    <col min="29" max="29" width="14" style="95" bestFit="1" customWidth="1"/>
    <col min="30" max="30" width="3.44140625" style="95" bestFit="1" customWidth="1"/>
    <col min="31" max="36" width="1.5546875" style="95" bestFit="1" customWidth="1"/>
    <col min="37" max="40" width="2.33203125" style="95" bestFit="1" customWidth="1"/>
    <col min="41" max="41" width="3.109375" style="95" bestFit="1" customWidth="1"/>
    <col min="42" max="43" width="2.33203125" style="95" bestFit="1" customWidth="1"/>
    <col min="44" max="44" width="4.33203125" style="95" bestFit="1" customWidth="1"/>
    <col min="45" max="45" width="7.44140625" style="95" customWidth="1"/>
    <col min="46" max="46" width="11.5546875" style="4456"/>
    <col min="47" max="47" width="11.109375" style="3868" customWidth="1"/>
    <col min="48" max="48" width="6.6640625" style="3868" bestFit="1" customWidth="1"/>
    <col min="49" max="49" width="32.109375" style="3868" customWidth="1"/>
    <col min="50" max="50" width="15.33203125" style="3868" customWidth="1"/>
    <col min="51" max="51" width="6.6640625" style="3868" bestFit="1" customWidth="1"/>
    <col min="52" max="52" width="4.5546875" style="3868" bestFit="1" customWidth="1"/>
    <col min="53" max="54" width="1.6640625" style="3868" bestFit="1" customWidth="1"/>
    <col min="55" max="57" width="2" style="3868" bestFit="1" customWidth="1"/>
    <col min="58" max="58" width="1.6640625" style="3868" bestFit="1" customWidth="1"/>
    <col min="59" max="59" width="3" style="3868" bestFit="1" customWidth="1"/>
    <col min="60" max="62" width="2.6640625" style="3868" bestFit="1" customWidth="1"/>
    <col min="63" max="63" width="3" style="3868" bestFit="1" customWidth="1"/>
    <col min="64" max="66" width="2.6640625" style="3868" bestFit="1" customWidth="1"/>
    <col min="67" max="67" width="6.33203125" style="3868" bestFit="1" customWidth="1"/>
    <col min="68" max="68" width="9.33203125" style="3868" customWidth="1"/>
    <col min="69" max="69" width="10.88671875" style="3868"/>
    <col min="70" max="70" width="8.6640625" style="32" customWidth="1"/>
    <col min="71" max="71" width="5.6640625" style="32" bestFit="1" customWidth="1"/>
    <col min="72" max="72" width="38.6640625" style="32" bestFit="1" customWidth="1"/>
    <col min="73" max="73" width="12.6640625" style="32" bestFit="1" customWidth="1"/>
    <col min="74" max="81" width="1.44140625" style="32" bestFit="1" customWidth="1"/>
    <col min="82" max="85" width="2.33203125" style="32" bestFit="1" customWidth="1"/>
    <col min="86" max="86" width="3" style="32" bestFit="1" customWidth="1"/>
    <col min="87" max="88" width="2.33203125" style="32" bestFit="1" customWidth="1"/>
    <col min="89" max="89" width="3.88671875" style="32" bestFit="1" customWidth="1"/>
    <col min="90" max="90" width="6.88671875" style="32" bestFit="1" customWidth="1"/>
    <col min="91" max="91" width="11.44140625" style="3695"/>
    <col min="92" max="92" width="12.44140625" style="2042" customWidth="1"/>
    <col min="93" max="93" width="6.6640625" style="2042" bestFit="1" customWidth="1"/>
    <col min="94" max="94" width="58.33203125" style="2042" bestFit="1" customWidth="1"/>
    <col min="95" max="95" width="16.5546875" style="2042" bestFit="1" customWidth="1"/>
    <col min="96" max="96" width="4.5546875" style="2042" bestFit="1" customWidth="1"/>
    <col min="97" max="104" width="1.6640625" style="2042" bestFit="1" customWidth="1"/>
    <col min="105" max="112" width="2.6640625" style="2042" bestFit="1" customWidth="1"/>
    <col min="113" max="113" width="4.5546875" style="2042" bestFit="1" customWidth="1"/>
    <col min="114" max="114" width="8.33203125" style="2042" bestFit="1" customWidth="1"/>
    <col min="115" max="115" width="11.44140625" style="2042"/>
    <col min="118" max="118" width="51.6640625" bestFit="1" customWidth="1"/>
    <col min="119" max="119" width="16.5546875" bestFit="1" customWidth="1"/>
    <col min="120" max="120" width="4.33203125" bestFit="1" customWidth="1"/>
    <col min="121" max="128" width="2" bestFit="1" customWidth="1"/>
    <col min="129" max="136" width="3" bestFit="1" customWidth="1"/>
    <col min="137" max="137" width="5" bestFit="1" customWidth="1"/>
    <col min="140" max="140" width="11.44140625" style="95"/>
    <col min="141" max="141" width="6.6640625" style="95" bestFit="1" customWidth="1"/>
    <col min="142" max="142" width="43.6640625" style="1487" bestFit="1" customWidth="1"/>
    <col min="143" max="143" width="16.5546875" style="1487" bestFit="1" customWidth="1"/>
    <col min="144" max="144" width="4.33203125" style="95" bestFit="1" customWidth="1"/>
    <col min="145" max="152" width="2" style="95" bestFit="1" customWidth="1"/>
    <col min="153" max="153" width="2.6640625" style="95" customWidth="1"/>
    <col min="154" max="160" width="3" style="95" bestFit="1" customWidth="1"/>
    <col min="161" max="161" width="5.33203125" style="95" bestFit="1" customWidth="1"/>
    <col min="162" max="162" width="11.44140625" style="95" customWidth="1"/>
    <col min="164" max="164" width="11.6640625" customWidth="1"/>
    <col min="165" max="165" width="8.6640625" customWidth="1"/>
    <col min="166" max="166" width="43.5546875" bestFit="1" customWidth="1"/>
    <col min="167" max="167" width="16.5546875" bestFit="1" customWidth="1"/>
    <col min="168" max="168" width="1.6640625" bestFit="1" customWidth="1"/>
    <col min="169" max="169" width="2.6640625" bestFit="1" customWidth="1"/>
    <col min="170" max="174" width="1.6640625" bestFit="1" customWidth="1"/>
    <col min="175" max="182" width="2.6640625" bestFit="1" customWidth="1"/>
    <col min="183" max="183" width="4.5546875" bestFit="1" customWidth="1"/>
    <col min="184" max="185" width="8.6640625" customWidth="1"/>
    <col min="186" max="186" width="11.33203125" customWidth="1"/>
    <col min="187" max="187" width="6.6640625" bestFit="1" customWidth="1"/>
    <col min="188" max="188" width="33.6640625" bestFit="1" customWidth="1"/>
    <col min="189" max="189" width="16.5546875" bestFit="1" customWidth="1"/>
    <col min="190" max="206" width="2.6640625" customWidth="1"/>
    <col min="207" max="207" width="4.5546875" bestFit="1" customWidth="1"/>
    <col min="208" max="208" width="9.6640625" customWidth="1"/>
    <col min="209" max="210" width="10.6640625" customWidth="1"/>
    <col min="211" max="211" width="6.6640625" bestFit="1" customWidth="1"/>
    <col min="212" max="212" width="33.6640625" bestFit="1" customWidth="1"/>
    <col min="213" max="213" width="15.6640625" bestFit="1" customWidth="1"/>
    <col min="214" max="214" width="16.5546875" bestFit="1" customWidth="1"/>
    <col min="215" max="220" width="1.6640625" bestFit="1" customWidth="1"/>
    <col min="221" max="221" width="2.6640625" bestFit="1" customWidth="1"/>
    <col min="222" max="223" width="1.6640625" bestFit="1" customWidth="1"/>
    <col min="224" max="231" width="2.6640625" bestFit="1" customWidth="1"/>
    <col min="232" max="232" width="4.5546875" bestFit="1" customWidth="1"/>
    <col min="233" max="233" width="7.6640625" bestFit="1" customWidth="1"/>
    <col min="234" max="234" width="10.6640625" customWidth="1"/>
    <col min="235" max="235" width="11.44140625" customWidth="1"/>
    <col min="236" max="236" width="6.6640625" bestFit="1" customWidth="1"/>
    <col min="237" max="237" width="33.6640625" bestFit="1" customWidth="1"/>
    <col min="238" max="238" width="16.5546875" bestFit="1" customWidth="1"/>
    <col min="239" max="243" width="1.6640625" bestFit="1" customWidth="1"/>
    <col min="244" max="251" width="2.6640625" bestFit="1" customWidth="1"/>
    <col min="252" max="252" width="4.44140625" customWidth="1"/>
    <col min="253" max="253" width="10.44140625" customWidth="1"/>
    <col min="254" max="254" width="4.44140625" customWidth="1"/>
    <col min="255" max="255" width="8.6640625" customWidth="1"/>
    <col min="256" max="256" width="11.44140625" style="119" customWidth="1"/>
    <col min="257" max="257" width="11.33203125" style="119" bestFit="1" customWidth="1"/>
    <col min="258" max="258" width="34.5546875" bestFit="1" customWidth="1"/>
    <col min="259" max="259" width="20.6640625" bestFit="1" customWidth="1"/>
    <col min="260" max="267" width="1.6640625" bestFit="1" customWidth="1"/>
    <col min="268" max="275" width="2.6640625" bestFit="1" customWidth="1"/>
    <col min="276" max="276" width="7.44140625" customWidth="1"/>
    <col min="277" max="277" width="10.33203125" customWidth="1"/>
    <col min="279" max="279" width="12.33203125" bestFit="1" customWidth="1"/>
    <col min="280" max="280" width="8.6640625" bestFit="1" customWidth="1"/>
    <col min="281" max="281" width="34.6640625" customWidth="1"/>
    <col min="282" max="282" width="24.44140625" bestFit="1" customWidth="1"/>
    <col min="283" max="290" width="2.44140625" bestFit="1" customWidth="1"/>
    <col min="291" max="298" width="3.33203125" bestFit="1" customWidth="1"/>
    <col min="301" max="301" width="28.44140625" customWidth="1"/>
    <col min="510" max="510" width="4.44140625" customWidth="1"/>
    <col min="511" max="511" width="14.6640625" customWidth="1"/>
    <col min="512" max="512" width="13.6640625" customWidth="1"/>
    <col min="513" max="513" width="42.44140625" bestFit="1" customWidth="1"/>
    <col min="514" max="514" width="20.6640625" bestFit="1" customWidth="1"/>
    <col min="515" max="530" width="3.6640625" customWidth="1"/>
    <col min="531" max="531" width="7.44140625" customWidth="1"/>
    <col min="532" max="532" width="18.33203125" bestFit="1" customWidth="1"/>
    <col min="766" max="766" width="4.44140625" customWidth="1"/>
    <col min="767" max="767" width="14.6640625" customWidth="1"/>
    <col min="768" max="768" width="13.6640625" customWidth="1"/>
    <col min="769" max="769" width="42.44140625" bestFit="1" customWidth="1"/>
    <col min="770" max="770" width="20.6640625" bestFit="1" customWidth="1"/>
    <col min="771" max="786" width="3.6640625" customWidth="1"/>
    <col min="787" max="787" width="7.44140625" customWidth="1"/>
    <col min="788" max="788" width="18.33203125" bestFit="1" customWidth="1"/>
    <col min="1022" max="1022" width="4.44140625" customWidth="1"/>
    <col min="1023" max="1023" width="14.6640625" customWidth="1"/>
    <col min="1024" max="1024" width="13.6640625" customWidth="1"/>
    <col min="1025" max="1025" width="42.44140625" bestFit="1" customWidth="1"/>
    <col min="1026" max="1026" width="20.6640625" bestFit="1" customWidth="1"/>
    <col min="1027" max="1042" width="3.6640625" customWidth="1"/>
    <col min="1043" max="1043" width="7.44140625" customWidth="1"/>
    <col min="1044" max="1044" width="18.33203125" bestFit="1" customWidth="1"/>
    <col min="1278" max="1278" width="4.44140625" customWidth="1"/>
    <col min="1279" max="1279" width="14.6640625" customWidth="1"/>
    <col min="1280" max="1280" width="13.6640625" customWidth="1"/>
    <col min="1281" max="1281" width="42.44140625" bestFit="1" customWidth="1"/>
    <col min="1282" max="1282" width="20.6640625" bestFit="1" customWidth="1"/>
    <col min="1283" max="1298" width="3.6640625" customWidth="1"/>
    <col min="1299" max="1299" width="7.44140625" customWidth="1"/>
    <col min="1300" max="1300" width="18.33203125" bestFit="1" customWidth="1"/>
    <col min="1534" max="1534" width="4.44140625" customWidth="1"/>
    <col min="1535" max="1535" width="14.6640625" customWidth="1"/>
    <col min="1536" max="1536" width="13.6640625" customWidth="1"/>
    <col min="1537" max="1537" width="42.44140625" bestFit="1" customWidth="1"/>
    <col min="1538" max="1538" width="20.6640625" bestFit="1" customWidth="1"/>
    <col min="1539" max="1554" width="3.6640625" customWidth="1"/>
    <col min="1555" max="1555" width="7.44140625" customWidth="1"/>
    <col min="1556" max="1556" width="18.33203125" bestFit="1" customWidth="1"/>
    <col min="1790" max="1790" width="4.44140625" customWidth="1"/>
    <col min="1791" max="1791" width="14.6640625" customWidth="1"/>
    <col min="1792" max="1792" width="13.6640625" customWidth="1"/>
    <col min="1793" max="1793" width="42.44140625" bestFit="1" customWidth="1"/>
    <col min="1794" max="1794" width="20.6640625" bestFit="1" customWidth="1"/>
    <col min="1795" max="1810" width="3.6640625" customWidth="1"/>
    <col min="1811" max="1811" width="7.44140625" customWidth="1"/>
    <col min="1812" max="1812" width="18.33203125" bestFit="1" customWidth="1"/>
    <col min="2046" max="2046" width="4.44140625" customWidth="1"/>
    <col min="2047" max="2047" width="14.6640625" customWidth="1"/>
    <col min="2048" max="2048" width="13.6640625" customWidth="1"/>
    <col min="2049" max="2049" width="42.44140625" bestFit="1" customWidth="1"/>
    <col min="2050" max="2050" width="20.6640625" bestFit="1" customWidth="1"/>
    <col min="2051" max="2066" width="3.6640625" customWidth="1"/>
    <col min="2067" max="2067" width="7.44140625" customWidth="1"/>
    <col min="2068" max="2068" width="18.33203125" bestFit="1" customWidth="1"/>
    <col min="2302" max="2302" width="4.44140625" customWidth="1"/>
    <col min="2303" max="2303" width="14.6640625" customWidth="1"/>
    <col min="2304" max="2304" width="13.6640625" customWidth="1"/>
    <col min="2305" max="2305" width="42.44140625" bestFit="1" customWidth="1"/>
    <col min="2306" max="2306" width="20.6640625" bestFit="1" customWidth="1"/>
    <col min="2307" max="2322" width="3.6640625" customWidth="1"/>
    <col min="2323" max="2323" width="7.44140625" customWidth="1"/>
    <col min="2324" max="2324" width="18.33203125" bestFit="1" customWidth="1"/>
    <col min="2558" max="2558" width="4.44140625" customWidth="1"/>
    <col min="2559" max="2559" width="14.6640625" customWidth="1"/>
    <col min="2560" max="2560" width="13.6640625" customWidth="1"/>
    <col min="2561" max="2561" width="42.44140625" bestFit="1" customWidth="1"/>
    <col min="2562" max="2562" width="20.6640625" bestFit="1" customWidth="1"/>
    <col min="2563" max="2578" width="3.6640625" customWidth="1"/>
    <col min="2579" max="2579" width="7.44140625" customWidth="1"/>
    <col min="2580" max="2580" width="18.33203125" bestFit="1" customWidth="1"/>
    <col min="2814" max="2814" width="4.44140625" customWidth="1"/>
    <col min="2815" max="2815" width="14.6640625" customWidth="1"/>
    <col min="2816" max="2816" width="13.6640625" customWidth="1"/>
    <col min="2817" max="2817" width="42.44140625" bestFit="1" customWidth="1"/>
    <col min="2818" max="2818" width="20.6640625" bestFit="1" customWidth="1"/>
    <col min="2819" max="2834" width="3.6640625" customWidth="1"/>
    <col min="2835" max="2835" width="7.44140625" customWidth="1"/>
    <col min="2836" max="2836" width="18.33203125" bestFit="1" customWidth="1"/>
    <col min="3070" max="3070" width="4.44140625" customWidth="1"/>
    <col min="3071" max="3071" width="14.6640625" customWidth="1"/>
    <col min="3072" max="3072" width="13.6640625" customWidth="1"/>
    <col min="3073" max="3073" width="42.44140625" bestFit="1" customWidth="1"/>
    <col min="3074" max="3074" width="20.6640625" bestFit="1" customWidth="1"/>
    <col min="3075" max="3090" width="3.6640625" customWidth="1"/>
    <col min="3091" max="3091" width="7.44140625" customWidth="1"/>
    <col min="3092" max="3092" width="18.33203125" bestFit="1" customWidth="1"/>
    <col min="3326" max="3326" width="4.44140625" customWidth="1"/>
    <col min="3327" max="3327" width="14.6640625" customWidth="1"/>
    <col min="3328" max="3328" width="13.6640625" customWidth="1"/>
    <col min="3329" max="3329" width="42.44140625" bestFit="1" customWidth="1"/>
    <col min="3330" max="3330" width="20.6640625" bestFit="1" customWidth="1"/>
    <col min="3331" max="3346" width="3.6640625" customWidth="1"/>
    <col min="3347" max="3347" width="7.44140625" customWidth="1"/>
    <col min="3348" max="3348" width="18.33203125" bestFit="1" customWidth="1"/>
    <col min="3582" max="3582" width="4.44140625" customWidth="1"/>
    <col min="3583" max="3583" width="14.6640625" customWidth="1"/>
    <col min="3584" max="3584" width="13.6640625" customWidth="1"/>
    <col min="3585" max="3585" width="42.44140625" bestFit="1" customWidth="1"/>
    <col min="3586" max="3586" width="20.6640625" bestFit="1" customWidth="1"/>
    <col min="3587" max="3602" width="3.6640625" customWidth="1"/>
    <col min="3603" max="3603" width="7.44140625" customWidth="1"/>
    <col min="3604" max="3604" width="18.33203125" bestFit="1" customWidth="1"/>
    <col min="3838" max="3838" width="4.44140625" customWidth="1"/>
    <col min="3839" max="3839" width="14.6640625" customWidth="1"/>
    <col min="3840" max="3840" width="13.6640625" customWidth="1"/>
    <col min="3841" max="3841" width="42.44140625" bestFit="1" customWidth="1"/>
    <col min="3842" max="3842" width="20.6640625" bestFit="1" customWidth="1"/>
    <col min="3843" max="3858" width="3.6640625" customWidth="1"/>
    <col min="3859" max="3859" width="7.44140625" customWidth="1"/>
    <col min="3860" max="3860" width="18.33203125" bestFit="1" customWidth="1"/>
    <col min="4094" max="4094" width="4.44140625" customWidth="1"/>
    <col min="4095" max="4095" width="14.6640625" customWidth="1"/>
    <col min="4096" max="4096" width="13.6640625" customWidth="1"/>
    <col min="4097" max="4097" width="42.44140625" bestFit="1" customWidth="1"/>
    <col min="4098" max="4098" width="20.6640625" bestFit="1" customWidth="1"/>
    <col min="4099" max="4114" width="3.6640625" customWidth="1"/>
    <col min="4115" max="4115" width="7.44140625" customWidth="1"/>
    <col min="4116" max="4116" width="18.33203125" bestFit="1" customWidth="1"/>
    <col min="4350" max="4350" width="4.44140625" customWidth="1"/>
    <col min="4351" max="4351" width="14.6640625" customWidth="1"/>
    <col min="4352" max="4352" width="13.6640625" customWidth="1"/>
    <col min="4353" max="4353" width="42.44140625" bestFit="1" customWidth="1"/>
    <col min="4354" max="4354" width="20.6640625" bestFit="1" customWidth="1"/>
    <col min="4355" max="4370" width="3.6640625" customWidth="1"/>
    <col min="4371" max="4371" width="7.44140625" customWidth="1"/>
    <col min="4372" max="4372" width="18.33203125" bestFit="1" customWidth="1"/>
    <col min="4606" max="4606" width="4.44140625" customWidth="1"/>
    <col min="4607" max="4607" width="14.6640625" customWidth="1"/>
    <col min="4608" max="4608" width="13.6640625" customWidth="1"/>
    <col min="4609" max="4609" width="42.44140625" bestFit="1" customWidth="1"/>
    <col min="4610" max="4610" width="20.6640625" bestFit="1" customWidth="1"/>
    <col min="4611" max="4626" width="3.6640625" customWidth="1"/>
    <col min="4627" max="4627" width="7.44140625" customWidth="1"/>
    <col min="4628" max="4628" width="18.33203125" bestFit="1" customWidth="1"/>
    <col min="4862" max="4862" width="4.44140625" customWidth="1"/>
    <col min="4863" max="4863" width="14.6640625" customWidth="1"/>
    <col min="4864" max="4864" width="13.6640625" customWidth="1"/>
    <col min="4865" max="4865" width="42.44140625" bestFit="1" customWidth="1"/>
    <col min="4866" max="4866" width="20.6640625" bestFit="1" customWidth="1"/>
    <col min="4867" max="4882" width="3.6640625" customWidth="1"/>
    <col min="4883" max="4883" width="7.44140625" customWidth="1"/>
    <col min="4884" max="4884" width="18.33203125" bestFit="1" customWidth="1"/>
    <col min="5118" max="5118" width="4.44140625" customWidth="1"/>
    <col min="5119" max="5119" width="14.6640625" customWidth="1"/>
    <col min="5120" max="5120" width="13.6640625" customWidth="1"/>
    <col min="5121" max="5121" width="42.44140625" bestFit="1" customWidth="1"/>
    <col min="5122" max="5122" width="20.6640625" bestFit="1" customWidth="1"/>
    <col min="5123" max="5138" width="3.6640625" customWidth="1"/>
    <col min="5139" max="5139" width="7.44140625" customWidth="1"/>
    <col min="5140" max="5140" width="18.33203125" bestFit="1" customWidth="1"/>
    <col min="5374" max="5374" width="4.44140625" customWidth="1"/>
    <col min="5375" max="5375" width="14.6640625" customWidth="1"/>
    <col min="5376" max="5376" width="13.6640625" customWidth="1"/>
    <col min="5377" max="5377" width="42.44140625" bestFit="1" customWidth="1"/>
    <col min="5378" max="5378" width="20.6640625" bestFit="1" customWidth="1"/>
    <col min="5379" max="5394" width="3.6640625" customWidth="1"/>
    <col min="5395" max="5395" width="7.44140625" customWidth="1"/>
    <col min="5396" max="5396" width="18.33203125" bestFit="1" customWidth="1"/>
    <col min="5630" max="5630" width="4.44140625" customWidth="1"/>
    <col min="5631" max="5631" width="14.6640625" customWidth="1"/>
    <col min="5632" max="5632" width="13.6640625" customWidth="1"/>
    <col min="5633" max="5633" width="42.44140625" bestFit="1" customWidth="1"/>
    <col min="5634" max="5634" width="20.6640625" bestFit="1" customWidth="1"/>
    <col min="5635" max="5650" width="3.6640625" customWidth="1"/>
    <col min="5651" max="5651" width="7.44140625" customWidth="1"/>
    <col min="5652" max="5652" width="18.33203125" bestFit="1" customWidth="1"/>
    <col min="5886" max="5886" width="4.44140625" customWidth="1"/>
    <col min="5887" max="5887" width="14.6640625" customWidth="1"/>
    <col min="5888" max="5888" width="13.6640625" customWidth="1"/>
    <col min="5889" max="5889" width="42.44140625" bestFit="1" customWidth="1"/>
    <col min="5890" max="5890" width="20.6640625" bestFit="1" customWidth="1"/>
    <col min="5891" max="5906" width="3.6640625" customWidth="1"/>
    <col min="5907" max="5907" width="7.44140625" customWidth="1"/>
    <col min="5908" max="5908" width="18.33203125" bestFit="1" customWidth="1"/>
    <col min="6142" max="6142" width="4.44140625" customWidth="1"/>
    <col min="6143" max="6143" width="14.6640625" customWidth="1"/>
    <col min="6144" max="6144" width="13.6640625" customWidth="1"/>
    <col min="6145" max="6145" width="42.44140625" bestFit="1" customWidth="1"/>
    <col min="6146" max="6146" width="20.6640625" bestFit="1" customWidth="1"/>
    <col min="6147" max="6162" width="3.6640625" customWidth="1"/>
    <col min="6163" max="6163" width="7.44140625" customWidth="1"/>
    <col min="6164" max="6164" width="18.33203125" bestFit="1" customWidth="1"/>
    <col min="6398" max="6398" width="4.44140625" customWidth="1"/>
    <col min="6399" max="6399" width="14.6640625" customWidth="1"/>
    <col min="6400" max="6400" width="13.6640625" customWidth="1"/>
    <col min="6401" max="6401" width="42.44140625" bestFit="1" customWidth="1"/>
    <col min="6402" max="6402" width="20.6640625" bestFit="1" customWidth="1"/>
    <col min="6403" max="6418" width="3.6640625" customWidth="1"/>
    <col min="6419" max="6419" width="7.44140625" customWidth="1"/>
    <col min="6420" max="6420" width="18.33203125" bestFit="1" customWidth="1"/>
    <col min="6654" max="6654" width="4.44140625" customWidth="1"/>
    <col min="6655" max="6655" width="14.6640625" customWidth="1"/>
    <col min="6656" max="6656" width="13.6640625" customWidth="1"/>
    <col min="6657" max="6657" width="42.44140625" bestFit="1" customWidth="1"/>
    <col min="6658" max="6658" width="20.6640625" bestFit="1" customWidth="1"/>
    <col min="6659" max="6674" width="3.6640625" customWidth="1"/>
    <col min="6675" max="6675" width="7.44140625" customWidth="1"/>
    <col min="6676" max="6676" width="18.33203125" bestFit="1" customWidth="1"/>
    <col min="6910" max="6910" width="4.44140625" customWidth="1"/>
    <col min="6911" max="6911" width="14.6640625" customWidth="1"/>
    <col min="6912" max="6912" width="13.6640625" customWidth="1"/>
    <col min="6913" max="6913" width="42.44140625" bestFit="1" customWidth="1"/>
    <col min="6914" max="6914" width="20.6640625" bestFit="1" customWidth="1"/>
    <col min="6915" max="6930" width="3.6640625" customWidth="1"/>
    <col min="6931" max="6931" width="7.44140625" customWidth="1"/>
    <col min="6932" max="6932" width="18.33203125" bestFit="1" customWidth="1"/>
    <col min="7166" max="7166" width="4.44140625" customWidth="1"/>
    <col min="7167" max="7167" width="14.6640625" customWidth="1"/>
    <col min="7168" max="7168" width="13.6640625" customWidth="1"/>
    <col min="7169" max="7169" width="42.44140625" bestFit="1" customWidth="1"/>
    <col min="7170" max="7170" width="20.6640625" bestFit="1" customWidth="1"/>
    <col min="7171" max="7186" width="3.6640625" customWidth="1"/>
    <col min="7187" max="7187" width="7.44140625" customWidth="1"/>
    <col min="7188" max="7188" width="18.33203125" bestFit="1" customWidth="1"/>
    <col min="7422" max="7422" width="4.44140625" customWidth="1"/>
    <col min="7423" max="7423" width="14.6640625" customWidth="1"/>
    <col min="7424" max="7424" width="13.6640625" customWidth="1"/>
    <col min="7425" max="7425" width="42.44140625" bestFit="1" customWidth="1"/>
    <col min="7426" max="7426" width="20.6640625" bestFit="1" customWidth="1"/>
    <col min="7427" max="7442" width="3.6640625" customWidth="1"/>
    <col min="7443" max="7443" width="7.44140625" customWidth="1"/>
    <col min="7444" max="7444" width="18.33203125" bestFit="1" customWidth="1"/>
    <col min="7678" max="7678" width="4.44140625" customWidth="1"/>
    <col min="7679" max="7679" width="14.6640625" customWidth="1"/>
    <col min="7680" max="7680" width="13.6640625" customWidth="1"/>
    <col min="7681" max="7681" width="42.44140625" bestFit="1" customWidth="1"/>
    <col min="7682" max="7682" width="20.6640625" bestFit="1" customWidth="1"/>
    <col min="7683" max="7698" width="3.6640625" customWidth="1"/>
    <col min="7699" max="7699" width="7.44140625" customWidth="1"/>
    <col min="7700" max="7700" width="18.33203125" bestFit="1" customWidth="1"/>
    <col min="7934" max="7934" width="4.44140625" customWidth="1"/>
    <col min="7935" max="7935" width="14.6640625" customWidth="1"/>
    <col min="7936" max="7936" width="13.6640625" customWidth="1"/>
    <col min="7937" max="7937" width="42.44140625" bestFit="1" customWidth="1"/>
    <col min="7938" max="7938" width="20.6640625" bestFit="1" customWidth="1"/>
    <col min="7939" max="7954" width="3.6640625" customWidth="1"/>
    <col min="7955" max="7955" width="7.44140625" customWidth="1"/>
    <col min="7956" max="7956" width="18.33203125" bestFit="1" customWidth="1"/>
    <col min="8190" max="8190" width="4.44140625" customWidth="1"/>
    <col min="8191" max="8191" width="14.6640625" customWidth="1"/>
    <col min="8192" max="8192" width="13.6640625" customWidth="1"/>
    <col min="8193" max="8193" width="42.44140625" bestFit="1" customWidth="1"/>
    <col min="8194" max="8194" width="20.6640625" bestFit="1" customWidth="1"/>
    <col min="8195" max="8210" width="3.6640625" customWidth="1"/>
    <col min="8211" max="8211" width="7.44140625" customWidth="1"/>
    <col min="8212" max="8212" width="18.33203125" bestFit="1" customWidth="1"/>
    <col min="8446" max="8446" width="4.44140625" customWidth="1"/>
    <col min="8447" max="8447" width="14.6640625" customWidth="1"/>
    <col min="8448" max="8448" width="13.6640625" customWidth="1"/>
    <col min="8449" max="8449" width="42.44140625" bestFit="1" customWidth="1"/>
    <col min="8450" max="8450" width="20.6640625" bestFit="1" customWidth="1"/>
    <col min="8451" max="8466" width="3.6640625" customWidth="1"/>
    <col min="8467" max="8467" width="7.44140625" customWidth="1"/>
    <col min="8468" max="8468" width="18.33203125" bestFit="1" customWidth="1"/>
    <col min="8702" max="8702" width="4.44140625" customWidth="1"/>
    <col min="8703" max="8703" width="14.6640625" customWidth="1"/>
    <col min="8704" max="8704" width="13.6640625" customWidth="1"/>
    <col min="8705" max="8705" width="42.44140625" bestFit="1" customWidth="1"/>
    <col min="8706" max="8706" width="20.6640625" bestFit="1" customWidth="1"/>
    <col min="8707" max="8722" width="3.6640625" customWidth="1"/>
    <col min="8723" max="8723" width="7.44140625" customWidth="1"/>
    <col min="8724" max="8724" width="18.33203125" bestFit="1" customWidth="1"/>
    <col min="8958" max="8958" width="4.44140625" customWidth="1"/>
    <col min="8959" max="8959" width="14.6640625" customWidth="1"/>
    <col min="8960" max="8960" width="13.6640625" customWidth="1"/>
    <col min="8961" max="8961" width="42.44140625" bestFit="1" customWidth="1"/>
    <col min="8962" max="8962" width="20.6640625" bestFit="1" customWidth="1"/>
    <col min="8963" max="8978" width="3.6640625" customWidth="1"/>
    <col min="8979" max="8979" width="7.44140625" customWidth="1"/>
    <col min="8980" max="8980" width="18.33203125" bestFit="1" customWidth="1"/>
    <col min="9214" max="9214" width="4.44140625" customWidth="1"/>
    <col min="9215" max="9215" width="14.6640625" customWidth="1"/>
    <col min="9216" max="9216" width="13.6640625" customWidth="1"/>
    <col min="9217" max="9217" width="42.44140625" bestFit="1" customWidth="1"/>
    <col min="9218" max="9218" width="20.6640625" bestFit="1" customWidth="1"/>
    <col min="9219" max="9234" width="3.6640625" customWidth="1"/>
    <col min="9235" max="9235" width="7.44140625" customWidth="1"/>
    <col min="9236" max="9236" width="18.33203125" bestFit="1" customWidth="1"/>
    <col min="9470" max="9470" width="4.44140625" customWidth="1"/>
    <col min="9471" max="9471" width="14.6640625" customWidth="1"/>
    <col min="9472" max="9472" width="13.6640625" customWidth="1"/>
    <col min="9473" max="9473" width="42.44140625" bestFit="1" customWidth="1"/>
    <col min="9474" max="9474" width="20.6640625" bestFit="1" customWidth="1"/>
    <col min="9475" max="9490" width="3.6640625" customWidth="1"/>
    <col min="9491" max="9491" width="7.44140625" customWidth="1"/>
    <col min="9492" max="9492" width="18.33203125" bestFit="1" customWidth="1"/>
    <col min="9726" max="9726" width="4.44140625" customWidth="1"/>
    <col min="9727" max="9727" width="14.6640625" customWidth="1"/>
    <col min="9728" max="9728" width="13.6640625" customWidth="1"/>
    <col min="9729" max="9729" width="42.44140625" bestFit="1" customWidth="1"/>
    <col min="9730" max="9730" width="20.6640625" bestFit="1" customWidth="1"/>
    <col min="9731" max="9746" width="3.6640625" customWidth="1"/>
    <col min="9747" max="9747" width="7.44140625" customWidth="1"/>
    <col min="9748" max="9748" width="18.33203125" bestFit="1" customWidth="1"/>
    <col min="9982" max="9982" width="4.44140625" customWidth="1"/>
    <col min="9983" max="9983" width="14.6640625" customWidth="1"/>
    <col min="9984" max="9984" width="13.6640625" customWidth="1"/>
    <col min="9985" max="9985" width="42.44140625" bestFit="1" customWidth="1"/>
    <col min="9986" max="9986" width="20.6640625" bestFit="1" customWidth="1"/>
    <col min="9987" max="10002" width="3.6640625" customWidth="1"/>
    <col min="10003" max="10003" width="7.44140625" customWidth="1"/>
    <col min="10004" max="10004" width="18.33203125" bestFit="1" customWidth="1"/>
    <col min="10238" max="10238" width="4.44140625" customWidth="1"/>
    <col min="10239" max="10239" width="14.6640625" customWidth="1"/>
    <col min="10240" max="10240" width="13.6640625" customWidth="1"/>
    <col min="10241" max="10241" width="42.44140625" bestFit="1" customWidth="1"/>
    <col min="10242" max="10242" width="20.6640625" bestFit="1" customWidth="1"/>
    <col min="10243" max="10258" width="3.6640625" customWidth="1"/>
    <col min="10259" max="10259" width="7.44140625" customWidth="1"/>
    <col min="10260" max="10260" width="18.33203125" bestFit="1" customWidth="1"/>
    <col min="10494" max="10494" width="4.44140625" customWidth="1"/>
    <col min="10495" max="10495" width="14.6640625" customWidth="1"/>
    <col min="10496" max="10496" width="13.6640625" customWidth="1"/>
    <col min="10497" max="10497" width="42.44140625" bestFit="1" customWidth="1"/>
    <col min="10498" max="10498" width="20.6640625" bestFit="1" customWidth="1"/>
    <col min="10499" max="10514" width="3.6640625" customWidth="1"/>
    <col min="10515" max="10515" width="7.44140625" customWidth="1"/>
    <col min="10516" max="10516" width="18.33203125" bestFit="1" customWidth="1"/>
    <col min="10750" max="10750" width="4.44140625" customWidth="1"/>
    <col min="10751" max="10751" width="14.6640625" customWidth="1"/>
    <col min="10752" max="10752" width="13.6640625" customWidth="1"/>
    <col min="10753" max="10753" width="42.44140625" bestFit="1" customWidth="1"/>
    <col min="10754" max="10754" width="20.6640625" bestFit="1" customWidth="1"/>
    <col min="10755" max="10770" width="3.6640625" customWidth="1"/>
    <col min="10771" max="10771" width="7.44140625" customWidth="1"/>
    <col min="10772" max="10772" width="18.33203125" bestFit="1" customWidth="1"/>
    <col min="11006" max="11006" width="4.44140625" customWidth="1"/>
    <col min="11007" max="11007" width="14.6640625" customWidth="1"/>
    <col min="11008" max="11008" width="13.6640625" customWidth="1"/>
    <col min="11009" max="11009" width="42.44140625" bestFit="1" customWidth="1"/>
    <col min="11010" max="11010" width="20.6640625" bestFit="1" customWidth="1"/>
    <col min="11011" max="11026" width="3.6640625" customWidth="1"/>
    <col min="11027" max="11027" width="7.44140625" customWidth="1"/>
    <col min="11028" max="11028" width="18.33203125" bestFit="1" customWidth="1"/>
    <col min="11262" max="11262" width="4.44140625" customWidth="1"/>
    <col min="11263" max="11263" width="14.6640625" customWidth="1"/>
    <col min="11264" max="11264" width="13.6640625" customWidth="1"/>
    <col min="11265" max="11265" width="42.44140625" bestFit="1" customWidth="1"/>
    <col min="11266" max="11266" width="20.6640625" bestFit="1" customWidth="1"/>
    <col min="11267" max="11282" width="3.6640625" customWidth="1"/>
    <col min="11283" max="11283" width="7.44140625" customWidth="1"/>
    <col min="11284" max="11284" width="18.33203125" bestFit="1" customWidth="1"/>
    <col min="11518" max="11518" width="4.44140625" customWidth="1"/>
    <col min="11519" max="11519" width="14.6640625" customWidth="1"/>
    <col min="11520" max="11520" width="13.6640625" customWidth="1"/>
    <col min="11521" max="11521" width="42.44140625" bestFit="1" customWidth="1"/>
    <col min="11522" max="11522" width="20.6640625" bestFit="1" customWidth="1"/>
    <col min="11523" max="11538" width="3.6640625" customWidth="1"/>
    <col min="11539" max="11539" width="7.44140625" customWidth="1"/>
    <col min="11540" max="11540" width="18.33203125" bestFit="1" customWidth="1"/>
    <col min="11774" max="11774" width="4.44140625" customWidth="1"/>
    <col min="11775" max="11775" width="14.6640625" customWidth="1"/>
    <col min="11776" max="11776" width="13.6640625" customWidth="1"/>
    <col min="11777" max="11777" width="42.44140625" bestFit="1" customWidth="1"/>
    <col min="11778" max="11778" width="20.6640625" bestFit="1" customWidth="1"/>
    <col min="11779" max="11794" width="3.6640625" customWidth="1"/>
    <col min="11795" max="11795" width="7.44140625" customWidth="1"/>
    <col min="11796" max="11796" width="18.33203125" bestFit="1" customWidth="1"/>
    <col min="12030" max="12030" width="4.44140625" customWidth="1"/>
    <col min="12031" max="12031" width="14.6640625" customWidth="1"/>
    <col min="12032" max="12032" width="13.6640625" customWidth="1"/>
    <col min="12033" max="12033" width="42.44140625" bestFit="1" customWidth="1"/>
    <col min="12034" max="12034" width="20.6640625" bestFit="1" customWidth="1"/>
    <col min="12035" max="12050" width="3.6640625" customWidth="1"/>
    <col min="12051" max="12051" width="7.44140625" customWidth="1"/>
    <col min="12052" max="12052" width="18.33203125" bestFit="1" customWidth="1"/>
    <col min="12286" max="12286" width="4.44140625" customWidth="1"/>
    <col min="12287" max="12287" width="14.6640625" customWidth="1"/>
    <col min="12288" max="12288" width="13.6640625" customWidth="1"/>
    <col min="12289" max="12289" width="42.44140625" bestFit="1" customWidth="1"/>
    <col min="12290" max="12290" width="20.6640625" bestFit="1" customWidth="1"/>
    <col min="12291" max="12306" width="3.6640625" customWidth="1"/>
    <col min="12307" max="12307" width="7.44140625" customWidth="1"/>
    <col min="12308" max="12308" width="18.33203125" bestFit="1" customWidth="1"/>
    <col min="12542" max="12542" width="4.44140625" customWidth="1"/>
    <col min="12543" max="12543" width="14.6640625" customWidth="1"/>
    <col min="12544" max="12544" width="13.6640625" customWidth="1"/>
    <col min="12545" max="12545" width="42.44140625" bestFit="1" customWidth="1"/>
    <col min="12546" max="12546" width="20.6640625" bestFit="1" customWidth="1"/>
    <col min="12547" max="12562" width="3.6640625" customWidth="1"/>
    <col min="12563" max="12563" width="7.44140625" customWidth="1"/>
    <col min="12564" max="12564" width="18.33203125" bestFit="1" customWidth="1"/>
    <col min="12798" max="12798" width="4.44140625" customWidth="1"/>
    <col min="12799" max="12799" width="14.6640625" customWidth="1"/>
    <col min="12800" max="12800" width="13.6640625" customWidth="1"/>
    <col min="12801" max="12801" width="42.44140625" bestFit="1" customWidth="1"/>
    <col min="12802" max="12802" width="20.6640625" bestFit="1" customWidth="1"/>
    <col min="12803" max="12818" width="3.6640625" customWidth="1"/>
    <col min="12819" max="12819" width="7.44140625" customWidth="1"/>
    <col min="12820" max="12820" width="18.33203125" bestFit="1" customWidth="1"/>
    <col min="13054" max="13054" width="4.44140625" customWidth="1"/>
    <col min="13055" max="13055" width="14.6640625" customWidth="1"/>
    <col min="13056" max="13056" width="13.6640625" customWidth="1"/>
    <col min="13057" max="13057" width="42.44140625" bestFit="1" customWidth="1"/>
    <col min="13058" max="13058" width="20.6640625" bestFit="1" customWidth="1"/>
    <col min="13059" max="13074" width="3.6640625" customWidth="1"/>
    <col min="13075" max="13075" width="7.44140625" customWidth="1"/>
    <col min="13076" max="13076" width="18.33203125" bestFit="1" customWidth="1"/>
    <col min="13310" max="13310" width="4.44140625" customWidth="1"/>
    <col min="13311" max="13311" width="14.6640625" customWidth="1"/>
    <col min="13312" max="13312" width="13.6640625" customWidth="1"/>
    <col min="13313" max="13313" width="42.44140625" bestFit="1" customWidth="1"/>
    <col min="13314" max="13314" width="20.6640625" bestFit="1" customWidth="1"/>
    <col min="13315" max="13330" width="3.6640625" customWidth="1"/>
    <col min="13331" max="13331" width="7.44140625" customWidth="1"/>
    <col min="13332" max="13332" width="18.33203125" bestFit="1" customWidth="1"/>
    <col min="13566" max="13566" width="4.44140625" customWidth="1"/>
    <col min="13567" max="13567" width="14.6640625" customWidth="1"/>
    <col min="13568" max="13568" width="13.6640625" customWidth="1"/>
    <col min="13569" max="13569" width="42.44140625" bestFit="1" customWidth="1"/>
    <col min="13570" max="13570" width="20.6640625" bestFit="1" customWidth="1"/>
    <col min="13571" max="13586" width="3.6640625" customWidth="1"/>
    <col min="13587" max="13587" width="7.44140625" customWidth="1"/>
    <col min="13588" max="13588" width="18.33203125" bestFit="1" customWidth="1"/>
    <col min="13822" max="13822" width="4.44140625" customWidth="1"/>
    <col min="13823" max="13823" width="14.6640625" customWidth="1"/>
    <col min="13824" max="13824" width="13.6640625" customWidth="1"/>
    <col min="13825" max="13825" width="42.44140625" bestFit="1" customWidth="1"/>
    <col min="13826" max="13826" width="20.6640625" bestFit="1" customWidth="1"/>
    <col min="13827" max="13842" width="3.6640625" customWidth="1"/>
    <col min="13843" max="13843" width="7.44140625" customWidth="1"/>
    <col min="13844" max="13844" width="18.33203125" bestFit="1" customWidth="1"/>
    <col min="14078" max="14078" width="4.44140625" customWidth="1"/>
    <col min="14079" max="14079" width="14.6640625" customWidth="1"/>
    <col min="14080" max="14080" width="13.6640625" customWidth="1"/>
    <col min="14081" max="14081" width="42.44140625" bestFit="1" customWidth="1"/>
    <col min="14082" max="14082" width="20.6640625" bestFit="1" customWidth="1"/>
    <col min="14083" max="14098" width="3.6640625" customWidth="1"/>
    <col min="14099" max="14099" width="7.44140625" customWidth="1"/>
    <col min="14100" max="14100" width="18.33203125" bestFit="1" customWidth="1"/>
    <col min="14334" max="14334" width="4.44140625" customWidth="1"/>
    <col min="14335" max="14335" width="14.6640625" customWidth="1"/>
    <col min="14336" max="14336" width="13.6640625" customWidth="1"/>
    <col min="14337" max="14337" width="42.44140625" bestFit="1" customWidth="1"/>
    <col min="14338" max="14338" width="20.6640625" bestFit="1" customWidth="1"/>
    <col min="14339" max="14354" width="3.6640625" customWidth="1"/>
    <col min="14355" max="14355" width="7.44140625" customWidth="1"/>
    <col min="14356" max="14356" width="18.33203125" bestFit="1" customWidth="1"/>
    <col min="14590" max="14590" width="4.44140625" customWidth="1"/>
    <col min="14591" max="14591" width="14.6640625" customWidth="1"/>
    <col min="14592" max="14592" width="13.6640625" customWidth="1"/>
    <col min="14593" max="14593" width="42.44140625" bestFit="1" customWidth="1"/>
    <col min="14594" max="14594" width="20.6640625" bestFit="1" customWidth="1"/>
    <col min="14595" max="14610" width="3.6640625" customWidth="1"/>
    <col min="14611" max="14611" width="7.44140625" customWidth="1"/>
    <col min="14612" max="14612" width="18.33203125" bestFit="1" customWidth="1"/>
    <col min="14846" max="14846" width="4.44140625" customWidth="1"/>
    <col min="14847" max="14847" width="14.6640625" customWidth="1"/>
    <col min="14848" max="14848" width="13.6640625" customWidth="1"/>
    <col min="14849" max="14849" width="42.44140625" bestFit="1" customWidth="1"/>
    <col min="14850" max="14850" width="20.6640625" bestFit="1" customWidth="1"/>
    <col min="14851" max="14866" width="3.6640625" customWidth="1"/>
    <col min="14867" max="14867" width="7.44140625" customWidth="1"/>
    <col min="14868" max="14868" width="18.33203125" bestFit="1" customWidth="1"/>
    <col min="15102" max="15102" width="4.44140625" customWidth="1"/>
    <col min="15103" max="15103" width="14.6640625" customWidth="1"/>
    <col min="15104" max="15104" width="13.6640625" customWidth="1"/>
    <col min="15105" max="15105" width="42.44140625" bestFit="1" customWidth="1"/>
    <col min="15106" max="15106" width="20.6640625" bestFit="1" customWidth="1"/>
    <col min="15107" max="15122" width="3.6640625" customWidth="1"/>
    <col min="15123" max="15123" width="7.44140625" customWidth="1"/>
    <col min="15124" max="15124" width="18.33203125" bestFit="1" customWidth="1"/>
    <col min="15358" max="15358" width="4.44140625" customWidth="1"/>
    <col min="15359" max="15359" width="14.6640625" customWidth="1"/>
    <col min="15360" max="15360" width="13.6640625" customWidth="1"/>
    <col min="15361" max="15361" width="42.44140625" bestFit="1" customWidth="1"/>
    <col min="15362" max="15362" width="20.6640625" bestFit="1" customWidth="1"/>
    <col min="15363" max="15378" width="3.6640625" customWidth="1"/>
    <col min="15379" max="15379" width="7.44140625" customWidth="1"/>
    <col min="15380" max="15380" width="18.33203125" bestFit="1" customWidth="1"/>
    <col min="15614" max="15614" width="4.44140625" customWidth="1"/>
    <col min="15615" max="15615" width="14.6640625" customWidth="1"/>
    <col min="15616" max="15616" width="13.6640625" customWidth="1"/>
    <col min="15617" max="15617" width="42.44140625" bestFit="1" customWidth="1"/>
    <col min="15618" max="15618" width="20.6640625" bestFit="1" customWidth="1"/>
    <col min="15619" max="15634" width="3.6640625" customWidth="1"/>
    <col min="15635" max="15635" width="7.44140625" customWidth="1"/>
    <col min="15636" max="15636" width="18.33203125" bestFit="1" customWidth="1"/>
    <col min="15870" max="15870" width="4.44140625" customWidth="1"/>
    <col min="15871" max="15871" width="14.6640625" customWidth="1"/>
    <col min="15872" max="15872" width="13.6640625" customWidth="1"/>
    <col min="15873" max="15873" width="42.44140625" bestFit="1" customWidth="1"/>
    <col min="15874" max="15874" width="20.6640625" bestFit="1" customWidth="1"/>
    <col min="15875" max="15890" width="3.6640625" customWidth="1"/>
    <col min="15891" max="15891" width="7.44140625" customWidth="1"/>
    <col min="15892" max="15892" width="18.33203125" bestFit="1" customWidth="1"/>
    <col min="16126" max="16126" width="4.44140625" customWidth="1"/>
    <col min="16127" max="16127" width="14.6640625" customWidth="1"/>
    <col min="16128" max="16128" width="13.6640625" customWidth="1"/>
    <col min="16129" max="16129" width="42.44140625" bestFit="1" customWidth="1"/>
    <col min="16130" max="16130" width="20.6640625" bestFit="1" customWidth="1"/>
    <col min="16131" max="16146" width="3.6640625" customWidth="1"/>
    <col min="16147" max="16147" width="7.44140625" customWidth="1"/>
    <col min="16148" max="16148" width="18.33203125" bestFit="1" customWidth="1"/>
    <col min="16382" max="16382" width="4.44140625" customWidth="1"/>
    <col min="16383" max="16383" width="14.6640625" customWidth="1"/>
    <col min="16384" max="16384" width="13.6640625" customWidth="1"/>
  </cols>
  <sheetData>
    <row r="1" spans="1:301" ht="15.6">
      <c r="A1" s="27" t="s">
        <v>3036</v>
      </c>
      <c r="I1" s="27" t="s">
        <v>3036</v>
      </c>
      <c r="Q1" s="27" t="s">
        <v>2746</v>
      </c>
      <c r="Z1" s="671" t="s">
        <v>2760</v>
      </c>
      <c r="AU1" s="27" t="s">
        <v>2533</v>
      </c>
      <c r="BR1" s="671" t="s">
        <v>2533</v>
      </c>
      <c r="CN1" s="513" t="s">
        <v>2417</v>
      </c>
      <c r="DL1" s="27" t="s">
        <v>2273</v>
      </c>
      <c r="EK1"/>
      <c r="EL1"/>
      <c r="EM1"/>
      <c r="EN1"/>
      <c r="EO1"/>
      <c r="EP1"/>
      <c r="EQ1"/>
      <c r="ER1"/>
      <c r="ES1"/>
      <c r="ET1"/>
      <c r="EU1"/>
      <c r="EV1"/>
      <c r="EW1"/>
      <c r="EX1"/>
      <c r="EY1"/>
      <c r="EZ1"/>
      <c r="FA1"/>
      <c r="FB1"/>
      <c r="FC1"/>
      <c r="FD1"/>
      <c r="FE1"/>
      <c r="FF1"/>
      <c r="IV1" s="7004" t="s">
        <v>1127</v>
      </c>
      <c r="IW1" s="7004"/>
      <c r="IX1" s="7004"/>
      <c r="IY1" s="7004"/>
      <c r="IZ1" s="7004"/>
      <c r="JA1" s="7004"/>
      <c r="JB1" s="7004"/>
      <c r="JC1" s="7004"/>
      <c r="JD1" s="7004"/>
      <c r="JE1" s="7004"/>
      <c r="JF1" s="7004"/>
      <c r="JG1" s="7004"/>
      <c r="JH1" s="7004"/>
      <c r="JI1" s="7004"/>
      <c r="JJ1" s="7004"/>
      <c r="JK1" s="7004"/>
      <c r="JL1" s="7004"/>
      <c r="JM1" s="7004"/>
      <c r="JN1" s="7004"/>
      <c r="JO1" s="7004"/>
      <c r="JP1" s="7004"/>
      <c r="JQ1" s="7004"/>
    </row>
    <row r="2" spans="1:301" ht="15.6">
      <c r="A2" s="94" t="s">
        <v>3031</v>
      </c>
      <c r="I2" s="94" t="s">
        <v>2884</v>
      </c>
      <c r="Q2" s="94" t="s">
        <v>2729</v>
      </c>
      <c r="Z2" s="7018" t="s">
        <v>2758</v>
      </c>
      <c r="AA2" s="7018"/>
      <c r="AB2" s="36"/>
      <c r="AC2" s="36"/>
      <c r="AD2" s="36"/>
      <c r="AE2" s="36"/>
      <c r="AF2" s="36"/>
      <c r="AG2" s="36"/>
      <c r="AH2" s="36"/>
      <c r="AI2" s="36"/>
      <c r="AJ2" s="36"/>
      <c r="AK2" s="36"/>
      <c r="AL2" s="36"/>
      <c r="AM2" s="36"/>
      <c r="AN2" s="36"/>
      <c r="AO2" s="36"/>
      <c r="AP2" s="36"/>
      <c r="AQ2" s="36"/>
      <c r="AR2" s="36"/>
      <c r="AS2" s="36"/>
      <c r="AU2" s="94" t="s">
        <v>2577</v>
      </c>
      <c r="BR2" s="3810" t="s">
        <v>2774</v>
      </c>
      <c r="CN2" s="18" t="s">
        <v>2410</v>
      </c>
      <c r="DL2" s="1183" t="s">
        <v>2261</v>
      </c>
      <c r="EJ2" s="27" t="s">
        <v>1733</v>
      </c>
      <c r="EK2"/>
      <c r="EL2"/>
      <c r="EM2"/>
      <c r="EN2"/>
      <c r="EO2"/>
      <c r="EP2"/>
      <c r="EQ2"/>
      <c r="ER2"/>
      <c r="ES2"/>
      <c r="ET2"/>
      <c r="EU2"/>
      <c r="EV2"/>
      <c r="EW2"/>
      <c r="EX2"/>
      <c r="EY2"/>
      <c r="EZ2"/>
      <c r="FA2"/>
      <c r="FB2"/>
      <c r="FC2"/>
      <c r="FD2"/>
      <c r="FE2"/>
      <c r="FF2"/>
      <c r="FH2" s="94" t="s">
        <v>1667</v>
      </c>
      <c r="FI2" s="36"/>
      <c r="FJ2" s="36"/>
      <c r="FK2" s="36"/>
      <c r="FL2" s="36"/>
      <c r="FM2" s="36"/>
      <c r="FN2" s="36"/>
      <c r="FO2" s="36"/>
      <c r="FP2" s="36"/>
      <c r="FQ2" s="36"/>
      <c r="FR2" s="36"/>
      <c r="FS2" s="36"/>
      <c r="FT2" s="36"/>
      <c r="FU2" s="36"/>
      <c r="FV2" s="36"/>
      <c r="FW2" s="36"/>
      <c r="FX2" s="36"/>
      <c r="FY2" s="36"/>
      <c r="FZ2" s="36"/>
      <c r="GA2" s="36"/>
      <c r="GB2" s="36"/>
      <c r="GD2" s="513" t="s">
        <v>1168</v>
      </c>
      <c r="GE2" s="36"/>
      <c r="GF2" s="36"/>
      <c r="GG2" s="36"/>
      <c r="GH2" s="36"/>
      <c r="GI2" s="36"/>
      <c r="GJ2" s="36"/>
      <c r="GK2" s="36"/>
      <c r="GL2" s="36"/>
      <c r="GM2" s="36"/>
      <c r="GN2" s="36"/>
      <c r="GO2" s="36"/>
      <c r="GP2" s="36"/>
      <c r="GQ2" s="36"/>
      <c r="GR2" s="36"/>
      <c r="GS2" s="36"/>
      <c r="GT2" s="36"/>
      <c r="GU2" s="36"/>
      <c r="GV2" s="36"/>
      <c r="GW2" s="36"/>
      <c r="GX2" s="36"/>
      <c r="GY2" s="36"/>
      <c r="GZ2" s="36"/>
      <c r="HB2" s="27" t="s">
        <v>1169</v>
      </c>
      <c r="IA2" s="180" t="s">
        <v>1170</v>
      </c>
      <c r="IB2" s="402"/>
      <c r="IC2" s="402"/>
      <c r="ID2" s="402"/>
      <c r="IE2" s="402"/>
      <c r="IF2" s="402"/>
      <c r="IG2" s="402"/>
      <c r="IH2" s="402"/>
      <c r="II2" s="402"/>
      <c r="IJ2" s="402"/>
      <c r="IK2" s="402"/>
      <c r="IL2" s="402"/>
      <c r="IM2" s="402"/>
      <c r="IN2" s="402"/>
      <c r="IO2" s="402"/>
      <c r="IP2" s="402"/>
      <c r="IQ2" s="402"/>
      <c r="IR2" s="402"/>
      <c r="IV2" s="7005" t="s">
        <v>1171</v>
      </c>
      <c r="IW2" s="7005"/>
      <c r="IX2" s="7005"/>
      <c r="IY2" s="7005"/>
      <c r="IZ2" s="7005"/>
      <c r="JA2" s="7005"/>
      <c r="JB2" s="7005"/>
      <c r="JC2" s="7005"/>
      <c r="JD2" s="7005"/>
      <c r="JE2" s="7005"/>
      <c r="JF2" s="7005"/>
      <c r="JG2" s="7005"/>
      <c r="JH2" s="7005"/>
      <c r="JI2" s="7005"/>
      <c r="JJ2" s="7005"/>
      <c r="JK2" s="7005"/>
      <c r="JL2" s="7005"/>
      <c r="JM2" s="7005"/>
      <c r="JN2" s="7005"/>
      <c r="JO2" s="7005"/>
      <c r="JP2" s="7005"/>
      <c r="JQ2" s="7005"/>
    </row>
    <row r="3" spans="1:301" ht="15.6">
      <c r="A3" s="27" t="s">
        <v>2890</v>
      </c>
      <c r="D3" s="5680" t="s">
        <v>3030</v>
      </c>
      <c r="I3" s="27" t="s">
        <v>2890</v>
      </c>
      <c r="L3" s="7017" t="s">
        <v>2911</v>
      </c>
      <c r="M3" s="7017"/>
      <c r="Q3" s="27" t="s">
        <v>2747</v>
      </c>
      <c r="Z3" s="36"/>
      <c r="AA3" s="36"/>
      <c r="AB3" s="36"/>
      <c r="AC3" s="36"/>
      <c r="AD3" s="36"/>
      <c r="AE3" s="36"/>
      <c r="AF3" s="36"/>
      <c r="AG3" s="36"/>
      <c r="AH3" s="36"/>
      <c r="AI3" s="36"/>
      <c r="AJ3" s="36"/>
      <c r="AK3" s="36"/>
      <c r="AL3" s="36"/>
      <c r="AM3" s="36"/>
      <c r="AN3" s="36"/>
      <c r="AO3" s="36"/>
      <c r="AP3" s="36"/>
      <c r="AQ3" s="36"/>
      <c r="AR3" s="36"/>
      <c r="AS3" s="36"/>
      <c r="AU3" s="27" t="s">
        <v>2742</v>
      </c>
      <c r="AX3" s="4433" t="s">
        <v>2743</v>
      </c>
      <c r="BR3" s="671" t="s">
        <v>2534</v>
      </c>
      <c r="CN3" s="935" t="s">
        <v>2418</v>
      </c>
      <c r="DL3" s="935" t="s">
        <v>2274</v>
      </c>
      <c r="DM3" s="37"/>
      <c r="DN3" s="37"/>
      <c r="DO3" s="37"/>
      <c r="DP3" s="37"/>
      <c r="DQ3" s="37"/>
      <c r="DR3" s="37"/>
      <c r="DS3" s="37"/>
      <c r="DT3" s="37"/>
      <c r="DU3" s="37"/>
      <c r="DV3" s="37"/>
      <c r="DW3" s="37"/>
      <c r="DX3" s="37"/>
      <c r="DY3" s="37"/>
      <c r="DZ3" s="37"/>
      <c r="EA3" s="37"/>
      <c r="EB3" s="37"/>
      <c r="EC3" s="37"/>
      <c r="ED3" s="37"/>
      <c r="EE3" s="37"/>
      <c r="EF3" s="37"/>
      <c r="EG3" s="37"/>
      <c r="EJ3" s="1239" t="s">
        <v>1725</v>
      </c>
      <c r="EK3" s="935"/>
      <c r="EL3" s="935"/>
      <c r="EM3" s="935"/>
      <c r="EN3" s="935"/>
      <c r="EO3" s="935"/>
      <c r="EP3" s="935"/>
      <c r="EQ3" s="935"/>
      <c r="ER3" s="935"/>
      <c r="ES3" s="935"/>
      <c r="ET3" s="935"/>
      <c r="EU3" s="935"/>
      <c r="EV3" s="935"/>
      <c r="EW3" s="935"/>
      <c r="EX3" s="935"/>
      <c r="EY3" s="935"/>
      <c r="EZ3" s="935"/>
      <c r="FA3" s="935"/>
      <c r="FB3" s="935"/>
      <c r="FC3" s="935"/>
      <c r="FD3" s="935"/>
      <c r="FE3" s="935"/>
      <c r="FF3"/>
      <c r="FH3" s="1239" t="s">
        <v>1661</v>
      </c>
      <c r="FI3" s="1220"/>
      <c r="FJ3" s="1220"/>
      <c r="FK3" s="1220"/>
      <c r="FL3" s="1220"/>
      <c r="FM3" s="1220"/>
      <c r="FN3" s="1220"/>
      <c r="FO3" s="1220"/>
      <c r="FP3" s="1220"/>
      <c r="FQ3" s="1220"/>
      <c r="FR3" s="1220"/>
      <c r="FS3" s="1220"/>
      <c r="FT3" s="1220"/>
      <c r="FU3" s="1220"/>
      <c r="FV3" s="1220"/>
      <c r="FW3" s="1220"/>
      <c r="FX3" s="1220"/>
      <c r="FY3" s="1220"/>
      <c r="FZ3" s="1220"/>
      <c r="GA3" s="1220"/>
      <c r="GB3" s="36"/>
      <c r="GD3" s="27" t="s">
        <v>712</v>
      </c>
      <c r="GE3" s="588"/>
      <c r="GF3" s="588"/>
      <c r="GG3" s="588"/>
      <c r="GH3" s="588"/>
      <c r="GI3" s="588"/>
      <c r="GJ3" s="588"/>
      <c r="GK3" s="588"/>
      <c r="GL3" s="588"/>
      <c r="GM3" s="588"/>
      <c r="GN3" s="588"/>
      <c r="GO3" s="588"/>
      <c r="GP3" s="588"/>
      <c r="GQ3" s="588"/>
      <c r="GR3" s="588"/>
      <c r="GS3" s="588"/>
      <c r="GT3" s="588"/>
      <c r="GU3" s="588"/>
      <c r="GV3" s="588"/>
      <c r="GW3" s="588"/>
      <c r="GX3" s="588"/>
      <c r="GY3" s="588"/>
      <c r="GZ3" s="36"/>
      <c r="HB3" s="671" t="s">
        <v>1130</v>
      </c>
      <c r="HC3" s="589"/>
      <c r="HD3" s="589"/>
      <c r="HE3" s="589"/>
      <c r="HF3" s="589"/>
      <c r="HG3" s="589"/>
      <c r="HH3" s="589"/>
      <c r="HI3" s="589"/>
      <c r="HJ3" s="589"/>
      <c r="HK3" s="589"/>
      <c r="HL3" s="589"/>
      <c r="HM3" s="589"/>
      <c r="HN3" s="589"/>
      <c r="HO3" s="589"/>
      <c r="HP3" s="589"/>
      <c r="HQ3" s="589"/>
      <c r="HR3" s="589"/>
      <c r="HS3" s="589"/>
      <c r="HT3" s="589"/>
      <c r="HU3" s="589"/>
      <c r="HV3" s="589"/>
      <c r="HW3" s="589"/>
      <c r="HX3" s="589"/>
      <c r="IA3" s="404" t="s">
        <v>1172</v>
      </c>
      <c r="IB3" s="404"/>
      <c r="IC3" s="404"/>
      <c r="ID3" s="404"/>
      <c r="IE3" s="404"/>
      <c r="IF3" s="404"/>
      <c r="IG3" s="404"/>
      <c r="IH3" s="404"/>
      <c r="II3" s="404"/>
      <c r="IJ3" s="404"/>
      <c r="IK3" s="404"/>
      <c r="IL3" s="404"/>
      <c r="IM3" s="404"/>
      <c r="IN3" s="404"/>
      <c r="IO3" s="404"/>
      <c r="IP3" s="404"/>
      <c r="IQ3" s="404"/>
      <c r="IR3" s="404"/>
      <c r="IV3" s="7006" t="s">
        <v>1132</v>
      </c>
      <c r="IW3" s="7006"/>
      <c r="IX3" s="7006"/>
      <c r="IY3" s="7006"/>
      <c r="IZ3" s="7006"/>
      <c r="JA3" s="7006"/>
      <c r="JB3" s="7006"/>
      <c r="JC3" s="7006"/>
      <c r="JD3" s="7006"/>
      <c r="JE3" s="7006"/>
      <c r="JF3" s="7006"/>
      <c r="JG3" s="7006"/>
      <c r="JH3" s="7006"/>
      <c r="JI3" s="7006"/>
      <c r="JJ3" s="7006"/>
      <c r="JK3" s="7006"/>
      <c r="JL3" s="7006"/>
      <c r="JM3" s="7006"/>
      <c r="JN3" s="7006"/>
      <c r="JO3" s="7006"/>
      <c r="JP3" s="7006"/>
      <c r="JQ3" s="7006"/>
      <c r="JS3" s="7007" t="s">
        <v>1173</v>
      </c>
      <c r="JT3" s="7007"/>
      <c r="JU3" s="7007"/>
      <c r="JV3" s="7007"/>
      <c r="JW3" s="7007"/>
      <c r="JX3" s="7007"/>
      <c r="JY3" s="7007"/>
      <c r="JZ3" s="7007"/>
      <c r="KA3" s="7007"/>
      <c r="KB3" s="7007"/>
      <c r="KC3" s="7007"/>
      <c r="KD3" s="7007"/>
      <c r="KE3" s="7007"/>
      <c r="KF3" s="7007"/>
      <c r="KG3" s="7007"/>
      <c r="KH3" s="7007"/>
      <c r="KI3" s="7007"/>
      <c r="KJ3" s="7007"/>
      <c r="KK3" s="7007"/>
      <c r="KL3" s="7007"/>
      <c r="KM3" s="7007"/>
      <c r="KN3" s="7007"/>
      <c r="KO3" s="7007"/>
    </row>
    <row r="4" spans="1:301">
      <c r="A4" s="2026" t="s">
        <v>2419</v>
      </c>
      <c r="I4" s="2026" t="s">
        <v>2419</v>
      </c>
      <c r="Q4" s="2026" t="s">
        <v>2419</v>
      </c>
      <c r="Z4" s="36"/>
      <c r="AA4" s="36"/>
      <c r="AB4" s="36"/>
      <c r="AC4" s="36"/>
      <c r="AD4" s="36"/>
      <c r="AE4" s="36"/>
      <c r="AF4" s="36"/>
      <c r="AG4" s="36"/>
      <c r="AH4" s="36"/>
      <c r="AI4" s="36"/>
      <c r="AJ4" s="36"/>
      <c r="AK4" s="36"/>
      <c r="AL4" s="36"/>
      <c r="AM4" s="36"/>
      <c r="AN4" s="36"/>
      <c r="AO4" s="36"/>
      <c r="AP4" s="36"/>
      <c r="AQ4" s="36"/>
      <c r="AR4" s="36"/>
      <c r="AS4" s="36"/>
      <c r="AU4" s="2026" t="s">
        <v>2419</v>
      </c>
      <c r="AX4" s="4433" t="s">
        <v>2727</v>
      </c>
      <c r="BR4" s="61" t="s">
        <v>2419</v>
      </c>
      <c r="CN4" s="37" t="s">
        <v>2419</v>
      </c>
      <c r="DL4" s="37" t="s">
        <v>2275</v>
      </c>
      <c r="DM4" s="37"/>
      <c r="DN4" s="37"/>
      <c r="DO4" s="37"/>
      <c r="DP4" s="37"/>
      <c r="DQ4" s="37"/>
      <c r="DR4" s="37"/>
      <c r="DS4" s="37"/>
      <c r="DT4" s="37"/>
      <c r="DU4" s="37"/>
      <c r="DV4" s="37"/>
      <c r="DW4" s="37"/>
      <c r="DX4" s="37"/>
      <c r="DY4" s="37"/>
      <c r="DZ4" s="37"/>
      <c r="EA4" s="37"/>
      <c r="EB4" s="37"/>
      <c r="EC4" s="37"/>
      <c r="ED4" s="37"/>
      <c r="EE4" s="37"/>
      <c r="EF4" s="37"/>
      <c r="EG4" s="37"/>
      <c r="EJ4" s="935" t="s">
        <v>1734</v>
      </c>
      <c r="EK4" s="935"/>
      <c r="EL4" s="935"/>
      <c r="EM4" s="935"/>
      <c r="EN4" s="935"/>
      <c r="EO4" s="935"/>
      <c r="EP4" s="935"/>
      <c r="EQ4" s="935"/>
      <c r="ER4" s="935"/>
      <c r="ES4" s="935"/>
      <c r="ET4" s="935"/>
      <c r="EU4" s="935"/>
      <c r="EV4" s="935"/>
      <c r="EW4" s="935"/>
      <c r="EX4" s="935"/>
      <c r="EY4" s="935"/>
      <c r="EZ4" s="935"/>
      <c r="FA4" s="935"/>
      <c r="FB4" s="935"/>
      <c r="FC4" s="935"/>
      <c r="FD4" s="935"/>
      <c r="FE4" s="935"/>
      <c r="FF4"/>
      <c r="FH4" s="935" t="s">
        <v>1668</v>
      </c>
      <c r="FI4" s="1221"/>
      <c r="FJ4" s="1221"/>
      <c r="FK4" s="1221"/>
      <c r="FL4" s="1221"/>
      <c r="FM4" s="1221"/>
      <c r="FN4" s="1221"/>
      <c r="FO4" s="1221"/>
      <c r="FP4" s="1221"/>
      <c r="FQ4" s="1221"/>
      <c r="FR4" s="1221"/>
      <c r="FS4" s="1221"/>
      <c r="FT4" s="1221"/>
      <c r="FU4" s="1221"/>
      <c r="FV4" s="1221"/>
      <c r="FW4" s="1221"/>
      <c r="FX4" s="1221"/>
      <c r="FY4" s="1221"/>
      <c r="FZ4" s="1221"/>
      <c r="GA4" s="1221"/>
      <c r="GB4" s="36"/>
      <c r="GD4" s="61" t="s">
        <v>1134</v>
      </c>
      <c r="GE4" s="590"/>
      <c r="GF4" s="590"/>
      <c r="GG4" s="590"/>
      <c r="GH4" s="590"/>
      <c r="GI4" s="590"/>
      <c r="GJ4" s="590"/>
      <c r="GK4" s="590"/>
      <c r="GL4" s="590"/>
      <c r="GM4" s="590"/>
      <c r="GN4" s="590"/>
      <c r="GO4" s="590"/>
      <c r="GP4" s="590"/>
      <c r="GQ4" s="590"/>
      <c r="GR4" s="590"/>
      <c r="GS4" s="590"/>
      <c r="GT4" s="590"/>
      <c r="GU4" s="590"/>
      <c r="GV4" s="590"/>
      <c r="GW4" s="590"/>
      <c r="GX4" s="590"/>
      <c r="GY4" s="590"/>
      <c r="GZ4" s="36"/>
      <c r="HB4" s="591" t="s">
        <v>1174</v>
      </c>
      <c r="HC4" s="592"/>
      <c r="HD4" s="592"/>
      <c r="HE4" s="592"/>
      <c r="HF4" s="592"/>
      <c r="HG4" s="592"/>
      <c r="HH4" s="592"/>
      <c r="HI4" s="592"/>
      <c r="HJ4" s="592"/>
      <c r="HK4" s="592"/>
      <c r="HL4" s="592"/>
      <c r="HM4" s="592"/>
      <c r="HN4" s="592"/>
      <c r="HO4" s="592"/>
      <c r="HP4" s="592"/>
      <c r="HQ4" s="592"/>
      <c r="HR4" s="592"/>
      <c r="HS4" s="592"/>
      <c r="HT4" s="592"/>
      <c r="HU4" s="592"/>
      <c r="HV4" s="592"/>
      <c r="HW4" s="592"/>
      <c r="HX4" s="592"/>
      <c r="JQ4" s="61"/>
    </row>
    <row r="5" spans="1:301">
      <c r="A5" s="4368" t="s">
        <v>2889</v>
      </c>
      <c r="I5" s="4368" t="s">
        <v>2889</v>
      </c>
      <c r="AA5" s="2019"/>
      <c r="AB5" s="2019"/>
      <c r="AC5" s="2019"/>
      <c r="AD5" s="2019" t="s">
        <v>1136</v>
      </c>
      <c r="AE5" s="2019"/>
      <c r="AF5" s="2019"/>
      <c r="AG5" s="2019"/>
      <c r="AH5" s="2019"/>
      <c r="AI5" s="2019"/>
      <c r="AJ5" s="2019"/>
      <c r="AK5" s="2019"/>
      <c r="AL5" s="2019"/>
      <c r="AM5" s="2019"/>
      <c r="AN5" s="2019"/>
      <c r="AO5" s="2019"/>
      <c r="AP5" s="2019"/>
      <c r="AQ5" s="2019"/>
      <c r="AR5" s="2019"/>
      <c r="AS5" s="36"/>
      <c r="AU5" s="2046"/>
      <c r="AV5" s="2046"/>
      <c r="AW5" s="2046"/>
      <c r="AX5" s="2046"/>
      <c r="AY5" s="6984" t="s">
        <v>1136</v>
      </c>
      <c r="AZ5" s="6984"/>
      <c r="BA5" s="6984"/>
      <c r="BB5" s="6984"/>
      <c r="BC5" s="6984"/>
      <c r="BD5" s="6984"/>
      <c r="BE5" s="6984"/>
      <c r="BF5" s="6984"/>
      <c r="BG5" s="6984"/>
      <c r="BH5" s="6984"/>
      <c r="BI5" s="6984"/>
      <c r="BJ5" s="6984"/>
      <c r="BK5" s="6984"/>
      <c r="BL5" s="6984"/>
      <c r="BM5" s="6984"/>
      <c r="BN5" s="6984"/>
      <c r="BO5" s="2046"/>
      <c r="BP5" s="2046"/>
      <c r="BR5" s="3802"/>
      <c r="BS5" s="3802"/>
      <c r="BT5" s="3802"/>
      <c r="BU5" s="3802"/>
      <c r="BV5" s="7013" t="s">
        <v>1136</v>
      </c>
      <c r="BW5" s="7013"/>
      <c r="BX5" s="7013"/>
      <c r="BY5" s="7013"/>
      <c r="BZ5" s="7013"/>
      <c r="CA5" s="7013"/>
      <c r="CB5" s="7013"/>
      <c r="CC5" s="7013"/>
      <c r="CD5" s="7013"/>
      <c r="CE5" s="7013"/>
      <c r="CF5" s="7013"/>
      <c r="CG5" s="7013"/>
      <c r="CH5" s="7013"/>
      <c r="CI5" s="7013"/>
      <c r="CJ5" s="7013"/>
      <c r="CK5" s="3802"/>
      <c r="CN5" s="2046"/>
      <c r="CO5" s="2046"/>
      <c r="CP5" s="2046"/>
      <c r="CQ5" s="2046"/>
      <c r="CR5" s="7031" t="s">
        <v>1136</v>
      </c>
      <c r="CS5" s="7031"/>
      <c r="CT5" s="7031"/>
      <c r="CU5" s="7031"/>
      <c r="CV5" s="7031"/>
      <c r="CW5" s="7031"/>
      <c r="CX5" s="7031"/>
      <c r="CY5" s="7031"/>
      <c r="CZ5" s="7031"/>
      <c r="DA5" s="7031"/>
      <c r="DB5" s="7031"/>
      <c r="DC5" s="7031"/>
      <c r="DD5" s="7031"/>
      <c r="DE5" s="7031"/>
      <c r="DF5" s="7031"/>
      <c r="DG5" s="2046"/>
      <c r="DH5" s="2046"/>
      <c r="DI5" s="2046"/>
      <c r="DL5" s="27"/>
      <c r="DM5" s="27"/>
      <c r="DN5" s="27"/>
      <c r="DO5" s="416"/>
      <c r="DP5" s="7020" t="s">
        <v>1136</v>
      </c>
      <c r="DQ5" s="7020"/>
      <c r="DR5" s="7020"/>
      <c r="DS5" s="7020"/>
      <c r="DT5" s="7020"/>
      <c r="DU5" s="7020"/>
      <c r="DV5" s="7020"/>
      <c r="DW5" s="7020"/>
      <c r="DX5" s="7020"/>
      <c r="DY5" s="7020"/>
      <c r="DZ5" s="7020"/>
      <c r="EA5" s="7020"/>
      <c r="EB5" s="7020"/>
      <c r="EC5" s="7020"/>
      <c r="ED5" s="7020"/>
      <c r="EE5" s="7020"/>
      <c r="EF5" s="7020"/>
      <c r="EG5" s="27"/>
      <c r="EJ5" s="27"/>
      <c r="EK5" s="27"/>
      <c r="EL5" s="27"/>
      <c r="EM5" s="1183"/>
      <c r="EN5" s="7027" t="s">
        <v>1136</v>
      </c>
      <c r="EO5" s="7027"/>
      <c r="EP5" s="7027"/>
      <c r="EQ5" s="7027"/>
      <c r="ER5" s="7027"/>
      <c r="ES5" s="7027"/>
      <c r="ET5" s="7027"/>
      <c r="EU5" s="7027"/>
      <c r="EV5" s="7027"/>
      <c r="EW5" s="7027"/>
      <c r="EX5" s="7027"/>
      <c r="EY5" s="7027"/>
      <c r="EZ5" s="7027"/>
      <c r="FA5" s="7027"/>
      <c r="FB5" s="7027"/>
      <c r="FC5" s="7027"/>
      <c r="FD5" s="7027"/>
      <c r="FE5" s="27"/>
      <c r="FF5" s="27"/>
      <c r="FH5" s="393"/>
      <c r="FI5" s="1222"/>
      <c r="FJ5" s="1222"/>
      <c r="FK5" s="1222"/>
      <c r="FL5" s="7028" t="s">
        <v>1136</v>
      </c>
      <c r="FM5" s="7029"/>
      <c r="FN5" s="7029"/>
      <c r="FO5" s="7029"/>
      <c r="FP5" s="7029"/>
      <c r="FQ5" s="7029"/>
      <c r="FR5" s="7029"/>
      <c r="FS5" s="7029"/>
      <c r="FT5" s="7029"/>
      <c r="FU5" s="7029"/>
      <c r="FV5" s="7029"/>
      <c r="FW5" s="7029"/>
      <c r="FX5" s="7029"/>
      <c r="FY5" s="7029"/>
      <c r="FZ5" s="7029"/>
      <c r="GA5" s="7030"/>
      <c r="GB5" s="36"/>
      <c r="GD5" s="393"/>
      <c r="GE5" s="593"/>
      <c r="GF5" s="593"/>
      <c r="GG5" s="593"/>
      <c r="GH5" s="7022" t="s">
        <v>1136</v>
      </c>
      <c r="GI5" s="7022"/>
      <c r="GJ5" s="7022"/>
      <c r="GK5" s="7022"/>
      <c r="GL5" s="7022"/>
      <c r="GM5" s="7022"/>
      <c r="GN5" s="7022"/>
      <c r="GO5" s="7022"/>
      <c r="GP5" s="7022"/>
      <c r="GQ5" s="7022"/>
      <c r="GR5" s="7022"/>
      <c r="GS5" s="7022"/>
      <c r="GT5" s="7022"/>
      <c r="GU5" s="7022"/>
      <c r="GV5" s="7022"/>
      <c r="GW5" s="7022"/>
      <c r="GX5" s="7022"/>
      <c r="GY5" s="393"/>
      <c r="GZ5" s="36"/>
      <c r="HB5" s="393"/>
      <c r="HC5" s="415"/>
      <c r="HD5" s="415"/>
      <c r="HE5" s="415"/>
      <c r="HF5" s="415"/>
      <c r="HG5" s="7023" t="s">
        <v>1136</v>
      </c>
      <c r="HH5" s="7023"/>
      <c r="HI5" s="7023"/>
      <c r="HJ5" s="7023"/>
      <c r="HK5" s="7023"/>
      <c r="HL5" s="7023"/>
      <c r="HM5" s="7023"/>
      <c r="HN5" s="7023"/>
      <c r="HO5" s="7023"/>
      <c r="HP5" s="7023"/>
      <c r="HQ5" s="7023"/>
      <c r="HR5" s="7023"/>
      <c r="HS5" s="7023"/>
      <c r="HT5" s="7023"/>
      <c r="HU5" s="7023"/>
      <c r="HV5" s="7023"/>
      <c r="HW5" s="7023"/>
      <c r="HX5" s="393"/>
      <c r="HY5" s="36"/>
      <c r="HZ5" s="36"/>
      <c r="IA5" s="594"/>
      <c r="IB5" s="595"/>
      <c r="IC5" s="595"/>
      <c r="ID5" s="595"/>
      <c r="IE5" s="7024" t="s">
        <v>1137</v>
      </c>
      <c r="IF5" s="7024"/>
      <c r="IG5" s="7024"/>
      <c r="IH5" s="7024"/>
      <c r="II5" s="7024"/>
      <c r="IJ5" s="7024"/>
      <c r="IK5" s="7024"/>
      <c r="IL5" s="7024"/>
      <c r="IM5" s="7024"/>
      <c r="IN5" s="7024"/>
      <c r="IO5" s="7024"/>
      <c r="IP5" s="7024"/>
      <c r="IQ5" s="7024"/>
      <c r="IR5" s="594"/>
      <c r="IS5" s="36"/>
      <c r="IT5" s="36"/>
      <c r="IU5" s="36"/>
      <c r="IV5" s="86"/>
      <c r="IW5" s="86"/>
      <c r="IX5" s="393"/>
      <c r="IY5" s="393" t="s">
        <v>315</v>
      </c>
      <c r="IZ5" s="7001" t="s">
        <v>1138</v>
      </c>
      <c r="JA5" s="7001"/>
      <c r="JB5" s="7001"/>
      <c r="JC5" s="7001"/>
      <c r="JD5" s="7001"/>
      <c r="JE5" s="7001"/>
      <c r="JF5" s="7001"/>
      <c r="JG5" s="7001"/>
      <c r="JH5" s="7001"/>
      <c r="JI5" s="7001"/>
      <c r="JJ5" s="7001"/>
      <c r="JK5" s="7001"/>
      <c r="JL5" s="7001"/>
      <c r="JM5" s="7001"/>
      <c r="JN5" s="7001"/>
      <c r="JO5" s="7001"/>
      <c r="JP5" s="393"/>
      <c r="JQ5" s="36"/>
      <c r="JR5" s="36"/>
      <c r="JS5" s="36"/>
      <c r="JT5" s="36"/>
      <c r="JU5" s="36"/>
      <c r="JV5" s="36"/>
      <c r="JW5" s="7025" t="s">
        <v>1138</v>
      </c>
      <c r="JX5" s="7025"/>
      <c r="JY5" s="7025"/>
      <c r="JZ5" s="7025"/>
      <c r="KA5" s="7025"/>
      <c r="KB5" s="7025"/>
      <c r="KC5" s="7025"/>
      <c r="KD5" s="7025"/>
      <c r="KE5" s="7025"/>
      <c r="KF5" s="7025"/>
      <c r="KG5" s="7025"/>
      <c r="KH5" s="7025"/>
      <c r="KI5" s="7025"/>
      <c r="KJ5" s="7025"/>
      <c r="KK5" s="7025"/>
      <c r="KL5" s="7025"/>
      <c r="KM5" s="36"/>
      <c r="KN5" s="36"/>
      <c r="KO5" s="36"/>
    </row>
    <row r="6" spans="1:301" ht="25.2" thickBot="1">
      <c r="A6" s="4348" t="s">
        <v>0</v>
      </c>
      <c r="B6" s="4348" t="s">
        <v>1</v>
      </c>
      <c r="C6" s="4348" t="s">
        <v>2</v>
      </c>
      <c r="D6" s="4348" t="s">
        <v>1070</v>
      </c>
      <c r="E6" s="4462" t="s">
        <v>1138</v>
      </c>
      <c r="F6" s="4478" t="s">
        <v>15</v>
      </c>
      <c r="G6" s="5757" t="s">
        <v>66</v>
      </c>
      <c r="I6" s="4348" t="s">
        <v>0</v>
      </c>
      <c r="J6" s="4348" t="s">
        <v>1</v>
      </c>
      <c r="K6" s="4348" t="s">
        <v>2</v>
      </c>
      <c r="L6" s="4348" t="s">
        <v>1070</v>
      </c>
      <c r="M6" s="4462" t="s">
        <v>1138</v>
      </c>
      <c r="N6" s="4478" t="s">
        <v>15</v>
      </c>
      <c r="O6" s="4466" t="s">
        <v>66</v>
      </c>
      <c r="Q6" s="4348" t="s">
        <v>0</v>
      </c>
      <c r="R6" s="4348" t="s">
        <v>1</v>
      </c>
      <c r="S6" s="4348" t="s">
        <v>2</v>
      </c>
      <c r="T6" s="4348" t="s">
        <v>1070</v>
      </c>
      <c r="U6" s="4462" t="s">
        <v>2752</v>
      </c>
      <c r="V6" s="4478" t="s">
        <v>15</v>
      </c>
      <c r="W6" s="4466" t="s">
        <v>66</v>
      </c>
      <c r="X6" s="4468" t="s">
        <v>2751</v>
      </c>
      <c r="Y6" s="4546"/>
      <c r="Z6" s="397" t="s">
        <v>0</v>
      </c>
      <c r="AA6" s="397" t="s">
        <v>1</v>
      </c>
      <c r="AB6" s="397" t="s">
        <v>2</v>
      </c>
      <c r="AC6" s="397" t="s">
        <v>1070</v>
      </c>
      <c r="AD6" s="2050">
        <v>0</v>
      </c>
      <c r="AE6" s="2050">
        <v>1</v>
      </c>
      <c r="AF6" s="2050">
        <v>2</v>
      </c>
      <c r="AG6" s="2050">
        <v>3</v>
      </c>
      <c r="AH6" s="2050">
        <v>4</v>
      </c>
      <c r="AI6" s="2050">
        <v>6</v>
      </c>
      <c r="AJ6" s="2050">
        <v>8</v>
      </c>
      <c r="AK6" s="2050">
        <v>9</v>
      </c>
      <c r="AL6" s="2050">
        <v>10</v>
      </c>
      <c r="AM6" s="2050">
        <v>11</v>
      </c>
      <c r="AN6" s="2050">
        <v>12</v>
      </c>
      <c r="AO6" s="2050">
        <v>13</v>
      </c>
      <c r="AP6" s="2050">
        <v>14</v>
      </c>
      <c r="AQ6" s="397">
        <v>15</v>
      </c>
      <c r="AR6" s="397" t="s">
        <v>15</v>
      </c>
      <c r="AS6" s="1469" t="s">
        <v>66</v>
      </c>
      <c r="AU6" s="3702" t="s">
        <v>0</v>
      </c>
      <c r="AV6" s="3702" t="s">
        <v>1</v>
      </c>
      <c r="AW6" s="3702" t="s">
        <v>2</v>
      </c>
      <c r="AX6" s="3702" t="s">
        <v>1070</v>
      </c>
      <c r="AY6" s="4347">
        <v>0</v>
      </c>
      <c r="AZ6" s="4347">
        <v>1</v>
      </c>
      <c r="BA6" s="4347">
        <v>2</v>
      </c>
      <c r="BB6" s="4347">
        <v>3</v>
      </c>
      <c r="BC6" s="4347">
        <v>5</v>
      </c>
      <c r="BD6" s="4347">
        <v>6</v>
      </c>
      <c r="BE6" s="4347">
        <v>7</v>
      </c>
      <c r="BF6" s="4347">
        <v>8</v>
      </c>
      <c r="BG6" s="4347">
        <v>9</v>
      </c>
      <c r="BH6" s="4347">
        <v>10</v>
      </c>
      <c r="BI6" s="4347">
        <v>11</v>
      </c>
      <c r="BJ6" s="4347">
        <v>12</v>
      </c>
      <c r="BK6" s="4347">
        <v>13</v>
      </c>
      <c r="BL6" s="4347">
        <v>14</v>
      </c>
      <c r="BM6" s="4348">
        <v>15</v>
      </c>
      <c r="BN6" s="4348">
        <v>16</v>
      </c>
      <c r="BO6" s="4348" t="s">
        <v>15</v>
      </c>
      <c r="BP6" s="4462" t="s">
        <v>66</v>
      </c>
      <c r="BR6" s="3804" t="s">
        <v>0</v>
      </c>
      <c r="BS6" s="3804" t="s">
        <v>1</v>
      </c>
      <c r="BT6" s="3804" t="s">
        <v>2</v>
      </c>
      <c r="BU6" s="3804" t="s">
        <v>1070</v>
      </c>
      <c r="BV6" s="3870">
        <v>0</v>
      </c>
      <c r="BW6" s="3870">
        <v>1</v>
      </c>
      <c r="BX6" s="3870">
        <v>2</v>
      </c>
      <c r="BY6" s="3870">
        <v>3</v>
      </c>
      <c r="BZ6" s="3870">
        <v>5</v>
      </c>
      <c r="CA6" s="3870">
        <v>6</v>
      </c>
      <c r="CB6" s="3870">
        <v>7</v>
      </c>
      <c r="CC6" s="3870">
        <v>8</v>
      </c>
      <c r="CD6" s="3870">
        <v>9</v>
      </c>
      <c r="CE6" s="3870">
        <v>10</v>
      </c>
      <c r="CF6" s="3870">
        <v>11</v>
      </c>
      <c r="CG6" s="3870">
        <v>12</v>
      </c>
      <c r="CH6" s="3870">
        <v>13</v>
      </c>
      <c r="CI6" s="3870">
        <v>14</v>
      </c>
      <c r="CJ6" s="3803">
        <v>15</v>
      </c>
      <c r="CK6" s="3803" t="s">
        <v>15</v>
      </c>
      <c r="CL6" s="3805" t="s">
        <v>66</v>
      </c>
      <c r="CN6" s="397" t="s">
        <v>0</v>
      </c>
      <c r="CO6" s="397" t="s">
        <v>1</v>
      </c>
      <c r="CP6" s="397" t="s">
        <v>2</v>
      </c>
      <c r="CQ6" s="397" t="s">
        <v>1070</v>
      </c>
      <c r="CR6" s="1680">
        <v>0</v>
      </c>
      <c r="CS6" s="1680">
        <v>1</v>
      </c>
      <c r="CT6" s="1680">
        <v>2</v>
      </c>
      <c r="CU6" s="1680">
        <v>3</v>
      </c>
      <c r="CV6" s="1680">
        <v>4</v>
      </c>
      <c r="CW6" s="1680">
        <v>5</v>
      </c>
      <c r="CX6" s="1680">
        <v>6</v>
      </c>
      <c r="CY6" s="1680">
        <v>7</v>
      </c>
      <c r="CZ6" s="1680">
        <v>8</v>
      </c>
      <c r="DA6" s="1680">
        <v>9</v>
      </c>
      <c r="DB6" s="1680">
        <v>10</v>
      </c>
      <c r="DC6" s="1680">
        <v>11</v>
      </c>
      <c r="DD6" s="1680">
        <v>12</v>
      </c>
      <c r="DE6" s="1680">
        <v>13</v>
      </c>
      <c r="DF6" s="1680">
        <v>14</v>
      </c>
      <c r="DG6" s="398">
        <v>15</v>
      </c>
      <c r="DH6" s="398">
        <v>16</v>
      </c>
      <c r="DI6" s="398" t="s">
        <v>15</v>
      </c>
      <c r="DJ6" s="1469" t="s">
        <v>66</v>
      </c>
      <c r="DL6" s="397" t="s">
        <v>0</v>
      </c>
      <c r="DM6" s="397" t="s">
        <v>1</v>
      </c>
      <c r="DN6" s="397" t="s">
        <v>2</v>
      </c>
      <c r="DO6" s="397" t="s">
        <v>1070</v>
      </c>
      <c r="DP6" s="1680">
        <v>0</v>
      </c>
      <c r="DQ6" s="1680">
        <v>1</v>
      </c>
      <c r="DR6" s="1680">
        <v>2</v>
      </c>
      <c r="DS6" s="1680">
        <v>3</v>
      </c>
      <c r="DT6" s="1680">
        <v>4</v>
      </c>
      <c r="DU6" s="1680">
        <v>5</v>
      </c>
      <c r="DV6" s="1680">
        <v>6</v>
      </c>
      <c r="DW6" s="1680">
        <v>7</v>
      </c>
      <c r="DX6" s="1680">
        <v>8</v>
      </c>
      <c r="DY6" s="1680">
        <v>9</v>
      </c>
      <c r="DZ6" s="1680">
        <v>10</v>
      </c>
      <c r="EA6" s="1680">
        <v>11</v>
      </c>
      <c r="EB6" s="1680">
        <v>12</v>
      </c>
      <c r="EC6" s="1680">
        <v>13</v>
      </c>
      <c r="ED6" s="1680">
        <v>14</v>
      </c>
      <c r="EE6" s="398">
        <v>15</v>
      </c>
      <c r="EF6" s="398">
        <v>16</v>
      </c>
      <c r="EG6" s="398" t="s">
        <v>15</v>
      </c>
      <c r="EH6" s="653" t="s">
        <v>66</v>
      </c>
      <c r="EJ6" s="398" t="s">
        <v>0</v>
      </c>
      <c r="EK6" s="398" t="s">
        <v>1</v>
      </c>
      <c r="EL6" s="398" t="s">
        <v>2</v>
      </c>
      <c r="EM6" s="398" t="s">
        <v>1070</v>
      </c>
      <c r="EN6" s="1483">
        <v>0</v>
      </c>
      <c r="EO6" s="1483">
        <v>1</v>
      </c>
      <c r="EP6" s="1483">
        <v>2</v>
      </c>
      <c r="EQ6" s="1483">
        <v>3</v>
      </c>
      <c r="ER6" s="1483">
        <v>4</v>
      </c>
      <c r="ES6" s="1483">
        <v>5</v>
      </c>
      <c r="ET6" s="1483">
        <v>6</v>
      </c>
      <c r="EU6" s="1483">
        <v>7</v>
      </c>
      <c r="EV6" s="1483">
        <v>8</v>
      </c>
      <c r="EW6" s="1483">
        <v>9</v>
      </c>
      <c r="EX6" s="1483">
        <v>10</v>
      </c>
      <c r="EY6" s="1483">
        <v>11</v>
      </c>
      <c r="EZ6" s="1483">
        <v>12</v>
      </c>
      <c r="FA6" s="1483">
        <v>13</v>
      </c>
      <c r="FB6" s="1483">
        <v>14</v>
      </c>
      <c r="FC6" s="398">
        <v>15</v>
      </c>
      <c r="FD6" s="398">
        <v>16</v>
      </c>
      <c r="FE6" s="398" t="s">
        <v>15</v>
      </c>
      <c r="FF6" s="1489" t="s">
        <v>66</v>
      </c>
      <c r="FH6" s="1223" t="s">
        <v>0</v>
      </c>
      <c r="FI6" s="1223" t="s">
        <v>1</v>
      </c>
      <c r="FJ6" s="1223" t="s">
        <v>2</v>
      </c>
      <c r="FK6" s="1223" t="s">
        <v>1070</v>
      </c>
      <c r="FL6" s="1223">
        <v>0</v>
      </c>
      <c r="FM6" s="1223">
        <v>1</v>
      </c>
      <c r="FN6" s="1223">
        <v>2</v>
      </c>
      <c r="FO6" s="1223">
        <v>4</v>
      </c>
      <c r="FP6" s="1223">
        <v>5</v>
      </c>
      <c r="FQ6" s="1223">
        <v>6</v>
      </c>
      <c r="FR6" s="1223">
        <v>8</v>
      </c>
      <c r="FS6" s="1223">
        <v>9</v>
      </c>
      <c r="FT6" s="1223">
        <v>10</v>
      </c>
      <c r="FU6" s="1223">
        <v>11</v>
      </c>
      <c r="FV6" s="1223">
        <v>12</v>
      </c>
      <c r="FW6" s="1223">
        <v>13</v>
      </c>
      <c r="FX6" s="1223">
        <v>14</v>
      </c>
      <c r="FY6" s="1223">
        <v>15</v>
      </c>
      <c r="FZ6" s="1223">
        <v>16</v>
      </c>
      <c r="GA6" s="1224" t="s">
        <v>15</v>
      </c>
      <c r="GB6" s="1177" t="s">
        <v>66</v>
      </c>
      <c r="GD6" s="596" t="s">
        <v>0</v>
      </c>
      <c r="GE6" s="596" t="s">
        <v>1</v>
      </c>
      <c r="GF6" s="596" t="s">
        <v>2</v>
      </c>
      <c r="GG6" s="596" t="s">
        <v>1070</v>
      </c>
      <c r="GH6" s="596">
        <v>0</v>
      </c>
      <c r="GI6" s="596">
        <v>1</v>
      </c>
      <c r="GJ6" s="596">
        <v>2</v>
      </c>
      <c r="GK6" s="596">
        <v>3</v>
      </c>
      <c r="GL6" s="596">
        <v>4</v>
      </c>
      <c r="GM6" s="596">
        <v>5</v>
      </c>
      <c r="GN6" s="596">
        <v>6</v>
      </c>
      <c r="GO6" s="596">
        <v>7</v>
      </c>
      <c r="GP6" s="596">
        <v>8</v>
      </c>
      <c r="GQ6" s="596">
        <v>9</v>
      </c>
      <c r="GR6" s="596">
        <v>10</v>
      </c>
      <c r="GS6" s="596">
        <v>11</v>
      </c>
      <c r="GT6" s="596">
        <v>12</v>
      </c>
      <c r="GU6" s="596">
        <v>13</v>
      </c>
      <c r="GV6" s="596">
        <v>14</v>
      </c>
      <c r="GW6" s="596">
        <v>15</v>
      </c>
      <c r="GX6" s="596">
        <v>16</v>
      </c>
      <c r="GY6" s="596" t="s">
        <v>15</v>
      </c>
      <c r="GZ6" s="522" t="s">
        <v>66</v>
      </c>
      <c r="HB6" s="421" t="s">
        <v>0</v>
      </c>
      <c r="HC6" s="421" t="s">
        <v>1</v>
      </c>
      <c r="HD6" s="421" t="s">
        <v>2</v>
      </c>
      <c r="HE6" s="421"/>
      <c r="HF6" s="421" t="s">
        <v>1070</v>
      </c>
      <c r="HG6" s="421">
        <v>0</v>
      </c>
      <c r="HH6" s="421">
        <v>1</v>
      </c>
      <c r="HI6" s="421">
        <v>2</v>
      </c>
      <c r="HJ6" s="421">
        <v>3</v>
      </c>
      <c r="HK6" s="421">
        <v>4</v>
      </c>
      <c r="HL6" s="421">
        <v>5</v>
      </c>
      <c r="HM6" s="421">
        <v>6</v>
      </c>
      <c r="HN6" s="421">
        <v>7</v>
      </c>
      <c r="HO6" s="421">
        <v>8</v>
      </c>
      <c r="HP6" s="421">
        <v>9</v>
      </c>
      <c r="HQ6" s="421">
        <v>10</v>
      </c>
      <c r="HR6" s="421">
        <v>11</v>
      </c>
      <c r="HS6" s="421">
        <v>12</v>
      </c>
      <c r="HT6" s="421">
        <v>13</v>
      </c>
      <c r="HU6" s="421">
        <v>14</v>
      </c>
      <c r="HV6" s="421">
        <v>15</v>
      </c>
      <c r="HW6" s="421">
        <v>16</v>
      </c>
      <c r="HX6" s="421" t="s">
        <v>15</v>
      </c>
      <c r="HY6" s="524" t="s">
        <v>1139</v>
      </c>
      <c r="HZ6" s="36"/>
      <c r="IA6" s="597" t="s">
        <v>0</v>
      </c>
      <c r="IB6" s="597" t="s">
        <v>1</v>
      </c>
      <c r="IC6" s="597" t="s">
        <v>2</v>
      </c>
      <c r="ID6" s="597" t="s">
        <v>1070</v>
      </c>
      <c r="IE6" s="597">
        <v>1</v>
      </c>
      <c r="IF6" s="597">
        <v>5</v>
      </c>
      <c r="IG6" s="597">
        <v>6</v>
      </c>
      <c r="IH6" s="597">
        <v>7</v>
      </c>
      <c r="II6" s="597">
        <v>8</v>
      </c>
      <c r="IJ6" s="597">
        <v>9</v>
      </c>
      <c r="IK6" s="597">
        <v>10</v>
      </c>
      <c r="IL6" s="597">
        <v>11</v>
      </c>
      <c r="IM6" s="597">
        <v>12</v>
      </c>
      <c r="IN6" s="597">
        <v>13</v>
      </c>
      <c r="IO6" s="597">
        <v>14</v>
      </c>
      <c r="IP6" s="597">
        <v>15</v>
      </c>
      <c r="IQ6" s="597">
        <v>16</v>
      </c>
      <c r="IR6" s="597" t="s">
        <v>15</v>
      </c>
      <c r="IS6" s="598" t="s">
        <v>66</v>
      </c>
      <c r="IT6" s="36"/>
      <c r="IU6" s="36"/>
      <c r="IV6" s="398" t="s">
        <v>0</v>
      </c>
      <c r="IW6" s="398" t="s">
        <v>1</v>
      </c>
      <c r="IX6" s="398" t="s">
        <v>2</v>
      </c>
      <c r="IY6" s="398" t="s">
        <v>1070</v>
      </c>
      <c r="IZ6" s="398">
        <v>1</v>
      </c>
      <c r="JA6" s="398">
        <v>2</v>
      </c>
      <c r="JB6" s="398">
        <v>3</v>
      </c>
      <c r="JC6" s="398">
        <v>4</v>
      </c>
      <c r="JD6" s="398">
        <v>5</v>
      </c>
      <c r="JE6" s="398">
        <v>6</v>
      </c>
      <c r="JF6" s="398">
        <v>7</v>
      </c>
      <c r="JG6" s="398">
        <v>8</v>
      </c>
      <c r="JH6" s="398">
        <v>9</v>
      </c>
      <c r="JI6" s="398">
        <v>10</v>
      </c>
      <c r="JJ6" s="398">
        <v>11</v>
      </c>
      <c r="JK6" s="398">
        <v>12</v>
      </c>
      <c r="JL6" s="398">
        <v>13</v>
      </c>
      <c r="JM6" s="398">
        <v>14</v>
      </c>
      <c r="JN6" s="398">
        <v>15</v>
      </c>
      <c r="JO6" s="398">
        <v>16</v>
      </c>
      <c r="JP6" s="398" t="s">
        <v>15</v>
      </c>
      <c r="JQ6" s="599" t="s">
        <v>66</v>
      </c>
      <c r="JR6" s="36"/>
      <c r="JS6" s="600" t="s">
        <v>0</v>
      </c>
      <c r="JT6" s="600" t="s">
        <v>1</v>
      </c>
      <c r="JU6" s="600" t="s">
        <v>2</v>
      </c>
      <c r="JV6" s="600" t="s">
        <v>1140</v>
      </c>
      <c r="JW6" s="600">
        <v>0</v>
      </c>
      <c r="JX6" s="600">
        <v>1</v>
      </c>
      <c r="JY6" s="600">
        <v>2</v>
      </c>
      <c r="JZ6" s="600">
        <v>3</v>
      </c>
      <c r="KA6" s="600">
        <v>5</v>
      </c>
      <c r="KB6" s="600">
        <v>6</v>
      </c>
      <c r="KC6" s="600">
        <v>7</v>
      </c>
      <c r="KD6" s="600">
        <v>8</v>
      </c>
      <c r="KE6" s="600">
        <v>9</v>
      </c>
      <c r="KF6" s="600">
        <v>10</v>
      </c>
      <c r="KG6" s="600">
        <v>11</v>
      </c>
      <c r="KH6" s="600">
        <v>12</v>
      </c>
      <c r="KI6" s="600">
        <v>13</v>
      </c>
      <c r="KJ6" s="600">
        <v>14</v>
      </c>
      <c r="KK6" s="600">
        <v>15</v>
      </c>
      <c r="KL6" s="600">
        <v>16</v>
      </c>
      <c r="KM6" s="600" t="s">
        <v>15</v>
      </c>
      <c r="KN6" s="601" t="s">
        <v>66</v>
      </c>
      <c r="KO6" s="602" t="s">
        <v>1141</v>
      </c>
    </row>
    <row r="7" spans="1:301">
      <c r="A7" s="5737">
        <v>1</v>
      </c>
      <c r="B7" s="5737">
        <v>1</v>
      </c>
      <c r="C7" s="5736" t="s">
        <v>2733</v>
      </c>
      <c r="D7" s="5739" t="s">
        <v>2732</v>
      </c>
      <c r="E7" s="5737">
        <v>1</v>
      </c>
      <c r="F7" s="5737">
        <v>13</v>
      </c>
      <c r="I7" s="4726">
        <v>1</v>
      </c>
      <c r="J7" s="4726">
        <v>1</v>
      </c>
      <c r="K7" s="4725" t="s">
        <v>2733</v>
      </c>
      <c r="L7" s="4725" t="s">
        <v>2731</v>
      </c>
      <c r="M7" s="4726">
        <v>1</v>
      </c>
      <c r="N7" s="4726">
        <v>12</v>
      </c>
      <c r="Q7" s="4458">
        <v>1</v>
      </c>
      <c r="R7" s="4458">
        <v>1</v>
      </c>
      <c r="S7" s="4459" t="s">
        <v>2733</v>
      </c>
      <c r="T7" s="4459" t="s">
        <v>2709</v>
      </c>
      <c r="U7" s="4458">
        <v>1</v>
      </c>
      <c r="V7" s="4479">
        <v>2</v>
      </c>
      <c r="W7" s="4510"/>
      <c r="X7" s="4467"/>
      <c r="Y7" s="4467"/>
      <c r="Z7" s="36" t="s">
        <v>3</v>
      </c>
      <c r="AA7" s="36" t="s">
        <v>4</v>
      </c>
      <c r="AB7" s="36" t="s">
        <v>115</v>
      </c>
      <c r="AC7" s="36" t="s">
        <v>1072</v>
      </c>
      <c r="AD7" s="615"/>
      <c r="AE7" s="615">
        <v>2</v>
      </c>
      <c r="AF7" s="615"/>
      <c r="AG7" s="615"/>
      <c r="AH7" s="615"/>
      <c r="AI7" s="615"/>
      <c r="AJ7" s="615"/>
      <c r="AK7" s="615"/>
      <c r="AL7" s="615"/>
      <c r="AM7" s="615">
        <v>0</v>
      </c>
      <c r="AN7" s="615"/>
      <c r="AO7" s="615"/>
      <c r="AP7" s="615"/>
      <c r="AQ7" s="36"/>
      <c r="AR7" s="36">
        <v>2</v>
      </c>
      <c r="AS7" s="36"/>
      <c r="AU7" s="36" t="s">
        <v>3</v>
      </c>
      <c r="AV7" s="36" t="s">
        <v>4</v>
      </c>
      <c r="AW7" s="36" t="s">
        <v>114</v>
      </c>
      <c r="AX7" s="36" t="s">
        <v>1074</v>
      </c>
      <c r="AY7" s="1681"/>
      <c r="AZ7" s="1681">
        <v>1</v>
      </c>
      <c r="BA7" s="1681"/>
      <c r="BB7" s="1681"/>
      <c r="BC7" s="1681"/>
      <c r="BD7" s="1681"/>
      <c r="BE7" s="1681"/>
      <c r="BF7" s="1681"/>
      <c r="BG7" s="1681"/>
      <c r="BH7" s="1681"/>
      <c r="BI7" s="1681"/>
      <c r="BJ7" s="1681"/>
      <c r="BK7" s="1681"/>
      <c r="BL7" s="1681"/>
      <c r="BM7" s="95"/>
      <c r="BN7" s="95"/>
      <c r="BO7" s="95">
        <v>1</v>
      </c>
      <c r="BP7" s="95"/>
      <c r="BR7" s="32" t="s">
        <v>3</v>
      </c>
      <c r="BS7" s="32" t="s">
        <v>4</v>
      </c>
      <c r="BT7" s="32" t="s">
        <v>114</v>
      </c>
      <c r="BU7" s="32" t="s">
        <v>1074</v>
      </c>
      <c r="BV7" s="3871"/>
      <c r="BW7" s="3871">
        <v>1</v>
      </c>
      <c r="BX7" s="3871"/>
      <c r="BY7" s="3871"/>
      <c r="BZ7" s="3871"/>
      <c r="CA7" s="3871"/>
      <c r="CB7" s="3871"/>
      <c r="CC7" s="3871"/>
      <c r="CD7" s="3871"/>
      <c r="CE7" s="3871"/>
      <c r="CF7" s="3871"/>
      <c r="CG7" s="3871"/>
      <c r="CH7" s="3871"/>
      <c r="CI7" s="3871"/>
      <c r="CJ7" s="1518"/>
      <c r="CK7" s="1518">
        <v>1</v>
      </c>
      <c r="CN7" s="36" t="s">
        <v>3</v>
      </c>
      <c r="CO7" s="36" t="s">
        <v>4</v>
      </c>
      <c r="CP7" s="36" t="s">
        <v>114</v>
      </c>
      <c r="CQ7" s="36" t="s">
        <v>1076</v>
      </c>
      <c r="CR7" s="615"/>
      <c r="CS7" s="615"/>
      <c r="CT7" s="615"/>
      <c r="CU7" s="615"/>
      <c r="CV7" s="615"/>
      <c r="CW7" s="615"/>
      <c r="CX7" s="615"/>
      <c r="CY7" s="615"/>
      <c r="CZ7" s="615"/>
      <c r="DA7" s="615">
        <v>1</v>
      </c>
      <c r="DB7" s="615"/>
      <c r="DC7" s="615"/>
      <c r="DD7" s="615"/>
      <c r="DE7" s="615"/>
      <c r="DF7" s="615"/>
      <c r="DG7" s="36"/>
      <c r="DH7" s="36"/>
      <c r="DI7" s="36">
        <v>1</v>
      </c>
      <c r="DJ7" s="36"/>
      <c r="DL7" s="36" t="s">
        <v>3</v>
      </c>
      <c r="DM7" s="36" t="s">
        <v>4</v>
      </c>
      <c r="DN7" s="36" t="s">
        <v>114</v>
      </c>
      <c r="DO7" s="36" t="s">
        <v>1077</v>
      </c>
      <c r="DP7" s="1681"/>
      <c r="DQ7" s="1681"/>
      <c r="DR7" s="1681"/>
      <c r="DS7" s="1681"/>
      <c r="DT7" s="1681"/>
      <c r="DU7" s="1681"/>
      <c r="DV7" s="1681"/>
      <c r="DW7" s="1681">
        <v>1</v>
      </c>
      <c r="DX7" s="1681">
        <v>0</v>
      </c>
      <c r="DY7" s="1681"/>
      <c r="DZ7" s="1681">
        <v>0</v>
      </c>
      <c r="EA7" s="1681"/>
      <c r="EB7" s="1681"/>
      <c r="EC7" s="1681"/>
      <c r="ED7" s="1681"/>
      <c r="EE7" s="95"/>
      <c r="EF7" s="95"/>
      <c r="EG7" s="95">
        <v>1</v>
      </c>
      <c r="EH7" s="36"/>
      <c r="EJ7" s="95" t="s">
        <v>3</v>
      </c>
      <c r="EK7" s="95" t="s">
        <v>4</v>
      </c>
      <c r="EL7" s="36" t="s">
        <v>114</v>
      </c>
      <c r="EM7" s="36" t="s">
        <v>1077</v>
      </c>
      <c r="EN7" s="1490"/>
      <c r="EO7" s="1490"/>
      <c r="EP7" s="1490"/>
      <c r="EQ7" s="1490"/>
      <c r="ER7" s="1490"/>
      <c r="ES7" s="1490"/>
      <c r="ET7" s="1490">
        <v>1</v>
      </c>
      <c r="EU7" s="1490">
        <v>0</v>
      </c>
      <c r="EV7" s="1490"/>
      <c r="EW7" s="1490">
        <v>0</v>
      </c>
      <c r="EX7" s="1490"/>
      <c r="EY7" s="1490"/>
      <c r="EZ7" s="1490"/>
      <c r="FA7" s="1490"/>
      <c r="FB7" s="1490"/>
      <c r="FC7" s="36"/>
      <c r="FD7" s="36"/>
      <c r="FE7" s="36">
        <v>1</v>
      </c>
      <c r="FF7" s="36"/>
      <c r="FH7" s="1225" t="s">
        <v>3</v>
      </c>
      <c r="FI7" s="1225" t="s">
        <v>4</v>
      </c>
      <c r="FJ7" s="1225" t="s">
        <v>114</v>
      </c>
      <c r="FK7" s="1226" t="s">
        <v>1080</v>
      </c>
      <c r="FL7" s="1227"/>
      <c r="FM7" s="1227"/>
      <c r="FN7" s="1227"/>
      <c r="FO7" s="1227"/>
      <c r="FP7" s="1227"/>
      <c r="FQ7" s="1227"/>
      <c r="FR7" s="1228">
        <v>0</v>
      </c>
      <c r="FS7" s="1228">
        <v>0</v>
      </c>
      <c r="FT7" s="1227"/>
      <c r="FU7" s="1227"/>
      <c r="FV7" s="1227"/>
      <c r="FW7" s="1228">
        <v>1</v>
      </c>
      <c r="FX7" s="1228">
        <v>1</v>
      </c>
      <c r="FY7" s="1229"/>
      <c r="FZ7" s="1229"/>
      <c r="GA7" s="1230">
        <v>2</v>
      </c>
      <c r="GB7" s="36"/>
      <c r="GD7" s="603" t="s">
        <v>3</v>
      </c>
      <c r="GE7" s="603" t="s">
        <v>4</v>
      </c>
      <c r="GF7" s="603" t="s">
        <v>114</v>
      </c>
      <c r="GG7" s="604" t="s">
        <v>1077</v>
      </c>
      <c r="GH7" s="605"/>
      <c r="GI7" s="605"/>
      <c r="GJ7" s="605"/>
      <c r="GK7" s="605"/>
      <c r="GL7" s="605"/>
      <c r="GM7" s="606">
        <v>1</v>
      </c>
      <c r="GN7" s="606">
        <v>0</v>
      </c>
      <c r="GO7" s="605"/>
      <c r="GP7" s="605"/>
      <c r="GQ7" s="605"/>
      <c r="GR7" s="606">
        <v>0</v>
      </c>
      <c r="GS7" s="606">
        <v>0</v>
      </c>
      <c r="GT7" s="605"/>
      <c r="GU7" s="605"/>
      <c r="GV7" s="605"/>
      <c r="GW7" s="607"/>
      <c r="GX7" s="607"/>
      <c r="GY7" s="608">
        <v>1</v>
      </c>
      <c r="GZ7" s="95"/>
      <c r="HB7" s="441" t="s">
        <v>3</v>
      </c>
      <c r="HC7" s="441" t="s">
        <v>4</v>
      </c>
      <c r="HD7" s="441" t="s">
        <v>114</v>
      </c>
      <c r="HE7" s="36"/>
      <c r="HF7" s="442" t="s">
        <v>1076</v>
      </c>
      <c r="HG7" s="609"/>
      <c r="HH7" s="609"/>
      <c r="HI7" s="609"/>
      <c r="HJ7" s="609"/>
      <c r="HK7" s="609"/>
      <c r="HL7" s="609"/>
      <c r="HM7" s="609"/>
      <c r="HN7" s="609"/>
      <c r="HO7" s="609"/>
      <c r="HP7" s="609"/>
      <c r="HQ7" s="610">
        <v>0</v>
      </c>
      <c r="HR7" s="609"/>
      <c r="HS7" s="609"/>
      <c r="HT7" s="610">
        <v>1</v>
      </c>
      <c r="HU7" s="609"/>
      <c r="HV7" s="611"/>
      <c r="HW7" s="611"/>
      <c r="HX7" s="612">
        <v>1</v>
      </c>
      <c r="HY7" s="560"/>
      <c r="HZ7" s="36"/>
      <c r="IA7" s="613" t="s">
        <v>3</v>
      </c>
      <c r="IB7" s="613" t="s">
        <v>4</v>
      </c>
      <c r="IC7" s="613" t="s">
        <v>114</v>
      </c>
      <c r="ID7" s="389" t="s">
        <v>1072</v>
      </c>
      <c r="IE7" s="614"/>
      <c r="IF7" s="614"/>
      <c r="IG7" s="614"/>
      <c r="IH7" s="390">
        <v>0</v>
      </c>
      <c r="II7" s="390">
        <v>0</v>
      </c>
      <c r="IJ7" s="390">
        <v>0</v>
      </c>
      <c r="IK7" s="390">
        <v>0</v>
      </c>
      <c r="IL7" s="390">
        <v>0</v>
      </c>
      <c r="IM7" s="390">
        <v>1</v>
      </c>
      <c r="IN7" s="390">
        <v>1</v>
      </c>
      <c r="IO7" s="390">
        <v>0</v>
      </c>
      <c r="IP7" s="614"/>
      <c r="IQ7" s="614"/>
      <c r="IR7" s="390">
        <v>2</v>
      </c>
      <c r="IS7" s="615"/>
      <c r="IT7" s="36"/>
      <c r="IU7" s="36"/>
      <c r="IV7" s="95" t="s">
        <v>3</v>
      </c>
      <c r="IW7" s="95" t="s">
        <v>4</v>
      </c>
      <c r="IX7" s="36" t="s">
        <v>114</v>
      </c>
      <c r="IY7" s="36" t="s">
        <v>1074</v>
      </c>
      <c r="IZ7" s="95"/>
      <c r="JA7" s="95"/>
      <c r="JB7" s="95">
        <v>1</v>
      </c>
      <c r="JC7" s="95"/>
      <c r="JD7" s="95"/>
      <c r="JE7" s="95">
        <v>0</v>
      </c>
      <c r="JF7" s="95"/>
      <c r="JG7" s="95"/>
      <c r="JH7" s="95">
        <v>0</v>
      </c>
      <c r="JI7" s="95">
        <v>0</v>
      </c>
      <c r="JJ7" s="95">
        <v>0</v>
      </c>
      <c r="JK7" s="95">
        <v>0</v>
      </c>
      <c r="JL7" s="95">
        <v>0</v>
      </c>
      <c r="JM7" s="95"/>
      <c r="JN7" s="95"/>
      <c r="JO7" s="95"/>
      <c r="JP7" s="95">
        <v>1</v>
      </c>
      <c r="JQ7" s="36"/>
      <c r="JR7" s="36"/>
      <c r="JS7" s="616" t="s">
        <v>3</v>
      </c>
      <c r="JT7" s="616" t="s">
        <v>4</v>
      </c>
      <c r="JU7" s="616" t="s">
        <v>114</v>
      </c>
      <c r="JV7" s="616" t="s">
        <v>1076</v>
      </c>
      <c r="JW7" s="616">
        <v>0</v>
      </c>
      <c r="JX7" s="616">
        <v>0</v>
      </c>
      <c r="JY7" s="616">
        <v>0</v>
      </c>
      <c r="JZ7" s="616">
        <v>0</v>
      </c>
      <c r="KA7" s="616">
        <v>0</v>
      </c>
      <c r="KB7" s="616">
        <v>0</v>
      </c>
      <c r="KC7" s="616">
        <v>0</v>
      </c>
      <c r="KD7" s="616">
        <v>0</v>
      </c>
      <c r="KE7" s="616">
        <v>1</v>
      </c>
      <c r="KF7" s="616">
        <v>0</v>
      </c>
      <c r="KG7" s="616">
        <v>0</v>
      </c>
      <c r="KH7" s="616">
        <v>0</v>
      </c>
      <c r="KI7" s="616">
        <v>0</v>
      </c>
      <c r="KJ7" s="616">
        <v>0</v>
      </c>
      <c r="KK7" s="616">
        <v>0</v>
      </c>
      <c r="KL7" s="616">
        <v>0</v>
      </c>
      <c r="KM7" s="616">
        <v>1</v>
      </c>
      <c r="KN7" s="616"/>
      <c r="KO7" s="617"/>
    </row>
    <row r="8" spans="1:301">
      <c r="A8" s="5737">
        <v>1</v>
      </c>
      <c r="B8" s="5737">
        <v>1</v>
      </c>
      <c r="C8" s="5736" t="s">
        <v>2733</v>
      </c>
      <c r="D8" s="5736" t="s">
        <v>2705</v>
      </c>
      <c r="E8" s="5737">
        <v>1</v>
      </c>
      <c r="F8" s="5737">
        <v>3</v>
      </c>
      <c r="I8" s="4726">
        <v>1</v>
      </c>
      <c r="J8" s="4726">
        <v>1</v>
      </c>
      <c r="K8" s="4725" t="s">
        <v>2733</v>
      </c>
      <c r="L8" s="4725" t="s">
        <v>1071</v>
      </c>
      <c r="M8" s="4726">
        <v>1</v>
      </c>
      <c r="N8" s="4726">
        <v>13</v>
      </c>
      <c r="Q8" s="4458">
        <v>1</v>
      </c>
      <c r="R8" s="4458">
        <v>1</v>
      </c>
      <c r="S8" s="4459" t="s">
        <v>2733</v>
      </c>
      <c r="T8" s="4461" t="s">
        <v>1076</v>
      </c>
      <c r="U8" s="4458">
        <v>11</v>
      </c>
      <c r="V8" s="4479">
        <v>1</v>
      </c>
      <c r="W8" s="4510"/>
      <c r="X8" s="4467"/>
      <c r="Y8" s="4467"/>
      <c r="Z8" s="36"/>
      <c r="AA8" s="36"/>
      <c r="AB8" s="36"/>
      <c r="AC8" s="36" t="s">
        <v>1081</v>
      </c>
      <c r="AD8" s="615"/>
      <c r="AE8" s="615">
        <v>0</v>
      </c>
      <c r="AF8" s="615"/>
      <c r="AG8" s="615"/>
      <c r="AH8" s="615"/>
      <c r="AI8" s="615"/>
      <c r="AJ8" s="615"/>
      <c r="AK8" s="615"/>
      <c r="AL8" s="615"/>
      <c r="AM8" s="615">
        <v>1</v>
      </c>
      <c r="AN8" s="615"/>
      <c r="AO8" s="615"/>
      <c r="AP8" s="615"/>
      <c r="AQ8" s="36"/>
      <c r="AR8" s="36">
        <v>1</v>
      </c>
      <c r="AS8" s="36"/>
      <c r="AX8" s="3868" t="s">
        <v>15</v>
      </c>
      <c r="AY8" s="3721"/>
      <c r="AZ8" s="3721">
        <v>1</v>
      </c>
      <c r="BA8" s="3721"/>
      <c r="BB8" s="3721"/>
      <c r="BC8" s="3721"/>
      <c r="BD8" s="3721"/>
      <c r="BE8" s="3721"/>
      <c r="BF8" s="3721"/>
      <c r="BG8" s="3721"/>
      <c r="BH8" s="3721"/>
      <c r="BI8" s="3721"/>
      <c r="BJ8" s="3721"/>
      <c r="BK8" s="3721"/>
      <c r="BL8" s="3721"/>
      <c r="BM8" s="2110"/>
      <c r="BN8" s="2110"/>
      <c r="BO8" s="2110">
        <v>1</v>
      </c>
      <c r="BP8" s="1665">
        <v>0</v>
      </c>
      <c r="BU8" s="1520" t="s">
        <v>15</v>
      </c>
      <c r="BV8" s="3872"/>
      <c r="BW8" s="3872">
        <v>1</v>
      </c>
      <c r="BX8" s="3872"/>
      <c r="BY8" s="3872"/>
      <c r="BZ8" s="3872"/>
      <c r="CA8" s="3872"/>
      <c r="CB8" s="3872"/>
      <c r="CC8" s="3872"/>
      <c r="CD8" s="3872"/>
      <c r="CE8" s="3872"/>
      <c r="CF8" s="3872"/>
      <c r="CG8" s="3872"/>
      <c r="CH8" s="3872"/>
      <c r="CI8" s="3872"/>
      <c r="CJ8" s="3806"/>
      <c r="CK8" s="3806">
        <v>1</v>
      </c>
      <c r="CL8" s="3807">
        <v>0</v>
      </c>
      <c r="CN8" s="36"/>
      <c r="CO8" s="36"/>
      <c r="CP8" s="36"/>
      <c r="CQ8" s="393" t="s">
        <v>15</v>
      </c>
      <c r="CR8" s="2049"/>
      <c r="CS8" s="2049"/>
      <c r="CT8" s="2049"/>
      <c r="CU8" s="2049"/>
      <c r="CV8" s="2049"/>
      <c r="CW8" s="2049"/>
      <c r="CX8" s="2049"/>
      <c r="CY8" s="2049"/>
      <c r="CZ8" s="2049"/>
      <c r="DA8" s="2049">
        <v>1</v>
      </c>
      <c r="DB8" s="2049"/>
      <c r="DC8" s="2049"/>
      <c r="DD8" s="2049"/>
      <c r="DE8" s="2049"/>
      <c r="DF8" s="2049"/>
      <c r="DG8" s="393"/>
      <c r="DH8" s="393"/>
      <c r="DI8" s="393">
        <v>1</v>
      </c>
      <c r="DJ8" s="560">
        <f>+DI7/DI8</f>
        <v>1</v>
      </c>
      <c r="DL8" s="36"/>
      <c r="DM8" s="36"/>
      <c r="DN8" s="36"/>
      <c r="DO8" s="36" t="s">
        <v>1163</v>
      </c>
      <c r="DP8" s="1681"/>
      <c r="DQ8" s="1681"/>
      <c r="DR8" s="1681"/>
      <c r="DS8" s="1681"/>
      <c r="DT8" s="1681"/>
      <c r="DU8" s="1681"/>
      <c r="DV8" s="1681"/>
      <c r="DW8" s="1681">
        <v>0</v>
      </c>
      <c r="DX8" s="1681">
        <v>1</v>
      </c>
      <c r="DY8" s="1681"/>
      <c r="DZ8" s="1681">
        <v>2</v>
      </c>
      <c r="EA8" s="1681"/>
      <c r="EB8" s="1681"/>
      <c r="EC8" s="1681"/>
      <c r="ED8" s="1681"/>
      <c r="EE8" s="95"/>
      <c r="EF8" s="95"/>
      <c r="EG8" s="95">
        <v>3</v>
      </c>
      <c r="EH8" s="36"/>
      <c r="EL8" s="36"/>
      <c r="EM8" s="36" t="s">
        <v>1163</v>
      </c>
      <c r="EN8" s="1490"/>
      <c r="EO8" s="1490"/>
      <c r="EP8" s="1490"/>
      <c r="EQ8" s="1490"/>
      <c r="ER8" s="1490"/>
      <c r="ES8" s="1490"/>
      <c r="ET8" s="1490">
        <v>1</v>
      </c>
      <c r="EU8" s="1490">
        <v>2</v>
      </c>
      <c r="EV8" s="1490"/>
      <c r="EW8" s="1490">
        <v>1</v>
      </c>
      <c r="EX8" s="1490"/>
      <c r="EY8" s="1490"/>
      <c r="EZ8" s="1490"/>
      <c r="FA8" s="1490"/>
      <c r="FB8" s="1490"/>
      <c r="FC8" s="36"/>
      <c r="FD8" s="36"/>
      <c r="FE8" s="36">
        <v>4</v>
      </c>
      <c r="FF8" s="36"/>
      <c r="FH8" s="1225"/>
      <c r="FI8" s="1225"/>
      <c r="FJ8" s="1225"/>
      <c r="FK8" s="1226" t="s">
        <v>1163</v>
      </c>
      <c r="FL8" s="1227"/>
      <c r="FM8" s="1227"/>
      <c r="FN8" s="1227"/>
      <c r="FO8" s="1227"/>
      <c r="FP8" s="1227"/>
      <c r="FQ8" s="1227"/>
      <c r="FR8" s="1228">
        <v>2</v>
      </c>
      <c r="FS8" s="1228">
        <v>3</v>
      </c>
      <c r="FT8" s="1227"/>
      <c r="FU8" s="1227"/>
      <c r="FV8" s="1227"/>
      <c r="FW8" s="1228">
        <v>0</v>
      </c>
      <c r="FX8" s="1228">
        <v>0</v>
      </c>
      <c r="FY8" s="1229"/>
      <c r="FZ8" s="1229"/>
      <c r="GA8" s="1230">
        <v>5</v>
      </c>
      <c r="GB8" s="36"/>
      <c r="GD8" s="603"/>
      <c r="GE8" s="603"/>
      <c r="GF8" s="603"/>
      <c r="GG8" s="604" t="s">
        <v>1081</v>
      </c>
      <c r="GH8" s="605"/>
      <c r="GI8" s="605"/>
      <c r="GJ8" s="605"/>
      <c r="GK8" s="605"/>
      <c r="GL8" s="605"/>
      <c r="GM8" s="606">
        <v>0</v>
      </c>
      <c r="GN8" s="606">
        <v>0</v>
      </c>
      <c r="GO8" s="605"/>
      <c r="GP8" s="605"/>
      <c r="GQ8" s="605"/>
      <c r="GR8" s="606">
        <v>0</v>
      </c>
      <c r="GS8" s="606">
        <v>1</v>
      </c>
      <c r="GT8" s="605"/>
      <c r="GU8" s="605"/>
      <c r="GV8" s="605"/>
      <c r="GW8" s="607"/>
      <c r="GX8" s="607"/>
      <c r="GY8" s="608">
        <v>1</v>
      </c>
      <c r="GZ8" s="95"/>
      <c r="HB8" s="441"/>
      <c r="HC8" s="441"/>
      <c r="HD8" s="441"/>
      <c r="HE8" s="441"/>
      <c r="HF8" s="442" t="s">
        <v>1163</v>
      </c>
      <c r="HG8" s="609"/>
      <c r="HH8" s="609"/>
      <c r="HI8" s="609"/>
      <c r="HJ8" s="609"/>
      <c r="HK8" s="609"/>
      <c r="HL8" s="609"/>
      <c r="HM8" s="609"/>
      <c r="HN8" s="609"/>
      <c r="HO8" s="609"/>
      <c r="HP8" s="609"/>
      <c r="HQ8" s="610">
        <v>2</v>
      </c>
      <c r="HR8" s="609"/>
      <c r="HS8" s="609"/>
      <c r="HT8" s="610">
        <v>0</v>
      </c>
      <c r="HU8" s="609"/>
      <c r="HV8" s="611"/>
      <c r="HW8" s="611"/>
      <c r="HX8" s="612">
        <v>2</v>
      </c>
      <c r="HY8" s="560"/>
      <c r="HZ8" s="36"/>
      <c r="IA8" s="613"/>
      <c r="IB8" s="613"/>
      <c r="IC8" s="613"/>
      <c r="ID8" s="389" t="s">
        <v>1076</v>
      </c>
      <c r="IE8" s="614"/>
      <c r="IF8" s="614"/>
      <c r="IG8" s="614"/>
      <c r="IH8" s="390">
        <v>0</v>
      </c>
      <c r="II8" s="390">
        <v>1</v>
      </c>
      <c r="IJ8" s="390">
        <v>0</v>
      </c>
      <c r="IK8" s="390">
        <v>0</v>
      </c>
      <c r="IL8" s="390">
        <v>0</v>
      </c>
      <c r="IM8" s="390">
        <v>0</v>
      </c>
      <c r="IN8" s="390">
        <v>0</v>
      </c>
      <c r="IO8" s="390">
        <v>0</v>
      </c>
      <c r="IP8" s="614"/>
      <c r="IQ8" s="614"/>
      <c r="IR8" s="390">
        <v>1</v>
      </c>
      <c r="IS8" s="615"/>
      <c r="IT8" s="36"/>
      <c r="IU8" s="36"/>
      <c r="IV8" s="95"/>
      <c r="IW8" s="95"/>
      <c r="IX8" s="36"/>
      <c r="IY8" s="36" t="s">
        <v>1076</v>
      </c>
      <c r="IZ8" s="95"/>
      <c r="JA8" s="95"/>
      <c r="JB8" s="95">
        <v>0</v>
      </c>
      <c r="JC8" s="95"/>
      <c r="JD8" s="95"/>
      <c r="JE8" s="95">
        <v>0</v>
      </c>
      <c r="JF8" s="95"/>
      <c r="JG8" s="95"/>
      <c r="JH8" s="95">
        <v>1</v>
      </c>
      <c r="JI8" s="95">
        <v>0</v>
      </c>
      <c r="JJ8" s="95">
        <v>0</v>
      </c>
      <c r="JK8" s="95">
        <v>0</v>
      </c>
      <c r="JL8" s="95">
        <v>0</v>
      </c>
      <c r="JM8" s="95"/>
      <c r="JN8" s="95"/>
      <c r="JO8" s="95"/>
      <c r="JP8" s="95">
        <v>1</v>
      </c>
      <c r="JQ8" s="36"/>
      <c r="JR8" s="36"/>
      <c r="JS8" s="616"/>
      <c r="JT8" s="616"/>
      <c r="JU8" s="616"/>
      <c r="JV8" s="616" t="s">
        <v>1080</v>
      </c>
      <c r="JW8" s="616">
        <v>0</v>
      </c>
      <c r="JX8" s="616">
        <v>0</v>
      </c>
      <c r="JY8" s="616">
        <v>0</v>
      </c>
      <c r="JZ8" s="616">
        <v>0</v>
      </c>
      <c r="KA8" s="616">
        <v>0</v>
      </c>
      <c r="KB8" s="616">
        <v>0</v>
      </c>
      <c r="KC8" s="616">
        <v>0</v>
      </c>
      <c r="KD8" s="616">
        <v>0</v>
      </c>
      <c r="KE8" s="616">
        <v>0</v>
      </c>
      <c r="KF8" s="616">
        <v>0</v>
      </c>
      <c r="KG8" s="616">
        <v>0</v>
      </c>
      <c r="KH8" s="616">
        <v>0</v>
      </c>
      <c r="KI8" s="616">
        <v>1</v>
      </c>
      <c r="KJ8" s="616">
        <v>0</v>
      </c>
      <c r="KK8" s="616">
        <v>0</v>
      </c>
      <c r="KL8" s="616">
        <v>0</v>
      </c>
      <c r="KM8" s="616">
        <v>1</v>
      </c>
      <c r="KN8" s="616"/>
      <c r="KO8" s="617"/>
    </row>
    <row r="9" spans="1:301">
      <c r="A9" s="5737">
        <v>1</v>
      </c>
      <c r="B9" s="5737">
        <v>1</v>
      </c>
      <c r="C9" s="5736" t="s">
        <v>2733</v>
      </c>
      <c r="D9" s="5739" t="s">
        <v>1076</v>
      </c>
      <c r="E9" s="5737">
        <v>1</v>
      </c>
      <c r="F9" s="5737">
        <v>13</v>
      </c>
      <c r="I9" s="4726">
        <v>1</v>
      </c>
      <c r="J9" s="4726">
        <v>1</v>
      </c>
      <c r="K9" s="4725" t="s">
        <v>2733</v>
      </c>
      <c r="L9" s="4963" t="s">
        <v>2732</v>
      </c>
      <c r="M9" s="4964">
        <v>1</v>
      </c>
      <c r="N9" s="4726">
        <v>13</v>
      </c>
      <c r="Q9" s="4458"/>
      <c r="R9" s="4458"/>
      <c r="S9" s="4465" t="s">
        <v>15</v>
      </c>
      <c r="T9" s="4464"/>
      <c r="U9" s="4465"/>
      <c r="V9" s="4480">
        <f>SUM(V7:V8)</f>
        <v>3</v>
      </c>
      <c r="W9" s="4476">
        <f>+(V8)/(V9)</f>
        <v>0.33333333333333331</v>
      </c>
      <c r="X9" s="4467"/>
      <c r="Y9" s="4467"/>
      <c r="Z9" s="36"/>
      <c r="AA9" s="36"/>
      <c r="AB9" s="36"/>
      <c r="AC9" s="4236" t="s">
        <v>15</v>
      </c>
      <c r="AD9" s="4236"/>
      <c r="AE9" s="4236">
        <v>2</v>
      </c>
      <c r="AF9" s="4236"/>
      <c r="AG9" s="4236"/>
      <c r="AH9" s="4236"/>
      <c r="AI9" s="4236"/>
      <c r="AJ9" s="4236"/>
      <c r="AK9" s="4236"/>
      <c r="AL9" s="4236"/>
      <c r="AM9" s="4236">
        <v>1</v>
      </c>
      <c r="AN9" s="4236"/>
      <c r="AO9" s="4236"/>
      <c r="AP9" s="4236"/>
      <c r="AQ9" s="4236"/>
      <c r="AR9" s="4236">
        <v>3</v>
      </c>
      <c r="AS9" s="4243">
        <f>+AM8/AR9</f>
        <v>0.33333333333333331</v>
      </c>
      <c r="AU9" s="36"/>
      <c r="AV9" s="36"/>
      <c r="AW9" s="36" t="s">
        <v>115</v>
      </c>
      <c r="AX9" s="36" t="s">
        <v>1080</v>
      </c>
      <c r="AY9" s="1681"/>
      <c r="AZ9" s="1681"/>
      <c r="BA9" s="1681"/>
      <c r="BB9" s="1681"/>
      <c r="BC9" s="1681"/>
      <c r="BD9" s="1681"/>
      <c r="BE9" s="1681"/>
      <c r="BF9" s="1681"/>
      <c r="BG9" s="1681"/>
      <c r="BH9" s="1681"/>
      <c r="BI9" s="1681"/>
      <c r="BJ9" s="1681"/>
      <c r="BK9" s="1681"/>
      <c r="BL9" s="1681">
        <v>1</v>
      </c>
      <c r="BM9" s="95"/>
      <c r="BN9" s="95"/>
      <c r="BO9" s="95">
        <v>1</v>
      </c>
      <c r="BP9" s="95"/>
      <c r="BT9" s="32" t="s">
        <v>115</v>
      </c>
      <c r="BU9" s="32" t="s">
        <v>1080</v>
      </c>
      <c r="BV9" s="3871"/>
      <c r="BW9" s="3871"/>
      <c r="BX9" s="3871"/>
      <c r="BY9" s="3871"/>
      <c r="BZ9" s="3871"/>
      <c r="CA9" s="3871"/>
      <c r="CB9" s="3871"/>
      <c r="CC9" s="3871"/>
      <c r="CD9" s="3871"/>
      <c r="CE9" s="3871"/>
      <c r="CF9" s="3871"/>
      <c r="CG9" s="3871"/>
      <c r="CH9" s="3871">
        <v>1</v>
      </c>
      <c r="CI9" s="3871"/>
      <c r="CJ9" s="1518"/>
      <c r="CK9" s="1518">
        <v>1</v>
      </c>
      <c r="CN9" s="36"/>
      <c r="CO9" s="36"/>
      <c r="CP9" s="36" t="s">
        <v>115</v>
      </c>
      <c r="CQ9" s="36" t="s">
        <v>1080</v>
      </c>
      <c r="CR9" s="615"/>
      <c r="CS9" s="615"/>
      <c r="CT9" s="615"/>
      <c r="CU9" s="615"/>
      <c r="CV9" s="615"/>
      <c r="CW9" s="615"/>
      <c r="CX9" s="615"/>
      <c r="CY9" s="615"/>
      <c r="CZ9" s="615"/>
      <c r="DA9" s="615"/>
      <c r="DB9" s="615"/>
      <c r="DC9" s="615"/>
      <c r="DD9" s="615"/>
      <c r="DE9" s="615"/>
      <c r="DF9" s="615">
        <v>1</v>
      </c>
      <c r="DG9" s="36"/>
      <c r="DH9" s="36">
        <v>1</v>
      </c>
      <c r="DI9" s="36">
        <v>2</v>
      </c>
      <c r="DJ9" s="36"/>
      <c r="DL9" s="36"/>
      <c r="DM9" s="36"/>
      <c r="DN9" s="36"/>
      <c r="DO9" s="393" t="s">
        <v>15</v>
      </c>
      <c r="DP9" s="1682"/>
      <c r="DQ9" s="1682"/>
      <c r="DR9" s="1682"/>
      <c r="DS9" s="1682"/>
      <c r="DT9" s="1682"/>
      <c r="DU9" s="1682"/>
      <c r="DV9" s="1682"/>
      <c r="DW9" s="1682">
        <v>1</v>
      </c>
      <c r="DX9" s="1682">
        <v>1</v>
      </c>
      <c r="DY9" s="1682"/>
      <c r="DZ9" s="1682">
        <v>2</v>
      </c>
      <c r="EA9" s="1682"/>
      <c r="EB9" s="1682"/>
      <c r="EC9" s="1682"/>
      <c r="ED9" s="1682"/>
      <c r="EE9" s="86"/>
      <c r="EF9" s="86"/>
      <c r="EG9" s="86">
        <v>4</v>
      </c>
      <c r="EH9" s="560">
        <f>+EG8/EG9</f>
        <v>0.75</v>
      </c>
      <c r="EL9" s="36"/>
      <c r="EM9" s="393" t="s">
        <v>15</v>
      </c>
      <c r="EN9" s="1491"/>
      <c r="EO9" s="1491"/>
      <c r="EP9" s="1491"/>
      <c r="EQ9" s="1491"/>
      <c r="ER9" s="1491"/>
      <c r="ES9" s="1491"/>
      <c r="ET9" s="1491">
        <v>2</v>
      </c>
      <c r="EU9" s="1491">
        <v>2</v>
      </c>
      <c r="EV9" s="1491"/>
      <c r="EW9" s="1491">
        <v>1</v>
      </c>
      <c r="EX9" s="1491"/>
      <c r="EY9" s="1491"/>
      <c r="EZ9" s="1491"/>
      <c r="FA9" s="1491"/>
      <c r="FB9" s="1491"/>
      <c r="FC9" s="393"/>
      <c r="FD9" s="393"/>
      <c r="FE9" s="393">
        <v>5</v>
      </c>
      <c r="FF9" s="560">
        <f>+FE8/FE9</f>
        <v>0.8</v>
      </c>
      <c r="FH9" s="1225"/>
      <c r="FI9" s="1225"/>
      <c r="FJ9" s="1225"/>
      <c r="FK9" s="1222" t="s">
        <v>15</v>
      </c>
      <c r="FL9" s="1231"/>
      <c r="FM9" s="1231"/>
      <c r="FN9" s="1231"/>
      <c r="FO9" s="1231"/>
      <c r="FP9" s="1231"/>
      <c r="FQ9" s="1231"/>
      <c r="FR9" s="1232">
        <v>2</v>
      </c>
      <c r="FS9" s="1232">
        <v>3</v>
      </c>
      <c r="FT9" s="1231"/>
      <c r="FU9" s="1231"/>
      <c r="FV9" s="1231"/>
      <c r="FW9" s="1232">
        <v>1</v>
      </c>
      <c r="FX9" s="1232">
        <v>1</v>
      </c>
      <c r="FY9" s="1233"/>
      <c r="FZ9" s="1233"/>
      <c r="GA9" s="1234">
        <v>7</v>
      </c>
      <c r="GB9" s="1178">
        <f>+GA8/GA9</f>
        <v>0.7142857142857143</v>
      </c>
      <c r="GD9" s="603"/>
      <c r="GE9" s="603"/>
      <c r="GF9" s="603"/>
      <c r="GG9" s="604" t="s">
        <v>1163</v>
      </c>
      <c r="GH9" s="605"/>
      <c r="GI9" s="605"/>
      <c r="GJ9" s="605"/>
      <c r="GK9" s="605"/>
      <c r="GL9" s="605"/>
      <c r="GM9" s="606">
        <v>0</v>
      </c>
      <c r="GN9" s="606">
        <v>1</v>
      </c>
      <c r="GO9" s="605"/>
      <c r="GP9" s="605"/>
      <c r="GQ9" s="605"/>
      <c r="GR9" s="606">
        <v>1</v>
      </c>
      <c r="GS9" s="606">
        <v>1</v>
      </c>
      <c r="GT9" s="605"/>
      <c r="GU9" s="605"/>
      <c r="GV9" s="605"/>
      <c r="GW9" s="607"/>
      <c r="GX9" s="607"/>
      <c r="GY9" s="608">
        <v>3</v>
      </c>
      <c r="GZ9" s="95"/>
      <c r="HB9" s="441"/>
      <c r="HC9" s="441"/>
      <c r="HD9" s="441"/>
      <c r="HE9" s="36"/>
      <c r="HF9" s="462" t="s">
        <v>15</v>
      </c>
      <c r="HG9" s="618"/>
      <c r="HH9" s="618"/>
      <c r="HI9" s="618"/>
      <c r="HJ9" s="618"/>
      <c r="HK9" s="618"/>
      <c r="HL9" s="618"/>
      <c r="HM9" s="618"/>
      <c r="HN9" s="618"/>
      <c r="HO9" s="618"/>
      <c r="HP9" s="618"/>
      <c r="HQ9" s="619">
        <v>2</v>
      </c>
      <c r="HR9" s="618"/>
      <c r="HS9" s="618"/>
      <c r="HT9" s="619">
        <v>1</v>
      </c>
      <c r="HU9" s="618"/>
      <c r="HV9" s="620"/>
      <c r="HW9" s="620"/>
      <c r="HX9" s="621">
        <v>3</v>
      </c>
      <c r="HY9" s="560">
        <f>+(HX8+HX7)/HX9</f>
        <v>1</v>
      </c>
      <c r="HZ9" s="36"/>
      <c r="IA9" s="613"/>
      <c r="IB9" s="613"/>
      <c r="IC9" s="613"/>
      <c r="ID9" s="389" t="s">
        <v>1077</v>
      </c>
      <c r="IE9" s="614"/>
      <c r="IF9" s="614"/>
      <c r="IG9" s="614"/>
      <c r="IH9" s="390">
        <v>1</v>
      </c>
      <c r="II9" s="390">
        <v>1</v>
      </c>
      <c r="IJ9" s="390">
        <v>0</v>
      </c>
      <c r="IK9" s="390">
        <v>1</v>
      </c>
      <c r="IL9" s="390">
        <v>1</v>
      </c>
      <c r="IM9" s="390">
        <v>0</v>
      </c>
      <c r="IN9" s="390">
        <v>0</v>
      </c>
      <c r="IO9" s="390">
        <v>0</v>
      </c>
      <c r="IP9" s="614"/>
      <c r="IQ9" s="614"/>
      <c r="IR9" s="390">
        <v>4</v>
      </c>
      <c r="IS9" s="615"/>
      <c r="IT9" s="36"/>
      <c r="IU9" s="36"/>
      <c r="IV9" s="95"/>
      <c r="IW9" s="95"/>
      <c r="IX9" s="36"/>
      <c r="IY9" s="36" t="s">
        <v>1077</v>
      </c>
      <c r="IZ9" s="95"/>
      <c r="JA9" s="95"/>
      <c r="JB9" s="95">
        <v>0</v>
      </c>
      <c r="JC9" s="95"/>
      <c r="JD9" s="95"/>
      <c r="JE9" s="95">
        <v>1</v>
      </c>
      <c r="JF9" s="95"/>
      <c r="JG9" s="95"/>
      <c r="JH9" s="95">
        <v>0</v>
      </c>
      <c r="JI9" s="95">
        <v>0</v>
      </c>
      <c r="JJ9" s="95">
        <v>0</v>
      </c>
      <c r="JK9" s="95">
        <v>3</v>
      </c>
      <c r="JL9" s="95">
        <v>0</v>
      </c>
      <c r="JM9" s="95"/>
      <c r="JN9" s="95"/>
      <c r="JO9" s="95"/>
      <c r="JP9" s="95">
        <v>4</v>
      </c>
      <c r="JQ9" s="36"/>
      <c r="JR9" s="36"/>
      <c r="JS9" s="616"/>
      <c r="JT9" s="616"/>
      <c r="JU9" s="616"/>
      <c r="JV9" s="616" t="s">
        <v>1163</v>
      </c>
      <c r="JW9" s="616">
        <v>0</v>
      </c>
      <c r="JX9" s="616">
        <v>0</v>
      </c>
      <c r="JY9" s="616">
        <v>0</v>
      </c>
      <c r="JZ9" s="616">
        <v>0</v>
      </c>
      <c r="KA9" s="616">
        <v>0</v>
      </c>
      <c r="KB9" s="616">
        <v>0</v>
      </c>
      <c r="KC9" s="616">
        <v>0</v>
      </c>
      <c r="KD9" s="616">
        <v>0</v>
      </c>
      <c r="KE9" s="616">
        <v>0</v>
      </c>
      <c r="KF9" s="616">
        <v>0</v>
      </c>
      <c r="KG9" s="616">
        <v>1</v>
      </c>
      <c r="KH9" s="616">
        <v>3</v>
      </c>
      <c r="KI9" s="616">
        <v>0</v>
      </c>
      <c r="KJ9" s="616">
        <v>0</v>
      </c>
      <c r="KK9" s="616">
        <v>0</v>
      </c>
      <c r="KL9" s="616">
        <v>0</v>
      </c>
      <c r="KM9" s="616">
        <v>4</v>
      </c>
      <c r="KN9" s="616"/>
      <c r="KO9" s="617"/>
    </row>
    <row r="10" spans="1:301">
      <c r="A10" s="5737">
        <v>1</v>
      </c>
      <c r="B10" s="5737">
        <v>1</v>
      </c>
      <c r="C10" s="5736" t="s">
        <v>2733</v>
      </c>
      <c r="D10" s="5736" t="s">
        <v>3027</v>
      </c>
      <c r="E10" s="5737">
        <v>1</v>
      </c>
      <c r="F10" s="5737">
        <v>13</v>
      </c>
      <c r="I10" s="4726">
        <v>1</v>
      </c>
      <c r="J10" s="4726">
        <v>1</v>
      </c>
      <c r="K10" s="4725" t="s">
        <v>2733</v>
      </c>
      <c r="L10" s="4725" t="s">
        <v>2705</v>
      </c>
      <c r="M10" s="4726">
        <v>1</v>
      </c>
      <c r="N10" s="4726">
        <v>3</v>
      </c>
      <c r="Q10" s="4458">
        <v>1</v>
      </c>
      <c r="R10" s="4458">
        <v>1</v>
      </c>
      <c r="S10" s="4459" t="s">
        <v>606</v>
      </c>
      <c r="T10" s="4459" t="s">
        <v>1071</v>
      </c>
      <c r="U10" s="4458">
        <v>14</v>
      </c>
      <c r="V10" s="4479">
        <v>1</v>
      </c>
      <c r="W10" s="4510"/>
      <c r="X10" s="4467"/>
      <c r="Y10" s="4467"/>
      <c r="Z10" s="36"/>
      <c r="AA10" s="36"/>
      <c r="AB10" s="36" t="s">
        <v>606</v>
      </c>
      <c r="AC10" s="36" t="s">
        <v>1071</v>
      </c>
      <c r="AD10" s="615"/>
      <c r="AE10" s="615"/>
      <c r="AF10" s="615"/>
      <c r="AG10" s="615">
        <v>0</v>
      </c>
      <c r="AH10" s="615"/>
      <c r="AI10" s="615"/>
      <c r="AJ10" s="615"/>
      <c r="AK10" s="615"/>
      <c r="AL10" s="615"/>
      <c r="AM10" s="615"/>
      <c r="AN10" s="615">
        <v>1</v>
      </c>
      <c r="AO10" s="615">
        <v>1</v>
      </c>
      <c r="AP10" s="615"/>
      <c r="AQ10" s="36"/>
      <c r="AR10" s="36">
        <v>2</v>
      </c>
      <c r="AS10" s="36"/>
      <c r="AU10" s="36"/>
      <c r="AV10" s="36"/>
      <c r="AW10" s="36"/>
      <c r="AX10" s="36" t="s">
        <v>15</v>
      </c>
      <c r="AY10" s="1681"/>
      <c r="AZ10" s="1681"/>
      <c r="BA10" s="1681"/>
      <c r="BB10" s="1681"/>
      <c r="BC10" s="1681"/>
      <c r="BD10" s="1681"/>
      <c r="BE10" s="1681"/>
      <c r="BF10" s="1681"/>
      <c r="BG10" s="1681"/>
      <c r="BH10" s="1681"/>
      <c r="BI10" s="1681"/>
      <c r="BJ10" s="1681"/>
      <c r="BK10" s="1681"/>
      <c r="BL10" s="1681">
        <v>1</v>
      </c>
      <c r="BM10" s="95"/>
      <c r="BN10" s="95"/>
      <c r="BO10" s="95">
        <v>1</v>
      </c>
      <c r="BP10" s="560">
        <v>0</v>
      </c>
      <c r="BU10" s="1520" t="s">
        <v>15</v>
      </c>
      <c r="BV10" s="3872"/>
      <c r="BW10" s="3872"/>
      <c r="BX10" s="3872"/>
      <c r="BY10" s="3872"/>
      <c r="BZ10" s="3872"/>
      <c r="CA10" s="3872"/>
      <c r="CB10" s="3872"/>
      <c r="CC10" s="3872"/>
      <c r="CD10" s="3872"/>
      <c r="CE10" s="3872"/>
      <c r="CF10" s="3872"/>
      <c r="CG10" s="3872"/>
      <c r="CH10" s="3872">
        <v>1</v>
      </c>
      <c r="CI10" s="3872"/>
      <c r="CJ10" s="3806"/>
      <c r="CK10" s="3806">
        <v>1</v>
      </c>
      <c r="CL10" s="3807">
        <v>0</v>
      </c>
      <c r="CN10" s="36"/>
      <c r="CO10" s="36"/>
      <c r="CP10" s="36"/>
      <c r="CQ10" s="393" t="s">
        <v>15</v>
      </c>
      <c r="CR10" s="2049"/>
      <c r="CS10" s="2049"/>
      <c r="CT10" s="2049"/>
      <c r="CU10" s="2049"/>
      <c r="CV10" s="2049"/>
      <c r="CW10" s="2049"/>
      <c r="CX10" s="2049"/>
      <c r="CY10" s="2049"/>
      <c r="CZ10" s="2049"/>
      <c r="DA10" s="2049"/>
      <c r="DB10" s="2049"/>
      <c r="DC10" s="2049"/>
      <c r="DD10" s="2049"/>
      <c r="DE10" s="2049"/>
      <c r="DF10" s="2049">
        <v>1</v>
      </c>
      <c r="DG10" s="393"/>
      <c r="DH10" s="393">
        <v>1</v>
      </c>
      <c r="DI10" s="393">
        <v>2</v>
      </c>
      <c r="DJ10" s="560">
        <v>0</v>
      </c>
      <c r="DL10" s="36"/>
      <c r="DM10" s="36"/>
      <c r="DN10" s="36" t="s">
        <v>115</v>
      </c>
      <c r="DO10" s="36" t="s">
        <v>1080</v>
      </c>
      <c r="DP10" s="1681"/>
      <c r="DQ10" s="1681"/>
      <c r="DR10" s="1681"/>
      <c r="DS10" s="1681"/>
      <c r="DT10" s="1681"/>
      <c r="DU10" s="1681"/>
      <c r="DV10" s="1681"/>
      <c r="DW10" s="1681"/>
      <c r="DX10" s="1681"/>
      <c r="DY10" s="1681"/>
      <c r="DZ10" s="1681"/>
      <c r="EA10" s="1681"/>
      <c r="EB10" s="1681"/>
      <c r="EC10" s="1681"/>
      <c r="ED10" s="1681">
        <v>1</v>
      </c>
      <c r="EE10" s="95"/>
      <c r="EF10" s="95"/>
      <c r="EG10" s="95">
        <v>1</v>
      </c>
      <c r="EH10" s="36"/>
      <c r="EL10" s="36" t="s">
        <v>482</v>
      </c>
      <c r="EM10" s="36" t="s">
        <v>1077</v>
      </c>
      <c r="EN10" s="1490"/>
      <c r="EO10" s="1490"/>
      <c r="EP10" s="1490"/>
      <c r="EQ10" s="1490"/>
      <c r="ER10" s="1490"/>
      <c r="ES10" s="1490"/>
      <c r="ET10" s="1490">
        <v>1</v>
      </c>
      <c r="EU10" s="1490">
        <v>0</v>
      </c>
      <c r="EV10" s="1490"/>
      <c r="EW10" s="1490">
        <v>0</v>
      </c>
      <c r="EX10" s="1490"/>
      <c r="EY10" s="1490"/>
      <c r="EZ10" s="1490"/>
      <c r="FA10" s="1490"/>
      <c r="FB10" s="1490"/>
      <c r="FC10" s="36"/>
      <c r="FD10" s="36"/>
      <c r="FE10" s="36">
        <v>1</v>
      </c>
      <c r="FF10" s="36"/>
      <c r="FH10" s="1225"/>
      <c r="FI10" s="1225"/>
      <c r="FJ10" s="1225" t="s">
        <v>482</v>
      </c>
      <c r="FK10" s="1226" t="s">
        <v>1080</v>
      </c>
      <c r="FL10" s="1227"/>
      <c r="FM10" s="1227"/>
      <c r="FN10" s="1227"/>
      <c r="FO10" s="1227"/>
      <c r="FP10" s="1227"/>
      <c r="FQ10" s="1227"/>
      <c r="FR10" s="1228">
        <v>0</v>
      </c>
      <c r="FS10" s="1228">
        <v>0</v>
      </c>
      <c r="FT10" s="1227"/>
      <c r="FU10" s="1227"/>
      <c r="FV10" s="1227"/>
      <c r="FW10" s="1228">
        <v>1</v>
      </c>
      <c r="FX10" s="1228">
        <v>1</v>
      </c>
      <c r="FY10" s="1229"/>
      <c r="FZ10" s="1229"/>
      <c r="GA10" s="1230">
        <v>2</v>
      </c>
      <c r="GB10" s="36"/>
      <c r="GD10" s="603"/>
      <c r="GE10" s="603"/>
      <c r="GF10" s="603"/>
      <c r="GG10" s="622" t="s">
        <v>15</v>
      </c>
      <c r="GH10" s="623"/>
      <c r="GI10" s="623"/>
      <c r="GJ10" s="623"/>
      <c r="GK10" s="623"/>
      <c r="GL10" s="623"/>
      <c r="GM10" s="624">
        <v>1</v>
      </c>
      <c r="GN10" s="624">
        <v>1</v>
      </c>
      <c r="GO10" s="623"/>
      <c r="GP10" s="623"/>
      <c r="GQ10" s="623"/>
      <c r="GR10" s="624">
        <v>1</v>
      </c>
      <c r="GS10" s="624">
        <v>2</v>
      </c>
      <c r="GT10" s="623"/>
      <c r="GU10" s="623"/>
      <c r="GV10" s="623"/>
      <c r="GW10" s="625"/>
      <c r="GX10" s="625"/>
      <c r="GY10" s="626">
        <v>5</v>
      </c>
      <c r="GZ10" s="560">
        <f>+(GY8+GY9)/GY10</f>
        <v>0.8</v>
      </c>
      <c r="HB10" s="441"/>
      <c r="HC10" s="441"/>
      <c r="HD10" s="441" t="s">
        <v>115</v>
      </c>
      <c r="HE10" s="441" t="s">
        <v>1070</v>
      </c>
      <c r="HF10" s="442" t="s">
        <v>1072</v>
      </c>
      <c r="HG10" s="610">
        <v>1</v>
      </c>
      <c r="HH10" s="609"/>
      <c r="HI10" s="609"/>
      <c r="HJ10" s="610">
        <v>1</v>
      </c>
      <c r="HK10" s="609"/>
      <c r="HL10" s="609"/>
      <c r="HM10" s="609"/>
      <c r="HN10" s="609"/>
      <c r="HO10" s="609"/>
      <c r="HP10" s="609"/>
      <c r="HQ10" s="609"/>
      <c r="HR10" s="609"/>
      <c r="HS10" s="609"/>
      <c r="HT10" s="609"/>
      <c r="HU10" s="610">
        <v>0</v>
      </c>
      <c r="HV10" s="611"/>
      <c r="HW10" s="611"/>
      <c r="HX10" s="612">
        <v>2</v>
      </c>
      <c r="HY10" s="560"/>
      <c r="HZ10" s="36"/>
      <c r="IA10" s="613"/>
      <c r="IB10" s="613"/>
      <c r="IC10" s="613"/>
      <c r="ID10" s="389" t="s">
        <v>1080</v>
      </c>
      <c r="IE10" s="614"/>
      <c r="IF10" s="614"/>
      <c r="IG10" s="614"/>
      <c r="IH10" s="390">
        <v>0</v>
      </c>
      <c r="II10" s="390">
        <v>0</v>
      </c>
      <c r="IJ10" s="390">
        <v>0</v>
      </c>
      <c r="IK10" s="390">
        <v>0</v>
      </c>
      <c r="IL10" s="390">
        <v>0</v>
      </c>
      <c r="IM10" s="390">
        <v>0</v>
      </c>
      <c r="IN10" s="390">
        <v>0</v>
      </c>
      <c r="IO10" s="390">
        <v>2</v>
      </c>
      <c r="IP10" s="614"/>
      <c r="IQ10" s="614"/>
      <c r="IR10" s="390">
        <v>2</v>
      </c>
      <c r="IS10" s="615"/>
      <c r="IT10" s="36"/>
      <c r="IU10" s="36"/>
      <c r="IV10" s="95"/>
      <c r="IW10" s="95"/>
      <c r="IX10" s="36"/>
      <c r="IY10" s="36" t="s">
        <v>1080</v>
      </c>
      <c r="IZ10" s="95"/>
      <c r="JA10" s="95"/>
      <c r="JB10" s="95">
        <v>0</v>
      </c>
      <c r="JC10" s="95"/>
      <c r="JD10" s="95"/>
      <c r="JE10" s="95">
        <v>0</v>
      </c>
      <c r="JF10" s="95"/>
      <c r="JG10" s="95"/>
      <c r="JH10" s="95">
        <v>0</v>
      </c>
      <c r="JI10" s="95">
        <v>0</v>
      </c>
      <c r="JJ10" s="95">
        <v>1</v>
      </c>
      <c r="JK10" s="95">
        <v>0</v>
      </c>
      <c r="JL10" s="95">
        <v>0</v>
      </c>
      <c r="JM10" s="95"/>
      <c r="JN10" s="95"/>
      <c r="JO10" s="95"/>
      <c r="JP10" s="95">
        <v>1</v>
      </c>
      <c r="JQ10" s="36"/>
      <c r="JR10" s="36"/>
      <c r="JS10" s="616"/>
      <c r="JT10" s="616"/>
      <c r="JU10" s="616"/>
      <c r="JV10" s="627" t="s">
        <v>15</v>
      </c>
      <c r="JW10" s="627">
        <v>0</v>
      </c>
      <c r="JX10" s="627">
        <v>0</v>
      </c>
      <c r="JY10" s="627">
        <v>0</v>
      </c>
      <c r="JZ10" s="627">
        <v>0</v>
      </c>
      <c r="KA10" s="627">
        <v>0</v>
      </c>
      <c r="KB10" s="627">
        <v>0</v>
      </c>
      <c r="KC10" s="627">
        <v>0</v>
      </c>
      <c r="KD10" s="627">
        <v>0</v>
      </c>
      <c r="KE10" s="627">
        <v>1</v>
      </c>
      <c r="KF10" s="627">
        <v>0</v>
      </c>
      <c r="KG10" s="627">
        <v>1</v>
      </c>
      <c r="KH10" s="627">
        <v>3</v>
      </c>
      <c r="KI10" s="627">
        <v>1</v>
      </c>
      <c r="KJ10" s="627">
        <v>0</v>
      </c>
      <c r="KK10" s="627">
        <v>0</v>
      </c>
      <c r="KL10" s="627">
        <v>0</v>
      </c>
      <c r="KM10" s="627">
        <v>6</v>
      </c>
      <c r="KN10" s="628">
        <f>+(KM9+KM7)/KM10</f>
        <v>0.83333333333333337</v>
      </c>
      <c r="KO10" s="617">
        <f>+KM7+KM9</f>
        <v>5</v>
      </c>
    </row>
    <row r="11" spans="1:301">
      <c r="A11" s="5737">
        <v>1</v>
      </c>
      <c r="B11" s="5737">
        <v>1</v>
      </c>
      <c r="C11" s="5736" t="s">
        <v>2733</v>
      </c>
      <c r="D11" s="5736" t="s">
        <v>2709</v>
      </c>
      <c r="E11" s="5737">
        <v>1</v>
      </c>
      <c r="F11" s="5737">
        <v>6</v>
      </c>
      <c r="I11" s="4726">
        <v>1</v>
      </c>
      <c r="J11" s="4726">
        <v>1</v>
      </c>
      <c r="K11" s="4725" t="s">
        <v>2733</v>
      </c>
      <c r="L11" s="4963" t="s">
        <v>1076</v>
      </c>
      <c r="M11" s="4964">
        <v>1</v>
      </c>
      <c r="N11" s="4726">
        <v>13</v>
      </c>
      <c r="Q11" s="4458">
        <v>1</v>
      </c>
      <c r="R11" s="4458">
        <v>1</v>
      </c>
      <c r="S11" s="4459" t="s">
        <v>606</v>
      </c>
      <c r="T11" s="4459" t="s">
        <v>2709</v>
      </c>
      <c r="U11" s="4458">
        <v>11</v>
      </c>
      <c r="V11" s="4479">
        <v>1</v>
      </c>
      <c r="W11" s="4510"/>
      <c r="X11" s="4467"/>
      <c r="Y11" s="4467"/>
      <c r="Z11" s="36"/>
      <c r="AA11" s="36"/>
      <c r="AB11" s="36"/>
      <c r="AC11" s="36" t="s">
        <v>1077</v>
      </c>
      <c r="AD11" s="615"/>
      <c r="AE11" s="615"/>
      <c r="AF11" s="615"/>
      <c r="AG11" s="615">
        <v>1</v>
      </c>
      <c r="AH11" s="615"/>
      <c r="AI11" s="615"/>
      <c r="AJ11" s="615"/>
      <c r="AK11" s="615"/>
      <c r="AL11" s="615"/>
      <c r="AM11" s="615"/>
      <c r="AN11" s="615">
        <v>0</v>
      </c>
      <c r="AO11" s="615">
        <v>0</v>
      </c>
      <c r="AP11" s="615"/>
      <c r="AQ11" s="36"/>
      <c r="AR11" s="36">
        <v>1</v>
      </c>
      <c r="AS11" s="36"/>
      <c r="AU11" s="36"/>
      <c r="AV11" s="36"/>
      <c r="AW11" s="36" t="s">
        <v>607</v>
      </c>
      <c r="AX11" s="36" t="s">
        <v>1072</v>
      </c>
      <c r="AY11" s="1681"/>
      <c r="AZ11" s="1681"/>
      <c r="BA11" s="1681"/>
      <c r="BB11" s="1681"/>
      <c r="BC11" s="1681"/>
      <c r="BD11" s="1681"/>
      <c r="BE11" s="1681"/>
      <c r="BF11" s="1681"/>
      <c r="BG11" s="1681"/>
      <c r="BH11" s="1681"/>
      <c r="BI11" s="1681">
        <v>1</v>
      </c>
      <c r="BJ11" s="1681"/>
      <c r="BK11" s="1681">
        <v>0</v>
      </c>
      <c r="BL11" s="1681">
        <v>0</v>
      </c>
      <c r="BM11" s="95">
        <v>0</v>
      </c>
      <c r="BN11" s="95"/>
      <c r="BO11" s="95">
        <v>1</v>
      </c>
      <c r="BP11" s="95"/>
      <c r="BT11" s="32" t="s">
        <v>607</v>
      </c>
      <c r="BU11" s="32" t="s">
        <v>1072</v>
      </c>
      <c r="BV11" s="3871"/>
      <c r="BW11" s="3871"/>
      <c r="BX11" s="3871"/>
      <c r="BY11" s="3871"/>
      <c r="BZ11" s="3871"/>
      <c r="CA11" s="3871"/>
      <c r="CB11" s="3871"/>
      <c r="CC11" s="3871"/>
      <c r="CD11" s="3871"/>
      <c r="CE11" s="3871"/>
      <c r="CF11" s="3871">
        <v>1</v>
      </c>
      <c r="CG11" s="3871"/>
      <c r="CH11" s="3871">
        <v>0</v>
      </c>
      <c r="CI11" s="3871"/>
      <c r="CJ11" s="1518">
        <v>0</v>
      </c>
      <c r="CK11" s="1518">
        <v>1</v>
      </c>
      <c r="CN11" s="36"/>
      <c r="CO11" s="36"/>
      <c r="CP11" s="36" t="s">
        <v>2270</v>
      </c>
      <c r="CQ11" s="36" t="s">
        <v>1072</v>
      </c>
      <c r="CR11" s="615"/>
      <c r="CS11" s="615"/>
      <c r="CT11" s="615"/>
      <c r="CU11" s="615"/>
      <c r="CV11" s="615">
        <v>1</v>
      </c>
      <c r="CW11" s="615"/>
      <c r="CX11" s="615"/>
      <c r="CY11" s="615"/>
      <c r="CZ11" s="615"/>
      <c r="DA11" s="615">
        <v>0</v>
      </c>
      <c r="DB11" s="615"/>
      <c r="DC11" s="615">
        <v>0</v>
      </c>
      <c r="DD11" s="615"/>
      <c r="DE11" s="615">
        <v>1</v>
      </c>
      <c r="DF11" s="615"/>
      <c r="DG11" s="36"/>
      <c r="DH11" s="36"/>
      <c r="DI11" s="36">
        <v>2</v>
      </c>
      <c r="DJ11" s="36"/>
      <c r="DL11" s="36"/>
      <c r="DM11" s="36"/>
      <c r="DN11" s="36"/>
      <c r="DO11" s="393" t="s">
        <v>15</v>
      </c>
      <c r="DP11" s="1682"/>
      <c r="DQ11" s="1682"/>
      <c r="DR11" s="1682"/>
      <c r="DS11" s="1682"/>
      <c r="DT11" s="1682"/>
      <c r="DU11" s="1682"/>
      <c r="DV11" s="1682"/>
      <c r="DW11" s="1682"/>
      <c r="DX11" s="1682"/>
      <c r="DY11" s="1682"/>
      <c r="DZ11" s="1682"/>
      <c r="EA11" s="1682"/>
      <c r="EB11" s="1682"/>
      <c r="EC11" s="1682"/>
      <c r="ED11" s="1682">
        <v>1</v>
      </c>
      <c r="EE11" s="86"/>
      <c r="EF11" s="86"/>
      <c r="EG11" s="86">
        <v>1</v>
      </c>
      <c r="EH11" s="560">
        <v>0</v>
      </c>
      <c r="EL11" s="36"/>
      <c r="EM11" s="36" t="s">
        <v>1163</v>
      </c>
      <c r="EN11" s="1490"/>
      <c r="EO11" s="1490"/>
      <c r="EP11" s="1490"/>
      <c r="EQ11" s="1490"/>
      <c r="ER11" s="1490"/>
      <c r="ES11" s="1490"/>
      <c r="ET11" s="1490">
        <v>1</v>
      </c>
      <c r="EU11" s="1490">
        <v>2</v>
      </c>
      <c r="EV11" s="1490"/>
      <c r="EW11" s="1490">
        <v>1</v>
      </c>
      <c r="EX11" s="1490"/>
      <c r="EY11" s="1490"/>
      <c r="EZ11" s="1490"/>
      <c r="FA11" s="1490"/>
      <c r="FB11" s="1490"/>
      <c r="FC11" s="36"/>
      <c r="FD11" s="36"/>
      <c r="FE11" s="36">
        <v>4</v>
      </c>
      <c r="FF11" s="36"/>
      <c r="FH11" s="1225"/>
      <c r="FI11" s="1225"/>
      <c r="FJ11" s="1225"/>
      <c r="FK11" s="1226" t="s">
        <v>1163</v>
      </c>
      <c r="FL11" s="1227"/>
      <c r="FM11" s="1227"/>
      <c r="FN11" s="1227"/>
      <c r="FO11" s="1227"/>
      <c r="FP11" s="1227"/>
      <c r="FQ11" s="1227"/>
      <c r="FR11" s="1228">
        <v>2</v>
      </c>
      <c r="FS11" s="1228">
        <v>3</v>
      </c>
      <c r="FT11" s="1227"/>
      <c r="FU11" s="1227"/>
      <c r="FV11" s="1227"/>
      <c r="FW11" s="1228">
        <v>0</v>
      </c>
      <c r="FX11" s="1228">
        <v>0</v>
      </c>
      <c r="FY11" s="1229"/>
      <c r="FZ11" s="1229"/>
      <c r="GA11" s="1230">
        <v>5</v>
      </c>
      <c r="GB11" s="36"/>
      <c r="GD11" s="603"/>
      <c r="GE11" s="603"/>
      <c r="GF11" s="603" t="s">
        <v>482</v>
      </c>
      <c r="GG11" s="604" t="s">
        <v>1077</v>
      </c>
      <c r="GH11" s="605"/>
      <c r="GI11" s="605"/>
      <c r="GJ11" s="605"/>
      <c r="GK11" s="605"/>
      <c r="GL11" s="605"/>
      <c r="GM11" s="606">
        <v>1</v>
      </c>
      <c r="GN11" s="606">
        <v>0</v>
      </c>
      <c r="GO11" s="605"/>
      <c r="GP11" s="605"/>
      <c r="GQ11" s="605"/>
      <c r="GR11" s="606">
        <v>0</v>
      </c>
      <c r="GS11" s="606">
        <v>0</v>
      </c>
      <c r="GT11" s="605"/>
      <c r="GU11" s="605"/>
      <c r="GV11" s="605"/>
      <c r="GW11" s="607"/>
      <c r="GX11" s="607"/>
      <c r="GY11" s="608">
        <v>1</v>
      </c>
      <c r="GZ11" s="95"/>
      <c r="HB11" s="441"/>
      <c r="HC11" s="441"/>
      <c r="HD11" s="441"/>
      <c r="HE11" s="441"/>
      <c r="HF11" s="442" t="s">
        <v>1080</v>
      </c>
      <c r="HG11" s="610">
        <v>0</v>
      </c>
      <c r="HH11" s="609"/>
      <c r="HI11" s="609"/>
      <c r="HJ11" s="610">
        <v>0</v>
      </c>
      <c r="HK11" s="609"/>
      <c r="HL11" s="609"/>
      <c r="HM11" s="609"/>
      <c r="HN11" s="609"/>
      <c r="HO11" s="609"/>
      <c r="HP11" s="609"/>
      <c r="HQ11" s="609"/>
      <c r="HR11" s="609"/>
      <c r="HS11" s="609"/>
      <c r="HT11" s="609"/>
      <c r="HU11" s="610">
        <v>1</v>
      </c>
      <c r="HV11" s="611"/>
      <c r="HW11" s="611"/>
      <c r="HX11" s="612">
        <v>1</v>
      </c>
      <c r="HY11" s="560"/>
      <c r="HZ11" s="36"/>
      <c r="IA11" s="613"/>
      <c r="IB11" s="613"/>
      <c r="IC11" s="613"/>
      <c r="ID11" s="389" t="s">
        <v>1081</v>
      </c>
      <c r="IE11" s="614"/>
      <c r="IF11" s="614"/>
      <c r="IG11" s="614"/>
      <c r="IH11" s="390">
        <v>0</v>
      </c>
      <c r="II11" s="390">
        <v>0</v>
      </c>
      <c r="IJ11" s="390">
        <v>1</v>
      </c>
      <c r="IK11" s="390">
        <v>0</v>
      </c>
      <c r="IL11" s="390">
        <v>0</v>
      </c>
      <c r="IM11" s="390">
        <v>0</v>
      </c>
      <c r="IN11" s="390">
        <v>0</v>
      </c>
      <c r="IO11" s="390">
        <v>0</v>
      </c>
      <c r="IP11" s="614"/>
      <c r="IQ11" s="614"/>
      <c r="IR11" s="390">
        <v>1</v>
      </c>
      <c r="IS11" s="615"/>
      <c r="IT11" s="36"/>
      <c r="IU11" s="36"/>
      <c r="IV11" s="95"/>
      <c r="IW11" s="95"/>
      <c r="IX11" s="36"/>
      <c r="IY11" s="36" t="s">
        <v>1081</v>
      </c>
      <c r="IZ11" s="95"/>
      <c r="JA11" s="95"/>
      <c r="JB11" s="95">
        <v>0</v>
      </c>
      <c r="JC11" s="95"/>
      <c r="JD11" s="95"/>
      <c r="JE11" s="95">
        <v>0</v>
      </c>
      <c r="JF11" s="95"/>
      <c r="JG11" s="95"/>
      <c r="JH11" s="95">
        <v>0</v>
      </c>
      <c r="JI11" s="95">
        <v>2</v>
      </c>
      <c r="JJ11" s="95">
        <v>1</v>
      </c>
      <c r="JK11" s="95">
        <v>0</v>
      </c>
      <c r="JL11" s="95">
        <v>0</v>
      </c>
      <c r="JM11" s="95"/>
      <c r="JN11" s="95"/>
      <c r="JO11" s="95"/>
      <c r="JP11" s="95">
        <v>3</v>
      </c>
      <c r="JQ11" s="36"/>
      <c r="JR11" s="36"/>
      <c r="JS11" s="616"/>
      <c r="JT11" s="616"/>
      <c r="JU11" s="616" t="s">
        <v>115</v>
      </c>
      <c r="JV11" s="616" t="s">
        <v>1074</v>
      </c>
      <c r="JW11" s="616">
        <v>0</v>
      </c>
      <c r="JX11" s="616">
        <v>0</v>
      </c>
      <c r="JY11" s="616">
        <v>1</v>
      </c>
      <c r="JZ11" s="616">
        <v>0</v>
      </c>
      <c r="KA11" s="616">
        <v>0</v>
      </c>
      <c r="KB11" s="616">
        <v>0</v>
      </c>
      <c r="KC11" s="616">
        <v>0</v>
      </c>
      <c r="KD11" s="616">
        <v>0</v>
      </c>
      <c r="KE11" s="616">
        <v>0</v>
      </c>
      <c r="KF11" s="616">
        <v>0</v>
      </c>
      <c r="KG11" s="616">
        <v>0</v>
      </c>
      <c r="KH11" s="616">
        <v>0</v>
      </c>
      <c r="KI11" s="616">
        <v>0</v>
      </c>
      <c r="KJ11" s="616">
        <v>0</v>
      </c>
      <c r="KK11" s="616">
        <v>0</v>
      </c>
      <c r="KL11" s="616">
        <v>0</v>
      </c>
      <c r="KM11" s="616">
        <v>1</v>
      </c>
      <c r="KN11" s="616"/>
      <c r="KO11" s="617"/>
    </row>
    <row r="12" spans="1:301">
      <c r="A12" s="5737">
        <v>1</v>
      </c>
      <c r="B12" s="5737">
        <v>1</v>
      </c>
      <c r="C12" s="5736" t="s">
        <v>2733</v>
      </c>
      <c r="D12" s="5736" t="s">
        <v>2709</v>
      </c>
      <c r="E12" s="5737">
        <v>1</v>
      </c>
      <c r="F12" s="5737">
        <v>13</v>
      </c>
      <c r="I12" s="4726">
        <v>1</v>
      </c>
      <c r="J12" s="4726">
        <v>1</v>
      </c>
      <c r="K12" s="4725" t="s">
        <v>2733</v>
      </c>
      <c r="L12" s="4725" t="s">
        <v>2709</v>
      </c>
      <c r="M12" s="4726">
        <v>1</v>
      </c>
      <c r="N12" s="4726">
        <v>6</v>
      </c>
      <c r="Q12" s="4458">
        <v>1</v>
      </c>
      <c r="R12" s="4458">
        <v>1</v>
      </c>
      <c r="S12" s="4459" t="s">
        <v>606</v>
      </c>
      <c r="T12" s="4459" t="s">
        <v>2705</v>
      </c>
      <c r="U12" s="4458">
        <v>3</v>
      </c>
      <c r="V12" s="4479">
        <v>1</v>
      </c>
      <c r="W12" s="4510"/>
      <c r="X12" s="4467"/>
      <c r="Y12" s="4467"/>
      <c r="Z12" s="36"/>
      <c r="AA12" s="36"/>
      <c r="AB12" s="36"/>
      <c r="AC12" s="4236" t="s">
        <v>15</v>
      </c>
      <c r="AD12" s="4236"/>
      <c r="AE12" s="4236"/>
      <c r="AF12" s="4236"/>
      <c r="AG12" s="4236">
        <v>1</v>
      </c>
      <c r="AH12" s="4236"/>
      <c r="AI12" s="4236"/>
      <c r="AJ12" s="4236"/>
      <c r="AK12" s="4236"/>
      <c r="AL12" s="4236"/>
      <c r="AM12" s="4236"/>
      <c r="AN12" s="4236">
        <v>1</v>
      </c>
      <c r="AO12" s="4236">
        <v>1</v>
      </c>
      <c r="AP12" s="4236"/>
      <c r="AQ12" s="4236"/>
      <c r="AR12" s="4236">
        <v>3</v>
      </c>
      <c r="AS12" s="4243">
        <f>+AM11/AR12</f>
        <v>0</v>
      </c>
      <c r="AU12" s="36"/>
      <c r="AV12" s="36"/>
      <c r="AW12" s="36"/>
      <c r="AX12" s="36" t="s">
        <v>1080</v>
      </c>
      <c r="AY12" s="1681"/>
      <c r="AZ12" s="1681"/>
      <c r="BA12" s="1681"/>
      <c r="BB12" s="1681"/>
      <c r="BC12" s="1681"/>
      <c r="BD12" s="1681"/>
      <c r="BE12" s="1681"/>
      <c r="BF12" s="1681"/>
      <c r="BG12" s="1681"/>
      <c r="BH12" s="1681"/>
      <c r="BI12" s="1681">
        <v>0</v>
      </c>
      <c r="BJ12" s="1681"/>
      <c r="BK12" s="1681">
        <v>1</v>
      </c>
      <c r="BL12" s="1681">
        <v>2</v>
      </c>
      <c r="BM12" s="95">
        <v>1</v>
      </c>
      <c r="BN12" s="95"/>
      <c r="BO12" s="95">
        <v>4</v>
      </c>
      <c r="BP12" s="95"/>
      <c r="BU12" s="32" t="s">
        <v>1080</v>
      </c>
      <c r="BV12" s="3871"/>
      <c r="BW12" s="3871"/>
      <c r="BX12" s="3871"/>
      <c r="BY12" s="3871"/>
      <c r="BZ12" s="3871"/>
      <c r="CA12" s="3871"/>
      <c r="CB12" s="3871"/>
      <c r="CC12" s="3871"/>
      <c r="CD12" s="3871"/>
      <c r="CE12" s="3871"/>
      <c r="CF12" s="3871">
        <v>0</v>
      </c>
      <c r="CG12" s="3871"/>
      <c r="CH12" s="3871">
        <v>3</v>
      </c>
      <c r="CI12" s="3871"/>
      <c r="CJ12" s="1518">
        <v>1</v>
      </c>
      <c r="CK12" s="1518">
        <v>4</v>
      </c>
      <c r="CN12" s="36"/>
      <c r="CO12" s="36"/>
      <c r="CP12" s="36"/>
      <c r="CQ12" s="36" t="s">
        <v>1076</v>
      </c>
      <c r="CR12" s="615"/>
      <c r="CS12" s="615"/>
      <c r="CT12" s="615"/>
      <c r="CU12" s="615"/>
      <c r="CV12" s="615">
        <v>0</v>
      </c>
      <c r="CW12" s="615"/>
      <c r="CX12" s="615"/>
      <c r="CY12" s="615"/>
      <c r="CZ12" s="615"/>
      <c r="DA12" s="615">
        <v>1</v>
      </c>
      <c r="DB12" s="615"/>
      <c r="DC12" s="615">
        <v>0</v>
      </c>
      <c r="DD12" s="615"/>
      <c r="DE12" s="615">
        <v>0</v>
      </c>
      <c r="DF12" s="615"/>
      <c r="DG12" s="36"/>
      <c r="DH12" s="36"/>
      <c r="DI12" s="36">
        <v>1</v>
      </c>
      <c r="DJ12" s="36"/>
      <c r="DL12" s="36"/>
      <c r="DM12" s="36"/>
      <c r="DN12" s="36" t="s">
        <v>607</v>
      </c>
      <c r="DO12" s="36" t="s">
        <v>1072</v>
      </c>
      <c r="DP12" s="1681"/>
      <c r="DQ12" s="1681"/>
      <c r="DR12" s="1681"/>
      <c r="DS12" s="1681"/>
      <c r="DT12" s="1681"/>
      <c r="DU12" s="1681"/>
      <c r="DV12" s="1681"/>
      <c r="DW12" s="1681"/>
      <c r="DX12" s="1681"/>
      <c r="DY12" s="1681">
        <v>1</v>
      </c>
      <c r="DZ12" s="1681"/>
      <c r="EA12" s="1681">
        <v>1</v>
      </c>
      <c r="EB12" s="1681"/>
      <c r="EC12" s="1681"/>
      <c r="ED12" s="1681"/>
      <c r="EE12" s="95"/>
      <c r="EF12" s="95"/>
      <c r="EG12" s="95">
        <v>2</v>
      </c>
      <c r="EH12" s="36"/>
      <c r="EL12" s="36"/>
      <c r="EM12" s="393" t="s">
        <v>482</v>
      </c>
      <c r="EN12" s="1491"/>
      <c r="EO12" s="1491"/>
      <c r="EP12" s="1491"/>
      <c r="EQ12" s="1491"/>
      <c r="ER12" s="1491"/>
      <c r="ES12" s="1491"/>
      <c r="ET12" s="1491">
        <v>2</v>
      </c>
      <c r="EU12" s="1491">
        <v>2</v>
      </c>
      <c r="EV12" s="1491"/>
      <c r="EW12" s="1491">
        <v>1</v>
      </c>
      <c r="EX12" s="1491"/>
      <c r="EY12" s="1491"/>
      <c r="EZ12" s="1491"/>
      <c r="FA12" s="1491"/>
      <c r="FB12" s="1491"/>
      <c r="FC12" s="393"/>
      <c r="FD12" s="393"/>
      <c r="FE12" s="393">
        <v>5</v>
      </c>
      <c r="FF12" s="560">
        <f>+FE11/FE12</f>
        <v>0.8</v>
      </c>
      <c r="FH12" s="1225"/>
      <c r="FI12" s="1225"/>
      <c r="FJ12" s="1225"/>
      <c r="FK12" s="1222" t="s">
        <v>482</v>
      </c>
      <c r="FL12" s="1231"/>
      <c r="FM12" s="1231"/>
      <c r="FN12" s="1231"/>
      <c r="FO12" s="1231"/>
      <c r="FP12" s="1231"/>
      <c r="FQ12" s="1231"/>
      <c r="FR12" s="1232">
        <v>2</v>
      </c>
      <c r="FS12" s="1232">
        <v>3</v>
      </c>
      <c r="FT12" s="1231"/>
      <c r="FU12" s="1231"/>
      <c r="FV12" s="1231"/>
      <c r="FW12" s="1232">
        <v>1</v>
      </c>
      <c r="FX12" s="1232">
        <v>1</v>
      </c>
      <c r="FY12" s="1233"/>
      <c r="FZ12" s="1233"/>
      <c r="GA12" s="1234">
        <v>7</v>
      </c>
      <c r="GB12" s="1178">
        <f>+GA11/GA12</f>
        <v>0.7142857142857143</v>
      </c>
      <c r="GD12" s="603"/>
      <c r="GE12" s="603"/>
      <c r="GF12" s="603"/>
      <c r="GG12" s="604" t="s">
        <v>1081</v>
      </c>
      <c r="GH12" s="605"/>
      <c r="GI12" s="605"/>
      <c r="GJ12" s="605"/>
      <c r="GK12" s="605"/>
      <c r="GL12" s="605"/>
      <c r="GM12" s="606">
        <v>0</v>
      </c>
      <c r="GN12" s="606">
        <v>0</v>
      </c>
      <c r="GO12" s="605"/>
      <c r="GP12" s="605"/>
      <c r="GQ12" s="605"/>
      <c r="GR12" s="606">
        <v>0</v>
      </c>
      <c r="GS12" s="606">
        <v>1</v>
      </c>
      <c r="GT12" s="605"/>
      <c r="GU12" s="605"/>
      <c r="GV12" s="605"/>
      <c r="GW12" s="607"/>
      <c r="GX12" s="607"/>
      <c r="GY12" s="608">
        <v>1</v>
      </c>
      <c r="GZ12" s="95"/>
      <c r="HB12" s="441"/>
      <c r="HC12" s="441"/>
      <c r="HD12" s="441"/>
      <c r="HE12" s="36"/>
      <c r="HF12" s="462" t="s">
        <v>15</v>
      </c>
      <c r="HG12" s="619">
        <v>1</v>
      </c>
      <c r="HH12" s="618"/>
      <c r="HI12" s="618"/>
      <c r="HJ12" s="619">
        <v>1</v>
      </c>
      <c r="HK12" s="618"/>
      <c r="HL12" s="618"/>
      <c r="HM12" s="618"/>
      <c r="HN12" s="618"/>
      <c r="HO12" s="618"/>
      <c r="HP12" s="618"/>
      <c r="HQ12" s="618"/>
      <c r="HR12" s="618"/>
      <c r="HS12" s="618"/>
      <c r="HT12" s="618"/>
      <c r="HU12" s="619">
        <v>1</v>
      </c>
      <c r="HV12" s="620"/>
      <c r="HW12" s="620"/>
      <c r="HX12" s="621">
        <v>3</v>
      </c>
      <c r="HY12" s="560">
        <v>0</v>
      </c>
      <c r="HZ12" s="36"/>
      <c r="IA12" s="613"/>
      <c r="IB12" s="613"/>
      <c r="IC12" s="613"/>
      <c r="ID12" s="389" t="s">
        <v>1163</v>
      </c>
      <c r="IE12" s="614"/>
      <c r="IF12" s="614"/>
      <c r="IG12" s="614"/>
      <c r="IH12" s="390">
        <v>0</v>
      </c>
      <c r="II12" s="390">
        <v>0</v>
      </c>
      <c r="IJ12" s="390">
        <v>1</v>
      </c>
      <c r="IK12" s="390">
        <v>0</v>
      </c>
      <c r="IL12" s="390">
        <v>0</v>
      </c>
      <c r="IM12" s="390">
        <v>0</v>
      </c>
      <c r="IN12" s="390">
        <v>0</v>
      </c>
      <c r="IO12" s="390">
        <v>0</v>
      </c>
      <c r="IP12" s="614"/>
      <c r="IQ12" s="614"/>
      <c r="IR12" s="390">
        <v>1</v>
      </c>
      <c r="IS12" s="615"/>
      <c r="IT12" s="36"/>
      <c r="IU12" s="36"/>
      <c r="IV12" s="95"/>
      <c r="IW12" s="95"/>
      <c r="IX12" s="36"/>
      <c r="IY12" s="36" t="s">
        <v>1163</v>
      </c>
      <c r="IZ12" s="95"/>
      <c r="JA12" s="95"/>
      <c r="JB12" s="95">
        <v>0</v>
      </c>
      <c r="JC12" s="95"/>
      <c r="JD12" s="95"/>
      <c r="JE12" s="95">
        <v>0</v>
      </c>
      <c r="JF12" s="95"/>
      <c r="JG12" s="95"/>
      <c r="JH12" s="95">
        <v>0</v>
      </c>
      <c r="JI12" s="95">
        <v>1</v>
      </c>
      <c r="JJ12" s="95">
        <v>0</v>
      </c>
      <c r="JK12" s="95">
        <v>0</v>
      </c>
      <c r="JL12" s="95">
        <v>1</v>
      </c>
      <c r="JM12" s="95"/>
      <c r="JN12" s="95"/>
      <c r="JO12" s="95"/>
      <c r="JP12" s="95">
        <v>2</v>
      </c>
      <c r="JQ12" s="36"/>
      <c r="JR12" s="36"/>
      <c r="JS12" s="616"/>
      <c r="JT12" s="616"/>
      <c r="JU12" s="616"/>
      <c r="JV12" s="616" t="s">
        <v>1076</v>
      </c>
      <c r="JW12" s="616">
        <v>0</v>
      </c>
      <c r="JX12" s="616">
        <v>0</v>
      </c>
      <c r="JY12" s="616">
        <v>0</v>
      </c>
      <c r="JZ12" s="616">
        <v>0</v>
      </c>
      <c r="KA12" s="616">
        <v>0</v>
      </c>
      <c r="KB12" s="616">
        <v>0</v>
      </c>
      <c r="KC12" s="616">
        <v>0</v>
      </c>
      <c r="KD12" s="616">
        <v>0</v>
      </c>
      <c r="KE12" s="616">
        <v>0</v>
      </c>
      <c r="KF12" s="616">
        <v>0</v>
      </c>
      <c r="KG12" s="616">
        <v>0</v>
      </c>
      <c r="KH12" s="616">
        <v>0</v>
      </c>
      <c r="KI12" s="616">
        <v>1</v>
      </c>
      <c r="KJ12" s="616">
        <v>0</v>
      </c>
      <c r="KK12" s="616">
        <v>0</v>
      </c>
      <c r="KL12" s="616">
        <v>0</v>
      </c>
      <c r="KM12" s="616">
        <v>1</v>
      </c>
      <c r="KN12" s="616"/>
      <c r="KO12" s="617"/>
    </row>
    <row r="13" spans="1:301">
      <c r="A13" s="5737"/>
      <c r="B13" s="5737"/>
      <c r="C13" s="5736"/>
      <c r="D13" s="5736"/>
      <c r="E13" s="5742">
        <f>SUM(E7:E12)</f>
        <v>6</v>
      </c>
      <c r="F13" s="5737"/>
      <c r="G13" s="4476">
        <f>+(E7+E9)/(E13)</f>
        <v>0.33333333333333331</v>
      </c>
      <c r="I13" s="4726"/>
      <c r="J13" s="4726"/>
      <c r="K13" s="4725"/>
      <c r="L13" s="4725"/>
      <c r="M13" s="4975">
        <f>SUM(M7:M12)</f>
        <v>6</v>
      </c>
      <c r="N13" s="4726"/>
      <c r="O13" s="4476">
        <f>+(M9+M11)/(M13)</f>
        <v>0.33333333333333331</v>
      </c>
      <c r="Q13" s="4458"/>
      <c r="R13" s="4458"/>
      <c r="S13" s="4465" t="s">
        <v>15</v>
      </c>
      <c r="T13" s="4463"/>
      <c r="U13" s="4465"/>
      <c r="V13" s="4480">
        <f>SUM(V10:V12)</f>
        <v>3</v>
      </c>
      <c r="W13" s="4510">
        <v>0</v>
      </c>
      <c r="X13" s="4467"/>
      <c r="Y13" s="4467"/>
      <c r="Z13" s="36"/>
      <c r="AA13" s="36"/>
      <c r="AB13" s="36" t="s">
        <v>2270</v>
      </c>
      <c r="AC13" s="36" t="s">
        <v>1071</v>
      </c>
      <c r="AD13" s="615"/>
      <c r="AE13" s="615"/>
      <c r="AF13" s="615"/>
      <c r="AG13" s="615"/>
      <c r="AH13" s="615"/>
      <c r="AI13" s="615">
        <v>0</v>
      </c>
      <c r="AJ13" s="615">
        <v>0</v>
      </c>
      <c r="AK13" s="615">
        <v>0</v>
      </c>
      <c r="AL13" s="615">
        <v>0</v>
      </c>
      <c r="AM13" s="615">
        <v>0</v>
      </c>
      <c r="AN13" s="615">
        <v>1</v>
      </c>
      <c r="AO13" s="615">
        <v>0</v>
      </c>
      <c r="AP13" s="615">
        <v>1</v>
      </c>
      <c r="AQ13" s="36">
        <v>0</v>
      </c>
      <c r="AR13" s="36">
        <v>2</v>
      </c>
      <c r="AS13" s="36"/>
      <c r="AU13" s="36"/>
      <c r="AV13" s="36"/>
      <c r="AW13" s="36"/>
      <c r="AX13" s="36" t="s">
        <v>1081</v>
      </c>
      <c r="AY13" s="1681"/>
      <c r="AZ13" s="1681"/>
      <c r="BA13" s="1681"/>
      <c r="BB13" s="1681"/>
      <c r="BC13" s="1681"/>
      <c r="BD13" s="1681"/>
      <c r="BE13" s="1681"/>
      <c r="BF13" s="1681"/>
      <c r="BG13" s="1681"/>
      <c r="BH13" s="1681"/>
      <c r="BI13" s="1681">
        <v>0</v>
      </c>
      <c r="BJ13" s="1681"/>
      <c r="BK13" s="1681">
        <v>1</v>
      </c>
      <c r="BL13" s="1681">
        <v>0</v>
      </c>
      <c r="BM13" s="95">
        <v>0</v>
      </c>
      <c r="BN13" s="95"/>
      <c r="BO13" s="95">
        <v>1</v>
      </c>
      <c r="BP13" s="95"/>
      <c r="BU13" s="32" t="s">
        <v>1081</v>
      </c>
      <c r="BV13" s="3871"/>
      <c r="BW13" s="3871"/>
      <c r="BX13" s="3871"/>
      <c r="BY13" s="3871"/>
      <c r="BZ13" s="3871"/>
      <c r="CA13" s="3871"/>
      <c r="CB13" s="3871"/>
      <c r="CC13" s="3871"/>
      <c r="CD13" s="3871"/>
      <c r="CE13" s="3871"/>
      <c r="CF13" s="3871">
        <v>0</v>
      </c>
      <c r="CG13" s="3871"/>
      <c r="CH13" s="3871">
        <v>1</v>
      </c>
      <c r="CI13" s="3871"/>
      <c r="CJ13" s="1518">
        <v>0</v>
      </c>
      <c r="CK13" s="1518">
        <v>1</v>
      </c>
      <c r="CN13" s="36"/>
      <c r="CO13" s="36"/>
      <c r="CP13" s="36"/>
      <c r="CQ13" s="36" t="s">
        <v>1081</v>
      </c>
      <c r="CR13" s="615"/>
      <c r="CS13" s="615"/>
      <c r="CT13" s="615"/>
      <c r="CU13" s="615"/>
      <c r="CV13" s="615">
        <v>0</v>
      </c>
      <c r="CW13" s="615"/>
      <c r="CX13" s="615"/>
      <c r="CY13" s="615"/>
      <c r="CZ13" s="615"/>
      <c r="DA13" s="615">
        <v>3</v>
      </c>
      <c r="DB13" s="615"/>
      <c r="DC13" s="615">
        <v>1</v>
      </c>
      <c r="DD13" s="615"/>
      <c r="DE13" s="615">
        <v>0</v>
      </c>
      <c r="DF13" s="615"/>
      <c r="DG13" s="36"/>
      <c r="DH13" s="36"/>
      <c r="DI13" s="36">
        <v>4</v>
      </c>
      <c r="DJ13" s="36"/>
      <c r="DL13" s="36"/>
      <c r="DM13" s="36"/>
      <c r="DN13" s="36"/>
      <c r="DO13" s="36" t="s">
        <v>1076</v>
      </c>
      <c r="DP13" s="1681"/>
      <c r="DQ13" s="1681"/>
      <c r="DR13" s="1681"/>
      <c r="DS13" s="1681"/>
      <c r="DT13" s="1681"/>
      <c r="DU13" s="1681"/>
      <c r="DV13" s="1681"/>
      <c r="DW13" s="1681"/>
      <c r="DX13" s="1681"/>
      <c r="DY13" s="1681">
        <v>1</v>
      </c>
      <c r="DZ13" s="1681"/>
      <c r="EA13" s="1681">
        <v>0</v>
      </c>
      <c r="EB13" s="1681"/>
      <c r="EC13" s="1681"/>
      <c r="ED13" s="1681"/>
      <c r="EE13" s="95"/>
      <c r="EF13" s="95"/>
      <c r="EG13" s="95">
        <v>1</v>
      </c>
      <c r="EH13" s="36"/>
      <c r="EK13" s="95" t="s">
        <v>16</v>
      </c>
      <c r="EL13" s="36" t="s">
        <v>117</v>
      </c>
      <c r="EM13" s="36" t="s">
        <v>1071</v>
      </c>
      <c r="EN13" s="1490"/>
      <c r="EO13" s="1490"/>
      <c r="EP13" s="1490">
        <v>0</v>
      </c>
      <c r="EQ13" s="1490"/>
      <c r="ER13" s="1490"/>
      <c r="ES13" s="1490"/>
      <c r="ET13" s="1490"/>
      <c r="EU13" s="1490"/>
      <c r="EV13" s="1490"/>
      <c r="EW13" s="1490">
        <v>0</v>
      </c>
      <c r="EX13" s="1490">
        <v>1</v>
      </c>
      <c r="EY13" s="1490">
        <v>1</v>
      </c>
      <c r="EZ13" s="1490">
        <v>1</v>
      </c>
      <c r="FA13" s="1490">
        <v>2</v>
      </c>
      <c r="FB13" s="1490">
        <v>1</v>
      </c>
      <c r="FC13" s="36"/>
      <c r="FD13" s="36"/>
      <c r="FE13" s="36">
        <v>6</v>
      </c>
      <c r="FF13" s="36"/>
      <c r="FH13" s="1225"/>
      <c r="FI13" s="1225" t="s">
        <v>16</v>
      </c>
      <c r="FJ13" s="1225" t="s">
        <v>118</v>
      </c>
      <c r="FK13" s="1226" t="s">
        <v>1072</v>
      </c>
      <c r="FL13" s="1227"/>
      <c r="FM13" s="1227"/>
      <c r="FN13" s="1227"/>
      <c r="FO13" s="1227"/>
      <c r="FP13" s="1227"/>
      <c r="FQ13" s="1227"/>
      <c r="FR13" s="1227"/>
      <c r="FS13" s="1227"/>
      <c r="FT13" s="1227"/>
      <c r="FU13" s="1227"/>
      <c r="FV13" s="1228">
        <v>4</v>
      </c>
      <c r="FW13" s="1228">
        <v>1</v>
      </c>
      <c r="FX13" s="1228">
        <v>0</v>
      </c>
      <c r="FY13" s="1229"/>
      <c r="FZ13" s="1229"/>
      <c r="GA13" s="1230">
        <v>5</v>
      </c>
      <c r="GB13" s="36"/>
      <c r="GD13" s="603"/>
      <c r="GE13" s="603"/>
      <c r="GF13" s="603"/>
      <c r="GG13" s="604" t="s">
        <v>1163</v>
      </c>
      <c r="GH13" s="605"/>
      <c r="GI13" s="605"/>
      <c r="GJ13" s="605"/>
      <c r="GK13" s="605"/>
      <c r="GL13" s="605"/>
      <c r="GM13" s="606">
        <v>0</v>
      </c>
      <c r="GN13" s="606">
        <v>1</v>
      </c>
      <c r="GO13" s="605"/>
      <c r="GP13" s="605"/>
      <c r="GQ13" s="605"/>
      <c r="GR13" s="606">
        <v>1</v>
      </c>
      <c r="GS13" s="606">
        <v>1</v>
      </c>
      <c r="GT13" s="605"/>
      <c r="GU13" s="605"/>
      <c r="GV13" s="605"/>
      <c r="GW13" s="607"/>
      <c r="GX13" s="607"/>
      <c r="GY13" s="608">
        <v>3</v>
      </c>
      <c r="GZ13" s="95"/>
      <c r="HB13" s="441"/>
      <c r="HC13" s="441"/>
      <c r="HD13" s="462" t="s">
        <v>482</v>
      </c>
      <c r="HE13" s="441" t="s">
        <v>1070</v>
      </c>
      <c r="HF13" s="442" t="s">
        <v>1072</v>
      </c>
      <c r="HG13" s="610">
        <v>1</v>
      </c>
      <c r="HH13" s="609"/>
      <c r="HI13" s="609"/>
      <c r="HJ13" s="610">
        <v>1</v>
      </c>
      <c r="HK13" s="609"/>
      <c r="HL13" s="609"/>
      <c r="HM13" s="609"/>
      <c r="HN13" s="609"/>
      <c r="HO13" s="609"/>
      <c r="HP13" s="609"/>
      <c r="HQ13" s="610">
        <v>0</v>
      </c>
      <c r="HR13" s="609"/>
      <c r="HS13" s="609"/>
      <c r="HT13" s="610">
        <v>0</v>
      </c>
      <c r="HU13" s="610">
        <v>0</v>
      </c>
      <c r="HV13" s="611"/>
      <c r="HW13" s="611"/>
      <c r="HX13" s="612">
        <v>2</v>
      </c>
      <c r="HY13" s="560"/>
      <c r="HZ13" s="36"/>
      <c r="IA13" s="613"/>
      <c r="IB13" s="613"/>
      <c r="IC13" s="613"/>
      <c r="ID13" s="629" t="s">
        <v>15</v>
      </c>
      <c r="IE13" s="630"/>
      <c r="IF13" s="630"/>
      <c r="IG13" s="630"/>
      <c r="IH13" s="395">
        <v>1</v>
      </c>
      <c r="II13" s="395">
        <v>2</v>
      </c>
      <c r="IJ13" s="395">
        <v>2</v>
      </c>
      <c r="IK13" s="395">
        <v>1</v>
      </c>
      <c r="IL13" s="395">
        <v>1</v>
      </c>
      <c r="IM13" s="395">
        <v>1</v>
      </c>
      <c r="IN13" s="395">
        <v>1</v>
      </c>
      <c r="IO13" s="395">
        <v>2</v>
      </c>
      <c r="IP13" s="630"/>
      <c r="IQ13" s="630"/>
      <c r="IR13" s="395">
        <v>11</v>
      </c>
      <c r="IS13" s="553">
        <f>+(IR12+IR11+IR8)/IR13</f>
        <v>0.27272727272727271</v>
      </c>
      <c r="IT13" s="36"/>
      <c r="IU13" s="36"/>
      <c r="IV13" s="95"/>
      <c r="IW13" s="95"/>
      <c r="IX13" s="36"/>
      <c r="IY13" s="393" t="s">
        <v>15</v>
      </c>
      <c r="IZ13" s="86"/>
      <c r="JA13" s="86"/>
      <c r="JB13" s="86">
        <v>1</v>
      </c>
      <c r="JC13" s="86"/>
      <c r="JD13" s="86"/>
      <c r="JE13" s="86">
        <v>1</v>
      </c>
      <c r="JF13" s="86"/>
      <c r="JG13" s="86"/>
      <c r="JH13" s="86">
        <v>1</v>
      </c>
      <c r="JI13" s="86">
        <v>3</v>
      </c>
      <c r="JJ13" s="86">
        <v>2</v>
      </c>
      <c r="JK13" s="86">
        <v>3</v>
      </c>
      <c r="JL13" s="86">
        <v>1</v>
      </c>
      <c r="JM13" s="86"/>
      <c r="JN13" s="86"/>
      <c r="JO13" s="86"/>
      <c r="JP13" s="86">
        <v>12</v>
      </c>
      <c r="JQ13" s="631">
        <f>+(JP8+JP11+JP12)/JP13</f>
        <v>0.5</v>
      </c>
      <c r="JR13" s="36"/>
      <c r="JS13" s="616"/>
      <c r="JT13" s="616"/>
      <c r="JU13" s="616"/>
      <c r="JV13" s="616" t="s">
        <v>1077</v>
      </c>
      <c r="JW13" s="616">
        <v>0</v>
      </c>
      <c r="JX13" s="616">
        <v>0</v>
      </c>
      <c r="JY13" s="616">
        <v>0</v>
      </c>
      <c r="JZ13" s="616">
        <v>0</v>
      </c>
      <c r="KA13" s="616">
        <v>0</v>
      </c>
      <c r="KB13" s="616">
        <v>0</v>
      </c>
      <c r="KC13" s="616">
        <v>1</v>
      </c>
      <c r="KD13" s="616">
        <v>0</v>
      </c>
      <c r="KE13" s="616">
        <v>0</v>
      </c>
      <c r="KF13" s="616">
        <v>0</v>
      </c>
      <c r="KG13" s="616">
        <v>0</v>
      </c>
      <c r="KH13" s="616">
        <v>0</v>
      </c>
      <c r="KI13" s="616">
        <v>0</v>
      </c>
      <c r="KJ13" s="616">
        <v>0</v>
      </c>
      <c r="KK13" s="616">
        <v>0</v>
      </c>
      <c r="KL13" s="616">
        <v>0</v>
      </c>
      <c r="KM13" s="616">
        <v>1</v>
      </c>
      <c r="KN13" s="616"/>
      <c r="KO13" s="617"/>
    </row>
    <row r="14" spans="1:301">
      <c r="A14" s="5737">
        <v>1</v>
      </c>
      <c r="B14" s="5737">
        <v>1</v>
      </c>
      <c r="C14" s="5736" t="s">
        <v>607</v>
      </c>
      <c r="D14" s="5736" t="s">
        <v>2731</v>
      </c>
      <c r="E14" s="5737">
        <v>1</v>
      </c>
      <c r="F14" s="5737">
        <v>15</v>
      </c>
      <c r="I14" s="4726">
        <v>1</v>
      </c>
      <c r="J14" s="4726">
        <v>1</v>
      </c>
      <c r="K14" s="4725" t="s">
        <v>607</v>
      </c>
      <c r="L14" s="4725" t="s">
        <v>2731</v>
      </c>
      <c r="M14" s="4726">
        <v>2</v>
      </c>
      <c r="N14" s="4726">
        <v>14</v>
      </c>
      <c r="Q14" s="4458">
        <v>1</v>
      </c>
      <c r="R14" s="4458">
        <v>1</v>
      </c>
      <c r="S14" s="4459" t="s">
        <v>2734</v>
      </c>
      <c r="T14" s="4459" t="s">
        <v>2709</v>
      </c>
      <c r="U14" s="4458">
        <v>8</v>
      </c>
      <c r="V14" s="4479">
        <v>1</v>
      </c>
      <c r="W14" s="4510"/>
      <c r="X14" s="4467"/>
      <c r="Y14" s="4467"/>
      <c r="Z14" s="36"/>
      <c r="AA14" s="36"/>
      <c r="AB14" s="36"/>
      <c r="AC14" s="36" t="s">
        <v>1072</v>
      </c>
      <c r="AD14" s="615"/>
      <c r="AE14" s="615"/>
      <c r="AF14" s="615"/>
      <c r="AG14" s="615"/>
      <c r="AH14" s="615"/>
      <c r="AI14" s="615">
        <v>0</v>
      </c>
      <c r="AJ14" s="615">
        <v>1</v>
      </c>
      <c r="AK14" s="615">
        <v>1</v>
      </c>
      <c r="AL14" s="615">
        <v>0</v>
      </c>
      <c r="AM14" s="615">
        <v>1</v>
      </c>
      <c r="AN14" s="615">
        <v>0</v>
      </c>
      <c r="AO14" s="615">
        <v>0</v>
      </c>
      <c r="AP14" s="615">
        <v>0</v>
      </c>
      <c r="AQ14" s="36">
        <v>0</v>
      </c>
      <c r="AR14" s="36">
        <v>3</v>
      </c>
      <c r="AS14" s="36"/>
      <c r="AU14" s="36"/>
      <c r="AV14" s="36"/>
      <c r="AW14" s="36"/>
      <c r="AX14" s="36" t="s">
        <v>15</v>
      </c>
      <c r="AY14" s="1681"/>
      <c r="AZ14" s="1681"/>
      <c r="BA14" s="1681"/>
      <c r="BB14" s="1681"/>
      <c r="BC14" s="1681"/>
      <c r="BD14" s="1681"/>
      <c r="BE14" s="1681"/>
      <c r="BF14" s="1681"/>
      <c r="BG14" s="1681"/>
      <c r="BH14" s="1681"/>
      <c r="BI14" s="1681">
        <v>1</v>
      </c>
      <c r="BJ14" s="1681"/>
      <c r="BK14" s="1681">
        <v>2</v>
      </c>
      <c r="BL14" s="1681">
        <v>2</v>
      </c>
      <c r="BM14" s="95">
        <v>1</v>
      </c>
      <c r="BN14" s="95"/>
      <c r="BO14" s="95">
        <v>6</v>
      </c>
      <c r="BP14" s="560">
        <f>+(BO13)/(BO14)</f>
        <v>0.16666666666666666</v>
      </c>
      <c r="BU14" s="1520" t="s">
        <v>15</v>
      </c>
      <c r="BV14" s="3872"/>
      <c r="BW14" s="3872"/>
      <c r="BX14" s="3872"/>
      <c r="BY14" s="3872"/>
      <c r="BZ14" s="3872"/>
      <c r="CA14" s="3872"/>
      <c r="CB14" s="3872"/>
      <c r="CC14" s="3872"/>
      <c r="CD14" s="3872"/>
      <c r="CE14" s="3872"/>
      <c r="CF14" s="3872">
        <v>1</v>
      </c>
      <c r="CG14" s="3872"/>
      <c r="CH14" s="3872">
        <v>4</v>
      </c>
      <c r="CI14" s="3872"/>
      <c r="CJ14" s="3806">
        <v>1</v>
      </c>
      <c r="CK14" s="3806">
        <v>6</v>
      </c>
      <c r="CL14" s="3807">
        <f>+CK13/CK14</f>
        <v>0.16666666666666666</v>
      </c>
      <c r="CN14" s="36"/>
      <c r="CO14" s="36"/>
      <c r="CP14" s="36"/>
      <c r="CQ14" s="36" t="s">
        <v>1163</v>
      </c>
      <c r="CR14" s="615"/>
      <c r="CS14" s="615"/>
      <c r="CT14" s="615"/>
      <c r="CU14" s="615"/>
      <c r="CV14" s="615">
        <v>0</v>
      </c>
      <c r="CW14" s="615"/>
      <c r="CX14" s="615"/>
      <c r="CY14" s="615"/>
      <c r="CZ14" s="615"/>
      <c r="DA14" s="615">
        <v>0</v>
      </c>
      <c r="DB14" s="615"/>
      <c r="DC14" s="615">
        <v>1</v>
      </c>
      <c r="DD14" s="615"/>
      <c r="DE14" s="615">
        <v>0</v>
      </c>
      <c r="DF14" s="615"/>
      <c r="DG14" s="36"/>
      <c r="DH14" s="36"/>
      <c r="DI14" s="36">
        <v>1</v>
      </c>
      <c r="DJ14" s="36"/>
      <c r="DL14" s="36"/>
      <c r="DM14" s="36"/>
      <c r="DN14" s="36"/>
      <c r="DO14" s="393" t="s">
        <v>15</v>
      </c>
      <c r="DP14" s="1682"/>
      <c r="DQ14" s="1682"/>
      <c r="DR14" s="1682"/>
      <c r="DS14" s="1682"/>
      <c r="DT14" s="1682"/>
      <c r="DU14" s="1682"/>
      <c r="DV14" s="1682"/>
      <c r="DW14" s="1682"/>
      <c r="DX14" s="1682"/>
      <c r="DY14" s="1682">
        <v>2</v>
      </c>
      <c r="DZ14" s="1682"/>
      <c r="EA14" s="1682">
        <v>1</v>
      </c>
      <c r="EB14" s="1682"/>
      <c r="EC14" s="1682"/>
      <c r="ED14" s="1682"/>
      <c r="EE14" s="86"/>
      <c r="EF14" s="86"/>
      <c r="EG14" s="86">
        <v>3</v>
      </c>
      <c r="EH14" s="560">
        <f>+EG13/EG14</f>
        <v>0.33333333333333331</v>
      </c>
      <c r="EL14" s="36"/>
      <c r="EM14" s="36" t="s">
        <v>1072</v>
      </c>
      <c r="EN14" s="1490"/>
      <c r="EO14" s="1490"/>
      <c r="EP14" s="1490">
        <v>1</v>
      </c>
      <c r="EQ14" s="1490"/>
      <c r="ER14" s="1490"/>
      <c r="ES14" s="1490"/>
      <c r="ET14" s="1490"/>
      <c r="EU14" s="1490"/>
      <c r="EV14" s="1490"/>
      <c r="EW14" s="1490">
        <v>0</v>
      </c>
      <c r="EX14" s="1490">
        <v>0</v>
      </c>
      <c r="EY14" s="1490">
        <v>0</v>
      </c>
      <c r="EZ14" s="1490">
        <v>0</v>
      </c>
      <c r="FA14" s="1490">
        <v>1</v>
      </c>
      <c r="FB14" s="1490">
        <v>0</v>
      </c>
      <c r="FC14" s="36"/>
      <c r="FD14" s="36"/>
      <c r="FE14" s="36">
        <v>2</v>
      </c>
      <c r="FF14" s="36"/>
      <c r="FH14" s="1225"/>
      <c r="FI14" s="1225"/>
      <c r="FJ14" s="1225"/>
      <c r="FK14" s="1226" t="s">
        <v>1080</v>
      </c>
      <c r="FL14" s="1227"/>
      <c r="FM14" s="1227"/>
      <c r="FN14" s="1227"/>
      <c r="FO14" s="1227"/>
      <c r="FP14" s="1227"/>
      <c r="FQ14" s="1227"/>
      <c r="FR14" s="1227"/>
      <c r="FS14" s="1227"/>
      <c r="FT14" s="1227"/>
      <c r="FU14" s="1227"/>
      <c r="FV14" s="1228">
        <v>0</v>
      </c>
      <c r="FW14" s="1228">
        <v>1</v>
      </c>
      <c r="FX14" s="1228">
        <v>2</v>
      </c>
      <c r="FY14" s="1229"/>
      <c r="FZ14" s="1229"/>
      <c r="GA14" s="1230">
        <v>3</v>
      </c>
      <c r="GB14" s="36"/>
      <c r="GD14" s="603"/>
      <c r="GE14" s="603"/>
      <c r="GF14" s="603"/>
      <c r="GG14" s="622" t="s">
        <v>482</v>
      </c>
      <c r="GH14" s="623"/>
      <c r="GI14" s="623"/>
      <c r="GJ14" s="623"/>
      <c r="GK14" s="623"/>
      <c r="GL14" s="623"/>
      <c r="GM14" s="624">
        <v>1</v>
      </c>
      <c r="GN14" s="624">
        <v>1</v>
      </c>
      <c r="GO14" s="623"/>
      <c r="GP14" s="623"/>
      <c r="GQ14" s="623"/>
      <c r="GR14" s="624">
        <v>1</v>
      </c>
      <c r="GS14" s="624">
        <v>2</v>
      </c>
      <c r="GT14" s="623"/>
      <c r="GU14" s="623"/>
      <c r="GV14" s="623"/>
      <c r="GW14" s="625"/>
      <c r="GX14" s="625"/>
      <c r="GY14" s="626">
        <v>5</v>
      </c>
      <c r="GZ14" s="560">
        <f>+(GY12+GY13)/GY14</f>
        <v>0.8</v>
      </c>
      <c r="HB14" s="441"/>
      <c r="HC14" s="441"/>
      <c r="HD14" s="441"/>
      <c r="HE14" s="441"/>
      <c r="HF14" s="442" t="s">
        <v>1076</v>
      </c>
      <c r="HG14" s="610">
        <v>0</v>
      </c>
      <c r="HH14" s="609"/>
      <c r="HI14" s="609"/>
      <c r="HJ14" s="610">
        <v>0</v>
      </c>
      <c r="HK14" s="609"/>
      <c r="HL14" s="609"/>
      <c r="HM14" s="609"/>
      <c r="HN14" s="609"/>
      <c r="HO14" s="609"/>
      <c r="HP14" s="609"/>
      <c r="HQ14" s="610">
        <v>0</v>
      </c>
      <c r="HR14" s="609"/>
      <c r="HS14" s="609"/>
      <c r="HT14" s="610">
        <v>1</v>
      </c>
      <c r="HU14" s="610">
        <v>0</v>
      </c>
      <c r="HV14" s="611"/>
      <c r="HW14" s="611"/>
      <c r="HX14" s="612">
        <v>1</v>
      </c>
      <c r="HY14" s="560"/>
      <c r="HZ14" s="36"/>
      <c r="IA14" s="613"/>
      <c r="IB14" s="613"/>
      <c r="IC14" s="613" t="s">
        <v>115</v>
      </c>
      <c r="ID14" s="389" t="s">
        <v>1080</v>
      </c>
      <c r="IE14" s="614"/>
      <c r="IF14" s="614"/>
      <c r="IG14" s="614"/>
      <c r="IH14" s="614"/>
      <c r="II14" s="614"/>
      <c r="IJ14" s="614"/>
      <c r="IK14" s="614"/>
      <c r="IL14" s="614"/>
      <c r="IM14" s="614"/>
      <c r="IN14" s="390">
        <v>0</v>
      </c>
      <c r="IO14" s="390">
        <v>1</v>
      </c>
      <c r="IP14" s="614"/>
      <c r="IQ14" s="614"/>
      <c r="IR14" s="390">
        <v>1</v>
      </c>
      <c r="IS14" s="615"/>
      <c r="IT14" s="36"/>
      <c r="IU14" s="36"/>
      <c r="IV14" s="95"/>
      <c r="IW14" s="95" t="s">
        <v>16</v>
      </c>
      <c r="IX14" s="36" t="s">
        <v>127</v>
      </c>
      <c r="IY14" s="36" t="s">
        <v>1072</v>
      </c>
      <c r="IZ14" s="95"/>
      <c r="JA14" s="95"/>
      <c r="JB14" s="95"/>
      <c r="JC14" s="95"/>
      <c r="JD14" s="95"/>
      <c r="JE14" s="95"/>
      <c r="JF14" s="95"/>
      <c r="JG14" s="95"/>
      <c r="JH14" s="95">
        <v>1</v>
      </c>
      <c r="JI14" s="95"/>
      <c r="JJ14" s="95"/>
      <c r="JK14" s="95">
        <v>1</v>
      </c>
      <c r="JL14" s="95"/>
      <c r="JM14" s="95"/>
      <c r="JN14" s="95"/>
      <c r="JO14" s="95">
        <v>0</v>
      </c>
      <c r="JP14" s="95">
        <v>2</v>
      </c>
      <c r="JQ14" s="36"/>
      <c r="JR14" s="36"/>
      <c r="JS14" s="616"/>
      <c r="JT14" s="616"/>
      <c r="JU14" s="616"/>
      <c r="JV14" s="627" t="s">
        <v>15</v>
      </c>
      <c r="JW14" s="627">
        <v>0</v>
      </c>
      <c r="JX14" s="627">
        <v>0</v>
      </c>
      <c r="JY14" s="627">
        <v>1</v>
      </c>
      <c r="JZ14" s="627">
        <v>0</v>
      </c>
      <c r="KA14" s="627">
        <v>0</v>
      </c>
      <c r="KB14" s="627">
        <v>0</v>
      </c>
      <c r="KC14" s="627">
        <v>1</v>
      </c>
      <c r="KD14" s="627">
        <v>0</v>
      </c>
      <c r="KE14" s="627">
        <v>0</v>
      </c>
      <c r="KF14" s="627">
        <v>0</v>
      </c>
      <c r="KG14" s="627">
        <v>0</v>
      </c>
      <c r="KH14" s="627">
        <v>0</v>
      </c>
      <c r="KI14" s="627">
        <v>1</v>
      </c>
      <c r="KJ14" s="627">
        <v>0</v>
      </c>
      <c r="KK14" s="627">
        <v>0</v>
      </c>
      <c r="KL14" s="627">
        <v>0</v>
      </c>
      <c r="KM14" s="627">
        <v>3</v>
      </c>
      <c r="KN14" s="628">
        <f>+KM12/KM14</f>
        <v>0.33333333333333331</v>
      </c>
      <c r="KO14" s="617">
        <f>+KM12</f>
        <v>1</v>
      </c>
    </row>
    <row r="15" spans="1:301">
      <c r="A15" s="5737">
        <v>1</v>
      </c>
      <c r="B15" s="5737">
        <v>1</v>
      </c>
      <c r="C15" s="5736" t="s">
        <v>607</v>
      </c>
      <c r="D15" s="5739" t="s">
        <v>1076</v>
      </c>
      <c r="E15" s="5737">
        <v>1</v>
      </c>
      <c r="F15" s="5737">
        <v>14</v>
      </c>
      <c r="I15" s="4726"/>
      <c r="J15" s="4726"/>
      <c r="K15" s="4725"/>
      <c r="L15" s="4725"/>
      <c r="M15" s="4968">
        <f>SUM(M14)</f>
        <v>2</v>
      </c>
      <c r="N15" s="4726"/>
      <c r="O15" s="4510">
        <v>0</v>
      </c>
      <c r="Q15" s="4458">
        <v>1</v>
      </c>
      <c r="R15" s="4458">
        <v>1</v>
      </c>
      <c r="S15" s="4459" t="s">
        <v>2734</v>
      </c>
      <c r="T15" s="4459" t="s">
        <v>2709</v>
      </c>
      <c r="U15" s="4458">
        <v>9</v>
      </c>
      <c r="V15" s="4479">
        <v>1</v>
      </c>
      <c r="W15" s="4510"/>
      <c r="X15" s="4467"/>
      <c r="Y15" s="4467"/>
      <c r="Z15" s="36"/>
      <c r="AA15" s="36"/>
      <c r="AB15" s="36"/>
      <c r="AC15" s="36" t="s">
        <v>1080</v>
      </c>
      <c r="AD15" s="615"/>
      <c r="AE15" s="615"/>
      <c r="AF15" s="615"/>
      <c r="AG15" s="615"/>
      <c r="AH15" s="615"/>
      <c r="AI15" s="615">
        <v>0</v>
      </c>
      <c r="AJ15" s="615">
        <v>0</v>
      </c>
      <c r="AK15" s="615">
        <v>0</v>
      </c>
      <c r="AL15" s="615">
        <v>0</v>
      </c>
      <c r="AM15" s="615">
        <v>0</v>
      </c>
      <c r="AN15" s="615">
        <v>0</v>
      </c>
      <c r="AO15" s="615">
        <v>1</v>
      </c>
      <c r="AP15" s="615">
        <v>1</v>
      </c>
      <c r="AQ15" s="36">
        <v>1</v>
      </c>
      <c r="AR15" s="36">
        <v>3</v>
      </c>
      <c r="AS15" s="36"/>
      <c r="AW15" s="3868" t="s">
        <v>606</v>
      </c>
      <c r="AX15" s="3868" t="s">
        <v>1163</v>
      </c>
      <c r="AY15" s="3721"/>
      <c r="AZ15" s="3721"/>
      <c r="BA15" s="3721"/>
      <c r="BB15" s="3721"/>
      <c r="BC15" s="3721"/>
      <c r="BD15" s="3721"/>
      <c r="BE15" s="3721"/>
      <c r="BF15" s="3721"/>
      <c r="BG15" s="3721"/>
      <c r="BH15" s="3721"/>
      <c r="BI15" s="3721">
        <v>1</v>
      </c>
      <c r="BJ15" s="3721"/>
      <c r="BK15" s="3721"/>
      <c r="BL15" s="3721"/>
      <c r="BM15" s="2110"/>
      <c r="BN15" s="2110"/>
      <c r="BO15" s="2110">
        <v>1</v>
      </c>
      <c r="BP15" s="2110"/>
      <c r="BT15" s="32" t="s">
        <v>606</v>
      </c>
      <c r="BU15" s="32" t="s">
        <v>1163</v>
      </c>
      <c r="BV15" s="3871"/>
      <c r="BW15" s="3871"/>
      <c r="BX15" s="3871"/>
      <c r="BY15" s="3871"/>
      <c r="BZ15" s="3871"/>
      <c r="CA15" s="3871"/>
      <c r="CB15" s="3871"/>
      <c r="CC15" s="3871"/>
      <c r="CD15" s="3871"/>
      <c r="CE15" s="3871"/>
      <c r="CF15" s="3871">
        <v>1</v>
      </c>
      <c r="CG15" s="3871"/>
      <c r="CH15" s="3871"/>
      <c r="CI15" s="3871"/>
      <c r="CJ15" s="1518"/>
      <c r="CK15" s="1518">
        <v>1</v>
      </c>
      <c r="CN15" s="36"/>
      <c r="CO15" s="36"/>
      <c r="CP15" s="36"/>
      <c r="CQ15" s="393" t="s">
        <v>15</v>
      </c>
      <c r="CR15" s="2049"/>
      <c r="CS15" s="2049"/>
      <c r="CT15" s="2049"/>
      <c r="CU15" s="2049"/>
      <c r="CV15" s="2049">
        <v>1</v>
      </c>
      <c r="CW15" s="2049"/>
      <c r="CX15" s="2049"/>
      <c r="CY15" s="2049"/>
      <c r="CZ15" s="2049"/>
      <c r="DA15" s="2049">
        <v>4</v>
      </c>
      <c r="DB15" s="2049"/>
      <c r="DC15" s="2049">
        <v>2</v>
      </c>
      <c r="DD15" s="2049"/>
      <c r="DE15" s="2049">
        <v>1</v>
      </c>
      <c r="DF15" s="2049"/>
      <c r="DG15" s="393"/>
      <c r="DH15" s="393"/>
      <c r="DI15" s="393">
        <v>8</v>
      </c>
      <c r="DJ15" s="560">
        <f>+(DI14+DI13+DI12)/DI15</f>
        <v>0.75</v>
      </c>
      <c r="DK15" s="1665"/>
      <c r="DL15" s="36"/>
      <c r="DM15" s="36"/>
      <c r="DN15" s="36" t="s">
        <v>606</v>
      </c>
      <c r="DO15" s="36" t="s">
        <v>1076</v>
      </c>
      <c r="DP15" s="1681"/>
      <c r="DQ15" s="1681"/>
      <c r="DR15" s="1681"/>
      <c r="DS15" s="1681"/>
      <c r="DT15" s="1681"/>
      <c r="DU15" s="1681"/>
      <c r="DV15" s="1681"/>
      <c r="DW15" s="1681"/>
      <c r="DX15" s="1681"/>
      <c r="DY15" s="1681"/>
      <c r="DZ15" s="1681"/>
      <c r="EA15" s="1681">
        <v>1</v>
      </c>
      <c r="EB15" s="1681"/>
      <c r="EC15" s="1681">
        <v>1</v>
      </c>
      <c r="ED15" s="1681"/>
      <c r="EE15" s="95"/>
      <c r="EF15" s="95"/>
      <c r="EG15" s="95">
        <v>2</v>
      </c>
      <c r="EH15" s="36"/>
      <c r="EL15" s="36"/>
      <c r="EM15" s="36" t="s">
        <v>1081</v>
      </c>
      <c r="EN15" s="1490"/>
      <c r="EO15" s="1490"/>
      <c r="EP15" s="1490">
        <v>0</v>
      </c>
      <c r="EQ15" s="1490"/>
      <c r="ER15" s="1490"/>
      <c r="ES15" s="1490"/>
      <c r="ET15" s="1490"/>
      <c r="EU15" s="1490"/>
      <c r="EV15" s="1490"/>
      <c r="EW15" s="1490">
        <v>2</v>
      </c>
      <c r="EX15" s="1490">
        <v>1</v>
      </c>
      <c r="EY15" s="1490">
        <v>0</v>
      </c>
      <c r="EZ15" s="1490">
        <v>0</v>
      </c>
      <c r="FA15" s="1490">
        <v>0</v>
      </c>
      <c r="FB15" s="1490">
        <v>0</v>
      </c>
      <c r="FC15" s="36"/>
      <c r="FD15" s="36"/>
      <c r="FE15" s="36">
        <v>3</v>
      </c>
      <c r="FF15" s="36"/>
      <c r="FH15" s="1225"/>
      <c r="FI15" s="1225"/>
      <c r="FJ15" s="1225"/>
      <c r="FK15" s="1226" t="s">
        <v>1081</v>
      </c>
      <c r="FL15" s="1227"/>
      <c r="FM15" s="1227"/>
      <c r="FN15" s="1227"/>
      <c r="FO15" s="1227"/>
      <c r="FP15" s="1227"/>
      <c r="FQ15" s="1227"/>
      <c r="FR15" s="1227"/>
      <c r="FS15" s="1227"/>
      <c r="FT15" s="1227"/>
      <c r="FU15" s="1227"/>
      <c r="FV15" s="1228">
        <v>2</v>
      </c>
      <c r="FW15" s="1228">
        <v>0</v>
      </c>
      <c r="FX15" s="1228">
        <v>0</v>
      </c>
      <c r="FY15" s="1229"/>
      <c r="FZ15" s="1229"/>
      <c r="GA15" s="1230">
        <v>2</v>
      </c>
      <c r="GB15" s="36"/>
      <c r="GD15" s="603"/>
      <c r="GE15" s="603" t="s">
        <v>16</v>
      </c>
      <c r="GF15" s="603" t="s">
        <v>117</v>
      </c>
      <c r="GG15" s="604" t="s">
        <v>1072</v>
      </c>
      <c r="GH15" s="605"/>
      <c r="GI15" s="606">
        <v>1</v>
      </c>
      <c r="GJ15" s="606">
        <v>0</v>
      </c>
      <c r="GK15" s="605"/>
      <c r="GL15" s="605"/>
      <c r="GM15" s="605"/>
      <c r="GN15" s="605"/>
      <c r="GO15" s="606">
        <v>1</v>
      </c>
      <c r="GP15" s="605"/>
      <c r="GQ15" s="606">
        <v>2</v>
      </c>
      <c r="GR15" s="606">
        <v>2</v>
      </c>
      <c r="GS15" s="606">
        <v>0</v>
      </c>
      <c r="GT15" s="606">
        <v>1</v>
      </c>
      <c r="GU15" s="606">
        <v>1</v>
      </c>
      <c r="GV15" s="605"/>
      <c r="GW15" s="607"/>
      <c r="GX15" s="607"/>
      <c r="GY15" s="608">
        <v>8</v>
      </c>
      <c r="GZ15" s="95"/>
      <c r="HB15" s="441"/>
      <c r="HC15" s="441"/>
      <c r="HD15" s="441"/>
      <c r="HE15" s="441"/>
      <c r="HF15" s="442" t="s">
        <v>1080</v>
      </c>
      <c r="HG15" s="610">
        <v>0</v>
      </c>
      <c r="HH15" s="609"/>
      <c r="HI15" s="609"/>
      <c r="HJ15" s="610">
        <v>0</v>
      </c>
      <c r="HK15" s="609"/>
      <c r="HL15" s="609"/>
      <c r="HM15" s="609"/>
      <c r="HN15" s="609"/>
      <c r="HO15" s="609"/>
      <c r="HP15" s="609"/>
      <c r="HQ15" s="610">
        <v>0</v>
      </c>
      <c r="HR15" s="609"/>
      <c r="HS15" s="609"/>
      <c r="HT15" s="610">
        <v>0</v>
      </c>
      <c r="HU15" s="610">
        <v>1</v>
      </c>
      <c r="HV15" s="611"/>
      <c r="HW15" s="611"/>
      <c r="HX15" s="612">
        <v>1</v>
      </c>
      <c r="HY15" s="560"/>
      <c r="HZ15" s="36"/>
      <c r="IA15" s="613"/>
      <c r="IB15" s="613"/>
      <c r="IC15" s="613"/>
      <c r="ID15" s="389" t="s">
        <v>1081</v>
      </c>
      <c r="IE15" s="614"/>
      <c r="IF15" s="614"/>
      <c r="IG15" s="614"/>
      <c r="IH15" s="614"/>
      <c r="II15" s="614"/>
      <c r="IJ15" s="614"/>
      <c r="IK15" s="614"/>
      <c r="IL15" s="614"/>
      <c r="IM15" s="614"/>
      <c r="IN15" s="390">
        <v>1</v>
      </c>
      <c r="IO15" s="390">
        <v>0</v>
      </c>
      <c r="IP15" s="614"/>
      <c r="IQ15" s="614"/>
      <c r="IR15" s="390">
        <v>1</v>
      </c>
      <c r="IS15" s="615"/>
      <c r="IT15" s="36"/>
      <c r="IU15" s="36"/>
      <c r="IV15" s="95"/>
      <c r="IW15" s="95"/>
      <c r="IX15" s="36"/>
      <c r="IY15" s="36" t="s">
        <v>1080</v>
      </c>
      <c r="IZ15" s="95"/>
      <c r="JA15" s="95"/>
      <c r="JB15" s="95"/>
      <c r="JC15" s="95"/>
      <c r="JD15" s="95"/>
      <c r="JE15" s="95"/>
      <c r="JF15" s="95"/>
      <c r="JG15" s="95"/>
      <c r="JH15" s="95">
        <v>0</v>
      </c>
      <c r="JI15" s="95"/>
      <c r="JJ15" s="95"/>
      <c r="JK15" s="95">
        <v>0</v>
      </c>
      <c r="JL15" s="95"/>
      <c r="JM15" s="95"/>
      <c r="JN15" s="95"/>
      <c r="JO15" s="95">
        <v>2</v>
      </c>
      <c r="JP15" s="95">
        <v>2</v>
      </c>
      <c r="JQ15" s="36"/>
      <c r="JR15" s="36"/>
      <c r="JS15" s="616"/>
      <c r="JT15" s="616" t="s">
        <v>16</v>
      </c>
      <c r="JU15" s="616" t="s">
        <v>127</v>
      </c>
      <c r="JV15" s="616" t="s">
        <v>1072</v>
      </c>
      <c r="JW15" s="616">
        <v>0</v>
      </c>
      <c r="JX15" s="616">
        <v>0</v>
      </c>
      <c r="JY15" s="616">
        <v>0</v>
      </c>
      <c r="JZ15" s="616">
        <v>0</v>
      </c>
      <c r="KA15" s="616">
        <v>0</v>
      </c>
      <c r="KB15" s="616">
        <v>0</v>
      </c>
      <c r="KC15" s="616">
        <v>0</v>
      </c>
      <c r="KD15" s="616">
        <v>0</v>
      </c>
      <c r="KE15" s="616">
        <v>0</v>
      </c>
      <c r="KF15" s="616">
        <v>0</v>
      </c>
      <c r="KG15" s="616">
        <v>2</v>
      </c>
      <c r="KH15" s="616">
        <v>0</v>
      </c>
      <c r="KI15" s="616">
        <v>0</v>
      </c>
      <c r="KJ15" s="616">
        <v>0</v>
      </c>
      <c r="KK15" s="616">
        <v>0</v>
      </c>
      <c r="KL15" s="616">
        <v>0</v>
      </c>
      <c r="KM15" s="616">
        <v>2</v>
      </c>
      <c r="KN15" s="616"/>
      <c r="KO15" s="617"/>
    </row>
    <row r="16" spans="1:301">
      <c r="A16" s="5737"/>
      <c r="B16" s="5737"/>
      <c r="C16" s="5736"/>
      <c r="D16" s="5739"/>
      <c r="E16" s="5742">
        <f>SUM(E14:E15)</f>
        <v>2</v>
      </c>
      <c r="F16" s="5737"/>
      <c r="G16" s="4476">
        <f>+(E15)/(E16)</f>
        <v>0.5</v>
      </c>
      <c r="I16" s="4726">
        <v>1</v>
      </c>
      <c r="J16" s="4726">
        <v>1</v>
      </c>
      <c r="K16" s="4725" t="s">
        <v>606</v>
      </c>
      <c r="L16" s="4725" t="s">
        <v>2703</v>
      </c>
      <c r="M16" s="4726">
        <v>1</v>
      </c>
      <c r="N16" s="4726">
        <v>0</v>
      </c>
      <c r="Q16" s="4458">
        <v>1</v>
      </c>
      <c r="R16" s="4458">
        <v>1</v>
      </c>
      <c r="S16" s="4459" t="s">
        <v>2734</v>
      </c>
      <c r="T16" s="4459" t="s">
        <v>2709</v>
      </c>
      <c r="U16" s="4458">
        <v>11</v>
      </c>
      <c r="V16" s="4479">
        <v>1</v>
      </c>
      <c r="W16" s="4510"/>
      <c r="X16" s="4467"/>
      <c r="Y16" s="4467"/>
      <c r="Z16" s="36"/>
      <c r="AA16" s="36"/>
      <c r="AB16" s="36"/>
      <c r="AC16" s="36" t="s">
        <v>1081</v>
      </c>
      <c r="AD16" s="615"/>
      <c r="AE16" s="615"/>
      <c r="AF16" s="615"/>
      <c r="AG16" s="615"/>
      <c r="AH16" s="615"/>
      <c r="AI16" s="615">
        <v>0</v>
      </c>
      <c r="AJ16" s="615">
        <v>0</v>
      </c>
      <c r="AK16" s="615">
        <v>0</v>
      </c>
      <c r="AL16" s="615">
        <v>0</v>
      </c>
      <c r="AM16" s="615">
        <v>1</v>
      </c>
      <c r="AN16" s="615">
        <v>0</v>
      </c>
      <c r="AO16" s="615">
        <v>0</v>
      </c>
      <c r="AP16" s="615">
        <v>0</v>
      </c>
      <c r="AQ16" s="36">
        <v>0</v>
      </c>
      <c r="AR16" s="36">
        <v>1</v>
      </c>
      <c r="AS16" s="36"/>
      <c r="AU16" s="36"/>
      <c r="AV16" s="36"/>
      <c r="AW16" s="36"/>
      <c r="AX16" s="36" t="s">
        <v>15</v>
      </c>
      <c r="AY16" s="1681"/>
      <c r="AZ16" s="1681"/>
      <c r="BA16" s="1681"/>
      <c r="BB16" s="1681"/>
      <c r="BC16" s="1681"/>
      <c r="BD16" s="1681"/>
      <c r="BE16" s="1681"/>
      <c r="BF16" s="1681"/>
      <c r="BG16" s="1681"/>
      <c r="BH16" s="1681"/>
      <c r="BI16" s="1681">
        <v>1</v>
      </c>
      <c r="BJ16" s="1681"/>
      <c r="BK16" s="1681"/>
      <c r="BL16" s="1681"/>
      <c r="BM16" s="95"/>
      <c r="BN16" s="95"/>
      <c r="BO16" s="95">
        <v>1</v>
      </c>
      <c r="BP16" s="560">
        <f>+(BO15)/(BO16)</f>
        <v>1</v>
      </c>
      <c r="BU16" s="1520" t="s">
        <v>15</v>
      </c>
      <c r="BV16" s="3872"/>
      <c r="BW16" s="3872"/>
      <c r="BX16" s="3872"/>
      <c r="BY16" s="3872"/>
      <c r="BZ16" s="3872"/>
      <c r="CA16" s="3872"/>
      <c r="CB16" s="3872"/>
      <c r="CC16" s="3872"/>
      <c r="CD16" s="3872"/>
      <c r="CE16" s="3872"/>
      <c r="CF16" s="3872">
        <v>1</v>
      </c>
      <c r="CG16" s="3872"/>
      <c r="CH16" s="3872"/>
      <c r="CI16" s="3872"/>
      <c r="CJ16" s="3806"/>
      <c r="CK16" s="3806">
        <v>1</v>
      </c>
      <c r="CL16" s="3807">
        <f>+CK15/CK16</f>
        <v>1</v>
      </c>
      <c r="CN16" s="36"/>
      <c r="CO16" s="36"/>
      <c r="CP16" s="393" t="s">
        <v>482</v>
      </c>
      <c r="CQ16" s="393" t="s">
        <v>1072</v>
      </c>
      <c r="CR16" s="2049"/>
      <c r="CS16" s="2049"/>
      <c r="CT16" s="2049"/>
      <c r="CU16" s="2049"/>
      <c r="CV16" s="2049">
        <v>1</v>
      </c>
      <c r="CW16" s="2049"/>
      <c r="CX16" s="2049"/>
      <c r="CY16" s="2049"/>
      <c r="CZ16" s="2049"/>
      <c r="DA16" s="2049">
        <v>0</v>
      </c>
      <c r="DB16" s="2049"/>
      <c r="DC16" s="2049">
        <v>0</v>
      </c>
      <c r="DD16" s="2049"/>
      <c r="DE16" s="2049">
        <v>1</v>
      </c>
      <c r="DF16" s="2049">
        <v>0</v>
      </c>
      <c r="DG16" s="393"/>
      <c r="DH16" s="393">
        <v>0</v>
      </c>
      <c r="DI16" s="393">
        <v>2</v>
      </c>
      <c r="DJ16" s="36"/>
      <c r="DL16" s="36"/>
      <c r="DM16" s="36"/>
      <c r="DN16" s="36"/>
      <c r="DO16" s="393" t="s">
        <v>15</v>
      </c>
      <c r="DP16" s="1682"/>
      <c r="DQ16" s="1682"/>
      <c r="DR16" s="1682"/>
      <c r="DS16" s="1682"/>
      <c r="DT16" s="1682"/>
      <c r="DU16" s="1682"/>
      <c r="DV16" s="1682"/>
      <c r="DW16" s="1682"/>
      <c r="DX16" s="1682"/>
      <c r="DY16" s="1682"/>
      <c r="DZ16" s="1682"/>
      <c r="EA16" s="1682">
        <v>1</v>
      </c>
      <c r="EB16" s="1682"/>
      <c r="EC16" s="1682">
        <v>1</v>
      </c>
      <c r="ED16" s="1682"/>
      <c r="EE16" s="86"/>
      <c r="EF16" s="86"/>
      <c r="EG16" s="86">
        <v>2</v>
      </c>
      <c r="EH16" s="560">
        <f>+EG15/EG16</f>
        <v>1</v>
      </c>
      <c r="EL16" s="36"/>
      <c r="EM16" s="393" t="s">
        <v>15</v>
      </c>
      <c r="EN16" s="1491"/>
      <c r="EO16" s="1491"/>
      <c r="EP16" s="1491">
        <v>1</v>
      </c>
      <c r="EQ16" s="1491"/>
      <c r="ER16" s="1491"/>
      <c r="ES16" s="1491"/>
      <c r="ET16" s="1491"/>
      <c r="EU16" s="1491"/>
      <c r="EV16" s="1491"/>
      <c r="EW16" s="1491">
        <v>2</v>
      </c>
      <c r="EX16" s="1491">
        <v>2</v>
      </c>
      <c r="EY16" s="1491">
        <v>1</v>
      </c>
      <c r="EZ16" s="1491">
        <v>1</v>
      </c>
      <c r="FA16" s="1491">
        <v>3</v>
      </c>
      <c r="FB16" s="1491">
        <v>1</v>
      </c>
      <c r="FC16" s="393"/>
      <c r="FD16" s="393"/>
      <c r="FE16" s="393">
        <v>11</v>
      </c>
      <c r="FF16" s="560">
        <f>+FE15/FE16</f>
        <v>0.27272727272727271</v>
      </c>
      <c r="FH16" s="1225"/>
      <c r="FI16" s="1225"/>
      <c r="FJ16" s="1225"/>
      <c r="FK16" s="1226" t="s">
        <v>1163</v>
      </c>
      <c r="FL16" s="1227"/>
      <c r="FM16" s="1227"/>
      <c r="FN16" s="1227"/>
      <c r="FO16" s="1227"/>
      <c r="FP16" s="1227"/>
      <c r="FQ16" s="1227"/>
      <c r="FR16" s="1227"/>
      <c r="FS16" s="1227"/>
      <c r="FT16" s="1227"/>
      <c r="FU16" s="1227"/>
      <c r="FV16" s="1228">
        <v>1</v>
      </c>
      <c r="FW16" s="1228">
        <v>0</v>
      </c>
      <c r="FX16" s="1228">
        <v>0</v>
      </c>
      <c r="FY16" s="1229"/>
      <c r="FZ16" s="1229"/>
      <c r="GA16" s="1230">
        <v>1</v>
      </c>
      <c r="GB16" s="36"/>
      <c r="GD16" s="603"/>
      <c r="GE16" s="603"/>
      <c r="GF16" s="603"/>
      <c r="GG16" s="604" t="s">
        <v>1074</v>
      </c>
      <c r="GH16" s="605"/>
      <c r="GI16" s="606">
        <v>0</v>
      </c>
      <c r="GJ16" s="606">
        <v>1</v>
      </c>
      <c r="GK16" s="605"/>
      <c r="GL16" s="605"/>
      <c r="GM16" s="605"/>
      <c r="GN16" s="605"/>
      <c r="GO16" s="606">
        <v>0</v>
      </c>
      <c r="GP16" s="605"/>
      <c r="GQ16" s="606">
        <v>1</v>
      </c>
      <c r="GR16" s="606">
        <v>0</v>
      </c>
      <c r="GS16" s="606">
        <v>0</v>
      </c>
      <c r="GT16" s="606">
        <v>0</v>
      </c>
      <c r="GU16" s="606">
        <v>0</v>
      </c>
      <c r="GV16" s="605"/>
      <c r="GW16" s="607"/>
      <c r="GX16" s="607"/>
      <c r="GY16" s="608">
        <v>2</v>
      </c>
      <c r="GZ16" s="95"/>
      <c r="HB16" s="441"/>
      <c r="HC16" s="441"/>
      <c r="HD16" s="441"/>
      <c r="HE16" s="441"/>
      <c r="HF16" s="442" t="s">
        <v>1163</v>
      </c>
      <c r="HG16" s="610">
        <v>0</v>
      </c>
      <c r="HH16" s="609"/>
      <c r="HI16" s="609"/>
      <c r="HJ16" s="610">
        <v>0</v>
      </c>
      <c r="HK16" s="609"/>
      <c r="HL16" s="609"/>
      <c r="HM16" s="609"/>
      <c r="HN16" s="609"/>
      <c r="HO16" s="609"/>
      <c r="HP16" s="609"/>
      <c r="HQ16" s="610">
        <v>2</v>
      </c>
      <c r="HR16" s="609"/>
      <c r="HS16" s="609"/>
      <c r="HT16" s="610">
        <v>0</v>
      </c>
      <c r="HU16" s="610">
        <v>0</v>
      </c>
      <c r="HV16" s="611"/>
      <c r="HW16" s="611"/>
      <c r="HX16" s="612">
        <v>2</v>
      </c>
      <c r="HY16" s="560"/>
      <c r="HZ16" s="36"/>
      <c r="IA16" s="613"/>
      <c r="IB16" s="613"/>
      <c r="IC16" s="613"/>
      <c r="ID16" s="629" t="s">
        <v>15</v>
      </c>
      <c r="IE16" s="630"/>
      <c r="IF16" s="630"/>
      <c r="IG16" s="630"/>
      <c r="IH16" s="630"/>
      <c r="II16" s="630"/>
      <c r="IJ16" s="630"/>
      <c r="IK16" s="630"/>
      <c r="IL16" s="630"/>
      <c r="IM16" s="630"/>
      <c r="IN16" s="395">
        <v>1</v>
      </c>
      <c r="IO16" s="395">
        <v>1</v>
      </c>
      <c r="IP16" s="630"/>
      <c r="IQ16" s="630"/>
      <c r="IR16" s="395">
        <v>2</v>
      </c>
      <c r="IS16" s="553">
        <f>+IR15/IR16</f>
        <v>0.5</v>
      </c>
      <c r="IT16" s="36"/>
      <c r="IU16" s="36"/>
      <c r="IV16" s="95"/>
      <c r="IW16" s="95"/>
      <c r="IX16" s="36"/>
      <c r="IY16" s="36" t="s">
        <v>1163</v>
      </c>
      <c r="IZ16" s="95"/>
      <c r="JA16" s="95"/>
      <c r="JB16" s="95"/>
      <c r="JC16" s="95"/>
      <c r="JD16" s="95"/>
      <c r="JE16" s="95"/>
      <c r="JF16" s="95"/>
      <c r="JG16" s="95"/>
      <c r="JH16" s="95">
        <v>1</v>
      </c>
      <c r="JI16" s="95"/>
      <c r="JJ16" s="95"/>
      <c r="JK16" s="95">
        <v>0</v>
      </c>
      <c r="JL16" s="95"/>
      <c r="JM16" s="95"/>
      <c r="JN16" s="95"/>
      <c r="JO16" s="95">
        <v>0</v>
      </c>
      <c r="JP16" s="95">
        <v>1</v>
      </c>
      <c r="JQ16" s="36"/>
      <c r="JR16" s="36"/>
      <c r="JS16" s="616"/>
      <c r="JT16" s="616"/>
      <c r="JU16" s="616"/>
      <c r="JV16" s="627" t="s">
        <v>15</v>
      </c>
      <c r="JW16" s="627">
        <v>0</v>
      </c>
      <c r="JX16" s="627">
        <v>0</v>
      </c>
      <c r="JY16" s="627">
        <v>0</v>
      </c>
      <c r="JZ16" s="627">
        <v>0</v>
      </c>
      <c r="KA16" s="627">
        <v>0</v>
      </c>
      <c r="KB16" s="627">
        <v>0</v>
      </c>
      <c r="KC16" s="627">
        <v>0</v>
      </c>
      <c r="KD16" s="627">
        <v>0</v>
      </c>
      <c r="KE16" s="627">
        <v>0</v>
      </c>
      <c r="KF16" s="627">
        <v>0</v>
      </c>
      <c r="KG16" s="627">
        <v>2</v>
      </c>
      <c r="KH16" s="627">
        <v>0</v>
      </c>
      <c r="KI16" s="627">
        <v>0</v>
      </c>
      <c r="KJ16" s="627">
        <v>0</v>
      </c>
      <c r="KK16" s="627">
        <v>0</v>
      </c>
      <c r="KL16" s="627">
        <v>0</v>
      </c>
      <c r="KM16" s="627">
        <v>2</v>
      </c>
      <c r="KN16" s="628">
        <f>0/KM16</f>
        <v>0</v>
      </c>
      <c r="KO16" s="617">
        <v>0</v>
      </c>
    </row>
    <row r="17" spans="1:301" ht="24">
      <c r="A17" s="5737">
        <v>1</v>
      </c>
      <c r="B17" s="5737">
        <v>1</v>
      </c>
      <c r="C17" s="5736" t="s">
        <v>2734</v>
      </c>
      <c r="D17" s="5736" t="s">
        <v>2731</v>
      </c>
      <c r="E17" s="5737">
        <v>1</v>
      </c>
      <c r="F17" s="5737">
        <v>13</v>
      </c>
      <c r="I17" s="4726"/>
      <c r="J17" s="4726"/>
      <c r="K17" s="4725"/>
      <c r="L17" s="4725"/>
      <c r="M17" s="4975">
        <f>SUM(M16)</f>
        <v>1</v>
      </c>
      <c r="N17" s="4726"/>
      <c r="O17" s="4510">
        <v>0</v>
      </c>
      <c r="Q17" s="4458">
        <v>1</v>
      </c>
      <c r="R17" s="4458">
        <v>1</v>
      </c>
      <c r="S17" s="4459" t="s">
        <v>2734</v>
      </c>
      <c r="T17" s="4461" t="s">
        <v>1076</v>
      </c>
      <c r="U17" s="4458">
        <v>11</v>
      </c>
      <c r="V17" s="4479">
        <v>1</v>
      </c>
      <c r="W17" s="4510"/>
      <c r="X17" s="4467"/>
      <c r="Y17" s="4467"/>
      <c r="Z17" s="36"/>
      <c r="AA17" s="36"/>
      <c r="AB17" s="36"/>
      <c r="AC17" s="36" t="s">
        <v>1163</v>
      </c>
      <c r="AD17" s="615"/>
      <c r="AE17" s="615"/>
      <c r="AF17" s="615"/>
      <c r="AG17" s="615"/>
      <c r="AH17" s="615"/>
      <c r="AI17" s="615">
        <v>1</v>
      </c>
      <c r="AJ17" s="615">
        <v>0</v>
      </c>
      <c r="AK17" s="615">
        <v>0</v>
      </c>
      <c r="AL17" s="615">
        <v>1</v>
      </c>
      <c r="AM17" s="615">
        <v>0</v>
      </c>
      <c r="AN17" s="615">
        <v>0</v>
      </c>
      <c r="AO17" s="615">
        <v>0</v>
      </c>
      <c r="AP17" s="615">
        <v>0</v>
      </c>
      <c r="AQ17" s="36">
        <v>0</v>
      </c>
      <c r="AR17" s="36">
        <v>2</v>
      </c>
      <c r="AS17" s="36"/>
      <c r="AW17" s="3868" t="s">
        <v>2270</v>
      </c>
      <c r="AX17" s="3868" t="s">
        <v>1072</v>
      </c>
      <c r="AY17" s="3721"/>
      <c r="AZ17" s="3721"/>
      <c r="BA17" s="3721"/>
      <c r="BB17" s="3721"/>
      <c r="BC17" s="3721">
        <v>1</v>
      </c>
      <c r="BD17" s="3721">
        <v>1</v>
      </c>
      <c r="BE17" s="3721">
        <v>1</v>
      </c>
      <c r="BF17" s="3721"/>
      <c r="BG17" s="3721"/>
      <c r="BH17" s="3721"/>
      <c r="BI17" s="3721"/>
      <c r="BJ17" s="3721">
        <v>0</v>
      </c>
      <c r="BK17" s="3721"/>
      <c r="BL17" s="3721">
        <v>0</v>
      </c>
      <c r="BM17" s="2110"/>
      <c r="BN17" s="2110"/>
      <c r="BO17" s="2110">
        <v>3</v>
      </c>
      <c r="BP17" s="2110"/>
      <c r="BT17" s="32" t="s">
        <v>2270</v>
      </c>
      <c r="BU17" s="32" t="s">
        <v>1072</v>
      </c>
      <c r="BV17" s="3871"/>
      <c r="BW17" s="3871"/>
      <c r="BX17" s="3871"/>
      <c r="BY17" s="3871"/>
      <c r="BZ17" s="3871">
        <v>1</v>
      </c>
      <c r="CA17" s="3871">
        <v>1</v>
      </c>
      <c r="CB17" s="3871">
        <v>1</v>
      </c>
      <c r="CC17" s="3871"/>
      <c r="CD17" s="3871"/>
      <c r="CE17" s="3871"/>
      <c r="CF17" s="3871"/>
      <c r="CG17" s="3871">
        <v>0</v>
      </c>
      <c r="CH17" s="3871">
        <v>0</v>
      </c>
      <c r="CI17" s="3871"/>
      <c r="CJ17" s="1518"/>
      <c r="CK17" s="1518">
        <v>3</v>
      </c>
      <c r="CN17" s="36"/>
      <c r="CO17" s="36"/>
      <c r="CP17" s="393"/>
      <c r="CQ17" s="393" t="s">
        <v>1076</v>
      </c>
      <c r="CR17" s="2049"/>
      <c r="CS17" s="2049"/>
      <c r="CT17" s="2049"/>
      <c r="CU17" s="2049"/>
      <c r="CV17" s="2049">
        <v>0</v>
      </c>
      <c r="CW17" s="2049"/>
      <c r="CX17" s="2049"/>
      <c r="CY17" s="2049"/>
      <c r="CZ17" s="2049"/>
      <c r="DA17" s="2049">
        <v>2</v>
      </c>
      <c r="DB17" s="2049"/>
      <c r="DC17" s="2049">
        <v>0</v>
      </c>
      <c r="DD17" s="2049"/>
      <c r="DE17" s="2049">
        <v>0</v>
      </c>
      <c r="DF17" s="2049">
        <v>0</v>
      </c>
      <c r="DG17" s="393"/>
      <c r="DH17" s="393">
        <v>0</v>
      </c>
      <c r="DI17" s="393">
        <v>2</v>
      </c>
      <c r="DJ17" s="36"/>
      <c r="DL17" s="36"/>
      <c r="DM17" s="36"/>
      <c r="DN17" s="36" t="s">
        <v>2270</v>
      </c>
      <c r="DO17" s="36" t="s">
        <v>1080</v>
      </c>
      <c r="DP17" s="1681"/>
      <c r="DQ17" s="1681"/>
      <c r="DR17" s="1681"/>
      <c r="DS17" s="1681"/>
      <c r="DT17" s="1681"/>
      <c r="DU17" s="1681"/>
      <c r="DV17" s="1681"/>
      <c r="DW17" s="1681"/>
      <c r="DX17" s="1681"/>
      <c r="DY17" s="1681"/>
      <c r="DZ17" s="1681"/>
      <c r="EA17" s="1681">
        <v>1</v>
      </c>
      <c r="EB17" s="1681"/>
      <c r="EC17" s="1681"/>
      <c r="ED17" s="1681"/>
      <c r="EE17" s="95"/>
      <c r="EF17" s="95"/>
      <c r="EG17" s="95">
        <v>1</v>
      </c>
      <c r="EH17" s="36"/>
      <c r="EL17" s="36" t="s">
        <v>483</v>
      </c>
      <c r="EM17" s="36" t="s">
        <v>1071</v>
      </c>
      <c r="EN17" s="1490"/>
      <c r="EO17" s="1490"/>
      <c r="EP17" s="1490">
        <v>0</v>
      </c>
      <c r="EQ17" s="1490"/>
      <c r="ER17" s="1490"/>
      <c r="ES17" s="1490"/>
      <c r="ET17" s="1490"/>
      <c r="EU17" s="1490"/>
      <c r="EV17" s="1490"/>
      <c r="EW17" s="1490">
        <v>0</v>
      </c>
      <c r="EX17" s="1490">
        <v>1</v>
      </c>
      <c r="EY17" s="1490">
        <v>1</v>
      </c>
      <c r="EZ17" s="1490">
        <v>1</v>
      </c>
      <c r="FA17" s="1490">
        <v>2</v>
      </c>
      <c r="FB17" s="1490">
        <v>1</v>
      </c>
      <c r="FC17" s="36"/>
      <c r="FD17" s="36"/>
      <c r="FE17" s="36">
        <v>6</v>
      </c>
      <c r="FF17" s="36"/>
      <c r="FH17" s="1225"/>
      <c r="FI17" s="1225"/>
      <c r="FJ17" s="1225"/>
      <c r="FK17" s="1222" t="s">
        <v>15</v>
      </c>
      <c r="FL17" s="1231"/>
      <c r="FM17" s="1231"/>
      <c r="FN17" s="1231"/>
      <c r="FO17" s="1231"/>
      <c r="FP17" s="1231"/>
      <c r="FQ17" s="1231"/>
      <c r="FR17" s="1231"/>
      <c r="FS17" s="1231"/>
      <c r="FT17" s="1231"/>
      <c r="FU17" s="1231"/>
      <c r="FV17" s="1232">
        <v>7</v>
      </c>
      <c r="FW17" s="1232">
        <v>2</v>
      </c>
      <c r="FX17" s="1232">
        <v>2</v>
      </c>
      <c r="FY17" s="1233"/>
      <c r="FZ17" s="1233"/>
      <c r="GA17" s="1234">
        <v>11</v>
      </c>
      <c r="GB17" s="1178">
        <f>+(GA15+GA16)/GA17</f>
        <v>0.27272727272727271</v>
      </c>
      <c r="GD17" s="603"/>
      <c r="GE17" s="603"/>
      <c r="GF17" s="603"/>
      <c r="GG17" s="604" t="s">
        <v>1076</v>
      </c>
      <c r="GH17" s="605"/>
      <c r="GI17" s="606">
        <v>0</v>
      </c>
      <c r="GJ17" s="606">
        <v>0</v>
      </c>
      <c r="GK17" s="605"/>
      <c r="GL17" s="605"/>
      <c r="GM17" s="605"/>
      <c r="GN17" s="605"/>
      <c r="GO17" s="606">
        <v>0</v>
      </c>
      <c r="GP17" s="605"/>
      <c r="GQ17" s="606">
        <v>0</v>
      </c>
      <c r="GR17" s="606">
        <v>1</v>
      </c>
      <c r="GS17" s="606">
        <v>0</v>
      </c>
      <c r="GT17" s="606">
        <v>0</v>
      </c>
      <c r="GU17" s="606">
        <v>0</v>
      </c>
      <c r="GV17" s="605"/>
      <c r="GW17" s="607"/>
      <c r="GX17" s="607"/>
      <c r="GY17" s="608">
        <v>1</v>
      </c>
      <c r="GZ17" s="95"/>
      <c r="HB17" s="441"/>
      <c r="HC17" s="441"/>
      <c r="HD17" s="441"/>
      <c r="HE17" s="36"/>
      <c r="HF17" s="462" t="s">
        <v>482</v>
      </c>
      <c r="HG17" s="619">
        <v>1</v>
      </c>
      <c r="HH17" s="618"/>
      <c r="HI17" s="618"/>
      <c r="HJ17" s="619">
        <v>1</v>
      </c>
      <c r="HK17" s="618"/>
      <c r="HL17" s="618"/>
      <c r="HM17" s="618"/>
      <c r="HN17" s="618"/>
      <c r="HO17" s="618"/>
      <c r="HP17" s="618"/>
      <c r="HQ17" s="619">
        <v>2</v>
      </c>
      <c r="HR17" s="618"/>
      <c r="HS17" s="618"/>
      <c r="HT17" s="619">
        <v>1</v>
      </c>
      <c r="HU17" s="619">
        <v>1</v>
      </c>
      <c r="HV17" s="620"/>
      <c r="HW17" s="620"/>
      <c r="HX17" s="621">
        <v>6</v>
      </c>
      <c r="HY17" s="560">
        <f>+(HX16+HX14)/HX17</f>
        <v>0.5</v>
      </c>
      <c r="HZ17" s="36"/>
      <c r="IA17" s="613"/>
      <c r="IB17" s="613"/>
      <c r="IC17" s="36"/>
      <c r="ID17" s="36"/>
      <c r="IE17" s="36"/>
      <c r="IF17" s="36"/>
      <c r="IG17" s="36"/>
      <c r="IH17" s="36"/>
      <c r="II17" s="36"/>
      <c r="IJ17" s="36"/>
      <c r="IK17" s="36"/>
      <c r="IL17" s="36"/>
      <c r="IM17" s="36"/>
      <c r="IN17" s="36"/>
      <c r="IO17" s="36"/>
      <c r="IP17" s="36"/>
      <c r="IQ17" s="36"/>
      <c r="IR17" s="36"/>
      <c r="IS17" s="36"/>
      <c r="IT17" s="36"/>
      <c r="IU17" s="36"/>
      <c r="IV17" s="95"/>
      <c r="IW17" s="95"/>
      <c r="IX17" s="36"/>
      <c r="IY17" s="393" t="s">
        <v>15</v>
      </c>
      <c r="IZ17" s="86"/>
      <c r="JA17" s="86"/>
      <c r="JB17" s="86"/>
      <c r="JC17" s="86"/>
      <c r="JD17" s="86"/>
      <c r="JE17" s="86"/>
      <c r="JF17" s="86"/>
      <c r="JG17" s="86"/>
      <c r="JH17" s="86">
        <v>2</v>
      </c>
      <c r="JI17" s="86"/>
      <c r="JJ17" s="86"/>
      <c r="JK17" s="86">
        <v>1</v>
      </c>
      <c r="JL17" s="86"/>
      <c r="JM17" s="86"/>
      <c r="JN17" s="86"/>
      <c r="JO17" s="86">
        <v>2</v>
      </c>
      <c r="JP17" s="86">
        <v>5</v>
      </c>
      <c r="JQ17" s="631">
        <f>+JP16/JP17</f>
        <v>0.2</v>
      </c>
      <c r="JR17" s="36"/>
      <c r="JS17" s="616"/>
      <c r="JT17" s="616" t="s">
        <v>103</v>
      </c>
      <c r="JU17" s="616" t="s">
        <v>104</v>
      </c>
      <c r="JV17" s="616" t="s">
        <v>1072</v>
      </c>
      <c r="JW17" s="616">
        <v>0</v>
      </c>
      <c r="JX17" s="616">
        <v>0</v>
      </c>
      <c r="JY17" s="616">
        <v>0</v>
      </c>
      <c r="JZ17" s="616">
        <v>0</v>
      </c>
      <c r="KA17" s="616">
        <v>0</v>
      </c>
      <c r="KB17" s="616">
        <v>1</v>
      </c>
      <c r="KC17" s="616">
        <v>0</v>
      </c>
      <c r="KD17" s="616">
        <v>0</v>
      </c>
      <c r="KE17" s="616">
        <v>0</v>
      </c>
      <c r="KF17" s="616">
        <v>0</v>
      </c>
      <c r="KG17" s="616">
        <v>0</v>
      </c>
      <c r="KH17" s="616">
        <v>0</v>
      </c>
      <c r="KI17" s="616">
        <v>0</v>
      </c>
      <c r="KJ17" s="616">
        <v>0</v>
      </c>
      <c r="KK17" s="616">
        <v>0</v>
      </c>
      <c r="KL17" s="616">
        <v>0</v>
      </c>
      <c r="KM17" s="616">
        <v>1</v>
      </c>
      <c r="KN17" s="616"/>
      <c r="KO17" s="617"/>
    </row>
    <row r="18" spans="1:301" ht="24">
      <c r="A18" s="5737">
        <v>1</v>
      </c>
      <c r="B18" s="5737">
        <v>1</v>
      </c>
      <c r="C18" s="5736" t="s">
        <v>2734</v>
      </c>
      <c r="D18" s="5736" t="s">
        <v>2731</v>
      </c>
      <c r="E18" s="5737">
        <v>1</v>
      </c>
      <c r="F18" s="5737">
        <v>14</v>
      </c>
      <c r="I18" s="4726">
        <v>1</v>
      </c>
      <c r="J18" s="4726">
        <v>1</v>
      </c>
      <c r="K18" s="4725" t="s">
        <v>2734</v>
      </c>
      <c r="L18" s="4725" t="s">
        <v>2731</v>
      </c>
      <c r="M18" s="4726">
        <v>1</v>
      </c>
      <c r="N18" s="4726">
        <v>13</v>
      </c>
      <c r="Q18" s="4458">
        <v>1</v>
      </c>
      <c r="R18" s="4458">
        <v>1</v>
      </c>
      <c r="S18" s="4459" t="s">
        <v>2734</v>
      </c>
      <c r="T18" s="4459" t="s">
        <v>2731</v>
      </c>
      <c r="U18" s="4458">
        <v>14</v>
      </c>
      <c r="V18" s="4479">
        <v>2</v>
      </c>
      <c r="W18" s="4510"/>
      <c r="X18" s="4467"/>
      <c r="Y18" s="4467"/>
      <c r="Z18" s="36"/>
      <c r="AA18" s="36"/>
      <c r="AB18" s="36"/>
      <c r="AC18" s="4236" t="s">
        <v>15</v>
      </c>
      <c r="AD18" s="4236"/>
      <c r="AE18" s="4236"/>
      <c r="AF18" s="4236"/>
      <c r="AG18" s="4236"/>
      <c r="AH18" s="4236"/>
      <c r="AI18" s="4236">
        <v>1</v>
      </c>
      <c r="AJ18" s="4236">
        <v>1</v>
      </c>
      <c r="AK18" s="4236">
        <v>1</v>
      </c>
      <c r="AL18" s="4236">
        <v>1</v>
      </c>
      <c r="AM18" s="4236">
        <v>2</v>
      </c>
      <c r="AN18" s="4236">
        <v>1</v>
      </c>
      <c r="AO18" s="4236">
        <v>1</v>
      </c>
      <c r="AP18" s="4236">
        <v>2</v>
      </c>
      <c r="AQ18" s="4236">
        <v>1</v>
      </c>
      <c r="AR18" s="4236">
        <v>11</v>
      </c>
      <c r="AS18" s="4243">
        <f>+(AM16+AI17+AL17)/AR18</f>
        <v>0.27272727272727271</v>
      </c>
      <c r="AX18" s="3868" t="s">
        <v>1080</v>
      </c>
      <c r="AY18" s="3721"/>
      <c r="AZ18" s="3721"/>
      <c r="BA18" s="3721"/>
      <c r="BB18" s="3721"/>
      <c r="BC18" s="3721">
        <v>0</v>
      </c>
      <c r="BD18" s="3721">
        <v>0</v>
      </c>
      <c r="BE18" s="3721">
        <v>0</v>
      </c>
      <c r="BF18" s="3721"/>
      <c r="BG18" s="3721"/>
      <c r="BH18" s="3721"/>
      <c r="BI18" s="3721"/>
      <c r="BJ18" s="3721">
        <v>0</v>
      </c>
      <c r="BK18" s="3721"/>
      <c r="BL18" s="3721">
        <v>1</v>
      </c>
      <c r="BM18" s="2110"/>
      <c r="BN18" s="2110"/>
      <c r="BO18" s="2110">
        <v>1</v>
      </c>
      <c r="BP18" s="2110"/>
      <c r="BU18" s="32" t="s">
        <v>1076</v>
      </c>
      <c r="BV18" s="3871"/>
      <c r="BW18" s="3871"/>
      <c r="BX18" s="3871"/>
      <c r="BY18" s="3871"/>
      <c r="BZ18" s="3871">
        <v>0</v>
      </c>
      <c r="CA18" s="3871">
        <v>0</v>
      </c>
      <c r="CB18" s="3871">
        <v>0</v>
      </c>
      <c r="CC18" s="3871"/>
      <c r="CD18" s="3871"/>
      <c r="CE18" s="3871"/>
      <c r="CF18" s="3871"/>
      <c r="CG18" s="3871">
        <v>1</v>
      </c>
      <c r="CH18" s="3871">
        <v>0</v>
      </c>
      <c r="CI18" s="3871"/>
      <c r="CJ18" s="1518"/>
      <c r="CK18" s="1518">
        <v>1</v>
      </c>
      <c r="CN18" s="36"/>
      <c r="CO18" s="36"/>
      <c r="CP18" s="393"/>
      <c r="CQ18" s="393" t="s">
        <v>1080</v>
      </c>
      <c r="CR18" s="2049"/>
      <c r="CS18" s="2049"/>
      <c r="CT18" s="2049"/>
      <c r="CU18" s="2049"/>
      <c r="CV18" s="2049">
        <v>0</v>
      </c>
      <c r="CW18" s="2049"/>
      <c r="CX18" s="2049"/>
      <c r="CY18" s="2049"/>
      <c r="CZ18" s="2049"/>
      <c r="DA18" s="2049">
        <v>0</v>
      </c>
      <c r="DB18" s="2049"/>
      <c r="DC18" s="2049">
        <v>0</v>
      </c>
      <c r="DD18" s="2049"/>
      <c r="DE18" s="2049">
        <v>0</v>
      </c>
      <c r="DF18" s="2049">
        <v>1</v>
      </c>
      <c r="DG18" s="393"/>
      <c r="DH18" s="393">
        <v>1</v>
      </c>
      <c r="DI18" s="393">
        <v>2</v>
      </c>
      <c r="DJ18" s="36"/>
      <c r="DL18" s="36"/>
      <c r="DM18" s="36"/>
      <c r="DN18" s="36"/>
      <c r="DO18" s="393" t="s">
        <v>15</v>
      </c>
      <c r="DP18" s="1682"/>
      <c r="DQ18" s="1682"/>
      <c r="DR18" s="1682"/>
      <c r="DS18" s="1682"/>
      <c r="DT18" s="1682"/>
      <c r="DU18" s="1682"/>
      <c r="DV18" s="1682"/>
      <c r="DW18" s="1682"/>
      <c r="DX18" s="1682"/>
      <c r="DY18" s="1682"/>
      <c r="DZ18" s="1682"/>
      <c r="EA18" s="1682">
        <v>1</v>
      </c>
      <c r="EB18" s="1682"/>
      <c r="EC18" s="1682"/>
      <c r="ED18" s="1682"/>
      <c r="EE18" s="86"/>
      <c r="EF18" s="86"/>
      <c r="EG18" s="86">
        <v>1</v>
      </c>
      <c r="EH18" s="560">
        <v>0</v>
      </c>
      <c r="EL18" s="36"/>
      <c r="EM18" s="36" t="s">
        <v>1072</v>
      </c>
      <c r="EN18" s="1490"/>
      <c r="EO18" s="1490"/>
      <c r="EP18" s="1490">
        <v>1</v>
      </c>
      <c r="EQ18" s="1490"/>
      <c r="ER18" s="1490"/>
      <c r="ES18" s="1490"/>
      <c r="ET18" s="1490"/>
      <c r="EU18" s="1490"/>
      <c r="EV18" s="1490"/>
      <c r="EW18" s="1490">
        <v>0</v>
      </c>
      <c r="EX18" s="1490">
        <v>0</v>
      </c>
      <c r="EY18" s="1490">
        <v>0</v>
      </c>
      <c r="EZ18" s="1490">
        <v>0</v>
      </c>
      <c r="FA18" s="1490">
        <v>1</v>
      </c>
      <c r="FB18" s="1490">
        <v>0</v>
      </c>
      <c r="FC18" s="36"/>
      <c r="FD18" s="36"/>
      <c r="FE18" s="36">
        <v>2</v>
      </c>
      <c r="FF18" s="36"/>
      <c r="FH18" s="1225"/>
      <c r="FI18" s="1225"/>
      <c r="FJ18" s="1225" t="s">
        <v>483</v>
      </c>
      <c r="FK18" s="1226" t="s">
        <v>1072</v>
      </c>
      <c r="FL18" s="1227"/>
      <c r="FM18" s="1227"/>
      <c r="FN18" s="1227"/>
      <c r="FO18" s="1227"/>
      <c r="FP18" s="1227"/>
      <c r="FQ18" s="1227"/>
      <c r="FR18" s="1227"/>
      <c r="FS18" s="1227"/>
      <c r="FT18" s="1227"/>
      <c r="FU18" s="1227"/>
      <c r="FV18" s="1228">
        <v>4</v>
      </c>
      <c r="FW18" s="1228">
        <v>1</v>
      </c>
      <c r="FX18" s="1228">
        <v>0</v>
      </c>
      <c r="FY18" s="1229"/>
      <c r="FZ18" s="1229"/>
      <c r="GA18" s="1230">
        <v>5</v>
      </c>
      <c r="GB18" s="36"/>
      <c r="GD18" s="603"/>
      <c r="GE18" s="603"/>
      <c r="GF18" s="603"/>
      <c r="GG18" s="604" t="s">
        <v>1081</v>
      </c>
      <c r="GH18" s="605"/>
      <c r="GI18" s="606">
        <v>0</v>
      </c>
      <c r="GJ18" s="606">
        <v>0</v>
      </c>
      <c r="GK18" s="605"/>
      <c r="GL18" s="605"/>
      <c r="GM18" s="605"/>
      <c r="GN18" s="605"/>
      <c r="GO18" s="606">
        <v>0</v>
      </c>
      <c r="GP18" s="605"/>
      <c r="GQ18" s="606">
        <v>0</v>
      </c>
      <c r="GR18" s="606">
        <v>1</v>
      </c>
      <c r="GS18" s="606">
        <v>1</v>
      </c>
      <c r="GT18" s="606">
        <v>0</v>
      </c>
      <c r="GU18" s="606">
        <v>0</v>
      </c>
      <c r="GV18" s="605"/>
      <c r="GW18" s="607"/>
      <c r="GX18" s="607"/>
      <c r="GY18" s="608">
        <v>2</v>
      </c>
      <c r="GZ18" s="95"/>
      <c r="HB18" s="441"/>
      <c r="HC18" s="441" t="s">
        <v>16</v>
      </c>
      <c r="HD18" s="441" t="s">
        <v>118</v>
      </c>
      <c r="HE18" s="441" t="s">
        <v>1070</v>
      </c>
      <c r="HF18" s="442" t="s">
        <v>1072</v>
      </c>
      <c r="HG18" s="609"/>
      <c r="HH18" s="609"/>
      <c r="HI18" s="609"/>
      <c r="HJ18" s="609"/>
      <c r="HK18" s="609"/>
      <c r="HL18" s="609"/>
      <c r="HM18" s="610">
        <v>1</v>
      </c>
      <c r="HN18" s="609"/>
      <c r="HO18" s="610">
        <v>0</v>
      </c>
      <c r="HP18" s="609"/>
      <c r="HQ18" s="609"/>
      <c r="HR18" s="609"/>
      <c r="HS18" s="610">
        <v>0</v>
      </c>
      <c r="HT18" s="610">
        <v>0</v>
      </c>
      <c r="HU18" s="609"/>
      <c r="HV18" s="611"/>
      <c r="HW18" s="611"/>
      <c r="HX18" s="612">
        <v>1</v>
      </c>
      <c r="HY18" s="560"/>
      <c r="HZ18" s="36"/>
      <c r="IA18" s="613"/>
      <c r="IB18" s="613"/>
      <c r="IC18" s="36"/>
      <c r="ID18" s="36"/>
      <c r="IE18" s="36"/>
      <c r="IF18" s="36"/>
      <c r="IG18" s="36"/>
      <c r="IH18" s="36"/>
      <c r="II18" s="36"/>
      <c r="IJ18" s="36"/>
      <c r="IK18" s="36"/>
      <c r="IL18" s="36"/>
      <c r="IM18" s="36"/>
      <c r="IN18" s="36"/>
      <c r="IO18" s="36"/>
      <c r="IP18" s="36"/>
      <c r="IQ18" s="36"/>
      <c r="IR18" s="36"/>
      <c r="IS18" s="36"/>
      <c r="IT18" s="36"/>
      <c r="IU18" s="36"/>
      <c r="IV18" s="95"/>
      <c r="IW18" s="95"/>
      <c r="IX18" s="36" t="s">
        <v>117</v>
      </c>
      <c r="IY18" s="36" t="s">
        <v>1072</v>
      </c>
      <c r="IZ18" s="95"/>
      <c r="JA18" s="95"/>
      <c r="JB18" s="95"/>
      <c r="JC18" s="95"/>
      <c r="JD18" s="95"/>
      <c r="JE18" s="95"/>
      <c r="JF18" s="95"/>
      <c r="JG18" s="95"/>
      <c r="JH18" s="95">
        <v>4</v>
      </c>
      <c r="JI18" s="95">
        <v>6</v>
      </c>
      <c r="JJ18" s="95">
        <v>1</v>
      </c>
      <c r="JK18" s="95"/>
      <c r="JL18" s="95"/>
      <c r="JM18" s="95"/>
      <c r="JN18" s="95"/>
      <c r="JO18" s="95"/>
      <c r="JP18" s="95">
        <v>11</v>
      </c>
      <c r="JQ18" s="36"/>
      <c r="JR18" s="36"/>
      <c r="JS18" s="616"/>
      <c r="JT18" s="616"/>
      <c r="JU18" s="616"/>
      <c r="JV18" s="616" t="s">
        <v>1076</v>
      </c>
      <c r="JW18" s="616">
        <v>0</v>
      </c>
      <c r="JX18" s="616">
        <v>0</v>
      </c>
      <c r="JY18" s="616">
        <v>0</v>
      </c>
      <c r="JZ18" s="616">
        <v>0</v>
      </c>
      <c r="KA18" s="616">
        <v>0</v>
      </c>
      <c r="KB18" s="616">
        <v>1</v>
      </c>
      <c r="KC18" s="616">
        <v>0</v>
      </c>
      <c r="KD18" s="616">
        <v>0</v>
      </c>
      <c r="KE18" s="616">
        <v>0</v>
      </c>
      <c r="KF18" s="616">
        <v>0</v>
      </c>
      <c r="KG18" s="616">
        <v>0</v>
      </c>
      <c r="KH18" s="616">
        <v>0</v>
      </c>
      <c r="KI18" s="616">
        <v>0</v>
      </c>
      <c r="KJ18" s="616">
        <v>0</v>
      </c>
      <c r="KK18" s="616">
        <v>0</v>
      </c>
      <c r="KL18" s="616">
        <v>0</v>
      </c>
      <c r="KM18" s="616">
        <v>1</v>
      </c>
      <c r="KN18" s="616"/>
      <c r="KO18" s="617"/>
    </row>
    <row r="19" spans="1:301" ht="24">
      <c r="A19" s="5737">
        <v>1</v>
      </c>
      <c r="B19" s="5737">
        <v>1</v>
      </c>
      <c r="C19" s="5736" t="s">
        <v>2734</v>
      </c>
      <c r="D19" s="5739" t="s">
        <v>2732</v>
      </c>
      <c r="E19" s="5737">
        <v>1</v>
      </c>
      <c r="F19" s="5737">
        <v>12</v>
      </c>
      <c r="I19" s="4726">
        <v>1</v>
      </c>
      <c r="J19" s="4726">
        <v>1</v>
      </c>
      <c r="K19" s="4725" t="s">
        <v>2734</v>
      </c>
      <c r="L19" s="4963" t="s">
        <v>1076</v>
      </c>
      <c r="M19" s="4964">
        <v>1</v>
      </c>
      <c r="N19" s="4726">
        <v>12</v>
      </c>
      <c r="Q19" s="4458">
        <v>1</v>
      </c>
      <c r="R19" s="4458">
        <v>1</v>
      </c>
      <c r="S19" s="4459" t="s">
        <v>2734</v>
      </c>
      <c r="T19" s="4461" t="s">
        <v>2707</v>
      </c>
      <c r="U19" s="4458">
        <v>14</v>
      </c>
      <c r="V19" s="4479">
        <v>1</v>
      </c>
      <c r="W19" s="4510"/>
      <c r="X19" s="4467"/>
      <c r="Y19" s="4467"/>
      <c r="Z19" s="36"/>
      <c r="AA19" s="36"/>
      <c r="AB19" s="36" t="s">
        <v>15</v>
      </c>
      <c r="AC19" s="36" t="s">
        <v>1071</v>
      </c>
      <c r="AD19" s="615"/>
      <c r="AE19" s="615">
        <v>0</v>
      </c>
      <c r="AF19" s="615"/>
      <c r="AG19" s="615">
        <v>0</v>
      </c>
      <c r="AH19" s="615"/>
      <c r="AI19" s="615">
        <v>0</v>
      </c>
      <c r="AJ19" s="615">
        <v>0</v>
      </c>
      <c r="AK19" s="615">
        <v>0</v>
      </c>
      <c r="AL19" s="615">
        <v>0</v>
      </c>
      <c r="AM19" s="615">
        <v>0</v>
      </c>
      <c r="AN19" s="615">
        <v>2</v>
      </c>
      <c r="AO19" s="615">
        <v>1</v>
      </c>
      <c r="AP19" s="615">
        <v>1</v>
      </c>
      <c r="AQ19" s="36">
        <v>0</v>
      </c>
      <c r="AR19" s="36">
        <v>4</v>
      </c>
      <c r="AS19" s="36"/>
      <c r="AX19" s="3868" t="s">
        <v>1163</v>
      </c>
      <c r="AY19" s="3721"/>
      <c r="AZ19" s="3721"/>
      <c r="BA19" s="3721"/>
      <c r="BB19" s="3721"/>
      <c r="BC19" s="3721">
        <v>0</v>
      </c>
      <c r="BD19" s="3721">
        <v>0</v>
      </c>
      <c r="BE19" s="3721">
        <v>0</v>
      </c>
      <c r="BF19" s="3721"/>
      <c r="BG19" s="3721"/>
      <c r="BH19" s="3721"/>
      <c r="BI19" s="3721"/>
      <c r="BJ19" s="3721">
        <v>1</v>
      </c>
      <c r="BK19" s="3721"/>
      <c r="BL19" s="3721">
        <v>0</v>
      </c>
      <c r="BM19" s="2110"/>
      <c r="BN19" s="2110"/>
      <c r="BO19" s="2110">
        <v>1</v>
      </c>
      <c r="BP19" s="2110"/>
      <c r="BU19" s="32" t="s">
        <v>1080</v>
      </c>
      <c r="BV19" s="3871"/>
      <c r="BW19" s="3871"/>
      <c r="BX19" s="3871"/>
      <c r="BY19" s="3871"/>
      <c r="BZ19" s="3871">
        <v>0</v>
      </c>
      <c r="CA19" s="3871">
        <v>0</v>
      </c>
      <c r="CB19" s="3871">
        <v>0</v>
      </c>
      <c r="CC19" s="3871"/>
      <c r="CD19" s="3871"/>
      <c r="CE19" s="3871"/>
      <c r="CF19" s="3871"/>
      <c r="CG19" s="3871">
        <v>0</v>
      </c>
      <c r="CH19" s="3871">
        <v>1</v>
      </c>
      <c r="CI19" s="3871"/>
      <c r="CJ19" s="1518"/>
      <c r="CK19" s="1518">
        <v>1</v>
      </c>
      <c r="CN19" s="36"/>
      <c r="CO19" s="36"/>
      <c r="CP19" s="393"/>
      <c r="CQ19" s="393" t="s">
        <v>1081</v>
      </c>
      <c r="CR19" s="2049"/>
      <c r="CS19" s="2049"/>
      <c r="CT19" s="2049"/>
      <c r="CU19" s="2049"/>
      <c r="CV19" s="2049">
        <v>0</v>
      </c>
      <c r="CW19" s="2049"/>
      <c r="CX19" s="2049"/>
      <c r="CY19" s="2049"/>
      <c r="CZ19" s="2049"/>
      <c r="DA19" s="2049">
        <v>3</v>
      </c>
      <c r="DB19" s="2049"/>
      <c r="DC19" s="2049">
        <v>1</v>
      </c>
      <c r="DD19" s="2049"/>
      <c r="DE19" s="2049">
        <v>0</v>
      </c>
      <c r="DF19" s="2049">
        <v>0</v>
      </c>
      <c r="DG19" s="393"/>
      <c r="DH19" s="393">
        <v>0</v>
      </c>
      <c r="DI19" s="393">
        <v>4</v>
      </c>
      <c r="DJ19" s="36"/>
      <c r="DL19" s="36"/>
      <c r="DM19" s="36"/>
      <c r="DN19" s="36" t="s">
        <v>482</v>
      </c>
      <c r="DO19" s="36" t="s">
        <v>1072</v>
      </c>
      <c r="DP19" s="1681"/>
      <c r="DQ19" s="1681"/>
      <c r="DR19" s="1681"/>
      <c r="DS19" s="1681"/>
      <c r="DT19" s="1681"/>
      <c r="DU19" s="1681"/>
      <c r="DV19" s="1681"/>
      <c r="DW19" s="1681">
        <v>0</v>
      </c>
      <c r="DX19" s="1681">
        <v>0</v>
      </c>
      <c r="DY19" s="1681">
        <v>1</v>
      </c>
      <c r="DZ19" s="1681">
        <v>0</v>
      </c>
      <c r="EA19" s="1681">
        <v>1</v>
      </c>
      <c r="EB19" s="1681"/>
      <c r="EC19" s="1681">
        <v>0</v>
      </c>
      <c r="ED19" s="1681">
        <v>0</v>
      </c>
      <c r="EE19" s="95"/>
      <c r="EF19" s="95"/>
      <c r="EG19" s="95">
        <v>2</v>
      </c>
      <c r="EH19" s="36"/>
      <c r="EL19" s="36"/>
      <c r="EM19" s="36" t="s">
        <v>1081</v>
      </c>
      <c r="EN19" s="1490"/>
      <c r="EO19" s="1490"/>
      <c r="EP19" s="1490">
        <v>0</v>
      </c>
      <c r="EQ19" s="1490"/>
      <c r="ER19" s="1490"/>
      <c r="ES19" s="1490"/>
      <c r="ET19" s="1490"/>
      <c r="EU19" s="1490"/>
      <c r="EV19" s="1490"/>
      <c r="EW19" s="1490">
        <v>2</v>
      </c>
      <c r="EX19" s="1490">
        <v>1</v>
      </c>
      <c r="EY19" s="1490">
        <v>0</v>
      </c>
      <c r="EZ19" s="1490">
        <v>0</v>
      </c>
      <c r="FA19" s="1490">
        <v>0</v>
      </c>
      <c r="FB19" s="1490">
        <v>0</v>
      </c>
      <c r="FC19" s="36"/>
      <c r="FD19" s="36"/>
      <c r="FE19" s="36">
        <v>3</v>
      </c>
      <c r="FF19" s="36"/>
      <c r="FH19" s="1225"/>
      <c r="FI19" s="1225"/>
      <c r="FJ19" s="1225"/>
      <c r="FK19" s="1226" t="s">
        <v>1080</v>
      </c>
      <c r="FL19" s="1227"/>
      <c r="FM19" s="1227"/>
      <c r="FN19" s="1227"/>
      <c r="FO19" s="1227"/>
      <c r="FP19" s="1227"/>
      <c r="FQ19" s="1227"/>
      <c r="FR19" s="1227"/>
      <c r="FS19" s="1227"/>
      <c r="FT19" s="1227"/>
      <c r="FU19" s="1227"/>
      <c r="FV19" s="1228">
        <v>0</v>
      </c>
      <c r="FW19" s="1228">
        <v>1</v>
      </c>
      <c r="FX19" s="1228">
        <v>2</v>
      </c>
      <c r="FY19" s="1229"/>
      <c r="FZ19" s="1229"/>
      <c r="GA19" s="1230">
        <v>3</v>
      </c>
      <c r="GB19" s="36"/>
      <c r="GD19" s="603"/>
      <c r="GE19" s="603"/>
      <c r="GF19" s="603"/>
      <c r="GG19" s="604" t="s">
        <v>1163</v>
      </c>
      <c r="GH19" s="605"/>
      <c r="GI19" s="606">
        <v>0</v>
      </c>
      <c r="GJ19" s="606">
        <v>0</v>
      </c>
      <c r="GK19" s="605"/>
      <c r="GL19" s="605"/>
      <c r="GM19" s="605"/>
      <c r="GN19" s="605"/>
      <c r="GO19" s="606">
        <v>0</v>
      </c>
      <c r="GP19" s="605"/>
      <c r="GQ19" s="606">
        <v>4</v>
      </c>
      <c r="GR19" s="606">
        <v>2</v>
      </c>
      <c r="GS19" s="606">
        <v>1</v>
      </c>
      <c r="GT19" s="606">
        <v>0</v>
      </c>
      <c r="GU19" s="606">
        <v>0</v>
      </c>
      <c r="GV19" s="605"/>
      <c r="GW19" s="607"/>
      <c r="GX19" s="607"/>
      <c r="GY19" s="608">
        <v>7</v>
      </c>
      <c r="GZ19" s="95"/>
      <c r="HB19" s="441"/>
      <c r="HC19" s="441"/>
      <c r="HD19" s="441"/>
      <c r="HE19" s="441"/>
      <c r="HF19" s="442" t="s">
        <v>1077</v>
      </c>
      <c r="HG19" s="609"/>
      <c r="HH19" s="609"/>
      <c r="HI19" s="609"/>
      <c r="HJ19" s="609"/>
      <c r="HK19" s="609"/>
      <c r="HL19" s="609"/>
      <c r="HM19" s="610">
        <v>0</v>
      </c>
      <c r="HN19" s="609"/>
      <c r="HO19" s="610">
        <v>1</v>
      </c>
      <c r="HP19" s="609"/>
      <c r="HQ19" s="609"/>
      <c r="HR19" s="609"/>
      <c r="HS19" s="610">
        <v>0</v>
      </c>
      <c r="HT19" s="610">
        <v>0</v>
      </c>
      <c r="HU19" s="609"/>
      <c r="HV19" s="611"/>
      <c r="HW19" s="611"/>
      <c r="HX19" s="612">
        <v>1</v>
      </c>
      <c r="HY19" s="560"/>
      <c r="HZ19" s="36"/>
      <c r="IA19" s="613"/>
      <c r="IB19" s="613"/>
      <c r="IC19" s="36"/>
      <c r="ID19" s="36"/>
      <c r="IE19" s="36"/>
      <c r="IF19" s="36"/>
      <c r="IG19" s="36"/>
      <c r="IH19" s="36"/>
      <c r="II19" s="36"/>
      <c r="IJ19" s="36"/>
      <c r="IK19" s="36"/>
      <c r="IL19" s="36"/>
      <c r="IM19" s="36"/>
      <c r="IN19" s="36"/>
      <c r="IO19" s="36"/>
      <c r="IP19" s="36"/>
      <c r="IQ19" s="36"/>
      <c r="IR19" s="36"/>
      <c r="IS19" s="36"/>
      <c r="IT19" s="36"/>
      <c r="IU19" s="36"/>
      <c r="IV19" s="95"/>
      <c r="IW19" s="95"/>
      <c r="IX19" s="36"/>
      <c r="IY19" s="36" t="s">
        <v>1076</v>
      </c>
      <c r="IZ19" s="95"/>
      <c r="JA19" s="95"/>
      <c r="JB19" s="95"/>
      <c r="JC19" s="95"/>
      <c r="JD19" s="95"/>
      <c r="JE19" s="95"/>
      <c r="JF19" s="95"/>
      <c r="JG19" s="95"/>
      <c r="JH19" s="95">
        <v>1</v>
      </c>
      <c r="JI19" s="95">
        <v>0</v>
      </c>
      <c r="JJ19" s="95">
        <v>0</v>
      </c>
      <c r="JK19" s="95"/>
      <c r="JL19" s="95"/>
      <c r="JM19" s="95"/>
      <c r="JN19" s="95"/>
      <c r="JO19" s="95"/>
      <c r="JP19" s="95">
        <v>1</v>
      </c>
      <c r="JQ19" s="36"/>
      <c r="JR19" s="36"/>
      <c r="JS19" s="616"/>
      <c r="JT19" s="616"/>
      <c r="JU19" s="616"/>
      <c r="JV19" s="616" t="s">
        <v>1077</v>
      </c>
      <c r="JW19" s="616">
        <v>0</v>
      </c>
      <c r="JX19" s="616">
        <v>0</v>
      </c>
      <c r="JY19" s="616">
        <v>0</v>
      </c>
      <c r="JZ19" s="616">
        <v>0</v>
      </c>
      <c r="KA19" s="616">
        <v>2</v>
      </c>
      <c r="KB19" s="616">
        <v>0</v>
      </c>
      <c r="KC19" s="616">
        <v>0</v>
      </c>
      <c r="KD19" s="616">
        <v>0</v>
      </c>
      <c r="KE19" s="616">
        <v>1</v>
      </c>
      <c r="KF19" s="616">
        <v>0</v>
      </c>
      <c r="KG19" s="616">
        <v>0</v>
      </c>
      <c r="KH19" s="616">
        <v>0</v>
      </c>
      <c r="KI19" s="616">
        <v>0</v>
      </c>
      <c r="KJ19" s="616">
        <v>0</v>
      </c>
      <c r="KK19" s="616">
        <v>0</v>
      </c>
      <c r="KL19" s="616">
        <v>0</v>
      </c>
      <c r="KM19" s="616">
        <v>3</v>
      </c>
      <c r="KN19" s="616"/>
      <c r="KO19" s="617"/>
    </row>
    <row r="20" spans="1:301" ht="24">
      <c r="A20" s="5737">
        <v>1</v>
      </c>
      <c r="B20" s="5737">
        <v>1</v>
      </c>
      <c r="C20" s="5736" t="s">
        <v>2734</v>
      </c>
      <c r="D20" s="5736" t="s">
        <v>2709</v>
      </c>
      <c r="E20" s="5737">
        <v>1</v>
      </c>
      <c r="F20" s="5737">
        <v>11</v>
      </c>
      <c r="I20" s="4726">
        <v>1</v>
      </c>
      <c r="J20" s="4726">
        <v>1</v>
      </c>
      <c r="K20" s="4725" t="s">
        <v>2734</v>
      </c>
      <c r="L20" s="4725" t="s">
        <v>2709</v>
      </c>
      <c r="M20" s="4726">
        <v>1</v>
      </c>
      <c r="N20" s="4726">
        <v>11</v>
      </c>
      <c r="Q20" s="4458">
        <v>1</v>
      </c>
      <c r="R20" s="4458">
        <v>1</v>
      </c>
      <c r="S20" s="4459" t="s">
        <v>2734</v>
      </c>
      <c r="T20" s="4461" t="s">
        <v>2732</v>
      </c>
      <c r="U20" s="4458">
        <v>6</v>
      </c>
      <c r="V20" s="4479">
        <v>1</v>
      </c>
      <c r="W20" s="4510"/>
      <c r="X20" s="4467"/>
      <c r="Y20" s="4467"/>
      <c r="Z20" s="36"/>
      <c r="AA20" s="36"/>
      <c r="AB20" s="36"/>
      <c r="AC20" s="36" t="s">
        <v>1072</v>
      </c>
      <c r="AD20" s="615"/>
      <c r="AE20" s="615">
        <v>2</v>
      </c>
      <c r="AF20" s="615"/>
      <c r="AG20" s="615">
        <v>0</v>
      </c>
      <c r="AH20" s="615"/>
      <c r="AI20" s="615">
        <v>0</v>
      </c>
      <c r="AJ20" s="615">
        <v>1</v>
      </c>
      <c r="AK20" s="615">
        <v>1</v>
      </c>
      <c r="AL20" s="615">
        <v>0</v>
      </c>
      <c r="AM20" s="615">
        <v>1</v>
      </c>
      <c r="AN20" s="615">
        <v>0</v>
      </c>
      <c r="AO20" s="615">
        <v>0</v>
      </c>
      <c r="AP20" s="615">
        <v>0</v>
      </c>
      <c r="AQ20" s="36">
        <v>0</v>
      </c>
      <c r="AR20" s="36">
        <v>5</v>
      </c>
      <c r="AS20" s="36"/>
      <c r="AU20" s="36"/>
      <c r="AV20" s="36"/>
      <c r="AW20" s="36"/>
      <c r="AX20" s="36" t="s">
        <v>15</v>
      </c>
      <c r="AY20" s="1681"/>
      <c r="AZ20" s="1681"/>
      <c r="BA20" s="1681"/>
      <c r="BB20" s="1681"/>
      <c r="BC20" s="1681">
        <v>1</v>
      </c>
      <c r="BD20" s="1681">
        <v>1</v>
      </c>
      <c r="BE20" s="1681">
        <v>1</v>
      </c>
      <c r="BF20" s="1681"/>
      <c r="BG20" s="1681"/>
      <c r="BH20" s="1681"/>
      <c r="BI20" s="1681"/>
      <c r="BJ20" s="1681">
        <v>1</v>
      </c>
      <c r="BK20" s="1681"/>
      <c r="BL20" s="1681">
        <v>1</v>
      </c>
      <c r="BM20" s="95"/>
      <c r="BN20" s="95"/>
      <c r="BO20" s="95">
        <v>5</v>
      </c>
      <c r="BP20" s="560">
        <f>+(BO19)/(BO20)</f>
        <v>0.2</v>
      </c>
      <c r="BU20" s="1520" t="s">
        <v>15</v>
      </c>
      <c r="BV20" s="3872"/>
      <c r="BW20" s="3872"/>
      <c r="BX20" s="3872"/>
      <c r="BY20" s="3872"/>
      <c r="BZ20" s="3872">
        <v>1</v>
      </c>
      <c r="CA20" s="3872">
        <v>1</v>
      </c>
      <c r="CB20" s="3872">
        <v>1</v>
      </c>
      <c r="CC20" s="3872"/>
      <c r="CD20" s="3872"/>
      <c r="CE20" s="3872"/>
      <c r="CF20" s="3872"/>
      <c r="CG20" s="3872">
        <v>1</v>
      </c>
      <c r="CH20" s="3872">
        <v>1</v>
      </c>
      <c r="CI20" s="3872"/>
      <c r="CJ20" s="3806"/>
      <c r="CK20" s="3806">
        <v>5</v>
      </c>
      <c r="CL20" s="3807">
        <f>+CK18/CK20</f>
        <v>0.2</v>
      </c>
      <c r="CN20" s="36"/>
      <c r="CO20" s="36"/>
      <c r="CP20" s="393"/>
      <c r="CQ20" s="393" t="s">
        <v>1163</v>
      </c>
      <c r="CR20" s="2049"/>
      <c r="CS20" s="2049"/>
      <c r="CT20" s="2049"/>
      <c r="CU20" s="2049"/>
      <c r="CV20" s="2049">
        <v>0</v>
      </c>
      <c r="CW20" s="2049"/>
      <c r="CX20" s="2049"/>
      <c r="CY20" s="2049"/>
      <c r="CZ20" s="2049"/>
      <c r="DA20" s="2049">
        <v>0</v>
      </c>
      <c r="DB20" s="2049"/>
      <c r="DC20" s="2049">
        <v>1</v>
      </c>
      <c r="DD20" s="2049"/>
      <c r="DE20" s="2049">
        <v>0</v>
      </c>
      <c r="DF20" s="2049">
        <v>0</v>
      </c>
      <c r="DG20" s="393"/>
      <c r="DH20" s="393">
        <v>0</v>
      </c>
      <c r="DI20" s="393">
        <v>1</v>
      </c>
      <c r="DJ20" s="36"/>
      <c r="DL20" s="36"/>
      <c r="DM20" s="36"/>
      <c r="DN20" s="36"/>
      <c r="DO20" s="36" t="s">
        <v>1076</v>
      </c>
      <c r="DP20" s="1681"/>
      <c r="DQ20" s="1681"/>
      <c r="DR20" s="1681"/>
      <c r="DS20" s="1681"/>
      <c r="DT20" s="1681"/>
      <c r="DU20" s="1681"/>
      <c r="DV20" s="1681"/>
      <c r="DW20" s="1681">
        <v>0</v>
      </c>
      <c r="DX20" s="1681">
        <v>0</v>
      </c>
      <c r="DY20" s="1681">
        <v>1</v>
      </c>
      <c r="DZ20" s="1681">
        <v>0</v>
      </c>
      <c r="EA20" s="1681">
        <v>1</v>
      </c>
      <c r="EB20" s="1681"/>
      <c r="EC20" s="1681">
        <v>1</v>
      </c>
      <c r="ED20" s="1681">
        <v>0</v>
      </c>
      <c r="EE20" s="95"/>
      <c r="EF20" s="95"/>
      <c r="EG20" s="95">
        <v>3</v>
      </c>
      <c r="EH20" s="36"/>
      <c r="EL20" s="36"/>
      <c r="EM20" s="393" t="s">
        <v>483</v>
      </c>
      <c r="EN20" s="1491"/>
      <c r="EO20" s="1491"/>
      <c r="EP20" s="1491">
        <v>1</v>
      </c>
      <c r="EQ20" s="1491"/>
      <c r="ER20" s="1491"/>
      <c r="ES20" s="1491"/>
      <c r="ET20" s="1491"/>
      <c r="EU20" s="1491"/>
      <c r="EV20" s="1491"/>
      <c r="EW20" s="1491">
        <v>2</v>
      </c>
      <c r="EX20" s="1491">
        <v>2</v>
      </c>
      <c r="EY20" s="1491">
        <v>1</v>
      </c>
      <c r="EZ20" s="1491">
        <v>1</v>
      </c>
      <c r="FA20" s="1491">
        <v>3</v>
      </c>
      <c r="FB20" s="1491">
        <v>1</v>
      </c>
      <c r="FC20" s="393"/>
      <c r="FD20" s="393"/>
      <c r="FE20" s="393">
        <v>11</v>
      </c>
      <c r="FF20" s="560">
        <f>+FE19/FE20</f>
        <v>0.27272727272727271</v>
      </c>
      <c r="FH20" s="1225"/>
      <c r="FI20" s="1225"/>
      <c r="FJ20" s="1225"/>
      <c r="FK20" s="1226" t="s">
        <v>1081</v>
      </c>
      <c r="FL20" s="1227"/>
      <c r="FM20" s="1227"/>
      <c r="FN20" s="1227"/>
      <c r="FO20" s="1227"/>
      <c r="FP20" s="1227"/>
      <c r="FQ20" s="1227"/>
      <c r="FR20" s="1227"/>
      <c r="FS20" s="1227"/>
      <c r="FT20" s="1227"/>
      <c r="FU20" s="1227"/>
      <c r="FV20" s="1228">
        <v>2</v>
      </c>
      <c r="FW20" s="1228">
        <v>0</v>
      </c>
      <c r="FX20" s="1228">
        <v>0</v>
      </c>
      <c r="FY20" s="1229"/>
      <c r="FZ20" s="1229"/>
      <c r="GA20" s="1230">
        <v>2</v>
      </c>
      <c r="GB20" s="36"/>
      <c r="GD20" s="603"/>
      <c r="GE20" s="603"/>
      <c r="GF20" s="603"/>
      <c r="GG20" s="622" t="s">
        <v>15</v>
      </c>
      <c r="GH20" s="623"/>
      <c r="GI20" s="624">
        <v>1</v>
      </c>
      <c r="GJ20" s="624">
        <v>1</v>
      </c>
      <c r="GK20" s="623"/>
      <c r="GL20" s="623"/>
      <c r="GM20" s="623"/>
      <c r="GN20" s="623"/>
      <c r="GO20" s="624">
        <v>1</v>
      </c>
      <c r="GP20" s="623"/>
      <c r="GQ20" s="624">
        <v>7</v>
      </c>
      <c r="GR20" s="624">
        <v>6</v>
      </c>
      <c r="GS20" s="624">
        <v>2</v>
      </c>
      <c r="GT20" s="624">
        <v>1</v>
      </c>
      <c r="GU20" s="624">
        <v>1</v>
      </c>
      <c r="GV20" s="623"/>
      <c r="GW20" s="625"/>
      <c r="GX20" s="625"/>
      <c r="GY20" s="626">
        <v>20</v>
      </c>
      <c r="GZ20" s="560">
        <f>+(GY17+GY18+GY19)/GY20</f>
        <v>0.5</v>
      </c>
      <c r="HB20" s="441"/>
      <c r="HC20" s="441"/>
      <c r="HD20" s="441"/>
      <c r="HE20" s="441"/>
      <c r="HF20" s="442" t="s">
        <v>1080</v>
      </c>
      <c r="HG20" s="609"/>
      <c r="HH20" s="609"/>
      <c r="HI20" s="609"/>
      <c r="HJ20" s="609"/>
      <c r="HK20" s="609"/>
      <c r="HL20" s="609"/>
      <c r="HM20" s="610">
        <v>0</v>
      </c>
      <c r="HN20" s="609"/>
      <c r="HO20" s="610">
        <v>0</v>
      </c>
      <c r="HP20" s="609"/>
      <c r="HQ20" s="609"/>
      <c r="HR20" s="609"/>
      <c r="HS20" s="610">
        <v>2</v>
      </c>
      <c r="HT20" s="610">
        <v>2</v>
      </c>
      <c r="HU20" s="609"/>
      <c r="HV20" s="611"/>
      <c r="HW20" s="611"/>
      <c r="HX20" s="612">
        <v>4</v>
      </c>
      <c r="HY20" s="560"/>
      <c r="HZ20" s="36"/>
      <c r="IA20" s="613"/>
      <c r="IB20" s="613"/>
      <c r="IC20" s="36"/>
      <c r="ID20" s="36"/>
      <c r="IE20" s="36"/>
      <c r="IF20" s="36"/>
      <c r="IG20" s="36"/>
      <c r="IH20" s="36"/>
      <c r="II20" s="36"/>
      <c r="IJ20" s="36"/>
      <c r="IK20" s="36"/>
      <c r="IL20" s="36"/>
      <c r="IM20" s="36"/>
      <c r="IN20" s="36"/>
      <c r="IO20" s="36"/>
      <c r="IP20" s="36"/>
      <c r="IQ20" s="36"/>
      <c r="IR20" s="36"/>
      <c r="IS20" s="36"/>
      <c r="IT20" s="36"/>
      <c r="IU20" s="36"/>
      <c r="IV20" s="95"/>
      <c r="IW20" s="95"/>
      <c r="IX20" s="36"/>
      <c r="IY20" s="36" t="s">
        <v>1163</v>
      </c>
      <c r="IZ20" s="95"/>
      <c r="JA20" s="95"/>
      <c r="JB20" s="95"/>
      <c r="JC20" s="95"/>
      <c r="JD20" s="95"/>
      <c r="JE20" s="95"/>
      <c r="JF20" s="95"/>
      <c r="JG20" s="95"/>
      <c r="JH20" s="95">
        <v>1</v>
      </c>
      <c r="JI20" s="95">
        <v>0</v>
      </c>
      <c r="JJ20" s="95">
        <v>0</v>
      </c>
      <c r="JK20" s="95"/>
      <c r="JL20" s="95"/>
      <c r="JM20" s="95"/>
      <c r="JN20" s="95"/>
      <c r="JO20" s="95"/>
      <c r="JP20" s="95">
        <v>1</v>
      </c>
      <c r="JQ20" s="36"/>
      <c r="JR20" s="36"/>
      <c r="JS20" s="616"/>
      <c r="JT20" s="616"/>
      <c r="JU20" s="616"/>
      <c r="JV20" s="627" t="s">
        <v>15</v>
      </c>
      <c r="JW20" s="627">
        <v>0</v>
      </c>
      <c r="JX20" s="627">
        <v>0</v>
      </c>
      <c r="JY20" s="627">
        <v>0</v>
      </c>
      <c r="JZ20" s="627">
        <v>0</v>
      </c>
      <c r="KA20" s="627">
        <v>2</v>
      </c>
      <c r="KB20" s="627">
        <v>2</v>
      </c>
      <c r="KC20" s="627">
        <v>0</v>
      </c>
      <c r="KD20" s="627">
        <v>0</v>
      </c>
      <c r="KE20" s="627">
        <v>1</v>
      </c>
      <c r="KF20" s="627">
        <v>0</v>
      </c>
      <c r="KG20" s="627">
        <v>0</v>
      </c>
      <c r="KH20" s="627">
        <v>0</v>
      </c>
      <c r="KI20" s="627">
        <v>0</v>
      </c>
      <c r="KJ20" s="627">
        <v>0</v>
      </c>
      <c r="KK20" s="627">
        <v>0</v>
      </c>
      <c r="KL20" s="627">
        <v>0</v>
      </c>
      <c r="KM20" s="627">
        <v>5</v>
      </c>
      <c r="KN20" s="628">
        <f>+KM18/KM20</f>
        <v>0.2</v>
      </c>
      <c r="KO20" s="617">
        <f>+KM18</f>
        <v>1</v>
      </c>
    </row>
    <row r="21" spans="1:301">
      <c r="A21" s="5737"/>
      <c r="B21" s="5737"/>
      <c r="C21" s="5736"/>
      <c r="D21" s="5736"/>
      <c r="E21" s="5742">
        <f>SUM(E17:E20)</f>
        <v>4</v>
      </c>
      <c r="F21" s="5737"/>
      <c r="G21" s="4476">
        <f>+(E19)/(E21)</f>
        <v>0.25</v>
      </c>
      <c r="I21" s="4726">
        <v>1</v>
      </c>
      <c r="J21" s="4726">
        <v>1</v>
      </c>
      <c r="K21" s="4725" t="s">
        <v>2734</v>
      </c>
      <c r="L21" s="4725" t="s">
        <v>2709</v>
      </c>
      <c r="M21" s="4726">
        <v>1</v>
      </c>
      <c r="N21" s="4726">
        <v>12</v>
      </c>
      <c r="Q21" s="4458">
        <v>1</v>
      </c>
      <c r="R21" s="4458">
        <v>1</v>
      </c>
      <c r="S21" s="4459" t="s">
        <v>2734</v>
      </c>
      <c r="T21" s="4461" t="s">
        <v>2732</v>
      </c>
      <c r="U21" s="4458">
        <v>10</v>
      </c>
      <c r="V21" s="4479">
        <v>1</v>
      </c>
      <c r="W21" s="4510"/>
      <c r="X21" s="4467"/>
      <c r="Y21" s="4467"/>
      <c r="Z21" s="36"/>
      <c r="AA21" s="36"/>
      <c r="AB21" s="36"/>
      <c r="AC21" s="36" t="s">
        <v>1077</v>
      </c>
      <c r="AD21" s="615"/>
      <c r="AE21" s="615">
        <v>0</v>
      </c>
      <c r="AF21" s="615"/>
      <c r="AG21" s="615">
        <v>1</v>
      </c>
      <c r="AH21" s="615"/>
      <c r="AI21" s="615">
        <v>0</v>
      </c>
      <c r="AJ21" s="615">
        <v>0</v>
      </c>
      <c r="AK21" s="615">
        <v>0</v>
      </c>
      <c r="AL21" s="615">
        <v>0</v>
      </c>
      <c r="AM21" s="615">
        <v>0</v>
      </c>
      <c r="AN21" s="615">
        <v>0</v>
      </c>
      <c r="AO21" s="615">
        <v>0</v>
      </c>
      <c r="AP21" s="615">
        <v>0</v>
      </c>
      <c r="AQ21" s="36">
        <v>0</v>
      </c>
      <c r="AR21" s="36">
        <v>1</v>
      </c>
      <c r="AS21" s="36"/>
      <c r="AU21" s="36"/>
      <c r="AV21" s="36"/>
      <c r="AW21" s="393" t="s">
        <v>482</v>
      </c>
      <c r="AX21" s="393" t="s">
        <v>1072</v>
      </c>
      <c r="AY21" s="1682"/>
      <c r="AZ21" s="1682">
        <v>0</v>
      </c>
      <c r="BA21" s="1682"/>
      <c r="BB21" s="1682"/>
      <c r="BC21" s="1682">
        <v>1</v>
      </c>
      <c r="BD21" s="1682">
        <v>1</v>
      </c>
      <c r="BE21" s="1682">
        <v>1</v>
      </c>
      <c r="BF21" s="1682"/>
      <c r="BG21" s="1682"/>
      <c r="BH21" s="1682"/>
      <c r="BI21" s="1682">
        <v>1</v>
      </c>
      <c r="BJ21" s="1682">
        <v>0</v>
      </c>
      <c r="BK21" s="1682">
        <v>0</v>
      </c>
      <c r="BL21" s="1682">
        <v>0</v>
      </c>
      <c r="BM21" s="4455">
        <v>0</v>
      </c>
      <c r="BN21" s="4455"/>
      <c r="BO21" s="4455">
        <v>4</v>
      </c>
      <c r="BP21" s="4455"/>
      <c r="BT21" s="1520" t="s">
        <v>482</v>
      </c>
      <c r="BU21" s="1520" t="s">
        <v>1072</v>
      </c>
      <c r="BV21" s="3872"/>
      <c r="BW21" s="3872">
        <v>0</v>
      </c>
      <c r="BX21" s="3872"/>
      <c r="BY21" s="3872"/>
      <c r="BZ21" s="3872">
        <v>1</v>
      </c>
      <c r="CA21" s="3872">
        <v>1</v>
      </c>
      <c r="CB21" s="3872">
        <v>1</v>
      </c>
      <c r="CC21" s="3872"/>
      <c r="CD21" s="3872"/>
      <c r="CE21" s="3872"/>
      <c r="CF21" s="3872">
        <v>1</v>
      </c>
      <c r="CG21" s="3872">
        <v>0</v>
      </c>
      <c r="CH21" s="3872">
        <v>0</v>
      </c>
      <c r="CI21" s="3872"/>
      <c r="CJ21" s="3806">
        <v>0</v>
      </c>
      <c r="CK21" s="3806">
        <v>4</v>
      </c>
      <c r="CN21" s="36"/>
      <c r="CO21" s="36"/>
      <c r="CP21" s="393"/>
      <c r="CQ21" s="393" t="s">
        <v>482</v>
      </c>
      <c r="CR21" s="2049"/>
      <c r="CS21" s="2049"/>
      <c r="CT21" s="2049"/>
      <c r="CU21" s="2049"/>
      <c r="CV21" s="2049">
        <v>1</v>
      </c>
      <c r="CW21" s="2049"/>
      <c r="CX21" s="2049"/>
      <c r="CY21" s="2049"/>
      <c r="CZ21" s="2049"/>
      <c r="DA21" s="2049">
        <v>5</v>
      </c>
      <c r="DB21" s="2049"/>
      <c r="DC21" s="2049">
        <v>2</v>
      </c>
      <c r="DD21" s="2049"/>
      <c r="DE21" s="2049">
        <v>1</v>
      </c>
      <c r="DF21" s="2049">
        <v>1</v>
      </c>
      <c r="DG21" s="393"/>
      <c r="DH21" s="393">
        <v>1</v>
      </c>
      <c r="DI21" s="393">
        <v>11</v>
      </c>
      <c r="DJ21" s="560">
        <f>+(DI20+DI19+DI17)/DI21</f>
        <v>0.63636363636363635</v>
      </c>
      <c r="DK21" s="1665"/>
      <c r="DL21" s="36"/>
      <c r="DM21" s="36"/>
      <c r="DN21" s="36"/>
      <c r="DO21" s="36" t="s">
        <v>1077</v>
      </c>
      <c r="DP21" s="1681"/>
      <c r="DQ21" s="1681"/>
      <c r="DR21" s="1681"/>
      <c r="DS21" s="1681"/>
      <c r="DT21" s="1681"/>
      <c r="DU21" s="1681"/>
      <c r="DV21" s="1681"/>
      <c r="DW21" s="1681">
        <v>1</v>
      </c>
      <c r="DX21" s="1681">
        <v>0</v>
      </c>
      <c r="DY21" s="1681">
        <v>0</v>
      </c>
      <c r="DZ21" s="1681">
        <v>0</v>
      </c>
      <c r="EA21" s="1681">
        <v>0</v>
      </c>
      <c r="EB21" s="1681"/>
      <c r="EC21" s="1681">
        <v>0</v>
      </c>
      <c r="ED21" s="1681">
        <v>0</v>
      </c>
      <c r="EE21" s="95"/>
      <c r="EF21" s="95"/>
      <c r="EG21" s="95">
        <v>1</v>
      </c>
      <c r="EH21" s="36"/>
      <c r="EK21" s="95" t="s">
        <v>103</v>
      </c>
      <c r="EL21" s="36" t="s">
        <v>104</v>
      </c>
      <c r="EM21" s="36" t="s">
        <v>1163</v>
      </c>
      <c r="EN21" s="1490"/>
      <c r="EO21" s="1490"/>
      <c r="EP21" s="1490"/>
      <c r="EQ21" s="1490"/>
      <c r="ER21" s="1490"/>
      <c r="ES21" s="1490"/>
      <c r="ET21" s="1490">
        <v>1</v>
      </c>
      <c r="EU21" s="1490"/>
      <c r="EV21" s="1490"/>
      <c r="EW21" s="1490">
        <v>1</v>
      </c>
      <c r="EX21" s="1490"/>
      <c r="EY21" s="1490"/>
      <c r="EZ21" s="1490"/>
      <c r="FA21" s="1490"/>
      <c r="FB21" s="1490"/>
      <c r="FC21" s="36"/>
      <c r="FD21" s="36"/>
      <c r="FE21" s="36">
        <v>2</v>
      </c>
      <c r="FF21" s="36"/>
      <c r="FH21" s="1225"/>
      <c r="FI21" s="1225"/>
      <c r="FJ21" s="1225"/>
      <c r="FK21" s="1226" t="s">
        <v>1163</v>
      </c>
      <c r="FL21" s="1227"/>
      <c r="FM21" s="1227"/>
      <c r="FN21" s="1227"/>
      <c r="FO21" s="1227"/>
      <c r="FP21" s="1227"/>
      <c r="FQ21" s="1227"/>
      <c r="FR21" s="1227"/>
      <c r="FS21" s="1227"/>
      <c r="FT21" s="1227"/>
      <c r="FU21" s="1227"/>
      <c r="FV21" s="1228">
        <v>1</v>
      </c>
      <c r="FW21" s="1228">
        <v>0</v>
      </c>
      <c r="FX21" s="1228">
        <v>0</v>
      </c>
      <c r="FY21" s="1229"/>
      <c r="FZ21" s="1229"/>
      <c r="GA21" s="1230">
        <v>1</v>
      </c>
      <c r="GB21" s="36"/>
      <c r="GD21" s="603"/>
      <c r="GE21" s="603"/>
      <c r="GF21" s="603" t="s">
        <v>483</v>
      </c>
      <c r="GG21" s="604" t="s">
        <v>1072</v>
      </c>
      <c r="GH21" s="605"/>
      <c r="GI21" s="606">
        <v>1</v>
      </c>
      <c r="GJ21" s="606">
        <v>0</v>
      </c>
      <c r="GK21" s="605"/>
      <c r="GL21" s="605"/>
      <c r="GM21" s="605"/>
      <c r="GN21" s="605"/>
      <c r="GO21" s="606">
        <v>1</v>
      </c>
      <c r="GP21" s="605"/>
      <c r="GQ21" s="606">
        <v>2</v>
      </c>
      <c r="GR21" s="606">
        <v>2</v>
      </c>
      <c r="GS21" s="606">
        <v>0</v>
      </c>
      <c r="GT21" s="606">
        <v>1</v>
      </c>
      <c r="GU21" s="606">
        <v>1</v>
      </c>
      <c r="GV21" s="605"/>
      <c r="GW21" s="607"/>
      <c r="GX21" s="607"/>
      <c r="GY21" s="608">
        <v>8</v>
      </c>
      <c r="GZ21" s="95"/>
      <c r="HB21" s="441"/>
      <c r="HC21" s="441"/>
      <c r="HD21" s="441"/>
      <c r="HE21" s="36"/>
      <c r="HF21" s="462" t="s">
        <v>15</v>
      </c>
      <c r="HG21" s="618"/>
      <c r="HH21" s="618"/>
      <c r="HI21" s="618"/>
      <c r="HJ21" s="618"/>
      <c r="HK21" s="618"/>
      <c r="HL21" s="618"/>
      <c r="HM21" s="619">
        <v>1</v>
      </c>
      <c r="HN21" s="618"/>
      <c r="HO21" s="619">
        <v>1</v>
      </c>
      <c r="HP21" s="618"/>
      <c r="HQ21" s="618"/>
      <c r="HR21" s="618"/>
      <c r="HS21" s="619">
        <v>2</v>
      </c>
      <c r="HT21" s="619">
        <v>2</v>
      </c>
      <c r="HU21" s="618"/>
      <c r="HV21" s="620"/>
      <c r="HW21" s="620"/>
      <c r="HX21" s="621">
        <v>6</v>
      </c>
      <c r="HY21" s="560">
        <v>0</v>
      </c>
      <c r="HZ21" s="36"/>
      <c r="IA21" s="613"/>
      <c r="IB21" s="613"/>
      <c r="IC21" s="36"/>
      <c r="ID21" s="36"/>
      <c r="IE21" s="36"/>
      <c r="IF21" s="36"/>
      <c r="IG21" s="36"/>
      <c r="IH21" s="36"/>
      <c r="II21" s="36"/>
      <c r="IJ21" s="36"/>
      <c r="IK21" s="36"/>
      <c r="IL21" s="36"/>
      <c r="IM21" s="36"/>
      <c r="IN21" s="36"/>
      <c r="IO21" s="36"/>
      <c r="IP21" s="36"/>
      <c r="IQ21" s="36"/>
      <c r="IR21" s="36"/>
      <c r="IS21" s="36"/>
      <c r="IT21" s="36"/>
      <c r="IU21" s="36"/>
      <c r="IV21" s="95"/>
      <c r="IW21" s="95"/>
      <c r="IX21" s="36"/>
      <c r="IY21" s="393" t="s">
        <v>15</v>
      </c>
      <c r="IZ21" s="86"/>
      <c r="JA21" s="86"/>
      <c r="JB21" s="86"/>
      <c r="JC21" s="86"/>
      <c r="JD21" s="86"/>
      <c r="JE21" s="86"/>
      <c r="JF21" s="86"/>
      <c r="JG21" s="86"/>
      <c r="JH21" s="86">
        <v>6</v>
      </c>
      <c r="JI21" s="86">
        <v>6</v>
      </c>
      <c r="JJ21" s="86">
        <v>1</v>
      </c>
      <c r="JK21" s="86"/>
      <c r="JL21" s="86"/>
      <c r="JM21" s="86"/>
      <c r="JN21" s="86"/>
      <c r="JO21" s="86"/>
      <c r="JP21" s="86">
        <v>13</v>
      </c>
      <c r="JQ21" s="631">
        <f>+(JP19+JP20)/JP21</f>
        <v>0.15384615384615385</v>
      </c>
      <c r="JR21" s="36"/>
      <c r="JS21" s="616" t="s">
        <v>25</v>
      </c>
      <c r="JT21" s="616" t="s">
        <v>4</v>
      </c>
      <c r="JU21" s="616" t="s">
        <v>119</v>
      </c>
      <c r="JV21" s="616" t="s">
        <v>1080</v>
      </c>
      <c r="JW21" s="616">
        <v>0</v>
      </c>
      <c r="JX21" s="616">
        <v>0</v>
      </c>
      <c r="JY21" s="616">
        <v>0</v>
      </c>
      <c r="JZ21" s="616">
        <v>0</v>
      </c>
      <c r="KA21" s="616">
        <v>0</v>
      </c>
      <c r="KB21" s="616">
        <v>0</v>
      </c>
      <c r="KC21" s="616">
        <v>0</v>
      </c>
      <c r="KD21" s="616">
        <v>0</v>
      </c>
      <c r="KE21" s="616">
        <v>0</v>
      </c>
      <c r="KF21" s="616">
        <v>0</v>
      </c>
      <c r="KG21" s="616">
        <v>0</v>
      </c>
      <c r="KH21" s="616">
        <v>0</v>
      </c>
      <c r="KI21" s="616">
        <v>1</v>
      </c>
      <c r="KJ21" s="616">
        <v>0</v>
      </c>
      <c r="KK21" s="616">
        <v>2</v>
      </c>
      <c r="KL21" s="616">
        <v>0</v>
      </c>
      <c r="KM21" s="616">
        <v>3</v>
      </c>
      <c r="KN21" s="616"/>
      <c r="KO21" s="617"/>
    </row>
    <row r="22" spans="1:301">
      <c r="A22" s="5737"/>
      <c r="B22" s="5737"/>
      <c r="C22" s="5736"/>
      <c r="D22" s="5738" t="s">
        <v>2754</v>
      </c>
      <c r="E22" s="5751">
        <f>SUM(E7,E9,E15,E19)</f>
        <v>4</v>
      </c>
      <c r="F22" s="5737"/>
      <c r="I22" s="4726"/>
      <c r="J22" s="4726"/>
      <c r="K22" s="4725"/>
      <c r="L22" s="4725"/>
      <c r="M22" s="4975">
        <f>SUM(M18:M21)</f>
        <v>4</v>
      </c>
      <c r="N22" s="4726"/>
      <c r="O22" s="4476">
        <f>+(M19)/(M22)</f>
        <v>0.25</v>
      </c>
      <c r="Q22" s="4458"/>
      <c r="R22" s="4458"/>
      <c r="S22" s="4465" t="s">
        <v>15</v>
      </c>
      <c r="T22" s="4464"/>
      <c r="U22" s="4465"/>
      <c r="V22" s="4480">
        <v>11</v>
      </c>
      <c r="W22" s="4476">
        <f>+(V17+V19+V20+V21)/(V22)</f>
        <v>0.36363636363636365</v>
      </c>
      <c r="X22" s="4467">
        <v>9</v>
      </c>
      <c r="Y22" s="4467"/>
      <c r="Z22" s="36"/>
      <c r="AA22" s="36"/>
      <c r="AB22" s="36"/>
      <c r="AC22" s="36" t="s">
        <v>1080</v>
      </c>
      <c r="AD22" s="615"/>
      <c r="AE22" s="615">
        <v>0</v>
      </c>
      <c r="AF22" s="615"/>
      <c r="AG22" s="615">
        <v>0</v>
      </c>
      <c r="AH22" s="615"/>
      <c r="AI22" s="615">
        <v>0</v>
      </c>
      <c r="AJ22" s="615">
        <v>0</v>
      </c>
      <c r="AK22" s="615">
        <v>0</v>
      </c>
      <c r="AL22" s="615">
        <v>0</v>
      </c>
      <c r="AM22" s="615">
        <v>0</v>
      </c>
      <c r="AN22" s="615">
        <v>0</v>
      </c>
      <c r="AO22" s="615">
        <v>1</v>
      </c>
      <c r="AP22" s="615">
        <v>1</v>
      </c>
      <c r="AQ22" s="36">
        <v>1</v>
      </c>
      <c r="AR22" s="36">
        <v>3</v>
      </c>
      <c r="AS22" s="36"/>
      <c r="AU22" s="36"/>
      <c r="AV22" s="36"/>
      <c r="AW22" s="393"/>
      <c r="AX22" s="393" t="s">
        <v>1074</v>
      </c>
      <c r="AY22" s="1682"/>
      <c r="AZ22" s="1682">
        <v>1</v>
      </c>
      <c r="BA22" s="1682"/>
      <c r="BB22" s="1682"/>
      <c r="BC22" s="1682">
        <v>0</v>
      </c>
      <c r="BD22" s="1682">
        <v>0</v>
      </c>
      <c r="BE22" s="1682">
        <v>0</v>
      </c>
      <c r="BF22" s="1682"/>
      <c r="BG22" s="1682"/>
      <c r="BH22" s="1682"/>
      <c r="BI22" s="1682">
        <v>0</v>
      </c>
      <c r="BJ22" s="1682">
        <v>0</v>
      </c>
      <c r="BK22" s="1682">
        <v>0</v>
      </c>
      <c r="BL22" s="1682">
        <v>0</v>
      </c>
      <c r="BM22" s="4455">
        <v>0</v>
      </c>
      <c r="BN22" s="4455"/>
      <c r="BO22" s="4455">
        <v>1</v>
      </c>
      <c r="BP22" s="4455"/>
      <c r="BU22" s="1520" t="s">
        <v>1074</v>
      </c>
      <c r="BV22" s="3872"/>
      <c r="BW22" s="3872">
        <v>1</v>
      </c>
      <c r="BX22" s="3872"/>
      <c r="BY22" s="3872"/>
      <c r="BZ22" s="3872">
        <v>0</v>
      </c>
      <c r="CA22" s="3872">
        <v>0</v>
      </c>
      <c r="CB22" s="3872">
        <v>0</v>
      </c>
      <c r="CC22" s="3872"/>
      <c r="CD22" s="3872"/>
      <c r="CE22" s="3872"/>
      <c r="CF22" s="3872">
        <v>0</v>
      </c>
      <c r="CG22" s="3872">
        <v>0</v>
      </c>
      <c r="CH22" s="3872">
        <v>0</v>
      </c>
      <c r="CI22" s="3872"/>
      <c r="CJ22" s="3806">
        <v>0</v>
      </c>
      <c r="CK22" s="3806">
        <v>1</v>
      </c>
      <c r="CN22" s="36"/>
      <c r="CO22" s="36" t="s">
        <v>16</v>
      </c>
      <c r="CP22" s="36" t="s">
        <v>117</v>
      </c>
      <c r="CQ22" s="36" t="s">
        <v>1072</v>
      </c>
      <c r="CR22" s="615">
        <v>1</v>
      </c>
      <c r="CS22" s="615"/>
      <c r="CT22" s="615"/>
      <c r="CU22" s="615"/>
      <c r="CV22" s="615"/>
      <c r="CW22" s="615"/>
      <c r="CX22" s="615"/>
      <c r="CY22" s="615"/>
      <c r="CZ22" s="615"/>
      <c r="DA22" s="615"/>
      <c r="DB22" s="615">
        <v>0</v>
      </c>
      <c r="DC22" s="615"/>
      <c r="DD22" s="615">
        <v>0</v>
      </c>
      <c r="DE22" s="615">
        <v>3</v>
      </c>
      <c r="DF22" s="615">
        <v>0</v>
      </c>
      <c r="DG22" s="36"/>
      <c r="DH22" s="36"/>
      <c r="DI22" s="36">
        <v>4</v>
      </c>
      <c r="DJ22" s="36"/>
      <c r="DL22" s="36"/>
      <c r="DM22" s="36"/>
      <c r="DN22" s="36"/>
      <c r="DO22" s="36" t="s">
        <v>1080</v>
      </c>
      <c r="DP22" s="1681"/>
      <c r="DQ22" s="1681"/>
      <c r="DR22" s="1681"/>
      <c r="DS22" s="1681"/>
      <c r="DT22" s="1681"/>
      <c r="DU22" s="1681"/>
      <c r="DV22" s="1681"/>
      <c r="DW22" s="1681">
        <v>0</v>
      </c>
      <c r="DX22" s="1681">
        <v>0</v>
      </c>
      <c r="DY22" s="1681">
        <v>0</v>
      </c>
      <c r="DZ22" s="1681">
        <v>0</v>
      </c>
      <c r="EA22" s="1681">
        <v>1</v>
      </c>
      <c r="EB22" s="1681"/>
      <c r="EC22" s="1681">
        <v>0</v>
      </c>
      <c r="ED22" s="1681">
        <v>1</v>
      </c>
      <c r="EE22" s="95"/>
      <c r="EF22" s="95"/>
      <c r="EG22" s="95">
        <v>2</v>
      </c>
      <c r="EH22" s="36"/>
      <c r="EL22" s="36"/>
      <c r="EM22" s="393" t="s">
        <v>15</v>
      </c>
      <c r="EN22" s="1491"/>
      <c r="EO22" s="1491"/>
      <c r="EP22" s="1491"/>
      <c r="EQ22" s="1491"/>
      <c r="ER22" s="1491"/>
      <c r="ES22" s="1491"/>
      <c r="ET22" s="1491">
        <v>1</v>
      </c>
      <c r="EU22" s="1491"/>
      <c r="EV22" s="1491"/>
      <c r="EW22" s="1491">
        <v>1</v>
      </c>
      <c r="EX22" s="1491"/>
      <c r="EY22" s="1491"/>
      <c r="EZ22" s="1491"/>
      <c r="FA22" s="1491"/>
      <c r="FB22" s="1491"/>
      <c r="FC22" s="393"/>
      <c r="FD22" s="393"/>
      <c r="FE22" s="393">
        <v>2</v>
      </c>
      <c r="FF22" s="560">
        <f>+FE21/FE22</f>
        <v>1</v>
      </c>
      <c r="FH22" s="1225"/>
      <c r="FI22" s="1225"/>
      <c r="FJ22" s="1225"/>
      <c r="FK22" s="1222" t="s">
        <v>483</v>
      </c>
      <c r="FL22" s="1231"/>
      <c r="FM22" s="1231"/>
      <c r="FN22" s="1231"/>
      <c r="FO22" s="1231"/>
      <c r="FP22" s="1231"/>
      <c r="FQ22" s="1231"/>
      <c r="FR22" s="1231"/>
      <c r="FS22" s="1231"/>
      <c r="FT22" s="1231"/>
      <c r="FU22" s="1231"/>
      <c r="FV22" s="1232">
        <v>7</v>
      </c>
      <c r="FW22" s="1232">
        <v>2</v>
      </c>
      <c r="FX22" s="1232">
        <v>2</v>
      </c>
      <c r="FY22" s="1233"/>
      <c r="FZ22" s="1233"/>
      <c r="GA22" s="1234">
        <v>11</v>
      </c>
      <c r="GB22" s="1178">
        <f>+(GA20+GA21)/GA22</f>
        <v>0.27272727272727271</v>
      </c>
      <c r="GD22" s="603"/>
      <c r="GE22" s="603"/>
      <c r="GF22" s="603"/>
      <c r="GG22" s="604" t="s">
        <v>1074</v>
      </c>
      <c r="GH22" s="605"/>
      <c r="GI22" s="606">
        <v>0</v>
      </c>
      <c r="GJ22" s="606">
        <v>1</v>
      </c>
      <c r="GK22" s="605"/>
      <c r="GL22" s="605"/>
      <c r="GM22" s="605"/>
      <c r="GN22" s="605"/>
      <c r="GO22" s="606">
        <v>0</v>
      </c>
      <c r="GP22" s="605"/>
      <c r="GQ22" s="606">
        <v>1</v>
      </c>
      <c r="GR22" s="606">
        <v>0</v>
      </c>
      <c r="GS22" s="606">
        <v>0</v>
      </c>
      <c r="GT22" s="606">
        <v>0</v>
      </c>
      <c r="GU22" s="606">
        <v>0</v>
      </c>
      <c r="GV22" s="605"/>
      <c r="GW22" s="607"/>
      <c r="GX22" s="607"/>
      <c r="GY22" s="608">
        <v>2</v>
      </c>
      <c r="GZ22" s="95"/>
      <c r="HB22" s="441"/>
      <c r="HC22" s="441"/>
      <c r="HD22" s="462" t="s">
        <v>483</v>
      </c>
      <c r="HE22" s="441" t="s">
        <v>1070</v>
      </c>
      <c r="HF22" s="442" t="s">
        <v>1072</v>
      </c>
      <c r="HG22" s="609"/>
      <c r="HH22" s="609"/>
      <c r="HI22" s="609"/>
      <c r="HJ22" s="609"/>
      <c r="HK22" s="609"/>
      <c r="HL22" s="609"/>
      <c r="HM22" s="610">
        <v>1</v>
      </c>
      <c r="HN22" s="609"/>
      <c r="HO22" s="610">
        <v>0</v>
      </c>
      <c r="HP22" s="609"/>
      <c r="HQ22" s="609"/>
      <c r="HR22" s="609"/>
      <c r="HS22" s="610">
        <v>0</v>
      </c>
      <c r="HT22" s="610">
        <v>0</v>
      </c>
      <c r="HU22" s="609"/>
      <c r="HV22" s="611"/>
      <c r="HW22" s="611"/>
      <c r="HX22" s="612">
        <v>1</v>
      </c>
      <c r="HY22" s="560"/>
      <c r="HZ22" s="36"/>
      <c r="IA22" s="613"/>
      <c r="IB22" s="613"/>
      <c r="IC22" s="36"/>
      <c r="ID22" s="36"/>
      <c r="IE22" s="36"/>
      <c r="IF22" s="36"/>
      <c r="IG22" s="36"/>
      <c r="IH22" s="36"/>
      <c r="II22" s="36"/>
      <c r="IJ22" s="36"/>
      <c r="IK22" s="36"/>
      <c r="IL22" s="36"/>
      <c r="IM22" s="36"/>
      <c r="IN22" s="36"/>
      <c r="IO22" s="36"/>
      <c r="IP22" s="36"/>
      <c r="IQ22" s="36"/>
      <c r="IR22" s="36"/>
      <c r="IS22" s="36"/>
      <c r="IT22" s="36"/>
      <c r="IU22" s="36"/>
      <c r="IV22" s="95"/>
      <c r="IW22" s="95"/>
      <c r="IX22" s="36" t="s">
        <v>118</v>
      </c>
      <c r="IY22" s="36" t="s">
        <v>1072</v>
      </c>
      <c r="IZ22" s="95">
        <v>2</v>
      </c>
      <c r="JA22" s="95"/>
      <c r="JB22" s="95"/>
      <c r="JC22" s="95"/>
      <c r="JD22" s="95"/>
      <c r="JE22" s="95"/>
      <c r="JF22" s="95">
        <v>0</v>
      </c>
      <c r="JG22" s="95">
        <v>1</v>
      </c>
      <c r="JH22" s="95">
        <v>6</v>
      </c>
      <c r="JI22" s="95"/>
      <c r="JJ22" s="95"/>
      <c r="JK22" s="95"/>
      <c r="JL22" s="95"/>
      <c r="JM22" s="95"/>
      <c r="JN22" s="95"/>
      <c r="JO22" s="95"/>
      <c r="JP22" s="95">
        <v>9</v>
      </c>
      <c r="JQ22" s="36"/>
      <c r="JR22" s="36"/>
      <c r="JS22" s="616"/>
      <c r="JT22" s="616"/>
      <c r="JU22" s="616"/>
      <c r="JV22" s="627" t="s">
        <v>15</v>
      </c>
      <c r="JW22" s="627">
        <v>0</v>
      </c>
      <c r="JX22" s="627">
        <v>0</v>
      </c>
      <c r="JY22" s="627">
        <v>0</v>
      </c>
      <c r="JZ22" s="627">
        <v>0</v>
      </c>
      <c r="KA22" s="627">
        <v>0</v>
      </c>
      <c r="KB22" s="627">
        <v>0</v>
      </c>
      <c r="KC22" s="627">
        <v>0</v>
      </c>
      <c r="KD22" s="627">
        <v>0</v>
      </c>
      <c r="KE22" s="627">
        <v>0</v>
      </c>
      <c r="KF22" s="627">
        <v>0</v>
      </c>
      <c r="KG22" s="627">
        <v>0</v>
      </c>
      <c r="KH22" s="627">
        <v>0</v>
      </c>
      <c r="KI22" s="627">
        <v>1</v>
      </c>
      <c r="KJ22" s="627">
        <v>0</v>
      </c>
      <c r="KK22" s="627">
        <v>2</v>
      </c>
      <c r="KL22" s="627">
        <v>0</v>
      </c>
      <c r="KM22" s="627">
        <v>3</v>
      </c>
      <c r="KN22" s="628">
        <f>0/KM22</f>
        <v>0</v>
      </c>
      <c r="KO22" s="617">
        <v>0</v>
      </c>
    </row>
    <row r="23" spans="1:301">
      <c r="A23" s="5737"/>
      <c r="B23" s="5737"/>
      <c r="C23" s="5742" t="s">
        <v>4</v>
      </c>
      <c r="D23" s="5736"/>
      <c r="E23" s="5742">
        <f>SUM(E21,E16,E13)</f>
        <v>12</v>
      </c>
      <c r="F23" s="5768"/>
      <c r="G23" s="4452">
        <f>+(E22)/(E23)</f>
        <v>0.33333333333333331</v>
      </c>
      <c r="I23" s="4726"/>
      <c r="J23" s="4726"/>
      <c r="K23" s="4725"/>
      <c r="L23" s="4725"/>
      <c r="M23" s="4976">
        <f>SUM(M9,M11,M19)</f>
        <v>3</v>
      </c>
      <c r="N23" s="4726"/>
      <c r="Q23" s="4458"/>
      <c r="R23" s="4458"/>
      <c r="S23" s="4463"/>
      <c r="T23" s="4464"/>
      <c r="U23" s="4465"/>
      <c r="V23" s="4481">
        <v>5</v>
      </c>
      <c r="W23" s="4510"/>
      <c r="X23" s="4467"/>
      <c r="Y23" s="4467"/>
      <c r="Z23" s="36"/>
      <c r="AA23" s="36"/>
      <c r="AB23" s="36"/>
      <c r="AC23" s="36" t="s">
        <v>1081</v>
      </c>
      <c r="AD23" s="615"/>
      <c r="AE23" s="615">
        <v>0</v>
      </c>
      <c r="AF23" s="615"/>
      <c r="AG23" s="615">
        <v>0</v>
      </c>
      <c r="AH23" s="615"/>
      <c r="AI23" s="615">
        <v>0</v>
      </c>
      <c r="AJ23" s="615">
        <v>0</v>
      </c>
      <c r="AK23" s="615">
        <v>0</v>
      </c>
      <c r="AL23" s="615">
        <v>0</v>
      </c>
      <c r="AM23" s="615">
        <v>2</v>
      </c>
      <c r="AN23" s="615">
        <v>0</v>
      </c>
      <c r="AO23" s="615">
        <v>0</v>
      </c>
      <c r="AP23" s="615">
        <v>0</v>
      </c>
      <c r="AQ23" s="36">
        <v>0</v>
      </c>
      <c r="AR23" s="36">
        <v>2</v>
      </c>
      <c r="AS23" s="36"/>
      <c r="AU23" s="36"/>
      <c r="AV23" s="36"/>
      <c r="AW23" s="393"/>
      <c r="AX23" s="393" t="s">
        <v>1080</v>
      </c>
      <c r="AY23" s="1682"/>
      <c r="AZ23" s="1682">
        <v>0</v>
      </c>
      <c r="BA23" s="1682"/>
      <c r="BB23" s="1682"/>
      <c r="BC23" s="1682">
        <v>0</v>
      </c>
      <c r="BD23" s="1682">
        <v>0</v>
      </c>
      <c r="BE23" s="1682">
        <v>0</v>
      </c>
      <c r="BF23" s="1682"/>
      <c r="BG23" s="1682"/>
      <c r="BH23" s="1682"/>
      <c r="BI23" s="1682">
        <v>0</v>
      </c>
      <c r="BJ23" s="1682">
        <v>0</v>
      </c>
      <c r="BK23" s="1682">
        <v>1</v>
      </c>
      <c r="BL23" s="1682">
        <v>4</v>
      </c>
      <c r="BM23" s="4455">
        <v>1</v>
      </c>
      <c r="BN23" s="4455"/>
      <c r="BO23" s="4455">
        <v>6</v>
      </c>
      <c r="BP23" s="4455"/>
      <c r="BU23" s="1520" t="s">
        <v>1076</v>
      </c>
      <c r="BV23" s="3872"/>
      <c r="BW23" s="3872">
        <v>0</v>
      </c>
      <c r="BX23" s="3872"/>
      <c r="BY23" s="3872"/>
      <c r="BZ23" s="3872">
        <v>0</v>
      </c>
      <c r="CA23" s="3872">
        <v>0</v>
      </c>
      <c r="CB23" s="3872">
        <v>0</v>
      </c>
      <c r="CC23" s="3872"/>
      <c r="CD23" s="3872"/>
      <c r="CE23" s="3872"/>
      <c r="CF23" s="3872">
        <v>0</v>
      </c>
      <c r="CG23" s="3872">
        <v>1</v>
      </c>
      <c r="CH23" s="3872">
        <v>0</v>
      </c>
      <c r="CI23" s="3872"/>
      <c r="CJ23" s="3806">
        <v>0</v>
      </c>
      <c r="CK23" s="3806">
        <v>1</v>
      </c>
      <c r="CN23" s="36"/>
      <c r="CO23" s="36"/>
      <c r="CP23" s="36"/>
      <c r="CQ23" s="36" t="s">
        <v>1080</v>
      </c>
      <c r="CR23" s="615">
        <v>0</v>
      </c>
      <c r="CS23" s="615"/>
      <c r="CT23" s="615"/>
      <c r="CU23" s="615"/>
      <c r="CV23" s="615"/>
      <c r="CW23" s="615"/>
      <c r="CX23" s="615"/>
      <c r="CY23" s="615"/>
      <c r="CZ23" s="615"/>
      <c r="DA23" s="615"/>
      <c r="DB23" s="615">
        <v>0</v>
      </c>
      <c r="DC23" s="615"/>
      <c r="DD23" s="615">
        <v>0</v>
      </c>
      <c r="DE23" s="615">
        <v>0</v>
      </c>
      <c r="DF23" s="615">
        <v>6</v>
      </c>
      <c r="DG23" s="36"/>
      <c r="DH23" s="36"/>
      <c r="DI23" s="36">
        <v>6</v>
      </c>
      <c r="DJ23" s="36"/>
      <c r="DL23" s="36"/>
      <c r="DM23" s="36"/>
      <c r="DN23" s="36"/>
      <c r="DO23" s="36" t="s">
        <v>1163</v>
      </c>
      <c r="DP23" s="1681"/>
      <c r="DQ23" s="1681"/>
      <c r="DR23" s="1681"/>
      <c r="DS23" s="1681"/>
      <c r="DT23" s="1681"/>
      <c r="DU23" s="1681"/>
      <c r="DV23" s="1681"/>
      <c r="DW23" s="1681">
        <v>0</v>
      </c>
      <c r="DX23" s="1681">
        <v>1</v>
      </c>
      <c r="DY23" s="1681">
        <v>0</v>
      </c>
      <c r="DZ23" s="1681">
        <v>2</v>
      </c>
      <c r="EA23" s="1681">
        <v>0</v>
      </c>
      <c r="EB23" s="1681"/>
      <c r="EC23" s="1681">
        <v>0</v>
      </c>
      <c r="ED23" s="1681">
        <v>0</v>
      </c>
      <c r="EE23" s="95"/>
      <c r="EF23" s="95"/>
      <c r="EG23" s="95">
        <v>3</v>
      </c>
      <c r="EH23" s="36"/>
      <c r="EL23" s="36" t="s">
        <v>1455</v>
      </c>
      <c r="EM23" s="36" t="s">
        <v>1163</v>
      </c>
      <c r="EN23" s="1490"/>
      <c r="EO23" s="1490"/>
      <c r="EP23" s="1490"/>
      <c r="EQ23" s="1490"/>
      <c r="ER23" s="1490"/>
      <c r="ES23" s="1490"/>
      <c r="ET23" s="1490"/>
      <c r="EU23" s="1490"/>
      <c r="EV23" s="1490"/>
      <c r="EW23" s="1490">
        <v>1</v>
      </c>
      <c r="EX23" s="1490"/>
      <c r="EY23" s="1490"/>
      <c r="EZ23" s="1490"/>
      <c r="FA23" s="1490"/>
      <c r="FB23" s="1490"/>
      <c r="FC23" s="36"/>
      <c r="FD23" s="36"/>
      <c r="FE23" s="36">
        <v>1</v>
      </c>
      <c r="FF23" s="36"/>
      <c r="FH23" s="1225"/>
      <c r="FI23" s="1225" t="s">
        <v>103</v>
      </c>
      <c r="FJ23" s="1225" t="s">
        <v>104</v>
      </c>
      <c r="FK23" s="1226" t="s">
        <v>1077</v>
      </c>
      <c r="FL23" s="1227"/>
      <c r="FM23" s="1227"/>
      <c r="FN23" s="1227"/>
      <c r="FO23" s="1227"/>
      <c r="FP23" s="1227"/>
      <c r="FQ23" s="1228">
        <v>3</v>
      </c>
      <c r="FR23" s="1227"/>
      <c r="FS23" s="1227"/>
      <c r="FT23" s="1227"/>
      <c r="FU23" s="1227"/>
      <c r="FV23" s="1227"/>
      <c r="FW23" s="1227"/>
      <c r="FX23" s="1227"/>
      <c r="FY23" s="1229"/>
      <c r="FZ23" s="1229"/>
      <c r="GA23" s="1230">
        <v>3</v>
      </c>
      <c r="GB23" s="36"/>
      <c r="GD23" s="603"/>
      <c r="GE23" s="603"/>
      <c r="GF23" s="603"/>
      <c r="GG23" s="604" t="s">
        <v>1076</v>
      </c>
      <c r="GH23" s="605"/>
      <c r="GI23" s="606">
        <v>0</v>
      </c>
      <c r="GJ23" s="606">
        <v>0</v>
      </c>
      <c r="GK23" s="605"/>
      <c r="GL23" s="605"/>
      <c r="GM23" s="605"/>
      <c r="GN23" s="605"/>
      <c r="GO23" s="606">
        <v>0</v>
      </c>
      <c r="GP23" s="605"/>
      <c r="GQ23" s="606">
        <v>0</v>
      </c>
      <c r="GR23" s="606">
        <v>1</v>
      </c>
      <c r="GS23" s="606">
        <v>0</v>
      </c>
      <c r="GT23" s="606">
        <v>0</v>
      </c>
      <c r="GU23" s="606">
        <v>0</v>
      </c>
      <c r="GV23" s="605"/>
      <c r="GW23" s="607"/>
      <c r="GX23" s="607"/>
      <c r="GY23" s="608">
        <v>1</v>
      </c>
      <c r="GZ23" s="95"/>
      <c r="HB23" s="441"/>
      <c r="HC23" s="441"/>
      <c r="HD23" s="441"/>
      <c r="HE23" s="441"/>
      <c r="HF23" s="442" t="s">
        <v>1077</v>
      </c>
      <c r="HG23" s="609"/>
      <c r="HH23" s="609"/>
      <c r="HI23" s="609"/>
      <c r="HJ23" s="609"/>
      <c r="HK23" s="609"/>
      <c r="HL23" s="609"/>
      <c r="HM23" s="610">
        <v>0</v>
      </c>
      <c r="HN23" s="609"/>
      <c r="HO23" s="610">
        <v>1</v>
      </c>
      <c r="HP23" s="609"/>
      <c r="HQ23" s="609"/>
      <c r="HR23" s="609"/>
      <c r="HS23" s="610">
        <v>0</v>
      </c>
      <c r="HT23" s="610">
        <v>0</v>
      </c>
      <c r="HU23" s="609"/>
      <c r="HV23" s="611"/>
      <c r="HW23" s="611"/>
      <c r="HX23" s="612">
        <v>1</v>
      </c>
      <c r="HY23" s="560"/>
      <c r="HZ23" s="36"/>
      <c r="IA23" s="613"/>
      <c r="IB23" s="613"/>
      <c r="IC23" s="36"/>
      <c r="ID23" s="36"/>
      <c r="IE23" s="36"/>
      <c r="IF23" s="36"/>
      <c r="IG23" s="36"/>
      <c r="IH23" s="36"/>
      <c r="II23" s="36"/>
      <c r="IJ23" s="36"/>
      <c r="IK23" s="36"/>
      <c r="IL23" s="36"/>
      <c r="IM23" s="36"/>
      <c r="IN23" s="36"/>
      <c r="IO23" s="36"/>
      <c r="IP23" s="36"/>
      <c r="IQ23" s="36"/>
      <c r="IR23" s="36"/>
      <c r="IS23" s="36"/>
      <c r="IT23" s="36"/>
      <c r="IU23" s="36"/>
      <c r="IV23" s="95"/>
      <c r="IW23" s="95"/>
      <c r="IX23" s="36"/>
      <c r="IY23" s="36" t="s">
        <v>1076</v>
      </c>
      <c r="IZ23" s="95">
        <v>0</v>
      </c>
      <c r="JA23" s="95"/>
      <c r="JB23" s="95"/>
      <c r="JC23" s="95"/>
      <c r="JD23" s="95"/>
      <c r="JE23" s="95"/>
      <c r="JF23" s="95">
        <v>0</v>
      </c>
      <c r="JG23" s="95">
        <v>0</v>
      </c>
      <c r="JH23" s="95">
        <v>2</v>
      </c>
      <c r="JI23" s="95"/>
      <c r="JJ23" s="95"/>
      <c r="JK23" s="95"/>
      <c r="JL23" s="95"/>
      <c r="JM23" s="95"/>
      <c r="JN23" s="95"/>
      <c r="JO23" s="95"/>
      <c r="JP23" s="95">
        <v>2</v>
      </c>
      <c r="JQ23" s="36"/>
      <c r="JR23" s="36"/>
      <c r="JS23" s="616"/>
      <c r="JT23" s="616"/>
      <c r="JU23" s="616" t="s">
        <v>120</v>
      </c>
      <c r="JV23" s="616" t="s">
        <v>1072</v>
      </c>
      <c r="JW23" s="616">
        <v>0</v>
      </c>
      <c r="JX23" s="616">
        <v>0</v>
      </c>
      <c r="JY23" s="616">
        <v>0</v>
      </c>
      <c r="JZ23" s="616">
        <v>0</v>
      </c>
      <c r="KA23" s="616">
        <v>0</v>
      </c>
      <c r="KB23" s="616">
        <v>0</v>
      </c>
      <c r="KC23" s="616">
        <v>0</v>
      </c>
      <c r="KD23" s="616">
        <v>0</v>
      </c>
      <c r="KE23" s="616">
        <v>0</v>
      </c>
      <c r="KF23" s="616">
        <v>0</v>
      </c>
      <c r="KG23" s="616">
        <v>0</v>
      </c>
      <c r="KH23" s="616">
        <v>0</v>
      </c>
      <c r="KI23" s="616">
        <v>0</v>
      </c>
      <c r="KJ23" s="616">
        <v>1</v>
      </c>
      <c r="KK23" s="616">
        <v>0</v>
      </c>
      <c r="KL23" s="616">
        <v>0</v>
      </c>
      <c r="KM23" s="616">
        <v>1</v>
      </c>
      <c r="KN23" s="616"/>
      <c r="KO23" s="617"/>
    </row>
    <row r="24" spans="1:301">
      <c r="A24" s="5737">
        <v>1</v>
      </c>
      <c r="B24" s="5737">
        <v>2</v>
      </c>
      <c r="C24" s="5736" t="s">
        <v>118</v>
      </c>
      <c r="D24" s="5736" t="s">
        <v>2709</v>
      </c>
      <c r="E24" s="5737">
        <v>2</v>
      </c>
      <c r="F24" s="5737">
        <v>10</v>
      </c>
      <c r="I24" s="4726"/>
      <c r="J24" s="4726"/>
      <c r="K24" s="4971" t="s">
        <v>4</v>
      </c>
      <c r="L24" s="4972"/>
      <c r="M24" s="4974">
        <f>SUM(M22,M17,M15,M13)</f>
        <v>13</v>
      </c>
      <c r="N24" s="4973"/>
      <c r="O24" s="4451">
        <f>+(M23)/(M24)</f>
        <v>0.23076923076923078</v>
      </c>
      <c r="Q24" s="4458"/>
      <c r="R24" s="4474"/>
      <c r="S24" s="4471" t="s">
        <v>482</v>
      </c>
      <c r="T24" s="4472"/>
      <c r="U24" s="4471"/>
      <c r="V24" s="4482">
        <v>17</v>
      </c>
      <c r="W24" s="4451">
        <f>+(V23)/(V24)</f>
        <v>0.29411764705882354</v>
      </c>
      <c r="X24" s="4467">
        <v>10</v>
      </c>
      <c r="Y24" s="4467"/>
      <c r="Z24" s="36"/>
      <c r="AA24" s="36"/>
      <c r="AB24" s="36"/>
      <c r="AC24" s="36" t="s">
        <v>1163</v>
      </c>
      <c r="AD24" s="615"/>
      <c r="AE24" s="615">
        <v>0</v>
      </c>
      <c r="AF24" s="615"/>
      <c r="AG24" s="615">
        <v>0</v>
      </c>
      <c r="AH24" s="615"/>
      <c r="AI24" s="615">
        <v>1</v>
      </c>
      <c r="AJ24" s="615">
        <v>0</v>
      </c>
      <c r="AK24" s="615">
        <v>0</v>
      </c>
      <c r="AL24" s="615">
        <v>1</v>
      </c>
      <c r="AM24" s="615">
        <v>0</v>
      </c>
      <c r="AN24" s="615">
        <v>0</v>
      </c>
      <c r="AO24" s="615">
        <v>0</v>
      </c>
      <c r="AP24" s="615">
        <v>0</v>
      </c>
      <c r="AQ24" s="36">
        <v>0</v>
      </c>
      <c r="AR24" s="36">
        <v>2</v>
      </c>
      <c r="AS24" s="36"/>
      <c r="AW24" s="27"/>
      <c r="AX24" s="27" t="s">
        <v>1081</v>
      </c>
      <c r="AY24" s="3722"/>
      <c r="AZ24" s="3722">
        <v>0</v>
      </c>
      <c r="BA24" s="3722"/>
      <c r="BB24" s="3722"/>
      <c r="BC24" s="3722">
        <v>0</v>
      </c>
      <c r="BD24" s="3722">
        <v>0</v>
      </c>
      <c r="BE24" s="3722">
        <v>0</v>
      </c>
      <c r="BF24" s="3722"/>
      <c r="BG24" s="3722"/>
      <c r="BH24" s="3722"/>
      <c r="BI24" s="3722">
        <v>0</v>
      </c>
      <c r="BJ24" s="3722">
        <v>0</v>
      </c>
      <c r="BK24" s="3722">
        <v>1</v>
      </c>
      <c r="BL24" s="3722">
        <v>0</v>
      </c>
      <c r="BM24" s="3701">
        <v>0</v>
      </c>
      <c r="BN24" s="3701"/>
      <c r="BO24" s="3701">
        <v>1</v>
      </c>
      <c r="BP24" s="3701"/>
      <c r="BU24" s="1520" t="s">
        <v>1080</v>
      </c>
      <c r="BV24" s="3872"/>
      <c r="BW24" s="3872">
        <v>0</v>
      </c>
      <c r="BX24" s="3872"/>
      <c r="BY24" s="3872"/>
      <c r="BZ24" s="3872">
        <v>0</v>
      </c>
      <c r="CA24" s="3872">
        <v>0</v>
      </c>
      <c r="CB24" s="3872">
        <v>0</v>
      </c>
      <c r="CC24" s="3872"/>
      <c r="CD24" s="3872"/>
      <c r="CE24" s="3872"/>
      <c r="CF24" s="3872">
        <v>0</v>
      </c>
      <c r="CG24" s="3872">
        <v>0</v>
      </c>
      <c r="CH24" s="3872">
        <v>5</v>
      </c>
      <c r="CI24" s="3872"/>
      <c r="CJ24" s="3806">
        <v>1</v>
      </c>
      <c r="CK24" s="3806">
        <v>6</v>
      </c>
      <c r="CN24" s="36"/>
      <c r="CO24" s="36"/>
      <c r="CP24" s="36"/>
      <c r="CQ24" s="36" t="s">
        <v>1081</v>
      </c>
      <c r="CR24" s="615">
        <v>0</v>
      </c>
      <c r="CS24" s="615"/>
      <c r="CT24" s="615"/>
      <c r="CU24" s="615"/>
      <c r="CV24" s="615"/>
      <c r="CW24" s="615"/>
      <c r="CX24" s="615"/>
      <c r="CY24" s="615"/>
      <c r="CZ24" s="615"/>
      <c r="DA24" s="615"/>
      <c r="DB24" s="615">
        <v>0</v>
      </c>
      <c r="DC24" s="615"/>
      <c r="DD24" s="615">
        <v>0</v>
      </c>
      <c r="DE24" s="615">
        <v>1</v>
      </c>
      <c r="DF24" s="615">
        <v>0</v>
      </c>
      <c r="DG24" s="36"/>
      <c r="DH24" s="36"/>
      <c r="DI24" s="36">
        <v>1</v>
      </c>
      <c r="DJ24" s="36"/>
      <c r="DL24" s="36"/>
      <c r="DM24" s="36"/>
      <c r="DN24" s="36"/>
      <c r="DO24" s="393" t="s">
        <v>482</v>
      </c>
      <c r="DP24" s="1682"/>
      <c r="DQ24" s="1682"/>
      <c r="DR24" s="1682"/>
      <c r="DS24" s="1682"/>
      <c r="DT24" s="1682"/>
      <c r="DU24" s="1682"/>
      <c r="DV24" s="1682"/>
      <c r="DW24" s="1682">
        <v>1</v>
      </c>
      <c r="DX24" s="1682">
        <v>1</v>
      </c>
      <c r="DY24" s="1682">
        <v>2</v>
      </c>
      <c r="DZ24" s="1682">
        <v>2</v>
      </c>
      <c r="EA24" s="1682">
        <v>3</v>
      </c>
      <c r="EB24" s="1682"/>
      <c r="EC24" s="1682">
        <v>1</v>
      </c>
      <c r="ED24" s="1682">
        <v>1</v>
      </c>
      <c r="EE24" s="86"/>
      <c r="EF24" s="86"/>
      <c r="EG24" s="86">
        <v>11</v>
      </c>
      <c r="EH24" s="560">
        <f>+(EG20+EG23)/EG24</f>
        <v>0.54545454545454541</v>
      </c>
      <c r="EL24" s="36"/>
      <c r="EM24" s="393" t="s">
        <v>15</v>
      </c>
      <c r="EN24" s="1491"/>
      <c r="EO24" s="1491"/>
      <c r="EP24" s="1491"/>
      <c r="EQ24" s="1491"/>
      <c r="ER24" s="1491"/>
      <c r="ES24" s="1491"/>
      <c r="ET24" s="1491"/>
      <c r="EU24" s="1491"/>
      <c r="EV24" s="1491"/>
      <c r="EW24" s="1491">
        <v>1</v>
      </c>
      <c r="EX24" s="1491"/>
      <c r="EY24" s="1491"/>
      <c r="EZ24" s="1491"/>
      <c r="FA24" s="1491"/>
      <c r="FB24" s="1491"/>
      <c r="FC24" s="393"/>
      <c r="FD24" s="393"/>
      <c r="FE24" s="393">
        <v>1</v>
      </c>
      <c r="FF24" s="560">
        <f>+FE23/FE24</f>
        <v>1</v>
      </c>
      <c r="FH24" s="1225"/>
      <c r="FI24" s="1225"/>
      <c r="FJ24" s="1225"/>
      <c r="FK24" s="1222" t="s">
        <v>15</v>
      </c>
      <c r="FL24" s="1231"/>
      <c r="FM24" s="1231"/>
      <c r="FN24" s="1231"/>
      <c r="FO24" s="1231"/>
      <c r="FP24" s="1231"/>
      <c r="FQ24" s="1232">
        <v>3</v>
      </c>
      <c r="FR24" s="1231"/>
      <c r="FS24" s="1231"/>
      <c r="FT24" s="1231"/>
      <c r="FU24" s="1231"/>
      <c r="FV24" s="1231"/>
      <c r="FW24" s="1231"/>
      <c r="FX24" s="1231"/>
      <c r="FY24" s="1233"/>
      <c r="FZ24" s="1233"/>
      <c r="GA24" s="1234">
        <v>3</v>
      </c>
      <c r="GB24" s="1178">
        <v>0</v>
      </c>
      <c r="GD24" s="603"/>
      <c r="GE24" s="603"/>
      <c r="GF24" s="603"/>
      <c r="GG24" s="604" t="s">
        <v>1081</v>
      </c>
      <c r="GH24" s="605"/>
      <c r="GI24" s="606">
        <v>0</v>
      </c>
      <c r="GJ24" s="606">
        <v>0</v>
      </c>
      <c r="GK24" s="605"/>
      <c r="GL24" s="605"/>
      <c r="GM24" s="605"/>
      <c r="GN24" s="605"/>
      <c r="GO24" s="606">
        <v>0</v>
      </c>
      <c r="GP24" s="605"/>
      <c r="GQ24" s="606">
        <v>0</v>
      </c>
      <c r="GR24" s="606">
        <v>1</v>
      </c>
      <c r="GS24" s="606">
        <v>1</v>
      </c>
      <c r="GT24" s="606">
        <v>0</v>
      </c>
      <c r="GU24" s="606">
        <v>0</v>
      </c>
      <c r="GV24" s="605"/>
      <c r="GW24" s="607"/>
      <c r="GX24" s="607"/>
      <c r="GY24" s="608">
        <v>2</v>
      </c>
      <c r="GZ24" s="95"/>
      <c r="HB24" s="441"/>
      <c r="HC24" s="441"/>
      <c r="HD24" s="441"/>
      <c r="HE24" s="441"/>
      <c r="HF24" s="442" t="s">
        <v>1080</v>
      </c>
      <c r="HG24" s="609"/>
      <c r="HH24" s="609"/>
      <c r="HI24" s="609"/>
      <c r="HJ24" s="609"/>
      <c r="HK24" s="609"/>
      <c r="HL24" s="609"/>
      <c r="HM24" s="610">
        <v>0</v>
      </c>
      <c r="HN24" s="609"/>
      <c r="HO24" s="610">
        <v>0</v>
      </c>
      <c r="HP24" s="609"/>
      <c r="HQ24" s="609"/>
      <c r="HR24" s="609"/>
      <c r="HS24" s="610">
        <v>2</v>
      </c>
      <c r="HT24" s="610">
        <v>2</v>
      </c>
      <c r="HU24" s="609"/>
      <c r="HV24" s="611"/>
      <c r="HW24" s="611"/>
      <c r="HX24" s="612">
        <v>4</v>
      </c>
      <c r="HY24" s="560"/>
      <c r="HZ24" s="36"/>
      <c r="IA24" s="613"/>
      <c r="IB24" s="613" t="s">
        <v>103</v>
      </c>
      <c r="IC24" s="613" t="s">
        <v>104</v>
      </c>
      <c r="ID24" s="389" t="s">
        <v>1074</v>
      </c>
      <c r="IE24" s="390">
        <v>1</v>
      </c>
      <c r="IF24" s="614"/>
      <c r="IG24" s="390">
        <v>0</v>
      </c>
      <c r="IH24" s="390">
        <v>0</v>
      </c>
      <c r="II24" s="390">
        <v>0</v>
      </c>
      <c r="IJ24" s="390">
        <v>0</v>
      </c>
      <c r="IK24" s="614"/>
      <c r="IL24" s="614"/>
      <c r="IM24" s="614"/>
      <c r="IN24" s="614"/>
      <c r="IO24" s="390">
        <v>0</v>
      </c>
      <c r="IP24" s="614"/>
      <c r="IQ24" s="614"/>
      <c r="IR24" s="390">
        <v>1</v>
      </c>
      <c r="IS24" s="615"/>
      <c r="IT24" s="36"/>
      <c r="IU24" s="36"/>
      <c r="IV24" s="95"/>
      <c r="IW24" s="95"/>
      <c r="IX24" s="36"/>
      <c r="IY24" s="36" t="s">
        <v>1081</v>
      </c>
      <c r="IZ24" s="95">
        <v>0</v>
      </c>
      <c r="JA24" s="95"/>
      <c r="JB24" s="95"/>
      <c r="JC24" s="95"/>
      <c r="JD24" s="95"/>
      <c r="JE24" s="95"/>
      <c r="JF24" s="95">
        <v>0</v>
      </c>
      <c r="JG24" s="95">
        <v>0</v>
      </c>
      <c r="JH24" s="95">
        <v>2</v>
      </c>
      <c r="JI24" s="95"/>
      <c r="JJ24" s="95"/>
      <c r="JK24" s="95"/>
      <c r="JL24" s="95"/>
      <c r="JM24" s="95"/>
      <c r="JN24" s="95"/>
      <c r="JO24" s="95"/>
      <c r="JP24" s="95">
        <v>2</v>
      </c>
      <c r="JQ24" s="36"/>
      <c r="JR24" s="36"/>
      <c r="JS24" s="616"/>
      <c r="JT24" s="616"/>
      <c r="JU24" s="616"/>
      <c r="JV24" s="616" t="s">
        <v>1080</v>
      </c>
      <c r="JW24" s="616">
        <v>0</v>
      </c>
      <c r="JX24" s="616">
        <v>0</v>
      </c>
      <c r="JY24" s="616">
        <v>0</v>
      </c>
      <c r="JZ24" s="616">
        <v>0</v>
      </c>
      <c r="KA24" s="616">
        <v>0</v>
      </c>
      <c r="KB24" s="616">
        <v>0</v>
      </c>
      <c r="KC24" s="616">
        <v>0</v>
      </c>
      <c r="KD24" s="616">
        <v>0</v>
      </c>
      <c r="KE24" s="616">
        <v>0</v>
      </c>
      <c r="KF24" s="616">
        <v>0</v>
      </c>
      <c r="KG24" s="616">
        <v>0</v>
      </c>
      <c r="KH24" s="616">
        <v>0</v>
      </c>
      <c r="KI24" s="616">
        <v>0</v>
      </c>
      <c r="KJ24" s="616">
        <v>0</v>
      </c>
      <c r="KK24" s="616">
        <v>1</v>
      </c>
      <c r="KL24" s="616">
        <v>1</v>
      </c>
      <c r="KM24" s="616">
        <v>2</v>
      </c>
      <c r="KN24" s="616"/>
      <c r="KO24" s="617"/>
    </row>
    <row r="25" spans="1:301">
      <c r="A25" s="5737">
        <v>1</v>
      </c>
      <c r="B25" s="5737">
        <v>2</v>
      </c>
      <c r="C25" s="5736" t="s">
        <v>118</v>
      </c>
      <c r="D25" s="5736" t="s">
        <v>2709</v>
      </c>
      <c r="E25" s="5737">
        <v>2</v>
      </c>
      <c r="F25" s="5737">
        <v>11</v>
      </c>
      <c r="I25" s="4726">
        <v>1</v>
      </c>
      <c r="J25" s="4726">
        <v>2</v>
      </c>
      <c r="K25" s="4969" t="s">
        <v>118</v>
      </c>
      <c r="L25" s="4969" t="s">
        <v>2709</v>
      </c>
      <c r="M25" s="4970">
        <v>2</v>
      </c>
      <c r="N25" s="4970">
        <v>10</v>
      </c>
      <c r="Q25" s="4458">
        <v>1</v>
      </c>
      <c r="R25" s="4470">
        <v>2</v>
      </c>
      <c r="S25" s="4469" t="s">
        <v>2748</v>
      </c>
      <c r="T25" s="4469" t="s">
        <v>2709</v>
      </c>
      <c r="U25" s="4470">
        <v>12</v>
      </c>
      <c r="V25" s="4483">
        <v>4</v>
      </c>
      <c r="W25" s="4510"/>
      <c r="X25" s="4467"/>
      <c r="Y25" s="4467"/>
      <c r="Z25" s="36"/>
      <c r="AA25" s="36"/>
      <c r="AB25" s="36"/>
      <c r="AC25" s="4236" t="s">
        <v>15</v>
      </c>
      <c r="AD25" s="4236"/>
      <c r="AE25" s="4236">
        <v>2</v>
      </c>
      <c r="AF25" s="4236"/>
      <c r="AG25" s="4236">
        <v>1</v>
      </c>
      <c r="AH25" s="4236"/>
      <c r="AI25" s="4236">
        <v>1</v>
      </c>
      <c r="AJ25" s="4236">
        <v>1</v>
      </c>
      <c r="AK25" s="4236">
        <v>1</v>
      </c>
      <c r="AL25" s="4236">
        <v>1</v>
      </c>
      <c r="AM25" s="4236">
        <v>3</v>
      </c>
      <c r="AN25" s="4236">
        <v>2</v>
      </c>
      <c r="AO25" s="4236">
        <v>2</v>
      </c>
      <c r="AP25" s="4236">
        <v>2</v>
      </c>
      <c r="AQ25" s="4236">
        <v>1</v>
      </c>
      <c r="AR25" s="4236">
        <v>17</v>
      </c>
      <c r="AS25" s="4243">
        <f>+(AM23+AI24+AL24)/AR25</f>
        <v>0.23529411764705882</v>
      </c>
      <c r="AU25" s="36"/>
      <c r="AV25" s="36"/>
      <c r="AW25" s="393"/>
      <c r="AX25" s="393" t="s">
        <v>1163</v>
      </c>
      <c r="AY25" s="1682"/>
      <c r="AZ25" s="1682">
        <v>0</v>
      </c>
      <c r="BA25" s="1682"/>
      <c r="BB25" s="1682"/>
      <c r="BC25" s="1682">
        <v>0</v>
      </c>
      <c r="BD25" s="1682">
        <v>0</v>
      </c>
      <c r="BE25" s="1682">
        <v>0</v>
      </c>
      <c r="BF25" s="1682"/>
      <c r="BG25" s="1682"/>
      <c r="BH25" s="1682"/>
      <c r="BI25" s="1682">
        <v>1</v>
      </c>
      <c r="BJ25" s="1682">
        <v>1</v>
      </c>
      <c r="BK25" s="1682">
        <v>0</v>
      </c>
      <c r="BL25" s="1682">
        <v>0</v>
      </c>
      <c r="BM25" s="4455">
        <v>0</v>
      </c>
      <c r="BN25" s="4455"/>
      <c r="BO25" s="4455">
        <v>2</v>
      </c>
      <c r="BP25" s="4455"/>
      <c r="BU25" s="1520" t="s">
        <v>1081</v>
      </c>
      <c r="BV25" s="3872"/>
      <c r="BW25" s="3872">
        <v>0</v>
      </c>
      <c r="BX25" s="3872"/>
      <c r="BY25" s="3872"/>
      <c r="BZ25" s="3872">
        <v>0</v>
      </c>
      <c r="CA25" s="3872">
        <v>0</v>
      </c>
      <c r="CB25" s="3872">
        <v>0</v>
      </c>
      <c r="CC25" s="3872"/>
      <c r="CD25" s="3872"/>
      <c r="CE25" s="3872"/>
      <c r="CF25" s="3872">
        <v>0</v>
      </c>
      <c r="CG25" s="3872">
        <v>0</v>
      </c>
      <c r="CH25" s="3872">
        <v>1</v>
      </c>
      <c r="CI25" s="3872"/>
      <c r="CJ25" s="3806">
        <v>0</v>
      </c>
      <c r="CK25" s="3806">
        <v>1</v>
      </c>
      <c r="CN25" s="36"/>
      <c r="CO25" s="36"/>
      <c r="CP25" s="36"/>
      <c r="CQ25" s="36" t="s">
        <v>1163</v>
      </c>
      <c r="CR25" s="615">
        <v>0</v>
      </c>
      <c r="CS25" s="615"/>
      <c r="CT25" s="615"/>
      <c r="CU25" s="615"/>
      <c r="CV25" s="615"/>
      <c r="CW25" s="615"/>
      <c r="CX25" s="615"/>
      <c r="CY25" s="615"/>
      <c r="CZ25" s="615"/>
      <c r="DA25" s="615"/>
      <c r="DB25" s="615">
        <v>1</v>
      </c>
      <c r="DC25" s="615"/>
      <c r="DD25" s="615">
        <v>1</v>
      </c>
      <c r="DE25" s="615">
        <v>0</v>
      </c>
      <c r="DF25" s="615">
        <v>0</v>
      </c>
      <c r="DG25" s="36"/>
      <c r="DH25" s="36"/>
      <c r="DI25" s="36">
        <v>2</v>
      </c>
      <c r="DJ25" s="36"/>
      <c r="DL25" s="36"/>
      <c r="DM25" s="36" t="s">
        <v>16</v>
      </c>
      <c r="DN25" s="36" t="s">
        <v>118</v>
      </c>
      <c r="DO25" s="36" t="s">
        <v>1072</v>
      </c>
      <c r="DP25" s="1681"/>
      <c r="DQ25" s="1681"/>
      <c r="DR25" s="1681">
        <v>1</v>
      </c>
      <c r="DS25" s="1681"/>
      <c r="DT25" s="1681"/>
      <c r="DU25" s="1681"/>
      <c r="DV25" s="1681"/>
      <c r="DW25" s="1681"/>
      <c r="DX25" s="1681"/>
      <c r="DY25" s="1681">
        <v>0</v>
      </c>
      <c r="DZ25" s="1681"/>
      <c r="EA25" s="1681">
        <v>0</v>
      </c>
      <c r="EB25" s="1681">
        <v>1</v>
      </c>
      <c r="EC25" s="1681">
        <v>1</v>
      </c>
      <c r="ED25" s="1681">
        <v>0</v>
      </c>
      <c r="EE25" s="95"/>
      <c r="EF25" s="95"/>
      <c r="EG25" s="95">
        <v>3</v>
      </c>
      <c r="EH25" s="36"/>
      <c r="EL25" s="36" t="s">
        <v>1456</v>
      </c>
      <c r="EM25" s="36" t="s">
        <v>1072</v>
      </c>
      <c r="EN25" s="1490"/>
      <c r="EO25" s="1490"/>
      <c r="EP25" s="1490"/>
      <c r="EQ25" s="1490"/>
      <c r="ER25" s="1490"/>
      <c r="ES25" s="1490"/>
      <c r="ET25" s="1490">
        <v>1</v>
      </c>
      <c r="EU25" s="1490">
        <v>0</v>
      </c>
      <c r="EV25" s="1490"/>
      <c r="EW25" s="1490"/>
      <c r="EX25" s="1490"/>
      <c r="EY25" s="1490"/>
      <c r="EZ25" s="1490"/>
      <c r="FA25" s="1490"/>
      <c r="FB25" s="1490"/>
      <c r="FC25" s="36"/>
      <c r="FD25" s="36"/>
      <c r="FE25" s="36">
        <v>1</v>
      </c>
      <c r="FF25" s="36"/>
      <c r="FH25" s="1225"/>
      <c r="FI25" s="1225"/>
      <c r="FJ25" s="1225" t="s">
        <v>726</v>
      </c>
      <c r="FK25" s="1226" t="s">
        <v>1077</v>
      </c>
      <c r="FL25" s="1227"/>
      <c r="FM25" s="1227"/>
      <c r="FN25" s="1227"/>
      <c r="FO25" s="1227"/>
      <c r="FP25" s="1227"/>
      <c r="FQ25" s="1228">
        <v>3</v>
      </c>
      <c r="FR25" s="1227"/>
      <c r="FS25" s="1227"/>
      <c r="FT25" s="1227"/>
      <c r="FU25" s="1227"/>
      <c r="FV25" s="1227"/>
      <c r="FW25" s="1227"/>
      <c r="FX25" s="1227"/>
      <c r="FY25" s="1229"/>
      <c r="FZ25" s="1229"/>
      <c r="GA25" s="1230">
        <v>3</v>
      </c>
      <c r="GB25" s="36"/>
      <c r="GD25" s="603"/>
      <c r="GE25" s="603"/>
      <c r="GF25" s="603"/>
      <c r="GG25" s="604" t="s">
        <v>1163</v>
      </c>
      <c r="GH25" s="605"/>
      <c r="GI25" s="606">
        <v>0</v>
      </c>
      <c r="GJ25" s="606">
        <v>0</v>
      </c>
      <c r="GK25" s="605"/>
      <c r="GL25" s="605"/>
      <c r="GM25" s="605"/>
      <c r="GN25" s="605"/>
      <c r="GO25" s="606">
        <v>0</v>
      </c>
      <c r="GP25" s="605"/>
      <c r="GQ25" s="606">
        <v>4</v>
      </c>
      <c r="GR25" s="606">
        <v>2</v>
      </c>
      <c r="GS25" s="606">
        <v>1</v>
      </c>
      <c r="GT25" s="606">
        <v>0</v>
      </c>
      <c r="GU25" s="606">
        <v>0</v>
      </c>
      <c r="GV25" s="605"/>
      <c r="GW25" s="607"/>
      <c r="GX25" s="607"/>
      <c r="GY25" s="608">
        <v>7</v>
      </c>
      <c r="GZ25" s="95"/>
      <c r="HB25" s="441"/>
      <c r="HC25" s="441"/>
      <c r="HD25" s="441"/>
      <c r="HE25" s="36"/>
      <c r="HF25" s="462" t="s">
        <v>483</v>
      </c>
      <c r="HG25" s="618"/>
      <c r="HH25" s="618"/>
      <c r="HI25" s="618"/>
      <c r="HJ25" s="618"/>
      <c r="HK25" s="618"/>
      <c r="HL25" s="618"/>
      <c r="HM25" s="619">
        <v>1</v>
      </c>
      <c r="HN25" s="618"/>
      <c r="HO25" s="619">
        <v>1</v>
      </c>
      <c r="HP25" s="618"/>
      <c r="HQ25" s="618"/>
      <c r="HR25" s="618"/>
      <c r="HS25" s="619">
        <v>2</v>
      </c>
      <c r="HT25" s="619">
        <v>2</v>
      </c>
      <c r="HU25" s="618"/>
      <c r="HV25" s="620"/>
      <c r="HW25" s="620"/>
      <c r="HX25" s="621">
        <v>6</v>
      </c>
      <c r="HY25" s="560">
        <v>0</v>
      </c>
      <c r="HZ25" s="36"/>
      <c r="IA25" s="613"/>
      <c r="IB25" s="613"/>
      <c r="IC25" s="613"/>
      <c r="ID25" s="389" t="s">
        <v>1077</v>
      </c>
      <c r="IE25" s="390">
        <v>0</v>
      </c>
      <c r="IF25" s="614"/>
      <c r="IG25" s="390">
        <v>6</v>
      </c>
      <c r="IH25" s="390">
        <v>2</v>
      </c>
      <c r="II25" s="390">
        <v>2</v>
      </c>
      <c r="IJ25" s="390">
        <v>0</v>
      </c>
      <c r="IK25" s="614"/>
      <c r="IL25" s="614"/>
      <c r="IM25" s="614"/>
      <c r="IN25" s="614"/>
      <c r="IO25" s="390">
        <v>0</v>
      </c>
      <c r="IP25" s="614"/>
      <c r="IQ25" s="614"/>
      <c r="IR25" s="390">
        <v>10</v>
      </c>
      <c r="IS25" s="615"/>
      <c r="IT25" s="36"/>
      <c r="IU25" s="36"/>
      <c r="IV25" s="95"/>
      <c r="IW25" s="95"/>
      <c r="IX25" s="36"/>
      <c r="IY25" s="36" t="s">
        <v>1163</v>
      </c>
      <c r="IZ25" s="95">
        <v>0</v>
      </c>
      <c r="JA25" s="95"/>
      <c r="JB25" s="95"/>
      <c r="JC25" s="95"/>
      <c r="JD25" s="95"/>
      <c r="JE25" s="95"/>
      <c r="JF25" s="95">
        <v>1</v>
      </c>
      <c r="JG25" s="95">
        <v>0</v>
      </c>
      <c r="JH25" s="95">
        <v>0</v>
      </c>
      <c r="JI25" s="95"/>
      <c r="JJ25" s="95"/>
      <c r="JK25" s="95"/>
      <c r="JL25" s="95"/>
      <c r="JM25" s="95"/>
      <c r="JN25" s="95"/>
      <c r="JO25" s="95"/>
      <c r="JP25" s="95">
        <v>1</v>
      </c>
      <c r="JQ25" s="36"/>
      <c r="JR25" s="36"/>
      <c r="JS25" s="616"/>
      <c r="JT25" s="616"/>
      <c r="JU25" s="616"/>
      <c r="JV25" s="616" t="s">
        <v>1163</v>
      </c>
      <c r="JW25" s="616">
        <v>0</v>
      </c>
      <c r="JX25" s="616">
        <v>0</v>
      </c>
      <c r="JY25" s="616">
        <v>0</v>
      </c>
      <c r="JZ25" s="616">
        <v>0</v>
      </c>
      <c r="KA25" s="616">
        <v>0</v>
      </c>
      <c r="KB25" s="616">
        <v>0</v>
      </c>
      <c r="KC25" s="616">
        <v>0</v>
      </c>
      <c r="KD25" s="616">
        <v>0</v>
      </c>
      <c r="KE25" s="616">
        <v>0</v>
      </c>
      <c r="KF25" s="616">
        <v>0</v>
      </c>
      <c r="KG25" s="616">
        <v>0</v>
      </c>
      <c r="KH25" s="616">
        <v>1</v>
      </c>
      <c r="KI25" s="616">
        <v>2</v>
      </c>
      <c r="KJ25" s="616">
        <v>0</v>
      </c>
      <c r="KK25" s="616">
        <v>0</v>
      </c>
      <c r="KL25" s="616">
        <v>0</v>
      </c>
      <c r="KM25" s="616">
        <v>3</v>
      </c>
      <c r="KN25" s="616"/>
      <c r="KO25" s="617"/>
    </row>
    <row r="26" spans="1:301">
      <c r="A26" s="5737">
        <v>1</v>
      </c>
      <c r="B26" s="5737">
        <v>2</v>
      </c>
      <c r="C26" s="5736" t="s">
        <v>118</v>
      </c>
      <c r="D26" s="5736" t="s">
        <v>2709</v>
      </c>
      <c r="E26" s="5737">
        <v>3</v>
      </c>
      <c r="F26" s="5737">
        <v>12</v>
      </c>
      <c r="I26" s="4726">
        <v>1</v>
      </c>
      <c r="J26" s="4726">
        <v>2</v>
      </c>
      <c r="K26" s="4725" t="s">
        <v>118</v>
      </c>
      <c r="L26" s="4725" t="s">
        <v>2709</v>
      </c>
      <c r="M26" s="4726">
        <v>2</v>
      </c>
      <c r="N26" s="4726">
        <v>11</v>
      </c>
      <c r="Q26" s="4458">
        <v>1</v>
      </c>
      <c r="R26" s="4458">
        <v>2</v>
      </c>
      <c r="S26" s="4459" t="s">
        <v>2748</v>
      </c>
      <c r="T26" s="4459" t="s">
        <v>2709</v>
      </c>
      <c r="U26" s="4458">
        <v>13</v>
      </c>
      <c r="V26" s="4484">
        <v>4</v>
      </c>
      <c r="W26" s="4510"/>
      <c r="X26" s="4467"/>
      <c r="Y26" s="4467"/>
      <c r="Z26" s="36"/>
      <c r="AA26" s="36" t="s">
        <v>16</v>
      </c>
      <c r="AB26" s="36" t="s">
        <v>117</v>
      </c>
      <c r="AC26" s="36" t="s">
        <v>1071</v>
      </c>
      <c r="AD26" s="615">
        <v>0</v>
      </c>
      <c r="AE26" s="615"/>
      <c r="AF26" s="615"/>
      <c r="AG26" s="615"/>
      <c r="AH26" s="615"/>
      <c r="AI26" s="615">
        <v>0</v>
      </c>
      <c r="AJ26" s="615"/>
      <c r="AK26" s="615"/>
      <c r="AL26" s="615"/>
      <c r="AM26" s="615"/>
      <c r="AN26" s="615">
        <v>0</v>
      </c>
      <c r="AO26" s="615">
        <v>2</v>
      </c>
      <c r="AP26" s="615"/>
      <c r="AQ26" s="36"/>
      <c r="AR26" s="36">
        <v>2</v>
      </c>
      <c r="AS26" s="36"/>
      <c r="AW26" s="27"/>
      <c r="AX26" s="3868" t="s">
        <v>15</v>
      </c>
      <c r="AY26" s="3722"/>
      <c r="AZ26" s="3722">
        <v>1</v>
      </c>
      <c r="BA26" s="3722"/>
      <c r="BB26" s="3722"/>
      <c r="BC26" s="3722">
        <v>1</v>
      </c>
      <c r="BD26" s="3722">
        <v>1</v>
      </c>
      <c r="BE26" s="3722">
        <v>1</v>
      </c>
      <c r="BF26" s="3722"/>
      <c r="BG26" s="3722"/>
      <c r="BH26" s="3722"/>
      <c r="BI26" s="3722">
        <v>2</v>
      </c>
      <c r="BJ26" s="3722">
        <v>1</v>
      </c>
      <c r="BK26" s="3722">
        <v>2</v>
      </c>
      <c r="BL26" s="3722">
        <v>4</v>
      </c>
      <c r="BM26" s="3701">
        <v>1</v>
      </c>
      <c r="BN26" s="3701"/>
      <c r="BO26" s="3701">
        <v>14</v>
      </c>
      <c r="BP26" s="1665">
        <f>+(BO24+BO25)/(BO26)</f>
        <v>0.21428571428571427</v>
      </c>
      <c r="BU26" s="1520" t="s">
        <v>1163</v>
      </c>
      <c r="BV26" s="3872"/>
      <c r="BW26" s="3872">
        <v>0</v>
      </c>
      <c r="BX26" s="3872"/>
      <c r="BY26" s="3872"/>
      <c r="BZ26" s="3872">
        <v>0</v>
      </c>
      <c r="CA26" s="3872">
        <v>0</v>
      </c>
      <c r="CB26" s="3872">
        <v>0</v>
      </c>
      <c r="CC26" s="3872"/>
      <c r="CD26" s="3872"/>
      <c r="CE26" s="3872"/>
      <c r="CF26" s="3872">
        <v>1</v>
      </c>
      <c r="CG26" s="3872">
        <v>0</v>
      </c>
      <c r="CH26" s="3872">
        <v>0</v>
      </c>
      <c r="CI26" s="3872"/>
      <c r="CJ26" s="3806">
        <v>0</v>
      </c>
      <c r="CK26" s="3806">
        <v>1</v>
      </c>
      <c r="CN26" s="36"/>
      <c r="CO26" s="36"/>
      <c r="CP26" s="36"/>
      <c r="CQ26" s="393" t="s">
        <v>15</v>
      </c>
      <c r="CR26" s="2049">
        <v>1</v>
      </c>
      <c r="CS26" s="2049"/>
      <c r="CT26" s="2049"/>
      <c r="CU26" s="2049"/>
      <c r="CV26" s="2049"/>
      <c r="CW26" s="2049"/>
      <c r="CX26" s="2049"/>
      <c r="CY26" s="2049"/>
      <c r="CZ26" s="2049"/>
      <c r="DA26" s="2049"/>
      <c r="DB26" s="2049">
        <v>1</v>
      </c>
      <c r="DC26" s="2049"/>
      <c r="DD26" s="2049">
        <v>1</v>
      </c>
      <c r="DE26" s="2049">
        <v>4</v>
      </c>
      <c r="DF26" s="2049">
        <v>6</v>
      </c>
      <c r="DG26" s="393"/>
      <c r="DH26" s="393"/>
      <c r="DI26" s="393">
        <v>13</v>
      </c>
      <c r="DJ26" s="560">
        <f>+(DI25+DI24)/DI26</f>
        <v>0.23076923076923078</v>
      </c>
      <c r="DK26" s="1665"/>
      <c r="DL26" s="36"/>
      <c r="DM26" s="36"/>
      <c r="DN26" s="36"/>
      <c r="DO26" s="36" t="s">
        <v>1076</v>
      </c>
      <c r="DP26" s="1681"/>
      <c r="DQ26" s="1681"/>
      <c r="DR26" s="1681">
        <v>0</v>
      </c>
      <c r="DS26" s="1681"/>
      <c r="DT26" s="1681"/>
      <c r="DU26" s="1681"/>
      <c r="DV26" s="1681"/>
      <c r="DW26" s="1681"/>
      <c r="DX26" s="1681"/>
      <c r="DY26" s="1681">
        <v>0</v>
      </c>
      <c r="DZ26" s="1681"/>
      <c r="EA26" s="1681">
        <v>0</v>
      </c>
      <c r="EB26" s="1681">
        <v>1</v>
      </c>
      <c r="EC26" s="1681">
        <v>0</v>
      </c>
      <c r="ED26" s="1681">
        <v>0</v>
      </c>
      <c r="EE26" s="95"/>
      <c r="EF26" s="95"/>
      <c r="EG26" s="95">
        <v>1</v>
      </c>
      <c r="EH26" s="36"/>
      <c r="EL26" s="36"/>
      <c r="EM26" s="36" t="s">
        <v>1080</v>
      </c>
      <c r="EN26" s="1490"/>
      <c r="EO26" s="1490"/>
      <c r="EP26" s="1490"/>
      <c r="EQ26" s="1490"/>
      <c r="ER26" s="1490"/>
      <c r="ES26" s="1490"/>
      <c r="ET26" s="1490">
        <v>0</v>
      </c>
      <c r="EU26" s="1490">
        <v>1</v>
      </c>
      <c r="EV26" s="1490"/>
      <c r="EW26" s="1490"/>
      <c r="EX26" s="1490"/>
      <c r="EY26" s="1490"/>
      <c r="EZ26" s="1490"/>
      <c r="FA26" s="1490"/>
      <c r="FB26" s="1490"/>
      <c r="FC26" s="36"/>
      <c r="FD26" s="36"/>
      <c r="FE26" s="36">
        <v>1</v>
      </c>
      <c r="FF26" s="36"/>
      <c r="FH26" s="1225"/>
      <c r="FI26" s="1225"/>
      <c r="FJ26" s="1225"/>
      <c r="FK26" s="1222" t="s">
        <v>726</v>
      </c>
      <c r="FL26" s="1231"/>
      <c r="FM26" s="1231"/>
      <c r="FN26" s="1231"/>
      <c r="FO26" s="1231"/>
      <c r="FP26" s="1231"/>
      <c r="FQ26" s="1232">
        <v>3</v>
      </c>
      <c r="FR26" s="1231"/>
      <c r="FS26" s="1231"/>
      <c r="FT26" s="1231"/>
      <c r="FU26" s="1231"/>
      <c r="FV26" s="1231"/>
      <c r="FW26" s="1231"/>
      <c r="FX26" s="1231"/>
      <c r="FY26" s="1233"/>
      <c r="FZ26" s="1233"/>
      <c r="GA26" s="1234">
        <v>3</v>
      </c>
      <c r="GB26" s="1178">
        <v>0</v>
      </c>
      <c r="GD26" s="603"/>
      <c r="GE26" s="603"/>
      <c r="GF26" s="603"/>
      <c r="GG26" s="622" t="s">
        <v>483</v>
      </c>
      <c r="GH26" s="623"/>
      <c r="GI26" s="624">
        <v>1</v>
      </c>
      <c r="GJ26" s="624">
        <v>1</v>
      </c>
      <c r="GK26" s="623"/>
      <c r="GL26" s="623"/>
      <c r="GM26" s="623"/>
      <c r="GN26" s="623"/>
      <c r="GO26" s="624">
        <v>1</v>
      </c>
      <c r="GP26" s="623"/>
      <c r="GQ26" s="624">
        <v>7</v>
      </c>
      <c r="GR26" s="624">
        <v>6</v>
      </c>
      <c r="GS26" s="624">
        <v>2</v>
      </c>
      <c r="GT26" s="624">
        <v>1</v>
      </c>
      <c r="GU26" s="624">
        <v>1</v>
      </c>
      <c r="GV26" s="623"/>
      <c r="GW26" s="625"/>
      <c r="GX26" s="625"/>
      <c r="GY26" s="626">
        <v>20</v>
      </c>
      <c r="GZ26" s="560">
        <f>+(GY23+GY24+GY25)/GY26</f>
        <v>0.5</v>
      </c>
      <c r="HB26" s="441"/>
      <c r="HC26" s="441" t="s">
        <v>103</v>
      </c>
      <c r="HD26" s="441" t="s">
        <v>104</v>
      </c>
      <c r="HE26" s="441" t="s">
        <v>1070</v>
      </c>
      <c r="HF26" s="442" t="s">
        <v>1072</v>
      </c>
      <c r="HG26" s="610">
        <v>2</v>
      </c>
      <c r="HH26" s="609"/>
      <c r="HI26" s="609"/>
      <c r="HJ26" s="609"/>
      <c r="HK26" s="609"/>
      <c r="HL26" s="610">
        <v>0</v>
      </c>
      <c r="HM26" s="610">
        <v>2</v>
      </c>
      <c r="HN26" s="610">
        <v>0</v>
      </c>
      <c r="HO26" s="609"/>
      <c r="HP26" s="609"/>
      <c r="HQ26" s="609"/>
      <c r="HR26" s="610">
        <v>0</v>
      </c>
      <c r="HS26" s="610">
        <v>1</v>
      </c>
      <c r="HT26" s="610">
        <v>0</v>
      </c>
      <c r="HU26" s="609"/>
      <c r="HV26" s="611"/>
      <c r="HW26" s="611"/>
      <c r="HX26" s="612">
        <v>5</v>
      </c>
      <c r="HY26" s="560"/>
      <c r="HZ26" s="36"/>
      <c r="IA26" s="613"/>
      <c r="IB26" s="613"/>
      <c r="IC26" s="613"/>
      <c r="ID26" s="389" t="s">
        <v>1080</v>
      </c>
      <c r="IE26" s="390">
        <v>0</v>
      </c>
      <c r="IF26" s="614"/>
      <c r="IG26" s="390">
        <v>0</v>
      </c>
      <c r="IH26" s="390">
        <v>0</v>
      </c>
      <c r="II26" s="390">
        <v>1</v>
      </c>
      <c r="IJ26" s="390">
        <v>1</v>
      </c>
      <c r="IK26" s="614"/>
      <c r="IL26" s="614"/>
      <c r="IM26" s="614"/>
      <c r="IN26" s="614"/>
      <c r="IO26" s="390">
        <v>1</v>
      </c>
      <c r="IP26" s="614"/>
      <c r="IQ26" s="614"/>
      <c r="IR26" s="390">
        <v>3</v>
      </c>
      <c r="IS26" s="615"/>
      <c r="IT26" s="36"/>
      <c r="IU26" s="36"/>
      <c r="IV26" s="95"/>
      <c r="IW26" s="95"/>
      <c r="IX26" s="36"/>
      <c r="IY26" s="393" t="s">
        <v>15</v>
      </c>
      <c r="IZ26" s="86">
        <v>2</v>
      </c>
      <c r="JA26" s="86"/>
      <c r="JB26" s="86"/>
      <c r="JC26" s="86"/>
      <c r="JD26" s="86"/>
      <c r="JE26" s="86"/>
      <c r="JF26" s="86">
        <v>1</v>
      </c>
      <c r="JG26" s="86">
        <v>1</v>
      </c>
      <c r="JH26" s="86">
        <v>10</v>
      </c>
      <c r="JI26" s="86"/>
      <c r="JJ26" s="86"/>
      <c r="JK26" s="86"/>
      <c r="JL26" s="86"/>
      <c r="JM26" s="86"/>
      <c r="JN26" s="86"/>
      <c r="JO26" s="86"/>
      <c r="JP26" s="86">
        <v>14</v>
      </c>
      <c r="JQ26" s="631">
        <f>+(JP23+JP24+JP25)/JP26</f>
        <v>0.35714285714285715</v>
      </c>
      <c r="JR26" s="36"/>
      <c r="JS26" s="616"/>
      <c r="JT26" s="616"/>
      <c r="JU26" s="616"/>
      <c r="JV26" s="627" t="s">
        <v>15</v>
      </c>
      <c r="JW26" s="627">
        <v>0</v>
      </c>
      <c r="JX26" s="627">
        <v>0</v>
      </c>
      <c r="JY26" s="627">
        <v>0</v>
      </c>
      <c r="JZ26" s="627">
        <v>0</v>
      </c>
      <c r="KA26" s="627">
        <v>0</v>
      </c>
      <c r="KB26" s="627">
        <v>0</v>
      </c>
      <c r="KC26" s="627">
        <v>0</v>
      </c>
      <c r="KD26" s="627">
        <v>0</v>
      </c>
      <c r="KE26" s="627">
        <v>0</v>
      </c>
      <c r="KF26" s="627">
        <v>0</v>
      </c>
      <c r="KG26" s="627">
        <v>0</v>
      </c>
      <c r="KH26" s="627">
        <v>1</v>
      </c>
      <c r="KI26" s="627">
        <v>2</v>
      </c>
      <c r="KJ26" s="627">
        <v>1</v>
      </c>
      <c r="KK26" s="627">
        <v>1</v>
      </c>
      <c r="KL26" s="627">
        <v>1</v>
      </c>
      <c r="KM26" s="627">
        <v>6</v>
      </c>
      <c r="KN26" s="628">
        <f>+KM25/KM26</f>
        <v>0.5</v>
      </c>
      <c r="KO26" s="617">
        <f>+KM25</f>
        <v>3</v>
      </c>
    </row>
    <row r="27" spans="1:301">
      <c r="A27" s="5737">
        <v>1</v>
      </c>
      <c r="B27" s="5737">
        <v>2</v>
      </c>
      <c r="C27" s="5736" t="s">
        <v>118</v>
      </c>
      <c r="D27" s="5736" t="s">
        <v>2709</v>
      </c>
      <c r="E27" s="5737">
        <v>1</v>
      </c>
      <c r="F27" s="5737">
        <v>13</v>
      </c>
      <c r="I27" s="4726">
        <v>1</v>
      </c>
      <c r="J27" s="4726">
        <v>2</v>
      </c>
      <c r="K27" s="4725" t="s">
        <v>118</v>
      </c>
      <c r="L27" s="4725" t="s">
        <v>2709</v>
      </c>
      <c r="M27" s="4726">
        <v>3</v>
      </c>
      <c r="N27" s="4726">
        <v>12</v>
      </c>
      <c r="Q27" s="4458">
        <v>1</v>
      </c>
      <c r="R27" s="4458">
        <v>2</v>
      </c>
      <c r="S27" s="4459" t="s">
        <v>2748</v>
      </c>
      <c r="T27" s="4459" t="s">
        <v>2705</v>
      </c>
      <c r="U27" s="4458">
        <v>6</v>
      </c>
      <c r="V27" s="4484">
        <v>1</v>
      </c>
      <c r="W27" s="4510"/>
      <c r="X27" s="4467"/>
      <c r="Y27" s="4467"/>
      <c r="Z27" s="36"/>
      <c r="AA27" s="36"/>
      <c r="AB27" s="36"/>
      <c r="AC27" s="36" t="s">
        <v>1072</v>
      </c>
      <c r="AD27" s="615">
        <v>0</v>
      </c>
      <c r="AE27" s="615"/>
      <c r="AF27" s="615"/>
      <c r="AG27" s="615"/>
      <c r="AH27" s="615"/>
      <c r="AI27" s="615">
        <v>0</v>
      </c>
      <c r="AJ27" s="615"/>
      <c r="AK27" s="615"/>
      <c r="AL27" s="615"/>
      <c r="AM27" s="615"/>
      <c r="AN27" s="615">
        <v>22</v>
      </c>
      <c r="AO27" s="615">
        <v>0</v>
      </c>
      <c r="AP27" s="615"/>
      <c r="AQ27" s="36"/>
      <c r="AR27" s="36">
        <v>22</v>
      </c>
      <c r="AS27" s="36"/>
      <c r="AU27" s="36"/>
      <c r="AV27" s="36" t="s">
        <v>16</v>
      </c>
      <c r="AW27" s="36" t="s">
        <v>127</v>
      </c>
      <c r="AX27" s="36" t="s">
        <v>1072</v>
      </c>
      <c r="AY27" s="1681">
        <v>1</v>
      </c>
      <c r="AZ27" s="1681"/>
      <c r="BA27" s="1681"/>
      <c r="BB27" s="1681"/>
      <c r="BC27" s="1681"/>
      <c r="BD27" s="1681"/>
      <c r="BE27" s="1681"/>
      <c r="BF27" s="1681"/>
      <c r="BG27" s="1681"/>
      <c r="BH27" s="1681"/>
      <c r="BI27" s="1681"/>
      <c r="BJ27" s="1681"/>
      <c r="BK27" s="1681"/>
      <c r="BL27" s="1681"/>
      <c r="BM27" s="95"/>
      <c r="BN27" s="95"/>
      <c r="BO27" s="95">
        <v>1</v>
      </c>
      <c r="BP27" s="95"/>
      <c r="BU27" s="1520" t="s">
        <v>482</v>
      </c>
      <c r="BV27" s="3872"/>
      <c r="BW27" s="3872">
        <v>1</v>
      </c>
      <c r="BX27" s="3872"/>
      <c r="BY27" s="3872"/>
      <c r="BZ27" s="3872">
        <v>1</v>
      </c>
      <c r="CA27" s="3872">
        <v>1</v>
      </c>
      <c r="CB27" s="3872">
        <v>1</v>
      </c>
      <c r="CC27" s="3872"/>
      <c r="CD27" s="3872"/>
      <c r="CE27" s="3872"/>
      <c r="CF27" s="3872">
        <v>2</v>
      </c>
      <c r="CG27" s="3872">
        <v>1</v>
      </c>
      <c r="CH27" s="3872">
        <v>6</v>
      </c>
      <c r="CI27" s="3872"/>
      <c r="CJ27" s="3806">
        <v>1</v>
      </c>
      <c r="CK27" s="3806">
        <v>14</v>
      </c>
      <c r="CL27" s="3807">
        <f>+(CK23+CK25+CK26)/CK27</f>
        <v>0.21428571428571427</v>
      </c>
      <c r="CN27" s="36"/>
      <c r="CO27" s="36"/>
      <c r="CP27" s="393" t="s">
        <v>483</v>
      </c>
      <c r="CQ27" s="393" t="s">
        <v>1072</v>
      </c>
      <c r="CR27" s="2049">
        <v>1</v>
      </c>
      <c r="CS27" s="2049"/>
      <c r="CT27" s="2049"/>
      <c r="CU27" s="2049"/>
      <c r="CV27" s="2049"/>
      <c r="CW27" s="2049"/>
      <c r="CX27" s="2049"/>
      <c r="CY27" s="2049"/>
      <c r="CZ27" s="2049"/>
      <c r="DA27" s="2049"/>
      <c r="DB27" s="2049">
        <v>0</v>
      </c>
      <c r="DC27" s="2049"/>
      <c r="DD27" s="2049">
        <v>0</v>
      </c>
      <c r="DE27" s="2049">
        <v>3</v>
      </c>
      <c r="DF27" s="2049">
        <v>0</v>
      </c>
      <c r="DG27" s="393"/>
      <c r="DH27" s="393"/>
      <c r="DI27" s="393">
        <v>4</v>
      </c>
      <c r="DJ27" s="36"/>
      <c r="DL27" s="36"/>
      <c r="DM27" s="36"/>
      <c r="DN27" s="36"/>
      <c r="DO27" s="36" t="s">
        <v>1077</v>
      </c>
      <c r="DP27" s="1681"/>
      <c r="DQ27" s="1681"/>
      <c r="DR27" s="1681">
        <v>0</v>
      </c>
      <c r="DS27" s="1681"/>
      <c r="DT27" s="1681"/>
      <c r="DU27" s="1681"/>
      <c r="DV27" s="1681"/>
      <c r="DW27" s="1681"/>
      <c r="DX27" s="1681"/>
      <c r="DY27" s="1681">
        <v>1</v>
      </c>
      <c r="DZ27" s="1681"/>
      <c r="EA27" s="1681">
        <v>0</v>
      </c>
      <c r="EB27" s="1681">
        <v>0</v>
      </c>
      <c r="EC27" s="1681">
        <v>0</v>
      </c>
      <c r="ED27" s="1681">
        <v>0</v>
      </c>
      <c r="EE27" s="95"/>
      <c r="EF27" s="95"/>
      <c r="EG27" s="95">
        <v>1</v>
      </c>
      <c r="EH27" s="36"/>
      <c r="EL27" s="36"/>
      <c r="EM27" s="393" t="s">
        <v>15</v>
      </c>
      <c r="EN27" s="1491"/>
      <c r="EO27" s="1491"/>
      <c r="EP27" s="1491"/>
      <c r="EQ27" s="1491"/>
      <c r="ER27" s="1491"/>
      <c r="ES27" s="1491"/>
      <c r="ET27" s="1491">
        <v>1</v>
      </c>
      <c r="EU27" s="1491">
        <v>1</v>
      </c>
      <c r="EV27" s="1491"/>
      <c r="EW27" s="1491"/>
      <c r="EX27" s="1491"/>
      <c r="EY27" s="1491"/>
      <c r="EZ27" s="1491"/>
      <c r="FA27" s="1491"/>
      <c r="FB27" s="1491"/>
      <c r="FC27" s="393"/>
      <c r="FD27" s="393"/>
      <c r="FE27" s="393">
        <v>2</v>
      </c>
      <c r="FF27" s="560">
        <v>0</v>
      </c>
      <c r="FH27" s="1225"/>
      <c r="FI27" s="1225"/>
      <c r="FJ27" s="1225" t="s">
        <v>105</v>
      </c>
      <c r="FK27" s="1226" t="s">
        <v>1072</v>
      </c>
      <c r="FL27" s="1227"/>
      <c r="FM27" s="1227"/>
      <c r="FN27" s="1227"/>
      <c r="FO27" s="1227"/>
      <c r="FP27" s="1227"/>
      <c r="FQ27" s="1228">
        <v>0</v>
      </c>
      <c r="FR27" s="1228">
        <v>0</v>
      </c>
      <c r="FS27" s="1228">
        <v>0</v>
      </c>
      <c r="FT27" s="1227"/>
      <c r="FU27" s="1227"/>
      <c r="FV27" s="1228">
        <v>4</v>
      </c>
      <c r="FW27" s="1228">
        <v>1</v>
      </c>
      <c r="FX27" s="1228">
        <v>0</v>
      </c>
      <c r="FY27" s="1229"/>
      <c r="FZ27" s="1229"/>
      <c r="GA27" s="1230">
        <v>5</v>
      </c>
      <c r="GB27" s="36"/>
      <c r="GD27" s="603"/>
      <c r="GE27" s="603" t="s">
        <v>103</v>
      </c>
      <c r="GF27" s="603" t="s">
        <v>104</v>
      </c>
      <c r="GG27" s="604" t="s">
        <v>1072</v>
      </c>
      <c r="GH27" s="606">
        <v>1</v>
      </c>
      <c r="GI27" s="605"/>
      <c r="GJ27" s="606">
        <v>0</v>
      </c>
      <c r="GK27" s="606">
        <v>0</v>
      </c>
      <c r="GL27" s="606">
        <v>0</v>
      </c>
      <c r="GM27" s="605"/>
      <c r="GN27" s="606">
        <v>0</v>
      </c>
      <c r="GO27" s="606">
        <v>0</v>
      </c>
      <c r="GP27" s="606">
        <v>0</v>
      </c>
      <c r="GQ27" s="606">
        <v>0</v>
      </c>
      <c r="GR27" s="606">
        <v>0</v>
      </c>
      <c r="GS27" s="606">
        <v>0</v>
      </c>
      <c r="GT27" s="606">
        <v>0</v>
      </c>
      <c r="GU27" s="605"/>
      <c r="GV27" s="605"/>
      <c r="GW27" s="607"/>
      <c r="GX27" s="607"/>
      <c r="GY27" s="608">
        <v>1</v>
      </c>
      <c r="GZ27" s="95"/>
      <c r="HB27" s="441"/>
      <c r="HC27" s="441"/>
      <c r="HD27" s="441"/>
      <c r="HE27" s="441"/>
      <c r="HF27" s="442" t="s">
        <v>1077</v>
      </c>
      <c r="HG27" s="610">
        <v>0</v>
      </c>
      <c r="HH27" s="609"/>
      <c r="HI27" s="609"/>
      <c r="HJ27" s="609"/>
      <c r="HK27" s="609"/>
      <c r="HL27" s="610">
        <v>1</v>
      </c>
      <c r="HM27" s="610">
        <v>5</v>
      </c>
      <c r="HN27" s="610">
        <v>2</v>
      </c>
      <c r="HO27" s="609"/>
      <c r="HP27" s="609"/>
      <c r="HQ27" s="609"/>
      <c r="HR27" s="610">
        <v>0</v>
      </c>
      <c r="HS27" s="610">
        <v>0</v>
      </c>
      <c r="HT27" s="610">
        <v>0</v>
      </c>
      <c r="HU27" s="609"/>
      <c r="HV27" s="611"/>
      <c r="HW27" s="611"/>
      <c r="HX27" s="612">
        <v>8</v>
      </c>
      <c r="HY27" s="560"/>
      <c r="HZ27" s="36"/>
      <c r="IA27" s="613"/>
      <c r="IB27" s="613"/>
      <c r="IC27" s="613"/>
      <c r="ID27" s="629" t="s">
        <v>15</v>
      </c>
      <c r="IE27" s="395">
        <v>1</v>
      </c>
      <c r="IF27" s="630"/>
      <c r="IG27" s="395">
        <v>6</v>
      </c>
      <c r="IH27" s="395">
        <v>2</v>
      </c>
      <c r="II27" s="395">
        <v>3</v>
      </c>
      <c r="IJ27" s="395">
        <v>1</v>
      </c>
      <c r="IK27" s="630"/>
      <c r="IL27" s="630"/>
      <c r="IM27" s="630"/>
      <c r="IN27" s="630"/>
      <c r="IO27" s="395">
        <v>1</v>
      </c>
      <c r="IP27" s="630"/>
      <c r="IQ27" s="630"/>
      <c r="IR27" s="395">
        <v>14</v>
      </c>
      <c r="IS27" s="553">
        <v>0</v>
      </c>
      <c r="IT27" s="36"/>
      <c r="IU27" s="36"/>
      <c r="IV27" s="95"/>
      <c r="IW27" s="95" t="s">
        <v>103</v>
      </c>
      <c r="IX27" s="36" t="s">
        <v>104</v>
      </c>
      <c r="IY27" s="36" t="s">
        <v>1072</v>
      </c>
      <c r="IZ27" s="95"/>
      <c r="JA27" s="95">
        <v>0</v>
      </c>
      <c r="JB27" s="95">
        <v>0</v>
      </c>
      <c r="JC27" s="95"/>
      <c r="JD27" s="95"/>
      <c r="JE27" s="95">
        <v>1</v>
      </c>
      <c r="JF27" s="95">
        <v>2</v>
      </c>
      <c r="JG27" s="95">
        <v>0</v>
      </c>
      <c r="JH27" s="95"/>
      <c r="JI27" s="95"/>
      <c r="JJ27" s="95"/>
      <c r="JK27" s="95"/>
      <c r="JL27" s="95"/>
      <c r="JM27" s="95"/>
      <c r="JN27" s="95"/>
      <c r="JO27" s="95"/>
      <c r="JP27" s="95">
        <v>3</v>
      </c>
      <c r="JQ27" s="36"/>
      <c r="JR27" s="36"/>
      <c r="JS27" s="616"/>
      <c r="JT27" s="616"/>
      <c r="JU27" s="616" t="s">
        <v>121</v>
      </c>
      <c r="JV27" s="616" t="s">
        <v>1072</v>
      </c>
      <c r="JW27" s="616">
        <v>0</v>
      </c>
      <c r="JX27" s="616">
        <v>0</v>
      </c>
      <c r="JY27" s="616">
        <v>0</v>
      </c>
      <c r="JZ27" s="616">
        <v>0</v>
      </c>
      <c r="KA27" s="616">
        <v>0</v>
      </c>
      <c r="KB27" s="616">
        <v>0</v>
      </c>
      <c r="KC27" s="616">
        <v>0</v>
      </c>
      <c r="KD27" s="616">
        <v>0</v>
      </c>
      <c r="KE27" s="616">
        <v>0</v>
      </c>
      <c r="KF27" s="616">
        <v>0</v>
      </c>
      <c r="KG27" s="616">
        <v>1</v>
      </c>
      <c r="KH27" s="616">
        <v>0</v>
      </c>
      <c r="KI27" s="616">
        <v>0</v>
      </c>
      <c r="KJ27" s="616">
        <v>0</v>
      </c>
      <c r="KK27" s="616">
        <v>0</v>
      </c>
      <c r="KL27" s="616">
        <v>0</v>
      </c>
      <c r="KM27" s="616">
        <v>1</v>
      </c>
      <c r="KN27" s="616"/>
      <c r="KO27" s="617"/>
    </row>
    <row r="28" spans="1:301">
      <c r="A28" s="5737"/>
      <c r="B28" s="5737"/>
      <c r="C28" s="5736"/>
      <c r="D28" s="5736"/>
      <c r="E28" s="5742">
        <f>SUM(E24:E27)</f>
        <v>8</v>
      </c>
      <c r="F28" s="5737"/>
      <c r="G28" s="4510">
        <v>0</v>
      </c>
      <c r="I28" s="4726">
        <v>1</v>
      </c>
      <c r="J28" s="4726">
        <v>2</v>
      </c>
      <c r="K28" s="4725" t="s">
        <v>118</v>
      </c>
      <c r="L28" s="4725" t="s">
        <v>2709</v>
      </c>
      <c r="M28" s="4726">
        <v>1</v>
      </c>
      <c r="N28" s="4726">
        <v>13</v>
      </c>
      <c r="Q28" s="4458">
        <v>1</v>
      </c>
      <c r="R28" s="4458">
        <v>2</v>
      </c>
      <c r="S28" s="4459" t="s">
        <v>2748</v>
      </c>
      <c r="T28" s="4459" t="s">
        <v>2731</v>
      </c>
      <c r="U28" s="4458">
        <v>14</v>
      </c>
      <c r="V28" s="4484">
        <v>18</v>
      </c>
      <c r="W28" s="4510"/>
      <c r="X28" s="4467"/>
      <c r="Y28" s="4467"/>
      <c r="Z28" s="36"/>
      <c r="AA28" s="36"/>
      <c r="AB28" s="36"/>
      <c r="AC28" s="36" t="s">
        <v>1077</v>
      </c>
      <c r="AD28" s="615">
        <v>0</v>
      </c>
      <c r="AE28" s="615"/>
      <c r="AF28" s="615"/>
      <c r="AG28" s="615"/>
      <c r="AH28" s="615"/>
      <c r="AI28" s="615">
        <v>1</v>
      </c>
      <c r="AJ28" s="615"/>
      <c r="AK28" s="615"/>
      <c r="AL28" s="615"/>
      <c r="AM28" s="615"/>
      <c r="AN28" s="615">
        <v>0</v>
      </c>
      <c r="AO28" s="615">
        <v>0</v>
      </c>
      <c r="AP28" s="615"/>
      <c r="AQ28" s="36"/>
      <c r="AR28" s="36">
        <v>1</v>
      </c>
      <c r="AS28" s="36"/>
      <c r="AX28" s="3868" t="s">
        <v>15</v>
      </c>
      <c r="AY28" s="3721">
        <v>1</v>
      </c>
      <c r="AZ28" s="3721"/>
      <c r="BA28" s="3721"/>
      <c r="BB28" s="3721"/>
      <c r="BC28" s="3721"/>
      <c r="BD28" s="3721"/>
      <c r="BE28" s="3721"/>
      <c r="BF28" s="3721"/>
      <c r="BG28" s="3721"/>
      <c r="BH28" s="3721"/>
      <c r="BI28" s="3721"/>
      <c r="BJ28" s="3721"/>
      <c r="BK28" s="3721"/>
      <c r="BL28" s="3721"/>
      <c r="BM28" s="2110"/>
      <c r="BN28" s="2110"/>
      <c r="BO28" s="2110">
        <v>1</v>
      </c>
      <c r="BP28" s="1665">
        <v>0</v>
      </c>
      <c r="BS28" s="32" t="s">
        <v>16</v>
      </c>
      <c r="BT28" s="32" t="s">
        <v>127</v>
      </c>
      <c r="BU28" s="32" t="s">
        <v>1072</v>
      </c>
      <c r="BV28" s="3871">
        <v>1</v>
      </c>
      <c r="BW28" s="3871"/>
      <c r="BX28" s="3871"/>
      <c r="BY28" s="3871"/>
      <c r="BZ28" s="3871"/>
      <c r="CA28" s="3871"/>
      <c r="CB28" s="3871"/>
      <c r="CC28" s="3871"/>
      <c r="CD28" s="3871"/>
      <c r="CE28" s="3871"/>
      <c r="CF28" s="3871"/>
      <c r="CG28" s="3871"/>
      <c r="CH28" s="3871"/>
      <c r="CI28" s="3871"/>
      <c r="CJ28" s="1518"/>
      <c r="CK28" s="1518">
        <v>1</v>
      </c>
      <c r="CN28" s="36"/>
      <c r="CO28" s="36"/>
      <c r="CP28" s="393"/>
      <c r="CQ28" s="393" t="s">
        <v>1080</v>
      </c>
      <c r="CR28" s="2049">
        <v>0</v>
      </c>
      <c r="CS28" s="2049"/>
      <c r="CT28" s="2049"/>
      <c r="CU28" s="2049"/>
      <c r="CV28" s="2049"/>
      <c r="CW28" s="2049"/>
      <c r="CX28" s="2049"/>
      <c r="CY28" s="2049"/>
      <c r="CZ28" s="2049"/>
      <c r="DA28" s="2049"/>
      <c r="DB28" s="2049">
        <v>0</v>
      </c>
      <c r="DC28" s="2049"/>
      <c r="DD28" s="2049">
        <v>0</v>
      </c>
      <c r="DE28" s="2049">
        <v>0</v>
      </c>
      <c r="DF28" s="2049">
        <v>6</v>
      </c>
      <c r="DG28" s="393"/>
      <c r="DH28" s="393"/>
      <c r="DI28" s="393">
        <v>6</v>
      </c>
      <c r="DJ28" s="36"/>
      <c r="DL28" s="36"/>
      <c r="DM28" s="36"/>
      <c r="DN28" s="36"/>
      <c r="DO28" s="36" t="s">
        <v>1080</v>
      </c>
      <c r="DP28" s="1681"/>
      <c r="DQ28" s="1681"/>
      <c r="DR28" s="1681">
        <v>0</v>
      </c>
      <c r="DS28" s="1681"/>
      <c r="DT28" s="1681"/>
      <c r="DU28" s="1681"/>
      <c r="DV28" s="1681"/>
      <c r="DW28" s="1681"/>
      <c r="DX28" s="1681"/>
      <c r="DY28" s="1681">
        <v>0</v>
      </c>
      <c r="DZ28" s="1681"/>
      <c r="EA28" s="1681">
        <v>0</v>
      </c>
      <c r="EB28" s="1681">
        <v>0</v>
      </c>
      <c r="EC28" s="1681">
        <v>0</v>
      </c>
      <c r="ED28" s="1681">
        <v>3</v>
      </c>
      <c r="EE28" s="95"/>
      <c r="EF28" s="95"/>
      <c r="EG28" s="95">
        <v>3</v>
      </c>
      <c r="EH28" s="36"/>
      <c r="EL28" s="36" t="s">
        <v>1457</v>
      </c>
      <c r="EM28" s="36" t="s">
        <v>1072</v>
      </c>
      <c r="EN28" s="1490"/>
      <c r="EO28" s="1490"/>
      <c r="EP28" s="1490"/>
      <c r="EQ28" s="1490"/>
      <c r="ER28" s="1490">
        <v>1</v>
      </c>
      <c r="ES28" s="1490"/>
      <c r="ET28" s="1490"/>
      <c r="EU28" s="1490"/>
      <c r="EV28" s="1490"/>
      <c r="EW28" s="1490">
        <v>1</v>
      </c>
      <c r="EX28" s="1490">
        <v>1</v>
      </c>
      <c r="EY28" s="1490"/>
      <c r="EZ28" s="1490">
        <v>1</v>
      </c>
      <c r="FA28" s="1490">
        <v>1</v>
      </c>
      <c r="FB28" s="1490">
        <v>0</v>
      </c>
      <c r="FC28" s="36"/>
      <c r="FD28" s="36"/>
      <c r="FE28" s="36">
        <v>5</v>
      </c>
      <c r="FF28" s="36"/>
      <c r="FH28" s="1225"/>
      <c r="FI28" s="1225"/>
      <c r="FJ28" s="1225"/>
      <c r="FK28" s="1226" t="s">
        <v>1077</v>
      </c>
      <c r="FL28" s="1227"/>
      <c r="FM28" s="1227"/>
      <c r="FN28" s="1227"/>
      <c r="FO28" s="1227"/>
      <c r="FP28" s="1227"/>
      <c r="FQ28" s="1228">
        <v>3</v>
      </c>
      <c r="FR28" s="1228">
        <v>0</v>
      </c>
      <c r="FS28" s="1228">
        <v>0</v>
      </c>
      <c r="FT28" s="1227"/>
      <c r="FU28" s="1227"/>
      <c r="FV28" s="1228">
        <v>0</v>
      </c>
      <c r="FW28" s="1228">
        <v>0</v>
      </c>
      <c r="FX28" s="1228">
        <v>0</v>
      </c>
      <c r="FY28" s="1229"/>
      <c r="FZ28" s="1229"/>
      <c r="GA28" s="1230">
        <v>3</v>
      </c>
      <c r="GB28" s="36"/>
      <c r="GD28" s="603"/>
      <c r="GE28" s="603"/>
      <c r="GF28" s="603"/>
      <c r="GG28" s="604" t="s">
        <v>1074</v>
      </c>
      <c r="GH28" s="606">
        <v>0</v>
      </c>
      <c r="GI28" s="605"/>
      <c r="GJ28" s="606">
        <v>0</v>
      </c>
      <c r="GK28" s="606">
        <v>0</v>
      </c>
      <c r="GL28" s="606">
        <v>1</v>
      </c>
      <c r="GM28" s="605"/>
      <c r="GN28" s="606">
        <v>0</v>
      </c>
      <c r="GO28" s="606">
        <v>0</v>
      </c>
      <c r="GP28" s="606">
        <v>0</v>
      </c>
      <c r="GQ28" s="606">
        <v>0</v>
      </c>
      <c r="GR28" s="606">
        <v>0</v>
      </c>
      <c r="GS28" s="606">
        <v>0</v>
      </c>
      <c r="GT28" s="606">
        <v>0</v>
      </c>
      <c r="GU28" s="605"/>
      <c r="GV28" s="605"/>
      <c r="GW28" s="607"/>
      <c r="GX28" s="607"/>
      <c r="GY28" s="608">
        <v>1</v>
      </c>
      <c r="GZ28" s="95"/>
      <c r="HB28" s="441"/>
      <c r="HC28" s="441"/>
      <c r="HD28" s="441"/>
      <c r="HE28" s="441"/>
      <c r="HF28" s="442" t="s">
        <v>1080</v>
      </c>
      <c r="HG28" s="610">
        <v>0</v>
      </c>
      <c r="HH28" s="609"/>
      <c r="HI28" s="609"/>
      <c r="HJ28" s="609"/>
      <c r="HK28" s="609"/>
      <c r="HL28" s="610">
        <v>0</v>
      </c>
      <c r="HM28" s="610">
        <v>0</v>
      </c>
      <c r="HN28" s="610">
        <v>0</v>
      </c>
      <c r="HO28" s="609"/>
      <c r="HP28" s="609"/>
      <c r="HQ28" s="609"/>
      <c r="HR28" s="610">
        <v>0</v>
      </c>
      <c r="HS28" s="610">
        <v>0</v>
      </c>
      <c r="HT28" s="610">
        <v>1</v>
      </c>
      <c r="HU28" s="609"/>
      <c r="HV28" s="611"/>
      <c r="HW28" s="611"/>
      <c r="HX28" s="612">
        <v>1</v>
      </c>
      <c r="HY28" s="560"/>
      <c r="HZ28" s="36"/>
      <c r="IA28" s="613"/>
      <c r="IB28" s="613"/>
      <c r="IC28" s="36"/>
      <c r="ID28" s="36"/>
      <c r="IE28" s="36"/>
      <c r="IF28" s="36"/>
      <c r="IG28" s="36"/>
      <c r="IH28" s="36"/>
      <c r="II28" s="36"/>
      <c r="IJ28" s="36"/>
      <c r="IK28" s="36"/>
      <c r="IL28" s="36"/>
      <c r="IM28" s="36"/>
      <c r="IN28" s="36"/>
      <c r="IO28" s="36"/>
      <c r="IP28" s="36"/>
      <c r="IQ28" s="36"/>
      <c r="IR28" s="36"/>
      <c r="IS28" s="36"/>
      <c r="IT28" s="36"/>
      <c r="IU28" s="36"/>
      <c r="IV28" s="95"/>
      <c r="IW28" s="95"/>
      <c r="IX28" s="36"/>
      <c r="IY28" s="36" t="s">
        <v>1077</v>
      </c>
      <c r="IZ28" s="95"/>
      <c r="JA28" s="95">
        <v>1</v>
      </c>
      <c r="JB28" s="95">
        <v>1</v>
      </c>
      <c r="JC28" s="95"/>
      <c r="JD28" s="95"/>
      <c r="JE28" s="95">
        <v>0</v>
      </c>
      <c r="JF28" s="95">
        <v>2</v>
      </c>
      <c r="JG28" s="95">
        <v>1</v>
      </c>
      <c r="JH28" s="95"/>
      <c r="JI28" s="95"/>
      <c r="JJ28" s="95"/>
      <c r="JK28" s="95"/>
      <c r="JL28" s="95"/>
      <c r="JM28" s="95"/>
      <c r="JN28" s="95"/>
      <c r="JO28" s="95"/>
      <c r="JP28" s="95">
        <v>5</v>
      </c>
      <c r="JQ28" s="36"/>
      <c r="JR28" s="36"/>
      <c r="JS28" s="616"/>
      <c r="JT28" s="616"/>
      <c r="JU28" s="616"/>
      <c r="JV28" s="616" t="s">
        <v>1076</v>
      </c>
      <c r="JW28" s="616">
        <v>0</v>
      </c>
      <c r="JX28" s="616">
        <v>0</v>
      </c>
      <c r="JY28" s="616">
        <v>0</v>
      </c>
      <c r="JZ28" s="616">
        <v>0</v>
      </c>
      <c r="KA28" s="616">
        <v>0</v>
      </c>
      <c r="KB28" s="616">
        <v>0</v>
      </c>
      <c r="KC28" s="616">
        <v>0</v>
      </c>
      <c r="KD28" s="616">
        <v>0</v>
      </c>
      <c r="KE28" s="616">
        <v>0</v>
      </c>
      <c r="KF28" s="616">
        <v>1</v>
      </c>
      <c r="KG28" s="616">
        <v>0</v>
      </c>
      <c r="KH28" s="616">
        <v>0</v>
      </c>
      <c r="KI28" s="616">
        <v>1</v>
      </c>
      <c r="KJ28" s="616">
        <v>1</v>
      </c>
      <c r="KK28" s="616">
        <v>0</v>
      </c>
      <c r="KL28" s="616">
        <v>0</v>
      </c>
      <c r="KM28" s="616">
        <v>3</v>
      </c>
      <c r="KN28" s="616"/>
      <c r="KO28" s="617"/>
    </row>
    <row r="29" spans="1:301">
      <c r="A29" s="5737">
        <v>1</v>
      </c>
      <c r="B29" s="5737">
        <v>2</v>
      </c>
      <c r="C29" s="5736" t="s">
        <v>2058</v>
      </c>
      <c r="D29" s="5736" t="s">
        <v>2703</v>
      </c>
      <c r="E29" s="5737">
        <v>1</v>
      </c>
      <c r="F29" s="5737">
        <v>2</v>
      </c>
      <c r="I29" s="4726"/>
      <c r="J29" s="4726"/>
      <c r="K29" s="4725"/>
      <c r="L29" s="4725"/>
      <c r="M29" s="4975">
        <f>SUM(M25:M28)</f>
        <v>8</v>
      </c>
      <c r="N29" s="4726"/>
      <c r="O29" s="4510">
        <v>0</v>
      </c>
      <c r="Q29" s="4458">
        <v>1</v>
      </c>
      <c r="R29" s="4458">
        <v>2</v>
      </c>
      <c r="S29" s="4459" t="s">
        <v>2748</v>
      </c>
      <c r="T29" s="4461" t="s">
        <v>2707</v>
      </c>
      <c r="U29" s="4458">
        <v>13</v>
      </c>
      <c r="V29" s="4484">
        <v>1</v>
      </c>
      <c r="W29" s="4510"/>
      <c r="X29" s="4467"/>
      <c r="Y29" s="4467"/>
      <c r="Z29" s="36"/>
      <c r="AA29" s="36"/>
      <c r="AB29" s="36"/>
      <c r="AC29" s="36" t="s">
        <v>1080</v>
      </c>
      <c r="AD29" s="615">
        <v>0</v>
      </c>
      <c r="AE29" s="615"/>
      <c r="AF29" s="615"/>
      <c r="AG29" s="615"/>
      <c r="AH29" s="615"/>
      <c r="AI29" s="615">
        <v>0</v>
      </c>
      <c r="AJ29" s="615"/>
      <c r="AK29" s="615"/>
      <c r="AL29" s="615"/>
      <c r="AM29" s="615"/>
      <c r="AN29" s="615">
        <v>1</v>
      </c>
      <c r="AO29" s="615">
        <v>2</v>
      </c>
      <c r="AP29" s="615"/>
      <c r="AQ29" s="36"/>
      <c r="AR29" s="36">
        <v>3</v>
      </c>
      <c r="AS29" s="36"/>
      <c r="AU29" s="36"/>
      <c r="AV29" s="36"/>
      <c r="AW29" s="36" t="s">
        <v>118</v>
      </c>
      <c r="AX29" s="36" t="s">
        <v>1072</v>
      </c>
      <c r="AY29" s="1681"/>
      <c r="AZ29" s="1681"/>
      <c r="BA29" s="1681"/>
      <c r="BB29" s="1681"/>
      <c r="BC29" s="1681"/>
      <c r="BD29" s="1681"/>
      <c r="BE29" s="1681"/>
      <c r="BF29" s="1681"/>
      <c r="BG29" s="1681"/>
      <c r="BH29" s="1681"/>
      <c r="BI29" s="1681">
        <v>0</v>
      </c>
      <c r="BJ29" s="1681">
        <v>3</v>
      </c>
      <c r="BK29" s="1681"/>
      <c r="BL29" s="1681"/>
      <c r="BM29" s="95"/>
      <c r="BN29" s="95"/>
      <c r="BO29" s="95">
        <v>3</v>
      </c>
      <c r="BP29" s="95"/>
      <c r="BU29" s="1520" t="s">
        <v>15</v>
      </c>
      <c r="BV29" s="3872">
        <v>1</v>
      </c>
      <c r="BW29" s="3872"/>
      <c r="BX29" s="3872"/>
      <c r="BY29" s="3872"/>
      <c r="BZ29" s="3872"/>
      <c r="CA29" s="3872"/>
      <c r="CB29" s="3872"/>
      <c r="CC29" s="3872"/>
      <c r="CD29" s="3872"/>
      <c r="CE29" s="3872"/>
      <c r="CF29" s="3872"/>
      <c r="CG29" s="3872"/>
      <c r="CH29" s="3872"/>
      <c r="CI29" s="3872"/>
      <c r="CJ29" s="3806"/>
      <c r="CK29" s="3806">
        <v>1</v>
      </c>
      <c r="CL29" s="3807">
        <v>0</v>
      </c>
      <c r="CN29" s="36"/>
      <c r="CO29" s="36"/>
      <c r="CP29" s="393"/>
      <c r="CQ29" s="393" t="s">
        <v>1081</v>
      </c>
      <c r="CR29" s="2049">
        <v>0</v>
      </c>
      <c r="CS29" s="2049"/>
      <c r="CT29" s="2049"/>
      <c r="CU29" s="2049"/>
      <c r="CV29" s="2049"/>
      <c r="CW29" s="2049"/>
      <c r="CX29" s="2049"/>
      <c r="CY29" s="2049"/>
      <c r="CZ29" s="2049"/>
      <c r="DA29" s="2049"/>
      <c r="DB29" s="2049">
        <v>0</v>
      </c>
      <c r="DC29" s="2049"/>
      <c r="DD29" s="2049">
        <v>0</v>
      </c>
      <c r="DE29" s="2049">
        <v>1</v>
      </c>
      <c r="DF29" s="2049">
        <v>0</v>
      </c>
      <c r="DG29" s="393"/>
      <c r="DH29" s="393"/>
      <c r="DI29" s="393">
        <v>1</v>
      </c>
      <c r="DJ29" s="36"/>
      <c r="DL29" s="36"/>
      <c r="DM29" s="36"/>
      <c r="DN29" s="36"/>
      <c r="DO29" s="36" t="s">
        <v>1081</v>
      </c>
      <c r="DP29" s="1681"/>
      <c r="DQ29" s="1681"/>
      <c r="DR29" s="1681">
        <v>0</v>
      </c>
      <c r="DS29" s="1681"/>
      <c r="DT29" s="1681"/>
      <c r="DU29" s="1681"/>
      <c r="DV29" s="1681"/>
      <c r="DW29" s="1681"/>
      <c r="DX29" s="1681"/>
      <c r="DY29" s="1681">
        <v>0</v>
      </c>
      <c r="DZ29" s="1681"/>
      <c r="EA29" s="1681">
        <v>1</v>
      </c>
      <c r="EB29" s="1681">
        <v>0</v>
      </c>
      <c r="EC29" s="1681">
        <v>0</v>
      </c>
      <c r="ED29" s="1681">
        <v>0</v>
      </c>
      <c r="EE29" s="95"/>
      <c r="EF29" s="95"/>
      <c r="EG29" s="95">
        <v>1</v>
      </c>
      <c r="EH29" s="36"/>
      <c r="EL29" s="36"/>
      <c r="EM29" s="36" t="s">
        <v>1080</v>
      </c>
      <c r="EN29" s="1490"/>
      <c r="EO29" s="1490"/>
      <c r="EP29" s="1490"/>
      <c r="EQ29" s="1490"/>
      <c r="ER29" s="1490">
        <v>0</v>
      </c>
      <c r="ES29" s="1490"/>
      <c r="ET29" s="1490"/>
      <c r="EU29" s="1490"/>
      <c r="EV29" s="1490"/>
      <c r="EW29" s="1490">
        <v>0</v>
      </c>
      <c r="EX29" s="1490">
        <v>1</v>
      </c>
      <c r="EY29" s="1490"/>
      <c r="EZ29" s="1490">
        <v>0</v>
      </c>
      <c r="FA29" s="1490">
        <v>1</v>
      </c>
      <c r="FB29" s="1490">
        <v>1</v>
      </c>
      <c r="FC29" s="36"/>
      <c r="FD29" s="36"/>
      <c r="FE29" s="36">
        <v>3</v>
      </c>
      <c r="FF29" s="36"/>
      <c r="FH29" s="1225"/>
      <c r="FI29" s="1225"/>
      <c r="FJ29" s="1225"/>
      <c r="FK29" s="1226" t="s">
        <v>1080</v>
      </c>
      <c r="FL29" s="1227"/>
      <c r="FM29" s="1227"/>
      <c r="FN29" s="1227"/>
      <c r="FO29" s="1227"/>
      <c r="FP29" s="1227"/>
      <c r="FQ29" s="1228">
        <v>0</v>
      </c>
      <c r="FR29" s="1228">
        <v>0</v>
      </c>
      <c r="FS29" s="1228">
        <v>0</v>
      </c>
      <c r="FT29" s="1227"/>
      <c r="FU29" s="1227"/>
      <c r="FV29" s="1228">
        <v>0</v>
      </c>
      <c r="FW29" s="1228">
        <v>2</v>
      </c>
      <c r="FX29" s="1228">
        <v>3</v>
      </c>
      <c r="FY29" s="1229"/>
      <c r="FZ29" s="1229"/>
      <c r="GA29" s="1230">
        <v>5</v>
      </c>
      <c r="GB29" s="36"/>
      <c r="GD29" s="603"/>
      <c r="GE29" s="603"/>
      <c r="GF29" s="603"/>
      <c r="GG29" s="604" t="s">
        <v>1077</v>
      </c>
      <c r="GH29" s="606">
        <v>0</v>
      </c>
      <c r="GI29" s="605"/>
      <c r="GJ29" s="606">
        <v>1</v>
      </c>
      <c r="GK29" s="606">
        <v>3</v>
      </c>
      <c r="GL29" s="606">
        <v>0</v>
      </c>
      <c r="GM29" s="605"/>
      <c r="GN29" s="606">
        <v>10</v>
      </c>
      <c r="GO29" s="606">
        <v>5</v>
      </c>
      <c r="GP29" s="606">
        <v>3</v>
      </c>
      <c r="GQ29" s="606">
        <v>0</v>
      </c>
      <c r="GR29" s="606">
        <v>2</v>
      </c>
      <c r="GS29" s="606">
        <v>0</v>
      </c>
      <c r="GT29" s="606">
        <v>4</v>
      </c>
      <c r="GU29" s="605"/>
      <c r="GV29" s="605"/>
      <c r="GW29" s="607"/>
      <c r="GX29" s="607"/>
      <c r="GY29" s="608">
        <v>28</v>
      </c>
      <c r="GZ29" s="95"/>
      <c r="HB29" s="441"/>
      <c r="HC29" s="441"/>
      <c r="HD29" s="441"/>
      <c r="HE29" s="441"/>
      <c r="HF29" s="442" t="s">
        <v>1163</v>
      </c>
      <c r="HG29" s="610">
        <v>0</v>
      </c>
      <c r="HH29" s="609"/>
      <c r="HI29" s="609"/>
      <c r="HJ29" s="609"/>
      <c r="HK29" s="609"/>
      <c r="HL29" s="610">
        <v>0</v>
      </c>
      <c r="HM29" s="610">
        <v>2</v>
      </c>
      <c r="HN29" s="610">
        <v>0</v>
      </c>
      <c r="HO29" s="609"/>
      <c r="HP29" s="609"/>
      <c r="HQ29" s="609"/>
      <c r="HR29" s="610">
        <v>1</v>
      </c>
      <c r="HS29" s="610">
        <v>0</v>
      </c>
      <c r="HT29" s="610">
        <v>0</v>
      </c>
      <c r="HU29" s="609"/>
      <c r="HV29" s="611"/>
      <c r="HW29" s="611"/>
      <c r="HX29" s="612">
        <v>3</v>
      </c>
      <c r="HY29" s="560"/>
      <c r="HZ29" s="36"/>
      <c r="IA29" s="613"/>
      <c r="IB29" s="613"/>
      <c r="IC29" s="36"/>
      <c r="ID29" s="36"/>
      <c r="IE29" s="36"/>
      <c r="IF29" s="36"/>
      <c r="IG29" s="36"/>
      <c r="IH29" s="36"/>
      <c r="II29" s="36"/>
      <c r="IJ29" s="36"/>
      <c r="IK29" s="36"/>
      <c r="IL29" s="36"/>
      <c r="IM29" s="36"/>
      <c r="IN29" s="36"/>
      <c r="IO29" s="36"/>
      <c r="IP29" s="36"/>
      <c r="IQ29" s="36"/>
      <c r="IR29" s="36"/>
      <c r="IS29" s="36"/>
      <c r="IT29" s="36"/>
      <c r="IU29" s="36"/>
      <c r="IV29" s="95"/>
      <c r="IW29" s="95"/>
      <c r="IX29" s="36"/>
      <c r="IY29" s="393" t="s">
        <v>15</v>
      </c>
      <c r="IZ29" s="86"/>
      <c r="JA29" s="86">
        <v>1</v>
      </c>
      <c r="JB29" s="86">
        <v>1</v>
      </c>
      <c r="JC29" s="86"/>
      <c r="JD29" s="86"/>
      <c r="JE29" s="86">
        <v>1</v>
      </c>
      <c r="JF29" s="86">
        <v>4</v>
      </c>
      <c r="JG29" s="86">
        <v>1</v>
      </c>
      <c r="JH29" s="86"/>
      <c r="JI29" s="86"/>
      <c r="JJ29" s="86"/>
      <c r="JK29" s="86"/>
      <c r="JL29" s="86"/>
      <c r="JM29" s="86"/>
      <c r="JN29" s="86"/>
      <c r="JO29" s="86"/>
      <c r="JP29" s="86">
        <v>8</v>
      </c>
      <c r="JQ29" s="632">
        <v>0</v>
      </c>
      <c r="JR29" s="36"/>
      <c r="JS29" s="616"/>
      <c r="JT29" s="616"/>
      <c r="JU29" s="616"/>
      <c r="JV29" s="616" t="s">
        <v>1080</v>
      </c>
      <c r="JW29" s="616">
        <v>0</v>
      </c>
      <c r="JX29" s="616">
        <v>0</v>
      </c>
      <c r="JY29" s="616">
        <v>0</v>
      </c>
      <c r="JZ29" s="616">
        <v>0</v>
      </c>
      <c r="KA29" s="616">
        <v>0</v>
      </c>
      <c r="KB29" s="616">
        <v>0</v>
      </c>
      <c r="KC29" s="616">
        <v>0</v>
      </c>
      <c r="KD29" s="616">
        <v>0</v>
      </c>
      <c r="KE29" s="616">
        <v>0</v>
      </c>
      <c r="KF29" s="616">
        <v>0</v>
      </c>
      <c r="KG29" s="616">
        <v>0</v>
      </c>
      <c r="KH29" s="616">
        <v>0</v>
      </c>
      <c r="KI29" s="616">
        <v>1</v>
      </c>
      <c r="KJ29" s="616">
        <v>2</v>
      </c>
      <c r="KK29" s="616">
        <v>2</v>
      </c>
      <c r="KL29" s="616">
        <v>5</v>
      </c>
      <c r="KM29" s="616">
        <v>10</v>
      </c>
      <c r="KN29" s="616"/>
      <c r="KO29" s="617"/>
    </row>
    <row r="30" spans="1:301">
      <c r="A30" s="5737">
        <v>1</v>
      </c>
      <c r="B30" s="5737">
        <v>2</v>
      </c>
      <c r="C30" s="5736" t="s">
        <v>2058</v>
      </c>
      <c r="D30" s="5736" t="s">
        <v>2709</v>
      </c>
      <c r="E30" s="5737">
        <v>1</v>
      </c>
      <c r="F30" s="5737">
        <v>11</v>
      </c>
      <c r="I30" s="4726">
        <v>1</v>
      </c>
      <c r="J30" s="4726">
        <v>2</v>
      </c>
      <c r="K30" s="4725" t="s">
        <v>2058</v>
      </c>
      <c r="L30" s="4725" t="s">
        <v>2703</v>
      </c>
      <c r="M30" s="4726">
        <v>1</v>
      </c>
      <c r="N30" s="4726">
        <v>2</v>
      </c>
      <c r="Q30" s="4458"/>
      <c r="R30" s="4474"/>
      <c r="S30" s="4471" t="s">
        <v>483</v>
      </c>
      <c r="T30" s="4475"/>
      <c r="U30" s="4471"/>
      <c r="V30" s="4482">
        <f>SUM(V25:V29)</f>
        <v>28</v>
      </c>
      <c r="W30" s="4451">
        <f>+(V29)/(V30)</f>
        <v>3.5714285714285712E-2</v>
      </c>
      <c r="X30" s="4467"/>
      <c r="Y30" s="4467"/>
      <c r="Z30" s="36"/>
      <c r="AA30" s="36"/>
      <c r="AB30" s="36"/>
      <c r="AC30" s="36" t="s">
        <v>2571</v>
      </c>
      <c r="AD30" s="615">
        <v>5</v>
      </c>
      <c r="AE30" s="615"/>
      <c r="AF30" s="615"/>
      <c r="AG30" s="615"/>
      <c r="AH30" s="615"/>
      <c r="AI30" s="615">
        <v>0</v>
      </c>
      <c r="AJ30" s="615"/>
      <c r="AK30" s="615"/>
      <c r="AL30" s="615"/>
      <c r="AM30" s="615"/>
      <c r="AN30" s="615">
        <v>0</v>
      </c>
      <c r="AO30" s="615">
        <v>0</v>
      </c>
      <c r="AP30" s="615"/>
      <c r="AQ30" s="36"/>
      <c r="AR30" s="36">
        <v>5</v>
      </c>
      <c r="AS30" s="36"/>
      <c r="AU30" s="36"/>
      <c r="AV30" s="36"/>
      <c r="AW30" s="36"/>
      <c r="AX30" s="36" t="s">
        <v>1076</v>
      </c>
      <c r="AY30" s="1681"/>
      <c r="AZ30" s="1681"/>
      <c r="BA30" s="1681"/>
      <c r="BB30" s="1681"/>
      <c r="BC30" s="1681"/>
      <c r="BD30" s="1681"/>
      <c r="BE30" s="1681"/>
      <c r="BF30" s="1681"/>
      <c r="BG30" s="1681"/>
      <c r="BH30" s="1681"/>
      <c r="BI30" s="1681">
        <v>0</v>
      </c>
      <c r="BJ30" s="1681">
        <v>1</v>
      </c>
      <c r="BK30" s="1681"/>
      <c r="BL30" s="1681"/>
      <c r="BM30" s="95"/>
      <c r="BN30" s="95"/>
      <c r="BO30" s="95">
        <v>1</v>
      </c>
      <c r="BP30" s="95"/>
      <c r="BT30" s="32" t="s">
        <v>118</v>
      </c>
      <c r="BU30" s="32" t="s">
        <v>1072</v>
      </c>
      <c r="BV30" s="3871"/>
      <c r="BW30" s="3871"/>
      <c r="BX30" s="3871"/>
      <c r="BY30" s="3871"/>
      <c r="BZ30" s="3871"/>
      <c r="CA30" s="3871"/>
      <c r="CB30" s="3871"/>
      <c r="CC30" s="3871"/>
      <c r="CD30" s="3871"/>
      <c r="CE30" s="3871"/>
      <c r="CF30" s="3871">
        <v>1</v>
      </c>
      <c r="CG30" s="3871">
        <v>4</v>
      </c>
      <c r="CH30" s="3871"/>
      <c r="CI30" s="3871"/>
      <c r="CJ30" s="1518"/>
      <c r="CK30" s="1518">
        <v>5</v>
      </c>
      <c r="CN30" s="36"/>
      <c r="CO30" s="36"/>
      <c r="CP30" s="393"/>
      <c r="CQ30" s="393" t="s">
        <v>1163</v>
      </c>
      <c r="CR30" s="2049">
        <v>0</v>
      </c>
      <c r="CS30" s="2049"/>
      <c r="CT30" s="2049"/>
      <c r="CU30" s="2049"/>
      <c r="CV30" s="2049"/>
      <c r="CW30" s="2049"/>
      <c r="CX30" s="2049"/>
      <c r="CY30" s="2049"/>
      <c r="CZ30" s="2049"/>
      <c r="DA30" s="2049"/>
      <c r="DB30" s="2049">
        <v>1</v>
      </c>
      <c r="DC30" s="2049"/>
      <c r="DD30" s="2049">
        <v>1</v>
      </c>
      <c r="DE30" s="2049">
        <v>0</v>
      </c>
      <c r="DF30" s="2049">
        <v>0</v>
      </c>
      <c r="DG30" s="393"/>
      <c r="DH30" s="393"/>
      <c r="DI30" s="393">
        <v>2</v>
      </c>
      <c r="DJ30" s="36"/>
      <c r="DL30" s="36"/>
      <c r="DM30" s="36"/>
      <c r="DN30" s="36"/>
      <c r="DO30" s="393" t="s">
        <v>15</v>
      </c>
      <c r="DP30" s="1682"/>
      <c r="DQ30" s="1682"/>
      <c r="DR30" s="1682">
        <v>1</v>
      </c>
      <c r="DS30" s="1682"/>
      <c r="DT30" s="1682"/>
      <c r="DU30" s="1682"/>
      <c r="DV30" s="1682"/>
      <c r="DW30" s="1682"/>
      <c r="DX30" s="1682"/>
      <c r="DY30" s="1682">
        <v>1</v>
      </c>
      <c r="DZ30" s="1682"/>
      <c r="EA30" s="1682">
        <v>1</v>
      </c>
      <c r="EB30" s="1682">
        <v>2</v>
      </c>
      <c r="EC30" s="1682">
        <v>1</v>
      </c>
      <c r="ED30" s="1682">
        <v>3</v>
      </c>
      <c r="EE30" s="86"/>
      <c r="EF30" s="86"/>
      <c r="EG30" s="86">
        <v>9</v>
      </c>
      <c r="EH30" s="560">
        <f>+(EG26+EG29)/EG30</f>
        <v>0.22222222222222221</v>
      </c>
      <c r="EL30" s="36"/>
      <c r="EM30" s="36" t="s">
        <v>1163</v>
      </c>
      <c r="EN30" s="1490"/>
      <c r="EO30" s="1490"/>
      <c r="EP30" s="1490"/>
      <c r="EQ30" s="1490"/>
      <c r="ER30" s="1490">
        <v>0</v>
      </c>
      <c r="ES30" s="1490"/>
      <c r="ET30" s="1490"/>
      <c r="EU30" s="1490"/>
      <c r="EV30" s="1490"/>
      <c r="EW30" s="1490">
        <v>2</v>
      </c>
      <c r="EX30" s="1490">
        <v>0</v>
      </c>
      <c r="EY30" s="1490"/>
      <c r="EZ30" s="1490">
        <v>1</v>
      </c>
      <c r="FA30" s="1490">
        <v>0</v>
      </c>
      <c r="FB30" s="1490">
        <v>0</v>
      </c>
      <c r="FC30" s="36"/>
      <c r="FD30" s="36"/>
      <c r="FE30" s="36">
        <v>3</v>
      </c>
      <c r="FF30" s="36"/>
      <c r="FH30" s="1225"/>
      <c r="FI30" s="1225"/>
      <c r="FJ30" s="1225"/>
      <c r="FK30" s="1226" t="s">
        <v>1081</v>
      </c>
      <c r="FL30" s="1227"/>
      <c r="FM30" s="1227"/>
      <c r="FN30" s="1227"/>
      <c r="FO30" s="1227"/>
      <c r="FP30" s="1227"/>
      <c r="FQ30" s="1228">
        <v>0</v>
      </c>
      <c r="FR30" s="1228">
        <v>0</v>
      </c>
      <c r="FS30" s="1228">
        <v>0</v>
      </c>
      <c r="FT30" s="1227"/>
      <c r="FU30" s="1227"/>
      <c r="FV30" s="1228">
        <v>2</v>
      </c>
      <c r="FW30" s="1228">
        <v>0</v>
      </c>
      <c r="FX30" s="1228">
        <v>0</v>
      </c>
      <c r="FY30" s="1229"/>
      <c r="FZ30" s="1229"/>
      <c r="GA30" s="1230">
        <v>2</v>
      </c>
      <c r="GB30" s="36"/>
      <c r="GD30" s="603"/>
      <c r="GE30" s="603"/>
      <c r="GF30" s="603"/>
      <c r="GG30" s="604" t="s">
        <v>1163</v>
      </c>
      <c r="GH30" s="606">
        <v>0</v>
      </c>
      <c r="GI30" s="605"/>
      <c r="GJ30" s="606">
        <v>0</v>
      </c>
      <c r="GK30" s="606">
        <v>0</v>
      </c>
      <c r="GL30" s="606">
        <v>0</v>
      </c>
      <c r="GM30" s="605"/>
      <c r="GN30" s="606">
        <v>1</v>
      </c>
      <c r="GO30" s="606">
        <v>0</v>
      </c>
      <c r="GP30" s="606">
        <v>0</v>
      </c>
      <c r="GQ30" s="606">
        <v>1</v>
      </c>
      <c r="GR30" s="606">
        <v>0</v>
      </c>
      <c r="GS30" s="606">
        <v>1</v>
      </c>
      <c r="GT30" s="606">
        <v>0</v>
      </c>
      <c r="GU30" s="605"/>
      <c r="GV30" s="605"/>
      <c r="GW30" s="607"/>
      <c r="GX30" s="607"/>
      <c r="GY30" s="608">
        <v>3</v>
      </c>
      <c r="GZ30" s="95"/>
      <c r="HB30" s="441"/>
      <c r="HC30" s="441"/>
      <c r="HD30" s="441"/>
      <c r="HE30" s="36"/>
      <c r="HF30" s="462" t="s">
        <v>15</v>
      </c>
      <c r="HG30" s="619">
        <v>2</v>
      </c>
      <c r="HH30" s="618"/>
      <c r="HI30" s="618"/>
      <c r="HJ30" s="618"/>
      <c r="HK30" s="618"/>
      <c r="HL30" s="619">
        <v>1</v>
      </c>
      <c r="HM30" s="619">
        <v>9</v>
      </c>
      <c r="HN30" s="619">
        <v>2</v>
      </c>
      <c r="HO30" s="618"/>
      <c r="HP30" s="618"/>
      <c r="HQ30" s="618"/>
      <c r="HR30" s="619">
        <v>1</v>
      </c>
      <c r="HS30" s="619">
        <v>1</v>
      </c>
      <c r="HT30" s="619">
        <v>1</v>
      </c>
      <c r="HU30" s="618"/>
      <c r="HV30" s="620"/>
      <c r="HW30" s="620"/>
      <c r="HX30" s="621">
        <v>17</v>
      </c>
      <c r="HY30" s="560">
        <f>+HX29/HX30</f>
        <v>0.17647058823529413</v>
      </c>
      <c r="HZ30" s="36"/>
      <c r="IA30" s="613" t="s">
        <v>25</v>
      </c>
      <c r="IB30" s="613" t="s">
        <v>4</v>
      </c>
      <c r="IC30" s="613" t="s">
        <v>119</v>
      </c>
      <c r="ID30" s="389" t="s">
        <v>1080</v>
      </c>
      <c r="IE30" s="614"/>
      <c r="IF30" s="614"/>
      <c r="IG30" s="614"/>
      <c r="IH30" s="614"/>
      <c r="II30" s="614"/>
      <c r="IJ30" s="614"/>
      <c r="IK30" s="614"/>
      <c r="IL30" s="614"/>
      <c r="IM30" s="614"/>
      <c r="IN30" s="390">
        <v>1</v>
      </c>
      <c r="IO30" s="390">
        <v>3</v>
      </c>
      <c r="IP30" s="614"/>
      <c r="IQ30" s="614"/>
      <c r="IR30" s="390">
        <v>4</v>
      </c>
      <c r="IS30" s="615"/>
      <c r="IT30" s="36"/>
      <c r="IU30" s="36"/>
      <c r="IV30" s="95" t="s">
        <v>25</v>
      </c>
      <c r="IW30" s="95" t="s">
        <v>4</v>
      </c>
      <c r="IX30" s="36" t="s">
        <v>119</v>
      </c>
      <c r="IY30" s="36" t="s">
        <v>1071</v>
      </c>
      <c r="IZ30" s="95"/>
      <c r="JA30" s="95"/>
      <c r="JB30" s="95"/>
      <c r="JC30" s="95"/>
      <c r="JD30" s="95"/>
      <c r="JE30" s="95"/>
      <c r="JF30" s="95"/>
      <c r="JG30" s="95"/>
      <c r="JH30" s="95"/>
      <c r="JI30" s="95"/>
      <c r="JJ30" s="95"/>
      <c r="JK30" s="95"/>
      <c r="JL30" s="95">
        <v>0</v>
      </c>
      <c r="JM30" s="95">
        <v>2</v>
      </c>
      <c r="JN30" s="95"/>
      <c r="JO30" s="95">
        <v>0</v>
      </c>
      <c r="JP30" s="95">
        <v>2</v>
      </c>
      <c r="JQ30" s="36"/>
      <c r="JR30" s="36"/>
      <c r="JS30" s="616"/>
      <c r="JT30" s="616"/>
      <c r="JU30" s="616"/>
      <c r="JV30" s="627" t="s">
        <v>15</v>
      </c>
      <c r="JW30" s="627">
        <v>0</v>
      </c>
      <c r="JX30" s="627">
        <v>0</v>
      </c>
      <c r="JY30" s="627">
        <v>0</v>
      </c>
      <c r="JZ30" s="627">
        <v>0</v>
      </c>
      <c r="KA30" s="627">
        <v>0</v>
      </c>
      <c r="KB30" s="627">
        <v>0</v>
      </c>
      <c r="KC30" s="627">
        <v>0</v>
      </c>
      <c r="KD30" s="627">
        <v>0</v>
      </c>
      <c r="KE30" s="627">
        <v>0</v>
      </c>
      <c r="KF30" s="627">
        <v>1</v>
      </c>
      <c r="KG30" s="627">
        <v>1</v>
      </c>
      <c r="KH30" s="627">
        <v>0</v>
      </c>
      <c r="KI30" s="627">
        <v>2</v>
      </c>
      <c r="KJ30" s="627">
        <v>3</v>
      </c>
      <c r="KK30" s="627">
        <v>2</v>
      </c>
      <c r="KL30" s="627">
        <v>5</v>
      </c>
      <c r="KM30" s="627">
        <v>14</v>
      </c>
      <c r="KN30" s="628">
        <f>+KM28/KM30</f>
        <v>0.21428571428571427</v>
      </c>
      <c r="KO30" s="617">
        <f>+KM28</f>
        <v>3</v>
      </c>
    </row>
    <row r="31" spans="1:301">
      <c r="A31" s="5737">
        <v>1</v>
      </c>
      <c r="B31" s="5737">
        <v>2</v>
      </c>
      <c r="C31" s="5736" t="s">
        <v>2058</v>
      </c>
      <c r="D31" s="5736" t="s">
        <v>2709</v>
      </c>
      <c r="E31" s="5737">
        <v>1</v>
      </c>
      <c r="F31" s="5737">
        <v>12</v>
      </c>
      <c r="I31" s="4726">
        <v>1</v>
      </c>
      <c r="J31" s="4726">
        <v>2</v>
      </c>
      <c r="K31" s="4725" t="s">
        <v>2058</v>
      </c>
      <c r="L31" s="4725" t="s">
        <v>2709</v>
      </c>
      <c r="M31" s="4726">
        <v>1</v>
      </c>
      <c r="N31" s="4726">
        <v>11</v>
      </c>
      <c r="Q31" s="4458">
        <v>1</v>
      </c>
      <c r="R31" s="4470">
        <v>4</v>
      </c>
      <c r="S31" s="4459" t="s">
        <v>1457</v>
      </c>
      <c r="T31" s="4469" t="s">
        <v>2731</v>
      </c>
      <c r="U31" s="4470">
        <v>14</v>
      </c>
      <c r="V31" s="4483">
        <v>2</v>
      </c>
      <c r="W31" s="4510"/>
      <c r="X31" s="4467"/>
      <c r="Y31" s="4467"/>
      <c r="Z31" s="36"/>
      <c r="AA31" s="36"/>
      <c r="AB31" s="36"/>
      <c r="AC31" s="4236" t="s">
        <v>15</v>
      </c>
      <c r="AD31" s="4236">
        <v>5</v>
      </c>
      <c r="AE31" s="4236"/>
      <c r="AF31" s="4236"/>
      <c r="AG31" s="4236"/>
      <c r="AH31" s="4236"/>
      <c r="AI31" s="4236">
        <v>1</v>
      </c>
      <c r="AJ31" s="4236"/>
      <c r="AK31" s="4236"/>
      <c r="AL31" s="4236"/>
      <c r="AM31" s="4236"/>
      <c r="AN31" s="4236">
        <v>23</v>
      </c>
      <c r="AO31" s="4236">
        <v>4</v>
      </c>
      <c r="AP31" s="4236"/>
      <c r="AQ31" s="4236"/>
      <c r="AR31" s="4236">
        <v>33</v>
      </c>
      <c r="AS31" s="4243">
        <f>+(AM29+AI30+AL30)/AR31</f>
        <v>0</v>
      </c>
      <c r="AU31" s="36"/>
      <c r="AV31" s="36"/>
      <c r="AW31" s="36"/>
      <c r="AX31" s="36" t="s">
        <v>1081</v>
      </c>
      <c r="AY31" s="1681"/>
      <c r="AZ31" s="1681"/>
      <c r="BA31" s="1681"/>
      <c r="BB31" s="1681"/>
      <c r="BC31" s="1681"/>
      <c r="BD31" s="1681"/>
      <c r="BE31" s="1681"/>
      <c r="BF31" s="1681"/>
      <c r="BG31" s="1681"/>
      <c r="BH31" s="1681"/>
      <c r="BI31" s="1681">
        <v>1</v>
      </c>
      <c r="BJ31" s="1681">
        <v>0</v>
      </c>
      <c r="BK31" s="1681"/>
      <c r="BL31" s="1681"/>
      <c r="BM31" s="95"/>
      <c r="BN31" s="95"/>
      <c r="BO31" s="95">
        <v>1</v>
      </c>
      <c r="BP31" s="95"/>
      <c r="BU31" s="1520" t="s">
        <v>15</v>
      </c>
      <c r="BV31" s="3872"/>
      <c r="BW31" s="3872"/>
      <c r="BX31" s="3872"/>
      <c r="BY31" s="3872"/>
      <c r="BZ31" s="3872"/>
      <c r="CA31" s="3872"/>
      <c r="CB31" s="3872"/>
      <c r="CC31" s="3872"/>
      <c r="CD31" s="3872"/>
      <c r="CE31" s="3872"/>
      <c r="CF31" s="3872">
        <v>1</v>
      </c>
      <c r="CG31" s="3872">
        <v>4</v>
      </c>
      <c r="CH31" s="3872"/>
      <c r="CI31" s="3872"/>
      <c r="CJ31" s="3806"/>
      <c r="CK31" s="3806">
        <v>5</v>
      </c>
      <c r="CL31" s="3807">
        <v>0</v>
      </c>
      <c r="CN31" s="36"/>
      <c r="CO31" s="36"/>
      <c r="CP31" s="393"/>
      <c r="CQ31" s="393" t="s">
        <v>483</v>
      </c>
      <c r="CR31" s="2049">
        <v>1</v>
      </c>
      <c r="CS31" s="2049"/>
      <c r="CT31" s="2049"/>
      <c r="CU31" s="2049"/>
      <c r="CV31" s="2049"/>
      <c r="CW31" s="2049"/>
      <c r="CX31" s="2049"/>
      <c r="CY31" s="2049"/>
      <c r="CZ31" s="2049"/>
      <c r="DA31" s="2049"/>
      <c r="DB31" s="2049">
        <v>1</v>
      </c>
      <c r="DC31" s="2049"/>
      <c r="DD31" s="2049">
        <v>1</v>
      </c>
      <c r="DE31" s="2049">
        <v>4</v>
      </c>
      <c r="DF31" s="2049">
        <v>6</v>
      </c>
      <c r="DG31" s="393"/>
      <c r="DH31" s="393"/>
      <c r="DI31" s="393">
        <v>13</v>
      </c>
      <c r="DJ31" s="560">
        <f>+(DI30+DI29)/DI31</f>
        <v>0.23076923076923078</v>
      </c>
      <c r="DK31" s="1665"/>
      <c r="DL31" s="36"/>
      <c r="DM31" s="36"/>
      <c r="DN31" s="36" t="s">
        <v>483</v>
      </c>
      <c r="DO31" s="36" t="s">
        <v>1072</v>
      </c>
      <c r="DP31" s="1681"/>
      <c r="DQ31" s="1681"/>
      <c r="DR31" s="1681">
        <v>1</v>
      </c>
      <c r="DS31" s="1681"/>
      <c r="DT31" s="1681"/>
      <c r="DU31" s="1681"/>
      <c r="DV31" s="1681"/>
      <c r="DW31" s="1681"/>
      <c r="DX31" s="1681"/>
      <c r="DY31" s="1681">
        <v>0</v>
      </c>
      <c r="DZ31" s="1681"/>
      <c r="EA31" s="1681">
        <v>0</v>
      </c>
      <c r="EB31" s="1681">
        <v>1</v>
      </c>
      <c r="EC31" s="1681">
        <v>1</v>
      </c>
      <c r="ED31" s="1681">
        <v>0</v>
      </c>
      <c r="EE31" s="95"/>
      <c r="EF31" s="95"/>
      <c r="EG31" s="95">
        <v>3</v>
      </c>
      <c r="EH31" s="36"/>
      <c r="EL31" s="36"/>
      <c r="EM31" s="393" t="s">
        <v>15</v>
      </c>
      <c r="EN31" s="1491"/>
      <c r="EO31" s="1491"/>
      <c r="EP31" s="1491"/>
      <c r="EQ31" s="1491"/>
      <c r="ER31" s="1491">
        <v>1</v>
      </c>
      <c r="ES31" s="1491"/>
      <c r="ET31" s="1491"/>
      <c r="EU31" s="1491"/>
      <c r="EV31" s="1491"/>
      <c r="EW31" s="1491">
        <v>3</v>
      </c>
      <c r="EX31" s="1491">
        <v>2</v>
      </c>
      <c r="EY31" s="1491"/>
      <c r="EZ31" s="1491">
        <v>2</v>
      </c>
      <c r="FA31" s="1491">
        <v>2</v>
      </c>
      <c r="FB31" s="1491">
        <v>1</v>
      </c>
      <c r="FC31" s="393"/>
      <c r="FD31" s="393"/>
      <c r="FE31" s="393">
        <v>11</v>
      </c>
      <c r="FF31" s="560">
        <f>+FE30/FE31</f>
        <v>0.27272727272727271</v>
      </c>
      <c r="FH31" s="1225"/>
      <c r="FI31" s="1225"/>
      <c r="FJ31" s="1225"/>
      <c r="FK31" s="1226" t="s">
        <v>1163</v>
      </c>
      <c r="FL31" s="1227"/>
      <c r="FM31" s="1227"/>
      <c r="FN31" s="1227"/>
      <c r="FO31" s="1227"/>
      <c r="FP31" s="1227"/>
      <c r="FQ31" s="1228">
        <v>0</v>
      </c>
      <c r="FR31" s="1228">
        <v>2</v>
      </c>
      <c r="FS31" s="1228">
        <v>3</v>
      </c>
      <c r="FT31" s="1227"/>
      <c r="FU31" s="1227"/>
      <c r="FV31" s="1228">
        <v>1</v>
      </c>
      <c r="FW31" s="1228">
        <v>0</v>
      </c>
      <c r="FX31" s="1228">
        <v>0</v>
      </c>
      <c r="FY31" s="1229"/>
      <c r="FZ31" s="1229"/>
      <c r="GA31" s="1230">
        <v>6</v>
      </c>
      <c r="GB31" s="36"/>
      <c r="GD31" s="603"/>
      <c r="GE31" s="603"/>
      <c r="GF31" s="603"/>
      <c r="GG31" s="622" t="s">
        <v>15</v>
      </c>
      <c r="GH31" s="624">
        <v>1</v>
      </c>
      <c r="GI31" s="623"/>
      <c r="GJ31" s="624">
        <v>1</v>
      </c>
      <c r="GK31" s="624">
        <v>3</v>
      </c>
      <c r="GL31" s="624">
        <v>1</v>
      </c>
      <c r="GM31" s="623"/>
      <c r="GN31" s="624">
        <v>11</v>
      </c>
      <c r="GO31" s="624">
        <v>5</v>
      </c>
      <c r="GP31" s="624">
        <v>3</v>
      </c>
      <c r="GQ31" s="624">
        <v>1</v>
      </c>
      <c r="GR31" s="624">
        <v>2</v>
      </c>
      <c r="GS31" s="624">
        <v>1</v>
      </c>
      <c r="GT31" s="624">
        <v>4</v>
      </c>
      <c r="GU31" s="623"/>
      <c r="GV31" s="623"/>
      <c r="GW31" s="625"/>
      <c r="GX31" s="625"/>
      <c r="GY31" s="626">
        <v>33</v>
      </c>
      <c r="GZ31" s="560">
        <f>+GY30/GY31</f>
        <v>9.0909090909090912E-2</v>
      </c>
      <c r="HB31" s="441"/>
      <c r="HC31" s="441"/>
      <c r="HD31" s="462" t="s">
        <v>726</v>
      </c>
      <c r="HE31" s="441" t="s">
        <v>1070</v>
      </c>
      <c r="HF31" s="442" t="s">
        <v>1072</v>
      </c>
      <c r="HG31" s="610">
        <v>2</v>
      </c>
      <c r="HH31" s="609"/>
      <c r="HI31" s="609"/>
      <c r="HJ31" s="609"/>
      <c r="HK31" s="609"/>
      <c r="HL31" s="610">
        <v>0</v>
      </c>
      <c r="HM31" s="610">
        <v>2</v>
      </c>
      <c r="HN31" s="610">
        <v>0</v>
      </c>
      <c r="HO31" s="609"/>
      <c r="HP31" s="609"/>
      <c r="HQ31" s="609"/>
      <c r="HR31" s="610">
        <v>0</v>
      </c>
      <c r="HS31" s="610">
        <v>1</v>
      </c>
      <c r="HT31" s="610">
        <v>0</v>
      </c>
      <c r="HU31" s="609"/>
      <c r="HV31" s="611"/>
      <c r="HW31" s="611"/>
      <c r="HX31" s="612">
        <v>5</v>
      </c>
      <c r="HY31" s="560"/>
      <c r="HZ31" s="36"/>
      <c r="IA31" s="613"/>
      <c r="IB31" s="613"/>
      <c r="IC31" s="613"/>
      <c r="ID31" s="629" t="s">
        <v>15</v>
      </c>
      <c r="IE31" s="630"/>
      <c r="IF31" s="630"/>
      <c r="IG31" s="630"/>
      <c r="IH31" s="630"/>
      <c r="II31" s="630"/>
      <c r="IJ31" s="630"/>
      <c r="IK31" s="630"/>
      <c r="IL31" s="630"/>
      <c r="IM31" s="630"/>
      <c r="IN31" s="395">
        <v>1</v>
      </c>
      <c r="IO31" s="395">
        <v>3</v>
      </c>
      <c r="IP31" s="630"/>
      <c r="IQ31" s="630"/>
      <c r="IR31" s="395">
        <v>4</v>
      </c>
      <c r="IS31" s="553">
        <v>0</v>
      </c>
      <c r="IT31" s="36"/>
      <c r="IU31" s="36"/>
      <c r="IV31" s="95"/>
      <c r="IW31" s="95"/>
      <c r="IX31" s="36"/>
      <c r="IY31" s="36" t="s">
        <v>1076</v>
      </c>
      <c r="IZ31" s="95"/>
      <c r="JA31" s="95"/>
      <c r="JB31" s="95"/>
      <c r="JC31" s="95"/>
      <c r="JD31" s="95"/>
      <c r="JE31" s="95"/>
      <c r="JF31" s="95"/>
      <c r="JG31" s="95"/>
      <c r="JH31" s="95"/>
      <c r="JI31" s="95"/>
      <c r="JJ31" s="95"/>
      <c r="JK31" s="95"/>
      <c r="JL31" s="95">
        <v>1</v>
      </c>
      <c r="JM31" s="95">
        <v>0</v>
      </c>
      <c r="JN31" s="95"/>
      <c r="JO31" s="95">
        <v>0</v>
      </c>
      <c r="JP31" s="95">
        <v>1</v>
      </c>
      <c r="JQ31" s="36"/>
      <c r="JR31" s="36"/>
      <c r="JS31" s="616"/>
      <c r="JT31" s="616"/>
      <c r="JU31" s="616" t="s">
        <v>122</v>
      </c>
      <c r="JV31" s="616" t="s">
        <v>1071</v>
      </c>
      <c r="JW31" s="616">
        <v>0</v>
      </c>
      <c r="JX31" s="616">
        <v>0</v>
      </c>
      <c r="JY31" s="616">
        <v>0</v>
      </c>
      <c r="JZ31" s="616">
        <v>0</v>
      </c>
      <c r="KA31" s="616">
        <v>0</v>
      </c>
      <c r="KB31" s="616">
        <v>0</v>
      </c>
      <c r="KC31" s="616">
        <v>0</v>
      </c>
      <c r="KD31" s="616">
        <v>0</v>
      </c>
      <c r="KE31" s="616">
        <v>0</v>
      </c>
      <c r="KF31" s="616">
        <v>0</v>
      </c>
      <c r="KG31" s="616">
        <v>0</v>
      </c>
      <c r="KH31" s="616">
        <v>0</v>
      </c>
      <c r="KI31" s="616">
        <v>0</v>
      </c>
      <c r="KJ31" s="616">
        <v>1</v>
      </c>
      <c r="KK31" s="616">
        <v>0</v>
      </c>
      <c r="KL31" s="616">
        <v>0</v>
      </c>
      <c r="KM31" s="616">
        <v>1</v>
      </c>
      <c r="KN31" s="616"/>
      <c r="KO31" s="617"/>
    </row>
    <row r="32" spans="1:301">
      <c r="A32" s="5737"/>
      <c r="B32" s="5737"/>
      <c r="C32" s="5736"/>
      <c r="D32" s="5736"/>
      <c r="E32" s="5742">
        <f>SUM(E29:E31)</f>
        <v>3</v>
      </c>
      <c r="F32" s="5737"/>
      <c r="I32" s="4726">
        <v>1</v>
      </c>
      <c r="J32" s="4726">
        <v>2</v>
      </c>
      <c r="K32" s="4725" t="s">
        <v>2058</v>
      </c>
      <c r="L32" s="4725" t="s">
        <v>2709</v>
      </c>
      <c r="M32" s="4726">
        <v>1</v>
      </c>
      <c r="N32" s="4726">
        <v>12</v>
      </c>
      <c r="Q32" s="4458">
        <v>1</v>
      </c>
      <c r="R32" s="4458">
        <v>4</v>
      </c>
      <c r="S32" s="4459" t="s">
        <v>1457</v>
      </c>
      <c r="T32" s="4461" t="s">
        <v>2732</v>
      </c>
      <c r="U32" s="4458">
        <v>9</v>
      </c>
      <c r="V32" s="4484">
        <v>1</v>
      </c>
      <c r="W32" s="4510"/>
      <c r="X32" s="4467"/>
      <c r="Y32" s="4467"/>
      <c r="Z32" s="36"/>
      <c r="AA32" s="36"/>
      <c r="AB32" s="36" t="s">
        <v>15</v>
      </c>
      <c r="AC32" s="36" t="s">
        <v>1071</v>
      </c>
      <c r="AD32" s="615">
        <v>0</v>
      </c>
      <c r="AE32" s="615"/>
      <c r="AF32" s="615"/>
      <c r="AG32" s="615"/>
      <c r="AH32" s="615"/>
      <c r="AI32" s="615">
        <v>0</v>
      </c>
      <c r="AJ32" s="615"/>
      <c r="AK32" s="615"/>
      <c r="AL32" s="615"/>
      <c r="AM32" s="615"/>
      <c r="AN32" s="615">
        <v>0</v>
      </c>
      <c r="AO32" s="615">
        <v>2</v>
      </c>
      <c r="AP32" s="615"/>
      <c r="AQ32" s="36"/>
      <c r="AR32" s="36">
        <v>2</v>
      </c>
      <c r="AS32" s="36"/>
      <c r="AU32" s="36"/>
      <c r="AV32" s="36"/>
      <c r="AW32" s="36"/>
      <c r="AX32" s="36" t="s">
        <v>15</v>
      </c>
      <c r="AY32" s="1681"/>
      <c r="AZ32" s="1681"/>
      <c r="BA32" s="1681"/>
      <c r="BB32" s="1681"/>
      <c r="BC32" s="1681"/>
      <c r="BD32" s="1681"/>
      <c r="BE32" s="1681"/>
      <c r="BF32" s="1681"/>
      <c r="BG32" s="1681"/>
      <c r="BH32" s="1681"/>
      <c r="BI32" s="1681">
        <v>1</v>
      </c>
      <c r="BJ32" s="1681">
        <v>4</v>
      </c>
      <c r="BK32" s="1681"/>
      <c r="BL32" s="1681"/>
      <c r="BM32" s="95"/>
      <c r="BN32" s="95"/>
      <c r="BO32" s="95">
        <v>5</v>
      </c>
      <c r="BP32" s="560">
        <f>+(BO30+BO31)/(BO32)</f>
        <v>0.4</v>
      </c>
      <c r="BT32" s="1520" t="s">
        <v>483</v>
      </c>
      <c r="BU32" s="1520" t="s">
        <v>1072</v>
      </c>
      <c r="BV32" s="3872">
        <v>1</v>
      </c>
      <c r="BW32" s="3872"/>
      <c r="BX32" s="3872"/>
      <c r="BY32" s="3872"/>
      <c r="BZ32" s="3872"/>
      <c r="CA32" s="3872"/>
      <c r="CB32" s="3872"/>
      <c r="CC32" s="3872"/>
      <c r="CD32" s="3872"/>
      <c r="CE32" s="3872"/>
      <c r="CF32" s="3872">
        <v>1</v>
      </c>
      <c r="CG32" s="3872">
        <v>4</v>
      </c>
      <c r="CH32" s="3872"/>
      <c r="CI32" s="3872"/>
      <c r="CJ32" s="3806"/>
      <c r="CK32" s="3806">
        <v>6</v>
      </c>
      <c r="CN32" s="36"/>
      <c r="CO32" s="36" t="s">
        <v>21</v>
      </c>
      <c r="CP32" s="36" t="s">
        <v>1455</v>
      </c>
      <c r="CQ32" s="36" t="s">
        <v>1072</v>
      </c>
      <c r="CR32" s="615"/>
      <c r="CS32" s="615"/>
      <c r="CT32" s="615"/>
      <c r="CU32" s="615"/>
      <c r="CV32" s="615"/>
      <c r="CW32" s="615"/>
      <c r="CX32" s="615"/>
      <c r="CY32" s="615"/>
      <c r="CZ32" s="615"/>
      <c r="DA32" s="615">
        <v>3</v>
      </c>
      <c r="DB32" s="615"/>
      <c r="DC32" s="615">
        <v>1</v>
      </c>
      <c r="DD32" s="615"/>
      <c r="DE32" s="615"/>
      <c r="DF32" s="615"/>
      <c r="DG32" s="36"/>
      <c r="DH32" s="36"/>
      <c r="DI32" s="36">
        <v>4</v>
      </c>
      <c r="DJ32" s="36"/>
      <c r="DL32" s="36"/>
      <c r="DM32" s="36"/>
      <c r="DN32" s="36"/>
      <c r="DO32" s="36" t="s">
        <v>1076</v>
      </c>
      <c r="DP32" s="1681"/>
      <c r="DQ32" s="1681"/>
      <c r="DR32" s="1681">
        <v>0</v>
      </c>
      <c r="DS32" s="1681"/>
      <c r="DT32" s="1681"/>
      <c r="DU32" s="1681"/>
      <c r="DV32" s="1681"/>
      <c r="DW32" s="1681"/>
      <c r="DX32" s="1681"/>
      <c r="DY32" s="1681">
        <v>0</v>
      </c>
      <c r="DZ32" s="1681"/>
      <c r="EA32" s="1681">
        <v>0</v>
      </c>
      <c r="EB32" s="1681">
        <v>1</v>
      </c>
      <c r="EC32" s="1681">
        <v>0</v>
      </c>
      <c r="ED32" s="1681">
        <v>0</v>
      </c>
      <c r="EE32" s="95"/>
      <c r="EF32" s="95"/>
      <c r="EG32" s="95">
        <v>1</v>
      </c>
      <c r="EH32" s="36"/>
      <c r="EL32" s="36" t="s">
        <v>1458</v>
      </c>
      <c r="EM32" s="36" t="s">
        <v>1072</v>
      </c>
      <c r="EN32" s="1490"/>
      <c r="EO32" s="1490"/>
      <c r="EP32" s="1490">
        <v>1</v>
      </c>
      <c r="EQ32" s="1490"/>
      <c r="ER32" s="1490"/>
      <c r="ES32" s="1490"/>
      <c r="ET32" s="1490">
        <v>1</v>
      </c>
      <c r="EU32" s="1490"/>
      <c r="EV32" s="1490">
        <v>2</v>
      </c>
      <c r="EW32" s="1490"/>
      <c r="EX32" s="1490">
        <v>1</v>
      </c>
      <c r="EY32" s="1490">
        <v>0</v>
      </c>
      <c r="EZ32" s="1490">
        <v>2</v>
      </c>
      <c r="FA32" s="1490"/>
      <c r="FB32" s="1490"/>
      <c r="FC32" s="36"/>
      <c r="FD32" s="36"/>
      <c r="FE32" s="36">
        <v>7</v>
      </c>
      <c r="FF32" s="36"/>
      <c r="FH32" s="1225"/>
      <c r="FI32" s="1225"/>
      <c r="FJ32" s="1225"/>
      <c r="FK32" s="1222" t="s">
        <v>105</v>
      </c>
      <c r="FL32" s="1231"/>
      <c r="FM32" s="1231"/>
      <c r="FN32" s="1231"/>
      <c r="FO32" s="1231"/>
      <c r="FP32" s="1231"/>
      <c r="FQ32" s="1232">
        <v>3</v>
      </c>
      <c r="FR32" s="1232">
        <v>2</v>
      </c>
      <c r="FS32" s="1232">
        <v>3</v>
      </c>
      <c r="FT32" s="1231"/>
      <c r="FU32" s="1231"/>
      <c r="FV32" s="1232">
        <v>7</v>
      </c>
      <c r="FW32" s="1232">
        <v>3</v>
      </c>
      <c r="FX32" s="1232">
        <v>3</v>
      </c>
      <c r="FY32" s="1233"/>
      <c r="FZ32" s="1233"/>
      <c r="GA32" s="1234">
        <v>21</v>
      </c>
      <c r="GB32" s="1178">
        <f>+(GA30+GA31)/GA32</f>
        <v>0.38095238095238093</v>
      </c>
      <c r="GD32" s="603"/>
      <c r="GE32" s="603"/>
      <c r="GF32" s="603" t="s">
        <v>726</v>
      </c>
      <c r="GG32" s="604" t="s">
        <v>1072</v>
      </c>
      <c r="GH32" s="606">
        <v>1</v>
      </c>
      <c r="GI32" s="605"/>
      <c r="GJ32" s="606">
        <v>0</v>
      </c>
      <c r="GK32" s="606">
        <v>0</v>
      </c>
      <c r="GL32" s="606">
        <v>0</v>
      </c>
      <c r="GM32" s="605"/>
      <c r="GN32" s="606">
        <v>0</v>
      </c>
      <c r="GO32" s="606">
        <v>0</v>
      </c>
      <c r="GP32" s="606">
        <v>0</v>
      </c>
      <c r="GQ32" s="606">
        <v>0</v>
      </c>
      <c r="GR32" s="606">
        <v>0</v>
      </c>
      <c r="GS32" s="606">
        <v>0</v>
      </c>
      <c r="GT32" s="606">
        <v>0</v>
      </c>
      <c r="GU32" s="605"/>
      <c r="GV32" s="605"/>
      <c r="GW32" s="607"/>
      <c r="GX32" s="607"/>
      <c r="GY32" s="608">
        <v>1</v>
      </c>
      <c r="GZ32" s="95"/>
      <c r="HB32" s="441"/>
      <c r="HC32" s="441"/>
      <c r="HD32" s="441"/>
      <c r="HE32" s="441"/>
      <c r="HF32" s="442" t="s">
        <v>1077</v>
      </c>
      <c r="HG32" s="610">
        <v>0</v>
      </c>
      <c r="HH32" s="609"/>
      <c r="HI32" s="609"/>
      <c r="HJ32" s="609"/>
      <c r="HK32" s="609"/>
      <c r="HL32" s="610">
        <v>1</v>
      </c>
      <c r="HM32" s="610">
        <v>5</v>
      </c>
      <c r="HN32" s="610">
        <v>2</v>
      </c>
      <c r="HO32" s="609"/>
      <c r="HP32" s="609"/>
      <c r="HQ32" s="609"/>
      <c r="HR32" s="610">
        <v>0</v>
      </c>
      <c r="HS32" s="610">
        <v>0</v>
      </c>
      <c r="HT32" s="610">
        <v>0</v>
      </c>
      <c r="HU32" s="609"/>
      <c r="HV32" s="611"/>
      <c r="HW32" s="611"/>
      <c r="HX32" s="612">
        <v>8</v>
      </c>
      <c r="HY32" s="560"/>
      <c r="HZ32" s="36"/>
      <c r="IA32" s="613"/>
      <c r="IB32" s="613"/>
      <c r="IC32" s="613" t="s">
        <v>120</v>
      </c>
      <c r="ID32" s="389" t="s">
        <v>1071</v>
      </c>
      <c r="IE32" s="614"/>
      <c r="IF32" s="614"/>
      <c r="IG32" s="614"/>
      <c r="IH32" s="614"/>
      <c r="II32" s="614"/>
      <c r="IJ32" s="614"/>
      <c r="IK32" s="614"/>
      <c r="IL32" s="390">
        <v>1</v>
      </c>
      <c r="IM32" s="614"/>
      <c r="IN32" s="390">
        <v>0</v>
      </c>
      <c r="IO32" s="390">
        <v>0</v>
      </c>
      <c r="IP32" s="390">
        <v>0</v>
      </c>
      <c r="IQ32" s="390">
        <v>0</v>
      </c>
      <c r="IR32" s="390">
        <v>1</v>
      </c>
      <c r="IS32" s="615"/>
      <c r="IT32" s="36"/>
      <c r="IU32" s="36"/>
      <c r="IV32" s="95"/>
      <c r="IW32" s="95"/>
      <c r="IX32" s="36"/>
      <c r="IY32" s="36" t="s">
        <v>1080</v>
      </c>
      <c r="IZ32" s="95"/>
      <c r="JA32" s="95"/>
      <c r="JB32" s="95"/>
      <c r="JC32" s="95"/>
      <c r="JD32" s="95"/>
      <c r="JE32" s="95"/>
      <c r="JF32" s="95"/>
      <c r="JG32" s="95"/>
      <c r="JH32" s="95"/>
      <c r="JI32" s="95"/>
      <c r="JJ32" s="95"/>
      <c r="JK32" s="95"/>
      <c r="JL32" s="95">
        <v>0</v>
      </c>
      <c r="JM32" s="95">
        <v>0</v>
      </c>
      <c r="JN32" s="95"/>
      <c r="JO32" s="95">
        <v>1</v>
      </c>
      <c r="JP32" s="95">
        <v>1</v>
      </c>
      <c r="JQ32" s="36"/>
      <c r="JR32" s="36"/>
      <c r="JS32" s="616"/>
      <c r="JT32" s="616"/>
      <c r="JU32" s="616"/>
      <c r="JV32" s="616" t="s">
        <v>1072</v>
      </c>
      <c r="JW32" s="616">
        <v>0</v>
      </c>
      <c r="JX32" s="616">
        <v>0</v>
      </c>
      <c r="JY32" s="616">
        <v>0</v>
      </c>
      <c r="JZ32" s="616">
        <v>0</v>
      </c>
      <c r="KA32" s="616">
        <v>0</v>
      </c>
      <c r="KB32" s="616">
        <v>0</v>
      </c>
      <c r="KC32" s="616">
        <v>0</v>
      </c>
      <c r="KD32" s="616">
        <v>0</v>
      </c>
      <c r="KE32" s="616">
        <v>0</v>
      </c>
      <c r="KF32" s="616">
        <v>0</v>
      </c>
      <c r="KG32" s="616">
        <v>0</v>
      </c>
      <c r="KH32" s="616">
        <v>1</v>
      </c>
      <c r="KI32" s="616">
        <v>0</v>
      </c>
      <c r="KJ32" s="616">
        <v>0</v>
      </c>
      <c r="KK32" s="616">
        <v>0</v>
      </c>
      <c r="KL32" s="616">
        <v>0</v>
      </c>
      <c r="KM32" s="616">
        <v>1</v>
      </c>
      <c r="KN32" s="616"/>
      <c r="KO32" s="617"/>
    </row>
    <row r="33" spans="1:301">
      <c r="A33" s="5737"/>
      <c r="B33" s="5737"/>
      <c r="C33" s="5736"/>
      <c r="D33" s="5738" t="s">
        <v>2754</v>
      </c>
      <c r="E33" s="5751">
        <v>0</v>
      </c>
      <c r="F33" s="5737"/>
      <c r="I33" s="4726"/>
      <c r="J33" s="4726"/>
      <c r="K33" s="4725"/>
      <c r="L33" s="4725"/>
      <c r="M33" s="4975">
        <f>SUM(M30:M32)</f>
        <v>3</v>
      </c>
      <c r="N33" s="4726"/>
      <c r="O33" s="4510">
        <v>0</v>
      </c>
      <c r="Q33" s="4458"/>
      <c r="R33" s="4458"/>
      <c r="S33" s="4465" t="s">
        <v>15</v>
      </c>
      <c r="T33" s="4461"/>
      <c r="U33" s="4458"/>
      <c r="V33" s="4485">
        <f>SUM(V31:V32)</f>
        <v>3</v>
      </c>
      <c r="W33" s="4452">
        <f>+(V32)/(V33)</f>
        <v>0.33333333333333331</v>
      </c>
      <c r="X33" s="4467"/>
      <c r="Y33" s="4467"/>
      <c r="Z33" s="36"/>
      <c r="AA33" s="36"/>
      <c r="AB33" s="36"/>
      <c r="AC33" s="36" t="s">
        <v>1072</v>
      </c>
      <c r="AD33" s="615">
        <v>0</v>
      </c>
      <c r="AE33" s="615"/>
      <c r="AF33" s="615"/>
      <c r="AG33" s="615"/>
      <c r="AH33" s="615"/>
      <c r="AI33" s="615">
        <v>0</v>
      </c>
      <c r="AJ33" s="615"/>
      <c r="AK33" s="615"/>
      <c r="AL33" s="615"/>
      <c r="AM33" s="615"/>
      <c r="AN33" s="615">
        <v>22</v>
      </c>
      <c r="AO33" s="615">
        <v>0</v>
      </c>
      <c r="AP33" s="615"/>
      <c r="AQ33" s="36"/>
      <c r="AR33" s="36">
        <v>22</v>
      </c>
      <c r="AS33" s="36"/>
      <c r="AU33" s="36"/>
      <c r="AV33" s="36"/>
      <c r="AW33" s="393" t="s">
        <v>483</v>
      </c>
      <c r="AX33" s="393" t="s">
        <v>1072</v>
      </c>
      <c r="AY33" s="1682">
        <v>1</v>
      </c>
      <c r="AZ33" s="1682"/>
      <c r="BA33" s="1682"/>
      <c r="BB33" s="1682"/>
      <c r="BC33" s="1682"/>
      <c r="BD33" s="1682"/>
      <c r="BE33" s="1682"/>
      <c r="BF33" s="1682"/>
      <c r="BG33" s="1682"/>
      <c r="BH33" s="1682"/>
      <c r="BI33" s="1682">
        <v>0</v>
      </c>
      <c r="BJ33" s="1682">
        <v>3</v>
      </c>
      <c r="BK33" s="1682"/>
      <c r="BL33" s="1682"/>
      <c r="BM33" s="4455"/>
      <c r="BN33" s="4455"/>
      <c r="BO33" s="4455">
        <v>4</v>
      </c>
      <c r="BP33" s="4455"/>
      <c r="BU33" s="1520" t="s">
        <v>15</v>
      </c>
      <c r="BV33" s="3872">
        <v>1</v>
      </c>
      <c r="BW33" s="3872"/>
      <c r="BX33" s="3872"/>
      <c r="BY33" s="3872"/>
      <c r="BZ33" s="3872"/>
      <c r="CA33" s="3872"/>
      <c r="CB33" s="3872"/>
      <c r="CC33" s="3872"/>
      <c r="CD33" s="3872"/>
      <c r="CE33" s="3872"/>
      <c r="CF33" s="3872">
        <v>1</v>
      </c>
      <c r="CG33" s="3872">
        <v>4</v>
      </c>
      <c r="CH33" s="3872"/>
      <c r="CI33" s="3872"/>
      <c r="CJ33" s="3806"/>
      <c r="CK33" s="3806">
        <v>6</v>
      </c>
      <c r="CL33" s="3807">
        <v>0</v>
      </c>
      <c r="CN33" s="36"/>
      <c r="CO33" s="36"/>
      <c r="CP33" s="36"/>
      <c r="CQ33" s="393" t="s">
        <v>15</v>
      </c>
      <c r="CR33" s="2049"/>
      <c r="CS33" s="2049"/>
      <c r="CT33" s="2049"/>
      <c r="CU33" s="2049"/>
      <c r="CV33" s="2049"/>
      <c r="CW33" s="2049"/>
      <c r="CX33" s="2049"/>
      <c r="CY33" s="2049"/>
      <c r="CZ33" s="2049"/>
      <c r="DA33" s="2049">
        <v>3</v>
      </c>
      <c r="DB33" s="2049"/>
      <c r="DC33" s="2049">
        <v>1</v>
      </c>
      <c r="DD33" s="2049"/>
      <c r="DE33" s="2049"/>
      <c r="DF33" s="2049"/>
      <c r="DG33" s="393"/>
      <c r="DH33" s="393"/>
      <c r="DI33" s="393">
        <v>4</v>
      </c>
      <c r="DJ33" s="560">
        <v>0</v>
      </c>
      <c r="DK33" s="1665"/>
      <c r="DL33" s="36"/>
      <c r="DM33" s="36"/>
      <c r="DN33" s="36"/>
      <c r="DO33" s="36" t="s">
        <v>1077</v>
      </c>
      <c r="DP33" s="1681"/>
      <c r="DQ33" s="1681"/>
      <c r="DR33" s="1681">
        <v>0</v>
      </c>
      <c r="DS33" s="1681"/>
      <c r="DT33" s="1681"/>
      <c r="DU33" s="1681"/>
      <c r="DV33" s="1681"/>
      <c r="DW33" s="1681"/>
      <c r="DX33" s="1681"/>
      <c r="DY33" s="1681">
        <v>1</v>
      </c>
      <c r="DZ33" s="1681"/>
      <c r="EA33" s="1681">
        <v>0</v>
      </c>
      <c r="EB33" s="1681">
        <v>0</v>
      </c>
      <c r="EC33" s="1681">
        <v>0</v>
      </c>
      <c r="ED33" s="1681">
        <v>0</v>
      </c>
      <c r="EE33" s="95"/>
      <c r="EF33" s="95"/>
      <c r="EG33" s="95">
        <v>1</v>
      </c>
      <c r="EH33" s="36"/>
      <c r="EL33" s="36"/>
      <c r="EM33" s="36" t="s">
        <v>1163</v>
      </c>
      <c r="EN33" s="1490"/>
      <c r="EO33" s="1490"/>
      <c r="EP33" s="1490">
        <v>0</v>
      </c>
      <c r="EQ33" s="1490"/>
      <c r="ER33" s="1490"/>
      <c r="ES33" s="1490"/>
      <c r="ET33" s="1490">
        <v>0</v>
      </c>
      <c r="EU33" s="1490"/>
      <c r="EV33" s="1490">
        <v>0</v>
      </c>
      <c r="EW33" s="1490"/>
      <c r="EX33" s="1490">
        <v>0</v>
      </c>
      <c r="EY33" s="1490">
        <v>1</v>
      </c>
      <c r="EZ33" s="1490">
        <v>0</v>
      </c>
      <c r="FA33" s="1490"/>
      <c r="FB33" s="1490"/>
      <c r="FC33" s="36"/>
      <c r="FD33" s="36"/>
      <c r="FE33" s="36">
        <v>1</v>
      </c>
      <c r="FF33" s="36"/>
      <c r="FH33" s="1225" t="s">
        <v>25</v>
      </c>
      <c r="FI33" s="1225" t="s">
        <v>4</v>
      </c>
      <c r="FJ33" s="1225" t="s">
        <v>119</v>
      </c>
      <c r="FK33" s="1226" t="s">
        <v>1080</v>
      </c>
      <c r="FL33" s="1227"/>
      <c r="FM33" s="1227"/>
      <c r="FN33" s="1227"/>
      <c r="FO33" s="1227"/>
      <c r="FP33" s="1227"/>
      <c r="FQ33" s="1227"/>
      <c r="FR33" s="1227"/>
      <c r="FS33" s="1227"/>
      <c r="FT33" s="1227"/>
      <c r="FU33" s="1227"/>
      <c r="FV33" s="1227"/>
      <c r="FW33" s="1227"/>
      <c r="FX33" s="1228">
        <v>1</v>
      </c>
      <c r="FY33" s="1229"/>
      <c r="FZ33" s="1229"/>
      <c r="GA33" s="1230">
        <v>1</v>
      </c>
      <c r="GB33" s="36"/>
      <c r="GD33" s="603"/>
      <c r="GE33" s="603"/>
      <c r="GF33" s="603"/>
      <c r="GG33" s="604" t="s">
        <v>1074</v>
      </c>
      <c r="GH33" s="606">
        <v>0</v>
      </c>
      <c r="GI33" s="605"/>
      <c r="GJ33" s="606">
        <v>0</v>
      </c>
      <c r="GK33" s="606">
        <v>0</v>
      </c>
      <c r="GL33" s="606">
        <v>1</v>
      </c>
      <c r="GM33" s="605"/>
      <c r="GN33" s="606">
        <v>0</v>
      </c>
      <c r="GO33" s="606">
        <v>0</v>
      </c>
      <c r="GP33" s="606">
        <v>0</v>
      </c>
      <c r="GQ33" s="606">
        <v>0</v>
      </c>
      <c r="GR33" s="606">
        <v>0</v>
      </c>
      <c r="GS33" s="606">
        <v>0</v>
      </c>
      <c r="GT33" s="606">
        <v>0</v>
      </c>
      <c r="GU33" s="605"/>
      <c r="GV33" s="605"/>
      <c r="GW33" s="607"/>
      <c r="GX33" s="607"/>
      <c r="GY33" s="608">
        <v>1</v>
      </c>
      <c r="GZ33" s="95"/>
      <c r="HB33" s="441"/>
      <c r="HC33" s="441"/>
      <c r="HD33" s="441"/>
      <c r="HE33" s="441"/>
      <c r="HF33" s="442" t="s">
        <v>1080</v>
      </c>
      <c r="HG33" s="610">
        <v>0</v>
      </c>
      <c r="HH33" s="609"/>
      <c r="HI33" s="609"/>
      <c r="HJ33" s="609"/>
      <c r="HK33" s="609"/>
      <c r="HL33" s="610">
        <v>0</v>
      </c>
      <c r="HM33" s="610">
        <v>0</v>
      </c>
      <c r="HN33" s="610">
        <v>0</v>
      </c>
      <c r="HO33" s="609"/>
      <c r="HP33" s="609"/>
      <c r="HQ33" s="609"/>
      <c r="HR33" s="610">
        <v>0</v>
      </c>
      <c r="HS33" s="610">
        <v>0</v>
      </c>
      <c r="HT33" s="610">
        <v>1</v>
      </c>
      <c r="HU33" s="609"/>
      <c r="HV33" s="611"/>
      <c r="HW33" s="611"/>
      <c r="HX33" s="612">
        <v>1</v>
      </c>
      <c r="HY33" s="560"/>
      <c r="HZ33" s="36"/>
      <c r="IA33" s="613"/>
      <c r="IB33" s="613"/>
      <c r="IC33" s="613"/>
      <c r="ID33" s="389" t="s">
        <v>1076</v>
      </c>
      <c r="IE33" s="614"/>
      <c r="IF33" s="614"/>
      <c r="IG33" s="614"/>
      <c r="IH33" s="614"/>
      <c r="II33" s="614"/>
      <c r="IJ33" s="614"/>
      <c r="IK33" s="614"/>
      <c r="IL33" s="390">
        <v>0</v>
      </c>
      <c r="IM33" s="614"/>
      <c r="IN33" s="390">
        <v>2</v>
      </c>
      <c r="IO33" s="390">
        <v>0</v>
      </c>
      <c r="IP33" s="390">
        <v>0</v>
      </c>
      <c r="IQ33" s="390">
        <v>0</v>
      </c>
      <c r="IR33" s="390">
        <v>2</v>
      </c>
      <c r="IS33" s="615"/>
      <c r="IT33" s="36"/>
      <c r="IU33" s="36"/>
      <c r="IV33" s="95"/>
      <c r="IW33" s="95"/>
      <c r="IX33" s="36"/>
      <c r="IY33" s="36" t="s">
        <v>1163</v>
      </c>
      <c r="IZ33" s="95"/>
      <c r="JA33" s="95"/>
      <c r="JB33" s="95"/>
      <c r="JC33" s="95"/>
      <c r="JD33" s="95"/>
      <c r="JE33" s="95"/>
      <c r="JF33" s="95"/>
      <c r="JG33" s="95"/>
      <c r="JH33" s="95"/>
      <c r="JI33" s="95"/>
      <c r="JJ33" s="95"/>
      <c r="JK33" s="95"/>
      <c r="JL33" s="95">
        <v>2</v>
      </c>
      <c r="JM33" s="95">
        <v>0</v>
      </c>
      <c r="JN33" s="95"/>
      <c r="JO33" s="95">
        <v>0</v>
      </c>
      <c r="JP33" s="95">
        <v>2</v>
      </c>
      <c r="JQ33" s="36"/>
      <c r="JR33" s="36"/>
      <c r="JS33" s="616"/>
      <c r="JT33" s="616"/>
      <c r="JU33" s="616"/>
      <c r="JV33" s="616" t="s">
        <v>1076</v>
      </c>
      <c r="JW33" s="616">
        <v>0</v>
      </c>
      <c r="JX33" s="616">
        <v>0</v>
      </c>
      <c r="JY33" s="616">
        <v>0</v>
      </c>
      <c r="JZ33" s="616">
        <v>0</v>
      </c>
      <c r="KA33" s="616">
        <v>0</v>
      </c>
      <c r="KB33" s="616">
        <v>0</v>
      </c>
      <c r="KC33" s="616">
        <v>0</v>
      </c>
      <c r="KD33" s="616">
        <v>0</v>
      </c>
      <c r="KE33" s="616">
        <v>0</v>
      </c>
      <c r="KF33" s="616">
        <v>0</v>
      </c>
      <c r="KG33" s="616">
        <v>1</v>
      </c>
      <c r="KH33" s="616">
        <v>0</v>
      </c>
      <c r="KI33" s="616">
        <v>0</v>
      </c>
      <c r="KJ33" s="616">
        <v>2</v>
      </c>
      <c r="KK33" s="616">
        <v>0</v>
      </c>
      <c r="KL33" s="616">
        <v>0</v>
      </c>
      <c r="KM33" s="616">
        <v>3</v>
      </c>
      <c r="KN33" s="616"/>
      <c r="KO33" s="617"/>
    </row>
    <row r="34" spans="1:301">
      <c r="A34" s="5737"/>
      <c r="B34" s="5737"/>
      <c r="C34" s="5742" t="s">
        <v>16</v>
      </c>
      <c r="D34" s="5736"/>
      <c r="E34" s="5742">
        <f>SUM(E32,E28)</f>
        <v>11</v>
      </c>
      <c r="F34" s="5737"/>
      <c r="G34" s="4510">
        <v>0</v>
      </c>
      <c r="I34" s="4726"/>
      <c r="J34" s="4726"/>
      <c r="K34" s="4725"/>
      <c r="L34" s="4725"/>
      <c r="M34" s="4726"/>
      <c r="N34" s="4726"/>
      <c r="Q34" s="4458">
        <v>1</v>
      </c>
      <c r="R34" s="4458">
        <v>4</v>
      </c>
      <c r="S34" s="4459" t="s">
        <v>1458</v>
      </c>
      <c r="T34" s="4459" t="s">
        <v>2709</v>
      </c>
      <c r="U34" s="4458">
        <v>9</v>
      </c>
      <c r="V34" s="4484">
        <v>1</v>
      </c>
      <c r="W34" s="4510"/>
      <c r="X34" s="4467"/>
      <c r="Y34" s="4467"/>
      <c r="Z34" s="36"/>
      <c r="AA34" s="36"/>
      <c r="AB34" s="36"/>
      <c r="AC34" s="36" t="s">
        <v>1077</v>
      </c>
      <c r="AD34" s="615">
        <v>0</v>
      </c>
      <c r="AE34" s="615"/>
      <c r="AF34" s="615"/>
      <c r="AG34" s="615"/>
      <c r="AH34" s="615"/>
      <c r="AI34" s="615">
        <v>1</v>
      </c>
      <c r="AJ34" s="615"/>
      <c r="AK34" s="615"/>
      <c r="AL34" s="615"/>
      <c r="AM34" s="615"/>
      <c r="AN34" s="615">
        <v>0</v>
      </c>
      <c r="AO34" s="615">
        <v>0</v>
      </c>
      <c r="AP34" s="615"/>
      <c r="AQ34" s="36"/>
      <c r="AR34" s="36">
        <v>1</v>
      </c>
      <c r="AS34" s="36"/>
      <c r="AW34" s="27"/>
      <c r="AX34" s="27" t="s">
        <v>1076</v>
      </c>
      <c r="AY34" s="3722">
        <v>0</v>
      </c>
      <c r="AZ34" s="3722"/>
      <c r="BA34" s="3722"/>
      <c r="BB34" s="3722"/>
      <c r="BC34" s="3722"/>
      <c r="BD34" s="3722"/>
      <c r="BE34" s="3722"/>
      <c r="BF34" s="3722"/>
      <c r="BG34" s="3722"/>
      <c r="BH34" s="3722"/>
      <c r="BI34" s="3722">
        <v>0</v>
      </c>
      <c r="BJ34" s="3722">
        <v>1</v>
      </c>
      <c r="BK34" s="3722"/>
      <c r="BL34" s="3722"/>
      <c r="BM34" s="3701"/>
      <c r="BN34" s="3701"/>
      <c r="BO34" s="3701">
        <v>1</v>
      </c>
      <c r="BP34" s="3701"/>
      <c r="BS34" s="32" t="s">
        <v>21</v>
      </c>
      <c r="BT34" s="32" t="s">
        <v>1456</v>
      </c>
      <c r="BU34" s="32" t="s">
        <v>1077</v>
      </c>
      <c r="BV34" s="3871"/>
      <c r="BW34" s="3871"/>
      <c r="BX34" s="3871"/>
      <c r="BY34" s="3871"/>
      <c r="BZ34" s="3871"/>
      <c r="CA34" s="3871"/>
      <c r="CB34" s="3871"/>
      <c r="CC34" s="3871"/>
      <c r="CD34" s="3871">
        <v>0</v>
      </c>
      <c r="CE34" s="3871"/>
      <c r="CF34" s="3871"/>
      <c r="CG34" s="3871"/>
      <c r="CH34" s="3871"/>
      <c r="CI34" s="3871"/>
      <c r="CJ34" s="1518">
        <v>1</v>
      </c>
      <c r="CK34" s="1518">
        <v>1</v>
      </c>
      <c r="CN34" s="36"/>
      <c r="CO34" s="36"/>
      <c r="CP34" s="36" t="s">
        <v>1456</v>
      </c>
      <c r="CQ34" s="36" t="s">
        <v>1072</v>
      </c>
      <c r="CR34" s="615"/>
      <c r="CS34" s="615"/>
      <c r="CT34" s="615"/>
      <c r="CU34" s="615"/>
      <c r="CV34" s="615">
        <v>0</v>
      </c>
      <c r="CW34" s="615"/>
      <c r="CX34" s="615">
        <v>1</v>
      </c>
      <c r="CY34" s="615"/>
      <c r="CZ34" s="615"/>
      <c r="DA34" s="615">
        <v>2</v>
      </c>
      <c r="DB34" s="615">
        <v>2</v>
      </c>
      <c r="DC34" s="615"/>
      <c r="DD34" s="615"/>
      <c r="DE34" s="615"/>
      <c r="DF34" s="615">
        <v>0</v>
      </c>
      <c r="DG34" s="36"/>
      <c r="DH34" s="36"/>
      <c r="DI34" s="36">
        <v>5</v>
      </c>
      <c r="DJ34" s="36"/>
      <c r="DL34" s="36"/>
      <c r="DM34" s="36"/>
      <c r="DN34" s="36"/>
      <c r="DO34" s="36" t="s">
        <v>1080</v>
      </c>
      <c r="DP34" s="1681"/>
      <c r="DQ34" s="1681"/>
      <c r="DR34" s="1681">
        <v>0</v>
      </c>
      <c r="DS34" s="1681"/>
      <c r="DT34" s="1681"/>
      <c r="DU34" s="1681"/>
      <c r="DV34" s="1681"/>
      <c r="DW34" s="1681"/>
      <c r="DX34" s="1681"/>
      <c r="DY34" s="1681">
        <v>0</v>
      </c>
      <c r="DZ34" s="1681"/>
      <c r="EA34" s="1681">
        <v>0</v>
      </c>
      <c r="EB34" s="1681">
        <v>0</v>
      </c>
      <c r="EC34" s="1681">
        <v>0</v>
      </c>
      <c r="ED34" s="1681">
        <v>3</v>
      </c>
      <c r="EE34" s="95"/>
      <c r="EF34" s="95"/>
      <c r="EG34" s="95">
        <v>3</v>
      </c>
      <c r="EH34" s="36"/>
      <c r="EL34" s="36"/>
      <c r="EM34" s="393" t="s">
        <v>15</v>
      </c>
      <c r="EN34" s="1491"/>
      <c r="EO34" s="1491"/>
      <c r="EP34" s="1491">
        <v>1</v>
      </c>
      <c r="EQ34" s="1491"/>
      <c r="ER34" s="1491"/>
      <c r="ES34" s="1491"/>
      <c r="ET34" s="1491">
        <v>1</v>
      </c>
      <c r="EU34" s="1491"/>
      <c r="EV34" s="1491">
        <v>2</v>
      </c>
      <c r="EW34" s="1491"/>
      <c r="EX34" s="1491">
        <v>1</v>
      </c>
      <c r="EY34" s="1491">
        <v>1</v>
      </c>
      <c r="EZ34" s="1491">
        <v>2</v>
      </c>
      <c r="FA34" s="1491"/>
      <c r="FB34" s="1491"/>
      <c r="FC34" s="393"/>
      <c r="FD34" s="393"/>
      <c r="FE34" s="393">
        <v>8</v>
      </c>
      <c r="FF34" s="560">
        <f>+FE33/FE34</f>
        <v>0.125</v>
      </c>
      <c r="FH34" s="1225"/>
      <c r="FI34" s="1225"/>
      <c r="FJ34" s="1225"/>
      <c r="FK34" s="1220" t="s">
        <v>15</v>
      </c>
      <c r="FL34" s="1227"/>
      <c r="FM34" s="1227"/>
      <c r="FN34" s="1227"/>
      <c r="FO34" s="1227"/>
      <c r="FP34" s="1227"/>
      <c r="FQ34" s="1227"/>
      <c r="FR34" s="1227"/>
      <c r="FS34" s="1227"/>
      <c r="FT34" s="1227"/>
      <c r="FU34" s="1227"/>
      <c r="FV34" s="1227"/>
      <c r="FW34" s="1227"/>
      <c r="FX34" s="1228">
        <v>1</v>
      </c>
      <c r="FY34" s="1229"/>
      <c r="FZ34" s="1229"/>
      <c r="GA34" s="1230">
        <v>1</v>
      </c>
      <c r="GB34" s="1178">
        <v>0</v>
      </c>
      <c r="GD34" s="603"/>
      <c r="GE34" s="603"/>
      <c r="GF34" s="603"/>
      <c r="GG34" s="604" t="s">
        <v>1077</v>
      </c>
      <c r="GH34" s="606">
        <v>0</v>
      </c>
      <c r="GI34" s="605"/>
      <c r="GJ34" s="606">
        <v>1</v>
      </c>
      <c r="GK34" s="606">
        <v>3</v>
      </c>
      <c r="GL34" s="606">
        <v>0</v>
      </c>
      <c r="GM34" s="605"/>
      <c r="GN34" s="606">
        <v>10</v>
      </c>
      <c r="GO34" s="606">
        <v>5</v>
      </c>
      <c r="GP34" s="606">
        <v>3</v>
      </c>
      <c r="GQ34" s="606">
        <v>0</v>
      </c>
      <c r="GR34" s="606">
        <v>2</v>
      </c>
      <c r="GS34" s="606">
        <v>0</v>
      </c>
      <c r="GT34" s="606">
        <v>4</v>
      </c>
      <c r="GU34" s="605"/>
      <c r="GV34" s="605"/>
      <c r="GW34" s="607"/>
      <c r="GX34" s="607"/>
      <c r="GY34" s="608">
        <v>28</v>
      </c>
      <c r="GZ34" s="95"/>
      <c r="HB34" s="441"/>
      <c r="HC34" s="441"/>
      <c r="HD34" s="441"/>
      <c r="HE34" s="441"/>
      <c r="HF34" s="442" t="s">
        <v>1163</v>
      </c>
      <c r="HG34" s="610">
        <v>0</v>
      </c>
      <c r="HH34" s="609"/>
      <c r="HI34" s="609"/>
      <c r="HJ34" s="609"/>
      <c r="HK34" s="609"/>
      <c r="HL34" s="610">
        <v>0</v>
      </c>
      <c r="HM34" s="610">
        <v>2</v>
      </c>
      <c r="HN34" s="610">
        <v>0</v>
      </c>
      <c r="HO34" s="609"/>
      <c r="HP34" s="609"/>
      <c r="HQ34" s="609"/>
      <c r="HR34" s="610">
        <v>1</v>
      </c>
      <c r="HS34" s="610">
        <v>0</v>
      </c>
      <c r="HT34" s="610">
        <v>0</v>
      </c>
      <c r="HU34" s="609"/>
      <c r="HV34" s="611"/>
      <c r="HW34" s="611"/>
      <c r="HX34" s="612">
        <v>3</v>
      </c>
      <c r="HY34" s="560"/>
      <c r="HZ34" s="36"/>
      <c r="IA34" s="613"/>
      <c r="IB34" s="613"/>
      <c r="IC34" s="613"/>
      <c r="ID34" s="389" t="s">
        <v>1080</v>
      </c>
      <c r="IE34" s="614"/>
      <c r="IF34" s="614"/>
      <c r="IG34" s="614"/>
      <c r="IH34" s="614"/>
      <c r="II34" s="614"/>
      <c r="IJ34" s="614"/>
      <c r="IK34" s="614"/>
      <c r="IL34" s="390">
        <v>0</v>
      </c>
      <c r="IM34" s="614"/>
      <c r="IN34" s="390">
        <v>0</v>
      </c>
      <c r="IO34" s="390">
        <v>1</v>
      </c>
      <c r="IP34" s="390">
        <v>2</v>
      </c>
      <c r="IQ34" s="390">
        <v>1</v>
      </c>
      <c r="IR34" s="390">
        <v>4</v>
      </c>
      <c r="IS34" s="615"/>
      <c r="IT34" s="36"/>
      <c r="IU34" s="36"/>
      <c r="IV34" s="95"/>
      <c r="IW34" s="95"/>
      <c r="IX34" s="36"/>
      <c r="IY34" s="393" t="s">
        <v>15</v>
      </c>
      <c r="IZ34" s="86"/>
      <c r="JA34" s="86"/>
      <c r="JB34" s="86"/>
      <c r="JC34" s="86"/>
      <c r="JD34" s="86"/>
      <c r="JE34" s="86"/>
      <c r="JF34" s="86"/>
      <c r="JG34" s="86"/>
      <c r="JH34" s="86"/>
      <c r="JI34" s="86"/>
      <c r="JJ34" s="86"/>
      <c r="JK34" s="86"/>
      <c r="JL34" s="86">
        <v>3</v>
      </c>
      <c r="JM34" s="86">
        <v>2</v>
      </c>
      <c r="JN34" s="86"/>
      <c r="JO34" s="86">
        <v>1</v>
      </c>
      <c r="JP34" s="86">
        <v>6</v>
      </c>
      <c r="JQ34" s="631">
        <f>+(JP31+JP33)/JP34</f>
        <v>0.5</v>
      </c>
      <c r="JR34" s="36"/>
      <c r="JS34" s="616"/>
      <c r="JT34" s="616"/>
      <c r="JU34" s="616"/>
      <c r="JV34" s="616" t="s">
        <v>1080</v>
      </c>
      <c r="JW34" s="616">
        <v>0</v>
      </c>
      <c r="JX34" s="616">
        <v>0</v>
      </c>
      <c r="JY34" s="616">
        <v>0</v>
      </c>
      <c r="JZ34" s="616">
        <v>0</v>
      </c>
      <c r="KA34" s="616">
        <v>0</v>
      </c>
      <c r="KB34" s="616">
        <v>0</v>
      </c>
      <c r="KC34" s="616">
        <v>0</v>
      </c>
      <c r="KD34" s="616">
        <v>0</v>
      </c>
      <c r="KE34" s="616">
        <v>0</v>
      </c>
      <c r="KF34" s="616">
        <v>0</v>
      </c>
      <c r="KG34" s="616">
        <v>0</v>
      </c>
      <c r="KH34" s="616">
        <v>0</v>
      </c>
      <c r="KI34" s="616">
        <v>1</v>
      </c>
      <c r="KJ34" s="616">
        <v>1</v>
      </c>
      <c r="KK34" s="616">
        <v>0</v>
      </c>
      <c r="KL34" s="616">
        <v>3</v>
      </c>
      <c r="KM34" s="616">
        <v>5</v>
      </c>
      <c r="KN34" s="616"/>
      <c r="KO34" s="617"/>
    </row>
    <row r="35" spans="1:301">
      <c r="A35" s="5737">
        <v>1</v>
      </c>
      <c r="B35" s="5737">
        <v>4</v>
      </c>
      <c r="C35" s="5736" t="s">
        <v>2724</v>
      </c>
      <c r="D35" s="5736" t="s">
        <v>2731</v>
      </c>
      <c r="E35" s="5737">
        <v>1</v>
      </c>
      <c r="F35" s="5737">
        <v>11</v>
      </c>
      <c r="I35" s="4726"/>
      <c r="J35" s="4726"/>
      <c r="K35" s="4971" t="s">
        <v>16</v>
      </c>
      <c r="L35" s="4972"/>
      <c r="M35" s="4974">
        <f>SUM(M33,M29)</f>
        <v>11</v>
      </c>
      <c r="N35" s="4973"/>
      <c r="O35" s="4451">
        <v>0</v>
      </c>
      <c r="Q35" s="4458">
        <v>1</v>
      </c>
      <c r="R35" s="4458">
        <v>4</v>
      </c>
      <c r="S35" s="4459" t="s">
        <v>1458</v>
      </c>
      <c r="T35" s="4461" t="s">
        <v>1076</v>
      </c>
      <c r="U35" s="4458">
        <v>13</v>
      </c>
      <c r="V35" s="4484">
        <v>1</v>
      </c>
      <c r="W35" s="4510"/>
      <c r="X35" s="4467"/>
      <c r="Y35" s="4467"/>
      <c r="Z35" s="36"/>
      <c r="AA35" s="36"/>
      <c r="AB35" s="36"/>
      <c r="AC35" s="36" t="s">
        <v>1080</v>
      </c>
      <c r="AD35" s="615">
        <v>0</v>
      </c>
      <c r="AE35" s="615"/>
      <c r="AF35" s="615"/>
      <c r="AG35" s="615"/>
      <c r="AH35" s="615"/>
      <c r="AI35" s="615">
        <v>0</v>
      </c>
      <c r="AJ35" s="615"/>
      <c r="AK35" s="615"/>
      <c r="AL35" s="615"/>
      <c r="AM35" s="615"/>
      <c r="AN35" s="615">
        <v>1</v>
      </c>
      <c r="AO35" s="615">
        <v>2</v>
      </c>
      <c r="AP35" s="615"/>
      <c r="AQ35" s="36"/>
      <c r="AR35" s="36">
        <v>3</v>
      </c>
      <c r="AS35" s="36"/>
      <c r="AU35" s="36"/>
      <c r="AV35" s="36"/>
      <c r="AW35" s="393"/>
      <c r="AX35" s="393" t="s">
        <v>1081</v>
      </c>
      <c r="AY35" s="1682">
        <v>0</v>
      </c>
      <c r="AZ35" s="1682"/>
      <c r="BA35" s="1682"/>
      <c r="BB35" s="1682"/>
      <c r="BC35" s="1682"/>
      <c r="BD35" s="1682"/>
      <c r="BE35" s="1682"/>
      <c r="BF35" s="1682"/>
      <c r="BG35" s="1682"/>
      <c r="BH35" s="1682"/>
      <c r="BI35" s="1682">
        <v>1</v>
      </c>
      <c r="BJ35" s="1682">
        <v>0</v>
      </c>
      <c r="BK35" s="1682"/>
      <c r="BL35" s="1682"/>
      <c r="BM35" s="4455"/>
      <c r="BN35" s="4455"/>
      <c r="BO35" s="4455">
        <v>1</v>
      </c>
      <c r="BP35" s="4455"/>
      <c r="BU35" s="32" t="s">
        <v>1163</v>
      </c>
      <c r="BV35" s="3871"/>
      <c r="BW35" s="3871"/>
      <c r="BX35" s="3871"/>
      <c r="BY35" s="3871"/>
      <c r="BZ35" s="3871"/>
      <c r="CA35" s="3871"/>
      <c r="CB35" s="3871"/>
      <c r="CC35" s="3871"/>
      <c r="CD35" s="3871">
        <v>1</v>
      </c>
      <c r="CE35" s="3871"/>
      <c r="CF35" s="3871"/>
      <c r="CG35" s="3871"/>
      <c r="CH35" s="3871"/>
      <c r="CI35" s="3871"/>
      <c r="CJ35" s="1518">
        <v>0</v>
      </c>
      <c r="CK35" s="1518">
        <v>1</v>
      </c>
      <c r="CL35" s="3807">
        <f>+CK35/CK36</f>
        <v>0.5</v>
      </c>
      <c r="CN35" s="36"/>
      <c r="CO35" s="36"/>
      <c r="CP35" s="36"/>
      <c r="CQ35" s="36" t="s">
        <v>1074</v>
      </c>
      <c r="CR35" s="615"/>
      <c r="CS35" s="615"/>
      <c r="CT35" s="615"/>
      <c r="CU35" s="615"/>
      <c r="CV35" s="615">
        <v>1</v>
      </c>
      <c r="CW35" s="615"/>
      <c r="CX35" s="615">
        <v>0</v>
      </c>
      <c r="CY35" s="615"/>
      <c r="CZ35" s="615"/>
      <c r="DA35" s="615">
        <v>0</v>
      </c>
      <c r="DB35" s="615">
        <v>0</v>
      </c>
      <c r="DC35" s="615"/>
      <c r="DD35" s="615"/>
      <c r="DE35" s="615"/>
      <c r="DF35" s="615">
        <v>0</v>
      </c>
      <c r="DG35" s="36"/>
      <c r="DH35" s="36"/>
      <c r="DI35" s="36">
        <v>1</v>
      </c>
      <c r="DJ35" s="36"/>
      <c r="DL35" s="36"/>
      <c r="DM35" s="36"/>
      <c r="DN35" s="36"/>
      <c r="DO35" s="36" t="s">
        <v>1081</v>
      </c>
      <c r="DP35" s="1681"/>
      <c r="DQ35" s="1681"/>
      <c r="DR35" s="1681">
        <v>0</v>
      </c>
      <c r="DS35" s="1681"/>
      <c r="DT35" s="1681"/>
      <c r="DU35" s="1681"/>
      <c r="DV35" s="1681"/>
      <c r="DW35" s="1681"/>
      <c r="DX35" s="1681"/>
      <c r="DY35" s="1681">
        <v>0</v>
      </c>
      <c r="DZ35" s="1681"/>
      <c r="EA35" s="1681">
        <v>1</v>
      </c>
      <c r="EB35" s="1681">
        <v>0</v>
      </c>
      <c r="EC35" s="1681">
        <v>0</v>
      </c>
      <c r="ED35" s="1681">
        <v>0</v>
      </c>
      <c r="EE35" s="95"/>
      <c r="EF35" s="95"/>
      <c r="EG35" s="95">
        <v>1</v>
      </c>
      <c r="EH35" s="36"/>
      <c r="EL35" s="36" t="s">
        <v>726</v>
      </c>
      <c r="EM35" s="36" t="s">
        <v>1072</v>
      </c>
      <c r="EN35" s="1490"/>
      <c r="EO35" s="1490"/>
      <c r="EP35" s="1490">
        <v>1</v>
      </c>
      <c r="EQ35" s="1490"/>
      <c r="ER35" s="1490">
        <v>1</v>
      </c>
      <c r="ES35" s="1490"/>
      <c r="ET35" s="1490">
        <v>2</v>
      </c>
      <c r="EU35" s="1490">
        <v>0</v>
      </c>
      <c r="EV35" s="1490">
        <v>2</v>
      </c>
      <c r="EW35" s="1490">
        <v>1</v>
      </c>
      <c r="EX35" s="1490">
        <v>2</v>
      </c>
      <c r="EY35" s="1490">
        <v>0</v>
      </c>
      <c r="EZ35" s="1490">
        <v>3</v>
      </c>
      <c r="FA35" s="1490">
        <v>1</v>
      </c>
      <c r="FB35" s="1490">
        <v>0</v>
      </c>
      <c r="FC35" s="36"/>
      <c r="FD35" s="36"/>
      <c r="FE35" s="36">
        <v>13</v>
      </c>
      <c r="FF35" s="36"/>
      <c r="FH35" s="1225"/>
      <c r="FI35" s="1225"/>
      <c r="FJ35" s="1225" t="s">
        <v>120</v>
      </c>
      <c r="FK35" s="1226" t="s">
        <v>1072</v>
      </c>
      <c r="FL35" s="1227"/>
      <c r="FM35" s="1228">
        <v>1</v>
      </c>
      <c r="FN35" s="1228">
        <v>0</v>
      </c>
      <c r="FO35" s="1227"/>
      <c r="FP35" s="1228">
        <v>1</v>
      </c>
      <c r="FQ35" s="1227"/>
      <c r="FR35" s="1227"/>
      <c r="FS35" s="1227"/>
      <c r="FT35" s="1227"/>
      <c r="FU35" s="1227"/>
      <c r="FV35" s="1227"/>
      <c r="FW35" s="1227"/>
      <c r="FX35" s="1228">
        <v>0</v>
      </c>
      <c r="FY35" s="1230">
        <v>0</v>
      </c>
      <c r="FZ35" s="1230">
        <v>0</v>
      </c>
      <c r="GA35" s="1230">
        <v>2</v>
      </c>
      <c r="GB35" s="36"/>
      <c r="GD35" s="603"/>
      <c r="GE35" s="603"/>
      <c r="GF35" s="603"/>
      <c r="GG35" s="604" t="s">
        <v>1163</v>
      </c>
      <c r="GH35" s="606">
        <v>0</v>
      </c>
      <c r="GI35" s="605"/>
      <c r="GJ35" s="606">
        <v>0</v>
      </c>
      <c r="GK35" s="606">
        <v>0</v>
      </c>
      <c r="GL35" s="606">
        <v>0</v>
      </c>
      <c r="GM35" s="605"/>
      <c r="GN35" s="606">
        <v>1</v>
      </c>
      <c r="GO35" s="606">
        <v>0</v>
      </c>
      <c r="GP35" s="606">
        <v>0</v>
      </c>
      <c r="GQ35" s="606">
        <v>1</v>
      </c>
      <c r="GR35" s="606">
        <v>0</v>
      </c>
      <c r="GS35" s="606">
        <v>1</v>
      </c>
      <c r="GT35" s="606">
        <v>0</v>
      </c>
      <c r="GU35" s="605"/>
      <c r="GV35" s="605"/>
      <c r="GW35" s="607"/>
      <c r="GX35" s="607"/>
      <c r="GY35" s="608">
        <v>3</v>
      </c>
      <c r="GZ35" s="95"/>
      <c r="HB35" s="441"/>
      <c r="HC35" s="441"/>
      <c r="HD35" s="441"/>
      <c r="HE35" s="36"/>
      <c r="HF35" s="462" t="s">
        <v>726</v>
      </c>
      <c r="HG35" s="619">
        <v>2</v>
      </c>
      <c r="HH35" s="618"/>
      <c r="HI35" s="618"/>
      <c r="HJ35" s="618"/>
      <c r="HK35" s="618"/>
      <c r="HL35" s="619">
        <v>1</v>
      </c>
      <c r="HM35" s="619">
        <v>9</v>
      </c>
      <c r="HN35" s="619">
        <v>2</v>
      </c>
      <c r="HO35" s="618"/>
      <c r="HP35" s="618"/>
      <c r="HQ35" s="618"/>
      <c r="HR35" s="619">
        <v>1</v>
      </c>
      <c r="HS35" s="619">
        <v>1</v>
      </c>
      <c r="HT35" s="619">
        <v>1</v>
      </c>
      <c r="HU35" s="618"/>
      <c r="HV35" s="620"/>
      <c r="HW35" s="620"/>
      <c r="HX35" s="621">
        <v>17</v>
      </c>
      <c r="HY35" s="560">
        <f>+HX34/HX35</f>
        <v>0.17647058823529413</v>
      </c>
      <c r="HZ35" s="36"/>
      <c r="IA35" s="613"/>
      <c r="IB35" s="613"/>
      <c r="IC35" s="613"/>
      <c r="ID35" s="629" t="s">
        <v>15</v>
      </c>
      <c r="IE35" s="630"/>
      <c r="IF35" s="630"/>
      <c r="IG35" s="630"/>
      <c r="IH35" s="630"/>
      <c r="II35" s="630"/>
      <c r="IJ35" s="630"/>
      <c r="IK35" s="630"/>
      <c r="IL35" s="395">
        <v>1</v>
      </c>
      <c r="IM35" s="630"/>
      <c r="IN35" s="395">
        <v>2</v>
      </c>
      <c r="IO35" s="395">
        <v>1</v>
      </c>
      <c r="IP35" s="395">
        <v>2</v>
      </c>
      <c r="IQ35" s="395">
        <v>1</v>
      </c>
      <c r="IR35" s="395">
        <v>7</v>
      </c>
      <c r="IS35" s="553">
        <f>+IR33/IR35</f>
        <v>0.2857142857142857</v>
      </c>
      <c r="IT35" s="36"/>
      <c r="IU35" s="36"/>
      <c r="IV35" s="95"/>
      <c r="IW35" s="95"/>
      <c r="IX35" s="36" t="s">
        <v>120</v>
      </c>
      <c r="IY35" s="36" t="s">
        <v>1071</v>
      </c>
      <c r="IZ35" s="95"/>
      <c r="JA35" s="95"/>
      <c r="JB35" s="95">
        <v>0</v>
      </c>
      <c r="JC35" s="95"/>
      <c r="JD35" s="95"/>
      <c r="JE35" s="95"/>
      <c r="JF35" s="95"/>
      <c r="JG35" s="95"/>
      <c r="JH35" s="95"/>
      <c r="JI35" s="95"/>
      <c r="JJ35" s="95"/>
      <c r="JK35" s="95"/>
      <c r="JL35" s="95">
        <v>1</v>
      </c>
      <c r="JM35" s="95">
        <v>1</v>
      </c>
      <c r="JN35" s="95">
        <v>0</v>
      </c>
      <c r="JO35" s="95"/>
      <c r="JP35" s="95">
        <v>2</v>
      </c>
      <c r="JQ35" s="36"/>
      <c r="JR35" s="36"/>
      <c r="JS35" s="616"/>
      <c r="JT35" s="616"/>
      <c r="JU35" s="616"/>
      <c r="JV35" s="627" t="s">
        <v>15</v>
      </c>
      <c r="JW35" s="627">
        <v>0</v>
      </c>
      <c r="JX35" s="627">
        <v>0</v>
      </c>
      <c r="JY35" s="627">
        <v>0</v>
      </c>
      <c r="JZ35" s="627">
        <v>0</v>
      </c>
      <c r="KA35" s="627">
        <v>0</v>
      </c>
      <c r="KB35" s="627">
        <v>0</v>
      </c>
      <c r="KC35" s="627">
        <v>0</v>
      </c>
      <c r="KD35" s="627">
        <v>0</v>
      </c>
      <c r="KE35" s="627">
        <v>0</v>
      </c>
      <c r="KF35" s="627">
        <v>0</v>
      </c>
      <c r="KG35" s="627">
        <v>1</v>
      </c>
      <c r="KH35" s="627">
        <v>1</v>
      </c>
      <c r="KI35" s="627">
        <v>1</v>
      </c>
      <c r="KJ35" s="627">
        <v>4</v>
      </c>
      <c r="KK35" s="627">
        <v>0</v>
      </c>
      <c r="KL35" s="627">
        <v>3</v>
      </c>
      <c r="KM35" s="627">
        <v>10</v>
      </c>
      <c r="KN35" s="628">
        <f>+KM33/KM35</f>
        <v>0.3</v>
      </c>
      <c r="KO35" s="617">
        <f>+KM33</f>
        <v>3</v>
      </c>
    </row>
    <row r="36" spans="1:301">
      <c r="A36" s="5737">
        <v>1</v>
      </c>
      <c r="B36" s="5737">
        <v>4</v>
      </c>
      <c r="C36" s="5736" t="s">
        <v>2724</v>
      </c>
      <c r="D36" s="5736" t="s">
        <v>2709</v>
      </c>
      <c r="E36" s="5737">
        <v>1</v>
      </c>
      <c r="F36" s="5737">
        <v>9</v>
      </c>
      <c r="I36" s="4726">
        <v>1</v>
      </c>
      <c r="J36" s="4726">
        <v>4</v>
      </c>
      <c r="K36" s="4725" t="s">
        <v>2724</v>
      </c>
      <c r="L36" s="4725" t="s">
        <v>2731</v>
      </c>
      <c r="M36" s="4726">
        <v>1</v>
      </c>
      <c r="N36" s="4726">
        <v>10</v>
      </c>
      <c r="Q36" s="4458">
        <v>1</v>
      </c>
      <c r="R36" s="4458">
        <v>4</v>
      </c>
      <c r="S36" s="4459" t="s">
        <v>1458</v>
      </c>
      <c r="T36" s="4459" t="s">
        <v>2731</v>
      </c>
      <c r="U36" s="4458">
        <v>12</v>
      </c>
      <c r="V36" s="4484">
        <v>1</v>
      </c>
      <c r="W36" s="4510"/>
      <c r="X36" s="4467"/>
      <c r="Y36" s="4467"/>
      <c r="Z36" s="36"/>
      <c r="AA36" s="36"/>
      <c r="AB36" s="36"/>
      <c r="AC36" s="36" t="s">
        <v>2571</v>
      </c>
      <c r="AD36" s="615">
        <v>5</v>
      </c>
      <c r="AE36" s="615"/>
      <c r="AF36" s="615"/>
      <c r="AG36" s="615"/>
      <c r="AH36" s="615"/>
      <c r="AI36" s="615">
        <v>0</v>
      </c>
      <c r="AJ36" s="615"/>
      <c r="AK36" s="615"/>
      <c r="AL36" s="615"/>
      <c r="AM36" s="615"/>
      <c r="AN36" s="615">
        <v>0</v>
      </c>
      <c r="AO36" s="615">
        <v>0</v>
      </c>
      <c r="AP36" s="615"/>
      <c r="AQ36" s="36"/>
      <c r="AR36" s="36">
        <v>5</v>
      </c>
      <c r="AS36" s="36"/>
      <c r="AW36" s="27"/>
      <c r="AX36" s="3868" t="s">
        <v>15</v>
      </c>
      <c r="AY36" s="3722">
        <v>1</v>
      </c>
      <c r="AZ36" s="3722"/>
      <c r="BA36" s="3722"/>
      <c r="BB36" s="3722"/>
      <c r="BC36" s="3722"/>
      <c r="BD36" s="3722"/>
      <c r="BE36" s="3722"/>
      <c r="BF36" s="3722"/>
      <c r="BG36" s="3722"/>
      <c r="BH36" s="3722"/>
      <c r="BI36" s="3722">
        <v>1</v>
      </c>
      <c r="BJ36" s="3722">
        <v>4</v>
      </c>
      <c r="BK36" s="3722"/>
      <c r="BL36" s="3722"/>
      <c r="BM36" s="3701"/>
      <c r="BN36" s="3701"/>
      <c r="BO36" s="3701">
        <v>6</v>
      </c>
      <c r="BP36" s="1665">
        <f>+(BO34+BO35)/(BO36)</f>
        <v>0.33333333333333331</v>
      </c>
      <c r="BU36" s="511" t="s">
        <v>15</v>
      </c>
      <c r="BV36" s="3872"/>
      <c r="BW36" s="3872"/>
      <c r="BX36" s="3872"/>
      <c r="BY36" s="3872"/>
      <c r="BZ36" s="3872"/>
      <c r="CA36" s="3872"/>
      <c r="CB36" s="3872"/>
      <c r="CC36" s="3872"/>
      <c r="CD36" s="3872">
        <v>1</v>
      </c>
      <c r="CE36" s="3872"/>
      <c r="CF36" s="3872"/>
      <c r="CG36" s="3872"/>
      <c r="CH36" s="3872"/>
      <c r="CI36" s="3872"/>
      <c r="CJ36" s="3806">
        <v>1</v>
      </c>
      <c r="CK36" s="3806">
        <v>2</v>
      </c>
      <c r="CN36" s="36"/>
      <c r="CO36" s="36"/>
      <c r="CP36" s="36"/>
      <c r="CQ36" s="36" t="s">
        <v>1080</v>
      </c>
      <c r="CR36" s="615"/>
      <c r="CS36" s="615"/>
      <c r="CT36" s="615"/>
      <c r="CU36" s="615"/>
      <c r="CV36" s="615">
        <v>0</v>
      </c>
      <c r="CW36" s="615"/>
      <c r="CX36" s="615">
        <v>0</v>
      </c>
      <c r="CY36" s="615"/>
      <c r="CZ36" s="615"/>
      <c r="DA36" s="615">
        <v>0</v>
      </c>
      <c r="DB36" s="615">
        <v>1</v>
      </c>
      <c r="DC36" s="615"/>
      <c r="DD36" s="615"/>
      <c r="DE36" s="615"/>
      <c r="DF36" s="615">
        <v>1</v>
      </c>
      <c r="DG36" s="36"/>
      <c r="DH36" s="36"/>
      <c r="DI36" s="36">
        <v>2</v>
      </c>
      <c r="DJ36" s="36"/>
      <c r="DL36" s="36"/>
      <c r="DM36" s="36"/>
      <c r="DN36" s="36"/>
      <c r="DO36" s="393" t="s">
        <v>483</v>
      </c>
      <c r="DP36" s="1682"/>
      <c r="DQ36" s="1682"/>
      <c r="DR36" s="1682">
        <v>1</v>
      </c>
      <c r="DS36" s="1682"/>
      <c r="DT36" s="1682"/>
      <c r="DU36" s="1682"/>
      <c r="DV36" s="1682"/>
      <c r="DW36" s="1682"/>
      <c r="DX36" s="1682"/>
      <c r="DY36" s="1682">
        <v>1</v>
      </c>
      <c r="DZ36" s="1682"/>
      <c r="EA36" s="1682">
        <v>1</v>
      </c>
      <c r="EB36" s="1682">
        <v>2</v>
      </c>
      <c r="EC36" s="1682">
        <v>1</v>
      </c>
      <c r="ED36" s="1682">
        <v>3</v>
      </c>
      <c r="EE36" s="86"/>
      <c r="EF36" s="86"/>
      <c r="EG36" s="86">
        <v>9</v>
      </c>
      <c r="EH36" s="560">
        <f>+(EG32+EG35)/EG36</f>
        <v>0.22222222222222221</v>
      </c>
      <c r="EL36" s="36"/>
      <c r="EM36" s="36" t="s">
        <v>1080</v>
      </c>
      <c r="EN36" s="1490"/>
      <c r="EO36" s="1490"/>
      <c r="EP36" s="1490">
        <v>0</v>
      </c>
      <c r="EQ36" s="1490"/>
      <c r="ER36" s="1490">
        <v>0</v>
      </c>
      <c r="ES36" s="1490"/>
      <c r="ET36" s="1490">
        <v>0</v>
      </c>
      <c r="EU36" s="1490">
        <v>1</v>
      </c>
      <c r="EV36" s="1490">
        <v>0</v>
      </c>
      <c r="EW36" s="1490">
        <v>0</v>
      </c>
      <c r="EX36" s="1490">
        <v>1</v>
      </c>
      <c r="EY36" s="1490">
        <v>0</v>
      </c>
      <c r="EZ36" s="1490">
        <v>0</v>
      </c>
      <c r="FA36" s="1490">
        <v>1</v>
      </c>
      <c r="FB36" s="1490">
        <v>1</v>
      </c>
      <c r="FC36" s="36"/>
      <c r="FD36" s="36"/>
      <c r="FE36" s="36">
        <v>4</v>
      </c>
      <c r="FF36" s="36"/>
      <c r="FH36" s="1225"/>
      <c r="FI36" s="1225"/>
      <c r="FJ36" s="1225"/>
      <c r="FK36" s="1226" t="s">
        <v>1074</v>
      </c>
      <c r="FL36" s="1227"/>
      <c r="FM36" s="1228">
        <v>0</v>
      </c>
      <c r="FN36" s="1228">
        <v>1</v>
      </c>
      <c r="FO36" s="1227"/>
      <c r="FP36" s="1228">
        <v>0</v>
      </c>
      <c r="FQ36" s="1227"/>
      <c r="FR36" s="1227"/>
      <c r="FS36" s="1227"/>
      <c r="FT36" s="1227"/>
      <c r="FU36" s="1227"/>
      <c r="FV36" s="1227"/>
      <c r="FW36" s="1227"/>
      <c r="FX36" s="1228">
        <v>0</v>
      </c>
      <c r="FY36" s="1230">
        <v>0</v>
      </c>
      <c r="FZ36" s="1230">
        <v>0</v>
      </c>
      <c r="GA36" s="1230">
        <v>1</v>
      </c>
      <c r="GB36" s="36"/>
      <c r="GD36" s="603"/>
      <c r="GE36" s="603"/>
      <c r="GF36" s="603"/>
      <c r="GG36" s="622" t="s">
        <v>726</v>
      </c>
      <c r="GH36" s="624">
        <v>1</v>
      </c>
      <c r="GI36" s="623"/>
      <c r="GJ36" s="624">
        <v>1</v>
      </c>
      <c r="GK36" s="624">
        <v>3</v>
      </c>
      <c r="GL36" s="624">
        <v>1</v>
      </c>
      <c r="GM36" s="623"/>
      <c r="GN36" s="624">
        <v>11</v>
      </c>
      <c r="GO36" s="624">
        <v>5</v>
      </c>
      <c r="GP36" s="624">
        <v>3</v>
      </c>
      <c r="GQ36" s="624">
        <v>1</v>
      </c>
      <c r="GR36" s="624">
        <v>2</v>
      </c>
      <c r="GS36" s="624">
        <v>1</v>
      </c>
      <c r="GT36" s="624">
        <v>4</v>
      </c>
      <c r="GU36" s="623"/>
      <c r="GV36" s="623"/>
      <c r="GW36" s="625"/>
      <c r="GX36" s="625"/>
      <c r="GY36" s="626">
        <v>33</v>
      </c>
      <c r="GZ36" s="560">
        <f>+GY35/GY36</f>
        <v>9.0909090909090912E-2</v>
      </c>
      <c r="HB36" s="441"/>
      <c r="HC36" s="441"/>
      <c r="HD36" s="462" t="s">
        <v>105</v>
      </c>
      <c r="HE36" s="441" t="s">
        <v>1070</v>
      </c>
      <c r="HF36" s="442" t="s">
        <v>1072</v>
      </c>
      <c r="HG36" s="610">
        <v>3</v>
      </c>
      <c r="HH36" s="609"/>
      <c r="HI36" s="609"/>
      <c r="HJ36" s="610">
        <v>1</v>
      </c>
      <c r="HK36" s="609"/>
      <c r="HL36" s="610">
        <v>0</v>
      </c>
      <c r="HM36" s="610">
        <v>3</v>
      </c>
      <c r="HN36" s="610">
        <v>0</v>
      </c>
      <c r="HO36" s="610">
        <v>0</v>
      </c>
      <c r="HP36" s="609"/>
      <c r="HQ36" s="610">
        <v>0</v>
      </c>
      <c r="HR36" s="610">
        <v>0</v>
      </c>
      <c r="HS36" s="610">
        <v>1</v>
      </c>
      <c r="HT36" s="610">
        <v>0</v>
      </c>
      <c r="HU36" s="610">
        <v>0</v>
      </c>
      <c r="HV36" s="611"/>
      <c r="HW36" s="611"/>
      <c r="HX36" s="612">
        <v>8</v>
      </c>
      <c r="HY36" s="560"/>
      <c r="HZ36" s="36"/>
      <c r="IA36" s="613"/>
      <c r="IB36" s="613"/>
      <c r="IC36" s="613" t="s">
        <v>121</v>
      </c>
      <c r="ID36" s="389" t="s">
        <v>1072</v>
      </c>
      <c r="IE36" s="614"/>
      <c r="IF36" s="614"/>
      <c r="IG36" s="614"/>
      <c r="IH36" s="614"/>
      <c r="II36" s="614"/>
      <c r="IJ36" s="614"/>
      <c r="IK36" s="390">
        <v>1</v>
      </c>
      <c r="IL36" s="390">
        <v>1</v>
      </c>
      <c r="IM36" s="614"/>
      <c r="IN36" s="390">
        <v>0</v>
      </c>
      <c r="IO36" s="390">
        <v>0</v>
      </c>
      <c r="IP36" s="390">
        <v>1</v>
      </c>
      <c r="IQ36" s="390">
        <v>0</v>
      </c>
      <c r="IR36" s="390">
        <v>3</v>
      </c>
      <c r="IS36" s="615"/>
      <c r="IT36" s="36"/>
      <c r="IU36" s="36"/>
      <c r="IV36" s="95"/>
      <c r="IW36" s="95"/>
      <c r="IX36" s="36"/>
      <c r="IY36" s="36" t="s">
        <v>1072</v>
      </c>
      <c r="IZ36" s="95"/>
      <c r="JA36" s="95"/>
      <c r="JB36" s="95">
        <v>1</v>
      </c>
      <c r="JC36" s="95"/>
      <c r="JD36" s="95"/>
      <c r="JE36" s="95"/>
      <c r="JF36" s="95"/>
      <c r="JG36" s="95"/>
      <c r="JH36" s="95"/>
      <c r="JI36" s="95"/>
      <c r="JJ36" s="95"/>
      <c r="JK36" s="95"/>
      <c r="JL36" s="95">
        <v>0</v>
      </c>
      <c r="JM36" s="95">
        <v>0</v>
      </c>
      <c r="JN36" s="95">
        <v>0</v>
      </c>
      <c r="JO36" s="95"/>
      <c r="JP36" s="95">
        <v>1</v>
      </c>
      <c r="JQ36" s="36"/>
      <c r="JR36" s="36"/>
      <c r="JS36" s="616"/>
      <c r="JT36" s="616"/>
      <c r="JU36" s="616" t="s">
        <v>123</v>
      </c>
      <c r="JV36" s="616" t="s">
        <v>1072</v>
      </c>
      <c r="JW36" s="616">
        <v>0</v>
      </c>
      <c r="JX36" s="616">
        <v>0</v>
      </c>
      <c r="JY36" s="616">
        <v>0</v>
      </c>
      <c r="JZ36" s="616">
        <v>1</v>
      </c>
      <c r="KA36" s="616">
        <v>0</v>
      </c>
      <c r="KB36" s="616">
        <v>0</v>
      </c>
      <c r="KC36" s="616">
        <v>0</v>
      </c>
      <c r="KD36" s="616">
        <v>1</v>
      </c>
      <c r="KE36" s="616">
        <v>0</v>
      </c>
      <c r="KF36" s="616">
        <v>0</v>
      </c>
      <c r="KG36" s="616">
        <v>1</v>
      </c>
      <c r="KH36" s="616">
        <v>0</v>
      </c>
      <c r="KI36" s="616">
        <v>0</v>
      </c>
      <c r="KJ36" s="616">
        <v>0</v>
      </c>
      <c r="KK36" s="616">
        <v>0</v>
      </c>
      <c r="KL36" s="616">
        <v>0</v>
      </c>
      <c r="KM36" s="616">
        <v>3</v>
      </c>
      <c r="KN36" s="616"/>
      <c r="KO36" s="617"/>
    </row>
    <row r="37" spans="1:301">
      <c r="A37" s="5737">
        <v>1</v>
      </c>
      <c r="B37" s="5737">
        <v>4</v>
      </c>
      <c r="C37" s="5736" t="s">
        <v>2724</v>
      </c>
      <c r="D37" s="5736" t="s">
        <v>2709</v>
      </c>
      <c r="E37" s="5737">
        <v>1</v>
      </c>
      <c r="F37" s="5737">
        <v>12</v>
      </c>
      <c r="I37" s="4726">
        <v>1</v>
      </c>
      <c r="J37" s="4726">
        <v>4</v>
      </c>
      <c r="K37" s="4725" t="s">
        <v>2724</v>
      </c>
      <c r="L37" s="4725" t="s">
        <v>2709</v>
      </c>
      <c r="M37" s="4726">
        <v>1</v>
      </c>
      <c r="N37" s="4726">
        <v>9</v>
      </c>
      <c r="Q37" s="4458">
        <v>1</v>
      </c>
      <c r="R37" s="4458">
        <v>4</v>
      </c>
      <c r="S37" s="4459" t="s">
        <v>1458</v>
      </c>
      <c r="T37" s="4459" t="s">
        <v>2731</v>
      </c>
      <c r="U37" s="4458">
        <v>14</v>
      </c>
      <c r="V37" s="4484">
        <v>1</v>
      </c>
      <c r="W37" s="4510"/>
      <c r="X37" s="4467"/>
      <c r="Y37" s="4467"/>
      <c r="Z37" s="36"/>
      <c r="AA37" s="36"/>
      <c r="AB37" s="36"/>
      <c r="AC37" s="4236" t="s">
        <v>15</v>
      </c>
      <c r="AD37" s="4236">
        <v>5</v>
      </c>
      <c r="AE37" s="4236"/>
      <c r="AF37" s="4236"/>
      <c r="AG37" s="4236"/>
      <c r="AH37" s="4236"/>
      <c r="AI37" s="4236">
        <v>1</v>
      </c>
      <c r="AJ37" s="4236"/>
      <c r="AK37" s="4236"/>
      <c r="AL37" s="4236"/>
      <c r="AM37" s="4236"/>
      <c r="AN37" s="4236">
        <v>23</v>
      </c>
      <c r="AO37" s="4236">
        <v>4</v>
      </c>
      <c r="AP37" s="4236"/>
      <c r="AQ37" s="4236"/>
      <c r="AR37" s="4236">
        <v>33</v>
      </c>
      <c r="AS37" s="4243">
        <f>+(AM35+AI36+AL36)/AR37</f>
        <v>0</v>
      </c>
      <c r="AV37" s="3868" t="s">
        <v>21</v>
      </c>
      <c r="AW37" s="3868" t="s">
        <v>1456</v>
      </c>
      <c r="AX37" s="3868" t="s">
        <v>1077</v>
      </c>
      <c r="AY37" s="3721"/>
      <c r="AZ37" s="3721"/>
      <c r="BA37" s="3721"/>
      <c r="BB37" s="3721"/>
      <c r="BC37" s="3721"/>
      <c r="BD37" s="3721"/>
      <c r="BE37" s="3721"/>
      <c r="BF37" s="3721"/>
      <c r="BG37" s="3721">
        <v>0</v>
      </c>
      <c r="BH37" s="3721"/>
      <c r="BI37" s="3721"/>
      <c r="BJ37" s="3721"/>
      <c r="BK37" s="3721"/>
      <c r="BL37" s="3721"/>
      <c r="BM37" s="2110">
        <v>1</v>
      </c>
      <c r="BN37" s="2110"/>
      <c r="BO37" s="2110">
        <v>1</v>
      </c>
      <c r="BP37" s="2110"/>
      <c r="BT37" s="32" t="s">
        <v>1457</v>
      </c>
      <c r="BU37" s="32" t="s">
        <v>1072</v>
      </c>
      <c r="BV37" s="3871"/>
      <c r="BW37" s="3871"/>
      <c r="BX37" s="3871"/>
      <c r="BY37" s="3871"/>
      <c r="BZ37" s="3871"/>
      <c r="CA37" s="3871"/>
      <c r="CB37" s="3871"/>
      <c r="CC37" s="3871"/>
      <c r="CD37" s="3871"/>
      <c r="CE37" s="3871">
        <v>0</v>
      </c>
      <c r="CF37" s="3871">
        <v>1</v>
      </c>
      <c r="CG37" s="3871">
        <v>0</v>
      </c>
      <c r="CH37" s="3871"/>
      <c r="CI37" s="3871">
        <v>0</v>
      </c>
      <c r="CJ37" s="1518"/>
      <c r="CK37" s="1518">
        <v>1</v>
      </c>
      <c r="CN37" s="36"/>
      <c r="CO37" s="36"/>
      <c r="CP37" s="36"/>
      <c r="CQ37" s="393" t="s">
        <v>15</v>
      </c>
      <c r="CR37" s="2049"/>
      <c r="CS37" s="2049"/>
      <c r="CT37" s="2049"/>
      <c r="CU37" s="2049"/>
      <c r="CV37" s="2049">
        <v>1</v>
      </c>
      <c r="CW37" s="2049"/>
      <c r="CX37" s="2049">
        <v>1</v>
      </c>
      <c r="CY37" s="2049"/>
      <c r="CZ37" s="2049"/>
      <c r="DA37" s="2049">
        <v>2</v>
      </c>
      <c r="DB37" s="2049">
        <v>3</v>
      </c>
      <c r="DC37" s="2049"/>
      <c r="DD37" s="2049"/>
      <c r="DE37" s="2049"/>
      <c r="DF37" s="2049">
        <v>1</v>
      </c>
      <c r="DG37" s="393"/>
      <c r="DH37" s="393"/>
      <c r="DI37" s="393">
        <v>8</v>
      </c>
      <c r="DJ37" s="560">
        <v>0</v>
      </c>
      <c r="DK37" s="1665"/>
      <c r="DL37" s="36"/>
      <c r="DM37" s="36"/>
      <c r="DN37" s="36" t="s">
        <v>105</v>
      </c>
      <c r="DO37" s="36" t="s">
        <v>1072</v>
      </c>
      <c r="DP37" s="1681"/>
      <c r="DQ37" s="1681"/>
      <c r="DR37" s="1681">
        <v>1</v>
      </c>
      <c r="DS37" s="1681"/>
      <c r="DT37" s="1681"/>
      <c r="DU37" s="1681"/>
      <c r="DV37" s="1681"/>
      <c r="DW37" s="1681">
        <v>0</v>
      </c>
      <c r="DX37" s="1681">
        <v>0</v>
      </c>
      <c r="DY37" s="1681">
        <v>1</v>
      </c>
      <c r="DZ37" s="1681">
        <v>0</v>
      </c>
      <c r="EA37" s="1681">
        <v>1</v>
      </c>
      <c r="EB37" s="1681">
        <v>1</v>
      </c>
      <c r="EC37" s="1681">
        <v>1</v>
      </c>
      <c r="ED37" s="1681">
        <v>0</v>
      </c>
      <c r="EE37" s="95"/>
      <c r="EF37" s="95"/>
      <c r="EG37" s="95">
        <v>5</v>
      </c>
      <c r="EH37" s="36"/>
      <c r="EL37" s="36"/>
      <c r="EM37" s="36" t="s">
        <v>1163</v>
      </c>
      <c r="EN37" s="1490"/>
      <c r="EO37" s="1490"/>
      <c r="EP37" s="1490">
        <v>0</v>
      </c>
      <c r="EQ37" s="1490"/>
      <c r="ER37" s="1490">
        <v>0</v>
      </c>
      <c r="ES37" s="1490"/>
      <c r="ET37" s="1490">
        <v>1</v>
      </c>
      <c r="EU37" s="1490">
        <v>0</v>
      </c>
      <c r="EV37" s="1490">
        <v>0</v>
      </c>
      <c r="EW37" s="1490">
        <v>4</v>
      </c>
      <c r="EX37" s="1490">
        <v>0</v>
      </c>
      <c r="EY37" s="1490">
        <v>1</v>
      </c>
      <c r="EZ37" s="1490">
        <v>1</v>
      </c>
      <c r="FA37" s="1490">
        <v>0</v>
      </c>
      <c r="FB37" s="1490">
        <v>0</v>
      </c>
      <c r="FC37" s="36"/>
      <c r="FD37" s="36"/>
      <c r="FE37" s="36">
        <v>7</v>
      </c>
      <c r="FF37" s="36"/>
      <c r="FH37" s="1225"/>
      <c r="FI37" s="1225"/>
      <c r="FJ37" s="1225"/>
      <c r="FK37" s="1226" t="s">
        <v>1080</v>
      </c>
      <c r="FL37" s="1227"/>
      <c r="FM37" s="1228">
        <v>0</v>
      </c>
      <c r="FN37" s="1228">
        <v>0</v>
      </c>
      <c r="FO37" s="1227"/>
      <c r="FP37" s="1228">
        <v>0</v>
      </c>
      <c r="FQ37" s="1227"/>
      <c r="FR37" s="1227"/>
      <c r="FS37" s="1227"/>
      <c r="FT37" s="1227"/>
      <c r="FU37" s="1227"/>
      <c r="FV37" s="1227"/>
      <c r="FW37" s="1227"/>
      <c r="FX37" s="1228">
        <v>4</v>
      </c>
      <c r="FY37" s="1230">
        <v>2</v>
      </c>
      <c r="FZ37" s="1230">
        <v>2</v>
      </c>
      <c r="GA37" s="1230">
        <v>8</v>
      </c>
      <c r="GB37" s="36"/>
      <c r="GD37" s="603"/>
      <c r="GE37" s="603"/>
      <c r="GF37" s="603" t="s">
        <v>105</v>
      </c>
      <c r="GG37" s="604" t="s">
        <v>1072</v>
      </c>
      <c r="GH37" s="606">
        <v>1</v>
      </c>
      <c r="GI37" s="606">
        <v>1</v>
      </c>
      <c r="GJ37" s="606">
        <v>0</v>
      </c>
      <c r="GK37" s="606">
        <v>0</v>
      </c>
      <c r="GL37" s="606">
        <v>0</v>
      </c>
      <c r="GM37" s="606">
        <v>0</v>
      </c>
      <c r="GN37" s="606">
        <v>0</v>
      </c>
      <c r="GO37" s="606">
        <v>1</v>
      </c>
      <c r="GP37" s="606">
        <v>0</v>
      </c>
      <c r="GQ37" s="606">
        <v>2</v>
      </c>
      <c r="GR37" s="606">
        <v>2</v>
      </c>
      <c r="GS37" s="606">
        <v>0</v>
      </c>
      <c r="GT37" s="606">
        <v>1</v>
      </c>
      <c r="GU37" s="606">
        <v>1</v>
      </c>
      <c r="GV37" s="605"/>
      <c r="GW37" s="607"/>
      <c r="GX37" s="607"/>
      <c r="GY37" s="608">
        <v>9</v>
      </c>
      <c r="GZ37" s="95"/>
      <c r="HB37" s="441"/>
      <c r="HC37" s="441"/>
      <c r="HD37" s="441"/>
      <c r="HE37" s="441"/>
      <c r="HF37" s="442" t="s">
        <v>1076</v>
      </c>
      <c r="HG37" s="610">
        <v>0</v>
      </c>
      <c r="HH37" s="609"/>
      <c r="HI37" s="609"/>
      <c r="HJ37" s="610">
        <v>0</v>
      </c>
      <c r="HK37" s="609"/>
      <c r="HL37" s="610">
        <v>0</v>
      </c>
      <c r="HM37" s="610">
        <v>0</v>
      </c>
      <c r="HN37" s="610">
        <v>0</v>
      </c>
      <c r="HO37" s="610">
        <v>0</v>
      </c>
      <c r="HP37" s="609"/>
      <c r="HQ37" s="610">
        <v>0</v>
      </c>
      <c r="HR37" s="610">
        <v>0</v>
      </c>
      <c r="HS37" s="610">
        <v>0</v>
      </c>
      <c r="HT37" s="610">
        <v>1</v>
      </c>
      <c r="HU37" s="610">
        <v>0</v>
      </c>
      <c r="HV37" s="611"/>
      <c r="HW37" s="611"/>
      <c r="HX37" s="612">
        <v>1</v>
      </c>
      <c r="HY37" s="560"/>
      <c r="HZ37" s="36"/>
      <c r="IA37" s="613"/>
      <c r="IB37" s="613"/>
      <c r="IC37" s="613"/>
      <c r="ID37" s="389" t="s">
        <v>1080</v>
      </c>
      <c r="IE37" s="614"/>
      <c r="IF37" s="614"/>
      <c r="IG37" s="614"/>
      <c r="IH37" s="614"/>
      <c r="II37" s="614"/>
      <c r="IJ37" s="614"/>
      <c r="IK37" s="390">
        <v>0</v>
      </c>
      <c r="IL37" s="390">
        <v>0</v>
      </c>
      <c r="IM37" s="614"/>
      <c r="IN37" s="390">
        <v>1</v>
      </c>
      <c r="IO37" s="390">
        <v>4</v>
      </c>
      <c r="IP37" s="390">
        <v>0</v>
      </c>
      <c r="IQ37" s="390">
        <v>3</v>
      </c>
      <c r="IR37" s="390">
        <v>8</v>
      </c>
      <c r="IS37" s="615"/>
      <c r="IT37" s="36"/>
      <c r="IU37" s="36"/>
      <c r="IV37" s="95"/>
      <c r="IW37" s="95"/>
      <c r="IX37" s="36"/>
      <c r="IY37" s="36" t="s">
        <v>1080</v>
      </c>
      <c r="IZ37" s="95"/>
      <c r="JA37" s="95"/>
      <c r="JB37" s="95">
        <v>0</v>
      </c>
      <c r="JC37" s="95"/>
      <c r="JD37" s="95"/>
      <c r="JE37" s="95"/>
      <c r="JF37" s="95"/>
      <c r="JG37" s="95"/>
      <c r="JH37" s="95"/>
      <c r="JI37" s="95"/>
      <c r="JJ37" s="95"/>
      <c r="JK37" s="95"/>
      <c r="JL37" s="95">
        <v>0</v>
      </c>
      <c r="JM37" s="95">
        <v>1</v>
      </c>
      <c r="JN37" s="95">
        <v>4</v>
      </c>
      <c r="JO37" s="95"/>
      <c r="JP37" s="95">
        <v>5</v>
      </c>
      <c r="JQ37" s="36"/>
      <c r="JR37" s="36"/>
      <c r="JS37" s="616"/>
      <c r="JT37" s="616"/>
      <c r="JU37" s="616"/>
      <c r="JV37" s="616" t="s">
        <v>1080</v>
      </c>
      <c r="JW37" s="616">
        <v>0</v>
      </c>
      <c r="JX37" s="616">
        <v>0</v>
      </c>
      <c r="JY37" s="616">
        <v>0</v>
      </c>
      <c r="JZ37" s="616">
        <v>0</v>
      </c>
      <c r="KA37" s="616">
        <v>0</v>
      </c>
      <c r="KB37" s="616">
        <v>0</v>
      </c>
      <c r="KC37" s="616">
        <v>0</v>
      </c>
      <c r="KD37" s="616">
        <v>0</v>
      </c>
      <c r="KE37" s="616">
        <v>0</v>
      </c>
      <c r="KF37" s="616">
        <v>0</v>
      </c>
      <c r="KG37" s="616">
        <v>0</v>
      </c>
      <c r="KH37" s="616">
        <v>0</v>
      </c>
      <c r="KI37" s="616">
        <v>0</v>
      </c>
      <c r="KJ37" s="616">
        <v>1</v>
      </c>
      <c r="KK37" s="616">
        <v>0</v>
      </c>
      <c r="KL37" s="616">
        <v>0</v>
      </c>
      <c r="KM37" s="616">
        <v>1</v>
      </c>
      <c r="KN37" s="616"/>
      <c r="KO37" s="617"/>
    </row>
    <row r="38" spans="1:301">
      <c r="A38" s="5737"/>
      <c r="B38" s="5737"/>
      <c r="C38" s="5736"/>
      <c r="D38" s="5736"/>
      <c r="E38" s="5742">
        <f>SUM(E35:E37)</f>
        <v>3</v>
      </c>
      <c r="F38" s="5737"/>
      <c r="G38" s="4510">
        <v>0</v>
      </c>
      <c r="I38" s="4726">
        <v>1</v>
      </c>
      <c r="J38" s="4726">
        <v>4</v>
      </c>
      <c r="K38" s="4725" t="s">
        <v>2724</v>
      </c>
      <c r="L38" s="4725" t="s">
        <v>2709</v>
      </c>
      <c r="M38" s="4726">
        <v>1</v>
      </c>
      <c r="N38" s="4726">
        <v>12</v>
      </c>
      <c r="Q38" s="4458"/>
      <c r="R38" s="4458"/>
      <c r="S38" s="4465" t="s">
        <v>15</v>
      </c>
      <c r="T38" s="4459"/>
      <c r="U38" s="4458"/>
      <c r="V38" s="4485">
        <f>SUM(V34:V37)</f>
        <v>4</v>
      </c>
      <c r="W38" s="4452">
        <f>+(V35)/(V38)</f>
        <v>0.25</v>
      </c>
      <c r="X38" s="4467"/>
      <c r="Y38" s="4467"/>
      <c r="Z38" s="36"/>
      <c r="AA38" s="36" t="s">
        <v>21</v>
      </c>
      <c r="AB38" s="36" t="s">
        <v>1457</v>
      </c>
      <c r="AC38" s="36" t="s">
        <v>1080</v>
      </c>
      <c r="AD38" s="615"/>
      <c r="AE38" s="615"/>
      <c r="AF38" s="615"/>
      <c r="AG38" s="615"/>
      <c r="AH38" s="615"/>
      <c r="AI38" s="615"/>
      <c r="AJ38" s="615"/>
      <c r="AK38" s="615">
        <v>0</v>
      </c>
      <c r="AL38" s="615"/>
      <c r="AM38" s="615"/>
      <c r="AN38" s="615"/>
      <c r="AO38" s="615">
        <v>2</v>
      </c>
      <c r="AP38" s="615"/>
      <c r="AQ38" s="36"/>
      <c r="AR38" s="36">
        <v>2</v>
      </c>
      <c r="AS38" s="36"/>
      <c r="AU38" s="36"/>
      <c r="AV38" s="36"/>
      <c r="AW38" s="36"/>
      <c r="AX38" s="36" t="s">
        <v>1163</v>
      </c>
      <c r="AY38" s="1681"/>
      <c r="AZ38" s="1681"/>
      <c r="BA38" s="1681"/>
      <c r="BB38" s="1681"/>
      <c r="BC38" s="1681"/>
      <c r="BD38" s="1681"/>
      <c r="BE38" s="1681"/>
      <c r="BF38" s="1681"/>
      <c r="BG38" s="1681">
        <v>1</v>
      </c>
      <c r="BH38" s="1681"/>
      <c r="BI38" s="1681"/>
      <c r="BJ38" s="1681"/>
      <c r="BK38" s="1681"/>
      <c r="BL38" s="1681"/>
      <c r="BM38" s="95">
        <v>0</v>
      </c>
      <c r="BN38" s="95"/>
      <c r="BO38" s="95">
        <v>1</v>
      </c>
      <c r="BP38" s="95"/>
      <c r="BU38" s="32" t="s">
        <v>1077</v>
      </c>
      <c r="BV38" s="3871"/>
      <c r="BW38" s="3871"/>
      <c r="BX38" s="3871"/>
      <c r="BY38" s="3871"/>
      <c r="BZ38" s="3871"/>
      <c r="CA38" s="3871"/>
      <c r="CB38" s="3871"/>
      <c r="CC38" s="3871"/>
      <c r="CD38" s="3871"/>
      <c r="CE38" s="3871">
        <v>0</v>
      </c>
      <c r="CF38" s="3871">
        <v>0</v>
      </c>
      <c r="CG38" s="3871">
        <v>0</v>
      </c>
      <c r="CH38" s="3871"/>
      <c r="CI38" s="3871">
        <v>1</v>
      </c>
      <c r="CJ38" s="1518"/>
      <c r="CK38" s="1518">
        <v>1</v>
      </c>
      <c r="CL38" s="3807"/>
      <c r="CN38" s="36"/>
      <c r="CO38" s="36"/>
      <c r="CP38" s="36" t="s">
        <v>1457</v>
      </c>
      <c r="CQ38" s="36" t="s">
        <v>1072</v>
      </c>
      <c r="CR38" s="615"/>
      <c r="CS38" s="615"/>
      <c r="CT38" s="615"/>
      <c r="CU38" s="615"/>
      <c r="CV38" s="615"/>
      <c r="CW38" s="615"/>
      <c r="CX38" s="615"/>
      <c r="CY38" s="615">
        <v>1</v>
      </c>
      <c r="CZ38" s="615">
        <v>1</v>
      </c>
      <c r="DA38" s="615">
        <v>2</v>
      </c>
      <c r="DB38" s="615"/>
      <c r="DC38" s="615">
        <v>1</v>
      </c>
      <c r="DD38" s="615">
        <v>0</v>
      </c>
      <c r="DE38" s="615">
        <v>2</v>
      </c>
      <c r="DF38" s="615">
        <v>0</v>
      </c>
      <c r="DG38" s="36"/>
      <c r="DH38" s="36"/>
      <c r="DI38" s="36">
        <v>7</v>
      </c>
      <c r="DJ38" s="36"/>
      <c r="DL38" s="36"/>
      <c r="DM38" s="36"/>
      <c r="DN38" s="36"/>
      <c r="DO38" s="36" t="s">
        <v>1076</v>
      </c>
      <c r="DP38" s="1681"/>
      <c r="DQ38" s="1681"/>
      <c r="DR38" s="1681">
        <v>0</v>
      </c>
      <c r="DS38" s="1681"/>
      <c r="DT38" s="1681"/>
      <c r="DU38" s="1681"/>
      <c r="DV38" s="1681"/>
      <c r="DW38" s="1681">
        <v>0</v>
      </c>
      <c r="DX38" s="1681">
        <v>0</v>
      </c>
      <c r="DY38" s="1681">
        <v>1</v>
      </c>
      <c r="DZ38" s="1681">
        <v>0</v>
      </c>
      <c r="EA38" s="1681">
        <v>1</v>
      </c>
      <c r="EB38" s="1681">
        <v>1</v>
      </c>
      <c r="EC38" s="1681">
        <v>1</v>
      </c>
      <c r="ED38" s="1681">
        <v>0</v>
      </c>
      <c r="EE38" s="95"/>
      <c r="EF38" s="95"/>
      <c r="EG38" s="95">
        <v>4</v>
      </c>
      <c r="EH38" s="36"/>
      <c r="EL38" s="36"/>
      <c r="EM38" s="393" t="s">
        <v>726</v>
      </c>
      <c r="EN38" s="1491"/>
      <c r="EO38" s="1491"/>
      <c r="EP38" s="1491">
        <v>1</v>
      </c>
      <c r="EQ38" s="1491"/>
      <c r="ER38" s="1491">
        <v>1</v>
      </c>
      <c r="ES38" s="1491"/>
      <c r="ET38" s="1491">
        <v>3</v>
      </c>
      <c r="EU38" s="1491">
        <v>1</v>
      </c>
      <c r="EV38" s="1491">
        <v>2</v>
      </c>
      <c r="EW38" s="1491">
        <v>5</v>
      </c>
      <c r="EX38" s="1491">
        <v>3</v>
      </c>
      <c r="EY38" s="1491">
        <v>1</v>
      </c>
      <c r="EZ38" s="1491">
        <v>4</v>
      </c>
      <c r="FA38" s="1491">
        <v>2</v>
      </c>
      <c r="FB38" s="1491">
        <v>1</v>
      </c>
      <c r="FC38" s="393"/>
      <c r="FD38" s="393"/>
      <c r="FE38" s="393">
        <v>24</v>
      </c>
      <c r="FF38" s="560">
        <f>+FE37/FE38</f>
        <v>0.29166666666666669</v>
      </c>
      <c r="FH38" s="1225"/>
      <c r="FI38" s="1225"/>
      <c r="FJ38" s="1225"/>
      <c r="FK38" s="1222" t="s">
        <v>15</v>
      </c>
      <c r="FL38" s="1231"/>
      <c r="FM38" s="1232">
        <v>1</v>
      </c>
      <c r="FN38" s="1232">
        <v>1</v>
      </c>
      <c r="FO38" s="1231"/>
      <c r="FP38" s="1232">
        <v>1</v>
      </c>
      <c r="FQ38" s="1231"/>
      <c r="FR38" s="1231"/>
      <c r="FS38" s="1231"/>
      <c r="FT38" s="1231"/>
      <c r="FU38" s="1231"/>
      <c r="FV38" s="1231"/>
      <c r="FW38" s="1231"/>
      <c r="FX38" s="1232">
        <v>4</v>
      </c>
      <c r="FY38" s="1234">
        <v>2</v>
      </c>
      <c r="FZ38" s="1234">
        <v>2</v>
      </c>
      <c r="GA38" s="1234">
        <v>11</v>
      </c>
      <c r="GB38" s="1178">
        <v>0</v>
      </c>
      <c r="GD38" s="603"/>
      <c r="GE38" s="603"/>
      <c r="GF38" s="603"/>
      <c r="GG38" s="604" t="s">
        <v>1074</v>
      </c>
      <c r="GH38" s="606">
        <v>0</v>
      </c>
      <c r="GI38" s="606">
        <v>0</v>
      </c>
      <c r="GJ38" s="606">
        <v>1</v>
      </c>
      <c r="GK38" s="606">
        <v>0</v>
      </c>
      <c r="GL38" s="606">
        <v>1</v>
      </c>
      <c r="GM38" s="606">
        <v>0</v>
      </c>
      <c r="GN38" s="606">
        <v>0</v>
      </c>
      <c r="GO38" s="606">
        <v>0</v>
      </c>
      <c r="GP38" s="606">
        <v>0</v>
      </c>
      <c r="GQ38" s="606">
        <v>1</v>
      </c>
      <c r="GR38" s="606">
        <v>0</v>
      </c>
      <c r="GS38" s="606">
        <v>0</v>
      </c>
      <c r="GT38" s="606">
        <v>0</v>
      </c>
      <c r="GU38" s="606">
        <v>0</v>
      </c>
      <c r="GV38" s="605"/>
      <c r="GW38" s="607"/>
      <c r="GX38" s="607"/>
      <c r="GY38" s="608">
        <v>3</v>
      </c>
      <c r="GZ38" s="95"/>
      <c r="HB38" s="441"/>
      <c r="HC38" s="441"/>
      <c r="HD38" s="441"/>
      <c r="HE38" s="441"/>
      <c r="HF38" s="442" t="s">
        <v>1077</v>
      </c>
      <c r="HG38" s="610">
        <v>0</v>
      </c>
      <c r="HH38" s="609"/>
      <c r="HI38" s="609"/>
      <c r="HJ38" s="610">
        <v>0</v>
      </c>
      <c r="HK38" s="609"/>
      <c r="HL38" s="610">
        <v>1</v>
      </c>
      <c r="HM38" s="610">
        <v>5</v>
      </c>
      <c r="HN38" s="610">
        <v>2</v>
      </c>
      <c r="HO38" s="610">
        <v>1</v>
      </c>
      <c r="HP38" s="609"/>
      <c r="HQ38" s="610">
        <v>0</v>
      </c>
      <c r="HR38" s="610">
        <v>0</v>
      </c>
      <c r="HS38" s="610">
        <v>0</v>
      </c>
      <c r="HT38" s="610">
        <v>0</v>
      </c>
      <c r="HU38" s="610">
        <v>0</v>
      </c>
      <c r="HV38" s="611"/>
      <c r="HW38" s="611"/>
      <c r="HX38" s="612">
        <v>9</v>
      </c>
      <c r="HY38" s="560"/>
      <c r="HZ38" s="36"/>
      <c r="IA38" s="613"/>
      <c r="IB38" s="613"/>
      <c r="IC38" s="613"/>
      <c r="ID38" s="629" t="s">
        <v>15</v>
      </c>
      <c r="IE38" s="630"/>
      <c r="IF38" s="630"/>
      <c r="IG38" s="630"/>
      <c r="IH38" s="630"/>
      <c r="II38" s="630"/>
      <c r="IJ38" s="630"/>
      <c r="IK38" s="395">
        <v>1</v>
      </c>
      <c r="IL38" s="395">
        <v>1</v>
      </c>
      <c r="IM38" s="630"/>
      <c r="IN38" s="395">
        <v>1</v>
      </c>
      <c r="IO38" s="395">
        <v>4</v>
      </c>
      <c r="IP38" s="395">
        <v>1</v>
      </c>
      <c r="IQ38" s="395">
        <v>3</v>
      </c>
      <c r="IR38" s="395">
        <v>11</v>
      </c>
      <c r="IS38" s="553">
        <v>0</v>
      </c>
      <c r="IT38" s="36"/>
      <c r="IU38" s="36"/>
      <c r="IV38" s="95"/>
      <c r="IW38" s="95"/>
      <c r="IX38" s="36"/>
      <c r="IY38" s="393" t="s">
        <v>15</v>
      </c>
      <c r="IZ38" s="86"/>
      <c r="JA38" s="86"/>
      <c r="JB38" s="86">
        <v>1</v>
      </c>
      <c r="JC38" s="86"/>
      <c r="JD38" s="86"/>
      <c r="JE38" s="86"/>
      <c r="JF38" s="86"/>
      <c r="JG38" s="86"/>
      <c r="JH38" s="86"/>
      <c r="JI38" s="86"/>
      <c r="JJ38" s="86"/>
      <c r="JK38" s="86"/>
      <c r="JL38" s="86">
        <v>1</v>
      </c>
      <c r="JM38" s="86">
        <v>2</v>
      </c>
      <c r="JN38" s="86">
        <v>4</v>
      </c>
      <c r="JO38" s="86"/>
      <c r="JP38" s="86">
        <v>8</v>
      </c>
      <c r="JQ38" s="632">
        <v>0</v>
      </c>
      <c r="JR38" s="36"/>
      <c r="JS38" s="616"/>
      <c r="JT38" s="616"/>
      <c r="JU38" s="616"/>
      <c r="JV38" s="616" t="s">
        <v>1163</v>
      </c>
      <c r="JW38" s="616">
        <v>0</v>
      </c>
      <c r="JX38" s="616">
        <v>0</v>
      </c>
      <c r="JY38" s="616">
        <v>0</v>
      </c>
      <c r="JZ38" s="616">
        <v>0</v>
      </c>
      <c r="KA38" s="616">
        <v>0</v>
      </c>
      <c r="KB38" s="616">
        <v>0</v>
      </c>
      <c r="KC38" s="616">
        <v>0</v>
      </c>
      <c r="KD38" s="616">
        <v>0</v>
      </c>
      <c r="KE38" s="616">
        <v>0</v>
      </c>
      <c r="KF38" s="616">
        <v>0</v>
      </c>
      <c r="KG38" s="616">
        <v>0</v>
      </c>
      <c r="KH38" s="616">
        <v>0</v>
      </c>
      <c r="KI38" s="616">
        <v>0</v>
      </c>
      <c r="KJ38" s="616">
        <v>1</v>
      </c>
      <c r="KK38" s="616">
        <v>0</v>
      </c>
      <c r="KL38" s="616">
        <v>0</v>
      </c>
      <c r="KM38" s="616">
        <v>1</v>
      </c>
      <c r="KN38" s="616"/>
      <c r="KO38" s="617"/>
    </row>
    <row r="39" spans="1:301">
      <c r="A39" s="5737">
        <v>1</v>
      </c>
      <c r="B39" s="5737">
        <v>4</v>
      </c>
      <c r="C39" s="5736" t="s">
        <v>1456</v>
      </c>
      <c r="D39" s="5736" t="s">
        <v>2709</v>
      </c>
      <c r="E39" s="5737">
        <v>1</v>
      </c>
      <c r="F39" s="5737">
        <v>6</v>
      </c>
      <c r="I39" s="4726"/>
      <c r="J39" s="4726"/>
      <c r="K39" s="4725"/>
      <c r="L39" s="4725"/>
      <c r="M39" s="4975">
        <f>SUM(M36:M38)</f>
        <v>3</v>
      </c>
      <c r="N39" s="4726"/>
      <c r="O39" s="4510">
        <v>0</v>
      </c>
      <c r="Q39" s="4458"/>
      <c r="R39" s="4458"/>
      <c r="S39" s="4459"/>
      <c r="T39" s="4459"/>
      <c r="U39" s="4458"/>
      <c r="V39" s="4486">
        <f>SUM(V32,V35)</f>
        <v>2</v>
      </c>
      <c r="W39" s="4510"/>
      <c r="X39" s="4467"/>
      <c r="Y39" s="4467"/>
      <c r="Z39" s="36"/>
      <c r="AA39" s="36"/>
      <c r="AB39" s="36"/>
      <c r="AC39" s="36" t="s">
        <v>1163</v>
      </c>
      <c r="AD39" s="615"/>
      <c r="AE39" s="615"/>
      <c r="AF39" s="615"/>
      <c r="AG39" s="615"/>
      <c r="AH39" s="615"/>
      <c r="AI39" s="615"/>
      <c r="AJ39" s="615"/>
      <c r="AK39" s="615">
        <v>1</v>
      </c>
      <c r="AL39" s="615"/>
      <c r="AM39" s="615"/>
      <c r="AN39" s="615"/>
      <c r="AO39" s="615">
        <v>0</v>
      </c>
      <c r="AP39" s="615"/>
      <c r="AQ39" s="36"/>
      <c r="AR39" s="36">
        <v>1</v>
      </c>
      <c r="AS39" s="36"/>
      <c r="AU39" s="36"/>
      <c r="AV39" s="36"/>
      <c r="AW39" s="36"/>
      <c r="AX39" s="36" t="s">
        <v>15</v>
      </c>
      <c r="AY39" s="1681"/>
      <c r="AZ39" s="1681"/>
      <c r="BA39" s="1681"/>
      <c r="BB39" s="1681"/>
      <c r="BC39" s="1681"/>
      <c r="BD39" s="1681"/>
      <c r="BE39" s="1681"/>
      <c r="BF39" s="1681"/>
      <c r="BG39" s="1681">
        <v>1</v>
      </c>
      <c r="BH39" s="1681"/>
      <c r="BI39" s="1681"/>
      <c r="BJ39" s="1681"/>
      <c r="BK39" s="1681"/>
      <c r="BL39" s="1681"/>
      <c r="BM39" s="95">
        <v>1</v>
      </c>
      <c r="BN39" s="95"/>
      <c r="BO39" s="95">
        <v>2</v>
      </c>
      <c r="BP39" s="560">
        <f>+(BO38)/(BO39)</f>
        <v>0.5</v>
      </c>
      <c r="BU39" s="32" t="s">
        <v>1080</v>
      </c>
      <c r="BV39" s="3871"/>
      <c r="BW39" s="3871"/>
      <c r="BX39" s="3871"/>
      <c r="BY39" s="3871"/>
      <c r="BZ39" s="3871"/>
      <c r="CA39" s="3871"/>
      <c r="CB39" s="3871"/>
      <c r="CC39" s="3871"/>
      <c r="CD39" s="3871"/>
      <c r="CE39" s="3871">
        <v>0</v>
      </c>
      <c r="CF39" s="3871">
        <v>0</v>
      </c>
      <c r="CG39" s="3871">
        <v>1</v>
      </c>
      <c r="CH39" s="3871"/>
      <c r="CI39" s="3871">
        <v>0</v>
      </c>
      <c r="CJ39" s="1518"/>
      <c r="CK39" s="1518">
        <v>1</v>
      </c>
      <c r="CN39" s="36"/>
      <c r="CO39" s="36"/>
      <c r="CP39" s="36"/>
      <c r="CQ39" s="36" t="s">
        <v>1076</v>
      </c>
      <c r="CR39" s="615"/>
      <c r="CS39" s="615"/>
      <c r="CT39" s="615"/>
      <c r="CU39" s="615"/>
      <c r="CV39" s="615"/>
      <c r="CW39" s="615"/>
      <c r="CX39" s="615"/>
      <c r="CY39" s="615">
        <v>0</v>
      </c>
      <c r="CZ39" s="615">
        <v>0</v>
      </c>
      <c r="DA39" s="615">
        <v>0</v>
      </c>
      <c r="DB39" s="615"/>
      <c r="DC39" s="615">
        <v>0</v>
      </c>
      <c r="DD39" s="615">
        <v>1</v>
      </c>
      <c r="DE39" s="615">
        <v>0</v>
      </c>
      <c r="DF39" s="615">
        <v>0</v>
      </c>
      <c r="DG39" s="36"/>
      <c r="DH39" s="36"/>
      <c r="DI39" s="36">
        <v>1</v>
      </c>
      <c r="DJ39" s="36"/>
      <c r="DL39" s="36"/>
      <c r="DM39" s="36"/>
      <c r="DN39" s="36"/>
      <c r="DO39" s="36" t="s">
        <v>1077</v>
      </c>
      <c r="DP39" s="1681"/>
      <c r="DQ39" s="1681"/>
      <c r="DR39" s="1681">
        <v>0</v>
      </c>
      <c r="DS39" s="1681"/>
      <c r="DT39" s="1681"/>
      <c r="DU39" s="1681"/>
      <c r="DV39" s="1681"/>
      <c r="DW39" s="1681">
        <v>1</v>
      </c>
      <c r="DX39" s="1681">
        <v>0</v>
      </c>
      <c r="DY39" s="1681">
        <v>1</v>
      </c>
      <c r="DZ39" s="1681">
        <v>0</v>
      </c>
      <c r="EA39" s="1681">
        <v>0</v>
      </c>
      <c r="EB39" s="1681">
        <v>0</v>
      </c>
      <c r="EC39" s="1681">
        <v>0</v>
      </c>
      <c r="ED39" s="1681">
        <v>0</v>
      </c>
      <c r="EE39" s="95"/>
      <c r="EF39" s="95"/>
      <c r="EG39" s="95">
        <v>2</v>
      </c>
      <c r="EH39" s="36"/>
      <c r="EL39" s="36" t="s">
        <v>105</v>
      </c>
      <c r="EM39" s="36" t="s">
        <v>1071</v>
      </c>
      <c r="EN39" s="1490"/>
      <c r="EO39" s="1490"/>
      <c r="EP39" s="1490">
        <v>0</v>
      </c>
      <c r="EQ39" s="1490"/>
      <c r="ER39" s="1490">
        <v>0</v>
      </c>
      <c r="ES39" s="1490"/>
      <c r="ET39" s="1490">
        <v>0</v>
      </c>
      <c r="EU39" s="1490">
        <v>0</v>
      </c>
      <c r="EV39" s="1490">
        <v>0</v>
      </c>
      <c r="EW39" s="1490">
        <v>0</v>
      </c>
      <c r="EX39" s="1490">
        <v>1</v>
      </c>
      <c r="EY39" s="1490">
        <v>1</v>
      </c>
      <c r="EZ39" s="1490">
        <v>1</v>
      </c>
      <c r="FA39" s="1490">
        <v>2</v>
      </c>
      <c r="FB39" s="1490">
        <v>1</v>
      </c>
      <c r="FC39" s="36"/>
      <c r="FD39" s="36"/>
      <c r="FE39" s="36">
        <v>6</v>
      </c>
      <c r="FF39" s="36"/>
      <c r="FH39" s="1225"/>
      <c r="FI39" s="1225"/>
      <c r="FJ39" s="1225" t="s">
        <v>121</v>
      </c>
      <c r="FK39" s="1226" t="s">
        <v>1071</v>
      </c>
      <c r="FL39" s="1227"/>
      <c r="FM39" s="1228">
        <v>0</v>
      </c>
      <c r="FN39" s="1227"/>
      <c r="FO39" s="1227"/>
      <c r="FP39" s="1227"/>
      <c r="FQ39" s="1227"/>
      <c r="FR39" s="1227"/>
      <c r="FS39" s="1228">
        <v>0</v>
      </c>
      <c r="FT39" s="1227"/>
      <c r="FU39" s="1227"/>
      <c r="FV39" s="1227"/>
      <c r="FW39" s="1228">
        <v>0</v>
      </c>
      <c r="FX39" s="1228">
        <v>1</v>
      </c>
      <c r="FY39" s="1230">
        <v>0</v>
      </c>
      <c r="FZ39" s="1230">
        <v>0</v>
      </c>
      <c r="GA39" s="1230">
        <v>1</v>
      </c>
      <c r="GB39" s="36"/>
      <c r="GD39" s="603"/>
      <c r="GE39" s="603"/>
      <c r="GF39" s="603"/>
      <c r="GG39" s="604" t="s">
        <v>1076</v>
      </c>
      <c r="GH39" s="606">
        <v>0</v>
      </c>
      <c r="GI39" s="606">
        <v>0</v>
      </c>
      <c r="GJ39" s="606">
        <v>0</v>
      </c>
      <c r="GK39" s="606">
        <v>0</v>
      </c>
      <c r="GL39" s="606">
        <v>0</v>
      </c>
      <c r="GM39" s="606">
        <v>0</v>
      </c>
      <c r="GN39" s="606">
        <v>0</v>
      </c>
      <c r="GO39" s="606">
        <v>0</v>
      </c>
      <c r="GP39" s="606">
        <v>0</v>
      </c>
      <c r="GQ39" s="606">
        <v>0</v>
      </c>
      <c r="GR39" s="606">
        <v>1</v>
      </c>
      <c r="GS39" s="606">
        <v>0</v>
      </c>
      <c r="GT39" s="606">
        <v>0</v>
      </c>
      <c r="GU39" s="606">
        <v>0</v>
      </c>
      <c r="GV39" s="605"/>
      <c r="GW39" s="607"/>
      <c r="GX39" s="607"/>
      <c r="GY39" s="608">
        <v>1</v>
      </c>
      <c r="GZ39" s="95"/>
      <c r="HB39" s="441"/>
      <c r="HC39" s="441"/>
      <c r="HD39" s="441"/>
      <c r="HE39" s="441"/>
      <c r="HF39" s="442" t="s">
        <v>1080</v>
      </c>
      <c r="HG39" s="610">
        <v>0</v>
      </c>
      <c r="HH39" s="609"/>
      <c r="HI39" s="609"/>
      <c r="HJ39" s="610">
        <v>0</v>
      </c>
      <c r="HK39" s="609"/>
      <c r="HL39" s="610">
        <v>0</v>
      </c>
      <c r="HM39" s="610">
        <v>0</v>
      </c>
      <c r="HN39" s="610">
        <v>0</v>
      </c>
      <c r="HO39" s="610">
        <v>0</v>
      </c>
      <c r="HP39" s="609"/>
      <c r="HQ39" s="610">
        <v>0</v>
      </c>
      <c r="HR39" s="610">
        <v>0</v>
      </c>
      <c r="HS39" s="610">
        <v>2</v>
      </c>
      <c r="HT39" s="610">
        <v>3</v>
      </c>
      <c r="HU39" s="610">
        <v>1</v>
      </c>
      <c r="HV39" s="611"/>
      <c r="HW39" s="611"/>
      <c r="HX39" s="612">
        <v>6</v>
      </c>
      <c r="HY39" s="560"/>
      <c r="HZ39" s="36"/>
      <c r="IA39" s="613"/>
      <c r="IB39" s="613"/>
      <c r="IC39" s="613" t="s">
        <v>122</v>
      </c>
      <c r="ID39" s="389" t="s">
        <v>1072</v>
      </c>
      <c r="IE39" s="614"/>
      <c r="IF39" s="614"/>
      <c r="IG39" s="614"/>
      <c r="IH39" s="614"/>
      <c r="II39" s="614"/>
      <c r="IJ39" s="390">
        <v>0</v>
      </c>
      <c r="IK39" s="614"/>
      <c r="IL39" s="614"/>
      <c r="IM39" s="614"/>
      <c r="IN39" s="614"/>
      <c r="IO39" s="614"/>
      <c r="IP39" s="390">
        <v>1</v>
      </c>
      <c r="IQ39" s="614"/>
      <c r="IR39" s="390">
        <v>1</v>
      </c>
      <c r="IS39" s="615"/>
      <c r="IT39" s="36"/>
      <c r="IU39" s="36"/>
      <c r="IV39" s="95"/>
      <c r="IW39" s="95"/>
      <c r="IX39" s="36" t="s">
        <v>121</v>
      </c>
      <c r="IY39" s="36" t="s">
        <v>1071</v>
      </c>
      <c r="IZ39" s="95"/>
      <c r="JA39" s="95"/>
      <c r="JB39" s="95"/>
      <c r="JC39" s="95"/>
      <c r="JD39" s="95"/>
      <c r="JE39" s="95"/>
      <c r="JF39" s="95">
        <v>0</v>
      </c>
      <c r="JG39" s="95"/>
      <c r="JH39" s="95"/>
      <c r="JI39" s="95"/>
      <c r="JJ39" s="95">
        <v>0</v>
      </c>
      <c r="JK39" s="95"/>
      <c r="JL39" s="95"/>
      <c r="JM39" s="95">
        <v>1</v>
      </c>
      <c r="JN39" s="95">
        <v>1</v>
      </c>
      <c r="JO39" s="95">
        <v>1</v>
      </c>
      <c r="JP39" s="95">
        <v>3</v>
      </c>
      <c r="JQ39" s="36"/>
      <c r="JR39" s="36"/>
      <c r="JS39" s="616"/>
      <c r="JT39" s="616"/>
      <c r="JU39" s="616"/>
      <c r="JV39" s="627" t="s">
        <v>15</v>
      </c>
      <c r="JW39" s="627">
        <v>0</v>
      </c>
      <c r="JX39" s="627">
        <v>0</v>
      </c>
      <c r="JY39" s="627">
        <v>0</v>
      </c>
      <c r="JZ39" s="627">
        <v>1</v>
      </c>
      <c r="KA39" s="627">
        <v>0</v>
      </c>
      <c r="KB39" s="627">
        <v>0</v>
      </c>
      <c r="KC39" s="627">
        <v>0</v>
      </c>
      <c r="KD39" s="627">
        <v>1</v>
      </c>
      <c r="KE39" s="627">
        <v>0</v>
      </c>
      <c r="KF39" s="627">
        <v>0</v>
      </c>
      <c r="KG39" s="627">
        <v>1</v>
      </c>
      <c r="KH39" s="627">
        <v>0</v>
      </c>
      <c r="KI39" s="627">
        <v>0</v>
      </c>
      <c r="KJ39" s="627">
        <v>2</v>
      </c>
      <c r="KK39" s="627">
        <v>0</v>
      </c>
      <c r="KL39" s="627">
        <v>0</v>
      </c>
      <c r="KM39" s="627">
        <v>5</v>
      </c>
      <c r="KN39" s="628">
        <f>+KM38/KM39</f>
        <v>0.2</v>
      </c>
      <c r="KO39" s="617">
        <f>+KM38</f>
        <v>1</v>
      </c>
    </row>
    <row r="40" spans="1:301">
      <c r="A40" s="5737">
        <v>1</v>
      </c>
      <c r="B40" s="5737">
        <v>4</v>
      </c>
      <c r="C40" s="5736" t="s">
        <v>1456</v>
      </c>
      <c r="D40" s="5736" t="s">
        <v>2709</v>
      </c>
      <c r="E40" s="5737">
        <v>1</v>
      </c>
      <c r="F40" s="5737">
        <v>10</v>
      </c>
      <c r="I40" s="4726">
        <v>1</v>
      </c>
      <c r="J40" s="4726">
        <v>4</v>
      </c>
      <c r="K40" s="4725" t="s">
        <v>1456</v>
      </c>
      <c r="L40" s="4725" t="s">
        <v>2731</v>
      </c>
      <c r="M40" s="4726">
        <v>1</v>
      </c>
      <c r="N40" s="4726">
        <v>12</v>
      </c>
      <c r="Q40" s="4458"/>
      <c r="R40" s="4474"/>
      <c r="S40" s="4471" t="s">
        <v>484</v>
      </c>
      <c r="T40" s="4473"/>
      <c r="U40" s="4474"/>
      <c r="V40" s="4482">
        <f>SUM(V33,V38)</f>
        <v>7</v>
      </c>
      <c r="W40" s="4451">
        <f>+(V39)/(V40)</f>
        <v>0.2857142857142857</v>
      </c>
      <c r="X40" s="4467"/>
      <c r="Y40" s="4467"/>
      <c r="Z40" s="36"/>
      <c r="AA40" s="36"/>
      <c r="AB40" s="36"/>
      <c r="AC40" s="4236" t="s">
        <v>15</v>
      </c>
      <c r="AD40" s="4236"/>
      <c r="AE40" s="4236"/>
      <c r="AF40" s="4236"/>
      <c r="AG40" s="4236"/>
      <c r="AH40" s="4236"/>
      <c r="AI40" s="4236"/>
      <c r="AJ40" s="4236"/>
      <c r="AK40" s="4236">
        <v>1</v>
      </c>
      <c r="AL40" s="4236"/>
      <c r="AM40" s="4236"/>
      <c r="AN40" s="4236"/>
      <c r="AO40" s="4236">
        <v>2</v>
      </c>
      <c r="AP40" s="4236"/>
      <c r="AQ40" s="4236"/>
      <c r="AR40" s="4236">
        <v>3</v>
      </c>
      <c r="AS40" s="4243">
        <f>+(AK39)/AR40</f>
        <v>0.33333333333333331</v>
      </c>
      <c r="AW40" s="3868" t="s">
        <v>1457</v>
      </c>
      <c r="AX40" s="3868" t="s">
        <v>1077</v>
      </c>
      <c r="AY40" s="3721"/>
      <c r="AZ40" s="3721"/>
      <c r="BA40" s="3721"/>
      <c r="BB40" s="3721"/>
      <c r="BC40" s="3721"/>
      <c r="BD40" s="3721"/>
      <c r="BE40" s="3721"/>
      <c r="BF40" s="3721"/>
      <c r="BG40" s="3721"/>
      <c r="BH40" s="3721">
        <v>0</v>
      </c>
      <c r="BI40" s="3721"/>
      <c r="BJ40" s="3721">
        <v>0</v>
      </c>
      <c r="BK40" s="3721">
        <v>0</v>
      </c>
      <c r="BL40" s="3721">
        <v>1</v>
      </c>
      <c r="BM40" s="2110"/>
      <c r="BN40" s="2110"/>
      <c r="BO40" s="2110">
        <v>1</v>
      </c>
      <c r="BP40" s="2110"/>
      <c r="BU40" s="32" t="s">
        <v>1163</v>
      </c>
      <c r="BV40" s="3871"/>
      <c r="BW40" s="3871"/>
      <c r="BX40" s="3871"/>
      <c r="BY40" s="3871"/>
      <c r="BZ40" s="3871"/>
      <c r="CA40" s="3871"/>
      <c r="CB40" s="3871"/>
      <c r="CC40" s="3871"/>
      <c r="CD40" s="3871"/>
      <c r="CE40" s="3871">
        <v>1</v>
      </c>
      <c r="CF40" s="3871">
        <v>0</v>
      </c>
      <c r="CG40" s="3871">
        <v>0</v>
      </c>
      <c r="CH40" s="3871"/>
      <c r="CI40" s="3871">
        <v>0</v>
      </c>
      <c r="CJ40" s="1518"/>
      <c r="CK40" s="1518">
        <v>1</v>
      </c>
      <c r="CN40" s="36"/>
      <c r="CO40" s="36"/>
      <c r="CP40" s="36"/>
      <c r="CQ40" s="36" t="s">
        <v>1080</v>
      </c>
      <c r="CR40" s="615"/>
      <c r="CS40" s="615"/>
      <c r="CT40" s="615"/>
      <c r="CU40" s="615"/>
      <c r="CV40" s="615"/>
      <c r="CW40" s="615"/>
      <c r="CX40" s="615"/>
      <c r="CY40" s="615">
        <v>0</v>
      </c>
      <c r="CZ40" s="615">
        <v>0</v>
      </c>
      <c r="DA40" s="615">
        <v>0</v>
      </c>
      <c r="DB40" s="615"/>
      <c r="DC40" s="615">
        <v>1</v>
      </c>
      <c r="DD40" s="615">
        <v>0</v>
      </c>
      <c r="DE40" s="615">
        <v>0</v>
      </c>
      <c r="DF40" s="615">
        <v>2</v>
      </c>
      <c r="DG40" s="36"/>
      <c r="DH40" s="36"/>
      <c r="DI40" s="36">
        <v>3</v>
      </c>
      <c r="DJ40" s="36"/>
      <c r="DL40" s="36"/>
      <c r="DM40" s="36"/>
      <c r="DN40" s="36"/>
      <c r="DO40" s="36" t="s">
        <v>1080</v>
      </c>
      <c r="DP40" s="1681"/>
      <c r="DQ40" s="1681"/>
      <c r="DR40" s="1681">
        <v>0</v>
      </c>
      <c r="DS40" s="1681"/>
      <c r="DT40" s="1681"/>
      <c r="DU40" s="1681"/>
      <c r="DV40" s="1681"/>
      <c r="DW40" s="1681">
        <v>0</v>
      </c>
      <c r="DX40" s="1681">
        <v>0</v>
      </c>
      <c r="DY40" s="1681">
        <v>0</v>
      </c>
      <c r="DZ40" s="1681">
        <v>0</v>
      </c>
      <c r="EA40" s="1681">
        <v>1</v>
      </c>
      <c r="EB40" s="1681">
        <v>0</v>
      </c>
      <c r="EC40" s="1681">
        <v>0</v>
      </c>
      <c r="ED40" s="1681">
        <v>4</v>
      </c>
      <c r="EE40" s="95"/>
      <c r="EF40" s="95"/>
      <c r="EG40" s="95">
        <v>5</v>
      </c>
      <c r="EH40" s="36"/>
      <c r="EL40" s="36"/>
      <c r="EM40" s="36" t="s">
        <v>1072</v>
      </c>
      <c r="EN40" s="1490"/>
      <c r="EO40" s="1490"/>
      <c r="EP40" s="1490">
        <v>2</v>
      </c>
      <c r="EQ40" s="1490"/>
      <c r="ER40" s="1490">
        <v>1</v>
      </c>
      <c r="ES40" s="1490"/>
      <c r="ET40" s="1490">
        <v>2</v>
      </c>
      <c r="EU40" s="1490">
        <v>0</v>
      </c>
      <c r="EV40" s="1490">
        <v>2</v>
      </c>
      <c r="EW40" s="1490">
        <v>1</v>
      </c>
      <c r="EX40" s="1490">
        <v>2</v>
      </c>
      <c r="EY40" s="1490">
        <v>0</v>
      </c>
      <c r="EZ40" s="1490">
        <v>3</v>
      </c>
      <c r="FA40" s="1490">
        <v>2</v>
      </c>
      <c r="FB40" s="1490">
        <v>0</v>
      </c>
      <c r="FC40" s="36"/>
      <c r="FD40" s="36"/>
      <c r="FE40" s="36">
        <v>15</v>
      </c>
      <c r="FF40" s="36"/>
      <c r="FH40" s="1225"/>
      <c r="FI40" s="1225"/>
      <c r="FJ40" s="1225"/>
      <c r="FK40" s="1226" t="s">
        <v>1072</v>
      </c>
      <c r="FL40" s="1227"/>
      <c r="FM40" s="1228">
        <v>1</v>
      </c>
      <c r="FN40" s="1227"/>
      <c r="FO40" s="1227"/>
      <c r="FP40" s="1227"/>
      <c r="FQ40" s="1227"/>
      <c r="FR40" s="1227"/>
      <c r="FS40" s="1228">
        <v>1</v>
      </c>
      <c r="FT40" s="1227"/>
      <c r="FU40" s="1227"/>
      <c r="FV40" s="1227"/>
      <c r="FW40" s="1228">
        <v>1</v>
      </c>
      <c r="FX40" s="1228">
        <v>0</v>
      </c>
      <c r="FY40" s="1230">
        <v>0</v>
      </c>
      <c r="FZ40" s="1230">
        <v>0</v>
      </c>
      <c r="GA40" s="1230">
        <v>3</v>
      </c>
      <c r="GB40" s="36"/>
      <c r="GD40" s="603"/>
      <c r="GE40" s="603"/>
      <c r="GF40" s="603"/>
      <c r="GG40" s="604" t="s">
        <v>1077</v>
      </c>
      <c r="GH40" s="606">
        <v>0</v>
      </c>
      <c r="GI40" s="606">
        <v>0</v>
      </c>
      <c r="GJ40" s="606">
        <v>1</v>
      </c>
      <c r="GK40" s="606">
        <v>3</v>
      </c>
      <c r="GL40" s="606">
        <v>0</v>
      </c>
      <c r="GM40" s="606">
        <v>1</v>
      </c>
      <c r="GN40" s="606">
        <v>10</v>
      </c>
      <c r="GO40" s="606">
        <v>5</v>
      </c>
      <c r="GP40" s="606">
        <v>3</v>
      </c>
      <c r="GQ40" s="606">
        <v>0</v>
      </c>
      <c r="GR40" s="606">
        <v>2</v>
      </c>
      <c r="GS40" s="606">
        <v>0</v>
      </c>
      <c r="GT40" s="606">
        <v>4</v>
      </c>
      <c r="GU40" s="606">
        <v>0</v>
      </c>
      <c r="GV40" s="605"/>
      <c r="GW40" s="607"/>
      <c r="GX40" s="607"/>
      <c r="GY40" s="608">
        <v>29</v>
      </c>
      <c r="GZ40" s="95"/>
      <c r="HB40" s="441"/>
      <c r="HC40" s="441"/>
      <c r="HD40" s="441"/>
      <c r="HE40" s="441"/>
      <c r="HF40" s="442" t="s">
        <v>1163</v>
      </c>
      <c r="HG40" s="610">
        <v>0</v>
      </c>
      <c r="HH40" s="609"/>
      <c r="HI40" s="609"/>
      <c r="HJ40" s="610">
        <v>0</v>
      </c>
      <c r="HK40" s="609"/>
      <c r="HL40" s="610">
        <v>0</v>
      </c>
      <c r="HM40" s="610">
        <v>2</v>
      </c>
      <c r="HN40" s="610">
        <v>0</v>
      </c>
      <c r="HO40" s="610">
        <v>0</v>
      </c>
      <c r="HP40" s="609"/>
      <c r="HQ40" s="610">
        <v>2</v>
      </c>
      <c r="HR40" s="610">
        <v>1</v>
      </c>
      <c r="HS40" s="610">
        <v>0</v>
      </c>
      <c r="HT40" s="610">
        <v>0</v>
      </c>
      <c r="HU40" s="610">
        <v>0</v>
      </c>
      <c r="HV40" s="611"/>
      <c r="HW40" s="611"/>
      <c r="HX40" s="612">
        <v>5</v>
      </c>
      <c r="HY40" s="560"/>
      <c r="HZ40" s="36"/>
      <c r="IA40" s="613"/>
      <c r="IB40" s="613"/>
      <c r="IC40" s="613"/>
      <c r="ID40" s="389" t="s">
        <v>1076</v>
      </c>
      <c r="IE40" s="614"/>
      <c r="IF40" s="614"/>
      <c r="IG40" s="614"/>
      <c r="IH40" s="614"/>
      <c r="II40" s="614"/>
      <c r="IJ40" s="390">
        <v>1</v>
      </c>
      <c r="IK40" s="614"/>
      <c r="IL40" s="614"/>
      <c r="IM40" s="614"/>
      <c r="IN40" s="614"/>
      <c r="IO40" s="614"/>
      <c r="IP40" s="390">
        <v>1</v>
      </c>
      <c r="IQ40" s="614"/>
      <c r="IR40" s="390">
        <v>2</v>
      </c>
      <c r="IS40" s="615"/>
      <c r="IT40" s="36"/>
      <c r="IU40" s="36"/>
      <c r="IV40" s="95"/>
      <c r="IW40" s="95"/>
      <c r="IX40" s="36"/>
      <c r="IY40" s="36" t="s">
        <v>1072</v>
      </c>
      <c r="IZ40" s="95"/>
      <c r="JA40" s="95"/>
      <c r="JB40" s="95"/>
      <c r="JC40" s="95"/>
      <c r="JD40" s="95"/>
      <c r="JE40" s="95"/>
      <c r="JF40" s="95">
        <v>1</v>
      </c>
      <c r="JG40" s="95"/>
      <c r="JH40" s="95"/>
      <c r="JI40" s="95"/>
      <c r="JJ40" s="95">
        <v>0</v>
      </c>
      <c r="JK40" s="95"/>
      <c r="JL40" s="95"/>
      <c r="JM40" s="95">
        <v>0</v>
      </c>
      <c r="JN40" s="95">
        <v>0</v>
      </c>
      <c r="JO40" s="95">
        <v>0</v>
      </c>
      <c r="JP40" s="95">
        <v>1</v>
      </c>
      <c r="JQ40" s="36"/>
      <c r="JR40" s="36"/>
      <c r="JS40" s="616"/>
      <c r="JT40" s="616" t="s">
        <v>16</v>
      </c>
      <c r="JU40" s="616" t="s">
        <v>106</v>
      </c>
      <c r="JV40" s="616" t="s">
        <v>1071</v>
      </c>
      <c r="JW40" s="616">
        <v>0</v>
      </c>
      <c r="JX40" s="616">
        <v>0</v>
      </c>
      <c r="JY40" s="616">
        <v>0</v>
      </c>
      <c r="JZ40" s="616">
        <v>0</v>
      </c>
      <c r="KA40" s="616">
        <v>0</v>
      </c>
      <c r="KB40" s="616">
        <v>1</v>
      </c>
      <c r="KC40" s="616">
        <v>0</v>
      </c>
      <c r="KD40" s="616">
        <v>0</v>
      </c>
      <c r="KE40" s="616">
        <v>0</v>
      </c>
      <c r="KF40" s="616">
        <v>0</v>
      </c>
      <c r="KG40" s="616">
        <v>0</v>
      </c>
      <c r="KH40" s="616">
        <v>0</v>
      </c>
      <c r="KI40" s="616">
        <v>0</v>
      </c>
      <c r="KJ40" s="616">
        <v>0</v>
      </c>
      <c r="KK40" s="616">
        <v>0</v>
      </c>
      <c r="KL40" s="616">
        <v>0</v>
      </c>
      <c r="KM40" s="616">
        <v>1</v>
      </c>
      <c r="KN40" s="616"/>
      <c r="KO40" s="617"/>
    </row>
    <row r="41" spans="1:301">
      <c r="A41" s="5737">
        <v>1</v>
      </c>
      <c r="B41" s="5737">
        <v>4</v>
      </c>
      <c r="C41" s="5736" t="s">
        <v>1456</v>
      </c>
      <c r="D41" s="5736" t="s">
        <v>2709</v>
      </c>
      <c r="E41" s="5737">
        <v>1</v>
      </c>
      <c r="F41" s="5737">
        <v>12</v>
      </c>
      <c r="I41" s="4726">
        <v>1</v>
      </c>
      <c r="J41" s="4726">
        <v>4</v>
      </c>
      <c r="K41" s="4725" t="s">
        <v>1456</v>
      </c>
      <c r="L41" s="4725" t="s">
        <v>2709</v>
      </c>
      <c r="M41" s="4726">
        <v>1</v>
      </c>
      <c r="N41" s="4726">
        <v>6</v>
      </c>
      <c r="Q41" s="4458"/>
      <c r="R41" s="4470"/>
      <c r="S41" s="4469"/>
      <c r="T41" s="4469"/>
      <c r="U41" s="4470"/>
      <c r="V41" s="4486">
        <f>SUM(V23,V29,V39)</f>
        <v>8</v>
      </c>
      <c r="W41" s="4510"/>
      <c r="X41" s="4467"/>
      <c r="Y41" s="4467"/>
      <c r="Z41" s="36"/>
      <c r="AA41" s="36"/>
      <c r="AB41" s="36" t="s">
        <v>1458</v>
      </c>
      <c r="AC41" s="36" t="s">
        <v>1072</v>
      </c>
      <c r="AD41" s="615"/>
      <c r="AE41" s="615"/>
      <c r="AF41" s="615"/>
      <c r="AG41" s="615"/>
      <c r="AH41" s="615"/>
      <c r="AI41" s="615"/>
      <c r="AJ41" s="615"/>
      <c r="AK41" s="615">
        <v>1</v>
      </c>
      <c r="AL41" s="615"/>
      <c r="AM41" s="615">
        <v>1</v>
      </c>
      <c r="AN41" s="615"/>
      <c r="AO41" s="615">
        <v>0</v>
      </c>
      <c r="AP41" s="615"/>
      <c r="AQ41" s="36"/>
      <c r="AR41" s="36">
        <v>2</v>
      </c>
      <c r="AS41" s="36"/>
      <c r="AU41" s="36"/>
      <c r="AV41" s="36"/>
      <c r="AW41" s="36"/>
      <c r="AX41" s="36" t="s">
        <v>1080</v>
      </c>
      <c r="AY41" s="1681"/>
      <c r="AZ41" s="1681"/>
      <c r="BA41" s="1681"/>
      <c r="BB41" s="1681"/>
      <c r="BC41" s="1681"/>
      <c r="BD41" s="1681"/>
      <c r="BE41" s="1681"/>
      <c r="BF41" s="1681"/>
      <c r="BG41" s="1681"/>
      <c r="BH41" s="1681">
        <v>0</v>
      </c>
      <c r="BI41" s="1681"/>
      <c r="BJ41" s="1681">
        <v>1</v>
      </c>
      <c r="BK41" s="1681">
        <v>1</v>
      </c>
      <c r="BL41" s="1681">
        <v>0</v>
      </c>
      <c r="BM41" s="95"/>
      <c r="BN41" s="95"/>
      <c r="BO41" s="95">
        <v>2</v>
      </c>
      <c r="BP41" s="95"/>
      <c r="BU41" s="1520" t="s">
        <v>15</v>
      </c>
      <c r="BV41" s="3872"/>
      <c r="BW41" s="3872"/>
      <c r="BX41" s="3872"/>
      <c r="BY41" s="3872"/>
      <c r="BZ41" s="3872"/>
      <c r="CA41" s="3872"/>
      <c r="CB41" s="3872"/>
      <c r="CC41" s="3872"/>
      <c r="CD41" s="3872"/>
      <c r="CE41" s="3872">
        <v>1</v>
      </c>
      <c r="CF41" s="3872">
        <v>1</v>
      </c>
      <c r="CG41" s="3872">
        <v>1</v>
      </c>
      <c r="CH41" s="3872"/>
      <c r="CI41" s="3872">
        <v>1</v>
      </c>
      <c r="CJ41" s="3806"/>
      <c r="CK41" s="3806">
        <v>4</v>
      </c>
      <c r="CL41" s="3807">
        <f>+CK40/CK41</f>
        <v>0.25</v>
      </c>
      <c r="CN41" s="36"/>
      <c r="CO41" s="36"/>
      <c r="CP41" s="36"/>
      <c r="CQ41" s="36" t="s">
        <v>1163</v>
      </c>
      <c r="CR41" s="615"/>
      <c r="CS41" s="615"/>
      <c r="CT41" s="615"/>
      <c r="CU41" s="615"/>
      <c r="CV41" s="615"/>
      <c r="CW41" s="615"/>
      <c r="CX41" s="615"/>
      <c r="CY41" s="615">
        <v>0</v>
      </c>
      <c r="CZ41" s="615">
        <v>0</v>
      </c>
      <c r="DA41" s="615">
        <v>1</v>
      </c>
      <c r="DB41" s="615"/>
      <c r="DC41" s="615">
        <v>0</v>
      </c>
      <c r="DD41" s="615">
        <v>0</v>
      </c>
      <c r="DE41" s="615">
        <v>0</v>
      </c>
      <c r="DF41" s="615">
        <v>0</v>
      </c>
      <c r="DG41" s="36"/>
      <c r="DH41" s="36"/>
      <c r="DI41" s="36">
        <v>1</v>
      </c>
      <c r="DJ41" s="36"/>
      <c r="DL41" s="36"/>
      <c r="DM41" s="36"/>
      <c r="DN41" s="36"/>
      <c r="DO41" s="36" t="s">
        <v>1081</v>
      </c>
      <c r="DP41" s="1681"/>
      <c r="DQ41" s="1681"/>
      <c r="DR41" s="1681">
        <v>0</v>
      </c>
      <c r="DS41" s="1681"/>
      <c r="DT41" s="1681"/>
      <c r="DU41" s="1681"/>
      <c r="DV41" s="1681"/>
      <c r="DW41" s="1681">
        <v>0</v>
      </c>
      <c r="DX41" s="1681">
        <v>0</v>
      </c>
      <c r="DY41" s="1681">
        <v>0</v>
      </c>
      <c r="DZ41" s="1681">
        <v>0</v>
      </c>
      <c r="EA41" s="1681">
        <v>1</v>
      </c>
      <c r="EB41" s="1681">
        <v>0</v>
      </c>
      <c r="EC41" s="1681">
        <v>0</v>
      </c>
      <c r="ED41" s="1681">
        <v>0</v>
      </c>
      <c r="EE41" s="95"/>
      <c r="EF41" s="95"/>
      <c r="EG41" s="95">
        <v>1</v>
      </c>
      <c r="EH41" s="36"/>
      <c r="EL41" s="36"/>
      <c r="EM41" s="36" t="s">
        <v>1077</v>
      </c>
      <c r="EN41" s="1490"/>
      <c r="EO41" s="1490"/>
      <c r="EP41" s="1490">
        <v>0</v>
      </c>
      <c r="EQ41" s="1490"/>
      <c r="ER41" s="1490">
        <v>0</v>
      </c>
      <c r="ES41" s="1490"/>
      <c r="ET41" s="1490">
        <v>1</v>
      </c>
      <c r="EU41" s="1490">
        <v>0</v>
      </c>
      <c r="EV41" s="1490">
        <v>0</v>
      </c>
      <c r="EW41" s="1490">
        <v>0</v>
      </c>
      <c r="EX41" s="1490">
        <v>0</v>
      </c>
      <c r="EY41" s="1490">
        <v>0</v>
      </c>
      <c r="EZ41" s="1490">
        <v>0</v>
      </c>
      <c r="FA41" s="1490">
        <v>0</v>
      </c>
      <c r="FB41" s="1490">
        <v>0</v>
      </c>
      <c r="FC41" s="36"/>
      <c r="FD41" s="36"/>
      <c r="FE41" s="36">
        <v>1</v>
      </c>
      <c r="FF41" s="36"/>
      <c r="FH41" s="1225"/>
      <c r="FI41" s="1225"/>
      <c r="FJ41" s="1225"/>
      <c r="FK41" s="1226" t="s">
        <v>1074</v>
      </c>
      <c r="FL41" s="1227"/>
      <c r="FM41" s="1228">
        <v>1</v>
      </c>
      <c r="FN41" s="1227"/>
      <c r="FO41" s="1227"/>
      <c r="FP41" s="1227"/>
      <c r="FQ41" s="1227"/>
      <c r="FR41" s="1227"/>
      <c r="FS41" s="1228">
        <v>0</v>
      </c>
      <c r="FT41" s="1227"/>
      <c r="FU41" s="1227"/>
      <c r="FV41" s="1227"/>
      <c r="FW41" s="1228">
        <v>0</v>
      </c>
      <c r="FX41" s="1228">
        <v>0</v>
      </c>
      <c r="FY41" s="1230">
        <v>0</v>
      </c>
      <c r="FZ41" s="1230">
        <v>0</v>
      </c>
      <c r="GA41" s="1230">
        <v>1</v>
      </c>
      <c r="GB41" s="36"/>
      <c r="GD41" s="603"/>
      <c r="GE41" s="603"/>
      <c r="GF41" s="603"/>
      <c r="GG41" s="604" t="s">
        <v>1081</v>
      </c>
      <c r="GH41" s="606">
        <v>0</v>
      </c>
      <c r="GI41" s="606">
        <v>0</v>
      </c>
      <c r="GJ41" s="606">
        <v>0</v>
      </c>
      <c r="GK41" s="606">
        <v>0</v>
      </c>
      <c r="GL41" s="606">
        <v>0</v>
      </c>
      <c r="GM41" s="606">
        <v>0</v>
      </c>
      <c r="GN41" s="606">
        <v>0</v>
      </c>
      <c r="GO41" s="606">
        <v>0</v>
      </c>
      <c r="GP41" s="606">
        <v>0</v>
      </c>
      <c r="GQ41" s="606">
        <v>0</v>
      </c>
      <c r="GR41" s="606">
        <v>1</v>
      </c>
      <c r="GS41" s="606">
        <v>2</v>
      </c>
      <c r="GT41" s="606">
        <v>0</v>
      </c>
      <c r="GU41" s="606">
        <v>0</v>
      </c>
      <c r="GV41" s="605"/>
      <c r="GW41" s="607"/>
      <c r="GX41" s="607"/>
      <c r="GY41" s="608">
        <v>3</v>
      </c>
      <c r="GZ41" s="95"/>
      <c r="HB41" s="441"/>
      <c r="HC41" s="441"/>
      <c r="HD41" s="441"/>
      <c r="HE41" s="36"/>
      <c r="HF41" s="462" t="s">
        <v>105</v>
      </c>
      <c r="HG41" s="619">
        <v>3</v>
      </c>
      <c r="HH41" s="618"/>
      <c r="HI41" s="618"/>
      <c r="HJ41" s="619">
        <v>1</v>
      </c>
      <c r="HK41" s="618"/>
      <c r="HL41" s="619">
        <v>1</v>
      </c>
      <c r="HM41" s="619">
        <v>10</v>
      </c>
      <c r="HN41" s="619">
        <v>2</v>
      </c>
      <c r="HO41" s="619">
        <v>1</v>
      </c>
      <c r="HP41" s="618"/>
      <c r="HQ41" s="619">
        <v>2</v>
      </c>
      <c r="HR41" s="619">
        <v>1</v>
      </c>
      <c r="HS41" s="619">
        <v>3</v>
      </c>
      <c r="HT41" s="619">
        <v>4</v>
      </c>
      <c r="HU41" s="619">
        <v>1</v>
      </c>
      <c r="HV41" s="620"/>
      <c r="HW41" s="620"/>
      <c r="HX41" s="621">
        <v>29</v>
      </c>
      <c r="HY41" s="560">
        <f>+(HX40+HX37)/HX41</f>
        <v>0.20689655172413793</v>
      </c>
      <c r="HZ41" s="36"/>
      <c r="IA41" s="613"/>
      <c r="IB41" s="613"/>
      <c r="IC41" s="613"/>
      <c r="ID41" s="389" t="s">
        <v>1163</v>
      </c>
      <c r="IE41" s="614"/>
      <c r="IF41" s="614"/>
      <c r="IG41" s="614"/>
      <c r="IH41" s="614"/>
      <c r="II41" s="614"/>
      <c r="IJ41" s="390">
        <v>1</v>
      </c>
      <c r="IK41" s="614"/>
      <c r="IL41" s="614"/>
      <c r="IM41" s="614"/>
      <c r="IN41" s="614"/>
      <c r="IO41" s="614"/>
      <c r="IP41" s="390">
        <v>0</v>
      </c>
      <c r="IQ41" s="614"/>
      <c r="IR41" s="390">
        <v>1</v>
      </c>
      <c r="IS41" s="615"/>
      <c r="IT41" s="36"/>
      <c r="IU41" s="36"/>
      <c r="IV41" s="95"/>
      <c r="IW41" s="95"/>
      <c r="IX41" s="36"/>
      <c r="IY41" s="36" t="s">
        <v>1080</v>
      </c>
      <c r="IZ41" s="95"/>
      <c r="JA41" s="95"/>
      <c r="JB41" s="95"/>
      <c r="JC41" s="95"/>
      <c r="JD41" s="95"/>
      <c r="JE41" s="95"/>
      <c r="JF41" s="95">
        <v>0</v>
      </c>
      <c r="JG41" s="95"/>
      <c r="JH41" s="95"/>
      <c r="JI41" s="95"/>
      <c r="JJ41" s="95">
        <v>0</v>
      </c>
      <c r="JK41" s="95"/>
      <c r="JL41" s="95"/>
      <c r="JM41" s="95">
        <v>4</v>
      </c>
      <c r="JN41" s="95">
        <v>0</v>
      </c>
      <c r="JO41" s="95">
        <v>3</v>
      </c>
      <c r="JP41" s="95">
        <v>7</v>
      </c>
      <c r="JQ41" s="36"/>
      <c r="JR41" s="36"/>
      <c r="JS41" s="616"/>
      <c r="JT41" s="616"/>
      <c r="JU41" s="616"/>
      <c r="JV41" s="616" t="s">
        <v>1072</v>
      </c>
      <c r="JW41" s="616">
        <v>0</v>
      </c>
      <c r="JX41" s="616">
        <v>0</v>
      </c>
      <c r="JY41" s="616">
        <v>0</v>
      </c>
      <c r="JZ41" s="616">
        <v>0</v>
      </c>
      <c r="KA41" s="616">
        <v>0</v>
      </c>
      <c r="KB41" s="616">
        <v>0</v>
      </c>
      <c r="KC41" s="616">
        <v>0</v>
      </c>
      <c r="KD41" s="616">
        <v>0</v>
      </c>
      <c r="KE41" s="616">
        <v>0</v>
      </c>
      <c r="KF41" s="616">
        <v>1</v>
      </c>
      <c r="KG41" s="616">
        <v>0</v>
      </c>
      <c r="KH41" s="616">
        <v>0</v>
      </c>
      <c r="KI41" s="616">
        <v>0</v>
      </c>
      <c r="KJ41" s="616">
        <v>0</v>
      </c>
      <c r="KK41" s="616">
        <v>0</v>
      </c>
      <c r="KL41" s="616">
        <v>0</v>
      </c>
      <c r="KM41" s="616">
        <v>1</v>
      </c>
      <c r="KN41" s="616"/>
      <c r="KO41" s="617"/>
    </row>
    <row r="42" spans="1:301">
      <c r="A42" s="5737"/>
      <c r="B42" s="5737"/>
      <c r="C42" s="5736"/>
      <c r="D42" s="5736"/>
      <c r="E42" s="5742">
        <f>SUM(E39:E41)</f>
        <v>3</v>
      </c>
      <c r="F42" s="5737"/>
      <c r="G42" s="4510">
        <v>0</v>
      </c>
      <c r="I42" s="4726">
        <v>1</v>
      </c>
      <c r="J42" s="4726">
        <v>4</v>
      </c>
      <c r="K42" s="4725" t="s">
        <v>1456</v>
      </c>
      <c r="L42" s="4725" t="s">
        <v>2709</v>
      </c>
      <c r="M42" s="4726">
        <v>1</v>
      </c>
      <c r="N42" s="4726">
        <v>10</v>
      </c>
      <c r="Q42" s="4474"/>
      <c r="R42" s="4474"/>
      <c r="S42" s="4492" t="s">
        <v>105</v>
      </c>
      <c r="T42" s="4493"/>
      <c r="U42" s="4494"/>
      <c r="V42" s="4495">
        <f>SUM(V24,V30,V40)</f>
        <v>52</v>
      </c>
      <c r="W42" s="4453">
        <f>+(V41)/(V42)</f>
        <v>0.15384615384615385</v>
      </c>
      <c r="X42" s="4467">
        <v>52</v>
      </c>
      <c r="Y42" s="4467"/>
      <c r="Z42" s="36"/>
      <c r="AA42" s="36"/>
      <c r="AB42" s="36"/>
      <c r="AC42" s="36" t="s">
        <v>1080</v>
      </c>
      <c r="AD42" s="615"/>
      <c r="AE42" s="615"/>
      <c r="AF42" s="615"/>
      <c r="AG42" s="615"/>
      <c r="AH42" s="615"/>
      <c r="AI42" s="615"/>
      <c r="AJ42" s="615"/>
      <c r="AK42" s="615">
        <v>0</v>
      </c>
      <c r="AL42" s="615"/>
      <c r="AM42" s="615">
        <v>0</v>
      </c>
      <c r="AN42" s="615"/>
      <c r="AO42" s="615">
        <v>2</v>
      </c>
      <c r="AP42" s="615"/>
      <c r="AQ42" s="36"/>
      <c r="AR42" s="36">
        <v>2</v>
      </c>
      <c r="AS42" s="36"/>
      <c r="AX42" s="3868" t="s">
        <v>1163</v>
      </c>
      <c r="AY42" s="3721"/>
      <c r="AZ42" s="3721"/>
      <c r="BA42" s="3721"/>
      <c r="BB42" s="3721"/>
      <c r="BC42" s="3721"/>
      <c r="BD42" s="3721"/>
      <c r="BE42" s="3721"/>
      <c r="BF42" s="3721"/>
      <c r="BG42" s="3721"/>
      <c r="BH42" s="3721">
        <v>1</v>
      </c>
      <c r="BI42" s="3721"/>
      <c r="BJ42" s="3721">
        <v>0</v>
      </c>
      <c r="BK42" s="3721">
        <v>0</v>
      </c>
      <c r="BL42" s="3721">
        <v>0</v>
      </c>
      <c r="BM42" s="2110"/>
      <c r="BN42" s="2110"/>
      <c r="BO42" s="2110">
        <v>1</v>
      </c>
      <c r="BP42" s="2110"/>
      <c r="BT42" s="32" t="s">
        <v>1458</v>
      </c>
      <c r="BU42" s="32" t="s">
        <v>1072</v>
      </c>
      <c r="BV42" s="3871"/>
      <c r="BW42" s="3871"/>
      <c r="BX42" s="3871"/>
      <c r="BY42" s="3871"/>
      <c r="BZ42" s="3871"/>
      <c r="CA42" s="3871"/>
      <c r="CB42" s="3871"/>
      <c r="CC42" s="3871"/>
      <c r="CD42" s="3871">
        <v>1</v>
      </c>
      <c r="CE42" s="3871"/>
      <c r="CF42" s="3871"/>
      <c r="CG42" s="3871"/>
      <c r="CH42" s="3871"/>
      <c r="CI42" s="3871"/>
      <c r="CJ42" s="1518"/>
      <c r="CK42" s="1518">
        <v>1</v>
      </c>
      <c r="CN42" s="36"/>
      <c r="CO42" s="36"/>
      <c r="CP42" s="36"/>
      <c r="CQ42" s="393" t="s">
        <v>15</v>
      </c>
      <c r="CR42" s="2049"/>
      <c r="CS42" s="2049"/>
      <c r="CT42" s="2049"/>
      <c r="CU42" s="2049"/>
      <c r="CV42" s="2049"/>
      <c r="CW42" s="2049"/>
      <c r="CX42" s="2049"/>
      <c r="CY42" s="2049">
        <v>1</v>
      </c>
      <c r="CZ42" s="2049">
        <v>1</v>
      </c>
      <c r="DA42" s="2049">
        <v>3</v>
      </c>
      <c r="DB42" s="2049"/>
      <c r="DC42" s="2049">
        <v>2</v>
      </c>
      <c r="DD42" s="2049">
        <v>1</v>
      </c>
      <c r="DE42" s="2049">
        <v>2</v>
      </c>
      <c r="DF42" s="2049">
        <v>2</v>
      </c>
      <c r="DG42" s="393"/>
      <c r="DH42" s="393"/>
      <c r="DI42" s="393">
        <v>12</v>
      </c>
      <c r="DJ42" s="560">
        <f>+(DI41+DI39)/DI42</f>
        <v>0.16666666666666666</v>
      </c>
      <c r="DK42" s="1665"/>
      <c r="DL42" s="36"/>
      <c r="DM42" s="36"/>
      <c r="DN42" s="36"/>
      <c r="DO42" s="36" t="s">
        <v>1163</v>
      </c>
      <c r="DP42" s="1681"/>
      <c r="DQ42" s="1681"/>
      <c r="DR42" s="1681">
        <v>0</v>
      </c>
      <c r="DS42" s="1681"/>
      <c r="DT42" s="1681"/>
      <c r="DU42" s="1681"/>
      <c r="DV42" s="1681"/>
      <c r="DW42" s="1681">
        <v>0</v>
      </c>
      <c r="DX42" s="1681">
        <v>1</v>
      </c>
      <c r="DY42" s="1681">
        <v>0</v>
      </c>
      <c r="DZ42" s="1681">
        <v>2</v>
      </c>
      <c r="EA42" s="1681">
        <v>0</v>
      </c>
      <c r="EB42" s="1681">
        <v>0</v>
      </c>
      <c r="EC42" s="1681">
        <v>0</v>
      </c>
      <c r="ED42" s="1681">
        <v>0</v>
      </c>
      <c r="EE42" s="95"/>
      <c r="EF42" s="95"/>
      <c r="EG42" s="95">
        <v>3</v>
      </c>
      <c r="EH42" s="36"/>
      <c r="EL42" s="36"/>
      <c r="EM42" s="36" t="s">
        <v>1080</v>
      </c>
      <c r="EN42" s="1490"/>
      <c r="EO42" s="1490"/>
      <c r="EP42" s="1490">
        <v>0</v>
      </c>
      <c r="EQ42" s="1490"/>
      <c r="ER42" s="1490">
        <v>0</v>
      </c>
      <c r="ES42" s="1490"/>
      <c r="ET42" s="1490">
        <v>0</v>
      </c>
      <c r="EU42" s="1490">
        <v>1</v>
      </c>
      <c r="EV42" s="1490">
        <v>0</v>
      </c>
      <c r="EW42" s="1490">
        <v>0</v>
      </c>
      <c r="EX42" s="1490">
        <v>1</v>
      </c>
      <c r="EY42" s="1490">
        <v>0</v>
      </c>
      <c r="EZ42" s="1490">
        <v>0</v>
      </c>
      <c r="FA42" s="1490">
        <v>1</v>
      </c>
      <c r="FB42" s="1490">
        <v>1</v>
      </c>
      <c r="FC42" s="36"/>
      <c r="FD42" s="36"/>
      <c r="FE42" s="36">
        <v>4</v>
      </c>
      <c r="FF42" s="36"/>
      <c r="FH42" s="1225"/>
      <c r="FI42" s="1225"/>
      <c r="FJ42" s="1225"/>
      <c r="FK42" s="1226" t="s">
        <v>1076</v>
      </c>
      <c r="FL42" s="1227"/>
      <c r="FM42" s="1228">
        <v>0</v>
      </c>
      <c r="FN42" s="1227"/>
      <c r="FO42" s="1227"/>
      <c r="FP42" s="1227"/>
      <c r="FQ42" s="1227"/>
      <c r="FR42" s="1227"/>
      <c r="FS42" s="1228">
        <v>0</v>
      </c>
      <c r="FT42" s="1227"/>
      <c r="FU42" s="1227"/>
      <c r="FV42" s="1227"/>
      <c r="FW42" s="1228">
        <v>0</v>
      </c>
      <c r="FX42" s="1228">
        <v>0</v>
      </c>
      <c r="FY42" s="1230">
        <v>1</v>
      </c>
      <c r="FZ42" s="1230">
        <v>0</v>
      </c>
      <c r="GA42" s="1230">
        <v>1</v>
      </c>
      <c r="GB42" s="36"/>
      <c r="GD42" s="603"/>
      <c r="GE42" s="603"/>
      <c r="GF42" s="603"/>
      <c r="GG42" s="604" t="s">
        <v>1163</v>
      </c>
      <c r="GH42" s="606">
        <v>0</v>
      </c>
      <c r="GI42" s="606">
        <v>0</v>
      </c>
      <c r="GJ42" s="606">
        <v>0</v>
      </c>
      <c r="GK42" s="606">
        <v>0</v>
      </c>
      <c r="GL42" s="606">
        <v>0</v>
      </c>
      <c r="GM42" s="606">
        <v>0</v>
      </c>
      <c r="GN42" s="606">
        <v>2</v>
      </c>
      <c r="GO42" s="606">
        <v>0</v>
      </c>
      <c r="GP42" s="606">
        <v>0</v>
      </c>
      <c r="GQ42" s="606">
        <v>5</v>
      </c>
      <c r="GR42" s="606">
        <v>3</v>
      </c>
      <c r="GS42" s="606">
        <v>3</v>
      </c>
      <c r="GT42" s="606">
        <v>0</v>
      </c>
      <c r="GU42" s="606">
        <v>0</v>
      </c>
      <c r="GV42" s="605"/>
      <c r="GW42" s="607"/>
      <c r="GX42" s="607"/>
      <c r="GY42" s="608">
        <v>13</v>
      </c>
      <c r="GZ42" s="95"/>
      <c r="HB42" s="441" t="s">
        <v>25</v>
      </c>
      <c r="HC42" s="441" t="s">
        <v>4</v>
      </c>
      <c r="HD42" s="441" t="s">
        <v>119</v>
      </c>
      <c r="HE42" s="441" t="s">
        <v>1070</v>
      </c>
      <c r="HF42" s="442" t="s">
        <v>1071</v>
      </c>
      <c r="HG42" s="609"/>
      <c r="HH42" s="609"/>
      <c r="HI42" s="609"/>
      <c r="HJ42" s="609"/>
      <c r="HK42" s="609"/>
      <c r="HL42" s="609"/>
      <c r="HM42" s="609"/>
      <c r="HN42" s="609"/>
      <c r="HO42" s="609"/>
      <c r="HP42" s="609"/>
      <c r="HQ42" s="609"/>
      <c r="HR42" s="609"/>
      <c r="HS42" s="609"/>
      <c r="HT42" s="609"/>
      <c r="HU42" s="610">
        <v>1</v>
      </c>
      <c r="HV42" s="611"/>
      <c r="HW42" s="612">
        <v>0</v>
      </c>
      <c r="HX42" s="612">
        <v>1</v>
      </c>
      <c r="HY42" s="560"/>
      <c r="HZ42" s="36"/>
      <c r="IA42" s="613"/>
      <c r="IB42" s="613"/>
      <c r="IC42" s="613"/>
      <c r="ID42" s="629" t="s">
        <v>15</v>
      </c>
      <c r="IE42" s="630"/>
      <c r="IF42" s="630"/>
      <c r="IG42" s="630"/>
      <c r="IH42" s="630"/>
      <c r="II42" s="630"/>
      <c r="IJ42" s="395">
        <v>2</v>
      </c>
      <c r="IK42" s="630"/>
      <c r="IL42" s="630"/>
      <c r="IM42" s="630"/>
      <c r="IN42" s="630"/>
      <c r="IO42" s="630"/>
      <c r="IP42" s="395">
        <v>2</v>
      </c>
      <c r="IQ42" s="630"/>
      <c r="IR42" s="395">
        <v>4</v>
      </c>
      <c r="IS42" s="553">
        <f>+(IR41+IR40-IP40)/IR42</f>
        <v>0.5</v>
      </c>
      <c r="IT42" s="36"/>
      <c r="IU42" s="36"/>
      <c r="IV42" s="95"/>
      <c r="IW42" s="95"/>
      <c r="IX42" s="36"/>
      <c r="IY42" s="36" t="s">
        <v>1163</v>
      </c>
      <c r="IZ42" s="95"/>
      <c r="JA42" s="95"/>
      <c r="JB42" s="95"/>
      <c r="JC42" s="95"/>
      <c r="JD42" s="95"/>
      <c r="JE42" s="95"/>
      <c r="JF42" s="95">
        <v>0</v>
      </c>
      <c r="JG42" s="95"/>
      <c r="JH42" s="95"/>
      <c r="JI42" s="95"/>
      <c r="JJ42" s="95">
        <v>1</v>
      </c>
      <c r="JK42" s="95"/>
      <c r="JL42" s="95"/>
      <c r="JM42" s="95">
        <v>1</v>
      </c>
      <c r="JN42" s="95">
        <v>0</v>
      </c>
      <c r="JO42" s="95">
        <v>0</v>
      </c>
      <c r="JP42" s="95">
        <v>2</v>
      </c>
      <c r="JQ42" s="36"/>
      <c r="JR42" s="36"/>
      <c r="JS42" s="616"/>
      <c r="JT42" s="616"/>
      <c r="JU42" s="616"/>
      <c r="JV42" s="616" t="s">
        <v>1074</v>
      </c>
      <c r="JW42" s="616">
        <v>0</v>
      </c>
      <c r="JX42" s="616">
        <v>0</v>
      </c>
      <c r="JY42" s="616">
        <v>0</v>
      </c>
      <c r="JZ42" s="616">
        <v>0</v>
      </c>
      <c r="KA42" s="616">
        <v>0</v>
      </c>
      <c r="KB42" s="616">
        <v>0</v>
      </c>
      <c r="KC42" s="616">
        <v>0</v>
      </c>
      <c r="KD42" s="616">
        <v>1</v>
      </c>
      <c r="KE42" s="616">
        <v>0</v>
      </c>
      <c r="KF42" s="616">
        <v>0</v>
      </c>
      <c r="KG42" s="616">
        <v>0</v>
      </c>
      <c r="KH42" s="616">
        <v>0</v>
      </c>
      <c r="KI42" s="616">
        <v>0</v>
      </c>
      <c r="KJ42" s="616">
        <v>0</v>
      </c>
      <c r="KK42" s="616">
        <v>0</v>
      </c>
      <c r="KL42" s="616">
        <v>0</v>
      </c>
      <c r="KM42" s="616">
        <v>1</v>
      </c>
      <c r="KN42" s="616"/>
      <c r="KO42" s="617"/>
    </row>
    <row r="43" spans="1:301">
      <c r="A43" s="5737">
        <v>1</v>
      </c>
      <c r="B43" s="5737">
        <v>4</v>
      </c>
      <c r="C43" s="5736" t="s">
        <v>1457</v>
      </c>
      <c r="D43" s="5736" t="s">
        <v>2731</v>
      </c>
      <c r="E43" s="5737">
        <v>1</v>
      </c>
      <c r="F43" s="5737">
        <v>13</v>
      </c>
      <c r="I43" s="4726"/>
      <c r="J43" s="4726"/>
      <c r="K43" s="4725"/>
      <c r="L43" s="4725"/>
      <c r="M43" s="4975">
        <f>SUM(M40:M42)</f>
        <v>3</v>
      </c>
      <c r="N43" s="4726"/>
      <c r="O43" s="4510">
        <v>0</v>
      </c>
      <c r="Q43" s="4470">
        <v>2</v>
      </c>
      <c r="R43" s="4470">
        <v>1</v>
      </c>
      <c r="S43" s="4469" t="s">
        <v>119</v>
      </c>
      <c r="T43" s="4469" t="s">
        <v>2709</v>
      </c>
      <c r="U43" s="4470">
        <v>13</v>
      </c>
      <c r="V43" s="4488">
        <v>3</v>
      </c>
      <c r="W43" s="4510"/>
      <c r="X43" s="4467"/>
      <c r="Y43" s="4467"/>
      <c r="Z43" s="36"/>
      <c r="AA43" s="36"/>
      <c r="AB43" s="36"/>
      <c r="AC43" s="4236" t="s">
        <v>15</v>
      </c>
      <c r="AD43" s="4236"/>
      <c r="AE43" s="4236"/>
      <c r="AF43" s="4236"/>
      <c r="AG43" s="4236"/>
      <c r="AH43" s="4236"/>
      <c r="AI43" s="4236"/>
      <c r="AJ43" s="4236"/>
      <c r="AK43" s="4236">
        <v>1</v>
      </c>
      <c r="AL43" s="4236"/>
      <c r="AM43" s="4236">
        <v>1</v>
      </c>
      <c r="AN43" s="4236"/>
      <c r="AO43" s="4236">
        <v>2</v>
      </c>
      <c r="AP43" s="4236"/>
      <c r="AQ43" s="4236"/>
      <c r="AR43" s="4236">
        <v>4</v>
      </c>
      <c r="AS43" s="4243">
        <v>0</v>
      </c>
      <c r="AU43" s="36"/>
      <c r="AV43" s="36"/>
      <c r="AW43" s="36"/>
      <c r="AX43" s="36" t="s">
        <v>15</v>
      </c>
      <c r="AY43" s="1681"/>
      <c r="AZ43" s="1681"/>
      <c r="BA43" s="1681"/>
      <c r="BB43" s="1681"/>
      <c r="BC43" s="1681"/>
      <c r="BD43" s="1681"/>
      <c r="BE43" s="1681"/>
      <c r="BF43" s="1681"/>
      <c r="BG43" s="1681"/>
      <c r="BH43" s="1681">
        <v>1</v>
      </c>
      <c r="BI43" s="1681"/>
      <c r="BJ43" s="1681">
        <v>1</v>
      </c>
      <c r="BK43" s="1681">
        <v>1</v>
      </c>
      <c r="BL43" s="1681">
        <v>1</v>
      </c>
      <c r="BM43" s="95"/>
      <c r="BN43" s="95"/>
      <c r="BO43" s="95">
        <v>4</v>
      </c>
      <c r="BP43" s="560">
        <f>+(BO42)/(BO43)</f>
        <v>0.25</v>
      </c>
      <c r="BU43" s="1520" t="s">
        <v>15</v>
      </c>
      <c r="BV43" s="3872"/>
      <c r="BW43" s="3872"/>
      <c r="BX43" s="3872"/>
      <c r="BY43" s="3872"/>
      <c r="BZ43" s="3872"/>
      <c r="CA43" s="3872"/>
      <c r="CB43" s="3872"/>
      <c r="CC43" s="3872"/>
      <c r="CD43" s="3872">
        <v>1</v>
      </c>
      <c r="CE43" s="3872"/>
      <c r="CF43" s="3872"/>
      <c r="CG43" s="3872"/>
      <c r="CH43" s="3872"/>
      <c r="CI43" s="3872"/>
      <c r="CJ43" s="3806"/>
      <c r="CK43" s="3806">
        <v>1</v>
      </c>
      <c r="CL43" s="3807">
        <f>+CK40/CK41</f>
        <v>0.25</v>
      </c>
      <c r="CN43" s="36"/>
      <c r="CO43" s="36"/>
      <c r="CP43" s="36" t="s">
        <v>1454</v>
      </c>
      <c r="CQ43" s="36" t="s">
        <v>1080</v>
      </c>
      <c r="CR43" s="615"/>
      <c r="CS43" s="615"/>
      <c r="CT43" s="615"/>
      <c r="CU43" s="615"/>
      <c r="CV43" s="615"/>
      <c r="CW43" s="615"/>
      <c r="CX43" s="615"/>
      <c r="CY43" s="615"/>
      <c r="CZ43" s="615"/>
      <c r="DA43" s="615"/>
      <c r="DB43" s="615"/>
      <c r="DC43" s="615">
        <v>1</v>
      </c>
      <c r="DD43" s="615"/>
      <c r="DE43" s="615"/>
      <c r="DF43" s="615"/>
      <c r="DG43" s="36"/>
      <c r="DH43" s="36"/>
      <c r="DI43" s="36">
        <v>1</v>
      </c>
      <c r="DJ43" s="36"/>
      <c r="DL43" s="36"/>
      <c r="DM43" s="36"/>
      <c r="DN43" s="36"/>
      <c r="DO43" s="393" t="s">
        <v>105</v>
      </c>
      <c r="DP43" s="1681"/>
      <c r="DQ43" s="1681"/>
      <c r="DR43" s="1681">
        <v>1</v>
      </c>
      <c r="DS43" s="1681"/>
      <c r="DT43" s="1681"/>
      <c r="DU43" s="1681"/>
      <c r="DV43" s="1681"/>
      <c r="DW43" s="1681">
        <v>1</v>
      </c>
      <c r="DX43" s="1681">
        <v>1</v>
      </c>
      <c r="DY43" s="1681">
        <v>3</v>
      </c>
      <c r="DZ43" s="1681">
        <v>2</v>
      </c>
      <c r="EA43" s="1681">
        <v>4</v>
      </c>
      <c r="EB43" s="1681">
        <v>2</v>
      </c>
      <c r="EC43" s="1681">
        <v>2</v>
      </c>
      <c r="ED43" s="1681">
        <v>4</v>
      </c>
      <c r="EE43" s="95"/>
      <c r="EF43" s="95"/>
      <c r="EG43" s="95">
        <v>20</v>
      </c>
      <c r="EH43" s="560">
        <f>+(EG38+EG41+EG42)/EG43</f>
        <v>0.4</v>
      </c>
      <c r="EL43" s="36"/>
      <c r="EM43" s="36" t="s">
        <v>1081</v>
      </c>
      <c r="EN43" s="1490"/>
      <c r="EO43" s="1490"/>
      <c r="EP43" s="1490">
        <v>0</v>
      </c>
      <c r="EQ43" s="1490"/>
      <c r="ER43" s="1490">
        <v>0</v>
      </c>
      <c r="ES43" s="1490"/>
      <c r="ET43" s="1490">
        <v>0</v>
      </c>
      <c r="EU43" s="1490">
        <v>0</v>
      </c>
      <c r="EV43" s="1490">
        <v>0</v>
      </c>
      <c r="EW43" s="1490">
        <v>2</v>
      </c>
      <c r="EX43" s="1490">
        <v>1</v>
      </c>
      <c r="EY43" s="1490">
        <v>0</v>
      </c>
      <c r="EZ43" s="1490">
        <v>0</v>
      </c>
      <c r="FA43" s="1490">
        <v>0</v>
      </c>
      <c r="FB43" s="1490">
        <v>0</v>
      </c>
      <c r="FC43" s="36"/>
      <c r="FD43" s="36"/>
      <c r="FE43" s="36">
        <v>3</v>
      </c>
      <c r="FF43" s="36"/>
      <c r="FH43" s="1225"/>
      <c r="FI43" s="1225"/>
      <c r="FJ43" s="1225"/>
      <c r="FK43" s="1226" t="s">
        <v>1080</v>
      </c>
      <c r="FL43" s="1227"/>
      <c r="FM43" s="1228">
        <v>0</v>
      </c>
      <c r="FN43" s="1227"/>
      <c r="FO43" s="1227"/>
      <c r="FP43" s="1227"/>
      <c r="FQ43" s="1227"/>
      <c r="FR43" s="1227"/>
      <c r="FS43" s="1228">
        <v>0</v>
      </c>
      <c r="FT43" s="1227"/>
      <c r="FU43" s="1227"/>
      <c r="FV43" s="1227"/>
      <c r="FW43" s="1228">
        <v>0</v>
      </c>
      <c r="FX43" s="1228">
        <v>2</v>
      </c>
      <c r="FY43" s="1230">
        <v>0</v>
      </c>
      <c r="FZ43" s="1230">
        <v>4</v>
      </c>
      <c r="GA43" s="1230">
        <v>6</v>
      </c>
      <c r="GB43" s="36"/>
      <c r="GD43" s="603"/>
      <c r="GE43" s="603"/>
      <c r="GF43" s="603"/>
      <c r="GG43" s="622" t="s">
        <v>105</v>
      </c>
      <c r="GH43" s="624">
        <v>1</v>
      </c>
      <c r="GI43" s="624">
        <v>1</v>
      </c>
      <c r="GJ43" s="624">
        <v>2</v>
      </c>
      <c r="GK43" s="624">
        <v>3</v>
      </c>
      <c r="GL43" s="624">
        <v>1</v>
      </c>
      <c r="GM43" s="624">
        <v>1</v>
      </c>
      <c r="GN43" s="624">
        <v>12</v>
      </c>
      <c r="GO43" s="624">
        <v>6</v>
      </c>
      <c r="GP43" s="624">
        <v>3</v>
      </c>
      <c r="GQ43" s="624">
        <v>8</v>
      </c>
      <c r="GR43" s="624">
        <v>9</v>
      </c>
      <c r="GS43" s="624">
        <v>5</v>
      </c>
      <c r="GT43" s="624">
        <v>5</v>
      </c>
      <c r="GU43" s="624">
        <v>1</v>
      </c>
      <c r="GV43" s="623"/>
      <c r="GW43" s="625"/>
      <c r="GX43" s="625"/>
      <c r="GY43" s="626">
        <v>58</v>
      </c>
      <c r="GZ43" s="560">
        <f>+(GY39+GY41+GY42)/GY43</f>
        <v>0.29310344827586204</v>
      </c>
      <c r="HB43" s="441"/>
      <c r="HC43" s="441"/>
      <c r="HD43" s="441"/>
      <c r="HE43" s="441"/>
      <c r="HF43" s="442" t="s">
        <v>1072</v>
      </c>
      <c r="HG43" s="609"/>
      <c r="HH43" s="609"/>
      <c r="HI43" s="609"/>
      <c r="HJ43" s="609"/>
      <c r="HK43" s="609"/>
      <c r="HL43" s="609"/>
      <c r="HM43" s="609"/>
      <c r="HN43" s="609"/>
      <c r="HO43" s="609"/>
      <c r="HP43" s="609"/>
      <c r="HQ43" s="609"/>
      <c r="HR43" s="609"/>
      <c r="HS43" s="609"/>
      <c r="HT43" s="609"/>
      <c r="HU43" s="610">
        <v>1</v>
      </c>
      <c r="HV43" s="611"/>
      <c r="HW43" s="612">
        <v>0</v>
      </c>
      <c r="HX43" s="612">
        <v>1</v>
      </c>
      <c r="HY43" s="560"/>
      <c r="HZ43" s="36"/>
      <c r="IA43" s="613"/>
      <c r="IB43" s="613"/>
      <c r="IC43" s="613" t="s">
        <v>123</v>
      </c>
      <c r="ID43" s="389" t="s">
        <v>1080</v>
      </c>
      <c r="IE43" s="614"/>
      <c r="IF43" s="614"/>
      <c r="IG43" s="614"/>
      <c r="IH43" s="614"/>
      <c r="II43" s="614"/>
      <c r="IJ43" s="614"/>
      <c r="IK43" s="614"/>
      <c r="IL43" s="614"/>
      <c r="IM43" s="614"/>
      <c r="IN43" s="614"/>
      <c r="IO43" s="390">
        <v>1</v>
      </c>
      <c r="IP43" s="614"/>
      <c r="IQ43" s="614"/>
      <c r="IR43" s="390">
        <v>1</v>
      </c>
      <c r="IS43" s="615"/>
      <c r="IT43" s="36"/>
      <c r="IU43" s="36"/>
      <c r="IV43" s="95"/>
      <c r="IW43" s="95"/>
      <c r="IX43" s="36"/>
      <c r="IY43" s="393" t="s">
        <v>15</v>
      </c>
      <c r="IZ43" s="86"/>
      <c r="JA43" s="86"/>
      <c r="JB43" s="86"/>
      <c r="JC43" s="86"/>
      <c r="JD43" s="86"/>
      <c r="JE43" s="86"/>
      <c r="JF43" s="86">
        <v>1</v>
      </c>
      <c r="JG43" s="86"/>
      <c r="JH43" s="86"/>
      <c r="JI43" s="86"/>
      <c r="JJ43" s="86">
        <v>1</v>
      </c>
      <c r="JK43" s="86"/>
      <c r="JL43" s="86"/>
      <c r="JM43" s="86">
        <v>6</v>
      </c>
      <c r="JN43" s="86">
        <v>1</v>
      </c>
      <c r="JO43" s="86">
        <v>4</v>
      </c>
      <c r="JP43" s="86">
        <v>13</v>
      </c>
      <c r="JQ43" s="631">
        <f>+JP42/JP43</f>
        <v>0.15384615384615385</v>
      </c>
      <c r="JR43" s="36"/>
      <c r="JS43" s="616"/>
      <c r="JT43" s="616"/>
      <c r="JU43" s="616"/>
      <c r="JV43" s="616" t="s">
        <v>1076</v>
      </c>
      <c r="JW43" s="616">
        <v>0</v>
      </c>
      <c r="JX43" s="616">
        <v>0</v>
      </c>
      <c r="JY43" s="616">
        <v>0</v>
      </c>
      <c r="JZ43" s="616">
        <v>0</v>
      </c>
      <c r="KA43" s="616">
        <v>0</v>
      </c>
      <c r="KB43" s="616">
        <v>0</v>
      </c>
      <c r="KC43" s="616">
        <v>0</v>
      </c>
      <c r="KD43" s="616">
        <v>0</v>
      </c>
      <c r="KE43" s="616">
        <v>1</v>
      </c>
      <c r="KF43" s="616">
        <v>0</v>
      </c>
      <c r="KG43" s="616">
        <v>0</v>
      </c>
      <c r="KH43" s="616">
        <v>1</v>
      </c>
      <c r="KI43" s="616">
        <v>0</v>
      </c>
      <c r="KJ43" s="616">
        <v>0</v>
      </c>
      <c r="KK43" s="616">
        <v>0</v>
      </c>
      <c r="KL43" s="616">
        <v>0</v>
      </c>
      <c r="KM43" s="616">
        <v>2</v>
      </c>
      <c r="KN43" s="616"/>
      <c r="KO43" s="617"/>
    </row>
    <row r="44" spans="1:301">
      <c r="A44" s="5737">
        <v>1</v>
      </c>
      <c r="B44" s="5737">
        <v>4</v>
      </c>
      <c r="C44" s="5736" t="s">
        <v>1457</v>
      </c>
      <c r="D44" s="5736" t="s">
        <v>2709</v>
      </c>
      <c r="E44" s="5737">
        <v>1</v>
      </c>
      <c r="F44" s="5737">
        <v>1</v>
      </c>
      <c r="I44" s="4726">
        <v>1</v>
      </c>
      <c r="J44" s="4726">
        <v>4</v>
      </c>
      <c r="K44" s="4725" t="s">
        <v>1457</v>
      </c>
      <c r="L44" s="4725" t="s">
        <v>2731</v>
      </c>
      <c r="M44" s="4726">
        <v>1</v>
      </c>
      <c r="N44" s="4726">
        <v>12</v>
      </c>
      <c r="Q44" s="4470"/>
      <c r="R44" s="4470"/>
      <c r="S44" s="4465" t="s">
        <v>15</v>
      </c>
      <c r="T44" s="4469"/>
      <c r="U44" s="4470"/>
      <c r="V44" s="4489">
        <f>SUM(V43)</f>
        <v>3</v>
      </c>
      <c r="W44" s="4510">
        <v>0</v>
      </c>
      <c r="X44" s="4467">
        <v>1</v>
      </c>
      <c r="Y44" s="4467"/>
      <c r="Z44" s="36"/>
      <c r="AA44" s="36"/>
      <c r="AB44" s="36" t="s">
        <v>15</v>
      </c>
      <c r="AC44" s="36" t="s">
        <v>1072</v>
      </c>
      <c r="AD44" s="615"/>
      <c r="AE44" s="615"/>
      <c r="AF44" s="615"/>
      <c r="AG44" s="615"/>
      <c r="AH44" s="615"/>
      <c r="AI44" s="615"/>
      <c r="AJ44" s="615"/>
      <c r="AK44" s="615">
        <v>1</v>
      </c>
      <c r="AL44" s="615"/>
      <c r="AM44" s="615">
        <v>1</v>
      </c>
      <c r="AN44" s="615"/>
      <c r="AO44" s="615">
        <v>0</v>
      </c>
      <c r="AP44" s="615"/>
      <c r="AQ44" s="36"/>
      <c r="AR44" s="36">
        <v>2</v>
      </c>
      <c r="AS44" s="36"/>
      <c r="AW44" s="3868" t="s">
        <v>1458</v>
      </c>
      <c r="AX44" s="3868" t="s">
        <v>1072</v>
      </c>
      <c r="AY44" s="3721"/>
      <c r="AZ44" s="3721"/>
      <c r="BA44" s="3721"/>
      <c r="BB44" s="3721"/>
      <c r="BC44" s="3721"/>
      <c r="BD44" s="3721"/>
      <c r="BE44" s="3721"/>
      <c r="BF44" s="3721"/>
      <c r="BG44" s="3721">
        <v>1</v>
      </c>
      <c r="BH44" s="3721"/>
      <c r="BI44" s="3721"/>
      <c r="BJ44" s="3721"/>
      <c r="BK44" s="3721"/>
      <c r="BL44" s="3721"/>
      <c r="BM44" s="2110"/>
      <c r="BN44" s="2110"/>
      <c r="BO44" s="2110">
        <v>1</v>
      </c>
      <c r="BP44" s="2110"/>
      <c r="BT44" s="1520" t="s">
        <v>484</v>
      </c>
      <c r="BU44" s="1520" t="s">
        <v>1072</v>
      </c>
      <c r="BV44" s="3872">
        <v>0</v>
      </c>
      <c r="BW44" s="3872"/>
      <c r="BX44" s="3872"/>
      <c r="BY44" s="3872"/>
      <c r="BZ44" s="3872"/>
      <c r="CA44" s="3872"/>
      <c r="CB44" s="3872"/>
      <c r="CC44" s="3872"/>
      <c r="CD44" s="3872">
        <v>1</v>
      </c>
      <c r="CE44" s="3872">
        <v>0</v>
      </c>
      <c r="CF44" s="3872">
        <v>1</v>
      </c>
      <c r="CG44" s="3872">
        <v>0</v>
      </c>
      <c r="CH44" s="3872"/>
      <c r="CI44" s="3872">
        <v>0</v>
      </c>
      <c r="CJ44" s="3806">
        <v>0</v>
      </c>
      <c r="CK44" s="3806">
        <v>2</v>
      </c>
      <c r="CN44" s="36"/>
      <c r="CO44" s="36"/>
      <c r="CP44" s="36"/>
      <c r="CQ44" s="393" t="s">
        <v>15</v>
      </c>
      <c r="CR44" s="2049"/>
      <c r="CS44" s="2049"/>
      <c r="CT44" s="2049"/>
      <c r="CU44" s="2049"/>
      <c r="CV44" s="2049"/>
      <c r="CW44" s="2049"/>
      <c r="CX44" s="2049"/>
      <c r="CY44" s="2049"/>
      <c r="CZ44" s="2049"/>
      <c r="DA44" s="2049"/>
      <c r="DB44" s="2049"/>
      <c r="DC44" s="2049">
        <v>1</v>
      </c>
      <c r="DD44" s="2049"/>
      <c r="DE44" s="2049"/>
      <c r="DF44" s="2049"/>
      <c r="DG44" s="393"/>
      <c r="DH44" s="393"/>
      <c r="DI44" s="393">
        <v>1</v>
      </c>
      <c r="DJ44" s="560">
        <v>0</v>
      </c>
      <c r="DK44" s="1665"/>
      <c r="DL44" s="36" t="s">
        <v>25</v>
      </c>
      <c r="DM44" s="36" t="s">
        <v>4</v>
      </c>
      <c r="DN44" s="36" t="s">
        <v>119</v>
      </c>
      <c r="DO44" s="36" t="s">
        <v>1080</v>
      </c>
      <c r="DP44" s="1681"/>
      <c r="DQ44" s="1681"/>
      <c r="DR44" s="1681"/>
      <c r="DS44" s="1681"/>
      <c r="DT44" s="1681"/>
      <c r="DU44" s="1681"/>
      <c r="DV44" s="1681"/>
      <c r="DW44" s="1681"/>
      <c r="DX44" s="1681"/>
      <c r="DY44" s="1681"/>
      <c r="DZ44" s="1681"/>
      <c r="EA44" s="1681"/>
      <c r="EB44" s="1681"/>
      <c r="EC44" s="1681"/>
      <c r="ED44" s="1681">
        <v>2</v>
      </c>
      <c r="EE44" s="95"/>
      <c r="EF44" s="95"/>
      <c r="EG44" s="95">
        <v>2</v>
      </c>
      <c r="EH44" s="36"/>
      <c r="EL44" s="36"/>
      <c r="EM44" s="36" t="s">
        <v>1163</v>
      </c>
      <c r="EN44" s="1490"/>
      <c r="EO44" s="1490"/>
      <c r="EP44" s="1490">
        <v>0</v>
      </c>
      <c r="EQ44" s="1490"/>
      <c r="ER44" s="1490">
        <v>0</v>
      </c>
      <c r="ES44" s="1490"/>
      <c r="ET44" s="1490">
        <v>2</v>
      </c>
      <c r="EU44" s="1490">
        <v>2</v>
      </c>
      <c r="EV44" s="1490">
        <v>0</v>
      </c>
      <c r="EW44" s="1490">
        <v>5</v>
      </c>
      <c r="EX44" s="1490">
        <v>0</v>
      </c>
      <c r="EY44" s="1490">
        <v>1</v>
      </c>
      <c r="EZ44" s="1490">
        <v>1</v>
      </c>
      <c r="FA44" s="1490">
        <v>0</v>
      </c>
      <c r="FB44" s="1490">
        <v>0</v>
      </c>
      <c r="FC44" s="36"/>
      <c r="FD44" s="36"/>
      <c r="FE44" s="36">
        <v>11</v>
      </c>
      <c r="FF44" s="36"/>
      <c r="FH44" s="1225"/>
      <c r="FI44" s="1225"/>
      <c r="FJ44" s="1225"/>
      <c r="FK44" s="1222" t="s">
        <v>15</v>
      </c>
      <c r="FL44" s="1231"/>
      <c r="FM44" s="1232">
        <v>2</v>
      </c>
      <c r="FN44" s="1231"/>
      <c r="FO44" s="1231"/>
      <c r="FP44" s="1231"/>
      <c r="FQ44" s="1231"/>
      <c r="FR44" s="1231"/>
      <c r="FS44" s="1232">
        <v>1</v>
      </c>
      <c r="FT44" s="1231"/>
      <c r="FU44" s="1231"/>
      <c r="FV44" s="1231"/>
      <c r="FW44" s="1232">
        <v>1</v>
      </c>
      <c r="FX44" s="1232">
        <v>3</v>
      </c>
      <c r="FY44" s="1234">
        <v>1</v>
      </c>
      <c r="FZ44" s="1234">
        <v>4</v>
      </c>
      <c r="GA44" s="1234">
        <v>12</v>
      </c>
      <c r="GB44" s="1178">
        <f>+(GA42-FY42)/GA44</f>
        <v>0</v>
      </c>
      <c r="GD44" s="603" t="s">
        <v>25</v>
      </c>
      <c r="GE44" s="603" t="s">
        <v>4</v>
      </c>
      <c r="GF44" s="603" t="s">
        <v>119</v>
      </c>
      <c r="GG44" s="604" t="s">
        <v>1076</v>
      </c>
      <c r="GH44" s="605"/>
      <c r="GI44" s="605"/>
      <c r="GJ44" s="605"/>
      <c r="GK44" s="605"/>
      <c r="GL44" s="605"/>
      <c r="GM44" s="605"/>
      <c r="GN44" s="605"/>
      <c r="GO44" s="605"/>
      <c r="GP44" s="605"/>
      <c r="GQ44" s="605"/>
      <c r="GR44" s="605"/>
      <c r="GS44" s="605"/>
      <c r="GT44" s="605"/>
      <c r="GU44" s="605"/>
      <c r="GV44" s="606">
        <v>1</v>
      </c>
      <c r="GW44" s="608">
        <v>0</v>
      </c>
      <c r="GX44" s="607"/>
      <c r="GY44" s="608">
        <v>1</v>
      </c>
      <c r="GZ44" s="95"/>
      <c r="HB44" s="441"/>
      <c r="HC44" s="441"/>
      <c r="HD44" s="441"/>
      <c r="HE44" s="441"/>
      <c r="HF44" s="442" t="s">
        <v>1080</v>
      </c>
      <c r="HG44" s="609"/>
      <c r="HH44" s="609"/>
      <c r="HI44" s="609"/>
      <c r="HJ44" s="609"/>
      <c r="HK44" s="609"/>
      <c r="HL44" s="609"/>
      <c r="HM44" s="609"/>
      <c r="HN44" s="609"/>
      <c r="HO44" s="609"/>
      <c r="HP44" s="609"/>
      <c r="HQ44" s="609"/>
      <c r="HR44" s="609"/>
      <c r="HS44" s="609"/>
      <c r="HT44" s="609"/>
      <c r="HU44" s="610">
        <v>1</v>
      </c>
      <c r="HV44" s="611"/>
      <c r="HW44" s="612">
        <v>1</v>
      </c>
      <c r="HX44" s="612">
        <v>2</v>
      </c>
      <c r="HY44" s="560"/>
      <c r="HZ44" s="36"/>
      <c r="IA44" s="613"/>
      <c r="IB44" s="613"/>
      <c r="IC44" s="613"/>
      <c r="ID44" s="629" t="s">
        <v>15</v>
      </c>
      <c r="IE44" s="630"/>
      <c r="IF44" s="630"/>
      <c r="IG44" s="630"/>
      <c r="IH44" s="630"/>
      <c r="II44" s="630"/>
      <c r="IJ44" s="630"/>
      <c r="IK44" s="630"/>
      <c r="IL44" s="630"/>
      <c r="IM44" s="630"/>
      <c r="IN44" s="630"/>
      <c r="IO44" s="395">
        <v>1</v>
      </c>
      <c r="IP44" s="630"/>
      <c r="IQ44" s="630"/>
      <c r="IR44" s="395">
        <v>1</v>
      </c>
      <c r="IS44" s="553">
        <v>0</v>
      </c>
      <c r="IT44" s="36"/>
      <c r="IU44" s="36"/>
      <c r="IV44" s="95"/>
      <c r="IW44" s="95"/>
      <c r="IX44" s="36" t="s">
        <v>122</v>
      </c>
      <c r="IY44" s="36" t="s">
        <v>1071</v>
      </c>
      <c r="IZ44" s="95"/>
      <c r="JA44" s="95"/>
      <c r="JB44" s="95"/>
      <c r="JC44" s="95"/>
      <c r="JD44" s="95"/>
      <c r="JE44" s="95"/>
      <c r="JF44" s="95"/>
      <c r="JG44" s="95"/>
      <c r="JH44" s="95">
        <v>0</v>
      </c>
      <c r="JI44" s="95">
        <v>0</v>
      </c>
      <c r="JJ44" s="95"/>
      <c r="JK44" s="95">
        <v>0</v>
      </c>
      <c r="JL44" s="95"/>
      <c r="JM44" s="95">
        <v>1</v>
      </c>
      <c r="JN44" s="95"/>
      <c r="JO44" s="95"/>
      <c r="JP44" s="95">
        <v>1</v>
      </c>
      <c r="JQ44" s="36"/>
      <c r="JR44" s="36"/>
      <c r="JS44" s="616"/>
      <c r="JT44" s="616"/>
      <c r="JU44" s="616"/>
      <c r="JV44" s="616" t="s">
        <v>1077</v>
      </c>
      <c r="JW44" s="616">
        <v>1</v>
      </c>
      <c r="JX44" s="616">
        <v>0</v>
      </c>
      <c r="JY44" s="616">
        <v>0</v>
      </c>
      <c r="JZ44" s="616">
        <v>0</v>
      </c>
      <c r="KA44" s="616">
        <v>0</v>
      </c>
      <c r="KB44" s="616">
        <v>0</v>
      </c>
      <c r="KC44" s="616">
        <v>0</v>
      </c>
      <c r="KD44" s="616">
        <v>0</v>
      </c>
      <c r="KE44" s="616">
        <v>1</v>
      </c>
      <c r="KF44" s="616">
        <v>0</v>
      </c>
      <c r="KG44" s="616">
        <v>1</v>
      </c>
      <c r="KH44" s="616">
        <v>0</v>
      </c>
      <c r="KI44" s="616">
        <v>0</v>
      </c>
      <c r="KJ44" s="616">
        <v>0</v>
      </c>
      <c r="KK44" s="616">
        <v>0</v>
      </c>
      <c r="KL44" s="616">
        <v>0</v>
      </c>
      <c r="KM44" s="616">
        <v>3</v>
      </c>
      <c r="KN44" s="616"/>
      <c r="KO44" s="617"/>
    </row>
    <row r="45" spans="1:301">
      <c r="A45" s="5737">
        <v>1</v>
      </c>
      <c r="B45" s="5737">
        <v>4</v>
      </c>
      <c r="C45" s="5736" t="s">
        <v>1457</v>
      </c>
      <c r="D45" s="5736" t="s">
        <v>2709</v>
      </c>
      <c r="E45" s="5737">
        <v>1</v>
      </c>
      <c r="F45" s="5737">
        <v>2</v>
      </c>
      <c r="I45" s="4726">
        <v>1</v>
      </c>
      <c r="J45" s="4726">
        <v>4</v>
      </c>
      <c r="K45" s="4725" t="s">
        <v>1457</v>
      </c>
      <c r="L45" s="4725" t="s">
        <v>2709</v>
      </c>
      <c r="M45" s="4726">
        <v>1</v>
      </c>
      <c r="N45" s="4726">
        <v>1</v>
      </c>
      <c r="Q45" s="4458">
        <v>2</v>
      </c>
      <c r="R45" s="4458">
        <v>1</v>
      </c>
      <c r="S45" s="4459" t="s">
        <v>120</v>
      </c>
      <c r="T45" s="4459" t="s">
        <v>2709</v>
      </c>
      <c r="U45" s="4458">
        <v>14</v>
      </c>
      <c r="V45" s="4479">
        <v>1</v>
      </c>
      <c r="W45" s="4510"/>
      <c r="X45" s="4467"/>
      <c r="Y45" s="4467"/>
      <c r="Z45" s="36"/>
      <c r="AA45" s="36"/>
      <c r="AB45" s="36"/>
      <c r="AC45" s="36" t="s">
        <v>1080</v>
      </c>
      <c r="AD45" s="615"/>
      <c r="AE45" s="615"/>
      <c r="AF45" s="615"/>
      <c r="AG45" s="615"/>
      <c r="AH45" s="615"/>
      <c r="AI45" s="615"/>
      <c r="AJ45" s="615"/>
      <c r="AK45" s="615">
        <v>0</v>
      </c>
      <c r="AL45" s="615"/>
      <c r="AM45" s="615">
        <v>0</v>
      </c>
      <c r="AN45" s="615"/>
      <c r="AO45" s="615">
        <v>4</v>
      </c>
      <c r="AP45" s="615"/>
      <c r="AQ45" s="36"/>
      <c r="AR45" s="36">
        <v>4</v>
      </c>
      <c r="AS45" s="36"/>
      <c r="AU45" s="36"/>
      <c r="AV45" s="36"/>
      <c r="AW45" s="36"/>
      <c r="AX45" s="36" t="s">
        <v>15</v>
      </c>
      <c r="AY45" s="1681"/>
      <c r="AZ45" s="1681"/>
      <c r="BA45" s="1681"/>
      <c r="BB45" s="1681"/>
      <c r="BC45" s="1681"/>
      <c r="BD45" s="1681"/>
      <c r="BE45" s="1681"/>
      <c r="BF45" s="1681"/>
      <c r="BG45" s="1681">
        <v>1</v>
      </c>
      <c r="BH45" s="1681"/>
      <c r="BI45" s="1681"/>
      <c r="BJ45" s="1681"/>
      <c r="BK45" s="1681"/>
      <c r="BL45" s="1681"/>
      <c r="BM45" s="95"/>
      <c r="BN45" s="95"/>
      <c r="BO45" s="95">
        <v>1</v>
      </c>
      <c r="BP45" s="560">
        <v>0</v>
      </c>
      <c r="BT45" s="1520"/>
      <c r="BU45" s="1520" t="s">
        <v>1077</v>
      </c>
      <c r="BV45" s="3872">
        <v>0</v>
      </c>
      <c r="BW45" s="3872"/>
      <c r="BX45" s="3872"/>
      <c r="BY45" s="3872"/>
      <c r="BZ45" s="3872"/>
      <c r="CA45" s="3872"/>
      <c r="CB45" s="3872"/>
      <c r="CC45" s="3872"/>
      <c r="CD45" s="3872">
        <v>0</v>
      </c>
      <c r="CE45" s="3872">
        <v>0</v>
      </c>
      <c r="CF45" s="3872">
        <v>0</v>
      </c>
      <c r="CG45" s="3872">
        <v>0</v>
      </c>
      <c r="CH45" s="3872"/>
      <c r="CI45" s="3872">
        <v>1</v>
      </c>
      <c r="CJ45" s="3806">
        <v>1</v>
      </c>
      <c r="CK45" s="3806">
        <v>2</v>
      </c>
      <c r="CL45" s="3807">
        <v>0</v>
      </c>
      <c r="CN45" s="36"/>
      <c r="CO45" s="36"/>
      <c r="CP45" s="36" t="s">
        <v>1458</v>
      </c>
      <c r="CQ45" s="36" t="s">
        <v>1072</v>
      </c>
      <c r="CR45" s="615"/>
      <c r="CS45" s="615"/>
      <c r="CT45" s="615"/>
      <c r="CU45" s="615"/>
      <c r="CV45" s="615"/>
      <c r="CW45" s="615"/>
      <c r="CX45" s="615"/>
      <c r="CY45" s="615">
        <v>1</v>
      </c>
      <c r="CZ45" s="615"/>
      <c r="DA45" s="615">
        <v>1</v>
      </c>
      <c r="DB45" s="615">
        <v>1</v>
      </c>
      <c r="DC45" s="615">
        <v>1</v>
      </c>
      <c r="DD45" s="615"/>
      <c r="DE45" s="615">
        <v>1</v>
      </c>
      <c r="DF45" s="615">
        <v>0</v>
      </c>
      <c r="DG45" s="36"/>
      <c r="DH45" s="36"/>
      <c r="DI45" s="36">
        <v>5</v>
      </c>
      <c r="DJ45" s="36"/>
      <c r="DL45" s="36"/>
      <c r="DM45" s="36"/>
      <c r="DN45" s="36"/>
      <c r="DO45" s="393" t="s">
        <v>15</v>
      </c>
      <c r="DP45" s="1682"/>
      <c r="DQ45" s="1682"/>
      <c r="DR45" s="1682"/>
      <c r="DS45" s="1682"/>
      <c r="DT45" s="1682"/>
      <c r="DU45" s="1682"/>
      <c r="DV45" s="1682"/>
      <c r="DW45" s="1682"/>
      <c r="DX45" s="1682"/>
      <c r="DY45" s="1682"/>
      <c r="DZ45" s="1682"/>
      <c r="EA45" s="1682"/>
      <c r="EB45" s="1682"/>
      <c r="EC45" s="1682"/>
      <c r="ED45" s="1682">
        <v>2</v>
      </c>
      <c r="EE45" s="86"/>
      <c r="EF45" s="86"/>
      <c r="EG45" s="86">
        <v>2</v>
      </c>
      <c r="EH45" s="560">
        <v>0</v>
      </c>
      <c r="EL45" s="36"/>
      <c r="EM45" s="393" t="s">
        <v>105</v>
      </c>
      <c r="EN45" s="1491"/>
      <c r="EO45" s="1491"/>
      <c r="EP45" s="1491">
        <v>2</v>
      </c>
      <c r="EQ45" s="1491"/>
      <c r="ER45" s="1491">
        <v>1</v>
      </c>
      <c r="ES45" s="1491"/>
      <c r="ET45" s="1491">
        <v>5</v>
      </c>
      <c r="EU45" s="1491">
        <v>3</v>
      </c>
      <c r="EV45" s="1491">
        <v>2</v>
      </c>
      <c r="EW45" s="1491">
        <v>8</v>
      </c>
      <c r="EX45" s="1491">
        <v>5</v>
      </c>
      <c r="EY45" s="1491">
        <v>2</v>
      </c>
      <c r="EZ45" s="1491">
        <v>5</v>
      </c>
      <c r="FA45" s="1491">
        <v>5</v>
      </c>
      <c r="FB45" s="1491">
        <v>2</v>
      </c>
      <c r="FC45" s="393"/>
      <c r="FD45" s="393"/>
      <c r="FE45" s="393">
        <v>40</v>
      </c>
      <c r="FF45" s="560">
        <f>+(FE43+FE44)/FE45</f>
        <v>0.35</v>
      </c>
      <c r="FH45" s="1225"/>
      <c r="FI45" s="1225"/>
      <c r="FJ45" s="1225" t="s">
        <v>122</v>
      </c>
      <c r="FK45" s="1226" t="s">
        <v>1072</v>
      </c>
      <c r="FL45" s="1227"/>
      <c r="FM45" s="1227"/>
      <c r="FN45" s="1227"/>
      <c r="FO45" s="1227"/>
      <c r="FP45" s="1228">
        <v>1</v>
      </c>
      <c r="FQ45" s="1228">
        <v>1</v>
      </c>
      <c r="FR45" s="1227"/>
      <c r="FS45" s="1227"/>
      <c r="FT45" s="1227"/>
      <c r="FU45" s="1227"/>
      <c r="FV45" s="1228">
        <v>0</v>
      </c>
      <c r="FW45" s="1228">
        <v>1</v>
      </c>
      <c r="FX45" s="1228">
        <v>0</v>
      </c>
      <c r="FY45" s="1230">
        <v>0</v>
      </c>
      <c r="FZ45" s="1230">
        <v>0</v>
      </c>
      <c r="GA45" s="1230">
        <v>3</v>
      </c>
      <c r="GB45" s="36"/>
      <c r="GD45" s="603"/>
      <c r="GE45" s="603"/>
      <c r="GF45" s="603"/>
      <c r="GG45" s="604" t="s">
        <v>1080</v>
      </c>
      <c r="GH45" s="605"/>
      <c r="GI45" s="605"/>
      <c r="GJ45" s="605"/>
      <c r="GK45" s="605"/>
      <c r="GL45" s="605"/>
      <c r="GM45" s="605"/>
      <c r="GN45" s="605"/>
      <c r="GO45" s="605"/>
      <c r="GP45" s="605"/>
      <c r="GQ45" s="605"/>
      <c r="GR45" s="605"/>
      <c r="GS45" s="605"/>
      <c r="GT45" s="605"/>
      <c r="GU45" s="605"/>
      <c r="GV45" s="606">
        <v>0</v>
      </c>
      <c r="GW45" s="608">
        <v>1</v>
      </c>
      <c r="GX45" s="607"/>
      <c r="GY45" s="608">
        <v>1</v>
      </c>
      <c r="GZ45" s="95"/>
      <c r="HB45" s="441"/>
      <c r="HC45" s="441"/>
      <c r="HD45" s="441"/>
      <c r="HE45" s="441"/>
      <c r="HF45" s="442" t="s">
        <v>1163</v>
      </c>
      <c r="HG45" s="609"/>
      <c r="HH45" s="609"/>
      <c r="HI45" s="609"/>
      <c r="HJ45" s="609"/>
      <c r="HK45" s="609"/>
      <c r="HL45" s="609"/>
      <c r="HM45" s="609"/>
      <c r="HN45" s="609"/>
      <c r="HO45" s="609"/>
      <c r="HP45" s="609"/>
      <c r="HQ45" s="609"/>
      <c r="HR45" s="609"/>
      <c r="HS45" s="609"/>
      <c r="HT45" s="609"/>
      <c r="HU45" s="610">
        <v>1</v>
      </c>
      <c r="HV45" s="611"/>
      <c r="HW45" s="612">
        <v>0</v>
      </c>
      <c r="HX45" s="612">
        <v>1</v>
      </c>
      <c r="HY45" s="560"/>
      <c r="HZ45" s="36"/>
      <c r="IA45" s="613"/>
      <c r="IB45" s="613" t="s">
        <v>16</v>
      </c>
      <c r="IC45" s="613" t="s">
        <v>106</v>
      </c>
      <c r="ID45" s="389" t="s">
        <v>1072</v>
      </c>
      <c r="IE45" s="614"/>
      <c r="IF45" s="614"/>
      <c r="IG45" s="614"/>
      <c r="IH45" s="614"/>
      <c r="II45" s="614"/>
      <c r="IJ45" s="390">
        <v>1</v>
      </c>
      <c r="IK45" s="390">
        <v>1</v>
      </c>
      <c r="IL45" s="390">
        <v>1</v>
      </c>
      <c r="IM45" s="614"/>
      <c r="IN45" s="390">
        <v>0</v>
      </c>
      <c r="IO45" s="390">
        <v>0</v>
      </c>
      <c r="IP45" s="390">
        <v>0</v>
      </c>
      <c r="IQ45" s="390">
        <v>0</v>
      </c>
      <c r="IR45" s="390">
        <v>3</v>
      </c>
      <c r="IS45" s="615"/>
      <c r="IT45" s="36"/>
      <c r="IU45" s="36"/>
      <c r="IV45" s="95"/>
      <c r="IW45" s="95"/>
      <c r="IX45" s="36"/>
      <c r="IY45" s="36" t="s">
        <v>1072</v>
      </c>
      <c r="IZ45" s="95"/>
      <c r="JA45" s="95"/>
      <c r="JB45" s="95"/>
      <c r="JC45" s="95"/>
      <c r="JD45" s="95"/>
      <c r="JE45" s="95"/>
      <c r="JF45" s="95"/>
      <c r="JG45" s="95"/>
      <c r="JH45" s="95">
        <v>1</v>
      </c>
      <c r="JI45" s="95">
        <v>0</v>
      </c>
      <c r="JJ45" s="95"/>
      <c r="JK45" s="95">
        <v>0</v>
      </c>
      <c r="JL45" s="95"/>
      <c r="JM45" s="95">
        <v>0</v>
      </c>
      <c r="JN45" s="95"/>
      <c r="JO45" s="95"/>
      <c r="JP45" s="95">
        <v>1</v>
      </c>
      <c r="JQ45" s="36"/>
      <c r="JR45" s="36"/>
      <c r="JS45" s="616"/>
      <c r="JT45" s="616"/>
      <c r="JU45" s="616"/>
      <c r="JV45" s="627" t="s">
        <v>15</v>
      </c>
      <c r="JW45" s="627">
        <v>1</v>
      </c>
      <c r="JX45" s="627">
        <v>0</v>
      </c>
      <c r="JY45" s="627">
        <v>0</v>
      </c>
      <c r="JZ45" s="627">
        <v>0</v>
      </c>
      <c r="KA45" s="627">
        <v>0</v>
      </c>
      <c r="KB45" s="627">
        <v>1</v>
      </c>
      <c r="KC45" s="627">
        <v>0</v>
      </c>
      <c r="KD45" s="627">
        <v>1</v>
      </c>
      <c r="KE45" s="627">
        <v>2</v>
      </c>
      <c r="KF45" s="627">
        <v>1</v>
      </c>
      <c r="KG45" s="627">
        <v>1</v>
      </c>
      <c r="KH45" s="627">
        <v>1</v>
      </c>
      <c r="KI45" s="627">
        <v>0</v>
      </c>
      <c r="KJ45" s="627">
        <v>0</v>
      </c>
      <c r="KK45" s="627">
        <v>0</v>
      </c>
      <c r="KL45" s="627">
        <v>0</v>
      </c>
      <c r="KM45" s="627">
        <v>8</v>
      </c>
      <c r="KN45" s="628">
        <f>+KM43/KM45</f>
        <v>0.25</v>
      </c>
      <c r="KO45" s="617">
        <f>+KM43</f>
        <v>2</v>
      </c>
    </row>
    <row r="46" spans="1:301">
      <c r="A46" s="5737">
        <v>1</v>
      </c>
      <c r="B46" s="5737">
        <v>4</v>
      </c>
      <c r="C46" s="5736" t="s">
        <v>1457</v>
      </c>
      <c r="D46" s="5736" t="s">
        <v>2709</v>
      </c>
      <c r="E46" s="5737">
        <v>1</v>
      </c>
      <c r="F46" s="5737">
        <v>8</v>
      </c>
      <c r="I46" s="4726">
        <v>1</v>
      </c>
      <c r="J46" s="4726">
        <v>4</v>
      </c>
      <c r="K46" s="4725" t="s">
        <v>1457</v>
      </c>
      <c r="L46" s="4725" t="s">
        <v>2709</v>
      </c>
      <c r="M46" s="4726">
        <v>1</v>
      </c>
      <c r="N46" s="4726">
        <v>2</v>
      </c>
      <c r="Q46" s="4458">
        <v>2</v>
      </c>
      <c r="R46" s="4458">
        <v>1</v>
      </c>
      <c r="S46" s="4459" t="s">
        <v>120</v>
      </c>
      <c r="T46" s="4459" t="s">
        <v>2731</v>
      </c>
      <c r="U46" s="4458">
        <v>14</v>
      </c>
      <c r="V46" s="4479">
        <v>4</v>
      </c>
      <c r="W46" s="4510"/>
      <c r="X46" s="4467"/>
      <c r="Y46" s="4467"/>
      <c r="Z46" s="36"/>
      <c r="AA46" s="36"/>
      <c r="AB46" s="36"/>
      <c r="AC46" s="36" t="s">
        <v>1163</v>
      </c>
      <c r="AD46" s="615"/>
      <c r="AE46" s="615"/>
      <c r="AF46" s="615"/>
      <c r="AG46" s="615"/>
      <c r="AH46" s="615"/>
      <c r="AI46" s="615"/>
      <c r="AJ46" s="615"/>
      <c r="AK46" s="615">
        <v>1</v>
      </c>
      <c r="AL46" s="615"/>
      <c r="AM46" s="615">
        <v>0</v>
      </c>
      <c r="AN46" s="615"/>
      <c r="AO46" s="615">
        <v>0</v>
      </c>
      <c r="AP46" s="615"/>
      <c r="AQ46" s="36"/>
      <c r="AR46" s="36">
        <v>1</v>
      </c>
      <c r="AS46" s="36"/>
      <c r="AW46" s="27" t="s">
        <v>484</v>
      </c>
      <c r="AX46" s="27" t="s">
        <v>1072</v>
      </c>
      <c r="AY46" s="3722"/>
      <c r="AZ46" s="3722"/>
      <c r="BA46" s="3722"/>
      <c r="BB46" s="3722"/>
      <c r="BC46" s="3722"/>
      <c r="BD46" s="3722"/>
      <c r="BE46" s="3722"/>
      <c r="BF46" s="3722"/>
      <c r="BG46" s="3722">
        <v>1</v>
      </c>
      <c r="BH46" s="3722">
        <v>0</v>
      </c>
      <c r="BI46" s="3722"/>
      <c r="BJ46" s="3722">
        <v>0</v>
      </c>
      <c r="BK46" s="3722">
        <v>0</v>
      </c>
      <c r="BL46" s="3722">
        <v>0</v>
      </c>
      <c r="BM46" s="3701">
        <v>0</v>
      </c>
      <c r="BN46" s="3701"/>
      <c r="BO46" s="3701">
        <v>1</v>
      </c>
      <c r="BP46" s="3701"/>
      <c r="BT46" s="1520"/>
      <c r="BU46" s="1520" t="s">
        <v>1080</v>
      </c>
      <c r="BV46" s="3872">
        <v>0</v>
      </c>
      <c r="BW46" s="3872"/>
      <c r="BX46" s="3872"/>
      <c r="BY46" s="3872"/>
      <c r="BZ46" s="3872"/>
      <c r="CA46" s="3872"/>
      <c r="CB46" s="3872"/>
      <c r="CC46" s="3872"/>
      <c r="CD46" s="3872">
        <v>0</v>
      </c>
      <c r="CE46" s="3872">
        <v>0</v>
      </c>
      <c r="CF46" s="3872">
        <v>0</v>
      </c>
      <c r="CG46" s="3872">
        <v>1</v>
      </c>
      <c r="CH46" s="3872"/>
      <c r="CI46" s="3872">
        <v>0</v>
      </c>
      <c r="CJ46" s="3806">
        <v>0</v>
      </c>
      <c r="CK46" s="3806">
        <v>1</v>
      </c>
      <c r="CL46" s="1520"/>
      <c r="CN46" s="36"/>
      <c r="CO46" s="36"/>
      <c r="CP46" s="36"/>
      <c r="CQ46" s="36" t="s">
        <v>1076</v>
      </c>
      <c r="CR46" s="615"/>
      <c r="CS46" s="615"/>
      <c r="CT46" s="615"/>
      <c r="CU46" s="615"/>
      <c r="CV46" s="615"/>
      <c r="CW46" s="615"/>
      <c r="CX46" s="615"/>
      <c r="CY46" s="615">
        <v>0</v>
      </c>
      <c r="CZ46" s="615"/>
      <c r="DA46" s="615">
        <v>1</v>
      </c>
      <c r="DB46" s="615">
        <v>0</v>
      </c>
      <c r="DC46" s="615">
        <v>0</v>
      </c>
      <c r="DD46" s="615"/>
      <c r="DE46" s="615">
        <v>0</v>
      </c>
      <c r="DF46" s="615">
        <v>0</v>
      </c>
      <c r="DG46" s="36"/>
      <c r="DH46" s="36"/>
      <c r="DI46" s="36">
        <v>1</v>
      </c>
      <c r="DJ46" s="36"/>
      <c r="DL46" s="36"/>
      <c r="DM46" s="36"/>
      <c r="DN46" s="36" t="s">
        <v>120</v>
      </c>
      <c r="DO46" s="36" t="s">
        <v>1072</v>
      </c>
      <c r="DP46" s="1681"/>
      <c r="DQ46" s="1681"/>
      <c r="DR46" s="1681"/>
      <c r="DS46" s="1681"/>
      <c r="DT46" s="1681">
        <v>1</v>
      </c>
      <c r="DU46" s="1681"/>
      <c r="DV46" s="1681">
        <v>1</v>
      </c>
      <c r="DW46" s="1681"/>
      <c r="DX46" s="1681"/>
      <c r="DY46" s="1681"/>
      <c r="DZ46" s="1681"/>
      <c r="EA46" s="1681">
        <v>0</v>
      </c>
      <c r="EB46" s="1681">
        <v>0</v>
      </c>
      <c r="EC46" s="1681"/>
      <c r="ED46" s="1681">
        <v>0</v>
      </c>
      <c r="EE46" s="95">
        <v>1</v>
      </c>
      <c r="EF46" s="95">
        <v>0</v>
      </c>
      <c r="EG46" s="95">
        <v>3</v>
      </c>
      <c r="EH46" s="36"/>
      <c r="EJ46" s="95" t="s">
        <v>25</v>
      </c>
      <c r="EK46" s="95" t="s">
        <v>4</v>
      </c>
      <c r="EL46" s="36" t="s">
        <v>119</v>
      </c>
      <c r="EM46" s="36" t="s">
        <v>1163</v>
      </c>
      <c r="EN46" s="1490"/>
      <c r="EO46" s="1490"/>
      <c r="EP46" s="1490"/>
      <c r="EQ46" s="1490"/>
      <c r="ER46" s="1490"/>
      <c r="ES46" s="1490"/>
      <c r="ET46" s="1490"/>
      <c r="EU46" s="1490"/>
      <c r="EV46" s="1490"/>
      <c r="EW46" s="1490"/>
      <c r="EX46" s="1490"/>
      <c r="EY46" s="1490"/>
      <c r="EZ46" s="1490"/>
      <c r="FA46" s="1490">
        <v>1</v>
      </c>
      <c r="FB46" s="1490"/>
      <c r="FC46" s="36"/>
      <c r="FD46" s="36"/>
      <c r="FE46" s="36">
        <v>1</v>
      </c>
      <c r="FF46" s="36"/>
      <c r="FH46" s="1225"/>
      <c r="FI46" s="1225"/>
      <c r="FJ46" s="1225"/>
      <c r="FK46" s="1226" t="s">
        <v>1080</v>
      </c>
      <c r="FL46" s="1227"/>
      <c r="FM46" s="1227"/>
      <c r="FN46" s="1227"/>
      <c r="FO46" s="1227"/>
      <c r="FP46" s="1228">
        <v>0</v>
      </c>
      <c r="FQ46" s="1228">
        <v>0</v>
      </c>
      <c r="FR46" s="1227"/>
      <c r="FS46" s="1227"/>
      <c r="FT46" s="1227"/>
      <c r="FU46" s="1227"/>
      <c r="FV46" s="1228">
        <v>0</v>
      </c>
      <c r="FW46" s="1228">
        <v>0</v>
      </c>
      <c r="FX46" s="1228">
        <v>6</v>
      </c>
      <c r="FY46" s="1230">
        <v>1</v>
      </c>
      <c r="FZ46" s="1230">
        <v>3</v>
      </c>
      <c r="GA46" s="1230">
        <v>10</v>
      </c>
      <c r="GB46" s="36"/>
      <c r="GD46" s="603"/>
      <c r="GE46" s="603"/>
      <c r="GF46" s="603"/>
      <c r="GG46" s="622" t="s">
        <v>15</v>
      </c>
      <c r="GH46" s="623"/>
      <c r="GI46" s="623"/>
      <c r="GJ46" s="623"/>
      <c r="GK46" s="623"/>
      <c r="GL46" s="623"/>
      <c r="GM46" s="623"/>
      <c r="GN46" s="623"/>
      <c r="GO46" s="623"/>
      <c r="GP46" s="623"/>
      <c r="GQ46" s="623"/>
      <c r="GR46" s="623"/>
      <c r="GS46" s="623"/>
      <c r="GT46" s="623"/>
      <c r="GU46" s="623"/>
      <c r="GV46" s="624">
        <v>1</v>
      </c>
      <c r="GW46" s="626">
        <v>1</v>
      </c>
      <c r="GX46" s="625"/>
      <c r="GY46" s="626">
        <v>2</v>
      </c>
      <c r="GZ46" s="560">
        <f>+GY44/GY46</f>
        <v>0.5</v>
      </c>
      <c r="HB46" s="441"/>
      <c r="HC46" s="441"/>
      <c r="HD46" s="441"/>
      <c r="HE46" s="36"/>
      <c r="HF46" s="462" t="s">
        <v>15</v>
      </c>
      <c r="HG46" s="618"/>
      <c r="HH46" s="618"/>
      <c r="HI46" s="618"/>
      <c r="HJ46" s="618"/>
      <c r="HK46" s="618"/>
      <c r="HL46" s="618"/>
      <c r="HM46" s="618"/>
      <c r="HN46" s="618"/>
      <c r="HO46" s="618"/>
      <c r="HP46" s="618"/>
      <c r="HQ46" s="618"/>
      <c r="HR46" s="618"/>
      <c r="HS46" s="618"/>
      <c r="HT46" s="618"/>
      <c r="HU46" s="619">
        <v>4</v>
      </c>
      <c r="HV46" s="620"/>
      <c r="HW46" s="621">
        <v>1</v>
      </c>
      <c r="HX46" s="621">
        <v>5</v>
      </c>
      <c r="HY46" s="560">
        <f>+HX45/HX46</f>
        <v>0.2</v>
      </c>
      <c r="HZ46" s="36"/>
      <c r="IA46" s="613"/>
      <c r="IB46" s="613"/>
      <c r="IC46" s="613"/>
      <c r="ID46" s="389" t="s">
        <v>1076</v>
      </c>
      <c r="IE46" s="614"/>
      <c r="IF46" s="614"/>
      <c r="IG46" s="614"/>
      <c r="IH46" s="614"/>
      <c r="II46" s="614"/>
      <c r="IJ46" s="390">
        <v>1</v>
      </c>
      <c r="IK46" s="390">
        <v>1</v>
      </c>
      <c r="IL46" s="390">
        <v>0</v>
      </c>
      <c r="IM46" s="614"/>
      <c r="IN46" s="390">
        <v>1</v>
      </c>
      <c r="IO46" s="390">
        <v>1</v>
      </c>
      <c r="IP46" s="390">
        <v>0</v>
      </c>
      <c r="IQ46" s="390">
        <v>0</v>
      </c>
      <c r="IR46" s="390">
        <v>4</v>
      </c>
      <c r="IS46" s="615"/>
      <c r="IT46" s="36"/>
      <c r="IU46" s="36"/>
      <c r="IV46" s="95"/>
      <c r="IW46" s="95"/>
      <c r="IX46" s="36"/>
      <c r="IY46" s="36" t="s">
        <v>1080</v>
      </c>
      <c r="IZ46" s="95"/>
      <c r="JA46" s="95"/>
      <c r="JB46" s="95"/>
      <c r="JC46" s="95"/>
      <c r="JD46" s="95"/>
      <c r="JE46" s="95"/>
      <c r="JF46" s="95"/>
      <c r="JG46" s="95"/>
      <c r="JH46" s="95">
        <v>0</v>
      </c>
      <c r="JI46" s="95">
        <v>0</v>
      </c>
      <c r="JJ46" s="95"/>
      <c r="JK46" s="95">
        <v>0</v>
      </c>
      <c r="JL46" s="95"/>
      <c r="JM46" s="95">
        <v>1</v>
      </c>
      <c r="JN46" s="95"/>
      <c r="JO46" s="95"/>
      <c r="JP46" s="95">
        <v>1</v>
      </c>
      <c r="JQ46" s="36"/>
      <c r="JR46" s="36"/>
      <c r="JS46" s="616"/>
      <c r="JT46" s="616"/>
      <c r="JU46" s="616" t="s">
        <v>124</v>
      </c>
      <c r="JV46" s="616" t="s">
        <v>1072</v>
      </c>
      <c r="JW46" s="616">
        <v>0</v>
      </c>
      <c r="JX46" s="616">
        <v>0</v>
      </c>
      <c r="JY46" s="616">
        <v>0</v>
      </c>
      <c r="JZ46" s="616">
        <v>0</v>
      </c>
      <c r="KA46" s="616">
        <v>0</v>
      </c>
      <c r="KB46" s="616">
        <v>0</v>
      </c>
      <c r="KC46" s="616">
        <v>0</v>
      </c>
      <c r="KD46" s="616">
        <v>0</v>
      </c>
      <c r="KE46" s="616">
        <v>2</v>
      </c>
      <c r="KF46" s="616">
        <v>0</v>
      </c>
      <c r="KG46" s="616">
        <v>0</v>
      </c>
      <c r="KH46" s="616">
        <v>0</v>
      </c>
      <c r="KI46" s="616">
        <v>0</v>
      </c>
      <c r="KJ46" s="616">
        <v>0</v>
      </c>
      <c r="KK46" s="616">
        <v>0</v>
      </c>
      <c r="KL46" s="616">
        <v>0</v>
      </c>
      <c r="KM46" s="616">
        <v>2</v>
      </c>
      <c r="KN46" s="616"/>
      <c r="KO46" s="617"/>
    </row>
    <row r="47" spans="1:301">
      <c r="A47" s="5737">
        <v>1</v>
      </c>
      <c r="B47" s="5737">
        <v>4</v>
      </c>
      <c r="C47" s="5736" t="s">
        <v>1457</v>
      </c>
      <c r="D47" s="5736" t="s">
        <v>2709</v>
      </c>
      <c r="E47" s="5737">
        <v>2</v>
      </c>
      <c r="F47" s="5737">
        <v>10</v>
      </c>
      <c r="I47" s="4726">
        <v>1</v>
      </c>
      <c r="J47" s="4726">
        <v>4</v>
      </c>
      <c r="K47" s="4725" t="s">
        <v>1457</v>
      </c>
      <c r="L47" s="4725" t="s">
        <v>2709</v>
      </c>
      <c r="M47" s="4726">
        <v>1</v>
      </c>
      <c r="N47" s="4726">
        <v>8</v>
      </c>
      <c r="Q47" s="4458"/>
      <c r="R47" s="4458"/>
      <c r="S47" s="4465" t="s">
        <v>15</v>
      </c>
      <c r="T47" s="4459"/>
      <c r="U47" s="4458"/>
      <c r="V47" s="4480">
        <v>6</v>
      </c>
      <c r="W47" s="4510">
        <v>0</v>
      </c>
      <c r="X47" s="4467">
        <v>5</v>
      </c>
      <c r="Y47" s="4467"/>
      <c r="Z47" s="36"/>
      <c r="AA47" s="36"/>
      <c r="AB47" s="36"/>
      <c r="AC47" s="4236" t="s">
        <v>15</v>
      </c>
      <c r="AD47" s="4236"/>
      <c r="AE47" s="4236"/>
      <c r="AF47" s="4236"/>
      <c r="AG47" s="4236"/>
      <c r="AH47" s="4236"/>
      <c r="AI47" s="4236"/>
      <c r="AJ47" s="4236"/>
      <c r="AK47" s="4236">
        <v>2</v>
      </c>
      <c r="AL47" s="4236"/>
      <c r="AM47" s="4236">
        <v>1</v>
      </c>
      <c r="AN47" s="4236"/>
      <c r="AO47" s="4236">
        <v>4</v>
      </c>
      <c r="AP47" s="4236"/>
      <c r="AQ47" s="4236"/>
      <c r="AR47" s="4236">
        <v>7</v>
      </c>
      <c r="AS47" s="4243">
        <f>+(AK46)/AR47</f>
        <v>0.14285714285714285</v>
      </c>
      <c r="AW47" s="27"/>
      <c r="AX47" s="27" t="s">
        <v>1077</v>
      </c>
      <c r="AY47" s="3722"/>
      <c r="AZ47" s="3722"/>
      <c r="BA47" s="3722"/>
      <c r="BB47" s="3722"/>
      <c r="BC47" s="3722"/>
      <c r="BD47" s="3722"/>
      <c r="BE47" s="3722"/>
      <c r="BF47" s="3722"/>
      <c r="BG47" s="3722">
        <v>0</v>
      </c>
      <c r="BH47" s="3722">
        <v>0</v>
      </c>
      <c r="BI47" s="3722"/>
      <c r="BJ47" s="3722">
        <v>0</v>
      </c>
      <c r="BK47" s="3722">
        <v>0</v>
      </c>
      <c r="BL47" s="3722">
        <v>1</v>
      </c>
      <c r="BM47" s="3701">
        <v>1</v>
      </c>
      <c r="BN47" s="3701"/>
      <c r="BO47" s="3701">
        <v>2</v>
      </c>
      <c r="BP47" s="3701"/>
      <c r="BT47" s="1520"/>
      <c r="BU47" s="1520" t="s">
        <v>1163</v>
      </c>
      <c r="BV47" s="3872">
        <v>0</v>
      </c>
      <c r="BW47" s="3872"/>
      <c r="BX47" s="3872"/>
      <c r="BY47" s="3872"/>
      <c r="BZ47" s="3872"/>
      <c r="CA47" s="3872"/>
      <c r="CB47" s="3872"/>
      <c r="CC47" s="3872"/>
      <c r="CD47" s="3872">
        <v>1</v>
      </c>
      <c r="CE47" s="3872">
        <v>1</v>
      </c>
      <c r="CF47" s="3872">
        <v>0</v>
      </c>
      <c r="CG47" s="3872">
        <v>0</v>
      </c>
      <c r="CH47" s="3872"/>
      <c r="CI47" s="3872">
        <v>0</v>
      </c>
      <c r="CJ47" s="3806">
        <v>0</v>
      </c>
      <c r="CK47" s="3806">
        <v>2</v>
      </c>
      <c r="CL47" s="1520"/>
      <c r="CN47" s="36"/>
      <c r="CO47" s="36"/>
      <c r="CP47" s="36"/>
      <c r="CQ47" s="36" t="s">
        <v>1080</v>
      </c>
      <c r="CR47" s="615"/>
      <c r="CS47" s="615"/>
      <c r="CT47" s="615"/>
      <c r="CU47" s="615"/>
      <c r="CV47" s="615"/>
      <c r="CW47" s="615"/>
      <c r="CX47" s="615"/>
      <c r="CY47" s="615">
        <v>0</v>
      </c>
      <c r="CZ47" s="615"/>
      <c r="DA47" s="615">
        <v>0</v>
      </c>
      <c r="DB47" s="615">
        <v>0</v>
      </c>
      <c r="DC47" s="615">
        <v>1</v>
      </c>
      <c r="DD47" s="615"/>
      <c r="DE47" s="615">
        <v>1</v>
      </c>
      <c r="DF47" s="615">
        <v>3</v>
      </c>
      <c r="DG47" s="36"/>
      <c r="DH47" s="36"/>
      <c r="DI47" s="36">
        <v>5</v>
      </c>
      <c r="DJ47" s="36"/>
      <c r="DL47" s="36"/>
      <c r="DM47" s="36"/>
      <c r="DN47" s="36"/>
      <c r="DO47" s="36" t="s">
        <v>1076</v>
      </c>
      <c r="DP47" s="1681"/>
      <c r="DQ47" s="1681"/>
      <c r="DR47" s="1681"/>
      <c r="DS47" s="1681"/>
      <c r="DT47" s="1681">
        <v>0</v>
      </c>
      <c r="DU47" s="1681"/>
      <c r="DV47" s="1681">
        <v>0</v>
      </c>
      <c r="DW47" s="1681"/>
      <c r="DX47" s="1681"/>
      <c r="DY47" s="1681"/>
      <c r="DZ47" s="1681"/>
      <c r="EA47" s="1681">
        <v>0</v>
      </c>
      <c r="EB47" s="1681">
        <v>1</v>
      </c>
      <c r="EC47" s="1681"/>
      <c r="ED47" s="1681">
        <v>0</v>
      </c>
      <c r="EE47" s="95">
        <v>0</v>
      </c>
      <c r="EF47" s="95">
        <v>0</v>
      </c>
      <c r="EG47" s="95">
        <v>1</v>
      </c>
      <c r="EH47" s="36"/>
      <c r="EL47" s="36"/>
      <c r="EM47" s="393" t="s">
        <v>15</v>
      </c>
      <c r="EN47" s="1491"/>
      <c r="EO47" s="1491"/>
      <c r="EP47" s="1491"/>
      <c r="EQ47" s="1491"/>
      <c r="ER47" s="1491"/>
      <c r="ES47" s="1491"/>
      <c r="ET47" s="1491"/>
      <c r="EU47" s="1491"/>
      <c r="EV47" s="1491"/>
      <c r="EW47" s="1491"/>
      <c r="EX47" s="1491"/>
      <c r="EY47" s="1491"/>
      <c r="EZ47" s="1491"/>
      <c r="FA47" s="1491">
        <v>1</v>
      </c>
      <c r="FB47" s="1491"/>
      <c r="FC47" s="393"/>
      <c r="FD47" s="393"/>
      <c r="FE47" s="393">
        <v>1</v>
      </c>
      <c r="FF47" s="560">
        <f>+FE46/FE47</f>
        <v>1</v>
      </c>
      <c r="FH47" s="1225"/>
      <c r="FI47" s="1225"/>
      <c r="FJ47" s="1225"/>
      <c r="FK47" s="1226" t="s">
        <v>1163</v>
      </c>
      <c r="FL47" s="1227"/>
      <c r="FM47" s="1227"/>
      <c r="FN47" s="1227"/>
      <c r="FO47" s="1227"/>
      <c r="FP47" s="1228">
        <v>0</v>
      </c>
      <c r="FQ47" s="1228">
        <v>0</v>
      </c>
      <c r="FR47" s="1227"/>
      <c r="FS47" s="1227"/>
      <c r="FT47" s="1227"/>
      <c r="FU47" s="1227"/>
      <c r="FV47" s="1228">
        <v>1</v>
      </c>
      <c r="FW47" s="1228">
        <v>1</v>
      </c>
      <c r="FX47" s="1228">
        <v>0</v>
      </c>
      <c r="FY47" s="1230">
        <v>0</v>
      </c>
      <c r="FZ47" s="1230">
        <v>0</v>
      </c>
      <c r="GA47" s="1230">
        <v>2</v>
      </c>
      <c r="GB47" s="36"/>
      <c r="GD47" s="603"/>
      <c r="GE47" s="603"/>
      <c r="GF47" s="603" t="s">
        <v>120</v>
      </c>
      <c r="GG47" s="604" t="s">
        <v>1072</v>
      </c>
      <c r="GH47" s="605"/>
      <c r="GI47" s="605"/>
      <c r="GJ47" s="605"/>
      <c r="GK47" s="605"/>
      <c r="GL47" s="605"/>
      <c r="GM47" s="605"/>
      <c r="GN47" s="605"/>
      <c r="GO47" s="606">
        <v>1</v>
      </c>
      <c r="GP47" s="605"/>
      <c r="GQ47" s="605"/>
      <c r="GR47" s="605"/>
      <c r="GS47" s="606">
        <v>1</v>
      </c>
      <c r="GT47" s="606">
        <v>1</v>
      </c>
      <c r="GU47" s="606">
        <v>2</v>
      </c>
      <c r="GV47" s="606">
        <v>0</v>
      </c>
      <c r="GW47" s="608">
        <v>0</v>
      </c>
      <c r="GX47" s="608">
        <v>0</v>
      </c>
      <c r="GY47" s="608">
        <v>5</v>
      </c>
      <c r="GZ47" s="95"/>
      <c r="HB47" s="441"/>
      <c r="HC47" s="441"/>
      <c r="HD47" s="441" t="s">
        <v>120</v>
      </c>
      <c r="HE47" s="441" t="s">
        <v>1070</v>
      </c>
      <c r="HF47" s="442" t="s">
        <v>1071</v>
      </c>
      <c r="HG47" s="609"/>
      <c r="HH47" s="609"/>
      <c r="HI47" s="609"/>
      <c r="HJ47" s="610">
        <v>0</v>
      </c>
      <c r="HK47" s="609"/>
      <c r="HL47" s="609"/>
      <c r="HM47" s="609"/>
      <c r="HN47" s="609"/>
      <c r="HO47" s="609"/>
      <c r="HP47" s="609"/>
      <c r="HQ47" s="609"/>
      <c r="HR47" s="609"/>
      <c r="HS47" s="609"/>
      <c r="HT47" s="610">
        <v>0</v>
      </c>
      <c r="HU47" s="610">
        <v>0</v>
      </c>
      <c r="HV47" s="612">
        <v>1</v>
      </c>
      <c r="HW47" s="612">
        <v>0</v>
      </c>
      <c r="HX47" s="612">
        <v>1</v>
      </c>
      <c r="HY47" s="560"/>
      <c r="HZ47" s="36"/>
      <c r="IA47" s="613"/>
      <c r="IB47" s="613"/>
      <c r="IC47" s="613"/>
      <c r="ID47" s="389" t="s">
        <v>1080</v>
      </c>
      <c r="IE47" s="614"/>
      <c r="IF47" s="614"/>
      <c r="IG47" s="614"/>
      <c r="IH47" s="614"/>
      <c r="II47" s="614"/>
      <c r="IJ47" s="390">
        <v>0</v>
      </c>
      <c r="IK47" s="390">
        <v>0</v>
      </c>
      <c r="IL47" s="390">
        <v>0</v>
      </c>
      <c r="IM47" s="614"/>
      <c r="IN47" s="390">
        <v>1</v>
      </c>
      <c r="IO47" s="390">
        <v>2</v>
      </c>
      <c r="IP47" s="390">
        <v>1</v>
      </c>
      <c r="IQ47" s="390">
        <v>2</v>
      </c>
      <c r="IR47" s="390">
        <v>6</v>
      </c>
      <c r="IS47" s="615"/>
      <c r="IT47" s="36"/>
      <c r="IU47" s="36"/>
      <c r="IV47" s="95"/>
      <c r="IW47" s="95"/>
      <c r="IX47" s="36"/>
      <c r="IY47" s="36" t="s">
        <v>1163</v>
      </c>
      <c r="IZ47" s="95"/>
      <c r="JA47" s="95"/>
      <c r="JB47" s="95"/>
      <c r="JC47" s="95"/>
      <c r="JD47" s="95"/>
      <c r="JE47" s="95"/>
      <c r="JF47" s="95"/>
      <c r="JG47" s="95"/>
      <c r="JH47" s="95">
        <v>0</v>
      </c>
      <c r="JI47" s="95">
        <v>1</v>
      </c>
      <c r="JJ47" s="95"/>
      <c r="JK47" s="95">
        <v>2</v>
      </c>
      <c r="JL47" s="95"/>
      <c r="JM47" s="95">
        <v>0</v>
      </c>
      <c r="JN47" s="95"/>
      <c r="JO47" s="95"/>
      <c r="JP47" s="95">
        <v>3</v>
      </c>
      <c r="JQ47" s="36"/>
      <c r="JR47" s="36"/>
      <c r="JS47" s="616"/>
      <c r="JT47" s="616"/>
      <c r="JU47" s="616"/>
      <c r="JV47" s="616" t="s">
        <v>1076</v>
      </c>
      <c r="JW47" s="616">
        <v>0</v>
      </c>
      <c r="JX47" s="616">
        <v>0</v>
      </c>
      <c r="JY47" s="616">
        <v>0</v>
      </c>
      <c r="JZ47" s="616">
        <v>0</v>
      </c>
      <c r="KA47" s="616">
        <v>0</v>
      </c>
      <c r="KB47" s="616">
        <v>0</v>
      </c>
      <c r="KC47" s="616">
        <v>0</v>
      </c>
      <c r="KD47" s="616">
        <v>0</v>
      </c>
      <c r="KE47" s="616">
        <v>1</v>
      </c>
      <c r="KF47" s="616">
        <v>1</v>
      </c>
      <c r="KG47" s="616">
        <v>0</v>
      </c>
      <c r="KH47" s="616">
        <v>2</v>
      </c>
      <c r="KI47" s="616">
        <v>0</v>
      </c>
      <c r="KJ47" s="616">
        <v>0</v>
      </c>
      <c r="KK47" s="616">
        <v>0</v>
      </c>
      <c r="KL47" s="616">
        <v>0</v>
      </c>
      <c r="KM47" s="616">
        <v>4</v>
      </c>
      <c r="KN47" s="616"/>
      <c r="KO47" s="617"/>
    </row>
    <row r="48" spans="1:301">
      <c r="A48" s="5737"/>
      <c r="B48" s="5737"/>
      <c r="C48" s="5736"/>
      <c r="D48" s="5736"/>
      <c r="E48" s="5742">
        <f>SUM(E43:E47)</f>
        <v>6</v>
      </c>
      <c r="F48" s="5737"/>
      <c r="G48" s="4510">
        <v>0</v>
      </c>
      <c r="I48" s="4726">
        <v>1</v>
      </c>
      <c r="J48" s="4726">
        <v>4</v>
      </c>
      <c r="K48" s="4725" t="s">
        <v>1457</v>
      </c>
      <c r="L48" s="4725" t="s">
        <v>2709</v>
      </c>
      <c r="M48" s="4726">
        <v>2</v>
      </c>
      <c r="N48" s="4726">
        <v>10</v>
      </c>
      <c r="Q48" s="4458">
        <v>2</v>
      </c>
      <c r="R48" s="4458">
        <v>1</v>
      </c>
      <c r="S48" s="4459" t="s">
        <v>121</v>
      </c>
      <c r="T48" s="4461" t="s">
        <v>1076</v>
      </c>
      <c r="U48" s="4458">
        <v>12</v>
      </c>
      <c r="V48" s="4479">
        <v>1</v>
      </c>
      <c r="W48" s="4510"/>
      <c r="X48" s="4467"/>
      <c r="Y48" s="4467"/>
      <c r="Z48" s="36"/>
      <c r="AA48" s="36"/>
      <c r="AB48" s="36" t="s">
        <v>15</v>
      </c>
      <c r="AC48" s="36" t="s">
        <v>1071</v>
      </c>
      <c r="AD48" s="615">
        <v>0</v>
      </c>
      <c r="AE48" s="615">
        <v>0</v>
      </c>
      <c r="AF48" s="615"/>
      <c r="AG48" s="615">
        <v>0</v>
      </c>
      <c r="AH48" s="615"/>
      <c r="AI48" s="615">
        <v>0</v>
      </c>
      <c r="AJ48" s="615">
        <v>0</v>
      </c>
      <c r="AK48" s="615">
        <v>0</v>
      </c>
      <c r="AL48" s="615">
        <v>0</v>
      </c>
      <c r="AM48" s="615">
        <v>0</v>
      </c>
      <c r="AN48" s="615">
        <v>2</v>
      </c>
      <c r="AO48" s="615">
        <v>3</v>
      </c>
      <c r="AP48" s="615">
        <v>1</v>
      </c>
      <c r="AQ48" s="36">
        <v>0</v>
      </c>
      <c r="AR48" s="36">
        <v>6</v>
      </c>
      <c r="AS48" s="36"/>
      <c r="AU48" s="36"/>
      <c r="AV48" s="36"/>
      <c r="AW48" s="393"/>
      <c r="AX48" s="393" t="s">
        <v>1080</v>
      </c>
      <c r="AY48" s="1682"/>
      <c r="AZ48" s="1682"/>
      <c r="BA48" s="1682"/>
      <c r="BB48" s="1682"/>
      <c r="BC48" s="1682"/>
      <c r="BD48" s="1682"/>
      <c r="BE48" s="1682"/>
      <c r="BF48" s="1682"/>
      <c r="BG48" s="1682">
        <v>0</v>
      </c>
      <c r="BH48" s="1682">
        <v>0</v>
      </c>
      <c r="BI48" s="1682"/>
      <c r="BJ48" s="1682">
        <v>1</v>
      </c>
      <c r="BK48" s="1682">
        <v>1</v>
      </c>
      <c r="BL48" s="1682">
        <v>0</v>
      </c>
      <c r="BM48" s="4455">
        <v>0</v>
      </c>
      <c r="BN48" s="4455"/>
      <c r="BO48" s="4455">
        <v>2</v>
      </c>
      <c r="BP48" s="4455"/>
      <c r="BT48" s="1520"/>
      <c r="BU48" s="1520" t="s">
        <v>484</v>
      </c>
      <c r="BV48" s="3872">
        <v>0</v>
      </c>
      <c r="BW48" s="3872"/>
      <c r="BX48" s="3872"/>
      <c r="BY48" s="3872"/>
      <c r="BZ48" s="3872"/>
      <c r="CA48" s="3872"/>
      <c r="CB48" s="3872"/>
      <c r="CC48" s="3872"/>
      <c r="CD48" s="3872">
        <v>2</v>
      </c>
      <c r="CE48" s="3872">
        <v>1</v>
      </c>
      <c r="CF48" s="3872">
        <v>1</v>
      </c>
      <c r="CG48" s="3872">
        <v>1</v>
      </c>
      <c r="CH48" s="3872"/>
      <c r="CI48" s="3872">
        <v>1</v>
      </c>
      <c r="CJ48" s="3806">
        <v>1</v>
      </c>
      <c r="CK48" s="3806">
        <v>7</v>
      </c>
      <c r="CL48" s="3807">
        <f>+CK47/CK48</f>
        <v>0.2857142857142857</v>
      </c>
      <c r="CN48" s="36"/>
      <c r="CO48" s="36"/>
      <c r="CP48" s="36"/>
      <c r="CQ48" s="36" t="s">
        <v>1081</v>
      </c>
      <c r="CR48" s="615"/>
      <c r="CS48" s="615"/>
      <c r="CT48" s="615"/>
      <c r="CU48" s="615"/>
      <c r="CV48" s="615"/>
      <c r="CW48" s="615"/>
      <c r="CX48" s="615"/>
      <c r="CY48" s="615">
        <v>0</v>
      </c>
      <c r="CZ48" s="615"/>
      <c r="DA48" s="615">
        <v>1</v>
      </c>
      <c r="DB48" s="615">
        <v>0</v>
      </c>
      <c r="DC48" s="615">
        <v>0</v>
      </c>
      <c r="DD48" s="615"/>
      <c r="DE48" s="615">
        <v>0</v>
      </c>
      <c r="DF48" s="615">
        <v>0</v>
      </c>
      <c r="DG48" s="36"/>
      <c r="DH48" s="36"/>
      <c r="DI48" s="36">
        <v>1</v>
      </c>
      <c r="DJ48" s="36"/>
      <c r="DL48" s="36"/>
      <c r="DM48" s="36"/>
      <c r="DN48" s="36"/>
      <c r="DO48" s="36" t="s">
        <v>1080</v>
      </c>
      <c r="DP48" s="1681"/>
      <c r="DQ48" s="1681"/>
      <c r="DR48" s="1681"/>
      <c r="DS48" s="1681"/>
      <c r="DT48" s="1681">
        <v>0</v>
      </c>
      <c r="DU48" s="1681"/>
      <c r="DV48" s="1681">
        <v>0</v>
      </c>
      <c r="DW48" s="1681"/>
      <c r="DX48" s="1681"/>
      <c r="DY48" s="1681"/>
      <c r="DZ48" s="1681"/>
      <c r="EA48" s="1681">
        <v>0</v>
      </c>
      <c r="EB48" s="1681">
        <v>0</v>
      </c>
      <c r="EC48" s="1681"/>
      <c r="ED48" s="1681">
        <v>2</v>
      </c>
      <c r="EE48" s="95">
        <v>1</v>
      </c>
      <c r="EF48" s="95">
        <v>1</v>
      </c>
      <c r="EG48" s="95">
        <v>4</v>
      </c>
      <c r="EH48" s="36"/>
      <c r="EL48" s="36" t="s">
        <v>120</v>
      </c>
      <c r="EM48" s="36" t="s">
        <v>1072</v>
      </c>
      <c r="EN48" s="1490"/>
      <c r="EO48" s="1490"/>
      <c r="EP48" s="1490"/>
      <c r="EQ48" s="1490"/>
      <c r="ER48" s="1490"/>
      <c r="ES48" s="1490">
        <v>1</v>
      </c>
      <c r="ET48" s="1490"/>
      <c r="EU48" s="1490"/>
      <c r="EV48" s="1490"/>
      <c r="EW48" s="1490"/>
      <c r="EX48" s="1490"/>
      <c r="EY48" s="1490"/>
      <c r="EZ48" s="1490">
        <v>0</v>
      </c>
      <c r="FA48" s="1490">
        <v>0</v>
      </c>
      <c r="FB48" s="1490">
        <v>0</v>
      </c>
      <c r="FC48" s="36">
        <v>1</v>
      </c>
      <c r="FD48" s="36">
        <v>0</v>
      </c>
      <c r="FE48" s="36">
        <v>2</v>
      </c>
      <c r="FF48" s="36"/>
      <c r="FH48" s="1225"/>
      <c r="FI48" s="1225"/>
      <c r="FJ48" s="1225"/>
      <c r="FK48" s="1222" t="s">
        <v>15</v>
      </c>
      <c r="FL48" s="1231"/>
      <c r="FM48" s="1231"/>
      <c r="FN48" s="1231"/>
      <c r="FO48" s="1231"/>
      <c r="FP48" s="1232">
        <v>1</v>
      </c>
      <c r="FQ48" s="1232">
        <v>1</v>
      </c>
      <c r="FR48" s="1231"/>
      <c r="FS48" s="1231"/>
      <c r="FT48" s="1231"/>
      <c r="FU48" s="1231"/>
      <c r="FV48" s="1232">
        <v>1</v>
      </c>
      <c r="FW48" s="1232">
        <v>2</v>
      </c>
      <c r="FX48" s="1232">
        <v>6</v>
      </c>
      <c r="FY48" s="1234">
        <v>1</v>
      </c>
      <c r="FZ48" s="1234">
        <v>3</v>
      </c>
      <c r="GA48" s="1234">
        <v>15</v>
      </c>
      <c r="GB48" s="1178">
        <f>+GA47/GA48</f>
        <v>0.13333333333333333</v>
      </c>
      <c r="GD48" s="603"/>
      <c r="GE48" s="603"/>
      <c r="GF48" s="603"/>
      <c r="GG48" s="604" t="s">
        <v>1076</v>
      </c>
      <c r="GH48" s="605"/>
      <c r="GI48" s="605"/>
      <c r="GJ48" s="605"/>
      <c r="GK48" s="605"/>
      <c r="GL48" s="605"/>
      <c r="GM48" s="605"/>
      <c r="GN48" s="605"/>
      <c r="GO48" s="606">
        <v>0</v>
      </c>
      <c r="GP48" s="605"/>
      <c r="GQ48" s="605"/>
      <c r="GR48" s="605"/>
      <c r="GS48" s="606">
        <v>0</v>
      </c>
      <c r="GT48" s="606">
        <v>1</v>
      </c>
      <c r="GU48" s="606">
        <v>0</v>
      </c>
      <c r="GV48" s="606">
        <v>0</v>
      </c>
      <c r="GW48" s="608">
        <v>0</v>
      </c>
      <c r="GX48" s="608">
        <v>0</v>
      </c>
      <c r="GY48" s="608">
        <v>1</v>
      </c>
      <c r="GZ48" s="95"/>
      <c r="HB48" s="441"/>
      <c r="HC48" s="441"/>
      <c r="HD48" s="441"/>
      <c r="HE48" s="441"/>
      <c r="HF48" s="442" t="s">
        <v>1072</v>
      </c>
      <c r="HG48" s="609"/>
      <c r="HH48" s="609"/>
      <c r="HI48" s="609"/>
      <c r="HJ48" s="610">
        <v>1</v>
      </c>
      <c r="HK48" s="609"/>
      <c r="HL48" s="609"/>
      <c r="HM48" s="609"/>
      <c r="HN48" s="609"/>
      <c r="HO48" s="609"/>
      <c r="HP48" s="609"/>
      <c r="HQ48" s="609"/>
      <c r="HR48" s="609"/>
      <c r="HS48" s="609"/>
      <c r="HT48" s="610">
        <v>0</v>
      </c>
      <c r="HU48" s="610">
        <v>0</v>
      </c>
      <c r="HV48" s="612">
        <v>0</v>
      </c>
      <c r="HW48" s="612">
        <v>0</v>
      </c>
      <c r="HX48" s="612">
        <v>1</v>
      </c>
      <c r="HY48" s="560"/>
      <c r="HZ48" s="36"/>
      <c r="IA48" s="613"/>
      <c r="IB48" s="613"/>
      <c r="IC48" s="613"/>
      <c r="ID48" s="629" t="s">
        <v>15</v>
      </c>
      <c r="IE48" s="630"/>
      <c r="IF48" s="630"/>
      <c r="IG48" s="630"/>
      <c r="IH48" s="630"/>
      <c r="II48" s="630"/>
      <c r="IJ48" s="395">
        <v>2</v>
      </c>
      <c r="IK48" s="395">
        <v>2</v>
      </c>
      <c r="IL48" s="395">
        <v>1</v>
      </c>
      <c r="IM48" s="630"/>
      <c r="IN48" s="395">
        <v>2</v>
      </c>
      <c r="IO48" s="395">
        <v>3</v>
      </c>
      <c r="IP48" s="395">
        <v>1</v>
      </c>
      <c r="IQ48" s="395">
        <v>2</v>
      </c>
      <c r="IR48" s="395">
        <v>13</v>
      </c>
      <c r="IS48" s="553">
        <f>+IR46/IR48</f>
        <v>0.30769230769230771</v>
      </c>
      <c r="IT48" s="36"/>
      <c r="IU48" s="36"/>
      <c r="IV48" s="95"/>
      <c r="IW48" s="95"/>
      <c r="IX48" s="36"/>
      <c r="IY48" s="393" t="s">
        <v>15</v>
      </c>
      <c r="IZ48" s="86"/>
      <c r="JA48" s="86"/>
      <c r="JB48" s="86"/>
      <c r="JC48" s="86"/>
      <c r="JD48" s="86"/>
      <c r="JE48" s="86"/>
      <c r="JF48" s="86"/>
      <c r="JG48" s="86"/>
      <c r="JH48" s="86">
        <v>1</v>
      </c>
      <c r="JI48" s="86">
        <v>1</v>
      </c>
      <c r="JJ48" s="86"/>
      <c r="JK48" s="86">
        <v>2</v>
      </c>
      <c r="JL48" s="86"/>
      <c r="JM48" s="86">
        <v>2</v>
      </c>
      <c r="JN48" s="86"/>
      <c r="JO48" s="86"/>
      <c r="JP48" s="86">
        <v>6</v>
      </c>
      <c r="JQ48" s="631">
        <f>+JP47/JP48</f>
        <v>0.5</v>
      </c>
      <c r="JR48" s="36"/>
      <c r="JS48" s="616"/>
      <c r="JT48" s="616"/>
      <c r="JU48" s="616"/>
      <c r="JV48" s="616" t="s">
        <v>1080</v>
      </c>
      <c r="JW48" s="616">
        <v>0</v>
      </c>
      <c r="JX48" s="616">
        <v>0</v>
      </c>
      <c r="JY48" s="616">
        <v>0</v>
      </c>
      <c r="JZ48" s="616">
        <v>0</v>
      </c>
      <c r="KA48" s="616">
        <v>0</v>
      </c>
      <c r="KB48" s="616">
        <v>0</v>
      </c>
      <c r="KC48" s="616">
        <v>0</v>
      </c>
      <c r="KD48" s="616">
        <v>0</v>
      </c>
      <c r="KE48" s="616">
        <v>0</v>
      </c>
      <c r="KF48" s="616">
        <v>0</v>
      </c>
      <c r="KG48" s="616">
        <v>0</v>
      </c>
      <c r="KH48" s="616">
        <v>0</v>
      </c>
      <c r="KI48" s="616">
        <v>0</v>
      </c>
      <c r="KJ48" s="616">
        <v>3</v>
      </c>
      <c r="KK48" s="616">
        <v>0</v>
      </c>
      <c r="KL48" s="616">
        <v>0</v>
      </c>
      <c r="KM48" s="616">
        <v>3</v>
      </c>
      <c r="KN48" s="616"/>
      <c r="KO48" s="617"/>
    </row>
    <row r="49" spans="1:301" ht="24">
      <c r="A49" s="5737">
        <v>1</v>
      </c>
      <c r="B49" s="5737">
        <v>4</v>
      </c>
      <c r="C49" s="5736" t="s">
        <v>1454</v>
      </c>
      <c r="D49" s="5736" t="s">
        <v>2731</v>
      </c>
      <c r="E49" s="5737">
        <v>1</v>
      </c>
      <c r="F49" s="5737">
        <v>13</v>
      </c>
      <c r="I49" s="4726"/>
      <c r="J49" s="4726"/>
      <c r="K49" s="4725"/>
      <c r="L49" s="4725"/>
      <c r="M49" s="4975">
        <f>SUM(M44:M48)</f>
        <v>6</v>
      </c>
      <c r="N49" s="4726"/>
      <c r="O49" s="4510">
        <v>0</v>
      </c>
      <c r="Q49" s="4458">
        <v>2</v>
      </c>
      <c r="R49" s="4458">
        <v>1</v>
      </c>
      <c r="S49" s="4459" t="s">
        <v>121</v>
      </c>
      <c r="T49" s="4459" t="s">
        <v>2731</v>
      </c>
      <c r="U49" s="4458">
        <v>14</v>
      </c>
      <c r="V49" s="4479">
        <v>2</v>
      </c>
      <c r="W49" s="4510"/>
      <c r="X49" s="4467"/>
      <c r="Y49" s="4467"/>
      <c r="Z49" s="36"/>
      <c r="AA49" s="36"/>
      <c r="AB49" s="36"/>
      <c r="AC49" s="36" t="s">
        <v>1072</v>
      </c>
      <c r="AD49" s="615">
        <v>0</v>
      </c>
      <c r="AE49" s="615">
        <v>2</v>
      </c>
      <c r="AF49" s="615"/>
      <c r="AG49" s="615">
        <v>0</v>
      </c>
      <c r="AH49" s="615"/>
      <c r="AI49" s="615">
        <v>0</v>
      </c>
      <c r="AJ49" s="615">
        <v>1</v>
      </c>
      <c r="AK49" s="615">
        <v>2</v>
      </c>
      <c r="AL49" s="615">
        <v>0</v>
      </c>
      <c r="AM49" s="615">
        <v>2</v>
      </c>
      <c r="AN49" s="615">
        <v>22</v>
      </c>
      <c r="AO49" s="615">
        <v>0</v>
      </c>
      <c r="AP49" s="615">
        <v>0</v>
      </c>
      <c r="AQ49" s="36">
        <v>0</v>
      </c>
      <c r="AR49" s="36">
        <v>29</v>
      </c>
      <c r="AS49" s="36"/>
      <c r="AU49" s="36"/>
      <c r="AV49" s="36"/>
      <c r="AW49" s="393"/>
      <c r="AX49" s="393" t="s">
        <v>1163</v>
      </c>
      <c r="AY49" s="1682"/>
      <c r="AZ49" s="1682"/>
      <c r="BA49" s="1682"/>
      <c r="BB49" s="1682"/>
      <c r="BC49" s="1682"/>
      <c r="BD49" s="1682"/>
      <c r="BE49" s="1682"/>
      <c r="BF49" s="1682"/>
      <c r="BG49" s="1682">
        <v>1</v>
      </c>
      <c r="BH49" s="1682">
        <v>1</v>
      </c>
      <c r="BI49" s="1682"/>
      <c r="BJ49" s="1682">
        <v>0</v>
      </c>
      <c r="BK49" s="1682">
        <v>0</v>
      </c>
      <c r="BL49" s="1682">
        <v>0</v>
      </c>
      <c r="BM49" s="4455">
        <v>0</v>
      </c>
      <c r="BN49" s="4455"/>
      <c r="BO49" s="4455">
        <v>2</v>
      </c>
      <c r="BP49" s="4455"/>
      <c r="BT49" s="1520" t="s">
        <v>105</v>
      </c>
      <c r="BU49" s="1520" t="s">
        <v>1072</v>
      </c>
      <c r="BV49" s="3872">
        <v>1</v>
      </c>
      <c r="BW49" s="3872">
        <v>0</v>
      </c>
      <c r="BX49" s="3872"/>
      <c r="BY49" s="3872"/>
      <c r="BZ49" s="3872">
        <v>1</v>
      </c>
      <c r="CA49" s="3872">
        <v>1</v>
      </c>
      <c r="CB49" s="3872">
        <v>1</v>
      </c>
      <c r="CC49" s="3872"/>
      <c r="CD49" s="3872">
        <v>1</v>
      </c>
      <c r="CE49" s="3872">
        <v>0</v>
      </c>
      <c r="CF49" s="3872">
        <v>3</v>
      </c>
      <c r="CG49" s="3872">
        <v>4</v>
      </c>
      <c r="CH49" s="3872">
        <v>0</v>
      </c>
      <c r="CI49" s="3872">
        <v>0</v>
      </c>
      <c r="CJ49" s="3806">
        <v>0</v>
      </c>
      <c r="CK49" s="3806">
        <v>12</v>
      </c>
      <c r="CL49" s="1520"/>
      <c r="CN49" s="36"/>
      <c r="CO49" s="36"/>
      <c r="CP49" s="36"/>
      <c r="CQ49" s="36" t="s">
        <v>1163</v>
      </c>
      <c r="CR49" s="615"/>
      <c r="CS49" s="615"/>
      <c r="CT49" s="615"/>
      <c r="CU49" s="615"/>
      <c r="CV49" s="615"/>
      <c r="CW49" s="615"/>
      <c r="CX49" s="615"/>
      <c r="CY49" s="615">
        <v>0</v>
      </c>
      <c r="CZ49" s="615"/>
      <c r="DA49" s="615">
        <v>2</v>
      </c>
      <c r="DB49" s="615">
        <v>0</v>
      </c>
      <c r="DC49" s="615">
        <v>0</v>
      </c>
      <c r="DD49" s="615"/>
      <c r="DE49" s="615">
        <v>0</v>
      </c>
      <c r="DF49" s="615">
        <v>0</v>
      </c>
      <c r="DG49" s="36"/>
      <c r="DH49" s="36"/>
      <c r="DI49" s="36">
        <v>2</v>
      </c>
      <c r="DJ49" s="36"/>
      <c r="DL49" s="36"/>
      <c r="DM49" s="36"/>
      <c r="DN49" s="36"/>
      <c r="DO49" s="36" t="s">
        <v>1163</v>
      </c>
      <c r="DP49" s="1681"/>
      <c r="DQ49" s="1681"/>
      <c r="DR49" s="1681"/>
      <c r="DS49" s="1681"/>
      <c r="DT49" s="1681">
        <v>0</v>
      </c>
      <c r="DU49" s="1681"/>
      <c r="DV49" s="1681">
        <v>0</v>
      </c>
      <c r="DW49" s="1681"/>
      <c r="DX49" s="1681"/>
      <c r="DY49" s="1681"/>
      <c r="DZ49" s="1681"/>
      <c r="EA49" s="1681">
        <v>1</v>
      </c>
      <c r="EB49" s="1681">
        <v>0</v>
      </c>
      <c r="EC49" s="1681"/>
      <c r="ED49" s="1681">
        <v>0</v>
      </c>
      <c r="EE49" s="95">
        <v>0</v>
      </c>
      <c r="EF49" s="95">
        <v>0</v>
      </c>
      <c r="EG49" s="95">
        <v>1</v>
      </c>
      <c r="EH49" s="36"/>
      <c r="EL49" s="36"/>
      <c r="EM49" s="36" t="s">
        <v>1080</v>
      </c>
      <c r="EN49" s="1490"/>
      <c r="EO49" s="1490"/>
      <c r="EP49" s="1490"/>
      <c r="EQ49" s="1490"/>
      <c r="ER49" s="1490"/>
      <c r="ES49" s="1490">
        <v>0</v>
      </c>
      <c r="ET49" s="1490"/>
      <c r="EU49" s="1490"/>
      <c r="EV49" s="1490"/>
      <c r="EW49" s="1490"/>
      <c r="EX49" s="1490"/>
      <c r="EY49" s="1490"/>
      <c r="EZ49" s="1490">
        <v>0</v>
      </c>
      <c r="FA49" s="1490">
        <v>0</v>
      </c>
      <c r="FB49" s="1490">
        <v>5</v>
      </c>
      <c r="FC49" s="36">
        <v>0</v>
      </c>
      <c r="FD49" s="36">
        <v>1</v>
      </c>
      <c r="FE49" s="36">
        <v>6</v>
      </c>
      <c r="FF49" s="36"/>
      <c r="FH49" s="1225"/>
      <c r="FI49" s="1225"/>
      <c r="FJ49" s="1225" t="s">
        <v>123</v>
      </c>
      <c r="FK49" s="1226" t="s">
        <v>1076</v>
      </c>
      <c r="FL49" s="1227"/>
      <c r="FM49" s="1227"/>
      <c r="FN49" s="1227"/>
      <c r="FO49" s="1227"/>
      <c r="FP49" s="1227"/>
      <c r="FQ49" s="1227"/>
      <c r="FR49" s="1227"/>
      <c r="FS49" s="1227"/>
      <c r="FT49" s="1227"/>
      <c r="FU49" s="1227"/>
      <c r="FV49" s="1228">
        <v>0</v>
      </c>
      <c r="FW49" s="1228">
        <v>1</v>
      </c>
      <c r="FX49" s="1228">
        <v>0</v>
      </c>
      <c r="FY49" s="1229"/>
      <c r="FZ49" s="1229"/>
      <c r="GA49" s="1230">
        <v>1</v>
      </c>
      <c r="GB49" s="36"/>
      <c r="GD49" s="603"/>
      <c r="GE49" s="603"/>
      <c r="GF49" s="603"/>
      <c r="GG49" s="604" t="s">
        <v>1080</v>
      </c>
      <c r="GH49" s="605"/>
      <c r="GI49" s="605"/>
      <c r="GJ49" s="605"/>
      <c r="GK49" s="605"/>
      <c r="GL49" s="605"/>
      <c r="GM49" s="605"/>
      <c r="GN49" s="605"/>
      <c r="GO49" s="606">
        <v>0</v>
      </c>
      <c r="GP49" s="605"/>
      <c r="GQ49" s="605"/>
      <c r="GR49" s="605"/>
      <c r="GS49" s="606">
        <v>0</v>
      </c>
      <c r="GT49" s="606">
        <v>0</v>
      </c>
      <c r="GU49" s="606">
        <v>0</v>
      </c>
      <c r="GV49" s="606">
        <v>2</v>
      </c>
      <c r="GW49" s="608">
        <v>1</v>
      </c>
      <c r="GX49" s="608">
        <v>2</v>
      </c>
      <c r="GY49" s="608">
        <v>5</v>
      </c>
      <c r="GZ49" s="95"/>
      <c r="HB49" s="441"/>
      <c r="HC49" s="441"/>
      <c r="HD49" s="441"/>
      <c r="HE49" s="441"/>
      <c r="HF49" s="442" t="s">
        <v>1076</v>
      </c>
      <c r="HG49" s="609"/>
      <c r="HH49" s="609"/>
      <c r="HI49" s="609"/>
      <c r="HJ49" s="610">
        <v>0</v>
      </c>
      <c r="HK49" s="609"/>
      <c r="HL49" s="609"/>
      <c r="HM49" s="609"/>
      <c r="HN49" s="609"/>
      <c r="HO49" s="609"/>
      <c r="HP49" s="609"/>
      <c r="HQ49" s="609"/>
      <c r="HR49" s="609"/>
      <c r="HS49" s="609"/>
      <c r="HT49" s="610">
        <v>1</v>
      </c>
      <c r="HU49" s="610">
        <v>1</v>
      </c>
      <c r="HV49" s="612">
        <v>0</v>
      </c>
      <c r="HW49" s="612">
        <v>0</v>
      </c>
      <c r="HX49" s="612">
        <v>2</v>
      </c>
      <c r="HY49" s="560"/>
      <c r="HZ49" s="36"/>
      <c r="IA49" s="613"/>
      <c r="IB49" s="613"/>
      <c r="IC49" s="613" t="s">
        <v>124</v>
      </c>
      <c r="ID49" s="389" t="s">
        <v>1072</v>
      </c>
      <c r="IE49" s="614"/>
      <c r="IF49" s="614"/>
      <c r="IG49" s="614"/>
      <c r="IH49" s="614"/>
      <c r="II49" s="614"/>
      <c r="IJ49" s="614"/>
      <c r="IK49" s="390">
        <v>0</v>
      </c>
      <c r="IL49" s="614"/>
      <c r="IM49" s="390">
        <v>1</v>
      </c>
      <c r="IN49" s="390">
        <v>0</v>
      </c>
      <c r="IO49" s="390">
        <v>0</v>
      </c>
      <c r="IP49" s="614"/>
      <c r="IQ49" s="614"/>
      <c r="IR49" s="390">
        <v>1</v>
      </c>
      <c r="IS49" s="615"/>
      <c r="IT49" s="36"/>
      <c r="IU49" s="36"/>
      <c r="IV49" s="95"/>
      <c r="IW49" s="95"/>
      <c r="IX49" s="36" t="s">
        <v>123</v>
      </c>
      <c r="IY49" s="36" t="s">
        <v>1072</v>
      </c>
      <c r="IZ49" s="95"/>
      <c r="JA49" s="95"/>
      <c r="JB49" s="95"/>
      <c r="JC49" s="95"/>
      <c r="JD49" s="95"/>
      <c r="JE49" s="95"/>
      <c r="JF49" s="95"/>
      <c r="JG49" s="95"/>
      <c r="JH49" s="95"/>
      <c r="JI49" s="95">
        <v>2</v>
      </c>
      <c r="JJ49" s="95"/>
      <c r="JK49" s="95"/>
      <c r="JL49" s="95"/>
      <c r="JM49" s="95"/>
      <c r="JN49" s="95"/>
      <c r="JO49" s="95"/>
      <c r="JP49" s="95">
        <v>2</v>
      </c>
      <c r="JQ49" s="36"/>
      <c r="JR49" s="36"/>
      <c r="JS49" s="616"/>
      <c r="JT49" s="616"/>
      <c r="JU49" s="616"/>
      <c r="JV49" s="616" t="s">
        <v>1163</v>
      </c>
      <c r="JW49" s="616">
        <v>0</v>
      </c>
      <c r="JX49" s="616">
        <v>0</v>
      </c>
      <c r="JY49" s="616">
        <v>0</v>
      </c>
      <c r="JZ49" s="616">
        <v>0</v>
      </c>
      <c r="KA49" s="616">
        <v>0</v>
      </c>
      <c r="KB49" s="616">
        <v>0</v>
      </c>
      <c r="KC49" s="616">
        <v>0</v>
      </c>
      <c r="KD49" s="616">
        <v>0</v>
      </c>
      <c r="KE49" s="616">
        <v>0</v>
      </c>
      <c r="KF49" s="616">
        <v>0</v>
      </c>
      <c r="KG49" s="616">
        <v>0</v>
      </c>
      <c r="KH49" s="616">
        <v>1</v>
      </c>
      <c r="KI49" s="616">
        <v>0</v>
      </c>
      <c r="KJ49" s="616">
        <v>0</v>
      </c>
      <c r="KK49" s="616">
        <v>0</v>
      </c>
      <c r="KL49" s="616">
        <v>0</v>
      </c>
      <c r="KM49" s="616">
        <v>1</v>
      </c>
      <c r="KN49" s="616"/>
      <c r="KO49" s="617"/>
    </row>
    <row r="50" spans="1:301" ht="24">
      <c r="A50" s="5737">
        <v>1</v>
      </c>
      <c r="B50" s="5737">
        <v>4</v>
      </c>
      <c r="C50" s="5736" t="s">
        <v>1454</v>
      </c>
      <c r="D50" s="5736" t="s">
        <v>2731</v>
      </c>
      <c r="E50" s="5737">
        <v>2</v>
      </c>
      <c r="F50" s="5737">
        <v>14</v>
      </c>
      <c r="I50" s="4726">
        <v>1</v>
      </c>
      <c r="J50" s="4726">
        <v>4</v>
      </c>
      <c r="K50" s="4725" t="s">
        <v>1454</v>
      </c>
      <c r="L50" s="4725" t="s">
        <v>2731</v>
      </c>
      <c r="M50" s="4726">
        <v>2</v>
      </c>
      <c r="N50" s="4726">
        <v>13</v>
      </c>
      <c r="Q50" s="4458"/>
      <c r="R50" s="4458"/>
      <c r="S50" s="4465" t="s">
        <v>15</v>
      </c>
      <c r="T50" s="4459"/>
      <c r="U50" s="4458"/>
      <c r="V50" s="4480">
        <f>SUM(V48:V49)</f>
        <v>3</v>
      </c>
      <c r="W50" s="4476">
        <f>+(V48)/(V49)</f>
        <v>0.5</v>
      </c>
      <c r="X50" s="4467"/>
      <c r="Y50" s="4467"/>
      <c r="Z50" s="36"/>
      <c r="AA50" s="36"/>
      <c r="AB50" s="36"/>
      <c r="AC50" s="36" t="s">
        <v>1077</v>
      </c>
      <c r="AD50" s="615">
        <v>0</v>
      </c>
      <c r="AE50" s="615">
        <v>0</v>
      </c>
      <c r="AF50" s="615"/>
      <c r="AG50" s="615">
        <v>1</v>
      </c>
      <c r="AH50" s="615"/>
      <c r="AI50" s="615">
        <v>1</v>
      </c>
      <c r="AJ50" s="615">
        <v>0</v>
      </c>
      <c r="AK50" s="615">
        <v>0</v>
      </c>
      <c r="AL50" s="615">
        <v>0</v>
      </c>
      <c r="AM50" s="615">
        <v>0</v>
      </c>
      <c r="AN50" s="615">
        <v>0</v>
      </c>
      <c r="AO50" s="615">
        <v>0</v>
      </c>
      <c r="AP50" s="615">
        <v>0</v>
      </c>
      <c r="AQ50" s="36">
        <v>0</v>
      </c>
      <c r="AR50" s="36">
        <v>2</v>
      </c>
      <c r="AS50" s="36"/>
      <c r="AU50" s="36"/>
      <c r="AV50" s="36"/>
      <c r="AW50" s="393"/>
      <c r="AX50" s="36" t="s">
        <v>15</v>
      </c>
      <c r="AY50" s="1682"/>
      <c r="AZ50" s="1682"/>
      <c r="BA50" s="1682"/>
      <c r="BB50" s="1682"/>
      <c r="BC50" s="1682"/>
      <c r="BD50" s="1682"/>
      <c r="BE50" s="1682"/>
      <c r="BF50" s="1682"/>
      <c r="BG50" s="1682">
        <v>2</v>
      </c>
      <c r="BH50" s="1682">
        <v>1</v>
      </c>
      <c r="BI50" s="1682"/>
      <c r="BJ50" s="1682">
        <v>1</v>
      </c>
      <c r="BK50" s="1682">
        <v>1</v>
      </c>
      <c r="BL50" s="1682">
        <v>1</v>
      </c>
      <c r="BM50" s="4455">
        <v>1</v>
      </c>
      <c r="BN50" s="4455"/>
      <c r="BO50" s="4455">
        <v>7</v>
      </c>
      <c r="BP50" s="560">
        <f>+(BO49)/(BO50)</f>
        <v>0.2857142857142857</v>
      </c>
      <c r="BT50" s="1520"/>
      <c r="BU50" s="1520" t="s">
        <v>1074</v>
      </c>
      <c r="BV50" s="3872">
        <v>0</v>
      </c>
      <c r="BW50" s="3872">
        <v>1</v>
      </c>
      <c r="BX50" s="3872"/>
      <c r="BY50" s="3872"/>
      <c r="BZ50" s="3872">
        <v>0</v>
      </c>
      <c r="CA50" s="3872">
        <v>0</v>
      </c>
      <c r="CB50" s="3872">
        <v>0</v>
      </c>
      <c r="CC50" s="3872"/>
      <c r="CD50" s="3872">
        <v>0</v>
      </c>
      <c r="CE50" s="3872">
        <v>0</v>
      </c>
      <c r="CF50" s="3872">
        <v>0</v>
      </c>
      <c r="CG50" s="3872">
        <v>0</v>
      </c>
      <c r="CH50" s="3872">
        <v>0</v>
      </c>
      <c r="CI50" s="3872">
        <v>0</v>
      </c>
      <c r="CJ50" s="3806">
        <v>0</v>
      </c>
      <c r="CK50" s="3806">
        <v>1</v>
      </c>
      <c r="CL50" s="1520"/>
      <c r="CN50" s="36"/>
      <c r="CO50" s="36"/>
      <c r="CP50" s="36"/>
      <c r="CQ50" s="393" t="s">
        <v>15</v>
      </c>
      <c r="CR50" s="2049"/>
      <c r="CS50" s="2049"/>
      <c r="CT50" s="2049"/>
      <c r="CU50" s="2049"/>
      <c r="CV50" s="2049"/>
      <c r="CW50" s="2049"/>
      <c r="CX50" s="2049"/>
      <c r="CY50" s="2049">
        <v>1</v>
      </c>
      <c r="CZ50" s="2049"/>
      <c r="DA50" s="2049">
        <v>5</v>
      </c>
      <c r="DB50" s="2049">
        <v>1</v>
      </c>
      <c r="DC50" s="2049">
        <v>2</v>
      </c>
      <c r="DD50" s="2049"/>
      <c r="DE50" s="2049">
        <v>2</v>
      </c>
      <c r="DF50" s="2049">
        <v>3</v>
      </c>
      <c r="DG50" s="393"/>
      <c r="DH50" s="393"/>
      <c r="DI50" s="393">
        <v>14</v>
      </c>
      <c r="DJ50" s="560">
        <f>+(DI49+DI48+DI46)/DI50</f>
        <v>0.2857142857142857</v>
      </c>
      <c r="DK50" s="1665"/>
      <c r="DL50" s="36"/>
      <c r="DM50" s="36"/>
      <c r="DN50" s="36"/>
      <c r="DO50" s="393" t="s">
        <v>15</v>
      </c>
      <c r="DP50" s="1682"/>
      <c r="DQ50" s="1682"/>
      <c r="DR50" s="1682"/>
      <c r="DS50" s="1682"/>
      <c r="DT50" s="1682">
        <v>1</v>
      </c>
      <c r="DU50" s="1682"/>
      <c r="DV50" s="1682">
        <v>1</v>
      </c>
      <c r="DW50" s="1682"/>
      <c r="DX50" s="1682"/>
      <c r="DY50" s="1682"/>
      <c r="DZ50" s="1682"/>
      <c r="EA50" s="1682">
        <v>1</v>
      </c>
      <c r="EB50" s="1682">
        <v>1</v>
      </c>
      <c r="EC50" s="1682"/>
      <c r="ED50" s="1682">
        <v>2</v>
      </c>
      <c r="EE50" s="86">
        <v>2</v>
      </c>
      <c r="EF50" s="86">
        <v>1</v>
      </c>
      <c r="EG50" s="86">
        <v>9</v>
      </c>
      <c r="EH50" s="560">
        <f>+(EG47+EG49)/EG50</f>
        <v>0.22222222222222221</v>
      </c>
      <c r="EL50" s="36"/>
      <c r="EM50" s="36" t="s">
        <v>1163</v>
      </c>
      <c r="EN50" s="1490"/>
      <c r="EO50" s="1490"/>
      <c r="EP50" s="1490"/>
      <c r="EQ50" s="1490"/>
      <c r="ER50" s="1490"/>
      <c r="ES50" s="1490">
        <v>0</v>
      </c>
      <c r="ET50" s="1490"/>
      <c r="EU50" s="1490"/>
      <c r="EV50" s="1490"/>
      <c r="EW50" s="1490"/>
      <c r="EX50" s="1490"/>
      <c r="EY50" s="1490"/>
      <c r="EZ50" s="1490">
        <v>1</v>
      </c>
      <c r="FA50" s="1490">
        <v>1</v>
      </c>
      <c r="FB50" s="1490">
        <v>0</v>
      </c>
      <c r="FC50" s="36">
        <v>0</v>
      </c>
      <c r="FD50" s="36">
        <v>0</v>
      </c>
      <c r="FE50" s="36">
        <v>2</v>
      </c>
      <c r="FF50" s="36"/>
      <c r="FH50" s="1225"/>
      <c r="FI50" s="1225"/>
      <c r="FJ50" s="1225"/>
      <c r="FK50" s="1226" t="s">
        <v>1080</v>
      </c>
      <c r="FL50" s="1227"/>
      <c r="FM50" s="1227"/>
      <c r="FN50" s="1227"/>
      <c r="FO50" s="1227"/>
      <c r="FP50" s="1227"/>
      <c r="FQ50" s="1227"/>
      <c r="FR50" s="1227"/>
      <c r="FS50" s="1227"/>
      <c r="FT50" s="1227"/>
      <c r="FU50" s="1227"/>
      <c r="FV50" s="1228">
        <v>0</v>
      </c>
      <c r="FW50" s="1228">
        <v>0</v>
      </c>
      <c r="FX50" s="1228">
        <v>4</v>
      </c>
      <c r="FY50" s="1229"/>
      <c r="FZ50" s="1229"/>
      <c r="GA50" s="1230">
        <v>4</v>
      </c>
      <c r="GB50" s="36"/>
      <c r="GD50" s="603"/>
      <c r="GE50" s="603"/>
      <c r="GF50" s="603"/>
      <c r="GG50" s="604" t="s">
        <v>1163</v>
      </c>
      <c r="GH50" s="605"/>
      <c r="GI50" s="605"/>
      <c r="GJ50" s="605"/>
      <c r="GK50" s="605"/>
      <c r="GL50" s="605"/>
      <c r="GM50" s="605"/>
      <c r="GN50" s="605"/>
      <c r="GO50" s="606">
        <v>0</v>
      </c>
      <c r="GP50" s="605"/>
      <c r="GQ50" s="605"/>
      <c r="GR50" s="605"/>
      <c r="GS50" s="606">
        <v>0</v>
      </c>
      <c r="GT50" s="606">
        <v>1</v>
      </c>
      <c r="GU50" s="606">
        <v>0</v>
      </c>
      <c r="GV50" s="606">
        <v>0</v>
      </c>
      <c r="GW50" s="608">
        <v>0</v>
      </c>
      <c r="GX50" s="608">
        <v>0</v>
      </c>
      <c r="GY50" s="608">
        <v>1</v>
      </c>
      <c r="GZ50" s="95"/>
      <c r="HB50" s="441"/>
      <c r="HC50" s="441"/>
      <c r="HD50" s="441"/>
      <c r="HE50" s="441"/>
      <c r="HF50" s="442" t="s">
        <v>1080</v>
      </c>
      <c r="HG50" s="609"/>
      <c r="HH50" s="609"/>
      <c r="HI50" s="609"/>
      <c r="HJ50" s="610">
        <v>0</v>
      </c>
      <c r="HK50" s="609"/>
      <c r="HL50" s="609"/>
      <c r="HM50" s="609"/>
      <c r="HN50" s="609"/>
      <c r="HO50" s="609"/>
      <c r="HP50" s="609"/>
      <c r="HQ50" s="609"/>
      <c r="HR50" s="609"/>
      <c r="HS50" s="609"/>
      <c r="HT50" s="610">
        <v>1</v>
      </c>
      <c r="HU50" s="610">
        <v>2</v>
      </c>
      <c r="HV50" s="612">
        <v>1</v>
      </c>
      <c r="HW50" s="612">
        <v>1</v>
      </c>
      <c r="HX50" s="612">
        <v>5</v>
      </c>
      <c r="HY50" s="560"/>
      <c r="HZ50" s="36"/>
      <c r="IA50" s="613"/>
      <c r="IB50" s="613"/>
      <c r="IC50" s="613"/>
      <c r="ID50" s="389" t="s">
        <v>1076</v>
      </c>
      <c r="IE50" s="614"/>
      <c r="IF50" s="614"/>
      <c r="IG50" s="614"/>
      <c r="IH50" s="614"/>
      <c r="II50" s="614"/>
      <c r="IJ50" s="614"/>
      <c r="IK50" s="390">
        <v>0</v>
      </c>
      <c r="IL50" s="614"/>
      <c r="IM50" s="390">
        <v>0</v>
      </c>
      <c r="IN50" s="390">
        <v>1</v>
      </c>
      <c r="IO50" s="390">
        <v>0</v>
      </c>
      <c r="IP50" s="614"/>
      <c r="IQ50" s="614"/>
      <c r="IR50" s="390">
        <v>1</v>
      </c>
      <c r="IS50" s="615"/>
      <c r="IT50" s="36"/>
      <c r="IU50" s="36"/>
      <c r="IV50" s="95"/>
      <c r="IW50" s="95"/>
      <c r="IX50" s="36"/>
      <c r="IY50" s="393" t="s">
        <v>15</v>
      </c>
      <c r="IZ50" s="86"/>
      <c r="JA50" s="86"/>
      <c r="JB50" s="86"/>
      <c r="JC50" s="86"/>
      <c r="JD50" s="86"/>
      <c r="JE50" s="86"/>
      <c r="JF50" s="86"/>
      <c r="JG50" s="86"/>
      <c r="JH50" s="86"/>
      <c r="JI50" s="86">
        <v>2</v>
      </c>
      <c r="JJ50" s="86"/>
      <c r="JK50" s="86"/>
      <c r="JL50" s="86"/>
      <c r="JM50" s="86"/>
      <c r="JN50" s="86"/>
      <c r="JO50" s="86"/>
      <c r="JP50" s="86">
        <v>2</v>
      </c>
      <c r="JQ50" s="632">
        <v>0</v>
      </c>
      <c r="JR50" s="36"/>
      <c r="JS50" s="616"/>
      <c r="JT50" s="616"/>
      <c r="JU50" s="616"/>
      <c r="JV50" s="627" t="s">
        <v>15</v>
      </c>
      <c r="JW50" s="627">
        <v>0</v>
      </c>
      <c r="JX50" s="627">
        <v>0</v>
      </c>
      <c r="JY50" s="627">
        <v>0</v>
      </c>
      <c r="JZ50" s="627">
        <v>0</v>
      </c>
      <c r="KA50" s="627">
        <v>0</v>
      </c>
      <c r="KB50" s="627">
        <v>0</v>
      </c>
      <c r="KC50" s="627">
        <v>0</v>
      </c>
      <c r="KD50" s="627">
        <v>0</v>
      </c>
      <c r="KE50" s="627">
        <v>3</v>
      </c>
      <c r="KF50" s="627">
        <v>1</v>
      </c>
      <c r="KG50" s="627">
        <v>0</v>
      </c>
      <c r="KH50" s="627">
        <v>3</v>
      </c>
      <c r="KI50" s="627">
        <v>0</v>
      </c>
      <c r="KJ50" s="627">
        <v>3</v>
      </c>
      <c r="KK50" s="627">
        <v>0</v>
      </c>
      <c r="KL50" s="627">
        <v>0</v>
      </c>
      <c r="KM50" s="627">
        <v>10</v>
      </c>
      <c r="KN50" s="628">
        <f>+(KM49+KM47)/KM50</f>
        <v>0.5</v>
      </c>
      <c r="KO50" s="617">
        <f>+KM47+KM49</f>
        <v>5</v>
      </c>
    </row>
    <row r="51" spans="1:301">
      <c r="A51" s="5737"/>
      <c r="B51" s="5737"/>
      <c r="C51" s="5736"/>
      <c r="D51" s="5736"/>
      <c r="E51" s="5742">
        <f>SUM(E49:E50)</f>
        <v>3</v>
      </c>
      <c r="F51" s="5737"/>
      <c r="G51" s="4510">
        <v>0</v>
      </c>
      <c r="I51" s="4726">
        <v>1</v>
      </c>
      <c r="J51" s="4726">
        <v>4</v>
      </c>
      <c r="K51" s="4725" t="s">
        <v>1454</v>
      </c>
      <c r="L51" s="4725" t="s">
        <v>2709</v>
      </c>
      <c r="M51" s="4726">
        <v>1</v>
      </c>
      <c r="N51" s="4726">
        <v>12</v>
      </c>
      <c r="Q51" s="4458">
        <v>2</v>
      </c>
      <c r="R51" s="4458">
        <v>1</v>
      </c>
      <c r="S51" s="4459" t="s">
        <v>122</v>
      </c>
      <c r="T51" s="4461" t="s">
        <v>1076</v>
      </c>
      <c r="U51" s="4458">
        <v>9</v>
      </c>
      <c r="V51" s="4479">
        <v>1</v>
      </c>
      <c r="W51" s="4510"/>
      <c r="X51" s="4467"/>
      <c r="Y51" s="4467"/>
      <c r="Z51" s="36"/>
      <c r="AA51" s="36"/>
      <c r="AB51" s="36"/>
      <c r="AC51" s="36" t="s">
        <v>1080</v>
      </c>
      <c r="AD51" s="615">
        <v>0</v>
      </c>
      <c r="AE51" s="615">
        <v>0</v>
      </c>
      <c r="AF51" s="615"/>
      <c r="AG51" s="615">
        <v>0</v>
      </c>
      <c r="AH51" s="615"/>
      <c r="AI51" s="615">
        <v>0</v>
      </c>
      <c r="AJ51" s="615">
        <v>0</v>
      </c>
      <c r="AK51" s="615">
        <v>0</v>
      </c>
      <c r="AL51" s="615">
        <v>0</v>
      </c>
      <c r="AM51" s="615">
        <v>0</v>
      </c>
      <c r="AN51" s="615">
        <v>1</v>
      </c>
      <c r="AO51" s="615">
        <v>7</v>
      </c>
      <c r="AP51" s="615">
        <v>1</v>
      </c>
      <c r="AQ51" s="36">
        <v>1</v>
      </c>
      <c r="AR51" s="36">
        <v>10</v>
      </c>
      <c r="AS51" s="36"/>
      <c r="AU51" s="36"/>
      <c r="AV51" s="36"/>
      <c r="AW51" s="393" t="s">
        <v>105</v>
      </c>
      <c r="AX51" s="393" t="s">
        <v>1072</v>
      </c>
      <c r="AY51" s="1682">
        <v>1</v>
      </c>
      <c r="AZ51" s="1682">
        <v>0</v>
      </c>
      <c r="BA51" s="1682"/>
      <c r="BB51" s="1682"/>
      <c r="BC51" s="1682">
        <v>1</v>
      </c>
      <c r="BD51" s="1682">
        <v>1</v>
      </c>
      <c r="BE51" s="1682">
        <v>1</v>
      </c>
      <c r="BF51" s="1682"/>
      <c r="BG51" s="1682">
        <v>1</v>
      </c>
      <c r="BH51" s="1682">
        <v>0</v>
      </c>
      <c r="BI51" s="1682">
        <v>1</v>
      </c>
      <c r="BJ51" s="1682">
        <v>3</v>
      </c>
      <c r="BK51" s="1682">
        <v>0</v>
      </c>
      <c r="BL51" s="1682">
        <v>0</v>
      </c>
      <c r="BM51" s="4455">
        <v>0</v>
      </c>
      <c r="BN51" s="4455"/>
      <c r="BO51" s="4455">
        <v>9</v>
      </c>
      <c r="BP51" s="4455"/>
      <c r="BT51" s="1520"/>
      <c r="BU51" s="1520" t="s">
        <v>1076</v>
      </c>
      <c r="BV51" s="3872">
        <v>0</v>
      </c>
      <c r="BW51" s="3872">
        <v>0</v>
      </c>
      <c r="BX51" s="3872"/>
      <c r="BY51" s="3872"/>
      <c r="BZ51" s="3872">
        <v>0</v>
      </c>
      <c r="CA51" s="3872">
        <v>0</v>
      </c>
      <c r="CB51" s="3872">
        <v>0</v>
      </c>
      <c r="CC51" s="3872"/>
      <c r="CD51" s="3872">
        <v>0</v>
      </c>
      <c r="CE51" s="3872">
        <v>0</v>
      </c>
      <c r="CF51" s="3872">
        <v>0</v>
      </c>
      <c r="CG51" s="3872">
        <v>1</v>
      </c>
      <c r="CH51" s="3872">
        <v>0</v>
      </c>
      <c r="CI51" s="3872">
        <v>0</v>
      </c>
      <c r="CJ51" s="3806">
        <v>0</v>
      </c>
      <c r="CK51" s="3806">
        <v>1</v>
      </c>
      <c r="CL51" s="1520"/>
      <c r="CN51" s="36"/>
      <c r="CO51" s="36"/>
      <c r="CP51" s="393" t="s">
        <v>484</v>
      </c>
      <c r="CQ51" s="393" t="s">
        <v>1072</v>
      </c>
      <c r="CR51" s="2049"/>
      <c r="CS51" s="2049"/>
      <c r="CT51" s="2049"/>
      <c r="CU51" s="2049"/>
      <c r="CV51" s="2049">
        <v>0</v>
      </c>
      <c r="CW51" s="2049"/>
      <c r="CX51" s="2049">
        <v>1</v>
      </c>
      <c r="CY51" s="2049">
        <v>2</v>
      </c>
      <c r="CZ51" s="2049">
        <v>1</v>
      </c>
      <c r="DA51" s="2049">
        <v>8</v>
      </c>
      <c r="DB51" s="2049">
        <v>3</v>
      </c>
      <c r="DC51" s="2049">
        <v>3</v>
      </c>
      <c r="DD51" s="2049">
        <v>0</v>
      </c>
      <c r="DE51" s="2049">
        <v>3</v>
      </c>
      <c r="DF51" s="2049">
        <v>0</v>
      </c>
      <c r="DG51" s="393"/>
      <c r="DH51" s="393"/>
      <c r="DI51" s="393">
        <v>21</v>
      </c>
      <c r="DJ51" s="36"/>
      <c r="DL51" s="36"/>
      <c r="DM51" s="36"/>
      <c r="DN51" s="36" t="s">
        <v>121</v>
      </c>
      <c r="DO51" s="36" t="s">
        <v>1072</v>
      </c>
      <c r="DP51" s="1681"/>
      <c r="DQ51" s="1681"/>
      <c r="DR51" s="1681"/>
      <c r="DS51" s="1681"/>
      <c r="DT51" s="1681">
        <v>1</v>
      </c>
      <c r="DU51" s="1681"/>
      <c r="DV51" s="1681"/>
      <c r="DW51" s="1681"/>
      <c r="DX51" s="1681"/>
      <c r="DY51" s="1681"/>
      <c r="DZ51" s="1681"/>
      <c r="EA51" s="1681"/>
      <c r="EB51" s="1681">
        <v>0</v>
      </c>
      <c r="EC51" s="1681">
        <v>0</v>
      </c>
      <c r="ED51" s="1681">
        <v>1</v>
      </c>
      <c r="EE51" s="95"/>
      <c r="EF51" s="95">
        <v>0</v>
      </c>
      <c r="EG51" s="95">
        <v>2</v>
      </c>
      <c r="EH51" s="36"/>
      <c r="EL51" s="36"/>
      <c r="EM51" s="393" t="s">
        <v>15</v>
      </c>
      <c r="EN51" s="1491"/>
      <c r="EO51" s="1491"/>
      <c r="EP51" s="1491"/>
      <c r="EQ51" s="1491"/>
      <c r="ER51" s="1491"/>
      <c r="ES51" s="1491">
        <v>1</v>
      </c>
      <c r="ET51" s="1491"/>
      <c r="EU51" s="1491"/>
      <c r="EV51" s="1491"/>
      <c r="EW51" s="1491"/>
      <c r="EX51" s="1491"/>
      <c r="EY51" s="1491"/>
      <c r="EZ51" s="1491">
        <v>1</v>
      </c>
      <c r="FA51" s="1491">
        <v>1</v>
      </c>
      <c r="FB51" s="1491">
        <v>5</v>
      </c>
      <c r="FC51" s="393">
        <v>1</v>
      </c>
      <c r="FD51" s="393">
        <v>1</v>
      </c>
      <c r="FE51" s="393">
        <v>10</v>
      </c>
      <c r="FF51" s="560">
        <f>+FE50/FE51</f>
        <v>0.2</v>
      </c>
      <c r="FH51" s="1225"/>
      <c r="FI51" s="1225"/>
      <c r="FJ51" s="1225"/>
      <c r="FK51" s="1226" t="s">
        <v>1163</v>
      </c>
      <c r="FL51" s="1227"/>
      <c r="FM51" s="1227"/>
      <c r="FN51" s="1227"/>
      <c r="FO51" s="1227"/>
      <c r="FP51" s="1227"/>
      <c r="FQ51" s="1227"/>
      <c r="FR51" s="1227"/>
      <c r="FS51" s="1227"/>
      <c r="FT51" s="1227"/>
      <c r="FU51" s="1227"/>
      <c r="FV51" s="1228">
        <v>1</v>
      </c>
      <c r="FW51" s="1228">
        <v>0</v>
      </c>
      <c r="FX51" s="1228">
        <v>0</v>
      </c>
      <c r="FY51" s="1229"/>
      <c r="FZ51" s="1229"/>
      <c r="GA51" s="1230">
        <v>1</v>
      </c>
      <c r="GB51" s="36"/>
      <c r="GD51" s="603"/>
      <c r="GE51" s="603"/>
      <c r="GF51" s="603"/>
      <c r="GG51" s="622" t="s">
        <v>15</v>
      </c>
      <c r="GH51" s="623"/>
      <c r="GI51" s="623"/>
      <c r="GJ51" s="623"/>
      <c r="GK51" s="623"/>
      <c r="GL51" s="623"/>
      <c r="GM51" s="623"/>
      <c r="GN51" s="623"/>
      <c r="GO51" s="624">
        <v>1</v>
      </c>
      <c r="GP51" s="623"/>
      <c r="GQ51" s="623"/>
      <c r="GR51" s="623"/>
      <c r="GS51" s="624">
        <v>1</v>
      </c>
      <c r="GT51" s="624">
        <v>3</v>
      </c>
      <c r="GU51" s="624">
        <v>2</v>
      </c>
      <c r="GV51" s="624">
        <v>2</v>
      </c>
      <c r="GW51" s="626">
        <v>1</v>
      </c>
      <c r="GX51" s="626">
        <v>2</v>
      </c>
      <c r="GY51" s="626">
        <v>12</v>
      </c>
      <c r="GZ51" s="560">
        <f>+(GY48+GY50)/GY51</f>
        <v>0.16666666666666666</v>
      </c>
      <c r="HB51" s="441"/>
      <c r="HC51" s="441"/>
      <c r="HD51" s="441"/>
      <c r="HE51" s="36"/>
      <c r="HF51" s="462" t="s">
        <v>15</v>
      </c>
      <c r="HG51" s="618"/>
      <c r="HH51" s="618"/>
      <c r="HI51" s="618"/>
      <c r="HJ51" s="619">
        <v>1</v>
      </c>
      <c r="HK51" s="618"/>
      <c r="HL51" s="618"/>
      <c r="HM51" s="618"/>
      <c r="HN51" s="618"/>
      <c r="HO51" s="618"/>
      <c r="HP51" s="618"/>
      <c r="HQ51" s="618"/>
      <c r="HR51" s="618"/>
      <c r="HS51" s="618"/>
      <c r="HT51" s="619">
        <v>2</v>
      </c>
      <c r="HU51" s="619">
        <v>3</v>
      </c>
      <c r="HV51" s="621">
        <v>2</v>
      </c>
      <c r="HW51" s="621">
        <v>1</v>
      </c>
      <c r="HX51" s="621">
        <v>9</v>
      </c>
      <c r="HY51" s="560">
        <f>+HX49/HX51</f>
        <v>0.22222222222222221</v>
      </c>
      <c r="HZ51" s="36"/>
      <c r="IA51" s="613"/>
      <c r="IB51" s="613"/>
      <c r="IC51" s="613"/>
      <c r="ID51" s="389" t="s">
        <v>1080</v>
      </c>
      <c r="IE51" s="614"/>
      <c r="IF51" s="614"/>
      <c r="IG51" s="614"/>
      <c r="IH51" s="614"/>
      <c r="II51" s="614"/>
      <c r="IJ51" s="614"/>
      <c r="IK51" s="390">
        <v>0</v>
      </c>
      <c r="IL51" s="614"/>
      <c r="IM51" s="390">
        <v>0</v>
      </c>
      <c r="IN51" s="390">
        <v>0</v>
      </c>
      <c r="IO51" s="390">
        <v>12</v>
      </c>
      <c r="IP51" s="614"/>
      <c r="IQ51" s="614"/>
      <c r="IR51" s="390">
        <v>12</v>
      </c>
      <c r="IS51" s="615"/>
      <c r="IT51" s="36"/>
      <c r="IU51" s="36"/>
      <c r="IV51" s="95"/>
      <c r="IW51" s="95" t="s">
        <v>16</v>
      </c>
      <c r="IX51" s="36" t="s">
        <v>106</v>
      </c>
      <c r="IY51" s="36" t="s">
        <v>1071</v>
      </c>
      <c r="IZ51" s="95"/>
      <c r="JA51" s="95"/>
      <c r="JB51" s="95"/>
      <c r="JC51" s="95"/>
      <c r="JD51" s="95">
        <v>0</v>
      </c>
      <c r="JE51" s="95"/>
      <c r="JF51" s="95"/>
      <c r="JG51" s="95"/>
      <c r="JH51" s="95">
        <v>0</v>
      </c>
      <c r="JI51" s="95">
        <v>0</v>
      </c>
      <c r="JJ51" s="95">
        <v>0</v>
      </c>
      <c r="JK51" s="95">
        <v>0</v>
      </c>
      <c r="JL51" s="95">
        <v>0</v>
      </c>
      <c r="JM51" s="95">
        <v>1</v>
      </c>
      <c r="JN51" s="95"/>
      <c r="JO51" s="95"/>
      <c r="JP51" s="95">
        <v>1</v>
      </c>
      <c r="JQ51" s="36"/>
      <c r="JR51" s="36"/>
      <c r="JS51" s="616"/>
      <c r="JT51" s="616"/>
      <c r="JU51" s="616" t="s">
        <v>125</v>
      </c>
      <c r="JV51" s="616" t="s">
        <v>1072</v>
      </c>
      <c r="JW51" s="616">
        <v>0</v>
      </c>
      <c r="JX51" s="616">
        <v>0</v>
      </c>
      <c r="JY51" s="616">
        <v>0</v>
      </c>
      <c r="JZ51" s="616">
        <v>0</v>
      </c>
      <c r="KA51" s="616">
        <v>0</v>
      </c>
      <c r="KB51" s="616">
        <v>0</v>
      </c>
      <c r="KC51" s="616">
        <v>0</v>
      </c>
      <c r="KD51" s="616">
        <v>0</v>
      </c>
      <c r="KE51" s="616">
        <v>1</v>
      </c>
      <c r="KF51" s="616">
        <v>0</v>
      </c>
      <c r="KG51" s="616">
        <v>0</v>
      </c>
      <c r="KH51" s="616">
        <v>0</v>
      </c>
      <c r="KI51" s="616">
        <v>0</v>
      </c>
      <c r="KJ51" s="616">
        <v>0</v>
      </c>
      <c r="KK51" s="616">
        <v>0</v>
      </c>
      <c r="KL51" s="616">
        <v>0</v>
      </c>
      <c r="KM51" s="616">
        <v>1</v>
      </c>
      <c r="KN51" s="616"/>
      <c r="KO51" s="617"/>
    </row>
    <row r="52" spans="1:301">
      <c r="A52" s="5737">
        <v>1</v>
      </c>
      <c r="B52" s="5737">
        <v>4</v>
      </c>
      <c r="C52" s="5736" t="s">
        <v>1458</v>
      </c>
      <c r="D52" s="5736" t="s">
        <v>2731</v>
      </c>
      <c r="E52" s="5737">
        <v>3</v>
      </c>
      <c r="F52" s="5737">
        <v>14</v>
      </c>
      <c r="I52" s="4726"/>
      <c r="J52" s="4726"/>
      <c r="K52" s="4725"/>
      <c r="L52" s="4725"/>
      <c r="M52" s="4975">
        <f>SUM(M50:M51)</f>
        <v>3</v>
      </c>
      <c r="N52" s="4726"/>
      <c r="O52" s="4510">
        <v>0</v>
      </c>
      <c r="Q52" s="4458">
        <v>2</v>
      </c>
      <c r="R52" s="4458">
        <v>1</v>
      </c>
      <c r="S52" s="4459" t="s">
        <v>122</v>
      </c>
      <c r="T52" s="4461" t="s">
        <v>1076</v>
      </c>
      <c r="U52" s="4458">
        <v>12</v>
      </c>
      <c r="V52" s="4479">
        <v>1</v>
      </c>
      <c r="W52" s="4510"/>
      <c r="X52" s="4467"/>
      <c r="Y52" s="4467"/>
      <c r="Z52" s="36"/>
      <c r="AA52" s="36"/>
      <c r="AB52" s="36"/>
      <c r="AC52" s="36" t="s">
        <v>1081</v>
      </c>
      <c r="AD52" s="615">
        <v>0</v>
      </c>
      <c r="AE52" s="615">
        <v>0</v>
      </c>
      <c r="AF52" s="615"/>
      <c r="AG52" s="615">
        <v>0</v>
      </c>
      <c r="AH52" s="615"/>
      <c r="AI52" s="615">
        <v>0</v>
      </c>
      <c r="AJ52" s="615">
        <v>0</v>
      </c>
      <c r="AK52" s="615">
        <v>0</v>
      </c>
      <c r="AL52" s="615">
        <v>0</v>
      </c>
      <c r="AM52" s="615">
        <v>2</v>
      </c>
      <c r="AN52" s="615">
        <v>0</v>
      </c>
      <c r="AO52" s="615">
        <v>0</v>
      </c>
      <c r="AP52" s="615">
        <v>0</v>
      </c>
      <c r="AQ52" s="36">
        <v>0</v>
      </c>
      <c r="AR52" s="36">
        <v>2</v>
      </c>
      <c r="AS52" s="36"/>
      <c r="AW52" s="27"/>
      <c r="AX52" s="27" t="s">
        <v>1074</v>
      </c>
      <c r="AY52" s="3722">
        <v>0</v>
      </c>
      <c r="AZ52" s="3722">
        <v>1</v>
      </c>
      <c r="BA52" s="3722"/>
      <c r="BB52" s="3722"/>
      <c r="BC52" s="3722">
        <v>0</v>
      </c>
      <c r="BD52" s="3722">
        <v>0</v>
      </c>
      <c r="BE52" s="3722">
        <v>0</v>
      </c>
      <c r="BF52" s="3722"/>
      <c r="BG52" s="3722">
        <v>0</v>
      </c>
      <c r="BH52" s="3722">
        <v>0</v>
      </c>
      <c r="BI52" s="3722">
        <v>0</v>
      </c>
      <c r="BJ52" s="3722">
        <v>0</v>
      </c>
      <c r="BK52" s="3722">
        <v>0</v>
      </c>
      <c r="BL52" s="3722">
        <v>0</v>
      </c>
      <c r="BM52" s="3701">
        <v>0</v>
      </c>
      <c r="BN52" s="3701"/>
      <c r="BO52" s="3701">
        <v>1</v>
      </c>
      <c r="BP52" s="3701"/>
      <c r="BT52" s="1520"/>
      <c r="BU52" s="1520" t="s">
        <v>1077</v>
      </c>
      <c r="BV52" s="3872">
        <v>0</v>
      </c>
      <c r="BW52" s="3872">
        <v>0</v>
      </c>
      <c r="BX52" s="3872"/>
      <c r="BY52" s="3872"/>
      <c r="BZ52" s="3872">
        <v>0</v>
      </c>
      <c r="CA52" s="3872">
        <v>0</v>
      </c>
      <c r="CB52" s="3872">
        <v>0</v>
      </c>
      <c r="CC52" s="3872"/>
      <c r="CD52" s="3872">
        <v>0</v>
      </c>
      <c r="CE52" s="3872">
        <v>0</v>
      </c>
      <c r="CF52" s="3872">
        <v>0</v>
      </c>
      <c r="CG52" s="3872">
        <v>0</v>
      </c>
      <c r="CH52" s="3872">
        <v>0</v>
      </c>
      <c r="CI52" s="3872">
        <v>1</v>
      </c>
      <c r="CJ52" s="3806">
        <v>1</v>
      </c>
      <c r="CK52" s="3806">
        <v>2</v>
      </c>
      <c r="CL52" s="1520"/>
      <c r="CN52" s="36"/>
      <c r="CO52" s="36"/>
      <c r="CP52" s="393"/>
      <c r="CQ52" s="393" t="s">
        <v>1074</v>
      </c>
      <c r="CR52" s="2049"/>
      <c r="CS52" s="2049"/>
      <c r="CT52" s="2049"/>
      <c r="CU52" s="2049"/>
      <c r="CV52" s="2049">
        <v>1</v>
      </c>
      <c r="CW52" s="2049"/>
      <c r="CX52" s="2049">
        <v>0</v>
      </c>
      <c r="CY52" s="2049">
        <v>0</v>
      </c>
      <c r="CZ52" s="2049">
        <v>0</v>
      </c>
      <c r="DA52" s="2049">
        <v>0</v>
      </c>
      <c r="DB52" s="2049">
        <v>0</v>
      </c>
      <c r="DC52" s="2049">
        <v>0</v>
      </c>
      <c r="DD52" s="2049">
        <v>0</v>
      </c>
      <c r="DE52" s="2049">
        <v>0</v>
      </c>
      <c r="DF52" s="2049">
        <v>0</v>
      </c>
      <c r="DG52" s="393"/>
      <c r="DH52" s="393"/>
      <c r="DI52" s="393">
        <v>1</v>
      </c>
      <c r="DJ52" s="36"/>
      <c r="DL52" s="36"/>
      <c r="DM52" s="36"/>
      <c r="DN52" s="36"/>
      <c r="DO52" s="36" t="s">
        <v>1076</v>
      </c>
      <c r="DP52" s="1681"/>
      <c r="DQ52" s="1681"/>
      <c r="DR52" s="1681"/>
      <c r="DS52" s="1681"/>
      <c r="DT52" s="1681">
        <v>0</v>
      </c>
      <c r="DU52" s="1681"/>
      <c r="DV52" s="1681"/>
      <c r="DW52" s="1681"/>
      <c r="DX52" s="1681"/>
      <c r="DY52" s="1681"/>
      <c r="DZ52" s="1681"/>
      <c r="EA52" s="1681"/>
      <c r="EB52" s="1681">
        <v>1</v>
      </c>
      <c r="EC52" s="1681">
        <v>1</v>
      </c>
      <c r="ED52" s="1681">
        <v>1</v>
      </c>
      <c r="EE52" s="95"/>
      <c r="EF52" s="95">
        <v>0</v>
      </c>
      <c r="EG52" s="95">
        <v>3</v>
      </c>
      <c r="EH52" s="36"/>
      <c r="EL52" s="36" t="s">
        <v>121</v>
      </c>
      <c r="EM52" s="36" t="s">
        <v>1071</v>
      </c>
      <c r="EN52" s="1490"/>
      <c r="EO52" s="1490">
        <v>0</v>
      </c>
      <c r="EP52" s="1490"/>
      <c r="EQ52" s="1490"/>
      <c r="ER52" s="1490"/>
      <c r="ES52" s="1490"/>
      <c r="ET52" s="1490"/>
      <c r="EU52" s="1490"/>
      <c r="EV52" s="1490"/>
      <c r="EW52" s="1490">
        <v>0</v>
      </c>
      <c r="EX52" s="1490"/>
      <c r="EY52" s="1490"/>
      <c r="EZ52" s="1490"/>
      <c r="FA52" s="1490">
        <v>0</v>
      </c>
      <c r="FB52" s="1490">
        <v>3</v>
      </c>
      <c r="FC52" s="36"/>
      <c r="FD52" s="36">
        <v>1</v>
      </c>
      <c r="FE52" s="36">
        <v>4</v>
      </c>
      <c r="FF52" s="36"/>
      <c r="FH52" s="1225"/>
      <c r="FI52" s="1225"/>
      <c r="FJ52" s="1225"/>
      <c r="FK52" s="1222" t="s">
        <v>15</v>
      </c>
      <c r="FL52" s="1231"/>
      <c r="FM52" s="1231"/>
      <c r="FN52" s="1231"/>
      <c r="FO52" s="1231"/>
      <c r="FP52" s="1231"/>
      <c r="FQ52" s="1231"/>
      <c r="FR52" s="1231"/>
      <c r="FS52" s="1231"/>
      <c r="FT52" s="1231"/>
      <c r="FU52" s="1231"/>
      <c r="FV52" s="1232">
        <v>1</v>
      </c>
      <c r="FW52" s="1232">
        <v>1</v>
      </c>
      <c r="FX52" s="1232">
        <v>4</v>
      </c>
      <c r="FY52" s="1233"/>
      <c r="FZ52" s="1233"/>
      <c r="GA52" s="1234">
        <v>6</v>
      </c>
      <c r="GB52" s="1178">
        <f>+(GA49+GA51)/GA52</f>
        <v>0.33333333333333331</v>
      </c>
      <c r="GD52" s="603"/>
      <c r="GE52" s="603"/>
      <c r="GF52" s="603" t="s">
        <v>121</v>
      </c>
      <c r="GG52" s="604" t="s">
        <v>1071</v>
      </c>
      <c r="GH52" s="605"/>
      <c r="GI52" s="606">
        <v>0</v>
      </c>
      <c r="GJ52" s="605"/>
      <c r="GK52" s="605"/>
      <c r="GL52" s="605"/>
      <c r="GM52" s="606">
        <v>0</v>
      </c>
      <c r="GN52" s="605"/>
      <c r="GO52" s="605"/>
      <c r="GP52" s="605"/>
      <c r="GQ52" s="605"/>
      <c r="GR52" s="605"/>
      <c r="GS52" s="605"/>
      <c r="GT52" s="606">
        <v>1</v>
      </c>
      <c r="GU52" s="606">
        <v>0</v>
      </c>
      <c r="GV52" s="606">
        <v>0</v>
      </c>
      <c r="GW52" s="608">
        <v>0</v>
      </c>
      <c r="GX52" s="608">
        <v>0</v>
      </c>
      <c r="GY52" s="608">
        <v>1</v>
      </c>
      <c r="GZ52" s="95"/>
      <c r="HB52" s="441"/>
      <c r="HC52" s="441"/>
      <c r="HD52" s="441" t="s">
        <v>121</v>
      </c>
      <c r="HE52" s="441" t="s">
        <v>1070</v>
      </c>
      <c r="HF52" s="442" t="s">
        <v>1071</v>
      </c>
      <c r="HG52" s="609"/>
      <c r="HH52" s="609"/>
      <c r="HI52" s="609"/>
      <c r="HJ52" s="609"/>
      <c r="HK52" s="609"/>
      <c r="HL52" s="609"/>
      <c r="HM52" s="609"/>
      <c r="HN52" s="610">
        <v>0</v>
      </c>
      <c r="HO52" s="610">
        <v>0</v>
      </c>
      <c r="HP52" s="609"/>
      <c r="HQ52" s="610">
        <v>0</v>
      </c>
      <c r="HR52" s="610">
        <v>0</v>
      </c>
      <c r="HS52" s="610">
        <v>0</v>
      </c>
      <c r="HT52" s="609"/>
      <c r="HU52" s="610">
        <v>2</v>
      </c>
      <c r="HV52" s="611"/>
      <c r="HW52" s="612">
        <v>0</v>
      </c>
      <c r="HX52" s="612">
        <v>2</v>
      </c>
      <c r="HY52" s="560"/>
      <c r="HZ52" s="36"/>
      <c r="IA52" s="613"/>
      <c r="IB52" s="613"/>
      <c r="IC52" s="613"/>
      <c r="ID52" s="389" t="s">
        <v>1163</v>
      </c>
      <c r="IE52" s="614"/>
      <c r="IF52" s="614"/>
      <c r="IG52" s="614"/>
      <c r="IH52" s="614"/>
      <c r="II52" s="614"/>
      <c r="IJ52" s="614"/>
      <c r="IK52" s="390">
        <v>1</v>
      </c>
      <c r="IL52" s="614"/>
      <c r="IM52" s="390">
        <v>0</v>
      </c>
      <c r="IN52" s="390">
        <v>0</v>
      </c>
      <c r="IO52" s="390">
        <v>0</v>
      </c>
      <c r="IP52" s="614"/>
      <c r="IQ52" s="614"/>
      <c r="IR52" s="390">
        <v>1</v>
      </c>
      <c r="IS52" s="615"/>
      <c r="IT52" s="36"/>
      <c r="IU52" s="36"/>
      <c r="IV52" s="95"/>
      <c r="IW52" s="95"/>
      <c r="IX52" s="36"/>
      <c r="IY52" s="36" t="s">
        <v>1072</v>
      </c>
      <c r="IZ52" s="95"/>
      <c r="JA52" s="95"/>
      <c r="JB52" s="95"/>
      <c r="JC52" s="95"/>
      <c r="JD52" s="95">
        <v>0</v>
      </c>
      <c r="JE52" s="95"/>
      <c r="JF52" s="95"/>
      <c r="JG52" s="95"/>
      <c r="JH52" s="95">
        <v>1</v>
      </c>
      <c r="JI52" s="95">
        <v>1</v>
      </c>
      <c r="JJ52" s="95">
        <v>1</v>
      </c>
      <c r="JK52" s="95">
        <v>0</v>
      </c>
      <c r="JL52" s="95">
        <v>2</v>
      </c>
      <c r="JM52" s="95">
        <v>0</v>
      </c>
      <c r="JN52" s="95"/>
      <c r="JO52" s="95"/>
      <c r="JP52" s="95">
        <v>5</v>
      </c>
      <c r="JQ52" s="36"/>
      <c r="JR52" s="36"/>
      <c r="JS52" s="616"/>
      <c r="JT52" s="616"/>
      <c r="JU52" s="616"/>
      <c r="JV52" s="616" t="s">
        <v>1076</v>
      </c>
      <c r="JW52" s="616">
        <v>0</v>
      </c>
      <c r="JX52" s="616">
        <v>0</v>
      </c>
      <c r="JY52" s="616">
        <v>0</v>
      </c>
      <c r="JZ52" s="616">
        <v>0</v>
      </c>
      <c r="KA52" s="616">
        <v>0</v>
      </c>
      <c r="KB52" s="616">
        <v>0</v>
      </c>
      <c r="KC52" s="616">
        <v>0</v>
      </c>
      <c r="KD52" s="616">
        <v>0</v>
      </c>
      <c r="KE52" s="616">
        <v>0</v>
      </c>
      <c r="KF52" s="616">
        <v>0</v>
      </c>
      <c r="KG52" s="616">
        <v>0</v>
      </c>
      <c r="KH52" s="616">
        <v>1</v>
      </c>
      <c r="KI52" s="616">
        <v>0</v>
      </c>
      <c r="KJ52" s="616">
        <v>0</v>
      </c>
      <c r="KK52" s="616">
        <v>0</v>
      </c>
      <c r="KL52" s="616">
        <v>0</v>
      </c>
      <c r="KM52" s="616">
        <v>1</v>
      </c>
      <c r="KN52" s="616"/>
      <c r="KO52" s="617"/>
    </row>
    <row r="53" spans="1:301">
      <c r="A53" s="5737">
        <v>1</v>
      </c>
      <c r="B53" s="5737">
        <v>4</v>
      </c>
      <c r="C53" s="5736" t="s">
        <v>1458</v>
      </c>
      <c r="D53" s="5739" t="s">
        <v>2732</v>
      </c>
      <c r="E53" s="5737">
        <v>1</v>
      </c>
      <c r="F53" s="5737">
        <v>9</v>
      </c>
      <c r="I53" s="4726">
        <v>1</v>
      </c>
      <c r="J53" s="4726">
        <v>4</v>
      </c>
      <c r="K53" s="4725" t="s">
        <v>1458</v>
      </c>
      <c r="L53" s="4725" t="s">
        <v>2731</v>
      </c>
      <c r="M53" s="4726">
        <v>3</v>
      </c>
      <c r="N53" s="4726">
        <v>13</v>
      </c>
      <c r="Q53" s="4458"/>
      <c r="R53" s="4458"/>
      <c r="S53" s="4465" t="s">
        <v>15</v>
      </c>
      <c r="T53" s="4461"/>
      <c r="U53" s="4458"/>
      <c r="V53" s="4480">
        <v>5</v>
      </c>
      <c r="W53" s="4476">
        <f>+(V51+V52)/(V53)</f>
        <v>0.4</v>
      </c>
      <c r="X53" s="4467">
        <v>2</v>
      </c>
      <c r="Y53" s="4467"/>
      <c r="Z53" s="36"/>
      <c r="AA53" s="36"/>
      <c r="AB53" s="36"/>
      <c r="AC53" s="36" t="s">
        <v>2571</v>
      </c>
      <c r="AD53" s="615">
        <v>5</v>
      </c>
      <c r="AE53" s="615">
        <v>0</v>
      </c>
      <c r="AF53" s="615"/>
      <c r="AG53" s="615">
        <v>0</v>
      </c>
      <c r="AH53" s="615"/>
      <c r="AI53" s="615">
        <v>0</v>
      </c>
      <c r="AJ53" s="615">
        <v>0</v>
      </c>
      <c r="AK53" s="615">
        <v>0</v>
      </c>
      <c r="AL53" s="615">
        <v>0</v>
      </c>
      <c r="AM53" s="615">
        <v>0</v>
      </c>
      <c r="AN53" s="615">
        <v>0</v>
      </c>
      <c r="AO53" s="615">
        <v>0</v>
      </c>
      <c r="AP53" s="615">
        <v>0</v>
      </c>
      <c r="AQ53" s="36">
        <v>0</v>
      </c>
      <c r="AR53" s="36">
        <v>5</v>
      </c>
      <c r="AS53" s="36"/>
      <c r="AW53" s="27"/>
      <c r="AX53" s="27" t="s">
        <v>1076</v>
      </c>
      <c r="AY53" s="3722">
        <v>0</v>
      </c>
      <c r="AZ53" s="3722">
        <v>0</v>
      </c>
      <c r="BA53" s="3722"/>
      <c r="BB53" s="3722"/>
      <c r="BC53" s="3722">
        <v>0</v>
      </c>
      <c r="BD53" s="3722">
        <v>0</v>
      </c>
      <c r="BE53" s="3722">
        <v>0</v>
      </c>
      <c r="BF53" s="3722"/>
      <c r="BG53" s="3722">
        <v>0</v>
      </c>
      <c r="BH53" s="3722">
        <v>0</v>
      </c>
      <c r="BI53" s="3722">
        <v>0</v>
      </c>
      <c r="BJ53" s="3722">
        <v>1</v>
      </c>
      <c r="BK53" s="3722">
        <v>0</v>
      </c>
      <c r="BL53" s="3722">
        <v>0</v>
      </c>
      <c r="BM53" s="3701">
        <v>0</v>
      </c>
      <c r="BN53" s="3701"/>
      <c r="BO53" s="3701">
        <v>1</v>
      </c>
      <c r="BP53" s="3701"/>
      <c r="BT53" s="1520"/>
      <c r="BU53" s="1520" t="s">
        <v>1080</v>
      </c>
      <c r="BV53" s="3872">
        <v>0</v>
      </c>
      <c r="BW53" s="3872">
        <v>0</v>
      </c>
      <c r="BX53" s="3872"/>
      <c r="BY53" s="3872"/>
      <c r="BZ53" s="3872">
        <v>0</v>
      </c>
      <c r="CA53" s="3872">
        <v>0</v>
      </c>
      <c r="CB53" s="3872">
        <v>0</v>
      </c>
      <c r="CC53" s="3872"/>
      <c r="CD53" s="3872">
        <v>0</v>
      </c>
      <c r="CE53" s="3872">
        <v>0</v>
      </c>
      <c r="CF53" s="3872">
        <v>0</v>
      </c>
      <c r="CG53" s="3872">
        <v>1</v>
      </c>
      <c r="CH53" s="3872">
        <v>5</v>
      </c>
      <c r="CI53" s="3872">
        <v>0</v>
      </c>
      <c r="CJ53" s="3806">
        <v>1</v>
      </c>
      <c r="CK53" s="3806">
        <v>7</v>
      </c>
      <c r="CL53" s="1520"/>
      <c r="CN53" s="36"/>
      <c r="CO53" s="36"/>
      <c r="CP53" s="393"/>
      <c r="CQ53" s="393" t="s">
        <v>1076</v>
      </c>
      <c r="CR53" s="2049"/>
      <c r="CS53" s="2049"/>
      <c r="CT53" s="2049"/>
      <c r="CU53" s="2049"/>
      <c r="CV53" s="2049">
        <v>0</v>
      </c>
      <c r="CW53" s="2049"/>
      <c r="CX53" s="2049">
        <v>0</v>
      </c>
      <c r="CY53" s="2049">
        <v>0</v>
      </c>
      <c r="CZ53" s="2049">
        <v>0</v>
      </c>
      <c r="DA53" s="2049">
        <v>1</v>
      </c>
      <c r="DB53" s="2049">
        <v>0</v>
      </c>
      <c r="DC53" s="2049">
        <v>0</v>
      </c>
      <c r="DD53" s="2049">
        <v>1</v>
      </c>
      <c r="DE53" s="2049">
        <v>0</v>
      </c>
      <c r="DF53" s="2049">
        <v>0</v>
      </c>
      <c r="DG53" s="393"/>
      <c r="DH53" s="393"/>
      <c r="DI53" s="393">
        <v>2</v>
      </c>
      <c r="DJ53" s="36"/>
      <c r="DL53" s="36"/>
      <c r="DM53" s="36"/>
      <c r="DN53" s="36"/>
      <c r="DO53" s="36" t="s">
        <v>1080</v>
      </c>
      <c r="DP53" s="1681"/>
      <c r="DQ53" s="1681"/>
      <c r="DR53" s="1681"/>
      <c r="DS53" s="1681"/>
      <c r="DT53" s="1681">
        <v>0</v>
      </c>
      <c r="DU53" s="1681"/>
      <c r="DV53" s="1681"/>
      <c r="DW53" s="1681"/>
      <c r="DX53" s="1681"/>
      <c r="DY53" s="1681"/>
      <c r="DZ53" s="1681"/>
      <c r="EA53" s="1681"/>
      <c r="EB53" s="1681">
        <v>0</v>
      </c>
      <c r="EC53" s="1681">
        <v>0</v>
      </c>
      <c r="ED53" s="1681">
        <v>2</v>
      </c>
      <c r="EE53" s="95"/>
      <c r="EF53" s="95">
        <v>5</v>
      </c>
      <c r="EG53" s="95">
        <v>7</v>
      </c>
      <c r="EH53" s="36"/>
      <c r="EL53" s="36"/>
      <c r="EM53" s="36" t="s">
        <v>1074</v>
      </c>
      <c r="EN53" s="1490"/>
      <c r="EO53" s="1490">
        <v>1</v>
      </c>
      <c r="EP53" s="1490"/>
      <c r="EQ53" s="1490"/>
      <c r="ER53" s="1490"/>
      <c r="ES53" s="1490"/>
      <c r="ET53" s="1490"/>
      <c r="EU53" s="1490"/>
      <c r="EV53" s="1490"/>
      <c r="EW53" s="1490">
        <v>0</v>
      </c>
      <c r="EX53" s="1490"/>
      <c r="EY53" s="1490"/>
      <c r="EZ53" s="1490"/>
      <c r="FA53" s="1490">
        <v>0</v>
      </c>
      <c r="FB53" s="1490">
        <v>0</v>
      </c>
      <c r="FC53" s="36"/>
      <c r="FD53" s="36">
        <v>0</v>
      </c>
      <c r="FE53" s="36">
        <v>1</v>
      </c>
      <c r="FF53" s="36"/>
      <c r="FH53" s="1225"/>
      <c r="FI53" s="1225"/>
      <c r="FJ53" s="1225" t="s">
        <v>388</v>
      </c>
      <c r="FK53" s="1226" t="s">
        <v>1072</v>
      </c>
      <c r="FL53" s="1227"/>
      <c r="FM53" s="1227"/>
      <c r="FN53" s="1227"/>
      <c r="FO53" s="1227"/>
      <c r="FP53" s="1227"/>
      <c r="FQ53" s="1227"/>
      <c r="FR53" s="1227"/>
      <c r="FS53" s="1227"/>
      <c r="FT53" s="1228">
        <v>0</v>
      </c>
      <c r="FU53" s="1227"/>
      <c r="FV53" s="1228">
        <v>1</v>
      </c>
      <c r="FW53" s="1227"/>
      <c r="FX53" s="1228">
        <v>0</v>
      </c>
      <c r="FY53" s="1229"/>
      <c r="FZ53" s="1230">
        <v>0</v>
      </c>
      <c r="GA53" s="1230">
        <v>1</v>
      </c>
      <c r="GB53" s="36"/>
      <c r="GD53" s="603"/>
      <c r="GE53" s="603"/>
      <c r="GF53" s="603"/>
      <c r="GG53" s="604" t="s">
        <v>1072</v>
      </c>
      <c r="GH53" s="605"/>
      <c r="GI53" s="606">
        <v>1</v>
      </c>
      <c r="GJ53" s="605"/>
      <c r="GK53" s="605"/>
      <c r="GL53" s="605"/>
      <c r="GM53" s="606">
        <v>1</v>
      </c>
      <c r="GN53" s="605"/>
      <c r="GO53" s="605"/>
      <c r="GP53" s="605"/>
      <c r="GQ53" s="605"/>
      <c r="GR53" s="605"/>
      <c r="GS53" s="605"/>
      <c r="GT53" s="606">
        <v>0</v>
      </c>
      <c r="GU53" s="606">
        <v>1</v>
      </c>
      <c r="GV53" s="606">
        <v>0</v>
      </c>
      <c r="GW53" s="608">
        <v>0</v>
      </c>
      <c r="GX53" s="608">
        <v>0</v>
      </c>
      <c r="GY53" s="608">
        <v>3</v>
      </c>
      <c r="GZ53" s="95"/>
      <c r="HB53" s="441"/>
      <c r="HC53" s="441"/>
      <c r="HD53" s="441"/>
      <c r="HE53" s="441"/>
      <c r="HF53" s="442" t="s">
        <v>1072</v>
      </c>
      <c r="HG53" s="609"/>
      <c r="HH53" s="609"/>
      <c r="HI53" s="609"/>
      <c r="HJ53" s="609"/>
      <c r="HK53" s="609"/>
      <c r="HL53" s="609"/>
      <c r="HM53" s="609"/>
      <c r="HN53" s="610">
        <v>1</v>
      </c>
      <c r="HO53" s="610">
        <v>1</v>
      </c>
      <c r="HP53" s="609"/>
      <c r="HQ53" s="610">
        <v>0</v>
      </c>
      <c r="HR53" s="610">
        <v>0</v>
      </c>
      <c r="HS53" s="610">
        <v>0</v>
      </c>
      <c r="HT53" s="609"/>
      <c r="HU53" s="610">
        <v>0</v>
      </c>
      <c r="HV53" s="611"/>
      <c r="HW53" s="612">
        <v>0</v>
      </c>
      <c r="HX53" s="612">
        <v>2</v>
      </c>
      <c r="HY53" s="560"/>
      <c r="HZ53" s="36"/>
      <c r="IA53" s="613"/>
      <c r="IB53" s="613"/>
      <c r="IC53" s="613"/>
      <c r="ID53" s="629" t="s">
        <v>15</v>
      </c>
      <c r="IE53" s="630"/>
      <c r="IF53" s="630"/>
      <c r="IG53" s="630"/>
      <c r="IH53" s="630"/>
      <c r="II53" s="630"/>
      <c r="IJ53" s="630"/>
      <c r="IK53" s="395">
        <v>1</v>
      </c>
      <c r="IL53" s="630"/>
      <c r="IM53" s="395">
        <v>1</v>
      </c>
      <c r="IN53" s="395">
        <v>1</v>
      </c>
      <c r="IO53" s="395">
        <v>12</v>
      </c>
      <c r="IP53" s="630"/>
      <c r="IQ53" s="630"/>
      <c r="IR53" s="395">
        <v>15</v>
      </c>
      <c r="IS53" s="553">
        <f>+(IR52+IR50)/IR53</f>
        <v>0.13333333333333333</v>
      </c>
      <c r="IT53" s="36"/>
      <c r="IU53" s="36"/>
      <c r="IV53" s="95"/>
      <c r="IW53" s="95"/>
      <c r="IX53" s="36"/>
      <c r="IY53" s="36" t="s">
        <v>1074</v>
      </c>
      <c r="IZ53" s="95"/>
      <c r="JA53" s="95"/>
      <c r="JB53" s="95"/>
      <c r="JC53" s="95"/>
      <c r="JD53" s="95">
        <v>1</v>
      </c>
      <c r="JE53" s="95"/>
      <c r="JF53" s="95"/>
      <c r="JG53" s="95"/>
      <c r="JH53" s="95">
        <v>0</v>
      </c>
      <c r="JI53" s="95">
        <v>0</v>
      </c>
      <c r="JJ53" s="95">
        <v>0</v>
      </c>
      <c r="JK53" s="95">
        <v>0</v>
      </c>
      <c r="JL53" s="95">
        <v>0</v>
      </c>
      <c r="JM53" s="95">
        <v>0</v>
      </c>
      <c r="JN53" s="95"/>
      <c r="JO53" s="95"/>
      <c r="JP53" s="95">
        <v>1</v>
      </c>
      <c r="JQ53" s="36"/>
      <c r="JR53" s="36"/>
      <c r="JS53" s="616"/>
      <c r="JT53" s="616"/>
      <c r="JU53" s="616"/>
      <c r="JV53" s="616" t="s">
        <v>1077</v>
      </c>
      <c r="JW53" s="616">
        <v>0</v>
      </c>
      <c r="JX53" s="616">
        <v>0</v>
      </c>
      <c r="JY53" s="616">
        <v>0</v>
      </c>
      <c r="JZ53" s="616">
        <v>0</v>
      </c>
      <c r="KA53" s="616">
        <v>0</v>
      </c>
      <c r="KB53" s="616">
        <v>0</v>
      </c>
      <c r="KC53" s="616">
        <v>1</v>
      </c>
      <c r="KD53" s="616">
        <v>1</v>
      </c>
      <c r="KE53" s="616">
        <v>1</v>
      </c>
      <c r="KF53" s="616">
        <v>0</v>
      </c>
      <c r="KG53" s="616">
        <v>0</v>
      </c>
      <c r="KH53" s="616">
        <v>3</v>
      </c>
      <c r="KI53" s="616">
        <v>0</v>
      </c>
      <c r="KJ53" s="616">
        <v>0</v>
      </c>
      <c r="KK53" s="616">
        <v>0</v>
      </c>
      <c r="KL53" s="616">
        <v>0</v>
      </c>
      <c r="KM53" s="616">
        <v>6</v>
      </c>
      <c r="KN53" s="616"/>
      <c r="KO53" s="617"/>
    </row>
    <row r="54" spans="1:301">
      <c r="A54" s="5737">
        <v>1</v>
      </c>
      <c r="B54" s="5737">
        <v>4</v>
      </c>
      <c r="C54" s="5736" t="s">
        <v>1458</v>
      </c>
      <c r="D54" s="5739" t="s">
        <v>2732</v>
      </c>
      <c r="E54" s="5737">
        <v>1</v>
      </c>
      <c r="F54" s="5737">
        <v>10</v>
      </c>
      <c r="I54" s="4726">
        <v>1</v>
      </c>
      <c r="J54" s="4726">
        <v>4</v>
      </c>
      <c r="K54" s="4725" t="s">
        <v>1458</v>
      </c>
      <c r="L54" s="4963" t="s">
        <v>2732</v>
      </c>
      <c r="M54" s="4964">
        <v>1</v>
      </c>
      <c r="N54" s="4726">
        <v>9</v>
      </c>
      <c r="Q54" s="4458">
        <v>2</v>
      </c>
      <c r="R54" s="4458">
        <v>1</v>
      </c>
      <c r="S54" s="4459" t="s">
        <v>123</v>
      </c>
      <c r="T54" s="4459" t="s">
        <v>2709</v>
      </c>
      <c r="U54" s="4458">
        <v>13</v>
      </c>
      <c r="V54" s="4479">
        <v>1</v>
      </c>
      <c r="W54" s="4510"/>
      <c r="X54" s="4467"/>
      <c r="Y54" s="4467"/>
      <c r="Z54" s="36"/>
      <c r="AA54" s="36"/>
      <c r="AB54" s="36"/>
      <c r="AC54" s="36" t="s">
        <v>1163</v>
      </c>
      <c r="AD54" s="615">
        <v>0</v>
      </c>
      <c r="AE54" s="615">
        <v>0</v>
      </c>
      <c r="AF54" s="615"/>
      <c r="AG54" s="615">
        <v>0</v>
      </c>
      <c r="AH54" s="615"/>
      <c r="AI54" s="615">
        <v>1</v>
      </c>
      <c r="AJ54" s="615">
        <v>0</v>
      </c>
      <c r="AK54" s="615">
        <v>1</v>
      </c>
      <c r="AL54" s="615">
        <v>1</v>
      </c>
      <c r="AM54" s="615">
        <v>0</v>
      </c>
      <c r="AN54" s="615">
        <v>0</v>
      </c>
      <c r="AO54" s="615">
        <v>0</v>
      </c>
      <c r="AP54" s="615">
        <v>0</v>
      </c>
      <c r="AQ54" s="36">
        <v>0</v>
      </c>
      <c r="AR54" s="36">
        <v>3</v>
      </c>
      <c r="AS54" s="36"/>
      <c r="AW54" s="27"/>
      <c r="AX54" s="27" t="s">
        <v>1077</v>
      </c>
      <c r="AY54" s="3722">
        <v>0</v>
      </c>
      <c r="AZ54" s="3722">
        <v>0</v>
      </c>
      <c r="BA54" s="3722"/>
      <c r="BB54" s="3722"/>
      <c r="BC54" s="3722">
        <v>0</v>
      </c>
      <c r="BD54" s="3722">
        <v>0</v>
      </c>
      <c r="BE54" s="3722">
        <v>0</v>
      </c>
      <c r="BF54" s="3722"/>
      <c r="BG54" s="3722">
        <v>0</v>
      </c>
      <c r="BH54" s="3722">
        <v>0</v>
      </c>
      <c r="BI54" s="3722">
        <v>0</v>
      </c>
      <c r="BJ54" s="3722">
        <v>0</v>
      </c>
      <c r="BK54" s="3722">
        <v>0</v>
      </c>
      <c r="BL54" s="3722">
        <v>1</v>
      </c>
      <c r="BM54" s="3701">
        <v>1</v>
      </c>
      <c r="BN54" s="3701"/>
      <c r="BO54" s="3701">
        <v>2</v>
      </c>
      <c r="BP54" s="3701"/>
      <c r="BT54" s="1520"/>
      <c r="BU54" s="1520" t="s">
        <v>1081</v>
      </c>
      <c r="BV54" s="3872">
        <v>0</v>
      </c>
      <c r="BW54" s="3872">
        <v>0</v>
      </c>
      <c r="BX54" s="3872"/>
      <c r="BY54" s="3872"/>
      <c r="BZ54" s="3872">
        <v>0</v>
      </c>
      <c r="CA54" s="3872">
        <v>0</v>
      </c>
      <c r="CB54" s="3872">
        <v>0</v>
      </c>
      <c r="CC54" s="3872"/>
      <c r="CD54" s="3872">
        <v>0</v>
      </c>
      <c r="CE54" s="3872">
        <v>0</v>
      </c>
      <c r="CF54" s="3872">
        <v>0</v>
      </c>
      <c r="CG54" s="3872">
        <v>0</v>
      </c>
      <c r="CH54" s="3872">
        <v>1</v>
      </c>
      <c r="CI54" s="3872">
        <v>0</v>
      </c>
      <c r="CJ54" s="3806">
        <v>0</v>
      </c>
      <c r="CK54" s="3806">
        <v>1</v>
      </c>
      <c r="CL54" s="1520"/>
      <c r="CN54" s="36"/>
      <c r="CO54" s="36"/>
      <c r="CP54" s="393"/>
      <c r="CQ54" s="393" t="s">
        <v>1080</v>
      </c>
      <c r="CR54" s="2049"/>
      <c r="CS54" s="2049"/>
      <c r="CT54" s="2049"/>
      <c r="CU54" s="2049"/>
      <c r="CV54" s="2049">
        <v>0</v>
      </c>
      <c r="CW54" s="2049"/>
      <c r="CX54" s="2049">
        <v>0</v>
      </c>
      <c r="CY54" s="2049">
        <v>0</v>
      </c>
      <c r="CZ54" s="2049">
        <v>0</v>
      </c>
      <c r="DA54" s="2049">
        <v>0</v>
      </c>
      <c r="DB54" s="2049">
        <v>1</v>
      </c>
      <c r="DC54" s="2049">
        <v>3</v>
      </c>
      <c r="DD54" s="2049">
        <v>0</v>
      </c>
      <c r="DE54" s="2049">
        <v>1</v>
      </c>
      <c r="DF54" s="2049">
        <v>6</v>
      </c>
      <c r="DG54" s="393"/>
      <c r="DH54" s="393"/>
      <c r="DI54" s="393">
        <v>11</v>
      </c>
      <c r="DJ54" s="36"/>
      <c r="DL54" s="36"/>
      <c r="DM54" s="36"/>
      <c r="DN54" s="36"/>
      <c r="DO54" s="36" t="s">
        <v>1163</v>
      </c>
      <c r="DP54" s="1681"/>
      <c r="DQ54" s="1681"/>
      <c r="DR54" s="1681"/>
      <c r="DS54" s="1681"/>
      <c r="DT54" s="1681">
        <v>0</v>
      </c>
      <c r="DU54" s="1681"/>
      <c r="DV54" s="1681"/>
      <c r="DW54" s="1681"/>
      <c r="DX54" s="1681"/>
      <c r="DY54" s="1681"/>
      <c r="DZ54" s="1681"/>
      <c r="EA54" s="1681"/>
      <c r="EB54" s="1681">
        <v>2</v>
      </c>
      <c r="EC54" s="1681">
        <v>3</v>
      </c>
      <c r="ED54" s="1681">
        <v>1</v>
      </c>
      <c r="EE54" s="95"/>
      <c r="EF54" s="95">
        <v>0</v>
      </c>
      <c r="EG54" s="95">
        <v>6</v>
      </c>
      <c r="EH54" s="36"/>
      <c r="EL54" s="36"/>
      <c r="EM54" s="36" t="s">
        <v>1076</v>
      </c>
      <c r="EN54" s="1490"/>
      <c r="EO54" s="1490">
        <v>0</v>
      </c>
      <c r="EP54" s="1490"/>
      <c r="EQ54" s="1490"/>
      <c r="ER54" s="1490"/>
      <c r="ES54" s="1490"/>
      <c r="ET54" s="1490"/>
      <c r="EU54" s="1490"/>
      <c r="EV54" s="1490"/>
      <c r="EW54" s="1490">
        <v>0</v>
      </c>
      <c r="EX54" s="1490"/>
      <c r="EY54" s="1490"/>
      <c r="EZ54" s="1490"/>
      <c r="FA54" s="1490">
        <v>1</v>
      </c>
      <c r="FB54" s="1490">
        <v>0</v>
      </c>
      <c r="FC54" s="36"/>
      <c r="FD54" s="36">
        <v>0</v>
      </c>
      <c r="FE54" s="36">
        <v>1</v>
      </c>
      <c r="FF54" s="36"/>
      <c r="FH54" s="1225"/>
      <c r="FI54" s="1225"/>
      <c r="FJ54" s="1225"/>
      <c r="FK54" s="1226" t="s">
        <v>1077</v>
      </c>
      <c r="FL54" s="1227"/>
      <c r="FM54" s="1227"/>
      <c r="FN54" s="1227"/>
      <c r="FO54" s="1227"/>
      <c r="FP54" s="1227"/>
      <c r="FQ54" s="1227"/>
      <c r="FR54" s="1227"/>
      <c r="FS54" s="1227"/>
      <c r="FT54" s="1228">
        <v>1</v>
      </c>
      <c r="FU54" s="1227"/>
      <c r="FV54" s="1228">
        <v>0</v>
      </c>
      <c r="FW54" s="1227"/>
      <c r="FX54" s="1228">
        <v>0</v>
      </c>
      <c r="FY54" s="1229"/>
      <c r="FZ54" s="1230">
        <v>0</v>
      </c>
      <c r="GA54" s="1230">
        <v>1</v>
      </c>
      <c r="GB54" s="36"/>
      <c r="GD54" s="603"/>
      <c r="GE54" s="603"/>
      <c r="GF54" s="603"/>
      <c r="GG54" s="604" t="s">
        <v>1080</v>
      </c>
      <c r="GH54" s="605"/>
      <c r="GI54" s="606">
        <v>0</v>
      </c>
      <c r="GJ54" s="605"/>
      <c r="GK54" s="605"/>
      <c r="GL54" s="605"/>
      <c r="GM54" s="606">
        <v>0</v>
      </c>
      <c r="GN54" s="605"/>
      <c r="GO54" s="605"/>
      <c r="GP54" s="605"/>
      <c r="GQ54" s="605"/>
      <c r="GR54" s="605"/>
      <c r="GS54" s="605"/>
      <c r="GT54" s="606">
        <v>0</v>
      </c>
      <c r="GU54" s="606">
        <v>0</v>
      </c>
      <c r="GV54" s="606">
        <v>5</v>
      </c>
      <c r="GW54" s="608">
        <v>2</v>
      </c>
      <c r="GX54" s="608">
        <v>8</v>
      </c>
      <c r="GY54" s="608">
        <v>15</v>
      </c>
      <c r="GZ54" s="95"/>
      <c r="HB54" s="441"/>
      <c r="HC54" s="441"/>
      <c r="HD54" s="441"/>
      <c r="HE54" s="441"/>
      <c r="HF54" s="442" t="s">
        <v>1076</v>
      </c>
      <c r="HG54" s="609"/>
      <c r="HH54" s="609"/>
      <c r="HI54" s="609"/>
      <c r="HJ54" s="609"/>
      <c r="HK54" s="609"/>
      <c r="HL54" s="609"/>
      <c r="HM54" s="609"/>
      <c r="HN54" s="610">
        <v>0</v>
      </c>
      <c r="HO54" s="610">
        <v>0</v>
      </c>
      <c r="HP54" s="609"/>
      <c r="HQ54" s="610">
        <v>1</v>
      </c>
      <c r="HR54" s="610">
        <v>2</v>
      </c>
      <c r="HS54" s="610">
        <v>0</v>
      </c>
      <c r="HT54" s="609"/>
      <c r="HU54" s="610">
        <v>0</v>
      </c>
      <c r="HV54" s="611"/>
      <c r="HW54" s="612">
        <v>0</v>
      </c>
      <c r="HX54" s="612">
        <v>3</v>
      </c>
      <c r="HY54" s="560"/>
      <c r="HZ54" s="36"/>
      <c r="IA54" s="613"/>
      <c r="IB54" s="613"/>
      <c r="IC54" s="613" t="s">
        <v>125</v>
      </c>
      <c r="ID54" s="389" t="s">
        <v>1074</v>
      </c>
      <c r="IE54" s="614"/>
      <c r="IF54" s="390">
        <v>0</v>
      </c>
      <c r="IG54" s="390">
        <v>0</v>
      </c>
      <c r="IH54" s="390">
        <v>1</v>
      </c>
      <c r="II54" s="614"/>
      <c r="IJ54" s="390">
        <v>0</v>
      </c>
      <c r="IK54" s="390">
        <v>0</v>
      </c>
      <c r="IL54" s="390">
        <v>0</v>
      </c>
      <c r="IM54" s="390">
        <v>0</v>
      </c>
      <c r="IN54" s="390">
        <v>0</v>
      </c>
      <c r="IO54" s="614"/>
      <c r="IP54" s="614"/>
      <c r="IQ54" s="614"/>
      <c r="IR54" s="390">
        <v>1</v>
      </c>
      <c r="IS54" s="615"/>
      <c r="IT54" s="36"/>
      <c r="IU54" s="36"/>
      <c r="IV54" s="95"/>
      <c r="IW54" s="95"/>
      <c r="IX54" s="36"/>
      <c r="IY54" s="36" t="s">
        <v>1076</v>
      </c>
      <c r="IZ54" s="95"/>
      <c r="JA54" s="95"/>
      <c r="JB54" s="95"/>
      <c r="JC54" s="95"/>
      <c r="JD54" s="95">
        <v>0</v>
      </c>
      <c r="JE54" s="95"/>
      <c r="JF54" s="95"/>
      <c r="JG54" s="95"/>
      <c r="JH54" s="95">
        <v>0</v>
      </c>
      <c r="JI54" s="95">
        <v>0</v>
      </c>
      <c r="JJ54" s="95">
        <v>0</v>
      </c>
      <c r="JK54" s="95">
        <v>3</v>
      </c>
      <c r="JL54" s="95">
        <v>0</v>
      </c>
      <c r="JM54" s="95">
        <v>0</v>
      </c>
      <c r="JN54" s="95"/>
      <c r="JO54" s="95"/>
      <c r="JP54" s="95">
        <v>3</v>
      </c>
      <c r="JQ54" s="36"/>
      <c r="JR54" s="36"/>
      <c r="JS54" s="616"/>
      <c r="JT54" s="616"/>
      <c r="JU54" s="616"/>
      <c r="JV54" s="616" t="s">
        <v>1163</v>
      </c>
      <c r="JW54" s="616">
        <v>0</v>
      </c>
      <c r="JX54" s="616">
        <v>0</v>
      </c>
      <c r="JY54" s="616">
        <v>0</v>
      </c>
      <c r="JZ54" s="616">
        <v>0</v>
      </c>
      <c r="KA54" s="616">
        <v>0</v>
      </c>
      <c r="KB54" s="616">
        <v>0</v>
      </c>
      <c r="KC54" s="616">
        <v>1</v>
      </c>
      <c r="KD54" s="616">
        <v>0</v>
      </c>
      <c r="KE54" s="616">
        <v>0</v>
      </c>
      <c r="KF54" s="616">
        <v>0</v>
      </c>
      <c r="KG54" s="616">
        <v>0</v>
      </c>
      <c r="KH54" s="616">
        <v>3</v>
      </c>
      <c r="KI54" s="616">
        <v>0</v>
      </c>
      <c r="KJ54" s="616">
        <v>0</v>
      </c>
      <c r="KK54" s="616">
        <v>0</v>
      </c>
      <c r="KL54" s="616">
        <v>0</v>
      </c>
      <c r="KM54" s="616">
        <v>4</v>
      </c>
      <c r="KN54" s="616"/>
      <c r="KO54" s="617"/>
    </row>
    <row r="55" spans="1:301">
      <c r="A55" s="5737">
        <v>1</v>
      </c>
      <c r="B55" s="5737">
        <v>4</v>
      </c>
      <c r="C55" s="5736" t="s">
        <v>1458</v>
      </c>
      <c r="D55" s="5739" t="s">
        <v>2707</v>
      </c>
      <c r="E55" s="5737">
        <v>1</v>
      </c>
      <c r="F55" s="5737">
        <v>12</v>
      </c>
      <c r="I55" s="4726">
        <v>1</v>
      </c>
      <c r="J55" s="4726">
        <v>4</v>
      </c>
      <c r="K55" s="4725" t="s">
        <v>1458</v>
      </c>
      <c r="L55" s="4963" t="s">
        <v>2732</v>
      </c>
      <c r="M55" s="4964">
        <v>1</v>
      </c>
      <c r="N55" s="4726">
        <v>10</v>
      </c>
      <c r="Q55" s="4458"/>
      <c r="R55" s="4458"/>
      <c r="S55" s="4465" t="s">
        <v>15</v>
      </c>
      <c r="T55" s="4459"/>
      <c r="U55" s="4458"/>
      <c r="V55" s="4480">
        <v>2</v>
      </c>
      <c r="W55" s="4510">
        <v>0</v>
      </c>
      <c r="X55" s="4467">
        <v>1</v>
      </c>
      <c r="Y55" s="4467"/>
      <c r="Z55" s="36"/>
      <c r="AA55" s="36"/>
      <c r="AB55" s="36"/>
      <c r="AC55" s="4236" t="s">
        <v>15</v>
      </c>
      <c r="AD55" s="4236">
        <v>5</v>
      </c>
      <c r="AE55" s="4236">
        <v>2</v>
      </c>
      <c r="AF55" s="4236"/>
      <c r="AG55" s="4236">
        <v>1</v>
      </c>
      <c r="AH55" s="4236"/>
      <c r="AI55" s="4236">
        <v>2</v>
      </c>
      <c r="AJ55" s="4236">
        <v>1</v>
      </c>
      <c r="AK55" s="4236">
        <v>3</v>
      </c>
      <c r="AL55" s="4236">
        <v>1</v>
      </c>
      <c r="AM55" s="4236">
        <v>4</v>
      </c>
      <c r="AN55" s="4236">
        <v>25</v>
      </c>
      <c r="AO55" s="4236">
        <v>10</v>
      </c>
      <c r="AP55" s="4236">
        <v>2</v>
      </c>
      <c r="AQ55" s="4236">
        <v>1</v>
      </c>
      <c r="AR55" s="4236">
        <v>57</v>
      </c>
      <c r="AS55" s="4243">
        <f>+(AM52+AI54+AK54+AL54)/(AR55-AR53)</f>
        <v>9.6153846153846159E-2</v>
      </c>
      <c r="AU55" s="36"/>
      <c r="AV55" s="36"/>
      <c r="AW55" s="393"/>
      <c r="AX55" s="393" t="s">
        <v>1080</v>
      </c>
      <c r="AY55" s="1682">
        <v>0</v>
      </c>
      <c r="AZ55" s="1682">
        <v>0</v>
      </c>
      <c r="BA55" s="1682"/>
      <c r="BB55" s="1682"/>
      <c r="BC55" s="1682">
        <v>0</v>
      </c>
      <c r="BD55" s="1682">
        <v>0</v>
      </c>
      <c r="BE55" s="1682">
        <v>0</v>
      </c>
      <c r="BF55" s="1682"/>
      <c r="BG55" s="1682">
        <v>0</v>
      </c>
      <c r="BH55" s="1682">
        <v>0</v>
      </c>
      <c r="BI55" s="1682">
        <v>0</v>
      </c>
      <c r="BJ55" s="1682">
        <v>1</v>
      </c>
      <c r="BK55" s="1682">
        <v>2</v>
      </c>
      <c r="BL55" s="1682">
        <v>4</v>
      </c>
      <c r="BM55" s="4455">
        <v>1</v>
      </c>
      <c r="BN55" s="4455"/>
      <c r="BO55" s="4455">
        <v>8</v>
      </c>
      <c r="BP55" s="4455"/>
      <c r="BT55" s="1520"/>
      <c r="BU55" s="1520" t="s">
        <v>1163</v>
      </c>
      <c r="BV55" s="3872">
        <v>0</v>
      </c>
      <c r="BW55" s="3872">
        <v>0</v>
      </c>
      <c r="BX55" s="3872"/>
      <c r="BY55" s="3872"/>
      <c r="BZ55" s="3872">
        <v>0</v>
      </c>
      <c r="CA55" s="3872">
        <v>0</v>
      </c>
      <c r="CB55" s="3872">
        <v>0</v>
      </c>
      <c r="CC55" s="3872"/>
      <c r="CD55" s="3872">
        <v>1</v>
      </c>
      <c r="CE55" s="3872">
        <v>1</v>
      </c>
      <c r="CF55" s="3872">
        <v>1</v>
      </c>
      <c r="CG55" s="3872">
        <v>0</v>
      </c>
      <c r="CH55" s="3872">
        <v>0</v>
      </c>
      <c r="CI55" s="3872">
        <v>0</v>
      </c>
      <c r="CJ55" s="3806">
        <v>0</v>
      </c>
      <c r="CK55" s="3806">
        <v>3</v>
      </c>
      <c r="CL55" s="1520"/>
      <c r="CN55" s="36"/>
      <c r="CO55" s="36"/>
      <c r="CP55" s="393"/>
      <c r="CQ55" s="393" t="s">
        <v>1081</v>
      </c>
      <c r="CR55" s="2049"/>
      <c r="CS55" s="2049"/>
      <c r="CT55" s="2049"/>
      <c r="CU55" s="2049"/>
      <c r="CV55" s="2049">
        <v>0</v>
      </c>
      <c r="CW55" s="2049"/>
      <c r="CX55" s="2049">
        <v>0</v>
      </c>
      <c r="CY55" s="2049">
        <v>0</v>
      </c>
      <c r="CZ55" s="2049">
        <v>0</v>
      </c>
      <c r="DA55" s="2049">
        <v>1</v>
      </c>
      <c r="DB55" s="2049">
        <v>0</v>
      </c>
      <c r="DC55" s="2049">
        <v>0</v>
      </c>
      <c r="DD55" s="2049">
        <v>0</v>
      </c>
      <c r="DE55" s="2049">
        <v>0</v>
      </c>
      <c r="DF55" s="2049">
        <v>0</v>
      </c>
      <c r="DG55" s="393"/>
      <c r="DH55" s="393"/>
      <c r="DI55" s="393">
        <v>1</v>
      </c>
      <c r="DJ55" s="36"/>
      <c r="DL55" s="36"/>
      <c r="DM55" s="36"/>
      <c r="DN55" s="36"/>
      <c r="DO55" s="393" t="s">
        <v>15</v>
      </c>
      <c r="DP55" s="1682"/>
      <c r="DQ55" s="1682"/>
      <c r="DR55" s="1682"/>
      <c r="DS55" s="1682"/>
      <c r="DT55" s="1682">
        <v>1</v>
      </c>
      <c r="DU55" s="1682"/>
      <c r="DV55" s="1682"/>
      <c r="DW55" s="1682"/>
      <c r="DX55" s="1682"/>
      <c r="DY55" s="1682"/>
      <c r="DZ55" s="1682"/>
      <c r="EA55" s="1682"/>
      <c r="EB55" s="1682">
        <v>3</v>
      </c>
      <c r="EC55" s="1682">
        <v>4</v>
      </c>
      <c r="ED55" s="1682">
        <v>5</v>
      </c>
      <c r="EE55" s="86"/>
      <c r="EF55" s="86">
        <v>5</v>
      </c>
      <c r="EG55" s="86">
        <v>18</v>
      </c>
      <c r="EH55" s="560">
        <f>+(EG52+EG54)/EG55</f>
        <v>0.5</v>
      </c>
      <c r="EL55" s="36"/>
      <c r="EM55" s="36" t="s">
        <v>1077</v>
      </c>
      <c r="EN55" s="1490"/>
      <c r="EO55" s="1490">
        <v>0</v>
      </c>
      <c r="EP55" s="1490"/>
      <c r="EQ55" s="1490"/>
      <c r="ER55" s="1490"/>
      <c r="ES55" s="1490"/>
      <c r="ET55" s="1490"/>
      <c r="EU55" s="1490"/>
      <c r="EV55" s="1490"/>
      <c r="EW55" s="1490">
        <v>1</v>
      </c>
      <c r="EX55" s="1490"/>
      <c r="EY55" s="1490"/>
      <c r="EZ55" s="1490"/>
      <c r="FA55" s="1490">
        <v>0</v>
      </c>
      <c r="FB55" s="1490">
        <v>0</v>
      </c>
      <c r="FC55" s="36"/>
      <c r="FD55" s="36">
        <v>0</v>
      </c>
      <c r="FE55" s="36">
        <v>1</v>
      </c>
      <c r="FF55" s="36"/>
      <c r="FH55" s="1225"/>
      <c r="FI55" s="1225"/>
      <c r="FJ55" s="1225"/>
      <c r="FK55" s="1226" t="s">
        <v>1080</v>
      </c>
      <c r="FL55" s="1227"/>
      <c r="FM55" s="1227"/>
      <c r="FN55" s="1227"/>
      <c r="FO55" s="1227"/>
      <c r="FP55" s="1227"/>
      <c r="FQ55" s="1227"/>
      <c r="FR55" s="1227"/>
      <c r="FS55" s="1227"/>
      <c r="FT55" s="1228">
        <v>0</v>
      </c>
      <c r="FU55" s="1227"/>
      <c r="FV55" s="1228">
        <v>0</v>
      </c>
      <c r="FW55" s="1227"/>
      <c r="FX55" s="1228">
        <v>3</v>
      </c>
      <c r="FY55" s="1229"/>
      <c r="FZ55" s="1230">
        <v>1</v>
      </c>
      <c r="GA55" s="1230">
        <v>4</v>
      </c>
      <c r="GB55" s="36"/>
      <c r="GD55" s="603"/>
      <c r="GE55" s="603"/>
      <c r="GF55" s="603"/>
      <c r="GG55" s="604" t="s">
        <v>1163</v>
      </c>
      <c r="GH55" s="605"/>
      <c r="GI55" s="606">
        <v>0</v>
      </c>
      <c r="GJ55" s="605"/>
      <c r="GK55" s="605"/>
      <c r="GL55" s="605"/>
      <c r="GM55" s="606">
        <v>0</v>
      </c>
      <c r="GN55" s="605"/>
      <c r="GO55" s="605"/>
      <c r="GP55" s="605"/>
      <c r="GQ55" s="605"/>
      <c r="GR55" s="605"/>
      <c r="GS55" s="605"/>
      <c r="GT55" s="606">
        <v>1</v>
      </c>
      <c r="GU55" s="606">
        <v>0</v>
      </c>
      <c r="GV55" s="606">
        <v>1</v>
      </c>
      <c r="GW55" s="608">
        <v>0</v>
      </c>
      <c r="GX55" s="608">
        <v>0</v>
      </c>
      <c r="GY55" s="608">
        <v>2</v>
      </c>
      <c r="GZ55" s="95"/>
      <c r="HB55" s="441"/>
      <c r="HC55" s="441"/>
      <c r="HD55" s="441"/>
      <c r="HE55" s="441"/>
      <c r="HF55" s="442" t="s">
        <v>1080</v>
      </c>
      <c r="HG55" s="609"/>
      <c r="HH55" s="609"/>
      <c r="HI55" s="609"/>
      <c r="HJ55" s="609"/>
      <c r="HK55" s="609"/>
      <c r="HL55" s="609"/>
      <c r="HM55" s="609"/>
      <c r="HN55" s="610">
        <v>0</v>
      </c>
      <c r="HO55" s="610">
        <v>0</v>
      </c>
      <c r="HP55" s="609"/>
      <c r="HQ55" s="610">
        <v>0</v>
      </c>
      <c r="HR55" s="610">
        <v>0</v>
      </c>
      <c r="HS55" s="610">
        <v>0</v>
      </c>
      <c r="HT55" s="609"/>
      <c r="HU55" s="610">
        <v>5</v>
      </c>
      <c r="HV55" s="611"/>
      <c r="HW55" s="612">
        <v>3</v>
      </c>
      <c r="HX55" s="612">
        <v>8</v>
      </c>
      <c r="HY55" s="560"/>
      <c r="HZ55" s="36"/>
      <c r="IA55" s="613"/>
      <c r="IB55" s="613"/>
      <c r="IC55" s="613"/>
      <c r="ID55" s="389" t="s">
        <v>1076</v>
      </c>
      <c r="IE55" s="614"/>
      <c r="IF55" s="390">
        <v>0</v>
      </c>
      <c r="IG55" s="390">
        <v>0</v>
      </c>
      <c r="IH55" s="390">
        <v>0</v>
      </c>
      <c r="II55" s="614"/>
      <c r="IJ55" s="390">
        <v>4</v>
      </c>
      <c r="IK55" s="390">
        <v>3</v>
      </c>
      <c r="IL55" s="390">
        <v>3</v>
      </c>
      <c r="IM55" s="390">
        <v>2</v>
      </c>
      <c r="IN55" s="390">
        <v>0</v>
      </c>
      <c r="IO55" s="614"/>
      <c r="IP55" s="614"/>
      <c r="IQ55" s="614"/>
      <c r="IR55" s="390">
        <v>12</v>
      </c>
      <c r="IS55" s="615"/>
      <c r="IT55" s="36"/>
      <c r="IU55" s="36"/>
      <c r="IV55" s="95"/>
      <c r="IW55" s="95"/>
      <c r="IX55" s="36"/>
      <c r="IY55" s="36" t="s">
        <v>1077</v>
      </c>
      <c r="IZ55" s="95"/>
      <c r="JA55" s="95"/>
      <c r="JB55" s="95"/>
      <c r="JC55" s="95"/>
      <c r="JD55" s="95">
        <v>0</v>
      </c>
      <c r="JE55" s="95"/>
      <c r="JF55" s="95"/>
      <c r="JG55" s="95"/>
      <c r="JH55" s="95">
        <v>0</v>
      </c>
      <c r="JI55" s="95">
        <v>0</v>
      </c>
      <c r="JJ55" s="95">
        <v>1</v>
      </c>
      <c r="JK55" s="95">
        <v>3</v>
      </c>
      <c r="JL55" s="95">
        <v>0</v>
      </c>
      <c r="JM55" s="95">
        <v>0</v>
      </c>
      <c r="JN55" s="95"/>
      <c r="JO55" s="95"/>
      <c r="JP55" s="95">
        <v>4</v>
      </c>
      <c r="JQ55" s="36"/>
      <c r="JR55" s="36"/>
      <c r="JS55" s="616"/>
      <c r="JT55" s="616"/>
      <c r="JU55" s="616"/>
      <c r="JV55" s="627" t="s">
        <v>15</v>
      </c>
      <c r="JW55" s="627">
        <v>0</v>
      </c>
      <c r="JX55" s="627">
        <v>0</v>
      </c>
      <c r="JY55" s="627">
        <v>0</v>
      </c>
      <c r="JZ55" s="627">
        <v>0</v>
      </c>
      <c r="KA55" s="627">
        <v>0</v>
      </c>
      <c r="KB55" s="627">
        <v>0</v>
      </c>
      <c r="KC55" s="627">
        <v>2</v>
      </c>
      <c r="KD55" s="627">
        <v>1</v>
      </c>
      <c r="KE55" s="627">
        <v>2</v>
      </c>
      <c r="KF55" s="627">
        <v>0</v>
      </c>
      <c r="KG55" s="627">
        <v>0</v>
      </c>
      <c r="KH55" s="627">
        <v>7</v>
      </c>
      <c r="KI55" s="627">
        <v>0</v>
      </c>
      <c r="KJ55" s="627">
        <v>0</v>
      </c>
      <c r="KK55" s="627">
        <v>0</v>
      </c>
      <c r="KL55" s="627">
        <v>0</v>
      </c>
      <c r="KM55" s="627">
        <v>12</v>
      </c>
      <c r="KN55" s="628">
        <f>+(KM54+KM52)/KM55</f>
        <v>0.41666666666666669</v>
      </c>
      <c r="KO55" s="617">
        <f>+KM52+KM54</f>
        <v>5</v>
      </c>
    </row>
    <row r="56" spans="1:301">
      <c r="A56" s="5737"/>
      <c r="B56" s="5737"/>
      <c r="C56" s="5736"/>
      <c r="D56" s="5739"/>
      <c r="E56" s="5742">
        <f>SUM(E52:E55)</f>
        <v>6</v>
      </c>
      <c r="F56" s="5737"/>
      <c r="G56" s="4476">
        <f>+(E53+E54+E55)/(E56)</f>
        <v>0.5</v>
      </c>
      <c r="I56" s="4726">
        <v>1</v>
      </c>
      <c r="J56" s="4726">
        <v>4</v>
      </c>
      <c r="K56" s="4725" t="s">
        <v>1458</v>
      </c>
      <c r="L56" s="4725" t="s">
        <v>2709</v>
      </c>
      <c r="M56" s="4726">
        <v>1</v>
      </c>
      <c r="N56" s="4726">
        <v>12</v>
      </c>
      <c r="Q56" s="4458">
        <v>2</v>
      </c>
      <c r="R56" s="4458">
        <v>1</v>
      </c>
      <c r="S56" s="4459" t="s">
        <v>388</v>
      </c>
      <c r="T56" s="4459" t="s">
        <v>2709</v>
      </c>
      <c r="U56" s="4458">
        <v>14</v>
      </c>
      <c r="V56" s="4479">
        <v>1</v>
      </c>
      <c r="W56" s="4510"/>
      <c r="X56" s="4467"/>
      <c r="Y56" s="4467"/>
      <c r="Z56" s="36" t="s">
        <v>25</v>
      </c>
      <c r="AA56" s="36" t="s">
        <v>4</v>
      </c>
      <c r="AB56" s="36" t="s">
        <v>119</v>
      </c>
      <c r="AC56" s="36" t="s">
        <v>1071</v>
      </c>
      <c r="AD56" s="615">
        <v>0</v>
      </c>
      <c r="AE56" s="615"/>
      <c r="AF56" s="615"/>
      <c r="AG56" s="615"/>
      <c r="AH56" s="615"/>
      <c r="AI56" s="615"/>
      <c r="AJ56" s="615"/>
      <c r="AK56" s="615"/>
      <c r="AL56" s="615"/>
      <c r="AM56" s="615"/>
      <c r="AN56" s="615"/>
      <c r="AO56" s="615">
        <v>1</v>
      </c>
      <c r="AP56" s="615"/>
      <c r="AQ56" s="36">
        <v>0</v>
      </c>
      <c r="AR56" s="36">
        <v>1</v>
      </c>
      <c r="AS56" s="36"/>
      <c r="AU56" s="36"/>
      <c r="AV56" s="36"/>
      <c r="AW56" s="393"/>
      <c r="AX56" s="393" t="s">
        <v>1081</v>
      </c>
      <c r="AY56" s="1682">
        <v>0</v>
      </c>
      <c r="AZ56" s="1682">
        <v>0</v>
      </c>
      <c r="BA56" s="1682"/>
      <c r="BB56" s="1682"/>
      <c r="BC56" s="1682">
        <v>0</v>
      </c>
      <c r="BD56" s="1682">
        <v>0</v>
      </c>
      <c r="BE56" s="1682">
        <v>0</v>
      </c>
      <c r="BF56" s="1682"/>
      <c r="BG56" s="1682">
        <v>0</v>
      </c>
      <c r="BH56" s="1682">
        <v>0</v>
      </c>
      <c r="BI56" s="1682">
        <v>1</v>
      </c>
      <c r="BJ56" s="1682">
        <v>0</v>
      </c>
      <c r="BK56" s="1682">
        <v>1</v>
      </c>
      <c r="BL56" s="1682">
        <v>0</v>
      </c>
      <c r="BM56" s="4455">
        <v>0</v>
      </c>
      <c r="BN56" s="4455"/>
      <c r="BO56" s="4455">
        <v>2</v>
      </c>
      <c r="BP56" s="4455"/>
      <c r="BT56" s="1520"/>
      <c r="BU56" s="1520" t="s">
        <v>105</v>
      </c>
      <c r="BV56" s="3872">
        <v>1</v>
      </c>
      <c r="BW56" s="3872">
        <v>1</v>
      </c>
      <c r="BX56" s="3872"/>
      <c r="BY56" s="3872"/>
      <c r="BZ56" s="3872">
        <v>1</v>
      </c>
      <c r="CA56" s="3872">
        <v>1</v>
      </c>
      <c r="CB56" s="3872">
        <v>1</v>
      </c>
      <c r="CC56" s="3872"/>
      <c r="CD56" s="3872">
        <v>2</v>
      </c>
      <c r="CE56" s="3872">
        <v>1</v>
      </c>
      <c r="CF56" s="3872">
        <v>4</v>
      </c>
      <c r="CG56" s="3872">
        <v>6</v>
      </c>
      <c r="CH56" s="3872">
        <v>6</v>
      </c>
      <c r="CI56" s="3872">
        <v>1</v>
      </c>
      <c r="CJ56" s="3806">
        <v>2</v>
      </c>
      <c r="CK56" s="3806">
        <v>27</v>
      </c>
      <c r="CL56" s="3807">
        <f>+(CK51+CK54+CK55)/CK56</f>
        <v>0.18518518518518517</v>
      </c>
      <c r="CN56" s="36"/>
      <c r="CO56" s="36"/>
      <c r="CP56" s="393"/>
      <c r="CQ56" s="393" t="s">
        <v>1163</v>
      </c>
      <c r="CR56" s="2049"/>
      <c r="CS56" s="2049"/>
      <c r="CT56" s="2049"/>
      <c r="CU56" s="2049"/>
      <c r="CV56" s="2049">
        <v>0</v>
      </c>
      <c r="CW56" s="2049"/>
      <c r="CX56" s="2049">
        <v>0</v>
      </c>
      <c r="CY56" s="2049">
        <v>0</v>
      </c>
      <c r="CZ56" s="2049">
        <v>0</v>
      </c>
      <c r="DA56" s="2049">
        <v>3</v>
      </c>
      <c r="DB56" s="2049">
        <v>0</v>
      </c>
      <c r="DC56" s="2049">
        <v>0</v>
      </c>
      <c r="DD56" s="2049">
        <v>0</v>
      </c>
      <c r="DE56" s="2049">
        <v>0</v>
      </c>
      <c r="DF56" s="2049">
        <v>0</v>
      </c>
      <c r="DG56" s="393"/>
      <c r="DH56" s="393"/>
      <c r="DI56" s="393">
        <v>3</v>
      </c>
      <c r="DJ56" s="36"/>
      <c r="DL56" s="36"/>
      <c r="DM56" s="36"/>
      <c r="DN56" s="36" t="s">
        <v>122</v>
      </c>
      <c r="DO56" s="36" t="s">
        <v>1076</v>
      </c>
      <c r="DP56" s="1681"/>
      <c r="DQ56" s="1681"/>
      <c r="DR56" s="1681"/>
      <c r="DS56" s="1681"/>
      <c r="DT56" s="1681"/>
      <c r="DU56" s="1681"/>
      <c r="DV56" s="1681"/>
      <c r="DW56" s="1681"/>
      <c r="DX56" s="1681"/>
      <c r="DY56" s="1681"/>
      <c r="DZ56" s="1681"/>
      <c r="EA56" s="1681">
        <v>0</v>
      </c>
      <c r="EB56" s="1681">
        <v>0</v>
      </c>
      <c r="EC56" s="1681">
        <v>1</v>
      </c>
      <c r="ED56" s="1681"/>
      <c r="EE56" s="95">
        <v>0</v>
      </c>
      <c r="EF56" s="95">
        <v>0</v>
      </c>
      <c r="EG56" s="95">
        <v>1</v>
      </c>
      <c r="EH56" s="36"/>
      <c r="EL56" s="36"/>
      <c r="EM56" s="36" t="s">
        <v>1080</v>
      </c>
      <c r="EN56" s="1490"/>
      <c r="EO56" s="1490">
        <v>0</v>
      </c>
      <c r="EP56" s="1490"/>
      <c r="EQ56" s="1490"/>
      <c r="ER56" s="1490"/>
      <c r="ES56" s="1490"/>
      <c r="ET56" s="1490"/>
      <c r="EU56" s="1490"/>
      <c r="EV56" s="1490"/>
      <c r="EW56" s="1490">
        <v>0</v>
      </c>
      <c r="EX56" s="1490"/>
      <c r="EY56" s="1490"/>
      <c r="EZ56" s="1490"/>
      <c r="FA56" s="1490">
        <v>0</v>
      </c>
      <c r="FB56" s="1490">
        <v>7</v>
      </c>
      <c r="FC56" s="36"/>
      <c r="FD56" s="36">
        <v>2</v>
      </c>
      <c r="FE56" s="36">
        <v>9</v>
      </c>
      <c r="FF56" s="36"/>
      <c r="FH56" s="1225"/>
      <c r="FI56" s="1225"/>
      <c r="FJ56" s="1225"/>
      <c r="FK56" s="1222" t="s">
        <v>15</v>
      </c>
      <c r="FL56" s="1231"/>
      <c r="FM56" s="1231"/>
      <c r="FN56" s="1231"/>
      <c r="FO56" s="1231"/>
      <c r="FP56" s="1231"/>
      <c r="FQ56" s="1231"/>
      <c r="FR56" s="1231"/>
      <c r="FS56" s="1231"/>
      <c r="FT56" s="1232">
        <v>1</v>
      </c>
      <c r="FU56" s="1231"/>
      <c r="FV56" s="1232">
        <v>1</v>
      </c>
      <c r="FW56" s="1231"/>
      <c r="FX56" s="1232">
        <v>3</v>
      </c>
      <c r="FY56" s="1233"/>
      <c r="FZ56" s="1234">
        <v>1</v>
      </c>
      <c r="GA56" s="1234">
        <v>6</v>
      </c>
      <c r="GB56" s="1178">
        <v>0</v>
      </c>
      <c r="GD56" s="603"/>
      <c r="GE56" s="603"/>
      <c r="GF56" s="603"/>
      <c r="GG56" s="622" t="s">
        <v>15</v>
      </c>
      <c r="GH56" s="623"/>
      <c r="GI56" s="624">
        <v>1</v>
      </c>
      <c r="GJ56" s="623"/>
      <c r="GK56" s="623"/>
      <c r="GL56" s="623"/>
      <c r="GM56" s="624">
        <v>1</v>
      </c>
      <c r="GN56" s="623"/>
      <c r="GO56" s="623"/>
      <c r="GP56" s="623"/>
      <c r="GQ56" s="623"/>
      <c r="GR56" s="623"/>
      <c r="GS56" s="623"/>
      <c r="GT56" s="624">
        <v>2</v>
      </c>
      <c r="GU56" s="624">
        <v>1</v>
      </c>
      <c r="GV56" s="624">
        <v>6</v>
      </c>
      <c r="GW56" s="626">
        <v>2</v>
      </c>
      <c r="GX56" s="626">
        <v>8</v>
      </c>
      <c r="GY56" s="626">
        <v>21</v>
      </c>
      <c r="GZ56" s="560">
        <f>+GY55/GY56</f>
        <v>9.5238095238095233E-2</v>
      </c>
      <c r="HB56" s="441"/>
      <c r="HC56" s="441"/>
      <c r="HD56" s="441"/>
      <c r="HE56" s="441"/>
      <c r="HF56" s="442" t="s">
        <v>1163</v>
      </c>
      <c r="HG56" s="609"/>
      <c r="HH56" s="609"/>
      <c r="HI56" s="609"/>
      <c r="HJ56" s="609"/>
      <c r="HK56" s="609"/>
      <c r="HL56" s="609"/>
      <c r="HM56" s="609"/>
      <c r="HN56" s="610">
        <v>0</v>
      </c>
      <c r="HO56" s="610">
        <v>0</v>
      </c>
      <c r="HP56" s="609"/>
      <c r="HQ56" s="610">
        <v>0</v>
      </c>
      <c r="HR56" s="610">
        <v>1</v>
      </c>
      <c r="HS56" s="610">
        <v>1</v>
      </c>
      <c r="HT56" s="609"/>
      <c r="HU56" s="610">
        <v>0</v>
      </c>
      <c r="HV56" s="611"/>
      <c r="HW56" s="612">
        <v>0</v>
      </c>
      <c r="HX56" s="612">
        <v>2</v>
      </c>
      <c r="HY56" s="560"/>
      <c r="HZ56" s="36"/>
      <c r="IA56" s="613"/>
      <c r="IB56" s="613"/>
      <c r="IC56" s="613"/>
      <c r="ID56" s="389" t="s">
        <v>1077</v>
      </c>
      <c r="IE56" s="614"/>
      <c r="IF56" s="390">
        <v>1</v>
      </c>
      <c r="IG56" s="390">
        <v>1</v>
      </c>
      <c r="IH56" s="390">
        <v>0</v>
      </c>
      <c r="II56" s="614"/>
      <c r="IJ56" s="390">
        <v>3</v>
      </c>
      <c r="IK56" s="390">
        <v>2</v>
      </c>
      <c r="IL56" s="390">
        <v>1</v>
      </c>
      <c r="IM56" s="390">
        <v>2</v>
      </c>
      <c r="IN56" s="390">
        <v>0</v>
      </c>
      <c r="IO56" s="614"/>
      <c r="IP56" s="614"/>
      <c r="IQ56" s="614"/>
      <c r="IR56" s="390">
        <v>10</v>
      </c>
      <c r="IS56" s="615"/>
      <c r="IT56" s="36"/>
      <c r="IU56" s="36"/>
      <c r="IV56" s="95"/>
      <c r="IW56" s="95"/>
      <c r="IX56" s="36"/>
      <c r="IY56" s="36" t="s">
        <v>1080</v>
      </c>
      <c r="IZ56" s="95"/>
      <c r="JA56" s="95"/>
      <c r="JB56" s="95"/>
      <c r="JC56" s="95"/>
      <c r="JD56" s="95">
        <v>0</v>
      </c>
      <c r="JE56" s="95"/>
      <c r="JF56" s="95"/>
      <c r="JG56" s="95"/>
      <c r="JH56" s="95">
        <v>0</v>
      </c>
      <c r="JI56" s="95">
        <v>0</v>
      </c>
      <c r="JJ56" s="95">
        <v>0</v>
      </c>
      <c r="JK56" s="95">
        <v>0</v>
      </c>
      <c r="JL56" s="95">
        <v>0</v>
      </c>
      <c r="JM56" s="95">
        <v>5</v>
      </c>
      <c r="JN56" s="95"/>
      <c r="JO56" s="95"/>
      <c r="JP56" s="95">
        <v>5</v>
      </c>
      <c r="JQ56" s="36"/>
      <c r="JR56" s="36"/>
      <c r="JS56" s="616"/>
      <c r="JT56" s="616"/>
      <c r="JU56" s="616" t="s">
        <v>126</v>
      </c>
      <c r="JV56" s="616" t="s">
        <v>1072</v>
      </c>
      <c r="JW56" s="616">
        <v>0</v>
      </c>
      <c r="JX56" s="616">
        <v>0</v>
      </c>
      <c r="JY56" s="616">
        <v>0</v>
      </c>
      <c r="JZ56" s="616">
        <v>0</v>
      </c>
      <c r="KA56" s="616">
        <v>0</v>
      </c>
      <c r="KB56" s="616">
        <v>0</v>
      </c>
      <c r="KC56" s="616">
        <v>0</v>
      </c>
      <c r="KD56" s="616">
        <v>0</v>
      </c>
      <c r="KE56" s="616">
        <v>0</v>
      </c>
      <c r="KF56" s="616">
        <v>0</v>
      </c>
      <c r="KG56" s="616">
        <v>0</v>
      </c>
      <c r="KH56" s="616">
        <v>1</v>
      </c>
      <c r="KI56" s="616">
        <v>0</v>
      </c>
      <c r="KJ56" s="616">
        <v>0</v>
      </c>
      <c r="KK56" s="616">
        <v>0</v>
      </c>
      <c r="KL56" s="616">
        <v>0</v>
      </c>
      <c r="KM56" s="616">
        <v>1</v>
      </c>
      <c r="KN56" s="616"/>
      <c r="KO56" s="617"/>
    </row>
    <row r="57" spans="1:301" ht="24">
      <c r="A57" s="5737">
        <v>1</v>
      </c>
      <c r="B57" s="5737">
        <v>4</v>
      </c>
      <c r="C57" s="5736" t="s">
        <v>1527</v>
      </c>
      <c r="D57" s="5736" t="s">
        <v>2709</v>
      </c>
      <c r="E57" s="5737">
        <v>1</v>
      </c>
      <c r="F57" s="5737">
        <v>5</v>
      </c>
      <c r="I57" s="4726"/>
      <c r="J57" s="4726"/>
      <c r="K57" s="4725"/>
      <c r="L57" s="4725"/>
      <c r="M57" s="4975">
        <f>SUM(M53:M56)</f>
        <v>6</v>
      </c>
      <c r="N57" s="4726"/>
      <c r="O57" s="4476">
        <f>+(M54+M55)/(M57)</f>
        <v>0.33333333333333331</v>
      </c>
      <c r="Q57" s="4458">
        <v>2</v>
      </c>
      <c r="R57" s="4458">
        <v>1</v>
      </c>
      <c r="S57" s="4459" t="s">
        <v>388</v>
      </c>
      <c r="T57" s="4461" t="s">
        <v>2732</v>
      </c>
      <c r="U57" s="4458">
        <v>12</v>
      </c>
      <c r="V57" s="4479">
        <v>2</v>
      </c>
      <c r="W57" s="4510"/>
      <c r="X57" s="4467"/>
      <c r="Y57" s="4467"/>
      <c r="Z57" s="36"/>
      <c r="AA57" s="36"/>
      <c r="AB57" s="36"/>
      <c r="AC57" s="36" t="s">
        <v>1080</v>
      </c>
      <c r="AD57" s="615">
        <v>0</v>
      </c>
      <c r="AE57" s="615"/>
      <c r="AF57" s="615"/>
      <c r="AG57" s="615"/>
      <c r="AH57" s="615"/>
      <c r="AI57" s="615"/>
      <c r="AJ57" s="615"/>
      <c r="AK57" s="615"/>
      <c r="AL57" s="615"/>
      <c r="AM57" s="615"/>
      <c r="AN57" s="615"/>
      <c r="AO57" s="615">
        <v>0</v>
      </c>
      <c r="AP57" s="615"/>
      <c r="AQ57" s="36">
        <v>2</v>
      </c>
      <c r="AR57" s="36">
        <v>2</v>
      </c>
      <c r="AS57" s="36"/>
      <c r="AU57" s="36"/>
      <c r="AV57" s="36"/>
      <c r="AW57" s="393"/>
      <c r="AX57" s="393" t="s">
        <v>1163</v>
      </c>
      <c r="AY57" s="1682">
        <v>0</v>
      </c>
      <c r="AZ57" s="1682">
        <v>0</v>
      </c>
      <c r="BA57" s="1682"/>
      <c r="BB57" s="1682"/>
      <c r="BC57" s="1682">
        <v>0</v>
      </c>
      <c r="BD57" s="1682">
        <v>0</v>
      </c>
      <c r="BE57" s="1682">
        <v>0</v>
      </c>
      <c r="BF57" s="1682"/>
      <c r="BG57" s="1682">
        <v>1</v>
      </c>
      <c r="BH57" s="1682">
        <v>1</v>
      </c>
      <c r="BI57" s="1682">
        <v>1</v>
      </c>
      <c r="BJ57" s="1682">
        <v>1</v>
      </c>
      <c r="BK57" s="1682">
        <v>0</v>
      </c>
      <c r="BL57" s="1682">
        <v>0</v>
      </c>
      <c r="BM57" s="4455">
        <v>0</v>
      </c>
      <c r="BN57" s="4455"/>
      <c r="BO57" s="4455">
        <v>4</v>
      </c>
      <c r="BP57" s="4455"/>
      <c r="BR57" s="32" t="s">
        <v>25</v>
      </c>
      <c r="BS57" s="32" t="s">
        <v>4</v>
      </c>
      <c r="BT57" s="32" t="s">
        <v>119</v>
      </c>
      <c r="BU57" s="32" t="s">
        <v>1071</v>
      </c>
      <c r="BV57" s="3871"/>
      <c r="BW57" s="3871"/>
      <c r="BX57" s="3871"/>
      <c r="BY57" s="3871"/>
      <c r="BZ57" s="3871"/>
      <c r="CA57" s="3871"/>
      <c r="CB57" s="3871"/>
      <c r="CC57" s="3871"/>
      <c r="CD57" s="3871">
        <v>0</v>
      </c>
      <c r="CE57" s="3871"/>
      <c r="CF57" s="3871"/>
      <c r="CG57" s="3871">
        <v>0</v>
      </c>
      <c r="CH57" s="3871">
        <v>2</v>
      </c>
      <c r="CI57" s="3871">
        <v>0</v>
      </c>
      <c r="CJ57" s="1518">
        <v>0</v>
      </c>
      <c r="CK57" s="1518">
        <v>2</v>
      </c>
      <c r="CN57" s="36"/>
      <c r="CO57" s="36"/>
      <c r="CP57" s="393"/>
      <c r="CQ57" s="393" t="s">
        <v>484</v>
      </c>
      <c r="CR57" s="2049"/>
      <c r="CS57" s="2049"/>
      <c r="CT57" s="2049"/>
      <c r="CU57" s="2049"/>
      <c r="CV57" s="2049">
        <v>1</v>
      </c>
      <c r="CW57" s="2049"/>
      <c r="CX57" s="2049">
        <v>1</v>
      </c>
      <c r="CY57" s="2049">
        <v>2</v>
      </c>
      <c r="CZ57" s="2049">
        <v>1</v>
      </c>
      <c r="DA57" s="2049">
        <v>13</v>
      </c>
      <c r="DB57" s="2049">
        <v>4</v>
      </c>
      <c r="DC57" s="2049">
        <v>6</v>
      </c>
      <c r="DD57" s="2049">
        <v>1</v>
      </c>
      <c r="DE57" s="2049">
        <v>4</v>
      </c>
      <c r="DF57" s="2049">
        <v>6</v>
      </c>
      <c r="DG57" s="393"/>
      <c r="DH57" s="393"/>
      <c r="DI57" s="393">
        <v>39</v>
      </c>
      <c r="DJ57" s="560">
        <f>+(DI56+DI55+DI53)/DI57</f>
        <v>0.15384615384615385</v>
      </c>
      <c r="DK57" s="1665"/>
      <c r="DL57" s="36"/>
      <c r="DM57" s="36"/>
      <c r="DN57" s="36"/>
      <c r="DO57" s="36" t="s">
        <v>1080</v>
      </c>
      <c r="DP57" s="1681"/>
      <c r="DQ57" s="1681"/>
      <c r="DR57" s="1681"/>
      <c r="DS57" s="1681"/>
      <c r="DT57" s="1681"/>
      <c r="DU57" s="1681"/>
      <c r="DV57" s="1681"/>
      <c r="DW57" s="1681"/>
      <c r="DX57" s="1681"/>
      <c r="DY57" s="1681"/>
      <c r="DZ57" s="1681"/>
      <c r="EA57" s="1681">
        <v>0</v>
      </c>
      <c r="EB57" s="1681">
        <v>0</v>
      </c>
      <c r="EC57" s="1681">
        <v>0</v>
      </c>
      <c r="ED57" s="1681"/>
      <c r="EE57" s="95">
        <v>2</v>
      </c>
      <c r="EF57" s="95">
        <v>1</v>
      </c>
      <c r="EG57" s="95">
        <v>3</v>
      </c>
      <c r="EH57" s="36"/>
      <c r="EL57" s="36"/>
      <c r="EM57" s="36" t="s">
        <v>1163</v>
      </c>
      <c r="EN57" s="1490"/>
      <c r="EO57" s="1490">
        <v>0</v>
      </c>
      <c r="EP57" s="1490"/>
      <c r="EQ57" s="1490"/>
      <c r="ER57" s="1490"/>
      <c r="ES57" s="1490"/>
      <c r="ET57" s="1490"/>
      <c r="EU57" s="1490"/>
      <c r="EV57" s="1490"/>
      <c r="EW57" s="1490">
        <v>0</v>
      </c>
      <c r="EX57" s="1490"/>
      <c r="EY57" s="1490"/>
      <c r="EZ57" s="1490"/>
      <c r="FA57" s="1490">
        <v>1</v>
      </c>
      <c r="FB57" s="1490">
        <v>0</v>
      </c>
      <c r="FC57" s="36"/>
      <c r="FD57" s="36">
        <v>0</v>
      </c>
      <c r="FE57" s="36">
        <v>1</v>
      </c>
      <c r="FF57" s="36"/>
      <c r="FH57" s="1225"/>
      <c r="FI57" s="1225"/>
      <c r="FJ57" s="1225" t="s">
        <v>482</v>
      </c>
      <c r="FK57" s="1226" t="s">
        <v>1071</v>
      </c>
      <c r="FL57" s="1227"/>
      <c r="FM57" s="1228">
        <v>0</v>
      </c>
      <c r="FN57" s="1228">
        <v>0</v>
      </c>
      <c r="FO57" s="1227"/>
      <c r="FP57" s="1228">
        <v>0</v>
      </c>
      <c r="FQ57" s="1228">
        <v>0</v>
      </c>
      <c r="FR57" s="1227"/>
      <c r="FS57" s="1228">
        <v>0</v>
      </c>
      <c r="FT57" s="1228">
        <v>0</v>
      </c>
      <c r="FU57" s="1227"/>
      <c r="FV57" s="1228">
        <v>0</v>
      </c>
      <c r="FW57" s="1228">
        <v>0</v>
      </c>
      <c r="FX57" s="1228">
        <v>1</v>
      </c>
      <c r="FY57" s="1230">
        <v>0</v>
      </c>
      <c r="FZ57" s="1230">
        <v>0</v>
      </c>
      <c r="GA57" s="1230">
        <v>1</v>
      </c>
      <c r="GB57" s="36"/>
      <c r="GD57" s="603"/>
      <c r="GE57" s="603"/>
      <c r="GF57" s="603" t="s">
        <v>122</v>
      </c>
      <c r="GG57" s="604" t="s">
        <v>1080</v>
      </c>
      <c r="GH57" s="605"/>
      <c r="GI57" s="605"/>
      <c r="GJ57" s="605"/>
      <c r="GK57" s="605"/>
      <c r="GL57" s="605"/>
      <c r="GM57" s="605"/>
      <c r="GN57" s="605"/>
      <c r="GO57" s="605"/>
      <c r="GP57" s="605"/>
      <c r="GQ57" s="605"/>
      <c r="GR57" s="605"/>
      <c r="GS57" s="605"/>
      <c r="GT57" s="605"/>
      <c r="GU57" s="606">
        <v>0</v>
      </c>
      <c r="GV57" s="606">
        <v>2</v>
      </c>
      <c r="GW57" s="607"/>
      <c r="GX57" s="608">
        <v>1</v>
      </c>
      <c r="GY57" s="608">
        <v>3</v>
      </c>
      <c r="GZ57" s="95"/>
      <c r="HB57" s="441"/>
      <c r="HC57" s="441"/>
      <c r="HD57" s="441"/>
      <c r="HE57" s="36"/>
      <c r="HF57" s="462" t="s">
        <v>15</v>
      </c>
      <c r="HG57" s="618"/>
      <c r="HH57" s="618"/>
      <c r="HI57" s="618"/>
      <c r="HJ57" s="618"/>
      <c r="HK57" s="618"/>
      <c r="HL57" s="618"/>
      <c r="HM57" s="618"/>
      <c r="HN57" s="619">
        <v>1</v>
      </c>
      <c r="HO57" s="619">
        <v>1</v>
      </c>
      <c r="HP57" s="618"/>
      <c r="HQ57" s="619">
        <v>1</v>
      </c>
      <c r="HR57" s="619">
        <v>3</v>
      </c>
      <c r="HS57" s="619">
        <v>1</v>
      </c>
      <c r="HT57" s="618"/>
      <c r="HU57" s="619">
        <v>7</v>
      </c>
      <c r="HV57" s="620"/>
      <c r="HW57" s="621">
        <v>3</v>
      </c>
      <c r="HX57" s="621">
        <v>17</v>
      </c>
      <c r="HY57" s="560">
        <f>+(HX56+HX54)/HX57</f>
        <v>0.29411764705882354</v>
      </c>
      <c r="HZ57" s="36"/>
      <c r="IA57" s="613"/>
      <c r="IB57" s="613"/>
      <c r="IC57" s="613"/>
      <c r="ID57" s="389" t="s">
        <v>1080</v>
      </c>
      <c r="IE57" s="614"/>
      <c r="IF57" s="390">
        <v>0</v>
      </c>
      <c r="IG57" s="390">
        <v>0</v>
      </c>
      <c r="IH57" s="390">
        <v>0</v>
      </c>
      <c r="II57" s="614"/>
      <c r="IJ57" s="390">
        <v>0</v>
      </c>
      <c r="IK57" s="390">
        <v>0</v>
      </c>
      <c r="IL57" s="390">
        <v>0</v>
      </c>
      <c r="IM57" s="390">
        <v>0</v>
      </c>
      <c r="IN57" s="390">
        <v>5</v>
      </c>
      <c r="IO57" s="614"/>
      <c r="IP57" s="614"/>
      <c r="IQ57" s="614"/>
      <c r="IR57" s="390">
        <v>5</v>
      </c>
      <c r="IS57" s="615"/>
      <c r="IT57" s="36"/>
      <c r="IU57" s="36"/>
      <c r="IV57" s="95"/>
      <c r="IW57" s="95"/>
      <c r="IX57" s="36"/>
      <c r="IY57" s="36" t="s">
        <v>1163</v>
      </c>
      <c r="IZ57" s="95"/>
      <c r="JA57" s="95"/>
      <c r="JB57" s="95"/>
      <c r="JC57" s="95"/>
      <c r="JD57" s="95">
        <v>0</v>
      </c>
      <c r="JE57" s="95"/>
      <c r="JF57" s="95"/>
      <c r="JG57" s="95"/>
      <c r="JH57" s="95">
        <v>0</v>
      </c>
      <c r="JI57" s="95">
        <v>0</v>
      </c>
      <c r="JJ57" s="95">
        <v>0</v>
      </c>
      <c r="JK57" s="95">
        <v>2</v>
      </c>
      <c r="JL57" s="95">
        <v>0</v>
      </c>
      <c r="JM57" s="95">
        <v>0</v>
      </c>
      <c r="JN57" s="95"/>
      <c r="JO57" s="95"/>
      <c r="JP57" s="95">
        <v>2</v>
      </c>
      <c r="JQ57" s="36"/>
      <c r="JR57" s="36"/>
      <c r="JS57" s="616"/>
      <c r="JT57" s="616"/>
      <c r="JU57" s="616"/>
      <c r="JV57" s="616" t="s">
        <v>1076</v>
      </c>
      <c r="JW57" s="616">
        <v>0</v>
      </c>
      <c r="JX57" s="616">
        <v>0</v>
      </c>
      <c r="JY57" s="616">
        <v>0</v>
      </c>
      <c r="JZ57" s="616">
        <v>0</v>
      </c>
      <c r="KA57" s="616">
        <v>0</v>
      </c>
      <c r="KB57" s="616">
        <v>0</v>
      </c>
      <c r="KC57" s="616">
        <v>0</v>
      </c>
      <c r="KD57" s="616">
        <v>0</v>
      </c>
      <c r="KE57" s="616">
        <v>0</v>
      </c>
      <c r="KF57" s="616">
        <v>3</v>
      </c>
      <c r="KG57" s="616">
        <v>0</v>
      </c>
      <c r="KH57" s="616">
        <v>5</v>
      </c>
      <c r="KI57" s="616">
        <v>0</v>
      </c>
      <c r="KJ57" s="616">
        <v>0</v>
      </c>
      <c r="KK57" s="616">
        <v>0</v>
      </c>
      <c r="KL57" s="616">
        <v>0</v>
      </c>
      <c r="KM57" s="616">
        <v>8</v>
      </c>
      <c r="KN57" s="616"/>
      <c r="KO57" s="617"/>
    </row>
    <row r="58" spans="1:301">
      <c r="A58" s="5737"/>
      <c r="B58" s="5737"/>
      <c r="C58" s="5736"/>
      <c r="D58" s="5736"/>
      <c r="E58" s="5742">
        <f>SUM(E57)</f>
        <v>1</v>
      </c>
      <c r="F58" s="5737"/>
      <c r="G58" s="4510">
        <v>0</v>
      </c>
      <c r="I58" s="4726">
        <v>1</v>
      </c>
      <c r="J58" s="4726">
        <v>4</v>
      </c>
      <c r="K58" s="4725" t="s">
        <v>1527</v>
      </c>
      <c r="L58" s="4725" t="s">
        <v>2709</v>
      </c>
      <c r="M58" s="4726">
        <v>1</v>
      </c>
      <c r="N58" s="4726">
        <v>5</v>
      </c>
      <c r="O58" s="4476"/>
      <c r="Q58" s="4458"/>
      <c r="R58" s="4458"/>
      <c r="S58" s="4465" t="s">
        <v>15</v>
      </c>
      <c r="T58" s="4461"/>
      <c r="U58" s="4458"/>
      <c r="V58" s="4480">
        <v>4</v>
      </c>
      <c r="W58" s="4476">
        <f>+(V57)/(V58)</f>
        <v>0.5</v>
      </c>
      <c r="X58" s="4467">
        <v>3</v>
      </c>
      <c r="Y58" s="4467"/>
      <c r="Z58" s="36"/>
      <c r="AA58" s="36"/>
      <c r="AB58" s="36"/>
      <c r="AC58" s="36" t="s">
        <v>2571</v>
      </c>
      <c r="AD58" s="615">
        <v>1</v>
      </c>
      <c r="AE58" s="615"/>
      <c r="AF58" s="615"/>
      <c r="AG58" s="615"/>
      <c r="AH58" s="615"/>
      <c r="AI58" s="615"/>
      <c r="AJ58" s="615"/>
      <c r="AK58" s="615"/>
      <c r="AL58" s="615"/>
      <c r="AM58" s="615"/>
      <c r="AN58" s="615"/>
      <c r="AO58" s="615">
        <v>0</v>
      </c>
      <c r="AP58" s="615"/>
      <c r="AQ58" s="36">
        <v>0</v>
      </c>
      <c r="AR58" s="36">
        <v>1</v>
      </c>
      <c r="AS58" s="36"/>
      <c r="AU58" s="36"/>
      <c r="AV58" s="36"/>
      <c r="AW58" s="393"/>
      <c r="AX58" s="36" t="s">
        <v>15</v>
      </c>
      <c r="AY58" s="1682">
        <v>1</v>
      </c>
      <c r="AZ58" s="1682">
        <v>1</v>
      </c>
      <c r="BA58" s="1682"/>
      <c r="BB58" s="1682"/>
      <c r="BC58" s="1682">
        <v>1</v>
      </c>
      <c r="BD58" s="1682">
        <v>1</v>
      </c>
      <c r="BE58" s="1682">
        <v>1</v>
      </c>
      <c r="BF58" s="1682"/>
      <c r="BG58" s="1682">
        <v>2</v>
      </c>
      <c r="BH58" s="1682">
        <v>1</v>
      </c>
      <c r="BI58" s="1682">
        <v>3</v>
      </c>
      <c r="BJ58" s="1682">
        <v>6</v>
      </c>
      <c r="BK58" s="1682">
        <v>3</v>
      </c>
      <c r="BL58" s="1682">
        <v>5</v>
      </c>
      <c r="BM58" s="4455">
        <v>2</v>
      </c>
      <c r="BN58" s="4455"/>
      <c r="BO58" s="4455">
        <v>27</v>
      </c>
      <c r="BP58" s="560">
        <f>+(BO53+BO56+BO57)/(BO58)</f>
        <v>0.25925925925925924</v>
      </c>
      <c r="BU58" s="32" t="s">
        <v>1072</v>
      </c>
      <c r="BV58" s="3871"/>
      <c r="BW58" s="3871"/>
      <c r="BX58" s="3871"/>
      <c r="BY58" s="3871"/>
      <c r="BZ58" s="3871"/>
      <c r="CA58" s="3871"/>
      <c r="CB58" s="3871"/>
      <c r="CC58" s="3871"/>
      <c r="CD58" s="3871">
        <v>1</v>
      </c>
      <c r="CE58" s="3871"/>
      <c r="CF58" s="3871"/>
      <c r="CG58" s="3871">
        <v>1</v>
      </c>
      <c r="CH58" s="3871">
        <v>1</v>
      </c>
      <c r="CI58" s="3871">
        <v>0</v>
      </c>
      <c r="CJ58" s="1518">
        <v>0</v>
      </c>
      <c r="CK58" s="1518">
        <v>3</v>
      </c>
      <c r="CN58" s="36"/>
      <c r="CO58" s="36"/>
      <c r="CP58" s="393" t="s">
        <v>105</v>
      </c>
      <c r="CQ58" s="393" t="s">
        <v>1072</v>
      </c>
      <c r="CR58" s="2049">
        <v>1</v>
      </c>
      <c r="CS58" s="2049"/>
      <c r="CT58" s="2049"/>
      <c r="CU58" s="2049"/>
      <c r="CV58" s="2049">
        <v>1</v>
      </c>
      <c r="CW58" s="2049"/>
      <c r="CX58" s="2049">
        <v>1</v>
      </c>
      <c r="CY58" s="2049">
        <v>2</v>
      </c>
      <c r="CZ58" s="2049">
        <v>1</v>
      </c>
      <c r="DA58" s="2049">
        <v>8</v>
      </c>
      <c r="DB58" s="2049">
        <v>3</v>
      </c>
      <c r="DC58" s="2049">
        <v>3</v>
      </c>
      <c r="DD58" s="2049">
        <v>0</v>
      </c>
      <c r="DE58" s="2049">
        <v>7</v>
      </c>
      <c r="DF58" s="2049">
        <v>0</v>
      </c>
      <c r="DG58" s="393"/>
      <c r="DH58" s="393">
        <v>0</v>
      </c>
      <c r="DI58" s="393">
        <v>27</v>
      </c>
      <c r="DJ58" s="36"/>
      <c r="DL58" s="36"/>
      <c r="DM58" s="36"/>
      <c r="DN58" s="36"/>
      <c r="DO58" s="36" t="s">
        <v>1163</v>
      </c>
      <c r="DP58" s="1681"/>
      <c r="DQ58" s="1681"/>
      <c r="DR58" s="1681"/>
      <c r="DS58" s="1681"/>
      <c r="DT58" s="1681"/>
      <c r="DU58" s="1681"/>
      <c r="DV58" s="1681"/>
      <c r="DW58" s="1681"/>
      <c r="DX58" s="1681"/>
      <c r="DY58" s="1681"/>
      <c r="DZ58" s="1681"/>
      <c r="EA58" s="1681">
        <v>1</v>
      </c>
      <c r="EB58" s="1681">
        <v>1</v>
      </c>
      <c r="EC58" s="1681">
        <v>0</v>
      </c>
      <c r="ED58" s="1681"/>
      <c r="EE58" s="95">
        <v>0</v>
      </c>
      <c r="EF58" s="95">
        <v>0</v>
      </c>
      <c r="EG58" s="95">
        <v>2</v>
      </c>
      <c r="EH58" s="36"/>
      <c r="EL58" s="36"/>
      <c r="EM58" s="393" t="s">
        <v>15</v>
      </c>
      <c r="EN58" s="1491"/>
      <c r="EO58" s="1491">
        <v>1</v>
      </c>
      <c r="EP58" s="1491"/>
      <c r="EQ58" s="1491"/>
      <c r="ER58" s="1491"/>
      <c r="ES58" s="1491"/>
      <c r="ET58" s="1491"/>
      <c r="EU58" s="1491"/>
      <c r="EV58" s="1491"/>
      <c r="EW58" s="1491">
        <v>1</v>
      </c>
      <c r="EX58" s="1491"/>
      <c r="EY58" s="1491"/>
      <c r="EZ58" s="1491"/>
      <c r="FA58" s="1491">
        <v>2</v>
      </c>
      <c r="FB58" s="1491">
        <v>10</v>
      </c>
      <c r="FC58" s="393"/>
      <c r="FD58" s="393">
        <v>3</v>
      </c>
      <c r="FE58" s="393">
        <v>17</v>
      </c>
      <c r="FF58" s="560">
        <f>+(FE54+FE57)/FE58</f>
        <v>0.11764705882352941</v>
      </c>
      <c r="FH58" s="1225"/>
      <c r="FI58" s="1225"/>
      <c r="FJ58" s="1225"/>
      <c r="FK58" s="1226" t="s">
        <v>1072</v>
      </c>
      <c r="FL58" s="1227"/>
      <c r="FM58" s="1228">
        <v>2</v>
      </c>
      <c r="FN58" s="1228">
        <v>0</v>
      </c>
      <c r="FO58" s="1227"/>
      <c r="FP58" s="1228">
        <v>2</v>
      </c>
      <c r="FQ58" s="1228">
        <v>1</v>
      </c>
      <c r="FR58" s="1227"/>
      <c r="FS58" s="1228">
        <v>1</v>
      </c>
      <c r="FT58" s="1228">
        <v>0</v>
      </c>
      <c r="FU58" s="1227"/>
      <c r="FV58" s="1228">
        <v>1</v>
      </c>
      <c r="FW58" s="1228">
        <v>2</v>
      </c>
      <c r="FX58" s="1228">
        <v>0</v>
      </c>
      <c r="FY58" s="1230">
        <v>0</v>
      </c>
      <c r="FZ58" s="1230">
        <v>0</v>
      </c>
      <c r="GA58" s="1230">
        <v>9</v>
      </c>
      <c r="GB58" s="36"/>
      <c r="GD58" s="603"/>
      <c r="GE58" s="603"/>
      <c r="GF58" s="603"/>
      <c r="GG58" s="604" t="s">
        <v>1163</v>
      </c>
      <c r="GH58" s="605"/>
      <c r="GI58" s="605"/>
      <c r="GJ58" s="605"/>
      <c r="GK58" s="605"/>
      <c r="GL58" s="605"/>
      <c r="GM58" s="605"/>
      <c r="GN58" s="605"/>
      <c r="GO58" s="605"/>
      <c r="GP58" s="605"/>
      <c r="GQ58" s="605"/>
      <c r="GR58" s="605"/>
      <c r="GS58" s="605"/>
      <c r="GT58" s="605"/>
      <c r="GU58" s="606">
        <v>1</v>
      </c>
      <c r="GV58" s="606">
        <v>0</v>
      </c>
      <c r="GW58" s="607"/>
      <c r="GX58" s="608">
        <v>0</v>
      </c>
      <c r="GY58" s="608">
        <v>1</v>
      </c>
      <c r="GZ58" s="95"/>
      <c r="HB58" s="441"/>
      <c r="HC58" s="441"/>
      <c r="HD58" s="441" t="s">
        <v>122</v>
      </c>
      <c r="HE58" s="441" t="s">
        <v>1070</v>
      </c>
      <c r="HF58" s="442" t="s">
        <v>1072</v>
      </c>
      <c r="HG58" s="609"/>
      <c r="HH58" s="609"/>
      <c r="HI58" s="609"/>
      <c r="HJ58" s="609"/>
      <c r="HK58" s="609"/>
      <c r="HL58" s="609"/>
      <c r="HM58" s="609"/>
      <c r="HN58" s="609"/>
      <c r="HO58" s="609"/>
      <c r="HP58" s="609"/>
      <c r="HQ58" s="609"/>
      <c r="HR58" s="609"/>
      <c r="HS58" s="610">
        <v>1</v>
      </c>
      <c r="HT58" s="609"/>
      <c r="HU58" s="610">
        <v>0</v>
      </c>
      <c r="HV58" s="611"/>
      <c r="HW58" s="611"/>
      <c r="HX58" s="612">
        <v>1</v>
      </c>
      <c r="HY58" s="560"/>
      <c r="HZ58" s="36"/>
      <c r="IA58" s="613"/>
      <c r="IB58" s="613"/>
      <c r="IC58" s="613"/>
      <c r="ID58" s="389" t="s">
        <v>1163</v>
      </c>
      <c r="IE58" s="614"/>
      <c r="IF58" s="390">
        <v>0</v>
      </c>
      <c r="IG58" s="390">
        <v>0</v>
      </c>
      <c r="IH58" s="390">
        <v>1</v>
      </c>
      <c r="II58" s="614"/>
      <c r="IJ58" s="390">
        <v>3</v>
      </c>
      <c r="IK58" s="390">
        <v>3</v>
      </c>
      <c r="IL58" s="390">
        <v>1</v>
      </c>
      <c r="IM58" s="390">
        <v>0</v>
      </c>
      <c r="IN58" s="390">
        <v>0</v>
      </c>
      <c r="IO58" s="614"/>
      <c r="IP58" s="614"/>
      <c r="IQ58" s="614"/>
      <c r="IR58" s="390">
        <v>8</v>
      </c>
      <c r="IS58" s="615"/>
      <c r="IT58" s="36"/>
      <c r="IU58" s="36"/>
      <c r="IV58" s="95"/>
      <c r="IW58" s="95"/>
      <c r="IX58" s="36"/>
      <c r="IY58" s="393" t="s">
        <v>15</v>
      </c>
      <c r="IZ58" s="86"/>
      <c r="JA58" s="86"/>
      <c r="JB58" s="86"/>
      <c r="JC58" s="86"/>
      <c r="JD58" s="86">
        <v>1</v>
      </c>
      <c r="JE58" s="86"/>
      <c r="JF58" s="86"/>
      <c r="JG58" s="86"/>
      <c r="JH58" s="86">
        <v>1</v>
      </c>
      <c r="JI58" s="86">
        <v>1</v>
      </c>
      <c r="JJ58" s="86">
        <v>2</v>
      </c>
      <c r="JK58" s="86">
        <v>8</v>
      </c>
      <c r="JL58" s="86">
        <v>2</v>
      </c>
      <c r="JM58" s="86">
        <v>6</v>
      </c>
      <c r="JN58" s="86"/>
      <c r="JO58" s="86"/>
      <c r="JP58" s="86">
        <v>21</v>
      </c>
      <c r="JQ58" s="631">
        <f>+(JP54+JP57)/JP58</f>
        <v>0.23809523809523808</v>
      </c>
      <c r="JR58" s="36"/>
      <c r="JS58" s="616"/>
      <c r="JT58" s="616"/>
      <c r="JU58" s="616"/>
      <c r="JV58" s="616" t="s">
        <v>1077</v>
      </c>
      <c r="JW58" s="616">
        <v>0</v>
      </c>
      <c r="JX58" s="616">
        <v>1</v>
      </c>
      <c r="JY58" s="616">
        <v>0</v>
      </c>
      <c r="JZ58" s="616">
        <v>0</v>
      </c>
      <c r="KA58" s="616">
        <v>0</v>
      </c>
      <c r="KB58" s="616">
        <v>0</v>
      </c>
      <c r="KC58" s="616">
        <v>0</v>
      </c>
      <c r="KD58" s="616">
        <v>0</v>
      </c>
      <c r="KE58" s="616">
        <v>0</v>
      </c>
      <c r="KF58" s="616">
        <v>0</v>
      </c>
      <c r="KG58" s="616">
        <v>0</v>
      </c>
      <c r="KH58" s="616">
        <v>1</v>
      </c>
      <c r="KI58" s="616">
        <v>0</v>
      </c>
      <c r="KJ58" s="616">
        <v>0</v>
      </c>
      <c r="KK58" s="616">
        <v>0</v>
      </c>
      <c r="KL58" s="616">
        <v>0</v>
      </c>
      <c r="KM58" s="616">
        <v>2</v>
      </c>
      <c r="KN58" s="616"/>
      <c r="KO58" s="617"/>
    </row>
    <row r="59" spans="1:301">
      <c r="A59" s="5737"/>
      <c r="B59" s="5737"/>
      <c r="C59" s="5736"/>
      <c r="D59" s="5738" t="s">
        <v>2754</v>
      </c>
      <c r="E59" s="5752">
        <f>SUM(E53:E55)</f>
        <v>3</v>
      </c>
      <c r="F59" s="5737"/>
      <c r="I59" s="4726"/>
      <c r="J59" s="4726"/>
      <c r="K59" s="4725"/>
      <c r="L59" s="4725"/>
      <c r="M59" s="4975">
        <f>SUM(M58)</f>
        <v>1</v>
      </c>
      <c r="N59" s="4726"/>
      <c r="O59" s="4510">
        <v>0</v>
      </c>
      <c r="Q59" s="4458">
        <v>2</v>
      </c>
      <c r="R59" s="4458">
        <v>1</v>
      </c>
      <c r="S59" s="4477" t="s">
        <v>681</v>
      </c>
      <c r="T59" s="4461"/>
      <c r="U59" s="4458"/>
      <c r="V59" s="4480">
        <v>5</v>
      </c>
      <c r="W59" s="4476"/>
      <c r="X59" s="4467">
        <v>4</v>
      </c>
      <c r="Y59" s="4467"/>
      <c r="Z59" s="36"/>
      <c r="AA59" s="36"/>
      <c r="AB59" s="36"/>
      <c r="AC59" s="4236" t="s">
        <v>15</v>
      </c>
      <c r="AD59" s="4236">
        <v>1</v>
      </c>
      <c r="AE59" s="4236"/>
      <c r="AF59" s="4236"/>
      <c r="AG59" s="4236"/>
      <c r="AH59" s="4236"/>
      <c r="AI59" s="4236"/>
      <c r="AJ59" s="4236"/>
      <c r="AK59" s="4236"/>
      <c r="AL59" s="4236"/>
      <c r="AM59" s="4236"/>
      <c r="AN59" s="4236"/>
      <c r="AO59" s="4236">
        <v>1</v>
      </c>
      <c r="AP59" s="4236"/>
      <c r="AQ59" s="4236">
        <v>2</v>
      </c>
      <c r="AR59" s="4236">
        <v>4</v>
      </c>
      <c r="AS59" s="4243">
        <v>0</v>
      </c>
      <c r="AU59" s="36" t="s">
        <v>25</v>
      </c>
      <c r="AV59" s="36" t="s">
        <v>4</v>
      </c>
      <c r="AW59" s="36" t="s">
        <v>119</v>
      </c>
      <c r="AX59" s="36" t="s">
        <v>1072</v>
      </c>
      <c r="AY59" s="1681"/>
      <c r="AZ59" s="1681"/>
      <c r="BA59" s="1681"/>
      <c r="BB59" s="1681"/>
      <c r="BC59" s="1681"/>
      <c r="BD59" s="1681"/>
      <c r="BE59" s="1681"/>
      <c r="BF59" s="1681"/>
      <c r="BG59" s="1681">
        <v>1</v>
      </c>
      <c r="BH59" s="1681"/>
      <c r="BI59" s="1681"/>
      <c r="BJ59" s="1681">
        <v>1</v>
      </c>
      <c r="BK59" s="1681">
        <v>2</v>
      </c>
      <c r="BL59" s="1681">
        <v>0</v>
      </c>
      <c r="BM59" s="95"/>
      <c r="BN59" s="95">
        <v>0</v>
      </c>
      <c r="BO59" s="95">
        <v>4</v>
      </c>
      <c r="BP59" s="95"/>
      <c r="BU59" s="32" t="s">
        <v>1074</v>
      </c>
      <c r="BV59" s="3871"/>
      <c r="BW59" s="3871"/>
      <c r="BX59" s="3871"/>
      <c r="BY59" s="3871"/>
      <c r="BZ59" s="3871"/>
      <c r="CA59" s="3871"/>
      <c r="CB59" s="3871"/>
      <c r="CC59" s="3871"/>
      <c r="CD59" s="3871">
        <v>1</v>
      </c>
      <c r="CE59" s="3871"/>
      <c r="CF59" s="3871"/>
      <c r="CG59" s="3871">
        <v>0</v>
      </c>
      <c r="CH59" s="3871">
        <v>0</v>
      </c>
      <c r="CI59" s="3871">
        <v>0</v>
      </c>
      <c r="CJ59" s="1518">
        <v>0</v>
      </c>
      <c r="CK59" s="1518">
        <v>1</v>
      </c>
      <c r="CN59" s="36"/>
      <c r="CO59" s="36"/>
      <c r="CP59" s="393"/>
      <c r="CQ59" s="393" t="s">
        <v>1074</v>
      </c>
      <c r="CR59" s="2049">
        <v>0</v>
      </c>
      <c r="CS59" s="2049"/>
      <c r="CT59" s="2049"/>
      <c r="CU59" s="2049"/>
      <c r="CV59" s="2049">
        <v>1</v>
      </c>
      <c r="CW59" s="2049"/>
      <c r="CX59" s="2049">
        <v>0</v>
      </c>
      <c r="CY59" s="2049">
        <v>0</v>
      </c>
      <c r="CZ59" s="2049">
        <v>0</v>
      </c>
      <c r="DA59" s="2049">
        <v>0</v>
      </c>
      <c r="DB59" s="2049">
        <v>0</v>
      </c>
      <c r="DC59" s="2049">
        <v>0</v>
      </c>
      <c r="DD59" s="2049">
        <v>0</v>
      </c>
      <c r="DE59" s="2049">
        <v>0</v>
      </c>
      <c r="DF59" s="2049">
        <v>0</v>
      </c>
      <c r="DG59" s="393"/>
      <c r="DH59" s="393">
        <v>0</v>
      </c>
      <c r="DI59" s="393">
        <v>1</v>
      </c>
      <c r="DJ59" s="36"/>
      <c r="DL59" s="36"/>
      <c r="DM59" s="36"/>
      <c r="DN59" s="36"/>
      <c r="DO59" s="393" t="s">
        <v>15</v>
      </c>
      <c r="DP59" s="1682"/>
      <c r="DQ59" s="1682"/>
      <c r="DR59" s="1682"/>
      <c r="DS59" s="1682"/>
      <c r="DT59" s="1682"/>
      <c r="DU59" s="1682"/>
      <c r="DV59" s="1682"/>
      <c r="DW59" s="1682"/>
      <c r="DX59" s="1682"/>
      <c r="DY59" s="1682"/>
      <c r="DZ59" s="1682"/>
      <c r="EA59" s="1682">
        <v>1</v>
      </c>
      <c r="EB59" s="1682">
        <v>1</v>
      </c>
      <c r="EC59" s="1682">
        <v>1</v>
      </c>
      <c r="ED59" s="1682"/>
      <c r="EE59" s="86">
        <v>2</v>
      </c>
      <c r="EF59" s="86">
        <v>1</v>
      </c>
      <c r="EG59" s="86">
        <v>6</v>
      </c>
      <c r="EH59" s="560">
        <f>+(EG56+EG58)/EG59</f>
        <v>0.5</v>
      </c>
      <c r="EL59" s="36" t="s">
        <v>122</v>
      </c>
      <c r="EM59" s="36" t="s">
        <v>1080</v>
      </c>
      <c r="EN59" s="1490"/>
      <c r="EO59" s="1490"/>
      <c r="EP59" s="1490"/>
      <c r="EQ59" s="1490"/>
      <c r="ER59" s="1490"/>
      <c r="ES59" s="1490"/>
      <c r="ET59" s="1490"/>
      <c r="EU59" s="1490"/>
      <c r="EV59" s="1490"/>
      <c r="EW59" s="1490"/>
      <c r="EX59" s="1490"/>
      <c r="EY59" s="1490"/>
      <c r="EZ59" s="1490"/>
      <c r="FA59" s="1490">
        <v>0</v>
      </c>
      <c r="FB59" s="1490">
        <v>2</v>
      </c>
      <c r="FC59" s="36">
        <v>2</v>
      </c>
      <c r="FD59" s="36"/>
      <c r="FE59" s="36">
        <v>4</v>
      </c>
      <c r="FF59" s="36"/>
      <c r="FH59" s="1225"/>
      <c r="FI59" s="1225"/>
      <c r="FJ59" s="1225"/>
      <c r="FK59" s="1226" t="s">
        <v>1074</v>
      </c>
      <c r="FL59" s="1227"/>
      <c r="FM59" s="1228">
        <v>1</v>
      </c>
      <c r="FN59" s="1228">
        <v>1</v>
      </c>
      <c r="FO59" s="1227"/>
      <c r="FP59" s="1228">
        <v>0</v>
      </c>
      <c r="FQ59" s="1228">
        <v>0</v>
      </c>
      <c r="FR59" s="1227"/>
      <c r="FS59" s="1228">
        <v>0</v>
      </c>
      <c r="FT59" s="1228">
        <v>0</v>
      </c>
      <c r="FU59" s="1227"/>
      <c r="FV59" s="1228">
        <v>0</v>
      </c>
      <c r="FW59" s="1228">
        <v>0</v>
      </c>
      <c r="FX59" s="1228">
        <v>0</v>
      </c>
      <c r="FY59" s="1230">
        <v>0</v>
      </c>
      <c r="FZ59" s="1230">
        <v>0</v>
      </c>
      <c r="GA59" s="1230">
        <v>2</v>
      </c>
      <c r="GB59" s="36"/>
      <c r="GD59" s="603"/>
      <c r="GE59" s="603"/>
      <c r="GF59" s="603"/>
      <c r="GG59" s="622" t="s">
        <v>15</v>
      </c>
      <c r="GH59" s="623"/>
      <c r="GI59" s="623"/>
      <c r="GJ59" s="623"/>
      <c r="GK59" s="623"/>
      <c r="GL59" s="623"/>
      <c r="GM59" s="623"/>
      <c r="GN59" s="623"/>
      <c r="GO59" s="623"/>
      <c r="GP59" s="623"/>
      <c r="GQ59" s="623"/>
      <c r="GR59" s="623"/>
      <c r="GS59" s="623"/>
      <c r="GT59" s="623"/>
      <c r="GU59" s="624">
        <v>1</v>
      </c>
      <c r="GV59" s="624">
        <v>2</v>
      </c>
      <c r="GW59" s="625"/>
      <c r="GX59" s="626">
        <v>1</v>
      </c>
      <c r="GY59" s="626">
        <v>4</v>
      </c>
      <c r="GZ59" s="560">
        <f>+GY58/GY59</f>
        <v>0.25</v>
      </c>
      <c r="HB59" s="441"/>
      <c r="HC59" s="441"/>
      <c r="HD59" s="441"/>
      <c r="HE59" s="441"/>
      <c r="HF59" s="442" t="s">
        <v>1076</v>
      </c>
      <c r="HG59" s="609"/>
      <c r="HH59" s="609"/>
      <c r="HI59" s="609"/>
      <c r="HJ59" s="609"/>
      <c r="HK59" s="609"/>
      <c r="HL59" s="609"/>
      <c r="HM59" s="609"/>
      <c r="HN59" s="609"/>
      <c r="HO59" s="609"/>
      <c r="HP59" s="609"/>
      <c r="HQ59" s="609"/>
      <c r="HR59" s="609"/>
      <c r="HS59" s="610">
        <v>1</v>
      </c>
      <c r="HT59" s="609"/>
      <c r="HU59" s="610">
        <v>0</v>
      </c>
      <c r="HV59" s="611"/>
      <c r="HW59" s="611"/>
      <c r="HX59" s="612">
        <v>1</v>
      </c>
      <c r="HY59" s="560"/>
      <c r="HZ59" s="36"/>
      <c r="IA59" s="613"/>
      <c r="IB59" s="613"/>
      <c r="IC59" s="613"/>
      <c r="ID59" s="629" t="s">
        <v>15</v>
      </c>
      <c r="IE59" s="630"/>
      <c r="IF59" s="395">
        <v>1</v>
      </c>
      <c r="IG59" s="395">
        <v>1</v>
      </c>
      <c r="IH59" s="395">
        <v>2</v>
      </c>
      <c r="II59" s="630"/>
      <c r="IJ59" s="395">
        <v>10</v>
      </c>
      <c r="IK59" s="395">
        <v>8</v>
      </c>
      <c r="IL59" s="395">
        <v>5</v>
      </c>
      <c r="IM59" s="395">
        <v>4</v>
      </c>
      <c r="IN59" s="395">
        <v>5</v>
      </c>
      <c r="IO59" s="630"/>
      <c r="IP59" s="630"/>
      <c r="IQ59" s="630"/>
      <c r="IR59" s="395">
        <v>36</v>
      </c>
      <c r="IS59" s="553">
        <f>+(IR58+IR55)/IR59</f>
        <v>0.55555555555555558</v>
      </c>
      <c r="IT59" s="36"/>
      <c r="IU59" s="36"/>
      <c r="IV59" s="95"/>
      <c r="IW59" s="95"/>
      <c r="IX59" s="36" t="s">
        <v>124</v>
      </c>
      <c r="IY59" s="36" t="s">
        <v>1072</v>
      </c>
      <c r="IZ59" s="95"/>
      <c r="JA59" s="95"/>
      <c r="JB59" s="95"/>
      <c r="JC59" s="95"/>
      <c r="JD59" s="95"/>
      <c r="JE59" s="95"/>
      <c r="JF59" s="95"/>
      <c r="JG59" s="95"/>
      <c r="JH59" s="95">
        <v>0</v>
      </c>
      <c r="JI59" s="95">
        <v>1</v>
      </c>
      <c r="JJ59" s="95">
        <v>1</v>
      </c>
      <c r="JK59" s="95">
        <v>1</v>
      </c>
      <c r="JL59" s="95"/>
      <c r="JM59" s="95">
        <v>0</v>
      </c>
      <c r="JN59" s="95"/>
      <c r="JO59" s="95"/>
      <c r="JP59" s="95">
        <v>3</v>
      </c>
      <c r="JQ59" s="36"/>
      <c r="JR59" s="36"/>
      <c r="JS59" s="616"/>
      <c r="JT59" s="616"/>
      <c r="JU59" s="616"/>
      <c r="JV59" s="616" t="s">
        <v>1163</v>
      </c>
      <c r="JW59" s="616">
        <v>0</v>
      </c>
      <c r="JX59" s="616">
        <v>0</v>
      </c>
      <c r="JY59" s="616">
        <v>0</v>
      </c>
      <c r="JZ59" s="616">
        <v>0</v>
      </c>
      <c r="KA59" s="616">
        <v>0</v>
      </c>
      <c r="KB59" s="616">
        <v>0</v>
      </c>
      <c r="KC59" s="616">
        <v>0</v>
      </c>
      <c r="KD59" s="616">
        <v>1</v>
      </c>
      <c r="KE59" s="616">
        <v>1</v>
      </c>
      <c r="KF59" s="616">
        <v>1</v>
      </c>
      <c r="KG59" s="616">
        <v>0</v>
      </c>
      <c r="KH59" s="616">
        <v>2</v>
      </c>
      <c r="KI59" s="616">
        <v>0</v>
      </c>
      <c r="KJ59" s="616">
        <v>0</v>
      </c>
      <c r="KK59" s="616">
        <v>0</v>
      </c>
      <c r="KL59" s="616">
        <v>0</v>
      </c>
      <c r="KM59" s="616">
        <v>5</v>
      </c>
      <c r="KN59" s="616"/>
      <c r="KO59" s="617"/>
    </row>
    <row r="60" spans="1:301">
      <c r="A60" s="5737"/>
      <c r="B60" s="5737"/>
      <c r="C60" s="5742" t="s">
        <v>21</v>
      </c>
      <c r="D60" s="5736"/>
      <c r="E60" s="5742">
        <f>SUM(E58,E56,E51,E48,E42,E38)</f>
        <v>22</v>
      </c>
      <c r="F60" s="5737"/>
      <c r="G60" s="4452">
        <f>+(E59)/(E60)</f>
        <v>0.13636363636363635</v>
      </c>
      <c r="I60" s="4726"/>
      <c r="J60" s="4726"/>
      <c r="K60" s="4725"/>
      <c r="L60" s="4725"/>
      <c r="M60" s="4976">
        <f>SUM(M54:M55)</f>
        <v>2</v>
      </c>
      <c r="N60" s="4726"/>
      <c r="Q60" s="4458"/>
      <c r="R60" s="4458"/>
      <c r="S60" s="4459"/>
      <c r="T60" s="4461"/>
      <c r="U60" s="4458"/>
      <c r="V60" s="4481">
        <f>SUM(V48,V51:V52,V57)</f>
        <v>5</v>
      </c>
      <c r="W60" s="4510"/>
      <c r="X60" s="4467"/>
      <c r="Y60" s="4467"/>
      <c r="Z60" s="36"/>
      <c r="AA60" s="36"/>
      <c r="AB60" s="36" t="s">
        <v>120</v>
      </c>
      <c r="AC60" s="36" t="s">
        <v>1071</v>
      </c>
      <c r="AD60" s="615"/>
      <c r="AE60" s="615"/>
      <c r="AF60" s="615"/>
      <c r="AG60" s="615"/>
      <c r="AH60" s="615"/>
      <c r="AI60" s="615"/>
      <c r="AJ60" s="615"/>
      <c r="AK60" s="615"/>
      <c r="AL60" s="615"/>
      <c r="AM60" s="615"/>
      <c r="AN60" s="615"/>
      <c r="AO60" s="615">
        <v>1</v>
      </c>
      <c r="AP60" s="615">
        <v>0</v>
      </c>
      <c r="AQ60" s="36"/>
      <c r="AR60" s="36">
        <v>1</v>
      </c>
      <c r="AS60" s="36"/>
      <c r="AU60" s="36"/>
      <c r="AV60" s="36"/>
      <c r="AW60" s="36"/>
      <c r="AX60" s="36" t="s">
        <v>1074</v>
      </c>
      <c r="AY60" s="1681"/>
      <c r="AZ60" s="1681"/>
      <c r="BA60" s="1681"/>
      <c r="BB60" s="1681"/>
      <c r="BC60" s="1681"/>
      <c r="BD60" s="1681"/>
      <c r="BE60" s="1681"/>
      <c r="BF60" s="1681"/>
      <c r="BG60" s="1681">
        <v>1</v>
      </c>
      <c r="BH60" s="1681"/>
      <c r="BI60" s="1681"/>
      <c r="BJ60" s="1681">
        <v>0</v>
      </c>
      <c r="BK60" s="1681">
        <v>0</v>
      </c>
      <c r="BL60" s="1681">
        <v>0</v>
      </c>
      <c r="BM60" s="95"/>
      <c r="BN60" s="95">
        <v>0</v>
      </c>
      <c r="BO60" s="95">
        <v>1</v>
      </c>
      <c r="BP60" s="95"/>
      <c r="BU60" s="32" t="s">
        <v>1076</v>
      </c>
      <c r="BV60" s="3871"/>
      <c r="BW60" s="3871"/>
      <c r="BX60" s="3871"/>
      <c r="BY60" s="3871"/>
      <c r="BZ60" s="3871"/>
      <c r="CA60" s="3871"/>
      <c r="CB60" s="3871"/>
      <c r="CC60" s="3871"/>
      <c r="CD60" s="3871">
        <v>0</v>
      </c>
      <c r="CE60" s="3871"/>
      <c r="CF60" s="3871"/>
      <c r="CG60" s="3871">
        <v>0</v>
      </c>
      <c r="CH60" s="3871">
        <v>0</v>
      </c>
      <c r="CI60" s="3871">
        <v>1</v>
      </c>
      <c r="CJ60" s="1518">
        <v>0</v>
      </c>
      <c r="CK60" s="1518">
        <v>1</v>
      </c>
      <c r="CN60" s="36"/>
      <c r="CO60" s="36"/>
      <c r="CP60" s="393"/>
      <c r="CQ60" s="393" t="s">
        <v>1076</v>
      </c>
      <c r="CR60" s="2049">
        <v>0</v>
      </c>
      <c r="CS60" s="2049"/>
      <c r="CT60" s="2049"/>
      <c r="CU60" s="2049"/>
      <c r="CV60" s="2049">
        <v>0</v>
      </c>
      <c r="CW60" s="2049"/>
      <c r="CX60" s="2049">
        <v>0</v>
      </c>
      <c r="CY60" s="2049">
        <v>0</v>
      </c>
      <c r="CZ60" s="2049">
        <v>0</v>
      </c>
      <c r="DA60" s="2049">
        <v>3</v>
      </c>
      <c r="DB60" s="2049">
        <v>0</v>
      </c>
      <c r="DC60" s="2049">
        <v>0</v>
      </c>
      <c r="DD60" s="2049">
        <v>1</v>
      </c>
      <c r="DE60" s="2049">
        <v>0</v>
      </c>
      <c r="DF60" s="2049">
        <v>0</v>
      </c>
      <c r="DG60" s="393"/>
      <c r="DH60" s="393">
        <v>0</v>
      </c>
      <c r="DI60" s="393">
        <v>4</v>
      </c>
      <c r="DJ60" s="36"/>
      <c r="DL60" s="36"/>
      <c r="DM60" s="36"/>
      <c r="DN60" s="36" t="s">
        <v>123</v>
      </c>
      <c r="DO60" s="36" t="s">
        <v>1076</v>
      </c>
      <c r="DP60" s="1681"/>
      <c r="DQ60" s="1681"/>
      <c r="DR60" s="1681"/>
      <c r="DS60" s="1681"/>
      <c r="DT60" s="1681"/>
      <c r="DU60" s="1681"/>
      <c r="DV60" s="1681"/>
      <c r="DW60" s="1681"/>
      <c r="DX60" s="1681"/>
      <c r="DY60" s="1681"/>
      <c r="DZ60" s="1681"/>
      <c r="EA60" s="1681"/>
      <c r="EB60" s="1681">
        <v>0</v>
      </c>
      <c r="EC60" s="1681">
        <v>1</v>
      </c>
      <c r="ED60" s="1681">
        <v>0</v>
      </c>
      <c r="EE60" s="95">
        <v>1</v>
      </c>
      <c r="EF60" s="95"/>
      <c r="EG60" s="95">
        <v>2</v>
      </c>
      <c r="EH60" s="36"/>
      <c r="EL60" s="36"/>
      <c r="EM60" s="36" t="s">
        <v>1163</v>
      </c>
      <c r="EN60" s="1490"/>
      <c r="EO60" s="1490"/>
      <c r="EP60" s="1490"/>
      <c r="EQ60" s="1490"/>
      <c r="ER60" s="1490"/>
      <c r="ES60" s="1490"/>
      <c r="ET60" s="1490"/>
      <c r="EU60" s="1490"/>
      <c r="EV60" s="1490"/>
      <c r="EW60" s="1490"/>
      <c r="EX60" s="1490"/>
      <c r="EY60" s="1490"/>
      <c r="EZ60" s="1490"/>
      <c r="FA60" s="1490">
        <v>2</v>
      </c>
      <c r="FB60" s="1490">
        <v>0</v>
      </c>
      <c r="FC60" s="36">
        <v>0</v>
      </c>
      <c r="FD60" s="36"/>
      <c r="FE60" s="36">
        <v>2</v>
      </c>
      <c r="FF60" s="36"/>
      <c r="FH60" s="1225"/>
      <c r="FI60" s="1225"/>
      <c r="FJ60" s="1225"/>
      <c r="FK60" s="1226" t="s">
        <v>1076</v>
      </c>
      <c r="FL60" s="1227"/>
      <c r="FM60" s="1228">
        <v>0</v>
      </c>
      <c r="FN60" s="1228">
        <v>0</v>
      </c>
      <c r="FO60" s="1227"/>
      <c r="FP60" s="1228">
        <v>0</v>
      </c>
      <c r="FQ60" s="1228">
        <v>0</v>
      </c>
      <c r="FR60" s="1227"/>
      <c r="FS60" s="1228">
        <v>0</v>
      </c>
      <c r="FT60" s="1228">
        <v>0</v>
      </c>
      <c r="FU60" s="1227"/>
      <c r="FV60" s="1228">
        <v>0</v>
      </c>
      <c r="FW60" s="1228">
        <v>1</v>
      </c>
      <c r="FX60" s="1228">
        <v>0</v>
      </c>
      <c r="FY60" s="1230">
        <v>1</v>
      </c>
      <c r="FZ60" s="1230">
        <v>0</v>
      </c>
      <c r="GA60" s="1230">
        <v>2</v>
      </c>
      <c r="GB60" s="36"/>
      <c r="GD60" s="603"/>
      <c r="GE60" s="603"/>
      <c r="GF60" s="603" t="s">
        <v>123</v>
      </c>
      <c r="GG60" s="604" t="s">
        <v>1072</v>
      </c>
      <c r="GH60" s="605"/>
      <c r="GI60" s="605"/>
      <c r="GJ60" s="605"/>
      <c r="GK60" s="605"/>
      <c r="GL60" s="605"/>
      <c r="GM60" s="605"/>
      <c r="GN60" s="605"/>
      <c r="GO60" s="605"/>
      <c r="GP60" s="605"/>
      <c r="GQ60" s="605"/>
      <c r="GR60" s="605"/>
      <c r="GS60" s="605"/>
      <c r="GT60" s="605"/>
      <c r="GU60" s="605"/>
      <c r="GV60" s="606">
        <v>1</v>
      </c>
      <c r="GW60" s="607"/>
      <c r="GX60" s="607"/>
      <c r="GY60" s="608">
        <v>1</v>
      </c>
      <c r="GZ60" s="95"/>
      <c r="HB60" s="441"/>
      <c r="HC60" s="441"/>
      <c r="HD60" s="441"/>
      <c r="HE60" s="441"/>
      <c r="HF60" s="442" t="s">
        <v>1080</v>
      </c>
      <c r="HG60" s="609"/>
      <c r="HH60" s="609"/>
      <c r="HI60" s="609"/>
      <c r="HJ60" s="609"/>
      <c r="HK60" s="609"/>
      <c r="HL60" s="609"/>
      <c r="HM60" s="609"/>
      <c r="HN60" s="609"/>
      <c r="HO60" s="609"/>
      <c r="HP60" s="609"/>
      <c r="HQ60" s="609"/>
      <c r="HR60" s="609"/>
      <c r="HS60" s="610">
        <v>0</v>
      </c>
      <c r="HT60" s="609"/>
      <c r="HU60" s="610">
        <v>1</v>
      </c>
      <c r="HV60" s="611"/>
      <c r="HW60" s="611"/>
      <c r="HX60" s="612">
        <v>1</v>
      </c>
      <c r="HY60" s="560"/>
      <c r="HZ60" s="36"/>
      <c r="IA60" s="613"/>
      <c r="IB60" s="613"/>
      <c r="IC60" s="613" t="s">
        <v>126</v>
      </c>
      <c r="ID60" s="389" t="s">
        <v>1071</v>
      </c>
      <c r="IE60" s="390">
        <v>0</v>
      </c>
      <c r="IF60" s="390">
        <v>0</v>
      </c>
      <c r="IG60" s="390">
        <v>0</v>
      </c>
      <c r="IH60" s="614"/>
      <c r="II60" s="614"/>
      <c r="IJ60" s="614"/>
      <c r="IK60" s="390">
        <v>0</v>
      </c>
      <c r="IL60" s="390">
        <v>0</v>
      </c>
      <c r="IM60" s="390">
        <v>1</v>
      </c>
      <c r="IN60" s="390">
        <v>1</v>
      </c>
      <c r="IO60" s="614"/>
      <c r="IP60" s="614"/>
      <c r="IQ60" s="614"/>
      <c r="IR60" s="390">
        <v>2</v>
      </c>
      <c r="IS60" s="615"/>
      <c r="IT60" s="36"/>
      <c r="IU60" s="36"/>
      <c r="IV60" s="95"/>
      <c r="IW60" s="95"/>
      <c r="IX60" s="36"/>
      <c r="IY60" s="36" t="s">
        <v>1076</v>
      </c>
      <c r="IZ60" s="95"/>
      <c r="JA60" s="95"/>
      <c r="JB60" s="95"/>
      <c r="JC60" s="95"/>
      <c r="JD60" s="95"/>
      <c r="JE60" s="95"/>
      <c r="JF60" s="95"/>
      <c r="JG60" s="95"/>
      <c r="JH60" s="95">
        <v>0</v>
      </c>
      <c r="JI60" s="95">
        <v>0</v>
      </c>
      <c r="JJ60" s="95">
        <v>1</v>
      </c>
      <c r="JK60" s="95">
        <v>0</v>
      </c>
      <c r="JL60" s="95"/>
      <c r="JM60" s="95">
        <v>0</v>
      </c>
      <c r="JN60" s="95"/>
      <c r="JO60" s="95"/>
      <c r="JP60" s="95">
        <v>1</v>
      </c>
      <c r="JQ60" s="36"/>
      <c r="JR60" s="36"/>
      <c r="JS60" s="616"/>
      <c r="JT60" s="616"/>
      <c r="JU60" s="616"/>
      <c r="JV60" s="627" t="s">
        <v>15</v>
      </c>
      <c r="JW60" s="627">
        <v>0</v>
      </c>
      <c r="JX60" s="627">
        <v>1</v>
      </c>
      <c r="JY60" s="627">
        <v>0</v>
      </c>
      <c r="JZ60" s="627">
        <v>0</v>
      </c>
      <c r="KA60" s="627">
        <v>0</v>
      </c>
      <c r="KB60" s="627">
        <v>0</v>
      </c>
      <c r="KC60" s="627">
        <v>0</v>
      </c>
      <c r="KD60" s="627">
        <v>1</v>
      </c>
      <c r="KE60" s="627">
        <v>1</v>
      </c>
      <c r="KF60" s="627">
        <v>4</v>
      </c>
      <c r="KG60" s="627">
        <v>0</v>
      </c>
      <c r="KH60" s="627">
        <v>9</v>
      </c>
      <c r="KI60" s="627">
        <v>0</v>
      </c>
      <c r="KJ60" s="627">
        <v>0</v>
      </c>
      <c r="KK60" s="627">
        <v>0</v>
      </c>
      <c r="KL60" s="627">
        <v>0</v>
      </c>
      <c r="KM60" s="627">
        <v>16</v>
      </c>
      <c r="KN60" s="628">
        <f>+(KM59+KM57)/KM60</f>
        <v>0.8125</v>
      </c>
      <c r="KO60" s="617">
        <f>+KM57+KM59</f>
        <v>13</v>
      </c>
    </row>
    <row r="61" spans="1:301">
      <c r="A61" s="5746"/>
      <c r="B61" s="5746"/>
      <c r="C61" s="5747"/>
      <c r="D61" s="5738" t="s">
        <v>2754</v>
      </c>
      <c r="E61" s="5752">
        <f>SUM(E59,E33,E22)</f>
        <v>7</v>
      </c>
      <c r="F61" s="5746"/>
      <c r="I61" s="4726"/>
      <c r="J61" s="4726"/>
      <c r="K61" s="4971" t="s">
        <v>21</v>
      </c>
      <c r="L61" s="4972"/>
      <c r="M61" s="4974">
        <f>SUM(M39,M43,M49,M52,M57,M59)</f>
        <v>22</v>
      </c>
      <c r="N61" s="4973"/>
      <c r="O61" s="4451">
        <f>+(M60)/(M61)</f>
        <v>9.0909090909090912E-2</v>
      </c>
      <c r="Q61" s="4458"/>
      <c r="R61" s="4474"/>
      <c r="S61" s="4471" t="s">
        <v>482</v>
      </c>
      <c r="T61" s="4475"/>
      <c r="U61" s="4474"/>
      <c r="V61" s="4487">
        <f>SUM(V44,V47,V50,V53,V55,V58,V59)</f>
        <v>28</v>
      </c>
      <c r="W61" s="4511">
        <f>+(V60)/(V61)</f>
        <v>0.17857142857142858</v>
      </c>
      <c r="X61" s="4467"/>
      <c r="Y61" s="4467"/>
      <c r="Z61" s="36"/>
      <c r="AA61" s="36"/>
      <c r="AB61" s="36"/>
      <c r="AC61" s="36" t="s">
        <v>1072</v>
      </c>
      <c r="AD61" s="615"/>
      <c r="AE61" s="615"/>
      <c r="AF61" s="615"/>
      <c r="AG61" s="615"/>
      <c r="AH61" s="615"/>
      <c r="AI61" s="615"/>
      <c r="AJ61" s="615"/>
      <c r="AK61" s="615"/>
      <c r="AL61" s="615"/>
      <c r="AM61" s="615"/>
      <c r="AN61" s="615"/>
      <c r="AO61" s="615">
        <v>0</v>
      </c>
      <c r="AP61" s="615">
        <v>1</v>
      </c>
      <c r="AQ61" s="36"/>
      <c r="AR61" s="36">
        <v>1</v>
      </c>
      <c r="AS61" s="36"/>
      <c r="AU61" s="36"/>
      <c r="AV61" s="36"/>
      <c r="AW61" s="36"/>
      <c r="AX61" s="36" t="s">
        <v>1076</v>
      </c>
      <c r="AY61" s="1681"/>
      <c r="AZ61" s="1681"/>
      <c r="BA61" s="1681"/>
      <c r="BB61" s="1681"/>
      <c r="BC61" s="1681"/>
      <c r="BD61" s="1681"/>
      <c r="BE61" s="1681"/>
      <c r="BF61" s="1681"/>
      <c r="BG61" s="1681">
        <v>0</v>
      </c>
      <c r="BH61" s="1681"/>
      <c r="BI61" s="1681"/>
      <c r="BJ61" s="1681">
        <v>0</v>
      </c>
      <c r="BK61" s="1681">
        <v>0</v>
      </c>
      <c r="BL61" s="1681">
        <v>1</v>
      </c>
      <c r="BM61" s="95"/>
      <c r="BN61" s="95">
        <v>0</v>
      </c>
      <c r="BO61" s="95">
        <v>1</v>
      </c>
      <c r="BP61" s="95"/>
      <c r="BU61" s="32" t="s">
        <v>1080</v>
      </c>
      <c r="BV61" s="3871"/>
      <c r="BW61" s="3871"/>
      <c r="BX61" s="3871"/>
      <c r="BY61" s="3871"/>
      <c r="BZ61" s="3871"/>
      <c r="CA61" s="3871"/>
      <c r="CB61" s="3871"/>
      <c r="CC61" s="3871"/>
      <c r="CD61" s="3871">
        <v>0</v>
      </c>
      <c r="CE61" s="3871"/>
      <c r="CF61" s="3871"/>
      <c r="CG61" s="3871">
        <v>0</v>
      </c>
      <c r="CH61" s="3871">
        <v>1</v>
      </c>
      <c r="CI61" s="3871">
        <v>0</v>
      </c>
      <c r="CJ61" s="1518">
        <v>1</v>
      </c>
      <c r="CK61" s="1518">
        <v>2</v>
      </c>
      <c r="CN61" s="36"/>
      <c r="CO61" s="36"/>
      <c r="CP61" s="393"/>
      <c r="CQ61" s="393" t="s">
        <v>1080</v>
      </c>
      <c r="CR61" s="2049">
        <v>0</v>
      </c>
      <c r="CS61" s="2049"/>
      <c r="CT61" s="2049"/>
      <c r="CU61" s="2049"/>
      <c r="CV61" s="2049">
        <v>0</v>
      </c>
      <c r="CW61" s="2049"/>
      <c r="CX61" s="2049">
        <v>0</v>
      </c>
      <c r="CY61" s="2049">
        <v>0</v>
      </c>
      <c r="CZ61" s="2049">
        <v>0</v>
      </c>
      <c r="DA61" s="2049">
        <v>0</v>
      </c>
      <c r="DB61" s="2049">
        <v>1</v>
      </c>
      <c r="DC61" s="2049">
        <v>3</v>
      </c>
      <c r="DD61" s="2049">
        <v>0</v>
      </c>
      <c r="DE61" s="2049">
        <v>1</v>
      </c>
      <c r="DF61" s="2049">
        <v>13</v>
      </c>
      <c r="DG61" s="393"/>
      <c r="DH61" s="393">
        <v>1</v>
      </c>
      <c r="DI61" s="393">
        <v>19</v>
      </c>
      <c r="DJ61" s="36"/>
      <c r="DL61" s="36"/>
      <c r="DM61" s="36"/>
      <c r="DN61" s="36"/>
      <c r="DO61" s="36" t="s">
        <v>1080</v>
      </c>
      <c r="DP61" s="1681"/>
      <c r="DQ61" s="1681"/>
      <c r="DR61" s="1681"/>
      <c r="DS61" s="1681"/>
      <c r="DT61" s="1681"/>
      <c r="DU61" s="1681"/>
      <c r="DV61" s="1681"/>
      <c r="DW61" s="1681"/>
      <c r="DX61" s="1681"/>
      <c r="DY61" s="1681"/>
      <c r="DZ61" s="1681"/>
      <c r="EA61" s="1681"/>
      <c r="EB61" s="1681">
        <v>0</v>
      </c>
      <c r="EC61" s="1681">
        <v>0</v>
      </c>
      <c r="ED61" s="1681">
        <v>3</v>
      </c>
      <c r="EE61" s="95">
        <v>0</v>
      </c>
      <c r="EF61" s="95"/>
      <c r="EG61" s="95">
        <v>3</v>
      </c>
      <c r="EH61" s="36"/>
      <c r="EL61" s="36"/>
      <c r="EM61" s="393" t="s">
        <v>15</v>
      </c>
      <c r="EN61" s="1491"/>
      <c r="EO61" s="1491"/>
      <c r="EP61" s="1491"/>
      <c r="EQ61" s="1491"/>
      <c r="ER61" s="1491"/>
      <c r="ES61" s="1491"/>
      <c r="ET61" s="1491"/>
      <c r="EU61" s="1491"/>
      <c r="EV61" s="1491"/>
      <c r="EW61" s="1491"/>
      <c r="EX61" s="1491"/>
      <c r="EY61" s="1491"/>
      <c r="EZ61" s="1491"/>
      <c r="FA61" s="1491">
        <v>2</v>
      </c>
      <c r="FB61" s="1491">
        <v>2</v>
      </c>
      <c r="FC61" s="393">
        <v>2</v>
      </c>
      <c r="FD61" s="393"/>
      <c r="FE61" s="393">
        <v>6</v>
      </c>
      <c r="FF61" s="560">
        <f>+FE60/FE61</f>
        <v>0.33333333333333331</v>
      </c>
      <c r="FH61" s="1225"/>
      <c r="FI61" s="1225"/>
      <c r="FJ61" s="1225"/>
      <c r="FK61" s="1226" t="s">
        <v>1077</v>
      </c>
      <c r="FL61" s="1227"/>
      <c r="FM61" s="1228">
        <v>0</v>
      </c>
      <c r="FN61" s="1228">
        <v>0</v>
      </c>
      <c r="FO61" s="1227"/>
      <c r="FP61" s="1228">
        <v>0</v>
      </c>
      <c r="FQ61" s="1228">
        <v>0</v>
      </c>
      <c r="FR61" s="1227"/>
      <c r="FS61" s="1228">
        <v>0</v>
      </c>
      <c r="FT61" s="1228">
        <v>1</v>
      </c>
      <c r="FU61" s="1227"/>
      <c r="FV61" s="1228">
        <v>0</v>
      </c>
      <c r="FW61" s="1228">
        <v>0</v>
      </c>
      <c r="FX61" s="1228">
        <v>0</v>
      </c>
      <c r="FY61" s="1230">
        <v>0</v>
      </c>
      <c r="FZ61" s="1230">
        <v>0</v>
      </c>
      <c r="GA61" s="1230">
        <v>1</v>
      </c>
      <c r="GB61" s="36"/>
      <c r="GD61" s="603"/>
      <c r="GE61" s="603"/>
      <c r="GF61" s="603"/>
      <c r="GG61" s="604" t="s">
        <v>1080</v>
      </c>
      <c r="GH61" s="605"/>
      <c r="GI61" s="605"/>
      <c r="GJ61" s="605"/>
      <c r="GK61" s="605"/>
      <c r="GL61" s="605"/>
      <c r="GM61" s="605"/>
      <c r="GN61" s="605"/>
      <c r="GO61" s="605"/>
      <c r="GP61" s="605"/>
      <c r="GQ61" s="605"/>
      <c r="GR61" s="605"/>
      <c r="GS61" s="605"/>
      <c r="GT61" s="605"/>
      <c r="GU61" s="605"/>
      <c r="GV61" s="606">
        <v>3</v>
      </c>
      <c r="GW61" s="607"/>
      <c r="GX61" s="607"/>
      <c r="GY61" s="608">
        <v>3</v>
      </c>
      <c r="GZ61" s="95"/>
      <c r="HB61" s="441"/>
      <c r="HC61" s="441"/>
      <c r="HD61" s="441"/>
      <c r="HE61" s="36"/>
      <c r="HF61" s="462" t="s">
        <v>15</v>
      </c>
      <c r="HG61" s="618"/>
      <c r="HH61" s="618"/>
      <c r="HI61" s="618"/>
      <c r="HJ61" s="618"/>
      <c r="HK61" s="618"/>
      <c r="HL61" s="618"/>
      <c r="HM61" s="618"/>
      <c r="HN61" s="618"/>
      <c r="HO61" s="618"/>
      <c r="HP61" s="618"/>
      <c r="HQ61" s="618"/>
      <c r="HR61" s="618"/>
      <c r="HS61" s="619">
        <v>2</v>
      </c>
      <c r="HT61" s="618"/>
      <c r="HU61" s="619">
        <v>1</v>
      </c>
      <c r="HV61" s="620"/>
      <c r="HW61" s="620"/>
      <c r="HX61" s="621">
        <v>3</v>
      </c>
      <c r="HY61" s="560">
        <f>+HX59/HX61</f>
        <v>0.33333333333333331</v>
      </c>
      <c r="HZ61" s="36"/>
      <c r="IA61" s="613"/>
      <c r="IB61" s="613"/>
      <c r="IC61" s="613"/>
      <c r="ID61" s="389" t="s">
        <v>1072</v>
      </c>
      <c r="IE61" s="390">
        <v>0</v>
      </c>
      <c r="IF61" s="390">
        <v>0</v>
      </c>
      <c r="IG61" s="390">
        <v>1</v>
      </c>
      <c r="IH61" s="614"/>
      <c r="II61" s="614"/>
      <c r="IJ61" s="614"/>
      <c r="IK61" s="390">
        <v>0</v>
      </c>
      <c r="IL61" s="390">
        <v>0</v>
      </c>
      <c r="IM61" s="390">
        <v>0</v>
      </c>
      <c r="IN61" s="390">
        <v>0</v>
      </c>
      <c r="IO61" s="614"/>
      <c r="IP61" s="614"/>
      <c r="IQ61" s="614"/>
      <c r="IR61" s="390">
        <v>1</v>
      </c>
      <c r="IS61" s="615"/>
      <c r="IT61" s="36"/>
      <c r="IU61" s="36"/>
      <c r="IV61" s="95"/>
      <c r="IW61" s="95"/>
      <c r="IX61" s="36"/>
      <c r="IY61" s="36" t="s">
        <v>1080</v>
      </c>
      <c r="IZ61" s="95"/>
      <c r="JA61" s="95"/>
      <c r="JB61" s="95"/>
      <c r="JC61" s="95"/>
      <c r="JD61" s="95"/>
      <c r="JE61" s="95"/>
      <c r="JF61" s="95"/>
      <c r="JG61" s="95"/>
      <c r="JH61" s="95">
        <v>0</v>
      </c>
      <c r="JI61" s="95">
        <v>0</v>
      </c>
      <c r="JJ61" s="95">
        <v>0</v>
      </c>
      <c r="JK61" s="95">
        <v>0</v>
      </c>
      <c r="JL61" s="95"/>
      <c r="JM61" s="95">
        <v>5</v>
      </c>
      <c r="JN61" s="95"/>
      <c r="JO61" s="95"/>
      <c r="JP61" s="95">
        <v>5</v>
      </c>
      <c r="JQ61" s="36"/>
      <c r="JR61" s="36"/>
      <c r="JS61" s="616"/>
      <c r="JT61" s="616"/>
      <c r="JU61" s="616" t="s">
        <v>127</v>
      </c>
      <c r="JV61" s="616" t="s">
        <v>1080</v>
      </c>
      <c r="JW61" s="616">
        <v>0</v>
      </c>
      <c r="JX61" s="616">
        <v>0</v>
      </c>
      <c r="JY61" s="616">
        <v>0</v>
      </c>
      <c r="JZ61" s="616">
        <v>0</v>
      </c>
      <c r="KA61" s="616">
        <v>0</v>
      </c>
      <c r="KB61" s="616">
        <v>0</v>
      </c>
      <c r="KC61" s="616">
        <v>0</v>
      </c>
      <c r="KD61" s="616">
        <v>0</v>
      </c>
      <c r="KE61" s="616">
        <v>0</v>
      </c>
      <c r="KF61" s="616">
        <v>0</v>
      </c>
      <c r="KG61" s="616">
        <v>0</v>
      </c>
      <c r="KH61" s="616">
        <v>0</v>
      </c>
      <c r="KI61" s="616">
        <v>0</v>
      </c>
      <c r="KJ61" s="616">
        <v>0</v>
      </c>
      <c r="KK61" s="616">
        <v>1</v>
      </c>
      <c r="KL61" s="616">
        <v>0</v>
      </c>
      <c r="KM61" s="616">
        <v>1</v>
      </c>
      <c r="KN61" s="616"/>
      <c r="KO61" s="617"/>
    </row>
    <row r="62" spans="1:301">
      <c r="A62" s="5745"/>
      <c r="B62" s="5745"/>
      <c r="C62" s="5749" t="s">
        <v>70</v>
      </c>
      <c r="D62" s="5748"/>
      <c r="E62" s="5749">
        <f>SUM(E60,E34,E23)</f>
        <v>45</v>
      </c>
      <c r="F62" s="5762"/>
      <c r="G62" s="5766">
        <f>+(E61)/(E62)</f>
        <v>0.15555555555555556</v>
      </c>
      <c r="I62" s="4979"/>
      <c r="J62" s="4979"/>
      <c r="K62" s="4977"/>
      <c r="L62" s="4978"/>
      <c r="M62" s="4980">
        <f>SUM(M60,M34,M23)</f>
        <v>5</v>
      </c>
      <c r="N62" s="4979"/>
      <c r="O62" s="4452"/>
      <c r="Q62" s="4458">
        <v>2</v>
      </c>
      <c r="R62" s="4470">
        <v>2</v>
      </c>
      <c r="S62" s="4469" t="s">
        <v>2725</v>
      </c>
      <c r="T62" s="4469" t="s">
        <v>2709</v>
      </c>
      <c r="U62" s="4470">
        <v>13</v>
      </c>
      <c r="V62" s="4488">
        <v>14</v>
      </c>
      <c r="W62" s="4510"/>
      <c r="X62" s="4467"/>
      <c r="Y62" s="4467"/>
      <c r="Z62" s="36"/>
      <c r="AA62" s="36"/>
      <c r="AB62" s="36"/>
      <c r="AC62" s="36" t="s">
        <v>1080</v>
      </c>
      <c r="AD62" s="615"/>
      <c r="AE62" s="615"/>
      <c r="AF62" s="615"/>
      <c r="AG62" s="615"/>
      <c r="AH62" s="615"/>
      <c r="AI62" s="615"/>
      <c r="AJ62" s="615"/>
      <c r="AK62" s="615"/>
      <c r="AL62" s="615"/>
      <c r="AM62" s="615"/>
      <c r="AN62" s="615"/>
      <c r="AO62" s="615">
        <v>3</v>
      </c>
      <c r="AP62" s="615">
        <v>1</v>
      </c>
      <c r="AQ62" s="36"/>
      <c r="AR62" s="36">
        <v>4</v>
      </c>
      <c r="AS62" s="36"/>
      <c r="AU62" s="36"/>
      <c r="AV62" s="36"/>
      <c r="AW62" s="36"/>
      <c r="AX62" s="36" t="s">
        <v>1080</v>
      </c>
      <c r="AY62" s="1681"/>
      <c r="AZ62" s="1681"/>
      <c r="BA62" s="1681"/>
      <c r="BB62" s="1681"/>
      <c r="BC62" s="1681"/>
      <c r="BD62" s="1681"/>
      <c r="BE62" s="1681"/>
      <c r="BF62" s="1681"/>
      <c r="BG62" s="1681">
        <v>0</v>
      </c>
      <c r="BH62" s="1681"/>
      <c r="BI62" s="1681"/>
      <c r="BJ62" s="1681">
        <v>0</v>
      </c>
      <c r="BK62" s="1681">
        <v>1</v>
      </c>
      <c r="BL62" s="1681">
        <v>1</v>
      </c>
      <c r="BM62" s="95"/>
      <c r="BN62" s="95">
        <v>1</v>
      </c>
      <c r="BO62" s="95">
        <v>3</v>
      </c>
      <c r="BP62" s="95"/>
      <c r="BU62" s="32" t="s">
        <v>1163</v>
      </c>
      <c r="BV62" s="3871"/>
      <c r="BW62" s="3871"/>
      <c r="BX62" s="3871"/>
      <c r="BY62" s="3871"/>
      <c r="BZ62" s="3871"/>
      <c r="CA62" s="3871"/>
      <c r="CB62" s="3871"/>
      <c r="CC62" s="3871"/>
      <c r="CD62" s="3871">
        <v>0</v>
      </c>
      <c r="CE62" s="3871"/>
      <c r="CF62" s="3871"/>
      <c r="CG62" s="3871">
        <v>1</v>
      </c>
      <c r="CH62" s="3871">
        <v>1</v>
      </c>
      <c r="CI62" s="3871">
        <v>0</v>
      </c>
      <c r="CJ62" s="1518">
        <v>0</v>
      </c>
      <c r="CK62" s="1518">
        <v>2</v>
      </c>
      <c r="CN62" s="36"/>
      <c r="CO62" s="36"/>
      <c r="CP62" s="393"/>
      <c r="CQ62" s="393" t="s">
        <v>1081</v>
      </c>
      <c r="CR62" s="2049">
        <v>0</v>
      </c>
      <c r="CS62" s="2049"/>
      <c r="CT62" s="2049"/>
      <c r="CU62" s="2049"/>
      <c r="CV62" s="2049">
        <v>0</v>
      </c>
      <c r="CW62" s="2049"/>
      <c r="CX62" s="2049">
        <v>0</v>
      </c>
      <c r="CY62" s="2049">
        <v>0</v>
      </c>
      <c r="CZ62" s="2049">
        <v>0</v>
      </c>
      <c r="DA62" s="2049">
        <v>4</v>
      </c>
      <c r="DB62" s="2049">
        <v>0</v>
      </c>
      <c r="DC62" s="2049">
        <v>1</v>
      </c>
      <c r="DD62" s="2049">
        <v>0</v>
      </c>
      <c r="DE62" s="2049">
        <v>1</v>
      </c>
      <c r="DF62" s="2049">
        <v>0</v>
      </c>
      <c r="DG62" s="393"/>
      <c r="DH62" s="393">
        <v>0</v>
      </c>
      <c r="DI62" s="393">
        <v>6</v>
      </c>
      <c r="DJ62" s="36"/>
      <c r="DL62" s="36"/>
      <c r="DM62" s="36"/>
      <c r="DN62" s="36"/>
      <c r="DO62" s="36" t="s">
        <v>1163</v>
      </c>
      <c r="DP62" s="1681"/>
      <c r="DQ62" s="1681"/>
      <c r="DR62" s="1681"/>
      <c r="DS62" s="1681"/>
      <c r="DT62" s="1681"/>
      <c r="DU62" s="1681"/>
      <c r="DV62" s="1681"/>
      <c r="DW62" s="1681"/>
      <c r="DX62" s="1681"/>
      <c r="DY62" s="1681"/>
      <c r="DZ62" s="1681"/>
      <c r="EA62" s="1681"/>
      <c r="EB62" s="1681">
        <v>1</v>
      </c>
      <c r="EC62" s="1681">
        <v>0</v>
      </c>
      <c r="ED62" s="1681">
        <v>0</v>
      </c>
      <c r="EE62" s="95">
        <v>0</v>
      </c>
      <c r="EF62" s="95"/>
      <c r="EG62" s="95">
        <v>1</v>
      </c>
      <c r="EH62" s="36"/>
      <c r="EL62" s="36" t="s">
        <v>123</v>
      </c>
      <c r="EM62" s="36" t="s">
        <v>1080</v>
      </c>
      <c r="EN62" s="1490"/>
      <c r="EO62" s="1490"/>
      <c r="EP62" s="1490"/>
      <c r="EQ62" s="1490"/>
      <c r="ER62" s="1490"/>
      <c r="ES62" s="1490"/>
      <c r="ET62" s="1490"/>
      <c r="EU62" s="1490"/>
      <c r="EV62" s="1490"/>
      <c r="EW62" s="1490"/>
      <c r="EX62" s="1490"/>
      <c r="EY62" s="1490"/>
      <c r="EZ62" s="1490"/>
      <c r="FA62" s="1490"/>
      <c r="FB62" s="1490">
        <v>1</v>
      </c>
      <c r="FC62" s="36">
        <v>3</v>
      </c>
      <c r="FD62" s="36"/>
      <c r="FE62" s="36">
        <v>4</v>
      </c>
      <c r="FF62" s="36"/>
      <c r="FH62" s="1225"/>
      <c r="FI62" s="1225"/>
      <c r="FJ62" s="1225"/>
      <c r="FK62" s="1226" t="s">
        <v>1080</v>
      </c>
      <c r="FL62" s="1227"/>
      <c r="FM62" s="1228">
        <v>0</v>
      </c>
      <c r="FN62" s="1228">
        <v>0</v>
      </c>
      <c r="FO62" s="1227"/>
      <c r="FP62" s="1228">
        <v>0</v>
      </c>
      <c r="FQ62" s="1228">
        <v>0</v>
      </c>
      <c r="FR62" s="1227"/>
      <c r="FS62" s="1228">
        <v>0</v>
      </c>
      <c r="FT62" s="1228">
        <v>0</v>
      </c>
      <c r="FU62" s="1227"/>
      <c r="FV62" s="1228">
        <v>0</v>
      </c>
      <c r="FW62" s="1228">
        <v>0</v>
      </c>
      <c r="FX62" s="1228">
        <v>20</v>
      </c>
      <c r="FY62" s="1230">
        <v>3</v>
      </c>
      <c r="FZ62" s="1230">
        <v>10</v>
      </c>
      <c r="GA62" s="1230">
        <v>33</v>
      </c>
      <c r="GB62" s="36"/>
      <c r="GD62" s="603"/>
      <c r="GE62" s="603"/>
      <c r="GF62" s="603"/>
      <c r="GG62" s="622" t="s">
        <v>15</v>
      </c>
      <c r="GH62" s="623"/>
      <c r="GI62" s="623"/>
      <c r="GJ62" s="623"/>
      <c r="GK62" s="623"/>
      <c r="GL62" s="623"/>
      <c r="GM62" s="623"/>
      <c r="GN62" s="623"/>
      <c r="GO62" s="623"/>
      <c r="GP62" s="623"/>
      <c r="GQ62" s="623"/>
      <c r="GR62" s="623"/>
      <c r="GS62" s="623"/>
      <c r="GT62" s="623"/>
      <c r="GU62" s="623"/>
      <c r="GV62" s="624">
        <v>4</v>
      </c>
      <c r="GW62" s="625"/>
      <c r="GX62" s="625"/>
      <c r="GY62" s="626">
        <v>4</v>
      </c>
      <c r="GZ62" s="560">
        <v>0</v>
      </c>
      <c r="HB62" s="441"/>
      <c r="HC62" s="441"/>
      <c r="HD62" s="441" t="s">
        <v>123</v>
      </c>
      <c r="HE62" s="441" t="s">
        <v>1070</v>
      </c>
      <c r="HF62" s="442" t="s">
        <v>1072</v>
      </c>
      <c r="HG62" s="609"/>
      <c r="HH62" s="609"/>
      <c r="HI62" s="609"/>
      <c r="HJ62" s="609"/>
      <c r="HK62" s="609"/>
      <c r="HL62" s="609"/>
      <c r="HM62" s="609"/>
      <c r="HN62" s="609"/>
      <c r="HO62" s="610">
        <v>1</v>
      </c>
      <c r="HP62" s="609"/>
      <c r="HQ62" s="609"/>
      <c r="HR62" s="609"/>
      <c r="HS62" s="609"/>
      <c r="HT62" s="610">
        <v>2</v>
      </c>
      <c r="HU62" s="609"/>
      <c r="HV62" s="612">
        <v>0</v>
      </c>
      <c r="HW62" s="612">
        <v>0</v>
      </c>
      <c r="HX62" s="612">
        <v>3</v>
      </c>
      <c r="HY62" s="560"/>
      <c r="HZ62" s="36"/>
      <c r="IA62" s="613"/>
      <c r="IB62" s="613"/>
      <c r="IC62" s="613"/>
      <c r="ID62" s="389" t="s">
        <v>1074</v>
      </c>
      <c r="IE62" s="390">
        <v>1</v>
      </c>
      <c r="IF62" s="390">
        <v>1</v>
      </c>
      <c r="IG62" s="390">
        <v>0</v>
      </c>
      <c r="IH62" s="614"/>
      <c r="II62" s="614"/>
      <c r="IJ62" s="614"/>
      <c r="IK62" s="390">
        <v>0</v>
      </c>
      <c r="IL62" s="390">
        <v>0</v>
      </c>
      <c r="IM62" s="390">
        <v>0</v>
      </c>
      <c r="IN62" s="390">
        <v>0</v>
      </c>
      <c r="IO62" s="614"/>
      <c r="IP62" s="614"/>
      <c r="IQ62" s="614"/>
      <c r="IR62" s="390">
        <v>2</v>
      </c>
      <c r="IS62" s="615"/>
      <c r="IT62" s="36"/>
      <c r="IU62" s="36"/>
      <c r="IV62" s="95"/>
      <c r="IW62" s="95"/>
      <c r="IX62" s="36"/>
      <c r="IY62" s="36" t="s">
        <v>1163</v>
      </c>
      <c r="IZ62" s="95"/>
      <c r="JA62" s="95"/>
      <c r="JB62" s="95"/>
      <c r="JC62" s="95"/>
      <c r="JD62" s="95"/>
      <c r="JE62" s="95"/>
      <c r="JF62" s="95"/>
      <c r="JG62" s="95"/>
      <c r="JH62" s="95">
        <v>1</v>
      </c>
      <c r="JI62" s="95">
        <v>0</v>
      </c>
      <c r="JJ62" s="95">
        <v>0</v>
      </c>
      <c r="JK62" s="95">
        <v>0</v>
      </c>
      <c r="JL62" s="95"/>
      <c r="JM62" s="95">
        <v>0</v>
      </c>
      <c r="JN62" s="95"/>
      <c r="JO62" s="95"/>
      <c r="JP62" s="95">
        <v>1</v>
      </c>
      <c r="JQ62" s="36"/>
      <c r="JR62" s="36"/>
      <c r="JS62" s="616"/>
      <c r="JT62" s="616"/>
      <c r="JU62" s="616"/>
      <c r="JV62" s="627" t="s">
        <v>15</v>
      </c>
      <c r="JW62" s="627">
        <v>0</v>
      </c>
      <c r="JX62" s="627">
        <v>0</v>
      </c>
      <c r="JY62" s="627">
        <v>0</v>
      </c>
      <c r="JZ62" s="627">
        <v>0</v>
      </c>
      <c r="KA62" s="627">
        <v>0</v>
      </c>
      <c r="KB62" s="627">
        <v>0</v>
      </c>
      <c r="KC62" s="627">
        <v>0</v>
      </c>
      <c r="KD62" s="627">
        <v>0</v>
      </c>
      <c r="KE62" s="627">
        <v>0</v>
      </c>
      <c r="KF62" s="627">
        <v>0</v>
      </c>
      <c r="KG62" s="627">
        <v>0</v>
      </c>
      <c r="KH62" s="627">
        <v>0</v>
      </c>
      <c r="KI62" s="627">
        <v>0</v>
      </c>
      <c r="KJ62" s="627">
        <v>0</v>
      </c>
      <c r="KK62" s="627">
        <v>1</v>
      </c>
      <c r="KL62" s="627">
        <v>0</v>
      </c>
      <c r="KM62" s="627">
        <v>1</v>
      </c>
      <c r="KN62" s="628">
        <f>0/KM62</f>
        <v>0</v>
      </c>
      <c r="KO62" s="617">
        <v>0</v>
      </c>
    </row>
    <row r="63" spans="1:301">
      <c r="A63" s="5743">
        <v>2</v>
      </c>
      <c r="B63" s="5743">
        <v>1</v>
      </c>
      <c r="C63" s="5744" t="s">
        <v>119</v>
      </c>
      <c r="D63" s="5744" t="s">
        <v>3027</v>
      </c>
      <c r="E63" s="5743">
        <v>1</v>
      </c>
      <c r="F63" s="5743">
        <v>14</v>
      </c>
      <c r="I63" s="4981"/>
      <c r="J63" s="4981"/>
      <c r="K63" s="4982" t="s">
        <v>3</v>
      </c>
      <c r="L63" s="4983"/>
      <c r="M63" s="4984">
        <f>SUM(M61,M35,M24)</f>
        <v>46</v>
      </c>
      <c r="N63" s="4981"/>
      <c r="O63" s="4985">
        <f>+(M62)/(M63)</f>
        <v>0.10869565217391304</v>
      </c>
      <c r="Q63" s="4458">
        <v>2</v>
      </c>
      <c r="R63" s="4458">
        <v>2</v>
      </c>
      <c r="S63" s="4459" t="s">
        <v>2725</v>
      </c>
      <c r="T63" s="4461" t="s">
        <v>1076</v>
      </c>
      <c r="U63" s="4458">
        <v>12</v>
      </c>
      <c r="V63" s="4479">
        <v>2</v>
      </c>
      <c r="W63" s="4510"/>
      <c r="X63" s="4467"/>
      <c r="Y63" s="4467"/>
      <c r="Z63" s="36"/>
      <c r="AA63" s="36"/>
      <c r="AB63" s="36"/>
      <c r="AC63" s="4236" t="s">
        <v>15</v>
      </c>
      <c r="AD63" s="4236"/>
      <c r="AE63" s="4236"/>
      <c r="AF63" s="4236"/>
      <c r="AG63" s="4236"/>
      <c r="AH63" s="4236"/>
      <c r="AI63" s="4236"/>
      <c r="AJ63" s="4236"/>
      <c r="AK63" s="4236"/>
      <c r="AL63" s="4236"/>
      <c r="AM63" s="4236"/>
      <c r="AN63" s="4236"/>
      <c r="AO63" s="4236">
        <v>4</v>
      </c>
      <c r="AP63" s="4236">
        <v>2</v>
      </c>
      <c r="AQ63" s="4236"/>
      <c r="AR63" s="4236">
        <v>6</v>
      </c>
      <c r="AS63" s="4243">
        <v>0</v>
      </c>
      <c r="AU63" s="36"/>
      <c r="AV63" s="36"/>
      <c r="AW63" s="36"/>
      <c r="AX63" s="36" t="s">
        <v>1163</v>
      </c>
      <c r="AY63" s="1681"/>
      <c r="AZ63" s="1681"/>
      <c r="BA63" s="1681"/>
      <c r="BB63" s="1681"/>
      <c r="BC63" s="1681"/>
      <c r="BD63" s="1681"/>
      <c r="BE63" s="1681"/>
      <c r="BF63" s="1681"/>
      <c r="BG63" s="1681">
        <v>0</v>
      </c>
      <c r="BH63" s="1681"/>
      <c r="BI63" s="1681"/>
      <c r="BJ63" s="1681">
        <v>1</v>
      </c>
      <c r="BK63" s="1681">
        <v>1</v>
      </c>
      <c r="BL63" s="1681">
        <v>0</v>
      </c>
      <c r="BM63" s="95"/>
      <c r="BN63" s="95">
        <v>0</v>
      </c>
      <c r="BO63" s="95">
        <v>2</v>
      </c>
      <c r="BP63" s="95"/>
      <c r="BU63" s="1520" t="s">
        <v>15</v>
      </c>
      <c r="BV63" s="3872"/>
      <c r="BW63" s="3872"/>
      <c r="BX63" s="3872"/>
      <c r="BY63" s="3872"/>
      <c r="BZ63" s="3872"/>
      <c r="CA63" s="3872"/>
      <c r="CB63" s="3872"/>
      <c r="CC63" s="3872"/>
      <c r="CD63" s="3872">
        <v>2</v>
      </c>
      <c r="CE63" s="3872"/>
      <c r="CF63" s="3872"/>
      <c r="CG63" s="3872">
        <v>2</v>
      </c>
      <c r="CH63" s="3872">
        <v>5</v>
      </c>
      <c r="CI63" s="3872">
        <v>1</v>
      </c>
      <c r="CJ63" s="3806">
        <v>1</v>
      </c>
      <c r="CK63" s="3806">
        <v>11</v>
      </c>
      <c r="CL63" s="3807">
        <f>+(CK60+CK62)/CK63</f>
        <v>0.27272727272727271</v>
      </c>
      <c r="CN63" s="36"/>
      <c r="CO63" s="36"/>
      <c r="CP63" s="393"/>
      <c r="CQ63" s="393" t="s">
        <v>1163</v>
      </c>
      <c r="CR63" s="2049">
        <v>0</v>
      </c>
      <c r="CS63" s="2049"/>
      <c r="CT63" s="2049"/>
      <c r="CU63" s="2049"/>
      <c r="CV63" s="2049">
        <v>0</v>
      </c>
      <c r="CW63" s="2049"/>
      <c r="CX63" s="2049">
        <v>0</v>
      </c>
      <c r="CY63" s="2049">
        <v>0</v>
      </c>
      <c r="CZ63" s="2049">
        <v>0</v>
      </c>
      <c r="DA63" s="2049">
        <v>3</v>
      </c>
      <c r="DB63" s="2049">
        <v>1</v>
      </c>
      <c r="DC63" s="2049">
        <v>1</v>
      </c>
      <c r="DD63" s="2049">
        <v>1</v>
      </c>
      <c r="DE63" s="2049">
        <v>0</v>
      </c>
      <c r="DF63" s="2049">
        <v>0</v>
      </c>
      <c r="DG63" s="393"/>
      <c r="DH63" s="393">
        <v>0</v>
      </c>
      <c r="DI63" s="393">
        <v>6</v>
      </c>
      <c r="DJ63" s="36"/>
      <c r="DL63" s="36"/>
      <c r="DM63" s="36"/>
      <c r="DN63" s="36"/>
      <c r="DO63" s="393" t="s">
        <v>15</v>
      </c>
      <c r="DP63" s="1682"/>
      <c r="DQ63" s="1682"/>
      <c r="DR63" s="1682"/>
      <c r="DS63" s="1682"/>
      <c r="DT63" s="1682"/>
      <c r="DU63" s="1682"/>
      <c r="DV63" s="1682"/>
      <c r="DW63" s="1682"/>
      <c r="DX63" s="1682"/>
      <c r="DY63" s="1682"/>
      <c r="DZ63" s="1682"/>
      <c r="EA63" s="1682"/>
      <c r="EB63" s="1682">
        <v>1</v>
      </c>
      <c r="EC63" s="1682">
        <v>1</v>
      </c>
      <c r="ED63" s="1682">
        <v>3</v>
      </c>
      <c r="EE63" s="86">
        <v>1</v>
      </c>
      <c r="EF63" s="86"/>
      <c r="EG63" s="86">
        <v>6</v>
      </c>
      <c r="EH63" s="560">
        <f>+(EG60-EE60+EG62)/EG63</f>
        <v>0.33333333333333331</v>
      </c>
      <c r="EL63" s="36"/>
      <c r="EM63" s="393" t="s">
        <v>15</v>
      </c>
      <c r="EN63" s="1491"/>
      <c r="EO63" s="1491"/>
      <c r="EP63" s="1491"/>
      <c r="EQ63" s="1491"/>
      <c r="ER63" s="1491"/>
      <c r="ES63" s="1491"/>
      <c r="ET63" s="1491"/>
      <c r="EU63" s="1491"/>
      <c r="EV63" s="1491"/>
      <c r="EW63" s="1491"/>
      <c r="EX63" s="1491"/>
      <c r="EY63" s="1491"/>
      <c r="EZ63" s="1491"/>
      <c r="FA63" s="1491"/>
      <c r="FB63" s="1491">
        <v>1</v>
      </c>
      <c r="FC63" s="393">
        <v>3</v>
      </c>
      <c r="FD63" s="393"/>
      <c r="FE63" s="393">
        <v>4</v>
      </c>
      <c r="FF63" s="560">
        <v>0</v>
      </c>
      <c r="FH63" s="1225"/>
      <c r="FI63" s="1225"/>
      <c r="FJ63" s="1225"/>
      <c r="FK63" s="1226" t="s">
        <v>1163</v>
      </c>
      <c r="FL63" s="1227"/>
      <c r="FM63" s="1228">
        <v>0</v>
      </c>
      <c r="FN63" s="1228">
        <v>0</v>
      </c>
      <c r="FO63" s="1227"/>
      <c r="FP63" s="1228">
        <v>0</v>
      </c>
      <c r="FQ63" s="1228">
        <v>0</v>
      </c>
      <c r="FR63" s="1227"/>
      <c r="FS63" s="1228">
        <v>0</v>
      </c>
      <c r="FT63" s="1228">
        <v>0</v>
      </c>
      <c r="FU63" s="1227"/>
      <c r="FV63" s="1228">
        <v>2</v>
      </c>
      <c r="FW63" s="1228">
        <v>1</v>
      </c>
      <c r="FX63" s="1228">
        <v>0</v>
      </c>
      <c r="FY63" s="1230">
        <v>0</v>
      </c>
      <c r="FZ63" s="1230">
        <v>0</v>
      </c>
      <c r="GA63" s="1230">
        <v>3</v>
      </c>
      <c r="GB63" s="36"/>
      <c r="GD63" s="603"/>
      <c r="GE63" s="603"/>
      <c r="GF63" s="603" t="s">
        <v>482</v>
      </c>
      <c r="GG63" s="604" t="s">
        <v>1071</v>
      </c>
      <c r="GH63" s="605"/>
      <c r="GI63" s="606">
        <v>0</v>
      </c>
      <c r="GJ63" s="605"/>
      <c r="GK63" s="605"/>
      <c r="GL63" s="605"/>
      <c r="GM63" s="606">
        <v>0</v>
      </c>
      <c r="GN63" s="605"/>
      <c r="GO63" s="606">
        <v>0</v>
      </c>
      <c r="GP63" s="605"/>
      <c r="GQ63" s="605"/>
      <c r="GR63" s="605"/>
      <c r="GS63" s="606">
        <v>0</v>
      </c>
      <c r="GT63" s="606">
        <v>1</v>
      </c>
      <c r="GU63" s="606">
        <v>0</v>
      </c>
      <c r="GV63" s="606">
        <v>0</v>
      </c>
      <c r="GW63" s="608">
        <v>0</v>
      </c>
      <c r="GX63" s="608">
        <v>0</v>
      </c>
      <c r="GY63" s="608">
        <v>1</v>
      </c>
      <c r="GZ63" s="95"/>
      <c r="HB63" s="441"/>
      <c r="HC63" s="441"/>
      <c r="HD63" s="441"/>
      <c r="HE63" s="441"/>
      <c r="HF63" s="442" t="s">
        <v>1080</v>
      </c>
      <c r="HG63" s="609"/>
      <c r="HH63" s="609"/>
      <c r="HI63" s="609"/>
      <c r="HJ63" s="609"/>
      <c r="HK63" s="609"/>
      <c r="HL63" s="609"/>
      <c r="HM63" s="609"/>
      <c r="HN63" s="609"/>
      <c r="HO63" s="610">
        <v>0</v>
      </c>
      <c r="HP63" s="609"/>
      <c r="HQ63" s="609"/>
      <c r="HR63" s="609"/>
      <c r="HS63" s="609"/>
      <c r="HT63" s="610">
        <v>0</v>
      </c>
      <c r="HU63" s="609"/>
      <c r="HV63" s="612">
        <v>2</v>
      </c>
      <c r="HW63" s="612">
        <v>1</v>
      </c>
      <c r="HX63" s="612">
        <v>3</v>
      </c>
      <c r="HY63" s="560"/>
      <c r="HZ63" s="36"/>
      <c r="IA63" s="613"/>
      <c r="IB63" s="613"/>
      <c r="IC63" s="613"/>
      <c r="ID63" s="389" t="s">
        <v>1076</v>
      </c>
      <c r="IE63" s="390">
        <v>0</v>
      </c>
      <c r="IF63" s="390">
        <v>0</v>
      </c>
      <c r="IG63" s="390">
        <v>0</v>
      </c>
      <c r="IH63" s="614"/>
      <c r="II63" s="614"/>
      <c r="IJ63" s="614"/>
      <c r="IK63" s="390">
        <v>1</v>
      </c>
      <c r="IL63" s="390">
        <v>1</v>
      </c>
      <c r="IM63" s="390">
        <v>9</v>
      </c>
      <c r="IN63" s="390">
        <v>2</v>
      </c>
      <c r="IO63" s="614"/>
      <c r="IP63" s="614"/>
      <c r="IQ63" s="614"/>
      <c r="IR63" s="390">
        <v>13</v>
      </c>
      <c r="IS63" s="615"/>
      <c r="IT63" s="36"/>
      <c r="IU63" s="36"/>
      <c r="IV63" s="95"/>
      <c r="IW63" s="95"/>
      <c r="IX63" s="36"/>
      <c r="IY63" s="393" t="s">
        <v>15</v>
      </c>
      <c r="IZ63" s="86"/>
      <c r="JA63" s="86"/>
      <c r="JB63" s="86"/>
      <c r="JC63" s="86"/>
      <c r="JD63" s="86"/>
      <c r="JE63" s="86"/>
      <c r="JF63" s="86"/>
      <c r="JG63" s="86"/>
      <c r="JH63" s="86">
        <v>1</v>
      </c>
      <c r="JI63" s="86">
        <v>1</v>
      </c>
      <c r="JJ63" s="86">
        <v>2</v>
      </c>
      <c r="JK63" s="86">
        <v>1</v>
      </c>
      <c r="JL63" s="86"/>
      <c r="JM63" s="86">
        <v>5</v>
      </c>
      <c r="JN63" s="86"/>
      <c r="JO63" s="86"/>
      <c r="JP63" s="86">
        <v>10</v>
      </c>
      <c r="JQ63" s="631">
        <f>+(JP60+JP62)/JP63</f>
        <v>0.2</v>
      </c>
      <c r="JR63" s="36"/>
      <c r="JS63" s="616"/>
      <c r="JT63" s="616" t="s">
        <v>41</v>
      </c>
      <c r="JU63" s="616" t="s">
        <v>128</v>
      </c>
      <c r="JV63" s="616" t="s">
        <v>1072</v>
      </c>
      <c r="JW63" s="616">
        <v>1</v>
      </c>
      <c r="JX63" s="616">
        <v>0</v>
      </c>
      <c r="JY63" s="616">
        <v>0</v>
      </c>
      <c r="JZ63" s="616">
        <v>0</v>
      </c>
      <c r="KA63" s="616">
        <v>0</v>
      </c>
      <c r="KB63" s="616">
        <v>0</v>
      </c>
      <c r="KC63" s="616">
        <v>0</v>
      </c>
      <c r="KD63" s="616">
        <v>0</v>
      </c>
      <c r="KE63" s="616">
        <v>0</v>
      </c>
      <c r="KF63" s="616">
        <v>0</v>
      </c>
      <c r="KG63" s="616">
        <v>0</v>
      </c>
      <c r="KH63" s="616">
        <v>0</v>
      </c>
      <c r="KI63" s="616">
        <v>0</v>
      </c>
      <c r="KJ63" s="616">
        <v>0</v>
      </c>
      <c r="KK63" s="616">
        <v>0</v>
      </c>
      <c r="KL63" s="616">
        <v>0</v>
      </c>
      <c r="KM63" s="616">
        <v>1</v>
      </c>
      <c r="KN63" s="616"/>
      <c r="KO63" s="617"/>
    </row>
    <row r="64" spans="1:301">
      <c r="A64" s="5737">
        <v>2</v>
      </c>
      <c r="B64" s="5737">
        <v>1</v>
      </c>
      <c r="C64" s="5736" t="s">
        <v>119</v>
      </c>
      <c r="D64" s="5736" t="s">
        <v>3027</v>
      </c>
      <c r="E64" s="5737">
        <v>1</v>
      </c>
      <c r="F64" s="5737">
        <v>15</v>
      </c>
      <c r="I64" s="4726">
        <v>2</v>
      </c>
      <c r="J64" s="4726">
        <v>1</v>
      </c>
      <c r="K64" s="4725" t="s">
        <v>119</v>
      </c>
      <c r="L64" s="4725" t="s">
        <v>2731</v>
      </c>
      <c r="M64" s="4726">
        <v>1</v>
      </c>
      <c r="N64" s="4726">
        <v>15</v>
      </c>
      <c r="Q64" s="4458">
        <v>2</v>
      </c>
      <c r="R64" s="4458">
        <v>2</v>
      </c>
      <c r="S64" s="4459" t="s">
        <v>2725</v>
      </c>
      <c r="T64" s="4459" t="s">
        <v>2731</v>
      </c>
      <c r="U64" s="4458">
        <v>14</v>
      </c>
      <c r="V64" s="4479">
        <v>5</v>
      </c>
      <c r="W64" s="4510"/>
      <c r="X64" s="4467"/>
      <c r="Y64" s="4467"/>
      <c r="Z64" s="36"/>
      <c r="AA64" s="36"/>
      <c r="AB64" s="36" t="s">
        <v>121</v>
      </c>
      <c r="AC64" s="36" t="s">
        <v>1076</v>
      </c>
      <c r="AD64" s="615"/>
      <c r="AE64" s="615"/>
      <c r="AF64" s="615"/>
      <c r="AG64" s="615"/>
      <c r="AH64" s="615"/>
      <c r="AI64" s="615"/>
      <c r="AJ64" s="615"/>
      <c r="AK64" s="615"/>
      <c r="AL64" s="615"/>
      <c r="AM64" s="615"/>
      <c r="AN64" s="615">
        <v>1</v>
      </c>
      <c r="AO64" s="615">
        <v>0</v>
      </c>
      <c r="AP64" s="615">
        <v>0</v>
      </c>
      <c r="AQ64" s="36"/>
      <c r="AR64" s="36">
        <v>1</v>
      </c>
      <c r="AS64" s="36"/>
      <c r="AX64" s="3868" t="s">
        <v>15</v>
      </c>
      <c r="AY64" s="3721"/>
      <c r="AZ64" s="3721"/>
      <c r="BA64" s="3721"/>
      <c r="BB64" s="3721"/>
      <c r="BC64" s="3721"/>
      <c r="BD64" s="3721"/>
      <c r="BE64" s="3721"/>
      <c r="BF64" s="3721"/>
      <c r="BG64" s="3721">
        <v>2</v>
      </c>
      <c r="BH64" s="3721"/>
      <c r="BI64" s="3721"/>
      <c r="BJ64" s="3721">
        <v>2</v>
      </c>
      <c r="BK64" s="3721">
        <v>4</v>
      </c>
      <c r="BL64" s="3721">
        <v>2</v>
      </c>
      <c r="BM64" s="2110"/>
      <c r="BN64" s="2110">
        <v>1</v>
      </c>
      <c r="BO64" s="2110">
        <v>11</v>
      </c>
      <c r="BP64" s="1665">
        <f>+(BO61+BO63)/(BO64)</f>
        <v>0.27272727272727271</v>
      </c>
      <c r="BT64" s="32" t="s">
        <v>120</v>
      </c>
      <c r="BU64" s="32" t="s">
        <v>1071</v>
      </c>
      <c r="BV64" s="3871"/>
      <c r="BW64" s="3871"/>
      <c r="BX64" s="3871"/>
      <c r="BY64" s="3871"/>
      <c r="BZ64" s="3871"/>
      <c r="CA64" s="3871"/>
      <c r="CB64" s="3871"/>
      <c r="CC64" s="3871"/>
      <c r="CD64" s="3871"/>
      <c r="CE64" s="3871"/>
      <c r="CF64" s="3871"/>
      <c r="CG64" s="3871">
        <v>1</v>
      </c>
      <c r="CH64" s="3871">
        <v>2</v>
      </c>
      <c r="CI64" s="3871">
        <v>0</v>
      </c>
      <c r="CJ64" s="1518">
        <v>0</v>
      </c>
      <c r="CK64" s="1518">
        <v>3</v>
      </c>
      <c r="CN64" s="36"/>
      <c r="CO64" s="36"/>
      <c r="CP64" s="393"/>
      <c r="CQ64" s="393" t="s">
        <v>105</v>
      </c>
      <c r="CR64" s="2049">
        <v>1</v>
      </c>
      <c r="CS64" s="2049"/>
      <c r="CT64" s="2049"/>
      <c r="CU64" s="2049"/>
      <c r="CV64" s="2049">
        <v>2</v>
      </c>
      <c r="CW64" s="2049"/>
      <c r="CX64" s="2049">
        <v>1</v>
      </c>
      <c r="CY64" s="2049">
        <v>2</v>
      </c>
      <c r="CZ64" s="2049">
        <v>1</v>
      </c>
      <c r="DA64" s="2049">
        <v>18</v>
      </c>
      <c r="DB64" s="2049">
        <v>5</v>
      </c>
      <c r="DC64" s="2049">
        <v>8</v>
      </c>
      <c r="DD64" s="2049">
        <v>2</v>
      </c>
      <c r="DE64" s="2049">
        <v>9</v>
      </c>
      <c r="DF64" s="2049">
        <v>13</v>
      </c>
      <c r="DG64" s="393"/>
      <c r="DH64" s="393">
        <v>1</v>
      </c>
      <c r="DI64" s="393">
        <v>63</v>
      </c>
      <c r="DJ64" s="560">
        <f>+(DI63+DI62+DI60)/DI64</f>
        <v>0.25396825396825395</v>
      </c>
      <c r="DK64" s="1665"/>
      <c r="DL64" s="36"/>
      <c r="DM64" s="36"/>
      <c r="DN64" s="36" t="s">
        <v>388</v>
      </c>
      <c r="DO64" s="36" t="s">
        <v>1072</v>
      </c>
      <c r="DP64" s="1681"/>
      <c r="DQ64" s="1681"/>
      <c r="DR64" s="1681"/>
      <c r="DS64" s="1681"/>
      <c r="DT64" s="1681">
        <v>2</v>
      </c>
      <c r="DU64" s="1681"/>
      <c r="DV64" s="1681"/>
      <c r="DW64" s="1681"/>
      <c r="DX64" s="1681"/>
      <c r="DY64" s="1681"/>
      <c r="DZ64" s="1681"/>
      <c r="EA64" s="1681">
        <v>1</v>
      </c>
      <c r="EB64" s="1681">
        <v>0</v>
      </c>
      <c r="EC64" s="1681"/>
      <c r="ED64" s="1681">
        <v>0</v>
      </c>
      <c r="EE64" s="95">
        <v>0</v>
      </c>
      <c r="EF64" s="95"/>
      <c r="EG64" s="95">
        <v>3</v>
      </c>
      <c r="EH64" s="36"/>
      <c r="EL64" s="36" t="s">
        <v>388</v>
      </c>
      <c r="EM64" s="36" t="s">
        <v>1072</v>
      </c>
      <c r="EN64" s="1490"/>
      <c r="EO64" s="1490"/>
      <c r="EP64" s="1490"/>
      <c r="EQ64" s="1490"/>
      <c r="ER64" s="1490"/>
      <c r="ES64" s="1490">
        <v>1</v>
      </c>
      <c r="ET64" s="1490"/>
      <c r="EU64" s="1490">
        <v>1</v>
      </c>
      <c r="EV64" s="1490"/>
      <c r="EW64" s="1490"/>
      <c r="EX64" s="1490"/>
      <c r="EY64" s="1490"/>
      <c r="EZ64" s="1490">
        <v>2</v>
      </c>
      <c r="FA64" s="1490">
        <v>0</v>
      </c>
      <c r="FB64" s="1490">
        <v>0</v>
      </c>
      <c r="FC64" s="36">
        <v>0</v>
      </c>
      <c r="FD64" s="36">
        <v>0</v>
      </c>
      <c r="FE64" s="36">
        <v>4</v>
      </c>
      <c r="FF64" s="36"/>
      <c r="FH64" s="1225"/>
      <c r="FI64" s="1225"/>
      <c r="FJ64" s="1225"/>
      <c r="FK64" s="1222" t="s">
        <v>482</v>
      </c>
      <c r="FL64" s="1231"/>
      <c r="FM64" s="1232">
        <v>3</v>
      </c>
      <c r="FN64" s="1232">
        <v>1</v>
      </c>
      <c r="FO64" s="1231"/>
      <c r="FP64" s="1232">
        <v>2</v>
      </c>
      <c r="FQ64" s="1232">
        <v>1</v>
      </c>
      <c r="FR64" s="1231"/>
      <c r="FS64" s="1232">
        <v>1</v>
      </c>
      <c r="FT64" s="1232">
        <v>1</v>
      </c>
      <c r="FU64" s="1231"/>
      <c r="FV64" s="1232">
        <v>3</v>
      </c>
      <c r="FW64" s="1232">
        <v>4</v>
      </c>
      <c r="FX64" s="1232">
        <v>21</v>
      </c>
      <c r="FY64" s="1234">
        <v>4</v>
      </c>
      <c r="FZ64" s="1234">
        <v>10</v>
      </c>
      <c r="GA64" s="1234">
        <v>51</v>
      </c>
      <c r="GB64" s="1178">
        <f>+(GA60-FY60+GA63)/GA64</f>
        <v>7.8431372549019607E-2</v>
      </c>
      <c r="GD64" s="603"/>
      <c r="GE64" s="603"/>
      <c r="GF64" s="603"/>
      <c r="GG64" s="604" t="s">
        <v>1072</v>
      </c>
      <c r="GH64" s="605"/>
      <c r="GI64" s="606">
        <v>1</v>
      </c>
      <c r="GJ64" s="605"/>
      <c r="GK64" s="605"/>
      <c r="GL64" s="605"/>
      <c r="GM64" s="606">
        <v>1</v>
      </c>
      <c r="GN64" s="605"/>
      <c r="GO64" s="606">
        <v>1</v>
      </c>
      <c r="GP64" s="605"/>
      <c r="GQ64" s="605"/>
      <c r="GR64" s="605"/>
      <c r="GS64" s="606">
        <v>1</v>
      </c>
      <c r="GT64" s="606">
        <v>1</v>
      </c>
      <c r="GU64" s="606">
        <v>3</v>
      </c>
      <c r="GV64" s="606">
        <v>1</v>
      </c>
      <c r="GW64" s="608">
        <v>0</v>
      </c>
      <c r="GX64" s="608">
        <v>0</v>
      </c>
      <c r="GY64" s="608">
        <v>9</v>
      </c>
      <c r="GZ64" s="95"/>
      <c r="HB64" s="441"/>
      <c r="HC64" s="441"/>
      <c r="HD64" s="462"/>
      <c r="HE64" s="36"/>
      <c r="HF64" s="462" t="s">
        <v>15</v>
      </c>
      <c r="HG64" s="618"/>
      <c r="HH64" s="618"/>
      <c r="HI64" s="618"/>
      <c r="HJ64" s="618"/>
      <c r="HK64" s="618"/>
      <c r="HL64" s="618"/>
      <c r="HM64" s="618"/>
      <c r="HN64" s="618"/>
      <c r="HO64" s="619">
        <v>1</v>
      </c>
      <c r="HP64" s="618"/>
      <c r="HQ64" s="618"/>
      <c r="HR64" s="618"/>
      <c r="HS64" s="618"/>
      <c r="HT64" s="619">
        <v>2</v>
      </c>
      <c r="HU64" s="618"/>
      <c r="HV64" s="621">
        <v>2</v>
      </c>
      <c r="HW64" s="621">
        <v>1</v>
      </c>
      <c r="HX64" s="621">
        <v>6</v>
      </c>
      <c r="HY64" s="560">
        <v>0</v>
      </c>
      <c r="HZ64" s="36"/>
      <c r="IA64" s="613"/>
      <c r="IB64" s="613"/>
      <c r="IC64" s="613"/>
      <c r="ID64" s="389" t="s">
        <v>1163</v>
      </c>
      <c r="IE64" s="390">
        <v>0</v>
      </c>
      <c r="IF64" s="390">
        <v>0</v>
      </c>
      <c r="IG64" s="390">
        <v>0</v>
      </c>
      <c r="IH64" s="614"/>
      <c r="II64" s="614"/>
      <c r="IJ64" s="614"/>
      <c r="IK64" s="390">
        <v>1</v>
      </c>
      <c r="IL64" s="390">
        <v>0</v>
      </c>
      <c r="IM64" s="390">
        <v>3</v>
      </c>
      <c r="IN64" s="390">
        <v>0</v>
      </c>
      <c r="IO64" s="614"/>
      <c r="IP64" s="614"/>
      <c r="IQ64" s="614"/>
      <c r="IR64" s="390">
        <v>4</v>
      </c>
      <c r="IS64" s="615"/>
      <c r="IT64" s="36"/>
      <c r="IU64" s="36"/>
      <c r="IV64" s="95"/>
      <c r="IW64" s="95"/>
      <c r="IX64" s="36" t="s">
        <v>125</v>
      </c>
      <c r="IY64" s="36" t="s">
        <v>1072</v>
      </c>
      <c r="IZ64" s="95"/>
      <c r="JA64" s="95">
        <v>0</v>
      </c>
      <c r="JB64" s="95">
        <v>0</v>
      </c>
      <c r="JC64" s="95"/>
      <c r="JD64" s="95">
        <v>0</v>
      </c>
      <c r="JE64" s="95"/>
      <c r="JF64" s="95"/>
      <c r="JG64" s="95"/>
      <c r="JH64" s="95"/>
      <c r="JI64" s="95">
        <v>0</v>
      </c>
      <c r="JJ64" s="95">
        <v>0</v>
      </c>
      <c r="JK64" s="95">
        <v>1</v>
      </c>
      <c r="JL64" s="95">
        <v>0</v>
      </c>
      <c r="JM64" s="95"/>
      <c r="JN64" s="95"/>
      <c r="JO64" s="95"/>
      <c r="JP64" s="95">
        <v>1</v>
      </c>
      <c r="JQ64" s="36"/>
      <c r="JR64" s="36"/>
      <c r="JS64" s="616"/>
      <c r="JT64" s="616"/>
      <c r="JU64" s="616"/>
      <c r="JV64" s="616" t="s">
        <v>1076</v>
      </c>
      <c r="JW64" s="616">
        <v>0</v>
      </c>
      <c r="JX64" s="616">
        <v>0</v>
      </c>
      <c r="JY64" s="616">
        <v>0</v>
      </c>
      <c r="JZ64" s="616">
        <v>0</v>
      </c>
      <c r="KA64" s="616">
        <v>0</v>
      </c>
      <c r="KB64" s="616">
        <v>0</v>
      </c>
      <c r="KC64" s="616">
        <v>0</v>
      </c>
      <c r="KD64" s="616">
        <v>0</v>
      </c>
      <c r="KE64" s="616">
        <v>0</v>
      </c>
      <c r="KF64" s="616">
        <v>0</v>
      </c>
      <c r="KG64" s="616">
        <v>1</v>
      </c>
      <c r="KH64" s="616">
        <v>0</v>
      </c>
      <c r="KI64" s="616">
        <v>2</v>
      </c>
      <c r="KJ64" s="616">
        <v>0</v>
      </c>
      <c r="KK64" s="616">
        <v>0</v>
      </c>
      <c r="KL64" s="616">
        <v>0</v>
      </c>
      <c r="KM64" s="616">
        <v>3</v>
      </c>
      <c r="KN64" s="616"/>
      <c r="KO64" s="617"/>
    </row>
    <row r="65" spans="1:301">
      <c r="A65" s="5737">
        <v>2</v>
      </c>
      <c r="B65" s="5737">
        <v>1</v>
      </c>
      <c r="C65" s="5736" t="s">
        <v>119</v>
      </c>
      <c r="D65" s="5736" t="s">
        <v>2709</v>
      </c>
      <c r="E65" s="5737">
        <v>1</v>
      </c>
      <c r="F65" s="5737">
        <v>15</v>
      </c>
      <c r="I65" s="4726">
        <v>2</v>
      </c>
      <c r="J65" s="4726">
        <v>1</v>
      </c>
      <c r="K65" s="4725" t="s">
        <v>119</v>
      </c>
      <c r="L65" s="4725" t="s">
        <v>1071</v>
      </c>
      <c r="M65" s="4726">
        <v>1</v>
      </c>
      <c r="N65" s="4726">
        <v>13</v>
      </c>
      <c r="Q65" s="4458">
        <v>2</v>
      </c>
      <c r="R65" s="4458">
        <v>2</v>
      </c>
      <c r="S65" s="4459" t="s">
        <v>2725</v>
      </c>
      <c r="T65" s="4461" t="s">
        <v>2707</v>
      </c>
      <c r="U65" s="4458">
        <v>13</v>
      </c>
      <c r="V65" s="4479">
        <v>1</v>
      </c>
      <c r="W65" s="4510"/>
      <c r="X65" s="4467"/>
      <c r="Y65" s="4467"/>
      <c r="Z65" s="36"/>
      <c r="AA65" s="36"/>
      <c r="AB65" s="36"/>
      <c r="AC65" s="36" t="s">
        <v>1080</v>
      </c>
      <c r="AD65" s="615"/>
      <c r="AE65" s="615"/>
      <c r="AF65" s="615"/>
      <c r="AG65" s="615"/>
      <c r="AH65" s="615"/>
      <c r="AI65" s="615"/>
      <c r="AJ65" s="615"/>
      <c r="AK65" s="615"/>
      <c r="AL65" s="615"/>
      <c r="AM65" s="615"/>
      <c r="AN65" s="615">
        <v>0</v>
      </c>
      <c r="AO65" s="615">
        <v>1</v>
      </c>
      <c r="AP65" s="615">
        <v>1</v>
      </c>
      <c r="AQ65" s="36"/>
      <c r="AR65" s="36">
        <v>2</v>
      </c>
      <c r="AS65" s="36"/>
      <c r="AW65" s="3868" t="s">
        <v>120</v>
      </c>
      <c r="AX65" s="3868" t="s">
        <v>1071</v>
      </c>
      <c r="AY65" s="3721"/>
      <c r="AZ65" s="3721"/>
      <c r="BA65" s="3721"/>
      <c r="BB65" s="3721"/>
      <c r="BC65" s="3721"/>
      <c r="BD65" s="3721"/>
      <c r="BE65" s="3721"/>
      <c r="BF65" s="3721"/>
      <c r="BG65" s="3721"/>
      <c r="BH65" s="3721"/>
      <c r="BI65" s="3721"/>
      <c r="BJ65" s="3721">
        <v>0</v>
      </c>
      <c r="BK65" s="3721">
        <v>1</v>
      </c>
      <c r="BL65" s="3721">
        <v>1</v>
      </c>
      <c r="BM65" s="2110">
        <v>0</v>
      </c>
      <c r="BN65" s="2110"/>
      <c r="BO65" s="2110">
        <v>2</v>
      </c>
      <c r="BP65" s="2110"/>
      <c r="BU65" s="32" t="s">
        <v>1072</v>
      </c>
      <c r="BV65" s="3871"/>
      <c r="BW65" s="3871"/>
      <c r="BX65" s="3871"/>
      <c r="BY65" s="3871"/>
      <c r="BZ65" s="3871"/>
      <c r="CA65" s="3871"/>
      <c r="CB65" s="3871"/>
      <c r="CC65" s="3871"/>
      <c r="CD65" s="3871"/>
      <c r="CE65" s="3871"/>
      <c r="CF65" s="3871"/>
      <c r="CG65" s="3871">
        <v>1</v>
      </c>
      <c r="CH65" s="3871">
        <v>0</v>
      </c>
      <c r="CI65" s="3871">
        <v>0</v>
      </c>
      <c r="CJ65" s="1518">
        <v>0</v>
      </c>
      <c r="CK65" s="1518">
        <v>1</v>
      </c>
      <c r="CN65" s="36" t="s">
        <v>25</v>
      </c>
      <c r="CO65" s="36" t="s">
        <v>4</v>
      </c>
      <c r="CP65" s="36" t="s">
        <v>119</v>
      </c>
      <c r="CQ65" s="36" t="s">
        <v>1072</v>
      </c>
      <c r="CR65" s="615">
        <v>1</v>
      </c>
      <c r="CS65" s="615"/>
      <c r="CT65" s="615"/>
      <c r="CU65" s="615">
        <v>1</v>
      </c>
      <c r="CV65" s="615"/>
      <c r="CW65" s="615"/>
      <c r="CX65" s="615"/>
      <c r="CY65" s="615"/>
      <c r="CZ65" s="615"/>
      <c r="DA65" s="615"/>
      <c r="DB65" s="615"/>
      <c r="DC65" s="615"/>
      <c r="DD65" s="615"/>
      <c r="DE65" s="615">
        <v>0</v>
      </c>
      <c r="DF65" s="615">
        <v>0</v>
      </c>
      <c r="DG65" s="36">
        <v>0</v>
      </c>
      <c r="DH65" s="36"/>
      <c r="DI65" s="36">
        <v>2</v>
      </c>
      <c r="DJ65" s="36"/>
      <c r="DL65" s="36"/>
      <c r="DM65" s="36"/>
      <c r="DN65" s="36"/>
      <c r="DO65" s="36" t="s">
        <v>1076</v>
      </c>
      <c r="DP65" s="1681"/>
      <c r="DQ65" s="1681"/>
      <c r="DR65" s="1681"/>
      <c r="DS65" s="1681"/>
      <c r="DT65" s="1681">
        <v>0</v>
      </c>
      <c r="DU65" s="1681"/>
      <c r="DV65" s="1681"/>
      <c r="DW65" s="1681"/>
      <c r="DX65" s="1681"/>
      <c r="DY65" s="1681"/>
      <c r="DZ65" s="1681"/>
      <c r="EA65" s="1681">
        <v>0</v>
      </c>
      <c r="EB65" s="1681">
        <v>1</v>
      </c>
      <c r="EC65" s="1681"/>
      <c r="ED65" s="1681">
        <v>0</v>
      </c>
      <c r="EE65" s="95">
        <v>0</v>
      </c>
      <c r="EF65" s="95"/>
      <c r="EG65" s="95">
        <v>1</v>
      </c>
      <c r="EH65" s="36"/>
      <c r="EL65" s="36"/>
      <c r="EM65" s="36" t="s">
        <v>1080</v>
      </c>
      <c r="EN65" s="1490"/>
      <c r="EO65" s="1490"/>
      <c r="EP65" s="1490"/>
      <c r="EQ65" s="1490"/>
      <c r="ER65" s="1490"/>
      <c r="ES65" s="1490">
        <v>0</v>
      </c>
      <c r="ET65" s="1490"/>
      <c r="EU65" s="1490">
        <v>0</v>
      </c>
      <c r="EV65" s="1490"/>
      <c r="EW65" s="1490"/>
      <c r="EX65" s="1490"/>
      <c r="EY65" s="1490"/>
      <c r="EZ65" s="1490">
        <v>0</v>
      </c>
      <c r="FA65" s="1490">
        <v>0</v>
      </c>
      <c r="FB65" s="1490">
        <v>2</v>
      </c>
      <c r="FC65" s="36">
        <v>2</v>
      </c>
      <c r="FD65" s="36">
        <v>1</v>
      </c>
      <c r="FE65" s="36">
        <v>5</v>
      </c>
      <c r="FF65" s="36"/>
      <c r="FH65" s="1225"/>
      <c r="FI65" s="1225" t="s">
        <v>16</v>
      </c>
      <c r="FJ65" s="1225" t="s">
        <v>106</v>
      </c>
      <c r="FK65" s="1226" t="s">
        <v>1072</v>
      </c>
      <c r="FL65" s="1227"/>
      <c r="FM65" s="1227"/>
      <c r="FN65" s="1227"/>
      <c r="FO65" s="1227"/>
      <c r="FP65" s="1227"/>
      <c r="FQ65" s="1227"/>
      <c r="FR65" s="1227"/>
      <c r="FS65" s="1227"/>
      <c r="FT65" s="1227"/>
      <c r="FU65" s="1227"/>
      <c r="FV65" s="1227"/>
      <c r="FW65" s="1228">
        <v>1</v>
      </c>
      <c r="FX65" s="1228">
        <v>0</v>
      </c>
      <c r="FY65" s="1229"/>
      <c r="FZ65" s="1229"/>
      <c r="GA65" s="1230">
        <v>1</v>
      </c>
      <c r="GB65" s="36"/>
      <c r="GD65" s="603"/>
      <c r="GE65" s="603"/>
      <c r="GF65" s="603"/>
      <c r="GG65" s="604" t="s">
        <v>1076</v>
      </c>
      <c r="GH65" s="605"/>
      <c r="GI65" s="606">
        <v>0</v>
      </c>
      <c r="GJ65" s="605"/>
      <c r="GK65" s="605"/>
      <c r="GL65" s="605"/>
      <c r="GM65" s="606">
        <v>0</v>
      </c>
      <c r="GN65" s="605"/>
      <c r="GO65" s="606">
        <v>0</v>
      </c>
      <c r="GP65" s="605"/>
      <c r="GQ65" s="605"/>
      <c r="GR65" s="605"/>
      <c r="GS65" s="606">
        <v>0</v>
      </c>
      <c r="GT65" s="606">
        <v>1</v>
      </c>
      <c r="GU65" s="606">
        <v>0</v>
      </c>
      <c r="GV65" s="606">
        <v>1</v>
      </c>
      <c r="GW65" s="608">
        <v>0</v>
      </c>
      <c r="GX65" s="608">
        <v>0</v>
      </c>
      <c r="GY65" s="608">
        <v>2</v>
      </c>
      <c r="GZ65" s="95"/>
      <c r="HB65" s="441"/>
      <c r="HC65" s="441"/>
      <c r="HD65" s="462" t="s">
        <v>482</v>
      </c>
      <c r="HE65" s="441" t="s">
        <v>1070</v>
      </c>
      <c r="HF65" s="442" t="s">
        <v>1071</v>
      </c>
      <c r="HG65" s="609"/>
      <c r="HH65" s="609"/>
      <c r="HI65" s="609"/>
      <c r="HJ65" s="610">
        <v>0</v>
      </c>
      <c r="HK65" s="609"/>
      <c r="HL65" s="609"/>
      <c r="HM65" s="609"/>
      <c r="HN65" s="610">
        <v>0</v>
      </c>
      <c r="HO65" s="610">
        <v>0</v>
      </c>
      <c r="HP65" s="609"/>
      <c r="HQ65" s="610">
        <v>0</v>
      </c>
      <c r="HR65" s="610">
        <v>0</v>
      </c>
      <c r="HS65" s="610">
        <v>0</v>
      </c>
      <c r="HT65" s="610">
        <v>0</v>
      </c>
      <c r="HU65" s="610">
        <v>3</v>
      </c>
      <c r="HV65" s="612">
        <v>1</v>
      </c>
      <c r="HW65" s="612">
        <v>0</v>
      </c>
      <c r="HX65" s="612">
        <v>4</v>
      </c>
      <c r="HY65" s="560"/>
      <c r="HZ65" s="36"/>
      <c r="IA65" s="613"/>
      <c r="IB65" s="613"/>
      <c r="IC65" s="613"/>
      <c r="ID65" s="629" t="s">
        <v>15</v>
      </c>
      <c r="IE65" s="395">
        <v>1</v>
      </c>
      <c r="IF65" s="395">
        <v>1</v>
      </c>
      <c r="IG65" s="395">
        <v>1</v>
      </c>
      <c r="IH65" s="630"/>
      <c r="II65" s="630"/>
      <c r="IJ65" s="630"/>
      <c r="IK65" s="395">
        <v>2</v>
      </c>
      <c r="IL65" s="395">
        <v>1</v>
      </c>
      <c r="IM65" s="395">
        <v>13</v>
      </c>
      <c r="IN65" s="395">
        <v>3</v>
      </c>
      <c r="IO65" s="630"/>
      <c r="IP65" s="630"/>
      <c r="IQ65" s="630"/>
      <c r="IR65" s="395">
        <v>22</v>
      </c>
      <c r="IS65" s="553">
        <f>+(IR64+IR63)/IR65</f>
        <v>0.77272727272727271</v>
      </c>
      <c r="IT65" s="36"/>
      <c r="IU65" s="36"/>
      <c r="IV65" s="95"/>
      <c r="IW65" s="95"/>
      <c r="IX65" s="36"/>
      <c r="IY65" s="36" t="s">
        <v>1074</v>
      </c>
      <c r="IZ65" s="95"/>
      <c r="JA65" s="95">
        <v>1</v>
      </c>
      <c r="JB65" s="95">
        <v>0</v>
      </c>
      <c r="JC65" s="95"/>
      <c r="JD65" s="95">
        <v>1</v>
      </c>
      <c r="JE65" s="95"/>
      <c r="JF65" s="95"/>
      <c r="JG65" s="95"/>
      <c r="JH65" s="95"/>
      <c r="JI65" s="95">
        <v>0</v>
      </c>
      <c r="JJ65" s="95">
        <v>0</v>
      </c>
      <c r="JK65" s="95">
        <v>0</v>
      </c>
      <c r="JL65" s="95">
        <v>0</v>
      </c>
      <c r="JM65" s="95"/>
      <c r="JN65" s="95"/>
      <c r="JO65" s="95"/>
      <c r="JP65" s="95">
        <v>2</v>
      </c>
      <c r="JQ65" s="36"/>
      <c r="JR65" s="36"/>
      <c r="JS65" s="616"/>
      <c r="JT65" s="616"/>
      <c r="JU65" s="616"/>
      <c r="JV65" s="616" t="s">
        <v>1080</v>
      </c>
      <c r="JW65" s="616">
        <v>0</v>
      </c>
      <c r="JX65" s="616">
        <v>0</v>
      </c>
      <c r="JY65" s="616">
        <v>0</v>
      </c>
      <c r="JZ65" s="616">
        <v>0</v>
      </c>
      <c r="KA65" s="616">
        <v>0</v>
      </c>
      <c r="KB65" s="616">
        <v>0</v>
      </c>
      <c r="KC65" s="616">
        <v>0</v>
      </c>
      <c r="KD65" s="616">
        <v>0</v>
      </c>
      <c r="KE65" s="616">
        <v>0</v>
      </c>
      <c r="KF65" s="616">
        <v>0</v>
      </c>
      <c r="KG65" s="616">
        <v>0</v>
      </c>
      <c r="KH65" s="616">
        <v>0</v>
      </c>
      <c r="KI65" s="616">
        <v>0</v>
      </c>
      <c r="KJ65" s="616">
        <v>5</v>
      </c>
      <c r="KK65" s="616">
        <v>1</v>
      </c>
      <c r="KL65" s="616">
        <v>3</v>
      </c>
      <c r="KM65" s="616">
        <v>9</v>
      </c>
      <c r="KN65" s="616"/>
      <c r="KO65" s="617"/>
    </row>
    <row r="66" spans="1:301">
      <c r="A66" s="5737"/>
      <c r="B66" s="5737"/>
      <c r="C66" s="5736"/>
      <c r="D66" s="5736"/>
      <c r="E66" s="5742">
        <f>SUM(E63:E65)</f>
        <v>3</v>
      </c>
      <c r="F66" s="5737"/>
      <c r="G66" s="4510">
        <v>0</v>
      </c>
      <c r="I66" s="4726">
        <v>2</v>
      </c>
      <c r="J66" s="4726">
        <v>1</v>
      </c>
      <c r="K66" s="4725" t="s">
        <v>119</v>
      </c>
      <c r="L66" s="4725" t="s">
        <v>1071</v>
      </c>
      <c r="M66" s="4726">
        <v>1</v>
      </c>
      <c r="N66" s="4726">
        <v>14</v>
      </c>
      <c r="Q66" s="4458"/>
      <c r="R66" s="4458"/>
      <c r="S66" s="4465" t="s">
        <v>15</v>
      </c>
      <c r="T66" s="4461"/>
      <c r="U66" s="4458"/>
      <c r="V66" s="4480">
        <f>SUM(V62:V65)</f>
        <v>22</v>
      </c>
      <c r="W66" s="4476">
        <f>+(V63+V65)/(V66)</f>
        <v>0.13636363636363635</v>
      </c>
      <c r="X66" s="4467"/>
      <c r="Y66" s="4467"/>
      <c r="Z66" s="36"/>
      <c r="AA66" s="36"/>
      <c r="AB66" s="36"/>
      <c r="AC66" s="4236" t="s">
        <v>15</v>
      </c>
      <c r="AD66" s="4236"/>
      <c r="AE66" s="4236"/>
      <c r="AF66" s="4236"/>
      <c r="AG66" s="4236"/>
      <c r="AH66" s="4236"/>
      <c r="AI66" s="4236"/>
      <c r="AJ66" s="4236"/>
      <c r="AK66" s="4236"/>
      <c r="AL66" s="4236"/>
      <c r="AM66" s="4236"/>
      <c r="AN66" s="4236">
        <v>1</v>
      </c>
      <c r="AO66" s="4236">
        <v>1</v>
      </c>
      <c r="AP66" s="4236">
        <v>1</v>
      </c>
      <c r="AQ66" s="4236"/>
      <c r="AR66" s="4236">
        <v>3</v>
      </c>
      <c r="AS66" s="4243">
        <f>AR64/AR66</f>
        <v>0.33333333333333331</v>
      </c>
      <c r="AU66" s="36"/>
      <c r="AV66" s="36"/>
      <c r="AW66" s="36"/>
      <c r="AX66" s="36" t="s">
        <v>1072</v>
      </c>
      <c r="AY66" s="1681"/>
      <c r="AZ66" s="1681"/>
      <c r="BA66" s="1681"/>
      <c r="BB66" s="1681"/>
      <c r="BC66" s="1681"/>
      <c r="BD66" s="1681"/>
      <c r="BE66" s="1681"/>
      <c r="BF66" s="1681"/>
      <c r="BG66" s="1681"/>
      <c r="BH66" s="1681"/>
      <c r="BI66" s="1681"/>
      <c r="BJ66" s="1681">
        <v>1</v>
      </c>
      <c r="BK66" s="1681">
        <v>1</v>
      </c>
      <c r="BL66" s="1681">
        <v>0</v>
      </c>
      <c r="BM66" s="95">
        <v>0</v>
      </c>
      <c r="BN66" s="95"/>
      <c r="BO66" s="95">
        <v>2</v>
      </c>
      <c r="BP66" s="95"/>
      <c r="BU66" s="32" t="s">
        <v>1080</v>
      </c>
      <c r="BV66" s="3871"/>
      <c r="BW66" s="3871"/>
      <c r="BX66" s="3871"/>
      <c r="BY66" s="3871"/>
      <c r="BZ66" s="3871"/>
      <c r="CA66" s="3871"/>
      <c r="CB66" s="3871"/>
      <c r="CC66" s="3871"/>
      <c r="CD66" s="3871"/>
      <c r="CE66" s="3871"/>
      <c r="CF66" s="3871"/>
      <c r="CG66" s="3871">
        <v>0</v>
      </c>
      <c r="CH66" s="3871">
        <v>2</v>
      </c>
      <c r="CI66" s="3871">
        <v>2</v>
      </c>
      <c r="CJ66" s="1518">
        <v>2</v>
      </c>
      <c r="CK66" s="1518">
        <v>6</v>
      </c>
      <c r="CN66" s="36"/>
      <c r="CO66" s="36"/>
      <c r="CP66" s="36"/>
      <c r="CQ66" s="36" t="s">
        <v>1076</v>
      </c>
      <c r="CR66" s="615">
        <v>0</v>
      </c>
      <c r="CS66" s="615"/>
      <c r="CT66" s="615"/>
      <c r="CU66" s="615">
        <v>0</v>
      </c>
      <c r="CV66" s="615"/>
      <c r="CW66" s="615"/>
      <c r="CX66" s="615"/>
      <c r="CY66" s="615"/>
      <c r="CZ66" s="615"/>
      <c r="DA66" s="615"/>
      <c r="DB66" s="615"/>
      <c r="DC66" s="615"/>
      <c r="DD66" s="615"/>
      <c r="DE66" s="615">
        <v>1</v>
      </c>
      <c r="DF66" s="615">
        <v>1</v>
      </c>
      <c r="DG66" s="36">
        <v>0</v>
      </c>
      <c r="DH66" s="36"/>
      <c r="DI66" s="36">
        <v>2</v>
      </c>
      <c r="DJ66" s="36"/>
      <c r="DL66" s="36"/>
      <c r="DM66" s="36"/>
      <c r="DN66" s="36"/>
      <c r="DO66" s="36" t="s">
        <v>1080</v>
      </c>
      <c r="DP66" s="1681"/>
      <c r="DQ66" s="1681"/>
      <c r="DR66" s="1681"/>
      <c r="DS66" s="1681"/>
      <c r="DT66" s="1681">
        <v>0</v>
      </c>
      <c r="DU66" s="1681"/>
      <c r="DV66" s="1681"/>
      <c r="DW66" s="1681"/>
      <c r="DX66" s="1681"/>
      <c r="DY66" s="1681"/>
      <c r="DZ66" s="1681"/>
      <c r="EA66" s="1681">
        <v>0</v>
      </c>
      <c r="EB66" s="1681">
        <v>0</v>
      </c>
      <c r="EC66" s="1681"/>
      <c r="ED66" s="1681">
        <v>2</v>
      </c>
      <c r="EE66" s="95">
        <v>1</v>
      </c>
      <c r="EF66" s="95"/>
      <c r="EG66" s="95">
        <v>3</v>
      </c>
      <c r="EH66" s="36"/>
      <c r="EL66" s="36"/>
      <c r="EM66" s="36" t="s">
        <v>1163</v>
      </c>
      <c r="EN66" s="1490"/>
      <c r="EO66" s="1490"/>
      <c r="EP66" s="1490"/>
      <c r="EQ66" s="1490"/>
      <c r="ER66" s="1490"/>
      <c r="ES66" s="1490">
        <v>0</v>
      </c>
      <c r="ET66" s="1490"/>
      <c r="EU66" s="1490">
        <v>0</v>
      </c>
      <c r="EV66" s="1490"/>
      <c r="EW66" s="1490"/>
      <c r="EX66" s="1490"/>
      <c r="EY66" s="1490"/>
      <c r="EZ66" s="1490">
        <v>0</v>
      </c>
      <c r="FA66" s="1490">
        <v>2</v>
      </c>
      <c r="FB66" s="1490">
        <v>0</v>
      </c>
      <c r="FC66" s="36">
        <v>0</v>
      </c>
      <c r="FD66" s="36">
        <v>0</v>
      </c>
      <c r="FE66" s="36">
        <v>2</v>
      </c>
      <c r="FF66" s="36"/>
      <c r="FH66" s="1225"/>
      <c r="FI66" s="1225"/>
      <c r="FJ66" s="1225"/>
      <c r="FK66" s="1226" t="s">
        <v>1076</v>
      </c>
      <c r="FL66" s="1227"/>
      <c r="FM66" s="1227"/>
      <c r="FN66" s="1227"/>
      <c r="FO66" s="1227"/>
      <c r="FP66" s="1227"/>
      <c r="FQ66" s="1227"/>
      <c r="FR66" s="1227"/>
      <c r="FS66" s="1227"/>
      <c r="FT66" s="1227"/>
      <c r="FU66" s="1227"/>
      <c r="FV66" s="1227"/>
      <c r="FW66" s="1228">
        <v>1</v>
      </c>
      <c r="FX66" s="1228">
        <v>0</v>
      </c>
      <c r="FY66" s="1229"/>
      <c r="FZ66" s="1229"/>
      <c r="GA66" s="1230">
        <v>1</v>
      </c>
      <c r="GB66" s="36"/>
      <c r="GD66" s="603"/>
      <c r="GE66" s="603"/>
      <c r="GF66" s="603"/>
      <c r="GG66" s="604" t="s">
        <v>1080</v>
      </c>
      <c r="GH66" s="605"/>
      <c r="GI66" s="606">
        <v>0</v>
      </c>
      <c r="GJ66" s="605"/>
      <c r="GK66" s="605"/>
      <c r="GL66" s="605"/>
      <c r="GM66" s="606">
        <v>0</v>
      </c>
      <c r="GN66" s="605"/>
      <c r="GO66" s="606">
        <v>0</v>
      </c>
      <c r="GP66" s="605"/>
      <c r="GQ66" s="605"/>
      <c r="GR66" s="605"/>
      <c r="GS66" s="606">
        <v>0</v>
      </c>
      <c r="GT66" s="606">
        <v>0</v>
      </c>
      <c r="GU66" s="606">
        <v>0</v>
      </c>
      <c r="GV66" s="606">
        <v>12</v>
      </c>
      <c r="GW66" s="608">
        <v>4</v>
      </c>
      <c r="GX66" s="608">
        <v>11</v>
      </c>
      <c r="GY66" s="608">
        <v>27</v>
      </c>
      <c r="GZ66" s="95"/>
      <c r="HB66" s="441"/>
      <c r="HC66" s="441"/>
      <c r="HD66" s="441"/>
      <c r="HE66" s="441"/>
      <c r="HF66" s="442" t="s">
        <v>1072</v>
      </c>
      <c r="HG66" s="609"/>
      <c r="HH66" s="609"/>
      <c r="HI66" s="609"/>
      <c r="HJ66" s="610">
        <v>1</v>
      </c>
      <c r="HK66" s="609"/>
      <c r="HL66" s="609"/>
      <c r="HM66" s="609"/>
      <c r="HN66" s="610">
        <v>1</v>
      </c>
      <c r="HO66" s="610">
        <v>2</v>
      </c>
      <c r="HP66" s="609"/>
      <c r="HQ66" s="610">
        <v>0</v>
      </c>
      <c r="HR66" s="610">
        <v>0</v>
      </c>
      <c r="HS66" s="610">
        <v>1</v>
      </c>
      <c r="HT66" s="610">
        <v>2</v>
      </c>
      <c r="HU66" s="610">
        <v>1</v>
      </c>
      <c r="HV66" s="612">
        <v>0</v>
      </c>
      <c r="HW66" s="612">
        <v>0</v>
      </c>
      <c r="HX66" s="612">
        <v>8</v>
      </c>
      <c r="HY66" s="560"/>
      <c r="HZ66" s="36"/>
      <c r="IA66" s="613"/>
      <c r="IB66" s="613"/>
      <c r="IC66" s="613" t="s">
        <v>127</v>
      </c>
      <c r="ID66" s="389" t="s">
        <v>1072</v>
      </c>
      <c r="IE66" s="614"/>
      <c r="IF66" s="614"/>
      <c r="IG66" s="390">
        <v>1</v>
      </c>
      <c r="IH66" s="614"/>
      <c r="II66" s="614"/>
      <c r="IJ66" s="614"/>
      <c r="IK66" s="614"/>
      <c r="IL66" s="614"/>
      <c r="IM66" s="614"/>
      <c r="IN66" s="614"/>
      <c r="IO66" s="614"/>
      <c r="IP66" s="614"/>
      <c r="IQ66" s="614"/>
      <c r="IR66" s="390">
        <v>1</v>
      </c>
      <c r="IS66" s="615"/>
      <c r="IT66" s="36"/>
      <c r="IU66" s="36"/>
      <c r="IV66" s="95"/>
      <c r="IW66" s="95"/>
      <c r="IX66" s="36"/>
      <c r="IY66" s="36" t="s">
        <v>1076</v>
      </c>
      <c r="IZ66" s="95"/>
      <c r="JA66" s="95">
        <v>0</v>
      </c>
      <c r="JB66" s="95">
        <v>0</v>
      </c>
      <c r="JC66" s="95"/>
      <c r="JD66" s="95">
        <v>0</v>
      </c>
      <c r="JE66" s="95"/>
      <c r="JF66" s="95"/>
      <c r="JG66" s="95"/>
      <c r="JH66" s="95"/>
      <c r="JI66" s="95">
        <v>2</v>
      </c>
      <c r="JJ66" s="95">
        <v>1</v>
      </c>
      <c r="JK66" s="95">
        <v>2</v>
      </c>
      <c r="JL66" s="95">
        <v>1</v>
      </c>
      <c r="JM66" s="95"/>
      <c r="JN66" s="95"/>
      <c r="JO66" s="95"/>
      <c r="JP66" s="95">
        <v>6</v>
      </c>
      <c r="JQ66" s="36"/>
      <c r="JR66" s="36"/>
      <c r="JS66" s="616"/>
      <c r="JT66" s="616"/>
      <c r="JU66" s="616"/>
      <c r="JV66" s="616" t="s">
        <v>1163</v>
      </c>
      <c r="JW66" s="616">
        <v>0</v>
      </c>
      <c r="JX66" s="616">
        <v>0</v>
      </c>
      <c r="JY66" s="616">
        <v>0</v>
      </c>
      <c r="JZ66" s="616">
        <v>0</v>
      </c>
      <c r="KA66" s="616">
        <v>0</v>
      </c>
      <c r="KB66" s="616">
        <v>0</v>
      </c>
      <c r="KC66" s="616">
        <v>0</v>
      </c>
      <c r="KD66" s="616">
        <v>0</v>
      </c>
      <c r="KE66" s="616">
        <v>0</v>
      </c>
      <c r="KF66" s="616">
        <v>3</v>
      </c>
      <c r="KG66" s="616">
        <v>5</v>
      </c>
      <c r="KH66" s="616">
        <v>0</v>
      </c>
      <c r="KI66" s="616">
        <v>1</v>
      </c>
      <c r="KJ66" s="616">
        <v>1</v>
      </c>
      <c r="KK66" s="616">
        <v>0</v>
      </c>
      <c r="KL66" s="616">
        <v>0</v>
      </c>
      <c r="KM66" s="616">
        <v>10</v>
      </c>
      <c r="KN66" s="616"/>
      <c r="KO66" s="617"/>
    </row>
    <row r="67" spans="1:301">
      <c r="A67" s="5737">
        <v>2</v>
      </c>
      <c r="B67" s="5737">
        <v>1</v>
      </c>
      <c r="C67" s="5736" t="s">
        <v>120</v>
      </c>
      <c r="D67" s="5736" t="s">
        <v>2731</v>
      </c>
      <c r="E67" s="5737">
        <v>3</v>
      </c>
      <c r="F67" s="5737">
        <v>15</v>
      </c>
      <c r="I67" s="4726"/>
      <c r="J67" s="4726"/>
      <c r="K67" s="4725"/>
      <c r="L67" s="4725"/>
      <c r="M67" s="4975">
        <f>SUM(M64:M66)</f>
        <v>3</v>
      </c>
      <c r="N67" s="4726"/>
      <c r="O67" s="4510">
        <v>0</v>
      </c>
      <c r="Q67" s="4458">
        <v>2</v>
      </c>
      <c r="R67" s="4458">
        <v>2</v>
      </c>
      <c r="S67" s="4459" t="s">
        <v>2749</v>
      </c>
      <c r="T67" s="4459" t="s">
        <v>2709</v>
      </c>
      <c r="U67" s="4458">
        <v>13</v>
      </c>
      <c r="V67" s="4479">
        <v>3</v>
      </c>
      <c r="W67" s="4510"/>
      <c r="X67" s="4467"/>
      <c r="Y67" s="4467"/>
      <c r="Z67" s="36"/>
      <c r="AA67" s="36"/>
      <c r="AB67" s="36" t="s">
        <v>122</v>
      </c>
      <c r="AC67" s="36" t="s">
        <v>1072</v>
      </c>
      <c r="AD67" s="615"/>
      <c r="AE67" s="615"/>
      <c r="AF67" s="615"/>
      <c r="AG67" s="615"/>
      <c r="AH67" s="615"/>
      <c r="AI67" s="615"/>
      <c r="AJ67" s="615"/>
      <c r="AK67" s="615">
        <v>0</v>
      </c>
      <c r="AL67" s="615"/>
      <c r="AM67" s="615"/>
      <c r="AN67" s="615">
        <v>0</v>
      </c>
      <c r="AO67" s="615"/>
      <c r="AP67" s="615">
        <v>1</v>
      </c>
      <c r="AQ67" s="36"/>
      <c r="AR67" s="36">
        <v>1</v>
      </c>
      <c r="AS67" s="36"/>
      <c r="AU67" s="36"/>
      <c r="AV67" s="36"/>
      <c r="AW67" s="36"/>
      <c r="AX67" s="36" t="s">
        <v>1080</v>
      </c>
      <c r="AY67" s="1681"/>
      <c r="AZ67" s="1681"/>
      <c r="BA67" s="1681"/>
      <c r="BB67" s="1681"/>
      <c r="BC67" s="1681"/>
      <c r="BD67" s="1681"/>
      <c r="BE67" s="1681"/>
      <c r="BF67" s="1681"/>
      <c r="BG67" s="1681"/>
      <c r="BH67" s="1681"/>
      <c r="BI67" s="1681"/>
      <c r="BJ67" s="1681">
        <v>0</v>
      </c>
      <c r="BK67" s="1681">
        <v>2</v>
      </c>
      <c r="BL67" s="1681">
        <v>0</v>
      </c>
      <c r="BM67" s="95">
        <v>3</v>
      </c>
      <c r="BN67" s="95"/>
      <c r="BO67" s="95">
        <v>5</v>
      </c>
      <c r="BP67" s="95"/>
      <c r="BU67" s="32" t="s">
        <v>1163</v>
      </c>
      <c r="BV67" s="3871"/>
      <c r="BW67" s="3871"/>
      <c r="BX67" s="3871"/>
      <c r="BY67" s="3871"/>
      <c r="BZ67" s="3871"/>
      <c r="CA67" s="3871"/>
      <c r="CB67" s="3871"/>
      <c r="CC67" s="3871"/>
      <c r="CD67" s="3871"/>
      <c r="CE67" s="3871"/>
      <c r="CF67" s="3871"/>
      <c r="CG67" s="3871">
        <v>1</v>
      </c>
      <c r="CH67" s="3871">
        <v>0</v>
      </c>
      <c r="CI67" s="3871">
        <v>0</v>
      </c>
      <c r="CJ67" s="1518">
        <v>0</v>
      </c>
      <c r="CK67" s="1518">
        <v>1</v>
      </c>
      <c r="CN67" s="36"/>
      <c r="CO67" s="36"/>
      <c r="CP67" s="36"/>
      <c r="CQ67" s="36" t="s">
        <v>1080</v>
      </c>
      <c r="CR67" s="615">
        <v>0</v>
      </c>
      <c r="CS67" s="615"/>
      <c r="CT67" s="615"/>
      <c r="CU67" s="615">
        <v>0</v>
      </c>
      <c r="CV67" s="615"/>
      <c r="CW67" s="615"/>
      <c r="CX67" s="615"/>
      <c r="CY67" s="615"/>
      <c r="CZ67" s="615"/>
      <c r="DA67" s="615"/>
      <c r="DB67" s="615"/>
      <c r="DC67" s="615"/>
      <c r="DD67" s="615"/>
      <c r="DE67" s="615">
        <v>0</v>
      </c>
      <c r="DF67" s="615">
        <v>2</v>
      </c>
      <c r="DG67" s="36">
        <v>1</v>
      </c>
      <c r="DH67" s="36"/>
      <c r="DI67" s="36">
        <v>3</v>
      </c>
      <c r="DJ67" s="36"/>
      <c r="DL67" s="36"/>
      <c r="DM67" s="36"/>
      <c r="DN67" s="36"/>
      <c r="DO67" s="393" t="s">
        <v>15</v>
      </c>
      <c r="DP67" s="1682"/>
      <c r="DQ67" s="1682"/>
      <c r="DR67" s="1682"/>
      <c r="DS67" s="1682"/>
      <c r="DT67" s="1682">
        <v>2</v>
      </c>
      <c r="DU67" s="1682"/>
      <c r="DV67" s="1682"/>
      <c r="DW67" s="1682"/>
      <c r="DX67" s="1682"/>
      <c r="DY67" s="1682"/>
      <c r="DZ67" s="1682"/>
      <c r="EA67" s="1682">
        <v>1</v>
      </c>
      <c r="EB67" s="1682">
        <v>1</v>
      </c>
      <c r="EC67" s="1682"/>
      <c r="ED67" s="1682">
        <v>2</v>
      </c>
      <c r="EE67" s="86">
        <v>1</v>
      </c>
      <c r="EF67" s="86"/>
      <c r="EG67" s="86">
        <v>7</v>
      </c>
      <c r="EH67" s="560">
        <f>+EG65/EG67</f>
        <v>0.14285714285714285</v>
      </c>
      <c r="EL67" s="36"/>
      <c r="EM67" s="393" t="s">
        <v>15</v>
      </c>
      <c r="EN67" s="1491"/>
      <c r="EO67" s="1491"/>
      <c r="EP67" s="1491"/>
      <c r="EQ67" s="1491"/>
      <c r="ER67" s="1491"/>
      <c r="ES67" s="1491">
        <v>1</v>
      </c>
      <c r="ET67" s="1491"/>
      <c r="EU67" s="1491">
        <v>1</v>
      </c>
      <c r="EV67" s="1491"/>
      <c r="EW67" s="1491"/>
      <c r="EX67" s="1491"/>
      <c r="EY67" s="1491"/>
      <c r="EZ67" s="1491">
        <v>2</v>
      </c>
      <c r="FA67" s="1491">
        <v>2</v>
      </c>
      <c r="FB67" s="1491">
        <v>2</v>
      </c>
      <c r="FC67" s="393">
        <v>2</v>
      </c>
      <c r="FD67" s="393">
        <v>1</v>
      </c>
      <c r="FE67" s="393">
        <v>11</v>
      </c>
      <c r="FF67" s="560">
        <f>+FE66/FE67</f>
        <v>0.18181818181818182</v>
      </c>
      <c r="FH67" s="1225"/>
      <c r="FI67" s="1225"/>
      <c r="FJ67" s="1225"/>
      <c r="FK67" s="1226" t="s">
        <v>1080</v>
      </c>
      <c r="FL67" s="1227"/>
      <c r="FM67" s="1227"/>
      <c r="FN67" s="1227"/>
      <c r="FO67" s="1227"/>
      <c r="FP67" s="1227"/>
      <c r="FQ67" s="1227"/>
      <c r="FR67" s="1227"/>
      <c r="FS67" s="1227"/>
      <c r="FT67" s="1227"/>
      <c r="FU67" s="1227"/>
      <c r="FV67" s="1227"/>
      <c r="FW67" s="1228">
        <v>0</v>
      </c>
      <c r="FX67" s="1228">
        <v>9</v>
      </c>
      <c r="FY67" s="1229"/>
      <c r="FZ67" s="1229"/>
      <c r="GA67" s="1230">
        <v>9</v>
      </c>
      <c r="GB67" s="36"/>
      <c r="GD67" s="603"/>
      <c r="GE67" s="603"/>
      <c r="GF67" s="603"/>
      <c r="GG67" s="604" t="s">
        <v>1163</v>
      </c>
      <c r="GH67" s="605"/>
      <c r="GI67" s="606">
        <v>0</v>
      </c>
      <c r="GJ67" s="605"/>
      <c r="GK67" s="605"/>
      <c r="GL67" s="605"/>
      <c r="GM67" s="606">
        <v>0</v>
      </c>
      <c r="GN67" s="605"/>
      <c r="GO67" s="606">
        <v>0</v>
      </c>
      <c r="GP67" s="605"/>
      <c r="GQ67" s="605"/>
      <c r="GR67" s="605"/>
      <c r="GS67" s="606">
        <v>0</v>
      </c>
      <c r="GT67" s="606">
        <v>2</v>
      </c>
      <c r="GU67" s="606">
        <v>1</v>
      </c>
      <c r="GV67" s="606">
        <v>1</v>
      </c>
      <c r="GW67" s="608">
        <v>0</v>
      </c>
      <c r="GX67" s="608">
        <v>0</v>
      </c>
      <c r="GY67" s="608">
        <v>4</v>
      </c>
      <c r="GZ67" s="95"/>
      <c r="HB67" s="441"/>
      <c r="HC67" s="441"/>
      <c r="HD67" s="441"/>
      <c r="HE67" s="441"/>
      <c r="HF67" s="442" t="s">
        <v>1076</v>
      </c>
      <c r="HG67" s="609"/>
      <c r="HH67" s="609"/>
      <c r="HI67" s="609"/>
      <c r="HJ67" s="610">
        <v>0</v>
      </c>
      <c r="HK67" s="609"/>
      <c r="HL67" s="609"/>
      <c r="HM67" s="609"/>
      <c r="HN67" s="610">
        <v>0</v>
      </c>
      <c r="HO67" s="610">
        <v>0</v>
      </c>
      <c r="HP67" s="609"/>
      <c r="HQ67" s="610">
        <v>1</v>
      </c>
      <c r="HR67" s="610">
        <v>2</v>
      </c>
      <c r="HS67" s="610">
        <v>1</v>
      </c>
      <c r="HT67" s="610">
        <v>1</v>
      </c>
      <c r="HU67" s="610">
        <v>1</v>
      </c>
      <c r="HV67" s="612">
        <v>0</v>
      </c>
      <c r="HW67" s="612">
        <v>0</v>
      </c>
      <c r="HX67" s="612">
        <v>6</v>
      </c>
      <c r="HY67" s="560"/>
      <c r="HZ67" s="36"/>
      <c r="IA67" s="613"/>
      <c r="IB67" s="613"/>
      <c r="IC67" s="613"/>
      <c r="ID67" s="629" t="s">
        <v>15</v>
      </c>
      <c r="IE67" s="630"/>
      <c r="IF67" s="630"/>
      <c r="IG67" s="395">
        <v>1</v>
      </c>
      <c r="IH67" s="630"/>
      <c r="II67" s="630"/>
      <c r="IJ67" s="630"/>
      <c r="IK67" s="630"/>
      <c r="IL67" s="630"/>
      <c r="IM67" s="630"/>
      <c r="IN67" s="630"/>
      <c r="IO67" s="630"/>
      <c r="IP67" s="630"/>
      <c r="IQ67" s="630"/>
      <c r="IR67" s="395">
        <v>1</v>
      </c>
      <c r="IS67" s="553">
        <v>0</v>
      </c>
      <c r="IT67" s="36"/>
      <c r="IU67" s="36"/>
      <c r="IV67" s="95"/>
      <c r="IW67" s="95"/>
      <c r="IX67" s="36"/>
      <c r="IY67" s="36" t="s">
        <v>1077</v>
      </c>
      <c r="IZ67" s="95"/>
      <c r="JA67" s="95">
        <v>0</v>
      </c>
      <c r="JB67" s="95">
        <v>1</v>
      </c>
      <c r="JC67" s="95"/>
      <c r="JD67" s="95">
        <v>0</v>
      </c>
      <c r="JE67" s="95"/>
      <c r="JF67" s="95"/>
      <c r="JG67" s="95"/>
      <c r="JH67" s="95"/>
      <c r="JI67" s="95">
        <v>0</v>
      </c>
      <c r="JJ67" s="95">
        <v>0</v>
      </c>
      <c r="JK67" s="95">
        <v>8</v>
      </c>
      <c r="JL67" s="95">
        <v>0</v>
      </c>
      <c r="JM67" s="95"/>
      <c r="JN67" s="95"/>
      <c r="JO67" s="95"/>
      <c r="JP67" s="95">
        <v>9</v>
      </c>
      <c r="JQ67" s="36"/>
      <c r="JR67" s="36"/>
      <c r="JS67" s="616"/>
      <c r="JT67" s="616"/>
      <c r="JU67" s="616"/>
      <c r="JV67" s="627" t="s">
        <v>15</v>
      </c>
      <c r="JW67" s="627">
        <v>1</v>
      </c>
      <c r="JX67" s="627">
        <v>0</v>
      </c>
      <c r="JY67" s="627">
        <v>0</v>
      </c>
      <c r="JZ67" s="627">
        <v>0</v>
      </c>
      <c r="KA67" s="627">
        <v>0</v>
      </c>
      <c r="KB67" s="627">
        <v>0</v>
      </c>
      <c r="KC67" s="627">
        <v>0</v>
      </c>
      <c r="KD67" s="627">
        <v>0</v>
      </c>
      <c r="KE67" s="627">
        <v>0</v>
      </c>
      <c r="KF67" s="627">
        <v>3</v>
      </c>
      <c r="KG67" s="627">
        <v>6</v>
      </c>
      <c r="KH67" s="627">
        <v>0</v>
      </c>
      <c r="KI67" s="627">
        <v>3</v>
      </c>
      <c r="KJ67" s="627">
        <v>6</v>
      </c>
      <c r="KK67" s="627">
        <v>1</v>
      </c>
      <c r="KL67" s="627">
        <v>3</v>
      </c>
      <c r="KM67" s="627">
        <v>23</v>
      </c>
      <c r="KN67" s="628">
        <f>+(KM66+KM64)/KM67</f>
        <v>0.56521739130434778</v>
      </c>
      <c r="KO67" s="617">
        <f>+KM64+KM66</f>
        <v>13</v>
      </c>
    </row>
    <row r="68" spans="1:301">
      <c r="A68" s="5737">
        <v>2</v>
      </c>
      <c r="B68" s="5737">
        <v>1</v>
      </c>
      <c r="C68" s="5736" t="s">
        <v>120</v>
      </c>
      <c r="D68" s="5739" t="s">
        <v>2732</v>
      </c>
      <c r="E68" s="5737">
        <v>1</v>
      </c>
      <c r="F68" s="5737">
        <v>12</v>
      </c>
      <c r="I68" s="4726">
        <v>2</v>
      </c>
      <c r="J68" s="4726">
        <v>1</v>
      </c>
      <c r="K68" s="4725" t="s">
        <v>120</v>
      </c>
      <c r="L68" s="4725" t="s">
        <v>2731</v>
      </c>
      <c r="M68" s="4726">
        <v>2</v>
      </c>
      <c r="N68" s="4726">
        <v>14</v>
      </c>
      <c r="Q68" s="4458">
        <v>2</v>
      </c>
      <c r="R68" s="4458">
        <v>2</v>
      </c>
      <c r="S68" s="4459" t="s">
        <v>2749</v>
      </c>
      <c r="T68" s="4461" t="s">
        <v>1076</v>
      </c>
      <c r="U68" s="4458">
        <v>12</v>
      </c>
      <c r="V68" s="4479">
        <v>1</v>
      </c>
      <c r="W68" s="4510"/>
      <c r="X68" s="4467"/>
      <c r="Y68" s="4467"/>
      <c r="Z68" s="36"/>
      <c r="AA68" s="36"/>
      <c r="AB68" s="36"/>
      <c r="AC68" s="36" t="s">
        <v>1076</v>
      </c>
      <c r="AD68" s="615"/>
      <c r="AE68" s="615"/>
      <c r="AF68" s="615"/>
      <c r="AG68" s="615"/>
      <c r="AH68" s="615"/>
      <c r="AI68" s="615"/>
      <c r="AJ68" s="615"/>
      <c r="AK68" s="615">
        <v>1</v>
      </c>
      <c r="AL68" s="615"/>
      <c r="AM68" s="615"/>
      <c r="AN68" s="615">
        <v>1</v>
      </c>
      <c r="AO68" s="615"/>
      <c r="AP68" s="615">
        <v>0</v>
      </c>
      <c r="AQ68" s="36"/>
      <c r="AR68" s="36">
        <v>2</v>
      </c>
      <c r="AS68" s="36"/>
      <c r="AU68" s="36"/>
      <c r="AV68" s="36"/>
      <c r="AW68" s="36"/>
      <c r="AX68" s="36" t="s">
        <v>1163</v>
      </c>
      <c r="AY68" s="1681"/>
      <c r="AZ68" s="1681"/>
      <c r="BA68" s="1681"/>
      <c r="BB68" s="1681"/>
      <c r="BC68" s="1681"/>
      <c r="BD68" s="1681"/>
      <c r="BE68" s="1681"/>
      <c r="BF68" s="1681"/>
      <c r="BG68" s="1681"/>
      <c r="BH68" s="1681"/>
      <c r="BI68" s="1681"/>
      <c r="BJ68" s="1681">
        <v>1</v>
      </c>
      <c r="BK68" s="1681">
        <v>0</v>
      </c>
      <c r="BL68" s="1681">
        <v>1</v>
      </c>
      <c r="BM68" s="95">
        <v>0</v>
      </c>
      <c r="BN68" s="95"/>
      <c r="BO68" s="95">
        <v>2</v>
      </c>
      <c r="BP68" s="95"/>
      <c r="BU68" s="1520" t="s">
        <v>15</v>
      </c>
      <c r="BV68" s="3872"/>
      <c r="BW68" s="3872"/>
      <c r="BX68" s="3872"/>
      <c r="BY68" s="3872"/>
      <c r="BZ68" s="3872"/>
      <c r="CA68" s="3872"/>
      <c r="CB68" s="3872"/>
      <c r="CC68" s="3872"/>
      <c r="CD68" s="3872"/>
      <c r="CE68" s="3872"/>
      <c r="CF68" s="3872"/>
      <c r="CG68" s="3872">
        <v>3</v>
      </c>
      <c r="CH68" s="3872">
        <v>4</v>
      </c>
      <c r="CI68" s="3872">
        <v>2</v>
      </c>
      <c r="CJ68" s="3806">
        <v>2</v>
      </c>
      <c r="CK68" s="3806">
        <v>11</v>
      </c>
      <c r="CL68" s="3807">
        <f>+CK67/CK68</f>
        <v>9.0909090909090912E-2</v>
      </c>
      <c r="CN68" s="36"/>
      <c r="CO68" s="36"/>
      <c r="CP68" s="36"/>
      <c r="CQ68" s="36" t="s">
        <v>1163</v>
      </c>
      <c r="CR68" s="615">
        <v>0</v>
      </c>
      <c r="CS68" s="615"/>
      <c r="CT68" s="615"/>
      <c r="CU68" s="615">
        <v>0</v>
      </c>
      <c r="CV68" s="615"/>
      <c r="CW68" s="615"/>
      <c r="CX68" s="615"/>
      <c r="CY68" s="615"/>
      <c r="CZ68" s="615"/>
      <c r="DA68" s="615"/>
      <c r="DB68" s="615"/>
      <c r="DC68" s="615"/>
      <c r="DD68" s="615"/>
      <c r="DE68" s="615">
        <v>0</v>
      </c>
      <c r="DF68" s="615">
        <v>1</v>
      </c>
      <c r="DG68" s="36">
        <v>0</v>
      </c>
      <c r="DH68" s="36"/>
      <c r="DI68" s="36">
        <v>1</v>
      </c>
      <c r="DJ68" s="36"/>
      <c r="DL68" s="36"/>
      <c r="DM68" s="36"/>
      <c r="DN68" s="36" t="s">
        <v>681</v>
      </c>
      <c r="DO68" s="36" t="s">
        <v>1080</v>
      </c>
      <c r="DP68" s="1681"/>
      <c r="DQ68" s="1681"/>
      <c r="DR68" s="1681"/>
      <c r="DS68" s="1681"/>
      <c r="DT68" s="1681"/>
      <c r="DU68" s="1681"/>
      <c r="DV68" s="1681"/>
      <c r="DW68" s="1681"/>
      <c r="DX68" s="1681"/>
      <c r="DY68" s="1681"/>
      <c r="DZ68" s="1681"/>
      <c r="EA68" s="1681"/>
      <c r="EB68" s="1681"/>
      <c r="EC68" s="1681"/>
      <c r="ED68" s="1681"/>
      <c r="EE68" s="95"/>
      <c r="EF68" s="95">
        <v>5</v>
      </c>
      <c r="EG68" s="95">
        <v>5</v>
      </c>
      <c r="EH68" s="36"/>
      <c r="EL68" s="36" t="s">
        <v>482</v>
      </c>
      <c r="EM68" s="36" t="s">
        <v>1071</v>
      </c>
      <c r="EN68" s="1490"/>
      <c r="EO68" s="1490">
        <v>0</v>
      </c>
      <c r="EP68" s="1490"/>
      <c r="EQ68" s="1490"/>
      <c r="ER68" s="1490"/>
      <c r="ES68" s="1490">
        <v>0</v>
      </c>
      <c r="ET68" s="1490"/>
      <c r="EU68" s="1490">
        <v>0</v>
      </c>
      <c r="EV68" s="1490"/>
      <c r="EW68" s="1490">
        <v>0</v>
      </c>
      <c r="EX68" s="1490"/>
      <c r="EY68" s="1490"/>
      <c r="EZ68" s="1490">
        <v>0</v>
      </c>
      <c r="FA68" s="1490">
        <v>0</v>
      </c>
      <c r="FB68" s="1490">
        <v>3</v>
      </c>
      <c r="FC68" s="36">
        <v>0</v>
      </c>
      <c r="FD68" s="36">
        <v>1</v>
      </c>
      <c r="FE68" s="36">
        <v>4</v>
      </c>
      <c r="FF68" s="36"/>
      <c r="FH68" s="1225"/>
      <c r="FI68" s="1225"/>
      <c r="FJ68" s="1225"/>
      <c r="FK68" s="1222" t="s">
        <v>15</v>
      </c>
      <c r="FL68" s="1231"/>
      <c r="FM68" s="1231"/>
      <c r="FN68" s="1231"/>
      <c r="FO68" s="1231"/>
      <c r="FP68" s="1231"/>
      <c r="FQ68" s="1231"/>
      <c r="FR68" s="1231"/>
      <c r="FS68" s="1231"/>
      <c r="FT68" s="1231"/>
      <c r="FU68" s="1231"/>
      <c r="FV68" s="1231"/>
      <c r="FW68" s="1232">
        <v>2</v>
      </c>
      <c r="FX68" s="1232">
        <v>9</v>
      </c>
      <c r="FY68" s="1233"/>
      <c r="FZ68" s="1233"/>
      <c r="GA68" s="1234">
        <v>11</v>
      </c>
      <c r="GB68" s="1178">
        <f>+GA66/GA68</f>
        <v>9.0909090909090912E-2</v>
      </c>
      <c r="GD68" s="603"/>
      <c r="GE68" s="603"/>
      <c r="GF68" s="603"/>
      <c r="GG68" s="622" t="s">
        <v>482</v>
      </c>
      <c r="GH68" s="623"/>
      <c r="GI68" s="624">
        <v>1</v>
      </c>
      <c r="GJ68" s="623"/>
      <c r="GK68" s="623"/>
      <c r="GL68" s="623"/>
      <c r="GM68" s="624">
        <v>1</v>
      </c>
      <c r="GN68" s="623"/>
      <c r="GO68" s="624">
        <v>1</v>
      </c>
      <c r="GP68" s="623"/>
      <c r="GQ68" s="623"/>
      <c r="GR68" s="623"/>
      <c r="GS68" s="624">
        <v>1</v>
      </c>
      <c r="GT68" s="624">
        <v>5</v>
      </c>
      <c r="GU68" s="624">
        <v>4</v>
      </c>
      <c r="GV68" s="624">
        <v>15</v>
      </c>
      <c r="GW68" s="626">
        <v>4</v>
      </c>
      <c r="GX68" s="626">
        <v>11</v>
      </c>
      <c r="GY68" s="626">
        <v>43</v>
      </c>
      <c r="GZ68" s="560">
        <f>+(GY65+GY67)/GY68</f>
        <v>0.13953488372093023</v>
      </c>
      <c r="HB68" s="441"/>
      <c r="HC68" s="441"/>
      <c r="HD68" s="441"/>
      <c r="HE68" s="441"/>
      <c r="HF68" s="442" t="s">
        <v>1080</v>
      </c>
      <c r="HG68" s="609"/>
      <c r="HH68" s="609"/>
      <c r="HI68" s="609"/>
      <c r="HJ68" s="610">
        <v>0</v>
      </c>
      <c r="HK68" s="609"/>
      <c r="HL68" s="609"/>
      <c r="HM68" s="609"/>
      <c r="HN68" s="610">
        <v>0</v>
      </c>
      <c r="HO68" s="610">
        <v>0</v>
      </c>
      <c r="HP68" s="609"/>
      <c r="HQ68" s="610">
        <v>0</v>
      </c>
      <c r="HR68" s="610">
        <v>0</v>
      </c>
      <c r="HS68" s="610">
        <v>0</v>
      </c>
      <c r="HT68" s="610">
        <v>1</v>
      </c>
      <c r="HU68" s="610">
        <v>9</v>
      </c>
      <c r="HV68" s="612">
        <v>3</v>
      </c>
      <c r="HW68" s="612">
        <v>6</v>
      </c>
      <c r="HX68" s="612">
        <v>19</v>
      </c>
      <c r="HY68" s="560"/>
      <c r="HZ68" s="36"/>
      <c r="IA68" s="613"/>
      <c r="IB68" s="613" t="s">
        <v>41</v>
      </c>
      <c r="IC68" s="613" t="s">
        <v>128</v>
      </c>
      <c r="ID68" s="389" t="s">
        <v>1071</v>
      </c>
      <c r="IE68" s="390">
        <v>0</v>
      </c>
      <c r="IF68" s="614"/>
      <c r="IG68" s="614"/>
      <c r="IH68" s="390">
        <v>1</v>
      </c>
      <c r="II68" s="614"/>
      <c r="IJ68" s="614"/>
      <c r="IK68" s="390">
        <v>0</v>
      </c>
      <c r="IL68" s="614"/>
      <c r="IM68" s="390">
        <v>0</v>
      </c>
      <c r="IN68" s="390">
        <v>0</v>
      </c>
      <c r="IO68" s="390">
        <v>0</v>
      </c>
      <c r="IP68" s="390">
        <v>0</v>
      </c>
      <c r="IQ68" s="390">
        <v>0</v>
      </c>
      <c r="IR68" s="390">
        <v>1</v>
      </c>
      <c r="IS68" s="615"/>
      <c r="IT68" s="36"/>
      <c r="IU68" s="36"/>
      <c r="IV68" s="95"/>
      <c r="IW68" s="95"/>
      <c r="IX68" s="36"/>
      <c r="IY68" s="36" t="s">
        <v>1163</v>
      </c>
      <c r="IZ68" s="95"/>
      <c r="JA68" s="95">
        <v>0</v>
      </c>
      <c r="JB68" s="95">
        <v>0</v>
      </c>
      <c r="JC68" s="95"/>
      <c r="JD68" s="95">
        <v>0</v>
      </c>
      <c r="JE68" s="95"/>
      <c r="JF68" s="95"/>
      <c r="JG68" s="95"/>
      <c r="JH68" s="95"/>
      <c r="JI68" s="95">
        <v>0</v>
      </c>
      <c r="JJ68" s="95">
        <v>1</v>
      </c>
      <c r="JK68" s="95">
        <v>0</v>
      </c>
      <c r="JL68" s="95">
        <v>0</v>
      </c>
      <c r="JM68" s="95"/>
      <c r="JN68" s="95"/>
      <c r="JO68" s="95"/>
      <c r="JP68" s="95">
        <v>1</v>
      </c>
      <c r="JQ68" s="36"/>
      <c r="JR68" s="36"/>
      <c r="JS68" s="616"/>
      <c r="JT68" s="616"/>
      <c r="JU68" s="616" t="s">
        <v>728</v>
      </c>
      <c r="JV68" s="616" t="s">
        <v>1076</v>
      </c>
      <c r="JW68" s="616">
        <v>0</v>
      </c>
      <c r="JX68" s="616">
        <v>0</v>
      </c>
      <c r="JY68" s="616">
        <v>0</v>
      </c>
      <c r="JZ68" s="616">
        <v>0</v>
      </c>
      <c r="KA68" s="616">
        <v>0</v>
      </c>
      <c r="KB68" s="616">
        <v>0</v>
      </c>
      <c r="KC68" s="616">
        <v>0</v>
      </c>
      <c r="KD68" s="616">
        <v>0</v>
      </c>
      <c r="KE68" s="616">
        <v>0</v>
      </c>
      <c r="KF68" s="616">
        <v>0</v>
      </c>
      <c r="KG68" s="616">
        <v>0</v>
      </c>
      <c r="KH68" s="616">
        <v>0</v>
      </c>
      <c r="KI68" s="616">
        <v>0</v>
      </c>
      <c r="KJ68" s="616">
        <v>0</v>
      </c>
      <c r="KK68" s="616">
        <v>1</v>
      </c>
      <c r="KL68" s="616">
        <v>0</v>
      </c>
      <c r="KM68" s="616">
        <v>1</v>
      </c>
      <c r="KN68" s="616"/>
      <c r="KO68" s="617"/>
    </row>
    <row r="69" spans="1:301">
      <c r="A69" s="5737">
        <v>2</v>
      </c>
      <c r="B69" s="5737">
        <v>1</v>
      </c>
      <c r="C69" s="5736" t="s">
        <v>120</v>
      </c>
      <c r="D69" s="5739" t="s">
        <v>1076</v>
      </c>
      <c r="E69" s="5737">
        <v>1</v>
      </c>
      <c r="F69" s="5737">
        <v>13</v>
      </c>
      <c r="I69" s="4726">
        <v>2</v>
      </c>
      <c r="J69" s="4726">
        <v>1</v>
      </c>
      <c r="K69" s="4725" t="s">
        <v>120</v>
      </c>
      <c r="L69" s="4963" t="s">
        <v>2732</v>
      </c>
      <c r="M69" s="4964">
        <v>1</v>
      </c>
      <c r="N69" s="4726">
        <v>12</v>
      </c>
      <c r="Q69" s="4458">
        <v>2</v>
      </c>
      <c r="R69" s="4458">
        <v>2</v>
      </c>
      <c r="S69" s="4459" t="s">
        <v>2749</v>
      </c>
      <c r="T69" s="4461" t="s">
        <v>1076</v>
      </c>
      <c r="U69" s="4458">
        <v>13</v>
      </c>
      <c r="V69" s="4479">
        <v>7</v>
      </c>
      <c r="W69" s="4510"/>
      <c r="X69" s="4467"/>
      <c r="Y69" s="4467"/>
      <c r="Z69" s="36"/>
      <c r="AA69" s="36"/>
      <c r="AB69" s="36"/>
      <c r="AC69" s="36" t="s">
        <v>1080</v>
      </c>
      <c r="AD69" s="615"/>
      <c r="AE69" s="615"/>
      <c r="AF69" s="615"/>
      <c r="AG69" s="615"/>
      <c r="AH69" s="615"/>
      <c r="AI69" s="615"/>
      <c r="AJ69" s="615"/>
      <c r="AK69" s="615">
        <v>0</v>
      </c>
      <c r="AL69" s="615"/>
      <c r="AM69" s="615"/>
      <c r="AN69" s="615">
        <v>0</v>
      </c>
      <c r="AO69" s="615"/>
      <c r="AP69" s="615">
        <v>2</v>
      </c>
      <c r="AQ69" s="36"/>
      <c r="AR69" s="36">
        <v>2</v>
      </c>
      <c r="AS69" s="36"/>
      <c r="AU69" s="36"/>
      <c r="AV69" s="36"/>
      <c r="AW69" s="36"/>
      <c r="AX69" s="36" t="s">
        <v>15</v>
      </c>
      <c r="AY69" s="1681"/>
      <c r="AZ69" s="1681"/>
      <c r="BA69" s="1681"/>
      <c r="BB69" s="1681"/>
      <c r="BC69" s="1681"/>
      <c r="BD69" s="1681"/>
      <c r="BE69" s="1681"/>
      <c r="BF69" s="1681"/>
      <c r="BG69" s="1681"/>
      <c r="BH69" s="1681"/>
      <c r="BI69" s="1681"/>
      <c r="BJ69" s="1681">
        <v>2</v>
      </c>
      <c r="BK69" s="1681">
        <v>4</v>
      </c>
      <c r="BL69" s="1681">
        <v>2</v>
      </c>
      <c r="BM69" s="95">
        <v>3</v>
      </c>
      <c r="BN69" s="95"/>
      <c r="BO69" s="95">
        <v>11</v>
      </c>
      <c r="BP69" s="560">
        <f>+(BO68)/(BO69)</f>
        <v>0.18181818181818182</v>
      </c>
      <c r="BT69" s="32" t="s">
        <v>121</v>
      </c>
      <c r="BU69" s="32" t="s">
        <v>1080</v>
      </c>
      <c r="BV69" s="3871"/>
      <c r="BW69" s="3871"/>
      <c r="BX69" s="3871"/>
      <c r="BY69" s="3871"/>
      <c r="BZ69" s="3871"/>
      <c r="CA69" s="3871"/>
      <c r="CB69" s="3871"/>
      <c r="CC69" s="3871"/>
      <c r="CD69" s="3871"/>
      <c r="CE69" s="3871"/>
      <c r="CF69" s="3871"/>
      <c r="CG69" s="3871">
        <v>0</v>
      </c>
      <c r="CH69" s="3871">
        <v>1</v>
      </c>
      <c r="CI69" s="3871"/>
      <c r="CJ69" s="1518"/>
      <c r="CK69" s="1518">
        <v>1</v>
      </c>
      <c r="CN69" s="36"/>
      <c r="CO69" s="36"/>
      <c r="CP69" s="36"/>
      <c r="CQ69" s="393" t="s">
        <v>15</v>
      </c>
      <c r="CR69" s="2049">
        <v>1</v>
      </c>
      <c r="CS69" s="2049"/>
      <c r="CT69" s="2049"/>
      <c r="CU69" s="2049">
        <v>1</v>
      </c>
      <c r="CV69" s="2049"/>
      <c r="CW69" s="2049"/>
      <c r="CX69" s="2049"/>
      <c r="CY69" s="2049"/>
      <c r="CZ69" s="2049"/>
      <c r="DA69" s="2049"/>
      <c r="DB69" s="2049"/>
      <c r="DC69" s="2049"/>
      <c r="DD69" s="2049"/>
      <c r="DE69" s="2049">
        <v>1</v>
      </c>
      <c r="DF69" s="2049">
        <v>4</v>
      </c>
      <c r="DG69" s="393">
        <v>1</v>
      </c>
      <c r="DH69" s="393"/>
      <c r="DI69" s="393">
        <v>8</v>
      </c>
      <c r="DJ69" s="560">
        <f>+(DI68+DI66)/DI69</f>
        <v>0.375</v>
      </c>
      <c r="DK69" s="1665"/>
      <c r="DL69" s="36"/>
      <c r="DM69" s="36"/>
      <c r="DN69" s="36"/>
      <c r="DO69" s="393" t="s">
        <v>15</v>
      </c>
      <c r="DP69" s="1682"/>
      <c r="DQ69" s="1682"/>
      <c r="DR69" s="1682"/>
      <c r="DS69" s="1682"/>
      <c r="DT69" s="1682"/>
      <c r="DU69" s="1682"/>
      <c r="DV69" s="1682"/>
      <c r="DW69" s="1682"/>
      <c r="DX69" s="1682"/>
      <c r="DY69" s="1682"/>
      <c r="DZ69" s="1682"/>
      <c r="EA69" s="1682"/>
      <c r="EB69" s="1682"/>
      <c r="EC69" s="1682"/>
      <c r="ED69" s="1682"/>
      <c r="EE69" s="86"/>
      <c r="EF69" s="86">
        <v>5</v>
      </c>
      <c r="EG69" s="86">
        <v>5</v>
      </c>
      <c r="EH69" s="560">
        <v>0</v>
      </c>
      <c r="EL69" s="36"/>
      <c r="EM69" s="36" t="s">
        <v>1072</v>
      </c>
      <c r="EN69" s="1490"/>
      <c r="EO69" s="1490">
        <v>0</v>
      </c>
      <c r="EP69" s="1490"/>
      <c r="EQ69" s="1490"/>
      <c r="ER69" s="1490"/>
      <c r="ES69" s="1490">
        <v>2</v>
      </c>
      <c r="ET69" s="1490"/>
      <c r="EU69" s="1490">
        <v>1</v>
      </c>
      <c r="EV69" s="1490"/>
      <c r="EW69" s="1490">
        <v>0</v>
      </c>
      <c r="EX69" s="1490"/>
      <c r="EY69" s="1490"/>
      <c r="EZ69" s="1490">
        <v>2</v>
      </c>
      <c r="FA69" s="1490">
        <v>0</v>
      </c>
      <c r="FB69" s="1490">
        <v>0</v>
      </c>
      <c r="FC69" s="36">
        <v>1</v>
      </c>
      <c r="FD69" s="36">
        <v>0</v>
      </c>
      <c r="FE69" s="36">
        <v>6</v>
      </c>
      <c r="FF69" s="36"/>
      <c r="FH69" s="1225"/>
      <c r="FI69" s="1225"/>
      <c r="FJ69" s="1225" t="s">
        <v>124</v>
      </c>
      <c r="FK69" s="1226" t="s">
        <v>1072</v>
      </c>
      <c r="FL69" s="1227"/>
      <c r="FM69" s="1228">
        <v>1</v>
      </c>
      <c r="FN69" s="1228">
        <v>0</v>
      </c>
      <c r="FO69" s="1227"/>
      <c r="FP69" s="1227"/>
      <c r="FQ69" s="1227"/>
      <c r="FR69" s="1227"/>
      <c r="FS69" s="1227"/>
      <c r="FT69" s="1228">
        <v>0</v>
      </c>
      <c r="FU69" s="1228">
        <v>0</v>
      </c>
      <c r="FV69" s="1228">
        <v>0</v>
      </c>
      <c r="FW69" s="1228">
        <v>2</v>
      </c>
      <c r="FX69" s="1228">
        <v>2</v>
      </c>
      <c r="FY69" s="1230">
        <v>1</v>
      </c>
      <c r="FZ69" s="1230">
        <v>0</v>
      </c>
      <c r="GA69" s="1230">
        <v>6</v>
      </c>
      <c r="GB69" s="36"/>
      <c r="GD69" s="603"/>
      <c r="GE69" s="603" t="s">
        <v>16</v>
      </c>
      <c r="GF69" s="603" t="s">
        <v>106</v>
      </c>
      <c r="GG69" s="604" t="s">
        <v>1071</v>
      </c>
      <c r="GH69" s="605"/>
      <c r="GI69" s="605"/>
      <c r="GJ69" s="605"/>
      <c r="GK69" s="605"/>
      <c r="GL69" s="605"/>
      <c r="GM69" s="605"/>
      <c r="GN69" s="605"/>
      <c r="GO69" s="605"/>
      <c r="GP69" s="605"/>
      <c r="GQ69" s="605"/>
      <c r="GR69" s="606">
        <v>0</v>
      </c>
      <c r="GS69" s="605"/>
      <c r="GT69" s="605"/>
      <c r="GU69" s="605"/>
      <c r="GV69" s="606">
        <v>1</v>
      </c>
      <c r="GW69" s="607"/>
      <c r="GX69" s="607"/>
      <c r="GY69" s="608">
        <v>1</v>
      </c>
      <c r="GZ69" s="95"/>
      <c r="HB69" s="441"/>
      <c r="HC69" s="441"/>
      <c r="HD69" s="441"/>
      <c r="HE69" s="441"/>
      <c r="HF69" s="442" t="s">
        <v>1163</v>
      </c>
      <c r="HG69" s="609"/>
      <c r="HH69" s="609"/>
      <c r="HI69" s="609"/>
      <c r="HJ69" s="610">
        <v>0</v>
      </c>
      <c r="HK69" s="609"/>
      <c r="HL69" s="609"/>
      <c r="HM69" s="609"/>
      <c r="HN69" s="610">
        <v>0</v>
      </c>
      <c r="HO69" s="610">
        <v>0</v>
      </c>
      <c r="HP69" s="609"/>
      <c r="HQ69" s="610">
        <v>0</v>
      </c>
      <c r="HR69" s="610">
        <v>1</v>
      </c>
      <c r="HS69" s="610">
        <v>1</v>
      </c>
      <c r="HT69" s="610">
        <v>0</v>
      </c>
      <c r="HU69" s="610">
        <v>1</v>
      </c>
      <c r="HV69" s="612">
        <v>0</v>
      </c>
      <c r="HW69" s="612">
        <v>0</v>
      </c>
      <c r="HX69" s="612">
        <v>3</v>
      </c>
      <c r="HY69" s="560"/>
      <c r="HZ69" s="36"/>
      <c r="IA69" s="613"/>
      <c r="IB69" s="613"/>
      <c r="IC69" s="613"/>
      <c r="ID69" s="389" t="s">
        <v>1072</v>
      </c>
      <c r="IE69" s="390">
        <v>1</v>
      </c>
      <c r="IF69" s="614"/>
      <c r="IG69" s="614"/>
      <c r="IH69" s="390">
        <v>0</v>
      </c>
      <c r="II69" s="614"/>
      <c r="IJ69" s="614"/>
      <c r="IK69" s="390">
        <v>0</v>
      </c>
      <c r="IL69" s="614"/>
      <c r="IM69" s="390">
        <v>0</v>
      </c>
      <c r="IN69" s="390">
        <v>0</v>
      </c>
      <c r="IO69" s="390">
        <v>0</v>
      </c>
      <c r="IP69" s="390">
        <v>0</v>
      </c>
      <c r="IQ69" s="390">
        <v>0</v>
      </c>
      <c r="IR69" s="390">
        <v>1</v>
      </c>
      <c r="IS69" s="615"/>
      <c r="IT69" s="36"/>
      <c r="IU69" s="36"/>
      <c r="IV69" s="95"/>
      <c r="IW69" s="95"/>
      <c r="IX69" s="36"/>
      <c r="IY69" s="393" t="s">
        <v>15</v>
      </c>
      <c r="IZ69" s="86"/>
      <c r="JA69" s="86">
        <v>1</v>
      </c>
      <c r="JB69" s="86">
        <v>1</v>
      </c>
      <c r="JC69" s="86"/>
      <c r="JD69" s="86">
        <v>1</v>
      </c>
      <c r="JE69" s="86"/>
      <c r="JF69" s="86"/>
      <c r="JG69" s="86"/>
      <c r="JH69" s="86"/>
      <c r="JI69" s="86">
        <v>2</v>
      </c>
      <c r="JJ69" s="86">
        <v>2</v>
      </c>
      <c r="JK69" s="86">
        <v>11</v>
      </c>
      <c r="JL69" s="86">
        <v>1</v>
      </c>
      <c r="JM69" s="86"/>
      <c r="JN69" s="86"/>
      <c r="JO69" s="86"/>
      <c r="JP69" s="86">
        <v>19</v>
      </c>
      <c r="JQ69" s="631">
        <f>+(JP66+JP68)/JP69</f>
        <v>0.36842105263157893</v>
      </c>
      <c r="JR69" s="36"/>
      <c r="JS69" s="616"/>
      <c r="JT69" s="616"/>
      <c r="JU69" s="616"/>
      <c r="JV69" s="616" t="s">
        <v>1163</v>
      </c>
      <c r="JW69" s="616">
        <v>0</v>
      </c>
      <c r="JX69" s="616">
        <v>0</v>
      </c>
      <c r="JY69" s="616">
        <v>0</v>
      </c>
      <c r="JZ69" s="616">
        <v>0</v>
      </c>
      <c r="KA69" s="616">
        <v>0</v>
      </c>
      <c r="KB69" s="616">
        <v>0</v>
      </c>
      <c r="KC69" s="616">
        <v>0</v>
      </c>
      <c r="KD69" s="616">
        <v>0</v>
      </c>
      <c r="KE69" s="616">
        <v>1</v>
      </c>
      <c r="KF69" s="616">
        <v>0</v>
      </c>
      <c r="KG69" s="616">
        <v>0</v>
      </c>
      <c r="KH69" s="616">
        <v>0</v>
      </c>
      <c r="KI69" s="616">
        <v>0</v>
      </c>
      <c r="KJ69" s="616">
        <v>0</v>
      </c>
      <c r="KK69" s="616">
        <v>0</v>
      </c>
      <c r="KL69" s="616">
        <v>0</v>
      </c>
      <c r="KM69" s="616">
        <v>1</v>
      </c>
      <c r="KN69" s="616"/>
      <c r="KO69" s="617"/>
    </row>
    <row r="70" spans="1:301">
      <c r="A70" s="5737">
        <v>2</v>
      </c>
      <c r="B70" s="5737">
        <v>1</v>
      </c>
      <c r="C70" s="5736" t="s">
        <v>120</v>
      </c>
      <c r="D70" s="5736" t="s">
        <v>2709</v>
      </c>
      <c r="E70" s="5737">
        <v>1</v>
      </c>
      <c r="F70" s="5737">
        <v>14</v>
      </c>
      <c r="I70" s="4726">
        <v>2</v>
      </c>
      <c r="J70" s="4726">
        <v>1</v>
      </c>
      <c r="K70" s="4725" t="s">
        <v>120</v>
      </c>
      <c r="L70" s="4963" t="s">
        <v>1076</v>
      </c>
      <c r="M70" s="4964">
        <v>1</v>
      </c>
      <c r="N70" s="4726">
        <v>13</v>
      </c>
      <c r="Q70" s="4458">
        <v>2</v>
      </c>
      <c r="R70" s="4458">
        <v>2</v>
      </c>
      <c r="S70" s="4459" t="s">
        <v>2749</v>
      </c>
      <c r="T70" s="4459" t="s">
        <v>2705</v>
      </c>
      <c r="U70" s="4458">
        <v>10</v>
      </c>
      <c r="V70" s="4479">
        <v>1</v>
      </c>
      <c r="W70" s="4510"/>
      <c r="X70" s="4467"/>
      <c r="Y70" s="4467"/>
      <c r="Z70" s="36"/>
      <c r="AA70" s="36"/>
      <c r="AB70" s="36"/>
      <c r="AC70" s="4236" t="s">
        <v>15</v>
      </c>
      <c r="AD70" s="4236"/>
      <c r="AE70" s="4236"/>
      <c r="AF70" s="4236"/>
      <c r="AG70" s="4236"/>
      <c r="AH70" s="4236"/>
      <c r="AI70" s="4236"/>
      <c r="AJ70" s="4236"/>
      <c r="AK70" s="4236">
        <v>1</v>
      </c>
      <c r="AL70" s="4236"/>
      <c r="AM70" s="4236"/>
      <c r="AN70" s="4236">
        <v>1</v>
      </c>
      <c r="AO70" s="4236"/>
      <c r="AP70" s="4236">
        <v>3</v>
      </c>
      <c r="AQ70" s="4236"/>
      <c r="AR70" s="4236">
        <v>5</v>
      </c>
      <c r="AS70" s="4243">
        <f>AR68/AR70</f>
        <v>0.4</v>
      </c>
      <c r="AU70" s="36"/>
      <c r="AV70" s="36"/>
      <c r="AW70" s="36" t="s">
        <v>121</v>
      </c>
      <c r="AX70" s="36" t="s">
        <v>1080</v>
      </c>
      <c r="AY70" s="1681"/>
      <c r="AZ70" s="1681"/>
      <c r="BA70" s="1681"/>
      <c r="BB70" s="1681"/>
      <c r="BC70" s="1681"/>
      <c r="BD70" s="1681"/>
      <c r="BE70" s="1681"/>
      <c r="BF70" s="1681"/>
      <c r="BG70" s="1681"/>
      <c r="BH70" s="1681"/>
      <c r="BI70" s="1681"/>
      <c r="BJ70" s="1681">
        <v>0</v>
      </c>
      <c r="BK70" s="1681">
        <v>1</v>
      </c>
      <c r="BL70" s="1681"/>
      <c r="BM70" s="95"/>
      <c r="BN70" s="95"/>
      <c r="BO70" s="95">
        <v>1</v>
      </c>
      <c r="BP70" s="95"/>
      <c r="BU70" s="32" t="s">
        <v>1163</v>
      </c>
      <c r="BV70" s="3871"/>
      <c r="BW70" s="3871"/>
      <c r="BX70" s="3871"/>
      <c r="BY70" s="3871"/>
      <c r="BZ70" s="3871"/>
      <c r="CA70" s="3871"/>
      <c r="CB70" s="3871"/>
      <c r="CC70" s="3871"/>
      <c r="CD70" s="3871"/>
      <c r="CE70" s="3871"/>
      <c r="CF70" s="3871"/>
      <c r="CG70" s="3871">
        <v>1</v>
      </c>
      <c r="CH70" s="3871">
        <v>0</v>
      </c>
      <c r="CI70" s="3871"/>
      <c r="CJ70" s="1518"/>
      <c r="CK70" s="1518">
        <v>1</v>
      </c>
      <c r="CN70" s="36"/>
      <c r="CO70" s="36"/>
      <c r="CP70" s="36" t="s">
        <v>120</v>
      </c>
      <c r="CQ70" s="36" t="s">
        <v>1072</v>
      </c>
      <c r="CR70" s="615"/>
      <c r="CS70" s="615"/>
      <c r="CT70" s="615">
        <v>1</v>
      </c>
      <c r="CU70" s="615"/>
      <c r="CV70" s="615"/>
      <c r="CW70" s="615"/>
      <c r="CX70" s="615"/>
      <c r="CY70" s="615"/>
      <c r="CZ70" s="615"/>
      <c r="DA70" s="615"/>
      <c r="DB70" s="615"/>
      <c r="DC70" s="615">
        <v>0</v>
      </c>
      <c r="DD70" s="615"/>
      <c r="DE70" s="615">
        <v>0</v>
      </c>
      <c r="DF70" s="615">
        <v>0</v>
      </c>
      <c r="DG70" s="36">
        <v>0</v>
      </c>
      <c r="DH70" s="36">
        <v>0</v>
      </c>
      <c r="DI70" s="36">
        <v>1</v>
      </c>
      <c r="DJ70" s="36"/>
      <c r="DL70" s="36"/>
      <c r="DM70" s="36"/>
      <c r="DN70" s="36" t="s">
        <v>482</v>
      </c>
      <c r="DO70" s="36" t="s">
        <v>1072</v>
      </c>
      <c r="DP70" s="1681"/>
      <c r="DQ70" s="1681"/>
      <c r="DR70" s="1681"/>
      <c r="DS70" s="1681"/>
      <c r="DT70" s="1681">
        <v>4</v>
      </c>
      <c r="DU70" s="1681"/>
      <c r="DV70" s="1681">
        <v>1</v>
      </c>
      <c r="DW70" s="1681"/>
      <c r="DX70" s="1681"/>
      <c r="DY70" s="1681"/>
      <c r="DZ70" s="1681"/>
      <c r="EA70" s="1681">
        <v>1</v>
      </c>
      <c r="EB70" s="1681">
        <v>0</v>
      </c>
      <c r="EC70" s="1681">
        <v>0</v>
      </c>
      <c r="ED70" s="1681">
        <v>1</v>
      </c>
      <c r="EE70" s="95">
        <v>1</v>
      </c>
      <c r="EF70" s="95">
        <v>0</v>
      </c>
      <c r="EG70" s="95">
        <v>8</v>
      </c>
      <c r="EH70" s="36"/>
      <c r="EL70" s="36"/>
      <c r="EM70" s="36" t="s">
        <v>1074</v>
      </c>
      <c r="EN70" s="1490"/>
      <c r="EO70" s="1490">
        <v>1</v>
      </c>
      <c r="EP70" s="1490"/>
      <c r="EQ70" s="1490"/>
      <c r="ER70" s="1490"/>
      <c r="ES70" s="1490">
        <v>0</v>
      </c>
      <c r="ET70" s="1490"/>
      <c r="EU70" s="1490">
        <v>0</v>
      </c>
      <c r="EV70" s="1490"/>
      <c r="EW70" s="1490">
        <v>0</v>
      </c>
      <c r="EX70" s="1490"/>
      <c r="EY70" s="1490"/>
      <c r="EZ70" s="1490">
        <v>0</v>
      </c>
      <c r="FA70" s="1490">
        <v>0</v>
      </c>
      <c r="FB70" s="1490">
        <v>0</v>
      </c>
      <c r="FC70" s="36">
        <v>0</v>
      </c>
      <c r="FD70" s="36">
        <v>0</v>
      </c>
      <c r="FE70" s="36">
        <v>1</v>
      </c>
      <c r="FF70" s="36"/>
      <c r="FH70" s="1225"/>
      <c r="FI70" s="1225"/>
      <c r="FJ70" s="1225"/>
      <c r="FK70" s="1226" t="s">
        <v>1076</v>
      </c>
      <c r="FL70" s="1227"/>
      <c r="FM70" s="1228">
        <v>0</v>
      </c>
      <c r="FN70" s="1228">
        <v>0</v>
      </c>
      <c r="FO70" s="1227"/>
      <c r="FP70" s="1227"/>
      <c r="FQ70" s="1227"/>
      <c r="FR70" s="1227"/>
      <c r="FS70" s="1227"/>
      <c r="FT70" s="1228">
        <v>0</v>
      </c>
      <c r="FU70" s="1228">
        <v>0</v>
      </c>
      <c r="FV70" s="1228">
        <v>1</v>
      </c>
      <c r="FW70" s="1228">
        <v>0</v>
      </c>
      <c r="FX70" s="1228">
        <v>0</v>
      </c>
      <c r="FY70" s="1230">
        <v>0</v>
      </c>
      <c r="FZ70" s="1230">
        <v>0</v>
      </c>
      <c r="GA70" s="1230">
        <v>1</v>
      </c>
      <c r="GB70" s="36"/>
      <c r="GD70" s="603"/>
      <c r="GE70" s="603"/>
      <c r="GF70" s="603"/>
      <c r="GG70" s="604" t="s">
        <v>1080</v>
      </c>
      <c r="GH70" s="605"/>
      <c r="GI70" s="605"/>
      <c r="GJ70" s="605"/>
      <c r="GK70" s="605"/>
      <c r="GL70" s="605"/>
      <c r="GM70" s="605"/>
      <c r="GN70" s="605"/>
      <c r="GO70" s="605"/>
      <c r="GP70" s="605"/>
      <c r="GQ70" s="605"/>
      <c r="GR70" s="606">
        <v>0</v>
      </c>
      <c r="GS70" s="605"/>
      <c r="GT70" s="605"/>
      <c r="GU70" s="605"/>
      <c r="GV70" s="606">
        <v>7</v>
      </c>
      <c r="GW70" s="607"/>
      <c r="GX70" s="607"/>
      <c r="GY70" s="608">
        <v>7</v>
      </c>
      <c r="GZ70" s="95"/>
      <c r="HB70" s="441"/>
      <c r="HC70" s="441"/>
      <c r="HD70" s="441"/>
      <c r="HE70" s="36"/>
      <c r="HF70" s="462" t="s">
        <v>482</v>
      </c>
      <c r="HG70" s="618"/>
      <c r="HH70" s="618"/>
      <c r="HI70" s="618"/>
      <c r="HJ70" s="619">
        <v>1</v>
      </c>
      <c r="HK70" s="618"/>
      <c r="HL70" s="618"/>
      <c r="HM70" s="618"/>
      <c r="HN70" s="619">
        <v>1</v>
      </c>
      <c r="HO70" s="619">
        <v>2</v>
      </c>
      <c r="HP70" s="618"/>
      <c r="HQ70" s="619">
        <v>1</v>
      </c>
      <c r="HR70" s="619">
        <v>3</v>
      </c>
      <c r="HS70" s="619">
        <v>3</v>
      </c>
      <c r="HT70" s="619">
        <v>4</v>
      </c>
      <c r="HU70" s="619">
        <v>15</v>
      </c>
      <c r="HV70" s="621">
        <v>4</v>
      </c>
      <c r="HW70" s="621">
        <v>6</v>
      </c>
      <c r="HX70" s="621">
        <v>40</v>
      </c>
      <c r="HY70" s="560">
        <f>+(HX69+HX67)/HX70</f>
        <v>0.22500000000000001</v>
      </c>
      <c r="HZ70" s="36"/>
      <c r="IA70" s="613"/>
      <c r="IB70" s="613"/>
      <c r="IC70" s="613"/>
      <c r="ID70" s="389" t="s">
        <v>1074</v>
      </c>
      <c r="IE70" s="390">
        <v>0</v>
      </c>
      <c r="IF70" s="614"/>
      <c r="IG70" s="614"/>
      <c r="IH70" s="390">
        <v>1</v>
      </c>
      <c r="II70" s="614"/>
      <c r="IJ70" s="614"/>
      <c r="IK70" s="390">
        <v>0</v>
      </c>
      <c r="IL70" s="614"/>
      <c r="IM70" s="390">
        <v>0</v>
      </c>
      <c r="IN70" s="390">
        <v>0</v>
      </c>
      <c r="IO70" s="390">
        <v>0</v>
      </c>
      <c r="IP70" s="390">
        <v>0</v>
      </c>
      <c r="IQ70" s="390">
        <v>0</v>
      </c>
      <c r="IR70" s="390">
        <v>1</v>
      </c>
      <c r="IS70" s="615"/>
      <c r="IT70" s="36"/>
      <c r="IU70" s="36"/>
      <c r="IV70" s="95"/>
      <c r="IW70" s="95"/>
      <c r="IX70" s="36" t="s">
        <v>126</v>
      </c>
      <c r="IY70" s="36" t="s">
        <v>1076</v>
      </c>
      <c r="IZ70" s="95"/>
      <c r="JA70" s="95"/>
      <c r="JB70" s="95"/>
      <c r="JC70" s="95"/>
      <c r="JD70" s="95"/>
      <c r="JE70" s="95"/>
      <c r="JF70" s="95"/>
      <c r="JG70" s="95"/>
      <c r="JH70" s="95"/>
      <c r="JI70" s="95">
        <v>1</v>
      </c>
      <c r="JJ70" s="95">
        <v>2</v>
      </c>
      <c r="JK70" s="95">
        <v>2</v>
      </c>
      <c r="JL70" s="95">
        <v>1</v>
      </c>
      <c r="JM70" s="95"/>
      <c r="JN70" s="95"/>
      <c r="JO70" s="95"/>
      <c r="JP70" s="95">
        <v>6</v>
      </c>
      <c r="JQ70" s="36"/>
      <c r="JR70" s="36"/>
      <c r="JS70" s="616"/>
      <c r="JT70" s="616"/>
      <c r="JU70" s="616"/>
      <c r="JV70" s="627" t="s">
        <v>15</v>
      </c>
      <c r="JW70" s="627">
        <v>0</v>
      </c>
      <c r="JX70" s="627">
        <v>0</v>
      </c>
      <c r="JY70" s="627">
        <v>0</v>
      </c>
      <c r="JZ70" s="627">
        <v>0</v>
      </c>
      <c r="KA70" s="627">
        <v>0</v>
      </c>
      <c r="KB70" s="627">
        <v>0</v>
      </c>
      <c r="KC70" s="627">
        <v>0</v>
      </c>
      <c r="KD70" s="627">
        <v>0</v>
      </c>
      <c r="KE70" s="627">
        <v>1</v>
      </c>
      <c r="KF70" s="627">
        <v>0</v>
      </c>
      <c r="KG70" s="627">
        <v>0</v>
      </c>
      <c r="KH70" s="627">
        <v>0</v>
      </c>
      <c r="KI70" s="627">
        <v>0</v>
      </c>
      <c r="KJ70" s="627">
        <v>0</v>
      </c>
      <c r="KK70" s="627">
        <v>1</v>
      </c>
      <c r="KL70" s="627">
        <v>0</v>
      </c>
      <c r="KM70" s="627">
        <v>2</v>
      </c>
      <c r="KN70" s="628">
        <f>+(KM69+KM68-KK68)/KM70</f>
        <v>0.5</v>
      </c>
      <c r="KO70" s="617">
        <f>+KM69</f>
        <v>1</v>
      </c>
    </row>
    <row r="71" spans="1:301">
      <c r="A71" s="5737"/>
      <c r="B71" s="5737"/>
      <c r="C71" s="5736"/>
      <c r="D71" s="5736"/>
      <c r="E71" s="5742">
        <f>SUM(E67:E70)</f>
        <v>6</v>
      </c>
      <c r="F71" s="5737"/>
      <c r="G71" s="4476">
        <f>+(E68+E69)/(E71)</f>
        <v>0.33333333333333331</v>
      </c>
      <c r="I71" s="4726">
        <v>2</v>
      </c>
      <c r="J71" s="4726">
        <v>1</v>
      </c>
      <c r="K71" s="4725" t="s">
        <v>120</v>
      </c>
      <c r="L71" s="4725" t="s">
        <v>2709</v>
      </c>
      <c r="M71" s="4726">
        <v>1</v>
      </c>
      <c r="N71" s="4726">
        <v>13</v>
      </c>
      <c r="Q71" s="4458">
        <v>2</v>
      </c>
      <c r="R71" s="4458">
        <v>2</v>
      </c>
      <c r="S71" s="4459" t="s">
        <v>2749</v>
      </c>
      <c r="T71" s="4459" t="s">
        <v>2731</v>
      </c>
      <c r="U71" s="4458">
        <v>14</v>
      </c>
      <c r="V71" s="4479">
        <v>2</v>
      </c>
      <c r="W71" s="4510"/>
      <c r="X71" s="4467"/>
      <c r="Y71" s="4467"/>
      <c r="Z71" s="36"/>
      <c r="AA71" s="36"/>
      <c r="AB71" s="36" t="s">
        <v>123</v>
      </c>
      <c r="AC71" s="36" t="s">
        <v>1080</v>
      </c>
      <c r="AD71" s="615"/>
      <c r="AE71" s="615"/>
      <c r="AF71" s="615"/>
      <c r="AG71" s="615"/>
      <c r="AH71" s="615"/>
      <c r="AI71" s="615"/>
      <c r="AJ71" s="615"/>
      <c r="AK71" s="615"/>
      <c r="AL71" s="615"/>
      <c r="AM71" s="615"/>
      <c r="AN71" s="615"/>
      <c r="AO71" s="615">
        <v>1</v>
      </c>
      <c r="AP71" s="615">
        <v>1</v>
      </c>
      <c r="AQ71" s="36"/>
      <c r="AR71" s="36">
        <v>2</v>
      </c>
      <c r="AS71" s="36"/>
      <c r="AX71" s="3868" t="s">
        <v>1163</v>
      </c>
      <c r="AY71" s="3721"/>
      <c r="AZ71" s="3721"/>
      <c r="BA71" s="3721"/>
      <c r="BB71" s="3721"/>
      <c r="BC71" s="3721"/>
      <c r="BD71" s="3721"/>
      <c r="BE71" s="3721"/>
      <c r="BF71" s="3721"/>
      <c r="BG71" s="3721"/>
      <c r="BH71" s="3721"/>
      <c r="BI71" s="3721"/>
      <c r="BJ71" s="3721">
        <v>1</v>
      </c>
      <c r="BK71" s="3721">
        <v>0</v>
      </c>
      <c r="BL71" s="3721"/>
      <c r="BM71" s="2110"/>
      <c r="BN71" s="2110"/>
      <c r="BO71" s="2110">
        <v>1</v>
      </c>
      <c r="BP71" s="2110"/>
      <c r="BU71" s="1520" t="s">
        <v>15</v>
      </c>
      <c r="BV71" s="3872"/>
      <c r="BW71" s="3872"/>
      <c r="BX71" s="3872"/>
      <c r="BY71" s="3872"/>
      <c r="BZ71" s="3872"/>
      <c r="CA71" s="3872"/>
      <c r="CB71" s="3872"/>
      <c r="CC71" s="3872"/>
      <c r="CD71" s="3872"/>
      <c r="CE71" s="3872"/>
      <c r="CF71" s="3872"/>
      <c r="CG71" s="3872">
        <v>1</v>
      </c>
      <c r="CH71" s="3872">
        <v>1</v>
      </c>
      <c r="CI71" s="3872"/>
      <c r="CJ71" s="3806"/>
      <c r="CK71" s="3806">
        <v>2</v>
      </c>
      <c r="CL71" s="3807">
        <f>+CK70/CK71</f>
        <v>0.5</v>
      </c>
      <c r="CN71" s="36"/>
      <c r="CO71" s="36"/>
      <c r="CP71" s="36"/>
      <c r="CQ71" s="36" t="s">
        <v>1076</v>
      </c>
      <c r="CR71" s="615"/>
      <c r="CS71" s="615"/>
      <c r="CT71" s="615">
        <v>0</v>
      </c>
      <c r="CU71" s="615"/>
      <c r="CV71" s="615"/>
      <c r="CW71" s="615"/>
      <c r="CX71" s="615"/>
      <c r="CY71" s="615"/>
      <c r="CZ71" s="615"/>
      <c r="DA71" s="615"/>
      <c r="DB71" s="615"/>
      <c r="DC71" s="615">
        <v>1</v>
      </c>
      <c r="DD71" s="615"/>
      <c r="DE71" s="615">
        <v>1</v>
      </c>
      <c r="DF71" s="615">
        <v>1</v>
      </c>
      <c r="DG71" s="36">
        <v>0</v>
      </c>
      <c r="DH71" s="36">
        <v>0</v>
      </c>
      <c r="DI71" s="36">
        <v>3</v>
      </c>
      <c r="DJ71" s="36"/>
      <c r="DL71" s="36"/>
      <c r="DM71" s="36"/>
      <c r="DN71" s="36"/>
      <c r="DO71" s="36" t="s">
        <v>1076</v>
      </c>
      <c r="DP71" s="1681"/>
      <c r="DQ71" s="1681"/>
      <c r="DR71" s="1681"/>
      <c r="DS71" s="1681"/>
      <c r="DT71" s="1681">
        <v>0</v>
      </c>
      <c r="DU71" s="1681"/>
      <c r="DV71" s="1681">
        <v>0</v>
      </c>
      <c r="DW71" s="1681"/>
      <c r="DX71" s="1681"/>
      <c r="DY71" s="1681"/>
      <c r="DZ71" s="1681"/>
      <c r="EA71" s="1681">
        <v>0</v>
      </c>
      <c r="EB71" s="1681">
        <v>3</v>
      </c>
      <c r="EC71" s="1681">
        <v>3</v>
      </c>
      <c r="ED71" s="1681">
        <v>1</v>
      </c>
      <c r="EE71" s="95">
        <v>1</v>
      </c>
      <c r="EF71" s="95">
        <v>0</v>
      </c>
      <c r="EG71" s="95">
        <v>8</v>
      </c>
      <c r="EH71" s="36"/>
      <c r="EL71" s="36"/>
      <c r="EM71" s="36" t="s">
        <v>1076</v>
      </c>
      <c r="EN71" s="1490"/>
      <c r="EO71" s="1490">
        <v>0</v>
      </c>
      <c r="EP71" s="1490"/>
      <c r="EQ71" s="1490"/>
      <c r="ER71" s="1490"/>
      <c r="ES71" s="1490">
        <v>0</v>
      </c>
      <c r="ET71" s="1490"/>
      <c r="EU71" s="1490">
        <v>0</v>
      </c>
      <c r="EV71" s="1490"/>
      <c r="EW71" s="1490">
        <v>0</v>
      </c>
      <c r="EX71" s="1490"/>
      <c r="EY71" s="1490"/>
      <c r="EZ71" s="1490">
        <v>0</v>
      </c>
      <c r="FA71" s="1490">
        <v>1</v>
      </c>
      <c r="FB71" s="1490">
        <v>0</v>
      </c>
      <c r="FC71" s="36">
        <v>0</v>
      </c>
      <c r="FD71" s="36">
        <v>0</v>
      </c>
      <c r="FE71" s="36">
        <v>1</v>
      </c>
      <c r="FF71" s="36"/>
      <c r="FH71" s="1225"/>
      <c r="FI71" s="1225"/>
      <c r="FJ71" s="1225"/>
      <c r="FK71" s="1226" t="s">
        <v>1077</v>
      </c>
      <c r="FL71" s="1227"/>
      <c r="FM71" s="1228">
        <v>0</v>
      </c>
      <c r="FN71" s="1228">
        <v>1</v>
      </c>
      <c r="FO71" s="1227"/>
      <c r="FP71" s="1227"/>
      <c r="FQ71" s="1227"/>
      <c r="FR71" s="1227"/>
      <c r="FS71" s="1227"/>
      <c r="FT71" s="1228">
        <v>0</v>
      </c>
      <c r="FU71" s="1228">
        <v>0</v>
      </c>
      <c r="FV71" s="1228">
        <v>0</v>
      </c>
      <c r="FW71" s="1228">
        <v>0</v>
      </c>
      <c r="FX71" s="1228">
        <v>0</v>
      </c>
      <c r="FY71" s="1230">
        <v>0</v>
      </c>
      <c r="FZ71" s="1230">
        <v>0</v>
      </c>
      <c r="GA71" s="1230">
        <v>1</v>
      </c>
      <c r="GB71" s="36"/>
      <c r="GD71" s="603"/>
      <c r="GE71" s="603"/>
      <c r="GF71" s="603"/>
      <c r="GG71" s="604" t="s">
        <v>1163</v>
      </c>
      <c r="GH71" s="605"/>
      <c r="GI71" s="605"/>
      <c r="GJ71" s="605"/>
      <c r="GK71" s="605"/>
      <c r="GL71" s="605"/>
      <c r="GM71" s="605"/>
      <c r="GN71" s="605"/>
      <c r="GO71" s="605"/>
      <c r="GP71" s="605"/>
      <c r="GQ71" s="605"/>
      <c r="GR71" s="606">
        <v>1</v>
      </c>
      <c r="GS71" s="605"/>
      <c r="GT71" s="605"/>
      <c r="GU71" s="605"/>
      <c r="GV71" s="606">
        <v>0</v>
      </c>
      <c r="GW71" s="607"/>
      <c r="GX71" s="607"/>
      <c r="GY71" s="608">
        <v>1</v>
      </c>
      <c r="GZ71" s="95"/>
      <c r="HB71" s="441"/>
      <c r="HC71" s="441" t="s">
        <v>16</v>
      </c>
      <c r="HD71" s="441" t="s">
        <v>106</v>
      </c>
      <c r="HE71" s="441" t="s">
        <v>1070</v>
      </c>
      <c r="HF71" s="442" t="s">
        <v>1071</v>
      </c>
      <c r="HG71" s="609"/>
      <c r="HH71" s="609"/>
      <c r="HI71" s="610">
        <v>0</v>
      </c>
      <c r="HJ71" s="609"/>
      <c r="HK71" s="609"/>
      <c r="HL71" s="609"/>
      <c r="HM71" s="610">
        <v>0</v>
      </c>
      <c r="HN71" s="609"/>
      <c r="HO71" s="610">
        <v>0</v>
      </c>
      <c r="HP71" s="610">
        <v>0</v>
      </c>
      <c r="HQ71" s="610">
        <v>0</v>
      </c>
      <c r="HR71" s="610">
        <v>0</v>
      </c>
      <c r="HS71" s="609"/>
      <c r="HT71" s="610">
        <v>0</v>
      </c>
      <c r="HU71" s="610">
        <v>1</v>
      </c>
      <c r="HV71" s="611"/>
      <c r="HW71" s="612">
        <v>0</v>
      </c>
      <c r="HX71" s="612">
        <v>1</v>
      </c>
      <c r="HY71" s="560"/>
      <c r="HZ71" s="36"/>
      <c r="IA71" s="613"/>
      <c r="IB71" s="613"/>
      <c r="IC71" s="613"/>
      <c r="ID71" s="389" t="s">
        <v>1076</v>
      </c>
      <c r="IE71" s="390">
        <v>0</v>
      </c>
      <c r="IF71" s="614"/>
      <c r="IG71" s="614"/>
      <c r="IH71" s="390">
        <v>0</v>
      </c>
      <c r="II71" s="614"/>
      <c r="IJ71" s="614"/>
      <c r="IK71" s="390">
        <v>0</v>
      </c>
      <c r="IL71" s="614"/>
      <c r="IM71" s="390">
        <v>1</v>
      </c>
      <c r="IN71" s="390">
        <v>2</v>
      </c>
      <c r="IO71" s="390">
        <v>2</v>
      </c>
      <c r="IP71" s="390">
        <v>1</v>
      </c>
      <c r="IQ71" s="390">
        <v>0</v>
      </c>
      <c r="IR71" s="390">
        <v>6</v>
      </c>
      <c r="IS71" s="615"/>
      <c r="IT71" s="36"/>
      <c r="IU71" s="36"/>
      <c r="IV71" s="95"/>
      <c r="IW71" s="95"/>
      <c r="IX71" s="36"/>
      <c r="IY71" s="393" t="s">
        <v>15</v>
      </c>
      <c r="IZ71" s="86"/>
      <c r="JA71" s="86"/>
      <c r="JB71" s="86"/>
      <c r="JC71" s="86"/>
      <c r="JD71" s="86"/>
      <c r="JE71" s="86"/>
      <c r="JF71" s="86"/>
      <c r="JG71" s="86"/>
      <c r="JH71" s="86"/>
      <c r="JI71" s="86">
        <v>1</v>
      </c>
      <c r="JJ71" s="86">
        <v>2</v>
      </c>
      <c r="JK71" s="86">
        <v>2</v>
      </c>
      <c r="JL71" s="86">
        <v>1</v>
      </c>
      <c r="JM71" s="86"/>
      <c r="JN71" s="86"/>
      <c r="JO71" s="86"/>
      <c r="JP71" s="86">
        <v>6</v>
      </c>
      <c r="JQ71" s="632">
        <f>+JP70/JP71</f>
        <v>1</v>
      </c>
      <c r="JR71" s="36"/>
      <c r="JS71" s="616"/>
      <c r="JT71" s="616"/>
      <c r="JU71" s="616" t="s">
        <v>129</v>
      </c>
      <c r="JV71" s="616" t="s">
        <v>1076</v>
      </c>
      <c r="JW71" s="616">
        <v>0</v>
      </c>
      <c r="JX71" s="616">
        <v>0</v>
      </c>
      <c r="JY71" s="616">
        <v>0</v>
      </c>
      <c r="JZ71" s="616">
        <v>0</v>
      </c>
      <c r="KA71" s="616">
        <v>0</v>
      </c>
      <c r="KB71" s="616">
        <v>0</v>
      </c>
      <c r="KC71" s="616">
        <v>0</v>
      </c>
      <c r="KD71" s="616">
        <v>0</v>
      </c>
      <c r="KE71" s="616">
        <v>0</v>
      </c>
      <c r="KF71" s="616">
        <v>0</v>
      </c>
      <c r="KG71" s="616">
        <v>0</v>
      </c>
      <c r="KH71" s="616">
        <v>0</v>
      </c>
      <c r="KI71" s="616">
        <v>0</v>
      </c>
      <c r="KJ71" s="616">
        <v>1</v>
      </c>
      <c r="KK71" s="616">
        <v>1</v>
      </c>
      <c r="KL71" s="616">
        <v>0</v>
      </c>
      <c r="KM71" s="616">
        <v>2</v>
      </c>
      <c r="KN71" s="616"/>
      <c r="KO71" s="617"/>
    </row>
    <row r="72" spans="1:301">
      <c r="A72" s="5737">
        <v>2</v>
      </c>
      <c r="B72" s="5737">
        <v>1</v>
      </c>
      <c r="C72" s="5736" t="s">
        <v>121</v>
      </c>
      <c r="D72" s="5736" t="s">
        <v>2731</v>
      </c>
      <c r="E72" s="5737">
        <v>1</v>
      </c>
      <c r="F72" s="5737">
        <v>13</v>
      </c>
      <c r="I72" s="4726">
        <v>2</v>
      </c>
      <c r="J72" s="4726">
        <v>1</v>
      </c>
      <c r="K72" s="4725" t="s">
        <v>120</v>
      </c>
      <c r="L72" s="4725" t="s">
        <v>2709</v>
      </c>
      <c r="M72" s="4726">
        <v>1</v>
      </c>
      <c r="N72" s="4726">
        <v>14</v>
      </c>
      <c r="Q72" s="4458"/>
      <c r="R72" s="4458"/>
      <c r="S72" s="4465" t="s">
        <v>15</v>
      </c>
      <c r="T72" s="4459"/>
      <c r="U72" s="4458"/>
      <c r="V72" s="4480">
        <f>SUM(V67:V71)</f>
        <v>14</v>
      </c>
      <c r="W72" s="4476">
        <f>+(V68+V69)/(V72)</f>
        <v>0.5714285714285714</v>
      </c>
      <c r="X72" s="4467"/>
      <c r="Y72" s="4467"/>
      <c r="Z72" s="36"/>
      <c r="AA72" s="36"/>
      <c r="AB72" s="36"/>
      <c r="AC72" s="4236" t="s">
        <v>15</v>
      </c>
      <c r="AD72" s="4236"/>
      <c r="AE72" s="4236"/>
      <c r="AF72" s="4236"/>
      <c r="AG72" s="4236"/>
      <c r="AH72" s="4236"/>
      <c r="AI72" s="4236"/>
      <c r="AJ72" s="4236"/>
      <c r="AK72" s="4236"/>
      <c r="AL72" s="4236"/>
      <c r="AM72" s="4236"/>
      <c r="AN72" s="4236"/>
      <c r="AO72" s="4236">
        <v>1</v>
      </c>
      <c r="AP72" s="4236">
        <v>1</v>
      </c>
      <c r="AQ72" s="4236"/>
      <c r="AR72" s="4236">
        <v>2</v>
      </c>
      <c r="AS72" s="4243">
        <v>0</v>
      </c>
      <c r="AX72" s="3868" t="s">
        <v>15</v>
      </c>
      <c r="AY72" s="3721"/>
      <c r="AZ72" s="3721"/>
      <c r="BA72" s="3721"/>
      <c r="BB72" s="3721"/>
      <c r="BC72" s="3721"/>
      <c r="BD72" s="3721"/>
      <c r="BE72" s="3721"/>
      <c r="BF72" s="3721"/>
      <c r="BG72" s="3721"/>
      <c r="BH72" s="3721"/>
      <c r="BI72" s="3721"/>
      <c r="BJ72" s="3721">
        <v>1</v>
      </c>
      <c r="BK72" s="3721">
        <v>1</v>
      </c>
      <c r="BL72" s="3721"/>
      <c r="BM72" s="2110"/>
      <c r="BN72" s="2110"/>
      <c r="BO72" s="2110">
        <v>2</v>
      </c>
      <c r="BP72" s="1665">
        <f>+(BO71)/(BO72)</f>
        <v>0.5</v>
      </c>
      <c r="BT72" s="32" t="s">
        <v>122</v>
      </c>
      <c r="BU72" s="32" t="s">
        <v>1072</v>
      </c>
      <c r="BV72" s="3871"/>
      <c r="BW72" s="3871"/>
      <c r="BX72" s="3871"/>
      <c r="BY72" s="3871"/>
      <c r="BZ72" s="3871"/>
      <c r="CA72" s="3871"/>
      <c r="CB72" s="3871"/>
      <c r="CC72" s="3871"/>
      <c r="CD72" s="3871">
        <v>1</v>
      </c>
      <c r="CE72" s="3871"/>
      <c r="CF72" s="3871"/>
      <c r="CG72" s="3871">
        <v>0</v>
      </c>
      <c r="CH72" s="3871">
        <v>0</v>
      </c>
      <c r="CI72" s="3871">
        <v>0</v>
      </c>
      <c r="CJ72" s="1518"/>
      <c r="CK72" s="1518">
        <v>1</v>
      </c>
      <c r="CN72" s="36"/>
      <c r="CO72" s="36"/>
      <c r="CP72" s="36"/>
      <c r="CQ72" s="36" t="s">
        <v>1080</v>
      </c>
      <c r="CR72" s="615"/>
      <c r="CS72" s="615"/>
      <c r="CT72" s="615">
        <v>0</v>
      </c>
      <c r="CU72" s="615"/>
      <c r="CV72" s="615"/>
      <c r="CW72" s="615"/>
      <c r="CX72" s="615"/>
      <c r="CY72" s="615"/>
      <c r="CZ72" s="615"/>
      <c r="DA72" s="615"/>
      <c r="DB72" s="615"/>
      <c r="DC72" s="615">
        <v>0</v>
      </c>
      <c r="DD72" s="615"/>
      <c r="DE72" s="615">
        <v>0</v>
      </c>
      <c r="DF72" s="615">
        <v>2</v>
      </c>
      <c r="DG72" s="36">
        <v>2</v>
      </c>
      <c r="DH72" s="36">
        <v>1</v>
      </c>
      <c r="DI72" s="36">
        <v>5</v>
      </c>
      <c r="DJ72" s="36"/>
      <c r="DL72" s="36"/>
      <c r="DM72" s="36"/>
      <c r="DN72" s="36"/>
      <c r="DO72" s="36" t="s">
        <v>1080</v>
      </c>
      <c r="DP72" s="1681"/>
      <c r="DQ72" s="1681"/>
      <c r="DR72" s="1681"/>
      <c r="DS72" s="1681"/>
      <c r="DT72" s="1681">
        <v>0</v>
      </c>
      <c r="DU72" s="1681"/>
      <c r="DV72" s="1681">
        <v>0</v>
      </c>
      <c r="DW72" s="1681"/>
      <c r="DX72" s="1681"/>
      <c r="DY72" s="1681"/>
      <c r="DZ72" s="1681"/>
      <c r="EA72" s="1681">
        <v>0</v>
      </c>
      <c r="EB72" s="1681">
        <v>0</v>
      </c>
      <c r="EC72" s="1681">
        <v>0</v>
      </c>
      <c r="ED72" s="1681">
        <v>11</v>
      </c>
      <c r="EE72" s="95">
        <v>4</v>
      </c>
      <c r="EF72" s="95">
        <v>12</v>
      </c>
      <c r="EG72" s="95">
        <v>27</v>
      </c>
      <c r="EH72" s="36"/>
      <c r="EL72" s="36"/>
      <c r="EM72" s="36" t="s">
        <v>1077</v>
      </c>
      <c r="EN72" s="1490"/>
      <c r="EO72" s="1490">
        <v>0</v>
      </c>
      <c r="EP72" s="1490"/>
      <c r="EQ72" s="1490"/>
      <c r="ER72" s="1490"/>
      <c r="ES72" s="1490">
        <v>0</v>
      </c>
      <c r="ET72" s="1490"/>
      <c r="EU72" s="1490">
        <v>0</v>
      </c>
      <c r="EV72" s="1490"/>
      <c r="EW72" s="1490">
        <v>1</v>
      </c>
      <c r="EX72" s="1490"/>
      <c r="EY72" s="1490"/>
      <c r="EZ72" s="1490">
        <v>0</v>
      </c>
      <c r="FA72" s="1490">
        <v>0</v>
      </c>
      <c r="FB72" s="1490">
        <v>0</v>
      </c>
      <c r="FC72" s="36">
        <v>0</v>
      </c>
      <c r="FD72" s="36">
        <v>0</v>
      </c>
      <c r="FE72" s="36">
        <v>1</v>
      </c>
      <c r="FF72" s="36"/>
      <c r="FH72" s="1225"/>
      <c r="FI72" s="1225"/>
      <c r="FJ72" s="1225"/>
      <c r="FK72" s="1226" t="s">
        <v>1080</v>
      </c>
      <c r="FL72" s="1227"/>
      <c r="FM72" s="1228">
        <v>0</v>
      </c>
      <c r="FN72" s="1228">
        <v>0</v>
      </c>
      <c r="FO72" s="1227"/>
      <c r="FP72" s="1227"/>
      <c r="FQ72" s="1227"/>
      <c r="FR72" s="1227"/>
      <c r="FS72" s="1227"/>
      <c r="FT72" s="1228">
        <v>0</v>
      </c>
      <c r="FU72" s="1228">
        <v>0</v>
      </c>
      <c r="FV72" s="1228">
        <v>0</v>
      </c>
      <c r="FW72" s="1228">
        <v>0</v>
      </c>
      <c r="FX72" s="1228">
        <v>0</v>
      </c>
      <c r="FY72" s="1230">
        <v>0</v>
      </c>
      <c r="FZ72" s="1230">
        <v>1</v>
      </c>
      <c r="GA72" s="1230">
        <v>1</v>
      </c>
      <c r="GB72" s="36"/>
      <c r="GD72" s="603"/>
      <c r="GE72" s="603"/>
      <c r="GF72" s="603"/>
      <c r="GG72" s="622" t="s">
        <v>15</v>
      </c>
      <c r="GH72" s="623"/>
      <c r="GI72" s="623"/>
      <c r="GJ72" s="623"/>
      <c r="GK72" s="623"/>
      <c r="GL72" s="623"/>
      <c r="GM72" s="623"/>
      <c r="GN72" s="623"/>
      <c r="GO72" s="623"/>
      <c r="GP72" s="623"/>
      <c r="GQ72" s="623"/>
      <c r="GR72" s="624">
        <v>1</v>
      </c>
      <c r="GS72" s="623"/>
      <c r="GT72" s="623"/>
      <c r="GU72" s="623"/>
      <c r="GV72" s="624">
        <v>8</v>
      </c>
      <c r="GW72" s="625"/>
      <c r="GX72" s="625"/>
      <c r="GY72" s="626">
        <v>9</v>
      </c>
      <c r="GZ72" s="560">
        <f>+GY71/GY72</f>
        <v>0.1111111111111111</v>
      </c>
      <c r="HB72" s="441"/>
      <c r="HC72" s="441"/>
      <c r="HD72" s="441"/>
      <c r="HE72" s="441"/>
      <c r="HF72" s="442" t="s">
        <v>1072</v>
      </c>
      <c r="HG72" s="609"/>
      <c r="HH72" s="609"/>
      <c r="HI72" s="610">
        <v>1</v>
      </c>
      <c r="HJ72" s="609"/>
      <c r="HK72" s="609"/>
      <c r="HL72" s="609"/>
      <c r="HM72" s="610">
        <v>1</v>
      </c>
      <c r="HN72" s="609"/>
      <c r="HO72" s="610">
        <v>0</v>
      </c>
      <c r="HP72" s="610">
        <v>2</v>
      </c>
      <c r="HQ72" s="610">
        <v>0</v>
      </c>
      <c r="HR72" s="610">
        <v>0</v>
      </c>
      <c r="HS72" s="609"/>
      <c r="HT72" s="610">
        <v>1</v>
      </c>
      <c r="HU72" s="610">
        <v>0</v>
      </c>
      <c r="HV72" s="611"/>
      <c r="HW72" s="612">
        <v>0</v>
      </c>
      <c r="HX72" s="612">
        <v>5</v>
      </c>
      <c r="HY72" s="560"/>
      <c r="HZ72" s="36"/>
      <c r="IA72" s="613"/>
      <c r="IB72" s="613"/>
      <c r="IC72" s="613"/>
      <c r="ID72" s="389" t="s">
        <v>1080</v>
      </c>
      <c r="IE72" s="390">
        <v>0</v>
      </c>
      <c r="IF72" s="614"/>
      <c r="IG72" s="614"/>
      <c r="IH72" s="390">
        <v>0</v>
      </c>
      <c r="II72" s="614"/>
      <c r="IJ72" s="614"/>
      <c r="IK72" s="390">
        <v>0</v>
      </c>
      <c r="IL72" s="614"/>
      <c r="IM72" s="390">
        <v>0</v>
      </c>
      <c r="IN72" s="390">
        <v>0</v>
      </c>
      <c r="IO72" s="390">
        <v>5</v>
      </c>
      <c r="IP72" s="390">
        <v>0</v>
      </c>
      <c r="IQ72" s="390">
        <v>1</v>
      </c>
      <c r="IR72" s="390">
        <v>6</v>
      </c>
      <c r="IS72" s="615"/>
      <c r="IT72" s="36"/>
      <c r="IU72" s="36"/>
      <c r="IV72" s="95"/>
      <c r="IW72" s="95"/>
      <c r="IX72" s="36" t="s">
        <v>127</v>
      </c>
      <c r="IY72" s="36" t="s">
        <v>1071</v>
      </c>
      <c r="IZ72" s="95">
        <v>0</v>
      </c>
      <c r="JA72" s="95"/>
      <c r="JB72" s="95"/>
      <c r="JC72" s="95"/>
      <c r="JD72" s="95">
        <v>1</v>
      </c>
      <c r="JE72" s="95"/>
      <c r="JF72" s="95"/>
      <c r="JG72" s="95"/>
      <c r="JH72" s="95"/>
      <c r="JI72" s="95"/>
      <c r="JJ72" s="95">
        <v>0</v>
      </c>
      <c r="JK72" s="95">
        <v>0</v>
      </c>
      <c r="JL72" s="95">
        <v>0</v>
      </c>
      <c r="JM72" s="95"/>
      <c r="JN72" s="95"/>
      <c r="JO72" s="95">
        <v>0</v>
      </c>
      <c r="JP72" s="95">
        <v>1</v>
      </c>
      <c r="JQ72" s="36"/>
      <c r="JR72" s="36"/>
      <c r="JS72" s="616"/>
      <c r="JT72" s="616"/>
      <c r="JU72" s="616"/>
      <c r="JV72" s="616" t="s">
        <v>1080</v>
      </c>
      <c r="JW72" s="616">
        <v>0</v>
      </c>
      <c r="JX72" s="616">
        <v>0</v>
      </c>
      <c r="JY72" s="616">
        <v>0</v>
      </c>
      <c r="JZ72" s="616">
        <v>0</v>
      </c>
      <c r="KA72" s="616">
        <v>0</v>
      </c>
      <c r="KB72" s="616">
        <v>0</v>
      </c>
      <c r="KC72" s="616">
        <v>0</v>
      </c>
      <c r="KD72" s="616">
        <v>0</v>
      </c>
      <c r="KE72" s="616">
        <v>0</v>
      </c>
      <c r="KF72" s="616">
        <v>0</v>
      </c>
      <c r="KG72" s="616">
        <v>0</v>
      </c>
      <c r="KH72" s="616">
        <v>0</v>
      </c>
      <c r="KI72" s="616">
        <v>0</v>
      </c>
      <c r="KJ72" s="616">
        <v>1</v>
      </c>
      <c r="KK72" s="616">
        <v>0</v>
      </c>
      <c r="KL72" s="616">
        <v>1</v>
      </c>
      <c r="KM72" s="616">
        <v>2</v>
      </c>
      <c r="KN72" s="616"/>
      <c r="KO72" s="617"/>
    </row>
    <row r="73" spans="1:301">
      <c r="A73" s="5737">
        <v>2</v>
      </c>
      <c r="B73" s="5737">
        <v>1</v>
      </c>
      <c r="C73" s="5736" t="s">
        <v>121</v>
      </c>
      <c r="D73" s="5736" t="s">
        <v>2731</v>
      </c>
      <c r="E73" s="5737">
        <v>3</v>
      </c>
      <c r="F73" s="5737">
        <v>14</v>
      </c>
      <c r="I73" s="4726"/>
      <c r="J73" s="4726"/>
      <c r="K73" s="4725"/>
      <c r="L73" s="4725"/>
      <c r="M73" s="4975">
        <f>SUM(M68:M72)</f>
        <v>6</v>
      </c>
      <c r="N73" s="4726"/>
      <c r="O73" s="4476">
        <f>+(M70+M71)/(M73)</f>
        <v>0.33333333333333331</v>
      </c>
      <c r="Q73" s="4458">
        <v>2</v>
      </c>
      <c r="R73" s="4458">
        <v>2</v>
      </c>
      <c r="S73" s="4459" t="s">
        <v>2735</v>
      </c>
      <c r="T73" s="4459" t="s">
        <v>2709</v>
      </c>
      <c r="U73" s="4458">
        <v>12</v>
      </c>
      <c r="V73" s="4479">
        <v>2</v>
      </c>
      <c r="W73" s="4510"/>
      <c r="X73" s="4467"/>
      <c r="Y73" s="4467"/>
      <c r="Z73" s="36"/>
      <c r="AA73" s="36"/>
      <c r="AB73" s="36" t="s">
        <v>388</v>
      </c>
      <c r="AC73" s="36" t="s">
        <v>1072</v>
      </c>
      <c r="AD73" s="615"/>
      <c r="AE73" s="615"/>
      <c r="AF73" s="615"/>
      <c r="AG73" s="615"/>
      <c r="AH73" s="615"/>
      <c r="AI73" s="615"/>
      <c r="AJ73" s="615"/>
      <c r="AK73" s="615"/>
      <c r="AL73" s="615"/>
      <c r="AM73" s="615"/>
      <c r="AN73" s="615">
        <v>0</v>
      </c>
      <c r="AO73" s="615"/>
      <c r="AP73" s="615">
        <v>1</v>
      </c>
      <c r="AQ73" s="36">
        <v>0</v>
      </c>
      <c r="AR73" s="36">
        <v>1</v>
      </c>
      <c r="AS73" s="36"/>
      <c r="AU73" s="36"/>
      <c r="AV73" s="36"/>
      <c r="AW73" s="36" t="s">
        <v>122</v>
      </c>
      <c r="AX73" s="36" t="s">
        <v>1072</v>
      </c>
      <c r="AY73" s="1681"/>
      <c r="AZ73" s="1681"/>
      <c r="BA73" s="1681"/>
      <c r="BB73" s="1681"/>
      <c r="BC73" s="1681"/>
      <c r="BD73" s="1681"/>
      <c r="BE73" s="1681"/>
      <c r="BF73" s="1681"/>
      <c r="BG73" s="1681">
        <v>1</v>
      </c>
      <c r="BH73" s="1681"/>
      <c r="BI73" s="1681"/>
      <c r="BJ73" s="1681">
        <v>0</v>
      </c>
      <c r="BK73" s="1681">
        <v>0</v>
      </c>
      <c r="BL73" s="1681">
        <v>0</v>
      </c>
      <c r="BM73" s="95"/>
      <c r="BN73" s="95"/>
      <c r="BO73" s="95">
        <v>1</v>
      </c>
      <c r="BP73" s="95"/>
      <c r="BU73" s="32" t="s">
        <v>1080</v>
      </c>
      <c r="BV73" s="3871"/>
      <c r="BW73" s="3871"/>
      <c r="BX73" s="3871"/>
      <c r="BY73" s="3871"/>
      <c r="BZ73" s="3871"/>
      <c r="CA73" s="3871"/>
      <c r="CB73" s="3871"/>
      <c r="CC73" s="3871"/>
      <c r="CD73" s="3871">
        <v>0</v>
      </c>
      <c r="CE73" s="3871"/>
      <c r="CF73" s="3871"/>
      <c r="CG73" s="3871">
        <v>0</v>
      </c>
      <c r="CH73" s="3871">
        <v>1</v>
      </c>
      <c r="CI73" s="3871">
        <v>2</v>
      </c>
      <c r="CJ73" s="1518"/>
      <c r="CK73" s="1518">
        <v>3</v>
      </c>
      <c r="CN73" s="36"/>
      <c r="CO73" s="36"/>
      <c r="CP73" s="36"/>
      <c r="CQ73" s="36" t="s">
        <v>1163</v>
      </c>
      <c r="CR73" s="615"/>
      <c r="CS73" s="615"/>
      <c r="CT73" s="615">
        <v>0</v>
      </c>
      <c r="CU73" s="615"/>
      <c r="CV73" s="615"/>
      <c r="CW73" s="615"/>
      <c r="CX73" s="615"/>
      <c r="CY73" s="615"/>
      <c r="CZ73" s="615"/>
      <c r="DA73" s="615"/>
      <c r="DB73" s="615"/>
      <c r="DC73" s="615">
        <v>1</v>
      </c>
      <c r="DD73" s="615"/>
      <c r="DE73" s="615">
        <v>0</v>
      </c>
      <c r="DF73" s="615">
        <v>0</v>
      </c>
      <c r="DG73" s="36">
        <v>0</v>
      </c>
      <c r="DH73" s="36">
        <v>0</v>
      </c>
      <c r="DI73" s="36">
        <v>1</v>
      </c>
      <c r="DJ73" s="36"/>
      <c r="DL73" s="36"/>
      <c r="DM73" s="36"/>
      <c r="DN73" s="36"/>
      <c r="DO73" s="36" t="s">
        <v>1163</v>
      </c>
      <c r="DP73" s="1681"/>
      <c r="DQ73" s="1681"/>
      <c r="DR73" s="1681"/>
      <c r="DS73" s="1681"/>
      <c r="DT73" s="1681">
        <v>0</v>
      </c>
      <c r="DU73" s="1681"/>
      <c r="DV73" s="1681">
        <v>0</v>
      </c>
      <c r="DW73" s="1681"/>
      <c r="DX73" s="1681"/>
      <c r="DY73" s="1681"/>
      <c r="DZ73" s="1681"/>
      <c r="EA73" s="1681">
        <v>2</v>
      </c>
      <c r="EB73" s="1681">
        <v>4</v>
      </c>
      <c r="EC73" s="1681">
        <v>3</v>
      </c>
      <c r="ED73" s="1681">
        <v>1</v>
      </c>
      <c r="EE73" s="95">
        <v>0</v>
      </c>
      <c r="EF73" s="95">
        <v>0</v>
      </c>
      <c r="EG73" s="95">
        <v>10</v>
      </c>
      <c r="EH73" s="36"/>
      <c r="EL73" s="36"/>
      <c r="EM73" s="36" t="s">
        <v>1080</v>
      </c>
      <c r="EN73" s="1490"/>
      <c r="EO73" s="1490">
        <v>0</v>
      </c>
      <c r="EP73" s="1490"/>
      <c r="EQ73" s="1490"/>
      <c r="ER73" s="1490"/>
      <c r="ES73" s="1490">
        <v>0</v>
      </c>
      <c r="ET73" s="1490"/>
      <c r="EU73" s="1490">
        <v>0</v>
      </c>
      <c r="EV73" s="1490"/>
      <c r="EW73" s="1490">
        <v>0</v>
      </c>
      <c r="EX73" s="1490"/>
      <c r="EY73" s="1490"/>
      <c r="EZ73" s="1490">
        <v>0</v>
      </c>
      <c r="FA73" s="1490">
        <v>0</v>
      </c>
      <c r="FB73" s="1490">
        <v>17</v>
      </c>
      <c r="FC73" s="36">
        <v>7</v>
      </c>
      <c r="FD73" s="36">
        <v>4</v>
      </c>
      <c r="FE73" s="36">
        <v>28</v>
      </c>
      <c r="FF73" s="36"/>
      <c r="FH73" s="1225"/>
      <c r="FI73" s="1225"/>
      <c r="FJ73" s="1225"/>
      <c r="FK73" s="1226" t="s">
        <v>1163</v>
      </c>
      <c r="FL73" s="1227"/>
      <c r="FM73" s="1228">
        <v>0</v>
      </c>
      <c r="FN73" s="1228">
        <v>0</v>
      </c>
      <c r="FO73" s="1227"/>
      <c r="FP73" s="1227"/>
      <c r="FQ73" s="1227"/>
      <c r="FR73" s="1227"/>
      <c r="FS73" s="1227"/>
      <c r="FT73" s="1228">
        <v>1</v>
      </c>
      <c r="FU73" s="1228">
        <v>1</v>
      </c>
      <c r="FV73" s="1228">
        <v>4</v>
      </c>
      <c r="FW73" s="1228">
        <v>0</v>
      </c>
      <c r="FX73" s="1228">
        <v>0</v>
      </c>
      <c r="FY73" s="1230">
        <v>0</v>
      </c>
      <c r="FZ73" s="1230">
        <v>0</v>
      </c>
      <c r="GA73" s="1230">
        <v>6</v>
      </c>
      <c r="GB73" s="36"/>
      <c r="GD73" s="603"/>
      <c r="GE73" s="603"/>
      <c r="GF73" s="603" t="s">
        <v>124</v>
      </c>
      <c r="GG73" s="604" t="s">
        <v>1072</v>
      </c>
      <c r="GH73" s="605"/>
      <c r="GI73" s="605"/>
      <c r="GJ73" s="605"/>
      <c r="GK73" s="605"/>
      <c r="GL73" s="605"/>
      <c r="GM73" s="605"/>
      <c r="GN73" s="605"/>
      <c r="GO73" s="605"/>
      <c r="GP73" s="605"/>
      <c r="GQ73" s="606">
        <v>1</v>
      </c>
      <c r="GR73" s="606">
        <v>1</v>
      </c>
      <c r="GS73" s="606">
        <v>2</v>
      </c>
      <c r="GT73" s="606">
        <v>1</v>
      </c>
      <c r="GU73" s="606">
        <v>1</v>
      </c>
      <c r="GV73" s="606">
        <v>0</v>
      </c>
      <c r="GW73" s="607"/>
      <c r="GX73" s="607"/>
      <c r="GY73" s="608">
        <v>6</v>
      </c>
      <c r="GZ73" s="95"/>
      <c r="HB73" s="441"/>
      <c r="HC73" s="441"/>
      <c r="HD73" s="441"/>
      <c r="HE73" s="441"/>
      <c r="HF73" s="442" t="s">
        <v>1076</v>
      </c>
      <c r="HG73" s="609"/>
      <c r="HH73" s="609"/>
      <c r="HI73" s="610">
        <v>0</v>
      </c>
      <c r="HJ73" s="609"/>
      <c r="HK73" s="609"/>
      <c r="HL73" s="609"/>
      <c r="HM73" s="610">
        <v>0</v>
      </c>
      <c r="HN73" s="609"/>
      <c r="HO73" s="610">
        <v>0</v>
      </c>
      <c r="HP73" s="610">
        <v>0</v>
      </c>
      <c r="HQ73" s="610">
        <v>0</v>
      </c>
      <c r="HR73" s="610">
        <v>0</v>
      </c>
      <c r="HS73" s="609"/>
      <c r="HT73" s="610">
        <v>3</v>
      </c>
      <c r="HU73" s="610">
        <v>1</v>
      </c>
      <c r="HV73" s="611"/>
      <c r="HW73" s="612">
        <v>0</v>
      </c>
      <c r="HX73" s="612">
        <v>4</v>
      </c>
      <c r="HY73" s="560"/>
      <c r="HZ73" s="36"/>
      <c r="IA73" s="613"/>
      <c r="IB73" s="613"/>
      <c r="IC73" s="613"/>
      <c r="ID73" s="389" t="s">
        <v>1163</v>
      </c>
      <c r="IE73" s="390">
        <v>0</v>
      </c>
      <c r="IF73" s="614"/>
      <c r="IG73" s="614"/>
      <c r="IH73" s="390">
        <v>0</v>
      </c>
      <c r="II73" s="614"/>
      <c r="IJ73" s="614"/>
      <c r="IK73" s="390">
        <v>1</v>
      </c>
      <c r="IL73" s="614"/>
      <c r="IM73" s="390">
        <v>4</v>
      </c>
      <c r="IN73" s="390">
        <v>2</v>
      </c>
      <c r="IO73" s="390">
        <v>0</v>
      </c>
      <c r="IP73" s="390">
        <v>0</v>
      </c>
      <c r="IQ73" s="390">
        <v>0</v>
      </c>
      <c r="IR73" s="390">
        <v>7</v>
      </c>
      <c r="IS73" s="615"/>
      <c r="IT73" s="36"/>
      <c r="IU73" s="36"/>
      <c r="IV73" s="95"/>
      <c r="IW73" s="95"/>
      <c r="IX73" s="36"/>
      <c r="IY73" s="36" t="s">
        <v>1072</v>
      </c>
      <c r="IZ73" s="95">
        <v>2</v>
      </c>
      <c r="JA73" s="95"/>
      <c r="JB73" s="95"/>
      <c r="JC73" s="95"/>
      <c r="JD73" s="95">
        <v>1</v>
      </c>
      <c r="JE73" s="95"/>
      <c r="JF73" s="95"/>
      <c r="JG73" s="95"/>
      <c r="JH73" s="95"/>
      <c r="JI73" s="95"/>
      <c r="JJ73" s="95">
        <v>1</v>
      </c>
      <c r="JK73" s="95">
        <v>0</v>
      </c>
      <c r="JL73" s="95">
        <v>1</v>
      </c>
      <c r="JM73" s="95"/>
      <c r="JN73" s="95"/>
      <c r="JO73" s="95">
        <v>0</v>
      </c>
      <c r="JP73" s="95">
        <v>5</v>
      </c>
      <c r="JQ73" s="36"/>
      <c r="JR73" s="36"/>
      <c r="JS73" s="616"/>
      <c r="JT73" s="616"/>
      <c r="JU73" s="616"/>
      <c r="JV73" s="627" t="s">
        <v>15</v>
      </c>
      <c r="JW73" s="627">
        <v>0</v>
      </c>
      <c r="JX73" s="627">
        <v>0</v>
      </c>
      <c r="JY73" s="627">
        <v>0</v>
      </c>
      <c r="JZ73" s="627">
        <v>0</v>
      </c>
      <c r="KA73" s="627">
        <v>0</v>
      </c>
      <c r="KB73" s="627">
        <v>0</v>
      </c>
      <c r="KC73" s="627">
        <v>0</v>
      </c>
      <c r="KD73" s="627">
        <v>0</v>
      </c>
      <c r="KE73" s="627">
        <v>0</v>
      </c>
      <c r="KF73" s="627">
        <v>0</v>
      </c>
      <c r="KG73" s="627">
        <v>0</v>
      </c>
      <c r="KH73" s="627">
        <v>0</v>
      </c>
      <c r="KI73" s="627">
        <v>0</v>
      </c>
      <c r="KJ73" s="627">
        <v>2</v>
      </c>
      <c r="KK73" s="627">
        <v>1</v>
      </c>
      <c r="KL73" s="627">
        <v>1</v>
      </c>
      <c r="KM73" s="627">
        <v>4</v>
      </c>
      <c r="KN73" s="628">
        <f>+(KM71-KK71)/KM73</f>
        <v>0.25</v>
      </c>
      <c r="KO73" s="617">
        <f>+KM71-KL72</f>
        <v>1</v>
      </c>
    </row>
    <row r="74" spans="1:301">
      <c r="A74" s="5737">
        <v>2</v>
      </c>
      <c r="B74" s="5737">
        <v>1</v>
      </c>
      <c r="C74" s="5736" t="s">
        <v>121</v>
      </c>
      <c r="D74" s="5739" t="s">
        <v>2732</v>
      </c>
      <c r="E74" s="5737">
        <v>1</v>
      </c>
      <c r="F74" s="5737">
        <v>12</v>
      </c>
      <c r="I74" s="4726">
        <v>2</v>
      </c>
      <c r="J74" s="4726">
        <v>1</v>
      </c>
      <c r="K74" s="4725" t="s">
        <v>121</v>
      </c>
      <c r="L74" s="4725" t="s">
        <v>2731</v>
      </c>
      <c r="M74" s="4726">
        <v>1</v>
      </c>
      <c r="N74" s="4726">
        <v>12</v>
      </c>
      <c r="Q74" s="4458">
        <v>2</v>
      </c>
      <c r="R74" s="4458">
        <v>2</v>
      </c>
      <c r="S74" s="4459" t="s">
        <v>2735</v>
      </c>
      <c r="T74" s="4459" t="s">
        <v>2709</v>
      </c>
      <c r="U74" s="4458">
        <v>13</v>
      </c>
      <c r="V74" s="4479">
        <v>5</v>
      </c>
      <c r="W74" s="4510"/>
      <c r="X74" s="4467"/>
      <c r="Y74" s="4467"/>
      <c r="Z74" s="36"/>
      <c r="AA74" s="36"/>
      <c r="AB74" s="36"/>
      <c r="AC74" s="36" t="s">
        <v>1080</v>
      </c>
      <c r="AD74" s="615"/>
      <c r="AE74" s="615"/>
      <c r="AF74" s="615"/>
      <c r="AG74" s="615"/>
      <c r="AH74" s="615"/>
      <c r="AI74" s="615"/>
      <c r="AJ74" s="615"/>
      <c r="AK74" s="615"/>
      <c r="AL74" s="615"/>
      <c r="AM74" s="615"/>
      <c r="AN74" s="615">
        <v>0</v>
      </c>
      <c r="AO74" s="615"/>
      <c r="AP74" s="615">
        <v>0</v>
      </c>
      <c r="AQ74" s="36">
        <v>1</v>
      </c>
      <c r="AR74" s="36">
        <v>1</v>
      </c>
      <c r="AS74" s="36"/>
      <c r="AU74" s="36"/>
      <c r="AV74" s="36"/>
      <c r="AW74" s="36"/>
      <c r="AX74" s="36" t="s">
        <v>1080</v>
      </c>
      <c r="AY74" s="1681"/>
      <c r="AZ74" s="1681"/>
      <c r="BA74" s="1681"/>
      <c r="BB74" s="1681"/>
      <c r="BC74" s="1681"/>
      <c r="BD74" s="1681"/>
      <c r="BE74" s="1681"/>
      <c r="BF74" s="1681"/>
      <c r="BG74" s="1681">
        <v>0</v>
      </c>
      <c r="BH74" s="1681"/>
      <c r="BI74" s="1681"/>
      <c r="BJ74" s="1681">
        <v>0</v>
      </c>
      <c r="BK74" s="1681">
        <v>1</v>
      </c>
      <c r="BL74" s="1681">
        <v>2</v>
      </c>
      <c r="BM74" s="95"/>
      <c r="BN74" s="95"/>
      <c r="BO74" s="95">
        <v>3</v>
      </c>
      <c r="BP74" s="95"/>
      <c r="BU74" s="32" t="s">
        <v>1163</v>
      </c>
      <c r="BV74" s="3871"/>
      <c r="BW74" s="3871"/>
      <c r="BX74" s="3871"/>
      <c r="BY74" s="3871"/>
      <c r="BZ74" s="3871"/>
      <c r="CA74" s="3871"/>
      <c r="CB74" s="3871"/>
      <c r="CC74" s="3871"/>
      <c r="CD74" s="3871">
        <v>0</v>
      </c>
      <c r="CE74" s="3871"/>
      <c r="CF74" s="3871"/>
      <c r="CG74" s="3871">
        <v>1</v>
      </c>
      <c r="CH74" s="3871">
        <v>0</v>
      </c>
      <c r="CI74" s="3871">
        <v>0</v>
      </c>
      <c r="CJ74" s="1518"/>
      <c r="CK74" s="1518">
        <v>1</v>
      </c>
      <c r="CN74" s="36"/>
      <c r="CO74" s="36"/>
      <c r="CP74" s="36"/>
      <c r="CQ74" s="393" t="s">
        <v>15</v>
      </c>
      <c r="CR74" s="2049"/>
      <c r="CS74" s="2049"/>
      <c r="CT74" s="2049">
        <v>1</v>
      </c>
      <c r="CU74" s="2049"/>
      <c r="CV74" s="2049"/>
      <c r="CW74" s="2049"/>
      <c r="CX74" s="2049"/>
      <c r="CY74" s="2049"/>
      <c r="CZ74" s="2049"/>
      <c r="DA74" s="2049"/>
      <c r="DB74" s="2049"/>
      <c r="DC74" s="2049">
        <v>2</v>
      </c>
      <c r="DD74" s="2049"/>
      <c r="DE74" s="2049">
        <v>1</v>
      </c>
      <c r="DF74" s="2049">
        <v>3</v>
      </c>
      <c r="DG74" s="393">
        <v>2</v>
      </c>
      <c r="DH74" s="393">
        <v>1</v>
      </c>
      <c r="DI74" s="393">
        <v>10</v>
      </c>
      <c r="DJ74" s="560">
        <f>+(DI73+DI71)/DI74</f>
        <v>0.4</v>
      </c>
      <c r="DK74" s="1665"/>
      <c r="DL74" s="36"/>
      <c r="DM74" s="36"/>
      <c r="DN74" s="36"/>
      <c r="DO74" s="393" t="s">
        <v>482</v>
      </c>
      <c r="DP74" s="1682"/>
      <c r="DQ74" s="1682"/>
      <c r="DR74" s="1682"/>
      <c r="DS74" s="1682"/>
      <c r="DT74" s="1682">
        <v>4</v>
      </c>
      <c r="DU74" s="1682"/>
      <c r="DV74" s="1682">
        <v>1</v>
      </c>
      <c r="DW74" s="1682"/>
      <c r="DX74" s="1682"/>
      <c r="DY74" s="1682"/>
      <c r="DZ74" s="1682"/>
      <c r="EA74" s="1682">
        <v>3</v>
      </c>
      <c r="EB74" s="1682">
        <v>7</v>
      </c>
      <c r="EC74" s="1682">
        <v>6</v>
      </c>
      <c r="ED74" s="1682">
        <v>14</v>
      </c>
      <c r="EE74" s="86">
        <v>6</v>
      </c>
      <c r="EF74" s="86">
        <v>12</v>
      </c>
      <c r="EG74" s="86">
        <v>53</v>
      </c>
      <c r="EH74" s="560">
        <f>+(EG71-EE71+EG73)/EG74</f>
        <v>0.32075471698113206</v>
      </c>
      <c r="EL74" s="36"/>
      <c r="EM74" s="36" t="s">
        <v>1163</v>
      </c>
      <c r="EN74" s="1490"/>
      <c r="EO74" s="1490">
        <v>0</v>
      </c>
      <c r="EP74" s="1490"/>
      <c r="EQ74" s="1490"/>
      <c r="ER74" s="1490"/>
      <c r="ES74" s="1490">
        <v>0</v>
      </c>
      <c r="ET74" s="1490"/>
      <c r="EU74" s="1490">
        <v>0</v>
      </c>
      <c r="EV74" s="1490"/>
      <c r="EW74" s="1490">
        <v>0</v>
      </c>
      <c r="EX74" s="1490"/>
      <c r="EY74" s="1490"/>
      <c r="EZ74" s="1490">
        <v>1</v>
      </c>
      <c r="FA74" s="1490">
        <v>7</v>
      </c>
      <c r="FB74" s="1490">
        <v>0</v>
      </c>
      <c r="FC74" s="36">
        <v>0</v>
      </c>
      <c r="FD74" s="36">
        <v>0</v>
      </c>
      <c r="FE74" s="36">
        <v>8</v>
      </c>
      <c r="FF74" s="36"/>
      <c r="FH74" s="1225"/>
      <c r="FI74" s="1225"/>
      <c r="FJ74" s="1225"/>
      <c r="FK74" s="1222" t="s">
        <v>15</v>
      </c>
      <c r="FL74" s="1231"/>
      <c r="FM74" s="1232">
        <v>1</v>
      </c>
      <c r="FN74" s="1232">
        <v>1</v>
      </c>
      <c r="FO74" s="1231"/>
      <c r="FP74" s="1231"/>
      <c r="FQ74" s="1231"/>
      <c r="FR74" s="1231"/>
      <c r="FS74" s="1231"/>
      <c r="FT74" s="1232">
        <v>1</v>
      </c>
      <c r="FU74" s="1232">
        <v>1</v>
      </c>
      <c r="FV74" s="1232">
        <v>5</v>
      </c>
      <c r="FW74" s="1232">
        <v>2</v>
      </c>
      <c r="FX74" s="1232">
        <v>2</v>
      </c>
      <c r="FY74" s="1234">
        <v>1</v>
      </c>
      <c r="FZ74" s="1234">
        <v>1</v>
      </c>
      <c r="GA74" s="1234">
        <v>15</v>
      </c>
      <c r="GB74" s="1178">
        <f>+(GA70+GA73)/GA74</f>
        <v>0.46666666666666667</v>
      </c>
      <c r="GD74" s="603"/>
      <c r="GE74" s="603"/>
      <c r="GF74" s="603"/>
      <c r="GG74" s="604" t="s">
        <v>1076</v>
      </c>
      <c r="GH74" s="605"/>
      <c r="GI74" s="605"/>
      <c r="GJ74" s="605"/>
      <c r="GK74" s="605"/>
      <c r="GL74" s="605"/>
      <c r="GM74" s="605"/>
      <c r="GN74" s="605"/>
      <c r="GO74" s="605"/>
      <c r="GP74" s="605"/>
      <c r="GQ74" s="606">
        <v>0</v>
      </c>
      <c r="GR74" s="606">
        <v>0</v>
      </c>
      <c r="GS74" s="606">
        <v>1</v>
      </c>
      <c r="GT74" s="606">
        <v>1</v>
      </c>
      <c r="GU74" s="606">
        <v>0</v>
      </c>
      <c r="GV74" s="606">
        <v>0</v>
      </c>
      <c r="GW74" s="607"/>
      <c r="GX74" s="607"/>
      <c r="GY74" s="608">
        <v>2</v>
      </c>
      <c r="GZ74" s="95"/>
      <c r="HB74" s="441"/>
      <c r="HC74" s="441"/>
      <c r="HD74" s="441"/>
      <c r="HE74" s="441"/>
      <c r="HF74" s="442" t="s">
        <v>1080</v>
      </c>
      <c r="HG74" s="609"/>
      <c r="HH74" s="609"/>
      <c r="HI74" s="610">
        <v>0</v>
      </c>
      <c r="HJ74" s="609"/>
      <c r="HK74" s="609"/>
      <c r="HL74" s="609"/>
      <c r="HM74" s="610">
        <v>0</v>
      </c>
      <c r="HN74" s="609"/>
      <c r="HO74" s="610">
        <v>0</v>
      </c>
      <c r="HP74" s="610">
        <v>0</v>
      </c>
      <c r="HQ74" s="610">
        <v>0</v>
      </c>
      <c r="HR74" s="610">
        <v>0</v>
      </c>
      <c r="HS74" s="609"/>
      <c r="HT74" s="610">
        <v>0</v>
      </c>
      <c r="HU74" s="610">
        <v>15</v>
      </c>
      <c r="HV74" s="611"/>
      <c r="HW74" s="612">
        <v>1</v>
      </c>
      <c r="HX74" s="612">
        <v>16</v>
      </c>
      <c r="HY74" s="560"/>
      <c r="HZ74" s="36"/>
      <c r="IA74" s="613"/>
      <c r="IB74" s="613"/>
      <c r="IC74" s="613"/>
      <c r="ID74" s="629" t="s">
        <v>15</v>
      </c>
      <c r="IE74" s="395">
        <v>1</v>
      </c>
      <c r="IF74" s="630"/>
      <c r="IG74" s="630"/>
      <c r="IH74" s="395">
        <v>2</v>
      </c>
      <c r="II74" s="630"/>
      <c r="IJ74" s="630"/>
      <c r="IK74" s="395">
        <v>1</v>
      </c>
      <c r="IL74" s="630"/>
      <c r="IM74" s="395">
        <v>5</v>
      </c>
      <c r="IN74" s="395">
        <v>4</v>
      </c>
      <c r="IO74" s="395">
        <v>7</v>
      </c>
      <c r="IP74" s="395">
        <v>1</v>
      </c>
      <c r="IQ74" s="395">
        <v>1</v>
      </c>
      <c r="IR74" s="395">
        <v>22</v>
      </c>
      <c r="IS74" s="553">
        <f>+(IR73+IR71-IP71)/IR74</f>
        <v>0.54545454545454541</v>
      </c>
      <c r="IT74" s="36"/>
      <c r="IU74" s="36"/>
      <c r="IV74" s="95"/>
      <c r="IW74" s="95"/>
      <c r="IX74" s="36"/>
      <c r="IY74" s="36" t="s">
        <v>1076</v>
      </c>
      <c r="IZ74" s="95">
        <v>0</v>
      </c>
      <c r="JA74" s="95"/>
      <c r="JB74" s="95"/>
      <c r="JC74" s="95"/>
      <c r="JD74" s="95">
        <v>0</v>
      </c>
      <c r="JE74" s="95"/>
      <c r="JF74" s="95"/>
      <c r="JG74" s="95"/>
      <c r="JH74" s="95"/>
      <c r="JI74" s="95"/>
      <c r="JJ74" s="95">
        <v>0</v>
      </c>
      <c r="JK74" s="95">
        <v>1</v>
      </c>
      <c r="JL74" s="95">
        <v>0</v>
      </c>
      <c r="JM74" s="95"/>
      <c r="JN74" s="95"/>
      <c r="JO74" s="95">
        <v>0</v>
      </c>
      <c r="JP74" s="95">
        <v>1</v>
      </c>
      <c r="JQ74" s="36"/>
      <c r="JR74" s="36"/>
      <c r="JS74" s="616"/>
      <c r="JT74" s="616"/>
      <c r="JU74" s="616" t="s">
        <v>320</v>
      </c>
      <c r="JV74" s="616" t="s">
        <v>1080</v>
      </c>
      <c r="JW74" s="616">
        <v>0</v>
      </c>
      <c r="JX74" s="616">
        <v>0</v>
      </c>
      <c r="JY74" s="616">
        <v>0</v>
      </c>
      <c r="JZ74" s="616">
        <v>0</v>
      </c>
      <c r="KA74" s="616">
        <v>0</v>
      </c>
      <c r="KB74" s="616">
        <v>0</v>
      </c>
      <c r="KC74" s="616">
        <v>0</v>
      </c>
      <c r="KD74" s="616">
        <v>0</v>
      </c>
      <c r="KE74" s="616">
        <v>0</v>
      </c>
      <c r="KF74" s="616">
        <v>0</v>
      </c>
      <c r="KG74" s="616">
        <v>0</v>
      </c>
      <c r="KH74" s="616">
        <v>0</v>
      </c>
      <c r="KI74" s="616">
        <v>1</v>
      </c>
      <c r="KJ74" s="616">
        <v>0</v>
      </c>
      <c r="KK74" s="616">
        <v>0</v>
      </c>
      <c r="KL74" s="616">
        <v>1</v>
      </c>
      <c r="KM74" s="616">
        <v>2</v>
      </c>
      <c r="KN74" s="616"/>
      <c r="KO74" s="617"/>
    </row>
    <row r="75" spans="1:301">
      <c r="A75" s="5737">
        <v>2</v>
      </c>
      <c r="B75" s="5737">
        <v>1</v>
      </c>
      <c r="C75" s="5736" t="s">
        <v>121</v>
      </c>
      <c r="D75" s="5739" t="s">
        <v>1076</v>
      </c>
      <c r="E75" s="5737">
        <v>1</v>
      </c>
      <c r="F75" s="5737">
        <v>12</v>
      </c>
      <c r="I75" s="4726">
        <v>2</v>
      </c>
      <c r="J75" s="4726">
        <v>1</v>
      </c>
      <c r="K75" s="4725" t="s">
        <v>121</v>
      </c>
      <c r="L75" s="4725" t="s">
        <v>2731</v>
      </c>
      <c r="M75" s="4726">
        <v>3</v>
      </c>
      <c r="N75" s="4726">
        <v>13</v>
      </c>
      <c r="Q75" s="4458">
        <v>2</v>
      </c>
      <c r="R75" s="4458">
        <v>2</v>
      </c>
      <c r="S75" s="4459" t="s">
        <v>2735</v>
      </c>
      <c r="T75" s="4461" t="s">
        <v>1076</v>
      </c>
      <c r="U75" s="4458">
        <v>11</v>
      </c>
      <c r="V75" s="4479">
        <v>1</v>
      </c>
      <c r="W75" s="4510"/>
      <c r="X75" s="4467"/>
      <c r="Y75" s="4467"/>
      <c r="Z75" s="36"/>
      <c r="AA75" s="36"/>
      <c r="AB75" s="36"/>
      <c r="AC75" s="36" t="s">
        <v>1163</v>
      </c>
      <c r="AD75" s="615"/>
      <c r="AE75" s="615"/>
      <c r="AF75" s="615"/>
      <c r="AG75" s="615"/>
      <c r="AH75" s="615"/>
      <c r="AI75" s="615"/>
      <c r="AJ75" s="615"/>
      <c r="AK75" s="615"/>
      <c r="AL75" s="615"/>
      <c r="AM75" s="615"/>
      <c r="AN75" s="615">
        <v>2</v>
      </c>
      <c r="AO75" s="615"/>
      <c r="AP75" s="615">
        <v>0</v>
      </c>
      <c r="AQ75" s="36">
        <v>0</v>
      </c>
      <c r="AR75" s="36">
        <v>2</v>
      </c>
      <c r="AS75" s="36"/>
      <c r="AX75" s="3868" t="s">
        <v>1163</v>
      </c>
      <c r="AY75" s="3721"/>
      <c r="AZ75" s="3721"/>
      <c r="BA75" s="3721"/>
      <c r="BB75" s="3721"/>
      <c r="BC75" s="3721"/>
      <c r="BD75" s="3721"/>
      <c r="BE75" s="3721"/>
      <c r="BF75" s="3721"/>
      <c r="BG75" s="3721">
        <v>0</v>
      </c>
      <c r="BH75" s="3721"/>
      <c r="BI75" s="3721"/>
      <c r="BJ75" s="3721">
        <v>1</v>
      </c>
      <c r="BK75" s="3721">
        <v>0</v>
      </c>
      <c r="BL75" s="3721">
        <v>0</v>
      </c>
      <c r="BM75" s="2110"/>
      <c r="BN75" s="2110"/>
      <c r="BO75" s="2110">
        <v>1</v>
      </c>
      <c r="BP75" s="2110"/>
      <c r="BU75" s="1520" t="s">
        <v>15</v>
      </c>
      <c r="BV75" s="3872"/>
      <c r="BW75" s="3872"/>
      <c r="BX75" s="3872"/>
      <c r="BY75" s="3872"/>
      <c r="BZ75" s="3872"/>
      <c r="CA75" s="3872"/>
      <c r="CB75" s="3872"/>
      <c r="CC75" s="3872"/>
      <c r="CD75" s="3872">
        <v>1</v>
      </c>
      <c r="CE75" s="3872"/>
      <c r="CF75" s="3872"/>
      <c r="CG75" s="3872">
        <v>1</v>
      </c>
      <c r="CH75" s="3872">
        <v>1</v>
      </c>
      <c r="CI75" s="3872">
        <v>2</v>
      </c>
      <c r="CJ75" s="3806"/>
      <c r="CK75" s="3806">
        <v>5</v>
      </c>
      <c r="CL75" s="3807">
        <f>+CK74/CK75</f>
        <v>0.2</v>
      </c>
      <c r="CN75" s="36"/>
      <c r="CO75" s="36"/>
      <c r="CP75" s="36" t="s">
        <v>121</v>
      </c>
      <c r="CQ75" s="36" t="s">
        <v>1076</v>
      </c>
      <c r="CR75" s="615"/>
      <c r="CS75" s="615"/>
      <c r="CT75" s="615"/>
      <c r="CU75" s="615"/>
      <c r="CV75" s="615"/>
      <c r="CW75" s="615"/>
      <c r="CX75" s="615"/>
      <c r="CY75" s="615"/>
      <c r="CZ75" s="615"/>
      <c r="DA75" s="615"/>
      <c r="DB75" s="615"/>
      <c r="DC75" s="615"/>
      <c r="DD75" s="615">
        <v>1</v>
      </c>
      <c r="DE75" s="615">
        <v>1</v>
      </c>
      <c r="DF75" s="615">
        <v>0</v>
      </c>
      <c r="DG75" s="36"/>
      <c r="DH75" s="36">
        <v>0</v>
      </c>
      <c r="DI75" s="36">
        <v>2</v>
      </c>
      <c r="DJ75" s="36"/>
      <c r="DL75" s="36"/>
      <c r="DM75" s="36" t="s">
        <v>16</v>
      </c>
      <c r="DN75" s="36" t="s">
        <v>125</v>
      </c>
      <c r="DO75" s="36" t="s">
        <v>1072</v>
      </c>
      <c r="DP75" s="1681"/>
      <c r="DQ75" s="1681"/>
      <c r="DR75" s="1681"/>
      <c r="DS75" s="1681"/>
      <c r="DT75" s="1681">
        <v>1</v>
      </c>
      <c r="DU75" s="1681"/>
      <c r="DV75" s="1681"/>
      <c r="DW75" s="1681"/>
      <c r="DX75" s="1681"/>
      <c r="DY75" s="1681"/>
      <c r="DZ75" s="1681"/>
      <c r="EA75" s="1681">
        <v>0</v>
      </c>
      <c r="EB75" s="1681">
        <v>4</v>
      </c>
      <c r="EC75" s="1681">
        <v>3</v>
      </c>
      <c r="ED75" s="1681">
        <v>0</v>
      </c>
      <c r="EE75" s="95"/>
      <c r="EF75" s="95"/>
      <c r="EG75" s="95">
        <v>8</v>
      </c>
      <c r="EH75" s="36"/>
      <c r="EL75" s="36"/>
      <c r="EM75" s="393" t="s">
        <v>482</v>
      </c>
      <c r="EN75" s="1491"/>
      <c r="EO75" s="1491">
        <v>1</v>
      </c>
      <c r="EP75" s="1491"/>
      <c r="EQ75" s="1491"/>
      <c r="ER75" s="1491"/>
      <c r="ES75" s="1491">
        <v>2</v>
      </c>
      <c r="ET75" s="1491"/>
      <c r="EU75" s="1491">
        <v>1</v>
      </c>
      <c r="EV75" s="1491"/>
      <c r="EW75" s="1491">
        <v>1</v>
      </c>
      <c r="EX75" s="1491"/>
      <c r="EY75" s="1491"/>
      <c r="EZ75" s="1491">
        <v>3</v>
      </c>
      <c r="FA75" s="1491">
        <v>8</v>
      </c>
      <c r="FB75" s="1491">
        <v>20</v>
      </c>
      <c r="FC75" s="393">
        <v>8</v>
      </c>
      <c r="FD75" s="393">
        <v>5</v>
      </c>
      <c r="FE75" s="393">
        <v>49</v>
      </c>
      <c r="FF75" s="560">
        <f>+(FE71+FE74)/FE75</f>
        <v>0.18367346938775511</v>
      </c>
      <c r="FH75" s="1225"/>
      <c r="FI75" s="1225"/>
      <c r="FJ75" s="1225" t="s">
        <v>125</v>
      </c>
      <c r="FK75" s="1226" t="s">
        <v>1072</v>
      </c>
      <c r="FL75" s="1227"/>
      <c r="FM75" s="1228">
        <v>0</v>
      </c>
      <c r="FN75" s="1228">
        <v>0</v>
      </c>
      <c r="FO75" s="1227"/>
      <c r="FP75" s="1228">
        <v>0</v>
      </c>
      <c r="FQ75" s="1227"/>
      <c r="FR75" s="1228">
        <v>0</v>
      </c>
      <c r="FS75" s="1228">
        <v>1</v>
      </c>
      <c r="FT75" s="1228">
        <v>2</v>
      </c>
      <c r="FU75" s="1228">
        <v>1</v>
      </c>
      <c r="FV75" s="1228">
        <v>1</v>
      </c>
      <c r="FW75" s="1228">
        <v>0</v>
      </c>
      <c r="FX75" s="1228">
        <v>0</v>
      </c>
      <c r="FY75" s="1229"/>
      <c r="FZ75" s="1229"/>
      <c r="GA75" s="1230">
        <v>5</v>
      </c>
      <c r="GB75" s="36"/>
      <c r="GD75" s="603"/>
      <c r="GE75" s="603"/>
      <c r="GF75" s="603"/>
      <c r="GG75" s="604" t="s">
        <v>1080</v>
      </c>
      <c r="GH75" s="605"/>
      <c r="GI75" s="605"/>
      <c r="GJ75" s="605"/>
      <c r="GK75" s="605"/>
      <c r="GL75" s="605"/>
      <c r="GM75" s="605"/>
      <c r="GN75" s="605"/>
      <c r="GO75" s="605"/>
      <c r="GP75" s="605"/>
      <c r="GQ75" s="606">
        <v>0</v>
      </c>
      <c r="GR75" s="606">
        <v>0</v>
      </c>
      <c r="GS75" s="606">
        <v>0</v>
      </c>
      <c r="GT75" s="606">
        <v>0</v>
      </c>
      <c r="GU75" s="606">
        <v>1</v>
      </c>
      <c r="GV75" s="606">
        <v>4</v>
      </c>
      <c r="GW75" s="607"/>
      <c r="GX75" s="607"/>
      <c r="GY75" s="608">
        <v>5</v>
      </c>
      <c r="GZ75" s="95"/>
      <c r="HB75" s="441"/>
      <c r="HC75" s="441"/>
      <c r="HD75" s="441"/>
      <c r="HE75" s="441"/>
      <c r="HF75" s="442" t="s">
        <v>1163</v>
      </c>
      <c r="HG75" s="609"/>
      <c r="HH75" s="609"/>
      <c r="HI75" s="610">
        <v>0</v>
      </c>
      <c r="HJ75" s="609"/>
      <c r="HK75" s="609"/>
      <c r="HL75" s="609"/>
      <c r="HM75" s="610">
        <v>0</v>
      </c>
      <c r="HN75" s="609"/>
      <c r="HO75" s="610">
        <v>1</v>
      </c>
      <c r="HP75" s="610">
        <v>0</v>
      </c>
      <c r="HQ75" s="610">
        <v>1</v>
      </c>
      <c r="HR75" s="610">
        <v>1</v>
      </c>
      <c r="HS75" s="609"/>
      <c r="HT75" s="610">
        <v>0</v>
      </c>
      <c r="HU75" s="610">
        <v>0</v>
      </c>
      <c r="HV75" s="611"/>
      <c r="HW75" s="612">
        <v>0</v>
      </c>
      <c r="HX75" s="612">
        <v>3</v>
      </c>
      <c r="HY75" s="560"/>
      <c r="HZ75" s="36"/>
      <c r="IA75" s="613"/>
      <c r="IB75" s="613"/>
      <c r="IC75" s="613" t="s">
        <v>129</v>
      </c>
      <c r="ID75" s="389" t="s">
        <v>1071</v>
      </c>
      <c r="IE75" s="614"/>
      <c r="IF75" s="614"/>
      <c r="IG75" s="614"/>
      <c r="IH75" s="614"/>
      <c r="II75" s="614"/>
      <c r="IJ75" s="614"/>
      <c r="IK75" s="614"/>
      <c r="IL75" s="390">
        <v>0</v>
      </c>
      <c r="IM75" s="614"/>
      <c r="IN75" s="614"/>
      <c r="IO75" s="390">
        <v>2</v>
      </c>
      <c r="IP75" s="614"/>
      <c r="IQ75" s="390">
        <v>0</v>
      </c>
      <c r="IR75" s="390">
        <v>2</v>
      </c>
      <c r="IS75" s="615"/>
      <c r="IT75" s="36"/>
      <c r="IU75" s="36"/>
      <c r="IV75" s="95"/>
      <c r="IW75" s="95"/>
      <c r="IX75" s="36"/>
      <c r="IY75" s="36" t="s">
        <v>1080</v>
      </c>
      <c r="IZ75" s="95">
        <v>0</v>
      </c>
      <c r="JA75" s="95"/>
      <c r="JB75" s="95"/>
      <c r="JC75" s="95"/>
      <c r="JD75" s="95">
        <v>0</v>
      </c>
      <c r="JE75" s="95"/>
      <c r="JF75" s="95"/>
      <c r="JG75" s="95"/>
      <c r="JH75" s="95"/>
      <c r="JI75" s="95"/>
      <c r="JJ75" s="95">
        <v>0</v>
      </c>
      <c r="JK75" s="95">
        <v>0</v>
      </c>
      <c r="JL75" s="95">
        <v>0</v>
      </c>
      <c r="JM75" s="95"/>
      <c r="JN75" s="95"/>
      <c r="JO75" s="95">
        <v>1</v>
      </c>
      <c r="JP75" s="95">
        <v>1</v>
      </c>
      <c r="JQ75" s="36"/>
      <c r="JR75" s="36"/>
      <c r="JS75" s="616"/>
      <c r="JT75" s="616"/>
      <c r="JU75" s="616"/>
      <c r="JV75" s="627" t="s">
        <v>15</v>
      </c>
      <c r="JW75" s="627">
        <v>0</v>
      </c>
      <c r="JX75" s="627">
        <v>0</v>
      </c>
      <c r="JY75" s="627">
        <v>0</v>
      </c>
      <c r="JZ75" s="627">
        <v>0</v>
      </c>
      <c r="KA75" s="627">
        <v>0</v>
      </c>
      <c r="KB75" s="627">
        <v>0</v>
      </c>
      <c r="KC75" s="627">
        <v>0</v>
      </c>
      <c r="KD75" s="627">
        <v>0</v>
      </c>
      <c r="KE75" s="627">
        <v>0</v>
      </c>
      <c r="KF75" s="627">
        <v>0</v>
      </c>
      <c r="KG75" s="627">
        <v>0</v>
      </c>
      <c r="KH75" s="627">
        <v>0</v>
      </c>
      <c r="KI75" s="627">
        <v>1</v>
      </c>
      <c r="KJ75" s="627">
        <v>0</v>
      </c>
      <c r="KK75" s="627">
        <v>0</v>
      </c>
      <c r="KL75" s="627">
        <v>1</v>
      </c>
      <c r="KM75" s="627">
        <v>2</v>
      </c>
      <c r="KN75" s="628">
        <f>0/KM75</f>
        <v>0</v>
      </c>
      <c r="KO75" s="617">
        <v>0</v>
      </c>
    </row>
    <row r="76" spans="1:301">
      <c r="A76" s="5737">
        <v>2</v>
      </c>
      <c r="B76" s="5737">
        <v>1</v>
      </c>
      <c r="C76" s="5736" t="s">
        <v>121</v>
      </c>
      <c r="D76" s="5736" t="s">
        <v>2709</v>
      </c>
      <c r="E76" s="5737">
        <v>1</v>
      </c>
      <c r="F76" s="5737">
        <v>10</v>
      </c>
      <c r="I76" s="4726">
        <v>2</v>
      </c>
      <c r="J76" s="4726">
        <v>1</v>
      </c>
      <c r="K76" s="4725" t="s">
        <v>121</v>
      </c>
      <c r="L76" s="4963" t="s">
        <v>2732</v>
      </c>
      <c r="M76" s="4964">
        <v>1</v>
      </c>
      <c r="N76" s="4726">
        <v>12</v>
      </c>
      <c r="Q76" s="4458">
        <v>2</v>
      </c>
      <c r="R76" s="4458">
        <v>2</v>
      </c>
      <c r="S76" s="4459" t="s">
        <v>2735</v>
      </c>
      <c r="T76" s="4461" t="s">
        <v>1076</v>
      </c>
      <c r="U76" s="4458">
        <v>12</v>
      </c>
      <c r="V76" s="4479">
        <v>1</v>
      </c>
      <c r="W76" s="4510"/>
      <c r="X76" s="4467"/>
      <c r="Y76" s="4467"/>
      <c r="Z76" s="36"/>
      <c r="AA76" s="36"/>
      <c r="AB76" s="36"/>
      <c r="AC76" s="4236" t="s">
        <v>15</v>
      </c>
      <c r="AD76" s="4236"/>
      <c r="AE76" s="4236"/>
      <c r="AF76" s="4236"/>
      <c r="AG76" s="4236"/>
      <c r="AH76" s="4236"/>
      <c r="AI76" s="4236"/>
      <c r="AJ76" s="4236"/>
      <c r="AK76" s="4236"/>
      <c r="AL76" s="4236"/>
      <c r="AM76" s="4236"/>
      <c r="AN76" s="4236">
        <v>2</v>
      </c>
      <c r="AO76" s="4236"/>
      <c r="AP76" s="4236">
        <v>1</v>
      </c>
      <c r="AQ76" s="4236">
        <v>1</v>
      </c>
      <c r="AR76" s="4236">
        <v>4</v>
      </c>
      <c r="AS76" s="4243">
        <f>AR75/AR76</f>
        <v>0.5</v>
      </c>
      <c r="AX76" s="3868" t="s">
        <v>15</v>
      </c>
      <c r="AY76" s="3721"/>
      <c r="AZ76" s="3721"/>
      <c r="BA76" s="3721"/>
      <c r="BB76" s="3721"/>
      <c r="BC76" s="3721"/>
      <c r="BD76" s="3721"/>
      <c r="BE76" s="3721"/>
      <c r="BF76" s="3721"/>
      <c r="BG76" s="3721">
        <v>1</v>
      </c>
      <c r="BH76" s="3721"/>
      <c r="BI76" s="3721"/>
      <c r="BJ76" s="3721">
        <v>1</v>
      </c>
      <c r="BK76" s="3721">
        <v>1</v>
      </c>
      <c r="BL76" s="3721">
        <v>2</v>
      </c>
      <c r="BM76" s="2110"/>
      <c r="BN76" s="2110"/>
      <c r="BO76" s="2110">
        <v>5</v>
      </c>
      <c r="BP76" s="1665">
        <f>+(BO75)/(BO76)</f>
        <v>0.2</v>
      </c>
      <c r="BT76" s="32" t="s">
        <v>123</v>
      </c>
      <c r="BU76" s="32" t="s">
        <v>1072</v>
      </c>
      <c r="BV76" s="3871">
        <v>0</v>
      </c>
      <c r="BW76" s="3871"/>
      <c r="BX76" s="3871"/>
      <c r="BY76" s="3871"/>
      <c r="BZ76" s="3871">
        <v>1</v>
      </c>
      <c r="CA76" s="3871"/>
      <c r="CB76" s="3871"/>
      <c r="CC76" s="3871"/>
      <c r="CD76" s="3871"/>
      <c r="CE76" s="3871">
        <v>1</v>
      </c>
      <c r="CF76" s="3871"/>
      <c r="CG76" s="3871">
        <v>0</v>
      </c>
      <c r="CH76" s="3871">
        <v>1</v>
      </c>
      <c r="CI76" s="3871">
        <v>1</v>
      </c>
      <c r="CJ76" s="1518">
        <v>0</v>
      </c>
      <c r="CK76" s="1518">
        <v>4</v>
      </c>
      <c r="CN76" s="36"/>
      <c r="CO76" s="36"/>
      <c r="CP76" s="36"/>
      <c r="CQ76" s="36" t="s">
        <v>1080</v>
      </c>
      <c r="CR76" s="615"/>
      <c r="CS76" s="615"/>
      <c r="CT76" s="615"/>
      <c r="CU76" s="615"/>
      <c r="CV76" s="615"/>
      <c r="CW76" s="615"/>
      <c r="CX76" s="615"/>
      <c r="CY76" s="615"/>
      <c r="CZ76" s="615"/>
      <c r="DA76" s="615"/>
      <c r="DB76" s="615"/>
      <c r="DC76" s="615"/>
      <c r="DD76" s="615">
        <v>0</v>
      </c>
      <c r="DE76" s="615">
        <v>0</v>
      </c>
      <c r="DF76" s="615">
        <v>6</v>
      </c>
      <c r="DG76" s="36"/>
      <c r="DH76" s="36">
        <v>2</v>
      </c>
      <c r="DI76" s="36">
        <v>8</v>
      </c>
      <c r="DJ76" s="36"/>
      <c r="DL76" s="36"/>
      <c r="DM76" s="36"/>
      <c r="DN76" s="36"/>
      <c r="DO76" s="36" t="s">
        <v>1076</v>
      </c>
      <c r="DP76" s="1681"/>
      <c r="DQ76" s="1681"/>
      <c r="DR76" s="1681"/>
      <c r="DS76" s="1681"/>
      <c r="DT76" s="1681">
        <v>0</v>
      </c>
      <c r="DU76" s="1681"/>
      <c r="DV76" s="1681"/>
      <c r="DW76" s="1681"/>
      <c r="DX76" s="1681"/>
      <c r="DY76" s="1681"/>
      <c r="DZ76" s="1681"/>
      <c r="EA76" s="1681">
        <v>0</v>
      </c>
      <c r="EB76" s="1681">
        <v>3</v>
      </c>
      <c r="EC76" s="1681">
        <v>2</v>
      </c>
      <c r="ED76" s="1681">
        <v>0</v>
      </c>
      <c r="EE76" s="95"/>
      <c r="EF76" s="95"/>
      <c r="EG76" s="95">
        <v>5</v>
      </c>
      <c r="EH76" s="36"/>
      <c r="EK76" s="95" t="s">
        <v>16</v>
      </c>
      <c r="EL76" s="36" t="s">
        <v>106</v>
      </c>
      <c r="EM76" s="36" t="s">
        <v>1072</v>
      </c>
      <c r="EN76" s="1490"/>
      <c r="EO76" s="1490"/>
      <c r="EP76" s="1490"/>
      <c r="EQ76" s="1490"/>
      <c r="ER76" s="1490"/>
      <c r="ES76" s="1490"/>
      <c r="ET76" s="1490"/>
      <c r="EU76" s="1490"/>
      <c r="EV76" s="1490"/>
      <c r="EW76" s="1490"/>
      <c r="EX76" s="1490"/>
      <c r="EY76" s="1490"/>
      <c r="EZ76" s="1490">
        <v>2</v>
      </c>
      <c r="FA76" s="1490">
        <v>4</v>
      </c>
      <c r="FB76" s="1490"/>
      <c r="FC76" s="36"/>
      <c r="FD76" s="36"/>
      <c r="FE76" s="36">
        <v>6</v>
      </c>
      <c r="FF76" s="36"/>
      <c r="FH76" s="1225"/>
      <c r="FI76" s="1225"/>
      <c r="FJ76" s="1225"/>
      <c r="FK76" s="1226" t="s">
        <v>1074</v>
      </c>
      <c r="FL76" s="1227"/>
      <c r="FM76" s="1228">
        <v>1</v>
      </c>
      <c r="FN76" s="1228">
        <v>0</v>
      </c>
      <c r="FO76" s="1227"/>
      <c r="FP76" s="1228">
        <v>0</v>
      </c>
      <c r="FQ76" s="1227"/>
      <c r="FR76" s="1228">
        <v>0</v>
      </c>
      <c r="FS76" s="1228">
        <v>0</v>
      </c>
      <c r="FT76" s="1228">
        <v>0</v>
      </c>
      <c r="FU76" s="1228">
        <v>0</v>
      </c>
      <c r="FV76" s="1228">
        <v>0</v>
      </c>
      <c r="FW76" s="1228">
        <v>0</v>
      </c>
      <c r="FX76" s="1228">
        <v>0</v>
      </c>
      <c r="FY76" s="1229"/>
      <c r="FZ76" s="1229"/>
      <c r="GA76" s="1230">
        <v>1</v>
      </c>
      <c r="GB76" s="36"/>
      <c r="GD76" s="603"/>
      <c r="GE76" s="603"/>
      <c r="GF76" s="603"/>
      <c r="GG76" s="604" t="s">
        <v>1163</v>
      </c>
      <c r="GH76" s="605"/>
      <c r="GI76" s="605"/>
      <c r="GJ76" s="605"/>
      <c r="GK76" s="605"/>
      <c r="GL76" s="605"/>
      <c r="GM76" s="605"/>
      <c r="GN76" s="605"/>
      <c r="GO76" s="605"/>
      <c r="GP76" s="605"/>
      <c r="GQ76" s="606">
        <v>0</v>
      </c>
      <c r="GR76" s="606">
        <v>2</v>
      </c>
      <c r="GS76" s="606">
        <v>3</v>
      </c>
      <c r="GT76" s="606">
        <v>2</v>
      </c>
      <c r="GU76" s="606">
        <v>2</v>
      </c>
      <c r="GV76" s="606">
        <v>0</v>
      </c>
      <c r="GW76" s="607"/>
      <c r="GX76" s="607"/>
      <c r="GY76" s="608">
        <v>9</v>
      </c>
      <c r="GZ76" s="95"/>
      <c r="HB76" s="441"/>
      <c r="HC76" s="441"/>
      <c r="HD76" s="441"/>
      <c r="HE76" s="36"/>
      <c r="HF76" s="462" t="s">
        <v>15</v>
      </c>
      <c r="HG76" s="618"/>
      <c r="HH76" s="618"/>
      <c r="HI76" s="619">
        <v>1</v>
      </c>
      <c r="HJ76" s="618"/>
      <c r="HK76" s="618"/>
      <c r="HL76" s="618"/>
      <c r="HM76" s="619">
        <v>1</v>
      </c>
      <c r="HN76" s="618"/>
      <c r="HO76" s="619">
        <v>1</v>
      </c>
      <c r="HP76" s="619">
        <v>2</v>
      </c>
      <c r="HQ76" s="619">
        <v>1</v>
      </c>
      <c r="HR76" s="619">
        <v>1</v>
      </c>
      <c r="HS76" s="618"/>
      <c r="HT76" s="619">
        <v>4</v>
      </c>
      <c r="HU76" s="619">
        <v>17</v>
      </c>
      <c r="HV76" s="620"/>
      <c r="HW76" s="621">
        <v>1</v>
      </c>
      <c r="HX76" s="621">
        <v>29</v>
      </c>
      <c r="HY76" s="560">
        <f>+(HX75+HX73)/HX76</f>
        <v>0.2413793103448276</v>
      </c>
      <c r="HZ76" s="36"/>
      <c r="IA76" s="613"/>
      <c r="IB76" s="613"/>
      <c r="IC76" s="613"/>
      <c r="ID76" s="389" t="s">
        <v>1076</v>
      </c>
      <c r="IE76" s="614"/>
      <c r="IF76" s="614"/>
      <c r="IG76" s="614"/>
      <c r="IH76" s="614"/>
      <c r="II76" s="614"/>
      <c r="IJ76" s="614"/>
      <c r="IK76" s="614"/>
      <c r="IL76" s="390">
        <v>1</v>
      </c>
      <c r="IM76" s="614"/>
      <c r="IN76" s="614"/>
      <c r="IO76" s="390">
        <v>0</v>
      </c>
      <c r="IP76" s="614"/>
      <c r="IQ76" s="390">
        <v>0</v>
      </c>
      <c r="IR76" s="390">
        <v>1</v>
      </c>
      <c r="IS76" s="615"/>
      <c r="IT76" s="36"/>
      <c r="IU76" s="36"/>
      <c r="IV76" s="95"/>
      <c r="IW76" s="95"/>
      <c r="IX76" s="36"/>
      <c r="IY76" s="393" t="s">
        <v>15</v>
      </c>
      <c r="IZ76" s="86">
        <v>2</v>
      </c>
      <c r="JA76" s="86"/>
      <c r="JB76" s="86"/>
      <c r="JC76" s="86"/>
      <c r="JD76" s="86">
        <v>2</v>
      </c>
      <c r="JE76" s="86"/>
      <c r="JF76" s="86"/>
      <c r="JG76" s="86"/>
      <c r="JH76" s="86"/>
      <c r="JI76" s="86"/>
      <c r="JJ76" s="86">
        <v>1</v>
      </c>
      <c r="JK76" s="86">
        <v>1</v>
      </c>
      <c r="JL76" s="86">
        <v>1</v>
      </c>
      <c r="JM76" s="86"/>
      <c r="JN76" s="86"/>
      <c r="JO76" s="86">
        <v>1</v>
      </c>
      <c r="JP76" s="86">
        <v>8</v>
      </c>
      <c r="JQ76" s="631">
        <f>+JP74/JP76</f>
        <v>0.125</v>
      </c>
      <c r="JR76" s="36"/>
      <c r="JS76" s="616" t="s">
        <v>48</v>
      </c>
      <c r="JT76" s="616" t="s">
        <v>16</v>
      </c>
      <c r="JU76" s="616" t="s">
        <v>127</v>
      </c>
      <c r="JV76" s="616" t="s">
        <v>1072</v>
      </c>
      <c r="JW76" s="616">
        <v>0</v>
      </c>
      <c r="JX76" s="616">
        <v>0</v>
      </c>
      <c r="JY76" s="616">
        <v>0</v>
      </c>
      <c r="JZ76" s="616">
        <v>0</v>
      </c>
      <c r="KA76" s="616">
        <v>0</v>
      </c>
      <c r="KB76" s="616">
        <v>0</v>
      </c>
      <c r="KC76" s="616">
        <v>0</v>
      </c>
      <c r="KD76" s="616">
        <v>0</v>
      </c>
      <c r="KE76" s="616">
        <v>0</v>
      </c>
      <c r="KF76" s="616">
        <v>0</v>
      </c>
      <c r="KG76" s="616">
        <v>0</v>
      </c>
      <c r="KH76" s="616">
        <v>1</v>
      </c>
      <c r="KI76" s="616">
        <v>0</v>
      </c>
      <c r="KJ76" s="616">
        <v>0</v>
      </c>
      <c r="KK76" s="616">
        <v>0</v>
      </c>
      <c r="KL76" s="616">
        <v>0</v>
      </c>
      <c r="KM76" s="616">
        <v>1</v>
      </c>
      <c r="KN76" s="616"/>
      <c r="KO76" s="617"/>
    </row>
    <row r="77" spans="1:301">
      <c r="A77" s="5737"/>
      <c r="B77" s="5737"/>
      <c r="C77" s="5736"/>
      <c r="D77" s="5736"/>
      <c r="E77" s="5742">
        <f>SUM(E72:E76)</f>
        <v>7</v>
      </c>
      <c r="F77" s="5737"/>
      <c r="G77" s="4476">
        <f>+(E74+E75)/(E77)</f>
        <v>0.2857142857142857</v>
      </c>
      <c r="I77" s="4726">
        <v>2</v>
      </c>
      <c r="J77" s="4726">
        <v>1</v>
      </c>
      <c r="K77" s="4725" t="s">
        <v>121</v>
      </c>
      <c r="L77" s="4963" t="s">
        <v>1076</v>
      </c>
      <c r="M77" s="4964">
        <v>1</v>
      </c>
      <c r="N77" s="4726">
        <v>12</v>
      </c>
      <c r="Q77" s="4458">
        <v>2</v>
      </c>
      <c r="R77" s="4458">
        <v>2</v>
      </c>
      <c r="S77" s="4459" t="s">
        <v>2735</v>
      </c>
      <c r="T77" s="4461" t="s">
        <v>1076</v>
      </c>
      <c r="U77" s="4458">
        <v>13</v>
      </c>
      <c r="V77" s="4479">
        <v>4</v>
      </c>
      <c r="W77" s="4510"/>
      <c r="X77" s="4467"/>
      <c r="Y77" s="4467"/>
      <c r="Z77" s="36"/>
      <c r="AA77" s="36"/>
      <c r="AB77" s="36" t="s">
        <v>681</v>
      </c>
      <c r="AC77" s="36" t="s">
        <v>1080</v>
      </c>
      <c r="AD77" s="615"/>
      <c r="AE77" s="615"/>
      <c r="AF77" s="615"/>
      <c r="AG77" s="615"/>
      <c r="AH77" s="615"/>
      <c r="AI77" s="615"/>
      <c r="AJ77" s="615"/>
      <c r="AK77" s="615"/>
      <c r="AL77" s="615"/>
      <c r="AM77" s="615"/>
      <c r="AN77" s="615"/>
      <c r="AO77" s="615"/>
      <c r="AP77" s="615">
        <v>1</v>
      </c>
      <c r="AQ77" s="36">
        <v>4</v>
      </c>
      <c r="AR77" s="36">
        <v>5</v>
      </c>
      <c r="AS77" s="36"/>
      <c r="AU77" s="36"/>
      <c r="AV77" s="36"/>
      <c r="AW77" s="36" t="s">
        <v>123</v>
      </c>
      <c r="AX77" s="36" t="s">
        <v>1072</v>
      </c>
      <c r="AY77" s="1681"/>
      <c r="AZ77" s="1681"/>
      <c r="BA77" s="1681"/>
      <c r="BB77" s="1681"/>
      <c r="BC77" s="1681">
        <v>1</v>
      </c>
      <c r="BD77" s="1681"/>
      <c r="BE77" s="1681"/>
      <c r="BF77" s="1681"/>
      <c r="BG77" s="1681"/>
      <c r="BH77" s="1681">
        <v>1</v>
      </c>
      <c r="BI77" s="1681"/>
      <c r="BJ77" s="1681">
        <v>0</v>
      </c>
      <c r="BK77" s="1681">
        <v>1</v>
      </c>
      <c r="BL77" s="1681"/>
      <c r="BM77" s="95">
        <v>0</v>
      </c>
      <c r="BN77" s="95"/>
      <c r="BO77" s="95">
        <v>3</v>
      </c>
      <c r="BP77" s="95"/>
      <c r="BU77" s="32" t="s">
        <v>1076</v>
      </c>
      <c r="BV77" s="3871">
        <v>0</v>
      </c>
      <c r="BW77" s="3871"/>
      <c r="BX77" s="3871"/>
      <c r="BY77" s="3871"/>
      <c r="BZ77" s="3871">
        <v>0</v>
      </c>
      <c r="CA77" s="3871"/>
      <c r="CB77" s="3871"/>
      <c r="CC77" s="3871"/>
      <c r="CD77" s="3871"/>
      <c r="CE77" s="3871">
        <v>0</v>
      </c>
      <c r="CF77" s="3871"/>
      <c r="CG77" s="3871">
        <v>1</v>
      </c>
      <c r="CH77" s="3871">
        <v>0</v>
      </c>
      <c r="CI77" s="3871">
        <v>0</v>
      </c>
      <c r="CJ77" s="1518">
        <v>0</v>
      </c>
      <c r="CK77" s="1518">
        <v>1</v>
      </c>
      <c r="CN77" s="36"/>
      <c r="CO77" s="36"/>
      <c r="CP77" s="36"/>
      <c r="CQ77" s="36" t="s">
        <v>1163</v>
      </c>
      <c r="CR77" s="615"/>
      <c r="CS77" s="615"/>
      <c r="CT77" s="615"/>
      <c r="CU77" s="615"/>
      <c r="CV77" s="615"/>
      <c r="CW77" s="615"/>
      <c r="CX77" s="615"/>
      <c r="CY77" s="615"/>
      <c r="CZ77" s="615"/>
      <c r="DA77" s="615"/>
      <c r="DB77" s="615"/>
      <c r="DC77" s="615"/>
      <c r="DD77" s="615">
        <v>0</v>
      </c>
      <c r="DE77" s="615">
        <v>1</v>
      </c>
      <c r="DF77" s="615">
        <v>0</v>
      </c>
      <c r="DG77" s="36"/>
      <c r="DH77" s="36">
        <v>0</v>
      </c>
      <c r="DI77" s="36">
        <v>1</v>
      </c>
      <c r="DJ77" s="36"/>
      <c r="DL77" s="36"/>
      <c r="DM77" s="36"/>
      <c r="DN77" s="36"/>
      <c r="DO77" s="36" t="s">
        <v>1080</v>
      </c>
      <c r="DP77" s="1681"/>
      <c r="DQ77" s="1681"/>
      <c r="DR77" s="1681"/>
      <c r="DS77" s="1681"/>
      <c r="DT77" s="1681">
        <v>0</v>
      </c>
      <c r="DU77" s="1681"/>
      <c r="DV77" s="1681"/>
      <c r="DW77" s="1681"/>
      <c r="DX77" s="1681"/>
      <c r="DY77" s="1681"/>
      <c r="DZ77" s="1681"/>
      <c r="EA77" s="1681">
        <v>0</v>
      </c>
      <c r="EB77" s="1681">
        <v>0</v>
      </c>
      <c r="EC77" s="1681">
        <v>0</v>
      </c>
      <c r="ED77" s="1681">
        <v>7</v>
      </c>
      <c r="EE77" s="95"/>
      <c r="EF77" s="95"/>
      <c r="EG77" s="95">
        <v>7</v>
      </c>
      <c r="EH77" s="36"/>
      <c r="EL77" s="36"/>
      <c r="EM77" s="36" t="s">
        <v>1076</v>
      </c>
      <c r="EN77" s="1490"/>
      <c r="EO77" s="1490"/>
      <c r="EP77" s="1490"/>
      <c r="EQ77" s="1490"/>
      <c r="ER77" s="1490"/>
      <c r="ES77" s="1490"/>
      <c r="ET77" s="1490"/>
      <c r="EU77" s="1490"/>
      <c r="EV77" s="1490"/>
      <c r="EW77" s="1490"/>
      <c r="EX77" s="1490"/>
      <c r="EY77" s="1490"/>
      <c r="EZ77" s="1490">
        <v>1</v>
      </c>
      <c r="FA77" s="1490">
        <v>2</v>
      </c>
      <c r="FB77" s="1490"/>
      <c r="FC77" s="36"/>
      <c r="FD77" s="36"/>
      <c r="FE77" s="36">
        <v>3</v>
      </c>
      <c r="FF77" s="36"/>
      <c r="FH77" s="1225"/>
      <c r="FI77" s="1225"/>
      <c r="FJ77" s="1225"/>
      <c r="FK77" s="1226" t="s">
        <v>1076</v>
      </c>
      <c r="FL77" s="1227"/>
      <c r="FM77" s="1228">
        <v>0</v>
      </c>
      <c r="FN77" s="1228">
        <v>0</v>
      </c>
      <c r="FO77" s="1227"/>
      <c r="FP77" s="1228">
        <v>0</v>
      </c>
      <c r="FQ77" s="1227"/>
      <c r="FR77" s="1228">
        <v>2</v>
      </c>
      <c r="FS77" s="1228">
        <v>4</v>
      </c>
      <c r="FT77" s="1228">
        <v>4</v>
      </c>
      <c r="FU77" s="1228">
        <v>1</v>
      </c>
      <c r="FV77" s="1228">
        <v>5</v>
      </c>
      <c r="FW77" s="1228">
        <v>1</v>
      </c>
      <c r="FX77" s="1228">
        <v>0</v>
      </c>
      <c r="FY77" s="1229"/>
      <c r="FZ77" s="1229"/>
      <c r="GA77" s="1230">
        <v>17</v>
      </c>
      <c r="GB77" s="36"/>
      <c r="GD77" s="603"/>
      <c r="GE77" s="603"/>
      <c r="GF77" s="603"/>
      <c r="GG77" s="622" t="s">
        <v>15</v>
      </c>
      <c r="GH77" s="623"/>
      <c r="GI77" s="623"/>
      <c r="GJ77" s="623"/>
      <c r="GK77" s="623"/>
      <c r="GL77" s="623"/>
      <c r="GM77" s="623"/>
      <c r="GN77" s="623"/>
      <c r="GO77" s="623"/>
      <c r="GP77" s="623"/>
      <c r="GQ77" s="624">
        <v>1</v>
      </c>
      <c r="GR77" s="624">
        <v>3</v>
      </c>
      <c r="GS77" s="624">
        <v>6</v>
      </c>
      <c r="GT77" s="624">
        <v>4</v>
      </c>
      <c r="GU77" s="624">
        <v>4</v>
      </c>
      <c r="GV77" s="624">
        <v>4</v>
      </c>
      <c r="GW77" s="625"/>
      <c r="GX77" s="625"/>
      <c r="GY77" s="626">
        <v>22</v>
      </c>
      <c r="GZ77" s="560">
        <f>+(GY74+GY76)/GY77</f>
        <v>0.5</v>
      </c>
      <c r="HB77" s="441"/>
      <c r="HC77" s="441"/>
      <c r="HD77" s="441" t="s">
        <v>124</v>
      </c>
      <c r="HE77" s="441" t="s">
        <v>1070</v>
      </c>
      <c r="HF77" s="442" t="s">
        <v>1072</v>
      </c>
      <c r="HG77" s="609"/>
      <c r="HH77" s="609"/>
      <c r="HI77" s="609"/>
      <c r="HJ77" s="609"/>
      <c r="HK77" s="609"/>
      <c r="HL77" s="609"/>
      <c r="HM77" s="609"/>
      <c r="HN77" s="609"/>
      <c r="HO77" s="609"/>
      <c r="HP77" s="609"/>
      <c r="HQ77" s="609"/>
      <c r="HR77" s="610">
        <v>1</v>
      </c>
      <c r="HS77" s="610">
        <v>4</v>
      </c>
      <c r="HT77" s="609"/>
      <c r="HU77" s="609"/>
      <c r="HV77" s="612">
        <v>0</v>
      </c>
      <c r="HW77" s="611"/>
      <c r="HX77" s="612">
        <v>5</v>
      </c>
      <c r="HY77" s="560"/>
      <c r="HZ77" s="36"/>
      <c r="IA77" s="613"/>
      <c r="IB77" s="613"/>
      <c r="IC77" s="613"/>
      <c r="ID77" s="389" t="s">
        <v>1080</v>
      </c>
      <c r="IE77" s="614"/>
      <c r="IF77" s="614"/>
      <c r="IG77" s="614"/>
      <c r="IH77" s="614"/>
      <c r="II77" s="614"/>
      <c r="IJ77" s="614"/>
      <c r="IK77" s="614"/>
      <c r="IL77" s="390">
        <v>0</v>
      </c>
      <c r="IM77" s="614"/>
      <c r="IN77" s="614"/>
      <c r="IO77" s="390">
        <v>1</v>
      </c>
      <c r="IP77" s="614"/>
      <c r="IQ77" s="390">
        <v>3</v>
      </c>
      <c r="IR77" s="390">
        <v>4</v>
      </c>
      <c r="IS77" s="615"/>
      <c r="IT77" s="36"/>
      <c r="IU77" s="36"/>
      <c r="IV77" s="95"/>
      <c r="IW77" s="95" t="s">
        <v>41</v>
      </c>
      <c r="IX77" s="36" t="s">
        <v>128</v>
      </c>
      <c r="IY77" s="36" t="s">
        <v>1080</v>
      </c>
      <c r="IZ77" s="95"/>
      <c r="JA77" s="95"/>
      <c r="JB77" s="95"/>
      <c r="JC77" s="95"/>
      <c r="JD77" s="95"/>
      <c r="JE77" s="95"/>
      <c r="JF77" s="95"/>
      <c r="JG77" s="95"/>
      <c r="JH77" s="95"/>
      <c r="JI77" s="95">
        <v>0</v>
      </c>
      <c r="JJ77" s="95">
        <v>0</v>
      </c>
      <c r="JK77" s="95"/>
      <c r="JL77" s="95">
        <v>0</v>
      </c>
      <c r="JM77" s="95">
        <v>2</v>
      </c>
      <c r="JN77" s="95"/>
      <c r="JO77" s="95">
        <v>2</v>
      </c>
      <c r="JP77" s="95">
        <v>4</v>
      </c>
      <c r="JQ77" s="36"/>
      <c r="JR77" s="36"/>
      <c r="JS77" s="616"/>
      <c r="JT77" s="616"/>
      <c r="JU77" s="616"/>
      <c r="JV77" s="616" t="s">
        <v>1080</v>
      </c>
      <c r="JW77" s="616">
        <v>0</v>
      </c>
      <c r="JX77" s="616">
        <v>0</v>
      </c>
      <c r="JY77" s="616">
        <v>0</v>
      </c>
      <c r="JZ77" s="616">
        <v>0</v>
      </c>
      <c r="KA77" s="616">
        <v>0</v>
      </c>
      <c r="KB77" s="616">
        <v>0</v>
      </c>
      <c r="KC77" s="616">
        <v>0</v>
      </c>
      <c r="KD77" s="616">
        <v>0</v>
      </c>
      <c r="KE77" s="616">
        <v>0</v>
      </c>
      <c r="KF77" s="616">
        <v>0</v>
      </c>
      <c r="KG77" s="616">
        <v>0</v>
      </c>
      <c r="KH77" s="616">
        <v>0</v>
      </c>
      <c r="KI77" s="616">
        <v>0</v>
      </c>
      <c r="KJ77" s="616">
        <v>0</v>
      </c>
      <c r="KK77" s="616">
        <v>0</v>
      </c>
      <c r="KL77" s="616">
        <v>1</v>
      </c>
      <c r="KM77" s="616">
        <v>1</v>
      </c>
      <c r="KN77" s="616"/>
      <c r="KO77" s="617"/>
    </row>
    <row r="78" spans="1:301">
      <c r="A78" s="5737">
        <v>2</v>
      </c>
      <c r="B78" s="5737">
        <v>1</v>
      </c>
      <c r="C78" s="5736" t="s">
        <v>122</v>
      </c>
      <c r="D78" s="5736" t="s">
        <v>2731</v>
      </c>
      <c r="E78" s="5737">
        <v>1</v>
      </c>
      <c r="F78" s="5737">
        <v>13</v>
      </c>
      <c r="I78" s="4726">
        <v>2</v>
      </c>
      <c r="J78" s="4726">
        <v>1</v>
      </c>
      <c r="K78" s="4725" t="s">
        <v>121</v>
      </c>
      <c r="L78" s="4725" t="s">
        <v>2709</v>
      </c>
      <c r="M78" s="4726">
        <v>1</v>
      </c>
      <c r="N78" s="4726">
        <v>10</v>
      </c>
      <c r="Q78" s="4458">
        <v>2</v>
      </c>
      <c r="R78" s="4458">
        <v>2</v>
      </c>
      <c r="S78" s="4459" t="s">
        <v>2735</v>
      </c>
      <c r="T78" s="4459" t="s">
        <v>2731</v>
      </c>
      <c r="U78" s="4458">
        <v>13</v>
      </c>
      <c r="V78" s="4479">
        <v>1</v>
      </c>
      <c r="W78" s="4510"/>
      <c r="X78" s="4467"/>
      <c r="Y78" s="4467"/>
      <c r="Z78" s="36"/>
      <c r="AA78" s="36"/>
      <c r="AB78" s="36"/>
      <c r="AC78" s="4236" t="s">
        <v>15</v>
      </c>
      <c r="AD78" s="4236"/>
      <c r="AE78" s="4236"/>
      <c r="AF78" s="4236"/>
      <c r="AG78" s="4236"/>
      <c r="AH78" s="4236"/>
      <c r="AI78" s="4236"/>
      <c r="AJ78" s="4236"/>
      <c r="AK78" s="4236"/>
      <c r="AL78" s="4236"/>
      <c r="AM78" s="4236"/>
      <c r="AN78" s="4236"/>
      <c r="AO78" s="4236"/>
      <c r="AP78" s="4236">
        <v>1</v>
      </c>
      <c r="AQ78" s="4236">
        <v>4</v>
      </c>
      <c r="AR78" s="4236">
        <v>5</v>
      </c>
      <c r="AS78" s="4243">
        <v>0</v>
      </c>
      <c r="AX78" s="3868" t="s">
        <v>1076</v>
      </c>
      <c r="AY78" s="3721"/>
      <c r="AZ78" s="3721"/>
      <c r="BA78" s="3721"/>
      <c r="BB78" s="3721"/>
      <c r="BC78" s="3721">
        <v>0</v>
      </c>
      <c r="BD78" s="3721"/>
      <c r="BE78" s="3721"/>
      <c r="BF78" s="3721"/>
      <c r="BG78" s="3721"/>
      <c r="BH78" s="3721">
        <v>0</v>
      </c>
      <c r="BI78" s="3721"/>
      <c r="BJ78" s="3721">
        <v>1</v>
      </c>
      <c r="BK78" s="3721">
        <v>0</v>
      </c>
      <c r="BL78" s="3721"/>
      <c r="BM78" s="2110">
        <v>0</v>
      </c>
      <c r="BN78" s="2110"/>
      <c r="BO78" s="2110">
        <v>1</v>
      </c>
      <c r="BP78" s="2110"/>
      <c r="BU78" s="32" t="s">
        <v>1080</v>
      </c>
      <c r="BV78" s="3871">
        <v>0</v>
      </c>
      <c r="BW78" s="3871"/>
      <c r="BX78" s="3871"/>
      <c r="BY78" s="3871"/>
      <c r="BZ78" s="3871">
        <v>0</v>
      </c>
      <c r="CA78" s="3871"/>
      <c r="CB78" s="3871"/>
      <c r="CC78" s="3871"/>
      <c r="CD78" s="3871"/>
      <c r="CE78" s="3871">
        <v>0</v>
      </c>
      <c r="CF78" s="3871"/>
      <c r="CG78" s="3871">
        <v>0</v>
      </c>
      <c r="CH78" s="3871">
        <v>1</v>
      </c>
      <c r="CI78" s="3871">
        <v>0</v>
      </c>
      <c r="CJ78" s="1518">
        <v>1</v>
      </c>
      <c r="CK78" s="1518">
        <v>2</v>
      </c>
      <c r="CN78" s="36"/>
      <c r="CO78" s="36"/>
      <c r="CP78" s="36"/>
      <c r="CQ78" s="393" t="s">
        <v>15</v>
      </c>
      <c r="CR78" s="2049"/>
      <c r="CS78" s="2049"/>
      <c r="CT78" s="2049"/>
      <c r="CU78" s="2049"/>
      <c r="CV78" s="2049"/>
      <c r="CW78" s="2049"/>
      <c r="CX78" s="2049"/>
      <c r="CY78" s="2049"/>
      <c r="CZ78" s="2049"/>
      <c r="DA78" s="2049"/>
      <c r="DB78" s="2049"/>
      <c r="DC78" s="2049"/>
      <c r="DD78" s="2049">
        <v>1</v>
      </c>
      <c r="DE78" s="2049">
        <v>2</v>
      </c>
      <c r="DF78" s="2049">
        <v>6</v>
      </c>
      <c r="DG78" s="393"/>
      <c r="DH78" s="393">
        <v>2</v>
      </c>
      <c r="DI78" s="393">
        <v>11</v>
      </c>
      <c r="DJ78" s="560">
        <f>+(DI77+DI75)/DI78</f>
        <v>0.27272727272727271</v>
      </c>
      <c r="DK78" s="1665"/>
      <c r="DL78" s="36"/>
      <c r="DM78" s="36"/>
      <c r="DN78" s="36"/>
      <c r="DO78" s="36" t="s">
        <v>1163</v>
      </c>
      <c r="DP78" s="1681"/>
      <c r="DQ78" s="1681"/>
      <c r="DR78" s="1681"/>
      <c r="DS78" s="1681"/>
      <c r="DT78" s="1681">
        <v>0</v>
      </c>
      <c r="DU78" s="1681"/>
      <c r="DV78" s="1681"/>
      <c r="DW78" s="1681"/>
      <c r="DX78" s="1681"/>
      <c r="DY78" s="1681"/>
      <c r="DZ78" s="1681"/>
      <c r="EA78" s="1681">
        <v>1</v>
      </c>
      <c r="EB78" s="1681">
        <v>1</v>
      </c>
      <c r="EC78" s="1681">
        <v>0</v>
      </c>
      <c r="ED78" s="1681">
        <v>0</v>
      </c>
      <c r="EE78" s="95"/>
      <c r="EF78" s="95"/>
      <c r="EG78" s="95">
        <v>2</v>
      </c>
      <c r="EH78" s="36"/>
      <c r="EL78" s="36"/>
      <c r="EM78" s="36" t="s">
        <v>1080</v>
      </c>
      <c r="EN78" s="1490"/>
      <c r="EO78" s="1490"/>
      <c r="EP78" s="1490"/>
      <c r="EQ78" s="1490"/>
      <c r="ER78" s="1490"/>
      <c r="ES78" s="1490"/>
      <c r="ET78" s="1490"/>
      <c r="EU78" s="1490"/>
      <c r="EV78" s="1490"/>
      <c r="EW78" s="1490"/>
      <c r="EX78" s="1490"/>
      <c r="EY78" s="1490"/>
      <c r="EZ78" s="1490">
        <v>0</v>
      </c>
      <c r="FA78" s="1490">
        <v>1</v>
      </c>
      <c r="FB78" s="1490"/>
      <c r="FC78" s="36"/>
      <c r="FD78" s="36"/>
      <c r="FE78" s="36">
        <v>1</v>
      </c>
      <c r="FF78" s="36"/>
      <c r="FH78" s="1225"/>
      <c r="FI78" s="1225"/>
      <c r="FJ78" s="1225"/>
      <c r="FK78" s="1226" t="s">
        <v>1077</v>
      </c>
      <c r="FL78" s="1227"/>
      <c r="FM78" s="1228">
        <v>0</v>
      </c>
      <c r="FN78" s="1228">
        <v>1</v>
      </c>
      <c r="FO78" s="1227"/>
      <c r="FP78" s="1228">
        <v>1</v>
      </c>
      <c r="FQ78" s="1227"/>
      <c r="FR78" s="1228">
        <v>0</v>
      </c>
      <c r="FS78" s="1228">
        <v>0</v>
      </c>
      <c r="FT78" s="1228">
        <v>0</v>
      </c>
      <c r="FU78" s="1228">
        <v>0</v>
      </c>
      <c r="FV78" s="1228">
        <v>0</v>
      </c>
      <c r="FW78" s="1228">
        <v>0</v>
      </c>
      <c r="FX78" s="1228">
        <v>0</v>
      </c>
      <c r="FY78" s="1229"/>
      <c r="FZ78" s="1229"/>
      <c r="GA78" s="1230">
        <v>2</v>
      </c>
      <c r="GB78" s="36"/>
      <c r="GD78" s="603"/>
      <c r="GE78" s="603"/>
      <c r="GF78" s="603" t="s">
        <v>125</v>
      </c>
      <c r="GG78" s="604" t="s">
        <v>1072</v>
      </c>
      <c r="GH78" s="605"/>
      <c r="GI78" s="606">
        <v>1</v>
      </c>
      <c r="GJ78" s="605"/>
      <c r="GK78" s="606">
        <v>1</v>
      </c>
      <c r="GL78" s="606">
        <v>1</v>
      </c>
      <c r="GM78" s="605"/>
      <c r="GN78" s="606">
        <v>1</v>
      </c>
      <c r="GO78" s="606">
        <v>1</v>
      </c>
      <c r="GP78" s="606">
        <v>2</v>
      </c>
      <c r="GQ78" s="606">
        <v>0</v>
      </c>
      <c r="GR78" s="606">
        <v>1</v>
      </c>
      <c r="GS78" s="605"/>
      <c r="GT78" s="606">
        <v>1</v>
      </c>
      <c r="GU78" s="606">
        <v>0</v>
      </c>
      <c r="GV78" s="606">
        <v>0</v>
      </c>
      <c r="GW78" s="607"/>
      <c r="GX78" s="607"/>
      <c r="GY78" s="608">
        <v>9</v>
      </c>
      <c r="GZ78" s="95"/>
      <c r="HB78" s="441"/>
      <c r="HC78" s="441"/>
      <c r="HD78" s="441"/>
      <c r="HE78" s="441"/>
      <c r="HF78" s="442" t="s">
        <v>1080</v>
      </c>
      <c r="HG78" s="609"/>
      <c r="HH78" s="609"/>
      <c r="HI78" s="609"/>
      <c r="HJ78" s="609"/>
      <c r="HK78" s="609"/>
      <c r="HL78" s="609"/>
      <c r="HM78" s="609"/>
      <c r="HN78" s="609"/>
      <c r="HO78" s="609"/>
      <c r="HP78" s="609"/>
      <c r="HQ78" s="609"/>
      <c r="HR78" s="610">
        <v>0</v>
      </c>
      <c r="HS78" s="610">
        <v>0</v>
      </c>
      <c r="HT78" s="609"/>
      <c r="HU78" s="609"/>
      <c r="HV78" s="612">
        <v>1</v>
      </c>
      <c r="HW78" s="611"/>
      <c r="HX78" s="612">
        <v>1</v>
      </c>
      <c r="HY78" s="560"/>
      <c r="HZ78" s="36"/>
      <c r="IA78" s="613"/>
      <c r="IB78" s="613"/>
      <c r="IC78" s="613"/>
      <c r="ID78" s="629" t="s">
        <v>15</v>
      </c>
      <c r="IE78" s="630"/>
      <c r="IF78" s="630"/>
      <c r="IG78" s="630"/>
      <c r="IH78" s="630"/>
      <c r="II78" s="630"/>
      <c r="IJ78" s="630"/>
      <c r="IK78" s="630"/>
      <c r="IL78" s="395">
        <v>1</v>
      </c>
      <c r="IM78" s="630"/>
      <c r="IN78" s="630"/>
      <c r="IO78" s="395">
        <v>3</v>
      </c>
      <c r="IP78" s="630"/>
      <c r="IQ78" s="395">
        <v>3</v>
      </c>
      <c r="IR78" s="395">
        <v>7</v>
      </c>
      <c r="IS78" s="553">
        <f>+IR76/IR78</f>
        <v>0.14285714285714285</v>
      </c>
      <c r="IT78" s="36"/>
      <c r="IU78" s="36"/>
      <c r="IV78" s="95"/>
      <c r="IW78" s="95"/>
      <c r="IX78" s="36"/>
      <c r="IY78" s="36" t="s">
        <v>1163</v>
      </c>
      <c r="IZ78" s="95"/>
      <c r="JA78" s="95"/>
      <c r="JB78" s="95"/>
      <c r="JC78" s="95"/>
      <c r="JD78" s="95"/>
      <c r="JE78" s="95"/>
      <c r="JF78" s="95"/>
      <c r="JG78" s="95"/>
      <c r="JH78" s="95"/>
      <c r="JI78" s="95">
        <v>2</v>
      </c>
      <c r="JJ78" s="95">
        <v>2</v>
      </c>
      <c r="JK78" s="95"/>
      <c r="JL78" s="95">
        <v>2</v>
      </c>
      <c r="JM78" s="95">
        <v>0</v>
      </c>
      <c r="JN78" s="95"/>
      <c r="JO78" s="95">
        <v>0</v>
      </c>
      <c r="JP78" s="95">
        <v>6</v>
      </c>
      <c r="JQ78" s="36"/>
      <c r="JR78" s="36"/>
      <c r="JS78" s="616"/>
      <c r="JT78" s="616"/>
      <c r="JU78" s="616"/>
      <c r="JV78" s="627" t="s">
        <v>15</v>
      </c>
      <c r="JW78" s="627">
        <v>0</v>
      </c>
      <c r="JX78" s="627">
        <v>0</v>
      </c>
      <c r="JY78" s="627">
        <v>0</v>
      </c>
      <c r="JZ78" s="627">
        <v>0</v>
      </c>
      <c r="KA78" s="627">
        <v>0</v>
      </c>
      <c r="KB78" s="627">
        <v>0</v>
      </c>
      <c r="KC78" s="627">
        <v>0</v>
      </c>
      <c r="KD78" s="627">
        <v>0</v>
      </c>
      <c r="KE78" s="627">
        <v>0</v>
      </c>
      <c r="KF78" s="627">
        <v>0</v>
      </c>
      <c r="KG78" s="627">
        <v>0</v>
      </c>
      <c r="KH78" s="627">
        <v>1</v>
      </c>
      <c r="KI78" s="627">
        <v>0</v>
      </c>
      <c r="KJ78" s="627">
        <v>0</v>
      </c>
      <c r="KK78" s="627">
        <v>0</v>
      </c>
      <c r="KL78" s="627">
        <v>1</v>
      </c>
      <c r="KM78" s="627">
        <v>2</v>
      </c>
      <c r="KN78" s="628">
        <f>0/KM78</f>
        <v>0</v>
      </c>
      <c r="KO78" s="617">
        <v>0</v>
      </c>
    </row>
    <row r="79" spans="1:301">
      <c r="A79" s="5737">
        <v>2</v>
      </c>
      <c r="B79" s="5737">
        <v>1</v>
      </c>
      <c r="C79" s="5736" t="s">
        <v>122</v>
      </c>
      <c r="D79" s="5736" t="s">
        <v>2731</v>
      </c>
      <c r="E79" s="5737">
        <v>1</v>
      </c>
      <c r="F79" s="5737">
        <v>15</v>
      </c>
      <c r="I79" s="4726"/>
      <c r="J79" s="4726"/>
      <c r="K79" s="4725"/>
      <c r="L79" s="4725"/>
      <c r="M79" s="4975">
        <f>SUM(M74:M78)</f>
        <v>7</v>
      </c>
      <c r="N79" s="4726"/>
      <c r="O79" s="4476">
        <f>+(M76+M77)/(M79)</f>
        <v>0.2857142857142857</v>
      </c>
      <c r="Q79" s="4458">
        <v>2</v>
      </c>
      <c r="R79" s="4458">
        <v>2</v>
      </c>
      <c r="S79" s="4459" t="s">
        <v>2735</v>
      </c>
      <c r="T79" s="4459" t="s">
        <v>2731</v>
      </c>
      <c r="U79" s="4458">
        <v>14</v>
      </c>
      <c r="V79" s="4479">
        <v>8</v>
      </c>
      <c r="W79" s="4510"/>
      <c r="X79" s="4467"/>
      <c r="Y79" s="4467"/>
      <c r="Z79" s="36"/>
      <c r="AA79" s="36"/>
      <c r="AB79" s="36" t="s">
        <v>15</v>
      </c>
      <c r="AC79" s="36" t="s">
        <v>1071</v>
      </c>
      <c r="AD79" s="615">
        <v>0</v>
      </c>
      <c r="AE79" s="615"/>
      <c r="AF79" s="615"/>
      <c r="AG79" s="615"/>
      <c r="AH79" s="615"/>
      <c r="AI79" s="615"/>
      <c r="AJ79" s="615"/>
      <c r="AK79" s="615">
        <v>0</v>
      </c>
      <c r="AL79" s="615"/>
      <c r="AM79" s="615"/>
      <c r="AN79" s="615">
        <v>0</v>
      </c>
      <c r="AO79" s="615">
        <v>2</v>
      </c>
      <c r="AP79" s="615">
        <v>0</v>
      </c>
      <c r="AQ79" s="36">
        <v>0</v>
      </c>
      <c r="AR79" s="36">
        <v>2</v>
      </c>
      <c r="AS79" s="36"/>
      <c r="AX79" s="3868" t="s">
        <v>1080</v>
      </c>
      <c r="AY79" s="3721"/>
      <c r="AZ79" s="3721"/>
      <c r="BA79" s="3721"/>
      <c r="BB79" s="3721"/>
      <c r="BC79" s="3721">
        <v>0</v>
      </c>
      <c r="BD79" s="3721"/>
      <c r="BE79" s="3721"/>
      <c r="BF79" s="3721"/>
      <c r="BG79" s="3721"/>
      <c r="BH79" s="3721">
        <v>0</v>
      </c>
      <c r="BI79" s="3721"/>
      <c r="BJ79" s="3721">
        <v>0</v>
      </c>
      <c r="BK79" s="3721">
        <v>1</v>
      </c>
      <c r="BL79" s="3721"/>
      <c r="BM79" s="2110">
        <v>2</v>
      </c>
      <c r="BN79" s="2110"/>
      <c r="BO79" s="2110">
        <v>3</v>
      </c>
      <c r="BP79" s="2110"/>
      <c r="BU79" s="1520" t="s">
        <v>15</v>
      </c>
      <c r="BV79" s="3872">
        <v>0</v>
      </c>
      <c r="BW79" s="3872"/>
      <c r="BX79" s="3872"/>
      <c r="BY79" s="3872"/>
      <c r="BZ79" s="3872">
        <v>1</v>
      </c>
      <c r="CA79" s="3872"/>
      <c r="CB79" s="3872"/>
      <c r="CC79" s="3872"/>
      <c r="CD79" s="3872"/>
      <c r="CE79" s="3872">
        <v>1</v>
      </c>
      <c r="CF79" s="3872"/>
      <c r="CG79" s="3872">
        <v>1</v>
      </c>
      <c r="CH79" s="3872">
        <v>2</v>
      </c>
      <c r="CI79" s="3872">
        <v>1</v>
      </c>
      <c r="CJ79" s="3806">
        <v>1</v>
      </c>
      <c r="CK79" s="3806">
        <v>7</v>
      </c>
      <c r="CL79" s="3807">
        <f>+CK77/CK79</f>
        <v>0.14285714285714285</v>
      </c>
      <c r="CN79" s="36"/>
      <c r="CO79" s="36"/>
      <c r="CP79" s="36" t="s">
        <v>122</v>
      </c>
      <c r="CQ79" s="36" t="s">
        <v>1072</v>
      </c>
      <c r="CR79" s="615"/>
      <c r="CS79" s="615"/>
      <c r="CT79" s="615"/>
      <c r="CU79" s="615"/>
      <c r="CV79" s="615"/>
      <c r="CW79" s="615"/>
      <c r="CX79" s="615"/>
      <c r="CY79" s="615"/>
      <c r="CZ79" s="615"/>
      <c r="DA79" s="615"/>
      <c r="DB79" s="615"/>
      <c r="DC79" s="615"/>
      <c r="DD79" s="615"/>
      <c r="DE79" s="615">
        <v>1</v>
      </c>
      <c r="DF79" s="615">
        <v>0</v>
      </c>
      <c r="DG79" s="36"/>
      <c r="DH79" s="36"/>
      <c r="DI79" s="36">
        <v>1</v>
      </c>
      <c r="DJ79" s="36"/>
      <c r="DL79" s="36"/>
      <c r="DM79" s="36"/>
      <c r="DN79" s="36"/>
      <c r="DO79" s="393" t="s">
        <v>15</v>
      </c>
      <c r="DP79" s="1682"/>
      <c r="DQ79" s="1682"/>
      <c r="DR79" s="1682"/>
      <c r="DS79" s="1682"/>
      <c r="DT79" s="1682">
        <v>1</v>
      </c>
      <c r="DU79" s="1682"/>
      <c r="DV79" s="1682"/>
      <c r="DW79" s="1682"/>
      <c r="DX79" s="1682"/>
      <c r="DY79" s="1682"/>
      <c r="DZ79" s="1682"/>
      <c r="EA79" s="1682">
        <v>1</v>
      </c>
      <c r="EB79" s="1682">
        <v>8</v>
      </c>
      <c r="EC79" s="1682">
        <v>5</v>
      </c>
      <c r="ED79" s="1682">
        <v>7</v>
      </c>
      <c r="EE79" s="86"/>
      <c r="EF79" s="86"/>
      <c r="EG79" s="86">
        <v>22</v>
      </c>
      <c r="EH79" s="560">
        <f>+(EG76+EG78)/EG79</f>
        <v>0.31818181818181818</v>
      </c>
      <c r="EL79" s="36"/>
      <c r="EM79" s="393" t="s">
        <v>15</v>
      </c>
      <c r="EN79" s="1491"/>
      <c r="EO79" s="1491"/>
      <c r="EP79" s="1491"/>
      <c r="EQ79" s="1491"/>
      <c r="ER79" s="1491"/>
      <c r="ES79" s="1491"/>
      <c r="ET79" s="1491"/>
      <c r="EU79" s="1491"/>
      <c r="EV79" s="1491"/>
      <c r="EW79" s="1491"/>
      <c r="EX79" s="1491"/>
      <c r="EY79" s="1491"/>
      <c r="EZ79" s="1491">
        <v>3</v>
      </c>
      <c r="FA79" s="1491">
        <v>7</v>
      </c>
      <c r="FB79" s="1491"/>
      <c r="FC79" s="393"/>
      <c r="FD79" s="393"/>
      <c r="FE79" s="393">
        <v>10</v>
      </c>
      <c r="FF79" s="560">
        <f>+FE77/FE79</f>
        <v>0.3</v>
      </c>
      <c r="FH79" s="1225"/>
      <c r="FI79" s="1225"/>
      <c r="FJ79" s="1225"/>
      <c r="FK79" s="1226" t="s">
        <v>1080</v>
      </c>
      <c r="FL79" s="1227"/>
      <c r="FM79" s="1228">
        <v>0</v>
      </c>
      <c r="FN79" s="1228">
        <v>0</v>
      </c>
      <c r="FO79" s="1227"/>
      <c r="FP79" s="1228">
        <v>0</v>
      </c>
      <c r="FQ79" s="1227"/>
      <c r="FR79" s="1228">
        <v>0</v>
      </c>
      <c r="FS79" s="1228">
        <v>0</v>
      </c>
      <c r="FT79" s="1228">
        <v>0</v>
      </c>
      <c r="FU79" s="1228">
        <v>0</v>
      </c>
      <c r="FV79" s="1228">
        <v>0</v>
      </c>
      <c r="FW79" s="1228">
        <v>0</v>
      </c>
      <c r="FX79" s="1228">
        <v>6</v>
      </c>
      <c r="FY79" s="1229"/>
      <c r="FZ79" s="1229"/>
      <c r="GA79" s="1230">
        <v>6</v>
      </c>
      <c r="GB79" s="36"/>
      <c r="GD79" s="603"/>
      <c r="GE79" s="603"/>
      <c r="GF79" s="603"/>
      <c r="GG79" s="604" t="s">
        <v>1076</v>
      </c>
      <c r="GH79" s="605"/>
      <c r="GI79" s="606">
        <v>0</v>
      </c>
      <c r="GJ79" s="605"/>
      <c r="GK79" s="606">
        <v>0</v>
      </c>
      <c r="GL79" s="606">
        <v>0</v>
      </c>
      <c r="GM79" s="605"/>
      <c r="GN79" s="606">
        <v>1</v>
      </c>
      <c r="GO79" s="606">
        <v>2</v>
      </c>
      <c r="GP79" s="606">
        <v>1</v>
      </c>
      <c r="GQ79" s="606">
        <v>0</v>
      </c>
      <c r="GR79" s="606">
        <v>0</v>
      </c>
      <c r="GS79" s="605"/>
      <c r="GT79" s="606">
        <v>1</v>
      </c>
      <c r="GU79" s="606">
        <v>8</v>
      </c>
      <c r="GV79" s="606">
        <v>0</v>
      </c>
      <c r="GW79" s="607"/>
      <c r="GX79" s="607"/>
      <c r="GY79" s="608">
        <v>13</v>
      </c>
      <c r="GZ79" s="95"/>
      <c r="HB79" s="441"/>
      <c r="HC79" s="441"/>
      <c r="HD79" s="441"/>
      <c r="HE79" s="441"/>
      <c r="HF79" s="442" t="s">
        <v>1163</v>
      </c>
      <c r="HG79" s="609"/>
      <c r="HH79" s="609"/>
      <c r="HI79" s="609"/>
      <c r="HJ79" s="609"/>
      <c r="HK79" s="609"/>
      <c r="HL79" s="609"/>
      <c r="HM79" s="609"/>
      <c r="HN79" s="609"/>
      <c r="HO79" s="609"/>
      <c r="HP79" s="609"/>
      <c r="HQ79" s="609"/>
      <c r="HR79" s="610">
        <v>0</v>
      </c>
      <c r="HS79" s="610">
        <v>9</v>
      </c>
      <c r="HT79" s="609"/>
      <c r="HU79" s="609"/>
      <c r="HV79" s="612">
        <v>0</v>
      </c>
      <c r="HW79" s="611"/>
      <c r="HX79" s="612">
        <v>9</v>
      </c>
      <c r="HY79" s="560"/>
      <c r="HZ79" s="36"/>
      <c r="IA79" s="613"/>
      <c r="IB79" s="613"/>
      <c r="IC79" s="613" t="s">
        <v>320</v>
      </c>
      <c r="ID79" s="389" t="s">
        <v>1072</v>
      </c>
      <c r="IE79" s="614"/>
      <c r="IF79" s="614"/>
      <c r="IG79" s="614"/>
      <c r="IH79" s="614"/>
      <c r="II79" s="614"/>
      <c r="IJ79" s="390">
        <v>0</v>
      </c>
      <c r="IK79" s="614"/>
      <c r="IL79" s="390">
        <v>1</v>
      </c>
      <c r="IM79" s="390">
        <v>0</v>
      </c>
      <c r="IN79" s="614"/>
      <c r="IO79" s="390">
        <v>0</v>
      </c>
      <c r="IP79" s="390">
        <v>1</v>
      </c>
      <c r="IQ79" s="390">
        <v>0</v>
      </c>
      <c r="IR79" s="390">
        <v>2</v>
      </c>
      <c r="IS79" s="615"/>
      <c r="IT79" s="36"/>
      <c r="IU79" s="36"/>
      <c r="IV79" s="95"/>
      <c r="IW79" s="95"/>
      <c r="IX79" s="36"/>
      <c r="IY79" s="393" t="s">
        <v>15</v>
      </c>
      <c r="IZ79" s="86"/>
      <c r="JA79" s="86"/>
      <c r="JB79" s="86"/>
      <c r="JC79" s="86"/>
      <c r="JD79" s="86"/>
      <c r="JE79" s="86"/>
      <c r="JF79" s="86"/>
      <c r="JG79" s="86"/>
      <c r="JH79" s="86"/>
      <c r="JI79" s="86">
        <v>2</v>
      </c>
      <c r="JJ79" s="86">
        <v>2</v>
      </c>
      <c r="JK79" s="86"/>
      <c r="JL79" s="86">
        <v>2</v>
      </c>
      <c r="JM79" s="86">
        <v>2</v>
      </c>
      <c r="JN79" s="86"/>
      <c r="JO79" s="86">
        <v>2</v>
      </c>
      <c r="JP79" s="86">
        <v>10</v>
      </c>
      <c r="JQ79" s="631">
        <f>+JP78/JP79</f>
        <v>0.6</v>
      </c>
      <c r="JR79" s="36"/>
      <c r="JS79" s="616"/>
      <c r="JT79" s="616" t="s">
        <v>41</v>
      </c>
      <c r="JU79" s="616" t="s">
        <v>728</v>
      </c>
      <c r="JV79" s="616" t="s">
        <v>1081</v>
      </c>
      <c r="JW79" s="616">
        <v>0</v>
      </c>
      <c r="JX79" s="616">
        <v>0</v>
      </c>
      <c r="JY79" s="616">
        <v>0</v>
      </c>
      <c r="JZ79" s="616">
        <v>0</v>
      </c>
      <c r="KA79" s="616">
        <v>0</v>
      </c>
      <c r="KB79" s="616">
        <v>0</v>
      </c>
      <c r="KC79" s="616">
        <v>0</v>
      </c>
      <c r="KD79" s="616">
        <v>0</v>
      </c>
      <c r="KE79" s="616">
        <v>0</v>
      </c>
      <c r="KF79" s="616">
        <v>2</v>
      </c>
      <c r="KG79" s="616">
        <v>0</v>
      </c>
      <c r="KH79" s="616">
        <v>1</v>
      </c>
      <c r="KI79" s="616">
        <v>2</v>
      </c>
      <c r="KJ79" s="616">
        <v>0</v>
      </c>
      <c r="KK79" s="616">
        <v>0</v>
      </c>
      <c r="KL79" s="616">
        <v>0</v>
      </c>
      <c r="KM79" s="616">
        <v>5</v>
      </c>
      <c r="KN79" s="616"/>
      <c r="KO79" s="617"/>
    </row>
    <row r="80" spans="1:301">
      <c r="A80" s="5737">
        <v>2</v>
      </c>
      <c r="B80" s="5737">
        <v>1</v>
      </c>
      <c r="C80" s="5736" t="s">
        <v>122</v>
      </c>
      <c r="D80" s="5739" t="s">
        <v>1076</v>
      </c>
      <c r="E80" s="5737">
        <v>1</v>
      </c>
      <c r="F80" s="5737">
        <v>14</v>
      </c>
      <c r="I80" s="4726">
        <v>2</v>
      </c>
      <c r="J80" s="4726">
        <v>1</v>
      </c>
      <c r="K80" s="4725" t="s">
        <v>122</v>
      </c>
      <c r="L80" s="4725" t="s">
        <v>2731</v>
      </c>
      <c r="M80" s="4726">
        <v>2</v>
      </c>
      <c r="N80" s="4726">
        <v>13</v>
      </c>
      <c r="Q80" s="4458"/>
      <c r="R80" s="4458"/>
      <c r="S80" s="4465" t="s">
        <v>15</v>
      </c>
      <c r="T80" s="4459"/>
      <c r="U80" s="4458"/>
      <c r="V80" s="4480">
        <f>SUM(V73:V79)</f>
        <v>22</v>
      </c>
      <c r="W80" s="4476">
        <f>+(V75 +V76+V77)/(V80)</f>
        <v>0.27272727272727271</v>
      </c>
      <c r="X80" s="4467"/>
      <c r="Y80" s="4467"/>
      <c r="Z80" s="36"/>
      <c r="AA80" s="36"/>
      <c r="AB80" s="36"/>
      <c r="AC80" s="36" t="s">
        <v>1072</v>
      </c>
      <c r="AD80" s="615">
        <v>0</v>
      </c>
      <c r="AE80" s="615"/>
      <c r="AF80" s="615"/>
      <c r="AG80" s="615"/>
      <c r="AH80" s="615"/>
      <c r="AI80" s="615"/>
      <c r="AJ80" s="615"/>
      <c r="AK80" s="615">
        <v>0</v>
      </c>
      <c r="AL80" s="615"/>
      <c r="AM80" s="615"/>
      <c r="AN80" s="615">
        <v>0</v>
      </c>
      <c r="AO80" s="615">
        <v>0</v>
      </c>
      <c r="AP80" s="615">
        <v>3</v>
      </c>
      <c r="AQ80" s="36">
        <v>0</v>
      </c>
      <c r="AR80" s="36">
        <v>3</v>
      </c>
      <c r="AS80" s="36"/>
      <c r="AU80" s="36"/>
      <c r="AV80" s="36"/>
      <c r="AW80" s="36"/>
      <c r="AX80" s="36" t="s">
        <v>15</v>
      </c>
      <c r="AY80" s="1681"/>
      <c r="AZ80" s="1681"/>
      <c r="BA80" s="1681"/>
      <c r="BB80" s="1681"/>
      <c r="BC80" s="1681">
        <v>1</v>
      </c>
      <c r="BD80" s="1681"/>
      <c r="BE80" s="1681"/>
      <c r="BF80" s="1681"/>
      <c r="BG80" s="1681"/>
      <c r="BH80" s="1681">
        <v>1</v>
      </c>
      <c r="BI80" s="1681"/>
      <c r="BJ80" s="1681">
        <v>1</v>
      </c>
      <c r="BK80" s="1681">
        <v>2</v>
      </c>
      <c r="BL80" s="1681"/>
      <c r="BM80" s="95">
        <v>2</v>
      </c>
      <c r="BN80" s="95"/>
      <c r="BO80" s="95">
        <v>7</v>
      </c>
      <c r="BP80" s="560">
        <f>+(BO78)/(BO80)</f>
        <v>0.14285714285714285</v>
      </c>
      <c r="BT80" s="32" t="s">
        <v>388</v>
      </c>
      <c r="BU80" s="32" t="s">
        <v>1071</v>
      </c>
      <c r="BV80" s="3871">
        <v>0</v>
      </c>
      <c r="BW80" s="3871"/>
      <c r="BX80" s="3871"/>
      <c r="BY80" s="3871"/>
      <c r="BZ80" s="3871"/>
      <c r="CA80" s="3871"/>
      <c r="CB80" s="3871"/>
      <c r="CC80" s="3871"/>
      <c r="CD80" s="3871"/>
      <c r="CE80" s="3871"/>
      <c r="CF80" s="3871"/>
      <c r="CG80" s="3871"/>
      <c r="CH80" s="3871">
        <v>1</v>
      </c>
      <c r="CI80" s="3871">
        <v>0</v>
      </c>
      <c r="CJ80" s="1518"/>
      <c r="CK80" s="1518">
        <v>1</v>
      </c>
      <c r="CN80" s="36"/>
      <c r="CO80" s="36"/>
      <c r="CP80" s="36"/>
      <c r="CQ80" s="36" t="s">
        <v>1080</v>
      </c>
      <c r="CR80" s="615"/>
      <c r="CS80" s="615"/>
      <c r="CT80" s="615"/>
      <c r="CU80" s="615"/>
      <c r="CV80" s="615"/>
      <c r="CW80" s="615"/>
      <c r="CX80" s="615"/>
      <c r="CY80" s="615"/>
      <c r="CZ80" s="615"/>
      <c r="DA80" s="615"/>
      <c r="DB80" s="615"/>
      <c r="DC80" s="615"/>
      <c r="DD80" s="615"/>
      <c r="DE80" s="615">
        <v>0</v>
      </c>
      <c r="DF80" s="615">
        <v>2</v>
      </c>
      <c r="DG80" s="36"/>
      <c r="DH80" s="36"/>
      <c r="DI80" s="36">
        <v>2</v>
      </c>
      <c r="DJ80" s="36"/>
      <c r="DL80" s="36"/>
      <c r="DM80" s="36"/>
      <c r="DN80" s="36" t="s">
        <v>127</v>
      </c>
      <c r="DO80" s="36" t="s">
        <v>1072</v>
      </c>
      <c r="DP80" s="1681"/>
      <c r="DQ80" s="1681">
        <v>2</v>
      </c>
      <c r="DR80" s="1681"/>
      <c r="DS80" s="1681">
        <v>1</v>
      </c>
      <c r="DT80" s="1681"/>
      <c r="DU80" s="1681"/>
      <c r="DV80" s="1681"/>
      <c r="DW80" s="1681"/>
      <c r="DX80" s="1681"/>
      <c r="DY80" s="1681"/>
      <c r="DZ80" s="1681"/>
      <c r="EA80" s="1681">
        <v>1</v>
      </c>
      <c r="EB80" s="1681">
        <v>3</v>
      </c>
      <c r="EC80" s="1681">
        <v>1</v>
      </c>
      <c r="ED80" s="1681">
        <v>0</v>
      </c>
      <c r="EE80" s="95"/>
      <c r="EF80" s="95">
        <v>0</v>
      </c>
      <c r="EG80" s="95">
        <v>8</v>
      </c>
      <c r="EH80" s="36"/>
      <c r="EL80" s="36" t="s">
        <v>124</v>
      </c>
      <c r="EM80" s="36" t="s">
        <v>1072</v>
      </c>
      <c r="EN80" s="1490"/>
      <c r="EO80" s="1490">
        <v>0</v>
      </c>
      <c r="EP80" s="1490"/>
      <c r="EQ80" s="1490"/>
      <c r="ER80" s="1490"/>
      <c r="ES80" s="1490"/>
      <c r="ET80" s="1490"/>
      <c r="EU80" s="1490"/>
      <c r="EV80" s="1490"/>
      <c r="EW80" s="1490"/>
      <c r="EX80" s="1490"/>
      <c r="EY80" s="1490"/>
      <c r="EZ80" s="1490">
        <v>1</v>
      </c>
      <c r="FA80" s="1490"/>
      <c r="FB80" s="1490">
        <v>0</v>
      </c>
      <c r="FC80" s="36"/>
      <c r="FD80" s="36"/>
      <c r="FE80" s="36">
        <v>1</v>
      </c>
      <c r="FF80" s="36"/>
      <c r="FH80" s="1225"/>
      <c r="FI80" s="1225"/>
      <c r="FJ80" s="1225"/>
      <c r="FK80" s="1226" t="s">
        <v>1163</v>
      </c>
      <c r="FL80" s="1227"/>
      <c r="FM80" s="1228">
        <v>0</v>
      </c>
      <c r="FN80" s="1228">
        <v>0</v>
      </c>
      <c r="FO80" s="1227"/>
      <c r="FP80" s="1228">
        <v>0</v>
      </c>
      <c r="FQ80" s="1227"/>
      <c r="FR80" s="1228">
        <v>1</v>
      </c>
      <c r="FS80" s="1228">
        <v>3</v>
      </c>
      <c r="FT80" s="1228">
        <v>0</v>
      </c>
      <c r="FU80" s="1228">
        <v>1</v>
      </c>
      <c r="FV80" s="1228">
        <v>2</v>
      </c>
      <c r="FW80" s="1228">
        <v>0</v>
      </c>
      <c r="FX80" s="1228">
        <v>0</v>
      </c>
      <c r="FY80" s="1229"/>
      <c r="FZ80" s="1229"/>
      <c r="GA80" s="1230">
        <v>7</v>
      </c>
      <c r="GB80" s="36"/>
      <c r="GD80" s="603"/>
      <c r="GE80" s="603"/>
      <c r="GF80" s="603"/>
      <c r="GG80" s="604" t="s">
        <v>1077</v>
      </c>
      <c r="GH80" s="605"/>
      <c r="GI80" s="606">
        <v>0</v>
      </c>
      <c r="GJ80" s="605"/>
      <c r="GK80" s="606">
        <v>1</v>
      </c>
      <c r="GL80" s="606">
        <v>1</v>
      </c>
      <c r="GM80" s="605"/>
      <c r="GN80" s="606">
        <v>0</v>
      </c>
      <c r="GO80" s="606">
        <v>0</v>
      </c>
      <c r="GP80" s="606">
        <v>0</v>
      </c>
      <c r="GQ80" s="606">
        <v>0</v>
      </c>
      <c r="GR80" s="606">
        <v>0</v>
      </c>
      <c r="GS80" s="605"/>
      <c r="GT80" s="606">
        <v>0</v>
      </c>
      <c r="GU80" s="606">
        <v>0</v>
      </c>
      <c r="GV80" s="606">
        <v>0</v>
      </c>
      <c r="GW80" s="607"/>
      <c r="GX80" s="607"/>
      <c r="GY80" s="608">
        <v>2</v>
      </c>
      <c r="GZ80" s="95"/>
      <c r="HB80" s="441"/>
      <c r="HC80" s="441"/>
      <c r="HD80" s="441"/>
      <c r="HE80" s="36"/>
      <c r="HF80" s="462" t="s">
        <v>15</v>
      </c>
      <c r="HG80" s="618"/>
      <c r="HH80" s="618"/>
      <c r="HI80" s="618"/>
      <c r="HJ80" s="618"/>
      <c r="HK80" s="618"/>
      <c r="HL80" s="618"/>
      <c r="HM80" s="618"/>
      <c r="HN80" s="618"/>
      <c r="HO80" s="618"/>
      <c r="HP80" s="618"/>
      <c r="HQ80" s="618"/>
      <c r="HR80" s="619">
        <v>1</v>
      </c>
      <c r="HS80" s="619">
        <v>13</v>
      </c>
      <c r="HT80" s="618"/>
      <c r="HU80" s="618"/>
      <c r="HV80" s="621">
        <v>1</v>
      </c>
      <c r="HW80" s="620"/>
      <c r="HX80" s="621">
        <v>15</v>
      </c>
      <c r="HY80" s="560">
        <f>+HX79/HX80</f>
        <v>0.6</v>
      </c>
      <c r="HZ80" s="36"/>
      <c r="IA80" s="613"/>
      <c r="IB80" s="613"/>
      <c r="IC80" s="613"/>
      <c r="ID80" s="389" t="s">
        <v>1080</v>
      </c>
      <c r="IE80" s="614"/>
      <c r="IF80" s="614"/>
      <c r="IG80" s="614"/>
      <c r="IH80" s="614"/>
      <c r="II80" s="614"/>
      <c r="IJ80" s="390">
        <v>0</v>
      </c>
      <c r="IK80" s="614"/>
      <c r="IL80" s="390">
        <v>0</v>
      </c>
      <c r="IM80" s="390">
        <v>1</v>
      </c>
      <c r="IN80" s="614"/>
      <c r="IO80" s="390">
        <v>7</v>
      </c>
      <c r="IP80" s="390">
        <v>0</v>
      </c>
      <c r="IQ80" s="390">
        <v>1</v>
      </c>
      <c r="IR80" s="390">
        <v>9</v>
      </c>
      <c r="IS80" s="615"/>
      <c r="IT80" s="36"/>
      <c r="IU80" s="36"/>
      <c r="IV80" s="95"/>
      <c r="IW80" s="95"/>
      <c r="IX80" s="36" t="s">
        <v>728</v>
      </c>
      <c r="IY80" s="36" t="s">
        <v>1163</v>
      </c>
      <c r="IZ80" s="95"/>
      <c r="JA80" s="95"/>
      <c r="JB80" s="95"/>
      <c r="JC80" s="95"/>
      <c r="JD80" s="95"/>
      <c r="JE80" s="95"/>
      <c r="JF80" s="95">
        <v>1</v>
      </c>
      <c r="JG80" s="95"/>
      <c r="JH80" s="95"/>
      <c r="JI80" s="95"/>
      <c r="JJ80" s="95"/>
      <c r="JK80" s="95"/>
      <c r="JL80" s="95"/>
      <c r="JM80" s="95"/>
      <c r="JN80" s="95"/>
      <c r="JO80" s="95"/>
      <c r="JP80" s="95">
        <v>1</v>
      </c>
      <c r="JQ80" s="36"/>
      <c r="JR80" s="36"/>
      <c r="JS80" s="616"/>
      <c r="JT80" s="616"/>
      <c r="JU80" s="616"/>
      <c r="JV80" s="616" t="s">
        <v>1163</v>
      </c>
      <c r="JW80" s="616">
        <v>0</v>
      </c>
      <c r="JX80" s="616">
        <v>0</v>
      </c>
      <c r="JY80" s="616">
        <v>0</v>
      </c>
      <c r="JZ80" s="616">
        <v>0</v>
      </c>
      <c r="KA80" s="616">
        <v>0</v>
      </c>
      <c r="KB80" s="616">
        <v>0</v>
      </c>
      <c r="KC80" s="616">
        <v>0</v>
      </c>
      <c r="KD80" s="616">
        <v>1</v>
      </c>
      <c r="KE80" s="616">
        <v>0</v>
      </c>
      <c r="KF80" s="616">
        <v>0</v>
      </c>
      <c r="KG80" s="616">
        <v>0</v>
      </c>
      <c r="KH80" s="616">
        <v>0</v>
      </c>
      <c r="KI80" s="616">
        <v>0</v>
      </c>
      <c r="KJ80" s="616">
        <v>0</v>
      </c>
      <c r="KK80" s="616">
        <v>0</v>
      </c>
      <c r="KL80" s="616">
        <v>0</v>
      </c>
      <c r="KM80" s="616">
        <v>1</v>
      </c>
      <c r="KN80" s="616"/>
      <c r="KO80" s="617"/>
    </row>
    <row r="81" spans="1:301">
      <c r="A81" s="5737">
        <v>2</v>
      </c>
      <c r="B81" s="5737">
        <v>1</v>
      </c>
      <c r="C81" s="5736" t="s">
        <v>122</v>
      </c>
      <c r="D81" s="5736" t="s">
        <v>2709</v>
      </c>
      <c r="E81" s="5737">
        <v>1</v>
      </c>
      <c r="F81" s="5737">
        <v>6</v>
      </c>
      <c r="I81" s="4726">
        <v>2</v>
      </c>
      <c r="J81" s="4726">
        <v>1</v>
      </c>
      <c r="K81" s="4725" t="s">
        <v>122</v>
      </c>
      <c r="L81" s="4725" t="s">
        <v>2731</v>
      </c>
      <c r="M81" s="4726">
        <v>2</v>
      </c>
      <c r="N81" s="4726">
        <v>14</v>
      </c>
      <c r="Q81" s="4458">
        <v>2</v>
      </c>
      <c r="R81" s="4458">
        <v>2</v>
      </c>
      <c r="S81" s="4459" t="s">
        <v>2736</v>
      </c>
      <c r="T81" s="4459" t="s">
        <v>2709</v>
      </c>
      <c r="U81" s="4458">
        <v>1</v>
      </c>
      <c r="V81" s="4479">
        <v>1</v>
      </c>
      <c r="W81" s="4510"/>
      <c r="X81" s="4467"/>
      <c r="Y81" s="4467"/>
      <c r="Z81" s="36"/>
      <c r="AA81" s="36"/>
      <c r="AB81" s="36"/>
      <c r="AC81" s="36" t="s">
        <v>1076</v>
      </c>
      <c r="AD81" s="615">
        <v>0</v>
      </c>
      <c r="AE81" s="615"/>
      <c r="AF81" s="615"/>
      <c r="AG81" s="615"/>
      <c r="AH81" s="615"/>
      <c r="AI81" s="615"/>
      <c r="AJ81" s="615"/>
      <c r="AK81" s="615">
        <v>1</v>
      </c>
      <c r="AL81" s="615"/>
      <c r="AM81" s="615"/>
      <c r="AN81" s="615">
        <v>2</v>
      </c>
      <c r="AO81" s="615">
        <v>0</v>
      </c>
      <c r="AP81" s="615">
        <v>0</v>
      </c>
      <c r="AQ81" s="36">
        <v>0</v>
      </c>
      <c r="AR81" s="36">
        <v>3</v>
      </c>
      <c r="AS81" s="36"/>
      <c r="AW81" s="3868" t="s">
        <v>388</v>
      </c>
      <c r="AX81" s="3868" t="s">
        <v>1071</v>
      </c>
      <c r="AY81" s="3721"/>
      <c r="AZ81" s="3721"/>
      <c r="BA81" s="3721"/>
      <c r="BB81" s="3721"/>
      <c r="BC81" s="3721"/>
      <c r="BD81" s="3721"/>
      <c r="BE81" s="3721"/>
      <c r="BF81" s="3721"/>
      <c r="BG81" s="3721"/>
      <c r="BH81" s="3721"/>
      <c r="BI81" s="3721"/>
      <c r="BJ81" s="3721"/>
      <c r="BK81" s="3721">
        <v>0</v>
      </c>
      <c r="BL81" s="3721">
        <v>1</v>
      </c>
      <c r="BM81" s="2110"/>
      <c r="BN81" s="2110"/>
      <c r="BO81" s="2110">
        <v>1</v>
      </c>
      <c r="BP81" s="2110"/>
      <c r="BU81" s="32" t="s">
        <v>1080</v>
      </c>
      <c r="BV81" s="3871">
        <v>0</v>
      </c>
      <c r="BW81" s="3871"/>
      <c r="BX81" s="3871"/>
      <c r="BY81" s="3871"/>
      <c r="BZ81" s="3871"/>
      <c r="CA81" s="3871"/>
      <c r="CB81" s="3871"/>
      <c r="CC81" s="3871"/>
      <c r="CD81" s="3871"/>
      <c r="CE81" s="3871"/>
      <c r="CF81" s="3871"/>
      <c r="CG81" s="3871"/>
      <c r="CH81" s="3871">
        <v>1</v>
      </c>
      <c r="CI81" s="3871">
        <v>1</v>
      </c>
      <c r="CJ81" s="1518"/>
      <c r="CK81" s="1518">
        <v>2</v>
      </c>
      <c r="CN81" s="36"/>
      <c r="CO81" s="36"/>
      <c r="CP81" s="36"/>
      <c r="CQ81" s="36" t="s">
        <v>1163</v>
      </c>
      <c r="CR81" s="615"/>
      <c r="CS81" s="615"/>
      <c r="CT81" s="615"/>
      <c r="CU81" s="615"/>
      <c r="CV81" s="615"/>
      <c r="CW81" s="615"/>
      <c r="CX81" s="615"/>
      <c r="CY81" s="615"/>
      <c r="CZ81" s="615"/>
      <c r="DA81" s="615"/>
      <c r="DB81" s="615"/>
      <c r="DC81" s="615"/>
      <c r="DD81" s="615"/>
      <c r="DE81" s="615">
        <v>1</v>
      </c>
      <c r="DF81" s="615">
        <v>0</v>
      </c>
      <c r="DG81" s="36"/>
      <c r="DH81" s="36"/>
      <c r="DI81" s="36">
        <v>1</v>
      </c>
      <c r="DJ81" s="36"/>
      <c r="DL81" s="36"/>
      <c r="DM81" s="36"/>
      <c r="DN81" s="36"/>
      <c r="DO81" s="36" t="s">
        <v>1076</v>
      </c>
      <c r="DP81" s="1681"/>
      <c r="DQ81" s="1681">
        <v>0</v>
      </c>
      <c r="DR81" s="1681"/>
      <c r="DS81" s="1681">
        <v>0</v>
      </c>
      <c r="DT81" s="1681"/>
      <c r="DU81" s="1681"/>
      <c r="DV81" s="1681"/>
      <c r="DW81" s="1681"/>
      <c r="DX81" s="1681"/>
      <c r="DY81" s="1681"/>
      <c r="DZ81" s="1681"/>
      <c r="EA81" s="1681">
        <v>0</v>
      </c>
      <c r="EB81" s="1681">
        <v>1</v>
      </c>
      <c r="EC81" s="1681">
        <v>1</v>
      </c>
      <c r="ED81" s="1681">
        <v>1</v>
      </c>
      <c r="EE81" s="95"/>
      <c r="EF81" s="95">
        <v>0</v>
      </c>
      <c r="EG81" s="95">
        <v>3</v>
      </c>
      <c r="EH81" s="36"/>
      <c r="EL81" s="36"/>
      <c r="EM81" s="36" t="s">
        <v>1076</v>
      </c>
      <c r="EN81" s="1490"/>
      <c r="EO81" s="1490">
        <v>0</v>
      </c>
      <c r="EP81" s="1490"/>
      <c r="EQ81" s="1490"/>
      <c r="ER81" s="1490"/>
      <c r="ES81" s="1490"/>
      <c r="ET81" s="1490"/>
      <c r="EU81" s="1490"/>
      <c r="EV81" s="1490"/>
      <c r="EW81" s="1490"/>
      <c r="EX81" s="1490"/>
      <c r="EY81" s="1490"/>
      <c r="EZ81" s="1490">
        <v>4</v>
      </c>
      <c r="FA81" s="1490"/>
      <c r="FB81" s="1490">
        <v>0</v>
      </c>
      <c r="FC81" s="36"/>
      <c r="FD81" s="36"/>
      <c r="FE81" s="36">
        <v>4</v>
      </c>
      <c r="FF81" s="36"/>
      <c r="FH81" s="1225"/>
      <c r="FI81" s="1225"/>
      <c r="FJ81" s="1225"/>
      <c r="FK81" s="1222" t="s">
        <v>15</v>
      </c>
      <c r="FL81" s="1231"/>
      <c r="FM81" s="1232">
        <v>1</v>
      </c>
      <c r="FN81" s="1232">
        <v>1</v>
      </c>
      <c r="FO81" s="1231"/>
      <c r="FP81" s="1232">
        <v>1</v>
      </c>
      <c r="FQ81" s="1231"/>
      <c r="FR81" s="1232">
        <v>3</v>
      </c>
      <c r="FS81" s="1232">
        <v>8</v>
      </c>
      <c r="FT81" s="1232">
        <v>6</v>
      </c>
      <c r="FU81" s="1232">
        <v>3</v>
      </c>
      <c r="FV81" s="1232">
        <v>8</v>
      </c>
      <c r="FW81" s="1232">
        <v>1</v>
      </c>
      <c r="FX81" s="1232">
        <v>6</v>
      </c>
      <c r="FY81" s="1233"/>
      <c r="FZ81" s="1233"/>
      <c r="GA81" s="1234">
        <v>38</v>
      </c>
      <c r="GB81" s="1178">
        <f>+(GA77+GA80)/GA81</f>
        <v>0.63157894736842102</v>
      </c>
      <c r="GD81" s="603"/>
      <c r="GE81" s="603"/>
      <c r="GF81" s="603"/>
      <c r="GG81" s="604" t="s">
        <v>1080</v>
      </c>
      <c r="GH81" s="605"/>
      <c r="GI81" s="606">
        <v>0</v>
      </c>
      <c r="GJ81" s="605"/>
      <c r="GK81" s="606">
        <v>0</v>
      </c>
      <c r="GL81" s="606">
        <v>0</v>
      </c>
      <c r="GM81" s="605"/>
      <c r="GN81" s="606">
        <v>0</v>
      </c>
      <c r="GO81" s="606">
        <v>0</v>
      </c>
      <c r="GP81" s="606">
        <v>0</v>
      </c>
      <c r="GQ81" s="606">
        <v>0</v>
      </c>
      <c r="GR81" s="606">
        <v>0</v>
      </c>
      <c r="GS81" s="605"/>
      <c r="GT81" s="606">
        <v>0</v>
      </c>
      <c r="GU81" s="606">
        <v>1</v>
      </c>
      <c r="GV81" s="606">
        <v>6</v>
      </c>
      <c r="GW81" s="607"/>
      <c r="GX81" s="607"/>
      <c r="GY81" s="608">
        <v>7</v>
      </c>
      <c r="GZ81" s="95"/>
      <c r="HB81" s="441"/>
      <c r="HC81" s="441"/>
      <c r="HD81" s="441" t="s">
        <v>125</v>
      </c>
      <c r="HE81" s="441" t="s">
        <v>1070</v>
      </c>
      <c r="HF81" s="442" t="s">
        <v>1072</v>
      </c>
      <c r="HG81" s="609"/>
      <c r="HH81" s="609"/>
      <c r="HI81" s="609"/>
      <c r="HJ81" s="609"/>
      <c r="HK81" s="610">
        <v>1</v>
      </c>
      <c r="HL81" s="609"/>
      <c r="HM81" s="610">
        <v>0</v>
      </c>
      <c r="HN81" s="609"/>
      <c r="HO81" s="609"/>
      <c r="HP81" s="610">
        <v>0</v>
      </c>
      <c r="HQ81" s="610">
        <v>0</v>
      </c>
      <c r="HR81" s="610">
        <v>0</v>
      </c>
      <c r="HS81" s="610">
        <v>0</v>
      </c>
      <c r="HT81" s="610">
        <v>0</v>
      </c>
      <c r="HU81" s="610">
        <v>0</v>
      </c>
      <c r="HV81" s="611"/>
      <c r="HW81" s="611"/>
      <c r="HX81" s="612">
        <v>1</v>
      </c>
      <c r="HY81" s="560"/>
      <c r="HZ81" s="36"/>
      <c r="IA81" s="613"/>
      <c r="IB81" s="613"/>
      <c r="IC81" s="613"/>
      <c r="ID81" s="389" t="s">
        <v>1163</v>
      </c>
      <c r="IE81" s="614"/>
      <c r="IF81" s="614"/>
      <c r="IG81" s="614"/>
      <c r="IH81" s="614"/>
      <c r="II81" s="614"/>
      <c r="IJ81" s="390">
        <v>1</v>
      </c>
      <c r="IK81" s="614"/>
      <c r="IL81" s="390">
        <v>1</v>
      </c>
      <c r="IM81" s="390">
        <v>0</v>
      </c>
      <c r="IN81" s="614"/>
      <c r="IO81" s="390">
        <v>0</v>
      </c>
      <c r="IP81" s="390">
        <v>0</v>
      </c>
      <c r="IQ81" s="390">
        <v>0</v>
      </c>
      <c r="IR81" s="390">
        <v>2</v>
      </c>
      <c r="IS81" s="615"/>
      <c r="IT81" s="36"/>
      <c r="IU81" s="36"/>
      <c r="IV81" s="95"/>
      <c r="IW81" s="95"/>
      <c r="IX81" s="36"/>
      <c r="IY81" s="393" t="s">
        <v>15</v>
      </c>
      <c r="IZ81" s="86"/>
      <c r="JA81" s="86"/>
      <c r="JB81" s="86"/>
      <c r="JC81" s="86"/>
      <c r="JD81" s="86"/>
      <c r="JE81" s="86"/>
      <c r="JF81" s="86">
        <v>1</v>
      </c>
      <c r="JG81" s="86"/>
      <c r="JH81" s="86"/>
      <c r="JI81" s="86"/>
      <c r="JJ81" s="86"/>
      <c r="JK81" s="86"/>
      <c r="JL81" s="86"/>
      <c r="JM81" s="86"/>
      <c r="JN81" s="86"/>
      <c r="JO81" s="86"/>
      <c r="JP81" s="86">
        <v>1</v>
      </c>
      <c r="JQ81" s="632">
        <f>+JP80/JP81</f>
        <v>1</v>
      </c>
      <c r="JR81" s="36"/>
      <c r="JS81" s="616"/>
      <c r="JT81" s="616"/>
      <c r="JU81" s="616"/>
      <c r="JV81" s="627" t="s">
        <v>15</v>
      </c>
      <c r="JW81" s="627">
        <v>0</v>
      </c>
      <c r="JX81" s="627">
        <v>0</v>
      </c>
      <c r="JY81" s="627">
        <v>0</v>
      </c>
      <c r="JZ81" s="627">
        <v>0</v>
      </c>
      <c r="KA81" s="627">
        <v>0</v>
      </c>
      <c r="KB81" s="627">
        <v>0</v>
      </c>
      <c r="KC81" s="627">
        <v>0</v>
      </c>
      <c r="KD81" s="627">
        <v>1</v>
      </c>
      <c r="KE81" s="627">
        <v>0</v>
      </c>
      <c r="KF81" s="627">
        <v>2</v>
      </c>
      <c r="KG81" s="627">
        <v>0</v>
      </c>
      <c r="KH81" s="627">
        <v>1</v>
      </c>
      <c r="KI81" s="627">
        <v>2</v>
      </c>
      <c r="KJ81" s="627">
        <v>0</v>
      </c>
      <c r="KK81" s="627">
        <v>0</v>
      </c>
      <c r="KL81" s="627">
        <v>0</v>
      </c>
      <c r="KM81" s="627">
        <v>6</v>
      </c>
      <c r="KN81" s="628">
        <f>+(KM80+KM79)/KM81</f>
        <v>1</v>
      </c>
      <c r="KO81" s="617">
        <f>+KM79+KM80</f>
        <v>6</v>
      </c>
    </row>
    <row r="82" spans="1:301">
      <c r="A82" s="5737">
        <v>2</v>
      </c>
      <c r="B82" s="5737">
        <v>1</v>
      </c>
      <c r="C82" s="5736" t="s">
        <v>122</v>
      </c>
      <c r="D82" s="5736" t="s">
        <v>2709</v>
      </c>
      <c r="E82" s="5737">
        <v>2</v>
      </c>
      <c r="F82" s="5737">
        <v>13</v>
      </c>
      <c r="I82" s="4726">
        <v>2</v>
      </c>
      <c r="J82" s="4726">
        <v>1</v>
      </c>
      <c r="K82" s="4725" t="s">
        <v>122</v>
      </c>
      <c r="L82" s="4725" t="s">
        <v>2709</v>
      </c>
      <c r="M82" s="4726">
        <v>1</v>
      </c>
      <c r="N82" s="4726">
        <v>6</v>
      </c>
      <c r="Q82" s="4458">
        <v>2</v>
      </c>
      <c r="R82" s="4458">
        <v>2</v>
      </c>
      <c r="S82" s="4459" t="s">
        <v>2736</v>
      </c>
      <c r="T82" s="4459" t="s">
        <v>2709</v>
      </c>
      <c r="U82" s="4458">
        <v>6</v>
      </c>
      <c r="V82" s="4479">
        <v>1</v>
      </c>
      <c r="W82" s="4510"/>
      <c r="X82" s="4467"/>
      <c r="Y82" s="4467"/>
      <c r="Z82" s="36"/>
      <c r="AA82" s="36"/>
      <c r="AB82" s="36"/>
      <c r="AC82" s="36" t="s">
        <v>1080</v>
      </c>
      <c r="AD82" s="615">
        <v>0</v>
      </c>
      <c r="AE82" s="615"/>
      <c r="AF82" s="615"/>
      <c r="AG82" s="615"/>
      <c r="AH82" s="615"/>
      <c r="AI82" s="615"/>
      <c r="AJ82" s="615"/>
      <c r="AK82" s="615">
        <v>0</v>
      </c>
      <c r="AL82" s="615"/>
      <c r="AM82" s="615"/>
      <c r="AN82" s="615">
        <v>0</v>
      </c>
      <c r="AO82" s="615">
        <v>5</v>
      </c>
      <c r="AP82" s="615">
        <v>6</v>
      </c>
      <c r="AQ82" s="36">
        <v>7</v>
      </c>
      <c r="AR82" s="36">
        <v>18</v>
      </c>
      <c r="AS82" s="36"/>
      <c r="AX82" s="3868" t="s">
        <v>1080</v>
      </c>
      <c r="AY82" s="3721"/>
      <c r="AZ82" s="3721"/>
      <c r="BA82" s="3721"/>
      <c r="BB82" s="3721"/>
      <c r="BC82" s="3721"/>
      <c r="BD82" s="3721"/>
      <c r="BE82" s="3721"/>
      <c r="BF82" s="3721"/>
      <c r="BG82" s="3721"/>
      <c r="BH82" s="3721"/>
      <c r="BI82" s="3721"/>
      <c r="BJ82" s="3721"/>
      <c r="BK82" s="3721">
        <v>1</v>
      </c>
      <c r="BL82" s="3721">
        <v>1</v>
      </c>
      <c r="BM82" s="2110"/>
      <c r="BN82" s="2110"/>
      <c r="BO82" s="2110">
        <v>2</v>
      </c>
      <c r="BP82" s="2110"/>
      <c r="BU82" s="1520" t="s">
        <v>15</v>
      </c>
      <c r="BV82" s="3872">
        <v>0</v>
      </c>
      <c r="BW82" s="3872"/>
      <c r="BX82" s="3872"/>
      <c r="BY82" s="3872"/>
      <c r="BZ82" s="3872"/>
      <c r="CA82" s="3872"/>
      <c r="CB82" s="3872"/>
      <c r="CC82" s="3872"/>
      <c r="CD82" s="3872"/>
      <c r="CE82" s="3872"/>
      <c r="CF82" s="3872"/>
      <c r="CG82" s="3872"/>
      <c r="CH82" s="3872">
        <v>2</v>
      </c>
      <c r="CI82" s="3872">
        <v>1</v>
      </c>
      <c r="CJ82" s="3806"/>
      <c r="CK82" s="3806">
        <v>3</v>
      </c>
      <c r="CL82" s="3807">
        <v>0</v>
      </c>
      <c r="CN82" s="36"/>
      <c r="CO82" s="36"/>
      <c r="CP82" s="36"/>
      <c r="CQ82" s="393" t="s">
        <v>15</v>
      </c>
      <c r="CR82" s="2049"/>
      <c r="CS82" s="2049"/>
      <c r="CT82" s="2049"/>
      <c r="CU82" s="2049"/>
      <c r="CV82" s="2049"/>
      <c r="CW82" s="2049"/>
      <c r="CX82" s="2049"/>
      <c r="CY82" s="2049"/>
      <c r="CZ82" s="2049"/>
      <c r="DA82" s="2049"/>
      <c r="DB82" s="2049"/>
      <c r="DC82" s="2049"/>
      <c r="DD82" s="2049"/>
      <c r="DE82" s="2049">
        <v>2</v>
      </c>
      <c r="DF82" s="2049">
        <v>2</v>
      </c>
      <c r="DG82" s="393"/>
      <c r="DH82" s="393"/>
      <c r="DI82" s="393">
        <v>4</v>
      </c>
      <c r="DJ82" s="560">
        <f>+DI81/DI82</f>
        <v>0.25</v>
      </c>
      <c r="DK82" s="1665"/>
      <c r="DL82" s="36"/>
      <c r="DM82" s="36"/>
      <c r="DN82" s="36"/>
      <c r="DO82" s="36" t="s">
        <v>1080</v>
      </c>
      <c r="DP82" s="1681"/>
      <c r="DQ82" s="1681">
        <v>0</v>
      </c>
      <c r="DR82" s="1681"/>
      <c r="DS82" s="1681">
        <v>0</v>
      </c>
      <c r="DT82" s="1681"/>
      <c r="DU82" s="1681"/>
      <c r="DV82" s="1681"/>
      <c r="DW82" s="1681"/>
      <c r="DX82" s="1681"/>
      <c r="DY82" s="1681"/>
      <c r="DZ82" s="1681"/>
      <c r="EA82" s="1681">
        <v>0</v>
      </c>
      <c r="EB82" s="1681">
        <v>0</v>
      </c>
      <c r="EC82" s="1681">
        <v>0</v>
      </c>
      <c r="ED82" s="1681">
        <v>0</v>
      </c>
      <c r="EE82" s="95"/>
      <c r="EF82" s="95">
        <v>1</v>
      </c>
      <c r="EG82" s="95">
        <v>1</v>
      </c>
      <c r="EH82" s="36"/>
      <c r="EL82" s="36"/>
      <c r="EM82" s="36" t="s">
        <v>1077</v>
      </c>
      <c r="EN82" s="1490"/>
      <c r="EO82" s="1490">
        <v>2</v>
      </c>
      <c r="EP82" s="1490"/>
      <c r="EQ82" s="1490"/>
      <c r="ER82" s="1490"/>
      <c r="ES82" s="1490"/>
      <c r="ET82" s="1490"/>
      <c r="EU82" s="1490"/>
      <c r="EV82" s="1490"/>
      <c r="EW82" s="1490"/>
      <c r="EX82" s="1490"/>
      <c r="EY82" s="1490"/>
      <c r="EZ82" s="1490">
        <v>0</v>
      </c>
      <c r="FA82" s="1490"/>
      <c r="FB82" s="1490">
        <v>0</v>
      </c>
      <c r="FC82" s="36"/>
      <c r="FD82" s="36"/>
      <c r="FE82" s="36">
        <v>2</v>
      </c>
      <c r="FF82" s="36"/>
      <c r="FH82" s="1225"/>
      <c r="FI82" s="1225"/>
      <c r="FJ82" s="1225" t="s">
        <v>126</v>
      </c>
      <c r="FK82" s="1226" t="s">
        <v>1076</v>
      </c>
      <c r="FL82" s="1227"/>
      <c r="FM82" s="1227"/>
      <c r="FN82" s="1227"/>
      <c r="FO82" s="1227"/>
      <c r="FP82" s="1227"/>
      <c r="FQ82" s="1227"/>
      <c r="FR82" s="1227"/>
      <c r="FS82" s="1227"/>
      <c r="FT82" s="1227"/>
      <c r="FU82" s="1227"/>
      <c r="FV82" s="1228">
        <v>2</v>
      </c>
      <c r="FW82" s="1227"/>
      <c r="FX82" s="1227"/>
      <c r="FY82" s="1229"/>
      <c r="FZ82" s="1229"/>
      <c r="GA82" s="1230">
        <v>2</v>
      </c>
      <c r="GB82" s="36"/>
      <c r="GD82" s="603"/>
      <c r="GE82" s="603"/>
      <c r="GF82" s="603"/>
      <c r="GG82" s="604" t="s">
        <v>1163</v>
      </c>
      <c r="GH82" s="605"/>
      <c r="GI82" s="606">
        <v>0</v>
      </c>
      <c r="GJ82" s="605"/>
      <c r="GK82" s="606">
        <v>0</v>
      </c>
      <c r="GL82" s="606">
        <v>0</v>
      </c>
      <c r="GM82" s="605"/>
      <c r="GN82" s="606">
        <v>2</v>
      </c>
      <c r="GO82" s="606">
        <v>1</v>
      </c>
      <c r="GP82" s="606">
        <v>2</v>
      </c>
      <c r="GQ82" s="606">
        <v>2</v>
      </c>
      <c r="GR82" s="606">
        <v>2</v>
      </c>
      <c r="GS82" s="605"/>
      <c r="GT82" s="606">
        <v>0</v>
      </c>
      <c r="GU82" s="606">
        <v>0</v>
      </c>
      <c r="GV82" s="606">
        <v>0</v>
      </c>
      <c r="GW82" s="607"/>
      <c r="GX82" s="607"/>
      <c r="GY82" s="608">
        <v>9</v>
      </c>
      <c r="GZ82" s="95"/>
      <c r="HB82" s="441"/>
      <c r="HC82" s="441"/>
      <c r="HD82" s="441"/>
      <c r="HE82" s="441"/>
      <c r="HF82" s="442" t="s">
        <v>1076</v>
      </c>
      <c r="HG82" s="609"/>
      <c r="HH82" s="609"/>
      <c r="HI82" s="609"/>
      <c r="HJ82" s="609"/>
      <c r="HK82" s="610">
        <v>0</v>
      </c>
      <c r="HL82" s="609"/>
      <c r="HM82" s="610">
        <v>1</v>
      </c>
      <c r="HN82" s="609"/>
      <c r="HO82" s="609"/>
      <c r="HP82" s="610">
        <v>0</v>
      </c>
      <c r="HQ82" s="610">
        <v>4</v>
      </c>
      <c r="HR82" s="610">
        <v>3</v>
      </c>
      <c r="HS82" s="610">
        <v>3</v>
      </c>
      <c r="HT82" s="610">
        <v>2</v>
      </c>
      <c r="HU82" s="610">
        <v>0</v>
      </c>
      <c r="HV82" s="611"/>
      <c r="HW82" s="611"/>
      <c r="HX82" s="612">
        <v>13</v>
      </c>
      <c r="HY82" s="560"/>
      <c r="HZ82" s="36"/>
      <c r="IA82" s="613"/>
      <c r="IB82" s="613"/>
      <c r="IC82" s="613"/>
      <c r="ID82" s="629" t="s">
        <v>15</v>
      </c>
      <c r="IE82" s="630"/>
      <c r="IF82" s="630"/>
      <c r="IG82" s="630"/>
      <c r="IH82" s="630"/>
      <c r="II82" s="630"/>
      <c r="IJ82" s="395">
        <v>1</v>
      </c>
      <c r="IK82" s="630"/>
      <c r="IL82" s="395">
        <v>2</v>
      </c>
      <c r="IM82" s="395">
        <v>1</v>
      </c>
      <c r="IN82" s="630"/>
      <c r="IO82" s="395">
        <v>7</v>
      </c>
      <c r="IP82" s="395">
        <v>1</v>
      </c>
      <c r="IQ82" s="395">
        <v>1</v>
      </c>
      <c r="IR82" s="395">
        <v>13</v>
      </c>
      <c r="IS82" s="553">
        <f>+IR81/IR82</f>
        <v>0.15384615384615385</v>
      </c>
      <c r="IT82" s="36"/>
      <c r="IU82" s="36"/>
      <c r="IV82" s="95"/>
      <c r="IW82" s="95"/>
      <c r="IX82" s="36" t="s">
        <v>129</v>
      </c>
      <c r="IY82" s="36" t="s">
        <v>1076</v>
      </c>
      <c r="IZ82" s="95"/>
      <c r="JA82" s="95"/>
      <c r="JB82" s="95"/>
      <c r="JC82" s="95"/>
      <c r="JD82" s="95"/>
      <c r="JE82" s="95">
        <v>0</v>
      </c>
      <c r="JF82" s="95">
        <v>0</v>
      </c>
      <c r="JG82" s="95"/>
      <c r="JH82" s="95"/>
      <c r="JI82" s="95"/>
      <c r="JJ82" s="95"/>
      <c r="JK82" s="95"/>
      <c r="JL82" s="95"/>
      <c r="JM82" s="95">
        <v>0</v>
      </c>
      <c r="JN82" s="95">
        <v>1</v>
      </c>
      <c r="JO82" s="95">
        <v>0</v>
      </c>
      <c r="JP82" s="95">
        <v>1</v>
      </c>
      <c r="JQ82" s="36"/>
      <c r="JR82" s="36"/>
      <c r="JS82" s="616"/>
      <c r="JT82" s="616"/>
      <c r="JU82" s="616" t="s">
        <v>144</v>
      </c>
      <c r="JV82" s="616" t="s">
        <v>1072</v>
      </c>
      <c r="JW82" s="616">
        <v>0</v>
      </c>
      <c r="JX82" s="616">
        <v>0</v>
      </c>
      <c r="JY82" s="616">
        <v>0</v>
      </c>
      <c r="JZ82" s="616">
        <v>0</v>
      </c>
      <c r="KA82" s="616">
        <v>0</v>
      </c>
      <c r="KB82" s="616">
        <v>0</v>
      </c>
      <c r="KC82" s="616">
        <v>0</v>
      </c>
      <c r="KD82" s="616">
        <v>2</v>
      </c>
      <c r="KE82" s="616">
        <v>3</v>
      </c>
      <c r="KF82" s="616">
        <v>2</v>
      </c>
      <c r="KG82" s="616">
        <v>1</v>
      </c>
      <c r="KH82" s="616">
        <v>0</v>
      </c>
      <c r="KI82" s="616">
        <v>0</v>
      </c>
      <c r="KJ82" s="616">
        <v>0</v>
      </c>
      <c r="KK82" s="616">
        <v>0</v>
      </c>
      <c r="KL82" s="616">
        <v>0</v>
      </c>
      <c r="KM82" s="616">
        <v>8</v>
      </c>
      <c r="KN82" s="616"/>
      <c r="KO82" s="617"/>
    </row>
    <row r="83" spans="1:301">
      <c r="A83" s="5737"/>
      <c r="B83" s="5737"/>
      <c r="C83" s="5736"/>
      <c r="D83" s="5736"/>
      <c r="E83" s="5742">
        <f>SUM(E78:E82)</f>
        <v>6</v>
      </c>
      <c r="F83" s="5737"/>
      <c r="G83" s="4476">
        <f>+(E80)/(E83)</f>
        <v>0.16666666666666666</v>
      </c>
      <c r="I83" s="4726">
        <v>2</v>
      </c>
      <c r="J83" s="4726">
        <v>1</v>
      </c>
      <c r="K83" s="4725" t="s">
        <v>122</v>
      </c>
      <c r="L83" s="4725" t="s">
        <v>2709</v>
      </c>
      <c r="M83" s="4726">
        <v>1</v>
      </c>
      <c r="N83" s="4726">
        <v>12</v>
      </c>
      <c r="Q83" s="4458">
        <v>2</v>
      </c>
      <c r="R83" s="4458">
        <v>2</v>
      </c>
      <c r="S83" s="4459" t="s">
        <v>2736</v>
      </c>
      <c r="T83" s="4459" t="s">
        <v>2709</v>
      </c>
      <c r="U83" s="4458">
        <v>12</v>
      </c>
      <c r="V83" s="4479">
        <v>1</v>
      </c>
      <c r="W83" s="4510"/>
      <c r="X83" s="4467"/>
      <c r="Y83" s="4467"/>
      <c r="Z83" s="36"/>
      <c r="AA83" s="36"/>
      <c r="AB83" s="36"/>
      <c r="AC83" s="36" t="s">
        <v>2571</v>
      </c>
      <c r="AD83" s="615">
        <v>1</v>
      </c>
      <c r="AE83" s="615"/>
      <c r="AF83" s="615"/>
      <c r="AG83" s="615"/>
      <c r="AH83" s="615"/>
      <c r="AI83" s="615"/>
      <c r="AJ83" s="615"/>
      <c r="AK83" s="615">
        <v>0</v>
      </c>
      <c r="AL83" s="615"/>
      <c r="AM83" s="615"/>
      <c r="AN83" s="615">
        <v>0</v>
      </c>
      <c r="AO83" s="615">
        <v>0</v>
      </c>
      <c r="AP83" s="615">
        <v>0</v>
      </c>
      <c r="AQ83" s="36">
        <v>0</v>
      </c>
      <c r="AR83" s="36">
        <v>1</v>
      </c>
      <c r="AS83" s="36"/>
      <c r="AU83" s="36"/>
      <c r="AV83" s="36"/>
      <c r="AW83" s="36"/>
      <c r="AX83" s="36" t="s">
        <v>15</v>
      </c>
      <c r="AY83" s="1681"/>
      <c r="AZ83" s="1681"/>
      <c r="BA83" s="1681"/>
      <c r="BB83" s="1681"/>
      <c r="BC83" s="1681"/>
      <c r="BD83" s="1681"/>
      <c r="BE83" s="1681"/>
      <c r="BF83" s="1681"/>
      <c r="BG83" s="1681"/>
      <c r="BH83" s="1681"/>
      <c r="BI83" s="1681"/>
      <c r="BJ83" s="1681"/>
      <c r="BK83" s="1681">
        <v>1</v>
      </c>
      <c r="BL83" s="1681">
        <v>2</v>
      </c>
      <c r="BM83" s="95"/>
      <c r="BN83" s="95"/>
      <c r="BO83" s="95">
        <v>3</v>
      </c>
      <c r="BP83" s="560">
        <v>0</v>
      </c>
      <c r="BT83" s="32" t="s">
        <v>681</v>
      </c>
      <c r="BU83" s="32" t="s">
        <v>1071</v>
      </c>
      <c r="BV83" s="3871"/>
      <c r="BW83" s="3871"/>
      <c r="BX83" s="3871"/>
      <c r="BY83" s="3871"/>
      <c r="BZ83" s="3871"/>
      <c r="CA83" s="3871"/>
      <c r="CB83" s="3871"/>
      <c r="CC83" s="3871"/>
      <c r="CD83" s="3871"/>
      <c r="CE83" s="3871">
        <v>1</v>
      </c>
      <c r="CF83" s="3871"/>
      <c r="CG83" s="3871">
        <v>0</v>
      </c>
      <c r="CH83" s="3871"/>
      <c r="CI83" s="3871"/>
      <c r="CJ83" s="1518"/>
      <c r="CK83" s="1518">
        <v>1</v>
      </c>
      <c r="CN83" s="36"/>
      <c r="CO83" s="36"/>
      <c r="CP83" s="36" t="s">
        <v>123</v>
      </c>
      <c r="CQ83" s="36" t="s">
        <v>1072</v>
      </c>
      <c r="CR83" s="615"/>
      <c r="CS83" s="615"/>
      <c r="CT83" s="615"/>
      <c r="CU83" s="615"/>
      <c r="CV83" s="615"/>
      <c r="CW83" s="615"/>
      <c r="CX83" s="615"/>
      <c r="CY83" s="615"/>
      <c r="CZ83" s="615"/>
      <c r="DA83" s="615"/>
      <c r="DB83" s="615"/>
      <c r="DC83" s="615">
        <v>1</v>
      </c>
      <c r="DD83" s="615"/>
      <c r="DE83" s="615"/>
      <c r="DF83" s="615">
        <v>1</v>
      </c>
      <c r="DG83" s="36">
        <v>0</v>
      </c>
      <c r="DH83" s="36"/>
      <c r="DI83" s="36">
        <v>2</v>
      </c>
      <c r="DJ83" s="36"/>
      <c r="DL83" s="36"/>
      <c r="DM83" s="36"/>
      <c r="DN83" s="36"/>
      <c r="DO83" s="36" t="s">
        <v>1163</v>
      </c>
      <c r="DP83" s="1681"/>
      <c r="DQ83" s="1681">
        <v>0</v>
      </c>
      <c r="DR83" s="1681"/>
      <c r="DS83" s="1681">
        <v>0</v>
      </c>
      <c r="DT83" s="1681"/>
      <c r="DU83" s="1681"/>
      <c r="DV83" s="1681"/>
      <c r="DW83" s="1681"/>
      <c r="DX83" s="1681"/>
      <c r="DY83" s="1681"/>
      <c r="DZ83" s="1681"/>
      <c r="EA83" s="1681">
        <v>0</v>
      </c>
      <c r="EB83" s="1681">
        <v>2</v>
      </c>
      <c r="EC83" s="1681">
        <v>0</v>
      </c>
      <c r="ED83" s="1681">
        <v>0</v>
      </c>
      <c r="EE83" s="95"/>
      <c r="EF83" s="95">
        <v>0</v>
      </c>
      <c r="EG83" s="95">
        <v>2</v>
      </c>
      <c r="EH83" s="36"/>
      <c r="EL83" s="36"/>
      <c r="EM83" s="36" t="s">
        <v>1080</v>
      </c>
      <c r="EN83" s="1490"/>
      <c r="EO83" s="1490">
        <v>0</v>
      </c>
      <c r="EP83" s="1490"/>
      <c r="EQ83" s="1490"/>
      <c r="ER83" s="1490"/>
      <c r="ES83" s="1490"/>
      <c r="ET83" s="1490"/>
      <c r="EU83" s="1490"/>
      <c r="EV83" s="1490"/>
      <c r="EW83" s="1490"/>
      <c r="EX83" s="1490"/>
      <c r="EY83" s="1490"/>
      <c r="EZ83" s="1490">
        <v>0</v>
      </c>
      <c r="FA83" s="1490"/>
      <c r="FB83" s="1490">
        <v>1</v>
      </c>
      <c r="FC83" s="36"/>
      <c r="FD83" s="36"/>
      <c r="FE83" s="36">
        <v>1</v>
      </c>
      <c r="FF83" s="36"/>
      <c r="FH83" s="1225"/>
      <c r="FI83" s="1225"/>
      <c r="FJ83" s="1225"/>
      <c r="FK83" s="1222" t="s">
        <v>15</v>
      </c>
      <c r="FL83" s="1231"/>
      <c r="FM83" s="1231"/>
      <c r="FN83" s="1231"/>
      <c r="FO83" s="1231"/>
      <c r="FP83" s="1231"/>
      <c r="FQ83" s="1231"/>
      <c r="FR83" s="1231"/>
      <c r="FS83" s="1231"/>
      <c r="FT83" s="1231"/>
      <c r="FU83" s="1231"/>
      <c r="FV83" s="1232">
        <v>2</v>
      </c>
      <c r="FW83" s="1231"/>
      <c r="FX83" s="1231"/>
      <c r="FY83" s="1233"/>
      <c r="FZ83" s="1233"/>
      <c r="GA83" s="1234">
        <v>2</v>
      </c>
      <c r="GB83" s="1178">
        <f>+GA82/GA83</f>
        <v>1</v>
      </c>
      <c r="GD83" s="603"/>
      <c r="GE83" s="603"/>
      <c r="GF83" s="603"/>
      <c r="GG83" s="622" t="s">
        <v>15</v>
      </c>
      <c r="GH83" s="623"/>
      <c r="GI83" s="624">
        <v>1</v>
      </c>
      <c r="GJ83" s="623"/>
      <c r="GK83" s="624">
        <v>2</v>
      </c>
      <c r="GL83" s="624">
        <v>2</v>
      </c>
      <c r="GM83" s="623"/>
      <c r="GN83" s="624">
        <v>4</v>
      </c>
      <c r="GO83" s="624">
        <v>4</v>
      </c>
      <c r="GP83" s="624">
        <v>5</v>
      </c>
      <c r="GQ83" s="624">
        <v>2</v>
      </c>
      <c r="GR83" s="624">
        <v>3</v>
      </c>
      <c r="GS83" s="623"/>
      <c r="GT83" s="624">
        <v>2</v>
      </c>
      <c r="GU83" s="624">
        <v>9</v>
      </c>
      <c r="GV83" s="624">
        <v>6</v>
      </c>
      <c r="GW83" s="625"/>
      <c r="GX83" s="625"/>
      <c r="GY83" s="626">
        <v>40</v>
      </c>
      <c r="GZ83" s="560">
        <f>+(GY79+GY82)/GY83</f>
        <v>0.55000000000000004</v>
      </c>
      <c r="HB83" s="441"/>
      <c r="HC83" s="441"/>
      <c r="HD83" s="441"/>
      <c r="HE83" s="441"/>
      <c r="HF83" s="442" t="s">
        <v>1077</v>
      </c>
      <c r="HG83" s="609"/>
      <c r="HH83" s="609"/>
      <c r="HI83" s="609"/>
      <c r="HJ83" s="609"/>
      <c r="HK83" s="610">
        <v>0</v>
      </c>
      <c r="HL83" s="609"/>
      <c r="HM83" s="610">
        <v>0</v>
      </c>
      <c r="HN83" s="609"/>
      <c r="HO83" s="609"/>
      <c r="HP83" s="610">
        <v>1</v>
      </c>
      <c r="HQ83" s="610">
        <v>0</v>
      </c>
      <c r="HR83" s="610">
        <v>0</v>
      </c>
      <c r="HS83" s="610">
        <v>0</v>
      </c>
      <c r="HT83" s="610">
        <v>0</v>
      </c>
      <c r="HU83" s="610">
        <v>0</v>
      </c>
      <c r="HV83" s="611"/>
      <c r="HW83" s="611"/>
      <c r="HX83" s="612">
        <v>1</v>
      </c>
      <c r="HY83" s="560"/>
      <c r="HZ83" s="36"/>
      <c r="IA83" s="36"/>
      <c r="IB83" s="36"/>
      <c r="IC83" s="36"/>
      <c r="ID83" s="36"/>
      <c r="IE83" s="36"/>
      <c r="IF83" s="36"/>
      <c r="IG83" s="36"/>
      <c r="IH83" s="36"/>
      <c r="II83" s="36"/>
      <c r="IJ83" s="36"/>
      <c r="IK83" s="36"/>
      <c r="IL83" s="36"/>
      <c r="IM83" s="36"/>
      <c r="IN83" s="36"/>
      <c r="IO83" s="36"/>
      <c r="IP83" s="36"/>
      <c r="IQ83" s="36"/>
      <c r="IR83" s="36"/>
      <c r="IS83" s="36"/>
      <c r="IT83" s="36"/>
      <c r="IU83" s="36"/>
      <c r="IV83" s="95"/>
      <c r="IW83" s="95"/>
      <c r="IX83" s="36"/>
      <c r="IY83" s="36" t="s">
        <v>1080</v>
      </c>
      <c r="IZ83" s="95"/>
      <c r="JA83" s="95"/>
      <c r="JB83" s="95"/>
      <c r="JC83" s="95"/>
      <c r="JD83" s="95"/>
      <c r="JE83" s="95">
        <v>0</v>
      </c>
      <c r="JF83" s="95">
        <v>0</v>
      </c>
      <c r="JG83" s="95"/>
      <c r="JH83" s="95"/>
      <c r="JI83" s="95"/>
      <c r="JJ83" s="95"/>
      <c r="JK83" s="95"/>
      <c r="JL83" s="95"/>
      <c r="JM83" s="95">
        <v>3</v>
      </c>
      <c r="JN83" s="95">
        <v>0</v>
      </c>
      <c r="JO83" s="95">
        <v>4</v>
      </c>
      <c r="JP83" s="95">
        <v>7</v>
      </c>
      <c r="JQ83" s="36"/>
      <c r="JR83" s="36"/>
      <c r="JS83" s="616"/>
      <c r="JT83" s="616"/>
      <c r="JU83" s="616"/>
      <c r="JV83" s="616" t="s">
        <v>1163</v>
      </c>
      <c r="JW83" s="616">
        <v>0</v>
      </c>
      <c r="JX83" s="616">
        <v>0</v>
      </c>
      <c r="JY83" s="616">
        <v>0</v>
      </c>
      <c r="JZ83" s="616">
        <v>0</v>
      </c>
      <c r="KA83" s="616">
        <v>0</v>
      </c>
      <c r="KB83" s="616">
        <v>0</v>
      </c>
      <c r="KC83" s="616">
        <v>0</v>
      </c>
      <c r="KD83" s="616">
        <v>1</v>
      </c>
      <c r="KE83" s="616">
        <v>0</v>
      </c>
      <c r="KF83" s="616">
        <v>0</v>
      </c>
      <c r="KG83" s="616">
        <v>1</v>
      </c>
      <c r="KH83" s="616">
        <v>0</v>
      </c>
      <c r="KI83" s="616">
        <v>0</v>
      </c>
      <c r="KJ83" s="616">
        <v>0</v>
      </c>
      <c r="KK83" s="616">
        <v>0</v>
      </c>
      <c r="KL83" s="616">
        <v>0</v>
      </c>
      <c r="KM83" s="616">
        <v>2</v>
      </c>
      <c r="KN83" s="616"/>
      <c r="KO83" s="617"/>
    </row>
    <row r="84" spans="1:301">
      <c r="A84" s="5737">
        <v>2</v>
      </c>
      <c r="B84" s="5737">
        <v>1</v>
      </c>
      <c r="C84" s="5736" t="s">
        <v>123</v>
      </c>
      <c r="D84" s="5739" t="s">
        <v>2732</v>
      </c>
      <c r="E84" s="5737">
        <v>1</v>
      </c>
      <c r="F84" s="5737">
        <v>10</v>
      </c>
      <c r="I84" s="4726"/>
      <c r="J84" s="4726"/>
      <c r="K84" s="4725"/>
      <c r="L84" s="4725"/>
      <c r="M84" s="4975">
        <f>SUM(M80:M83)</f>
        <v>6</v>
      </c>
      <c r="N84" s="4726"/>
      <c r="O84" s="4510">
        <v>0</v>
      </c>
      <c r="Q84" s="4458">
        <v>2</v>
      </c>
      <c r="R84" s="4458">
        <v>2</v>
      </c>
      <c r="S84" s="4459" t="s">
        <v>2736</v>
      </c>
      <c r="T84" s="4459" t="s">
        <v>2709</v>
      </c>
      <c r="U84" s="4458">
        <v>13</v>
      </c>
      <c r="V84" s="4479">
        <v>3</v>
      </c>
      <c r="W84" s="4510"/>
      <c r="X84" s="4467"/>
      <c r="Y84" s="4467"/>
      <c r="Z84" s="36"/>
      <c r="AA84" s="36"/>
      <c r="AB84" s="36"/>
      <c r="AC84" s="36" t="s">
        <v>1163</v>
      </c>
      <c r="AD84" s="615">
        <v>0</v>
      </c>
      <c r="AE84" s="615"/>
      <c r="AF84" s="615"/>
      <c r="AG84" s="615"/>
      <c r="AH84" s="615"/>
      <c r="AI84" s="615"/>
      <c r="AJ84" s="615"/>
      <c r="AK84" s="615">
        <v>0</v>
      </c>
      <c r="AL84" s="615"/>
      <c r="AM84" s="615"/>
      <c r="AN84" s="615">
        <v>2</v>
      </c>
      <c r="AO84" s="615">
        <v>0</v>
      </c>
      <c r="AP84" s="615">
        <v>0</v>
      </c>
      <c r="AQ84" s="36">
        <v>0</v>
      </c>
      <c r="AR84" s="36">
        <v>2</v>
      </c>
      <c r="AS84" s="36"/>
      <c r="AU84" s="36"/>
      <c r="AV84" s="36"/>
      <c r="AW84" s="36" t="s">
        <v>681</v>
      </c>
      <c r="AX84" s="36" t="s">
        <v>1080</v>
      </c>
      <c r="AY84" s="1681"/>
      <c r="AZ84" s="1681"/>
      <c r="BA84" s="1681"/>
      <c r="BB84" s="1681"/>
      <c r="BC84" s="1681"/>
      <c r="BD84" s="1681"/>
      <c r="BE84" s="1681"/>
      <c r="BF84" s="1681"/>
      <c r="BG84" s="1681"/>
      <c r="BH84" s="1681"/>
      <c r="BI84" s="1681">
        <v>1</v>
      </c>
      <c r="BJ84" s="1681">
        <v>0</v>
      </c>
      <c r="BK84" s="1681"/>
      <c r="BL84" s="1681"/>
      <c r="BM84" s="95"/>
      <c r="BN84" s="95"/>
      <c r="BO84" s="95">
        <v>1</v>
      </c>
      <c r="BP84" s="95"/>
      <c r="BU84" s="32" t="s">
        <v>1076</v>
      </c>
      <c r="BV84" s="3871"/>
      <c r="BW84" s="3871"/>
      <c r="BX84" s="3871"/>
      <c r="BY84" s="3871"/>
      <c r="BZ84" s="3871"/>
      <c r="CA84" s="3871"/>
      <c r="CB84" s="3871"/>
      <c r="CC84" s="3871"/>
      <c r="CD84" s="3871"/>
      <c r="CE84" s="3871">
        <v>0</v>
      </c>
      <c r="CF84" s="3871"/>
      <c r="CG84" s="3871">
        <v>2</v>
      </c>
      <c r="CH84" s="3871"/>
      <c r="CI84" s="3871"/>
      <c r="CJ84" s="1518"/>
      <c r="CK84" s="1518">
        <v>2</v>
      </c>
      <c r="CN84" s="36"/>
      <c r="CO84" s="36"/>
      <c r="CP84" s="36"/>
      <c r="CQ84" s="36" t="s">
        <v>1080</v>
      </c>
      <c r="CR84" s="615"/>
      <c r="CS84" s="615"/>
      <c r="CT84" s="615"/>
      <c r="CU84" s="615"/>
      <c r="CV84" s="615"/>
      <c r="CW84" s="615"/>
      <c r="CX84" s="615"/>
      <c r="CY84" s="615"/>
      <c r="CZ84" s="615"/>
      <c r="DA84" s="615"/>
      <c r="DB84" s="615"/>
      <c r="DC84" s="615">
        <v>0</v>
      </c>
      <c r="DD84" s="615"/>
      <c r="DE84" s="615"/>
      <c r="DF84" s="615">
        <v>0</v>
      </c>
      <c r="DG84" s="36">
        <v>1</v>
      </c>
      <c r="DH84" s="36"/>
      <c r="DI84" s="36">
        <v>1</v>
      </c>
      <c r="DJ84" s="36"/>
      <c r="DL84" s="36"/>
      <c r="DM84" s="36"/>
      <c r="DN84" s="36"/>
      <c r="DO84" s="393" t="s">
        <v>15</v>
      </c>
      <c r="DP84" s="1682"/>
      <c r="DQ84" s="1682">
        <v>2</v>
      </c>
      <c r="DR84" s="1682"/>
      <c r="DS84" s="1682">
        <v>1</v>
      </c>
      <c r="DT84" s="1682"/>
      <c r="DU84" s="1682"/>
      <c r="DV84" s="1682"/>
      <c r="DW84" s="1682"/>
      <c r="DX84" s="1682"/>
      <c r="DY84" s="1682"/>
      <c r="DZ84" s="1682"/>
      <c r="EA84" s="1682">
        <v>1</v>
      </c>
      <c r="EB84" s="1682">
        <v>6</v>
      </c>
      <c r="EC84" s="1682">
        <v>2</v>
      </c>
      <c r="ED84" s="1682">
        <v>1</v>
      </c>
      <c r="EE84" s="86"/>
      <c r="EF84" s="86">
        <v>1</v>
      </c>
      <c r="EG84" s="86">
        <v>14</v>
      </c>
      <c r="EH84" s="560">
        <f>+(EG81+EG83)/EG84</f>
        <v>0.35714285714285715</v>
      </c>
      <c r="EL84" s="36"/>
      <c r="EM84" s="36" t="s">
        <v>1163</v>
      </c>
      <c r="EN84" s="1490"/>
      <c r="EO84" s="1490">
        <v>0</v>
      </c>
      <c r="EP84" s="1490"/>
      <c r="EQ84" s="1490"/>
      <c r="ER84" s="1490"/>
      <c r="ES84" s="1490"/>
      <c r="ET84" s="1490"/>
      <c r="EU84" s="1490"/>
      <c r="EV84" s="1490"/>
      <c r="EW84" s="1490"/>
      <c r="EX84" s="1490"/>
      <c r="EY84" s="1490"/>
      <c r="EZ84" s="1490">
        <v>3</v>
      </c>
      <c r="FA84" s="1490"/>
      <c r="FB84" s="1490">
        <v>0</v>
      </c>
      <c r="FC84" s="36"/>
      <c r="FD84" s="36"/>
      <c r="FE84" s="36">
        <v>3</v>
      </c>
      <c r="FF84" s="36"/>
      <c r="FH84" s="1225"/>
      <c r="FI84" s="1225"/>
      <c r="FJ84" s="1225" t="s">
        <v>127</v>
      </c>
      <c r="FK84" s="1226" t="s">
        <v>1072</v>
      </c>
      <c r="FL84" s="1227"/>
      <c r="FM84" s="1227"/>
      <c r="FN84" s="1227"/>
      <c r="FO84" s="1227"/>
      <c r="FP84" s="1227"/>
      <c r="FQ84" s="1227"/>
      <c r="FR84" s="1227"/>
      <c r="FS84" s="1227"/>
      <c r="FT84" s="1227"/>
      <c r="FU84" s="1227"/>
      <c r="FV84" s="1228">
        <v>2</v>
      </c>
      <c r="FW84" s="1228">
        <v>1</v>
      </c>
      <c r="FX84" s="1228">
        <v>2</v>
      </c>
      <c r="FY84" s="1230">
        <v>0</v>
      </c>
      <c r="FZ84" s="1230">
        <v>0</v>
      </c>
      <c r="GA84" s="1230">
        <v>5</v>
      </c>
      <c r="GB84" s="36"/>
      <c r="GD84" s="603"/>
      <c r="GE84" s="603"/>
      <c r="GF84" s="603" t="s">
        <v>126</v>
      </c>
      <c r="GG84" s="604" t="s">
        <v>1072</v>
      </c>
      <c r="GH84" s="605"/>
      <c r="GI84" s="606">
        <v>2</v>
      </c>
      <c r="GJ84" s="606">
        <v>2</v>
      </c>
      <c r="GK84" s="606">
        <v>0</v>
      </c>
      <c r="GL84" s="605"/>
      <c r="GM84" s="606">
        <v>1</v>
      </c>
      <c r="GN84" s="605"/>
      <c r="GO84" s="605"/>
      <c r="GP84" s="605"/>
      <c r="GQ84" s="605"/>
      <c r="GR84" s="606">
        <v>0</v>
      </c>
      <c r="GS84" s="605"/>
      <c r="GT84" s="605"/>
      <c r="GU84" s="606">
        <v>0</v>
      </c>
      <c r="GV84" s="606">
        <v>0</v>
      </c>
      <c r="GW84" s="607"/>
      <c r="GX84" s="607"/>
      <c r="GY84" s="608">
        <v>5</v>
      </c>
      <c r="GZ84" s="95"/>
      <c r="HB84" s="441"/>
      <c r="HC84" s="441"/>
      <c r="HD84" s="441"/>
      <c r="HE84" s="441"/>
      <c r="HF84" s="442" t="s">
        <v>1080</v>
      </c>
      <c r="HG84" s="609"/>
      <c r="HH84" s="609"/>
      <c r="HI84" s="609"/>
      <c r="HJ84" s="609"/>
      <c r="HK84" s="610">
        <v>0</v>
      </c>
      <c r="HL84" s="609"/>
      <c r="HM84" s="610">
        <v>0</v>
      </c>
      <c r="HN84" s="609"/>
      <c r="HO84" s="609"/>
      <c r="HP84" s="610">
        <v>0</v>
      </c>
      <c r="HQ84" s="610">
        <v>0</v>
      </c>
      <c r="HR84" s="610">
        <v>0</v>
      </c>
      <c r="HS84" s="610">
        <v>0</v>
      </c>
      <c r="HT84" s="610">
        <v>0</v>
      </c>
      <c r="HU84" s="610">
        <v>8</v>
      </c>
      <c r="HV84" s="611"/>
      <c r="HW84" s="611"/>
      <c r="HX84" s="612">
        <v>8</v>
      </c>
      <c r="HY84" s="560"/>
      <c r="HZ84" s="36"/>
      <c r="IA84" s="36"/>
      <c r="IB84" s="36"/>
      <c r="IC84" s="36"/>
      <c r="ID84" s="36"/>
      <c r="IE84" s="36"/>
      <c r="IF84" s="36"/>
      <c r="IG84" s="36"/>
      <c r="IH84" s="36"/>
      <c r="II84" s="36"/>
      <c r="IJ84" s="36"/>
      <c r="IK84" s="36"/>
      <c r="IL84" s="36"/>
      <c r="IM84" s="36"/>
      <c r="IN84" s="36"/>
      <c r="IO84" s="36"/>
      <c r="IP84" s="36"/>
      <c r="IQ84" s="36"/>
      <c r="IR84" s="36"/>
      <c r="IS84" s="36"/>
      <c r="IT84" s="36"/>
      <c r="IU84" s="36"/>
      <c r="IV84" s="95"/>
      <c r="IW84" s="95"/>
      <c r="IX84" s="36"/>
      <c r="IY84" s="36" t="s">
        <v>1163</v>
      </c>
      <c r="IZ84" s="95"/>
      <c r="JA84" s="95"/>
      <c r="JB84" s="95"/>
      <c r="JC84" s="95"/>
      <c r="JD84" s="95"/>
      <c r="JE84" s="95">
        <v>1</v>
      </c>
      <c r="JF84" s="95">
        <v>1</v>
      </c>
      <c r="JG84" s="95"/>
      <c r="JH84" s="95"/>
      <c r="JI84" s="95"/>
      <c r="JJ84" s="95"/>
      <c r="JK84" s="95"/>
      <c r="JL84" s="95"/>
      <c r="JM84" s="95">
        <v>0</v>
      </c>
      <c r="JN84" s="95">
        <v>0</v>
      </c>
      <c r="JO84" s="95">
        <v>0</v>
      </c>
      <c r="JP84" s="95">
        <v>2</v>
      </c>
      <c r="JQ84" s="36"/>
      <c r="JR84" s="36"/>
      <c r="JS84" s="616"/>
      <c r="JT84" s="616"/>
      <c r="JU84" s="616"/>
      <c r="JV84" s="633" t="s">
        <v>15</v>
      </c>
      <c r="JW84" s="616">
        <v>0</v>
      </c>
      <c r="JX84" s="616">
        <v>0</v>
      </c>
      <c r="JY84" s="616">
        <v>0</v>
      </c>
      <c r="JZ84" s="616">
        <v>0</v>
      </c>
      <c r="KA84" s="616">
        <v>0</v>
      </c>
      <c r="KB84" s="616">
        <v>0</v>
      </c>
      <c r="KC84" s="627">
        <v>0</v>
      </c>
      <c r="KD84" s="627">
        <v>3</v>
      </c>
      <c r="KE84" s="627">
        <v>3</v>
      </c>
      <c r="KF84" s="627">
        <v>2</v>
      </c>
      <c r="KG84" s="627">
        <v>2</v>
      </c>
      <c r="KH84" s="627">
        <v>0</v>
      </c>
      <c r="KI84" s="627">
        <v>0</v>
      </c>
      <c r="KJ84" s="627">
        <v>0</v>
      </c>
      <c r="KK84" s="627">
        <v>0</v>
      </c>
      <c r="KL84" s="627">
        <v>0</v>
      </c>
      <c r="KM84" s="627">
        <v>10</v>
      </c>
      <c r="KN84" s="628">
        <f>+KM83/KM84</f>
        <v>0.2</v>
      </c>
      <c r="KO84" s="617">
        <f>+KM83</f>
        <v>2</v>
      </c>
    </row>
    <row r="85" spans="1:301">
      <c r="A85" s="5737">
        <v>2</v>
      </c>
      <c r="B85" s="5737">
        <v>1</v>
      </c>
      <c r="C85" s="5736" t="s">
        <v>123</v>
      </c>
      <c r="D85" s="5736" t="s">
        <v>2709</v>
      </c>
      <c r="E85" s="5737">
        <v>1</v>
      </c>
      <c r="F85" s="5737">
        <v>15</v>
      </c>
      <c r="I85" s="4726">
        <v>2</v>
      </c>
      <c r="J85" s="4726">
        <v>1</v>
      </c>
      <c r="K85" s="4725" t="s">
        <v>123</v>
      </c>
      <c r="L85" s="4725" t="s">
        <v>2731</v>
      </c>
      <c r="M85" s="4726">
        <v>1</v>
      </c>
      <c r="N85" s="4726">
        <v>15</v>
      </c>
      <c r="Q85" s="4458">
        <v>2</v>
      </c>
      <c r="R85" s="4458">
        <v>2</v>
      </c>
      <c r="S85" s="4459" t="s">
        <v>2736</v>
      </c>
      <c r="T85" s="4459" t="s">
        <v>2703</v>
      </c>
      <c r="U85" s="4458">
        <v>1</v>
      </c>
      <c r="V85" s="4479">
        <v>1</v>
      </c>
      <c r="W85" s="4510"/>
      <c r="X85" s="4467"/>
      <c r="Y85" s="4467"/>
      <c r="Z85" s="36"/>
      <c r="AA85" s="36"/>
      <c r="AB85" s="36"/>
      <c r="AC85" s="4236" t="s">
        <v>15</v>
      </c>
      <c r="AD85" s="4236">
        <v>1</v>
      </c>
      <c r="AE85" s="4236"/>
      <c r="AF85" s="4236"/>
      <c r="AG85" s="4236"/>
      <c r="AH85" s="4236"/>
      <c r="AI85" s="4236"/>
      <c r="AJ85" s="4236"/>
      <c r="AK85" s="4236">
        <v>1</v>
      </c>
      <c r="AL85" s="4236"/>
      <c r="AM85" s="4236"/>
      <c r="AN85" s="4236">
        <v>4</v>
      </c>
      <c r="AO85" s="4236">
        <v>7</v>
      </c>
      <c r="AP85" s="4236">
        <v>9</v>
      </c>
      <c r="AQ85" s="4236">
        <v>7</v>
      </c>
      <c r="AR85" s="4236">
        <v>29</v>
      </c>
      <c r="AS85" s="4243">
        <f>(AR81+AR84)/(AR85-AR83)</f>
        <v>0.17857142857142858</v>
      </c>
      <c r="AU85" s="36"/>
      <c r="AV85" s="36"/>
      <c r="AW85" s="36"/>
      <c r="AX85" s="36" t="s">
        <v>1163</v>
      </c>
      <c r="AY85" s="1681"/>
      <c r="AZ85" s="1681"/>
      <c r="BA85" s="1681"/>
      <c r="BB85" s="1681"/>
      <c r="BC85" s="1681"/>
      <c r="BD85" s="1681"/>
      <c r="BE85" s="1681"/>
      <c r="BF85" s="1681"/>
      <c r="BG85" s="1681"/>
      <c r="BH85" s="1681"/>
      <c r="BI85" s="1681">
        <v>0</v>
      </c>
      <c r="BJ85" s="1681">
        <v>2</v>
      </c>
      <c r="BK85" s="1681"/>
      <c r="BL85" s="1681"/>
      <c r="BM85" s="95"/>
      <c r="BN85" s="95"/>
      <c r="BO85" s="95">
        <v>2</v>
      </c>
      <c r="BP85" s="95"/>
      <c r="BU85" s="1520" t="s">
        <v>15</v>
      </c>
      <c r="BV85" s="3872"/>
      <c r="BW85" s="3872"/>
      <c r="BX85" s="3872"/>
      <c r="BY85" s="3872"/>
      <c r="BZ85" s="3872"/>
      <c r="CA85" s="3872"/>
      <c r="CB85" s="3872"/>
      <c r="CC85" s="3872"/>
      <c r="CD85" s="3872"/>
      <c r="CE85" s="3872">
        <v>1</v>
      </c>
      <c r="CF85" s="3872"/>
      <c r="CG85" s="3872">
        <v>2</v>
      </c>
      <c r="CH85" s="3872"/>
      <c r="CI85" s="3872"/>
      <c r="CJ85" s="3806"/>
      <c r="CK85" s="3806">
        <v>3</v>
      </c>
      <c r="CL85" s="3807">
        <f>+CK84/CK85</f>
        <v>0.66666666666666663</v>
      </c>
      <c r="CN85" s="36"/>
      <c r="CO85" s="36"/>
      <c r="CP85" s="36"/>
      <c r="CQ85" s="393" t="s">
        <v>15</v>
      </c>
      <c r="CR85" s="2049"/>
      <c r="CS85" s="2049"/>
      <c r="CT85" s="2049"/>
      <c r="CU85" s="2049"/>
      <c r="CV85" s="2049"/>
      <c r="CW85" s="2049"/>
      <c r="CX85" s="2049"/>
      <c r="CY85" s="2049"/>
      <c r="CZ85" s="2049"/>
      <c r="DA85" s="2049"/>
      <c r="DB85" s="2049"/>
      <c r="DC85" s="2049">
        <v>1</v>
      </c>
      <c r="DD85" s="2049"/>
      <c r="DE85" s="2049"/>
      <c r="DF85" s="2049">
        <v>1</v>
      </c>
      <c r="DG85" s="393">
        <v>1</v>
      </c>
      <c r="DH85" s="393"/>
      <c r="DI85" s="393">
        <v>3</v>
      </c>
      <c r="DJ85" s="560">
        <v>0</v>
      </c>
      <c r="DK85" s="1665"/>
      <c r="DL85" s="36"/>
      <c r="DM85" s="36"/>
      <c r="DN85" s="36" t="s">
        <v>483</v>
      </c>
      <c r="DO85" s="36" t="s">
        <v>1072</v>
      </c>
      <c r="DP85" s="1681"/>
      <c r="DQ85" s="1681">
        <v>2</v>
      </c>
      <c r="DR85" s="1681"/>
      <c r="DS85" s="1681">
        <v>1</v>
      </c>
      <c r="DT85" s="1681">
        <v>1</v>
      </c>
      <c r="DU85" s="1681"/>
      <c r="DV85" s="1681"/>
      <c r="DW85" s="1681"/>
      <c r="DX85" s="1681"/>
      <c r="DY85" s="1681"/>
      <c r="DZ85" s="1681"/>
      <c r="EA85" s="1681">
        <v>1</v>
      </c>
      <c r="EB85" s="1681">
        <v>7</v>
      </c>
      <c r="EC85" s="1681">
        <v>4</v>
      </c>
      <c r="ED85" s="1681">
        <v>0</v>
      </c>
      <c r="EE85" s="95"/>
      <c r="EF85" s="95">
        <v>0</v>
      </c>
      <c r="EG85" s="95">
        <v>16</v>
      </c>
      <c r="EH85" s="36"/>
      <c r="EL85" s="36"/>
      <c r="EM85" s="393" t="s">
        <v>15</v>
      </c>
      <c r="EN85" s="1491"/>
      <c r="EO85" s="1491">
        <v>2</v>
      </c>
      <c r="EP85" s="1491"/>
      <c r="EQ85" s="1491"/>
      <c r="ER85" s="1491"/>
      <c r="ES85" s="1491"/>
      <c r="ET85" s="1491"/>
      <c r="EU85" s="1491"/>
      <c r="EV85" s="1491"/>
      <c r="EW85" s="1491"/>
      <c r="EX85" s="1491"/>
      <c r="EY85" s="1491"/>
      <c r="EZ85" s="1491">
        <v>8</v>
      </c>
      <c r="FA85" s="1491"/>
      <c r="FB85" s="1491">
        <v>1</v>
      </c>
      <c r="FC85" s="393"/>
      <c r="FD85" s="393"/>
      <c r="FE85" s="393">
        <v>11</v>
      </c>
      <c r="FF85" s="560">
        <f>+(FE81+FE84)/FE85</f>
        <v>0.63636363636363635</v>
      </c>
      <c r="FH85" s="1225"/>
      <c r="FI85" s="1225"/>
      <c r="FJ85" s="1225"/>
      <c r="FK85" s="1226" t="s">
        <v>1080</v>
      </c>
      <c r="FL85" s="1227"/>
      <c r="FM85" s="1227"/>
      <c r="FN85" s="1227"/>
      <c r="FO85" s="1227"/>
      <c r="FP85" s="1227"/>
      <c r="FQ85" s="1227"/>
      <c r="FR85" s="1227"/>
      <c r="FS85" s="1227"/>
      <c r="FT85" s="1227"/>
      <c r="FU85" s="1227"/>
      <c r="FV85" s="1228">
        <v>0</v>
      </c>
      <c r="FW85" s="1228">
        <v>0</v>
      </c>
      <c r="FX85" s="1228">
        <v>1</v>
      </c>
      <c r="FY85" s="1230">
        <v>1</v>
      </c>
      <c r="FZ85" s="1230">
        <v>7</v>
      </c>
      <c r="GA85" s="1230">
        <v>9</v>
      </c>
      <c r="GB85" s="36"/>
      <c r="GD85" s="603"/>
      <c r="GE85" s="603"/>
      <c r="GF85" s="603"/>
      <c r="GG85" s="604" t="s">
        <v>1074</v>
      </c>
      <c r="GH85" s="605"/>
      <c r="GI85" s="606">
        <v>0</v>
      </c>
      <c r="GJ85" s="606">
        <v>0</v>
      </c>
      <c r="GK85" s="606">
        <v>1</v>
      </c>
      <c r="GL85" s="605"/>
      <c r="GM85" s="606">
        <v>0</v>
      </c>
      <c r="GN85" s="605"/>
      <c r="GO85" s="605"/>
      <c r="GP85" s="605"/>
      <c r="GQ85" s="605"/>
      <c r="GR85" s="606">
        <v>0</v>
      </c>
      <c r="GS85" s="605"/>
      <c r="GT85" s="605"/>
      <c r="GU85" s="606">
        <v>0</v>
      </c>
      <c r="GV85" s="606">
        <v>0</v>
      </c>
      <c r="GW85" s="607"/>
      <c r="GX85" s="607"/>
      <c r="GY85" s="608">
        <v>1</v>
      </c>
      <c r="GZ85" s="95"/>
      <c r="HB85" s="441"/>
      <c r="HC85" s="441"/>
      <c r="HD85" s="441"/>
      <c r="HE85" s="441"/>
      <c r="HF85" s="442" t="s">
        <v>1163</v>
      </c>
      <c r="HG85" s="609"/>
      <c r="HH85" s="609"/>
      <c r="HI85" s="609"/>
      <c r="HJ85" s="609"/>
      <c r="HK85" s="610">
        <v>0</v>
      </c>
      <c r="HL85" s="609"/>
      <c r="HM85" s="610">
        <v>0</v>
      </c>
      <c r="HN85" s="609"/>
      <c r="HO85" s="609"/>
      <c r="HP85" s="610">
        <v>1</v>
      </c>
      <c r="HQ85" s="610">
        <v>0</v>
      </c>
      <c r="HR85" s="610">
        <v>0</v>
      </c>
      <c r="HS85" s="610">
        <v>0</v>
      </c>
      <c r="HT85" s="610">
        <v>0</v>
      </c>
      <c r="HU85" s="610">
        <v>0</v>
      </c>
      <c r="HV85" s="611"/>
      <c r="HW85" s="611"/>
      <c r="HX85" s="612">
        <v>1</v>
      </c>
      <c r="HY85" s="560"/>
      <c r="HZ85" s="36"/>
      <c r="IA85" s="36"/>
      <c r="IB85" s="36"/>
      <c r="IC85" s="36"/>
      <c r="ID85" s="36"/>
      <c r="IE85" s="36"/>
      <c r="IF85" s="36"/>
      <c r="IG85" s="36"/>
      <c r="IH85" s="36"/>
      <c r="II85" s="36"/>
      <c r="IJ85" s="36"/>
      <c r="IK85" s="36"/>
      <c r="IL85" s="36"/>
      <c r="IM85" s="36"/>
      <c r="IN85" s="36"/>
      <c r="IO85" s="36"/>
      <c r="IP85" s="36"/>
      <c r="IQ85" s="36"/>
      <c r="IR85" s="36"/>
      <c r="IS85" s="36"/>
      <c r="IT85" s="36"/>
      <c r="IU85" s="36"/>
      <c r="IV85" s="95"/>
      <c r="IW85" s="95"/>
      <c r="IX85" s="36"/>
      <c r="IY85" s="393" t="s">
        <v>15</v>
      </c>
      <c r="IZ85" s="86"/>
      <c r="JA85" s="86"/>
      <c r="JB85" s="86"/>
      <c r="JC85" s="86"/>
      <c r="JD85" s="86"/>
      <c r="JE85" s="86">
        <v>1</v>
      </c>
      <c r="JF85" s="86">
        <v>1</v>
      </c>
      <c r="JG85" s="86"/>
      <c r="JH85" s="86"/>
      <c r="JI85" s="86"/>
      <c r="JJ85" s="86"/>
      <c r="JK85" s="86"/>
      <c r="JL85" s="86"/>
      <c r="JM85" s="86">
        <v>3</v>
      </c>
      <c r="JN85" s="86">
        <v>1</v>
      </c>
      <c r="JO85" s="86">
        <v>4</v>
      </c>
      <c r="JP85" s="86">
        <v>10</v>
      </c>
      <c r="JQ85" s="631">
        <f>+(JP82+JP84)/JP85</f>
        <v>0.3</v>
      </c>
      <c r="JR85" s="36"/>
      <c r="JS85" s="616"/>
      <c r="JT85" s="616"/>
      <c r="JU85" s="616" t="s">
        <v>320</v>
      </c>
      <c r="JV85" s="616" t="s">
        <v>1072</v>
      </c>
      <c r="JW85" s="616">
        <v>0</v>
      </c>
      <c r="JX85" s="616">
        <v>0</v>
      </c>
      <c r="JY85" s="616">
        <v>1</v>
      </c>
      <c r="JZ85" s="616">
        <v>0</v>
      </c>
      <c r="KA85" s="616">
        <v>0</v>
      </c>
      <c r="KB85" s="616">
        <v>1</v>
      </c>
      <c r="KC85" s="616">
        <v>0</v>
      </c>
      <c r="KD85" s="616">
        <v>0</v>
      </c>
      <c r="KE85" s="616">
        <v>2</v>
      </c>
      <c r="KF85" s="616">
        <v>0</v>
      </c>
      <c r="KG85" s="616">
        <v>0</v>
      </c>
      <c r="KH85" s="616">
        <v>0</v>
      </c>
      <c r="KI85" s="616">
        <v>0</v>
      </c>
      <c r="KJ85" s="616">
        <v>0</v>
      </c>
      <c r="KK85" s="616">
        <v>0</v>
      </c>
      <c r="KL85" s="616">
        <v>0</v>
      </c>
      <c r="KM85" s="616">
        <v>4</v>
      </c>
      <c r="KN85" s="628"/>
      <c r="KO85" s="617"/>
    </row>
    <row r="86" spans="1:301">
      <c r="A86" s="5737"/>
      <c r="B86" s="5737"/>
      <c r="C86" s="5736"/>
      <c r="D86" s="5736"/>
      <c r="E86" s="5742">
        <f>SUM(E84:E85)</f>
        <v>2</v>
      </c>
      <c r="F86" s="5737"/>
      <c r="G86" s="4476">
        <f>+(E84)/(E86)</f>
        <v>0.5</v>
      </c>
      <c r="I86" s="4726">
        <v>2</v>
      </c>
      <c r="J86" s="4726">
        <v>1</v>
      </c>
      <c r="K86" s="4725" t="s">
        <v>123</v>
      </c>
      <c r="L86" s="4963" t="s">
        <v>2732</v>
      </c>
      <c r="M86" s="4964">
        <v>1</v>
      </c>
      <c r="N86" s="4726">
        <v>10</v>
      </c>
      <c r="Q86" s="4458">
        <v>2</v>
      </c>
      <c r="R86" s="4458">
        <v>2</v>
      </c>
      <c r="S86" s="4459" t="s">
        <v>2736</v>
      </c>
      <c r="T86" s="4459" t="s">
        <v>2703</v>
      </c>
      <c r="U86" s="4458">
        <v>3</v>
      </c>
      <c r="V86" s="4479">
        <v>1</v>
      </c>
      <c r="W86" s="4510"/>
      <c r="X86" s="4467"/>
      <c r="Y86" s="4467"/>
      <c r="Z86" s="36"/>
      <c r="AA86" s="36" t="s">
        <v>16</v>
      </c>
      <c r="AB86" s="36" t="s">
        <v>106</v>
      </c>
      <c r="AC86" s="36" t="s">
        <v>1072</v>
      </c>
      <c r="AD86" s="615">
        <v>0</v>
      </c>
      <c r="AE86" s="615"/>
      <c r="AF86" s="615"/>
      <c r="AG86" s="615"/>
      <c r="AH86" s="615"/>
      <c r="AI86" s="615"/>
      <c r="AJ86" s="615"/>
      <c r="AK86" s="615"/>
      <c r="AL86" s="615"/>
      <c r="AM86" s="615"/>
      <c r="AN86" s="615">
        <v>2</v>
      </c>
      <c r="AO86" s="615">
        <v>0</v>
      </c>
      <c r="AP86" s="615"/>
      <c r="AQ86" s="36"/>
      <c r="AR86" s="36">
        <v>2</v>
      </c>
      <c r="AS86" s="36"/>
      <c r="AU86" s="36"/>
      <c r="AV86" s="36"/>
      <c r="AW86" s="36"/>
      <c r="AX86" s="36" t="s">
        <v>15</v>
      </c>
      <c r="AY86" s="1681"/>
      <c r="AZ86" s="1681"/>
      <c r="BA86" s="1681"/>
      <c r="BB86" s="1681"/>
      <c r="BC86" s="1681"/>
      <c r="BD86" s="1681"/>
      <c r="BE86" s="1681"/>
      <c r="BF86" s="1681"/>
      <c r="BG86" s="1681"/>
      <c r="BH86" s="1681"/>
      <c r="BI86" s="1681">
        <v>1</v>
      </c>
      <c r="BJ86" s="1681">
        <v>2</v>
      </c>
      <c r="BK86" s="1681"/>
      <c r="BL86" s="1681"/>
      <c r="BM86" s="95"/>
      <c r="BN86" s="95"/>
      <c r="BO86" s="95">
        <v>3</v>
      </c>
      <c r="BP86" s="560">
        <f>+(BO85)/(BO86)</f>
        <v>0.66666666666666663</v>
      </c>
      <c r="BT86" s="1520" t="s">
        <v>482</v>
      </c>
      <c r="BU86" s="1520" t="s">
        <v>1071</v>
      </c>
      <c r="BV86" s="3872">
        <v>0</v>
      </c>
      <c r="BW86" s="3872"/>
      <c r="BX86" s="3872"/>
      <c r="BY86" s="3872"/>
      <c r="BZ86" s="3872">
        <v>0</v>
      </c>
      <c r="CA86" s="3872"/>
      <c r="CB86" s="3872"/>
      <c r="CC86" s="3872"/>
      <c r="CD86" s="3872">
        <v>0</v>
      </c>
      <c r="CE86" s="3872">
        <v>1</v>
      </c>
      <c r="CF86" s="3872"/>
      <c r="CG86" s="3872">
        <v>1</v>
      </c>
      <c r="CH86" s="3872">
        <v>5</v>
      </c>
      <c r="CI86" s="3872">
        <v>0</v>
      </c>
      <c r="CJ86" s="3806">
        <v>0</v>
      </c>
      <c r="CK86" s="3806">
        <v>7</v>
      </c>
      <c r="CL86" s="1520"/>
      <c r="CN86" s="36"/>
      <c r="CO86" s="36"/>
      <c r="CP86" s="36" t="s">
        <v>388</v>
      </c>
      <c r="CQ86" s="36" t="s">
        <v>1072</v>
      </c>
      <c r="CR86" s="615"/>
      <c r="CS86" s="615"/>
      <c r="CT86" s="615"/>
      <c r="CU86" s="615"/>
      <c r="CV86" s="615"/>
      <c r="CW86" s="615"/>
      <c r="CX86" s="615"/>
      <c r="CY86" s="615"/>
      <c r="CZ86" s="615"/>
      <c r="DA86" s="615"/>
      <c r="DB86" s="615">
        <v>0</v>
      </c>
      <c r="DC86" s="615"/>
      <c r="DD86" s="615"/>
      <c r="DE86" s="615">
        <v>1</v>
      </c>
      <c r="DF86" s="615">
        <v>0</v>
      </c>
      <c r="DG86" s="36">
        <v>0</v>
      </c>
      <c r="DH86" s="36"/>
      <c r="DI86" s="36">
        <v>1</v>
      </c>
      <c r="DJ86" s="36"/>
      <c r="DL86" s="36"/>
      <c r="DM86" s="36"/>
      <c r="DN86" s="36"/>
      <c r="DO86" s="36" t="s">
        <v>1076</v>
      </c>
      <c r="DP86" s="1681"/>
      <c r="DQ86" s="1681">
        <v>0</v>
      </c>
      <c r="DR86" s="1681"/>
      <c r="DS86" s="1681">
        <v>0</v>
      </c>
      <c r="DT86" s="1681">
        <v>0</v>
      </c>
      <c r="DU86" s="1681"/>
      <c r="DV86" s="1681"/>
      <c r="DW86" s="1681"/>
      <c r="DX86" s="1681"/>
      <c r="DY86" s="1681"/>
      <c r="DZ86" s="1681"/>
      <c r="EA86" s="1681">
        <v>0</v>
      </c>
      <c r="EB86" s="1681">
        <v>4</v>
      </c>
      <c r="EC86" s="1681">
        <v>3</v>
      </c>
      <c r="ED86" s="1681">
        <v>1</v>
      </c>
      <c r="EE86" s="95"/>
      <c r="EF86" s="95">
        <v>0</v>
      </c>
      <c r="EG86" s="95">
        <v>8</v>
      </c>
      <c r="EH86" s="36"/>
      <c r="EL86" s="36" t="s">
        <v>125</v>
      </c>
      <c r="EM86" s="36" t="s">
        <v>1072</v>
      </c>
      <c r="EN86" s="1490"/>
      <c r="EO86" s="1490">
        <v>2</v>
      </c>
      <c r="EP86" s="1490"/>
      <c r="EQ86" s="1490">
        <v>1</v>
      </c>
      <c r="ER86" s="1490"/>
      <c r="ES86" s="1490"/>
      <c r="ET86" s="1490"/>
      <c r="EU86" s="1490"/>
      <c r="EV86" s="1490">
        <v>1</v>
      </c>
      <c r="EW86" s="1490"/>
      <c r="EX86" s="1490"/>
      <c r="EY86" s="1490"/>
      <c r="EZ86" s="1490">
        <v>3</v>
      </c>
      <c r="FA86" s="1490">
        <v>2</v>
      </c>
      <c r="FB86" s="1490">
        <v>0</v>
      </c>
      <c r="FC86" s="36"/>
      <c r="FD86" s="36"/>
      <c r="FE86" s="36">
        <v>9</v>
      </c>
      <c r="FF86" s="36"/>
      <c r="FH86" s="1225"/>
      <c r="FI86" s="1225"/>
      <c r="FJ86" s="1225"/>
      <c r="FK86" s="1226" t="s">
        <v>1163</v>
      </c>
      <c r="FL86" s="1227"/>
      <c r="FM86" s="1227"/>
      <c r="FN86" s="1227"/>
      <c r="FO86" s="1227"/>
      <c r="FP86" s="1227"/>
      <c r="FQ86" s="1227"/>
      <c r="FR86" s="1227"/>
      <c r="FS86" s="1227"/>
      <c r="FT86" s="1227"/>
      <c r="FU86" s="1227"/>
      <c r="FV86" s="1228">
        <v>1</v>
      </c>
      <c r="FW86" s="1228">
        <v>0</v>
      </c>
      <c r="FX86" s="1228">
        <v>0</v>
      </c>
      <c r="FY86" s="1230">
        <v>0</v>
      </c>
      <c r="FZ86" s="1230">
        <v>0</v>
      </c>
      <c r="GA86" s="1230">
        <v>1</v>
      </c>
      <c r="GB86" s="36"/>
      <c r="GD86" s="603"/>
      <c r="GE86" s="603"/>
      <c r="GF86" s="603"/>
      <c r="GG86" s="604" t="s">
        <v>1076</v>
      </c>
      <c r="GH86" s="605"/>
      <c r="GI86" s="606">
        <v>0</v>
      </c>
      <c r="GJ86" s="606">
        <v>0</v>
      </c>
      <c r="GK86" s="606">
        <v>0</v>
      </c>
      <c r="GL86" s="605"/>
      <c r="GM86" s="606">
        <v>0</v>
      </c>
      <c r="GN86" s="605"/>
      <c r="GO86" s="605"/>
      <c r="GP86" s="605"/>
      <c r="GQ86" s="605"/>
      <c r="GR86" s="606">
        <v>0</v>
      </c>
      <c r="GS86" s="605"/>
      <c r="GT86" s="605"/>
      <c r="GU86" s="606">
        <v>8</v>
      </c>
      <c r="GV86" s="606">
        <v>0</v>
      </c>
      <c r="GW86" s="607"/>
      <c r="GX86" s="607"/>
      <c r="GY86" s="608">
        <v>8</v>
      </c>
      <c r="GZ86" s="95"/>
      <c r="HB86" s="441"/>
      <c r="HC86" s="441"/>
      <c r="HD86" s="441"/>
      <c r="HE86" s="36"/>
      <c r="HF86" s="462" t="s">
        <v>15</v>
      </c>
      <c r="HG86" s="618"/>
      <c r="HH86" s="618"/>
      <c r="HI86" s="618"/>
      <c r="HJ86" s="618"/>
      <c r="HK86" s="619">
        <v>1</v>
      </c>
      <c r="HL86" s="618"/>
      <c r="HM86" s="619">
        <v>1</v>
      </c>
      <c r="HN86" s="618"/>
      <c r="HO86" s="618"/>
      <c r="HP86" s="619">
        <v>2</v>
      </c>
      <c r="HQ86" s="619">
        <v>4</v>
      </c>
      <c r="HR86" s="619">
        <v>3</v>
      </c>
      <c r="HS86" s="619">
        <v>3</v>
      </c>
      <c r="HT86" s="619">
        <v>2</v>
      </c>
      <c r="HU86" s="619">
        <v>8</v>
      </c>
      <c r="HV86" s="620"/>
      <c r="HW86" s="620"/>
      <c r="HX86" s="621">
        <v>24</v>
      </c>
      <c r="HY86" s="560">
        <f>+(HX85+HX82)/HX86</f>
        <v>0.58333333333333337</v>
      </c>
      <c r="HZ86" s="36"/>
      <c r="IA86" s="36"/>
      <c r="IB86" s="36"/>
      <c r="IC86" s="36"/>
      <c r="ID86" s="36"/>
      <c r="IE86" s="36"/>
      <c r="IF86" s="36"/>
      <c r="IG86" s="36"/>
      <c r="IH86" s="36"/>
      <c r="II86" s="36"/>
      <c r="IJ86" s="36"/>
      <c r="IK86" s="36"/>
      <c r="IL86" s="36"/>
      <c r="IM86" s="36"/>
      <c r="IN86" s="36"/>
      <c r="IO86" s="36"/>
      <c r="IP86" s="36"/>
      <c r="IQ86" s="36"/>
      <c r="IR86" s="36"/>
      <c r="IS86" s="36"/>
      <c r="IT86" s="36"/>
      <c r="IU86" s="36"/>
      <c r="IV86" s="95"/>
      <c r="IW86" s="95"/>
      <c r="IX86" s="36" t="s">
        <v>320</v>
      </c>
      <c r="IY86" s="36" t="s">
        <v>1072</v>
      </c>
      <c r="IZ86" s="95"/>
      <c r="JA86" s="95"/>
      <c r="JB86" s="95"/>
      <c r="JC86" s="95"/>
      <c r="JD86" s="95"/>
      <c r="JE86" s="95"/>
      <c r="JF86" s="95"/>
      <c r="JG86" s="95"/>
      <c r="JH86" s="95">
        <v>1</v>
      </c>
      <c r="JI86" s="95">
        <v>1</v>
      </c>
      <c r="JJ86" s="95"/>
      <c r="JK86" s="95"/>
      <c r="JL86" s="95"/>
      <c r="JM86" s="95">
        <v>0</v>
      </c>
      <c r="JN86" s="95"/>
      <c r="JO86" s="95"/>
      <c r="JP86" s="95">
        <v>2</v>
      </c>
      <c r="JQ86" s="36"/>
      <c r="JR86" s="36"/>
      <c r="JS86" s="616"/>
      <c r="JT86" s="616"/>
      <c r="JU86" s="616"/>
      <c r="JV86" s="616" t="s">
        <v>1080</v>
      </c>
      <c r="JW86" s="616">
        <v>0</v>
      </c>
      <c r="JX86" s="616">
        <v>0</v>
      </c>
      <c r="JY86" s="616">
        <v>0</v>
      </c>
      <c r="JZ86" s="616">
        <v>0</v>
      </c>
      <c r="KA86" s="616">
        <v>0</v>
      </c>
      <c r="KB86" s="616">
        <v>0</v>
      </c>
      <c r="KC86" s="616">
        <v>0</v>
      </c>
      <c r="KD86" s="616">
        <v>1</v>
      </c>
      <c r="KE86" s="616">
        <v>0</v>
      </c>
      <c r="KF86" s="616">
        <v>0</v>
      </c>
      <c r="KG86" s="616">
        <v>0</v>
      </c>
      <c r="KH86" s="616">
        <v>0</v>
      </c>
      <c r="KI86" s="616">
        <v>0</v>
      </c>
      <c r="KJ86" s="616">
        <v>2</v>
      </c>
      <c r="KK86" s="616">
        <v>0</v>
      </c>
      <c r="KL86" s="616">
        <v>2</v>
      </c>
      <c r="KM86" s="616">
        <v>5</v>
      </c>
      <c r="KN86" s="616"/>
      <c r="KO86" s="617"/>
    </row>
    <row r="87" spans="1:301">
      <c r="A87" s="5737">
        <v>2</v>
      </c>
      <c r="B87" s="5737">
        <v>1</v>
      </c>
      <c r="C87" s="5736" t="s">
        <v>388</v>
      </c>
      <c r="D87" s="5739" t="s">
        <v>1076</v>
      </c>
      <c r="E87" s="5737">
        <v>1</v>
      </c>
      <c r="F87" s="5737">
        <v>12</v>
      </c>
      <c r="I87" s="4726"/>
      <c r="J87" s="4726"/>
      <c r="K87" s="4725"/>
      <c r="L87" s="4963"/>
      <c r="M87" s="4987">
        <f>SUM(M85:M86)</f>
        <v>2</v>
      </c>
      <c r="N87" s="4726"/>
      <c r="O87" s="4476">
        <f>+(M86)/(M87)</f>
        <v>0.5</v>
      </c>
      <c r="Q87" s="4458">
        <v>2</v>
      </c>
      <c r="R87" s="4458">
        <v>2</v>
      </c>
      <c r="S87" s="4459" t="s">
        <v>2736</v>
      </c>
      <c r="T87" s="4459" t="s">
        <v>2703</v>
      </c>
      <c r="U87" s="4458">
        <v>4</v>
      </c>
      <c r="V87" s="4479">
        <v>1</v>
      </c>
      <c r="W87" s="4510"/>
      <c r="X87" s="4467"/>
      <c r="Y87" s="4467"/>
      <c r="Z87" s="36"/>
      <c r="AA87" s="36"/>
      <c r="AB87" s="36"/>
      <c r="AC87" s="36" t="s">
        <v>1080</v>
      </c>
      <c r="AD87" s="615">
        <v>0</v>
      </c>
      <c r="AE87" s="615"/>
      <c r="AF87" s="615"/>
      <c r="AG87" s="615"/>
      <c r="AH87" s="615"/>
      <c r="AI87" s="615"/>
      <c r="AJ87" s="615"/>
      <c r="AK87" s="615"/>
      <c r="AL87" s="615"/>
      <c r="AM87" s="615"/>
      <c r="AN87" s="615">
        <v>0</v>
      </c>
      <c r="AO87" s="615">
        <v>20</v>
      </c>
      <c r="AP87" s="615"/>
      <c r="AQ87" s="36"/>
      <c r="AR87" s="36">
        <v>20</v>
      </c>
      <c r="AS87" s="36"/>
      <c r="AW87" s="27" t="s">
        <v>482</v>
      </c>
      <c r="AX87" s="27" t="s">
        <v>1071</v>
      </c>
      <c r="AY87" s="3722"/>
      <c r="AZ87" s="3722"/>
      <c r="BA87" s="3722"/>
      <c r="BB87" s="3722"/>
      <c r="BC87" s="3722">
        <v>0</v>
      </c>
      <c r="BD87" s="3722"/>
      <c r="BE87" s="3722"/>
      <c r="BF87" s="3722"/>
      <c r="BG87" s="3722">
        <v>0</v>
      </c>
      <c r="BH87" s="3722">
        <v>0</v>
      </c>
      <c r="BI87" s="3722">
        <v>0</v>
      </c>
      <c r="BJ87" s="3722">
        <v>0</v>
      </c>
      <c r="BK87" s="3722">
        <v>1</v>
      </c>
      <c r="BL87" s="3722">
        <v>2</v>
      </c>
      <c r="BM87" s="3701">
        <v>0</v>
      </c>
      <c r="BN87" s="3701">
        <v>0</v>
      </c>
      <c r="BO87" s="3701">
        <v>3</v>
      </c>
      <c r="BP87" s="3701"/>
      <c r="BT87" s="1520"/>
      <c r="BU87" s="1520" t="s">
        <v>1072</v>
      </c>
      <c r="BV87" s="3872">
        <v>0</v>
      </c>
      <c r="BW87" s="3872"/>
      <c r="BX87" s="3872"/>
      <c r="BY87" s="3872"/>
      <c r="BZ87" s="3872">
        <v>1</v>
      </c>
      <c r="CA87" s="3872"/>
      <c r="CB87" s="3872"/>
      <c r="CC87" s="3872"/>
      <c r="CD87" s="3872">
        <v>2</v>
      </c>
      <c r="CE87" s="3872">
        <v>1</v>
      </c>
      <c r="CF87" s="3872"/>
      <c r="CG87" s="3872">
        <v>2</v>
      </c>
      <c r="CH87" s="3872">
        <v>2</v>
      </c>
      <c r="CI87" s="3872">
        <v>1</v>
      </c>
      <c r="CJ87" s="3806">
        <v>0</v>
      </c>
      <c r="CK87" s="3806">
        <v>9</v>
      </c>
      <c r="CL87" s="1520"/>
      <c r="CN87" s="36"/>
      <c r="CO87" s="36"/>
      <c r="CP87" s="36"/>
      <c r="CQ87" s="36" t="s">
        <v>1076</v>
      </c>
      <c r="CR87" s="615"/>
      <c r="CS87" s="615"/>
      <c r="CT87" s="615"/>
      <c r="CU87" s="615"/>
      <c r="CV87" s="615"/>
      <c r="CW87" s="615"/>
      <c r="CX87" s="615"/>
      <c r="CY87" s="615"/>
      <c r="CZ87" s="615"/>
      <c r="DA87" s="615"/>
      <c r="DB87" s="615">
        <v>0</v>
      </c>
      <c r="DC87" s="615"/>
      <c r="DD87" s="615"/>
      <c r="DE87" s="615">
        <v>0</v>
      </c>
      <c r="DF87" s="615">
        <v>0</v>
      </c>
      <c r="DG87" s="36">
        <v>1</v>
      </c>
      <c r="DH87" s="36"/>
      <c r="DI87" s="36">
        <v>1</v>
      </c>
      <c r="DJ87" s="36"/>
      <c r="DL87" s="36"/>
      <c r="DM87" s="36"/>
      <c r="DN87" s="36"/>
      <c r="DO87" s="36" t="s">
        <v>1080</v>
      </c>
      <c r="DP87" s="1681"/>
      <c r="DQ87" s="1681">
        <v>0</v>
      </c>
      <c r="DR87" s="1681"/>
      <c r="DS87" s="1681">
        <v>0</v>
      </c>
      <c r="DT87" s="1681">
        <v>0</v>
      </c>
      <c r="DU87" s="1681"/>
      <c r="DV87" s="1681"/>
      <c r="DW87" s="1681"/>
      <c r="DX87" s="1681"/>
      <c r="DY87" s="1681"/>
      <c r="DZ87" s="1681"/>
      <c r="EA87" s="1681">
        <v>0</v>
      </c>
      <c r="EB87" s="1681">
        <v>0</v>
      </c>
      <c r="EC87" s="1681">
        <v>0</v>
      </c>
      <c r="ED87" s="1681">
        <v>7</v>
      </c>
      <c r="EE87" s="95"/>
      <c r="EF87" s="95">
        <v>1</v>
      </c>
      <c r="EG87" s="95">
        <v>8</v>
      </c>
      <c r="EH87" s="36"/>
      <c r="EL87" s="36"/>
      <c r="EM87" s="36" t="s">
        <v>1076</v>
      </c>
      <c r="EN87" s="1490"/>
      <c r="EO87" s="1490">
        <v>0</v>
      </c>
      <c r="EP87" s="1490"/>
      <c r="EQ87" s="1490">
        <v>0</v>
      </c>
      <c r="ER87" s="1490"/>
      <c r="ES87" s="1490"/>
      <c r="ET87" s="1490"/>
      <c r="EU87" s="1490"/>
      <c r="EV87" s="1490">
        <v>0</v>
      </c>
      <c r="EW87" s="1490"/>
      <c r="EX87" s="1490"/>
      <c r="EY87" s="1490"/>
      <c r="EZ87" s="1490">
        <v>5</v>
      </c>
      <c r="FA87" s="1490">
        <v>12</v>
      </c>
      <c r="FB87" s="1490">
        <v>0</v>
      </c>
      <c r="FC87" s="36"/>
      <c r="FD87" s="36"/>
      <c r="FE87" s="36">
        <v>17</v>
      </c>
      <c r="FF87" s="36"/>
      <c r="FH87" s="1225"/>
      <c r="FI87" s="1225"/>
      <c r="FJ87" s="1225"/>
      <c r="FK87" s="1222" t="s">
        <v>15</v>
      </c>
      <c r="FL87" s="1231"/>
      <c r="FM87" s="1231"/>
      <c r="FN87" s="1231"/>
      <c r="FO87" s="1231"/>
      <c r="FP87" s="1231"/>
      <c r="FQ87" s="1231"/>
      <c r="FR87" s="1231"/>
      <c r="FS87" s="1231"/>
      <c r="FT87" s="1231"/>
      <c r="FU87" s="1231"/>
      <c r="FV87" s="1232">
        <v>3</v>
      </c>
      <c r="FW87" s="1232">
        <v>1</v>
      </c>
      <c r="FX87" s="1232">
        <v>3</v>
      </c>
      <c r="FY87" s="1234">
        <v>1</v>
      </c>
      <c r="FZ87" s="1234">
        <v>7</v>
      </c>
      <c r="GA87" s="1234">
        <v>15</v>
      </c>
      <c r="GB87" s="1178">
        <f>+GA86/GA87</f>
        <v>6.6666666666666666E-2</v>
      </c>
      <c r="GD87" s="603"/>
      <c r="GE87" s="603"/>
      <c r="GF87" s="603"/>
      <c r="GG87" s="604" t="s">
        <v>1077</v>
      </c>
      <c r="GH87" s="605"/>
      <c r="GI87" s="606">
        <v>0</v>
      </c>
      <c r="GJ87" s="606">
        <v>1</v>
      </c>
      <c r="GK87" s="606">
        <v>0</v>
      </c>
      <c r="GL87" s="605"/>
      <c r="GM87" s="606">
        <v>0</v>
      </c>
      <c r="GN87" s="605"/>
      <c r="GO87" s="605"/>
      <c r="GP87" s="605"/>
      <c r="GQ87" s="605"/>
      <c r="GR87" s="606">
        <v>0</v>
      </c>
      <c r="GS87" s="605"/>
      <c r="GT87" s="605"/>
      <c r="GU87" s="606">
        <v>0</v>
      </c>
      <c r="GV87" s="606">
        <v>0</v>
      </c>
      <c r="GW87" s="607"/>
      <c r="GX87" s="607"/>
      <c r="GY87" s="608">
        <v>1</v>
      </c>
      <c r="GZ87" s="95"/>
      <c r="HB87" s="441"/>
      <c r="HC87" s="441"/>
      <c r="HD87" s="441" t="s">
        <v>126</v>
      </c>
      <c r="HE87" s="441" t="s">
        <v>1070</v>
      </c>
      <c r="HF87" s="442" t="s">
        <v>1072</v>
      </c>
      <c r="HG87" s="609"/>
      <c r="HH87" s="609"/>
      <c r="HI87" s="610">
        <v>0</v>
      </c>
      <c r="HJ87" s="609"/>
      <c r="HK87" s="609"/>
      <c r="HL87" s="609"/>
      <c r="HM87" s="609"/>
      <c r="HN87" s="609"/>
      <c r="HO87" s="609"/>
      <c r="HP87" s="609"/>
      <c r="HQ87" s="609"/>
      <c r="HR87" s="609"/>
      <c r="HS87" s="610">
        <v>0</v>
      </c>
      <c r="HT87" s="610">
        <v>1</v>
      </c>
      <c r="HU87" s="609"/>
      <c r="HV87" s="612">
        <v>0</v>
      </c>
      <c r="HW87" s="611"/>
      <c r="HX87" s="612">
        <v>1</v>
      </c>
      <c r="HY87" s="560"/>
      <c r="HZ87" s="36"/>
      <c r="IA87" s="36"/>
      <c r="IB87" s="36"/>
      <c r="IC87" s="36"/>
      <c r="ID87" s="36"/>
      <c r="IE87" s="36"/>
      <c r="IF87" s="36"/>
      <c r="IG87" s="36"/>
      <c r="IH87" s="36"/>
      <c r="II87" s="36"/>
      <c r="IJ87" s="36"/>
      <c r="IK87" s="36"/>
      <c r="IL87" s="36"/>
      <c r="IM87" s="36"/>
      <c r="IN87" s="36"/>
      <c r="IO87" s="36"/>
      <c r="IP87" s="36"/>
      <c r="IQ87" s="36"/>
      <c r="IR87" s="36"/>
      <c r="IS87" s="36"/>
      <c r="IT87" s="36"/>
      <c r="IU87" s="36"/>
      <c r="IV87" s="95"/>
      <c r="IW87" s="95"/>
      <c r="IX87" s="36"/>
      <c r="IY87" s="36" t="s">
        <v>1080</v>
      </c>
      <c r="IZ87" s="95"/>
      <c r="JA87" s="95"/>
      <c r="JB87" s="95"/>
      <c r="JC87" s="95"/>
      <c r="JD87" s="95"/>
      <c r="JE87" s="95"/>
      <c r="JF87" s="95"/>
      <c r="JG87" s="95"/>
      <c r="JH87" s="95">
        <v>0</v>
      </c>
      <c r="JI87" s="95">
        <v>0</v>
      </c>
      <c r="JJ87" s="95"/>
      <c r="JK87" s="95"/>
      <c r="JL87" s="95"/>
      <c r="JM87" s="95">
        <v>3</v>
      </c>
      <c r="JN87" s="95"/>
      <c r="JO87" s="95"/>
      <c r="JP87" s="95">
        <v>3</v>
      </c>
      <c r="JQ87" s="36"/>
      <c r="JR87" s="36"/>
      <c r="JS87" s="616"/>
      <c r="JT87" s="616"/>
      <c r="JU87" s="616"/>
      <c r="JV87" s="627" t="s">
        <v>15</v>
      </c>
      <c r="JW87" s="627">
        <v>0</v>
      </c>
      <c r="JX87" s="627">
        <v>0</v>
      </c>
      <c r="JY87" s="627">
        <v>1</v>
      </c>
      <c r="JZ87" s="627">
        <v>0</v>
      </c>
      <c r="KA87" s="627">
        <v>0</v>
      </c>
      <c r="KB87" s="627">
        <v>1</v>
      </c>
      <c r="KC87" s="627">
        <v>0</v>
      </c>
      <c r="KD87" s="627">
        <v>1</v>
      </c>
      <c r="KE87" s="627">
        <v>2</v>
      </c>
      <c r="KF87" s="627">
        <v>0</v>
      </c>
      <c r="KG87" s="627">
        <v>0</v>
      </c>
      <c r="KH87" s="627">
        <v>0</v>
      </c>
      <c r="KI87" s="627">
        <v>0</v>
      </c>
      <c r="KJ87" s="627">
        <v>2</v>
      </c>
      <c r="KK87" s="627">
        <v>0</v>
      </c>
      <c r="KL87" s="627">
        <v>2</v>
      </c>
      <c r="KM87" s="627">
        <v>9</v>
      </c>
      <c r="KN87" s="628">
        <f>0/KM87</f>
        <v>0</v>
      </c>
      <c r="KO87" s="617">
        <v>0</v>
      </c>
    </row>
    <row r="88" spans="1:301">
      <c r="A88" s="5770"/>
      <c r="B88" s="5770"/>
      <c r="C88" s="5771"/>
      <c r="D88" s="5772"/>
      <c r="E88" s="5773">
        <f>SUM(E87)</f>
        <v>1</v>
      </c>
      <c r="F88" s="5770"/>
      <c r="G88" s="4476">
        <f>+(E87)/(E88)</f>
        <v>1</v>
      </c>
      <c r="I88" s="4726">
        <v>2</v>
      </c>
      <c r="J88" s="4726">
        <v>1</v>
      </c>
      <c r="K88" s="4725" t="s">
        <v>388</v>
      </c>
      <c r="L88" s="4963" t="s">
        <v>1076</v>
      </c>
      <c r="M88" s="4964">
        <v>1</v>
      </c>
      <c r="N88" s="4726">
        <v>12</v>
      </c>
      <c r="Q88" s="4458">
        <v>2</v>
      </c>
      <c r="R88" s="4458">
        <v>2</v>
      </c>
      <c r="S88" s="4459" t="s">
        <v>2736</v>
      </c>
      <c r="T88" s="4461" t="s">
        <v>1076</v>
      </c>
      <c r="U88" s="4458">
        <v>12</v>
      </c>
      <c r="V88" s="4479">
        <v>1</v>
      </c>
      <c r="W88" s="4510"/>
      <c r="X88" s="4467"/>
      <c r="Y88" s="4467"/>
      <c r="Z88" s="36"/>
      <c r="AA88" s="36"/>
      <c r="AB88" s="36"/>
      <c r="AC88" s="36" t="s">
        <v>2571</v>
      </c>
      <c r="AD88" s="615">
        <v>2</v>
      </c>
      <c r="AE88" s="615"/>
      <c r="AF88" s="615"/>
      <c r="AG88" s="615"/>
      <c r="AH88" s="615"/>
      <c r="AI88" s="615"/>
      <c r="AJ88" s="615"/>
      <c r="AK88" s="615"/>
      <c r="AL88" s="615"/>
      <c r="AM88" s="615"/>
      <c r="AN88" s="615">
        <v>0</v>
      </c>
      <c r="AO88" s="615">
        <v>0</v>
      </c>
      <c r="AP88" s="615"/>
      <c r="AQ88" s="36"/>
      <c r="AR88" s="36">
        <v>2</v>
      </c>
      <c r="AS88" s="36"/>
      <c r="AW88" s="27"/>
      <c r="AX88" s="27" t="s">
        <v>1072</v>
      </c>
      <c r="AY88" s="3722"/>
      <c r="AZ88" s="3722"/>
      <c r="BA88" s="3722"/>
      <c r="BB88" s="3722"/>
      <c r="BC88" s="3722">
        <v>1</v>
      </c>
      <c r="BD88" s="3722"/>
      <c r="BE88" s="3722"/>
      <c r="BF88" s="3722"/>
      <c r="BG88" s="3722">
        <v>2</v>
      </c>
      <c r="BH88" s="3722">
        <v>1</v>
      </c>
      <c r="BI88" s="3722">
        <v>0</v>
      </c>
      <c r="BJ88" s="3722">
        <v>2</v>
      </c>
      <c r="BK88" s="3722">
        <v>4</v>
      </c>
      <c r="BL88" s="3722">
        <v>0</v>
      </c>
      <c r="BM88" s="3701">
        <v>0</v>
      </c>
      <c r="BN88" s="3701">
        <v>0</v>
      </c>
      <c r="BO88" s="3701">
        <v>10</v>
      </c>
      <c r="BP88" s="3701"/>
      <c r="BT88" s="1520"/>
      <c r="BU88" s="1520" t="s">
        <v>1074</v>
      </c>
      <c r="BV88" s="3872">
        <v>0</v>
      </c>
      <c r="BW88" s="3872"/>
      <c r="BX88" s="3872"/>
      <c r="BY88" s="3872"/>
      <c r="BZ88" s="3872">
        <v>0</v>
      </c>
      <c r="CA88" s="3872"/>
      <c r="CB88" s="3872"/>
      <c r="CC88" s="3872"/>
      <c r="CD88" s="3872">
        <v>1</v>
      </c>
      <c r="CE88" s="3872">
        <v>0</v>
      </c>
      <c r="CF88" s="3872"/>
      <c r="CG88" s="3872">
        <v>0</v>
      </c>
      <c r="CH88" s="3872">
        <v>0</v>
      </c>
      <c r="CI88" s="3872">
        <v>0</v>
      </c>
      <c r="CJ88" s="3806">
        <v>0</v>
      </c>
      <c r="CK88" s="3806">
        <v>1</v>
      </c>
      <c r="CL88" s="1520"/>
      <c r="CN88" s="36"/>
      <c r="CO88" s="36"/>
      <c r="CP88" s="36"/>
      <c r="CQ88" s="36" t="s">
        <v>1080</v>
      </c>
      <c r="CR88" s="615"/>
      <c r="CS88" s="615"/>
      <c r="CT88" s="615"/>
      <c r="CU88" s="615"/>
      <c r="CV88" s="615"/>
      <c r="CW88" s="615"/>
      <c r="CX88" s="615"/>
      <c r="CY88" s="615"/>
      <c r="CZ88" s="615"/>
      <c r="DA88" s="615"/>
      <c r="DB88" s="615">
        <v>0</v>
      </c>
      <c r="DC88" s="615"/>
      <c r="DD88" s="615"/>
      <c r="DE88" s="615">
        <v>0</v>
      </c>
      <c r="DF88" s="615">
        <v>3</v>
      </c>
      <c r="DG88" s="36">
        <v>1</v>
      </c>
      <c r="DH88" s="36"/>
      <c r="DI88" s="36">
        <v>4</v>
      </c>
      <c r="DJ88" s="36"/>
      <c r="DL88" s="36"/>
      <c r="DM88" s="36"/>
      <c r="DN88" s="36"/>
      <c r="DO88" s="36" t="s">
        <v>1163</v>
      </c>
      <c r="DP88" s="1681"/>
      <c r="DQ88" s="1681">
        <v>0</v>
      </c>
      <c r="DR88" s="1681"/>
      <c r="DS88" s="1681">
        <v>0</v>
      </c>
      <c r="DT88" s="1681">
        <v>0</v>
      </c>
      <c r="DU88" s="1681"/>
      <c r="DV88" s="1681"/>
      <c r="DW88" s="1681"/>
      <c r="DX88" s="1681"/>
      <c r="DY88" s="1681"/>
      <c r="DZ88" s="1681"/>
      <c r="EA88" s="1681">
        <v>1</v>
      </c>
      <c r="EB88" s="1681">
        <v>3</v>
      </c>
      <c r="EC88" s="1681">
        <v>0</v>
      </c>
      <c r="ED88" s="1681">
        <v>0</v>
      </c>
      <c r="EE88" s="95"/>
      <c r="EF88" s="95">
        <v>0</v>
      </c>
      <c r="EG88" s="95">
        <v>4</v>
      </c>
      <c r="EH88" s="36"/>
      <c r="EL88" s="36"/>
      <c r="EM88" s="36" t="s">
        <v>1080</v>
      </c>
      <c r="EN88" s="1490"/>
      <c r="EO88" s="1490">
        <v>0</v>
      </c>
      <c r="EP88" s="1490"/>
      <c r="EQ88" s="1490">
        <v>0</v>
      </c>
      <c r="ER88" s="1490"/>
      <c r="ES88" s="1490"/>
      <c r="ET88" s="1490"/>
      <c r="EU88" s="1490"/>
      <c r="EV88" s="1490">
        <v>0</v>
      </c>
      <c r="EW88" s="1490"/>
      <c r="EX88" s="1490"/>
      <c r="EY88" s="1490"/>
      <c r="EZ88" s="1490">
        <v>0</v>
      </c>
      <c r="FA88" s="1490">
        <v>0</v>
      </c>
      <c r="FB88" s="1490">
        <v>3</v>
      </c>
      <c r="FC88" s="36"/>
      <c r="FD88" s="36"/>
      <c r="FE88" s="36">
        <v>3</v>
      </c>
      <c r="FF88" s="36"/>
      <c r="FH88" s="1225"/>
      <c r="FI88" s="1225"/>
      <c r="FJ88" s="1225" t="s">
        <v>483</v>
      </c>
      <c r="FK88" s="1226" t="s">
        <v>1072</v>
      </c>
      <c r="FL88" s="1227"/>
      <c r="FM88" s="1228">
        <v>1</v>
      </c>
      <c r="FN88" s="1228">
        <v>0</v>
      </c>
      <c r="FO88" s="1227"/>
      <c r="FP88" s="1228">
        <v>0</v>
      </c>
      <c r="FQ88" s="1227"/>
      <c r="FR88" s="1228">
        <v>0</v>
      </c>
      <c r="FS88" s="1228">
        <v>1</v>
      </c>
      <c r="FT88" s="1228">
        <v>2</v>
      </c>
      <c r="FU88" s="1228">
        <v>1</v>
      </c>
      <c r="FV88" s="1228">
        <v>3</v>
      </c>
      <c r="FW88" s="1228">
        <v>4</v>
      </c>
      <c r="FX88" s="1228">
        <v>4</v>
      </c>
      <c r="FY88" s="1230">
        <v>1</v>
      </c>
      <c r="FZ88" s="1230">
        <v>0</v>
      </c>
      <c r="GA88" s="1230">
        <v>17</v>
      </c>
      <c r="GB88" s="36"/>
      <c r="GD88" s="603"/>
      <c r="GE88" s="603"/>
      <c r="GF88" s="603"/>
      <c r="GG88" s="604" t="s">
        <v>1080</v>
      </c>
      <c r="GH88" s="605"/>
      <c r="GI88" s="606">
        <v>0</v>
      </c>
      <c r="GJ88" s="606">
        <v>0</v>
      </c>
      <c r="GK88" s="606">
        <v>0</v>
      </c>
      <c r="GL88" s="605"/>
      <c r="GM88" s="606">
        <v>0</v>
      </c>
      <c r="GN88" s="605"/>
      <c r="GO88" s="605"/>
      <c r="GP88" s="605"/>
      <c r="GQ88" s="605"/>
      <c r="GR88" s="606">
        <v>0</v>
      </c>
      <c r="GS88" s="605"/>
      <c r="GT88" s="605"/>
      <c r="GU88" s="606">
        <v>0</v>
      </c>
      <c r="GV88" s="606">
        <v>5</v>
      </c>
      <c r="GW88" s="607"/>
      <c r="GX88" s="607"/>
      <c r="GY88" s="608">
        <v>5</v>
      </c>
      <c r="GZ88" s="95"/>
      <c r="HB88" s="441"/>
      <c r="HC88" s="441"/>
      <c r="HD88" s="441"/>
      <c r="HE88" s="441"/>
      <c r="HF88" s="442" t="s">
        <v>1076</v>
      </c>
      <c r="HG88" s="609"/>
      <c r="HH88" s="609"/>
      <c r="HI88" s="610">
        <v>0</v>
      </c>
      <c r="HJ88" s="609"/>
      <c r="HK88" s="609"/>
      <c r="HL88" s="609"/>
      <c r="HM88" s="609"/>
      <c r="HN88" s="609"/>
      <c r="HO88" s="609"/>
      <c r="HP88" s="609"/>
      <c r="HQ88" s="609"/>
      <c r="HR88" s="609"/>
      <c r="HS88" s="610">
        <v>3</v>
      </c>
      <c r="HT88" s="610">
        <v>1</v>
      </c>
      <c r="HU88" s="609"/>
      <c r="HV88" s="612">
        <v>1</v>
      </c>
      <c r="HW88" s="611"/>
      <c r="HX88" s="612">
        <v>5</v>
      </c>
      <c r="HY88" s="560"/>
      <c r="HZ88" s="36"/>
      <c r="IA88" s="36"/>
      <c r="IB88" s="36"/>
      <c r="IC88" s="36"/>
      <c r="ID88" s="36"/>
      <c r="IE88" s="36"/>
      <c r="IF88" s="36"/>
      <c r="IG88" s="36"/>
      <c r="IH88" s="36"/>
      <c r="II88" s="36"/>
      <c r="IJ88" s="36"/>
      <c r="IK88" s="36"/>
      <c r="IL88" s="36"/>
      <c r="IM88" s="36"/>
      <c r="IN88" s="36"/>
      <c r="IO88" s="36"/>
      <c r="IP88" s="36"/>
      <c r="IQ88" s="36"/>
      <c r="IR88" s="36"/>
      <c r="IS88" s="36"/>
      <c r="IT88" s="36"/>
      <c r="IU88" s="36"/>
      <c r="IV88" s="95"/>
      <c r="IW88" s="95"/>
      <c r="IX88" s="36"/>
      <c r="IY88" s="393" t="s">
        <v>15</v>
      </c>
      <c r="IZ88" s="86"/>
      <c r="JA88" s="86"/>
      <c r="JB88" s="86"/>
      <c r="JC88" s="86"/>
      <c r="JD88" s="86"/>
      <c r="JE88" s="86"/>
      <c r="JF88" s="86"/>
      <c r="JG88" s="86"/>
      <c r="JH88" s="86">
        <v>1</v>
      </c>
      <c r="JI88" s="86">
        <v>1</v>
      </c>
      <c r="JJ88" s="86"/>
      <c r="JK88" s="86"/>
      <c r="JL88" s="86"/>
      <c r="JM88" s="86">
        <v>3</v>
      </c>
      <c r="JN88" s="86"/>
      <c r="JO88" s="86"/>
      <c r="JP88" s="86">
        <v>5</v>
      </c>
      <c r="JQ88" s="632">
        <v>0</v>
      </c>
      <c r="JR88" s="36"/>
      <c r="JS88" s="616"/>
      <c r="JT88" s="616" t="s">
        <v>103</v>
      </c>
      <c r="JU88" s="616" t="s">
        <v>145</v>
      </c>
      <c r="JV88" s="616" t="s">
        <v>1072</v>
      </c>
      <c r="JW88" s="616">
        <v>0</v>
      </c>
      <c r="JX88" s="616">
        <v>0</v>
      </c>
      <c r="JY88" s="616">
        <v>0</v>
      </c>
      <c r="JZ88" s="616">
        <v>2</v>
      </c>
      <c r="KA88" s="616">
        <v>0</v>
      </c>
      <c r="KB88" s="616">
        <v>0</v>
      </c>
      <c r="KC88" s="616">
        <v>0</v>
      </c>
      <c r="KD88" s="616">
        <v>0</v>
      </c>
      <c r="KE88" s="616">
        <v>1</v>
      </c>
      <c r="KF88" s="616">
        <v>2</v>
      </c>
      <c r="KG88" s="616">
        <v>0</v>
      </c>
      <c r="KH88" s="616">
        <v>2</v>
      </c>
      <c r="KI88" s="616">
        <v>2</v>
      </c>
      <c r="KJ88" s="616">
        <v>0</v>
      </c>
      <c r="KK88" s="616">
        <v>0</v>
      </c>
      <c r="KL88" s="616">
        <v>0</v>
      </c>
      <c r="KM88" s="616">
        <v>9</v>
      </c>
      <c r="KN88" s="616"/>
      <c r="KO88" s="617"/>
    </row>
    <row r="89" spans="1:301">
      <c r="A89" s="5737">
        <v>2</v>
      </c>
      <c r="B89" s="5737">
        <v>1</v>
      </c>
      <c r="C89" s="5736" t="s">
        <v>681</v>
      </c>
      <c r="D89" s="5739" t="s">
        <v>1076</v>
      </c>
      <c r="E89" s="5737">
        <v>1</v>
      </c>
      <c r="F89" s="5737">
        <v>13</v>
      </c>
      <c r="I89" s="4726"/>
      <c r="J89" s="4726"/>
      <c r="K89" s="4725"/>
      <c r="L89" s="4963"/>
      <c r="M89" s="4987">
        <f>SUM(M88)</f>
        <v>1</v>
      </c>
      <c r="N89" s="4726"/>
      <c r="O89" s="4476">
        <f>+(M88)/(M89)</f>
        <v>1</v>
      </c>
      <c r="Q89" s="4458">
        <v>2</v>
      </c>
      <c r="R89" s="4458">
        <v>2</v>
      </c>
      <c r="S89" s="4459" t="s">
        <v>2736</v>
      </c>
      <c r="T89" s="4461" t="s">
        <v>1076</v>
      </c>
      <c r="U89" s="4458">
        <v>13</v>
      </c>
      <c r="V89" s="4479">
        <v>10</v>
      </c>
      <c r="W89" s="4510"/>
      <c r="X89" s="4467"/>
      <c r="Y89" s="4467"/>
      <c r="Z89" s="36"/>
      <c r="AA89" s="36"/>
      <c r="AB89" s="36"/>
      <c r="AC89" s="4236" t="s">
        <v>15</v>
      </c>
      <c r="AD89" s="4236">
        <v>2</v>
      </c>
      <c r="AE89" s="4236"/>
      <c r="AF89" s="4236"/>
      <c r="AG89" s="4236"/>
      <c r="AH89" s="4236"/>
      <c r="AI89" s="4236"/>
      <c r="AJ89" s="4236"/>
      <c r="AK89" s="4236"/>
      <c r="AL89" s="4236"/>
      <c r="AM89" s="4236"/>
      <c r="AN89" s="4236">
        <v>2</v>
      </c>
      <c r="AO89" s="4236">
        <v>20</v>
      </c>
      <c r="AP89" s="4236"/>
      <c r="AQ89" s="4236"/>
      <c r="AR89" s="4236">
        <v>24</v>
      </c>
      <c r="AS89" s="4243">
        <v>0</v>
      </c>
      <c r="AU89" s="36"/>
      <c r="AV89" s="36"/>
      <c r="AW89" s="393"/>
      <c r="AX89" s="393" t="s">
        <v>1074</v>
      </c>
      <c r="AY89" s="1682"/>
      <c r="AZ89" s="1682"/>
      <c r="BA89" s="1682"/>
      <c r="BB89" s="1682"/>
      <c r="BC89" s="1682">
        <v>0</v>
      </c>
      <c r="BD89" s="1682"/>
      <c r="BE89" s="1682"/>
      <c r="BF89" s="1682"/>
      <c r="BG89" s="1682">
        <v>1</v>
      </c>
      <c r="BH89" s="1682">
        <v>0</v>
      </c>
      <c r="BI89" s="1682">
        <v>0</v>
      </c>
      <c r="BJ89" s="1682">
        <v>0</v>
      </c>
      <c r="BK89" s="1682">
        <v>0</v>
      </c>
      <c r="BL89" s="1682">
        <v>0</v>
      </c>
      <c r="BM89" s="4455">
        <v>0</v>
      </c>
      <c r="BN89" s="4455">
        <v>0</v>
      </c>
      <c r="BO89" s="4455">
        <v>1</v>
      </c>
      <c r="BP89" s="4455"/>
      <c r="BT89" s="1520"/>
      <c r="BU89" s="1520" t="s">
        <v>1076</v>
      </c>
      <c r="BV89" s="3872">
        <v>0</v>
      </c>
      <c r="BW89" s="3872"/>
      <c r="BX89" s="3872"/>
      <c r="BY89" s="3872"/>
      <c r="BZ89" s="3872">
        <v>0</v>
      </c>
      <c r="CA89" s="3872"/>
      <c r="CB89" s="3872"/>
      <c r="CC89" s="3872"/>
      <c r="CD89" s="3872">
        <v>0</v>
      </c>
      <c r="CE89" s="3872">
        <v>0</v>
      </c>
      <c r="CF89" s="3872"/>
      <c r="CG89" s="3872">
        <v>3</v>
      </c>
      <c r="CH89" s="3872">
        <v>0</v>
      </c>
      <c r="CI89" s="3872">
        <v>1</v>
      </c>
      <c r="CJ89" s="3806">
        <v>0</v>
      </c>
      <c r="CK89" s="3806">
        <v>4</v>
      </c>
      <c r="CL89" s="1520"/>
      <c r="CN89" s="36"/>
      <c r="CO89" s="36"/>
      <c r="CP89" s="36"/>
      <c r="CQ89" s="36" t="s">
        <v>1163</v>
      </c>
      <c r="CR89" s="615"/>
      <c r="CS89" s="615"/>
      <c r="CT89" s="615"/>
      <c r="CU89" s="615"/>
      <c r="CV89" s="615"/>
      <c r="CW89" s="615"/>
      <c r="CX89" s="615"/>
      <c r="CY89" s="615"/>
      <c r="CZ89" s="615"/>
      <c r="DA89" s="615"/>
      <c r="DB89" s="615">
        <v>1</v>
      </c>
      <c r="DC89" s="615"/>
      <c r="DD89" s="615"/>
      <c r="DE89" s="615">
        <v>0</v>
      </c>
      <c r="DF89" s="615">
        <v>0</v>
      </c>
      <c r="DG89" s="36">
        <v>0</v>
      </c>
      <c r="DH89" s="36"/>
      <c r="DI89" s="36">
        <v>1</v>
      </c>
      <c r="DJ89" s="36"/>
      <c r="DL89" s="36"/>
      <c r="DM89" s="36"/>
      <c r="DN89" s="36"/>
      <c r="DO89" s="393" t="s">
        <v>483</v>
      </c>
      <c r="DP89" s="1682"/>
      <c r="DQ89" s="1682">
        <v>2</v>
      </c>
      <c r="DR89" s="1682"/>
      <c r="DS89" s="1682">
        <v>1</v>
      </c>
      <c r="DT89" s="1682">
        <v>1</v>
      </c>
      <c r="DU89" s="1682"/>
      <c r="DV89" s="1682"/>
      <c r="DW89" s="1682"/>
      <c r="DX89" s="1682"/>
      <c r="DY89" s="1682"/>
      <c r="DZ89" s="1682"/>
      <c r="EA89" s="1682">
        <v>2</v>
      </c>
      <c r="EB89" s="1682">
        <v>14</v>
      </c>
      <c r="EC89" s="1682">
        <v>7</v>
      </c>
      <c r="ED89" s="1682">
        <v>8</v>
      </c>
      <c r="EE89" s="86"/>
      <c r="EF89" s="86">
        <v>1</v>
      </c>
      <c r="EG89" s="86">
        <v>36</v>
      </c>
      <c r="EH89" s="560">
        <f>+(EG86+EG88)/EG89</f>
        <v>0.33333333333333331</v>
      </c>
      <c r="EL89" s="36"/>
      <c r="EM89" s="36" t="s">
        <v>1163</v>
      </c>
      <c r="EN89" s="1490"/>
      <c r="EO89" s="1490">
        <v>0</v>
      </c>
      <c r="EP89" s="1490"/>
      <c r="EQ89" s="1490">
        <v>0</v>
      </c>
      <c r="ER89" s="1490"/>
      <c r="ES89" s="1490"/>
      <c r="ET89" s="1490"/>
      <c r="EU89" s="1490"/>
      <c r="EV89" s="1490">
        <v>0</v>
      </c>
      <c r="EW89" s="1490"/>
      <c r="EX89" s="1490"/>
      <c r="EY89" s="1490"/>
      <c r="EZ89" s="1490">
        <v>1</v>
      </c>
      <c r="FA89" s="1490">
        <v>0</v>
      </c>
      <c r="FB89" s="1490">
        <v>0</v>
      </c>
      <c r="FC89" s="36"/>
      <c r="FD89" s="36"/>
      <c r="FE89" s="36">
        <v>1</v>
      </c>
      <c r="FF89" s="36"/>
      <c r="FH89" s="1225"/>
      <c r="FI89" s="1225"/>
      <c r="FJ89" s="1225"/>
      <c r="FK89" s="1226" t="s">
        <v>1074</v>
      </c>
      <c r="FL89" s="1227"/>
      <c r="FM89" s="1228">
        <v>1</v>
      </c>
      <c r="FN89" s="1228">
        <v>0</v>
      </c>
      <c r="FO89" s="1227"/>
      <c r="FP89" s="1228">
        <v>0</v>
      </c>
      <c r="FQ89" s="1227"/>
      <c r="FR89" s="1228">
        <v>0</v>
      </c>
      <c r="FS89" s="1228">
        <v>0</v>
      </c>
      <c r="FT89" s="1228">
        <v>0</v>
      </c>
      <c r="FU89" s="1228">
        <v>0</v>
      </c>
      <c r="FV89" s="1228">
        <v>0</v>
      </c>
      <c r="FW89" s="1228">
        <v>0</v>
      </c>
      <c r="FX89" s="1228">
        <v>0</v>
      </c>
      <c r="FY89" s="1230">
        <v>0</v>
      </c>
      <c r="FZ89" s="1230">
        <v>0</v>
      </c>
      <c r="GA89" s="1230">
        <v>1</v>
      </c>
      <c r="GB89" s="36"/>
      <c r="GD89" s="603"/>
      <c r="GE89" s="603"/>
      <c r="GF89" s="603"/>
      <c r="GG89" s="604" t="s">
        <v>1163</v>
      </c>
      <c r="GH89" s="605"/>
      <c r="GI89" s="606">
        <v>0</v>
      </c>
      <c r="GJ89" s="606">
        <v>0</v>
      </c>
      <c r="GK89" s="606">
        <v>0</v>
      </c>
      <c r="GL89" s="605"/>
      <c r="GM89" s="606">
        <v>0</v>
      </c>
      <c r="GN89" s="605"/>
      <c r="GO89" s="605"/>
      <c r="GP89" s="605"/>
      <c r="GQ89" s="605"/>
      <c r="GR89" s="606">
        <v>1</v>
      </c>
      <c r="GS89" s="605"/>
      <c r="GT89" s="605"/>
      <c r="GU89" s="606">
        <v>1</v>
      </c>
      <c r="GV89" s="606">
        <v>0</v>
      </c>
      <c r="GW89" s="607"/>
      <c r="GX89" s="607"/>
      <c r="GY89" s="608">
        <v>2</v>
      </c>
      <c r="GZ89" s="95"/>
      <c r="HB89" s="441"/>
      <c r="HC89" s="441"/>
      <c r="HD89" s="441"/>
      <c r="HE89" s="441"/>
      <c r="HF89" s="442" t="s">
        <v>1077</v>
      </c>
      <c r="HG89" s="609"/>
      <c r="HH89" s="609"/>
      <c r="HI89" s="610">
        <v>1</v>
      </c>
      <c r="HJ89" s="609"/>
      <c r="HK89" s="609"/>
      <c r="HL89" s="609"/>
      <c r="HM89" s="609"/>
      <c r="HN89" s="609"/>
      <c r="HO89" s="609"/>
      <c r="HP89" s="609"/>
      <c r="HQ89" s="609"/>
      <c r="HR89" s="609"/>
      <c r="HS89" s="610">
        <v>0</v>
      </c>
      <c r="HT89" s="610">
        <v>0</v>
      </c>
      <c r="HU89" s="609"/>
      <c r="HV89" s="612">
        <v>0</v>
      </c>
      <c r="HW89" s="611"/>
      <c r="HX89" s="612">
        <v>1</v>
      </c>
      <c r="HY89" s="560"/>
      <c r="HZ89" s="36"/>
      <c r="IA89" s="613" t="s">
        <v>48</v>
      </c>
      <c r="IB89" s="613" t="s">
        <v>16</v>
      </c>
      <c r="IC89" s="613" t="s">
        <v>143</v>
      </c>
      <c r="ID89" s="389" t="s">
        <v>1072</v>
      </c>
      <c r="IE89" s="614"/>
      <c r="IF89" s="614"/>
      <c r="IG89" s="614"/>
      <c r="IH89" s="614"/>
      <c r="II89" s="614"/>
      <c r="IJ89" s="614"/>
      <c r="IK89" s="390">
        <v>4</v>
      </c>
      <c r="IL89" s="390">
        <v>5</v>
      </c>
      <c r="IM89" s="390">
        <v>3</v>
      </c>
      <c r="IN89" s="614"/>
      <c r="IO89" s="614"/>
      <c r="IP89" s="614"/>
      <c r="IQ89" s="614"/>
      <c r="IR89" s="390">
        <v>12</v>
      </c>
      <c r="IS89" s="615"/>
      <c r="IT89" s="36"/>
      <c r="IU89" s="36"/>
      <c r="IV89" s="95" t="s">
        <v>48</v>
      </c>
      <c r="IW89" s="95" t="s">
        <v>16</v>
      </c>
      <c r="IX89" s="36" t="s">
        <v>143</v>
      </c>
      <c r="IY89" s="36" t="s">
        <v>1072</v>
      </c>
      <c r="IZ89" s="95"/>
      <c r="JA89" s="95">
        <v>1</v>
      </c>
      <c r="JB89" s="95">
        <v>2</v>
      </c>
      <c r="JC89" s="95">
        <v>1</v>
      </c>
      <c r="JD89" s="95">
        <v>1</v>
      </c>
      <c r="JE89" s="95"/>
      <c r="JF89" s="95"/>
      <c r="JG89" s="95"/>
      <c r="JH89" s="95">
        <v>11</v>
      </c>
      <c r="JI89" s="95">
        <v>4</v>
      </c>
      <c r="JJ89" s="95">
        <v>8</v>
      </c>
      <c r="JK89" s="95">
        <v>10</v>
      </c>
      <c r="JL89" s="95">
        <v>3</v>
      </c>
      <c r="JM89" s="95">
        <v>0</v>
      </c>
      <c r="JN89" s="95">
        <v>1</v>
      </c>
      <c r="JO89" s="95">
        <v>0</v>
      </c>
      <c r="JP89" s="95">
        <v>42</v>
      </c>
      <c r="JQ89" s="36"/>
      <c r="JR89" s="36"/>
      <c r="JS89" s="616"/>
      <c r="JT89" s="616"/>
      <c r="JU89" s="616"/>
      <c r="JV89" s="616" t="s">
        <v>1076</v>
      </c>
      <c r="JW89" s="616">
        <v>0</v>
      </c>
      <c r="JX89" s="616">
        <v>0</v>
      </c>
      <c r="JY89" s="616">
        <v>0</v>
      </c>
      <c r="JZ89" s="616">
        <v>0</v>
      </c>
      <c r="KA89" s="616">
        <v>0</v>
      </c>
      <c r="KB89" s="616">
        <v>0</v>
      </c>
      <c r="KC89" s="616">
        <v>0</v>
      </c>
      <c r="KD89" s="616">
        <v>0</v>
      </c>
      <c r="KE89" s="616">
        <v>0</v>
      </c>
      <c r="KF89" s="616">
        <v>0</v>
      </c>
      <c r="KG89" s="616">
        <v>0</v>
      </c>
      <c r="KH89" s="616">
        <v>1</v>
      </c>
      <c r="KI89" s="616">
        <v>0</v>
      </c>
      <c r="KJ89" s="616">
        <v>0</v>
      </c>
      <c r="KK89" s="616">
        <v>1</v>
      </c>
      <c r="KL89" s="616">
        <v>0</v>
      </c>
      <c r="KM89" s="616">
        <v>2</v>
      </c>
      <c r="KN89" s="616"/>
      <c r="KO89" s="617"/>
    </row>
    <row r="90" spans="1:301">
      <c r="A90" s="5737"/>
      <c r="B90" s="5737"/>
      <c r="C90" s="5736"/>
      <c r="D90" s="5739"/>
      <c r="E90" s="5742">
        <f>SUM(E89)</f>
        <v>1</v>
      </c>
      <c r="F90" s="5737"/>
      <c r="G90" s="4476">
        <f>+(E89)/(E90)</f>
        <v>1</v>
      </c>
      <c r="I90" s="4726">
        <v>2</v>
      </c>
      <c r="J90" s="4726">
        <v>1</v>
      </c>
      <c r="K90" s="4725" t="s">
        <v>681</v>
      </c>
      <c r="L90" s="4963" t="s">
        <v>1076</v>
      </c>
      <c r="M90" s="4964">
        <v>1</v>
      </c>
      <c r="N90" s="4726">
        <v>13</v>
      </c>
      <c r="Q90" s="4458"/>
      <c r="R90" s="4458"/>
      <c r="S90" s="4465" t="s">
        <v>15</v>
      </c>
      <c r="T90" s="4461"/>
      <c r="U90" s="4458"/>
      <c r="V90" s="4480">
        <f>SUM(V81:V89)</f>
        <v>20</v>
      </c>
      <c r="W90" s="4476">
        <f>+(V88 +V89)/(V90)</f>
        <v>0.55000000000000004</v>
      </c>
      <c r="X90" s="4467"/>
      <c r="Y90" s="4467"/>
      <c r="Z90" s="36"/>
      <c r="AA90" s="36"/>
      <c r="AB90" s="36" t="s">
        <v>124</v>
      </c>
      <c r="AC90" s="36" t="s">
        <v>1076</v>
      </c>
      <c r="AD90" s="615">
        <v>0</v>
      </c>
      <c r="AE90" s="615"/>
      <c r="AF90" s="615"/>
      <c r="AG90" s="615"/>
      <c r="AH90" s="615"/>
      <c r="AI90" s="615"/>
      <c r="AJ90" s="615"/>
      <c r="AK90" s="615"/>
      <c r="AL90" s="615">
        <v>0</v>
      </c>
      <c r="AM90" s="615"/>
      <c r="AN90" s="615">
        <v>1</v>
      </c>
      <c r="AO90" s="615">
        <v>0</v>
      </c>
      <c r="AP90" s="615"/>
      <c r="AQ90" s="36"/>
      <c r="AR90" s="36">
        <v>1</v>
      </c>
      <c r="AS90" s="36"/>
      <c r="AU90" s="36"/>
      <c r="AV90" s="36"/>
      <c r="AW90" s="393"/>
      <c r="AX90" s="393" t="s">
        <v>1076</v>
      </c>
      <c r="AY90" s="1682"/>
      <c r="AZ90" s="1682"/>
      <c r="BA90" s="1682"/>
      <c r="BB90" s="1682"/>
      <c r="BC90" s="1682">
        <v>0</v>
      </c>
      <c r="BD90" s="1682"/>
      <c r="BE90" s="1682"/>
      <c r="BF90" s="1682"/>
      <c r="BG90" s="1682">
        <v>0</v>
      </c>
      <c r="BH90" s="1682">
        <v>0</v>
      </c>
      <c r="BI90" s="1682">
        <v>0</v>
      </c>
      <c r="BJ90" s="1682">
        <v>1</v>
      </c>
      <c r="BK90" s="1682">
        <v>0</v>
      </c>
      <c r="BL90" s="1682">
        <v>1</v>
      </c>
      <c r="BM90" s="4455">
        <v>0</v>
      </c>
      <c r="BN90" s="4455">
        <v>0</v>
      </c>
      <c r="BO90" s="4455">
        <v>2</v>
      </c>
      <c r="BP90" s="4455"/>
      <c r="BT90" s="1520"/>
      <c r="BU90" s="1520" t="s">
        <v>1080</v>
      </c>
      <c r="BV90" s="3872">
        <v>0</v>
      </c>
      <c r="BW90" s="3872"/>
      <c r="BX90" s="3872"/>
      <c r="BY90" s="3872"/>
      <c r="BZ90" s="3872">
        <v>0</v>
      </c>
      <c r="CA90" s="3872"/>
      <c r="CB90" s="3872"/>
      <c r="CC90" s="3872"/>
      <c r="CD90" s="3872">
        <v>0</v>
      </c>
      <c r="CE90" s="3872">
        <v>0</v>
      </c>
      <c r="CF90" s="3872"/>
      <c r="CG90" s="3872">
        <v>0</v>
      </c>
      <c r="CH90" s="3872">
        <v>7</v>
      </c>
      <c r="CI90" s="3872">
        <v>5</v>
      </c>
      <c r="CJ90" s="3806">
        <v>4</v>
      </c>
      <c r="CK90" s="3806">
        <v>16</v>
      </c>
      <c r="CL90" s="1520"/>
      <c r="CN90" s="36"/>
      <c r="CO90" s="36"/>
      <c r="CP90" s="36"/>
      <c r="CQ90" s="393" t="s">
        <v>15</v>
      </c>
      <c r="CR90" s="2049"/>
      <c r="CS90" s="2049"/>
      <c r="CT90" s="2049"/>
      <c r="CU90" s="2049"/>
      <c r="CV90" s="2049"/>
      <c r="CW90" s="2049"/>
      <c r="CX90" s="2049"/>
      <c r="CY90" s="2049"/>
      <c r="CZ90" s="2049"/>
      <c r="DA90" s="2049"/>
      <c r="DB90" s="2049">
        <v>1</v>
      </c>
      <c r="DC90" s="2049"/>
      <c r="DD90" s="2049"/>
      <c r="DE90" s="2049">
        <v>1</v>
      </c>
      <c r="DF90" s="2049">
        <v>3</v>
      </c>
      <c r="DG90" s="393">
        <v>2</v>
      </c>
      <c r="DH90" s="393"/>
      <c r="DI90" s="393">
        <v>7</v>
      </c>
      <c r="DJ90" s="560">
        <f>+(DI89+DI87-DG87)/DI90</f>
        <v>0.14285714285714285</v>
      </c>
      <c r="DK90" s="1665"/>
      <c r="DL90" s="36"/>
      <c r="DM90" s="36" t="s">
        <v>41</v>
      </c>
      <c r="DN90" s="36" t="s">
        <v>128</v>
      </c>
      <c r="DO90" s="36" t="s">
        <v>1072</v>
      </c>
      <c r="DP90" s="1681">
        <v>1</v>
      </c>
      <c r="DQ90" s="1681"/>
      <c r="DR90" s="1681">
        <v>1</v>
      </c>
      <c r="DS90" s="1681"/>
      <c r="DT90" s="1681"/>
      <c r="DU90" s="1681"/>
      <c r="DV90" s="1681">
        <v>1</v>
      </c>
      <c r="DW90" s="1681"/>
      <c r="DX90" s="1681"/>
      <c r="DY90" s="1681"/>
      <c r="DZ90" s="1681"/>
      <c r="EA90" s="1681"/>
      <c r="EB90" s="1681">
        <v>1</v>
      </c>
      <c r="EC90" s="1681">
        <v>2</v>
      </c>
      <c r="ED90" s="1681">
        <v>1</v>
      </c>
      <c r="EE90" s="95"/>
      <c r="EF90" s="95">
        <v>0</v>
      </c>
      <c r="EG90" s="95">
        <v>7</v>
      </c>
      <c r="EH90" s="36"/>
      <c r="EL90" s="36"/>
      <c r="EM90" s="393" t="s">
        <v>15</v>
      </c>
      <c r="EN90" s="1491"/>
      <c r="EO90" s="1491">
        <v>2</v>
      </c>
      <c r="EP90" s="1491"/>
      <c r="EQ90" s="1491">
        <v>1</v>
      </c>
      <c r="ER90" s="1491"/>
      <c r="ES90" s="1491"/>
      <c r="ET90" s="1491"/>
      <c r="EU90" s="1491"/>
      <c r="EV90" s="1491">
        <v>1</v>
      </c>
      <c r="EW90" s="1491"/>
      <c r="EX90" s="1491"/>
      <c r="EY90" s="1491"/>
      <c r="EZ90" s="1491">
        <v>9</v>
      </c>
      <c r="FA90" s="1491">
        <v>14</v>
      </c>
      <c r="FB90" s="1491">
        <v>3</v>
      </c>
      <c r="FC90" s="393"/>
      <c r="FD90" s="393"/>
      <c r="FE90" s="393">
        <v>30</v>
      </c>
      <c r="FF90" s="560">
        <f>+(FE87+FE89)/FE90</f>
        <v>0.6</v>
      </c>
      <c r="FH90" s="1225"/>
      <c r="FI90" s="1225"/>
      <c r="FJ90" s="1225"/>
      <c r="FK90" s="1226" t="s">
        <v>1076</v>
      </c>
      <c r="FL90" s="1227"/>
      <c r="FM90" s="1228">
        <v>0</v>
      </c>
      <c r="FN90" s="1228">
        <v>0</v>
      </c>
      <c r="FO90" s="1227"/>
      <c r="FP90" s="1228">
        <v>0</v>
      </c>
      <c r="FQ90" s="1227"/>
      <c r="FR90" s="1228">
        <v>2</v>
      </c>
      <c r="FS90" s="1228">
        <v>4</v>
      </c>
      <c r="FT90" s="1228">
        <v>4</v>
      </c>
      <c r="FU90" s="1228">
        <v>1</v>
      </c>
      <c r="FV90" s="1228">
        <v>8</v>
      </c>
      <c r="FW90" s="1228">
        <v>2</v>
      </c>
      <c r="FX90" s="1228">
        <v>0</v>
      </c>
      <c r="FY90" s="1230">
        <v>0</v>
      </c>
      <c r="FZ90" s="1230">
        <v>0</v>
      </c>
      <c r="GA90" s="1230">
        <v>21</v>
      </c>
      <c r="GB90" s="36"/>
      <c r="GD90" s="603"/>
      <c r="GE90" s="603"/>
      <c r="GF90" s="603"/>
      <c r="GG90" s="622" t="s">
        <v>15</v>
      </c>
      <c r="GH90" s="623"/>
      <c r="GI90" s="624">
        <v>2</v>
      </c>
      <c r="GJ90" s="624">
        <v>3</v>
      </c>
      <c r="GK90" s="624">
        <v>1</v>
      </c>
      <c r="GL90" s="623"/>
      <c r="GM90" s="624">
        <v>1</v>
      </c>
      <c r="GN90" s="623"/>
      <c r="GO90" s="623"/>
      <c r="GP90" s="623"/>
      <c r="GQ90" s="623"/>
      <c r="GR90" s="624">
        <v>1</v>
      </c>
      <c r="GS90" s="623"/>
      <c r="GT90" s="623"/>
      <c r="GU90" s="624">
        <v>9</v>
      </c>
      <c r="GV90" s="624">
        <v>5</v>
      </c>
      <c r="GW90" s="625"/>
      <c r="GX90" s="625"/>
      <c r="GY90" s="626">
        <v>22</v>
      </c>
      <c r="GZ90" s="560">
        <f>+(GY86+GY89)/GY90</f>
        <v>0.45454545454545453</v>
      </c>
      <c r="HB90" s="441"/>
      <c r="HC90" s="441"/>
      <c r="HD90" s="441"/>
      <c r="HE90" s="36"/>
      <c r="HF90" s="462" t="s">
        <v>15</v>
      </c>
      <c r="HG90" s="618"/>
      <c r="HH90" s="618"/>
      <c r="HI90" s="619">
        <v>1</v>
      </c>
      <c r="HJ90" s="618"/>
      <c r="HK90" s="618"/>
      <c r="HL90" s="618"/>
      <c r="HM90" s="618"/>
      <c r="HN90" s="618"/>
      <c r="HO90" s="618"/>
      <c r="HP90" s="618"/>
      <c r="HQ90" s="618"/>
      <c r="HR90" s="618"/>
      <c r="HS90" s="619">
        <v>3</v>
      </c>
      <c r="HT90" s="619">
        <v>2</v>
      </c>
      <c r="HU90" s="618"/>
      <c r="HV90" s="621">
        <v>1</v>
      </c>
      <c r="HW90" s="620"/>
      <c r="HX90" s="621">
        <v>7</v>
      </c>
      <c r="HY90" s="560">
        <f>+HX88/HX90</f>
        <v>0.7142857142857143</v>
      </c>
      <c r="HZ90" s="36"/>
      <c r="IA90" s="613"/>
      <c r="IB90" s="613"/>
      <c r="IC90" s="613"/>
      <c r="ID90" s="389" t="s">
        <v>1163</v>
      </c>
      <c r="IE90" s="614"/>
      <c r="IF90" s="614"/>
      <c r="IG90" s="614"/>
      <c r="IH90" s="614"/>
      <c r="II90" s="614"/>
      <c r="IJ90" s="614"/>
      <c r="IK90" s="390">
        <v>0</v>
      </c>
      <c r="IL90" s="390">
        <v>1</v>
      </c>
      <c r="IM90" s="390">
        <v>0</v>
      </c>
      <c r="IN90" s="614"/>
      <c r="IO90" s="614"/>
      <c r="IP90" s="614"/>
      <c r="IQ90" s="614"/>
      <c r="IR90" s="390">
        <v>1</v>
      </c>
      <c r="IS90" s="615"/>
      <c r="IT90" s="36"/>
      <c r="IU90" s="36"/>
      <c r="IV90" s="95"/>
      <c r="IW90" s="95"/>
      <c r="IX90" s="36"/>
      <c r="IY90" s="36" t="s">
        <v>1076</v>
      </c>
      <c r="IZ90" s="95"/>
      <c r="JA90" s="95">
        <v>0</v>
      </c>
      <c r="JB90" s="95">
        <v>0</v>
      </c>
      <c r="JC90" s="95">
        <v>0</v>
      </c>
      <c r="JD90" s="95">
        <v>0</v>
      </c>
      <c r="JE90" s="95"/>
      <c r="JF90" s="95"/>
      <c r="JG90" s="95"/>
      <c r="JH90" s="95">
        <v>1</v>
      </c>
      <c r="JI90" s="95">
        <v>0</v>
      </c>
      <c r="JJ90" s="95">
        <v>0</v>
      </c>
      <c r="JK90" s="95">
        <v>0</v>
      </c>
      <c r="JL90" s="95">
        <v>0</v>
      </c>
      <c r="JM90" s="95">
        <v>1</v>
      </c>
      <c r="JN90" s="95">
        <v>0</v>
      </c>
      <c r="JO90" s="95">
        <v>0</v>
      </c>
      <c r="JP90" s="95">
        <v>2</v>
      </c>
      <c r="JQ90" s="36"/>
      <c r="JR90" s="36"/>
      <c r="JS90" s="616"/>
      <c r="JT90" s="616"/>
      <c r="JU90" s="616"/>
      <c r="JV90" s="616" t="s">
        <v>1080</v>
      </c>
      <c r="JW90" s="616">
        <v>0</v>
      </c>
      <c r="JX90" s="616">
        <v>0</v>
      </c>
      <c r="JY90" s="616">
        <v>0</v>
      </c>
      <c r="JZ90" s="616">
        <v>0</v>
      </c>
      <c r="KA90" s="616">
        <v>0</v>
      </c>
      <c r="KB90" s="616">
        <v>0</v>
      </c>
      <c r="KC90" s="616">
        <v>0</v>
      </c>
      <c r="KD90" s="616">
        <v>0</v>
      </c>
      <c r="KE90" s="616">
        <v>0</v>
      </c>
      <c r="KF90" s="616">
        <v>0</v>
      </c>
      <c r="KG90" s="616">
        <v>1</v>
      </c>
      <c r="KH90" s="616">
        <v>0</v>
      </c>
      <c r="KI90" s="616">
        <v>0</v>
      </c>
      <c r="KJ90" s="616">
        <v>0</v>
      </c>
      <c r="KK90" s="616">
        <v>0</v>
      </c>
      <c r="KL90" s="616">
        <v>2</v>
      </c>
      <c r="KM90" s="616">
        <v>3</v>
      </c>
      <c r="KN90" s="616"/>
      <c r="KO90" s="617"/>
    </row>
    <row r="91" spans="1:301">
      <c r="A91" s="5737"/>
      <c r="B91" s="5737"/>
      <c r="C91" s="5736"/>
      <c r="D91" s="5738" t="s">
        <v>2754</v>
      </c>
      <c r="E91" s="5751">
        <f>SUM(E68:E69,E74:E75,E80,E84,E87,E89)</f>
        <v>8</v>
      </c>
      <c r="F91" s="5737"/>
      <c r="I91" s="4726"/>
      <c r="J91" s="4726"/>
      <c r="K91" s="4725"/>
      <c r="L91" s="4963"/>
      <c r="M91" s="4987">
        <f>SUM(M90)</f>
        <v>1</v>
      </c>
      <c r="N91" s="4726"/>
      <c r="O91" s="4476">
        <f>+(M90)/(M91)</f>
        <v>1</v>
      </c>
      <c r="Q91" s="4458">
        <v>2</v>
      </c>
      <c r="R91" s="4458">
        <v>2</v>
      </c>
      <c r="S91" s="4459" t="s">
        <v>2737</v>
      </c>
      <c r="T91" s="4459" t="s">
        <v>2709</v>
      </c>
      <c r="U91" s="4458">
        <v>12</v>
      </c>
      <c r="V91" s="4479">
        <v>2</v>
      </c>
      <c r="W91" s="4510"/>
      <c r="X91" s="4467"/>
      <c r="Y91" s="4467"/>
      <c r="Z91" s="36"/>
      <c r="AA91" s="36"/>
      <c r="AB91" s="36"/>
      <c r="AC91" s="36" t="s">
        <v>1077</v>
      </c>
      <c r="AD91" s="615">
        <v>0</v>
      </c>
      <c r="AE91" s="615"/>
      <c r="AF91" s="615"/>
      <c r="AG91" s="615"/>
      <c r="AH91" s="615"/>
      <c r="AI91" s="615"/>
      <c r="AJ91" s="615"/>
      <c r="AK91" s="615"/>
      <c r="AL91" s="615">
        <v>1</v>
      </c>
      <c r="AM91" s="615"/>
      <c r="AN91" s="615">
        <v>0</v>
      </c>
      <c r="AO91" s="615">
        <v>0</v>
      </c>
      <c r="AP91" s="615"/>
      <c r="AQ91" s="36"/>
      <c r="AR91" s="36">
        <v>1</v>
      </c>
      <c r="AS91" s="36"/>
      <c r="AU91" s="36"/>
      <c r="AV91" s="36"/>
      <c r="AW91" s="393"/>
      <c r="AX91" s="393" t="s">
        <v>1080</v>
      </c>
      <c r="AY91" s="1682"/>
      <c r="AZ91" s="1682"/>
      <c r="BA91" s="1682"/>
      <c r="BB91" s="1682"/>
      <c r="BC91" s="1682">
        <v>0</v>
      </c>
      <c r="BD91" s="1682"/>
      <c r="BE91" s="1682"/>
      <c r="BF91" s="1682"/>
      <c r="BG91" s="1682">
        <v>0</v>
      </c>
      <c r="BH91" s="1682">
        <v>0</v>
      </c>
      <c r="BI91" s="1682">
        <v>1</v>
      </c>
      <c r="BJ91" s="1682">
        <v>0</v>
      </c>
      <c r="BK91" s="1682">
        <v>7</v>
      </c>
      <c r="BL91" s="1682">
        <v>4</v>
      </c>
      <c r="BM91" s="4455">
        <v>5</v>
      </c>
      <c r="BN91" s="4455">
        <v>1</v>
      </c>
      <c r="BO91" s="4455">
        <v>18</v>
      </c>
      <c r="BP91" s="4455"/>
      <c r="BT91" s="1520"/>
      <c r="BU91" s="1520" t="s">
        <v>1163</v>
      </c>
      <c r="BV91" s="3872">
        <v>0</v>
      </c>
      <c r="BW91" s="3872"/>
      <c r="BX91" s="3872"/>
      <c r="BY91" s="3872"/>
      <c r="BZ91" s="3872">
        <v>0</v>
      </c>
      <c r="CA91" s="3872"/>
      <c r="CB91" s="3872"/>
      <c r="CC91" s="3872"/>
      <c r="CD91" s="3872">
        <v>0</v>
      </c>
      <c r="CE91" s="3872">
        <v>0</v>
      </c>
      <c r="CF91" s="3872"/>
      <c r="CG91" s="3872">
        <v>4</v>
      </c>
      <c r="CH91" s="3872">
        <v>1</v>
      </c>
      <c r="CI91" s="3872">
        <v>0</v>
      </c>
      <c r="CJ91" s="3806">
        <v>0</v>
      </c>
      <c r="CK91" s="3806">
        <v>5</v>
      </c>
      <c r="CL91" s="1520"/>
      <c r="CN91" s="36"/>
      <c r="CO91" s="36"/>
      <c r="CP91" s="36" t="s">
        <v>681</v>
      </c>
      <c r="CQ91" s="36" t="s">
        <v>1074</v>
      </c>
      <c r="CR91" s="615"/>
      <c r="CS91" s="615">
        <v>1</v>
      </c>
      <c r="CT91" s="615"/>
      <c r="CU91" s="615"/>
      <c r="CV91" s="615"/>
      <c r="CW91" s="615"/>
      <c r="CX91" s="615"/>
      <c r="CY91" s="615"/>
      <c r="CZ91" s="615"/>
      <c r="DA91" s="615"/>
      <c r="DB91" s="615"/>
      <c r="DC91" s="615"/>
      <c r="DD91" s="615"/>
      <c r="DE91" s="615"/>
      <c r="DF91" s="615"/>
      <c r="DG91" s="36">
        <v>0</v>
      </c>
      <c r="DH91" s="36"/>
      <c r="DI91" s="36">
        <v>1</v>
      </c>
      <c r="DJ91" s="36"/>
      <c r="DL91" s="36"/>
      <c r="DM91" s="36"/>
      <c r="DN91" s="36"/>
      <c r="DO91" s="36" t="s">
        <v>1076</v>
      </c>
      <c r="DP91" s="1681">
        <v>0</v>
      </c>
      <c r="DQ91" s="1681"/>
      <c r="DR91" s="1681">
        <v>0</v>
      </c>
      <c r="DS91" s="1681"/>
      <c r="DT91" s="1681"/>
      <c r="DU91" s="1681"/>
      <c r="DV91" s="1681">
        <v>0</v>
      </c>
      <c r="DW91" s="1681"/>
      <c r="DX91" s="1681"/>
      <c r="DY91" s="1681"/>
      <c r="DZ91" s="1681"/>
      <c r="EA91" s="1681"/>
      <c r="EB91" s="1681">
        <v>0</v>
      </c>
      <c r="EC91" s="1681">
        <v>1</v>
      </c>
      <c r="ED91" s="1681">
        <v>0</v>
      </c>
      <c r="EE91" s="95"/>
      <c r="EF91" s="95">
        <v>0</v>
      </c>
      <c r="EG91" s="95">
        <v>1</v>
      </c>
      <c r="EH91" s="36"/>
      <c r="EL91" s="36" t="s">
        <v>126</v>
      </c>
      <c r="EM91" s="36" t="s">
        <v>1072</v>
      </c>
      <c r="EN91" s="1490">
        <v>1</v>
      </c>
      <c r="EO91" s="1490"/>
      <c r="EP91" s="1490"/>
      <c r="EQ91" s="1490">
        <v>0</v>
      </c>
      <c r="ER91" s="1490"/>
      <c r="ES91" s="1490"/>
      <c r="ET91" s="1490"/>
      <c r="EU91" s="1490"/>
      <c r="EV91" s="1490"/>
      <c r="EW91" s="1490">
        <v>0</v>
      </c>
      <c r="EX91" s="1490"/>
      <c r="EY91" s="1490"/>
      <c r="EZ91" s="1490">
        <v>4</v>
      </c>
      <c r="FA91" s="1490">
        <v>3</v>
      </c>
      <c r="FB91" s="1490">
        <v>0</v>
      </c>
      <c r="FC91" s="36"/>
      <c r="FD91" s="36"/>
      <c r="FE91" s="36">
        <v>8</v>
      </c>
      <c r="FF91" s="36"/>
      <c r="FH91" s="1225"/>
      <c r="FI91" s="1225"/>
      <c r="FJ91" s="1225"/>
      <c r="FK91" s="1226" t="s">
        <v>1077</v>
      </c>
      <c r="FL91" s="1227"/>
      <c r="FM91" s="1228">
        <v>0</v>
      </c>
      <c r="FN91" s="1228">
        <v>2</v>
      </c>
      <c r="FO91" s="1227"/>
      <c r="FP91" s="1228">
        <v>1</v>
      </c>
      <c r="FQ91" s="1227"/>
      <c r="FR91" s="1228">
        <v>0</v>
      </c>
      <c r="FS91" s="1228">
        <v>0</v>
      </c>
      <c r="FT91" s="1228">
        <v>0</v>
      </c>
      <c r="FU91" s="1228">
        <v>0</v>
      </c>
      <c r="FV91" s="1228">
        <v>0</v>
      </c>
      <c r="FW91" s="1228">
        <v>0</v>
      </c>
      <c r="FX91" s="1228">
        <v>0</v>
      </c>
      <c r="FY91" s="1230">
        <v>0</v>
      </c>
      <c r="FZ91" s="1230">
        <v>0</v>
      </c>
      <c r="GA91" s="1230">
        <v>3</v>
      </c>
      <c r="GB91" s="36"/>
      <c r="GD91" s="603"/>
      <c r="GE91" s="603"/>
      <c r="GF91" s="603" t="s">
        <v>127</v>
      </c>
      <c r="GG91" s="604" t="s">
        <v>1072</v>
      </c>
      <c r="GH91" s="605"/>
      <c r="GI91" s="605"/>
      <c r="GJ91" s="605"/>
      <c r="GK91" s="605"/>
      <c r="GL91" s="605"/>
      <c r="GM91" s="605"/>
      <c r="GN91" s="605"/>
      <c r="GO91" s="605"/>
      <c r="GP91" s="605"/>
      <c r="GQ91" s="605"/>
      <c r="GR91" s="605"/>
      <c r="GS91" s="605"/>
      <c r="GT91" s="606">
        <v>5</v>
      </c>
      <c r="GU91" s="606">
        <v>2</v>
      </c>
      <c r="GV91" s="605"/>
      <c r="GW91" s="608">
        <v>0</v>
      </c>
      <c r="GX91" s="608">
        <v>0</v>
      </c>
      <c r="GY91" s="608">
        <v>7</v>
      </c>
      <c r="GZ91" s="95"/>
      <c r="HB91" s="441"/>
      <c r="HC91" s="441"/>
      <c r="HD91" s="441" t="s">
        <v>127</v>
      </c>
      <c r="HE91" s="441" t="s">
        <v>1070</v>
      </c>
      <c r="HF91" s="442" t="s">
        <v>1072</v>
      </c>
      <c r="HG91" s="609"/>
      <c r="HH91" s="609"/>
      <c r="HI91" s="610">
        <v>1</v>
      </c>
      <c r="HJ91" s="609"/>
      <c r="HK91" s="609"/>
      <c r="HL91" s="609"/>
      <c r="HM91" s="609"/>
      <c r="HN91" s="609"/>
      <c r="HO91" s="609"/>
      <c r="HP91" s="609"/>
      <c r="HQ91" s="609"/>
      <c r="HR91" s="609"/>
      <c r="HS91" s="610">
        <v>3</v>
      </c>
      <c r="HT91" s="610">
        <v>1</v>
      </c>
      <c r="HU91" s="610">
        <v>1</v>
      </c>
      <c r="HV91" s="612">
        <v>0</v>
      </c>
      <c r="HW91" s="612">
        <v>0</v>
      </c>
      <c r="HX91" s="612">
        <v>6</v>
      </c>
      <c r="HY91" s="560"/>
      <c r="HZ91" s="36"/>
      <c r="IA91" s="613"/>
      <c r="IB91" s="613"/>
      <c r="IC91" s="613"/>
      <c r="ID91" s="629" t="s">
        <v>15</v>
      </c>
      <c r="IE91" s="630"/>
      <c r="IF91" s="630"/>
      <c r="IG91" s="630"/>
      <c r="IH91" s="630"/>
      <c r="II91" s="630"/>
      <c r="IJ91" s="630"/>
      <c r="IK91" s="395">
        <v>4</v>
      </c>
      <c r="IL91" s="395">
        <v>6</v>
      </c>
      <c r="IM91" s="395">
        <v>3</v>
      </c>
      <c r="IN91" s="630"/>
      <c r="IO91" s="630"/>
      <c r="IP91" s="630"/>
      <c r="IQ91" s="630"/>
      <c r="IR91" s="395">
        <v>13</v>
      </c>
      <c r="IS91" s="553">
        <f>+IR90/IR91</f>
        <v>7.6923076923076927E-2</v>
      </c>
      <c r="IT91" s="36"/>
      <c r="IU91" s="36"/>
      <c r="IV91" s="95"/>
      <c r="IW91" s="95"/>
      <c r="IX91" s="36"/>
      <c r="IY91" s="36" t="s">
        <v>1080</v>
      </c>
      <c r="IZ91" s="95"/>
      <c r="JA91" s="95">
        <v>0</v>
      </c>
      <c r="JB91" s="95">
        <v>0</v>
      </c>
      <c r="JC91" s="95">
        <v>0</v>
      </c>
      <c r="JD91" s="95">
        <v>0</v>
      </c>
      <c r="JE91" s="95"/>
      <c r="JF91" s="95"/>
      <c r="JG91" s="95"/>
      <c r="JH91" s="95">
        <v>0</v>
      </c>
      <c r="JI91" s="95">
        <v>2</v>
      </c>
      <c r="JJ91" s="95">
        <v>1</v>
      </c>
      <c r="JK91" s="95">
        <v>1</v>
      </c>
      <c r="JL91" s="95">
        <v>1</v>
      </c>
      <c r="JM91" s="95">
        <v>0</v>
      </c>
      <c r="JN91" s="95">
        <v>3</v>
      </c>
      <c r="JO91" s="95">
        <v>6</v>
      </c>
      <c r="JP91" s="95">
        <v>14</v>
      </c>
      <c r="JQ91" s="36"/>
      <c r="JR91" s="36"/>
      <c r="JS91" s="616"/>
      <c r="JT91" s="616"/>
      <c r="JU91" s="616"/>
      <c r="JV91" s="616" t="s">
        <v>1163</v>
      </c>
      <c r="JW91" s="616">
        <v>0</v>
      </c>
      <c r="JX91" s="616">
        <v>0</v>
      </c>
      <c r="JY91" s="616">
        <v>0</v>
      </c>
      <c r="JZ91" s="616">
        <v>0</v>
      </c>
      <c r="KA91" s="616">
        <v>0</v>
      </c>
      <c r="KB91" s="616">
        <v>0</v>
      </c>
      <c r="KC91" s="616">
        <v>0</v>
      </c>
      <c r="KD91" s="616">
        <v>0</v>
      </c>
      <c r="KE91" s="616">
        <v>0</v>
      </c>
      <c r="KF91" s="616">
        <v>0</v>
      </c>
      <c r="KG91" s="616">
        <v>0</v>
      </c>
      <c r="KH91" s="616">
        <v>2</v>
      </c>
      <c r="KI91" s="616">
        <v>0</v>
      </c>
      <c r="KJ91" s="616">
        <v>0</v>
      </c>
      <c r="KK91" s="616">
        <v>0</v>
      </c>
      <c r="KL91" s="616">
        <v>0</v>
      </c>
      <c r="KM91" s="616">
        <v>2</v>
      </c>
      <c r="KN91" s="616"/>
      <c r="KO91" s="617"/>
    </row>
    <row r="92" spans="1:301" ht="15" thickBot="1">
      <c r="A92" s="5737"/>
      <c r="B92" s="5737"/>
      <c r="C92" s="5742" t="s">
        <v>4</v>
      </c>
      <c r="D92" s="5739"/>
      <c r="E92" s="5742">
        <f>SUM(E90,E86,E83,E77,E71,E66)</f>
        <v>25</v>
      </c>
      <c r="F92" s="5737"/>
      <c r="G92" s="4452">
        <f>+(E91)/(E92)</f>
        <v>0.32</v>
      </c>
      <c r="I92" s="4726"/>
      <c r="J92" s="4726"/>
      <c r="K92" s="4725"/>
      <c r="L92" s="4963"/>
      <c r="M92" s="4986">
        <f>SUM(M69:M70,M76:M77,M86,M88,M90)</f>
        <v>7</v>
      </c>
      <c r="N92" s="4726"/>
      <c r="Q92" s="4458">
        <v>2</v>
      </c>
      <c r="R92" s="4458">
        <v>2</v>
      </c>
      <c r="S92" s="4459" t="s">
        <v>2737</v>
      </c>
      <c r="T92" s="4459" t="s">
        <v>2705</v>
      </c>
      <c r="U92" s="4458">
        <v>2</v>
      </c>
      <c r="V92" s="4479">
        <v>1</v>
      </c>
      <c r="W92" s="4510"/>
      <c r="X92" s="4467"/>
      <c r="Y92" s="4467"/>
      <c r="Z92" s="36"/>
      <c r="AA92" s="36"/>
      <c r="AB92" s="36"/>
      <c r="AC92" s="36" t="s">
        <v>1080</v>
      </c>
      <c r="AD92" s="615">
        <v>0</v>
      </c>
      <c r="AE92" s="615"/>
      <c r="AF92" s="615"/>
      <c r="AG92" s="615"/>
      <c r="AH92" s="615"/>
      <c r="AI92" s="615"/>
      <c r="AJ92" s="615"/>
      <c r="AK92" s="615"/>
      <c r="AL92" s="615">
        <v>0</v>
      </c>
      <c r="AM92" s="615"/>
      <c r="AN92" s="615">
        <v>0</v>
      </c>
      <c r="AO92" s="615">
        <v>12</v>
      </c>
      <c r="AP92" s="615"/>
      <c r="AQ92" s="36"/>
      <c r="AR92" s="36">
        <v>12</v>
      </c>
      <c r="AS92" s="36"/>
      <c r="AW92" s="27"/>
      <c r="AX92" s="27" t="s">
        <v>1163</v>
      </c>
      <c r="AY92" s="3722"/>
      <c r="AZ92" s="3722"/>
      <c r="BA92" s="3722"/>
      <c r="BB92" s="3722"/>
      <c r="BC92" s="3722">
        <v>0</v>
      </c>
      <c r="BD92" s="3722"/>
      <c r="BE92" s="3722"/>
      <c r="BF92" s="3722"/>
      <c r="BG92" s="3722">
        <v>0</v>
      </c>
      <c r="BH92" s="3722">
        <v>0</v>
      </c>
      <c r="BI92" s="3722">
        <v>0</v>
      </c>
      <c r="BJ92" s="3722">
        <v>6</v>
      </c>
      <c r="BK92" s="3722">
        <v>1</v>
      </c>
      <c r="BL92" s="3722">
        <v>1</v>
      </c>
      <c r="BM92" s="3701">
        <v>0</v>
      </c>
      <c r="BN92" s="3701">
        <v>0</v>
      </c>
      <c r="BO92" s="3701">
        <v>8</v>
      </c>
      <c r="BP92" s="3701"/>
      <c r="BT92" s="1520"/>
      <c r="BU92" s="1520" t="s">
        <v>482</v>
      </c>
      <c r="BV92" s="3872">
        <v>0</v>
      </c>
      <c r="BW92" s="3872"/>
      <c r="BX92" s="3872"/>
      <c r="BY92" s="3872"/>
      <c r="BZ92" s="3872">
        <v>1</v>
      </c>
      <c r="CA92" s="3872"/>
      <c r="CB92" s="3872"/>
      <c r="CC92" s="3872"/>
      <c r="CD92" s="3872">
        <v>3</v>
      </c>
      <c r="CE92" s="3872">
        <v>2</v>
      </c>
      <c r="CF92" s="3872"/>
      <c r="CG92" s="3872">
        <v>10</v>
      </c>
      <c r="CH92" s="3872">
        <v>15</v>
      </c>
      <c r="CI92" s="3872">
        <v>7</v>
      </c>
      <c r="CJ92" s="3806">
        <v>4</v>
      </c>
      <c r="CK92" s="3806">
        <v>42</v>
      </c>
      <c r="CL92" s="3807">
        <f>+(CK89+CK91)/CK92</f>
        <v>0.21428571428571427</v>
      </c>
      <c r="CN92" s="36"/>
      <c r="CO92" s="36"/>
      <c r="CP92" s="36"/>
      <c r="CQ92" s="36" t="s">
        <v>1076</v>
      </c>
      <c r="CR92" s="615"/>
      <c r="CS92" s="615">
        <v>0</v>
      </c>
      <c r="CT92" s="615"/>
      <c r="CU92" s="615"/>
      <c r="CV92" s="615"/>
      <c r="CW92" s="615"/>
      <c r="CX92" s="615"/>
      <c r="CY92" s="615"/>
      <c r="CZ92" s="615"/>
      <c r="DA92" s="615"/>
      <c r="DB92" s="615"/>
      <c r="DC92" s="615"/>
      <c r="DD92" s="615"/>
      <c r="DE92" s="615"/>
      <c r="DF92" s="615"/>
      <c r="DG92" s="36">
        <v>1</v>
      </c>
      <c r="DH92" s="36"/>
      <c r="DI92" s="36">
        <v>1</v>
      </c>
      <c r="DJ92" s="36"/>
      <c r="DL92" s="36"/>
      <c r="DM92" s="36"/>
      <c r="DN92" s="36"/>
      <c r="DO92" s="36" t="s">
        <v>1080</v>
      </c>
      <c r="DP92" s="1681">
        <v>0</v>
      </c>
      <c r="DQ92" s="1681"/>
      <c r="DR92" s="1681">
        <v>0</v>
      </c>
      <c r="DS92" s="1681"/>
      <c r="DT92" s="1681"/>
      <c r="DU92" s="1681"/>
      <c r="DV92" s="1681">
        <v>0</v>
      </c>
      <c r="DW92" s="1681"/>
      <c r="DX92" s="1681"/>
      <c r="DY92" s="1681"/>
      <c r="DZ92" s="1681"/>
      <c r="EA92" s="1681"/>
      <c r="EB92" s="1681">
        <v>0</v>
      </c>
      <c r="EC92" s="1681">
        <v>0</v>
      </c>
      <c r="ED92" s="1681">
        <v>6</v>
      </c>
      <c r="EE92" s="95"/>
      <c r="EF92" s="95">
        <v>1</v>
      </c>
      <c r="EG92" s="95">
        <v>7</v>
      </c>
      <c r="EH92" s="36"/>
      <c r="EL92" s="36"/>
      <c r="EM92" s="36" t="s">
        <v>1076</v>
      </c>
      <c r="EN92" s="1490">
        <v>0</v>
      </c>
      <c r="EO92" s="1490"/>
      <c r="EP92" s="1490"/>
      <c r="EQ92" s="1490">
        <v>0</v>
      </c>
      <c r="ER92" s="1490"/>
      <c r="ES92" s="1490"/>
      <c r="ET92" s="1490"/>
      <c r="EU92" s="1490"/>
      <c r="EV92" s="1490"/>
      <c r="EW92" s="1490">
        <v>0</v>
      </c>
      <c r="EX92" s="1490"/>
      <c r="EY92" s="1490"/>
      <c r="EZ92" s="1490">
        <v>8</v>
      </c>
      <c r="FA92" s="1490">
        <v>2</v>
      </c>
      <c r="FB92" s="1490">
        <v>0</v>
      </c>
      <c r="FC92" s="36"/>
      <c r="FD92" s="36"/>
      <c r="FE92" s="36">
        <v>10</v>
      </c>
      <c r="FF92" s="36"/>
      <c r="FH92" s="1225"/>
      <c r="FI92" s="1225"/>
      <c r="FJ92" s="1225"/>
      <c r="FK92" s="1226" t="s">
        <v>1080</v>
      </c>
      <c r="FL92" s="1227"/>
      <c r="FM92" s="1228">
        <v>0</v>
      </c>
      <c r="FN92" s="1228">
        <v>0</v>
      </c>
      <c r="FO92" s="1227"/>
      <c r="FP92" s="1228">
        <v>0</v>
      </c>
      <c r="FQ92" s="1227"/>
      <c r="FR92" s="1228">
        <v>0</v>
      </c>
      <c r="FS92" s="1228">
        <v>0</v>
      </c>
      <c r="FT92" s="1228">
        <v>0</v>
      </c>
      <c r="FU92" s="1228">
        <v>0</v>
      </c>
      <c r="FV92" s="1228">
        <v>0</v>
      </c>
      <c r="FW92" s="1228">
        <v>0</v>
      </c>
      <c r="FX92" s="1228">
        <v>16</v>
      </c>
      <c r="FY92" s="1230">
        <v>1</v>
      </c>
      <c r="FZ92" s="1230">
        <v>8</v>
      </c>
      <c r="GA92" s="1230">
        <v>25</v>
      </c>
      <c r="GB92" s="36"/>
      <c r="GD92" s="603"/>
      <c r="GE92" s="603"/>
      <c r="GF92" s="603"/>
      <c r="GG92" s="604" t="s">
        <v>1076</v>
      </c>
      <c r="GH92" s="605"/>
      <c r="GI92" s="605"/>
      <c r="GJ92" s="605"/>
      <c r="GK92" s="605"/>
      <c r="GL92" s="605"/>
      <c r="GM92" s="605"/>
      <c r="GN92" s="605"/>
      <c r="GO92" s="605"/>
      <c r="GP92" s="605"/>
      <c r="GQ92" s="605"/>
      <c r="GR92" s="605"/>
      <c r="GS92" s="605"/>
      <c r="GT92" s="606">
        <v>0</v>
      </c>
      <c r="GU92" s="606">
        <v>1</v>
      </c>
      <c r="GV92" s="605"/>
      <c r="GW92" s="608">
        <v>0</v>
      </c>
      <c r="GX92" s="608">
        <v>0</v>
      </c>
      <c r="GY92" s="608">
        <v>1</v>
      </c>
      <c r="GZ92" s="95"/>
      <c r="HB92" s="441"/>
      <c r="HC92" s="441"/>
      <c r="HD92" s="441"/>
      <c r="HE92" s="441"/>
      <c r="HF92" s="442" t="s">
        <v>1076</v>
      </c>
      <c r="HG92" s="609"/>
      <c r="HH92" s="609"/>
      <c r="HI92" s="610">
        <v>0</v>
      </c>
      <c r="HJ92" s="609"/>
      <c r="HK92" s="609"/>
      <c r="HL92" s="609"/>
      <c r="HM92" s="609"/>
      <c r="HN92" s="609"/>
      <c r="HO92" s="609"/>
      <c r="HP92" s="609"/>
      <c r="HQ92" s="609"/>
      <c r="HR92" s="609"/>
      <c r="HS92" s="610">
        <v>0</v>
      </c>
      <c r="HT92" s="610">
        <v>0</v>
      </c>
      <c r="HU92" s="610">
        <v>0</v>
      </c>
      <c r="HV92" s="612">
        <v>2</v>
      </c>
      <c r="HW92" s="612">
        <v>0</v>
      </c>
      <c r="HX92" s="612">
        <v>2</v>
      </c>
      <c r="HY92" s="560"/>
      <c r="HZ92" s="36"/>
      <c r="IA92" s="613"/>
      <c r="IB92" s="613"/>
      <c r="IC92" s="613" t="s">
        <v>127</v>
      </c>
      <c r="ID92" s="389" t="s">
        <v>1072</v>
      </c>
      <c r="IE92" s="614"/>
      <c r="IF92" s="614"/>
      <c r="IG92" s="614"/>
      <c r="IH92" s="614"/>
      <c r="II92" s="614"/>
      <c r="IJ92" s="614"/>
      <c r="IK92" s="614"/>
      <c r="IL92" s="614"/>
      <c r="IM92" s="390">
        <v>1</v>
      </c>
      <c r="IN92" s="614"/>
      <c r="IO92" s="614"/>
      <c r="IP92" s="614"/>
      <c r="IQ92" s="390">
        <v>0</v>
      </c>
      <c r="IR92" s="390">
        <v>1</v>
      </c>
      <c r="IS92" s="615"/>
      <c r="IT92" s="36"/>
      <c r="IU92" s="36"/>
      <c r="IV92" s="95"/>
      <c r="IW92" s="95"/>
      <c r="IX92" s="36"/>
      <c r="IY92" s="36" t="s">
        <v>1081</v>
      </c>
      <c r="IZ92" s="95"/>
      <c r="JA92" s="95">
        <v>0</v>
      </c>
      <c r="JB92" s="95">
        <v>0</v>
      </c>
      <c r="JC92" s="95">
        <v>0</v>
      </c>
      <c r="JD92" s="95">
        <v>0</v>
      </c>
      <c r="JE92" s="95"/>
      <c r="JF92" s="95"/>
      <c r="JG92" s="95"/>
      <c r="JH92" s="95">
        <v>1</v>
      </c>
      <c r="JI92" s="95">
        <v>0</v>
      </c>
      <c r="JJ92" s="95">
        <v>0</v>
      </c>
      <c r="JK92" s="95">
        <v>3</v>
      </c>
      <c r="JL92" s="95">
        <v>0</v>
      </c>
      <c r="JM92" s="95">
        <v>0</v>
      </c>
      <c r="JN92" s="95">
        <v>0</v>
      </c>
      <c r="JO92" s="95">
        <v>0</v>
      </c>
      <c r="JP92" s="95">
        <v>4</v>
      </c>
      <c r="JQ92" s="36"/>
      <c r="JR92" s="36"/>
      <c r="JS92" s="634"/>
      <c r="JT92" s="634"/>
      <c r="JU92" s="634"/>
      <c r="JV92" s="634" t="s">
        <v>15</v>
      </c>
      <c r="JW92" s="634">
        <v>0</v>
      </c>
      <c r="JX92" s="634">
        <v>0</v>
      </c>
      <c r="JY92" s="634">
        <v>0</v>
      </c>
      <c r="JZ92" s="634">
        <v>2</v>
      </c>
      <c r="KA92" s="634">
        <v>0</v>
      </c>
      <c r="KB92" s="634">
        <v>0</v>
      </c>
      <c r="KC92" s="634">
        <v>0</v>
      </c>
      <c r="KD92" s="634">
        <v>0</v>
      </c>
      <c r="KE92" s="634">
        <v>1</v>
      </c>
      <c r="KF92" s="634">
        <v>2</v>
      </c>
      <c r="KG92" s="634">
        <v>1</v>
      </c>
      <c r="KH92" s="634">
        <v>5</v>
      </c>
      <c r="KI92" s="634">
        <v>2</v>
      </c>
      <c r="KJ92" s="634">
        <v>0</v>
      </c>
      <c r="KK92" s="634">
        <v>1</v>
      </c>
      <c r="KL92" s="634">
        <v>2</v>
      </c>
      <c r="KM92" s="634">
        <v>16</v>
      </c>
      <c r="KN92" s="635">
        <f>+(KM91+KM89-KK89)/KM92</f>
        <v>0.1875</v>
      </c>
      <c r="KO92" s="636">
        <f>+KM89+KM91-KK89</f>
        <v>3</v>
      </c>
    </row>
    <row r="93" spans="1:301">
      <c r="A93" s="5737">
        <v>2</v>
      </c>
      <c r="B93" s="5737">
        <v>2</v>
      </c>
      <c r="C93" s="5736" t="s">
        <v>2749</v>
      </c>
      <c r="D93" s="5739" t="s">
        <v>1076</v>
      </c>
      <c r="E93" s="5737">
        <v>1</v>
      </c>
      <c r="F93" s="5737">
        <v>12</v>
      </c>
      <c r="I93" s="4726"/>
      <c r="J93" s="4726"/>
      <c r="K93" s="4971" t="s">
        <v>4</v>
      </c>
      <c r="L93" s="4990"/>
      <c r="M93" s="4991">
        <f>SUM(M91,M89,M87,M84,M79,M73,M67)</f>
        <v>26</v>
      </c>
      <c r="N93" s="4973"/>
      <c r="O93" s="4451">
        <f>+(M92)/(M93)</f>
        <v>0.26923076923076922</v>
      </c>
      <c r="Q93" s="4458">
        <v>2</v>
      </c>
      <c r="R93" s="4458">
        <v>2</v>
      </c>
      <c r="S93" s="4459" t="s">
        <v>2737</v>
      </c>
      <c r="T93" s="4459" t="s">
        <v>2705</v>
      </c>
      <c r="U93" s="4458">
        <v>3</v>
      </c>
      <c r="V93" s="4479">
        <v>1</v>
      </c>
      <c r="W93" s="4510"/>
      <c r="X93" s="4467"/>
      <c r="Y93" s="4467"/>
      <c r="Z93" s="36"/>
      <c r="AA93" s="36"/>
      <c r="AB93" s="36"/>
      <c r="AC93" s="36" t="s">
        <v>2571</v>
      </c>
      <c r="AD93" s="615">
        <v>2</v>
      </c>
      <c r="AE93" s="615"/>
      <c r="AF93" s="615"/>
      <c r="AG93" s="615"/>
      <c r="AH93" s="615"/>
      <c r="AI93" s="615"/>
      <c r="AJ93" s="615"/>
      <c r="AK93" s="615"/>
      <c r="AL93" s="615">
        <v>0</v>
      </c>
      <c r="AM93" s="615"/>
      <c r="AN93" s="615">
        <v>0</v>
      </c>
      <c r="AO93" s="615">
        <v>0</v>
      </c>
      <c r="AP93" s="615"/>
      <c r="AQ93" s="36"/>
      <c r="AR93" s="36">
        <v>2</v>
      </c>
      <c r="AS93" s="36"/>
      <c r="AU93" s="36"/>
      <c r="AV93" s="36"/>
      <c r="AW93" s="393"/>
      <c r="AX93" s="36" t="s">
        <v>15</v>
      </c>
      <c r="AY93" s="1682"/>
      <c r="AZ93" s="1682"/>
      <c r="BA93" s="1682"/>
      <c r="BB93" s="1682"/>
      <c r="BC93" s="1682">
        <v>1</v>
      </c>
      <c r="BD93" s="1682"/>
      <c r="BE93" s="1682"/>
      <c r="BF93" s="1682"/>
      <c r="BG93" s="1682">
        <v>3</v>
      </c>
      <c r="BH93" s="1682">
        <v>1</v>
      </c>
      <c r="BI93" s="1682">
        <v>1</v>
      </c>
      <c r="BJ93" s="1682">
        <v>9</v>
      </c>
      <c r="BK93" s="1682">
        <v>13</v>
      </c>
      <c r="BL93" s="1682">
        <v>8</v>
      </c>
      <c r="BM93" s="4455">
        <v>5</v>
      </c>
      <c r="BN93" s="4455">
        <v>1</v>
      </c>
      <c r="BO93" s="4455">
        <v>42</v>
      </c>
      <c r="BP93" s="560">
        <f>+(BO90+BO92)/(BO93)</f>
        <v>0.23809523809523808</v>
      </c>
      <c r="BS93" s="32" t="s">
        <v>16</v>
      </c>
      <c r="BT93" s="32" t="s">
        <v>124</v>
      </c>
      <c r="BU93" s="32" t="s">
        <v>1163</v>
      </c>
      <c r="BV93" s="3871">
        <v>0</v>
      </c>
      <c r="BW93" s="3871"/>
      <c r="BX93" s="3871"/>
      <c r="BY93" s="3871"/>
      <c r="BZ93" s="3871"/>
      <c r="CA93" s="3871"/>
      <c r="CB93" s="3871"/>
      <c r="CC93" s="3871"/>
      <c r="CD93" s="3871">
        <v>10</v>
      </c>
      <c r="CE93" s="3871"/>
      <c r="CF93" s="3871">
        <v>1</v>
      </c>
      <c r="CG93" s="3871"/>
      <c r="CH93" s="3871"/>
      <c r="CI93" s="3871"/>
      <c r="CJ93" s="1518"/>
      <c r="CK93" s="1518">
        <v>11</v>
      </c>
      <c r="CN93" s="36"/>
      <c r="CO93" s="36"/>
      <c r="CP93" s="36"/>
      <c r="CQ93" s="36" t="s">
        <v>1080</v>
      </c>
      <c r="CR93" s="615"/>
      <c r="CS93" s="615">
        <v>0</v>
      </c>
      <c r="CT93" s="615"/>
      <c r="CU93" s="615"/>
      <c r="CV93" s="615"/>
      <c r="CW93" s="615"/>
      <c r="CX93" s="615"/>
      <c r="CY93" s="615"/>
      <c r="CZ93" s="615"/>
      <c r="DA93" s="615"/>
      <c r="DB93" s="615"/>
      <c r="DC93" s="615"/>
      <c r="DD93" s="615"/>
      <c r="DE93" s="615"/>
      <c r="DF93" s="615"/>
      <c r="DG93" s="36">
        <v>1</v>
      </c>
      <c r="DH93" s="36"/>
      <c r="DI93" s="36">
        <v>1</v>
      </c>
      <c r="DJ93" s="36"/>
      <c r="DL93" s="36"/>
      <c r="DM93" s="36"/>
      <c r="DN93" s="36"/>
      <c r="DO93" s="36" t="s">
        <v>1163</v>
      </c>
      <c r="DP93" s="1681">
        <v>0</v>
      </c>
      <c r="DQ93" s="1681"/>
      <c r="DR93" s="1681">
        <v>0</v>
      </c>
      <c r="DS93" s="1681"/>
      <c r="DT93" s="1681"/>
      <c r="DU93" s="1681"/>
      <c r="DV93" s="1681">
        <v>0</v>
      </c>
      <c r="DW93" s="1681"/>
      <c r="DX93" s="1681"/>
      <c r="DY93" s="1681"/>
      <c r="DZ93" s="1681"/>
      <c r="EA93" s="1681"/>
      <c r="EB93" s="1681">
        <v>0</v>
      </c>
      <c r="EC93" s="1681">
        <v>2</v>
      </c>
      <c r="ED93" s="1681">
        <v>1</v>
      </c>
      <c r="EE93" s="95"/>
      <c r="EF93" s="95">
        <v>0</v>
      </c>
      <c r="EG93" s="95">
        <v>3</v>
      </c>
      <c r="EH93" s="36"/>
      <c r="EL93" s="36"/>
      <c r="EM93" s="36" t="s">
        <v>1077</v>
      </c>
      <c r="EN93" s="1490">
        <v>0</v>
      </c>
      <c r="EO93" s="1490"/>
      <c r="EP93" s="1490"/>
      <c r="EQ93" s="1490">
        <v>1</v>
      </c>
      <c r="ER93" s="1490"/>
      <c r="ES93" s="1490"/>
      <c r="ET93" s="1490"/>
      <c r="EU93" s="1490"/>
      <c r="EV93" s="1490"/>
      <c r="EW93" s="1490">
        <v>1</v>
      </c>
      <c r="EX93" s="1490"/>
      <c r="EY93" s="1490"/>
      <c r="EZ93" s="1490">
        <v>0</v>
      </c>
      <c r="FA93" s="1490">
        <v>1</v>
      </c>
      <c r="FB93" s="1490">
        <v>0</v>
      </c>
      <c r="FC93" s="36"/>
      <c r="FD93" s="36"/>
      <c r="FE93" s="36">
        <v>3</v>
      </c>
      <c r="FF93" s="36"/>
      <c r="FH93" s="1225"/>
      <c r="FI93" s="1225"/>
      <c r="FJ93" s="1225"/>
      <c r="FK93" s="1226" t="s">
        <v>1163</v>
      </c>
      <c r="FL93" s="1227"/>
      <c r="FM93" s="1228">
        <v>0</v>
      </c>
      <c r="FN93" s="1228">
        <v>0</v>
      </c>
      <c r="FO93" s="1227"/>
      <c r="FP93" s="1228">
        <v>0</v>
      </c>
      <c r="FQ93" s="1227"/>
      <c r="FR93" s="1228">
        <v>1</v>
      </c>
      <c r="FS93" s="1228">
        <v>3</v>
      </c>
      <c r="FT93" s="1228">
        <v>1</v>
      </c>
      <c r="FU93" s="1228">
        <v>2</v>
      </c>
      <c r="FV93" s="1228">
        <v>7</v>
      </c>
      <c r="FW93" s="1228">
        <v>0</v>
      </c>
      <c r="FX93" s="1228">
        <v>0</v>
      </c>
      <c r="FY93" s="1230">
        <v>0</v>
      </c>
      <c r="FZ93" s="1230">
        <v>0</v>
      </c>
      <c r="GA93" s="1230">
        <v>14</v>
      </c>
      <c r="GB93" s="36"/>
      <c r="GD93" s="603"/>
      <c r="GE93" s="603"/>
      <c r="GF93" s="603"/>
      <c r="GG93" s="604" t="s">
        <v>1080</v>
      </c>
      <c r="GH93" s="605"/>
      <c r="GI93" s="605"/>
      <c r="GJ93" s="605"/>
      <c r="GK93" s="605"/>
      <c r="GL93" s="605"/>
      <c r="GM93" s="605"/>
      <c r="GN93" s="605"/>
      <c r="GO93" s="605"/>
      <c r="GP93" s="605"/>
      <c r="GQ93" s="605"/>
      <c r="GR93" s="605"/>
      <c r="GS93" s="605"/>
      <c r="GT93" s="606">
        <v>0</v>
      </c>
      <c r="GU93" s="606">
        <v>0</v>
      </c>
      <c r="GV93" s="605"/>
      <c r="GW93" s="608">
        <v>2</v>
      </c>
      <c r="GX93" s="608">
        <v>5</v>
      </c>
      <c r="GY93" s="608">
        <v>7</v>
      </c>
      <c r="GZ93" s="95"/>
      <c r="HB93" s="441"/>
      <c r="HC93" s="441"/>
      <c r="HD93" s="441"/>
      <c r="HE93" s="441"/>
      <c r="HF93" s="442" t="s">
        <v>1080</v>
      </c>
      <c r="HG93" s="609"/>
      <c r="HH93" s="609"/>
      <c r="HI93" s="610">
        <v>0</v>
      </c>
      <c r="HJ93" s="609"/>
      <c r="HK93" s="609"/>
      <c r="HL93" s="609"/>
      <c r="HM93" s="609"/>
      <c r="HN93" s="609"/>
      <c r="HO93" s="609"/>
      <c r="HP93" s="609"/>
      <c r="HQ93" s="609"/>
      <c r="HR93" s="609"/>
      <c r="HS93" s="610">
        <v>0</v>
      </c>
      <c r="HT93" s="610">
        <v>0</v>
      </c>
      <c r="HU93" s="610">
        <v>0</v>
      </c>
      <c r="HV93" s="612">
        <v>0</v>
      </c>
      <c r="HW93" s="612">
        <v>3</v>
      </c>
      <c r="HX93" s="612">
        <v>3</v>
      </c>
      <c r="HY93" s="560"/>
      <c r="HZ93" s="36"/>
      <c r="IA93" s="613"/>
      <c r="IB93" s="613"/>
      <c r="IC93" s="613"/>
      <c r="ID93" s="389" t="s">
        <v>1080</v>
      </c>
      <c r="IE93" s="614"/>
      <c r="IF93" s="614"/>
      <c r="IG93" s="614"/>
      <c r="IH93" s="614"/>
      <c r="II93" s="614"/>
      <c r="IJ93" s="614"/>
      <c r="IK93" s="614"/>
      <c r="IL93" s="614"/>
      <c r="IM93" s="390">
        <v>0</v>
      </c>
      <c r="IN93" s="614"/>
      <c r="IO93" s="614"/>
      <c r="IP93" s="614"/>
      <c r="IQ93" s="390">
        <v>1</v>
      </c>
      <c r="IR93" s="390">
        <v>1</v>
      </c>
      <c r="IS93" s="615"/>
      <c r="IT93" s="36"/>
      <c r="IU93" s="36"/>
      <c r="IV93" s="95"/>
      <c r="IW93" s="95"/>
      <c r="IX93" s="36"/>
      <c r="IY93" s="36" t="s">
        <v>1163</v>
      </c>
      <c r="IZ93" s="95"/>
      <c r="JA93" s="95">
        <v>0</v>
      </c>
      <c r="JB93" s="95">
        <v>0</v>
      </c>
      <c r="JC93" s="95">
        <v>0</v>
      </c>
      <c r="JD93" s="95">
        <v>0</v>
      </c>
      <c r="JE93" s="95"/>
      <c r="JF93" s="95"/>
      <c r="JG93" s="95"/>
      <c r="JH93" s="95">
        <v>7</v>
      </c>
      <c r="JI93" s="95">
        <v>1</v>
      </c>
      <c r="JJ93" s="95">
        <v>2</v>
      </c>
      <c r="JK93" s="95">
        <v>8</v>
      </c>
      <c r="JL93" s="95">
        <v>0</v>
      </c>
      <c r="JM93" s="95">
        <v>0</v>
      </c>
      <c r="JN93" s="95">
        <v>0</v>
      </c>
      <c r="JO93" s="95">
        <v>0</v>
      </c>
      <c r="JP93" s="95">
        <v>18</v>
      </c>
      <c r="JQ93" s="36"/>
      <c r="JR93" s="36"/>
      <c r="JS93" s="616"/>
      <c r="JT93" s="616"/>
      <c r="JU93" s="616"/>
      <c r="JV93" s="616"/>
      <c r="JW93" s="616"/>
      <c r="JX93" s="616"/>
      <c r="JY93" s="616"/>
      <c r="JZ93" s="616"/>
      <c r="KA93" s="616"/>
      <c r="KB93" s="616"/>
      <c r="KC93" s="616"/>
      <c r="KD93" s="616"/>
      <c r="KE93" s="616"/>
      <c r="KF93" s="616"/>
      <c r="KG93" s="616"/>
      <c r="KH93" s="616"/>
      <c r="KI93" s="616"/>
      <c r="KJ93" s="616"/>
      <c r="KK93" s="616"/>
      <c r="KL93" s="616"/>
      <c r="KM93" s="616"/>
      <c r="KN93" s="616"/>
      <c r="KO93" s="617"/>
    </row>
    <row r="94" spans="1:301">
      <c r="A94" s="5737">
        <v>2</v>
      </c>
      <c r="B94" s="5737">
        <v>2</v>
      </c>
      <c r="C94" s="5736" t="s">
        <v>2749</v>
      </c>
      <c r="D94" s="5736" t="s">
        <v>2709</v>
      </c>
      <c r="E94" s="5737">
        <v>1</v>
      </c>
      <c r="F94" s="5737">
        <v>11</v>
      </c>
      <c r="I94" s="4726">
        <v>2</v>
      </c>
      <c r="J94" s="4726">
        <v>2</v>
      </c>
      <c r="K94" s="4725" t="s">
        <v>2749</v>
      </c>
      <c r="L94" s="4988" t="s">
        <v>1076</v>
      </c>
      <c r="M94" s="4989">
        <v>1</v>
      </c>
      <c r="N94" s="4970">
        <v>12</v>
      </c>
      <c r="Q94" s="4458">
        <v>2</v>
      </c>
      <c r="R94" s="4458">
        <v>2</v>
      </c>
      <c r="S94" s="4459" t="s">
        <v>2737</v>
      </c>
      <c r="T94" s="4459" t="s">
        <v>2705</v>
      </c>
      <c r="U94" s="4458">
        <v>4</v>
      </c>
      <c r="V94" s="4479">
        <v>1</v>
      </c>
      <c r="W94" s="4510"/>
      <c r="X94" s="4467"/>
      <c r="Y94" s="4467"/>
      <c r="Z94" s="36"/>
      <c r="AA94" s="36"/>
      <c r="AB94" s="36"/>
      <c r="AC94" s="4236" t="s">
        <v>15</v>
      </c>
      <c r="AD94" s="4236">
        <v>2</v>
      </c>
      <c r="AE94" s="4236"/>
      <c r="AF94" s="4236"/>
      <c r="AG94" s="4236"/>
      <c r="AH94" s="4236"/>
      <c r="AI94" s="4236"/>
      <c r="AJ94" s="4236"/>
      <c r="AK94" s="4236"/>
      <c r="AL94" s="4236">
        <v>1</v>
      </c>
      <c r="AM94" s="4236"/>
      <c r="AN94" s="4236">
        <v>1</v>
      </c>
      <c r="AO94" s="4236">
        <v>12</v>
      </c>
      <c r="AP94" s="4236"/>
      <c r="AQ94" s="4236"/>
      <c r="AR94" s="4236">
        <v>16</v>
      </c>
      <c r="AS94" s="4243">
        <f>+AR90/(AR94-AR93)</f>
        <v>7.1428571428571425E-2</v>
      </c>
      <c r="AV94" s="3868" t="s">
        <v>16</v>
      </c>
      <c r="AW94" s="3868" t="s">
        <v>124</v>
      </c>
      <c r="AX94" s="3868" t="s">
        <v>1163</v>
      </c>
      <c r="AY94" s="3721"/>
      <c r="AZ94" s="3721"/>
      <c r="BA94" s="3721"/>
      <c r="BB94" s="3721"/>
      <c r="BC94" s="3721"/>
      <c r="BD94" s="3721"/>
      <c r="BE94" s="3721"/>
      <c r="BF94" s="3721"/>
      <c r="BG94" s="3721">
        <v>10</v>
      </c>
      <c r="BH94" s="3721"/>
      <c r="BI94" s="3721">
        <v>1</v>
      </c>
      <c r="BJ94" s="3721"/>
      <c r="BK94" s="3721"/>
      <c r="BL94" s="3721"/>
      <c r="BM94" s="2110"/>
      <c r="BN94" s="2110"/>
      <c r="BO94" s="2110">
        <v>11</v>
      </c>
      <c r="BP94" s="2110"/>
      <c r="BU94" s="1520" t="s">
        <v>15</v>
      </c>
      <c r="BV94" s="3872">
        <v>0</v>
      </c>
      <c r="BW94" s="3872"/>
      <c r="BX94" s="3872"/>
      <c r="BY94" s="3872"/>
      <c r="BZ94" s="3872"/>
      <c r="CA94" s="3872"/>
      <c r="CB94" s="3872"/>
      <c r="CC94" s="3872"/>
      <c r="CD94" s="3872">
        <v>10</v>
      </c>
      <c r="CE94" s="3872"/>
      <c r="CF94" s="3872">
        <v>1</v>
      </c>
      <c r="CG94" s="3872"/>
      <c r="CH94" s="3872"/>
      <c r="CI94" s="3872"/>
      <c r="CJ94" s="3806"/>
      <c r="CK94" s="3806">
        <v>11</v>
      </c>
      <c r="CL94" s="3807">
        <f>+CK93/CK94</f>
        <v>1</v>
      </c>
      <c r="CN94" s="36"/>
      <c r="CO94" s="36"/>
      <c r="CP94" s="36"/>
      <c r="CQ94" s="393" t="s">
        <v>15</v>
      </c>
      <c r="CR94" s="2049"/>
      <c r="CS94" s="2049">
        <v>1</v>
      </c>
      <c r="CT94" s="2049"/>
      <c r="CU94" s="2049"/>
      <c r="CV94" s="2049"/>
      <c r="CW94" s="2049"/>
      <c r="CX94" s="2049"/>
      <c r="CY94" s="2049"/>
      <c r="CZ94" s="2049"/>
      <c r="DA94" s="2049"/>
      <c r="DB94" s="2049"/>
      <c r="DC94" s="2049"/>
      <c r="DD94" s="2049"/>
      <c r="DE94" s="2049"/>
      <c r="DF94" s="2049"/>
      <c r="DG94" s="393">
        <v>2</v>
      </c>
      <c r="DH94" s="393"/>
      <c r="DI94" s="393">
        <v>3</v>
      </c>
      <c r="DJ94" s="560">
        <f>+(DI92-DG92)/DI94</f>
        <v>0</v>
      </c>
      <c r="DK94" s="1665"/>
      <c r="DL94" s="36"/>
      <c r="DM94" s="36"/>
      <c r="DN94" s="36"/>
      <c r="DO94" s="36" t="s">
        <v>1735</v>
      </c>
      <c r="DP94" s="1681">
        <v>1</v>
      </c>
      <c r="DQ94" s="1681"/>
      <c r="DR94" s="1681">
        <v>0</v>
      </c>
      <c r="DS94" s="1681"/>
      <c r="DT94" s="1681"/>
      <c r="DU94" s="1681"/>
      <c r="DV94" s="1681">
        <v>0</v>
      </c>
      <c r="DW94" s="1681"/>
      <c r="DX94" s="1681"/>
      <c r="DY94" s="1681"/>
      <c r="DZ94" s="1681"/>
      <c r="EA94" s="1681"/>
      <c r="EB94" s="1681">
        <v>0</v>
      </c>
      <c r="EC94" s="1681">
        <v>0</v>
      </c>
      <c r="ED94" s="1681">
        <v>0</v>
      </c>
      <c r="EE94" s="95"/>
      <c r="EF94" s="95">
        <v>0</v>
      </c>
      <c r="EG94" s="95">
        <v>1</v>
      </c>
      <c r="EH94" s="36"/>
      <c r="EL94" s="36"/>
      <c r="EM94" s="36" t="s">
        <v>1080</v>
      </c>
      <c r="EN94" s="1490">
        <v>0</v>
      </c>
      <c r="EO94" s="1490"/>
      <c r="EP94" s="1490"/>
      <c r="EQ94" s="1490">
        <v>0</v>
      </c>
      <c r="ER94" s="1490"/>
      <c r="ES94" s="1490"/>
      <c r="ET94" s="1490"/>
      <c r="EU94" s="1490"/>
      <c r="EV94" s="1490"/>
      <c r="EW94" s="1490">
        <v>0</v>
      </c>
      <c r="EX94" s="1490"/>
      <c r="EY94" s="1490"/>
      <c r="EZ94" s="1490">
        <v>0</v>
      </c>
      <c r="FA94" s="1490">
        <v>0</v>
      </c>
      <c r="FB94" s="1490">
        <v>3</v>
      </c>
      <c r="FC94" s="36"/>
      <c r="FD94" s="36"/>
      <c r="FE94" s="36">
        <v>3</v>
      </c>
      <c r="FF94" s="36"/>
      <c r="FH94" s="1225"/>
      <c r="FI94" s="1225"/>
      <c r="FJ94" s="1225"/>
      <c r="FK94" s="1222" t="s">
        <v>483</v>
      </c>
      <c r="FL94" s="1231"/>
      <c r="FM94" s="1232">
        <v>2</v>
      </c>
      <c r="FN94" s="1232">
        <v>2</v>
      </c>
      <c r="FO94" s="1231"/>
      <c r="FP94" s="1232">
        <v>1</v>
      </c>
      <c r="FQ94" s="1231"/>
      <c r="FR94" s="1232">
        <v>3</v>
      </c>
      <c r="FS94" s="1232">
        <v>8</v>
      </c>
      <c r="FT94" s="1232">
        <v>7</v>
      </c>
      <c r="FU94" s="1232">
        <v>4</v>
      </c>
      <c r="FV94" s="1232">
        <v>18</v>
      </c>
      <c r="FW94" s="1232">
        <v>6</v>
      </c>
      <c r="FX94" s="1232">
        <v>20</v>
      </c>
      <c r="FY94" s="1234">
        <v>2</v>
      </c>
      <c r="FZ94" s="1234">
        <v>8</v>
      </c>
      <c r="GA94" s="1234">
        <v>81</v>
      </c>
      <c r="GB94" s="1178">
        <f>+(GA90+GA93)/GA94</f>
        <v>0.43209876543209874</v>
      </c>
      <c r="GD94" s="603"/>
      <c r="GE94" s="603"/>
      <c r="GF94" s="603"/>
      <c r="GG94" s="622" t="s">
        <v>15</v>
      </c>
      <c r="GH94" s="623"/>
      <c r="GI94" s="623"/>
      <c r="GJ94" s="623"/>
      <c r="GK94" s="623"/>
      <c r="GL94" s="623"/>
      <c r="GM94" s="623"/>
      <c r="GN94" s="623"/>
      <c r="GO94" s="623"/>
      <c r="GP94" s="623"/>
      <c r="GQ94" s="623"/>
      <c r="GR94" s="623"/>
      <c r="GS94" s="623"/>
      <c r="GT94" s="624">
        <v>5</v>
      </c>
      <c r="GU94" s="624">
        <v>3</v>
      </c>
      <c r="GV94" s="623"/>
      <c r="GW94" s="626">
        <v>2</v>
      </c>
      <c r="GX94" s="626">
        <v>5</v>
      </c>
      <c r="GY94" s="626">
        <v>15</v>
      </c>
      <c r="GZ94" s="560">
        <f>+GY92/GY94</f>
        <v>6.6666666666666666E-2</v>
      </c>
      <c r="HB94" s="441"/>
      <c r="HC94" s="441"/>
      <c r="HD94" s="441"/>
      <c r="HE94" s="441"/>
      <c r="HF94" s="442" t="s">
        <v>1163</v>
      </c>
      <c r="HG94" s="609"/>
      <c r="HH94" s="609"/>
      <c r="HI94" s="610">
        <v>0</v>
      </c>
      <c r="HJ94" s="609"/>
      <c r="HK94" s="609"/>
      <c r="HL94" s="609"/>
      <c r="HM94" s="609"/>
      <c r="HN94" s="609"/>
      <c r="HO94" s="609"/>
      <c r="HP94" s="609"/>
      <c r="HQ94" s="609"/>
      <c r="HR94" s="609"/>
      <c r="HS94" s="610">
        <v>0</v>
      </c>
      <c r="HT94" s="610">
        <v>1</v>
      </c>
      <c r="HU94" s="610">
        <v>0</v>
      </c>
      <c r="HV94" s="612">
        <v>0</v>
      </c>
      <c r="HW94" s="612">
        <v>0</v>
      </c>
      <c r="HX94" s="612">
        <v>1</v>
      </c>
      <c r="HY94" s="560"/>
      <c r="HZ94" s="36"/>
      <c r="IA94" s="613"/>
      <c r="IB94" s="613"/>
      <c r="IC94" s="613"/>
      <c r="ID94" s="629" t="s">
        <v>15</v>
      </c>
      <c r="IE94" s="630"/>
      <c r="IF94" s="630"/>
      <c r="IG94" s="630"/>
      <c r="IH94" s="630"/>
      <c r="II94" s="630"/>
      <c r="IJ94" s="630"/>
      <c r="IK94" s="630"/>
      <c r="IL94" s="630"/>
      <c r="IM94" s="395">
        <v>1</v>
      </c>
      <c r="IN94" s="630"/>
      <c r="IO94" s="630"/>
      <c r="IP94" s="630"/>
      <c r="IQ94" s="395">
        <v>1</v>
      </c>
      <c r="IR94" s="395">
        <v>2</v>
      </c>
      <c r="IS94" s="553">
        <v>0</v>
      </c>
      <c r="IT94" s="36"/>
      <c r="IU94" s="36"/>
      <c r="IV94" s="95"/>
      <c r="IW94" s="95"/>
      <c r="IX94" s="36"/>
      <c r="IY94" s="393" t="s">
        <v>15</v>
      </c>
      <c r="IZ94" s="86"/>
      <c r="JA94" s="86">
        <v>1</v>
      </c>
      <c r="JB94" s="86">
        <v>2</v>
      </c>
      <c r="JC94" s="86">
        <v>1</v>
      </c>
      <c r="JD94" s="86">
        <v>1</v>
      </c>
      <c r="JE94" s="86"/>
      <c r="JF94" s="86"/>
      <c r="JG94" s="86"/>
      <c r="JH94" s="86">
        <v>20</v>
      </c>
      <c r="JI94" s="86">
        <v>7</v>
      </c>
      <c r="JJ94" s="86">
        <v>11</v>
      </c>
      <c r="JK94" s="86">
        <v>22</v>
      </c>
      <c r="JL94" s="86">
        <v>4</v>
      </c>
      <c r="JM94" s="86">
        <v>1</v>
      </c>
      <c r="JN94" s="86">
        <v>4</v>
      </c>
      <c r="JO94" s="86">
        <v>6</v>
      </c>
      <c r="JP94" s="86">
        <v>80</v>
      </c>
      <c r="JQ94" s="631">
        <f>+(JP90+JP92+JP93)/JP94</f>
        <v>0.3</v>
      </c>
      <c r="JR94" s="36"/>
      <c r="JS94" s="616"/>
      <c r="JT94" s="616"/>
      <c r="JU94" s="616"/>
      <c r="JV94" s="616"/>
      <c r="JW94" s="616"/>
      <c r="JX94" s="616"/>
      <c r="JY94" s="616"/>
      <c r="JZ94" s="616"/>
      <c r="KA94" s="616"/>
      <c r="KB94" s="616"/>
      <c r="KC94" s="616"/>
      <c r="KD94" s="616"/>
      <c r="KE94" s="616"/>
      <c r="KF94" s="616"/>
      <c r="KG94" s="616"/>
      <c r="KH94" s="616"/>
      <c r="KI94" s="616"/>
      <c r="KJ94" s="616"/>
      <c r="KK94" s="616"/>
      <c r="KL94" s="616"/>
      <c r="KM94" s="616"/>
      <c r="KN94" s="616"/>
      <c r="KO94" s="617"/>
    </row>
    <row r="95" spans="1:301">
      <c r="A95" s="5737"/>
      <c r="B95" s="5737"/>
      <c r="C95" s="5736"/>
      <c r="D95" s="5736"/>
      <c r="E95" s="5742">
        <f>SUM(E93:E94)</f>
        <v>2</v>
      </c>
      <c r="F95" s="5737"/>
      <c r="G95" s="4476">
        <f>+(E93)/(E95)</f>
        <v>0.5</v>
      </c>
      <c r="I95" s="4726">
        <v>2</v>
      </c>
      <c r="J95" s="4726">
        <v>2</v>
      </c>
      <c r="K95" s="4725" t="s">
        <v>2749</v>
      </c>
      <c r="L95" s="4725" t="s">
        <v>2709</v>
      </c>
      <c r="M95" s="4726">
        <v>1</v>
      </c>
      <c r="N95" s="4726">
        <v>11</v>
      </c>
      <c r="Q95" s="4458">
        <v>2</v>
      </c>
      <c r="R95" s="4458">
        <v>2</v>
      </c>
      <c r="S95" s="4459" t="s">
        <v>2737</v>
      </c>
      <c r="T95" s="4459" t="s">
        <v>2731</v>
      </c>
      <c r="U95" s="4458">
        <v>14</v>
      </c>
      <c r="V95" s="4479">
        <v>1</v>
      </c>
      <c r="W95" s="4510"/>
      <c r="X95" s="4467"/>
      <c r="Y95" s="4467"/>
      <c r="Z95" s="36"/>
      <c r="AA95" s="36"/>
      <c r="AB95" s="36" t="s">
        <v>125</v>
      </c>
      <c r="AC95" s="36" t="s">
        <v>1072</v>
      </c>
      <c r="AD95" s="615">
        <v>0</v>
      </c>
      <c r="AE95" s="615"/>
      <c r="AF95" s="615"/>
      <c r="AG95" s="615"/>
      <c r="AH95" s="615"/>
      <c r="AI95" s="615"/>
      <c r="AJ95" s="615"/>
      <c r="AK95" s="615"/>
      <c r="AL95" s="615"/>
      <c r="AM95" s="615">
        <v>0</v>
      </c>
      <c r="AN95" s="615">
        <v>5</v>
      </c>
      <c r="AO95" s="615">
        <v>0</v>
      </c>
      <c r="AP95" s="615"/>
      <c r="AQ95" s="36"/>
      <c r="AR95" s="36">
        <v>5</v>
      </c>
      <c r="AS95" s="36"/>
      <c r="AX95" s="3868" t="s">
        <v>15</v>
      </c>
      <c r="AY95" s="3721"/>
      <c r="AZ95" s="3721"/>
      <c r="BA95" s="3721"/>
      <c r="BB95" s="3721"/>
      <c r="BC95" s="3721"/>
      <c r="BD95" s="3721"/>
      <c r="BE95" s="3721"/>
      <c r="BF95" s="3721"/>
      <c r="BG95" s="3721">
        <v>10</v>
      </c>
      <c r="BH95" s="3721"/>
      <c r="BI95" s="3721">
        <v>1</v>
      </c>
      <c r="BJ95" s="3721"/>
      <c r="BK95" s="3721"/>
      <c r="BL95" s="3721"/>
      <c r="BM95" s="2110"/>
      <c r="BN95" s="2110"/>
      <c r="BO95" s="2110">
        <v>11</v>
      </c>
      <c r="BP95" s="1665">
        <f>+(BO94)/(BO95)</f>
        <v>1</v>
      </c>
      <c r="BT95" s="32" t="s">
        <v>125</v>
      </c>
      <c r="BU95" s="32" t="s">
        <v>1076</v>
      </c>
      <c r="BV95" s="3871">
        <v>0</v>
      </c>
      <c r="BW95" s="3871"/>
      <c r="BX95" s="3871"/>
      <c r="BY95" s="3871"/>
      <c r="BZ95" s="3871"/>
      <c r="CA95" s="3871">
        <v>0</v>
      </c>
      <c r="CB95" s="3871">
        <v>0</v>
      </c>
      <c r="CC95" s="3871"/>
      <c r="CD95" s="3871"/>
      <c r="CE95" s="3871">
        <v>1</v>
      </c>
      <c r="CF95" s="3871">
        <v>0</v>
      </c>
      <c r="CG95" s="3871">
        <v>2</v>
      </c>
      <c r="CH95" s="3871">
        <v>1</v>
      </c>
      <c r="CI95" s="3871"/>
      <c r="CJ95" s="1518"/>
      <c r="CK95" s="1518">
        <v>4</v>
      </c>
      <c r="CN95" s="36"/>
      <c r="CO95" s="36"/>
      <c r="CP95" s="393" t="s">
        <v>482</v>
      </c>
      <c r="CQ95" s="393" t="s">
        <v>1072</v>
      </c>
      <c r="CR95" s="2049">
        <v>1</v>
      </c>
      <c r="CS95" s="2049">
        <v>0</v>
      </c>
      <c r="CT95" s="2049">
        <v>1</v>
      </c>
      <c r="CU95" s="2049">
        <v>1</v>
      </c>
      <c r="CV95" s="2049"/>
      <c r="CW95" s="2049"/>
      <c r="CX95" s="2049"/>
      <c r="CY95" s="2049"/>
      <c r="CZ95" s="2049"/>
      <c r="DA95" s="2049"/>
      <c r="DB95" s="2049">
        <v>0</v>
      </c>
      <c r="DC95" s="2049">
        <v>1</v>
      </c>
      <c r="DD95" s="2049">
        <v>0</v>
      </c>
      <c r="DE95" s="2049">
        <v>2</v>
      </c>
      <c r="DF95" s="2049">
        <v>1</v>
      </c>
      <c r="DG95" s="393">
        <v>0</v>
      </c>
      <c r="DH95" s="393">
        <v>0</v>
      </c>
      <c r="DI95" s="393">
        <v>7</v>
      </c>
      <c r="DJ95" s="36"/>
      <c r="DL95" s="36"/>
      <c r="DM95" s="36"/>
      <c r="DN95" s="36"/>
      <c r="DO95" s="393" t="s">
        <v>15</v>
      </c>
      <c r="DP95" s="1682">
        <v>2</v>
      </c>
      <c r="DQ95" s="1682"/>
      <c r="DR95" s="1682">
        <v>1</v>
      </c>
      <c r="DS95" s="1682"/>
      <c r="DT95" s="1682"/>
      <c r="DU95" s="1682"/>
      <c r="DV95" s="1682">
        <v>1</v>
      </c>
      <c r="DW95" s="1682"/>
      <c r="DX95" s="1682"/>
      <c r="DY95" s="1682"/>
      <c r="DZ95" s="1682"/>
      <c r="EA95" s="1682"/>
      <c r="EB95" s="1682">
        <v>1</v>
      </c>
      <c r="EC95" s="1682">
        <v>5</v>
      </c>
      <c r="ED95" s="1682">
        <v>8</v>
      </c>
      <c r="EE95" s="86"/>
      <c r="EF95" s="86">
        <v>1</v>
      </c>
      <c r="EG95" s="86">
        <v>19</v>
      </c>
      <c r="EH95" s="560">
        <f>+(EG91+EG93)/(EG95-EG94)</f>
        <v>0.22222222222222221</v>
      </c>
      <c r="EL95" s="36"/>
      <c r="EM95" s="36" t="s">
        <v>1163</v>
      </c>
      <c r="EN95" s="1490">
        <v>0</v>
      </c>
      <c r="EO95" s="1490"/>
      <c r="EP95" s="1490"/>
      <c r="EQ95" s="1490">
        <v>0</v>
      </c>
      <c r="ER95" s="1490"/>
      <c r="ES95" s="1490"/>
      <c r="ET95" s="1490"/>
      <c r="EU95" s="1490"/>
      <c r="EV95" s="1490"/>
      <c r="EW95" s="1490">
        <v>0</v>
      </c>
      <c r="EX95" s="1490"/>
      <c r="EY95" s="1490"/>
      <c r="EZ95" s="1490">
        <v>4</v>
      </c>
      <c r="FA95" s="1490">
        <v>1</v>
      </c>
      <c r="FB95" s="1490">
        <v>0</v>
      </c>
      <c r="FC95" s="36"/>
      <c r="FD95" s="36"/>
      <c r="FE95" s="36">
        <v>5</v>
      </c>
      <c r="FF95" s="36"/>
      <c r="FH95" s="1225"/>
      <c r="FI95" s="1225" t="s">
        <v>41</v>
      </c>
      <c r="FJ95" s="1225" t="s">
        <v>128</v>
      </c>
      <c r="FK95" s="1226" t="s">
        <v>1071</v>
      </c>
      <c r="FL95" s="1227"/>
      <c r="FM95" s="1228">
        <v>0</v>
      </c>
      <c r="FN95" s="1228">
        <v>0</v>
      </c>
      <c r="FO95" s="1227"/>
      <c r="FP95" s="1227"/>
      <c r="FQ95" s="1227"/>
      <c r="FR95" s="1227"/>
      <c r="FS95" s="1227"/>
      <c r="FT95" s="1227"/>
      <c r="FU95" s="1228">
        <v>0</v>
      </c>
      <c r="FV95" s="1228">
        <v>0</v>
      </c>
      <c r="FW95" s="1228">
        <v>0</v>
      </c>
      <c r="FX95" s="1228">
        <v>3</v>
      </c>
      <c r="FY95" s="1230">
        <v>1</v>
      </c>
      <c r="FZ95" s="1230">
        <v>0</v>
      </c>
      <c r="GA95" s="1230">
        <v>4</v>
      </c>
      <c r="GB95" s="36"/>
      <c r="GD95" s="603"/>
      <c r="GE95" s="603"/>
      <c r="GF95" s="603" t="s">
        <v>483</v>
      </c>
      <c r="GG95" s="604" t="s">
        <v>1071</v>
      </c>
      <c r="GH95" s="605"/>
      <c r="GI95" s="606">
        <v>0</v>
      </c>
      <c r="GJ95" s="606">
        <v>0</v>
      </c>
      <c r="GK95" s="606">
        <v>0</v>
      </c>
      <c r="GL95" s="606">
        <v>0</v>
      </c>
      <c r="GM95" s="606">
        <v>0</v>
      </c>
      <c r="GN95" s="606">
        <v>0</v>
      </c>
      <c r="GO95" s="606">
        <v>0</v>
      </c>
      <c r="GP95" s="606">
        <v>0</v>
      </c>
      <c r="GQ95" s="606">
        <v>0</v>
      </c>
      <c r="GR95" s="606">
        <v>0</v>
      </c>
      <c r="GS95" s="606">
        <v>0</v>
      </c>
      <c r="GT95" s="606">
        <v>0</v>
      </c>
      <c r="GU95" s="606">
        <v>0</v>
      </c>
      <c r="GV95" s="606">
        <v>1</v>
      </c>
      <c r="GW95" s="608">
        <v>0</v>
      </c>
      <c r="GX95" s="608">
        <v>0</v>
      </c>
      <c r="GY95" s="608">
        <v>1</v>
      </c>
      <c r="GZ95" s="95"/>
      <c r="HB95" s="441"/>
      <c r="HC95" s="441"/>
      <c r="HD95" s="441"/>
      <c r="HE95" s="36"/>
      <c r="HF95" s="462" t="s">
        <v>15</v>
      </c>
      <c r="HG95" s="618"/>
      <c r="HH95" s="618"/>
      <c r="HI95" s="619">
        <v>1</v>
      </c>
      <c r="HJ95" s="618"/>
      <c r="HK95" s="618"/>
      <c r="HL95" s="618"/>
      <c r="HM95" s="618"/>
      <c r="HN95" s="618"/>
      <c r="HO95" s="618"/>
      <c r="HP95" s="618"/>
      <c r="HQ95" s="618"/>
      <c r="HR95" s="618"/>
      <c r="HS95" s="619">
        <v>3</v>
      </c>
      <c r="HT95" s="619">
        <v>2</v>
      </c>
      <c r="HU95" s="619">
        <v>1</v>
      </c>
      <c r="HV95" s="621">
        <v>2</v>
      </c>
      <c r="HW95" s="621">
        <v>3</v>
      </c>
      <c r="HX95" s="621">
        <v>12</v>
      </c>
      <c r="HY95" s="560">
        <f>+(HX94+HX92-HV92)/HX95</f>
        <v>8.3333333333333329E-2</v>
      </c>
      <c r="HZ95" s="36"/>
      <c r="IA95" s="613"/>
      <c r="IB95" s="613" t="s">
        <v>41</v>
      </c>
      <c r="IC95" s="613" t="s">
        <v>320</v>
      </c>
      <c r="ID95" s="389" t="s">
        <v>1072</v>
      </c>
      <c r="IE95" s="614"/>
      <c r="IF95" s="614"/>
      <c r="IG95" s="614"/>
      <c r="IH95" s="614"/>
      <c r="II95" s="390">
        <v>0</v>
      </c>
      <c r="IJ95" s="390">
        <v>1</v>
      </c>
      <c r="IK95" s="390">
        <v>0</v>
      </c>
      <c r="IL95" s="614"/>
      <c r="IM95" s="390">
        <v>0</v>
      </c>
      <c r="IN95" s="390">
        <v>0</v>
      </c>
      <c r="IO95" s="390">
        <v>0</v>
      </c>
      <c r="IP95" s="614"/>
      <c r="IQ95" s="390">
        <v>0</v>
      </c>
      <c r="IR95" s="390">
        <v>1</v>
      </c>
      <c r="IS95" s="615"/>
      <c r="IT95" s="36"/>
      <c r="IU95" s="36"/>
      <c r="IV95" s="95"/>
      <c r="IW95" s="95"/>
      <c r="IX95" s="36" t="s">
        <v>110</v>
      </c>
      <c r="IY95" s="36" t="s">
        <v>1072</v>
      </c>
      <c r="IZ95" s="95"/>
      <c r="JA95" s="95"/>
      <c r="JB95" s="95"/>
      <c r="JC95" s="95"/>
      <c r="JD95" s="95"/>
      <c r="JE95" s="95"/>
      <c r="JF95" s="95"/>
      <c r="JG95" s="95"/>
      <c r="JH95" s="95"/>
      <c r="JI95" s="95"/>
      <c r="JJ95" s="95"/>
      <c r="JK95" s="95">
        <v>16</v>
      </c>
      <c r="JL95" s="95"/>
      <c r="JM95" s="95"/>
      <c r="JN95" s="95"/>
      <c r="JO95" s="95"/>
      <c r="JP95" s="95">
        <v>16</v>
      </c>
      <c r="JQ95" s="36"/>
      <c r="JR95" s="36"/>
      <c r="JS95" s="627"/>
      <c r="JT95" s="627"/>
      <c r="JU95" s="627"/>
      <c r="JV95" s="627"/>
      <c r="JW95" s="627"/>
      <c r="JX95" s="627"/>
      <c r="JY95" s="627"/>
      <c r="JZ95" s="627"/>
      <c r="KA95" s="627"/>
      <c r="KB95" s="627"/>
      <c r="KC95" s="627"/>
      <c r="KD95" s="627"/>
      <c r="KE95" s="627"/>
      <c r="KF95" s="627"/>
      <c r="KG95" s="627"/>
      <c r="KH95" s="627"/>
      <c r="KI95" s="627"/>
      <c r="KJ95" s="627"/>
      <c r="KK95" s="627"/>
      <c r="KL95" s="627"/>
      <c r="KM95" s="627"/>
      <c r="KN95" s="616"/>
      <c r="KO95" s="617"/>
    </row>
    <row r="96" spans="1:301">
      <c r="A96" s="5737">
        <v>2</v>
      </c>
      <c r="B96" s="5737">
        <v>2</v>
      </c>
      <c r="C96" s="5736" t="s">
        <v>2735</v>
      </c>
      <c r="D96" s="5736" t="s">
        <v>2731</v>
      </c>
      <c r="E96" s="5737">
        <v>3</v>
      </c>
      <c r="F96" s="5737">
        <v>13</v>
      </c>
      <c r="I96" s="4726"/>
      <c r="J96" s="4726"/>
      <c r="K96" s="4725"/>
      <c r="L96" s="4725"/>
      <c r="M96" s="4975">
        <f>SUM(M94:M95)</f>
        <v>2</v>
      </c>
      <c r="N96" s="4726"/>
      <c r="O96" s="4476">
        <f>+(M94)/(M96)</f>
        <v>0.5</v>
      </c>
      <c r="Q96" s="4458">
        <v>2</v>
      </c>
      <c r="R96" s="4458">
        <v>2</v>
      </c>
      <c r="S96" s="4459" t="s">
        <v>2737</v>
      </c>
      <c r="T96" s="4461" t="s">
        <v>2707</v>
      </c>
      <c r="U96" s="4458">
        <v>12</v>
      </c>
      <c r="V96" s="4479">
        <v>1</v>
      </c>
      <c r="W96" s="4510"/>
      <c r="X96" s="4467"/>
      <c r="Y96" s="4467"/>
      <c r="Z96" s="36"/>
      <c r="AA96" s="36"/>
      <c r="AB96" s="36"/>
      <c r="AC96" s="36" t="s">
        <v>1076</v>
      </c>
      <c r="AD96" s="615">
        <v>0</v>
      </c>
      <c r="AE96" s="615"/>
      <c r="AF96" s="615"/>
      <c r="AG96" s="615"/>
      <c r="AH96" s="615"/>
      <c r="AI96" s="615"/>
      <c r="AJ96" s="615"/>
      <c r="AK96" s="615"/>
      <c r="AL96" s="615"/>
      <c r="AM96" s="615">
        <v>1</v>
      </c>
      <c r="AN96" s="615">
        <v>0</v>
      </c>
      <c r="AO96" s="615">
        <v>0</v>
      </c>
      <c r="AP96" s="615"/>
      <c r="AQ96" s="36"/>
      <c r="AR96" s="36">
        <v>1</v>
      </c>
      <c r="AS96" s="36"/>
      <c r="AU96" s="36"/>
      <c r="AV96" s="36"/>
      <c r="AW96" s="36" t="s">
        <v>125</v>
      </c>
      <c r="AX96" s="36" t="s">
        <v>1076</v>
      </c>
      <c r="AY96" s="1681"/>
      <c r="AZ96" s="1681"/>
      <c r="BA96" s="1681"/>
      <c r="BB96" s="1681"/>
      <c r="BC96" s="1681"/>
      <c r="BD96" s="1681">
        <v>0</v>
      </c>
      <c r="BE96" s="1681">
        <v>0</v>
      </c>
      <c r="BF96" s="1681"/>
      <c r="BG96" s="1681"/>
      <c r="BH96" s="1681">
        <v>0</v>
      </c>
      <c r="BI96" s="1681">
        <v>0</v>
      </c>
      <c r="BJ96" s="1681">
        <v>0</v>
      </c>
      <c r="BK96" s="1681">
        <v>12</v>
      </c>
      <c r="BL96" s="1681"/>
      <c r="BM96" s="95"/>
      <c r="BN96" s="95"/>
      <c r="BO96" s="95">
        <v>12</v>
      </c>
      <c r="BP96" s="95"/>
      <c r="BU96" s="32" t="s">
        <v>1077</v>
      </c>
      <c r="BV96" s="3871">
        <v>0</v>
      </c>
      <c r="BW96" s="3871"/>
      <c r="BX96" s="3871"/>
      <c r="BY96" s="3871"/>
      <c r="BZ96" s="3871"/>
      <c r="CA96" s="3871">
        <v>1</v>
      </c>
      <c r="CB96" s="3871">
        <v>1</v>
      </c>
      <c r="CC96" s="3871"/>
      <c r="CD96" s="3871"/>
      <c r="CE96" s="3871">
        <v>0</v>
      </c>
      <c r="CF96" s="3871">
        <v>2</v>
      </c>
      <c r="CG96" s="3871">
        <v>0</v>
      </c>
      <c r="CH96" s="3871">
        <v>0</v>
      </c>
      <c r="CI96" s="3871"/>
      <c r="CJ96" s="1518"/>
      <c r="CK96" s="1518">
        <v>4</v>
      </c>
      <c r="CN96" s="36"/>
      <c r="CO96" s="36"/>
      <c r="CP96" s="393"/>
      <c r="CQ96" s="393" t="s">
        <v>1074</v>
      </c>
      <c r="CR96" s="2049">
        <v>0</v>
      </c>
      <c r="CS96" s="2049">
        <v>1</v>
      </c>
      <c r="CT96" s="2049">
        <v>0</v>
      </c>
      <c r="CU96" s="2049">
        <v>0</v>
      </c>
      <c r="CV96" s="2049"/>
      <c r="CW96" s="2049"/>
      <c r="CX96" s="2049"/>
      <c r="CY96" s="2049"/>
      <c r="CZ96" s="2049"/>
      <c r="DA96" s="2049"/>
      <c r="DB96" s="2049">
        <v>0</v>
      </c>
      <c r="DC96" s="2049">
        <v>0</v>
      </c>
      <c r="DD96" s="2049">
        <v>0</v>
      </c>
      <c r="DE96" s="2049">
        <v>0</v>
      </c>
      <c r="DF96" s="2049">
        <v>0</v>
      </c>
      <c r="DG96" s="393">
        <v>0</v>
      </c>
      <c r="DH96" s="393">
        <v>0</v>
      </c>
      <c r="DI96" s="393">
        <v>1</v>
      </c>
      <c r="DJ96" s="36"/>
      <c r="DL96" s="36"/>
      <c r="DM96" s="36"/>
      <c r="DN96" s="36" t="s">
        <v>129</v>
      </c>
      <c r="DO96" s="36" t="s">
        <v>1072</v>
      </c>
      <c r="DP96" s="1681"/>
      <c r="DQ96" s="1681">
        <v>0</v>
      </c>
      <c r="DR96" s="1681"/>
      <c r="DS96" s="1681"/>
      <c r="DT96" s="1681"/>
      <c r="DU96" s="1681"/>
      <c r="DV96" s="1681"/>
      <c r="DW96" s="1681"/>
      <c r="DX96" s="1681"/>
      <c r="DY96" s="1681"/>
      <c r="DZ96" s="1681"/>
      <c r="EA96" s="1681">
        <v>0</v>
      </c>
      <c r="EB96" s="1681">
        <v>0</v>
      </c>
      <c r="EC96" s="1681">
        <v>1</v>
      </c>
      <c r="ED96" s="1681">
        <v>0</v>
      </c>
      <c r="EE96" s="95">
        <v>1</v>
      </c>
      <c r="EF96" s="95"/>
      <c r="EG96" s="95">
        <v>2</v>
      </c>
      <c r="EH96" s="36"/>
      <c r="EL96" s="36"/>
      <c r="EM96" s="393" t="s">
        <v>15</v>
      </c>
      <c r="EN96" s="1491">
        <v>1</v>
      </c>
      <c r="EO96" s="1491"/>
      <c r="EP96" s="1491"/>
      <c r="EQ96" s="1491">
        <v>1</v>
      </c>
      <c r="ER96" s="1491"/>
      <c r="ES96" s="1491"/>
      <c r="ET96" s="1491"/>
      <c r="EU96" s="1491"/>
      <c r="EV96" s="1491"/>
      <c r="EW96" s="1491">
        <v>1</v>
      </c>
      <c r="EX96" s="1491"/>
      <c r="EY96" s="1491"/>
      <c r="EZ96" s="1491">
        <v>16</v>
      </c>
      <c r="FA96" s="1491">
        <v>7</v>
      </c>
      <c r="FB96" s="1491">
        <v>3</v>
      </c>
      <c r="FC96" s="393"/>
      <c r="FD96" s="393"/>
      <c r="FE96" s="393">
        <v>29</v>
      </c>
      <c r="FF96" s="560">
        <f>+(FE92+FE95)/FE96</f>
        <v>0.51724137931034486</v>
      </c>
      <c r="FH96" s="1225"/>
      <c r="FI96" s="1225"/>
      <c r="FJ96" s="1225"/>
      <c r="FK96" s="1226" t="s">
        <v>1072</v>
      </c>
      <c r="FL96" s="1227"/>
      <c r="FM96" s="1228">
        <v>2</v>
      </c>
      <c r="FN96" s="1228">
        <v>1</v>
      </c>
      <c r="FO96" s="1227"/>
      <c r="FP96" s="1227"/>
      <c r="FQ96" s="1227"/>
      <c r="FR96" s="1227"/>
      <c r="FS96" s="1227"/>
      <c r="FT96" s="1227"/>
      <c r="FU96" s="1228">
        <v>0</v>
      </c>
      <c r="FV96" s="1228">
        <v>0</v>
      </c>
      <c r="FW96" s="1228">
        <v>0</v>
      </c>
      <c r="FX96" s="1228">
        <v>1</v>
      </c>
      <c r="FY96" s="1230">
        <v>0</v>
      </c>
      <c r="FZ96" s="1230">
        <v>0</v>
      </c>
      <c r="GA96" s="1230">
        <v>4</v>
      </c>
      <c r="GB96" s="36"/>
      <c r="GD96" s="603"/>
      <c r="GE96" s="603"/>
      <c r="GF96" s="603"/>
      <c r="GG96" s="604" t="s">
        <v>1072</v>
      </c>
      <c r="GH96" s="605"/>
      <c r="GI96" s="606">
        <v>3</v>
      </c>
      <c r="GJ96" s="606">
        <v>2</v>
      </c>
      <c r="GK96" s="606">
        <v>1</v>
      </c>
      <c r="GL96" s="606">
        <v>1</v>
      </c>
      <c r="GM96" s="606">
        <v>1</v>
      </c>
      <c r="GN96" s="606">
        <v>1</v>
      </c>
      <c r="GO96" s="606">
        <v>1</v>
      </c>
      <c r="GP96" s="606">
        <v>2</v>
      </c>
      <c r="GQ96" s="606">
        <v>1</v>
      </c>
      <c r="GR96" s="606">
        <v>2</v>
      </c>
      <c r="GS96" s="606">
        <v>2</v>
      </c>
      <c r="GT96" s="606">
        <v>7</v>
      </c>
      <c r="GU96" s="606">
        <v>3</v>
      </c>
      <c r="GV96" s="606">
        <v>0</v>
      </c>
      <c r="GW96" s="608">
        <v>0</v>
      </c>
      <c r="GX96" s="608">
        <v>0</v>
      </c>
      <c r="GY96" s="608">
        <v>27</v>
      </c>
      <c r="GZ96" s="95"/>
      <c r="HB96" s="441"/>
      <c r="HC96" s="441"/>
      <c r="HD96" s="462" t="s">
        <v>483</v>
      </c>
      <c r="HE96" s="441" t="s">
        <v>1070</v>
      </c>
      <c r="HF96" s="442" t="s">
        <v>1071</v>
      </c>
      <c r="HG96" s="609"/>
      <c r="HH96" s="609"/>
      <c r="HI96" s="610">
        <v>0</v>
      </c>
      <c r="HJ96" s="609"/>
      <c r="HK96" s="610">
        <v>0</v>
      </c>
      <c r="HL96" s="609"/>
      <c r="HM96" s="610">
        <v>0</v>
      </c>
      <c r="HN96" s="609"/>
      <c r="HO96" s="610">
        <v>0</v>
      </c>
      <c r="HP96" s="610">
        <v>0</v>
      </c>
      <c r="HQ96" s="610">
        <v>0</v>
      </c>
      <c r="HR96" s="610">
        <v>0</v>
      </c>
      <c r="HS96" s="610">
        <v>0</v>
      </c>
      <c r="HT96" s="610">
        <v>0</v>
      </c>
      <c r="HU96" s="610">
        <v>1</v>
      </c>
      <c r="HV96" s="612">
        <v>0</v>
      </c>
      <c r="HW96" s="612">
        <v>0</v>
      </c>
      <c r="HX96" s="612">
        <v>1</v>
      </c>
      <c r="HY96" s="560"/>
      <c r="HZ96" s="36"/>
      <c r="IA96" s="613"/>
      <c r="IB96" s="613"/>
      <c r="IC96" s="613"/>
      <c r="ID96" s="389" t="s">
        <v>1076</v>
      </c>
      <c r="IE96" s="614"/>
      <c r="IF96" s="614"/>
      <c r="IG96" s="614"/>
      <c r="IH96" s="614"/>
      <c r="II96" s="390">
        <v>0</v>
      </c>
      <c r="IJ96" s="390">
        <v>0</v>
      </c>
      <c r="IK96" s="390">
        <v>0</v>
      </c>
      <c r="IL96" s="614"/>
      <c r="IM96" s="390">
        <v>0</v>
      </c>
      <c r="IN96" s="390">
        <v>1</v>
      </c>
      <c r="IO96" s="390">
        <v>0</v>
      </c>
      <c r="IP96" s="614"/>
      <c r="IQ96" s="390">
        <v>0</v>
      </c>
      <c r="IR96" s="390">
        <v>1</v>
      </c>
      <c r="IS96" s="615"/>
      <c r="IT96" s="36"/>
      <c r="IU96" s="36"/>
      <c r="IV96" s="95"/>
      <c r="IW96" s="95"/>
      <c r="IX96" s="36"/>
      <c r="IY96" s="36" t="s">
        <v>1163</v>
      </c>
      <c r="IZ96" s="95"/>
      <c r="JA96" s="95"/>
      <c r="JB96" s="95"/>
      <c r="JC96" s="95"/>
      <c r="JD96" s="95"/>
      <c r="JE96" s="95"/>
      <c r="JF96" s="95"/>
      <c r="JG96" s="95"/>
      <c r="JH96" s="95"/>
      <c r="JI96" s="95"/>
      <c r="JJ96" s="95"/>
      <c r="JK96" s="95">
        <v>1</v>
      </c>
      <c r="JL96" s="95"/>
      <c r="JM96" s="95"/>
      <c r="JN96" s="95"/>
      <c r="JO96" s="95"/>
      <c r="JP96" s="95">
        <v>1</v>
      </c>
      <c r="JQ96" s="36"/>
      <c r="JR96" s="36"/>
      <c r="JS96" s="616"/>
      <c r="JT96" s="616"/>
      <c r="JU96" s="616"/>
      <c r="JV96" s="616"/>
      <c r="JW96" s="616"/>
      <c r="JX96" s="616"/>
      <c r="JY96" s="616"/>
      <c r="JZ96" s="616"/>
      <c r="KA96" s="616"/>
      <c r="KB96" s="616"/>
      <c r="KC96" s="616"/>
      <c r="KD96" s="616"/>
      <c r="KE96" s="616"/>
      <c r="KF96" s="616"/>
      <c r="KG96" s="616"/>
      <c r="KH96" s="616"/>
      <c r="KI96" s="616"/>
      <c r="KJ96" s="616"/>
      <c r="KK96" s="616"/>
      <c r="KL96" s="616"/>
      <c r="KM96" s="616"/>
      <c r="KN96" s="616"/>
      <c r="KO96" s="617"/>
    </row>
    <row r="97" spans="1:301">
      <c r="A97" s="5737">
        <v>2</v>
      </c>
      <c r="B97" s="5737">
        <v>2</v>
      </c>
      <c r="C97" s="5736" t="s">
        <v>2735</v>
      </c>
      <c r="D97" s="5736" t="s">
        <v>2731</v>
      </c>
      <c r="E97" s="5737">
        <v>15</v>
      </c>
      <c r="F97" s="5737">
        <v>14</v>
      </c>
      <c r="I97" s="4726">
        <v>2</v>
      </c>
      <c r="J97" s="4726">
        <v>2</v>
      </c>
      <c r="K97" s="4725" t="s">
        <v>2735</v>
      </c>
      <c r="L97" s="4725" t="s">
        <v>2731</v>
      </c>
      <c r="M97" s="4726">
        <v>19</v>
      </c>
      <c r="N97" s="4726">
        <v>13</v>
      </c>
      <c r="Q97" s="4458">
        <v>2</v>
      </c>
      <c r="R97" s="4458">
        <v>2</v>
      </c>
      <c r="S97" s="4459" t="s">
        <v>2737</v>
      </c>
      <c r="T97" s="4461" t="s">
        <v>2707</v>
      </c>
      <c r="U97" s="4458">
        <v>14</v>
      </c>
      <c r="V97" s="4479">
        <v>1</v>
      </c>
      <c r="W97" s="4510"/>
      <c r="X97" s="4467"/>
      <c r="Y97" s="4467"/>
      <c r="Z97" s="36"/>
      <c r="AA97" s="36"/>
      <c r="AB97" s="36"/>
      <c r="AC97" s="36" t="s">
        <v>1080</v>
      </c>
      <c r="AD97" s="615">
        <v>0</v>
      </c>
      <c r="AE97" s="615"/>
      <c r="AF97" s="615"/>
      <c r="AG97" s="615"/>
      <c r="AH97" s="615"/>
      <c r="AI97" s="615"/>
      <c r="AJ97" s="615"/>
      <c r="AK97" s="615"/>
      <c r="AL97" s="615"/>
      <c r="AM97" s="615">
        <v>0</v>
      </c>
      <c r="AN97" s="615">
        <v>0</v>
      </c>
      <c r="AO97" s="615">
        <v>16</v>
      </c>
      <c r="AP97" s="615"/>
      <c r="AQ97" s="36"/>
      <c r="AR97" s="36">
        <v>16</v>
      </c>
      <c r="AS97" s="36"/>
      <c r="AX97" s="3868" t="s">
        <v>1077</v>
      </c>
      <c r="AY97" s="3721"/>
      <c r="AZ97" s="3721"/>
      <c r="BA97" s="3721"/>
      <c r="BB97" s="3721"/>
      <c r="BC97" s="3721"/>
      <c r="BD97" s="3721">
        <v>1</v>
      </c>
      <c r="BE97" s="3721">
        <v>1</v>
      </c>
      <c r="BF97" s="3721"/>
      <c r="BG97" s="3721"/>
      <c r="BH97" s="3721">
        <v>0</v>
      </c>
      <c r="BI97" s="3721">
        <v>2</v>
      </c>
      <c r="BJ97" s="3721">
        <v>0</v>
      </c>
      <c r="BK97" s="3721">
        <v>0</v>
      </c>
      <c r="BL97" s="3721"/>
      <c r="BM97" s="2110"/>
      <c r="BN97" s="2110"/>
      <c r="BO97" s="2110">
        <v>4</v>
      </c>
      <c r="BP97" s="2110"/>
      <c r="BU97" s="32" t="s">
        <v>1080</v>
      </c>
      <c r="BV97" s="3871">
        <v>0</v>
      </c>
      <c r="BW97" s="3871"/>
      <c r="BX97" s="3871"/>
      <c r="BY97" s="3871"/>
      <c r="BZ97" s="3871"/>
      <c r="CA97" s="3871">
        <v>0</v>
      </c>
      <c r="CB97" s="3871">
        <v>0</v>
      </c>
      <c r="CC97" s="3871"/>
      <c r="CD97" s="3871"/>
      <c r="CE97" s="3871">
        <v>0</v>
      </c>
      <c r="CF97" s="3871">
        <v>0</v>
      </c>
      <c r="CG97" s="3871">
        <v>0</v>
      </c>
      <c r="CH97" s="3871">
        <v>19</v>
      </c>
      <c r="CI97" s="3871"/>
      <c r="CJ97" s="1518"/>
      <c r="CK97" s="1518">
        <v>19</v>
      </c>
      <c r="CN97" s="36"/>
      <c r="CO97" s="36"/>
      <c r="CP97" s="393"/>
      <c r="CQ97" s="393" t="s">
        <v>1076</v>
      </c>
      <c r="CR97" s="2049">
        <v>0</v>
      </c>
      <c r="CS97" s="2049">
        <v>0</v>
      </c>
      <c r="CT97" s="2049">
        <v>0</v>
      </c>
      <c r="CU97" s="2049">
        <v>0</v>
      </c>
      <c r="CV97" s="2049"/>
      <c r="CW97" s="2049"/>
      <c r="CX97" s="2049"/>
      <c r="CY97" s="2049"/>
      <c r="CZ97" s="2049"/>
      <c r="DA97" s="2049"/>
      <c r="DB97" s="2049">
        <v>0</v>
      </c>
      <c r="DC97" s="2049">
        <v>1</v>
      </c>
      <c r="DD97" s="2049">
        <v>1</v>
      </c>
      <c r="DE97" s="2049">
        <v>3</v>
      </c>
      <c r="DF97" s="2049">
        <v>2</v>
      </c>
      <c r="DG97" s="393">
        <v>2</v>
      </c>
      <c r="DH97" s="393">
        <v>0</v>
      </c>
      <c r="DI97" s="393">
        <v>9</v>
      </c>
      <c r="DJ97" s="36"/>
      <c r="DL97" s="36"/>
      <c r="DM97" s="36"/>
      <c r="DN97" s="36"/>
      <c r="DO97" s="36" t="s">
        <v>1074</v>
      </c>
      <c r="DP97" s="1681"/>
      <c r="DQ97" s="1681">
        <v>1</v>
      </c>
      <c r="DR97" s="1681"/>
      <c r="DS97" s="1681"/>
      <c r="DT97" s="1681"/>
      <c r="DU97" s="1681"/>
      <c r="DV97" s="1681"/>
      <c r="DW97" s="1681"/>
      <c r="DX97" s="1681"/>
      <c r="DY97" s="1681"/>
      <c r="DZ97" s="1681"/>
      <c r="EA97" s="1681">
        <v>0</v>
      </c>
      <c r="EB97" s="1681">
        <v>0</v>
      </c>
      <c r="EC97" s="1681">
        <v>0</v>
      </c>
      <c r="ED97" s="1681">
        <v>0</v>
      </c>
      <c r="EE97" s="95">
        <v>0</v>
      </c>
      <c r="EF97" s="95"/>
      <c r="EG97" s="95">
        <v>1</v>
      </c>
      <c r="EH97" s="36"/>
      <c r="EL97" s="36" t="s">
        <v>127</v>
      </c>
      <c r="EM97" s="36" t="s">
        <v>1072</v>
      </c>
      <c r="EN97" s="1490"/>
      <c r="EO97" s="1490"/>
      <c r="EP97" s="1490"/>
      <c r="EQ97" s="1490"/>
      <c r="ER97" s="1490"/>
      <c r="ES97" s="1490"/>
      <c r="ET97" s="1490"/>
      <c r="EU97" s="1490"/>
      <c r="EV97" s="1490"/>
      <c r="EW97" s="1490"/>
      <c r="EX97" s="1490">
        <v>1</v>
      </c>
      <c r="EY97" s="1490"/>
      <c r="EZ97" s="1490">
        <v>1</v>
      </c>
      <c r="FA97" s="1490">
        <v>0</v>
      </c>
      <c r="FB97" s="1490">
        <v>0</v>
      </c>
      <c r="FC97" s="36">
        <v>0</v>
      </c>
      <c r="FD97" s="36">
        <v>0</v>
      </c>
      <c r="FE97" s="36">
        <v>2</v>
      </c>
      <c r="FF97" s="36"/>
      <c r="FH97" s="1225"/>
      <c r="FI97" s="1225"/>
      <c r="FJ97" s="1225"/>
      <c r="FK97" s="1226" t="s">
        <v>1076</v>
      </c>
      <c r="FL97" s="1227"/>
      <c r="FM97" s="1228">
        <v>0</v>
      </c>
      <c r="FN97" s="1228">
        <v>0</v>
      </c>
      <c r="FO97" s="1227"/>
      <c r="FP97" s="1227"/>
      <c r="FQ97" s="1227"/>
      <c r="FR97" s="1227"/>
      <c r="FS97" s="1227"/>
      <c r="FT97" s="1227"/>
      <c r="FU97" s="1228">
        <v>0</v>
      </c>
      <c r="FV97" s="1228">
        <v>1</v>
      </c>
      <c r="FW97" s="1228">
        <v>1</v>
      </c>
      <c r="FX97" s="1228">
        <v>0</v>
      </c>
      <c r="FY97" s="1230">
        <v>0</v>
      </c>
      <c r="FZ97" s="1230">
        <v>0</v>
      </c>
      <c r="GA97" s="1230">
        <v>2</v>
      </c>
      <c r="GB97" s="36"/>
      <c r="GD97" s="603"/>
      <c r="GE97" s="603"/>
      <c r="GF97" s="603"/>
      <c r="GG97" s="604" t="s">
        <v>1074</v>
      </c>
      <c r="GH97" s="605"/>
      <c r="GI97" s="606">
        <v>0</v>
      </c>
      <c r="GJ97" s="606">
        <v>0</v>
      </c>
      <c r="GK97" s="606">
        <v>1</v>
      </c>
      <c r="GL97" s="606">
        <v>0</v>
      </c>
      <c r="GM97" s="606">
        <v>0</v>
      </c>
      <c r="GN97" s="606">
        <v>0</v>
      </c>
      <c r="GO97" s="606">
        <v>0</v>
      </c>
      <c r="GP97" s="606">
        <v>0</v>
      </c>
      <c r="GQ97" s="606">
        <v>0</v>
      </c>
      <c r="GR97" s="606">
        <v>0</v>
      </c>
      <c r="GS97" s="606">
        <v>0</v>
      </c>
      <c r="GT97" s="606">
        <v>0</v>
      </c>
      <c r="GU97" s="606">
        <v>0</v>
      </c>
      <c r="GV97" s="606">
        <v>0</v>
      </c>
      <c r="GW97" s="608">
        <v>0</v>
      </c>
      <c r="GX97" s="608">
        <v>0</v>
      </c>
      <c r="GY97" s="608">
        <v>1</v>
      </c>
      <c r="GZ97" s="95"/>
      <c r="HB97" s="441"/>
      <c r="HC97" s="441"/>
      <c r="HD97" s="441"/>
      <c r="HE97" s="441"/>
      <c r="HF97" s="442" t="s">
        <v>1072</v>
      </c>
      <c r="HG97" s="609"/>
      <c r="HH97" s="609"/>
      <c r="HI97" s="610">
        <v>2</v>
      </c>
      <c r="HJ97" s="609"/>
      <c r="HK97" s="610">
        <v>1</v>
      </c>
      <c r="HL97" s="609"/>
      <c r="HM97" s="610">
        <v>1</v>
      </c>
      <c r="HN97" s="609"/>
      <c r="HO97" s="610">
        <v>0</v>
      </c>
      <c r="HP97" s="610">
        <v>2</v>
      </c>
      <c r="HQ97" s="610">
        <v>0</v>
      </c>
      <c r="HR97" s="610">
        <v>1</v>
      </c>
      <c r="HS97" s="610">
        <v>7</v>
      </c>
      <c r="HT97" s="610">
        <v>3</v>
      </c>
      <c r="HU97" s="610">
        <v>1</v>
      </c>
      <c r="HV97" s="612">
        <v>0</v>
      </c>
      <c r="HW97" s="612">
        <v>0</v>
      </c>
      <c r="HX97" s="612">
        <v>18</v>
      </c>
      <c r="HY97" s="560"/>
      <c r="HZ97" s="36"/>
      <c r="IA97" s="613"/>
      <c r="IB97" s="613"/>
      <c r="IC97" s="613"/>
      <c r="ID97" s="389" t="s">
        <v>1080</v>
      </c>
      <c r="IE97" s="614"/>
      <c r="IF97" s="614"/>
      <c r="IG97" s="614"/>
      <c r="IH97" s="614"/>
      <c r="II97" s="390">
        <v>1</v>
      </c>
      <c r="IJ97" s="390">
        <v>0</v>
      </c>
      <c r="IK97" s="390">
        <v>0</v>
      </c>
      <c r="IL97" s="614"/>
      <c r="IM97" s="390">
        <v>0</v>
      </c>
      <c r="IN97" s="390">
        <v>0</v>
      </c>
      <c r="IO97" s="390">
        <v>3</v>
      </c>
      <c r="IP97" s="614"/>
      <c r="IQ97" s="390">
        <v>1</v>
      </c>
      <c r="IR97" s="390">
        <v>5</v>
      </c>
      <c r="IS97" s="615"/>
      <c r="IT97" s="36"/>
      <c r="IU97" s="36"/>
      <c r="IV97" s="95"/>
      <c r="IW97" s="95"/>
      <c r="IX97" s="36"/>
      <c r="IY97" s="393" t="s">
        <v>15</v>
      </c>
      <c r="IZ97" s="86"/>
      <c r="JA97" s="86"/>
      <c r="JB97" s="86"/>
      <c r="JC97" s="86"/>
      <c r="JD97" s="86"/>
      <c r="JE97" s="86"/>
      <c r="JF97" s="86"/>
      <c r="JG97" s="86"/>
      <c r="JH97" s="86"/>
      <c r="JI97" s="86"/>
      <c r="JJ97" s="86"/>
      <c r="JK97" s="86">
        <v>17</v>
      </c>
      <c r="JL97" s="86"/>
      <c r="JM97" s="86"/>
      <c r="JN97" s="86"/>
      <c r="JO97" s="86"/>
      <c r="JP97" s="86">
        <v>17</v>
      </c>
      <c r="JQ97" s="631">
        <f>+JP96/JP97</f>
        <v>5.8823529411764705E-2</v>
      </c>
      <c r="JR97" s="36"/>
      <c r="JS97" s="616"/>
      <c r="JT97" s="616"/>
      <c r="JU97" s="616"/>
      <c r="JV97" s="616"/>
      <c r="JW97" s="616"/>
      <c r="JX97" s="616"/>
      <c r="JY97" s="616"/>
      <c r="JZ97" s="616"/>
      <c r="KA97" s="616"/>
      <c r="KB97" s="616"/>
      <c r="KC97" s="616"/>
      <c r="KD97" s="616"/>
      <c r="KE97" s="616"/>
      <c r="KF97" s="616"/>
      <c r="KG97" s="616"/>
      <c r="KH97" s="616"/>
      <c r="KI97" s="616"/>
      <c r="KJ97" s="616"/>
      <c r="KK97" s="616"/>
      <c r="KL97" s="616"/>
      <c r="KM97" s="616"/>
      <c r="KN97" s="616"/>
      <c r="KO97" s="617"/>
    </row>
    <row r="98" spans="1:301">
      <c r="A98" s="5737">
        <v>2</v>
      </c>
      <c r="B98" s="5737">
        <v>2</v>
      </c>
      <c r="C98" s="5736" t="s">
        <v>2735</v>
      </c>
      <c r="D98" s="5739" t="s">
        <v>1076</v>
      </c>
      <c r="E98" s="5737">
        <v>1</v>
      </c>
      <c r="F98" s="5737">
        <v>12</v>
      </c>
      <c r="I98" s="4726">
        <v>2</v>
      </c>
      <c r="J98" s="4726">
        <v>2</v>
      </c>
      <c r="K98" s="4725" t="s">
        <v>2735</v>
      </c>
      <c r="L98" s="4963" t="s">
        <v>2707</v>
      </c>
      <c r="M98" s="4964">
        <v>1</v>
      </c>
      <c r="N98" s="4726">
        <v>12</v>
      </c>
      <c r="Q98" s="4458"/>
      <c r="R98" s="4458"/>
      <c r="S98" s="4465" t="s">
        <v>15</v>
      </c>
      <c r="T98" s="4461"/>
      <c r="U98" s="4458"/>
      <c r="V98" s="4480">
        <v>13</v>
      </c>
      <c r="W98" s="4476">
        <f>+(V96 +V97)/(V98)</f>
        <v>0.15384615384615385</v>
      </c>
      <c r="X98" s="4467">
        <v>8</v>
      </c>
      <c r="Y98" s="4467"/>
      <c r="Z98" s="36"/>
      <c r="AA98" s="36"/>
      <c r="AB98" s="36"/>
      <c r="AC98" s="36" t="s">
        <v>2571</v>
      </c>
      <c r="AD98" s="615">
        <v>2</v>
      </c>
      <c r="AE98" s="615"/>
      <c r="AF98" s="615"/>
      <c r="AG98" s="615"/>
      <c r="AH98" s="615"/>
      <c r="AI98" s="615"/>
      <c r="AJ98" s="615"/>
      <c r="AK98" s="615"/>
      <c r="AL98" s="615"/>
      <c r="AM98" s="615">
        <v>0</v>
      </c>
      <c r="AN98" s="615">
        <v>0</v>
      </c>
      <c r="AO98" s="615">
        <v>0</v>
      </c>
      <c r="AP98" s="615"/>
      <c r="AQ98" s="36"/>
      <c r="AR98" s="36">
        <v>2</v>
      </c>
      <c r="AS98" s="36"/>
      <c r="AX98" s="3868" t="s">
        <v>1080</v>
      </c>
      <c r="AY98" s="3721"/>
      <c r="AZ98" s="3721"/>
      <c r="BA98" s="3721"/>
      <c r="BB98" s="3721"/>
      <c r="BC98" s="3721"/>
      <c r="BD98" s="3721">
        <v>0</v>
      </c>
      <c r="BE98" s="3721">
        <v>0</v>
      </c>
      <c r="BF98" s="3721"/>
      <c r="BG98" s="3721"/>
      <c r="BH98" s="3721">
        <v>0</v>
      </c>
      <c r="BI98" s="3721">
        <v>0</v>
      </c>
      <c r="BJ98" s="3721">
        <v>0</v>
      </c>
      <c r="BK98" s="3721">
        <v>8</v>
      </c>
      <c r="BL98" s="3721"/>
      <c r="BM98" s="2110"/>
      <c r="BN98" s="2110"/>
      <c r="BO98" s="2110">
        <v>8</v>
      </c>
      <c r="BP98" s="2110"/>
      <c r="BU98" s="1520" t="s">
        <v>15</v>
      </c>
      <c r="BV98" s="3872">
        <v>0</v>
      </c>
      <c r="BW98" s="3872"/>
      <c r="BX98" s="3872"/>
      <c r="BY98" s="3872"/>
      <c r="BZ98" s="3872"/>
      <c r="CA98" s="3872">
        <v>1</v>
      </c>
      <c r="CB98" s="3872">
        <v>1</v>
      </c>
      <c r="CC98" s="3872"/>
      <c r="CD98" s="3872"/>
      <c r="CE98" s="3872">
        <v>1</v>
      </c>
      <c r="CF98" s="3872">
        <v>2</v>
      </c>
      <c r="CG98" s="3872">
        <v>2</v>
      </c>
      <c r="CH98" s="3872">
        <v>20</v>
      </c>
      <c r="CI98" s="3872"/>
      <c r="CJ98" s="3806"/>
      <c r="CK98" s="3806">
        <v>27</v>
      </c>
      <c r="CL98" s="3807">
        <f>+CK95/CK98</f>
        <v>0.14814814814814814</v>
      </c>
      <c r="CN98" s="36"/>
      <c r="CO98" s="36"/>
      <c r="CP98" s="393"/>
      <c r="CQ98" s="393" t="s">
        <v>1080</v>
      </c>
      <c r="CR98" s="2049">
        <v>0</v>
      </c>
      <c r="CS98" s="2049">
        <v>0</v>
      </c>
      <c r="CT98" s="2049">
        <v>0</v>
      </c>
      <c r="CU98" s="2049">
        <v>0</v>
      </c>
      <c r="CV98" s="2049"/>
      <c r="CW98" s="2049"/>
      <c r="CX98" s="2049"/>
      <c r="CY98" s="2049"/>
      <c r="CZ98" s="2049"/>
      <c r="DA98" s="2049"/>
      <c r="DB98" s="2049">
        <v>0</v>
      </c>
      <c r="DC98" s="2049">
        <v>0</v>
      </c>
      <c r="DD98" s="2049">
        <v>0</v>
      </c>
      <c r="DE98" s="2049">
        <v>0</v>
      </c>
      <c r="DF98" s="2049">
        <v>15</v>
      </c>
      <c r="DG98" s="393">
        <v>6</v>
      </c>
      <c r="DH98" s="393">
        <v>3</v>
      </c>
      <c r="DI98" s="393">
        <v>24</v>
      </c>
      <c r="DJ98" s="36"/>
      <c r="DL98" s="36"/>
      <c r="DM98" s="36"/>
      <c r="DN98" s="36"/>
      <c r="DO98" s="36" t="s">
        <v>1076</v>
      </c>
      <c r="DP98" s="1681"/>
      <c r="DQ98" s="1681">
        <v>0</v>
      </c>
      <c r="DR98" s="1681"/>
      <c r="DS98" s="1681"/>
      <c r="DT98" s="1681"/>
      <c r="DU98" s="1681"/>
      <c r="DV98" s="1681"/>
      <c r="DW98" s="1681"/>
      <c r="DX98" s="1681"/>
      <c r="DY98" s="1681"/>
      <c r="DZ98" s="1681"/>
      <c r="EA98" s="1681">
        <v>0</v>
      </c>
      <c r="EB98" s="1681">
        <v>2</v>
      </c>
      <c r="EC98" s="1681">
        <v>2</v>
      </c>
      <c r="ED98" s="1681">
        <v>0</v>
      </c>
      <c r="EE98" s="95">
        <v>0</v>
      </c>
      <c r="EF98" s="95"/>
      <c r="EG98" s="95">
        <v>4</v>
      </c>
      <c r="EH98" s="36"/>
      <c r="EL98" s="36"/>
      <c r="EM98" s="36" t="s">
        <v>1076</v>
      </c>
      <c r="EN98" s="1490"/>
      <c r="EO98" s="1490"/>
      <c r="EP98" s="1490"/>
      <c r="EQ98" s="1490"/>
      <c r="ER98" s="1490"/>
      <c r="ES98" s="1490"/>
      <c r="ET98" s="1490"/>
      <c r="EU98" s="1490"/>
      <c r="EV98" s="1490"/>
      <c r="EW98" s="1490"/>
      <c r="EX98" s="1490">
        <v>0</v>
      </c>
      <c r="EY98" s="1490"/>
      <c r="EZ98" s="1490">
        <v>1</v>
      </c>
      <c r="FA98" s="1490">
        <v>0</v>
      </c>
      <c r="FB98" s="1490">
        <v>0</v>
      </c>
      <c r="FC98" s="36">
        <v>0</v>
      </c>
      <c r="FD98" s="36">
        <v>0</v>
      </c>
      <c r="FE98" s="36">
        <v>1</v>
      </c>
      <c r="FF98" s="36"/>
      <c r="FH98" s="1225"/>
      <c r="FI98" s="1225"/>
      <c r="FJ98" s="1225"/>
      <c r="FK98" s="1226" t="s">
        <v>1080</v>
      </c>
      <c r="FL98" s="1227"/>
      <c r="FM98" s="1228">
        <v>0</v>
      </c>
      <c r="FN98" s="1228">
        <v>0</v>
      </c>
      <c r="FO98" s="1227"/>
      <c r="FP98" s="1227"/>
      <c r="FQ98" s="1227"/>
      <c r="FR98" s="1227"/>
      <c r="FS98" s="1227"/>
      <c r="FT98" s="1227"/>
      <c r="FU98" s="1228">
        <v>0</v>
      </c>
      <c r="FV98" s="1228">
        <v>0</v>
      </c>
      <c r="FW98" s="1228">
        <v>1</v>
      </c>
      <c r="FX98" s="1228">
        <v>6</v>
      </c>
      <c r="FY98" s="1230">
        <v>0</v>
      </c>
      <c r="FZ98" s="1230">
        <v>1</v>
      </c>
      <c r="GA98" s="1230">
        <v>8</v>
      </c>
      <c r="GB98" s="36"/>
      <c r="GD98" s="603"/>
      <c r="GE98" s="603"/>
      <c r="GF98" s="603"/>
      <c r="GG98" s="604" t="s">
        <v>1076</v>
      </c>
      <c r="GH98" s="605"/>
      <c r="GI98" s="606">
        <v>0</v>
      </c>
      <c r="GJ98" s="606">
        <v>0</v>
      </c>
      <c r="GK98" s="606">
        <v>0</v>
      </c>
      <c r="GL98" s="606">
        <v>0</v>
      </c>
      <c r="GM98" s="606">
        <v>0</v>
      </c>
      <c r="GN98" s="606">
        <v>1</v>
      </c>
      <c r="GO98" s="606">
        <v>2</v>
      </c>
      <c r="GP98" s="606">
        <v>1</v>
      </c>
      <c r="GQ98" s="606">
        <v>0</v>
      </c>
      <c r="GR98" s="606">
        <v>0</v>
      </c>
      <c r="GS98" s="606">
        <v>1</v>
      </c>
      <c r="GT98" s="606">
        <v>2</v>
      </c>
      <c r="GU98" s="606">
        <v>17</v>
      </c>
      <c r="GV98" s="606">
        <v>0</v>
      </c>
      <c r="GW98" s="608">
        <v>0</v>
      </c>
      <c r="GX98" s="608">
        <v>0</v>
      </c>
      <c r="GY98" s="608">
        <v>24</v>
      </c>
      <c r="GZ98" s="95"/>
      <c r="HB98" s="441"/>
      <c r="HC98" s="441"/>
      <c r="HD98" s="441"/>
      <c r="HE98" s="441"/>
      <c r="HF98" s="442" t="s">
        <v>1076</v>
      </c>
      <c r="HG98" s="609"/>
      <c r="HH98" s="609"/>
      <c r="HI98" s="610">
        <v>0</v>
      </c>
      <c r="HJ98" s="609"/>
      <c r="HK98" s="610">
        <v>0</v>
      </c>
      <c r="HL98" s="609"/>
      <c r="HM98" s="610">
        <v>1</v>
      </c>
      <c r="HN98" s="609"/>
      <c r="HO98" s="610">
        <v>0</v>
      </c>
      <c r="HP98" s="610">
        <v>0</v>
      </c>
      <c r="HQ98" s="610">
        <v>4</v>
      </c>
      <c r="HR98" s="610">
        <v>3</v>
      </c>
      <c r="HS98" s="610">
        <v>6</v>
      </c>
      <c r="HT98" s="610">
        <v>6</v>
      </c>
      <c r="HU98" s="610">
        <v>1</v>
      </c>
      <c r="HV98" s="612">
        <v>3</v>
      </c>
      <c r="HW98" s="612">
        <v>0</v>
      </c>
      <c r="HX98" s="612">
        <v>24</v>
      </c>
      <c r="HY98" s="560"/>
      <c r="HZ98" s="36"/>
      <c r="IA98" s="613"/>
      <c r="IB98" s="613"/>
      <c r="IC98" s="613"/>
      <c r="ID98" s="389" t="s">
        <v>1081</v>
      </c>
      <c r="IE98" s="614"/>
      <c r="IF98" s="614"/>
      <c r="IG98" s="614"/>
      <c r="IH98" s="614"/>
      <c r="II98" s="390">
        <v>0</v>
      </c>
      <c r="IJ98" s="390">
        <v>0</v>
      </c>
      <c r="IK98" s="390">
        <v>0</v>
      </c>
      <c r="IL98" s="614"/>
      <c r="IM98" s="390">
        <v>0</v>
      </c>
      <c r="IN98" s="390">
        <v>2</v>
      </c>
      <c r="IO98" s="390">
        <v>0</v>
      </c>
      <c r="IP98" s="614"/>
      <c r="IQ98" s="390">
        <v>0</v>
      </c>
      <c r="IR98" s="390">
        <v>2</v>
      </c>
      <c r="IS98" s="615"/>
      <c r="IT98" s="36"/>
      <c r="IU98" s="36"/>
      <c r="IV98" s="95"/>
      <c r="IW98" s="95" t="s">
        <v>41</v>
      </c>
      <c r="IX98" s="36" t="s">
        <v>728</v>
      </c>
      <c r="IY98" s="36" t="s">
        <v>1163</v>
      </c>
      <c r="IZ98" s="95"/>
      <c r="JA98" s="95"/>
      <c r="JB98" s="95"/>
      <c r="JC98" s="95"/>
      <c r="JD98" s="95"/>
      <c r="JE98" s="95"/>
      <c r="JF98" s="95">
        <v>1</v>
      </c>
      <c r="JG98" s="95"/>
      <c r="JH98" s="95"/>
      <c r="JI98" s="95">
        <v>1</v>
      </c>
      <c r="JJ98" s="95"/>
      <c r="JK98" s="95">
        <v>1</v>
      </c>
      <c r="JL98" s="95"/>
      <c r="JM98" s="95"/>
      <c r="JN98" s="95"/>
      <c r="JO98" s="95"/>
      <c r="JP98" s="95">
        <v>3</v>
      </c>
      <c r="JQ98" s="36"/>
      <c r="JR98" s="36"/>
      <c r="JS98" s="36"/>
      <c r="JT98" s="36"/>
      <c r="JU98" s="36"/>
      <c r="JV98" s="36"/>
      <c r="JW98" s="36"/>
      <c r="JX98" s="36"/>
      <c r="JY98" s="36"/>
      <c r="JZ98" s="36"/>
      <c r="KA98" s="36"/>
      <c r="KB98" s="36"/>
      <c r="KC98" s="36"/>
      <c r="KD98" s="36"/>
      <c r="KE98" s="36"/>
      <c r="KF98" s="36"/>
      <c r="KG98" s="36"/>
      <c r="KH98" s="36"/>
      <c r="KI98" s="36"/>
      <c r="KJ98" s="36"/>
      <c r="KK98" s="36"/>
      <c r="KL98" s="36"/>
      <c r="KM98" s="36"/>
      <c r="KN98" s="36"/>
      <c r="KO98" s="36"/>
    </row>
    <row r="99" spans="1:301">
      <c r="A99" s="5737">
        <v>2</v>
      </c>
      <c r="B99" s="5737">
        <v>2</v>
      </c>
      <c r="C99" s="5736" t="s">
        <v>2735</v>
      </c>
      <c r="D99" s="5739" t="s">
        <v>1076</v>
      </c>
      <c r="E99" s="5737">
        <v>1</v>
      </c>
      <c r="F99" s="5737">
        <v>13</v>
      </c>
      <c r="I99" s="4726">
        <v>2</v>
      </c>
      <c r="J99" s="4726">
        <v>2</v>
      </c>
      <c r="K99" s="4725" t="s">
        <v>2735</v>
      </c>
      <c r="L99" s="4725" t="s">
        <v>2709</v>
      </c>
      <c r="M99" s="4726">
        <v>5</v>
      </c>
      <c r="N99" s="4726">
        <v>12</v>
      </c>
      <c r="Q99" s="4458"/>
      <c r="R99" s="4458"/>
      <c r="S99" s="4459"/>
      <c r="T99" s="4461"/>
      <c r="U99" s="4458"/>
      <c r="V99" s="4481">
        <f>SUM(V63,V65,V68:V69,V75:V77,V88:V89,V96:V97)</f>
        <v>30</v>
      </c>
      <c r="W99" s="4510"/>
      <c r="X99" s="4467"/>
      <c r="Y99" s="4467"/>
      <c r="Z99" s="36"/>
      <c r="AA99" s="36"/>
      <c r="AB99" s="36"/>
      <c r="AC99" s="4236" t="s">
        <v>15</v>
      </c>
      <c r="AD99" s="4236">
        <v>2</v>
      </c>
      <c r="AE99" s="4236"/>
      <c r="AF99" s="4236"/>
      <c r="AG99" s="4236"/>
      <c r="AH99" s="4236"/>
      <c r="AI99" s="4236"/>
      <c r="AJ99" s="4236"/>
      <c r="AK99" s="4236"/>
      <c r="AL99" s="4236"/>
      <c r="AM99" s="4236">
        <v>1</v>
      </c>
      <c r="AN99" s="4236">
        <v>5</v>
      </c>
      <c r="AO99" s="4236">
        <v>16</v>
      </c>
      <c r="AP99" s="4236"/>
      <c r="AQ99" s="4236"/>
      <c r="AR99" s="4236">
        <v>24</v>
      </c>
      <c r="AS99" s="4243">
        <f>AR96/(AR99-AR98)</f>
        <v>4.5454545454545456E-2</v>
      </c>
      <c r="AU99" s="36"/>
      <c r="AV99" s="36"/>
      <c r="AW99" s="36"/>
      <c r="AX99" s="36" t="s">
        <v>1163</v>
      </c>
      <c r="AY99" s="1681"/>
      <c r="AZ99" s="1681"/>
      <c r="BA99" s="1681"/>
      <c r="BB99" s="1681"/>
      <c r="BC99" s="1681"/>
      <c r="BD99" s="1681">
        <v>0</v>
      </c>
      <c r="BE99" s="1681">
        <v>0</v>
      </c>
      <c r="BF99" s="1681"/>
      <c r="BG99" s="1681"/>
      <c r="BH99" s="1681">
        <v>1</v>
      </c>
      <c r="BI99" s="1681">
        <v>0</v>
      </c>
      <c r="BJ99" s="1681">
        <v>2</v>
      </c>
      <c r="BK99" s="1681">
        <v>0</v>
      </c>
      <c r="BL99" s="1681"/>
      <c r="BM99" s="95"/>
      <c r="BN99" s="95"/>
      <c r="BO99" s="95">
        <v>3</v>
      </c>
      <c r="BP99" s="95"/>
      <c r="BT99" s="32" t="s">
        <v>127</v>
      </c>
      <c r="BU99" s="32" t="s">
        <v>1072</v>
      </c>
      <c r="BV99" s="3871">
        <v>0</v>
      </c>
      <c r="BW99" s="3871">
        <v>0</v>
      </c>
      <c r="BX99" s="3871"/>
      <c r="BY99" s="3871"/>
      <c r="BZ99" s="3871"/>
      <c r="CA99" s="3871"/>
      <c r="CB99" s="3871"/>
      <c r="CC99" s="3871"/>
      <c r="CD99" s="3871"/>
      <c r="CE99" s="3871"/>
      <c r="CF99" s="3871"/>
      <c r="CG99" s="3871"/>
      <c r="CH99" s="3871">
        <v>2</v>
      </c>
      <c r="CI99" s="3871">
        <v>0</v>
      </c>
      <c r="CJ99" s="1518">
        <v>0</v>
      </c>
      <c r="CK99" s="1518">
        <v>2</v>
      </c>
      <c r="CN99" s="36"/>
      <c r="CO99" s="36"/>
      <c r="CP99" s="393"/>
      <c r="CQ99" s="393" t="s">
        <v>1163</v>
      </c>
      <c r="CR99" s="2049">
        <v>0</v>
      </c>
      <c r="CS99" s="2049">
        <v>0</v>
      </c>
      <c r="CT99" s="2049">
        <v>0</v>
      </c>
      <c r="CU99" s="2049">
        <v>0</v>
      </c>
      <c r="CV99" s="2049"/>
      <c r="CW99" s="2049"/>
      <c r="CX99" s="2049"/>
      <c r="CY99" s="2049"/>
      <c r="CZ99" s="2049"/>
      <c r="DA99" s="2049"/>
      <c r="DB99" s="2049">
        <v>1</v>
      </c>
      <c r="DC99" s="2049">
        <v>1</v>
      </c>
      <c r="DD99" s="2049">
        <v>0</v>
      </c>
      <c r="DE99" s="2049">
        <v>2</v>
      </c>
      <c r="DF99" s="2049">
        <v>1</v>
      </c>
      <c r="DG99" s="393">
        <v>0</v>
      </c>
      <c r="DH99" s="393">
        <v>0</v>
      </c>
      <c r="DI99" s="393">
        <v>5</v>
      </c>
      <c r="DJ99" s="36"/>
      <c r="DL99" s="36"/>
      <c r="DM99" s="36"/>
      <c r="DN99" s="36"/>
      <c r="DO99" s="36" t="s">
        <v>1080</v>
      </c>
      <c r="DP99" s="1681"/>
      <c r="DQ99" s="1681">
        <v>0</v>
      </c>
      <c r="DR99" s="1681"/>
      <c r="DS99" s="1681"/>
      <c r="DT99" s="1681"/>
      <c r="DU99" s="1681"/>
      <c r="DV99" s="1681"/>
      <c r="DW99" s="1681"/>
      <c r="DX99" s="1681"/>
      <c r="DY99" s="1681"/>
      <c r="DZ99" s="1681"/>
      <c r="EA99" s="1681">
        <v>0</v>
      </c>
      <c r="EB99" s="1681">
        <v>0</v>
      </c>
      <c r="EC99" s="1681">
        <v>0</v>
      </c>
      <c r="ED99" s="1681">
        <v>1</v>
      </c>
      <c r="EE99" s="95">
        <v>0</v>
      </c>
      <c r="EF99" s="95"/>
      <c r="EG99" s="95">
        <v>1</v>
      </c>
      <c r="EH99" s="36"/>
      <c r="EL99" s="36"/>
      <c r="EM99" s="36" t="s">
        <v>1080</v>
      </c>
      <c r="EN99" s="1490"/>
      <c r="EO99" s="1490"/>
      <c r="EP99" s="1490"/>
      <c r="EQ99" s="1490"/>
      <c r="ER99" s="1490"/>
      <c r="ES99" s="1490"/>
      <c r="ET99" s="1490"/>
      <c r="EU99" s="1490"/>
      <c r="EV99" s="1490"/>
      <c r="EW99" s="1490"/>
      <c r="EX99" s="1490">
        <v>0</v>
      </c>
      <c r="EY99" s="1490"/>
      <c r="EZ99" s="1490">
        <v>0</v>
      </c>
      <c r="FA99" s="1490">
        <v>0</v>
      </c>
      <c r="FB99" s="1490">
        <v>1</v>
      </c>
      <c r="FC99" s="36">
        <v>2</v>
      </c>
      <c r="FD99" s="36">
        <v>8</v>
      </c>
      <c r="FE99" s="36">
        <v>11</v>
      </c>
      <c r="FF99" s="36"/>
      <c r="FH99" s="1225"/>
      <c r="FI99" s="1225"/>
      <c r="FJ99" s="1225"/>
      <c r="FK99" s="1226" t="s">
        <v>1163</v>
      </c>
      <c r="FL99" s="1227"/>
      <c r="FM99" s="1228">
        <v>0</v>
      </c>
      <c r="FN99" s="1228">
        <v>0</v>
      </c>
      <c r="FO99" s="1227"/>
      <c r="FP99" s="1227"/>
      <c r="FQ99" s="1227"/>
      <c r="FR99" s="1227"/>
      <c r="FS99" s="1227"/>
      <c r="FT99" s="1227"/>
      <c r="FU99" s="1228">
        <v>1</v>
      </c>
      <c r="FV99" s="1228">
        <v>3</v>
      </c>
      <c r="FW99" s="1228">
        <v>1</v>
      </c>
      <c r="FX99" s="1228">
        <v>0</v>
      </c>
      <c r="FY99" s="1230">
        <v>0</v>
      </c>
      <c r="FZ99" s="1230">
        <v>0</v>
      </c>
      <c r="GA99" s="1230">
        <v>5</v>
      </c>
      <c r="GB99" s="36"/>
      <c r="GD99" s="603"/>
      <c r="GE99" s="603"/>
      <c r="GF99" s="603"/>
      <c r="GG99" s="604" t="s">
        <v>1077</v>
      </c>
      <c r="GH99" s="605"/>
      <c r="GI99" s="606">
        <v>0</v>
      </c>
      <c r="GJ99" s="606">
        <v>1</v>
      </c>
      <c r="GK99" s="606">
        <v>1</v>
      </c>
      <c r="GL99" s="606">
        <v>1</v>
      </c>
      <c r="GM99" s="606">
        <v>0</v>
      </c>
      <c r="GN99" s="606">
        <v>0</v>
      </c>
      <c r="GO99" s="606">
        <v>0</v>
      </c>
      <c r="GP99" s="606">
        <v>0</v>
      </c>
      <c r="GQ99" s="606">
        <v>0</v>
      </c>
      <c r="GR99" s="606">
        <v>0</v>
      </c>
      <c r="GS99" s="606">
        <v>0</v>
      </c>
      <c r="GT99" s="606">
        <v>0</v>
      </c>
      <c r="GU99" s="606">
        <v>0</v>
      </c>
      <c r="GV99" s="606">
        <v>0</v>
      </c>
      <c r="GW99" s="608">
        <v>0</v>
      </c>
      <c r="GX99" s="608">
        <v>0</v>
      </c>
      <c r="GY99" s="608">
        <v>3</v>
      </c>
      <c r="GZ99" s="95"/>
      <c r="HB99" s="441"/>
      <c r="HC99" s="441"/>
      <c r="HD99" s="441"/>
      <c r="HE99" s="441"/>
      <c r="HF99" s="442" t="s">
        <v>1077</v>
      </c>
      <c r="HG99" s="609"/>
      <c r="HH99" s="609"/>
      <c r="HI99" s="610">
        <v>1</v>
      </c>
      <c r="HJ99" s="609"/>
      <c r="HK99" s="610">
        <v>0</v>
      </c>
      <c r="HL99" s="609"/>
      <c r="HM99" s="610">
        <v>0</v>
      </c>
      <c r="HN99" s="609"/>
      <c r="HO99" s="610">
        <v>0</v>
      </c>
      <c r="HP99" s="610">
        <v>1</v>
      </c>
      <c r="HQ99" s="610">
        <v>0</v>
      </c>
      <c r="HR99" s="610">
        <v>0</v>
      </c>
      <c r="HS99" s="610">
        <v>0</v>
      </c>
      <c r="HT99" s="610">
        <v>0</v>
      </c>
      <c r="HU99" s="610">
        <v>0</v>
      </c>
      <c r="HV99" s="612">
        <v>0</v>
      </c>
      <c r="HW99" s="612">
        <v>0</v>
      </c>
      <c r="HX99" s="612">
        <v>2</v>
      </c>
      <c r="HY99" s="560"/>
      <c r="HZ99" s="36"/>
      <c r="IA99" s="613"/>
      <c r="IB99" s="613"/>
      <c r="IC99" s="613"/>
      <c r="ID99" s="389" t="s">
        <v>1163</v>
      </c>
      <c r="IE99" s="614"/>
      <c r="IF99" s="614"/>
      <c r="IG99" s="614"/>
      <c r="IH99" s="614"/>
      <c r="II99" s="390">
        <v>0</v>
      </c>
      <c r="IJ99" s="390">
        <v>1</v>
      </c>
      <c r="IK99" s="390">
        <v>1</v>
      </c>
      <c r="IL99" s="614"/>
      <c r="IM99" s="390">
        <v>1</v>
      </c>
      <c r="IN99" s="390">
        <v>0</v>
      </c>
      <c r="IO99" s="390">
        <v>0</v>
      </c>
      <c r="IP99" s="614"/>
      <c r="IQ99" s="390">
        <v>0</v>
      </c>
      <c r="IR99" s="390">
        <v>3</v>
      </c>
      <c r="IS99" s="615"/>
      <c r="IT99" s="36"/>
      <c r="IU99" s="36"/>
      <c r="IV99" s="95"/>
      <c r="IW99" s="95"/>
      <c r="IX99" s="36"/>
      <c r="IY99" s="393" t="s">
        <v>15</v>
      </c>
      <c r="IZ99" s="86"/>
      <c r="JA99" s="86"/>
      <c r="JB99" s="86"/>
      <c r="JC99" s="86"/>
      <c r="JD99" s="86"/>
      <c r="JE99" s="86"/>
      <c r="JF99" s="86">
        <v>1</v>
      </c>
      <c r="JG99" s="86"/>
      <c r="JH99" s="86"/>
      <c r="JI99" s="86">
        <v>1</v>
      </c>
      <c r="JJ99" s="86"/>
      <c r="JK99" s="86">
        <v>1</v>
      </c>
      <c r="JL99" s="86"/>
      <c r="JM99" s="86"/>
      <c r="JN99" s="86"/>
      <c r="JO99" s="86"/>
      <c r="JP99" s="86">
        <v>3</v>
      </c>
      <c r="JQ99" s="632">
        <f>+JP98/JP99</f>
        <v>1</v>
      </c>
      <c r="JR99" s="36"/>
      <c r="JS99" s="36"/>
      <c r="JT99" s="36"/>
      <c r="JU99" s="36"/>
      <c r="JV99" s="36"/>
      <c r="JW99" s="36"/>
      <c r="JX99" s="36"/>
      <c r="JY99" s="36"/>
      <c r="JZ99" s="36"/>
      <c r="KA99" s="36"/>
      <c r="KB99" s="36"/>
      <c r="KC99" s="36"/>
      <c r="KD99" s="36"/>
      <c r="KE99" s="36"/>
      <c r="KF99" s="36"/>
      <c r="KG99" s="36"/>
      <c r="KH99" s="36"/>
      <c r="KI99" s="36"/>
      <c r="KJ99" s="36"/>
      <c r="KK99" s="36"/>
      <c r="KL99" s="36"/>
      <c r="KM99" s="36"/>
      <c r="KN99" s="36"/>
      <c r="KO99" s="36"/>
    </row>
    <row r="100" spans="1:301">
      <c r="A100" s="5737">
        <v>2</v>
      </c>
      <c r="B100" s="5737">
        <v>2</v>
      </c>
      <c r="C100" s="5736" t="s">
        <v>2735</v>
      </c>
      <c r="D100" s="5739" t="s">
        <v>1076</v>
      </c>
      <c r="E100" s="5737">
        <v>1</v>
      </c>
      <c r="F100" s="5737">
        <v>14</v>
      </c>
      <c r="I100" s="4726"/>
      <c r="J100" s="4726"/>
      <c r="K100" s="4725"/>
      <c r="L100" s="4725"/>
      <c r="M100" s="4975">
        <f>SUM(M97:M99)</f>
        <v>25</v>
      </c>
      <c r="N100" s="4726"/>
      <c r="O100" s="4476">
        <f>+(M98)/(M100)</f>
        <v>0.04</v>
      </c>
      <c r="Q100" s="4458"/>
      <c r="R100" s="4474"/>
      <c r="S100" s="4471" t="s">
        <v>483</v>
      </c>
      <c r="T100" s="4475"/>
      <c r="U100" s="4474"/>
      <c r="V100" s="4482">
        <f>SUM(V66,V72,V80,V90,V98)</f>
        <v>91</v>
      </c>
      <c r="W100" s="4451">
        <f>+(V99)/(V100)</f>
        <v>0.32967032967032966</v>
      </c>
      <c r="X100" s="4467"/>
      <c r="Y100" s="4467"/>
      <c r="Z100" s="36"/>
      <c r="AA100" s="36"/>
      <c r="AB100" s="36" t="s">
        <v>126</v>
      </c>
      <c r="AC100" s="36" t="s">
        <v>1072</v>
      </c>
      <c r="AD100" s="615">
        <v>0</v>
      </c>
      <c r="AE100" s="615">
        <v>1</v>
      </c>
      <c r="AF100" s="615"/>
      <c r="AG100" s="615">
        <v>0</v>
      </c>
      <c r="AH100" s="615">
        <v>0</v>
      </c>
      <c r="AI100" s="615">
        <v>1</v>
      </c>
      <c r="AJ100" s="615"/>
      <c r="AK100" s="615"/>
      <c r="AL100" s="615"/>
      <c r="AM100" s="615"/>
      <c r="AN100" s="615">
        <v>1</v>
      </c>
      <c r="AO100" s="615">
        <v>0</v>
      </c>
      <c r="AP100" s="615"/>
      <c r="AQ100" s="36"/>
      <c r="AR100" s="36">
        <v>3</v>
      </c>
      <c r="AS100" s="36"/>
      <c r="AX100" s="3868" t="s">
        <v>15</v>
      </c>
      <c r="AY100" s="3721"/>
      <c r="AZ100" s="3721"/>
      <c r="BA100" s="3721"/>
      <c r="BB100" s="3721"/>
      <c r="BC100" s="3721"/>
      <c r="BD100" s="3721">
        <v>1</v>
      </c>
      <c r="BE100" s="3721">
        <v>1</v>
      </c>
      <c r="BF100" s="3721"/>
      <c r="BG100" s="3721"/>
      <c r="BH100" s="3721">
        <v>1</v>
      </c>
      <c r="BI100" s="3721">
        <v>2</v>
      </c>
      <c r="BJ100" s="3721">
        <v>2</v>
      </c>
      <c r="BK100" s="3721">
        <v>20</v>
      </c>
      <c r="BL100" s="3721"/>
      <c r="BM100" s="2110"/>
      <c r="BN100" s="2110"/>
      <c r="BO100" s="2110">
        <v>27</v>
      </c>
      <c r="BP100" s="1665">
        <f>+(BO96+BO99)/(BO100)</f>
        <v>0.55555555555555558</v>
      </c>
      <c r="BU100" s="32" t="s">
        <v>1076</v>
      </c>
      <c r="BV100" s="3871">
        <v>0</v>
      </c>
      <c r="BW100" s="3871">
        <v>0</v>
      </c>
      <c r="BX100" s="3871"/>
      <c r="BY100" s="3871"/>
      <c r="BZ100" s="3871"/>
      <c r="CA100" s="3871"/>
      <c r="CB100" s="3871"/>
      <c r="CC100" s="3871"/>
      <c r="CD100" s="3871"/>
      <c r="CE100" s="3871"/>
      <c r="CF100" s="3871"/>
      <c r="CG100" s="3871"/>
      <c r="CH100" s="3871">
        <v>1</v>
      </c>
      <c r="CI100" s="3871">
        <v>0</v>
      </c>
      <c r="CJ100" s="1518">
        <v>0</v>
      </c>
      <c r="CK100" s="1518">
        <v>1</v>
      </c>
      <c r="CN100" s="36"/>
      <c r="CO100" s="36"/>
      <c r="CP100" s="393"/>
      <c r="CQ100" s="393" t="s">
        <v>482</v>
      </c>
      <c r="CR100" s="2049">
        <v>1</v>
      </c>
      <c r="CS100" s="2049">
        <v>1</v>
      </c>
      <c r="CT100" s="2049">
        <v>1</v>
      </c>
      <c r="CU100" s="2049">
        <v>1</v>
      </c>
      <c r="CV100" s="2049"/>
      <c r="CW100" s="2049"/>
      <c r="CX100" s="2049"/>
      <c r="CY100" s="2049"/>
      <c r="CZ100" s="2049"/>
      <c r="DA100" s="2049"/>
      <c r="DB100" s="2049">
        <v>1</v>
      </c>
      <c r="DC100" s="2049">
        <v>3</v>
      </c>
      <c r="DD100" s="2049">
        <v>1</v>
      </c>
      <c r="DE100" s="2049">
        <v>7</v>
      </c>
      <c r="DF100" s="2049">
        <v>19</v>
      </c>
      <c r="DG100" s="393">
        <v>8</v>
      </c>
      <c r="DH100" s="393">
        <v>3</v>
      </c>
      <c r="DI100" s="393">
        <v>46</v>
      </c>
      <c r="DJ100" s="560">
        <f>+(DI99+DI97-DG97)/DI100</f>
        <v>0.2608695652173913</v>
      </c>
      <c r="DK100" s="1665"/>
      <c r="DL100" s="36"/>
      <c r="DM100" s="36"/>
      <c r="DN100" s="36"/>
      <c r="DO100" s="36" t="s">
        <v>1163</v>
      </c>
      <c r="DP100" s="1681"/>
      <c r="DQ100" s="1681">
        <v>0</v>
      </c>
      <c r="DR100" s="1681"/>
      <c r="DS100" s="1681"/>
      <c r="DT100" s="1681"/>
      <c r="DU100" s="1681"/>
      <c r="DV100" s="1681"/>
      <c r="DW100" s="1681"/>
      <c r="DX100" s="1681"/>
      <c r="DY100" s="1681"/>
      <c r="DZ100" s="1681"/>
      <c r="EA100" s="1681">
        <v>1</v>
      </c>
      <c r="EB100" s="1681">
        <v>1</v>
      </c>
      <c r="EC100" s="1681">
        <v>5</v>
      </c>
      <c r="ED100" s="1681">
        <v>0</v>
      </c>
      <c r="EE100" s="95">
        <v>0</v>
      </c>
      <c r="EF100" s="95"/>
      <c r="EG100" s="95">
        <v>7</v>
      </c>
      <c r="EH100" s="36"/>
      <c r="EL100" s="36"/>
      <c r="EM100" s="36" t="s">
        <v>1163</v>
      </c>
      <c r="EN100" s="1490"/>
      <c r="EO100" s="1490"/>
      <c r="EP100" s="1490"/>
      <c r="EQ100" s="1490"/>
      <c r="ER100" s="1490"/>
      <c r="ES100" s="1490"/>
      <c r="ET100" s="1490"/>
      <c r="EU100" s="1490"/>
      <c r="EV100" s="1490"/>
      <c r="EW100" s="1490"/>
      <c r="EX100" s="1490">
        <v>0</v>
      </c>
      <c r="EY100" s="1490"/>
      <c r="EZ100" s="1490">
        <v>0</v>
      </c>
      <c r="FA100" s="1490">
        <v>1</v>
      </c>
      <c r="FB100" s="1490">
        <v>0</v>
      </c>
      <c r="FC100" s="36">
        <v>0</v>
      </c>
      <c r="FD100" s="36">
        <v>0</v>
      </c>
      <c r="FE100" s="36">
        <v>1</v>
      </c>
      <c r="FF100" s="36"/>
      <c r="FH100" s="1225"/>
      <c r="FI100" s="1225"/>
      <c r="FJ100" s="1225"/>
      <c r="FK100" s="1222" t="s">
        <v>15</v>
      </c>
      <c r="FL100" s="1231"/>
      <c r="FM100" s="1232">
        <v>2</v>
      </c>
      <c r="FN100" s="1232">
        <v>1</v>
      </c>
      <c r="FO100" s="1231"/>
      <c r="FP100" s="1231"/>
      <c r="FQ100" s="1231"/>
      <c r="FR100" s="1231"/>
      <c r="FS100" s="1231"/>
      <c r="FT100" s="1231"/>
      <c r="FU100" s="1232">
        <v>1</v>
      </c>
      <c r="FV100" s="1232">
        <v>4</v>
      </c>
      <c r="FW100" s="1232">
        <v>3</v>
      </c>
      <c r="FX100" s="1232">
        <v>10</v>
      </c>
      <c r="FY100" s="1234">
        <v>1</v>
      </c>
      <c r="FZ100" s="1234">
        <v>1</v>
      </c>
      <c r="GA100" s="1234">
        <v>23</v>
      </c>
      <c r="GB100" s="1178">
        <f>+(GA97+GA99)/GA100</f>
        <v>0.30434782608695654</v>
      </c>
      <c r="GD100" s="603"/>
      <c r="GE100" s="603"/>
      <c r="GF100" s="603"/>
      <c r="GG100" s="604" t="s">
        <v>1080</v>
      </c>
      <c r="GH100" s="605"/>
      <c r="GI100" s="606">
        <v>0</v>
      </c>
      <c r="GJ100" s="606">
        <v>0</v>
      </c>
      <c r="GK100" s="606">
        <v>0</v>
      </c>
      <c r="GL100" s="606">
        <v>0</v>
      </c>
      <c r="GM100" s="606">
        <v>0</v>
      </c>
      <c r="GN100" s="606">
        <v>0</v>
      </c>
      <c r="GO100" s="606">
        <v>0</v>
      </c>
      <c r="GP100" s="606">
        <v>0</v>
      </c>
      <c r="GQ100" s="606">
        <v>0</v>
      </c>
      <c r="GR100" s="606">
        <v>0</v>
      </c>
      <c r="GS100" s="606">
        <v>0</v>
      </c>
      <c r="GT100" s="606">
        <v>0</v>
      </c>
      <c r="GU100" s="606">
        <v>2</v>
      </c>
      <c r="GV100" s="606">
        <v>22</v>
      </c>
      <c r="GW100" s="608">
        <v>2</v>
      </c>
      <c r="GX100" s="608">
        <v>5</v>
      </c>
      <c r="GY100" s="608">
        <v>31</v>
      </c>
      <c r="GZ100" s="95"/>
      <c r="HB100" s="441"/>
      <c r="HC100" s="441"/>
      <c r="HD100" s="441"/>
      <c r="HE100" s="441"/>
      <c r="HF100" s="442" t="s">
        <v>1080</v>
      </c>
      <c r="HG100" s="609"/>
      <c r="HH100" s="609"/>
      <c r="HI100" s="610">
        <v>0</v>
      </c>
      <c r="HJ100" s="609"/>
      <c r="HK100" s="610">
        <v>0</v>
      </c>
      <c r="HL100" s="609"/>
      <c r="HM100" s="610">
        <v>0</v>
      </c>
      <c r="HN100" s="609"/>
      <c r="HO100" s="610">
        <v>0</v>
      </c>
      <c r="HP100" s="610">
        <v>0</v>
      </c>
      <c r="HQ100" s="610">
        <v>0</v>
      </c>
      <c r="HR100" s="610">
        <v>0</v>
      </c>
      <c r="HS100" s="610">
        <v>0</v>
      </c>
      <c r="HT100" s="610">
        <v>0</v>
      </c>
      <c r="HU100" s="610">
        <v>23</v>
      </c>
      <c r="HV100" s="612">
        <v>1</v>
      </c>
      <c r="HW100" s="612">
        <v>4</v>
      </c>
      <c r="HX100" s="612">
        <v>28</v>
      </c>
      <c r="HY100" s="560"/>
      <c r="HZ100" s="36"/>
      <c r="IA100" s="613"/>
      <c r="IB100" s="613"/>
      <c r="IC100" s="613"/>
      <c r="ID100" s="629" t="s">
        <v>15</v>
      </c>
      <c r="IE100" s="630"/>
      <c r="IF100" s="630"/>
      <c r="IG100" s="630"/>
      <c r="IH100" s="630"/>
      <c r="II100" s="395">
        <v>1</v>
      </c>
      <c r="IJ100" s="395">
        <v>2</v>
      </c>
      <c r="IK100" s="395">
        <v>1</v>
      </c>
      <c r="IL100" s="630"/>
      <c r="IM100" s="395">
        <v>1</v>
      </c>
      <c r="IN100" s="395">
        <v>3</v>
      </c>
      <c r="IO100" s="395">
        <v>3</v>
      </c>
      <c r="IP100" s="630"/>
      <c r="IQ100" s="395">
        <v>1</v>
      </c>
      <c r="IR100" s="395">
        <v>12</v>
      </c>
      <c r="IS100" s="553">
        <f>+(IR99+IR98+IR96)/IR100</f>
        <v>0.5</v>
      </c>
      <c r="IT100" s="36"/>
      <c r="IU100" s="36"/>
      <c r="IV100" s="95"/>
      <c r="IW100" s="95"/>
      <c r="IX100" s="36" t="s">
        <v>144</v>
      </c>
      <c r="IY100" s="36" t="s">
        <v>1072</v>
      </c>
      <c r="IZ100" s="95"/>
      <c r="JA100" s="95">
        <v>0</v>
      </c>
      <c r="JB100" s="95"/>
      <c r="JC100" s="95"/>
      <c r="JD100" s="95"/>
      <c r="JE100" s="95"/>
      <c r="JF100" s="95"/>
      <c r="JG100" s="95">
        <v>3</v>
      </c>
      <c r="JH100" s="95">
        <v>4</v>
      </c>
      <c r="JI100" s="95">
        <v>1</v>
      </c>
      <c r="JJ100" s="95"/>
      <c r="JK100" s="95"/>
      <c r="JL100" s="95">
        <v>0</v>
      </c>
      <c r="JM100" s="95"/>
      <c r="JN100" s="95"/>
      <c r="JO100" s="95"/>
      <c r="JP100" s="95">
        <v>8</v>
      </c>
      <c r="JQ100" s="36"/>
      <c r="JR100" s="36"/>
      <c r="JS100" s="36"/>
      <c r="JT100" s="36"/>
      <c r="JU100" s="36"/>
      <c r="JV100" s="36"/>
      <c r="JW100" s="36"/>
      <c r="JX100" s="36"/>
      <c r="JY100" s="36"/>
      <c r="JZ100" s="36"/>
      <c r="KA100" s="36"/>
      <c r="KB100" s="36"/>
      <c r="KC100" s="36"/>
      <c r="KD100" s="36"/>
      <c r="KE100" s="36"/>
      <c r="KF100" s="36"/>
      <c r="KG100" s="36"/>
      <c r="KH100" s="36"/>
      <c r="KI100" s="36"/>
      <c r="KJ100" s="36"/>
      <c r="KK100" s="36"/>
      <c r="KL100" s="36"/>
      <c r="KM100" s="36"/>
      <c r="KN100" s="36"/>
      <c r="KO100" s="36"/>
    </row>
    <row r="101" spans="1:301">
      <c r="A101" s="5737">
        <v>2</v>
      </c>
      <c r="B101" s="5737">
        <v>2</v>
      </c>
      <c r="C101" s="5736" t="s">
        <v>2735</v>
      </c>
      <c r="D101" s="5736" t="s">
        <v>2709</v>
      </c>
      <c r="E101" s="5737">
        <v>2</v>
      </c>
      <c r="F101" s="5737">
        <v>12</v>
      </c>
      <c r="I101" s="4726">
        <v>2</v>
      </c>
      <c r="J101" s="4726">
        <v>2</v>
      </c>
      <c r="K101" s="4725" t="s">
        <v>2737</v>
      </c>
      <c r="L101" s="4725" t="s">
        <v>2731</v>
      </c>
      <c r="M101" s="4726">
        <v>1</v>
      </c>
      <c r="N101" s="4726">
        <v>14</v>
      </c>
      <c r="Q101" s="4458">
        <v>2</v>
      </c>
      <c r="R101" s="4470">
        <v>3</v>
      </c>
      <c r="S101" s="4459" t="s">
        <v>128</v>
      </c>
      <c r="T101" s="4469" t="s">
        <v>2709</v>
      </c>
      <c r="U101" s="4470">
        <v>13</v>
      </c>
      <c r="V101" s="4483">
        <v>2</v>
      </c>
      <c r="W101" s="4510"/>
      <c r="X101" s="4467"/>
      <c r="Y101" s="4467"/>
      <c r="Z101" s="36"/>
      <c r="AA101" s="36"/>
      <c r="AB101" s="36"/>
      <c r="AC101" s="36" t="s">
        <v>1074</v>
      </c>
      <c r="AD101" s="615">
        <v>0</v>
      </c>
      <c r="AE101" s="615">
        <v>1</v>
      </c>
      <c r="AF101" s="615"/>
      <c r="AG101" s="615">
        <v>1</v>
      </c>
      <c r="AH101" s="615">
        <v>1</v>
      </c>
      <c r="AI101" s="615">
        <v>0</v>
      </c>
      <c r="AJ101" s="615"/>
      <c r="AK101" s="615"/>
      <c r="AL101" s="615"/>
      <c r="AM101" s="615"/>
      <c r="AN101" s="615">
        <v>0</v>
      </c>
      <c r="AO101" s="615">
        <v>0</v>
      </c>
      <c r="AP101" s="615"/>
      <c r="AQ101" s="36"/>
      <c r="AR101" s="36">
        <v>3</v>
      </c>
      <c r="AS101" s="36"/>
      <c r="AW101" s="3868" t="s">
        <v>127</v>
      </c>
      <c r="AX101" s="3868" t="s">
        <v>1076</v>
      </c>
      <c r="AY101" s="3721"/>
      <c r="AZ101" s="3721">
        <v>0</v>
      </c>
      <c r="BA101" s="3721"/>
      <c r="BB101" s="3721"/>
      <c r="BC101" s="3721"/>
      <c r="BD101" s="3721"/>
      <c r="BE101" s="3721"/>
      <c r="BF101" s="3721"/>
      <c r="BG101" s="3721"/>
      <c r="BH101" s="3721"/>
      <c r="BI101" s="3721"/>
      <c r="BJ101" s="3721"/>
      <c r="BK101" s="3721">
        <v>2</v>
      </c>
      <c r="BL101" s="3721">
        <v>0</v>
      </c>
      <c r="BM101" s="2110">
        <v>2</v>
      </c>
      <c r="BN101" s="2110"/>
      <c r="BO101" s="2110">
        <v>4</v>
      </c>
      <c r="BP101" s="2110"/>
      <c r="BU101" s="32" t="s">
        <v>1077</v>
      </c>
      <c r="BV101" s="3871">
        <v>0</v>
      </c>
      <c r="BW101" s="3871">
        <v>1</v>
      </c>
      <c r="BX101" s="3871"/>
      <c r="BY101" s="3871"/>
      <c r="BZ101" s="3871"/>
      <c r="CA101" s="3871"/>
      <c r="CB101" s="3871"/>
      <c r="CC101" s="3871"/>
      <c r="CD101" s="3871"/>
      <c r="CE101" s="3871"/>
      <c r="CF101" s="3871"/>
      <c r="CG101" s="3871"/>
      <c r="CH101" s="3871">
        <v>0</v>
      </c>
      <c r="CI101" s="3871">
        <v>0</v>
      </c>
      <c r="CJ101" s="1518">
        <v>0</v>
      </c>
      <c r="CK101" s="1518">
        <v>1</v>
      </c>
      <c r="CN101" s="36"/>
      <c r="CO101" s="36" t="s">
        <v>16</v>
      </c>
      <c r="CP101" s="36" t="s">
        <v>106</v>
      </c>
      <c r="CQ101" s="36" t="s">
        <v>1072</v>
      </c>
      <c r="CR101" s="615"/>
      <c r="CS101" s="615"/>
      <c r="CT101" s="615"/>
      <c r="CU101" s="615"/>
      <c r="CV101" s="615"/>
      <c r="CW101" s="615">
        <v>1</v>
      </c>
      <c r="CX101" s="615"/>
      <c r="CY101" s="615"/>
      <c r="CZ101" s="615"/>
      <c r="DA101" s="615"/>
      <c r="DB101" s="615"/>
      <c r="DC101" s="615">
        <v>1</v>
      </c>
      <c r="DD101" s="615">
        <v>2</v>
      </c>
      <c r="DE101" s="615">
        <v>0</v>
      </c>
      <c r="DF101" s="615">
        <v>0</v>
      </c>
      <c r="DG101" s="36"/>
      <c r="DH101" s="36"/>
      <c r="DI101" s="36">
        <v>4</v>
      </c>
      <c r="DJ101" s="36"/>
      <c r="DL101" s="36"/>
      <c r="DM101" s="36"/>
      <c r="DN101" s="36"/>
      <c r="DO101" s="393" t="s">
        <v>15</v>
      </c>
      <c r="DP101" s="1682"/>
      <c r="DQ101" s="1682">
        <v>1</v>
      </c>
      <c r="DR101" s="1682"/>
      <c r="DS101" s="1682"/>
      <c r="DT101" s="1682"/>
      <c r="DU101" s="1682"/>
      <c r="DV101" s="1682"/>
      <c r="DW101" s="1682"/>
      <c r="DX101" s="1682"/>
      <c r="DY101" s="1682"/>
      <c r="DZ101" s="1682"/>
      <c r="EA101" s="1682">
        <v>1</v>
      </c>
      <c r="EB101" s="1682">
        <v>3</v>
      </c>
      <c r="EC101" s="1682">
        <v>8</v>
      </c>
      <c r="ED101" s="1682">
        <v>1</v>
      </c>
      <c r="EE101" s="86">
        <v>1</v>
      </c>
      <c r="EF101" s="86"/>
      <c r="EG101" s="86">
        <v>15</v>
      </c>
      <c r="EH101" s="560">
        <f>+(EG98+EG100)/EG101</f>
        <v>0.73333333333333328</v>
      </c>
      <c r="EL101" s="36"/>
      <c r="EM101" s="393" t="s">
        <v>15</v>
      </c>
      <c r="EN101" s="1491"/>
      <c r="EO101" s="1491"/>
      <c r="EP101" s="1491"/>
      <c r="EQ101" s="1491"/>
      <c r="ER101" s="1491"/>
      <c r="ES101" s="1491"/>
      <c r="ET101" s="1491"/>
      <c r="EU101" s="1491"/>
      <c r="EV101" s="1491"/>
      <c r="EW101" s="1491"/>
      <c r="EX101" s="1491">
        <v>1</v>
      </c>
      <c r="EY101" s="1491"/>
      <c r="EZ101" s="1491">
        <v>2</v>
      </c>
      <c r="FA101" s="1491">
        <v>1</v>
      </c>
      <c r="FB101" s="1491">
        <v>1</v>
      </c>
      <c r="FC101" s="393">
        <v>2</v>
      </c>
      <c r="FD101" s="393">
        <v>8</v>
      </c>
      <c r="FE101" s="393">
        <v>15</v>
      </c>
      <c r="FF101" s="560">
        <f>+(FE98+FE100)/FE101</f>
        <v>0.13333333333333333</v>
      </c>
      <c r="FH101" s="1225"/>
      <c r="FI101" s="1225"/>
      <c r="FJ101" s="1225" t="s">
        <v>129</v>
      </c>
      <c r="FK101" s="1226" t="s">
        <v>1071</v>
      </c>
      <c r="FL101" s="1227"/>
      <c r="FM101" s="1227"/>
      <c r="FN101" s="1227"/>
      <c r="FO101" s="1227"/>
      <c r="FP101" s="1227"/>
      <c r="FQ101" s="1227"/>
      <c r="FR101" s="1227"/>
      <c r="FS101" s="1227"/>
      <c r="FT101" s="1227"/>
      <c r="FU101" s="1228">
        <v>0</v>
      </c>
      <c r="FV101" s="1228">
        <v>0</v>
      </c>
      <c r="FW101" s="1228">
        <v>0</v>
      </c>
      <c r="FX101" s="1228">
        <v>1</v>
      </c>
      <c r="FY101" s="1229"/>
      <c r="FZ101" s="1229"/>
      <c r="GA101" s="1230">
        <v>1</v>
      </c>
      <c r="GB101" s="36"/>
      <c r="GD101" s="603"/>
      <c r="GE101" s="603"/>
      <c r="GF101" s="603"/>
      <c r="GG101" s="604" t="s">
        <v>1163</v>
      </c>
      <c r="GH101" s="605"/>
      <c r="GI101" s="606">
        <v>0</v>
      </c>
      <c r="GJ101" s="606">
        <v>0</v>
      </c>
      <c r="GK101" s="606">
        <v>0</v>
      </c>
      <c r="GL101" s="606">
        <v>0</v>
      </c>
      <c r="GM101" s="606">
        <v>0</v>
      </c>
      <c r="GN101" s="606">
        <v>2</v>
      </c>
      <c r="GO101" s="606">
        <v>1</v>
      </c>
      <c r="GP101" s="606">
        <v>2</v>
      </c>
      <c r="GQ101" s="606">
        <v>2</v>
      </c>
      <c r="GR101" s="606">
        <v>6</v>
      </c>
      <c r="GS101" s="606">
        <v>3</v>
      </c>
      <c r="GT101" s="606">
        <v>2</v>
      </c>
      <c r="GU101" s="606">
        <v>3</v>
      </c>
      <c r="GV101" s="606">
        <v>0</v>
      </c>
      <c r="GW101" s="608">
        <v>0</v>
      </c>
      <c r="GX101" s="608">
        <v>0</v>
      </c>
      <c r="GY101" s="608">
        <v>21</v>
      </c>
      <c r="GZ101" s="95"/>
      <c r="HB101" s="441"/>
      <c r="HC101" s="441"/>
      <c r="HD101" s="441"/>
      <c r="HE101" s="441"/>
      <c r="HF101" s="442" t="s">
        <v>1163</v>
      </c>
      <c r="HG101" s="609"/>
      <c r="HH101" s="609"/>
      <c r="HI101" s="610">
        <v>0</v>
      </c>
      <c r="HJ101" s="609"/>
      <c r="HK101" s="610">
        <v>0</v>
      </c>
      <c r="HL101" s="609"/>
      <c r="HM101" s="610">
        <v>0</v>
      </c>
      <c r="HN101" s="609"/>
      <c r="HO101" s="610">
        <v>1</v>
      </c>
      <c r="HP101" s="610">
        <v>1</v>
      </c>
      <c r="HQ101" s="610">
        <v>1</v>
      </c>
      <c r="HR101" s="610">
        <v>1</v>
      </c>
      <c r="HS101" s="610">
        <v>9</v>
      </c>
      <c r="HT101" s="610">
        <v>1</v>
      </c>
      <c r="HU101" s="610">
        <v>0</v>
      </c>
      <c r="HV101" s="612">
        <v>0</v>
      </c>
      <c r="HW101" s="612">
        <v>0</v>
      </c>
      <c r="HX101" s="612">
        <v>14</v>
      </c>
      <c r="HY101" s="560"/>
      <c r="HZ101" s="36"/>
      <c r="IA101" s="613"/>
      <c r="IB101" s="613" t="s">
        <v>103</v>
      </c>
      <c r="IC101" s="613" t="s">
        <v>145</v>
      </c>
      <c r="ID101" s="389" t="s">
        <v>1072</v>
      </c>
      <c r="IE101" s="614"/>
      <c r="IF101" s="614"/>
      <c r="IG101" s="614"/>
      <c r="IH101" s="614"/>
      <c r="II101" s="614"/>
      <c r="IJ101" s="614"/>
      <c r="IK101" s="614"/>
      <c r="IL101" s="614"/>
      <c r="IM101" s="390">
        <v>0</v>
      </c>
      <c r="IN101" s="390">
        <v>1</v>
      </c>
      <c r="IO101" s="390">
        <v>2</v>
      </c>
      <c r="IP101" s="390">
        <v>0</v>
      </c>
      <c r="IQ101" s="390">
        <v>0</v>
      </c>
      <c r="IR101" s="390">
        <v>3</v>
      </c>
      <c r="IS101" s="615"/>
      <c r="IT101" s="36"/>
      <c r="IU101" s="36"/>
      <c r="IV101" s="95"/>
      <c r="IW101" s="95"/>
      <c r="IX101" s="36"/>
      <c r="IY101" s="36" t="s">
        <v>1074</v>
      </c>
      <c r="IZ101" s="95"/>
      <c r="JA101" s="95">
        <v>1</v>
      </c>
      <c r="JB101" s="95"/>
      <c r="JC101" s="95"/>
      <c r="JD101" s="95"/>
      <c r="JE101" s="95"/>
      <c r="JF101" s="95"/>
      <c r="JG101" s="95">
        <v>0</v>
      </c>
      <c r="JH101" s="95">
        <v>0</v>
      </c>
      <c r="JI101" s="95">
        <v>0</v>
      </c>
      <c r="JJ101" s="95"/>
      <c r="JK101" s="95"/>
      <c r="JL101" s="95">
        <v>0</v>
      </c>
      <c r="JM101" s="95"/>
      <c r="JN101" s="95"/>
      <c r="JO101" s="95"/>
      <c r="JP101" s="95">
        <v>1</v>
      </c>
      <c r="JQ101" s="36"/>
      <c r="JR101" s="36"/>
      <c r="JS101" s="36"/>
      <c r="JT101" s="36"/>
      <c r="JU101" s="36"/>
      <c r="JV101" s="36"/>
      <c r="JW101" s="36"/>
      <c r="JX101" s="36"/>
      <c r="JY101" s="36"/>
      <c r="JZ101" s="36"/>
      <c r="KA101" s="36"/>
      <c r="KB101" s="36"/>
      <c r="KC101" s="36"/>
      <c r="KD101" s="36"/>
      <c r="KE101" s="36"/>
      <c r="KF101" s="36"/>
      <c r="KG101" s="36"/>
      <c r="KH101" s="36"/>
      <c r="KI101" s="36"/>
      <c r="KJ101" s="36"/>
      <c r="KK101" s="36"/>
      <c r="KL101" s="36"/>
      <c r="KM101" s="36"/>
      <c r="KN101" s="36"/>
      <c r="KO101" s="36"/>
    </row>
    <row r="102" spans="1:301">
      <c r="A102" s="5737">
        <v>2</v>
      </c>
      <c r="B102" s="5737">
        <v>2</v>
      </c>
      <c r="C102" s="5736" t="s">
        <v>2735</v>
      </c>
      <c r="D102" s="5736" t="s">
        <v>2709</v>
      </c>
      <c r="E102" s="5737">
        <v>2</v>
      </c>
      <c r="F102" s="5737">
        <v>13</v>
      </c>
      <c r="I102" s="4726">
        <v>2</v>
      </c>
      <c r="J102" s="4726">
        <v>2</v>
      </c>
      <c r="K102" s="4725" t="s">
        <v>2737</v>
      </c>
      <c r="L102" s="4725" t="s">
        <v>2731</v>
      </c>
      <c r="M102" s="4726">
        <v>8</v>
      </c>
      <c r="N102" s="4726">
        <v>15</v>
      </c>
      <c r="Q102" s="4458">
        <v>2</v>
      </c>
      <c r="R102" s="4458">
        <v>3</v>
      </c>
      <c r="S102" s="4459" t="s">
        <v>128</v>
      </c>
      <c r="T102" s="4459" t="s">
        <v>2709</v>
      </c>
      <c r="U102" s="4458">
        <v>14</v>
      </c>
      <c r="V102" s="4479">
        <v>1</v>
      </c>
      <c r="W102" s="4510"/>
      <c r="X102" s="4467"/>
      <c r="Y102" s="4467"/>
      <c r="Z102" s="36"/>
      <c r="AA102" s="36"/>
      <c r="AB102" s="36"/>
      <c r="AC102" s="36" t="s">
        <v>1076</v>
      </c>
      <c r="AD102" s="615">
        <v>0</v>
      </c>
      <c r="AE102" s="615">
        <v>0</v>
      </c>
      <c r="AF102" s="615"/>
      <c r="AG102" s="615">
        <v>0</v>
      </c>
      <c r="AH102" s="615">
        <v>0</v>
      </c>
      <c r="AI102" s="615">
        <v>0</v>
      </c>
      <c r="AJ102" s="615"/>
      <c r="AK102" s="615"/>
      <c r="AL102" s="615"/>
      <c r="AM102" s="615"/>
      <c r="AN102" s="615">
        <v>1</v>
      </c>
      <c r="AO102" s="615">
        <v>0</v>
      </c>
      <c r="AP102" s="615"/>
      <c r="AQ102" s="36"/>
      <c r="AR102" s="36">
        <v>1</v>
      </c>
      <c r="AS102" s="36"/>
      <c r="AU102" s="36"/>
      <c r="AV102" s="36"/>
      <c r="AW102" s="36"/>
      <c r="AX102" s="36" t="s">
        <v>1077</v>
      </c>
      <c r="AY102" s="1681"/>
      <c r="AZ102" s="1681">
        <v>1</v>
      </c>
      <c r="BA102" s="1681"/>
      <c r="BB102" s="1681"/>
      <c r="BC102" s="1681"/>
      <c r="BD102" s="1681"/>
      <c r="BE102" s="1681"/>
      <c r="BF102" s="1681"/>
      <c r="BG102" s="1681"/>
      <c r="BH102" s="1681"/>
      <c r="BI102" s="1681"/>
      <c r="BJ102" s="1681"/>
      <c r="BK102" s="1681">
        <v>0</v>
      </c>
      <c r="BL102" s="1681">
        <v>0</v>
      </c>
      <c r="BM102" s="95">
        <v>0</v>
      </c>
      <c r="BN102" s="95"/>
      <c r="BO102" s="95">
        <v>1</v>
      </c>
      <c r="BP102" s="95"/>
      <c r="BU102" s="32" t="s">
        <v>1080</v>
      </c>
      <c r="BV102" s="3871">
        <v>0</v>
      </c>
      <c r="BW102" s="3871">
        <v>0</v>
      </c>
      <c r="BX102" s="3871"/>
      <c r="BY102" s="3871"/>
      <c r="BZ102" s="3871"/>
      <c r="CA102" s="3871"/>
      <c r="CB102" s="3871"/>
      <c r="CC102" s="3871"/>
      <c r="CD102" s="3871"/>
      <c r="CE102" s="3871"/>
      <c r="CF102" s="3871"/>
      <c r="CG102" s="3871"/>
      <c r="CH102" s="3871">
        <v>0</v>
      </c>
      <c r="CI102" s="3871">
        <v>0</v>
      </c>
      <c r="CJ102" s="1518">
        <v>6</v>
      </c>
      <c r="CK102" s="1518">
        <v>6</v>
      </c>
      <c r="CN102" s="36"/>
      <c r="CO102" s="36"/>
      <c r="CP102" s="36"/>
      <c r="CQ102" s="36" t="s">
        <v>1076</v>
      </c>
      <c r="CR102" s="615"/>
      <c r="CS102" s="615"/>
      <c r="CT102" s="615"/>
      <c r="CU102" s="615"/>
      <c r="CV102" s="615"/>
      <c r="CW102" s="615">
        <v>0</v>
      </c>
      <c r="CX102" s="615"/>
      <c r="CY102" s="615"/>
      <c r="CZ102" s="615"/>
      <c r="DA102" s="615"/>
      <c r="DB102" s="615"/>
      <c r="DC102" s="615">
        <v>0</v>
      </c>
      <c r="DD102" s="615">
        <v>0</v>
      </c>
      <c r="DE102" s="615">
        <v>1</v>
      </c>
      <c r="DF102" s="615">
        <v>0</v>
      </c>
      <c r="DG102" s="36"/>
      <c r="DH102" s="36"/>
      <c r="DI102" s="36">
        <v>1</v>
      </c>
      <c r="DJ102" s="36"/>
      <c r="DL102" s="36"/>
      <c r="DM102" s="36"/>
      <c r="DN102" s="36" t="s">
        <v>320</v>
      </c>
      <c r="DO102" s="36" t="s">
        <v>1072</v>
      </c>
      <c r="DP102" s="1681"/>
      <c r="DQ102" s="1681"/>
      <c r="DR102" s="1681"/>
      <c r="DS102" s="1681"/>
      <c r="DT102" s="1681"/>
      <c r="DU102" s="1681"/>
      <c r="DV102" s="1681"/>
      <c r="DW102" s="1681">
        <v>1</v>
      </c>
      <c r="DX102" s="1681">
        <v>1</v>
      </c>
      <c r="DY102" s="1681">
        <v>0</v>
      </c>
      <c r="DZ102" s="1681"/>
      <c r="EA102" s="1681"/>
      <c r="EB102" s="1681">
        <v>1</v>
      </c>
      <c r="EC102" s="1681">
        <v>1</v>
      </c>
      <c r="ED102" s="1681">
        <v>0</v>
      </c>
      <c r="EE102" s="95"/>
      <c r="EF102" s="95">
        <v>0</v>
      </c>
      <c r="EG102" s="95">
        <v>4</v>
      </c>
      <c r="EH102" s="36"/>
      <c r="EL102" s="36" t="s">
        <v>483</v>
      </c>
      <c r="EM102" s="36" t="s">
        <v>1072</v>
      </c>
      <c r="EN102" s="1490">
        <v>1</v>
      </c>
      <c r="EO102" s="1490">
        <v>2</v>
      </c>
      <c r="EP102" s="1490"/>
      <c r="EQ102" s="1490">
        <v>1</v>
      </c>
      <c r="ER102" s="1490"/>
      <c r="ES102" s="1490"/>
      <c r="ET102" s="1490"/>
      <c r="EU102" s="1490"/>
      <c r="EV102" s="1490">
        <v>1</v>
      </c>
      <c r="EW102" s="1490">
        <v>0</v>
      </c>
      <c r="EX102" s="1490">
        <v>1</v>
      </c>
      <c r="EY102" s="1490"/>
      <c r="EZ102" s="1490">
        <v>11</v>
      </c>
      <c r="FA102" s="1490">
        <v>9</v>
      </c>
      <c r="FB102" s="1490">
        <v>0</v>
      </c>
      <c r="FC102" s="36">
        <v>0</v>
      </c>
      <c r="FD102" s="36">
        <v>0</v>
      </c>
      <c r="FE102" s="36">
        <v>26</v>
      </c>
      <c r="FF102" s="36"/>
      <c r="FH102" s="1225"/>
      <c r="FI102" s="1225"/>
      <c r="FJ102" s="1225"/>
      <c r="FK102" s="1226" t="s">
        <v>1072</v>
      </c>
      <c r="FL102" s="1227"/>
      <c r="FM102" s="1227"/>
      <c r="FN102" s="1227"/>
      <c r="FO102" s="1227"/>
      <c r="FP102" s="1227"/>
      <c r="FQ102" s="1227"/>
      <c r="FR102" s="1227"/>
      <c r="FS102" s="1227"/>
      <c r="FT102" s="1227"/>
      <c r="FU102" s="1228">
        <v>0</v>
      </c>
      <c r="FV102" s="1228">
        <v>1</v>
      </c>
      <c r="FW102" s="1228">
        <v>1</v>
      </c>
      <c r="FX102" s="1228">
        <v>0</v>
      </c>
      <c r="FY102" s="1229"/>
      <c r="FZ102" s="1229"/>
      <c r="GA102" s="1230">
        <v>2</v>
      </c>
      <c r="GB102" s="36"/>
      <c r="GD102" s="603"/>
      <c r="GE102" s="603"/>
      <c r="GF102" s="603"/>
      <c r="GG102" s="622" t="s">
        <v>483</v>
      </c>
      <c r="GH102" s="623"/>
      <c r="GI102" s="624">
        <v>3</v>
      </c>
      <c r="GJ102" s="624">
        <v>3</v>
      </c>
      <c r="GK102" s="624">
        <v>3</v>
      </c>
      <c r="GL102" s="624">
        <v>2</v>
      </c>
      <c r="GM102" s="624">
        <v>1</v>
      </c>
      <c r="GN102" s="624">
        <v>4</v>
      </c>
      <c r="GO102" s="624">
        <v>4</v>
      </c>
      <c r="GP102" s="624">
        <v>5</v>
      </c>
      <c r="GQ102" s="624">
        <v>3</v>
      </c>
      <c r="GR102" s="624">
        <v>8</v>
      </c>
      <c r="GS102" s="624">
        <v>6</v>
      </c>
      <c r="GT102" s="624">
        <v>11</v>
      </c>
      <c r="GU102" s="624">
        <v>25</v>
      </c>
      <c r="GV102" s="624">
        <v>23</v>
      </c>
      <c r="GW102" s="626">
        <v>2</v>
      </c>
      <c r="GX102" s="626">
        <v>5</v>
      </c>
      <c r="GY102" s="626">
        <v>108</v>
      </c>
      <c r="GZ102" s="560">
        <f>+(GY98+GY101)/GY102</f>
        <v>0.41666666666666669</v>
      </c>
      <c r="HB102" s="441"/>
      <c r="HC102" s="441"/>
      <c r="HD102" s="441"/>
      <c r="HE102" s="36"/>
      <c r="HF102" s="462" t="s">
        <v>483</v>
      </c>
      <c r="HG102" s="618"/>
      <c r="HH102" s="618"/>
      <c r="HI102" s="619">
        <v>3</v>
      </c>
      <c r="HJ102" s="618"/>
      <c r="HK102" s="619">
        <v>1</v>
      </c>
      <c r="HL102" s="618"/>
      <c r="HM102" s="619">
        <v>2</v>
      </c>
      <c r="HN102" s="618"/>
      <c r="HO102" s="619">
        <v>1</v>
      </c>
      <c r="HP102" s="619">
        <v>4</v>
      </c>
      <c r="HQ102" s="619">
        <v>5</v>
      </c>
      <c r="HR102" s="619">
        <v>5</v>
      </c>
      <c r="HS102" s="619">
        <v>22</v>
      </c>
      <c r="HT102" s="619">
        <v>10</v>
      </c>
      <c r="HU102" s="619">
        <v>26</v>
      </c>
      <c r="HV102" s="621">
        <v>4</v>
      </c>
      <c r="HW102" s="621">
        <v>4</v>
      </c>
      <c r="HX102" s="621">
        <v>87</v>
      </c>
      <c r="HY102" s="560">
        <f>+(HX101+HX98-HV98)/HX102</f>
        <v>0.40229885057471265</v>
      </c>
      <c r="HZ102" s="36"/>
      <c r="IA102" s="613"/>
      <c r="IB102" s="613"/>
      <c r="IC102" s="613"/>
      <c r="ID102" s="389" t="s">
        <v>1076</v>
      </c>
      <c r="IE102" s="614"/>
      <c r="IF102" s="614"/>
      <c r="IG102" s="614"/>
      <c r="IH102" s="614"/>
      <c r="II102" s="614"/>
      <c r="IJ102" s="614"/>
      <c r="IK102" s="614"/>
      <c r="IL102" s="614"/>
      <c r="IM102" s="390">
        <v>0</v>
      </c>
      <c r="IN102" s="390">
        <v>0</v>
      </c>
      <c r="IO102" s="390">
        <v>0</v>
      </c>
      <c r="IP102" s="390">
        <v>1</v>
      </c>
      <c r="IQ102" s="390">
        <v>0</v>
      </c>
      <c r="IR102" s="390">
        <v>1</v>
      </c>
      <c r="IS102" s="615"/>
      <c r="IT102" s="36"/>
      <c r="IU102" s="36"/>
      <c r="IV102" s="95"/>
      <c r="IW102" s="95"/>
      <c r="IX102" s="36"/>
      <c r="IY102" s="36" t="s">
        <v>1080</v>
      </c>
      <c r="IZ102" s="95"/>
      <c r="JA102" s="95">
        <v>0</v>
      </c>
      <c r="JB102" s="95"/>
      <c r="JC102" s="95"/>
      <c r="JD102" s="95"/>
      <c r="JE102" s="95"/>
      <c r="JF102" s="95"/>
      <c r="JG102" s="95">
        <v>0</v>
      </c>
      <c r="JH102" s="95">
        <v>0</v>
      </c>
      <c r="JI102" s="95">
        <v>0</v>
      </c>
      <c r="JJ102" s="95"/>
      <c r="JK102" s="95"/>
      <c r="JL102" s="95">
        <v>1</v>
      </c>
      <c r="JM102" s="95"/>
      <c r="JN102" s="95"/>
      <c r="JO102" s="95"/>
      <c r="JP102" s="95">
        <v>1</v>
      </c>
      <c r="JQ102" s="36"/>
      <c r="JR102" s="36"/>
      <c r="JS102" s="36"/>
      <c r="JT102" s="36"/>
      <c r="JU102" s="36"/>
      <c r="JV102" s="36"/>
      <c r="JW102" s="36"/>
      <c r="JX102" s="36"/>
      <c r="JY102" s="36"/>
      <c r="JZ102" s="36"/>
      <c r="KA102" s="36"/>
      <c r="KB102" s="36"/>
      <c r="KC102" s="36"/>
      <c r="KD102" s="36"/>
      <c r="KE102" s="36"/>
      <c r="KF102" s="36"/>
      <c r="KG102" s="36"/>
      <c r="KH102" s="36"/>
      <c r="KI102" s="36"/>
      <c r="KJ102" s="36"/>
      <c r="KK102" s="36"/>
      <c r="KL102" s="36"/>
      <c r="KM102" s="36"/>
      <c r="KN102" s="36"/>
      <c r="KO102" s="36"/>
    </row>
    <row r="103" spans="1:301">
      <c r="A103" s="5737"/>
      <c r="B103" s="5737"/>
      <c r="C103" s="5736"/>
      <c r="D103" s="5736"/>
      <c r="E103" s="5742">
        <f>SUM(E96:E102)</f>
        <v>25</v>
      </c>
      <c r="F103" s="5737"/>
      <c r="G103" s="4476">
        <f>+(E98+E99+E100)/(E103)</f>
        <v>0.12</v>
      </c>
      <c r="I103" s="4726">
        <v>2</v>
      </c>
      <c r="J103" s="4726">
        <v>2</v>
      </c>
      <c r="K103" s="4725" t="s">
        <v>2737</v>
      </c>
      <c r="L103" s="4725" t="s">
        <v>2703</v>
      </c>
      <c r="M103" s="4726">
        <v>1</v>
      </c>
      <c r="N103" s="4726">
        <v>1</v>
      </c>
      <c r="Q103" s="4458">
        <v>2</v>
      </c>
      <c r="R103" s="4458">
        <v>3</v>
      </c>
      <c r="S103" s="4459" t="s">
        <v>128</v>
      </c>
      <c r="T103" s="4461" t="s">
        <v>1076</v>
      </c>
      <c r="U103" s="4458">
        <v>12</v>
      </c>
      <c r="V103" s="4479">
        <v>1</v>
      </c>
      <c r="W103" s="4510"/>
      <c r="X103" s="4467"/>
      <c r="Y103" s="4467"/>
      <c r="Z103" s="36"/>
      <c r="AA103" s="36"/>
      <c r="AB103" s="36"/>
      <c r="AC103" s="36" t="s">
        <v>1080</v>
      </c>
      <c r="AD103" s="615">
        <v>0</v>
      </c>
      <c r="AE103" s="615">
        <v>0</v>
      </c>
      <c r="AF103" s="615"/>
      <c r="AG103" s="615">
        <v>0</v>
      </c>
      <c r="AH103" s="615">
        <v>0</v>
      </c>
      <c r="AI103" s="615">
        <v>0</v>
      </c>
      <c r="AJ103" s="615"/>
      <c r="AK103" s="615"/>
      <c r="AL103" s="615"/>
      <c r="AM103" s="615"/>
      <c r="AN103" s="615">
        <v>0</v>
      </c>
      <c r="AO103" s="615">
        <v>13</v>
      </c>
      <c r="AP103" s="615"/>
      <c r="AQ103" s="36"/>
      <c r="AR103" s="36">
        <v>13</v>
      </c>
      <c r="AS103" s="36"/>
      <c r="AX103" s="3868" t="s">
        <v>1080</v>
      </c>
      <c r="AY103" s="3721"/>
      <c r="AZ103" s="3721">
        <v>0</v>
      </c>
      <c r="BA103" s="3721"/>
      <c r="BB103" s="3721"/>
      <c r="BC103" s="3721"/>
      <c r="BD103" s="3721"/>
      <c r="BE103" s="3721"/>
      <c r="BF103" s="3721"/>
      <c r="BG103" s="3721"/>
      <c r="BH103" s="3721"/>
      <c r="BI103" s="3721"/>
      <c r="BJ103" s="3721"/>
      <c r="BK103" s="3721">
        <v>0</v>
      </c>
      <c r="BL103" s="3721">
        <v>2</v>
      </c>
      <c r="BM103" s="2110">
        <v>4</v>
      </c>
      <c r="BN103" s="2110"/>
      <c r="BO103" s="2110">
        <v>6</v>
      </c>
      <c r="BP103" s="2110"/>
      <c r="BU103" s="32" t="s">
        <v>1081</v>
      </c>
      <c r="BV103" s="3871">
        <v>0</v>
      </c>
      <c r="BW103" s="3871">
        <v>0</v>
      </c>
      <c r="BX103" s="3871"/>
      <c r="BY103" s="3871"/>
      <c r="BZ103" s="3871"/>
      <c r="CA103" s="3871"/>
      <c r="CB103" s="3871"/>
      <c r="CC103" s="3871"/>
      <c r="CD103" s="3871"/>
      <c r="CE103" s="3871"/>
      <c r="CF103" s="3871"/>
      <c r="CG103" s="3871"/>
      <c r="CH103" s="3871">
        <v>1</v>
      </c>
      <c r="CI103" s="3871">
        <v>1</v>
      </c>
      <c r="CJ103" s="1518">
        <v>0</v>
      </c>
      <c r="CK103" s="1518">
        <v>2</v>
      </c>
      <c r="CN103" s="36"/>
      <c r="CO103" s="36"/>
      <c r="CP103" s="36"/>
      <c r="CQ103" s="36" t="s">
        <v>1080</v>
      </c>
      <c r="CR103" s="615"/>
      <c r="CS103" s="615"/>
      <c r="CT103" s="615"/>
      <c r="CU103" s="615"/>
      <c r="CV103" s="615"/>
      <c r="CW103" s="615">
        <v>0</v>
      </c>
      <c r="CX103" s="615"/>
      <c r="CY103" s="615"/>
      <c r="CZ103" s="615"/>
      <c r="DA103" s="615"/>
      <c r="DB103" s="615"/>
      <c r="DC103" s="615">
        <v>0</v>
      </c>
      <c r="DD103" s="615">
        <v>0</v>
      </c>
      <c r="DE103" s="615">
        <v>8</v>
      </c>
      <c r="DF103" s="615">
        <v>6</v>
      </c>
      <c r="DG103" s="36"/>
      <c r="DH103" s="36"/>
      <c r="DI103" s="36">
        <v>14</v>
      </c>
      <c r="DJ103" s="36"/>
      <c r="DL103" s="36"/>
      <c r="DM103" s="36"/>
      <c r="DN103" s="36"/>
      <c r="DO103" s="36" t="s">
        <v>1076</v>
      </c>
      <c r="DP103" s="1681"/>
      <c r="DQ103" s="1681"/>
      <c r="DR103" s="1681"/>
      <c r="DS103" s="1681"/>
      <c r="DT103" s="1681"/>
      <c r="DU103" s="1681"/>
      <c r="DV103" s="1681"/>
      <c r="DW103" s="1681">
        <v>1</v>
      </c>
      <c r="DX103" s="1681">
        <v>0</v>
      </c>
      <c r="DY103" s="1681">
        <v>0</v>
      </c>
      <c r="DZ103" s="1681"/>
      <c r="EA103" s="1681"/>
      <c r="EB103" s="1681">
        <v>0</v>
      </c>
      <c r="EC103" s="1681">
        <v>1</v>
      </c>
      <c r="ED103" s="1681">
        <v>0</v>
      </c>
      <c r="EE103" s="95"/>
      <c r="EF103" s="95">
        <v>0</v>
      </c>
      <c r="EG103" s="95">
        <v>2</v>
      </c>
      <c r="EH103" s="36"/>
      <c r="EL103" s="36"/>
      <c r="EM103" s="36" t="s">
        <v>1076</v>
      </c>
      <c r="EN103" s="1490">
        <v>0</v>
      </c>
      <c r="EO103" s="1490">
        <v>0</v>
      </c>
      <c r="EP103" s="1490"/>
      <c r="EQ103" s="1490">
        <v>0</v>
      </c>
      <c r="ER103" s="1490"/>
      <c r="ES103" s="1490"/>
      <c r="ET103" s="1490"/>
      <c r="EU103" s="1490"/>
      <c r="EV103" s="1490">
        <v>0</v>
      </c>
      <c r="EW103" s="1490">
        <v>0</v>
      </c>
      <c r="EX103" s="1490">
        <v>0</v>
      </c>
      <c r="EY103" s="1490"/>
      <c r="EZ103" s="1490">
        <v>19</v>
      </c>
      <c r="FA103" s="1490">
        <v>16</v>
      </c>
      <c r="FB103" s="1490">
        <v>0</v>
      </c>
      <c r="FC103" s="36">
        <v>0</v>
      </c>
      <c r="FD103" s="36">
        <v>0</v>
      </c>
      <c r="FE103" s="36">
        <v>35</v>
      </c>
      <c r="FF103" s="36"/>
      <c r="FH103" s="1225"/>
      <c r="FI103" s="1225"/>
      <c r="FJ103" s="1225"/>
      <c r="FK103" s="1226" t="s">
        <v>1076</v>
      </c>
      <c r="FL103" s="1227"/>
      <c r="FM103" s="1227"/>
      <c r="FN103" s="1227"/>
      <c r="FO103" s="1227"/>
      <c r="FP103" s="1227"/>
      <c r="FQ103" s="1227"/>
      <c r="FR103" s="1227"/>
      <c r="FS103" s="1227"/>
      <c r="FT103" s="1227"/>
      <c r="FU103" s="1228">
        <v>0</v>
      </c>
      <c r="FV103" s="1228">
        <v>1</v>
      </c>
      <c r="FW103" s="1228">
        <v>1</v>
      </c>
      <c r="FX103" s="1228">
        <v>1</v>
      </c>
      <c r="FY103" s="1229"/>
      <c r="FZ103" s="1229"/>
      <c r="GA103" s="1230">
        <v>3</v>
      </c>
      <c r="GB103" s="36"/>
      <c r="GD103" s="603"/>
      <c r="GE103" s="603" t="s">
        <v>41</v>
      </c>
      <c r="GF103" s="603" t="s">
        <v>128</v>
      </c>
      <c r="GG103" s="604" t="s">
        <v>1071</v>
      </c>
      <c r="GH103" s="605"/>
      <c r="GI103" s="605"/>
      <c r="GJ103" s="605"/>
      <c r="GK103" s="605"/>
      <c r="GL103" s="605"/>
      <c r="GM103" s="605"/>
      <c r="GN103" s="605"/>
      <c r="GO103" s="605"/>
      <c r="GP103" s="605"/>
      <c r="GQ103" s="605"/>
      <c r="GR103" s="605"/>
      <c r="GS103" s="605"/>
      <c r="GT103" s="606">
        <v>0</v>
      </c>
      <c r="GU103" s="606">
        <v>0</v>
      </c>
      <c r="GV103" s="606">
        <v>2</v>
      </c>
      <c r="GW103" s="608">
        <v>0</v>
      </c>
      <c r="GX103" s="608">
        <v>0</v>
      </c>
      <c r="GY103" s="608">
        <v>2</v>
      </c>
      <c r="GZ103" s="95"/>
      <c r="HB103" s="441"/>
      <c r="HC103" s="441" t="s">
        <v>41</v>
      </c>
      <c r="HD103" s="441" t="s">
        <v>128</v>
      </c>
      <c r="HE103" s="441" t="s">
        <v>1070</v>
      </c>
      <c r="HF103" s="442" t="s">
        <v>1072</v>
      </c>
      <c r="HG103" s="609"/>
      <c r="HH103" s="609"/>
      <c r="HI103" s="609"/>
      <c r="HJ103" s="609"/>
      <c r="HK103" s="609"/>
      <c r="HL103" s="609"/>
      <c r="HM103" s="609"/>
      <c r="HN103" s="609"/>
      <c r="HO103" s="609"/>
      <c r="HP103" s="610">
        <v>1</v>
      </c>
      <c r="HQ103" s="610">
        <v>0</v>
      </c>
      <c r="HR103" s="610">
        <v>0</v>
      </c>
      <c r="HS103" s="610">
        <v>0</v>
      </c>
      <c r="HT103" s="610">
        <v>0</v>
      </c>
      <c r="HU103" s="610">
        <v>1</v>
      </c>
      <c r="HV103" s="611"/>
      <c r="HW103" s="611"/>
      <c r="HX103" s="612">
        <v>2</v>
      </c>
      <c r="HY103" s="560"/>
      <c r="HZ103" s="36"/>
      <c r="IA103" s="613"/>
      <c r="IB103" s="613"/>
      <c r="IC103" s="613"/>
      <c r="ID103" s="389" t="s">
        <v>1080</v>
      </c>
      <c r="IE103" s="614"/>
      <c r="IF103" s="614"/>
      <c r="IG103" s="614"/>
      <c r="IH103" s="614"/>
      <c r="II103" s="614"/>
      <c r="IJ103" s="614"/>
      <c r="IK103" s="614"/>
      <c r="IL103" s="614"/>
      <c r="IM103" s="390">
        <v>0</v>
      </c>
      <c r="IN103" s="390">
        <v>0</v>
      </c>
      <c r="IO103" s="390">
        <v>0</v>
      </c>
      <c r="IP103" s="390">
        <v>0</v>
      </c>
      <c r="IQ103" s="390">
        <v>4</v>
      </c>
      <c r="IR103" s="390">
        <v>4</v>
      </c>
      <c r="IS103" s="615"/>
      <c r="IT103" s="36"/>
      <c r="IU103" s="36"/>
      <c r="IV103" s="95"/>
      <c r="IW103" s="95"/>
      <c r="IX103" s="36"/>
      <c r="IY103" s="36" t="s">
        <v>1163</v>
      </c>
      <c r="IZ103" s="95"/>
      <c r="JA103" s="95">
        <v>0</v>
      </c>
      <c r="JB103" s="95"/>
      <c r="JC103" s="95"/>
      <c r="JD103" s="95"/>
      <c r="JE103" s="95"/>
      <c r="JF103" s="95"/>
      <c r="JG103" s="95">
        <v>2</v>
      </c>
      <c r="JH103" s="95">
        <v>0</v>
      </c>
      <c r="JI103" s="95">
        <v>0</v>
      </c>
      <c r="JJ103" s="95"/>
      <c r="JK103" s="95"/>
      <c r="JL103" s="95">
        <v>0</v>
      </c>
      <c r="JM103" s="95"/>
      <c r="JN103" s="95"/>
      <c r="JO103" s="95"/>
      <c r="JP103" s="95">
        <v>2</v>
      </c>
      <c r="JQ103" s="36"/>
      <c r="JR103" s="36"/>
      <c r="JS103" s="36"/>
      <c r="JT103" s="36"/>
      <c r="JU103" s="36"/>
      <c r="JV103" s="36"/>
      <c r="JW103" s="36"/>
      <c r="JX103" s="36"/>
      <c r="JY103" s="36"/>
      <c r="JZ103" s="36"/>
      <c r="KA103" s="36"/>
      <c r="KB103" s="36"/>
      <c r="KC103" s="36"/>
      <c r="KD103" s="36"/>
      <c r="KE103" s="36"/>
      <c r="KF103" s="36"/>
      <c r="KG103" s="36"/>
      <c r="KH103" s="36"/>
      <c r="KI103" s="36"/>
      <c r="KJ103" s="36"/>
      <c r="KK103" s="36"/>
      <c r="KL103" s="36"/>
      <c r="KM103" s="36"/>
      <c r="KN103" s="36"/>
      <c r="KO103" s="36"/>
    </row>
    <row r="104" spans="1:301">
      <c r="A104" s="5737">
        <v>2</v>
      </c>
      <c r="B104" s="5737">
        <v>2</v>
      </c>
      <c r="C104" s="5736" t="s">
        <v>2737</v>
      </c>
      <c r="D104" s="5736" t="s">
        <v>2731</v>
      </c>
      <c r="E104" s="5737">
        <v>1</v>
      </c>
      <c r="F104" s="5737">
        <v>15</v>
      </c>
      <c r="I104" s="4726">
        <v>2</v>
      </c>
      <c r="J104" s="4726">
        <v>2</v>
      </c>
      <c r="K104" s="4725" t="s">
        <v>2737</v>
      </c>
      <c r="L104" s="4963" t="s">
        <v>1076</v>
      </c>
      <c r="M104" s="4964">
        <v>1</v>
      </c>
      <c r="N104" s="4726">
        <v>13</v>
      </c>
      <c r="Q104" s="4458">
        <v>2</v>
      </c>
      <c r="R104" s="4458">
        <v>3</v>
      </c>
      <c r="S104" s="4459" t="s">
        <v>128</v>
      </c>
      <c r="T104" s="4461" t="s">
        <v>1076</v>
      </c>
      <c r="U104" s="4458">
        <v>13</v>
      </c>
      <c r="V104" s="4479">
        <v>2</v>
      </c>
      <c r="W104" s="4510"/>
      <c r="X104" s="4467"/>
      <c r="Y104" s="4467"/>
      <c r="Z104" s="36"/>
      <c r="AA104" s="36"/>
      <c r="AB104" s="36"/>
      <c r="AC104" s="36" t="s">
        <v>2571</v>
      </c>
      <c r="AD104" s="615">
        <v>4</v>
      </c>
      <c r="AE104" s="615">
        <v>0</v>
      </c>
      <c r="AF104" s="615"/>
      <c r="AG104" s="615">
        <v>0</v>
      </c>
      <c r="AH104" s="615">
        <v>0</v>
      </c>
      <c r="AI104" s="615">
        <v>0</v>
      </c>
      <c r="AJ104" s="615"/>
      <c r="AK104" s="615"/>
      <c r="AL104" s="615"/>
      <c r="AM104" s="615"/>
      <c r="AN104" s="615">
        <v>0</v>
      </c>
      <c r="AO104" s="615">
        <v>0</v>
      </c>
      <c r="AP104" s="615"/>
      <c r="AQ104" s="36"/>
      <c r="AR104" s="36">
        <v>4</v>
      </c>
      <c r="AS104" s="36"/>
      <c r="AX104" s="3868" t="s">
        <v>1081</v>
      </c>
      <c r="AY104" s="3721"/>
      <c r="AZ104" s="3721">
        <v>0</v>
      </c>
      <c r="BA104" s="3721"/>
      <c r="BB104" s="3721"/>
      <c r="BC104" s="3721"/>
      <c r="BD104" s="3721"/>
      <c r="BE104" s="3721"/>
      <c r="BF104" s="3721"/>
      <c r="BG104" s="3721"/>
      <c r="BH104" s="3721"/>
      <c r="BI104" s="3721"/>
      <c r="BJ104" s="3721"/>
      <c r="BK104" s="3721">
        <v>0</v>
      </c>
      <c r="BL104" s="3721">
        <v>1</v>
      </c>
      <c r="BM104" s="2110">
        <v>0</v>
      </c>
      <c r="BN104" s="2110"/>
      <c r="BO104" s="2110">
        <v>1</v>
      </c>
      <c r="BP104" s="2110"/>
      <c r="BU104" s="1520" t="s">
        <v>15</v>
      </c>
      <c r="BV104" s="3872">
        <v>0</v>
      </c>
      <c r="BW104" s="3872">
        <v>1</v>
      </c>
      <c r="BX104" s="3872"/>
      <c r="BY104" s="3872"/>
      <c r="BZ104" s="3872"/>
      <c r="CA104" s="3872"/>
      <c r="CB104" s="3872"/>
      <c r="CC104" s="3872"/>
      <c r="CD104" s="3872"/>
      <c r="CE104" s="3872"/>
      <c r="CF104" s="3872"/>
      <c r="CG104" s="3872"/>
      <c r="CH104" s="3872">
        <v>4</v>
      </c>
      <c r="CI104" s="3872">
        <v>1</v>
      </c>
      <c r="CJ104" s="3806">
        <v>6</v>
      </c>
      <c r="CK104" s="3806">
        <v>12</v>
      </c>
      <c r="CL104" s="3807">
        <f>+(CK100+CK103)/CK104</f>
        <v>0.25</v>
      </c>
      <c r="CN104" s="36"/>
      <c r="CO104" s="36"/>
      <c r="CP104" s="36"/>
      <c r="CQ104" s="36" t="s">
        <v>1163</v>
      </c>
      <c r="CR104" s="615"/>
      <c r="CS104" s="615"/>
      <c r="CT104" s="615"/>
      <c r="CU104" s="615"/>
      <c r="CV104" s="615"/>
      <c r="CW104" s="615">
        <v>0</v>
      </c>
      <c r="CX104" s="615"/>
      <c r="CY104" s="615"/>
      <c r="CZ104" s="615"/>
      <c r="DA104" s="615"/>
      <c r="DB104" s="615"/>
      <c r="DC104" s="615">
        <v>0</v>
      </c>
      <c r="DD104" s="615">
        <v>1</v>
      </c>
      <c r="DE104" s="615">
        <v>0</v>
      </c>
      <c r="DF104" s="615">
        <v>0</v>
      </c>
      <c r="DG104" s="36"/>
      <c r="DH104" s="36"/>
      <c r="DI104" s="36">
        <v>1</v>
      </c>
      <c r="DJ104" s="36"/>
      <c r="DL104" s="36"/>
      <c r="DM104" s="36"/>
      <c r="DN104" s="36"/>
      <c r="DO104" s="36" t="s">
        <v>1080</v>
      </c>
      <c r="DP104" s="1681"/>
      <c r="DQ104" s="1681"/>
      <c r="DR104" s="1681"/>
      <c r="DS104" s="1681"/>
      <c r="DT104" s="1681"/>
      <c r="DU104" s="1681"/>
      <c r="DV104" s="1681"/>
      <c r="DW104" s="1681">
        <v>0</v>
      </c>
      <c r="DX104" s="1681">
        <v>0</v>
      </c>
      <c r="DY104" s="1681">
        <v>0</v>
      </c>
      <c r="DZ104" s="1681"/>
      <c r="EA104" s="1681"/>
      <c r="EB104" s="1681">
        <v>0</v>
      </c>
      <c r="EC104" s="1681">
        <v>0</v>
      </c>
      <c r="ED104" s="1681">
        <v>7</v>
      </c>
      <c r="EE104" s="95"/>
      <c r="EF104" s="95">
        <v>1</v>
      </c>
      <c r="EG104" s="95">
        <v>8</v>
      </c>
      <c r="EH104" s="36"/>
      <c r="EL104" s="36"/>
      <c r="EM104" s="36" t="s">
        <v>1077</v>
      </c>
      <c r="EN104" s="1490">
        <v>0</v>
      </c>
      <c r="EO104" s="1490">
        <v>2</v>
      </c>
      <c r="EP104" s="1490"/>
      <c r="EQ104" s="1490">
        <v>1</v>
      </c>
      <c r="ER104" s="1490"/>
      <c r="ES104" s="1490"/>
      <c r="ET104" s="1490"/>
      <c r="EU104" s="1490"/>
      <c r="EV104" s="1490">
        <v>0</v>
      </c>
      <c r="EW104" s="1490">
        <v>1</v>
      </c>
      <c r="EX104" s="1490">
        <v>0</v>
      </c>
      <c r="EY104" s="1490"/>
      <c r="EZ104" s="1490">
        <v>0</v>
      </c>
      <c r="FA104" s="1490">
        <v>1</v>
      </c>
      <c r="FB104" s="1490">
        <v>0</v>
      </c>
      <c r="FC104" s="36">
        <v>0</v>
      </c>
      <c r="FD104" s="36">
        <v>0</v>
      </c>
      <c r="FE104" s="36">
        <v>5</v>
      </c>
      <c r="FF104" s="36"/>
      <c r="FH104" s="1225"/>
      <c r="FI104" s="1225"/>
      <c r="FJ104" s="1225"/>
      <c r="FK104" s="1226" t="s">
        <v>1080</v>
      </c>
      <c r="FL104" s="1227"/>
      <c r="FM104" s="1227"/>
      <c r="FN104" s="1227"/>
      <c r="FO104" s="1227"/>
      <c r="FP104" s="1227"/>
      <c r="FQ104" s="1227"/>
      <c r="FR104" s="1227"/>
      <c r="FS104" s="1227"/>
      <c r="FT104" s="1227"/>
      <c r="FU104" s="1228">
        <v>0</v>
      </c>
      <c r="FV104" s="1228">
        <v>0</v>
      </c>
      <c r="FW104" s="1228">
        <v>0</v>
      </c>
      <c r="FX104" s="1228">
        <v>1</v>
      </c>
      <c r="FY104" s="1229"/>
      <c r="FZ104" s="1229"/>
      <c r="GA104" s="1230">
        <v>1</v>
      </c>
      <c r="GB104" s="36"/>
      <c r="GD104" s="603"/>
      <c r="GE104" s="603"/>
      <c r="GF104" s="603"/>
      <c r="GG104" s="604" t="s">
        <v>1072</v>
      </c>
      <c r="GH104" s="605"/>
      <c r="GI104" s="605"/>
      <c r="GJ104" s="605"/>
      <c r="GK104" s="605"/>
      <c r="GL104" s="605"/>
      <c r="GM104" s="605"/>
      <c r="GN104" s="605"/>
      <c r="GO104" s="605"/>
      <c r="GP104" s="605"/>
      <c r="GQ104" s="605"/>
      <c r="GR104" s="605"/>
      <c r="GS104" s="605"/>
      <c r="GT104" s="606">
        <v>0</v>
      </c>
      <c r="GU104" s="606">
        <v>2</v>
      </c>
      <c r="GV104" s="606">
        <v>0</v>
      </c>
      <c r="GW104" s="608">
        <v>0</v>
      </c>
      <c r="GX104" s="608">
        <v>0</v>
      </c>
      <c r="GY104" s="608">
        <v>2</v>
      </c>
      <c r="GZ104" s="95"/>
      <c r="HB104" s="441"/>
      <c r="HC104" s="441"/>
      <c r="HD104" s="441"/>
      <c r="HE104" s="441"/>
      <c r="HF104" s="442" t="s">
        <v>1076</v>
      </c>
      <c r="HG104" s="609"/>
      <c r="HH104" s="609"/>
      <c r="HI104" s="609"/>
      <c r="HJ104" s="609"/>
      <c r="HK104" s="609"/>
      <c r="HL104" s="609"/>
      <c r="HM104" s="609"/>
      <c r="HN104" s="609"/>
      <c r="HO104" s="609"/>
      <c r="HP104" s="610">
        <v>0</v>
      </c>
      <c r="HQ104" s="610">
        <v>0</v>
      </c>
      <c r="HR104" s="610">
        <v>0</v>
      </c>
      <c r="HS104" s="610">
        <v>0</v>
      </c>
      <c r="HT104" s="610">
        <v>0</v>
      </c>
      <c r="HU104" s="610">
        <v>1</v>
      </c>
      <c r="HV104" s="611"/>
      <c r="HW104" s="611"/>
      <c r="HX104" s="612">
        <v>1</v>
      </c>
      <c r="HY104" s="560"/>
      <c r="HZ104" s="36"/>
      <c r="IA104" s="613"/>
      <c r="IB104" s="613"/>
      <c r="IC104" s="613"/>
      <c r="ID104" s="389" t="s">
        <v>1081</v>
      </c>
      <c r="IE104" s="614"/>
      <c r="IF104" s="614"/>
      <c r="IG104" s="614"/>
      <c r="IH104" s="614"/>
      <c r="II104" s="614"/>
      <c r="IJ104" s="614"/>
      <c r="IK104" s="614"/>
      <c r="IL104" s="614"/>
      <c r="IM104" s="390">
        <v>0</v>
      </c>
      <c r="IN104" s="390">
        <v>0</v>
      </c>
      <c r="IO104" s="390">
        <v>1</v>
      </c>
      <c r="IP104" s="390">
        <v>0</v>
      </c>
      <c r="IQ104" s="390">
        <v>0</v>
      </c>
      <c r="IR104" s="390">
        <v>1</v>
      </c>
      <c r="IS104" s="615"/>
      <c r="IT104" s="36"/>
      <c r="IU104" s="36"/>
      <c r="IV104" s="95"/>
      <c r="IW104" s="95"/>
      <c r="IX104" s="36"/>
      <c r="IY104" s="393" t="s">
        <v>15</v>
      </c>
      <c r="IZ104" s="86"/>
      <c r="JA104" s="86">
        <v>1</v>
      </c>
      <c r="JB104" s="86"/>
      <c r="JC104" s="86"/>
      <c r="JD104" s="86"/>
      <c r="JE104" s="86"/>
      <c r="JF104" s="86"/>
      <c r="JG104" s="86">
        <v>5</v>
      </c>
      <c r="JH104" s="86">
        <v>4</v>
      </c>
      <c r="JI104" s="86">
        <v>1</v>
      </c>
      <c r="JJ104" s="86"/>
      <c r="JK104" s="86"/>
      <c r="JL104" s="86">
        <v>1</v>
      </c>
      <c r="JM104" s="86"/>
      <c r="JN104" s="86"/>
      <c r="JO104" s="86"/>
      <c r="JP104" s="86">
        <v>12</v>
      </c>
      <c r="JQ104" s="631">
        <f>+JP103/JP104</f>
        <v>0.16666666666666666</v>
      </c>
      <c r="JR104" s="36"/>
      <c r="JS104" s="36"/>
      <c r="JT104" s="36"/>
      <c r="JU104" s="36"/>
      <c r="JV104" s="36"/>
      <c r="JW104" s="36"/>
      <c r="JX104" s="36"/>
      <c r="JY104" s="36"/>
      <c r="JZ104" s="36"/>
      <c r="KA104" s="36"/>
      <c r="KB104" s="36"/>
      <c r="KC104" s="36"/>
      <c r="KD104" s="36"/>
      <c r="KE104" s="36"/>
      <c r="KF104" s="36"/>
      <c r="KG104" s="36"/>
      <c r="KH104" s="36"/>
      <c r="KI104" s="36"/>
      <c r="KJ104" s="36"/>
      <c r="KK104" s="36"/>
      <c r="KL104" s="36"/>
      <c r="KM104" s="36"/>
      <c r="KN104" s="36"/>
      <c r="KO104" s="36"/>
    </row>
    <row r="105" spans="1:301">
      <c r="A105" s="5737">
        <v>2</v>
      </c>
      <c r="B105" s="5737">
        <v>2</v>
      </c>
      <c r="C105" s="5736" t="s">
        <v>2737</v>
      </c>
      <c r="D105" s="5736" t="s">
        <v>2731</v>
      </c>
      <c r="E105" s="5737">
        <v>9</v>
      </c>
      <c r="F105" s="5737">
        <v>16</v>
      </c>
      <c r="I105" s="4726">
        <v>2</v>
      </c>
      <c r="J105" s="4726">
        <v>2</v>
      </c>
      <c r="K105" s="4725" t="s">
        <v>2737</v>
      </c>
      <c r="L105" s="4725" t="s">
        <v>2709</v>
      </c>
      <c r="M105" s="4726">
        <v>1</v>
      </c>
      <c r="N105" s="4726">
        <v>12</v>
      </c>
      <c r="Q105" s="4458">
        <v>2</v>
      </c>
      <c r="R105" s="4458">
        <v>3</v>
      </c>
      <c r="S105" s="4459" t="s">
        <v>128</v>
      </c>
      <c r="T105" s="4459" t="s">
        <v>2731</v>
      </c>
      <c r="U105" s="4458">
        <v>14</v>
      </c>
      <c r="V105" s="4479">
        <v>5</v>
      </c>
      <c r="W105" s="4510"/>
      <c r="X105" s="4467"/>
      <c r="Y105" s="4467"/>
      <c r="Z105" s="36"/>
      <c r="AA105" s="36"/>
      <c r="AB105" s="36"/>
      <c r="AC105" s="4236" t="s">
        <v>15</v>
      </c>
      <c r="AD105" s="4236">
        <v>4</v>
      </c>
      <c r="AE105" s="4236">
        <v>2</v>
      </c>
      <c r="AF105" s="4236"/>
      <c r="AG105" s="4236">
        <v>1</v>
      </c>
      <c r="AH105" s="4236">
        <v>1</v>
      </c>
      <c r="AI105" s="4236">
        <v>1</v>
      </c>
      <c r="AJ105" s="4236"/>
      <c r="AK105" s="4236"/>
      <c r="AL105" s="4236"/>
      <c r="AM105" s="4236"/>
      <c r="AN105" s="4236">
        <v>2</v>
      </c>
      <c r="AO105" s="4236">
        <v>13</v>
      </c>
      <c r="AP105" s="4236"/>
      <c r="AQ105" s="4236"/>
      <c r="AR105" s="4236">
        <v>24</v>
      </c>
      <c r="AS105" s="4243">
        <f>AR102/(AR105-AR104)</f>
        <v>0.05</v>
      </c>
      <c r="AX105" s="3868" t="s">
        <v>15</v>
      </c>
      <c r="AY105" s="3721"/>
      <c r="AZ105" s="3721">
        <v>1</v>
      </c>
      <c r="BA105" s="3721"/>
      <c r="BB105" s="3721"/>
      <c r="BC105" s="3721"/>
      <c r="BD105" s="3721"/>
      <c r="BE105" s="3721"/>
      <c r="BF105" s="3721"/>
      <c r="BG105" s="3721"/>
      <c r="BH105" s="3721"/>
      <c r="BI105" s="3721"/>
      <c r="BJ105" s="3721"/>
      <c r="BK105" s="3721">
        <v>2</v>
      </c>
      <c r="BL105" s="3721">
        <v>3</v>
      </c>
      <c r="BM105" s="2110">
        <v>6</v>
      </c>
      <c r="BN105" s="2110"/>
      <c r="BO105" s="2110">
        <v>12</v>
      </c>
      <c r="BP105" s="1665">
        <f>+(BO101+BO104)/(BO105)</f>
        <v>0.41666666666666669</v>
      </c>
      <c r="BT105" s="1520" t="s">
        <v>483</v>
      </c>
      <c r="BU105" s="1520" t="s">
        <v>1072</v>
      </c>
      <c r="BV105" s="3872">
        <v>0</v>
      </c>
      <c r="BW105" s="3872">
        <v>0</v>
      </c>
      <c r="BX105" s="3872"/>
      <c r="BY105" s="3872"/>
      <c r="BZ105" s="3872"/>
      <c r="CA105" s="3872">
        <v>0</v>
      </c>
      <c r="CB105" s="3872">
        <v>0</v>
      </c>
      <c r="CC105" s="3872"/>
      <c r="CD105" s="3872">
        <v>0</v>
      </c>
      <c r="CE105" s="3872">
        <v>0</v>
      </c>
      <c r="CF105" s="3872">
        <v>0</v>
      </c>
      <c r="CG105" s="3872">
        <v>0</v>
      </c>
      <c r="CH105" s="3872">
        <v>2</v>
      </c>
      <c r="CI105" s="3872">
        <v>0</v>
      </c>
      <c r="CJ105" s="3806">
        <v>0</v>
      </c>
      <c r="CK105" s="3806">
        <v>2</v>
      </c>
      <c r="CL105" s="1520"/>
      <c r="CN105" s="36"/>
      <c r="CO105" s="36"/>
      <c r="CP105" s="36"/>
      <c r="CQ105" s="393" t="s">
        <v>15</v>
      </c>
      <c r="CR105" s="2049"/>
      <c r="CS105" s="2049"/>
      <c r="CT105" s="2049"/>
      <c r="CU105" s="2049"/>
      <c r="CV105" s="2049"/>
      <c r="CW105" s="2049">
        <v>1</v>
      </c>
      <c r="CX105" s="2049"/>
      <c r="CY105" s="2049"/>
      <c r="CZ105" s="2049"/>
      <c r="DA105" s="2049"/>
      <c r="DB105" s="2049"/>
      <c r="DC105" s="2049">
        <v>1</v>
      </c>
      <c r="DD105" s="2049">
        <v>3</v>
      </c>
      <c r="DE105" s="2049">
        <v>9</v>
      </c>
      <c r="DF105" s="2049">
        <v>6</v>
      </c>
      <c r="DG105" s="393"/>
      <c r="DH105" s="393"/>
      <c r="DI105" s="393">
        <v>20</v>
      </c>
      <c r="DJ105" s="560">
        <f>+(DI104+DI102)/DI105</f>
        <v>0.1</v>
      </c>
      <c r="DK105" s="1665"/>
      <c r="DL105" s="36"/>
      <c r="DM105" s="36"/>
      <c r="DN105" s="36"/>
      <c r="DO105" s="36" t="s">
        <v>1163</v>
      </c>
      <c r="DP105" s="1681"/>
      <c r="DQ105" s="1681"/>
      <c r="DR105" s="1681"/>
      <c r="DS105" s="1681"/>
      <c r="DT105" s="1681"/>
      <c r="DU105" s="1681"/>
      <c r="DV105" s="1681"/>
      <c r="DW105" s="1681">
        <v>0</v>
      </c>
      <c r="DX105" s="1681">
        <v>0</v>
      </c>
      <c r="DY105" s="1681">
        <v>1</v>
      </c>
      <c r="DZ105" s="1681"/>
      <c r="EA105" s="1681"/>
      <c r="EB105" s="1681">
        <v>0</v>
      </c>
      <c r="EC105" s="1681">
        <v>0</v>
      </c>
      <c r="ED105" s="1681">
        <v>0</v>
      </c>
      <c r="EE105" s="95"/>
      <c r="EF105" s="95">
        <v>0</v>
      </c>
      <c r="EG105" s="95">
        <v>1</v>
      </c>
      <c r="EH105" s="36"/>
      <c r="EL105" s="36"/>
      <c r="EM105" s="36" t="s">
        <v>1080</v>
      </c>
      <c r="EN105" s="1490">
        <v>0</v>
      </c>
      <c r="EO105" s="1490">
        <v>0</v>
      </c>
      <c r="EP105" s="1490"/>
      <c r="EQ105" s="1490">
        <v>0</v>
      </c>
      <c r="ER105" s="1490"/>
      <c r="ES105" s="1490"/>
      <c r="ET105" s="1490"/>
      <c r="EU105" s="1490"/>
      <c r="EV105" s="1490">
        <v>0</v>
      </c>
      <c r="EW105" s="1490">
        <v>0</v>
      </c>
      <c r="EX105" s="1490">
        <v>0</v>
      </c>
      <c r="EY105" s="1490"/>
      <c r="EZ105" s="1490">
        <v>0</v>
      </c>
      <c r="FA105" s="1490">
        <v>1</v>
      </c>
      <c r="FB105" s="1490">
        <v>8</v>
      </c>
      <c r="FC105" s="36">
        <v>2</v>
      </c>
      <c r="FD105" s="36">
        <v>8</v>
      </c>
      <c r="FE105" s="36">
        <v>19</v>
      </c>
      <c r="FF105" s="36"/>
      <c r="FH105" s="1225"/>
      <c r="FI105" s="1225"/>
      <c r="FJ105" s="1225"/>
      <c r="FK105" s="1226" t="s">
        <v>1163</v>
      </c>
      <c r="FL105" s="1227"/>
      <c r="FM105" s="1227"/>
      <c r="FN105" s="1227"/>
      <c r="FO105" s="1227"/>
      <c r="FP105" s="1227"/>
      <c r="FQ105" s="1227"/>
      <c r="FR105" s="1227"/>
      <c r="FS105" s="1227"/>
      <c r="FT105" s="1227"/>
      <c r="FU105" s="1228">
        <v>2</v>
      </c>
      <c r="FV105" s="1228">
        <v>0</v>
      </c>
      <c r="FW105" s="1228">
        <v>3</v>
      </c>
      <c r="FX105" s="1228">
        <v>0</v>
      </c>
      <c r="FY105" s="1229"/>
      <c r="FZ105" s="1229"/>
      <c r="GA105" s="1230">
        <v>5</v>
      </c>
      <c r="GB105" s="36"/>
      <c r="GD105" s="603"/>
      <c r="GE105" s="603"/>
      <c r="GF105" s="603"/>
      <c r="GG105" s="604" t="s">
        <v>1076</v>
      </c>
      <c r="GH105" s="605"/>
      <c r="GI105" s="605"/>
      <c r="GJ105" s="605"/>
      <c r="GK105" s="605"/>
      <c r="GL105" s="605"/>
      <c r="GM105" s="605"/>
      <c r="GN105" s="605"/>
      <c r="GO105" s="605"/>
      <c r="GP105" s="605"/>
      <c r="GQ105" s="605"/>
      <c r="GR105" s="605"/>
      <c r="GS105" s="605"/>
      <c r="GT105" s="606">
        <v>4</v>
      </c>
      <c r="GU105" s="606">
        <v>5</v>
      </c>
      <c r="GV105" s="606">
        <v>0</v>
      </c>
      <c r="GW105" s="608">
        <v>0</v>
      </c>
      <c r="GX105" s="608">
        <v>0</v>
      </c>
      <c r="GY105" s="608">
        <v>9</v>
      </c>
      <c r="GZ105" s="95"/>
      <c r="HB105" s="441"/>
      <c r="HC105" s="441"/>
      <c r="HD105" s="441"/>
      <c r="HE105" s="441"/>
      <c r="HF105" s="442" t="s">
        <v>1080</v>
      </c>
      <c r="HG105" s="609"/>
      <c r="HH105" s="609"/>
      <c r="HI105" s="609"/>
      <c r="HJ105" s="609"/>
      <c r="HK105" s="609"/>
      <c r="HL105" s="609"/>
      <c r="HM105" s="609"/>
      <c r="HN105" s="609"/>
      <c r="HO105" s="609"/>
      <c r="HP105" s="610">
        <v>0</v>
      </c>
      <c r="HQ105" s="610">
        <v>0</v>
      </c>
      <c r="HR105" s="610">
        <v>0</v>
      </c>
      <c r="HS105" s="610">
        <v>0</v>
      </c>
      <c r="HT105" s="610">
        <v>0</v>
      </c>
      <c r="HU105" s="610">
        <v>2</v>
      </c>
      <c r="HV105" s="611"/>
      <c r="HW105" s="611"/>
      <c r="HX105" s="612">
        <v>2</v>
      </c>
      <c r="HY105" s="560"/>
      <c r="HZ105" s="36"/>
      <c r="IA105" s="613"/>
      <c r="IB105" s="613"/>
      <c r="IC105" s="613"/>
      <c r="ID105" s="389" t="s">
        <v>1163</v>
      </c>
      <c r="IE105" s="614"/>
      <c r="IF105" s="614"/>
      <c r="IG105" s="614"/>
      <c r="IH105" s="614"/>
      <c r="II105" s="614"/>
      <c r="IJ105" s="614"/>
      <c r="IK105" s="614"/>
      <c r="IL105" s="614"/>
      <c r="IM105" s="390">
        <v>2</v>
      </c>
      <c r="IN105" s="390">
        <v>0</v>
      </c>
      <c r="IO105" s="390">
        <v>0</v>
      </c>
      <c r="IP105" s="390">
        <v>0</v>
      </c>
      <c r="IQ105" s="390">
        <v>0</v>
      </c>
      <c r="IR105" s="390">
        <v>2</v>
      </c>
      <c r="IS105" s="615"/>
      <c r="IT105" s="36"/>
      <c r="IU105" s="36"/>
      <c r="IV105" s="95"/>
      <c r="IW105" s="95"/>
      <c r="IX105" s="36" t="s">
        <v>320</v>
      </c>
      <c r="IY105" s="36" t="s">
        <v>1072</v>
      </c>
      <c r="IZ105" s="95"/>
      <c r="JA105" s="95"/>
      <c r="JB105" s="95"/>
      <c r="JC105" s="95">
        <v>1</v>
      </c>
      <c r="JD105" s="95"/>
      <c r="JE105" s="95"/>
      <c r="JF105" s="95"/>
      <c r="JG105" s="95"/>
      <c r="JH105" s="95">
        <v>0</v>
      </c>
      <c r="JI105" s="95">
        <v>0</v>
      </c>
      <c r="JJ105" s="95">
        <v>1</v>
      </c>
      <c r="JK105" s="95"/>
      <c r="JL105" s="95">
        <v>0</v>
      </c>
      <c r="JM105" s="95">
        <v>0</v>
      </c>
      <c r="JN105" s="95"/>
      <c r="JO105" s="95">
        <v>0</v>
      </c>
      <c r="JP105" s="95">
        <v>2</v>
      </c>
      <c r="JQ105" s="36"/>
      <c r="JR105" s="36"/>
      <c r="JS105" s="36"/>
      <c r="JT105" s="36"/>
      <c r="JU105" s="36"/>
      <c r="JV105" s="36"/>
      <c r="JW105" s="36"/>
      <c r="JX105" s="36"/>
      <c r="JY105" s="36"/>
      <c r="JZ105" s="36"/>
      <c r="KA105" s="36"/>
      <c r="KB105" s="36"/>
      <c r="KC105" s="36"/>
      <c r="KD105" s="36"/>
      <c r="KE105" s="36"/>
      <c r="KF105" s="36"/>
      <c r="KG105" s="36"/>
      <c r="KH105" s="36"/>
      <c r="KI105" s="36"/>
      <c r="KJ105" s="36"/>
      <c r="KK105" s="36"/>
      <c r="KL105" s="36"/>
      <c r="KM105" s="36"/>
      <c r="KN105" s="36"/>
      <c r="KO105" s="36"/>
    </row>
    <row r="106" spans="1:301" ht="15" thickBot="1">
      <c r="A106" s="5737">
        <v>2</v>
      </c>
      <c r="B106" s="5737">
        <v>2</v>
      </c>
      <c r="C106" s="5736" t="s">
        <v>2737</v>
      </c>
      <c r="D106" s="5736" t="s">
        <v>2703</v>
      </c>
      <c r="E106" s="5737">
        <v>1</v>
      </c>
      <c r="F106" s="5737">
        <v>1</v>
      </c>
      <c r="I106" s="4726"/>
      <c r="J106" s="4726"/>
      <c r="K106" s="4725"/>
      <c r="L106" s="4725"/>
      <c r="M106" s="4975">
        <f>SUM(M101:M105)</f>
        <v>12</v>
      </c>
      <c r="N106" s="4726"/>
      <c r="O106" s="4476">
        <f>+(M104)/(M106)</f>
        <v>8.3333333333333329E-2</v>
      </c>
      <c r="Q106" s="4458"/>
      <c r="R106" s="4458"/>
      <c r="S106" s="4465" t="s">
        <v>15</v>
      </c>
      <c r="T106" s="4461"/>
      <c r="U106" s="4458"/>
      <c r="V106" s="4480">
        <f>SUM(V101:V105)</f>
        <v>11</v>
      </c>
      <c r="W106" s="4476">
        <f>+(V103 +V104)/(V106)</f>
        <v>0.27272727272727271</v>
      </c>
      <c r="X106" s="4467"/>
      <c r="Y106" s="4467"/>
      <c r="Z106" s="36"/>
      <c r="AA106" s="36"/>
      <c r="AB106" s="36" t="s">
        <v>127</v>
      </c>
      <c r="AC106" s="36" t="s">
        <v>1072</v>
      </c>
      <c r="AD106" s="615"/>
      <c r="AE106" s="615"/>
      <c r="AF106" s="615">
        <v>0</v>
      </c>
      <c r="AG106" s="615">
        <v>0</v>
      </c>
      <c r="AH106" s="615">
        <v>0</v>
      </c>
      <c r="AI106" s="615"/>
      <c r="AJ106" s="615"/>
      <c r="AK106" s="615"/>
      <c r="AL106" s="615"/>
      <c r="AM106" s="615"/>
      <c r="AN106" s="615">
        <v>2</v>
      </c>
      <c r="AO106" s="615">
        <v>1</v>
      </c>
      <c r="AP106" s="615">
        <v>0</v>
      </c>
      <c r="AQ106" s="36">
        <v>0</v>
      </c>
      <c r="AR106" s="36">
        <v>3</v>
      </c>
      <c r="AS106" s="36"/>
      <c r="AU106" s="36"/>
      <c r="AV106" s="36"/>
      <c r="AW106" s="393" t="s">
        <v>483</v>
      </c>
      <c r="AX106" s="393" t="s">
        <v>1076</v>
      </c>
      <c r="AY106" s="1682"/>
      <c r="AZ106" s="1682">
        <v>0</v>
      </c>
      <c r="BA106" s="1682"/>
      <c r="BB106" s="1682"/>
      <c r="BC106" s="1682"/>
      <c r="BD106" s="1682">
        <v>0</v>
      </c>
      <c r="BE106" s="1682">
        <v>0</v>
      </c>
      <c r="BF106" s="1682"/>
      <c r="BG106" s="1682">
        <v>0</v>
      </c>
      <c r="BH106" s="1682">
        <v>0</v>
      </c>
      <c r="BI106" s="1682">
        <v>0</v>
      </c>
      <c r="BJ106" s="1682">
        <v>0</v>
      </c>
      <c r="BK106" s="1682">
        <v>14</v>
      </c>
      <c r="BL106" s="1682">
        <v>0</v>
      </c>
      <c r="BM106" s="4455">
        <v>2</v>
      </c>
      <c r="BN106" s="4455"/>
      <c r="BO106" s="4455">
        <v>16</v>
      </c>
      <c r="BP106" s="4455"/>
      <c r="BT106" s="1520"/>
      <c r="BU106" s="1520" t="s">
        <v>1076</v>
      </c>
      <c r="BV106" s="3872">
        <v>0</v>
      </c>
      <c r="BW106" s="3872">
        <v>0</v>
      </c>
      <c r="BX106" s="3872"/>
      <c r="BY106" s="3872"/>
      <c r="BZ106" s="3872"/>
      <c r="CA106" s="3872">
        <v>0</v>
      </c>
      <c r="CB106" s="3872">
        <v>0</v>
      </c>
      <c r="CC106" s="3872"/>
      <c r="CD106" s="3872">
        <v>0</v>
      </c>
      <c r="CE106" s="3872">
        <v>1</v>
      </c>
      <c r="CF106" s="3872">
        <v>0</v>
      </c>
      <c r="CG106" s="3872">
        <v>2</v>
      </c>
      <c r="CH106" s="3872">
        <v>2</v>
      </c>
      <c r="CI106" s="3872">
        <v>0</v>
      </c>
      <c r="CJ106" s="3806">
        <v>0</v>
      </c>
      <c r="CK106" s="3806">
        <v>5</v>
      </c>
      <c r="CL106" s="1520"/>
      <c r="CN106" s="36"/>
      <c r="CO106" s="36"/>
      <c r="CP106" s="36" t="s">
        <v>124</v>
      </c>
      <c r="CQ106" s="36" t="s">
        <v>1072</v>
      </c>
      <c r="CR106" s="615"/>
      <c r="CS106" s="615">
        <v>0</v>
      </c>
      <c r="CT106" s="615"/>
      <c r="CU106" s="615">
        <v>1</v>
      </c>
      <c r="CV106" s="615"/>
      <c r="CW106" s="615"/>
      <c r="CX106" s="615"/>
      <c r="CY106" s="615"/>
      <c r="CZ106" s="615"/>
      <c r="DA106" s="615"/>
      <c r="DB106" s="615"/>
      <c r="DC106" s="615"/>
      <c r="DD106" s="615">
        <v>0</v>
      </c>
      <c r="DE106" s="615">
        <v>0</v>
      </c>
      <c r="DF106" s="615">
        <v>0</v>
      </c>
      <c r="DG106" s="36"/>
      <c r="DH106" s="36"/>
      <c r="DI106" s="36">
        <v>1</v>
      </c>
      <c r="DJ106" s="36"/>
      <c r="DL106" s="36"/>
      <c r="DM106" s="36"/>
      <c r="DN106" s="36"/>
      <c r="DO106" s="393" t="s">
        <v>15</v>
      </c>
      <c r="DP106" s="1682"/>
      <c r="DQ106" s="1682"/>
      <c r="DR106" s="1682"/>
      <c r="DS106" s="1682"/>
      <c r="DT106" s="1682"/>
      <c r="DU106" s="1682"/>
      <c r="DV106" s="1682"/>
      <c r="DW106" s="1682">
        <v>2</v>
      </c>
      <c r="DX106" s="1682">
        <v>1</v>
      </c>
      <c r="DY106" s="1682">
        <v>1</v>
      </c>
      <c r="DZ106" s="1682"/>
      <c r="EA106" s="1682"/>
      <c r="EB106" s="1682">
        <v>1</v>
      </c>
      <c r="EC106" s="1682">
        <v>2</v>
      </c>
      <c r="ED106" s="1682">
        <v>7</v>
      </c>
      <c r="EE106" s="86"/>
      <c r="EF106" s="86">
        <v>1</v>
      </c>
      <c r="EG106" s="86">
        <v>15</v>
      </c>
      <c r="EH106" s="560">
        <f>+(EG103+EG105)/EG106</f>
        <v>0.2</v>
      </c>
      <c r="EL106" s="36"/>
      <c r="EM106" s="36" t="s">
        <v>1163</v>
      </c>
      <c r="EN106" s="1490">
        <v>0</v>
      </c>
      <c r="EO106" s="1490">
        <v>0</v>
      </c>
      <c r="EP106" s="1490"/>
      <c r="EQ106" s="1490">
        <v>0</v>
      </c>
      <c r="ER106" s="1490"/>
      <c r="ES106" s="1490"/>
      <c r="ET106" s="1490"/>
      <c r="EU106" s="1490"/>
      <c r="EV106" s="1490">
        <v>0</v>
      </c>
      <c r="EW106" s="1490">
        <v>0</v>
      </c>
      <c r="EX106" s="1490">
        <v>0</v>
      </c>
      <c r="EY106" s="1490"/>
      <c r="EZ106" s="1490">
        <v>8</v>
      </c>
      <c r="FA106" s="1490">
        <v>2</v>
      </c>
      <c r="FB106" s="1490">
        <v>0</v>
      </c>
      <c r="FC106" s="36">
        <v>0</v>
      </c>
      <c r="FD106" s="36">
        <v>0</v>
      </c>
      <c r="FE106" s="36">
        <v>10</v>
      </c>
      <c r="FF106" s="36"/>
      <c r="FH106" s="1225"/>
      <c r="FI106" s="1225"/>
      <c r="FJ106" s="1225"/>
      <c r="FK106" s="1222" t="s">
        <v>15</v>
      </c>
      <c r="FL106" s="1231"/>
      <c r="FM106" s="1231"/>
      <c r="FN106" s="1231"/>
      <c r="FO106" s="1231"/>
      <c r="FP106" s="1231"/>
      <c r="FQ106" s="1231"/>
      <c r="FR106" s="1231"/>
      <c r="FS106" s="1231"/>
      <c r="FT106" s="1231"/>
      <c r="FU106" s="1232">
        <v>2</v>
      </c>
      <c r="FV106" s="1232">
        <v>2</v>
      </c>
      <c r="FW106" s="1232">
        <v>5</v>
      </c>
      <c r="FX106" s="1232">
        <v>3</v>
      </c>
      <c r="FY106" s="1233"/>
      <c r="FZ106" s="1233"/>
      <c r="GA106" s="1234">
        <v>12</v>
      </c>
      <c r="GB106" s="1178">
        <f>+(GA103+GA105)/GA106</f>
        <v>0.66666666666666663</v>
      </c>
      <c r="GD106" s="603"/>
      <c r="GE106" s="603"/>
      <c r="GF106" s="603"/>
      <c r="GG106" s="604" t="s">
        <v>1080</v>
      </c>
      <c r="GH106" s="605"/>
      <c r="GI106" s="605"/>
      <c r="GJ106" s="605"/>
      <c r="GK106" s="605"/>
      <c r="GL106" s="605"/>
      <c r="GM106" s="605"/>
      <c r="GN106" s="605"/>
      <c r="GO106" s="605"/>
      <c r="GP106" s="605"/>
      <c r="GQ106" s="605"/>
      <c r="GR106" s="605"/>
      <c r="GS106" s="605"/>
      <c r="GT106" s="606">
        <v>0</v>
      </c>
      <c r="GU106" s="606">
        <v>0</v>
      </c>
      <c r="GV106" s="606">
        <v>1</v>
      </c>
      <c r="GW106" s="608">
        <v>1</v>
      </c>
      <c r="GX106" s="608">
        <v>6</v>
      </c>
      <c r="GY106" s="608">
        <v>8</v>
      </c>
      <c r="GZ106" s="95"/>
      <c r="HB106" s="441"/>
      <c r="HC106" s="441"/>
      <c r="HD106" s="441"/>
      <c r="HE106" s="441"/>
      <c r="HF106" s="442" t="s">
        <v>1163</v>
      </c>
      <c r="HG106" s="609"/>
      <c r="HH106" s="609"/>
      <c r="HI106" s="609"/>
      <c r="HJ106" s="609"/>
      <c r="HK106" s="609"/>
      <c r="HL106" s="609"/>
      <c r="HM106" s="609"/>
      <c r="HN106" s="609"/>
      <c r="HO106" s="609"/>
      <c r="HP106" s="610">
        <v>0</v>
      </c>
      <c r="HQ106" s="610">
        <v>1</v>
      </c>
      <c r="HR106" s="610">
        <v>1</v>
      </c>
      <c r="HS106" s="610">
        <v>1</v>
      </c>
      <c r="HT106" s="610">
        <v>1</v>
      </c>
      <c r="HU106" s="610">
        <v>2</v>
      </c>
      <c r="HV106" s="611"/>
      <c r="HW106" s="611"/>
      <c r="HX106" s="612">
        <v>6</v>
      </c>
      <c r="HY106" s="560"/>
      <c r="HZ106" s="36"/>
      <c r="IA106" s="637"/>
      <c r="IB106" s="637"/>
      <c r="IC106" s="637"/>
      <c r="ID106" s="638" t="s">
        <v>15</v>
      </c>
      <c r="IE106" s="639"/>
      <c r="IF106" s="639"/>
      <c r="IG106" s="639"/>
      <c r="IH106" s="639"/>
      <c r="II106" s="639"/>
      <c r="IJ106" s="639"/>
      <c r="IK106" s="639"/>
      <c r="IL106" s="639"/>
      <c r="IM106" s="399">
        <v>2</v>
      </c>
      <c r="IN106" s="399">
        <v>1</v>
      </c>
      <c r="IO106" s="399">
        <v>3</v>
      </c>
      <c r="IP106" s="399">
        <v>1</v>
      </c>
      <c r="IQ106" s="399">
        <v>4</v>
      </c>
      <c r="IR106" s="399">
        <v>11</v>
      </c>
      <c r="IS106" s="567">
        <f>+(IR105+IR104+IR102-IP102)/IR106</f>
        <v>0.27272727272727271</v>
      </c>
      <c r="IT106" s="36"/>
      <c r="IU106" s="36"/>
      <c r="IV106" s="95"/>
      <c r="IW106" s="95"/>
      <c r="IX106" s="36"/>
      <c r="IY106" s="36" t="s">
        <v>1080</v>
      </c>
      <c r="IZ106" s="95"/>
      <c r="JA106" s="95"/>
      <c r="JB106" s="95"/>
      <c r="JC106" s="95">
        <v>0</v>
      </c>
      <c r="JD106" s="95"/>
      <c r="JE106" s="95"/>
      <c r="JF106" s="95"/>
      <c r="JG106" s="95"/>
      <c r="JH106" s="95">
        <v>0</v>
      </c>
      <c r="JI106" s="95">
        <v>0</v>
      </c>
      <c r="JJ106" s="95">
        <v>0</v>
      </c>
      <c r="JK106" s="95"/>
      <c r="JL106" s="95">
        <v>2</v>
      </c>
      <c r="JM106" s="95">
        <v>1</v>
      </c>
      <c r="JN106" s="95"/>
      <c r="JO106" s="95">
        <v>1</v>
      </c>
      <c r="JP106" s="95">
        <v>4</v>
      </c>
      <c r="JQ106" s="36"/>
      <c r="JR106" s="36"/>
      <c r="JS106" s="36"/>
      <c r="JT106" s="36"/>
      <c r="JU106" s="36"/>
      <c r="JV106" s="36"/>
      <c r="JW106" s="36"/>
      <c r="JX106" s="36"/>
      <c r="JY106" s="36"/>
      <c r="JZ106" s="36"/>
      <c r="KA106" s="36"/>
      <c r="KB106" s="36"/>
      <c r="KC106" s="36"/>
      <c r="KD106" s="36"/>
      <c r="KE106" s="36"/>
      <c r="KF106" s="36"/>
      <c r="KG106" s="36"/>
      <c r="KH106" s="36"/>
      <c r="KI106" s="36"/>
      <c r="KJ106" s="36"/>
      <c r="KK106" s="36"/>
      <c r="KL106" s="36"/>
      <c r="KM106" s="36"/>
      <c r="KN106" s="36"/>
      <c r="KO106" s="36"/>
    </row>
    <row r="107" spans="1:301">
      <c r="A107" s="5737">
        <v>2</v>
      </c>
      <c r="B107" s="5737">
        <v>2</v>
      </c>
      <c r="C107" s="5736" t="s">
        <v>2737</v>
      </c>
      <c r="D107" s="5739" t="s">
        <v>1076</v>
      </c>
      <c r="E107" s="5737">
        <v>1</v>
      </c>
      <c r="F107" s="5737">
        <v>13</v>
      </c>
      <c r="I107" s="4726">
        <v>2</v>
      </c>
      <c r="J107" s="4726">
        <v>2</v>
      </c>
      <c r="K107" s="4725" t="s">
        <v>2058</v>
      </c>
      <c r="L107" s="4725" t="s">
        <v>2731</v>
      </c>
      <c r="M107" s="4726">
        <v>3</v>
      </c>
      <c r="N107" s="4726">
        <v>14</v>
      </c>
      <c r="Q107" s="4458">
        <v>2</v>
      </c>
      <c r="R107" s="4458">
        <v>3</v>
      </c>
      <c r="S107" s="4459" t="s">
        <v>129</v>
      </c>
      <c r="T107" s="4461" t="s">
        <v>1076</v>
      </c>
      <c r="U107" s="4458">
        <v>13</v>
      </c>
      <c r="V107" s="4479">
        <v>2</v>
      </c>
      <c r="W107" s="4510"/>
      <c r="X107" s="4467"/>
      <c r="Y107" s="4467"/>
      <c r="Z107" s="36"/>
      <c r="AA107" s="36"/>
      <c r="AB107" s="36"/>
      <c r="AC107" s="36" t="s">
        <v>1077</v>
      </c>
      <c r="AD107" s="615"/>
      <c r="AE107" s="615"/>
      <c r="AF107" s="615">
        <v>1</v>
      </c>
      <c r="AG107" s="615">
        <v>1</v>
      </c>
      <c r="AH107" s="615">
        <v>1</v>
      </c>
      <c r="AI107" s="615"/>
      <c r="AJ107" s="615"/>
      <c r="AK107" s="615"/>
      <c r="AL107" s="615"/>
      <c r="AM107" s="615"/>
      <c r="AN107" s="615">
        <v>0</v>
      </c>
      <c r="AO107" s="615">
        <v>0</v>
      </c>
      <c r="AP107" s="615">
        <v>0</v>
      </c>
      <c r="AQ107" s="36">
        <v>0</v>
      </c>
      <c r="AR107" s="36">
        <v>3</v>
      </c>
      <c r="AS107" s="36"/>
      <c r="AU107" s="36"/>
      <c r="AV107" s="36"/>
      <c r="AW107" s="393"/>
      <c r="AX107" s="393" t="s">
        <v>1077</v>
      </c>
      <c r="AY107" s="1682"/>
      <c r="AZ107" s="1682">
        <v>1</v>
      </c>
      <c r="BA107" s="1682"/>
      <c r="BB107" s="1682"/>
      <c r="BC107" s="1682"/>
      <c r="BD107" s="1682">
        <v>1</v>
      </c>
      <c r="BE107" s="1682">
        <v>1</v>
      </c>
      <c r="BF107" s="1682"/>
      <c r="BG107" s="1682">
        <v>0</v>
      </c>
      <c r="BH107" s="1682">
        <v>0</v>
      </c>
      <c r="BI107" s="1682">
        <v>2</v>
      </c>
      <c r="BJ107" s="1682">
        <v>0</v>
      </c>
      <c r="BK107" s="1682">
        <v>0</v>
      </c>
      <c r="BL107" s="1682">
        <v>0</v>
      </c>
      <c r="BM107" s="4455">
        <v>0</v>
      </c>
      <c r="BN107" s="4455"/>
      <c r="BO107" s="4455">
        <v>5</v>
      </c>
      <c r="BP107" s="4455"/>
      <c r="BT107" s="1520"/>
      <c r="BU107" s="1520" t="s">
        <v>1077</v>
      </c>
      <c r="BV107" s="3872">
        <v>0</v>
      </c>
      <c r="BW107" s="3872">
        <v>1</v>
      </c>
      <c r="BX107" s="3872"/>
      <c r="BY107" s="3872"/>
      <c r="BZ107" s="3872"/>
      <c r="CA107" s="3872">
        <v>1</v>
      </c>
      <c r="CB107" s="3872">
        <v>1</v>
      </c>
      <c r="CC107" s="3872"/>
      <c r="CD107" s="3872">
        <v>0</v>
      </c>
      <c r="CE107" s="3872">
        <v>0</v>
      </c>
      <c r="CF107" s="3872">
        <v>2</v>
      </c>
      <c r="CG107" s="3872">
        <v>0</v>
      </c>
      <c r="CH107" s="3872">
        <v>0</v>
      </c>
      <c r="CI107" s="3872">
        <v>0</v>
      </c>
      <c r="CJ107" s="3806">
        <v>0</v>
      </c>
      <c r="CK107" s="3806">
        <v>5</v>
      </c>
      <c r="CL107" s="1520"/>
      <c r="CN107" s="36"/>
      <c r="CO107" s="36"/>
      <c r="CP107" s="36"/>
      <c r="CQ107" s="36" t="s">
        <v>1076</v>
      </c>
      <c r="CR107" s="615"/>
      <c r="CS107" s="615">
        <v>0</v>
      </c>
      <c r="CT107" s="615"/>
      <c r="CU107" s="615">
        <v>0</v>
      </c>
      <c r="CV107" s="615"/>
      <c r="CW107" s="615"/>
      <c r="CX107" s="615"/>
      <c r="CY107" s="615"/>
      <c r="CZ107" s="615"/>
      <c r="DA107" s="615"/>
      <c r="DB107" s="615"/>
      <c r="DC107" s="615"/>
      <c r="DD107" s="615">
        <v>4</v>
      </c>
      <c r="DE107" s="615">
        <v>5</v>
      </c>
      <c r="DF107" s="615">
        <v>0</v>
      </c>
      <c r="DG107" s="36"/>
      <c r="DH107" s="36"/>
      <c r="DI107" s="36">
        <v>9</v>
      </c>
      <c r="DJ107" s="36"/>
      <c r="DL107" s="36"/>
      <c r="DM107" s="36"/>
      <c r="DN107" s="36" t="s">
        <v>485</v>
      </c>
      <c r="DO107" s="36" t="s">
        <v>1072</v>
      </c>
      <c r="DP107" s="1681">
        <v>1</v>
      </c>
      <c r="DQ107" s="1681">
        <v>0</v>
      </c>
      <c r="DR107" s="1681">
        <v>1</v>
      </c>
      <c r="DS107" s="1681"/>
      <c r="DT107" s="1681"/>
      <c r="DU107" s="1681"/>
      <c r="DV107" s="1681">
        <v>1</v>
      </c>
      <c r="DW107" s="1681">
        <v>1</v>
      </c>
      <c r="DX107" s="1681">
        <v>1</v>
      </c>
      <c r="DY107" s="1681">
        <v>0</v>
      </c>
      <c r="DZ107" s="1681"/>
      <c r="EA107" s="1681">
        <v>0</v>
      </c>
      <c r="EB107" s="1681">
        <v>2</v>
      </c>
      <c r="EC107" s="1681">
        <v>4</v>
      </c>
      <c r="ED107" s="1681">
        <v>1</v>
      </c>
      <c r="EE107" s="95">
        <v>1</v>
      </c>
      <c r="EF107" s="95">
        <v>0</v>
      </c>
      <c r="EG107" s="95">
        <v>13</v>
      </c>
      <c r="EH107" s="36"/>
      <c r="EL107" s="36"/>
      <c r="EM107" s="393" t="s">
        <v>483</v>
      </c>
      <c r="EN107" s="1491">
        <v>1</v>
      </c>
      <c r="EO107" s="1491">
        <v>4</v>
      </c>
      <c r="EP107" s="1491"/>
      <c r="EQ107" s="1491">
        <v>2</v>
      </c>
      <c r="ER107" s="1491"/>
      <c r="ES107" s="1491"/>
      <c r="ET107" s="1491"/>
      <c r="EU107" s="1491"/>
      <c r="EV107" s="1491">
        <v>1</v>
      </c>
      <c r="EW107" s="1491">
        <v>1</v>
      </c>
      <c r="EX107" s="1491">
        <v>1</v>
      </c>
      <c r="EY107" s="1491"/>
      <c r="EZ107" s="1491">
        <v>38</v>
      </c>
      <c r="FA107" s="1491">
        <v>29</v>
      </c>
      <c r="FB107" s="1491">
        <v>8</v>
      </c>
      <c r="FC107" s="393">
        <v>2</v>
      </c>
      <c r="FD107" s="393">
        <v>8</v>
      </c>
      <c r="FE107" s="393">
        <v>95</v>
      </c>
      <c r="FF107" s="560">
        <f>+(FE103+FE106)/FE107</f>
        <v>0.47368421052631576</v>
      </c>
      <c r="FH107" s="1225"/>
      <c r="FI107" s="1225"/>
      <c r="FJ107" s="1225" t="s">
        <v>320</v>
      </c>
      <c r="FK107" s="1226" t="s">
        <v>1071</v>
      </c>
      <c r="FL107" s="1227"/>
      <c r="FM107" s="1227"/>
      <c r="FN107" s="1227"/>
      <c r="FO107" s="1227"/>
      <c r="FP107" s="1227"/>
      <c r="FQ107" s="1227"/>
      <c r="FR107" s="1227"/>
      <c r="FS107" s="1227"/>
      <c r="FT107" s="1227"/>
      <c r="FU107" s="1228">
        <v>0</v>
      </c>
      <c r="FV107" s="1228">
        <v>0</v>
      </c>
      <c r="FW107" s="1228">
        <v>0</v>
      </c>
      <c r="FX107" s="1228">
        <v>2</v>
      </c>
      <c r="FY107" s="1229"/>
      <c r="FZ107" s="1230">
        <v>2</v>
      </c>
      <c r="GA107" s="1230">
        <v>4</v>
      </c>
      <c r="GB107" s="36"/>
      <c r="GD107" s="603"/>
      <c r="GE107" s="603"/>
      <c r="GF107" s="603"/>
      <c r="GG107" s="604" t="s">
        <v>1163</v>
      </c>
      <c r="GH107" s="605"/>
      <c r="GI107" s="605"/>
      <c r="GJ107" s="605"/>
      <c r="GK107" s="605"/>
      <c r="GL107" s="605"/>
      <c r="GM107" s="605"/>
      <c r="GN107" s="605"/>
      <c r="GO107" s="605"/>
      <c r="GP107" s="605"/>
      <c r="GQ107" s="605"/>
      <c r="GR107" s="605"/>
      <c r="GS107" s="605"/>
      <c r="GT107" s="606">
        <v>3</v>
      </c>
      <c r="GU107" s="606">
        <v>4</v>
      </c>
      <c r="GV107" s="606">
        <v>5</v>
      </c>
      <c r="GW107" s="608">
        <v>0</v>
      </c>
      <c r="GX107" s="608">
        <v>0</v>
      </c>
      <c r="GY107" s="608">
        <v>12</v>
      </c>
      <c r="GZ107" s="95"/>
      <c r="HB107" s="441"/>
      <c r="HC107" s="441"/>
      <c r="HD107" s="441"/>
      <c r="HE107" s="36"/>
      <c r="HF107" s="462" t="s">
        <v>15</v>
      </c>
      <c r="HG107" s="618"/>
      <c r="HH107" s="618"/>
      <c r="HI107" s="618"/>
      <c r="HJ107" s="618"/>
      <c r="HK107" s="618"/>
      <c r="HL107" s="618"/>
      <c r="HM107" s="618"/>
      <c r="HN107" s="618"/>
      <c r="HO107" s="618"/>
      <c r="HP107" s="619">
        <v>1</v>
      </c>
      <c r="HQ107" s="619">
        <v>1</v>
      </c>
      <c r="HR107" s="619">
        <v>1</v>
      </c>
      <c r="HS107" s="619">
        <v>1</v>
      </c>
      <c r="HT107" s="619">
        <v>1</v>
      </c>
      <c r="HU107" s="619">
        <v>6</v>
      </c>
      <c r="HV107" s="620"/>
      <c r="HW107" s="620"/>
      <c r="HX107" s="621">
        <v>11</v>
      </c>
      <c r="HY107" s="560">
        <f>+(HX106+HX104)/HX107</f>
        <v>0.63636363636363635</v>
      </c>
      <c r="HZ107" s="36"/>
      <c r="IA107" s="36"/>
      <c r="IB107" s="36"/>
      <c r="IC107" s="36"/>
      <c r="ID107" s="36"/>
      <c r="IE107" s="36"/>
      <c r="IF107" s="36"/>
      <c r="IG107" s="36"/>
      <c r="IH107" s="36"/>
      <c r="II107" s="36"/>
      <c r="IJ107" s="36"/>
      <c r="IK107" s="36"/>
      <c r="IL107" s="36"/>
      <c r="IM107" s="36"/>
      <c r="IN107" s="36"/>
      <c r="IO107" s="36"/>
      <c r="IP107" s="36"/>
      <c r="IQ107" s="36"/>
      <c r="IR107" s="36"/>
      <c r="IS107" s="36"/>
      <c r="IT107" s="36"/>
      <c r="IU107" s="36"/>
      <c r="IV107" s="95"/>
      <c r="IW107" s="95"/>
      <c r="IX107" s="36"/>
      <c r="IY107" s="36" t="s">
        <v>1081</v>
      </c>
      <c r="IZ107" s="95"/>
      <c r="JA107" s="95"/>
      <c r="JB107" s="95"/>
      <c r="JC107" s="95">
        <v>0</v>
      </c>
      <c r="JD107" s="95"/>
      <c r="JE107" s="95"/>
      <c r="JF107" s="95"/>
      <c r="JG107" s="95"/>
      <c r="JH107" s="95">
        <v>2</v>
      </c>
      <c r="JI107" s="95">
        <v>1</v>
      </c>
      <c r="JJ107" s="95">
        <v>1</v>
      </c>
      <c r="JK107" s="95"/>
      <c r="JL107" s="95">
        <v>0</v>
      </c>
      <c r="JM107" s="95">
        <v>1</v>
      </c>
      <c r="JN107" s="95"/>
      <c r="JO107" s="95">
        <v>0</v>
      </c>
      <c r="JP107" s="95">
        <v>5</v>
      </c>
      <c r="JQ107" s="36"/>
      <c r="JR107" s="36"/>
      <c r="JS107" s="36"/>
      <c r="JT107" s="36"/>
      <c r="JU107" s="36"/>
      <c r="JV107" s="36"/>
      <c r="JW107" s="36"/>
      <c r="JX107" s="36"/>
      <c r="JY107" s="36"/>
      <c r="JZ107" s="36"/>
      <c r="KA107" s="36"/>
      <c r="KB107" s="36"/>
      <c r="KC107" s="36"/>
      <c r="KD107" s="36"/>
      <c r="KE107" s="36"/>
      <c r="KF107" s="36"/>
      <c r="KG107" s="36"/>
      <c r="KH107" s="36"/>
      <c r="KI107" s="36"/>
      <c r="KJ107" s="36"/>
      <c r="KK107" s="36"/>
      <c r="KL107" s="36"/>
      <c r="KM107" s="36"/>
      <c r="KN107" s="36"/>
      <c r="KO107" s="36"/>
    </row>
    <row r="108" spans="1:301">
      <c r="A108" s="5737">
        <v>2</v>
      </c>
      <c r="B108" s="5737">
        <v>2</v>
      </c>
      <c r="C108" s="5736" t="s">
        <v>2737</v>
      </c>
      <c r="D108" s="5736" t="s">
        <v>2709</v>
      </c>
      <c r="E108" s="5737">
        <v>1</v>
      </c>
      <c r="F108" s="5737">
        <v>12</v>
      </c>
      <c r="I108" s="4726">
        <v>2</v>
      </c>
      <c r="J108" s="4726">
        <v>2</v>
      </c>
      <c r="K108" s="4725" t="s">
        <v>2058</v>
      </c>
      <c r="L108" s="4725" t="s">
        <v>2709</v>
      </c>
      <c r="M108" s="4726">
        <v>1</v>
      </c>
      <c r="N108" s="4726">
        <v>8</v>
      </c>
      <c r="Q108" s="4458">
        <v>2</v>
      </c>
      <c r="R108" s="4458">
        <v>3</v>
      </c>
      <c r="S108" s="4459" t="s">
        <v>129</v>
      </c>
      <c r="T108" s="4461" t="s">
        <v>1076</v>
      </c>
      <c r="U108" s="4458">
        <v>14</v>
      </c>
      <c r="V108" s="4479">
        <v>1</v>
      </c>
      <c r="W108" s="4510"/>
      <c r="X108" s="4467"/>
      <c r="Y108" s="4467"/>
      <c r="Z108" s="36"/>
      <c r="AA108" s="36"/>
      <c r="AB108" s="36"/>
      <c r="AC108" s="36" t="s">
        <v>1080</v>
      </c>
      <c r="AD108" s="615"/>
      <c r="AE108" s="615"/>
      <c r="AF108" s="615">
        <v>0</v>
      </c>
      <c r="AG108" s="615">
        <v>0</v>
      </c>
      <c r="AH108" s="615">
        <v>0</v>
      </c>
      <c r="AI108" s="615"/>
      <c r="AJ108" s="615"/>
      <c r="AK108" s="615"/>
      <c r="AL108" s="615"/>
      <c r="AM108" s="615"/>
      <c r="AN108" s="615">
        <v>0</v>
      </c>
      <c r="AO108" s="615">
        <v>0</v>
      </c>
      <c r="AP108" s="615">
        <v>3</v>
      </c>
      <c r="AQ108" s="36">
        <v>3</v>
      </c>
      <c r="AR108" s="36">
        <v>6</v>
      </c>
      <c r="AS108" s="36"/>
      <c r="AU108" s="36"/>
      <c r="AV108" s="36"/>
      <c r="AW108" s="393"/>
      <c r="AX108" s="393" t="s">
        <v>1080</v>
      </c>
      <c r="AY108" s="1682"/>
      <c r="AZ108" s="1682">
        <v>0</v>
      </c>
      <c r="BA108" s="1682"/>
      <c r="BB108" s="1682"/>
      <c r="BC108" s="1682"/>
      <c r="BD108" s="1682">
        <v>0</v>
      </c>
      <c r="BE108" s="1682">
        <v>0</v>
      </c>
      <c r="BF108" s="1682"/>
      <c r="BG108" s="1682">
        <v>0</v>
      </c>
      <c r="BH108" s="1682">
        <v>0</v>
      </c>
      <c r="BI108" s="1682">
        <v>0</v>
      </c>
      <c r="BJ108" s="1682">
        <v>0</v>
      </c>
      <c r="BK108" s="1682">
        <v>8</v>
      </c>
      <c r="BL108" s="1682">
        <v>2</v>
      </c>
      <c r="BM108" s="4455">
        <v>4</v>
      </c>
      <c r="BN108" s="4455"/>
      <c r="BO108" s="4455">
        <v>14</v>
      </c>
      <c r="BP108" s="4455"/>
      <c r="BT108" s="1520"/>
      <c r="BU108" s="1520" t="s">
        <v>1080</v>
      </c>
      <c r="BV108" s="3872">
        <v>0</v>
      </c>
      <c r="BW108" s="3872">
        <v>0</v>
      </c>
      <c r="BX108" s="3872"/>
      <c r="BY108" s="3872"/>
      <c r="BZ108" s="3872"/>
      <c r="CA108" s="3872">
        <v>0</v>
      </c>
      <c r="CB108" s="3872">
        <v>0</v>
      </c>
      <c r="CC108" s="3872"/>
      <c r="CD108" s="3872">
        <v>0</v>
      </c>
      <c r="CE108" s="3872">
        <v>0</v>
      </c>
      <c r="CF108" s="3872">
        <v>0</v>
      </c>
      <c r="CG108" s="3872">
        <v>0</v>
      </c>
      <c r="CH108" s="3872">
        <v>19</v>
      </c>
      <c r="CI108" s="3872">
        <v>0</v>
      </c>
      <c r="CJ108" s="3806">
        <v>6</v>
      </c>
      <c r="CK108" s="3806">
        <v>25</v>
      </c>
      <c r="CL108" s="1520"/>
      <c r="CN108" s="36"/>
      <c r="CO108" s="36"/>
      <c r="CP108" s="36"/>
      <c r="CQ108" s="36" t="s">
        <v>1077</v>
      </c>
      <c r="CR108" s="615"/>
      <c r="CS108" s="615">
        <v>1</v>
      </c>
      <c r="CT108" s="615"/>
      <c r="CU108" s="615">
        <v>0</v>
      </c>
      <c r="CV108" s="615"/>
      <c r="CW108" s="615"/>
      <c r="CX108" s="615"/>
      <c r="CY108" s="615"/>
      <c r="CZ108" s="615"/>
      <c r="DA108" s="615"/>
      <c r="DB108" s="615"/>
      <c r="DC108" s="615"/>
      <c r="DD108" s="615">
        <v>0</v>
      </c>
      <c r="DE108" s="615">
        <v>0</v>
      </c>
      <c r="DF108" s="615">
        <v>0</v>
      </c>
      <c r="DG108" s="36"/>
      <c r="DH108" s="36"/>
      <c r="DI108" s="36">
        <v>1</v>
      </c>
      <c r="DJ108" s="36"/>
      <c r="DL108" s="36"/>
      <c r="DM108" s="36"/>
      <c r="DN108" s="36"/>
      <c r="DO108" s="36" t="s">
        <v>1074</v>
      </c>
      <c r="DP108" s="1681">
        <v>0</v>
      </c>
      <c r="DQ108" s="1681">
        <v>1</v>
      </c>
      <c r="DR108" s="1681">
        <v>0</v>
      </c>
      <c r="DS108" s="1681"/>
      <c r="DT108" s="1681"/>
      <c r="DU108" s="1681"/>
      <c r="DV108" s="1681">
        <v>0</v>
      </c>
      <c r="DW108" s="1681">
        <v>0</v>
      </c>
      <c r="DX108" s="1681">
        <v>0</v>
      </c>
      <c r="DY108" s="1681">
        <v>0</v>
      </c>
      <c r="DZ108" s="1681"/>
      <c r="EA108" s="1681">
        <v>0</v>
      </c>
      <c r="EB108" s="1681">
        <v>0</v>
      </c>
      <c r="EC108" s="1681">
        <v>0</v>
      </c>
      <c r="ED108" s="1681">
        <v>0</v>
      </c>
      <c r="EE108" s="95">
        <v>0</v>
      </c>
      <c r="EF108" s="95">
        <v>0</v>
      </c>
      <c r="EG108" s="95">
        <v>1</v>
      </c>
      <c r="EH108" s="36"/>
      <c r="EK108" s="95" t="s">
        <v>41</v>
      </c>
      <c r="EL108" s="36" t="s">
        <v>128</v>
      </c>
      <c r="EM108" s="36" t="s">
        <v>1071</v>
      </c>
      <c r="EN108" s="1490">
        <v>0</v>
      </c>
      <c r="EO108" s="1490"/>
      <c r="EP108" s="1490">
        <v>0</v>
      </c>
      <c r="EQ108" s="1490"/>
      <c r="ER108" s="1490"/>
      <c r="ES108" s="1490"/>
      <c r="ET108" s="1490"/>
      <c r="EU108" s="1490">
        <v>0</v>
      </c>
      <c r="EV108" s="1490">
        <v>0</v>
      </c>
      <c r="EW108" s="1490"/>
      <c r="EX108" s="1490"/>
      <c r="EY108" s="1490"/>
      <c r="EZ108" s="1490">
        <v>0</v>
      </c>
      <c r="FA108" s="1490">
        <v>0</v>
      </c>
      <c r="FB108" s="1490">
        <v>0</v>
      </c>
      <c r="FC108" s="36"/>
      <c r="FD108" s="36">
        <v>1</v>
      </c>
      <c r="FE108" s="36">
        <v>1</v>
      </c>
      <c r="FF108" s="36"/>
      <c r="FH108" s="1225"/>
      <c r="FI108" s="1225"/>
      <c r="FJ108" s="1225"/>
      <c r="FK108" s="1226" t="s">
        <v>1072</v>
      </c>
      <c r="FL108" s="1227"/>
      <c r="FM108" s="1227"/>
      <c r="FN108" s="1227"/>
      <c r="FO108" s="1227"/>
      <c r="FP108" s="1227"/>
      <c r="FQ108" s="1227"/>
      <c r="FR108" s="1227"/>
      <c r="FS108" s="1227"/>
      <c r="FT108" s="1227"/>
      <c r="FU108" s="1228">
        <v>1</v>
      </c>
      <c r="FV108" s="1228">
        <v>1</v>
      </c>
      <c r="FW108" s="1228">
        <v>0</v>
      </c>
      <c r="FX108" s="1228">
        <v>1</v>
      </c>
      <c r="FY108" s="1229"/>
      <c r="FZ108" s="1230">
        <v>0</v>
      </c>
      <c r="GA108" s="1230">
        <v>3</v>
      </c>
      <c r="GB108" s="36"/>
      <c r="GD108" s="603"/>
      <c r="GE108" s="603"/>
      <c r="GF108" s="603"/>
      <c r="GG108" s="622" t="s">
        <v>15</v>
      </c>
      <c r="GH108" s="623"/>
      <c r="GI108" s="623"/>
      <c r="GJ108" s="623"/>
      <c r="GK108" s="623"/>
      <c r="GL108" s="623"/>
      <c r="GM108" s="623"/>
      <c r="GN108" s="623"/>
      <c r="GO108" s="623"/>
      <c r="GP108" s="623"/>
      <c r="GQ108" s="623"/>
      <c r="GR108" s="623"/>
      <c r="GS108" s="623"/>
      <c r="GT108" s="624">
        <v>7</v>
      </c>
      <c r="GU108" s="624">
        <v>11</v>
      </c>
      <c r="GV108" s="624">
        <v>8</v>
      </c>
      <c r="GW108" s="626">
        <v>1</v>
      </c>
      <c r="GX108" s="626">
        <v>6</v>
      </c>
      <c r="GY108" s="626">
        <v>33</v>
      </c>
      <c r="GZ108" s="560">
        <f>+(GY105+GY107)/GY108</f>
        <v>0.63636363636363635</v>
      </c>
      <c r="HB108" s="441"/>
      <c r="HC108" s="441"/>
      <c r="HD108" s="441" t="s">
        <v>129</v>
      </c>
      <c r="HE108" s="441" t="s">
        <v>1070</v>
      </c>
      <c r="HF108" s="442" t="s">
        <v>1072</v>
      </c>
      <c r="HG108" s="609"/>
      <c r="HH108" s="609"/>
      <c r="HI108" s="609"/>
      <c r="HJ108" s="609"/>
      <c r="HK108" s="609"/>
      <c r="HL108" s="609"/>
      <c r="HM108" s="609"/>
      <c r="HN108" s="609"/>
      <c r="HO108" s="609"/>
      <c r="HP108" s="609"/>
      <c r="HQ108" s="609"/>
      <c r="HR108" s="609"/>
      <c r="HS108" s="610">
        <v>1</v>
      </c>
      <c r="HT108" s="610">
        <v>0</v>
      </c>
      <c r="HU108" s="610">
        <v>0</v>
      </c>
      <c r="HV108" s="611"/>
      <c r="HW108" s="612">
        <v>0</v>
      </c>
      <c r="HX108" s="612">
        <v>1</v>
      </c>
      <c r="HY108" s="560"/>
      <c r="HZ108" s="36"/>
      <c r="IA108" s="36"/>
      <c r="IB108" s="36"/>
      <c r="IC108" s="36"/>
      <c r="ID108" s="36"/>
      <c r="IE108" s="36"/>
      <c r="IF108" s="36"/>
      <c r="IG108" s="36"/>
      <c r="IH108" s="36"/>
      <c r="II108" s="36"/>
      <c r="IJ108" s="36"/>
      <c r="IK108" s="36"/>
      <c r="IL108" s="36"/>
      <c r="IM108" s="36"/>
      <c r="IN108" s="36"/>
      <c r="IO108" s="36"/>
      <c r="IP108" s="36"/>
      <c r="IQ108" s="36"/>
      <c r="IR108" s="36"/>
      <c r="IS108" s="36"/>
      <c r="IT108" s="36"/>
      <c r="IU108" s="36"/>
      <c r="IV108" s="95"/>
      <c r="IW108" s="95"/>
      <c r="IX108" s="36"/>
      <c r="IY108" s="36" t="s">
        <v>1163</v>
      </c>
      <c r="IZ108" s="95"/>
      <c r="JA108" s="95"/>
      <c r="JB108" s="95"/>
      <c r="JC108" s="95">
        <v>0</v>
      </c>
      <c r="JD108" s="95"/>
      <c r="JE108" s="95"/>
      <c r="JF108" s="95"/>
      <c r="JG108" s="95"/>
      <c r="JH108" s="95">
        <v>1</v>
      </c>
      <c r="JI108" s="95">
        <v>0</v>
      </c>
      <c r="JJ108" s="95">
        <v>0</v>
      </c>
      <c r="JK108" s="95"/>
      <c r="JL108" s="95">
        <v>0</v>
      </c>
      <c r="JM108" s="95">
        <v>0</v>
      </c>
      <c r="JN108" s="95"/>
      <c r="JO108" s="95">
        <v>0</v>
      </c>
      <c r="JP108" s="95">
        <v>1</v>
      </c>
      <c r="JQ108" s="36"/>
      <c r="JR108" s="36"/>
      <c r="JS108" s="36"/>
      <c r="JT108" s="36"/>
      <c r="JU108" s="36"/>
      <c r="JV108" s="36"/>
      <c r="JW108" s="36"/>
      <c r="JX108" s="36"/>
      <c r="JY108" s="36"/>
      <c r="JZ108" s="36"/>
      <c r="KA108" s="36"/>
      <c r="KB108" s="36"/>
      <c r="KC108" s="36"/>
      <c r="KD108" s="36"/>
      <c r="KE108" s="36"/>
      <c r="KF108" s="36"/>
      <c r="KG108" s="36"/>
      <c r="KH108" s="36"/>
      <c r="KI108" s="36"/>
      <c r="KJ108" s="36"/>
      <c r="KK108" s="36"/>
      <c r="KL108" s="36"/>
      <c r="KM108" s="36"/>
      <c r="KN108" s="36"/>
      <c r="KO108" s="36"/>
    </row>
    <row r="109" spans="1:301">
      <c r="A109" s="5737"/>
      <c r="B109" s="5737"/>
      <c r="C109" s="5736"/>
      <c r="D109" s="5736"/>
      <c r="E109" s="5742">
        <f>SUM(E104:E108)</f>
        <v>13</v>
      </c>
      <c r="F109" s="5737"/>
      <c r="G109" s="4476">
        <f>+(E107)/(E109)</f>
        <v>7.6923076923076927E-2</v>
      </c>
      <c r="I109" s="4726">
        <v>2</v>
      </c>
      <c r="J109" s="4726">
        <v>2</v>
      </c>
      <c r="K109" s="4725" t="s">
        <v>2058</v>
      </c>
      <c r="L109" s="4725" t="s">
        <v>2709</v>
      </c>
      <c r="M109" s="4726">
        <v>2</v>
      </c>
      <c r="N109" s="4726">
        <v>13</v>
      </c>
      <c r="Q109" s="4458">
        <v>2</v>
      </c>
      <c r="R109" s="4458">
        <v>3</v>
      </c>
      <c r="S109" s="4459" t="s">
        <v>129</v>
      </c>
      <c r="T109" s="4459" t="s">
        <v>2731</v>
      </c>
      <c r="U109" s="4458">
        <v>14</v>
      </c>
      <c r="V109" s="4479">
        <v>1</v>
      </c>
      <c r="W109" s="4510"/>
      <c r="X109" s="4467"/>
      <c r="Y109" s="4467"/>
      <c r="Z109" s="36"/>
      <c r="AA109" s="36"/>
      <c r="AB109" s="36"/>
      <c r="AC109" s="36" t="s">
        <v>1081</v>
      </c>
      <c r="AD109" s="615"/>
      <c r="AE109" s="615"/>
      <c r="AF109" s="615">
        <v>0</v>
      </c>
      <c r="AG109" s="615">
        <v>0</v>
      </c>
      <c r="AH109" s="615">
        <v>0</v>
      </c>
      <c r="AI109" s="615"/>
      <c r="AJ109" s="615"/>
      <c r="AK109" s="615"/>
      <c r="AL109" s="615"/>
      <c r="AM109" s="615"/>
      <c r="AN109" s="615">
        <v>1</v>
      </c>
      <c r="AO109" s="615">
        <v>0</v>
      </c>
      <c r="AP109" s="615">
        <v>0</v>
      </c>
      <c r="AQ109" s="36">
        <v>0</v>
      </c>
      <c r="AR109" s="36">
        <v>1</v>
      </c>
      <c r="AS109" s="36"/>
      <c r="AU109" s="36"/>
      <c r="AV109" s="36"/>
      <c r="AW109" s="393"/>
      <c r="AX109" s="393" t="s">
        <v>1081</v>
      </c>
      <c r="AY109" s="1682"/>
      <c r="AZ109" s="1682">
        <v>0</v>
      </c>
      <c r="BA109" s="1682"/>
      <c r="BB109" s="1682"/>
      <c r="BC109" s="1682"/>
      <c r="BD109" s="1682">
        <v>0</v>
      </c>
      <c r="BE109" s="1682">
        <v>0</v>
      </c>
      <c r="BF109" s="1682"/>
      <c r="BG109" s="1682">
        <v>0</v>
      </c>
      <c r="BH109" s="1682">
        <v>0</v>
      </c>
      <c r="BI109" s="1682">
        <v>0</v>
      </c>
      <c r="BJ109" s="1682">
        <v>0</v>
      </c>
      <c r="BK109" s="1682">
        <v>0</v>
      </c>
      <c r="BL109" s="1682">
        <v>1</v>
      </c>
      <c r="BM109" s="4455">
        <v>0</v>
      </c>
      <c r="BN109" s="4455"/>
      <c r="BO109" s="4455">
        <v>1</v>
      </c>
      <c r="BP109" s="4455"/>
      <c r="BT109" s="1520"/>
      <c r="BU109" s="1520" t="s">
        <v>1081</v>
      </c>
      <c r="BV109" s="3872">
        <v>0</v>
      </c>
      <c r="BW109" s="3872">
        <v>0</v>
      </c>
      <c r="BX109" s="3872"/>
      <c r="BY109" s="3872"/>
      <c r="BZ109" s="3872"/>
      <c r="CA109" s="3872">
        <v>0</v>
      </c>
      <c r="CB109" s="3872">
        <v>0</v>
      </c>
      <c r="CC109" s="3872"/>
      <c r="CD109" s="3872">
        <v>0</v>
      </c>
      <c r="CE109" s="3872">
        <v>0</v>
      </c>
      <c r="CF109" s="3872">
        <v>0</v>
      </c>
      <c r="CG109" s="3872">
        <v>0</v>
      </c>
      <c r="CH109" s="3872">
        <v>1</v>
      </c>
      <c r="CI109" s="3872">
        <v>1</v>
      </c>
      <c r="CJ109" s="3806">
        <v>0</v>
      </c>
      <c r="CK109" s="3806">
        <v>2</v>
      </c>
      <c r="CL109" s="1520"/>
      <c r="CN109" s="36"/>
      <c r="CO109" s="36"/>
      <c r="CP109" s="36"/>
      <c r="CQ109" s="36" t="s">
        <v>1080</v>
      </c>
      <c r="CR109" s="615"/>
      <c r="CS109" s="615">
        <v>0</v>
      </c>
      <c r="CT109" s="615"/>
      <c r="CU109" s="615">
        <v>0</v>
      </c>
      <c r="CV109" s="615"/>
      <c r="CW109" s="615"/>
      <c r="CX109" s="615"/>
      <c r="CY109" s="615"/>
      <c r="CZ109" s="615"/>
      <c r="DA109" s="615"/>
      <c r="DB109" s="615"/>
      <c r="DC109" s="615"/>
      <c r="DD109" s="615">
        <v>0</v>
      </c>
      <c r="DE109" s="615">
        <v>0</v>
      </c>
      <c r="DF109" s="615">
        <v>1</v>
      </c>
      <c r="DG109" s="36"/>
      <c r="DH109" s="36"/>
      <c r="DI109" s="36">
        <v>1</v>
      </c>
      <c r="DJ109" s="36"/>
      <c r="DL109" s="36"/>
      <c r="DM109" s="36"/>
      <c r="DN109" s="36"/>
      <c r="DO109" s="36" t="s">
        <v>1076</v>
      </c>
      <c r="DP109" s="1681">
        <v>0</v>
      </c>
      <c r="DQ109" s="1681">
        <v>0</v>
      </c>
      <c r="DR109" s="1681">
        <v>0</v>
      </c>
      <c r="DS109" s="1681"/>
      <c r="DT109" s="1681"/>
      <c r="DU109" s="1681"/>
      <c r="DV109" s="1681">
        <v>0</v>
      </c>
      <c r="DW109" s="1681">
        <v>1</v>
      </c>
      <c r="DX109" s="1681">
        <v>0</v>
      </c>
      <c r="DY109" s="1681">
        <v>0</v>
      </c>
      <c r="DZ109" s="1681"/>
      <c r="EA109" s="1681">
        <v>0</v>
      </c>
      <c r="EB109" s="1681">
        <v>2</v>
      </c>
      <c r="EC109" s="1681">
        <v>4</v>
      </c>
      <c r="ED109" s="1681">
        <v>0</v>
      </c>
      <c r="EE109" s="95">
        <v>0</v>
      </c>
      <c r="EF109" s="95">
        <v>0</v>
      </c>
      <c r="EG109" s="95">
        <v>7</v>
      </c>
      <c r="EH109" s="36"/>
      <c r="EL109" s="36"/>
      <c r="EM109" s="36" t="s">
        <v>1072</v>
      </c>
      <c r="EN109" s="1490">
        <v>0</v>
      </c>
      <c r="EO109" s="1490"/>
      <c r="EP109" s="1490">
        <v>1</v>
      </c>
      <c r="EQ109" s="1490"/>
      <c r="ER109" s="1490"/>
      <c r="ES109" s="1490"/>
      <c r="ET109" s="1490"/>
      <c r="EU109" s="1490">
        <v>1</v>
      </c>
      <c r="EV109" s="1490">
        <v>1</v>
      </c>
      <c r="EW109" s="1490"/>
      <c r="EX109" s="1490"/>
      <c r="EY109" s="1490"/>
      <c r="EZ109" s="1490">
        <v>1</v>
      </c>
      <c r="FA109" s="1490">
        <v>2</v>
      </c>
      <c r="FB109" s="1490">
        <v>0</v>
      </c>
      <c r="FC109" s="36"/>
      <c r="FD109" s="36">
        <v>0</v>
      </c>
      <c r="FE109" s="36">
        <v>6</v>
      </c>
      <c r="FF109" s="36"/>
      <c r="FH109" s="1225"/>
      <c r="FI109" s="1225"/>
      <c r="FJ109" s="1225"/>
      <c r="FK109" s="1226" t="s">
        <v>1076</v>
      </c>
      <c r="FL109" s="1227"/>
      <c r="FM109" s="1227"/>
      <c r="FN109" s="1227"/>
      <c r="FO109" s="1227"/>
      <c r="FP109" s="1227"/>
      <c r="FQ109" s="1227"/>
      <c r="FR109" s="1227"/>
      <c r="FS109" s="1227"/>
      <c r="FT109" s="1227"/>
      <c r="FU109" s="1228">
        <v>0</v>
      </c>
      <c r="FV109" s="1228">
        <v>0</v>
      </c>
      <c r="FW109" s="1228">
        <v>1</v>
      </c>
      <c r="FX109" s="1228">
        <v>0</v>
      </c>
      <c r="FY109" s="1229"/>
      <c r="FZ109" s="1230">
        <v>0</v>
      </c>
      <c r="GA109" s="1230">
        <v>1</v>
      </c>
      <c r="GB109" s="36"/>
      <c r="GD109" s="603"/>
      <c r="GE109" s="603"/>
      <c r="GF109" s="603" t="s">
        <v>129</v>
      </c>
      <c r="GG109" s="604" t="s">
        <v>1071</v>
      </c>
      <c r="GH109" s="605"/>
      <c r="GI109" s="606">
        <v>0</v>
      </c>
      <c r="GJ109" s="605"/>
      <c r="GK109" s="605"/>
      <c r="GL109" s="605"/>
      <c r="GM109" s="605"/>
      <c r="GN109" s="605"/>
      <c r="GO109" s="605"/>
      <c r="GP109" s="605"/>
      <c r="GQ109" s="605"/>
      <c r="GR109" s="605"/>
      <c r="GS109" s="605"/>
      <c r="GT109" s="606">
        <v>1</v>
      </c>
      <c r="GU109" s="606">
        <v>0</v>
      </c>
      <c r="GV109" s="606">
        <v>1</v>
      </c>
      <c r="GW109" s="607"/>
      <c r="GX109" s="608">
        <v>0</v>
      </c>
      <c r="GY109" s="608">
        <v>2</v>
      </c>
      <c r="GZ109" s="95"/>
      <c r="HB109" s="441"/>
      <c r="HC109" s="441"/>
      <c r="HD109" s="441"/>
      <c r="HE109" s="441"/>
      <c r="HF109" s="442" t="s">
        <v>1076</v>
      </c>
      <c r="HG109" s="609"/>
      <c r="HH109" s="609"/>
      <c r="HI109" s="609"/>
      <c r="HJ109" s="609"/>
      <c r="HK109" s="609"/>
      <c r="HL109" s="609"/>
      <c r="HM109" s="609"/>
      <c r="HN109" s="609"/>
      <c r="HO109" s="609"/>
      <c r="HP109" s="609"/>
      <c r="HQ109" s="609"/>
      <c r="HR109" s="609"/>
      <c r="HS109" s="610">
        <v>2</v>
      </c>
      <c r="HT109" s="610">
        <v>3</v>
      </c>
      <c r="HU109" s="610">
        <v>0</v>
      </c>
      <c r="HV109" s="611"/>
      <c r="HW109" s="612">
        <v>0</v>
      </c>
      <c r="HX109" s="612">
        <v>5</v>
      </c>
      <c r="HY109" s="560"/>
      <c r="HZ109" s="36"/>
      <c r="IA109" s="36"/>
      <c r="IB109" s="36"/>
      <c r="IC109" s="36"/>
      <c r="ID109" s="36"/>
      <c r="IE109" s="36"/>
      <c r="IF109" s="36"/>
      <c r="IG109" s="36"/>
      <c r="IH109" s="36"/>
      <c r="II109" s="36"/>
      <c r="IJ109" s="36"/>
      <c r="IK109" s="36"/>
      <c r="IL109" s="36"/>
      <c r="IM109" s="36"/>
      <c r="IN109" s="36"/>
      <c r="IO109" s="36"/>
      <c r="IP109" s="36"/>
      <c r="IQ109" s="36"/>
      <c r="IR109" s="36"/>
      <c r="IS109" s="36"/>
      <c r="IT109" s="36"/>
      <c r="IU109" s="36"/>
      <c r="IV109" s="95"/>
      <c r="IW109" s="95"/>
      <c r="IX109" s="36"/>
      <c r="IY109" s="393" t="s">
        <v>15</v>
      </c>
      <c r="IZ109" s="86"/>
      <c r="JA109" s="86"/>
      <c r="JB109" s="86"/>
      <c r="JC109" s="86">
        <v>1</v>
      </c>
      <c r="JD109" s="86"/>
      <c r="JE109" s="86"/>
      <c r="JF109" s="86"/>
      <c r="JG109" s="86"/>
      <c r="JH109" s="86">
        <v>3</v>
      </c>
      <c r="JI109" s="86">
        <v>1</v>
      </c>
      <c r="JJ109" s="86">
        <v>2</v>
      </c>
      <c r="JK109" s="86"/>
      <c r="JL109" s="86">
        <v>2</v>
      </c>
      <c r="JM109" s="86">
        <v>2</v>
      </c>
      <c r="JN109" s="86"/>
      <c r="JO109" s="86">
        <v>1</v>
      </c>
      <c r="JP109" s="86">
        <v>12</v>
      </c>
      <c r="JQ109" s="631">
        <f>+(JP107+JP108)/JP109</f>
        <v>0.5</v>
      </c>
      <c r="JR109" s="36"/>
      <c r="JS109" s="36"/>
      <c r="JT109" s="36"/>
      <c r="JU109" s="36"/>
      <c r="JV109" s="36"/>
      <c r="JW109" s="36"/>
      <c r="JX109" s="36"/>
      <c r="JY109" s="36"/>
      <c r="JZ109" s="36"/>
      <c r="KA109" s="36"/>
      <c r="KB109" s="36"/>
      <c r="KC109" s="36"/>
      <c r="KD109" s="36"/>
      <c r="KE109" s="36"/>
      <c r="KF109" s="36"/>
      <c r="KG109" s="36"/>
      <c r="KH109" s="36"/>
      <c r="KI109" s="36"/>
      <c r="KJ109" s="36"/>
      <c r="KK109" s="36"/>
      <c r="KL109" s="36"/>
      <c r="KM109" s="36"/>
      <c r="KN109" s="36"/>
      <c r="KO109" s="36"/>
    </row>
    <row r="110" spans="1:301">
      <c r="A110" s="5737">
        <v>2</v>
      </c>
      <c r="B110" s="5737">
        <v>2</v>
      </c>
      <c r="C110" s="5736" t="s">
        <v>2058</v>
      </c>
      <c r="D110" s="5736" t="s">
        <v>2731</v>
      </c>
      <c r="E110" s="5737">
        <v>2</v>
      </c>
      <c r="F110" s="5737">
        <v>15</v>
      </c>
      <c r="I110" s="4726">
        <v>2</v>
      </c>
      <c r="J110" s="4726">
        <v>2</v>
      </c>
      <c r="K110" s="4725" t="s">
        <v>2058</v>
      </c>
      <c r="L110" s="4725" t="s">
        <v>2709</v>
      </c>
      <c r="M110" s="4726">
        <v>1</v>
      </c>
      <c r="N110" s="4726">
        <v>14</v>
      </c>
      <c r="Q110" s="4458">
        <v>2</v>
      </c>
      <c r="R110" s="4458">
        <v>3</v>
      </c>
      <c r="S110" s="4459" t="s">
        <v>129</v>
      </c>
      <c r="T110" s="4461" t="s">
        <v>2707</v>
      </c>
      <c r="U110" s="4458">
        <v>13</v>
      </c>
      <c r="V110" s="4479">
        <v>1</v>
      </c>
      <c r="W110" s="4510"/>
      <c r="X110" s="4467"/>
      <c r="Y110" s="4467"/>
      <c r="Z110" s="36"/>
      <c r="AA110" s="36"/>
      <c r="AB110" s="36"/>
      <c r="AC110" s="4236" t="s">
        <v>15</v>
      </c>
      <c r="AD110" s="4236"/>
      <c r="AE110" s="4236"/>
      <c r="AF110" s="4236">
        <v>1</v>
      </c>
      <c r="AG110" s="4236">
        <v>1</v>
      </c>
      <c r="AH110" s="4236">
        <v>1</v>
      </c>
      <c r="AI110" s="4236"/>
      <c r="AJ110" s="4236"/>
      <c r="AK110" s="4236"/>
      <c r="AL110" s="4236"/>
      <c r="AM110" s="4236"/>
      <c r="AN110" s="4236">
        <v>3</v>
      </c>
      <c r="AO110" s="4236">
        <v>1</v>
      </c>
      <c r="AP110" s="4236">
        <v>3</v>
      </c>
      <c r="AQ110" s="4236">
        <v>3</v>
      </c>
      <c r="AR110" s="4236">
        <v>13</v>
      </c>
      <c r="AS110" s="4243">
        <f>AR109/AR110</f>
        <v>7.6923076923076927E-2</v>
      </c>
      <c r="AU110" s="36"/>
      <c r="AV110" s="36"/>
      <c r="AW110" s="393"/>
      <c r="AX110" s="393" t="s">
        <v>1163</v>
      </c>
      <c r="AY110" s="1682"/>
      <c r="AZ110" s="1682">
        <v>0</v>
      </c>
      <c r="BA110" s="1682"/>
      <c r="BB110" s="1682"/>
      <c r="BC110" s="1682"/>
      <c r="BD110" s="1682">
        <v>0</v>
      </c>
      <c r="BE110" s="1682">
        <v>0</v>
      </c>
      <c r="BF110" s="1682"/>
      <c r="BG110" s="1682">
        <v>10</v>
      </c>
      <c r="BH110" s="1682">
        <v>1</v>
      </c>
      <c r="BI110" s="1682">
        <v>1</v>
      </c>
      <c r="BJ110" s="1682">
        <v>2</v>
      </c>
      <c r="BK110" s="1682">
        <v>0</v>
      </c>
      <c r="BL110" s="1682">
        <v>0</v>
      </c>
      <c r="BM110" s="4455">
        <v>0</v>
      </c>
      <c r="BN110" s="4455"/>
      <c r="BO110" s="4455">
        <v>14</v>
      </c>
      <c r="BP110" s="4455"/>
      <c r="BT110" s="1520"/>
      <c r="BU110" s="1520" t="s">
        <v>1163</v>
      </c>
      <c r="BV110" s="3872">
        <v>0</v>
      </c>
      <c r="BW110" s="3872">
        <v>0</v>
      </c>
      <c r="BX110" s="3872"/>
      <c r="BY110" s="3872"/>
      <c r="BZ110" s="3872"/>
      <c r="CA110" s="3872">
        <v>0</v>
      </c>
      <c r="CB110" s="3872">
        <v>0</v>
      </c>
      <c r="CC110" s="3872"/>
      <c r="CD110" s="3872">
        <v>10</v>
      </c>
      <c r="CE110" s="3872">
        <v>0</v>
      </c>
      <c r="CF110" s="3872">
        <v>1</v>
      </c>
      <c r="CG110" s="3872">
        <v>0</v>
      </c>
      <c r="CH110" s="3872">
        <v>0</v>
      </c>
      <c r="CI110" s="3872">
        <v>0</v>
      </c>
      <c r="CJ110" s="3806">
        <v>0</v>
      </c>
      <c r="CK110" s="3806">
        <v>11</v>
      </c>
      <c r="CL110" s="1520"/>
      <c r="CN110" s="36"/>
      <c r="CO110" s="36"/>
      <c r="CP110" s="36"/>
      <c r="CQ110" s="36" t="s">
        <v>1163</v>
      </c>
      <c r="CR110" s="615"/>
      <c r="CS110" s="615">
        <v>0</v>
      </c>
      <c r="CT110" s="615"/>
      <c r="CU110" s="615">
        <v>0</v>
      </c>
      <c r="CV110" s="615"/>
      <c r="CW110" s="615"/>
      <c r="CX110" s="615"/>
      <c r="CY110" s="615"/>
      <c r="CZ110" s="615"/>
      <c r="DA110" s="615"/>
      <c r="DB110" s="615"/>
      <c r="DC110" s="615"/>
      <c r="DD110" s="615">
        <v>3</v>
      </c>
      <c r="DE110" s="615">
        <v>0</v>
      </c>
      <c r="DF110" s="615">
        <v>0</v>
      </c>
      <c r="DG110" s="36"/>
      <c r="DH110" s="36"/>
      <c r="DI110" s="36">
        <v>3</v>
      </c>
      <c r="DJ110" s="36"/>
      <c r="DL110" s="36"/>
      <c r="DM110" s="36"/>
      <c r="DN110" s="36"/>
      <c r="DO110" s="36" t="s">
        <v>1080</v>
      </c>
      <c r="DP110" s="1681">
        <v>0</v>
      </c>
      <c r="DQ110" s="1681">
        <v>0</v>
      </c>
      <c r="DR110" s="1681">
        <v>0</v>
      </c>
      <c r="DS110" s="1681"/>
      <c r="DT110" s="1681"/>
      <c r="DU110" s="1681"/>
      <c r="DV110" s="1681">
        <v>0</v>
      </c>
      <c r="DW110" s="1681">
        <v>0</v>
      </c>
      <c r="DX110" s="1681">
        <v>0</v>
      </c>
      <c r="DY110" s="1681">
        <v>0</v>
      </c>
      <c r="DZ110" s="1681"/>
      <c r="EA110" s="1681">
        <v>0</v>
      </c>
      <c r="EB110" s="1681">
        <v>0</v>
      </c>
      <c r="EC110" s="1681">
        <v>0</v>
      </c>
      <c r="ED110" s="1681">
        <v>14</v>
      </c>
      <c r="EE110" s="95">
        <v>0</v>
      </c>
      <c r="EF110" s="95">
        <v>2</v>
      </c>
      <c r="EG110" s="95">
        <v>16</v>
      </c>
      <c r="EH110" s="36"/>
      <c r="EL110" s="36"/>
      <c r="EM110" s="36" t="s">
        <v>1076</v>
      </c>
      <c r="EN110" s="1490">
        <v>0</v>
      </c>
      <c r="EO110" s="1490"/>
      <c r="EP110" s="1490">
        <v>0</v>
      </c>
      <c r="EQ110" s="1490"/>
      <c r="ER110" s="1490"/>
      <c r="ES110" s="1490"/>
      <c r="ET110" s="1490"/>
      <c r="EU110" s="1490">
        <v>0</v>
      </c>
      <c r="EV110" s="1490">
        <v>0</v>
      </c>
      <c r="EW110" s="1490"/>
      <c r="EX110" s="1490"/>
      <c r="EY110" s="1490"/>
      <c r="EZ110" s="1490">
        <v>0</v>
      </c>
      <c r="FA110" s="1490">
        <v>1</v>
      </c>
      <c r="FB110" s="1490">
        <v>0</v>
      </c>
      <c r="FC110" s="36"/>
      <c r="FD110" s="36">
        <v>0</v>
      </c>
      <c r="FE110" s="36">
        <v>1</v>
      </c>
      <c r="FF110" s="36"/>
      <c r="FH110" s="1225"/>
      <c r="FI110" s="1225"/>
      <c r="FJ110" s="1225"/>
      <c r="FK110" s="1226" t="s">
        <v>1080</v>
      </c>
      <c r="FL110" s="1227"/>
      <c r="FM110" s="1227"/>
      <c r="FN110" s="1227"/>
      <c r="FO110" s="1227"/>
      <c r="FP110" s="1227"/>
      <c r="FQ110" s="1227"/>
      <c r="FR110" s="1227"/>
      <c r="FS110" s="1227"/>
      <c r="FT110" s="1227"/>
      <c r="FU110" s="1228">
        <v>0</v>
      </c>
      <c r="FV110" s="1228">
        <v>0</v>
      </c>
      <c r="FW110" s="1228">
        <v>0</v>
      </c>
      <c r="FX110" s="1228">
        <v>3</v>
      </c>
      <c r="FY110" s="1229"/>
      <c r="FZ110" s="1230">
        <v>2</v>
      </c>
      <c r="GA110" s="1230">
        <v>5</v>
      </c>
      <c r="GB110" s="36"/>
      <c r="GD110" s="603"/>
      <c r="GE110" s="603"/>
      <c r="GF110" s="603"/>
      <c r="GG110" s="604" t="s">
        <v>1072</v>
      </c>
      <c r="GH110" s="605"/>
      <c r="GI110" s="606">
        <v>1</v>
      </c>
      <c r="GJ110" s="605"/>
      <c r="GK110" s="605"/>
      <c r="GL110" s="605"/>
      <c r="GM110" s="605"/>
      <c r="GN110" s="605"/>
      <c r="GO110" s="605"/>
      <c r="GP110" s="605"/>
      <c r="GQ110" s="605"/>
      <c r="GR110" s="605"/>
      <c r="GS110" s="605"/>
      <c r="GT110" s="606">
        <v>0</v>
      </c>
      <c r="GU110" s="606">
        <v>0</v>
      </c>
      <c r="GV110" s="606">
        <v>0</v>
      </c>
      <c r="GW110" s="607"/>
      <c r="GX110" s="608">
        <v>0</v>
      </c>
      <c r="GY110" s="608">
        <v>1</v>
      </c>
      <c r="GZ110" s="95"/>
      <c r="HB110" s="441"/>
      <c r="HC110" s="441"/>
      <c r="HD110" s="441"/>
      <c r="HE110" s="441"/>
      <c r="HF110" s="442" t="s">
        <v>1080</v>
      </c>
      <c r="HG110" s="609"/>
      <c r="HH110" s="609"/>
      <c r="HI110" s="609"/>
      <c r="HJ110" s="609"/>
      <c r="HK110" s="609"/>
      <c r="HL110" s="609"/>
      <c r="HM110" s="609"/>
      <c r="HN110" s="609"/>
      <c r="HO110" s="609"/>
      <c r="HP110" s="609"/>
      <c r="HQ110" s="609"/>
      <c r="HR110" s="609"/>
      <c r="HS110" s="610">
        <v>1</v>
      </c>
      <c r="HT110" s="610">
        <v>0</v>
      </c>
      <c r="HU110" s="610">
        <v>4</v>
      </c>
      <c r="HV110" s="611"/>
      <c r="HW110" s="612">
        <v>2</v>
      </c>
      <c r="HX110" s="612">
        <v>7</v>
      </c>
      <c r="HY110" s="560"/>
      <c r="HZ110" s="36"/>
      <c r="IA110" s="36"/>
      <c r="IB110" s="36"/>
      <c r="IC110" s="36"/>
      <c r="ID110" s="36"/>
      <c r="IE110" s="36"/>
      <c r="IF110" s="36"/>
      <c r="IG110" s="36"/>
      <c r="IH110" s="36"/>
      <c r="II110" s="36"/>
      <c r="IJ110" s="36"/>
      <c r="IK110" s="36"/>
      <c r="IL110" s="36"/>
      <c r="IM110" s="36"/>
      <c r="IN110" s="36"/>
      <c r="IO110" s="36"/>
      <c r="IP110" s="36"/>
      <c r="IQ110" s="36"/>
      <c r="IR110" s="36"/>
      <c r="IS110" s="36"/>
      <c r="IT110" s="36"/>
      <c r="IU110" s="36"/>
      <c r="IV110" s="95"/>
      <c r="IW110" s="95" t="s">
        <v>103</v>
      </c>
      <c r="IX110" s="36" t="s">
        <v>145</v>
      </c>
      <c r="IY110" s="36" t="s">
        <v>1072</v>
      </c>
      <c r="IZ110" s="95"/>
      <c r="JA110" s="95"/>
      <c r="JB110" s="95">
        <v>1</v>
      </c>
      <c r="JC110" s="95">
        <v>1</v>
      </c>
      <c r="JD110" s="95"/>
      <c r="JE110" s="95">
        <v>1</v>
      </c>
      <c r="JF110" s="95"/>
      <c r="JG110" s="95"/>
      <c r="JH110" s="95"/>
      <c r="JI110" s="95"/>
      <c r="JJ110" s="95">
        <v>1</v>
      </c>
      <c r="JK110" s="95"/>
      <c r="JL110" s="95"/>
      <c r="JM110" s="95"/>
      <c r="JN110" s="95">
        <v>0</v>
      </c>
      <c r="JO110" s="95">
        <v>0</v>
      </c>
      <c r="JP110" s="95">
        <v>4</v>
      </c>
      <c r="JQ110" s="36"/>
      <c r="JR110" s="36"/>
      <c r="JS110" s="36"/>
      <c r="JT110" s="36"/>
      <c r="JU110" s="36"/>
      <c r="JV110" s="36"/>
      <c r="JW110" s="36"/>
      <c r="JX110" s="36"/>
      <c r="JY110" s="36"/>
      <c r="JZ110" s="36"/>
      <c r="KA110" s="36"/>
      <c r="KB110" s="36"/>
      <c r="KC110" s="36"/>
      <c r="KD110" s="36"/>
      <c r="KE110" s="36"/>
      <c r="KF110" s="36"/>
      <c r="KG110" s="36"/>
      <c r="KH110" s="36"/>
      <c r="KI110" s="36"/>
      <c r="KJ110" s="36"/>
      <c r="KK110" s="36"/>
      <c r="KL110" s="36"/>
      <c r="KM110" s="36"/>
      <c r="KN110" s="36"/>
      <c r="KO110" s="36"/>
    </row>
    <row r="111" spans="1:301">
      <c r="A111" s="5737">
        <v>2</v>
      </c>
      <c r="B111" s="5737">
        <v>2</v>
      </c>
      <c r="C111" s="5736" t="s">
        <v>2058</v>
      </c>
      <c r="D111" s="5739" t="s">
        <v>2707</v>
      </c>
      <c r="E111" s="5737">
        <v>1</v>
      </c>
      <c r="F111" s="5737">
        <v>13</v>
      </c>
      <c r="I111" s="4726"/>
      <c r="J111" s="4726"/>
      <c r="K111" s="4725"/>
      <c r="L111" s="4725"/>
      <c r="M111" s="4975">
        <f>SUM(M107:M110)</f>
        <v>7</v>
      </c>
      <c r="N111" s="4726"/>
      <c r="O111" s="4510">
        <v>0</v>
      </c>
      <c r="Q111" s="4458">
        <v>2</v>
      </c>
      <c r="R111" s="4458">
        <v>3</v>
      </c>
      <c r="S111" s="4459" t="s">
        <v>129</v>
      </c>
      <c r="T111" s="4461" t="s">
        <v>2732</v>
      </c>
      <c r="U111" s="4458">
        <v>11</v>
      </c>
      <c r="V111" s="4479">
        <v>2</v>
      </c>
      <c r="W111" s="4510"/>
      <c r="X111" s="4467"/>
      <c r="Y111" s="4467"/>
      <c r="Z111" s="36"/>
      <c r="AA111" s="36"/>
      <c r="AB111" s="36" t="s">
        <v>15</v>
      </c>
      <c r="AC111" s="36" t="s">
        <v>1072</v>
      </c>
      <c r="AD111" s="615">
        <v>0</v>
      </c>
      <c r="AE111" s="615">
        <v>1</v>
      </c>
      <c r="AF111" s="615">
        <v>0</v>
      </c>
      <c r="AG111" s="615">
        <v>0</v>
      </c>
      <c r="AH111" s="615">
        <v>0</v>
      </c>
      <c r="AI111" s="615">
        <v>1</v>
      </c>
      <c r="AJ111" s="615"/>
      <c r="AK111" s="615"/>
      <c r="AL111" s="615">
        <v>0</v>
      </c>
      <c r="AM111" s="615">
        <v>0</v>
      </c>
      <c r="AN111" s="615">
        <v>10</v>
      </c>
      <c r="AO111" s="615">
        <v>1</v>
      </c>
      <c r="AP111" s="615">
        <v>0</v>
      </c>
      <c r="AQ111" s="36">
        <v>0</v>
      </c>
      <c r="AR111" s="36">
        <v>13</v>
      </c>
      <c r="AS111" s="36"/>
      <c r="AU111" s="36"/>
      <c r="AV111" s="36"/>
      <c r="AW111" s="393"/>
      <c r="AX111" s="36" t="s">
        <v>15</v>
      </c>
      <c r="AY111" s="1682"/>
      <c r="AZ111" s="1682">
        <v>1</v>
      </c>
      <c r="BA111" s="1682"/>
      <c r="BB111" s="1682"/>
      <c r="BC111" s="1682"/>
      <c r="BD111" s="1682">
        <v>1</v>
      </c>
      <c r="BE111" s="1682">
        <v>1</v>
      </c>
      <c r="BF111" s="1682"/>
      <c r="BG111" s="1682">
        <v>10</v>
      </c>
      <c r="BH111" s="1682">
        <v>1</v>
      </c>
      <c r="BI111" s="1682">
        <v>3</v>
      </c>
      <c r="BJ111" s="1682">
        <v>2</v>
      </c>
      <c r="BK111" s="1682">
        <v>22</v>
      </c>
      <c r="BL111" s="1682">
        <v>3</v>
      </c>
      <c r="BM111" s="4455">
        <v>6</v>
      </c>
      <c r="BN111" s="4455"/>
      <c r="BO111" s="4455">
        <v>50</v>
      </c>
      <c r="BP111" s="560">
        <f>+(BO106+BO109+BO110)/(BO111)</f>
        <v>0.62</v>
      </c>
      <c r="BT111" s="1520"/>
      <c r="BU111" s="1520" t="s">
        <v>483</v>
      </c>
      <c r="BV111" s="3872">
        <v>0</v>
      </c>
      <c r="BW111" s="3872">
        <v>1</v>
      </c>
      <c r="BX111" s="3872"/>
      <c r="BY111" s="3872"/>
      <c r="BZ111" s="3872"/>
      <c r="CA111" s="3872">
        <v>1</v>
      </c>
      <c r="CB111" s="3872">
        <v>1</v>
      </c>
      <c r="CC111" s="3872"/>
      <c r="CD111" s="3872">
        <v>10</v>
      </c>
      <c r="CE111" s="3872">
        <v>1</v>
      </c>
      <c r="CF111" s="3872">
        <v>3</v>
      </c>
      <c r="CG111" s="3872">
        <v>2</v>
      </c>
      <c r="CH111" s="3872">
        <v>24</v>
      </c>
      <c r="CI111" s="3872">
        <v>1</v>
      </c>
      <c r="CJ111" s="3806">
        <v>6</v>
      </c>
      <c r="CK111" s="3806">
        <v>50</v>
      </c>
      <c r="CL111" s="3807">
        <f>+(CK106+CK109+CK110)/CK111</f>
        <v>0.36</v>
      </c>
      <c r="CN111" s="36"/>
      <c r="CO111" s="36"/>
      <c r="CP111" s="36"/>
      <c r="CQ111" s="393" t="s">
        <v>15</v>
      </c>
      <c r="CR111" s="2049"/>
      <c r="CS111" s="2049">
        <v>1</v>
      </c>
      <c r="CT111" s="2049"/>
      <c r="CU111" s="2049">
        <v>1</v>
      </c>
      <c r="CV111" s="2049"/>
      <c r="CW111" s="2049"/>
      <c r="CX111" s="2049"/>
      <c r="CY111" s="2049"/>
      <c r="CZ111" s="2049"/>
      <c r="DA111" s="2049"/>
      <c r="DB111" s="2049"/>
      <c r="DC111" s="2049"/>
      <c r="DD111" s="2049">
        <v>7</v>
      </c>
      <c r="DE111" s="2049">
        <v>5</v>
      </c>
      <c r="DF111" s="2049">
        <v>1</v>
      </c>
      <c r="DG111" s="393"/>
      <c r="DH111" s="393"/>
      <c r="DI111" s="393">
        <v>15</v>
      </c>
      <c r="DJ111" s="560">
        <f>+(DI110+DI107)/DI111</f>
        <v>0.8</v>
      </c>
      <c r="DK111" s="1665"/>
      <c r="DL111" s="36"/>
      <c r="DM111" s="36"/>
      <c r="DN111" s="36"/>
      <c r="DO111" s="36" t="s">
        <v>1163</v>
      </c>
      <c r="DP111" s="1681">
        <v>0</v>
      </c>
      <c r="DQ111" s="1681">
        <v>0</v>
      </c>
      <c r="DR111" s="1681">
        <v>0</v>
      </c>
      <c r="DS111" s="1681"/>
      <c r="DT111" s="1681"/>
      <c r="DU111" s="1681"/>
      <c r="DV111" s="1681">
        <v>0</v>
      </c>
      <c r="DW111" s="1681">
        <v>0</v>
      </c>
      <c r="DX111" s="1681">
        <v>0</v>
      </c>
      <c r="DY111" s="1681">
        <v>1</v>
      </c>
      <c r="DZ111" s="1681"/>
      <c r="EA111" s="1681">
        <v>1</v>
      </c>
      <c r="EB111" s="1681">
        <v>1</v>
      </c>
      <c r="EC111" s="1681">
        <v>7</v>
      </c>
      <c r="ED111" s="1681">
        <v>1</v>
      </c>
      <c r="EE111" s="95">
        <v>0</v>
      </c>
      <c r="EF111" s="95">
        <v>0</v>
      </c>
      <c r="EG111" s="95">
        <v>11</v>
      </c>
      <c r="EH111" s="36"/>
      <c r="EL111" s="36"/>
      <c r="EM111" s="36" t="s">
        <v>1080</v>
      </c>
      <c r="EN111" s="1490">
        <v>0</v>
      </c>
      <c r="EO111" s="1490"/>
      <c r="EP111" s="1490">
        <v>0</v>
      </c>
      <c r="EQ111" s="1490"/>
      <c r="ER111" s="1490"/>
      <c r="ES111" s="1490"/>
      <c r="ET111" s="1490"/>
      <c r="EU111" s="1490">
        <v>0</v>
      </c>
      <c r="EV111" s="1490">
        <v>0</v>
      </c>
      <c r="EW111" s="1490"/>
      <c r="EX111" s="1490"/>
      <c r="EY111" s="1490"/>
      <c r="EZ111" s="1490">
        <v>0</v>
      </c>
      <c r="FA111" s="1490">
        <v>0</v>
      </c>
      <c r="FB111" s="1490">
        <v>10</v>
      </c>
      <c r="FC111" s="36"/>
      <c r="FD111" s="36">
        <v>2</v>
      </c>
      <c r="FE111" s="36">
        <v>12</v>
      </c>
      <c r="FF111" s="36"/>
      <c r="FH111" s="1225"/>
      <c r="FI111" s="1225"/>
      <c r="FJ111" s="1225"/>
      <c r="FK111" s="1222" t="s">
        <v>15</v>
      </c>
      <c r="FL111" s="1231"/>
      <c r="FM111" s="1231"/>
      <c r="FN111" s="1231"/>
      <c r="FO111" s="1231"/>
      <c r="FP111" s="1231"/>
      <c r="FQ111" s="1231"/>
      <c r="FR111" s="1231"/>
      <c r="FS111" s="1231"/>
      <c r="FT111" s="1231"/>
      <c r="FU111" s="1232">
        <v>1</v>
      </c>
      <c r="FV111" s="1232">
        <v>1</v>
      </c>
      <c r="FW111" s="1232">
        <v>1</v>
      </c>
      <c r="FX111" s="1232">
        <v>6</v>
      </c>
      <c r="FY111" s="1233"/>
      <c r="FZ111" s="1234">
        <v>4</v>
      </c>
      <c r="GA111" s="1234">
        <v>13</v>
      </c>
      <c r="GB111" s="1178">
        <f>+GA109/GA111</f>
        <v>7.6923076923076927E-2</v>
      </c>
      <c r="GD111" s="603"/>
      <c r="GE111" s="603"/>
      <c r="GF111" s="603"/>
      <c r="GG111" s="604" t="s">
        <v>1076</v>
      </c>
      <c r="GH111" s="605"/>
      <c r="GI111" s="606">
        <v>0</v>
      </c>
      <c r="GJ111" s="605"/>
      <c r="GK111" s="605"/>
      <c r="GL111" s="605"/>
      <c r="GM111" s="605"/>
      <c r="GN111" s="605"/>
      <c r="GO111" s="605"/>
      <c r="GP111" s="605"/>
      <c r="GQ111" s="605"/>
      <c r="GR111" s="605"/>
      <c r="GS111" s="605"/>
      <c r="GT111" s="606">
        <v>0</v>
      </c>
      <c r="GU111" s="606">
        <v>2</v>
      </c>
      <c r="GV111" s="606">
        <v>0</v>
      </c>
      <c r="GW111" s="607"/>
      <c r="GX111" s="608">
        <v>0</v>
      </c>
      <c r="GY111" s="608">
        <v>2</v>
      </c>
      <c r="GZ111" s="95"/>
      <c r="HB111" s="441"/>
      <c r="HC111" s="441"/>
      <c r="HD111" s="441"/>
      <c r="HE111" s="441"/>
      <c r="HF111" s="442" t="s">
        <v>1163</v>
      </c>
      <c r="HG111" s="609"/>
      <c r="HH111" s="609"/>
      <c r="HI111" s="609"/>
      <c r="HJ111" s="609"/>
      <c r="HK111" s="609"/>
      <c r="HL111" s="609"/>
      <c r="HM111" s="609"/>
      <c r="HN111" s="609"/>
      <c r="HO111" s="609"/>
      <c r="HP111" s="609"/>
      <c r="HQ111" s="609"/>
      <c r="HR111" s="609"/>
      <c r="HS111" s="610">
        <v>1</v>
      </c>
      <c r="HT111" s="610">
        <v>0</v>
      </c>
      <c r="HU111" s="610">
        <v>0</v>
      </c>
      <c r="HV111" s="611"/>
      <c r="HW111" s="612">
        <v>0</v>
      </c>
      <c r="HX111" s="612">
        <v>1</v>
      </c>
      <c r="HY111" s="560"/>
      <c r="HZ111" s="36"/>
      <c r="IA111" s="36"/>
      <c r="IB111" s="36"/>
      <c r="IC111" s="36"/>
      <c r="ID111" s="36"/>
      <c r="IE111" s="36"/>
      <c r="IF111" s="36"/>
      <c r="IG111" s="36"/>
      <c r="IH111" s="36"/>
      <c r="II111" s="36"/>
      <c r="IJ111" s="36"/>
      <c r="IK111" s="36"/>
      <c r="IL111" s="36"/>
      <c r="IM111" s="36"/>
      <c r="IN111" s="36"/>
      <c r="IO111" s="36"/>
      <c r="IP111" s="36"/>
      <c r="IQ111" s="36"/>
      <c r="IR111" s="36"/>
      <c r="IS111" s="36"/>
      <c r="IT111" s="36"/>
      <c r="IU111" s="36"/>
      <c r="IV111" s="95"/>
      <c r="IW111" s="95"/>
      <c r="IX111" s="36"/>
      <c r="IY111" s="36" t="s">
        <v>1080</v>
      </c>
      <c r="IZ111" s="95"/>
      <c r="JA111" s="95"/>
      <c r="JB111" s="95">
        <v>0</v>
      </c>
      <c r="JC111" s="95">
        <v>0</v>
      </c>
      <c r="JD111" s="95"/>
      <c r="JE111" s="95">
        <v>0</v>
      </c>
      <c r="JF111" s="95"/>
      <c r="JG111" s="95"/>
      <c r="JH111" s="95"/>
      <c r="JI111" s="95"/>
      <c r="JJ111" s="95">
        <v>0</v>
      </c>
      <c r="JK111" s="95"/>
      <c r="JL111" s="95"/>
      <c r="JM111" s="95"/>
      <c r="JN111" s="95">
        <v>1</v>
      </c>
      <c r="JO111" s="95">
        <v>1</v>
      </c>
      <c r="JP111" s="95">
        <v>2</v>
      </c>
      <c r="JQ111" s="36"/>
      <c r="JR111" s="36"/>
      <c r="JS111" s="36"/>
      <c r="JT111" s="36"/>
      <c r="JU111" s="36"/>
      <c r="JV111" s="36"/>
      <c r="JW111" s="36"/>
      <c r="JX111" s="36"/>
      <c r="JY111" s="36"/>
      <c r="JZ111" s="36"/>
      <c r="KA111" s="36"/>
      <c r="KB111" s="36"/>
      <c r="KC111" s="36"/>
      <c r="KD111" s="36"/>
      <c r="KE111" s="36"/>
      <c r="KF111" s="36"/>
      <c r="KG111" s="36"/>
      <c r="KH111" s="36"/>
      <c r="KI111" s="36"/>
      <c r="KJ111" s="36"/>
      <c r="KK111" s="36"/>
      <c r="KL111" s="36"/>
      <c r="KM111" s="36"/>
      <c r="KN111" s="36"/>
      <c r="KO111" s="36"/>
    </row>
    <row r="112" spans="1:301" ht="15" thickBot="1">
      <c r="A112" s="5737">
        <v>2</v>
      </c>
      <c r="B112" s="5737">
        <v>2</v>
      </c>
      <c r="C112" s="5736" t="s">
        <v>2058</v>
      </c>
      <c r="D112" s="5736" t="s">
        <v>2709</v>
      </c>
      <c r="E112" s="5737">
        <v>1</v>
      </c>
      <c r="F112" s="5737">
        <v>8</v>
      </c>
      <c r="I112" s="4726">
        <v>2</v>
      </c>
      <c r="J112" s="4726">
        <v>2</v>
      </c>
      <c r="K112" s="4725" t="s">
        <v>2340</v>
      </c>
      <c r="L112" s="4963" t="s">
        <v>1076</v>
      </c>
      <c r="M112" s="4964">
        <v>1</v>
      </c>
      <c r="N112" s="4726">
        <v>12</v>
      </c>
      <c r="Q112" s="4458"/>
      <c r="R112" s="4458"/>
      <c r="S112" s="4465" t="s">
        <v>15</v>
      </c>
      <c r="T112" s="4461"/>
      <c r="U112" s="4458"/>
      <c r="V112" s="4480">
        <v>8</v>
      </c>
      <c r="W112" s="4476">
        <f>+(V107+V108+V110 +V111)/(V112)</f>
        <v>0.75</v>
      </c>
      <c r="X112" s="4467">
        <v>7</v>
      </c>
      <c r="Y112" s="4467"/>
      <c r="Z112" s="36"/>
      <c r="AA112" s="36"/>
      <c r="AB112" s="36"/>
      <c r="AC112" s="36" t="s">
        <v>1074</v>
      </c>
      <c r="AD112" s="615">
        <v>0</v>
      </c>
      <c r="AE112" s="615">
        <v>1</v>
      </c>
      <c r="AF112" s="615">
        <v>0</v>
      </c>
      <c r="AG112" s="615">
        <v>1</v>
      </c>
      <c r="AH112" s="615">
        <v>1</v>
      </c>
      <c r="AI112" s="615">
        <v>0</v>
      </c>
      <c r="AJ112" s="615"/>
      <c r="AK112" s="615"/>
      <c r="AL112" s="615">
        <v>0</v>
      </c>
      <c r="AM112" s="615">
        <v>0</v>
      </c>
      <c r="AN112" s="615">
        <v>0</v>
      </c>
      <c r="AO112" s="615">
        <v>0</v>
      </c>
      <c r="AP112" s="615">
        <v>0</v>
      </c>
      <c r="AQ112" s="36">
        <v>0</v>
      </c>
      <c r="AR112" s="36">
        <v>3</v>
      </c>
      <c r="AS112" s="36"/>
      <c r="AU112" s="36"/>
      <c r="AV112" s="36" t="s">
        <v>41</v>
      </c>
      <c r="AW112" s="36" t="s">
        <v>128</v>
      </c>
      <c r="AX112" s="36" t="s">
        <v>1071</v>
      </c>
      <c r="AY112" s="1681"/>
      <c r="AZ112" s="1681"/>
      <c r="BA112" s="1681"/>
      <c r="BB112" s="1681"/>
      <c r="BC112" s="1681"/>
      <c r="BD112" s="1681"/>
      <c r="BE112" s="1681"/>
      <c r="BF112" s="1681"/>
      <c r="BG112" s="1681"/>
      <c r="BH112" s="1681">
        <v>0</v>
      </c>
      <c r="BI112" s="1681">
        <v>0</v>
      </c>
      <c r="BJ112" s="1681">
        <v>0</v>
      </c>
      <c r="BK112" s="1681">
        <v>0</v>
      </c>
      <c r="BL112" s="1681">
        <v>1</v>
      </c>
      <c r="BM112" s="95">
        <v>0</v>
      </c>
      <c r="BN112" s="95">
        <v>0</v>
      </c>
      <c r="BO112" s="95">
        <v>1</v>
      </c>
      <c r="BP112" s="95"/>
      <c r="BS112" s="32" t="s">
        <v>41</v>
      </c>
      <c r="BT112" s="32" t="s">
        <v>128</v>
      </c>
      <c r="BU112" s="32" t="s">
        <v>1071</v>
      </c>
      <c r="BV112" s="3871">
        <v>0</v>
      </c>
      <c r="BW112" s="3871"/>
      <c r="BX112" s="3871"/>
      <c r="BY112" s="3871"/>
      <c r="BZ112" s="3871"/>
      <c r="CA112" s="3871"/>
      <c r="CB112" s="3871"/>
      <c r="CC112" s="3871"/>
      <c r="CD112" s="3871"/>
      <c r="CE112" s="3871">
        <v>0</v>
      </c>
      <c r="CF112" s="3871">
        <v>0</v>
      </c>
      <c r="CG112" s="3871">
        <v>0</v>
      </c>
      <c r="CH112" s="3871">
        <v>6</v>
      </c>
      <c r="CI112" s="3871"/>
      <c r="CJ112" s="1518">
        <v>1</v>
      </c>
      <c r="CK112" s="1518">
        <v>7</v>
      </c>
      <c r="CN112" s="36"/>
      <c r="CO112" s="36"/>
      <c r="CP112" s="36" t="s">
        <v>125</v>
      </c>
      <c r="CQ112" s="36" t="s">
        <v>1072</v>
      </c>
      <c r="CR112" s="615"/>
      <c r="CS112" s="615">
        <v>0</v>
      </c>
      <c r="CT112" s="615"/>
      <c r="CU112" s="615"/>
      <c r="CV112" s="615"/>
      <c r="CW112" s="615"/>
      <c r="CX112" s="615"/>
      <c r="CY112" s="615"/>
      <c r="CZ112" s="615"/>
      <c r="DA112" s="615">
        <v>1</v>
      </c>
      <c r="DB112" s="615"/>
      <c r="DC112" s="615"/>
      <c r="DD112" s="615">
        <v>0</v>
      </c>
      <c r="DE112" s="615">
        <v>3</v>
      </c>
      <c r="DF112" s="615">
        <v>0</v>
      </c>
      <c r="DG112" s="36"/>
      <c r="DH112" s="36"/>
      <c r="DI112" s="36">
        <v>4</v>
      </c>
      <c r="DJ112" s="36"/>
      <c r="DL112" s="36"/>
      <c r="DM112" s="36"/>
      <c r="DN112" s="36"/>
      <c r="DO112" s="36" t="s">
        <v>1735</v>
      </c>
      <c r="DP112" s="1681">
        <v>1</v>
      </c>
      <c r="DQ112" s="1681">
        <v>0</v>
      </c>
      <c r="DR112" s="1681">
        <v>0</v>
      </c>
      <c r="DS112" s="1681"/>
      <c r="DT112" s="1681"/>
      <c r="DU112" s="1681"/>
      <c r="DV112" s="1681">
        <v>0</v>
      </c>
      <c r="DW112" s="1681">
        <v>0</v>
      </c>
      <c r="DX112" s="1681">
        <v>0</v>
      </c>
      <c r="DY112" s="1681">
        <v>0</v>
      </c>
      <c r="DZ112" s="1681"/>
      <c r="EA112" s="1681">
        <v>0</v>
      </c>
      <c r="EB112" s="1681">
        <v>0</v>
      </c>
      <c r="EC112" s="1681">
        <v>0</v>
      </c>
      <c r="ED112" s="1681">
        <v>0</v>
      </c>
      <c r="EE112" s="95">
        <v>0</v>
      </c>
      <c r="EF112" s="95">
        <v>0</v>
      </c>
      <c r="EG112" s="95">
        <v>1</v>
      </c>
      <c r="EH112" s="36"/>
      <c r="EL112" s="36"/>
      <c r="EM112" s="36" t="s">
        <v>1163</v>
      </c>
      <c r="EN112" s="1490">
        <v>0</v>
      </c>
      <c r="EO112" s="1490"/>
      <c r="EP112" s="1490">
        <v>0</v>
      </c>
      <c r="EQ112" s="1490"/>
      <c r="ER112" s="1490"/>
      <c r="ES112" s="1490"/>
      <c r="ET112" s="1490"/>
      <c r="EU112" s="1490">
        <v>0</v>
      </c>
      <c r="EV112" s="1490">
        <v>0</v>
      </c>
      <c r="EW112" s="1490"/>
      <c r="EX112" s="1490"/>
      <c r="EY112" s="1490"/>
      <c r="EZ112" s="1490">
        <v>1</v>
      </c>
      <c r="FA112" s="1490">
        <v>1</v>
      </c>
      <c r="FB112" s="1490">
        <v>1</v>
      </c>
      <c r="FC112" s="36"/>
      <c r="FD112" s="36">
        <v>0</v>
      </c>
      <c r="FE112" s="36">
        <v>3</v>
      </c>
      <c r="FF112" s="36"/>
      <c r="FH112" s="1225"/>
      <c r="FI112" s="1225"/>
      <c r="FJ112" s="1225" t="s">
        <v>485</v>
      </c>
      <c r="FK112" s="1226" t="s">
        <v>1071</v>
      </c>
      <c r="FL112" s="1227"/>
      <c r="FM112" s="1228">
        <v>0</v>
      </c>
      <c r="FN112" s="1228">
        <v>0</v>
      </c>
      <c r="FO112" s="1227"/>
      <c r="FP112" s="1227"/>
      <c r="FQ112" s="1227"/>
      <c r="FR112" s="1227"/>
      <c r="FS112" s="1227"/>
      <c r="FT112" s="1227"/>
      <c r="FU112" s="1228">
        <v>0</v>
      </c>
      <c r="FV112" s="1228">
        <v>0</v>
      </c>
      <c r="FW112" s="1228">
        <v>0</v>
      </c>
      <c r="FX112" s="1228">
        <v>6</v>
      </c>
      <c r="FY112" s="1230">
        <v>1</v>
      </c>
      <c r="FZ112" s="1230">
        <v>2</v>
      </c>
      <c r="GA112" s="1230">
        <v>9</v>
      </c>
      <c r="GB112" s="36"/>
      <c r="GD112" s="603"/>
      <c r="GE112" s="603"/>
      <c r="GF112" s="603"/>
      <c r="GG112" s="604" t="s">
        <v>1080</v>
      </c>
      <c r="GH112" s="605"/>
      <c r="GI112" s="606">
        <v>0</v>
      </c>
      <c r="GJ112" s="605"/>
      <c r="GK112" s="605"/>
      <c r="GL112" s="605"/>
      <c r="GM112" s="605"/>
      <c r="GN112" s="605"/>
      <c r="GO112" s="605"/>
      <c r="GP112" s="605"/>
      <c r="GQ112" s="605"/>
      <c r="GR112" s="605"/>
      <c r="GS112" s="605"/>
      <c r="GT112" s="606">
        <v>0</v>
      </c>
      <c r="GU112" s="606">
        <v>0</v>
      </c>
      <c r="GV112" s="606">
        <v>1</v>
      </c>
      <c r="GW112" s="607"/>
      <c r="GX112" s="608">
        <v>1</v>
      </c>
      <c r="GY112" s="608">
        <v>2</v>
      </c>
      <c r="GZ112" s="95"/>
      <c r="HB112" s="441"/>
      <c r="HC112" s="441"/>
      <c r="HD112" s="441"/>
      <c r="HE112" s="36"/>
      <c r="HF112" s="462" t="s">
        <v>15</v>
      </c>
      <c r="HG112" s="618"/>
      <c r="HH112" s="618"/>
      <c r="HI112" s="618"/>
      <c r="HJ112" s="618"/>
      <c r="HK112" s="618"/>
      <c r="HL112" s="618"/>
      <c r="HM112" s="618"/>
      <c r="HN112" s="618"/>
      <c r="HO112" s="618"/>
      <c r="HP112" s="618"/>
      <c r="HQ112" s="618"/>
      <c r="HR112" s="618"/>
      <c r="HS112" s="619">
        <v>5</v>
      </c>
      <c r="HT112" s="619">
        <v>3</v>
      </c>
      <c r="HU112" s="619">
        <v>4</v>
      </c>
      <c r="HV112" s="620"/>
      <c r="HW112" s="621">
        <v>2</v>
      </c>
      <c r="HX112" s="621">
        <v>14</v>
      </c>
      <c r="HY112" s="560">
        <f>+(HX111+HX109)/HX112</f>
        <v>0.42857142857142855</v>
      </c>
      <c r="HZ112" s="36"/>
      <c r="IA112" s="36"/>
      <c r="IB112" s="36"/>
      <c r="IC112" s="36"/>
      <c r="ID112" s="36"/>
      <c r="IE112" s="36"/>
      <c r="IF112" s="36"/>
      <c r="IG112" s="36"/>
      <c r="IH112" s="36"/>
      <c r="II112" s="36"/>
      <c r="IJ112" s="36"/>
      <c r="IK112" s="36"/>
      <c r="IL112" s="36"/>
      <c r="IM112" s="36"/>
      <c r="IN112" s="36"/>
      <c r="IO112" s="36"/>
      <c r="IP112" s="36"/>
      <c r="IQ112" s="36"/>
      <c r="IR112" s="36"/>
      <c r="IS112" s="36"/>
      <c r="IT112" s="36"/>
      <c r="IU112" s="36"/>
      <c r="IV112" s="396"/>
      <c r="IW112" s="396"/>
      <c r="IX112" s="401"/>
      <c r="IY112" s="397" t="s">
        <v>15</v>
      </c>
      <c r="IZ112" s="398"/>
      <c r="JA112" s="398"/>
      <c r="JB112" s="398">
        <v>1</v>
      </c>
      <c r="JC112" s="398">
        <v>1</v>
      </c>
      <c r="JD112" s="398"/>
      <c r="JE112" s="398">
        <v>1</v>
      </c>
      <c r="JF112" s="398"/>
      <c r="JG112" s="398"/>
      <c r="JH112" s="398"/>
      <c r="JI112" s="398"/>
      <c r="JJ112" s="398">
        <v>1</v>
      </c>
      <c r="JK112" s="398"/>
      <c r="JL112" s="398"/>
      <c r="JM112" s="398"/>
      <c r="JN112" s="398">
        <v>1</v>
      </c>
      <c r="JO112" s="398">
        <v>1</v>
      </c>
      <c r="JP112" s="398">
        <v>6</v>
      </c>
      <c r="JQ112" s="640">
        <v>0</v>
      </c>
      <c r="JR112" s="36"/>
      <c r="JS112" s="36"/>
      <c r="JT112" s="36"/>
      <c r="JU112" s="36"/>
      <c r="JV112" s="36"/>
      <c r="JW112" s="36"/>
      <c r="JX112" s="36"/>
      <c r="JY112" s="36"/>
      <c r="JZ112" s="36"/>
      <c r="KA112" s="36"/>
      <c r="KB112" s="36"/>
      <c r="KC112" s="36"/>
      <c r="KD112" s="36"/>
      <c r="KE112" s="36"/>
      <c r="KF112" s="36"/>
      <c r="KG112" s="36"/>
      <c r="KH112" s="36"/>
      <c r="KI112" s="36"/>
      <c r="KJ112" s="36"/>
      <c r="KK112" s="36"/>
      <c r="KL112" s="36"/>
      <c r="KM112" s="36"/>
      <c r="KN112" s="36"/>
      <c r="KO112" s="36"/>
    </row>
    <row r="113" spans="1:301">
      <c r="A113" s="5737">
        <v>2</v>
      </c>
      <c r="B113" s="5737">
        <v>2</v>
      </c>
      <c r="C113" s="5736" t="s">
        <v>2058</v>
      </c>
      <c r="D113" s="5736" t="s">
        <v>2709</v>
      </c>
      <c r="E113" s="5737">
        <v>3</v>
      </c>
      <c r="F113" s="5737">
        <v>14</v>
      </c>
      <c r="I113" s="4726">
        <v>2</v>
      </c>
      <c r="J113" s="4726">
        <v>2</v>
      </c>
      <c r="K113" s="4725" t="s">
        <v>2340</v>
      </c>
      <c r="L113" s="4725" t="s">
        <v>2709</v>
      </c>
      <c r="M113" s="4726">
        <v>2</v>
      </c>
      <c r="N113" s="4726">
        <v>12</v>
      </c>
      <c r="Q113" s="4458">
        <v>2</v>
      </c>
      <c r="R113" s="4458">
        <v>3</v>
      </c>
      <c r="S113" s="4459" t="s">
        <v>381</v>
      </c>
      <c r="T113" s="4459" t="s">
        <v>2709</v>
      </c>
      <c r="U113" s="4458">
        <v>3</v>
      </c>
      <c r="V113" s="4479">
        <v>1</v>
      </c>
      <c r="W113" s="4510"/>
      <c r="X113" s="4467"/>
      <c r="Y113" s="4467"/>
      <c r="Z113" s="36"/>
      <c r="AA113" s="36"/>
      <c r="AB113" s="36"/>
      <c r="AC113" s="36" t="s">
        <v>1076</v>
      </c>
      <c r="AD113" s="615">
        <v>0</v>
      </c>
      <c r="AE113" s="615">
        <v>0</v>
      </c>
      <c r="AF113" s="615">
        <v>0</v>
      </c>
      <c r="AG113" s="615">
        <v>0</v>
      </c>
      <c r="AH113" s="615">
        <v>0</v>
      </c>
      <c r="AI113" s="615">
        <v>0</v>
      </c>
      <c r="AJ113" s="615"/>
      <c r="AK113" s="615"/>
      <c r="AL113" s="615">
        <v>0</v>
      </c>
      <c r="AM113" s="615">
        <v>1</v>
      </c>
      <c r="AN113" s="615">
        <v>2</v>
      </c>
      <c r="AO113" s="615">
        <v>0</v>
      </c>
      <c r="AP113" s="615">
        <v>0</v>
      </c>
      <c r="AQ113" s="36">
        <v>0</v>
      </c>
      <c r="AR113" s="36">
        <v>3</v>
      </c>
      <c r="AS113" s="36"/>
      <c r="AU113" s="36"/>
      <c r="AV113" s="36"/>
      <c r="AW113" s="36"/>
      <c r="AX113" s="36" t="s">
        <v>1072</v>
      </c>
      <c r="AY113" s="1681"/>
      <c r="AZ113" s="1681"/>
      <c r="BA113" s="1681"/>
      <c r="BB113" s="1681"/>
      <c r="BC113" s="1681"/>
      <c r="BD113" s="1681"/>
      <c r="BE113" s="1681"/>
      <c r="BF113" s="1681"/>
      <c r="BG113" s="1681"/>
      <c r="BH113" s="1681">
        <v>1</v>
      </c>
      <c r="BI113" s="1681">
        <v>1</v>
      </c>
      <c r="BJ113" s="1681">
        <v>0</v>
      </c>
      <c r="BK113" s="1681">
        <v>1</v>
      </c>
      <c r="BL113" s="1681">
        <v>0</v>
      </c>
      <c r="BM113" s="95">
        <v>0</v>
      </c>
      <c r="BN113" s="95">
        <v>0</v>
      </c>
      <c r="BO113" s="95">
        <v>3</v>
      </c>
      <c r="BP113" s="95"/>
      <c r="BU113" s="32" t="s">
        <v>1072</v>
      </c>
      <c r="BV113" s="3871">
        <v>0</v>
      </c>
      <c r="BW113" s="3871"/>
      <c r="BX113" s="3871"/>
      <c r="BY113" s="3871"/>
      <c r="BZ113" s="3871"/>
      <c r="CA113" s="3871"/>
      <c r="CB113" s="3871"/>
      <c r="CC113" s="3871"/>
      <c r="CD113" s="3871"/>
      <c r="CE113" s="3871">
        <v>1</v>
      </c>
      <c r="CF113" s="3871">
        <v>1</v>
      </c>
      <c r="CG113" s="3871">
        <v>0</v>
      </c>
      <c r="CH113" s="3871">
        <v>1</v>
      </c>
      <c r="CI113" s="3871"/>
      <c r="CJ113" s="1518">
        <v>0</v>
      </c>
      <c r="CK113" s="1518">
        <v>3</v>
      </c>
      <c r="CN113" s="36"/>
      <c r="CO113" s="36"/>
      <c r="CP113" s="36"/>
      <c r="CQ113" s="36" t="s">
        <v>1074</v>
      </c>
      <c r="CR113" s="615"/>
      <c r="CS113" s="615">
        <v>1</v>
      </c>
      <c r="CT113" s="615"/>
      <c r="CU113" s="615"/>
      <c r="CV113" s="615"/>
      <c r="CW113" s="615"/>
      <c r="CX113" s="615"/>
      <c r="CY113" s="615"/>
      <c r="CZ113" s="615"/>
      <c r="DA113" s="615">
        <v>0</v>
      </c>
      <c r="DB113" s="615"/>
      <c r="DC113" s="615"/>
      <c r="DD113" s="615">
        <v>0</v>
      </c>
      <c r="DE113" s="615">
        <v>0</v>
      </c>
      <c r="DF113" s="615">
        <v>0</v>
      </c>
      <c r="DG113" s="36"/>
      <c r="DH113" s="36"/>
      <c r="DI113" s="36">
        <v>1</v>
      </c>
      <c r="DJ113" s="36"/>
      <c r="DL113" s="36"/>
      <c r="DM113" s="36"/>
      <c r="DN113" s="36"/>
      <c r="DO113" s="393" t="s">
        <v>485</v>
      </c>
      <c r="DP113" s="1682">
        <v>2</v>
      </c>
      <c r="DQ113" s="1682">
        <v>1</v>
      </c>
      <c r="DR113" s="1682">
        <v>1</v>
      </c>
      <c r="DS113" s="1682"/>
      <c r="DT113" s="1682"/>
      <c r="DU113" s="1682"/>
      <c r="DV113" s="1682">
        <v>1</v>
      </c>
      <c r="DW113" s="1682">
        <v>2</v>
      </c>
      <c r="DX113" s="1682">
        <v>1</v>
      </c>
      <c r="DY113" s="1682">
        <v>1</v>
      </c>
      <c r="DZ113" s="1682"/>
      <c r="EA113" s="1682">
        <v>1</v>
      </c>
      <c r="EB113" s="1682">
        <v>5</v>
      </c>
      <c r="EC113" s="1682">
        <v>15</v>
      </c>
      <c r="ED113" s="1682">
        <v>16</v>
      </c>
      <c r="EE113" s="86">
        <v>1</v>
      </c>
      <c r="EF113" s="86">
        <v>2</v>
      </c>
      <c r="EG113" s="86">
        <v>49</v>
      </c>
      <c r="EH113" s="560">
        <f>+(EG109+EG111)/(EG113-EG112)</f>
        <v>0.375</v>
      </c>
      <c r="EL113" s="36"/>
      <c r="EM113" s="36" t="s">
        <v>1735</v>
      </c>
      <c r="EN113" s="1490">
        <v>1</v>
      </c>
      <c r="EO113" s="1490"/>
      <c r="EP113" s="1490">
        <v>0</v>
      </c>
      <c r="EQ113" s="1490"/>
      <c r="ER113" s="1490"/>
      <c r="ES113" s="1490"/>
      <c r="ET113" s="1490"/>
      <c r="EU113" s="1490">
        <v>0</v>
      </c>
      <c r="EV113" s="1490">
        <v>0</v>
      </c>
      <c r="EW113" s="1490"/>
      <c r="EX113" s="1490"/>
      <c r="EY113" s="1490"/>
      <c r="EZ113" s="1490">
        <v>0</v>
      </c>
      <c r="FA113" s="1490">
        <v>0</v>
      </c>
      <c r="FB113" s="1490">
        <v>0</v>
      </c>
      <c r="FC113" s="36"/>
      <c r="FD113" s="36">
        <v>0</v>
      </c>
      <c r="FE113" s="36">
        <v>1</v>
      </c>
      <c r="FF113" s="36"/>
      <c r="FH113" s="1225"/>
      <c r="FI113" s="1225"/>
      <c r="FJ113" s="1225"/>
      <c r="FK113" s="1226" t="s">
        <v>1072</v>
      </c>
      <c r="FL113" s="1227"/>
      <c r="FM113" s="1228">
        <v>2</v>
      </c>
      <c r="FN113" s="1228">
        <v>1</v>
      </c>
      <c r="FO113" s="1227"/>
      <c r="FP113" s="1227"/>
      <c r="FQ113" s="1227"/>
      <c r="FR113" s="1227"/>
      <c r="FS113" s="1227"/>
      <c r="FT113" s="1227"/>
      <c r="FU113" s="1228">
        <v>1</v>
      </c>
      <c r="FV113" s="1228">
        <v>2</v>
      </c>
      <c r="FW113" s="1228">
        <v>1</v>
      </c>
      <c r="FX113" s="1228">
        <v>2</v>
      </c>
      <c r="FY113" s="1230">
        <v>0</v>
      </c>
      <c r="FZ113" s="1230">
        <v>0</v>
      </c>
      <c r="GA113" s="1230">
        <v>9</v>
      </c>
      <c r="GB113" s="36"/>
      <c r="GD113" s="603"/>
      <c r="GE113" s="603"/>
      <c r="GF113" s="603"/>
      <c r="GG113" s="604" t="s">
        <v>1163</v>
      </c>
      <c r="GH113" s="605"/>
      <c r="GI113" s="606">
        <v>0</v>
      </c>
      <c r="GJ113" s="605"/>
      <c r="GK113" s="605"/>
      <c r="GL113" s="605"/>
      <c r="GM113" s="605"/>
      <c r="GN113" s="605"/>
      <c r="GO113" s="605"/>
      <c r="GP113" s="605"/>
      <c r="GQ113" s="605"/>
      <c r="GR113" s="605"/>
      <c r="GS113" s="605"/>
      <c r="GT113" s="606">
        <v>2</v>
      </c>
      <c r="GU113" s="606">
        <v>0</v>
      </c>
      <c r="GV113" s="606">
        <v>1</v>
      </c>
      <c r="GW113" s="607"/>
      <c r="GX113" s="608">
        <v>0</v>
      </c>
      <c r="GY113" s="608">
        <v>3</v>
      </c>
      <c r="GZ113" s="95"/>
      <c r="HB113" s="441"/>
      <c r="HC113" s="441"/>
      <c r="HD113" s="441" t="s">
        <v>320</v>
      </c>
      <c r="HE113" s="441" t="s">
        <v>1070</v>
      </c>
      <c r="HF113" s="442" t="s">
        <v>1072</v>
      </c>
      <c r="HG113" s="609"/>
      <c r="HH113" s="610">
        <v>1</v>
      </c>
      <c r="HI113" s="609"/>
      <c r="HJ113" s="609"/>
      <c r="HK113" s="609"/>
      <c r="HL113" s="609"/>
      <c r="HM113" s="609"/>
      <c r="HN113" s="609"/>
      <c r="HO113" s="609"/>
      <c r="HP113" s="610">
        <v>0</v>
      </c>
      <c r="HQ113" s="610">
        <v>0</v>
      </c>
      <c r="HR113" s="609"/>
      <c r="HS113" s="609"/>
      <c r="HT113" s="610">
        <v>1</v>
      </c>
      <c r="HU113" s="610">
        <v>0</v>
      </c>
      <c r="HV113" s="611"/>
      <c r="HW113" s="611"/>
      <c r="HX113" s="612">
        <v>2</v>
      </c>
      <c r="HY113" s="560"/>
      <c r="HZ113" s="36"/>
      <c r="IA113" s="36"/>
      <c r="IB113" s="36"/>
      <c r="IC113" s="36"/>
      <c r="ID113" s="36"/>
      <c r="IE113" s="36"/>
      <c r="IF113" s="36"/>
      <c r="IG113" s="36"/>
      <c r="IH113" s="36"/>
      <c r="II113" s="36"/>
      <c r="IJ113" s="36"/>
      <c r="IK113" s="36"/>
      <c r="IL113" s="36"/>
      <c r="IM113" s="36"/>
      <c r="IN113" s="36"/>
      <c r="IO113" s="36"/>
      <c r="IP113" s="36"/>
      <c r="IQ113" s="36"/>
      <c r="IR113" s="36"/>
      <c r="IS113" s="36"/>
      <c r="IT113" s="36"/>
      <c r="IU113" s="36"/>
      <c r="IV113" s="95"/>
      <c r="IW113" s="95"/>
      <c r="IX113" s="36"/>
      <c r="IY113" s="36"/>
      <c r="IZ113" s="36"/>
      <c r="JA113" s="36"/>
      <c r="JB113" s="36"/>
      <c r="JC113" s="36"/>
      <c r="JD113" s="36"/>
      <c r="JE113" s="36"/>
      <c r="JF113" s="36"/>
      <c r="JG113" s="36"/>
      <c r="JH113" s="36"/>
      <c r="JI113" s="36"/>
      <c r="JJ113" s="36"/>
      <c r="JK113" s="36"/>
      <c r="JL113" s="36"/>
      <c r="JM113" s="36"/>
      <c r="JN113" s="36"/>
      <c r="JO113" s="36"/>
      <c r="JP113" s="36"/>
      <c r="JQ113" s="36"/>
      <c r="JR113" s="36"/>
      <c r="JS113" s="36"/>
      <c r="JT113" s="36"/>
      <c r="JU113" s="36"/>
      <c r="JV113" s="36"/>
      <c r="JW113" s="36"/>
      <c r="JX113" s="36"/>
      <c r="JY113" s="36"/>
      <c r="JZ113" s="36"/>
      <c r="KA113" s="36"/>
      <c r="KB113" s="36"/>
      <c r="KC113" s="36"/>
      <c r="KD113" s="36"/>
      <c r="KE113" s="36"/>
      <c r="KF113" s="36"/>
      <c r="KG113" s="36"/>
      <c r="KH113" s="36"/>
      <c r="KI113" s="36"/>
      <c r="KJ113" s="36"/>
      <c r="KK113" s="36"/>
      <c r="KL113" s="36"/>
      <c r="KM113" s="36"/>
      <c r="KN113" s="36"/>
      <c r="KO113" s="36"/>
    </row>
    <row r="114" spans="1:301">
      <c r="A114" s="5737"/>
      <c r="B114" s="5737"/>
      <c r="C114" s="5736"/>
      <c r="D114" s="5736"/>
      <c r="E114" s="5742">
        <f>SUM(E110:E113)</f>
        <v>7</v>
      </c>
      <c r="F114" s="5737"/>
      <c r="G114" s="4476">
        <f>+(E111)/(E114)</f>
        <v>0.14285714285714285</v>
      </c>
      <c r="I114" s="4726"/>
      <c r="J114" s="4726"/>
      <c r="K114" s="4725"/>
      <c r="L114" s="4725"/>
      <c r="M114" s="4975">
        <f t="shared" ref="M114" si="0">SUM(M112:M113)</f>
        <v>3</v>
      </c>
      <c r="N114" s="4726"/>
      <c r="O114" s="4476">
        <f>+(M112)/(M114)</f>
        <v>0.33333333333333331</v>
      </c>
      <c r="Q114" s="4458">
        <v>2</v>
      </c>
      <c r="R114" s="4458">
        <v>3</v>
      </c>
      <c r="S114" s="4459" t="s">
        <v>381</v>
      </c>
      <c r="T114" s="4459" t="s">
        <v>2709</v>
      </c>
      <c r="U114" s="4458">
        <v>12</v>
      </c>
      <c r="V114" s="4479">
        <v>1</v>
      </c>
      <c r="W114" s="4510"/>
      <c r="X114" s="4467"/>
      <c r="Y114" s="4467"/>
      <c r="Z114" s="36"/>
      <c r="AA114" s="36"/>
      <c r="AB114" s="36"/>
      <c r="AC114" s="36" t="s">
        <v>1077</v>
      </c>
      <c r="AD114" s="615">
        <v>0</v>
      </c>
      <c r="AE114" s="615">
        <v>0</v>
      </c>
      <c r="AF114" s="615">
        <v>1</v>
      </c>
      <c r="AG114" s="615">
        <v>1</v>
      </c>
      <c r="AH114" s="615">
        <v>1</v>
      </c>
      <c r="AI114" s="615">
        <v>0</v>
      </c>
      <c r="AJ114" s="615"/>
      <c r="AK114" s="615"/>
      <c r="AL114" s="615">
        <v>1</v>
      </c>
      <c r="AM114" s="615">
        <v>0</v>
      </c>
      <c r="AN114" s="615">
        <v>0</v>
      </c>
      <c r="AO114" s="615">
        <v>0</v>
      </c>
      <c r="AP114" s="615">
        <v>0</v>
      </c>
      <c r="AQ114" s="36">
        <v>0</v>
      </c>
      <c r="AR114" s="36">
        <v>4</v>
      </c>
      <c r="AS114" s="36"/>
      <c r="AU114" s="36"/>
      <c r="AV114" s="36"/>
      <c r="AW114" s="36"/>
      <c r="AX114" s="36" t="s">
        <v>1076</v>
      </c>
      <c r="AY114" s="1681"/>
      <c r="AZ114" s="1681"/>
      <c r="BA114" s="1681"/>
      <c r="BB114" s="1681"/>
      <c r="BC114" s="1681"/>
      <c r="BD114" s="1681"/>
      <c r="BE114" s="1681"/>
      <c r="BF114" s="1681"/>
      <c r="BG114" s="1681"/>
      <c r="BH114" s="1681">
        <v>0</v>
      </c>
      <c r="BI114" s="1681">
        <v>0</v>
      </c>
      <c r="BJ114" s="1681">
        <v>1</v>
      </c>
      <c r="BK114" s="1681">
        <v>1</v>
      </c>
      <c r="BL114" s="1681">
        <v>0</v>
      </c>
      <c r="BM114" s="95">
        <v>0</v>
      </c>
      <c r="BN114" s="95">
        <v>0</v>
      </c>
      <c r="BO114" s="95">
        <v>2</v>
      </c>
      <c r="BP114" s="95"/>
      <c r="BU114" s="32" t="s">
        <v>1076</v>
      </c>
      <c r="BV114" s="3871">
        <v>0</v>
      </c>
      <c r="BW114" s="3871"/>
      <c r="BX114" s="3871"/>
      <c r="BY114" s="3871"/>
      <c r="BZ114" s="3871"/>
      <c r="CA114" s="3871"/>
      <c r="CB114" s="3871"/>
      <c r="CC114" s="3871"/>
      <c r="CD114" s="3871"/>
      <c r="CE114" s="3871">
        <v>0</v>
      </c>
      <c r="CF114" s="3871">
        <v>0</v>
      </c>
      <c r="CG114" s="3871">
        <v>1</v>
      </c>
      <c r="CH114" s="3871">
        <v>1</v>
      </c>
      <c r="CI114" s="3871"/>
      <c r="CJ114" s="1518">
        <v>0</v>
      </c>
      <c r="CK114" s="1518">
        <v>2</v>
      </c>
      <c r="CN114" s="36"/>
      <c r="CO114" s="36"/>
      <c r="CP114" s="36"/>
      <c r="CQ114" s="36" t="s">
        <v>1076</v>
      </c>
      <c r="CR114" s="615"/>
      <c r="CS114" s="615">
        <v>0</v>
      </c>
      <c r="CT114" s="615"/>
      <c r="CU114" s="615"/>
      <c r="CV114" s="615"/>
      <c r="CW114" s="615"/>
      <c r="CX114" s="615"/>
      <c r="CY114" s="615"/>
      <c r="CZ114" s="615"/>
      <c r="DA114" s="615">
        <v>0</v>
      </c>
      <c r="DB114" s="615"/>
      <c r="DC114" s="615"/>
      <c r="DD114" s="615">
        <v>0</v>
      </c>
      <c r="DE114" s="615">
        <v>5</v>
      </c>
      <c r="DF114" s="615">
        <v>0</v>
      </c>
      <c r="DG114" s="36"/>
      <c r="DH114" s="36"/>
      <c r="DI114" s="36">
        <v>5</v>
      </c>
      <c r="DJ114" s="36"/>
      <c r="DL114" s="36"/>
      <c r="DM114" s="36"/>
      <c r="DN114" s="36" t="s">
        <v>109</v>
      </c>
      <c r="DO114" s="36" t="s">
        <v>1072</v>
      </c>
      <c r="DP114" s="1681">
        <v>1</v>
      </c>
      <c r="DQ114" s="1681">
        <v>2</v>
      </c>
      <c r="DR114" s="1681">
        <v>1</v>
      </c>
      <c r="DS114" s="1681">
        <v>1</v>
      </c>
      <c r="DT114" s="1681">
        <v>5</v>
      </c>
      <c r="DU114" s="1681"/>
      <c r="DV114" s="1681">
        <v>2</v>
      </c>
      <c r="DW114" s="1681">
        <v>1</v>
      </c>
      <c r="DX114" s="1681">
        <v>1</v>
      </c>
      <c r="DY114" s="1681">
        <v>0</v>
      </c>
      <c r="DZ114" s="1681"/>
      <c r="EA114" s="1681">
        <v>2</v>
      </c>
      <c r="EB114" s="1681">
        <v>9</v>
      </c>
      <c r="EC114" s="1681">
        <v>8</v>
      </c>
      <c r="ED114" s="1681">
        <v>2</v>
      </c>
      <c r="EE114" s="95">
        <v>2</v>
      </c>
      <c r="EF114" s="95">
        <v>0</v>
      </c>
      <c r="EG114" s="95">
        <v>37</v>
      </c>
      <c r="EH114" s="36"/>
      <c r="EL114" s="36"/>
      <c r="EM114" s="393" t="s">
        <v>15</v>
      </c>
      <c r="EN114" s="1491">
        <v>1</v>
      </c>
      <c r="EO114" s="1491"/>
      <c r="EP114" s="1491">
        <v>1</v>
      </c>
      <c r="EQ114" s="1491"/>
      <c r="ER114" s="1491"/>
      <c r="ES114" s="1491"/>
      <c r="ET114" s="1491"/>
      <c r="EU114" s="1491">
        <v>1</v>
      </c>
      <c r="EV114" s="1491">
        <v>1</v>
      </c>
      <c r="EW114" s="1491"/>
      <c r="EX114" s="1491"/>
      <c r="EY114" s="1491"/>
      <c r="EZ114" s="1491">
        <v>2</v>
      </c>
      <c r="FA114" s="1491">
        <v>4</v>
      </c>
      <c r="FB114" s="1491">
        <v>11</v>
      </c>
      <c r="FC114" s="393"/>
      <c r="FD114" s="393">
        <v>3</v>
      </c>
      <c r="FE114" s="393">
        <v>24</v>
      </c>
      <c r="FF114" s="560">
        <f>+(FE110+FE112)/(FE114-FE113)</f>
        <v>0.17391304347826086</v>
      </c>
      <c r="FH114" s="1225"/>
      <c r="FI114" s="1225"/>
      <c r="FJ114" s="1225"/>
      <c r="FK114" s="1226" t="s">
        <v>1076</v>
      </c>
      <c r="FL114" s="1227"/>
      <c r="FM114" s="1228">
        <v>0</v>
      </c>
      <c r="FN114" s="1228">
        <v>0</v>
      </c>
      <c r="FO114" s="1227"/>
      <c r="FP114" s="1227"/>
      <c r="FQ114" s="1227"/>
      <c r="FR114" s="1227"/>
      <c r="FS114" s="1227"/>
      <c r="FT114" s="1227"/>
      <c r="FU114" s="1228">
        <v>0</v>
      </c>
      <c r="FV114" s="1228">
        <v>2</v>
      </c>
      <c r="FW114" s="1228">
        <v>3</v>
      </c>
      <c r="FX114" s="1228">
        <v>1</v>
      </c>
      <c r="FY114" s="1230">
        <v>0</v>
      </c>
      <c r="FZ114" s="1230">
        <v>0</v>
      </c>
      <c r="GA114" s="1230">
        <v>6</v>
      </c>
      <c r="GB114" s="36"/>
      <c r="GD114" s="603"/>
      <c r="GE114" s="603"/>
      <c r="GF114" s="603"/>
      <c r="GG114" s="622" t="s">
        <v>15</v>
      </c>
      <c r="GH114" s="623"/>
      <c r="GI114" s="624">
        <v>1</v>
      </c>
      <c r="GJ114" s="623"/>
      <c r="GK114" s="623"/>
      <c r="GL114" s="623"/>
      <c r="GM114" s="623"/>
      <c r="GN114" s="623"/>
      <c r="GO114" s="623"/>
      <c r="GP114" s="623"/>
      <c r="GQ114" s="623"/>
      <c r="GR114" s="623"/>
      <c r="GS114" s="623"/>
      <c r="GT114" s="624">
        <v>3</v>
      </c>
      <c r="GU114" s="624">
        <v>2</v>
      </c>
      <c r="GV114" s="624">
        <v>3</v>
      </c>
      <c r="GW114" s="625"/>
      <c r="GX114" s="626">
        <v>1</v>
      </c>
      <c r="GY114" s="626">
        <v>10</v>
      </c>
      <c r="GZ114" s="560">
        <f>+(GY111+GY113)/GY114</f>
        <v>0.5</v>
      </c>
      <c r="HB114" s="441"/>
      <c r="HC114" s="441"/>
      <c r="HD114" s="441"/>
      <c r="HE114" s="441"/>
      <c r="HF114" s="442" t="s">
        <v>1074</v>
      </c>
      <c r="HG114" s="609"/>
      <c r="HH114" s="610">
        <v>0</v>
      </c>
      <c r="HI114" s="609"/>
      <c r="HJ114" s="609"/>
      <c r="HK114" s="609"/>
      <c r="HL114" s="609"/>
      <c r="HM114" s="609"/>
      <c r="HN114" s="609"/>
      <c r="HO114" s="609"/>
      <c r="HP114" s="610">
        <v>1</v>
      </c>
      <c r="HQ114" s="610">
        <v>0</v>
      </c>
      <c r="HR114" s="609"/>
      <c r="HS114" s="609"/>
      <c r="HT114" s="610">
        <v>0</v>
      </c>
      <c r="HU114" s="610">
        <v>0</v>
      </c>
      <c r="HV114" s="611"/>
      <c r="HW114" s="611"/>
      <c r="HX114" s="612">
        <v>1</v>
      </c>
      <c r="HY114" s="560"/>
      <c r="HZ114" s="36"/>
      <c r="IA114" s="36"/>
      <c r="IB114" s="36"/>
      <c r="IC114" s="36"/>
      <c r="ID114" s="36"/>
      <c r="IE114" s="36"/>
      <c r="IF114" s="36"/>
      <c r="IG114" s="36"/>
      <c r="IH114" s="36"/>
      <c r="II114" s="36"/>
      <c r="IJ114" s="36"/>
      <c r="IK114" s="36"/>
      <c r="IL114" s="36"/>
      <c r="IM114" s="36"/>
      <c r="IN114" s="36"/>
      <c r="IO114" s="36"/>
      <c r="IP114" s="36"/>
      <c r="IQ114" s="36"/>
      <c r="IR114" s="36"/>
      <c r="IS114" s="36"/>
      <c r="IT114" s="36"/>
      <c r="IU114" s="36"/>
      <c r="IV114" s="95"/>
      <c r="IW114" s="95"/>
      <c r="IX114" s="36"/>
      <c r="IY114" s="36"/>
      <c r="IZ114" s="36"/>
      <c r="JA114" s="36"/>
      <c r="JB114" s="36"/>
      <c r="JC114" s="36"/>
      <c r="JD114" s="36"/>
      <c r="JE114" s="36"/>
      <c r="JF114" s="36"/>
      <c r="JG114" s="36"/>
      <c r="JH114" s="36"/>
      <c r="JI114" s="36"/>
      <c r="JJ114" s="36"/>
      <c r="JK114" s="36"/>
      <c r="JL114" s="36"/>
      <c r="JM114" s="36"/>
      <c r="JN114" s="36"/>
      <c r="JO114" s="36"/>
      <c r="JP114" s="36"/>
      <c r="JQ114" s="36"/>
      <c r="JR114" s="36"/>
      <c r="JS114" s="36"/>
      <c r="JT114" s="36"/>
      <c r="JU114" s="36"/>
      <c r="JV114" s="36"/>
      <c r="JW114" s="36"/>
      <c r="JX114" s="36"/>
      <c r="JY114" s="36"/>
      <c r="JZ114" s="36"/>
      <c r="KA114" s="36"/>
      <c r="KB114" s="36"/>
      <c r="KC114" s="36"/>
      <c r="KD114" s="36"/>
      <c r="KE114" s="36"/>
      <c r="KF114" s="36"/>
      <c r="KG114" s="36"/>
      <c r="KH114" s="36"/>
      <c r="KI114" s="36"/>
      <c r="KJ114" s="36"/>
      <c r="KK114" s="36"/>
      <c r="KL114" s="36"/>
      <c r="KM114" s="36"/>
      <c r="KN114" s="36"/>
      <c r="KO114" s="36"/>
    </row>
    <row r="115" spans="1:301">
      <c r="A115" s="5737">
        <v>2</v>
      </c>
      <c r="B115" s="5737">
        <v>2</v>
      </c>
      <c r="C115" s="5736" t="s">
        <v>2340</v>
      </c>
      <c r="D115" s="5736" t="s">
        <v>2731</v>
      </c>
      <c r="E115" s="5737">
        <v>2</v>
      </c>
      <c r="F115" s="5737">
        <v>13</v>
      </c>
      <c r="I115" s="4726"/>
      <c r="J115" s="4726"/>
      <c r="K115" s="4725"/>
      <c r="L115" s="4725"/>
      <c r="M115" s="4976">
        <f>SUM(M94,M98,M104,M112)</f>
        <v>4</v>
      </c>
      <c r="N115" s="4726"/>
      <c r="Q115" s="4458">
        <v>2</v>
      </c>
      <c r="R115" s="4458">
        <v>3</v>
      </c>
      <c r="S115" s="4459" t="s">
        <v>381</v>
      </c>
      <c r="T115" s="4459" t="s">
        <v>2709</v>
      </c>
      <c r="U115" s="4458">
        <v>13</v>
      </c>
      <c r="V115" s="4479">
        <v>2</v>
      </c>
      <c r="W115" s="4510"/>
      <c r="X115" s="4467"/>
      <c r="Y115" s="4467"/>
      <c r="Z115" s="36"/>
      <c r="AA115" s="36"/>
      <c r="AB115" s="36"/>
      <c r="AC115" s="36" t="s">
        <v>1080</v>
      </c>
      <c r="AD115" s="615">
        <v>0</v>
      </c>
      <c r="AE115" s="615">
        <v>0</v>
      </c>
      <c r="AF115" s="615">
        <v>0</v>
      </c>
      <c r="AG115" s="615">
        <v>0</v>
      </c>
      <c r="AH115" s="615">
        <v>0</v>
      </c>
      <c r="AI115" s="615">
        <v>0</v>
      </c>
      <c r="AJ115" s="615"/>
      <c r="AK115" s="615"/>
      <c r="AL115" s="615">
        <v>0</v>
      </c>
      <c r="AM115" s="615">
        <v>0</v>
      </c>
      <c r="AN115" s="615">
        <v>0</v>
      </c>
      <c r="AO115" s="615">
        <v>61</v>
      </c>
      <c r="AP115" s="615">
        <v>3</v>
      </c>
      <c r="AQ115" s="36">
        <v>3</v>
      </c>
      <c r="AR115" s="36">
        <v>67</v>
      </c>
      <c r="AS115" s="36"/>
      <c r="AU115" s="36"/>
      <c r="AV115" s="36"/>
      <c r="AW115" s="36"/>
      <c r="AX115" s="36" t="s">
        <v>1080</v>
      </c>
      <c r="AY115" s="1681"/>
      <c r="AZ115" s="1681"/>
      <c r="BA115" s="1681"/>
      <c r="BB115" s="1681"/>
      <c r="BC115" s="1681"/>
      <c r="BD115" s="1681"/>
      <c r="BE115" s="1681"/>
      <c r="BF115" s="1681"/>
      <c r="BG115" s="1681"/>
      <c r="BH115" s="1681">
        <v>0</v>
      </c>
      <c r="BI115" s="1681">
        <v>0</v>
      </c>
      <c r="BJ115" s="1681">
        <v>0</v>
      </c>
      <c r="BK115" s="1681">
        <v>5</v>
      </c>
      <c r="BL115" s="1681">
        <v>10</v>
      </c>
      <c r="BM115" s="95">
        <v>1</v>
      </c>
      <c r="BN115" s="95">
        <v>1</v>
      </c>
      <c r="BO115" s="95">
        <v>17</v>
      </c>
      <c r="BP115" s="95"/>
      <c r="BU115" s="32" t="s">
        <v>1080</v>
      </c>
      <c r="BV115" s="3871">
        <v>0</v>
      </c>
      <c r="BW115" s="3871"/>
      <c r="BX115" s="3871"/>
      <c r="BY115" s="3871"/>
      <c r="BZ115" s="3871"/>
      <c r="CA115" s="3871"/>
      <c r="CB115" s="3871"/>
      <c r="CC115" s="3871"/>
      <c r="CD115" s="3871"/>
      <c r="CE115" s="3871">
        <v>0</v>
      </c>
      <c r="CF115" s="3871">
        <v>0</v>
      </c>
      <c r="CG115" s="3871">
        <v>0</v>
      </c>
      <c r="CH115" s="3871">
        <v>11</v>
      </c>
      <c r="CI115" s="3871"/>
      <c r="CJ115" s="1518">
        <v>1</v>
      </c>
      <c r="CK115" s="1518">
        <v>12</v>
      </c>
      <c r="CN115" s="36"/>
      <c r="CO115" s="36"/>
      <c r="CP115" s="36"/>
      <c r="CQ115" s="36" t="s">
        <v>1080</v>
      </c>
      <c r="CR115" s="615"/>
      <c r="CS115" s="615">
        <v>0</v>
      </c>
      <c r="CT115" s="615"/>
      <c r="CU115" s="615"/>
      <c r="CV115" s="615"/>
      <c r="CW115" s="615"/>
      <c r="CX115" s="615"/>
      <c r="CY115" s="615"/>
      <c r="CZ115" s="615"/>
      <c r="DA115" s="615">
        <v>0</v>
      </c>
      <c r="DB115" s="615"/>
      <c r="DC115" s="615"/>
      <c r="DD115" s="615">
        <v>0</v>
      </c>
      <c r="DE115" s="615">
        <v>1</v>
      </c>
      <c r="DF115" s="615">
        <v>15</v>
      </c>
      <c r="DG115" s="36"/>
      <c r="DH115" s="36"/>
      <c r="DI115" s="36">
        <v>16</v>
      </c>
      <c r="DJ115" s="36"/>
      <c r="DL115" s="36"/>
      <c r="DM115" s="36"/>
      <c r="DN115" s="36"/>
      <c r="DO115" s="36" t="s">
        <v>1074</v>
      </c>
      <c r="DP115" s="1681">
        <v>0</v>
      </c>
      <c r="DQ115" s="1681">
        <v>1</v>
      </c>
      <c r="DR115" s="1681">
        <v>0</v>
      </c>
      <c r="DS115" s="1681">
        <v>0</v>
      </c>
      <c r="DT115" s="1681">
        <v>0</v>
      </c>
      <c r="DU115" s="1681"/>
      <c r="DV115" s="1681">
        <v>0</v>
      </c>
      <c r="DW115" s="1681">
        <v>0</v>
      </c>
      <c r="DX115" s="1681">
        <v>0</v>
      </c>
      <c r="DY115" s="1681">
        <v>0</v>
      </c>
      <c r="DZ115" s="1681"/>
      <c r="EA115" s="1681">
        <v>0</v>
      </c>
      <c r="EB115" s="1681">
        <v>0</v>
      </c>
      <c r="EC115" s="1681">
        <v>0</v>
      </c>
      <c r="ED115" s="1681">
        <v>0</v>
      </c>
      <c r="EE115" s="95">
        <v>0</v>
      </c>
      <c r="EF115" s="95">
        <v>0</v>
      </c>
      <c r="EG115" s="95">
        <v>1</v>
      </c>
      <c r="EH115" s="36"/>
      <c r="EL115" s="36" t="s">
        <v>129</v>
      </c>
      <c r="EM115" s="36" t="s">
        <v>1072</v>
      </c>
      <c r="EN115" s="1490"/>
      <c r="EO115" s="1490">
        <v>1</v>
      </c>
      <c r="EP115" s="1490"/>
      <c r="EQ115" s="1490"/>
      <c r="ER115" s="1490"/>
      <c r="ES115" s="1490"/>
      <c r="ET115" s="1490"/>
      <c r="EU115" s="1490"/>
      <c r="EV115" s="1490"/>
      <c r="EW115" s="1490"/>
      <c r="EX115" s="1490"/>
      <c r="EY115" s="1490"/>
      <c r="EZ115" s="1490"/>
      <c r="FA115" s="1490">
        <v>0</v>
      </c>
      <c r="FB115" s="1490">
        <v>0</v>
      </c>
      <c r="FC115" s="36">
        <v>1</v>
      </c>
      <c r="FD115" s="36">
        <v>0</v>
      </c>
      <c r="FE115" s="36">
        <v>2</v>
      </c>
      <c r="FF115" s="36"/>
      <c r="FH115" s="1225"/>
      <c r="FI115" s="1225"/>
      <c r="FJ115" s="1225"/>
      <c r="FK115" s="1226" t="s">
        <v>1080</v>
      </c>
      <c r="FL115" s="1227"/>
      <c r="FM115" s="1228">
        <v>0</v>
      </c>
      <c r="FN115" s="1228">
        <v>0</v>
      </c>
      <c r="FO115" s="1227"/>
      <c r="FP115" s="1227"/>
      <c r="FQ115" s="1227"/>
      <c r="FR115" s="1227"/>
      <c r="FS115" s="1227"/>
      <c r="FT115" s="1227"/>
      <c r="FU115" s="1228">
        <v>0</v>
      </c>
      <c r="FV115" s="1228">
        <v>0</v>
      </c>
      <c r="FW115" s="1228">
        <v>1</v>
      </c>
      <c r="FX115" s="1228">
        <v>10</v>
      </c>
      <c r="FY115" s="1230">
        <v>0</v>
      </c>
      <c r="FZ115" s="1230">
        <v>3</v>
      </c>
      <c r="GA115" s="1230">
        <v>14</v>
      </c>
      <c r="GB115" s="36"/>
      <c r="GD115" s="603"/>
      <c r="GE115" s="603"/>
      <c r="GF115" s="603" t="s">
        <v>320</v>
      </c>
      <c r="GG115" s="604" t="s">
        <v>1072</v>
      </c>
      <c r="GH115" s="605"/>
      <c r="GI115" s="605"/>
      <c r="GJ115" s="605"/>
      <c r="GK115" s="606">
        <v>1</v>
      </c>
      <c r="GL115" s="605"/>
      <c r="GM115" s="605"/>
      <c r="GN115" s="605"/>
      <c r="GO115" s="605"/>
      <c r="GP115" s="605"/>
      <c r="GQ115" s="605"/>
      <c r="GR115" s="605"/>
      <c r="GS115" s="606">
        <v>0</v>
      </c>
      <c r="GT115" s="606">
        <v>0</v>
      </c>
      <c r="GU115" s="606">
        <v>0</v>
      </c>
      <c r="GV115" s="606">
        <v>0</v>
      </c>
      <c r="GW115" s="607"/>
      <c r="GX115" s="608">
        <v>0</v>
      </c>
      <c r="GY115" s="608">
        <v>1</v>
      </c>
      <c r="GZ115" s="95"/>
      <c r="HB115" s="441"/>
      <c r="HC115" s="441"/>
      <c r="HD115" s="441"/>
      <c r="HE115" s="441"/>
      <c r="HF115" s="442" t="s">
        <v>1076</v>
      </c>
      <c r="HG115" s="609"/>
      <c r="HH115" s="610">
        <v>0</v>
      </c>
      <c r="HI115" s="609"/>
      <c r="HJ115" s="609"/>
      <c r="HK115" s="609"/>
      <c r="HL115" s="609"/>
      <c r="HM115" s="609"/>
      <c r="HN115" s="609"/>
      <c r="HO115" s="609"/>
      <c r="HP115" s="610">
        <v>0</v>
      </c>
      <c r="HQ115" s="610">
        <v>1</v>
      </c>
      <c r="HR115" s="609"/>
      <c r="HS115" s="609"/>
      <c r="HT115" s="610">
        <v>2</v>
      </c>
      <c r="HU115" s="610">
        <v>0</v>
      </c>
      <c r="HV115" s="611"/>
      <c r="HW115" s="611"/>
      <c r="HX115" s="612">
        <v>3</v>
      </c>
      <c r="HY115" s="560"/>
      <c r="HZ115" s="36"/>
      <c r="IA115" s="36"/>
      <c r="IB115" s="36"/>
      <c r="IC115" s="36"/>
      <c r="ID115" s="36"/>
      <c r="IE115" s="36"/>
      <c r="IF115" s="36"/>
      <c r="IG115" s="36"/>
      <c r="IH115" s="36"/>
      <c r="II115" s="36"/>
      <c r="IJ115" s="36"/>
      <c r="IK115" s="36"/>
      <c r="IL115" s="36"/>
      <c r="IM115" s="36"/>
      <c r="IN115" s="36"/>
      <c r="IO115" s="36"/>
      <c r="IP115" s="36"/>
      <c r="IQ115" s="36"/>
      <c r="IR115" s="36"/>
      <c r="IS115" s="36"/>
      <c r="IT115" s="36"/>
      <c r="IU115" s="36"/>
      <c r="IV115" s="95"/>
      <c r="IW115" s="95"/>
      <c r="IX115" s="36"/>
      <c r="IY115" s="36"/>
      <c r="IZ115" s="36"/>
      <c r="JA115" s="36"/>
      <c r="JB115" s="36"/>
      <c r="JC115" s="36"/>
      <c r="JD115" s="36"/>
      <c r="JE115" s="36"/>
      <c r="JF115" s="36"/>
      <c r="JG115" s="36"/>
      <c r="JH115" s="36"/>
      <c r="JI115" s="36"/>
      <c r="JJ115" s="36"/>
      <c r="JK115" s="36"/>
      <c r="JL115" s="36"/>
      <c r="JM115" s="36"/>
      <c r="JN115" s="36"/>
      <c r="JO115" s="36"/>
      <c r="JP115" s="36"/>
      <c r="JQ115" s="36"/>
      <c r="JR115" s="36"/>
      <c r="JS115" s="36"/>
      <c r="JT115" s="36"/>
      <c r="JU115" s="36"/>
      <c r="JV115" s="36"/>
      <c r="JW115" s="36"/>
      <c r="JX115" s="36"/>
      <c r="JY115" s="36"/>
      <c r="JZ115" s="36"/>
      <c r="KA115" s="36"/>
      <c r="KB115" s="36"/>
      <c r="KC115" s="36"/>
      <c r="KD115" s="36"/>
      <c r="KE115" s="36"/>
      <c r="KF115" s="36"/>
      <c r="KG115" s="36"/>
      <c r="KH115" s="36"/>
      <c r="KI115" s="36"/>
      <c r="KJ115" s="36"/>
      <c r="KK115" s="36"/>
      <c r="KL115" s="36"/>
      <c r="KM115" s="36"/>
      <c r="KN115" s="36"/>
      <c r="KO115" s="36"/>
    </row>
    <row r="116" spans="1:301">
      <c r="A116" s="5737">
        <v>2</v>
      </c>
      <c r="B116" s="5737">
        <v>2</v>
      </c>
      <c r="C116" s="5736" t="s">
        <v>2340</v>
      </c>
      <c r="D116" s="5739" t="s">
        <v>1076</v>
      </c>
      <c r="E116" s="5737">
        <v>1</v>
      </c>
      <c r="F116" s="5737">
        <v>12</v>
      </c>
      <c r="I116" s="4726"/>
      <c r="J116" s="4726"/>
      <c r="K116" s="4971" t="s">
        <v>16</v>
      </c>
      <c r="L116" s="4990"/>
      <c r="M116" s="4991">
        <f>SUM(M114,M111,M106,M100,M96)</f>
        <v>49</v>
      </c>
      <c r="N116" s="4973"/>
      <c r="O116" s="4451">
        <f>+(M115)/(M116)</f>
        <v>8.1632653061224483E-2</v>
      </c>
      <c r="Q116" s="4458">
        <v>2</v>
      </c>
      <c r="R116" s="4458">
        <v>3</v>
      </c>
      <c r="S116" s="4459" t="s">
        <v>381</v>
      </c>
      <c r="T116" s="4459" t="s">
        <v>2709</v>
      </c>
      <c r="U116" s="4458">
        <v>14</v>
      </c>
      <c r="V116" s="4479">
        <v>1</v>
      </c>
      <c r="W116" s="4510"/>
      <c r="X116" s="4467"/>
      <c r="Y116" s="4467"/>
      <c r="Z116" s="36"/>
      <c r="AA116" s="36"/>
      <c r="AB116" s="36"/>
      <c r="AC116" s="36" t="s">
        <v>1081</v>
      </c>
      <c r="AD116" s="615">
        <v>0</v>
      </c>
      <c r="AE116" s="615">
        <v>0</v>
      </c>
      <c r="AF116" s="615">
        <v>0</v>
      </c>
      <c r="AG116" s="615">
        <v>0</v>
      </c>
      <c r="AH116" s="615">
        <v>0</v>
      </c>
      <c r="AI116" s="615">
        <v>0</v>
      </c>
      <c r="AJ116" s="615"/>
      <c r="AK116" s="615"/>
      <c r="AL116" s="615">
        <v>0</v>
      </c>
      <c r="AM116" s="615">
        <v>0</v>
      </c>
      <c r="AN116" s="615">
        <v>1</v>
      </c>
      <c r="AO116" s="615">
        <v>0</v>
      </c>
      <c r="AP116" s="615">
        <v>0</v>
      </c>
      <c r="AQ116" s="36">
        <v>0</v>
      </c>
      <c r="AR116" s="36">
        <v>1</v>
      </c>
      <c r="AS116" s="36"/>
      <c r="AU116" s="36"/>
      <c r="AV116" s="36"/>
      <c r="AW116" s="36"/>
      <c r="AX116" s="36" t="s">
        <v>1163</v>
      </c>
      <c r="AY116" s="1681"/>
      <c r="AZ116" s="1681"/>
      <c r="BA116" s="1681"/>
      <c r="BB116" s="1681"/>
      <c r="BC116" s="1681"/>
      <c r="BD116" s="1681"/>
      <c r="BE116" s="1681"/>
      <c r="BF116" s="1681"/>
      <c r="BG116" s="1681"/>
      <c r="BH116" s="1681">
        <v>0</v>
      </c>
      <c r="BI116" s="1681">
        <v>0</v>
      </c>
      <c r="BJ116" s="1681">
        <v>2</v>
      </c>
      <c r="BK116" s="1681">
        <v>1</v>
      </c>
      <c r="BL116" s="1681">
        <v>0</v>
      </c>
      <c r="BM116" s="95">
        <v>0</v>
      </c>
      <c r="BN116" s="95">
        <v>0</v>
      </c>
      <c r="BO116" s="95">
        <v>3</v>
      </c>
      <c r="BP116" s="95"/>
      <c r="BU116" s="32" t="s">
        <v>1163</v>
      </c>
      <c r="BV116" s="3871">
        <v>0</v>
      </c>
      <c r="BW116" s="3871"/>
      <c r="BX116" s="3871"/>
      <c r="BY116" s="3871"/>
      <c r="BZ116" s="3871"/>
      <c r="CA116" s="3871"/>
      <c r="CB116" s="3871"/>
      <c r="CC116" s="3871"/>
      <c r="CD116" s="3871"/>
      <c r="CE116" s="3871">
        <v>0</v>
      </c>
      <c r="CF116" s="3871">
        <v>0</v>
      </c>
      <c r="CG116" s="3871">
        <v>2</v>
      </c>
      <c r="CH116" s="3871">
        <v>0</v>
      </c>
      <c r="CI116" s="3871"/>
      <c r="CJ116" s="1518">
        <v>0</v>
      </c>
      <c r="CK116" s="1518">
        <v>2</v>
      </c>
      <c r="CN116" s="36"/>
      <c r="CO116" s="36"/>
      <c r="CP116" s="36"/>
      <c r="CQ116" s="36" t="s">
        <v>1163</v>
      </c>
      <c r="CR116" s="615"/>
      <c r="CS116" s="615">
        <v>0</v>
      </c>
      <c r="CT116" s="615"/>
      <c r="CU116" s="615"/>
      <c r="CV116" s="615"/>
      <c r="CW116" s="615"/>
      <c r="CX116" s="615"/>
      <c r="CY116" s="615"/>
      <c r="CZ116" s="615"/>
      <c r="DA116" s="615">
        <v>0</v>
      </c>
      <c r="DB116" s="615"/>
      <c r="DC116" s="615"/>
      <c r="DD116" s="615">
        <v>2</v>
      </c>
      <c r="DE116" s="615">
        <v>0</v>
      </c>
      <c r="DF116" s="615">
        <v>0</v>
      </c>
      <c r="DG116" s="36"/>
      <c r="DH116" s="36"/>
      <c r="DI116" s="36">
        <v>2</v>
      </c>
      <c r="DJ116" s="36"/>
      <c r="DL116" s="36"/>
      <c r="DM116" s="36"/>
      <c r="DN116" s="36"/>
      <c r="DO116" s="36" t="s">
        <v>1076</v>
      </c>
      <c r="DP116" s="1681">
        <v>0</v>
      </c>
      <c r="DQ116" s="1681">
        <v>0</v>
      </c>
      <c r="DR116" s="1681">
        <v>0</v>
      </c>
      <c r="DS116" s="1681">
        <v>0</v>
      </c>
      <c r="DT116" s="1681">
        <v>0</v>
      </c>
      <c r="DU116" s="1681"/>
      <c r="DV116" s="1681">
        <v>0</v>
      </c>
      <c r="DW116" s="1681">
        <v>1</v>
      </c>
      <c r="DX116" s="1681">
        <v>0</v>
      </c>
      <c r="DY116" s="1681">
        <v>0</v>
      </c>
      <c r="DZ116" s="1681"/>
      <c r="EA116" s="1681">
        <v>0</v>
      </c>
      <c r="EB116" s="1681">
        <v>9</v>
      </c>
      <c r="EC116" s="1681">
        <v>10</v>
      </c>
      <c r="ED116" s="1681">
        <v>2</v>
      </c>
      <c r="EE116" s="95">
        <v>1</v>
      </c>
      <c r="EF116" s="95">
        <v>0</v>
      </c>
      <c r="EG116" s="95">
        <v>23</v>
      </c>
      <c r="EH116" s="36"/>
      <c r="EL116" s="36"/>
      <c r="EM116" s="36" t="s">
        <v>1076</v>
      </c>
      <c r="EN116" s="1490"/>
      <c r="EO116" s="1490">
        <v>0</v>
      </c>
      <c r="EP116" s="1490"/>
      <c r="EQ116" s="1490"/>
      <c r="ER116" s="1490"/>
      <c r="ES116" s="1490"/>
      <c r="ET116" s="1490"/>
      <c r="EU116" s="1490"/>
      <c r="EV116" s="1490"/>
      <c r="EW116" s="1490"/>
      <c r="EX116" s="1490"/>
      <c r="EY116" s="1490"/>
      <c r="EZ116" s="1490"/>
      <c r="FA116" s="1490">
        <v>1</v>
      </c>
      <c r="FB116" s="1490">
        <v>3</v>
      </c>
      <c r="FC116" s="36">
        <v>0</v>
      </c>
      <c r="FD116" s="36">
        <v>0</v>
      </c>
      <c r="FE116" s="36">
        <v>4</v>
      </c>
      <c r="FF116" s="36"/>
      <c r="FH116" s="1225"/>
      <c r="FI116" s="1225"/>
      <c r="FJ116" s="1225"/>
      <c r="FK116" s="1226" t="s">
        <v>1163</v>
      </c>
      <c r="FL116" s="1227"/>
      <c r="FM116" s="1228">
        <v>0</v>
      </c>
      <c r="FN116" s="1228">
        <v>0</v>
      </c>
      <c r="FO116" s="1227"/>
      <c r="FP116" s="1227"/>
      <c r="FQ116" s="1227"/>
      <c r="FR116" s="1227"/>
      <c r="FS116" s="1227"/>
      <c r="FT116" s="1227"/>
      <c r="FU116" s="1228">
        <v>3</v>
      </c>
      <c r="FV116" s="1228">
        <v>3</v>
      </c>
      <c r="FW116" s="1228">
        <v>4</v>
      </c>
      <c r="FX116" s="1228">
        <v>0</v>
      </c>
      <c r="FY116" s="1230">
        <v>0</v>
      </c>
      <c r="FZ116" s="1230">
        <v>0</v>
      </c>
      <c r="GA116" s="1230">
        <v>10</v>
      </c>
      <c r="GB116" s="36"/>
      <c r="GD116" s="603"/>
      <c r="GE116" s="603"/>
      <c r="GF116" s="603"/>
      <c r="GG116" s="604" t="s">
        <v>1076</v>
      </c>
      <c r="GH116" s="605"/>
      <c r="GI116" s="605"/>
      <c r="GJ116" s="605"/>
      <c r="GK116" s="606">
        <v>0</v>
      </c>
      <c r="GL116" s="605"/>
      <c r="GM116" s="605"/>
      <c r="GN116" s="605"/>
      <c r="GO116" s="605"/>
      <c r="GP116" s="605"/>
      <c r="GQ116" s="605"/>
      <c r="GR116" s="605"/>
      <c r="GS116" s="606">
        <v>1</v>
      </c>
      <c r="GT116" s="606">
        <v>0</v>
      </c>
      <c r="GU116" s="606">
        <v>1</v>
      </c>
      <c r="GV116" s="606">
        <v>0</v>
      </c>
      <c r="GW116" s="607"/>
      <c r="GX116" s="608">
        <v>0</v>
      </c>
      <c r="GY116" s="608">
        <v>2</v>
      </c>
      <c r="GZ116" s="95"/>
      <c r="HB116" s="441"/>
      <c r="HC116" s="441"/>
      <c r="HD116" s="441"/>
      <c r="HE116" s="441"/>
      <c r="HF116" s="442" t="s">
        <v>1080</v>
      </c>
      <c r="HG116" s="609"/>
      <c r="HH116" s="610">
        <v>0</v>
      </c>
      <c r="HI116" s="609"/>
      <c r="HJ116" s="609"/>
      <c r="HK116" s="609"/>
      <c r="HL116" s="609"/>
      <c r="HM116" s="609"/>
      <c r="HN116" s="609"/>
      <c r="HO116" s="609"/>
      <c r="HP116" s="610">
        <v>0</v>
      </c>
      <c r="HQ116" s="610">
        <v>0</v>
      </c>
      <c r="HR116" s="609"/>
      <c r="HS116" s="609"/>
      <c r="HT116" s="610">
        <v>0</v>
      </c>
      <c r="HU116" s="610">
        <v>5</v>
      </c>
      <c r="HV116" s="611"/>
      <c r="HW116" s="611"/>
      <c r="HX116" s="612">
        <v>5</v>
      </c>
      <c r="HY116" s="560"/>
      <c r="HZ116" s="36"/>
      <c r="IA116" s="36"/>
      <c r="IB116" s="36"/>
      <c r="IC116" s="36"/>
      <c r="ID116" s="36"/>
      <c r="IE116" s="36"/>
      <c r="IF116" s="36"/>
      <c r="IG116" s="36"/>
      <c r="IH116" s="36"/>
      <c r="II116" s="36"/>
      <c r="IJ116" s="36"/>
      <c r="IK116" s="36"/>
      <c r="IL116" s="36"/>
      <c r="IM116" s="36"/>
      <c r="IN116" s="36"/>
      <c r="IO116" s="36"/>
      <c r="IP116" s="36"/>
      <c r="IQ116" s="36"/>
      <c r="IR116" s="36"/>
      <c r="IS116" s="36"/>
      <c r="IT116" s="36"/>
      <c r="IU116" s="36"/>
      <c r="IV116" s="95"/>
      <c r="IW116" s="95"/>
      <c r="IX116" s="36"/>
      <c r="IY116" s="36"/>
      <c r="IZ116" s="36"/>
      <c r="JA116" s="36"/>
      <c r="JB116" s="36"/>
      <c r="JC116" s="36"/>
      <c r="JD116" s="36"/>
      <c r="JE116" s="36"/>
      <c r="JF116" s="36"/>
      <c r="JG116" s="36"/>
      <c r="JH116" s="36"/>
      <c r="JI116" s="36"/>
      <c r="JJ116" s="36"/>
      <c r="JK116" s="36"/>
      <c r="JL116" s="36"/>
      <c r="JM116" s="36"/>
      <c r="JN116" s="36"/>
      <c r="JO116" s="36"/>
      <c r="JP116" s="36"/>
      <c r="JQ116" s="36"/>
      <c r="JR116" s="36"/>
      <c r="JS116" s="36"/>
      <c r="JT116" s="36"/>
      <c r="JU116" s="36"/>
      <c r="JV116" s="36"/>
      <c r="JW116" s="36"/>
      <c r="JX116" s="36"/>
      <c r="JY116" s="36"/>
      <c r="JZ116" s="36"/>
      <c r="KA116" s="36"/>
      <c r="KB116" s="36"/>
      <c r="KC116" s="36"/>
      <c r="KD116" s="36"/>
      <c r="KE116" s="36"/>
      <c r="KF116" s="36"/>
      <c r="KG116" s="36"/>
      <c r="KH116" s="36"/>
      <c r="KI116" s="36"/>
      <c r="KJ116" s="36"/>
      <c r="KK116" s="36"/>
      <c r="KL116" s="36"/>
      <c r="KM116" s="36"/>
      <c r="KN116" s="36"/>
      <c r="KO116" s="36"/>
    </row>
    <row r="117" spans="1:301">
      <c r="A117" s="5737"/>
      <c r="B117" s="5737"/>
      <c r="C117" s="5736"/>
      <c r="D117" s="5739"/>
      <c r="E117" s="5742">
        <f>SUM(E115:E116)</f>
        <v>3</v>
      </c>
      <c r="F117" s="5737"/>
      <c r="G117" s="4476">
        <f>+(E116)/(E117)</f>
        <v>0.33333333333333331</v>
      </c>
      <c r="I117" s="4726">
        <v>2</v>
      </c>
      <c r="J117" s="4726">
        <v>3</v>
      </c>
      <c r="K117" s="4725" t="s">
        <v>128</v>
      </c>
      <c r="L117" s="4725" t="s">
        <v>2731</v>
      </c>
      <c r="M117" s="4726">
        <v>7</v>
      </c>
      <c r="N117" s="4726">
        <v>13</v>
      </c>
      <c r="Q117" s="4458">
        <v>2</v>
      </c>
      <c r="R117" s="4458">
        <v>3</v>
      </c>
      <c r="S117" s="4459" t="s">
        <v>381</v>
      </c>
      <c r="T117" s="4461" t="s">
        <v>1076</v>
      </c>
      <c r="U117" s="4458">
        <v>8</v>
      </c>
      <c r="V117" s="4479">
        <v>1</v>
      </c>
      <c r="W117" s="4510"/>
      <c r="X117" s="4467"/>
      <c r="Y117" s="4467"/>
      <c r="Z117" s="36"/>
      <c r="AA117" s="36"/>
      <c r="AB117" s="36"/>
      <c r="AC117" s="36" t="s">
        <v>2571</v>
      </c>
      <c r="AD117" s="615">
        <v>10</v>
      </c>
      <c r="AE117" s="615">
        <v>0</v>
      </c>
      <c r="AF117" s="615">
        <v>0</v>
      </c>
      <c r="AG117" s="615">
        <v>0</v>
      </c>
      <c r="AH117" s="615">
        <v>0</v>
      </c>
      <c r="AI117" s="615">
        <v>0</v>
      </c>
      <c r="AJ117" s="615"/>
      <c r="AK117" s="615"/>
      <c r="AL117" s="615">
        <v>0</v>
      </c>
      <c r="AM117" s="615">
        <v>0</v>
      </c>
      <c r="AN117" s="615">
        <v>0</v>
      </c>
      <c r="AO117" s="615">
        <v>0</v>
      </c>
      <c r="AP117" s="615">
        <v>0</v>
      </c>
      <c r="AQ117" s="36">
        <v>0</v>
      </c>
      <c r="AR117" s="36">
        <v>10</v>
      </c>
      <c r="AS117" s="36"/>
      <c r="AU117" s="36"/>
      <c r="AV117" s="36"/>
      <c r="AW117" s="36"/>
      <c r="AX117" s="36" t="s">
        <v>15</v>
      </c>
      <c r="AY117" s="1681"/>
      <c r="AZ117" s="1681"/>
      <c r="BA117" s="1681"/>
      <c r="BB117" s="1681"/>
      <c r="BC117" s="1681"/>
      <c r="BD117" s="1681"/>
      <c r="BE117" s="1681"/>
      <c r="BF117" s="1681"/>
      <c r="BG117" s="1681"/>
      <c r="BH117" s="1681">
        <v>1</v>
      </c>
      <c r="BI117" s="1681">
        <v>1</v>
      </c>
      <c r="BJ117" s="1681">
        <v>3</v>
      </c>
      <c r="BK117" s="1681">
        <v>8</v>
      </c>
      <c r="BL117" s="1681">
        <v>11</v>
      </c>
      <c r="BM117" s="95">
        <v>1</v>
      </c>
      <c r="BN117" s="95">
        <v>1</v>
      </c>
      <c r="BO117" s="95">
        <v>26</v>
      </c>
      <c r="BP117" s="560">
        <f>+(BO114+BO116)/(BO117)</f>
        <v>0.19230769230769232</v>
      </c>
      <c r="BU117" s="1520" t="s">
        <v>15</v>
      </c>
      <c r="BV117" s="3872">
        <v>0</v>
      </c>
      <c r="BW117" s="3872"/>
      <c r="BX117" s="3872"/>
      <c r="BY117" s="3872"/>
      <c r="BZ117" s="3872"/>
      <c r="CA117" s="3872"/>
      <c r="CB117" s="3872"/>
      <c r="CC117" s="3872"/>
      <c r="CD117" s="3872"/>
      <c r="CE117" s="3872">
        <v>1</v>
      </c>
      <c r="CF117" s="3872">
        <v>1</v>
      </c>
      <c r="CG117" s="3872">
        <v>3</v>
      </c>
      <c r="CH117" s="3872">
        <v>19</v>
      </c>
      <c r="CI117" s="3872"/>
      <c r="CJ117" s="3806">
        <v>2</v>
      </c>
      <c r="CK117" s="3806">
        <v>26</v>
      </c>
      <c r="CL117" s="3807">
        <f>+(CK114+CK116)/CK117</f>
        <v>0.15384615384615385</v>
      </c>
      <c r="CN117" s="36"/>
      <c r="CO117" s="36"/>
      <c r="CP117" s="36"/>
      <c r="CQ117" s="393" t="s">
        <v>15</v>
      </c>
      <c r="CR117" s="2049"/>
      <c r="CS117" s="2049">
        <v>1</v>
      </c>
      <c r="CT117" s="2049"/>
      <c r="CU117" s="2049"/>
      <c r="CV117" s="2049"/>
      <c r="CW117" s="2049"/>
      <c r="CX117" s="2049"/>
      <c r="CY117" s="2049"/>
      <c r="CZ117" s="2049"/>
      <c r="DA117" s="2049">
        <v>1</v>
      </c>
      <c r="DB117" s="2049"/>
      <c r="DC117" s="2049"/>
      <c r="DD117" s="2049">
        <v>2</v>
      </c>
      <c r="DE117" s="2049">
        <v>9</v>
      </c>
      <c r="DF117" s="2049">
        <v>15</v>
      </c>
      <c r="DG117" s="393"/>
      <c r="DH117" s="393"/>
      <c r="DI117" s="393">
        <v>28</v>
      </c>
      <c r="DJ117" s="560">
        <f>+(DI116+DI114)/DI117</f>
        <v>0.25</v>
      </c>
      <c r="DK117" s="1665"/>
      <c r="DL117" s="36"/>
      <c r="DM117" s="36"/>
      <c r="DN117" s="36"/>
      <c r="DO117" s="36" t="s">
        <v>1080</v>
      </c>
      <c r="DP117" s="1681">
        <v>0</v>
      </c>
      <c r="DQ117" s="1681">
        <v>0</v>
      </c>
      <c r="DR117" s="1681">
        <v>0</v>
      </c>
      <c r="DS117" s="1681">
        <v>0</v>
      </c>
      <c r="DT117" s="1681">
        <v>0</v>
      </c>
      <c r="DU117" s="1681"/>
      <c r="DV117" s="1681">
        <v>0</v>
      </c>
      <c r="DW117" s="1681">
        <v>0</v>
      </c>
      <c r="DX117" s="1681">
        <v>0</v>
      </c>
      <c r="DY117" s="1681">
        <v>0</v>
      </c>
      <c r="DZ117" s="1681"/>
      <c r="EA117" s="1681">
        <v>0</v>
      </c>
      <c r="EB117" s="1681">
        <v>0</v>
      </c>
      <c r="EC117" s="1681">
        <v>0</v>
      </c>
      <c r="ED117" s="1681">
        <v>32</v>
      </c>
      <c r="EE117" s="95">
        <v>4</v>
      </c>
      <c r="EF117" s="95">
        <v>15</v>
      </c>
      <c r="EG117" s="95">
        <v>51</v>
      </c>
      <c r="EH117" s="36"/>
      <c r="EL117" s="36"/>
      <c r="EM117" s="36" t="s">
        <v>1080</v>
      </c>
      <c r="EN117" s="1490"/>
      <c r="EO117" s="1490">
        <v>0</v>
      </c>
      <c r="EP117" s="1490"/>
      <c r="EQ117" s="1490"/>
      <c r="ER117" s="1490"/>
      <c r="ES117" s="1490"/>
      <c r="ET117" s="1490"/>
      <c r="EU117" s="1490"/>
      <c r="EV117" s="1490"/>
      <c r="EW117" s="1490"/>
      <c r="EX117" s="1490"/>
      <c r="EY117" s="1490"/>
      <c r="EZ117" s="1490"/>
      <c r="FA117" s="1490">
        <v>0</v>
      </c>
      <c r="FB117" s="1490">
        <v>2</v>
      </c>
      <c r="FC117" s="36">
        <v>0</v>
      </c>
      <c r="FD117" s="36">
        <v>2</v>
      </c>
      <c r="FE117" s="36">
        <v>4</v>
      </c>
      <c r="FF117" s="36"/>
      <c r="FH117" s="1225"/>
      <c r="FI117" s="1225"/>
      <c r="FJ117" s="1225"/>
      <c r="FK117" s="1222" t="s">
        <v>485</v>
      </c>
      <c r="FL117" s="1231"/>
      <c r="FM117" s="1232">
        <v>2</v>
      </c>
      <c r="FN117" s="1232">
        <v>1</v>
      </c>
      <c r="FO117" s="1231"/>
      <c r="FP117" s="1231"/>
      <c r="FQ117" s="1231"/>
      <c r="FR117" s="1231"/>
      <c r="FS117" s="1231"/>
      <c r="FT117" s="1231"/>
      <c r="FU117" s="1232">
        <v>4</v>
      </c>
      <c r="FV117" s="1232">
        <v>7</v>
      </c>
      <c r="FW117" s="1232">
        <v>9</v>
      </c>
      <c r="FX117" s="1232">
        <v>19</v>
      </c>
      <c r="FY117" s="1234">
        <v>1</v>
      </c>
      <c r="FZ117" s="1234">
        <v>5</v>
      </c>
      <c r="GA117" s="1234">
        <v>48</v>
      </c>
      <c r="GB117" s="1178">
        <f>+(GA114+GA116)/GA117</f>
        <v>0.33333333333333331</v>
      </c>
      <c r="GD117" s="603"/>
      <c r="GE117" s="603"/>
      <c r="GF117" s="603"/>
      <c r="GG117" s="604" t="s">
        <v>1080</v>
      </c>
      <c r="GH117" s="605"/>
      <c r="GI117" s="605"/>
      <c r="GJ117" s="605"/>
      <c r="GK117" s="606">
        <v>0</v>
      </c>
      <c r="GL117" s="605"/>
      <c r="GM117" s="605"/>
      <c r="GN117" s="605"/>
      <c r="GO117" s="605"/>
      <c r="GP117" s="605"/>
      <c r="GQ117" s="605"/>
      <c r="GR117" s="605"/>
      <c r="GS117" s="606">
        <v>0</v>
      </c>
      <c r="GT117" s="606">
        <v>0</v>
      </c>
      <c r="GU117" s="606">
        <v>1</v>
      </c>
      <c r="GV117" s="606">
        <v>9</v>
      </c>
      <c r="GW117" s="607"/>
      <c r="GX117" s="608">
        <v>4</v>
      </c>
      <c r="GY117" s="608">
        <v>14</v>
      </c>
      <c r="GZ117" s="95"/>
      <c r="HB117" s="441"/>
      <c r="HC117" s="441"/>
      <c r="HD117" s="441"/>
      <c r="HE117" s="36"/>
      <c r="HF117" s="462" t="s">
        <v>15</v>
      </c>
      <c r="HG117" s="618"/>
      <c r="HH117" s="619">
        <v>1</v>
      </c>
      <c r="HI117" s="618"/>
      <c r="HJ117" s="618"/>
      <c r="HK117" s="618"/>
      <c r="HL117" s="618"/>
      <c r="HM117" s="618"/>
      <c r="HN117" s="618"/>
      <c r="HO117" s="618"/>
      <c r="HP117" s="619">
        <v>1</v>
      </c>
      <c r="HQ117" s="619">
        <v>1</v>
      </c>
      <c r="HR117" s="618"/>
      <c r="HS117" s="618"/>
      <c r="HT117" s="619">
        <v>3</v>
      </c>
      <c r="HU117" s="619">
        <v>5</v>
      </c>
      <c r="HV117" s="620"/>
      <c r="HW117" s="620"/>
      <c r="HX117" s="621">
        <v>11</v>
      </c>
      <c r="HY117" s="560">
        <f>+HX115/HX117</f>
        <v>0.27272727272727271</v>
      </c>
      <c r="HZ117" s="36"/>
      <c r="IA117" s="36"/>
      <c r="IB117" s="36"/>
      <c r="IC117" s="595"/>
      <c r="ID117" s="595"/>
      <c r="IE117" s="7024" t="s">
        <v>1137</v>
      </c>
      <c r="IF117" s="7024"/>
      <c r="IG117" s="7024"/>
      <c r="IH117" s="7024"/>
      <c r="II117" s="7024"/>
      <c r="IJ117" s="7024"/>
      <c r="IK117" s="7024"/>
      <c r="IL117" s="7024"/>
      <c r="IM117" s="7024"/>
      <c r="IN117" s="7024"/>
      <c r="IO117" s="7024"/>
      <c r="IP117" s="7024"/>
      <c r="IQ117" s="7024"/>
      <c r="IR117" s="594"/>
      <c r="IS117" s="36"/>
      <c r="IT117" s="36"/>
      <c r="IU117" s="36"/>
      <c r="IV117" s="95"/>
      <c r="IW117" s="95"/>
      <c r="IX117" s="36" t="s">
        <v>315</v>
      </c>
      <c r="IY117" s="393" t="s">
        <v>315</v>
      </c>
      <c r="IZ117" s="6989" t="s">
        <v>1138</v>
      </c>
      <c r="JA117" s="6989"/>
      <c r="JB117" s="6989"/>
      <c r="JC117" s="6989"/>
      <c r="JD117" s="6989"/>
      <c r="JE117" s="6989"/>
      <c r="JF117" s="6989"/>
      <c r="JG117" s="6989"/>
      <c r="JH117" s="6989"/>
      <c r="JI117" s="6989"/>
      <c r="JJ117" s="6989"/>
      <c r="JK117" s="6989"/>
      <c r="JL117" s="6989"/>
      <c r="JM117" s="6989"/>
      <c r="JN117" s="6989"/>
      <c r="JO117" s="6989"/>
      <c r="JP117" s="393"/>
      <c r="JQ117" s="36"/>
      <c r="JR117" s="36"/>
      <c r="JS117" s="36"/>
      <c r="JT117" s="36"/>
      <c r="JU117" s="36"/>
      <c r="JV117" s="36"/>
      <c r="JW117" s="7026" t="s">
        <v>1138</v>
      </c>
      <c r="JX117" s="7026"/>
      <c r="JY117" s="7026"/>
      <c r="JZ117" s="7026"/>
      <c r="KA117" s="7026"/>
      <c r="KB117" s="7026"/>
      <c r="KC117" s="7026"/>
      <c r="KD117" s="7026"/>
      <c r="KE117" s="7026"/>
      <c r="KF117" s="7026"/>
      <c r="KG117" s="7026"/>
      <c r="KH117" s="7026"/>
      <c r="KI117" s="7026"/>
      <c r="KJ117" s="7026"/>
      <c r="KK117" s="7026"/>
      <c r="KL117" s="7026"/>
      <c r="KM117" s="36"/>
      <c r="KN117" s="36"/>
      <c r="KO117" s="36"/>
    </row>
    <row r="118" spans="1:301" ht="24.6" thickBot="1">
      <c r="A118" s="5737"/>
      <c r="B118" s="5737"/>
      <c r="C118" s="5736"/>
      <c r="D118" s="5738" t="s">
        <v>2754</v>
      </c>
      <c r="E118" s="5751">
        <f>SUM(E93,E98:E100,E107,E111,E116)</f>
        <v>7</v>
      </c>
      <c r="F118" s="5737"/>
      <c r="I118" s="4726">
        <v>2</v>
      </c>
      <c r="J118" s="4726">
        <v>3</v>
      </c>
      <c r="K118" s="4725" t="s">
        <v>128</v>
      </c>
      <c r="L118" s="4725" t="s">
        <v>2731</v>
      </c>
      <c r="M118" s="4726">
        <v>3</v>
      </c>
      <c r="N118" s="4726">
        <v>15</v>
      </c>
      <c r="Q118" s="4458">
        <v>2</v>
      </c>
      <c r="R118" s="4458">
        <v>3</v>
      </c>
      <c r="S118" s="4459" t="s">
        <v>381</v>
      </c>
      <c r="T118" s="4461" t="s">
        <v>1076</v>
      </c>
      <c r="U118" s="4458">
        <v>13</v>
      </c>
      <c r="V118" s="4479">
        <v>1</v>
      </c>
      <c r="W118" s="4510"/>
      <c r="X118" s="4467"/>
      <c r="Y118" s="4467"/>
      <c r="Z118" s="36"/>
      <c r="AA118" s="36"/>
      <c r="AB118" s="36"/>
      <c r="AC118" s="4236" t="s">
        <v>15</v>
      </c>
      <c r="AD118" s="4236">
        <v>10</v>
      </c>
      <c r="AE118" s="4236">
        <v>2</v>
      </c>
      <c r="AF118" s="4236">
        <v>1</v>
      </c>
      <c r="AG118" s="4236">
        <v>2</v>
      </c>
      <c r="AH118" s="4236">
        <v>2</v>
      </c>
      <c r="AI118" s="4236">
        <v>1</v>
      </c>
      <c r="AJ118" s="4236"/>
      <c r="AK118" s="4236"/>
      <c r="AL118" s="4236">
        <v>1</v>
      </c>
      <c r="AM118" s="4236">
        <v>1</v>
      </c>
      <c r="AN118" s="4236">
        <v>13</v>
      </c>
      <c r="AO118" s="4236">
        <v>62</v>
      </c>
      <c r="AP118" s="4236">
        <v>3</v>
      </c>
      <c r="AQ118" s="4236">
        <v>3</v>
      </c>
      <c r="AR118" s="4236">
        <v>101</v>
      </c>
      <c r="AS118" s="4243">
        <f>(AR113+AR116)/(AR118-AR117)</f>
        <v>4.3956043956043959E-2</v>
      </c>
      <c r="AU118" s="36"/>
      <c r="AV118" s="36"/>
      <c r="AW118" s="36" t="s">
        <v>129</v>
      </c>
      <c r="AX118" s="36" t="s">
        <v>1076</v>
      </c>
      <c r="AY118" s="1681"/>
      <c r="AZ118" s="1681"/>
      <c r="BA118" s="1681"/>
      <c r="BB118" s="1681"/>
      <c r="BC118" s="1681"/>
      <c r="BD118" s="1681"/>
      <c r="BE118" s="1681"/>
      <c r="BF118" s="1681"/>
      <c r="BG118" s="1681"/>
      <c r="BH118" s="1681"/>
      <c r="BI118" s="1681"/>
      <c r="BJ118" s="1681">
        <v>0</v>
      </c>
      <c r="BK118" s="1681">
        <v>2</v>
      </c>
      <c r="BL118" s="1681">
        <v>0</v>
      </c>
      <c r="BM118" s="95"/>
      <c r="BN118" s="95">
        <v>0</v>
      </c>
      <c r="BO118" s="95">
        <v>2</v>
      </c>
      <c r="BP118" s="95"/>
      <c r="BT118" s="32" t="s">
        <v>129</v>
      </c>
      <c r="BU118" s="32" t="s">
        <v>1076</v>
      </c>
      <c r="BV118" s="3871"/>
      <c r="BW118" s="3871"/>
      <c r="BX118" s="3871"/>
      <c r="BY118" s="3871"/>
      <c r="BZ118" s="3871"/>
      <c r="CA118" s="3871"/>
      <c r="CB118" s="3871"/>
      <c r="CC118" s="3871"/>
      <c r="CD118" s="3871"/>
      <c r="CE118" s="3871"/>
      <c r="CF118" s="3871"/>
      <c r="CG118" s="3871">
        <v>2</v>
      </c>
      <c r="CH118" s="3871">
        <v>2</v>
      </c>
      <c r="CI118" s="3871"/>
      <c r="CJ118" s="1518">
        <v>0</v>
      </c>
      <c r="CK118" s="1518">
        <v>4</v>
      </c>
      <c r="CN118" s="36"/>
      <c r="CO118" s="36"/>
      <c r="CP118" s="36" t="s">
        <v>126</v>
      </c>
      <c r="CQ118" s="36" t="s">
        <v>1072</v>
      </c>
      <c r="CR118" s="615"/>
      <c r="CS118" s="615"/>
      <c r="CT118" s="615"/>
      <c r="CU118" s="615">
        <v>0</v>
      </c>
      <c r="CV118" s="615"/>
      <c r="CW118" s="615"/>
      <c r="CX118" s="615">
        <v>0</v>
      </c>
      <c r="CY118" s="615"/>
      <c r="CZ118" s="615"/>
      <c r="DA118" s="615"/>
      <c r="DB118" s="615">
        <v>0</v>
      </c>
      <c r="DC118" s="615"/>
      <c r="DD118" s="615">
        <v>1</v>
      </c>
      <c r="DE118" s="615">
        <v>7</v>
      </c>
      <c r="DF118" s="615">
        <v>0</v>
      </c>
      <c r="DG118" s="36"/>
      <c r="DH118" s="36"/>
      <c r="DI118" s="36">
        <v>8</v>
      </c>
      <c r="DJ118" s="36"/>
      <c r="DL118" s="36"/>
      <c r="DM118" s="36"/>
      <c r="DN118" s="36"/>
      <c r="DO118" s="36" t="s">
        <v>1163</v>
      </c>
      <c r="DP118" s="1681">
        <v>0</v>
      </c>
      <c r="DQ118" s="1681">
        <v>0</v>
      </c>
      <c r="DR118" s="1681">
        <v>0</v>
      </c>
      <c r="DS118" s="1681">
        <v>0</v>
      </c>
      <c r="DT118" s="1681">
        <v>0</v>
      </c>
      <c r="DU118" s="1681"/>
      <c r="DV118" s="1681">
        <v>0</v>
      </c>
      <c r="DW118" s="1681">
        <v>0</v>
      </c>
      <c r="DX118" s="1681">
        <v>0</v>
      </c>
      <c r="DY118" s="1681">
        <v>1</v>
      </c>
      <c r="DZ118" s="1681"/>
      <c r="EA118" s="1681">
        <v>4</v>
      </c>
      <c r="EB118" s="1681">
        <v>8</v>
      </c>
      <c r="EC118" s="1681">
        <v>10</v>
      </c>
      <c r="ED118" s="1681">
        <v>2</v>
      </c>
      <c r="EE118" s="95">
        <v>0</v>
      </c>
      <c r="EF118" s="95">
        <v>0</v>
      </c>
      <c r="EG118" s="95">
        <v>25</v>
      </c>
      <c r="EH118" s="36"/>
      <c r="EL118" s="36"/>
      <c r="EM118" s="36" t="s">
        <v>1163</v>
      </c>
      <c r="EN118" s="1490"/>
      <c r="EO118" s="1490">
        <v>0</v>
      </c>
      <c r="EP118" s="1490"/>
      <c r="EQ118" s="1490"/>
      <c r="ER118" s="1490"/>
      <c r="ES118" s="1490"/>
      <c r="ET118" s="1490"/>
      <c r="EU118" s="1490"/>
      <c r="EV118" s="1490"/>
      <c r="EW118" s="1490"/>
      <c r="EX118" s="1490"/>
      <c r="EY118" s="1490"/>
      <c r="EZ118" s="1490"/>
      <c r="FA118" s="1490">
        <v>2</v>
      </c>
      <c r="FB118" s="1490">
        <v>1</v>
      </c>
      <c r="FC118" s="36">
        <v>1</v>
      </c>
      <c r="FD118" s="36">
        <v>0</v>
      </c>
      <c r="FE118" s="36">
        <v>4</v>
      </c>
      <c r="FF118" s="36"/>
      <c r="FH118" s="1225"/>
      <c r="FI118" s="1225"/>
      <c r="FJ118" s="1225" t="s">
        <v>109</v>
      </c>
      <c r="FK118" s="1226" t="s">
        <v>1071</v>
      </c>
      <c r="FL118" s="1227"/>
      <c r="FM118" s="1228">
        <v>0</v>
      </c>
      <c r="FN118" s="1228">
        <v>0</v>
      </c>
      <c r="FO118" s="1227"/>
      <c r="FP118" s="1228">
        <v>0</v>
      </c>
      <c r="FQ118" s="1228">
        <v>0</v>
      </c>
      <c r="FR118" s="1228">
        <v>0</v>
      </c>
      <c r="FS118" s="1228">
        <v>0</v>
      </c>
      <c r="FT118" s="1228">
        <v>0</v>
      </c>
      <c r="FU118" s="1228">
        <v>0</v>
      </c>
      <c r="FV118" s="1228">
        <v>0</v>
      </c>
      <c r="FW118" s="1228">
        <v>0</v>
      </c>
      <c r="FX118" s="1228">
        <v>7</v>
      </c>
      <c r="FY118" s="1230">
        <v>1</v>
      </c>
      <c r="FZ118" s="1230">
        <v>2</v>
      </c>
      <c r="GA118" s="1230">
        <v>10</v>
      </c>
      <c r="GB118" s="36"/>
      <c r="GD118" s="603"/>
      <c r="GE118" s="603"/>
      <c r="GF118" s="603"/>
      <c r="GG118" s="604" t="s">
        <v>1163</v>
      </c>
      <c r="GH118" s="605"/>
      <c r="GI118" s="605"/>
      <c r="GJ118" s="605"/>
      <c r="GK118" s="606">
        <v>0</v>
      </c>
      <c r="GL118" s="605"/>
      <c r="GM118" s="605"/>
      <c r="GN118" s="605"/>
      <c r="GO118" s="605"/>
      <c r="GP118" s="605"/>
      <c r="GQ118" s="605"/>
      <c r="GR118" s="605"/>
      <c r="GS118" s="606">
        <v>1</v>
      </c>
      <c r="GT118" s="606">
        <v>1</v>
      </c>
      <c r="GU118" s="606">
        <v>0</v>
      </c>
      <c r="GV118" s="606">
        <v>2</v>
      </c>
      <c r="GW118" s="607"/>
      <c r="GX118" s="608">
        <v>0</v>
      </c>
      <c r="GY118" s="608">
        <v>4</v>
      </c>
      <c r="GZ118" s="95"/>
      <c r="HB118" s="441"/>
      <c r="HC118" s="441"/>
      <c r="HD118" s="462" t="s">
        <v>485</v>
      </c>
      <c r="HE118" s="441" t="s">
        <v>1070</v>
      </c>
      <c r="HF118" s="442" t="s">
        <v>1072</v>
      </c>
      <c r="HG118" s="609"/>
      <c r="HH118" s="610">
        <v>1</v>
      </c>
      <c r="HI118" s="609"/>
      <c r="HJ118" s="609"/>
      <c r="HK118" s="609"/>
      <c r="HL118" s="609"/>
      <c r="HM118" s="609"/>
      <c r="HN118" s="609"/>
      <c r="HO118" s="609"/>
      <c r="HP118" s="610">
        <v>1</v>
      </c>
      <c r="HQ118" s="610">
        <v>0</v>
      </c>
      <c r="HR118" s="610">
        <v>0</v>
      </c>
      <c r="HS118" s="610">
        <v>1</v>
      </c>
      <c r="HT118" s="610">
        <v>1</v>
      </c>
      <c r="HU118" s="610">
        <v>1</v>
      </c>
      <c r="HV118" s="611"/>
      <c r="HW118" s="612">
        <v>0</v>
      </c>
      <c r="HX118" s="612">
        <v>5</v>
      </c>
      <c r="HY118" s="560"/>
      <c r="HZ118" s="36"/>
      <c r="IA118" s="641" t="s">
        <v>0</v>
      </c>
      <c r="IB118" s="641"/>
      <c r="IC118" s="641" t="s">
        <v>1</v>
      </c>
      <c r="ID118" s="641" t="s">
        <v>1070</v>
      </c>
      <c r="IE118" s="641">
        <v>1</v>
      </c>
      <c r="IF118" s="641">
        <v>5</v>
      </c>
      <c r="IG118" s="641">
        <v>6</v>
      </c>
      <c r="IH118" s="641">
        <v>7</v>
      </c>
      <c r="II118" s="641">
        <v>8</v>
      </c>
      <c r="IJ118" s="641">
        <v>9</v>
      </c>
      <c r="IK118" s="641">
        <v>10</v>
      </c>
      <c r="IL118" s="641">
        <v>11</v>
      </c>
      <c r="IM118" s="641">
        <v>12</v>
      </c>
      <c r="IN118" s="641">
        <v>13</v>
      </c>
      <c r="IO118" s="641">
        <v>14</v>
      </c>
      <c r="IP118" s="641">
        <v>15</v>
      </c>
      <c r="IQ118" s="641">
        <v>16</v>
      </c>
      <c r="IR118" s="641" t="s">
        <v>15</v>
      </c>
      <c r="IS118" s="642" t="s">
        <v>66</v>
      </c>
      <c r="IT118" s="36"/>
      <c r="IU118" s="36"/>
      <c r="IV118" s="643"/>
      <c r="IW118" s="644" t="s">
        <v>0</v>
      </c>
      <c r="IX118" s="644" t="s">
        <v>1</v>
      </c>
      <c r="IY118" s="644" t="s">
        <v>1070</v>
      </c>
      <c r="IZ118" s="644">
        <v>1</v>
      </c>
      <c r="JA118" s="644">
        <v>2</v>
      </c>
      <c r="JB118" s="644">
        <v>3</v>
      </c>
      <c r="JC118" s="644">
        <v>4</v>
      </c>
      <c r="JD118" s="644">
        <v>5</v>
      </c>
      <c r="JE118" s="644">
        <v>6</v>
      </c>
      <c r="JF118" s="644">
        <v>7</v>
      </c>
      <c r="JG118" s="644">
        <v>8</v>
      </c>
      <c r="JH118" s="644">
        <v>9</v>
      </c>
      <c r="JI118" s="644">
        <v>10</v>
      </c>
      <c r="JJ118" s="644">
        <v>11</v>
      </c>
      <c r="JK118" s="644">
        <v>12</v>
      </c>
      <c r="JL118" s="644">
        <v>13</v>
      </c>
      <c r="JM118" s="644">
        <v>14</v>
      </c>
      <c r="JN118" s="644">
        <v>15</v>
      </c>
      <c r="JO118" s="644">
        <v>16</v>
      </c>
      <c r="JP118" s="644" t="s">
        <v>15</v>
      </c>
      <c r="JQ118" s="644" t="s">
        <v>66</v>
      </c>
      <c r="JR118" s="645"/>
      <c r="JS118" s="646"/>
      <c r="JT118" s="647" t="s">
        <v>0</v>
      </c>
      <c r="JU118" s="647" t="s">
        <v>1</v>
      </c>
      <c r="JV118" s="648" t="s">
        <v>1140</v>
      </c>
      <c r="JW118" s="647">
        <v>0</v>
      </c>
      <c r="JX118" s="647">
        <v>1</v>
      </c>
      <c r="JY118" s="647">
        <v>2</v>
      </c>
      <c r="JZ118" s="647">
        <v>3</v>
      </c>
      <c r="KA118" s="647">
        <v>5</v>
      </c>
      <c r="KB118" s="647">
        <v>6</v>
      </c>
      <c r="KC118" s="647">
        <v>7</v>
      </c>
      <c r="KD118" s="647">
        <v>8</v>
      </c>
      <c r="KE118" s="647">
        <v>9</v>
      </c>
      <c r="KF118" s="647">
        <v>10</v>
      </c>
      <c r="KG118" s="647">
        <v>11</v>
      </c>
      <c r="KH118" s="647">
        <v>12</v>
      </c>
      <c r="KI118" s="647">
        <v>13</v>
      </c>
      <c r="KJ118" s="647">
        <v>14</v>
      </c>
      <c r="KK118" s="647">
        <v>15</v>
      </c>
      <c r="KL118" s="647">
        <v>16</v>
      </c>
      <c r="KM118" s="647" t="s">
        <v>15</v>
      </c>
      <c r="KN118" s="648" t="s">
        <v>66</v>
      </c>
      <c r="KO118" s="647" t="s">
        <v>1141</v>
      </c>
    </row>
    <row r="119" spans="1:301">
      <c r="A119" s="5737"/>
      <c r="B119" s="5737"/>
      <c r="C119" s="5742" t="s">
        <v>16</v>
      </c>
      <c r="D119" s="5739"/>
      <c r="E119" s="5742">
        <f>SUM(E117,E114,E109,E103,E95)</f>
        <v>50</v>
      </c>
      <c r="F119" s="5737"/>
      <c r="G119" s="5769">
        <f>+(E118)/(E119)</f>
        <v>0.14000000000000001</v>
      </c>
      <c r="I119" s="4726">
        <v>2</v>
      </c>
      <c r="J119" s="4726">
        <v>3</v>
      </c>
      <c r="K119" s="4725" t="s">
        <v>128</v>
      </c>
      <c r="L119" s="4725" t="s">
        <v>1071</v>
      </c>
      <c r="M119" s="4726">
        <v>5</v>
      </c>
      <c r="N119" s="4726">
        <v>13</v>
      </c>
      <c r="Q119" s="4458">
        <v>2</v>
      </c>
      <c r="R119" s="4458">
        <v>3</v>
      </c>
      <c r="S119" s="4459" t="s">
        <v>381</v>
      </c>
      <c r="T119" s="4459" t="s">
        <v>2731</v>
      </c>
      <c r="U119" s="4458">
        <v>14</v>
      </c>
      <c r="V119" s="4479">
        <v>4</v>
      </c>
      <c r="W119" s="4510"/>
      <c r="X119" s="4467"/>
      <c r="Y119" s="4467"/>
      <c r="Z119" s="36"/>
      <c r="AA119" s="36" t="s">
        <v>41</v>
      </c>
      <c r="AB119" s="36" t="s">
        <v>128</v>
      </c>
      <c r="AC119" s="36" t="s">
        <v>1072</v>
      </c>
      <c r="AD119" s="615"/>
      <c r="AE119" s="615"/>
      <c r="AF119" s="615"/>
      <c r="AG119" s="615"/>
      <c r="AH119" s="615"/>
      <c r="AI119" s="615"/>
      <c r="AJ119" s="615"/>
      <c r="AK119" s="615"/>
      <c r="AL119" s="615"/>
      <c r="AM119" s="615"/>
      <c r="AN119" s="615">
        <v>0</v>
      </c>
      <c r="AO119" s="615">
        <v>0</v>
      </c>
      <c r="AP119" s="615">
        <v>1</v>
      </c>
      <c r="AQ119" s="36"/>
      <c r="AR119" s="36">
        <v>1</v>
      </c>
      <c r="AS119" s="36"/>
      <c r="AX119" s="3868" t="s">
        <v>1080</v>
      </c>
      <c r="AY119" s="3721"/>
      <c r="AZ119" s="3721"/>
      <c r="BA119" s="3721"/>
      <c r="BB119" s="3721"/>
      <c r="BC119" s="3721"/>
      <c r="BD119" s="3721"/>
      <c r="BE119" s="3721"/>
      <c r="BF119" s="3721"/>
      <c r="BG119" s="3721"/>
      <c r="BH119" s="3721"/>
      <c r="BI119" s="3721"/>
      <c r="BJ119" s="3721">
        <v>0</v>
      </c>
      <c r="BK119" s="3721">
        <v>1</v>
      </c>
      <c r="BL119" s="3721">
        <v>1</v>
      </c>
      <c r="BM119" s="2110"/>
      <c r="BN119" s="2110">
        <v>1</v>
      </c>
      <c r="BO119" s="2110">
        <v>3</v>
      </c>
      <c r="BP119" s="2110"/>
      <c r="BU119" s="32" t="s">
        <v>1080</v>
      </c>
      <c r="BV119" s="3871"/>
      <c r="BW119" s="3871"/>
      <c r="BX119" s="3871"/>
      <c r="BY119" s="3871"/>
      <c r="BZ119" s="3871"/>
      <c r="CA119" s="3871"/>
      <c r="CB119" s="3871"/>
      <c r="CC119" s="3871"/>
      <c r="CD119" s="3871"/>
      <c r="CE119" s="3871"/>
      <c r="CF119" s="3871"/>
      <c r="CG119" s="3871">
        <v>0</v>
      </c>
      <c r="CH119" s="3871">
        <v>2</v>
      </c>
      <c r="CI119" s="3871"/>
      <c r="CJ119" s="1518">
        <v>1</v>
      </c>
      <c r="CK119" s="1518">
        <v>3</v>
      </c>
      <c r="CN119" s="36"/>
      <c r="CO119" s="36"/>
      <c r="CP119" s="36"/>
      <c r="CQ119" s="36" t="s">
        <v>1074</v>
      </c>
      <c r="CR119" s="615"/>
      <c r="CS119" s="615"/>
      <c r="CT119" s="615"/>
      <c r="CU119" s="615">
        <v>1</v>
      </c>
      <c r="CV119" s="615"/>
      <c r="CW119" s="615"/>
      <c r="CX119" s="615">
        <v>1</v>
      </c>
      <c r="CY119" s="615"/>
      <c r="CZ119" s="615"/>
      <c r="DA119" s="615"/>
      <c r="DB119" s="615">
        <v>0</v>
      </c>
      <c r="DC119" s="615"/>
      <c r="DD119" s="615">
        <v>0</v>
      </c>
      <c r="DE119" s="615">
        <v>0</v>
      </c>
      <c r="DF119" s="615">
        <v>0</v>
      </c>
      <c r="DG119" s="36"/>
      <c r="DH119" s="36"/>
      <c r="DI119" s="36">
        <v>2</v>
      </c>
      <c r="DJ119" s="36"/>
      <c r="DL119" s="36"/>
      <c r="DM119" s="36"/>
      <c r="DN119" s="36"/>
      <c r="DO119" s="36" t="s">
        <v>1735</v>
      </c>
      <c r="DP119" s="1681">
        <v>1</v>
      </c>
      <c r="DQ119" s="1681">
        <v>0</v>
      </c>
      <c r="DR119" s="1681">
        <v>0</v>
      </c>
      <c r="DS119" s="1681">
        <v>0</v>
      </c>
      <c r="DT119" s="1681">
        <v>0</v>
      </c>
      <c r="DU119" s="1681"/>
      <c r="DV119" s="1681">
        <v>0</v>
      </c>
      <c r="DW119" s="1681">
        <v>0</v>
      </c>
      <c r="DX119" s="1681">
        <v>0</v>
      </c>
      <c r="DY119" s="1681">
        <v>0</v>
      </c>
      <c r="DZ119" s="1681"/>
      <c r="EA119" s="1681">
        <v>0</v>
      </c>
      <c r="EB119" s="1681">
        <v>0</v>
      </c>
      <c r="EC119" s="1681">
        <v>0</v>
      </c>
      <c r="ED119" s="1681">
        <v>0</v>
      </c>
      <c r="EE119" s="95">
        <v>0</v>
      </c>
      <c r="EF119" s="95">
        <v>0</v>
      </c>
      <c r="EG119" s="95">
        <v>1</v>
      </c>
      <c r="EH119" s="36"/>
      <c r="EL119" s="36"/>
      <c r="EM119" s="393" t="s">
        <v>15</v>
      </c>
      <c r="EN119" s="1491"/>
      <c r="EO119" s="1491">
        <v>1</v>
      </c>
      <c r="EP119" s="1491"/>
      <c r="EQ119" s="1491"/>
      <c r="ER119" s="1491"/>
      <c r="ES119" s="1491"/>
      <c r="ET119" s="1491"/>
      <c r="EU119" s="1491"/>
      <c r="EV119" s="1491"/>
      <c r="EW119" s="1491"/>
      <c r="EX119" s="1491"/>
      <c r="EY119" s="1491"/>
      <c r="EZ119" s="1491"/>
      <c r="FA119" s="1491">
        <v>3</v>
      </c>
      <c r="FB119" s="1491">
        <v>6</v>
      </c>
      <c r="FC119" s="393">
        <v>2</v>
      </c>
      <c r="FD119" s="393">
        <v>2</v>
      </c>
      <c r="FE119" s="393">
        <v>14</v>
      </c>
      <c r="FF119" s="560">
        <f>+(FE116+FE118-FC118)/FE119</f>
        <v>0.5</v>
      </c>
      <c r="FH119" s="1225"/>
      <c r="FI119" s="1225"/>
      <c r="FJ119" s="1225"/>
      <c r="FK119" s="1226" t="s">
        <v>1072</v>
      </c>
      <c r="FL119" s="1227"/>
      <c r="FM119" s="1228">
        <v>5</v>
      </c>
      <c r="FN119" s="1228">
        <v>1</v>
      </c>
      <c r="FO119" s="1227"/>
      <c r="FP119" s="1228">
        <v>2</v>
      </c>
      <c r="FQ119" s="1228">
        <v>1</v>
      </c>
      <c r="FR119" s="1228">
        <v>0</v>
      </c>
      <c r="FS119" s="1228">
        <v>2</v>
      </c>
      <c r="FT119" s="1228">
        <v>2</v>
      </c>
      <c r="FU119" s="1228">
        <v>2</v>
      </c>
      <c r="FV119" s="1228">
        <v>6</v>
      </c>
      <c r="FW119" s="1228">
        <v>7</v>
      </c>
      <c r="FX119" s="1228">
        <v>6</v>
      </c>
      <c r="FY119" s="1230">
        <v>1</v>
      </c>
      <c r="FZ119" s="1230">
        <v>0</v>
      </c>
      <c r="GA119" s="1230">
        <v>35</v>
      </c>
      <c r="GB119" s="36"/>
      <c r="GD119" s="603"/>
      <c r="GE119" s="603"/>
      <c r="GF119" s="603"/>
      <c r="GG119" s="622" t="s">
        <v>15</v>
      </c>
      <c r="GH119" s="623"/>
      <c r="GI119" s="623"/>
      <c r="GJ119" s="623"/>
      <c r="GK119" s="624">
        <v>1</v>
      </c>
      <c r="GL119" s="623"/>
      <c r="GM119" s="623"/>
      <c r="GN119" s="623"/>
      <c r="GO119" s="623"/>
      <c r="GP119" s="623"/>
      <c r="GQ119" s="623"/>
      <c r="GR119" s="623"/>
      <c r="GS119" s="624">
        <v>2</v>
      </c>
      <c r="GT119" s="624">
        <v>1</v>
      </c>
      <c r="GU119" s="624">
        <v>2</v>
      </c>
      <c r="GV119" s="624">
        <v>11</v>
      </c>
      <c r="GW119" s="625"/>
      <c r="GX119" s="626">
        <v>4</v>
      </c>
      <c r="GY119" s="626">
        <v>21</v>
      </c>
      <c r="GZ119" s="560">
        <f>+(GY116+GY118)/GY119</f>
        <v>0.2857142857142857</v>
      </c>
      <c r="HB119" s="441"/>
      <c r="HC119" s="441"/>
      <c r="HD119" s="441"/>
      <c r="HE119" s="441"/>
      <c r="HF119" s="442" t="s">
        <v>1074</v>
      </c>
      <c r="HG119" s="609"/>
      <c r="HH119" s="610">
        <v>0</v>
      </c>
      <c r="HI119" s="609"/>
      <c r="HJ119" s="609"/>
      <c r="HK119" s="609"/>
      <c r="HL119" s="609"/>
      <c r="HM119" s="609"/>
      <c r="HN119" s="609"/>
      <c r="HO119" s="609"/>
      <c r="HP119" s="610">
        <v>1</v>
      </c>
      <c r="HQ119" s="610">
        <v>0</v>
      </c>
      <c r="HR119" s="610">
        <v>0</v>
      </c>
      <c r="HS119" s="610">
        <v>0</v>
      </c>
      <c r="HT119" s="610">
        <v>0</v>
      </c>
      <c r="HU119" s="610">
        <v>0</v>
      </c>
      <c r="HV119" s="611"/>
      <c r="HW119" s="612">
        <v>0</v>
      </c>
      <c r="HX119" s="612">
        <v>1</v>
      </c>
      <c r="HY119" s="560"/>
      <c r="HZ119" s="36"/>
      <c r="IA119" s="613" t="s">
        <v>3</v>
      </c>
      <c r="IB119" s="36"/>
      <c r="IC119" s="613" t="s">
        <v>482</v>
      </c>
      <c r="ID119" s="389" t="s">
        <v>1072</v>
      </c>
      <c r="IE119" s="614"/>
      <c r="IF119" s="614"/>
      <c r="IG119" s="614"/>
      <c r="IH119" s="390">
        <v>0</v>
      </c>
      <c r="II119" s="390">
        <v>0</v>
      </c>
      <c r="IJ119" s="390">
        <v>0</v>
      </c>
      <c r="IK119" s="390">
        <v>0</v>
      </c>
      <c r="IL119" s="390">
        <v>0</v>
      </c>
      <c r="IM119" s="390">
        <v>1</v>
      </c>
      <c r="IN119" s="390">
        <v>1</v>
      </c>
      <c r="IO119" s="390">
        <v>0</v>
      </c>
      <c r="IP119" s="614"/>
      <c r="IQ119" s="614"/>
      <c r="IR119" s="390">
        <v>2</v>
      </c>
      <c r="IS119" s="615"/>
      <c r="IT119" s="36"/>
      <c r="IU119" s="36"/>
      <c r="IV119" s="95"/>
      <c r="IW119" s="95" t="s">
        <v>3</v>
      </c>
      <c r="IX119" s="95" t="s">
        <v>4</v>
      </c>
      <c r="IY119" s="36" t="s">
        <v>1074</v>
      </c>
      <c r="IZ119" s="36"/>
      <c r="JA119" s="36"/>
      <c r="JB119" s="36">
        <v>1</v>
      </c>
      <c r="JC119" s="36"/>
      <c r="JD119" s="36"/>
      <c r="JE119" s="36">
        <v>0</v>
      </c>
      <c r="JF119" s="36"/>
      <c r="JG119" s="36"/>
      <c r="JH119" s="36">
        <v>0</v>
      </c>
      <c r="JI119" s="36">
        <v>0</v>
      </c>
      <c r="JJ119" s="36">
        <v>0</v>
      </c>
      <c r="JK119" s="36">
        <v>0</v>
      </c>
      <c r="JL119" s="36">
        <v>0</v>
      </c>
      <c r="JM119" s="36"/>
      <c r="JN119" s="36"/>
      <c r="JO119" s="36"/>
      <c r="JP119" s="36">
        <v>1</v>
      </c>
      <c r="JQ119" s="36"/>
      <c r="JR119" s="36"/>
      <c r="JS119" s="616"/>
      <c r="JT119" s="616" t="s">
        <v>1144</v>
      </c>
      <c r="JU119" s="616" t="s">
        <v>4</v>
      </c>
      <c r="JV119" s="616" t="s">
        <v>1074</v>
      </c>
      <c r="JW119" s="616">
        <v>0</v>
      </c>
      <c r="JX119" s="616">
        <v>0</v>
      </c>
      <c r="JY119" s="616">
        <v>1</v>
      </c>
      <c r="JZ119" s="616">
        <v>0</v>
      </c>
      <c r="KA119" s="616">
        <v>0</v>
      </c>
      <c r="KB119" s="616">
        <v>0</v>
      </c>
      <c r="KC119" s="616">
        <v>0</v>
      </c>
      <c r="KD119" s="616">
        <v>0</v>
      </c>
      <c r="KE119" s="616">
        <v>0</v>
      </c>
      <c r="KF119" s="616">
        <v>0</v>
      </c>
      <c r="KG119" s="616">
        <v>0</v>
      </c>
      <c r="KH119" s="616">
        <v>0</v>
      </c>
      <c r="KI119" s="616">
        <v>0</v>
      </c>
      <c r="KJ119" s="616">
        <v>0</v>
      </c>
      <c r="KK119" s="616">
        <v>0</v>
      </c>
      <c r="KL119" s="616">
        <v>0</v>
      </c>
      <c r="KM119" s="616">
        <v>1</v>
      </c>
      <c r="KN119" s="616"/>
      <c r="KO119" s="617"/>
    </row>
    <row r="120" spans="1:301">
      <c r="A120" s="5737">
        <v>2</v>
      </c>
      <c r="B120" s="5737">
        <v>3</v>
      </c>
      <c r="C120" s="5736" t="s">
        <v>128</v>
      </c>
      <c r="D120" s="5736" t="s">
        <v>2731</v>
      </c>
      <c r="E120" s="5737">
        <v>10</v>
      </c>
      <c r="F120" s="5737">
        <v>14</v>
      </c>
      <c r="I120" s="4726">
        <v>2</v>
      </c>
      <c r="J120" s="4726">
        <v>3</v>
      </c>
      <c r="K120" s="4725" t="s">
        <v>128</v>
      </c>
      <c r="L120" s="4963" t="s">
        <v>2707</v>
      </c>
      <c r="M120" s="4964">
        <v>1</v>
      </c>
      <c r="N120" s="4726">
        <v>10</v>
      </c>
      <c r="Q120" s="4458"/>
      <c r="R120" s="4458"/>
      <c r="S120" s="4465" t="s">
        <v>15</v>
      </c>
      <c r="T120" s="4461"/>
      <c r="U120" s="4458"/>
      <c r="V120" s="4480">
        <v>26</v>
      </c>
      <c r="W120" s="4476">
        <f>+(V118 +V119)/(V120)</f>
        <v>0.19230769230769232</v>
      </c>
      <c r="X120" s="4467">
        <v>11</v>
      </c>
      <c r="Y120" s="4467"/>
      <c r="Z120" s="36"/>
      <c r="AA120" s="36"/>
      <c r="AB120" s="36"/>
      <c r="AC120" s="36" t="s">
        <v>1076</v>
      </c>
      <c r="AD120" s="615"/>
      <c r="AE120" s="615"/>
      <c r="AF120" s="615"/>
      <c r="AG120" s="615"/>
      <c r="AH120" s="615"/>
      <c r="AI120" s="615"/>
      <c r="AJ120" s="615"/>
      <c r="AK120" s="615"/>
      <c r="AL120" s="615"/>
      <c r="AM120" s="615"/>
      <c r="AN120" s="615">
        <v>1</v>
      </c>
      <c r="AO120" s="615">
        <v>1</v>
      </c>
      <c r="AP120" s="615">
        <v>0</v>
      </c>
      <c r="AQ120" s="36"/>
      <c r="AR120" s="36">
        <v>2</v>
      </c>
      <c r="AS120" s="36"/>
      <c r="AU120" s="36"/>
      <c r="AV120" s="36"/>
      <c r="AW120" s="36"/>
      <c r="AX120" s="36" t="s">
        <v>1163</v>
      </c>
      <c r="AY120" s="1681"/>
      <c r="AZ120" s="1681"/>
      <c r="BA120" s="1681"/>
      <c r="BB120" s="1681"/>
      <c r="BC120" s="1681"/>
      <c r="BD120" s="1681"/>
      <c r="BE120" s="1681"/>
      <c r="BF120" s="1681"/>
      <c r="BG120" s="1681"/>
      <c r="BH120" s="1681"/>
      <c r="BI120" s="1681"/>
      <c r="BJ120" s="1681">
        <v>3</v>
      </c>
      <c r="BK120" s="1681">
        <v>1</v>
      </c>
      <c r="BL120" s="1681">
        <v>0</v>
      </c>
      <c r="BM120" s="95"/>
      <c r="BN120" s="95">
        <v>0</v>
      </c>
      <c r="BO120" s="95">
        <v>4</v>
      </c>
      <c r="BP120" s="95"/>
      <c r="BU120" s="32" t="s">
        <v>1163</v>
      </c>
      <c r="BV120" s="3871"/>
      <c r="BW120" s="3871"/>
      <c r="BX120" s="3871"/>
      <c r="BY120" s="3871"/>
      <c r="BZ120" s="3871"/>
      <c r="CA120" s="3871"/>
      <c r="CB120" s="3871"/>
      <c r="CC120" s="3871"/>
      <c r="CD120" s="3871"/>
      <c r="CE120" s="3871"/>
      <c r="CF120" s="3871"/>
      <c r="CG120" s="3871">
        <v>1</v>
      </c>
      <c r="CH120" s="3871">
        <v>1</v>
      </c>
      <c r="CI120" s="3871"/>
      <c r="CJ120" s="1518">
        <v>0</v>
      </c>
      <c r="CK120" s="1518">
        <v>2</v>
      </c>
      <c r="CN120" s="36"/>
      <c r="CO120" s="36"/>
      <c r="CP120" s="36"/>
      <c r="CQ120" s="36" t="s">
        <v>1076</v>
      </c>
      <c r="CR120" s="615"/>
      <c r="CS120" s="615"/>
      <c r="CT120" s="615"/>
      <c r="CU120" s="615">
        <v>0</v>
      </c>
      <c r="CV120" s="615"/>
      <c r="CW120" s="615"/>
      <c r="CX120" s="615">
        <v>0</v>
      </c>
      <c r="CY120" s="615"/>
      <c r="CZ120" s="615"/>
      <c r="DA120" s="615"/>
      <c r="DB120" s="615">
        <v>0</v>
      </c>
      <c r="DC120" s="615"/>
      <c r="DD120" s="615">
        <v>2</v>
      </c>
      <c r="DE120" s="615">
        <v>8</v>
      </c>
      <c r="DF120" s="615">
        <v>0</v>
      </c>
      <c r="DG120" s="36"/>
      <c r="DH120" s="36"/>
      <c r="DI120" s="36">
        <v>10</v>
      </c>
      <c r="DJ120" s="36"/>
      <c r="DL120" s="36"/>
      <c r="DM120" s="36"/>
      <c r="DN120" s="36"/>
      <c r="DO120" s="393" t="s">
        <v>109</v>
      </c>
      <c r="DP120" s="1682">
        <v>2</v>
      </c>
      <c r="DQ120" s="1682">
        <v>3</v>
      </c>
      <c r="DR120" s="1682">
        <v>1</v>
      </c>
      <c r="DS120" s="1682">
        <v>1</v>
      </c>
      <c r="DT120" s="1682">
        <v>5</v>
      </c>
      <c r="DU120" s="1682"/>
      <c r="DV120" s="1682">
        <v>2</v>
      </c>
      <c r="DW120" s="1682">
        <v>2</v>
      </c>
      <c r="DX120" s="1682">
        <v>1</v>
      </c>
      <c r="DY120" s="1682">
        <v>1</v>
      </c>
      <c r="DZ120" s="1682"/>
      <c r="EA120" s="1682">
        <v>6</v>
      </c>
      <c r="EB120" s="1682">
        <v>26</v>
      </c>
      <c r="EC120" s="1682">
        <v>28</v>
      </c>
      <c r="ED120" s="1682">
        <v>38</v>
      </c>
      <c r="EE120" s="86">
        <v>7</v>
      </c>
      <c r="EF120" s="86">
        <v>15</v>
      </c>
      <c r="EG120" s="86">
        <v>138</v>
      </c>
      <c r="EH120" s="560">
        <f>+(EG116-EE116+EG118)/(EG120-EG119)</f>
        <v>0.34306569343065696</v>
      </c>
      <c r="EL120" s="36" t="s">
        <v>320</v>
      </c>
      <c r="EM120" s="36" t="s">
        <v>1072</v>
      </c>
      <c r="EN120" s="1490"/>
      <c r="EO120" s="1490"/>
      <c r="EP120" s="1490"/>
      <c r="EQ120" s="1490"/>
      <c r="ER120" s="1490"/>
      <c r="ES120" s="1490"/>
      <c r="ET120" s="1490"/>
      <c r="EU120" s="1490"/>
      <c r="EV120" s="1490"/>
      <c r="EW120" s="1490"/>
      <c r="EX120" s="1490"/>
      <c r="EY120" s="1490">
        <v>2</v>
      </c>
      <c r="EZ120" s="1490">
        <v>4</v>
      </c>
      <c r="FA120" s="1490">
        <v>3</v>
      </c>
      <c r="FB120" s="1490">
        <v>0</v>
      </c>
      <c r="FC120" s="36">
        <v>0</v>
      </c>
      <c r="FD120" s="36">
        <v>0</v>
      </c>
      <c r="FE120" s="36">
        <v>9</v>
      </c>
      <c r="FF120" s="36"/>
      <c r="FH120" s="1225"/>
      <c r="FI120" s="1225"/>
      <c r="FJ120" s="1225"/>
      <c r="FK120" s="1226" t="s">
        <v>1074</v>
      </c>
      <c r="FL120" s="1227"/>
      <c r="FM120" s="1228">
        <v>2</v>
      </c>
      <c r="FN120" s="1228">
        <v>1</v>
      </c>
      <c r="FO120" s="1227"/>
      <c r="FP120" s="1228">
        <v>0</v>
      </c>
      <c r="FQ120" s="1228">
        <v>0</v>
      </c>
      <c r="FR120" s="1228">
        <v>0</v>
      </c>
      <c r="FS120" s="1228">
        <v>0</v>
      </c>
      <c r="FT120" s="1228">
        <v>0</v>
      </c>
      <c r="FU120" s="1228">
        <v>0</v>
      </c>
      <c r="FV120" s="1228">
        <v>0</v>
      </c>
      <c r="FW120" s="1228">
        <v>0</v>
      </c>
      <c r="FX120" s="1228">
        <v>0</v>
      </c>
      <c r="FY120" s="1230">
        <v>0</v>
      </c>
      <c r="FZ120" s="1230">
        <v>0</v>
      </c>
      <c r="GA120" s="1230">
        <v>3</v>
      </c>
      <c r="GB120" s="36"/>
      <c r="GD120" s="603"/>
      <c r="GE120" s="603"/>
      <c r="GF120" s="603" t="s">
        <v>485</v>
      </c>
      <c r="GG120" s="604" t="s">
        <v>1071</v>
      </c>
      <c r="GH120" s="605"/>
      <c r="GI120" s="606">
        <v>0</v>
      </c>
      <c r="GJ120" s="605"/>
      <c r="GK120" s="606">
        <v>0</v>
      </c>
      <c r="GL120" s="605"/>
      <c r="GM120" s="605"/>
      <c r="GN120" s="605"/>
      <c r="GO120" s="605"/>
      <c r="GP120" s="605"/>
      <c r="GQ120" s="605"/>
      <c r="GR120" s="605"/>
      <c r="GS120" s="606">
        <v>0</v>
      </c>
      <c r="GT120" s="606">
        <v>1</v>
      </c>
      <c r="GU120" s="606">
        <v>0</v>
      </c>
      <c r="GV120" s="606">
        <v>3</v>
      </c>
      <c r="GW120" s="608">
        <v>0</v>
      </c>
      <c r="GX120" s="608">
        <v>0</v>
      </c>
      <c r="GY120" s="608">
        <v>4</v>
      </c>
      <c r="GZ120" s="95"/>
      <c r="HB120" s="441"/>
      <c r="HC120" s="441"/>
      <c r="HD120" s="441"/>
      <c r="HE120" s="441"/>
      <c r="HF120" s="442" t="s">
        <v>1076</v>
      </c>
      <c r="HG120" s="609"/>
      <c r="HH120" s="610">
        <v>0</v>
      </c>
      <c r="HI120" s="609"/>
      <c r="HJ120" s="609"/>
      <c r="HK120" s="609"/>
      <c r="HL120" s="609"/>
      <c r="HM120" s="609"/>
      <c r="HN120" s="609"/>
      <c r="HO120" s="609"/>
      <c r="HP120" s="610">
        <v>0</v>
      </c>
      <c r="HQ120" s="610">
        <v>1</v>
      </c>
      <c r="HR120" s="610">
        <v>0</v>
      </c>
      <c r="HS120" s="610">
        <v>2</v>
      </c>
      <c r="HT120" s="610">
        <v>5</v>
      </c>
      <c r="HU120" s="610">
        <v>1</v>
      </c>
      <c r="HV120" s="611"/>
      <c r="HW120" s="612">
        <v>0</v>
      </c>
      <c r="HX120" s="612">
        <v>9</v>
      </c>
      <c r="HY120" s="560"/>
      <c r="HZ120" s="36"/>
      <c r="IA120" s="36"/>
      <c r="IB120" s="36"/>
      <c r="IC120" s="613"/>
      <c r="ID120" s="389" t="s">
        <v>1076</v>
      </c>
      <c r="IE120" s="614"/>
      <c r="IF120" s="614"/>
      <c r="IG120" s="614"/>
      <c r="IH120" s="390">
        <v>0</v>
      </c>
      <c r="II120" s="390">
        <v>1</v>
      </c>
      <c r="IJ120" s="390">
        <v>0</v>
      </c>
      <c r="IK120" s="390">
        <v>0</v>
      </c>
      <c r="IL120" s="390">
        <v>0</v>
      </c>
      <c r="IM120" s="390">
        <v>0</v>
      </c>
      <c r="IN120" s="390">
        <v>0</v>
      </c>
      <c r="IO120" s="390">
        <v>0</v>
      </c>
      <c r="IP120" s="614"/>
      <c r="IQ120" s="614"/>
      <c r="IR120" s="390">
        <v>1</v>
      </c>
      <c r="IS120" s="615"/>
      <c r="IT120" s="36"/>
      <c r="IU120" s="36"/>
      <c r="IV120" s="95"/>
      <c r="IW120" s="95"/>
      <c r="IX120" s="95"/>
      <c r="IY120" s="36" t="s">
        <v>1076</v>
      </c>
      <c r="IZ120" s="36"/>
      <c r="JA120" s="36"/>
      <c r="JB120" s="36">
        <v>0</v>
      </c>
      <c r="JC120" s="36"/>
      <c r="JD120" s="36"/>
      <c r="JE120" s="36">
        <v>0</v>
      </c>
      <c r="JF120" s="36"/>
      <c r="JG120" s="36"/>
      <c r="JH120" s="36">
        <v>1</v>
      </c>
      <c r="JI120" s="36">
        <v>0</v>
      </c>
      <c r="JJ120" s="36">
        <v>0</v>
      </c>
      <c r="JK120" s="36">
        <v>0</v>
      </c>
      <c r="JL120" s="36">
        <v>0</v>
      </c>
      <c r="JM120" s="36"/>
      <c r="JN120" s="36"/>
      <c r="JO120" s="36"/>
      <c r="JP120" s="36">
        <v>1</v>
      </c>
      <c r="JQ120" s="36"/>
      <c r="JR120" s="36"/>
      <c r="JS120" s="616"/>
      <c r="JT120" s="616"/>
      <c r="JU120" s="616"/>
      <c r="JV120" s="616" t="s">
        <v>1076</v>
      </c>
      <c r="JW120" s="616">
        <v>0</v>
      </c>
      <c r="JX120" s="616">
        <v>0</v>
      </c>
      <c r="JY120" s="616">
        <v>0</v>
      </c>
      <c r="JZ120" s="616">
        <v>0</v>
      </c>
      <c r="KA120" s="616">
        <v>0</v>
      </c>
      <c r="KB120" s="616">
        <v>0</v>
      </c>
      <c r="KC120" s="616">
        <v>0</v>
      </c>
      <c r="KD120" s="616">
        <v>0</v>
      </c>
      <c r="KE120" s="616">
        <v>1</v>
      </c>
      <c r="KF120" s="616">
        <v>0</v>
      </c>
      <c r="KG120" s="616">
        <v>0</v>
      </c>
      <c r="KH120" s="616">
        <v>0</v>
      </c>
      <c r="KI120" s="616">
        <v>1</v>
      </c>
      <c r="KJ120" s="616">
        <v>0</v>
      </c>
      <c r="KK120" s="616">
        <v>0</v>
      </c>
      <c r="KL120" s="616">
        <v>0</v>
      </c>
      <c r="KM120" s="616">
        <v>2</v>
      </c>
      <c r="KN120" s="616"/>
      <c r="KO120" s="617"/>
    </row>
    <row r="121" spans="1:301">
      <c r="A121" s="5737">
        <v>2</v>
      </c>
      <c r="B121" s="5737">
        <v>3</v>
      </c>
      <c r="C121" s="5736" t="s">
        <v>128</v>
      </c>
      <c r="D121" s="5736" t="s">
        <v>2731</v>
      </c>
      <c r="E121" s="5737">
        <v>1</v>
      </c>
      <c r="F121" s="5737">
        <v>15</v>
      </c>
      <c r="I121" s="4726">
        <v>2</v>
      </c>
      <c r="J121" s="4726">
        <v>3</v>
      </c>
      <c r="K121" s="4725" t="s">
        <v>128</v>
      </c>
      <c r="L121" s="4963" t="s">
        <v>1076</v>
      </c>
      <c r="M121" s="4964">
        <v>3</v>
      </c>
      <c r="N121" s="4726">
        <v>12</v>
      </c>
      <c r="Q121" s="4458"/>
      <c r="R121" s="4458"/>
      <c r="S121" s="4465"/>
      <c r="T121" s="4461"/>
      <c r="U121" s="4458"/>
      <c r="V121" s="4481">
        <f>SUM(V103:V104,V107:V108,V110:V111,V117:V118)</f>
        <v>11</v>
      </c>
      <c r="W121" s="4476"/>
      <c r="X121" s="4467"/>
      <c r="Y121" s="4467"/>
      <c r="Z121" s="36"/>
      <c r="AA121" s="36"/>
      <c r="AB121" s="36"/>
      <c r="AC121" s="36" t="s">
        <v>1080</v>
      </c>
      <c r="AD121" s="615"/>
      <c r="AE121" s="615"/>
      <c r="AF121" s="615"/>
      <c r="AG121" s="615"/>
      <c r="AH121" s="615"/>
      <c r="AI121" s="615"/>
      <c r="AJ121" s="615"/>
      <c r="AK121" s="615"/>
      <c r="AL121" s="615"/>
      <c r="AM121" s="615"/>
      <c r="AN121" s="615">
        <v>0</v>
      </c>
      <c r="AO121" s="615">
        <v>8</v>
      </c>
      <c r="AP121" s="615">
        <v>0</v>
      </c>
      <c r="AQ121" s="36"/>
      <c r="AR121" s="36">
        <v>8</v>
      </c>
      <c r="AS121" s="36"/>
      <c r="AU121" s="36"/>
      <c r="AV121" s="36"/>
      <c r="AW121" s="36"/>
      <c r="AX121" s="36" t="s">
        <v>15</v>
      </c>
      <c r="AY121" s="1681"/>
      <c r="AZ121" s="1681"/>
      <c r="BA121" s="1681"/>
      <c r="BB121" s="1681"/>
      <c r="BC121" s="1681"/>
      <c r="BD121" s="1681"/>
      <c r="BE121" s="1681"/>
      <c r="BF121" s="1681"/>
      <c r="BG121" s="1681"/>
      <c r="BH121" s="1681"/>
      <c r="BI121" s="1681"/>
      <c r="BJ121" s="1681">
        <v>3</v>
      </c>
      <c r="BK121" s="1681">
        <v>4</v>
      </c>
      <c r="BL121" s="1681">
        <v>1</v>
      </c>
      <c r="BM121" s="95"/>
      <c r="BN121" s="95">
        <v>1</v>
      </c>
      <c r="BO121" s="95">
        <v>9</v>
      </c>
      <c r="BP121" s="560">
        <f>+(BO118+BO120)/(BO121)</f>
        <v>0.66666666666666663</v>
      </c>
      <c r="BU121" s="1520" t="s">
        <v>15</v>
      </c>
      <c r="BV121" s="3872"/>
      <c r="BW121" s="3872"/>
      <c r="BX121" s="3872"/>
      <c r="BY121" s="3872"/>
      <c r="BZ121" s="3872"/>
      <c r="CA121" s="3872"/>
      <c r="CB121" s="3872"/>
      <c r="CC121" s="3872"/>
      <c r="CD121" s="3872"/>
      <c r="CE121" s="3872"/>
      <c r="CF121" s="3872"/>
      <c r="CG121" s="3872">
        <v>3</v>
      </c>
      <c r="CH121" s="3872">
        <v>5</v>
      </c>
      <c r="CI121" s="3872"/>
      <c r="CJ121" s="3806">
        <v>1</v>
      </c>
      <c r="CK121" s="3806">
        <v>9</v>
      </c>
      <c r="CL121" s="3807">
        <f>+(CK118+CK120)/CK121</f>
        <v>0.66666666666666663</v>
      </c>
      <c r="CN121" s="36"/>
      <c r="CO121" s="36"/>
      <c r="CP121" s="36"/>
      <c r="CQ121" s="36" t="s">
        <v>1077</v>
      </c>
      <c r="CR121" s="615"/>
      <c r="CS121" s="615"/>
      <c r="CT121" s="615"/>
      <c r="CU121" s="615">
        <v>1</v>
      </c>
      <c r="CV121" s="615"/>
      <c r="CW121" s="615"/>
      <c r="CX121" s="615">
        <v>0</v>
      </c>
      <c r="CY121" s="615"/>
      <c r="CZ121" s="615"/>
      <c r="DA121" s="615"/>
      <c r="DB121" s="615">
        <v>1</v>
      </c>
      <c r="DC121" s="615"/>
      <c r="DD121" s="615">
        <v>0</v>
      </c>
      <c r="DE121" s="615">
        <v>0</v>
      </c>
      <c r="DF121" s="615">
        <v>0</v>
      </c>
      <c r="DG121" s="36"/>
      <c r="DH121" s="36"/>
      <c r="DI121" s="36">
        <v>2</v>
      </c>
      <c r="DJ121" s="36"/>
      <c r="DL121" s="36" t="s">
        <v>48</v>
      </c>
      <c r="DM121" s="36" t="s">
        <v>16</v>
      </c>
      <c r="DN121" s="36" t="s">
        <v>143</v>
      </c>
      <c r="DO121" s="36" t="s">
        <v>1072</v>
      </c>
      <c r="DP121" s="1681"/>
      <c r="DQ121" s="1681">
        <v>1</v>
      </c>
      <c r="DR121" s="1681">
        <v>2</v>
      </c>
      <c r="DS121" s="1681"/>
      <c r="DT121" s="1681"/>
      <c r="DU121" s="1681"/>
      <c r="DV121" s="1681"/>
      <c r="DW121" s="1681"/>
      <c r="DX121" s="1681">
        <v>1</v>
      </c>
      <c r="DY121" s="1681">
        <v>1</v>
      </c>
      <c r="DZ121" s="1681"/>
      <c r="EA121" s="1681"/>
      <c r="EB121" s="1681">
        <v>21</v>
      </c>
      <c r="EC121" s="1681">
        <v>7</v>
      </c>
      <c r="ED121" s="1681">
        <v>1</v>
      </c>
      <c r="EE121" s="95">
        <v>1</v>
      </c>
      <c r="EF121" s="95">
        <v>0</v>
      </c>
      <c r="EG121" s="95">
        <v>35</v>
      </c>
      <c r="EH121" s="36"/>
      <c r="EL121" s="36"/>
      <c r="EM121" s="36" t="s">
        <v>1076</v>
      </c>
      <c r="EN121" s="1490"/>
      <c r="EO121" s="1490"/>
      <c r="EP121" s="1490"/>
      <c r="EQ121" s="1490"/>
      <c r="ER121" s="1490"/>
      <c r="ES121" s="1490"/>
      <c r="ET121" s="1490"/>
      <c r="EU121" s="1490"/>
      <c r="EV121" s="1490"/>
      <c r="EW121" s="1490"/>
      <c r="EX121" s="1490"/>
      <c r="EY121" s="1490">
        <v>0</v>
      </c>
      <c r="EZ121" s="1490">
        <v>0</v>
      </c>
      <c r="FA121" s="1490">
        <v>1</v>
      </c>
      <c r="FB121" s="1490">
        <v>0</v>
      </c>
      <c r="FC121" s="36">
        <v>2</v>
      </c>
      <c r="FD121" s="36">
        <v>0</v>
      </c>
      <c r="FE121" s="36">
        <v>3</v>
      </c>
      <c r="FF121" s="36"/>
      <c r="FH121" s="1225"/>
      <c r="FI121" s="1225"/>
      <c r="FJ121" s="1225"/>
      <c r="FK121" s="1226" t="s">
        <v>1076</v>
      </c>
      <c r="FL121" s="1227"/>
      <c r="FM121" s="1228">
        <v>0</v>
      </c>
      <c r="FN121" s="1228">
        <v>0</v>
      </c>
      <c r="FO121" s="1227"/>
      <c r="FP121" s="1228">
        <v>0</v>
      </c>
      <c r="FQ121" s="1228">
        <v>0</v>
      </c>
      <c r="FR121" s="1228">
        <v>2</v>
      </c>
      <c r="FS121" s="1228">
        <v>4</v>
      </c>
      <c r="FT121" s="1228">
        <v>4</v>
      </c>
      <c r="FU121" s="1228">
        <v>1</v>
      </c>
      <c r="FV121" s="1228">
        <v>10</v>
      </c>
      <c r="FW121" s="1228">
        <v>6</v>
      </c>
      <c r="FX121" s="1228">
        <v>1</v>
      </c>
      <c r="FY121" s="1230">
        <v>1</v>
      </c>
      <c r="FZ121" s="1230">
        <v>0</v>
      </c>
      <c r="GA121" s="1230">
        <v>29</v>
      </c>
      <c r="GB121" s="36"/>
      <c r="GD121" s="603"/>
      <c r="GE121" s="603"/>
      <c r="GF121" s="603"/>
      <c r="GG121" s="604" t="s">
        <v>1072</v>
      </c>
      <c r="GH121" s="605"/>
      <c r="GI121" s="606">
        <v>1</v>
      </c>
      <c r="GJ121" s="605"/>
      <c r="GK121" s="606">
        <v>1</v>
      </c>
      <c r="GL121" s="605"/>
      <c r="GM121" s="605"/>
      <c r="GN121" s="605"/>
      <c r="GO121" s="605"/>
      <c r="GP121" s="605"/>
      <c r="GQ121" s="605"/>
      <c r="GR121" s="605"/>
      <c r="GS121" s="606">
        <v>0</v>
      </c>
      <c r="GT121" s="606">
        <v>0</v>
      </c>
      <c r="GU121" s="606">
        <v>2</v>
      </c>
      <c r="GV121" s="606">
        <v>0</v>
      </c>
      <c r="GW121" s="608">
        <v>0</v>
      </c>
      <c r="GX121" s="608">
        <v>0</v>
      </c>
      <c r="GY121" s="608">
        <v>4</v>
      </c>
      <c r="GZ121" s="95"/>
      <c r="HB121" s="441"/>
      <c r="HC121" s="441"/>
      <c r="HD121" s="441"/>
      <c r="HE121" s="441"/>
      <c r="HF121" s="442" t="s">
        <v>1080</v>
      </c>
      <c r="HG121" s="609"/>
      <c r="HH121" s="610">
        <v>0</v>
      </c>
      <c r="HI121" s="609"/>
      <c r="HJ121" s="609"/>
      <c r="HK121" s="609"/>
      <c r="HL121" s="609"/>
      <c r="HM121" s="609"/>
      <c r="HN121" s="609"/>
      <c r="HO121" s="609"/>
      <c r="HP121" s="610">
        <v>0</v>
      </c>
      <c r="HQ121" s="610">
        <v>0</v>
      </c>
      <c r="HR121" s="610">
        <v>0</v>
      </c>
      <c r="HS121" s="610">
        <v>1</v>
      </c>
      <c r="HT121" s="610">
        <v>0</v>
      </c>
      <c r="HU121" s="610">
        <v>11</v>
      </c>
      <c r="HV121" s="611"/>
      <c r="HW121" s="612">
        <v>2</v>
      </c>
      <c r="HX121" s="612">
        <v>14</v>
      </c>
      <c r="HY121" s="560"/>
      <c r="HZ121" s="36"/>
      <c r="IA121" s="36"/>
      <c r="IB121" s="36"/>
      <c r="IC121" s="613"/>
      <c r="ID121" s="389" t="s">
        <v>1077</v>
      </c>
      <c r="IE121" s="614"/>
      <c r="IF121" s="614"/>
      <c r="IG121" s="614"/>
      <c r="IH121" s="390">
        <v>1</v>
      </c>
      <c r="II121" s="390">
        <v>1</v>
      </c>
      <c r="IJ121" s="390">
        <v>0</v>
      </c>
      <c r="IK121" s="390">
        <v>1</v>
      </c>
      <c r="IL121" s="390">
        <v>1</v>
      </c>
      <c r="IM121" s="390">
        <v>0</v>
      </c>
      <c r="IN121" s="390">
        <v>0</v>
      </c>
      <c r="IO121" s="390">
        <v>0</v>
      </c>
      <c r="IP121" s="614"/>
      <c r="IQ121" s="614"/>
      <c r="IR121" s="390">
        <v>4</v>
      </c>
      <c r="IS121" s="615"/>
      <c r="IT121" s="36"/>
      <c r="IU121" s="36"/>
      <c r="IV121" s="95"/>
      <c r="IW121" s="95"/>
      <c r="IX121" s="95"/>
      <c r="IY121" s="36" t="s">
        <v>1077</v>
      </c>
      <c r="IZ121" s="36"/>
      <c r="JA121" s="36"/>
      <c r="JB121" s="36">
        <v>0</v>
      </c>
      <c r="JC121" s="36"/>
      <c r="JD121" s="36"/>
      <c r="JE121" s="36">
        <v>1</v>
      </c>
      <c r="JF121" s="36"/>
      <c r="JG121" s="36"/>
      <c r="JH121" s="36">
        <v>0</v>
      </c>
      <c r="JI121" s="36">
        <v>0</v>
      </c>
      <c r="JJ121" s="36">
        <v>0</v>
      </c>
      <c r="JK121" s="36">
        <v>3</v>
      </c>
      <c r="JL121" s="36">
        <v>0</v>
      </c>
      <c r="JM121" s="36"/>
      <c r="JN121" s="36"/>
      <c r="JO121" s="36"/>
      <c r="JP121" s="36">
        <v>4</v>
      </c>
      <c r="JQ121" s="36"/>
      <c r="JR121" s="36"/>
      <c r="JS121" s="616"/>
      <c r="JT121" s="616"/>
      <c r="JU121" s="616"/>
      <c r="JV121" s="616" t="s">
        <v>1077</v>
      </c>
      <c r="JW121" s="616">
        <v>0</v>
      </c>
      <c r="JX121" s="616">
        <v>0</v>
      </c>
      <c r="JY121" s="616">
        <v>0</v>
      </c>
      <c r="JZ121" s="616">
        <v>0</v>
      </c>
      <c r="KA121" s="616">
        <v>0</v>
      </c>
      <c r="KB121" s="616">
        <v>0</v>
      </c>
      <c r="KC121" s="616">
        <v>1</v>
      </c>
      <c r="KD121" s="616">
        <v>0</v>
      </c>
      <c r="KE121" s="616">
        <v>0</v>
      </c>
      <c r="KF121" s="616">
        <v>0</v>
      </c>
      <c r="KG121" s="616">
        <v>0</v>
      </c>
      <c r="KH121" s="616">
        <v>0</v>
      </c>
      <c r="KI121" s="616">
        <v>0</v>
      </c>
      <c r="KJ121" s="616">
        <v>0</v>
      </c>
      <c r="KK121" s="616">
        <v>0</v>
      </c>
      <c r="KL121" s="616">
        <v>0</v>
      </c>
      <c r="KM121" s="616">
        <v>1</v>
      </c>
      <c r="KN121" s="616"/>
      <c r="KO121" s="617"/>
    </row>
    <row r="122" spans="1:301">
      <c r="A122" s="5737">
        <v>2</v>
      </c>
      <c r="B122" s="5737">
        <v>3</v>
      </c>
      <c r="C122" s="5736" t="s">
        <v>128</v>
      </c>
      <c r="D122" s="5736" t="s">
        <v>2731</v>
      </c>
      <c r="E122" s="5737">
        <v>1</v>
      </c>
      <c r="F122" s="5737">
        <v>16</v>
      </c>
      <c r="I122" s="4726">
        <v>2</v>
      </c>
      <c r="J122" s="4726">
        <v>3</v>
      </c>
      <c r="K122" s="4725" t="s">
        <v>128</v>
      </c>
      <c r="L122" s="4963" t="s">
        <v>1076</v>
      </c>
      <c r="M122" s="4964">
        <v>3</v>
      </c>
      <c r="N122" s="4726">
        <v>13</v>
      </c>
      <c r="Q122" s="4458"/>
      <c r="R122" s="4474"/>
      <c r="S122" s="4471" t="s">
        <v>485</v>
      </c>
      <c r="T122" s="4475"/>
      <c r="U122" s="4474"/>
      <c r="V122" s="4487">
        <f>SUM(V106,V112,V120)</f>
        <v>45</v>
      </c>
      <c r="W122" s="4451">
        <f>+(V121)/(V122)</f>
        <v>0.24444444444444444</v>
      </c>
      <c r="X122" s="4467"/>
      <c r="Y122" s="4467"/>
      <c r="Z122" s="36"/>
      <c r="AA122" s="36"/>
      <c r="AB122" s="36"/>
      <c r="AC122" s="4236" t="s">
        <v>15</v>
      </c>
      <c r="AD122" s="4236"/>
      <c r="AE122" s="4236"/>
      <c r="AF122" s="4236"/>
      <c r="AG122" s="4236"/>
      <c r="AH122" s="4236"/>
      <c r="AI122" s="4236"/>
      <c r="AJ122" s="4236"/>
      <c r="AK122" s="4236"/>
      <c r="AL122" s="4236"/>
      <c r="AM122" s="4236"/>
      <c r="AN122" s="4236">
        <v>1</v>
      </c>
      <c r="AO122" s="4236">
        <v>9</v>
      </c>
      <c r="AP122" s="4236">
        <v>1</v>
      </c>
      <c r="AQ122" s="4236"/>
      <c r="AR122" s="4236">
        <v>11</v>
      </c>
      <c r="AS122" s="4243">
        <f>AR120/AR122</f>
        <v>0.18181818181818182</v>
      </c>
      <c r="AU122" s="36"/>
      <c r="AV122" s="36"/>
      <c r="AW122" s="36" t="s">
        <v>320</v>
      </c>
      <c r="AX122" s="36" t="s">
        <v>1072</v>
      </c>
      <c r="AY122" s="1681"/>
      <c r="AZ122" s="1681"/>
      <c r="BA122" s="1681"/>
      <c r="BB122" s="1681"/>
      <c r="BC122" s="1681"/>
      <c r="BD122" s="1681"/>
      <c r="BE122" s="1681"/>
      <c r="BF122" s="1681">
        <v>0</v>
      </c>
      <c r="BG122" s="1681"/>
      <c r="BH122" s="1681"/>
      <c r="BI122" s="1681">
        <v>0</v>
      </c>
      <c r="BJ122" s="1681">
        <v>1</v>
      </c>
      <c r="BK122" s="1681">
        <v>0</v>
      </c>
      <c r="BL122" s="1681">
        <v>0</v>
      </c>
      <c r="BM122" s="95">
        <v>0</v>
      </c>
      <c r="BN122" s="95">
        <v>0</v>
      </c>
      <c r="BO122" s="95">
        <v>1</v>
      </c>
      <c r="BP122" s="95"/>
      <c r="BT122" s="32" t="s">
        <v>320</v>
      </c>
      <c r="BU122" s="32" t="s">
        <v>1072</v>
      </c>
      <c r="BV122" s="3871">
        <v>0</v>
      </c>
      <c r="BW122" s="3871"/>
      <c r="BX122" s="3871"/>
      <c r="BY122" s="3871"/>
      <c r="BZ122" s="3871"/>
      <c r="CA122" s="3871"/>
      <c r="CB122" s="3871"/>
      <c r="CC122" s="3871">
        <v>0</v>
      </c>
      <c r="CD122" s="3871"/>
      <c r="CE122" s="3871"/>
      <c r="CF122" s="3871">
        <v>0</v>
      </c>
      <c r="CG122" s="3871">
        <v>1</v>
      </c>
      <c r="CH122" s="3871">
        <v>0</v>
      </c>
      <c r="CI122" s="3871">
        <v>0</v>
      </c>
      <c r="CJ122" s="1518">
        <v>0</v>
      </c>
      <c r="CK122" s="1518">
        <v>1</v>
      </c>
      <c r="CN122" s="36"/>
      <c r="CO122" s="36"/>
      <c r="CP122" s="36"/>
      <c r="CQ122" s="36" t="s">
        <v>1080</v>
      </c>
      <c r="CR122" s="615"/>
      <c r="CS122" s="615"/>
      <c r="CT122" s="615"/>
      <c r="CU122" s="615">
        <v>0</v>
      </c>
      <c r="CV122" s="615"/>
      <c r="CW122" s="615"/>
      <c r="CX122" s="615">
        <v>0</v>
      </c>
      <c r="CY122" s="615"/>
      <c r="CZ122" s="615"/>
      <c r="DA122" s="615"/>
      <c r="DB122" s="615">
        <v>0</v>
      </c>
      <c r="DC122" s="615"/>
      <c r="DD122" s="615">
        <v>0</v>
      </c>
      <c r="DE122" s="615">
        <v>0</v>
      </c>
      <c r="DF122" s="615">
        <v>2</v>
      </c>
      <c r="DG122" s="36"/>
      <c r="DH122" s="36"/>
      <c r="DI122" s="36">
        <v>2</v>
      </c>
      <c r="DJ122" s="36"/>
      <c r="DL122" s="36"/>
      <c r="DM122" s="36"/>
      <c r="DN122" s="36"/>
      <c r="DO122" s="36" t="s">
        <v>1076</v>
      </c>
      <c r="DP122" s="1681"/>
      <c r="DQ122" s="1681">
        <v>0</v>
      </c>
      <c r="DR122" s="1681">
        <v>0</v>
      </c>
      <c r="DS122" s="1681"/>
      <c r="DT122" s="1681"/>
      <c r="DU122" s="1681"/>
      <c r="DV122" s="1681"/>
      <c r="DW122" s="1681"/>
      <c r="DX122" s="1681">
        <v>0</v>
      </c>
      <c r="DY122" s="1681">
        <v>0</v>
      </c>
      <c r="DZ122" s="1681"/>
      <c r="EA122" s="1681"/>
      <c r="EB122" s="1681">
        <v>3</v>
      </c>
      <c r="EC122" s="1681">
        <v>0</v>
      </c>
      <c r="ED122" s="1681">
        <v>0</v>
      </c>
      <c r="EE122" s="95">
        <v>0</v>
      </c>
      <c r="EF122" s="95">
        <v>0</v>
      </c>
      <c r="EG122" s="95">
        <v>3</v>
      </c>
      <c r="EH122" s="36"/>
      <c r="EL122" s="36"/>
      <c r="EM122" s="36" t="s">
        <v>1080</v>
      </c>
      <c r="EN122" s="1490"/>
      <c r="EO122" s="1490"/>
      <c r="EP122" s="1490"/>
      <c r="EQ122" s="1490"/>
      <c r="ER122" s="1490"/>
      <c r="ES122" s="1490"/>
      <c r="ET122" s="1490"/>
      <c r="EU122" s="1490"/>
      <c r="EV122" s="1490"/>
      <c r="EW122" s="1490"/>
      <c r="EX122" s="1490"/>
      <c r="EY122" s="1490">
        <v>0</v>
      </c>
      <c r="EZ122" s="1490">
        <v>0</v>
      </c>
      <c r="FA122" s="1490">
        <v>0</v>
      </c>
      <c r="FB122" s="1490">
        <v>2</v>
      </c>
      <c r="FC122" s="36">
        <v>1</v>
      </c>
      <c r="FD122" s="36">
        <v>5</v>
      </c>
      <c r="FE122" s="36">
        <v>8</v>
      </c>
      <c r="FF122" s="36"/>
      <c r="FH122" s="1225"/>
      <c r="FI122" s="1225"/>
      <c r="FJ122" s="1225"/>
      <c r="FK122" s="1226" t="s">
        <v>1077</v>
      </c>
      <c r="FL122" s="1227"/>
      <c r="FM122" s="1228">
        <v>0</v>
      </c>
      <c r="FN122" s="1228">
        <v>2</v>
      </c>
      <c r="FO122" s="1227"/>
      <c r="FP122" s="1228">
        <v>1</v>
      </c>
      <c r="FQ122" s="1228">
        <v>0</v>
      </c>
      <c r="FR122" s="1228">
        <v>0</v>
      </c>
      <c r="FS122" s="1228">
        <v>0</v>
      </c>
      <c r="FT122" s="1228">
        <v>1</v>
      </c>
      <c r="FU122" s="1228">
        <v>0</v>
      </c>
      <c r="FV122" s="1228">
        <v>0</v>
      </c>
      <c r="FW122" s="1228">
        <v>0</v>
      </c>
      <c r="FX122" s="1228">
        <v>0</v>
      </c>
      <c r="FY122" s="1230">
        <v>0</v>
      </c>
      <c r="FZ122" s="1230">
        <v>0</v>
      </c>
      <c r="GA122" s="1230">
        <v>4</v>
      </c>
      <c r="GB122" s="36"/>
      <c r="GD122" s="603"/>
      <c r="GE122" s="603"/>
      <c r="GF122" s="603"/>
      <c r="GG122" s="604" t="s">
        <v>1076</v>
      </c>
      <c r="GH122" s="605"/>
      <c r="GI122" s="606">
        <v>0</v>
      </c>
      <c r="GJ122" s="605"/>
      <c r="GK122" s="606">
        <v>0</v>
      </c>
      <c r="GL122" s="605"/>
      <c r="GM122" s="605"/>
      <c r="GN122" s="605"/>
      <c r="GO122" s="605"/>
      <c r="GP122" s="605"/>
      <c r="GQ122" s="605"/>
      <c r="GR122" s="605"/>
      <c r="GS122" s="606">
        <v>1</v>
      </c>
      <c r="GT122" s="606">
        <v>4</v>
      </c>
      <c r="GU122" s="606">
        <v>8</v>
      </c>
      <c r="GV122" s="606">
        <v>0</v>
      </c>
      <c r="GW122" s="608">
        <v>0</v>
      </c>
      <c r="GX122" s="608">
        <v>0</v>
      </c>
      <c r="GY122" s="608">
        <v>13</v>
      </c>
      <c r="GZ122" s="95"/>
      <c r="HB122" s="441"/>
      <c r="HC122" s="441"/>
      <c r="HD122" s="441"/>
      <c r="HE122" s="441"/>
      <c r="HF122" s="442" t="s">
        <v>1163</v>
      </c>
      <c r="HG122" s="609"/>
      <c r="HH122" s="610">
        <v>0</v>
      </c>
      <c r="HI122" s="609"/>
      <c r="HJ122" s="609"/>
      <c r="HK122" s="609"/>
      <c r="HL122" s="609"/>
      <c r="HM122" s="609"/>
      <c r="HN122" s="609"/>
      <c r="HO122" s="609"/>
      <c r="HP122" s="610">
        <v>0</v>
      </c>
      <c r="HQ122" s="610">
        <v>1</v>
      </c>
      <c r="HR122" s="610">
        <v>1</v>
      </c>
      <c r="HS122" s="610">
        <v>2</v>
      </c>
      <c r="HT122" s="610">
        <v>1</v>
      </c>
      <c r="HU122" s="610">
        <v>2</v>
      </c>
      <c r="HV122" s="611"/>
      <c r="HW122" s="612">
        <v>0</v>
      </c>
      <c r="HX122" s="612">
        <v>7</v>
      </c>
      <c r="HY122" s="560"/>
      <c r="HZ122" s="36"/>
      <c r="IA122" s="36"/>
      <c r="IB122" s="36"/>
      <c r="IC122" s="613"/>
      <c r="ID122" s="389" t="s">
        <v>1080</v>
      </c>
      <c r="IE122" s="614"/>
      <c r="IF122" s="614"/>
      <c r="IG122" s="614"/>
      <c r="IH122" s="390">
        <v>0</v>
      </c>
      <c r="II122" s="390">
        <v>0</v>
      </c>
      <c r="IJ122" s="390">
        <v>0</v>
      </c>
      <c r="IK122" s="390">
        <v>0</v>
      </c>
      <c r="IL122" s="390">
        <v>0</v>
      </c>
      <c r="IM122" s="390">
        <v>0</v>
      </c>
      <c r="IN122" s="390">
        <v>0</v>
      </c>
      <c r="IO122" s="390">
        <v>3</v>
      </c>
      <c r="IP122" s="614"/>
      <c r="IQ122" s="614"/>
      <c r="IR122" s="390">
        <v>3</v>
      </c>
      <c r="IS122" s="615"/>
      <c r="IT122" s="36"/>
      <c r="IU122" s="36"/>
      <c r="IV122" s="95"/>
      <c r="IW122" s="95"/>
      <c r="IX122" s="95"/>
      <c r="IY122" s="36" t="s">
        <v>1080</v>
      </c>
      <c r="IZ122" s="36"/>
      <c r="JA122" s="36"/>
      <c r="JB122" s="36">
        <v>0</v>
      </c>
      <c r="JC122" s="36"/>
      <c r="JD122" s="36"/>
      <c r="JE122" s="36">
        <v>0</v>
      </c>
      <c r="JF122" s="36"/>
      <c r="JG122" s="36"/>
      <c r="JH122" s="36">
        <v>0</v>
      </c>
      <c r="JI122" s="36">
        <v>0</v>
      </c>
      <c r="JJ122" s="36">
        <v>1</v>
      </c>
      <c r="JK122" s="36">
        <v>0</v>
      </c>
      <c r="JL122" s="36">
        <v>0</v>
      </c>
      <c r="JM122" s="36"/>
      <c r="JN122" s="36"/>
      <c r="JO122" s="36"/>
      <c r="JP122" s="36">
        <v>1</v>
      </c>
      <c r="JQ122" s="36"/>
      <c r="JR122" s="36"/>
      <c r="JS122" s="616"/>
      <c r="JT122" s="616"/>
      <c r="JU122" s="616"/>
      <c r="JV122" s="616" t="s">
        <v>1080</v>
      </c>
      <c r="JW122" s="616">
        <v>0</v>
      </c>
      <c r="JX122" s="616">
        <v>0</v>
      </c>
      <c r="JY122" s="616">
        <v>0</v>
      </c>
      <c r="JZ122" s="616">
        <v>0</v>
      </c>
      <c r="KA122" s="616">
        <v>0</v>
      </c>
      <c r="KB122" s="616">
        <v>0</v>
      </c>
      <c r="KC122" s="616">
        <v>0</v>
      </c>
      <c r="KD122" s="616">
        <v>0</v>
      </c>
      <c r="KE122" s="616">
        <v>0</v>
      </c>
      <c r="KF122" s="616">
        <v>0</v>
      </c>
      <c r="KG122" s="616">
        <v>0</v>
      </c>
      <c r="KH122" s="616">
        <v>0</v>
      </c>
      <c r="KI122" s="616">
        <v>1</v>
      </c>
      <c r="KJ122" s="616">
        <v>0</v>
      </c>
      <c r="KK122" s="616">
        <v>0</v>
      </c>
      <c r="KL122" s="616">
        <v>0</v>
      </c>
      <c r="KM122" s="616">
        <v>1</v>
      </c>
      <c r="KN122" s="616"/>
      <c r="KO122" s="617"/>
    </row>
    <row r="123" spans="1:301">
      <c r="A123" s="5737">
        <v>2</v>
      </c>
      <c r="B123" s="5737">
        <v>3</v>
      </c>
      <c r="C123" s="5736" t="s">
        <v>128</v>
      </c>
      <c r="D123" s="5739" t="s">
        <v>1076</v>
      </c>
      <c r="E123" s="5737">
        <v>1</v>
      </c>
      <c r="F123" s="5737">
        <v>10</v>
      </c>
      <c r="I123" s="4726">
        <v>2</v>
      </c>
      <c r="J123" s="4726">
        <v>3</v>
      </c>
      <c r="K123" s="4725" t="s">
        <v>128</v>
      </c>
      <c r="L123" s="4725" t="s">
        <v>2709</v>
      </c>
      <c r="M123" s="4726">
        <v>1</v>
      </c>
      <c r="N123" s="4726">
        <v>6</v>
      </c>
      <c r="Q123" s="4458"/>
      <c r="R123" s="4470"/>
      <c r="S123" s="4469"/>
      <c r="T123" s="4469"/>
      <c r="U123" s="4470"/>
      <c r="V123" s="4490">
        <f>SUM(V60,V99,V121)</f>
        <v>46</v>
      </c>
      <c r="W123" s="4510"/>
      <c r="X123" s="4467"/>
      <c r="Y123" s="4467"/>
      <c r="Z123" s="36"/>
      <c r="AA123" s="36"/>
      <c r="AB123" s="36" t="s">
        <v>129</v>
      </c>
      <c r="AC123" s="36" t="s">
        <v>1071</v>
      </c>
      <c r="AD123" s="615">
        <v>0</v>
      </c>
      <c r="AE123" s="615"/>
      <c r="AF123" s="615"/>
      <c r="AG123" s="615"/>
      <c r="AH123" s="615"/>
      <c r="AI123" s="615"/>
      <c r="AJ123" s="615"/>
      <c r="AK123" s="615"/>
      <c r="AL123" s="615"/>
      <c r="AM123" s="615">
        <v>0</v>
      </c>
      <c r="AN123" s="615"/>
      <c r="AO123" s="615">
        <v>1</v>
      </c>
      <c r="AP123" s="615">
        <v>0</v>
      </c>
      <c r="AQ123" s="36">
        <v>0</v>
      </c>
      <c r="AR123" s="36">
        <v>1</v>
      </c>
      <c r="AS123" s="36"/>
      <c r="AU123" s="36"/>
      <c r="AV123" s="36"/>
      <c r="AW123" s="36"/>
      <c r="AX123" s="36" t="s">
        <v>1076</v>
      </c>
      <c r="AY123" s="1681"/>
      <c r="AZ123" s="1681"/>
      <c r="BA123" s="1681"/>
      <c r="BB123" s="1681"/>
      <c r="BC123" s="1681"/>
      <c r="BD123" s="1681"/>
      <c r="BE123" s="1681"/>
      <c r="BF123" s="1681">
        <v>0</v>
      </c>
      <c r="BG123" s="1681"/>
      <c r="BH123" s="1681"/>
      <c r="BI123" s="1681">
        <v>0</v>
      </c>
      <c r="BJ123" s="1681">
        <v>1</v>
      </c>
      <c r="BK123" s="1681">
        <v>1</v>
      </c>
      <c r="BL123" s="1681">
        <v>0</v>
      </c>
      <c r="BM123" s="95">
        <v>0</v>
      </c>
      <c r="BN123" s="95">
        <v>0</v>
      </c>
      <c r="BO123" s="95">
        <v>2</v>
      </c>
      <c r="BP123" s="95"/>
      <c r="BU123" s="32" t="s">
        <v>1076</v>
      </c>
      <c r="BV123" s="3871">
        <v>0</v>
      </c>
      <c r="BW123" s="3871"/>
      <c r="BX123" s="3871"/>
      <c r="BY123" s="3871"/>
      <c r="BZ123" s="3871"/>
      <c r="CA123" s="3871"/>
      <c r="CB123" s="3871"/>
      <c r="CC123" s="3871">
        <v>0</v>
      </c>
      <c r="CD123" s="3871"/>
      <c r="CE123" s="3871"/>
      <c r="CF123" s="3871">
        <v>0</v>
      </c>
      <c r="CG123" s="3871">
        <v>2</v>
      </c>
      <c r="CH123" s="3871">
        <v>0</v>
      </c>
      <c r="CI123" s="3871">
        <v>1</v>
      </c>
      <c r="CJ123" s="1518">
        <v>0</v>
      </c>
      <c r="CK123" s="1518">
        <v>3</v>
      </c>
      <c r="CN123" s="36"/>
      <c r="CO123" s="36"/>
      <c r="CP123" s="36"/>
      <c r="CQ123" s="36" t="s">
        <v>1163</v>
      </c>
      <c r="CR123" s="615"/>
      <c r="CS123" s="615"/>
      <c r="CT123" s="615"/>
      <c r="CU123" s="615">
        <v>0</v>
      </c>
      <c r="CV123" s="615"/>
      <c r="CW123" s="615"/>
      <c r="CX123" s="615">
        <v>0</v>
      </c>
      <c r="CY123" s="615"/>
      <c r="CZ123" s="615"/>
      <c r="DA123" s="615"/>
      <c r="DB123" s="615">
        <v>0</v>
      </c>
      <c r="DC123" s="615"/>
      <c r="DD123" s="615">
        <v>2</v>
      </c>
      <c r="DE123" s="615">
        <v>2</v>
      </c>
      <c r="DF123" s="615">
        <v>0</v>
      </c>
      <c r="DG123" s="36"/>
      <c r="DH123" s="36"/>
      <c r="DI123" s="36">
        <v>4</v>
      </c>
      <c r="DJ123" s="36"/>
      <c r="DL123" s="36"/>
      <c r="DM123" s="36"/>
      <c r="DN123" s="36"/>
      <c r="DO123" s="36" t="s">
        <v>1080</v>
      </c>
      <c r="DP123" s="1681"/>
      <c r="DQ123" s="1681">
        <v>0</v>
      </c>
      <c r="DR123" s="1681">
        <v>0</v>
      </c>
      <c r="DS123" s="1681"/>
      <c r="DT123" s="1681"/>
      <c r="DU123" s="1681"/>
      <c r="DV123" s="1681"/>
      <c r="DW123" s="1681"/>
      <c r="DX123" s="1681">
        <v>0</v>
      </c>
      <c r="DY123" s="1681">
        <v>0</v>
      </c>
      <c r="DZ123" s="1681"/>
      <c r="EA123" s="1681"/>
      <c r="EB123" s="1681">
        <v>0</v>
      </c>
      <c r="EC123" s="1681">
        <v>0</v>
      </c>
      <c r="ED123" s="1681">
        <v>1</v>
      </c>
      <c r="EE123" s="95">
        <v>0</v>
      </c>
      <c r="EF123" s="95">
        <v>4</v>
      </c>
      <c r="EG123" s="95">
        <v>5</v>
      </c>
      <c r="EH123" s="36"/>
      <c r="EL123" s="36"/>
      <c r="EM123" s="393" t="s">
        <v>15</v>
      </c>
      <c r="EN123" s="1491"/>
      <c r="EO123" s="1491"/>
      <c r="EP123" s="1491"/>
      <c r="EQ123" s="1491"/>
      <c r="ER123" s="1491"/>
      <c r="ES123" s="1491"/>
      <c r="ET123" s="1491"/>
      <c r="EU123" s="1491"/>
      <c r="EV123" s="1491"/>
      <c r="EW123" s="1491"/>
      <c r="EX123" s="1491"/>
      <c r="EY123" s="1491">
        <v>2</v>
      </c>
      <c r="EZ123" s="1491">
        <v>4</v>
      </c>
      <c r="FA123" s="1491">
        <v>4</v>
      </c>
      <c r="FB123" s="1491">
        <v>2</v>
      </c>
      <c r="FC123" s="393">
        <v>3</v>
      </c>
      <c r="FD123" s="393">
        <v>5</v>
      </c>
      <c r="FE123" s="393">
        <v>20</v>
      </c>
      <c r="FF123" s="560">
        <f>+(FE121-FC121)/FE123</f>
        <v>0.05</v>
      </c>
      <c r="FH123" s="1225"/>
      <c r="FI123" s="1225"/>
      <c r="FJ123" s="1225"/>
      <c r="FK123" s="1226" t="s">
        <v>1080</v>
      </c>
      <c r="FL123" s="1227"/>
      <c r="FM123" s="1228">
        <v>0</v>
      </c>
      <c r="FN123" s="1228">
        <v>0</v>
      </c>
      <c r="FO123" s="1227"/>
      <c r="FP123" s="1228">
        <v>0</v>
      </c>
      <c r="FQ123" s="1228">
        <v>0</v>
      </c>
      <c r="FR123" s="1228">
        <v>0</v>
      </c>
      <c r="FS123" s="1228">
        <v>0</v>
      </c>
      <c r="FT123" s="1228">
        <v>0</v>
      </c>
      <c r="FU123" s="1228">
        <v>0</v>
      </c>
      <c r="FV123" s="1228">
        <v>0</v>
      </c>
      <c r="FW123" s="1228">
        <v>1</v>
      </c>
      <c r="FX123" s="1228">
        <v>46</v>
      </c>
      <c r="FY123" s="1230">
        <v>4</v>
      </c>
      <c r="FZ123" s="1230">
        <v>21</v>
      </c>
      <c r="GA123" s="1230">
        <v>72</v>
      </c>
      <c r="GB123" s="36"/>
      <c r="GD123" s="603"/>
      <c r="GE123" s="603"/>
      <c r="GF123" s="603"/>
      <c r="GG123" s="604" t="s">
        <v>1080</v>
      </c>
      <c r="GH123" s="605"/>
      <c r="GI123" s="606">
        <v>0</v>
      </c>
      <c r="GJ123" s="605"/>
      <c r="GK123" s="606">
        <v>0</v>
      </c>
      <c r="GL123" s="605"/>
      <c r="GM123" s="605"/>
      <c r="GN123" s="605"/>
      <c r="GO123" s="605"/>
      <c r="GP123" s="605"/>
      <c r="GQ123" s="605"/>
      <c r="GR123" s="605"/>
      <c r="GS123" s="606">
        <v>0</v>
      </c>
      <c r="GT123" s="606">
        <v>0</v>
      </c>
      <c r="GU123" s="606">
        <v>1</v>
      </c>
      <c r="GV123" s="606">
        <v>11</v>
      </c>
      <c r="GW123" s="608">
        <v>1</v>
      </c>
      <c r="GX123" s="608">
        <v>11</v>
      </c>
      <c r="GY123" s="608">
        <v>24</v>
      </c>
      <c r="GZ123" s="95"/>
      <c r="HB123" s="441"/>
      <c r="HC123" s="441"/>
      <c r="HD123" s="441"/>
      <c r="HE123" s="36"/>
      <c r="HF123" s="462" t="s">
        <v>485</v>
      </c>
      <c r="HG123" s="618"/>
      <c r="HH123" s="619">
        <v>1</v>
      </c>
      <c r="HI123" s="618"/>
      <c r="HJ123" s="618"/>
      <c r="HK123" s="618"/>
      <c r="HL123" s="618"/>
      <c r="HM123" s="618"/>
      <c r="HN123" s="618"/>
      <c r="HO123" s="618"/>
      <c r="HP123" s="619">
        <v>2</v>
      </c>
      <c r="HQ123" s="619">
        <v>2</v>
      </c>
      <c r="HR123" s="619">
        <v>1</v>
      </c>
      <c r="HS123" s="619">
        <v>6</v>
      </c>
      <c r="HT123" s="619">
        <v>7</v>
      </c>
      <c r="HU123" s="619">
        <v>15</v>
      </c>
      <c r="HV123" s="620"/>
      <c r="HW123" s="621">
        <v>2</v>
      </c>
      <c r="HX123" s="621">
        <v>36</v>
      </c>
      <c r="HY123" s="560">
        <f>+(HX122+HX120)/HX123</f>
        <v>0.44444444444444442</v>
      </c>
      <c r="HZ123" s="36"/>
      <c r="IA123" s="36"/>
      <c r="IB123" s="36"/>
      <c r="IC123" s="613"/>
      <c r="ID123" s="389" t="s">
        <v>1081</v>
      </c>
      <c r="IE123" s="614"/>
      <c r="IF123" s="614"/>
      <c r="IG123" s="614"/>
      <c r="IH123" s="390">
        <v>0</v>
      </c>
      <c r="II123" s="390">
        <v>0</v>
      </c>
      <c r="IJ123" s="390">
        <v>1</v>
      </c>
      <c r="IK123" s="390">
        <v>0</v>
      </c>
      <c r="IL123" s="390">
        <v>0</v>
      </c>
      <c r="IM123" s="390">
        <v>0</v>
      </c>
      <c r="IN123" s="390">
        <v>1</v>
      </c>
      <c r="IO123" s="390">
        <v>0</v>
      </c>
      <c r="IP123" s="614"/>
      <c r="IQ123" s="614"/>
      <c r="IR123" s="390">
        <v>2</v>
      </c>
      <c r="IS123" s="615"/>
      <c r="IT123" s="36"/>
      <c r="IU123" s="36"/>
      <c r="IV123" s="95"/>
      <c r="IW123" s="95"/>
      <c r="IX123" s="95"/>
      <c r="IY123" s="36" t="s">
        <v>1081</v>
      </c>
      <c r="IZ123" s="36"/>
      <c r="JA123" s="36"/>
      <c r="JB123" s="36">
        <v>0</v>
      </c>
      <c r="JC123" s="36"/>
      <c r="JD123" s="36"/>
      <c r="JE123" s="36">
        <v>0</v>
      </c>
      <c r="JF123" s="36"/>
      <c r="JG123" s="36"/>
      <c r="JH123" s="36">
        <v>0</v>
      </c>
      <c r="JI123" s="36">
        <v>2</v>
      </c>
      <c r="JJ123" s="36">
        <v>1</v>
      </c>
      <c r="JK123" s="36">
        <v>0</v>
      </c>
      <c r="JL123" s="36">
        <v>0</v>
      </c>
      <c r="JM123" s="36"/>
      <c r="JN123" s="36"/>
      <c r="JO123" s="36"/>
      <c r="JP123" s="36">
        <v>3</v>
      </c>
      <c r="JQ123" s="36"/>
      <c r="JR123" s="36"/>
      <c r="JS123" s="616"/>
      <c r="JT123" s="616"/>
      <c r="JU123" s="616"/>
      <c r="JV123" s="616" t="s">
        <v>1163</v>
      </c>
      <c r="JW123" s="616">
        <v>0</v>
      </c>
      <c r="JX123" s="616">
        <v>0</v>
      </c>
      <c r="JY123" s="616">
        <v>0</v>
      </c>
      <c r="JZ123" s="616">
        <v>0</v>
      </c>
      <c r="KA123" s="616">
        <v>0</v>
      </c>
      <c r="KB123" s="616">
        <v>0</v>
      </c>
      <c r="KC123" s="616">
        <v>0</v>
      </c>
      <c r="KD123" s="616">
        <v>0</v>
      </c>
      <c r="KE123" s="616">
        <v>0</v>
      </c>
      <c r="KF123" s="616">
        <v>0</v>
      </c>
      <c r="KG123" s="616">
        <v>1</v>
      </c>
      <c r="KH123" s="616">
        <v>3</v>
      </c>
      <c r="KI123" s="616">
        <v>0</v>
      </c>
      <c r="KJ123" s="616">
        <v>0</v>
      </c>
      <c r="KK123" s="616">
        <v>0</v>
      </c>
      <c r="KL123" s="616">
        <v>0</v>
      </c>
      <c r="KM123" s="616">
        <v>4</v>
      </c>
      <c r="KN123" s="616"/>
      <c r="KO123" s="617"/>
    </row>
    <row r="124" spans="1:301">
      <c r="A124" s="5737">
        <v>2</v>
      </c>
      <c r="B124" s="5737">
        <v>3</v>
      </c>
      <c r="C124" s="5736" t="s">
        <v>128</v>
      </c>
      <c r="D124" s="5739" t="s">
        <v>1076</v>
      </c>
      <c r="E124" s="5737">
        <v>3</v>
      </c>
      <c r="F124" s="5737">
        <v>12</v>
      </c>
      <c r="I124" s="4726">
        <v>2</v>
      </c>
      <c r="J124" s="4726">
        <v>3</v>
      </c>
      <c r="K124" s="4725" t="s">
        <v>128</v>
      </c>
      <c r="L124" s="4725" t="s">
        <v>2709</v>
      </c>
      <c r="M124" s="4726">
        <v>1</v>
      </c>
      <c r="N124" s="4726">
        <v>13</v>
      </c>
      <c r="Q124" s="4474"/>
      <c r="R124" s="4474"/>
      <c r="S124" s="4496" t="s">
        <v>109</v>
      </c>
      <c r="T124" s="4497"/>
      <c r="U124" s="4498"/>
      <c r="V124" s="4499">
        <f>SUM(V61,V100,V122)</f>
        <v>164</v>
      </c>
      <c r="W124" s="4454">
        <f>+(V123)/(V124)</f>
        <v>0.28048780487804881</v>
      </c>
      <c r="X124" s="4467"/>
      <c r="Y124" s="4467"/>
      <c r="Z124" s="36"/>
      <c r="AA124" s="36"/>
      <c r="AB124" s="36"/>
      <c r="AC124" s="36" t="s">
        <v>1072</v>
      </c>
      <c r="AD124" s="615">
        <v>0</v>
      </c>
      <c r="AE124" s="615"/>
      <c r="AF124" s="615"/>
      <c r="AG124" s="615"/>
      <c r="AH124" s="615"/>
      <c r="AI124" s="615"/>
      <c r="AJ124" s="615"/>
      <c r="AK124" s="615"/>
      <c r="AL124" s="615"/>
      <c r="AM124" s="615">
        <v>0</v>
      </c>
      <c r="AN124" s="615"/>
      <c r="AO124" s="615">
        <v>0</v>
      </c>
      <c r="AP124" s="615">
        <v>1</v>
      </c>
      <c r="AQ124" s="36">
        <v>0</v>
      </c>
      <c r="AR124" s="36">
        <v>1</v>
      </c>
      <c r="AS124" s="36"/>
      <c r="AU124" s="36"/>
      <c r="AV124" s="36"/>
      <c r="AW124" s="36"/>
      <c r="AX124" s="36" t="s">
        <v>1077</v>
      </c>
      <c r="AY124" s="1681"/>
      <c r="AZ124" s="1681"/>
      <c r="BA124" s="1681"/>
      <c r="BB124" s="1681"/>
      <c r="BC124" s="1681"/>
      <c r="BD124" s="1681"/>
      <c r="BE124" s="1681"/>
      <c r="BF124" s="1681">
        <v>1</v>
      </c>
      <c r="BG124" s="1681"/>
      <c r="BH124" s="1681"/>
      <c r="BI124" s="1681">
        <v>0</v>
      </c>
      <c r="BJ124" s="1681">
        <v>0</v>
      </c>
      <c r="BK124" s="1681">
        <v>0</v>
      </c>
      <c r="BL124" s="1681">
        <v>0</v>
      </c>
      <c r="BM124" s="95">
        <v>0</v>
      </c>
      <c r="BN124" s="95">
        <v>0</v>
      </c>
      <c r="BO124" s="95">
        <v>1</v>
      </c>
      <c r="BP124" s="95"/>
      <c r="BU124" s="32" t="s">
        <v>1077</v>
      </c>
      <c r="BV124" s="3871">
        <v>0</v>
      </c>
      <c r="BW124" s="3871"/>
      <c r="BX124" s="3871"/>
      <c r="BY124" s="3871"/>
      <c r="BZ124" s="3871"/>
      <c r="CA124" s="3871"/>
      <c r="CB124" s="3871"/>
      <c r="CC124" s="3871">
        <v>1</v>
      </c>
      <c r="CD124" s="3871"/>
      <c r="CE124" s="3871"/>
      <c r="CF124" s="3871">
        <v>0</v>
      </c>
      <c r="CG124" s="3871">
        <v>0</v>
      </c>
      <c r="CH124" s="3871">
        <v>0</v>
      </c>
      <c r="CI124" s="3871">
        <v>0</v>
      </c>
      <c r="CJ124" s="1518">
        <v>0</v>
      </c>
      <c r="CK124" s="1518">
        <v>1</v>
      </c>
      <c r="CN124" s="36"/>
      <c r="CO124" s="36"/>
      <c r="CP124" s="36"/>
      <c r="CQ124" s="393" t="s">
        <v>15</v>
      </c>
      <c r="CR124" s="2049"/>
      <c r="CS124" s="2049"/>
      <c r="CT124" s="2049"/>
      <c r="CU124" s="2049">
        <v>2</v>
      </c>
      <c r="CV124" s="2049"/>
      <c r="CW124" s="2049"/>
      <c r="CX124" s="2049">
        <v>1</v>
      </c>
      <c r="CY124" s="2049"/>
      <c r="CZ124" s="2049"/>
      <c r="DA124" s="2049"/>
      <c r="DB124" s="2049">
        <v>1</v>
      </c>
      <c r="DC124" s="2049"/>
      <c r="DD124" s="2049">
        <v>5</v>
      </c>
      <c r="DE124" s="2049">
        <v>17</v>
      </c>
      <c r="DF124" s="2049">
        <v>2</v>
      </c>
      <c r="DG124" s="393"/>
      <c r="DH124" s="393"/>
      <c r="DI124" s="393">
        <v>28</v>
      </c>
      <c r="DJ124" s="560">
        <f>+(DI123+DI120)/DI124</f>
        <v>0.5</v>
      </c>
      <c r="DK124" s="1665"/>
      <c r="DL124" s="36"/>
      <c r="DM124" s="36"/>
      <c r="DN124" s="36"/>
      <c r="DO124" s="36" t="s">
        <v>1081</v>
      </c>
      <c r="DP124" s="1681"/>
      <c r="DQ124" s="1681">
        <v>0</v>
      </c>
      <c r="DR124" s="1681">
        <v>0</v>
      </c>
      <c r="DS124" s="1681"/>
      <c r="DT124" s="1681"/>
      <c r="DU124" s="1681"/>
      <c r="DV124" s="1681"/>
      <c r="DW124" s="1681"/>
      <c r="DX124" s="1681">
        <v>0</v>
      </c>
      <c r="DY124" s="1681">
        <v>0</v>
      </c>
      <c r="DZ124" s="1681"/>
      <c r="EA124" s="1681"/>
      <c r="EB124" s="1681">
        <v>4</v>
      </c>
      <c r="EC124" s="1681">
        <v>0</v>
      </c>
      <c r="ED124" s="1681">
        <v>1</v>
      </c>
      <c r="EE124" s="95">
        <v>0</v>
      </c>
      <c r="EF124" s="95">
        <v>0</v>
      </c>
      <c r="EG124" s="95">
        <v>5</v>
      </c>
      <c r="EH124" s="36"/>
      <c r="EL124" s="36" t="s">
        <v>485</v>
      </c>
      <c r="EM124" s="36" t="s">
        <v>1071</v>
      </c>
      <c r="EN124" s="1490">
        <v>0</v>
      </c>
      <c r="EO124" s="1490">
        <v>0</v>
      </c>
      <c r="EP124" s="1490">
        <v>0</v>
      </c>
      <c r="EQ124" s="1490"/>
      <c r="ER124" s="1490"/>
      <c r="ES124" s="1490"/>
      <c r="ET124" s="1490"/>
      <c r="EU124" s="1490">
        <v>0</v>
      </c>
      <c r="EV124" s="1490">
        <v>0</v>
      </c>
      <c r="EW124" s="1490"/>
      <c r="EX124" s="1490"/>
      <c r="EY124" s="1490">
        <v>0</v>
      </c>
      <c r="EZ124" s="1490">
        <v>0</v>
      </c>
      <c r="FA124" s="1490">
        <v>0</v>
      </c>
      <c r="FB124" s="1490">
        <v>0</v>
      </c>
      <c r="FC124" s="36">
        <v>0</v>
      </c>
      <c r="FD124" s="36">
        <v>1</v>
      </c>
      <c r="FE124" s="36">
        <v>1</v>
      </c>
      <c r="FF124" s="36"/>
      <c r="FH124" s="1225"/>
      <c r="FI124" s="1225"/>
      <c r="FJ124" s="1225"/>
      <c r="FK124" s="1226" t="s">
        <v>1163</v>
      </c>
      <c r="FL124" s="1227"/>
      <c r="FM124" s="1228">
        <v>0</v>
      </c>
      <c r="FN124" s="1228">
        <v>0</v>
      </c>
      <c r="FO124" s="1227"/>
      <c r="FP124" s="1228">
        <v>0</v>
      </c>
      <c r="FQ124" s="1228">
        <v>0</v>
      </c>
      <c r="FR124" s="1228">
        <v>1</v>
      </c>
      <c r="FS124" s="1228">
        <v>3</v>
      </c>
      <c r="FT124" s="1228">
        <v>1</v>
      </c>
      <c r="FU124" s="1228">
        <v>5</v>
      </c>
      <c r="FV124" s="1228">
        <v>12</v>
      </c>
      <c r="FW124" s="1228">
        <v>5</v>
      </c>
      <c r="FX124" s="1228">
        <v>0</v>
      </c>
      <c r="FY124" s="1230">
        <v>0</v>
      </c>
      <c r="FZ124" s="1230">
        <v>0</v>
      </c>
      <c r="GA124" s="1230">
        <v>27</v>
      </c>
      <c r="GB124" s="36"/>
      <c r="GD124" s="603"/>
      <c r="GE124" s="603"/>
      <c r="GF124" s="603"/>
      <c r="GG124" s="604" t="s">
        <v>1163</v>
      </c>
      <c r="GH124" s="605"/>
      <c r="GI124" s="606">
        <v>0</v>
      </c>
      <c r="GJ124" s="605"/>
      <c r="GK124" s="606">
        <v>0</v>
      </c>
      <c r="GL124" s="605"/>
      <c r="GM124" s="605"/>
      <c r="GN124" s="605"/>
      <c r="GO124" s="605"/>
      <c r="GP124" s="605"/>
      <c r="GQ124" s="605"/>
      <c r="GR124" s="605"/>
      <c r="GS124" s="606">
        <v>1</v>
      </c>
      <c r="GT124" s="606">
        <v>6</v>
      </c>
      <c r="GU124" s="606">
        <v>4</v>
      </c>
      <c r="GV124" s="606">
        <v>8</v>
      </c>
      <c r="GW124" s="608">
        <v>0</v>
      </c>
      <c r="GX124" s="608">
        <v>0</v>
      </c>
      <c r="GY124" s="608">
        <v>19</v>
      </c>
      <c r="GZ124" s="95"/>
      <c r="HB124" s="441"/>
      <c r="HC124" s="441"/>
      <c r="HD124" s="462" t="s">
        <v>109</v>
      </c>
      <c r="HE124" s="441" t="s">
        <v>1070</v>
      </c>
      <c r="HF124" s="442" t="s">
        <v>1071</v>
      </c>
      <c r="HG124" s="609"/>
      <c r="HH124" s="610">
        <v>0</v>
      </c>
      <c r="HI124" s="610">
        <v>0</v>
      </c>
      <c r="HJ124" s="610">
        <v>0</v>
      </c>
      <c r="HK124" s="610">
        <v>0</v>
      </c>
      <c r="HL124" s="609"/>
      <c r="HM124" s="610">
        <v>0</v>
      </c>
      <c r="HN124" s="610">
        <v>0</v>
      </c>
      <c r="HO124" s="610">
        <v>0</v>
      </c>
      <c r="HP124" s="610">
        <v>0</v>
      </c>
      <c r="HQ124" s="610">
        <v>0</v>
      </c>
      <c r="HR124" s="610">
        <v>0</v>
      </c>
      <c r="HS124" s="610">
        <v>0</v>
      </c>
      <c r="HT124" s="610">
        <v>0</v>
      </c>
      <c r="HU124" s="610">
        <v>4</v>
      </c>
      <c r="HV124" s="612">
        <v>1</v>
      </c>
      <c r="HW124" s="612">
        <v>0</v>
      </c>
      <c r="HX124" s="612">
        <v>5</v>
      </c>
      <c r="HY124" s="560"/>
      <c r="HZ124" s="36"/>
      <c r="IA124" s="36"/>
      <c r="IB124" s="36"/>
      <c r="IC124" s="613"/>
      <c r="ID124" s="389" t="s">
        <v>1163</v>
      </c>
      <c r="IE124" s="614"/>
      <c r="IF124" s="614"/>
      <c r="IG124" s="614"/>
      <c r="IH124" s="390">
        <v>0</v>
      </c>
      <c r="II124" s="390">
        <v>0</v>
      </c>
      <c r="IJ124" s="390">
        <v>1</v>
      </c>
      <c r="IK124" s="390">
        <v>0</v>
      </c>
      <c r="IL124" s="390">
        <v>0</v>
      </c>
      <c r="IM124" s="390">
        <v>0</v>
      </c>
      <c r="IN124" s="390">
        <v>0</v>
      </c>
      <c r="IO124" s="390">
        <v>0</v>
      </c>
      <c r="IP124" s="614"/>
      <c r="IQ124" s="614"/>
      <c r="IR124" s="390">
        <v>1</v>
      </c>
      <c r="IS124" s="615"/>
      <c r="IT124" s="36"/>
      <c r="IU124" s="36"/>
      <c r="IV124" s="95"/>
      <c r="IW124" s="95"/>
      <c r="IX124" s="95"/>
      <c r="IY124" s="36" t="s">
        <v>1163</v>
      </c>
      <c r="IZ124" s="36"/>
      <c r="JA124" s="36"/>
      <c r="JB124" s="36">
        <v>0</v>
      </c>
      <c r="JC124" s="36"/>
      <c r="JD124" s="36"/>
      <c r="JE124" s="36">
        <v>0</v>
      </c>
      <c r="JF124" s="36"/>
      <c r="JG124" s="36"/>
      <c r="JH124" s="36">
        <v>0</v>
      </c>
      <c r="JI124" s="36">
        <v>1</v>
      </c>
      <c r="JJ124" s="36">
        <v>0</v>
      </c>
      <c r="JK124" s="36">
        <v>0</v>
      </c>
      <c r="JL124" s="36">
        <v>1</v>
      </c>
      <c r="JM124" s="36"/>
      <c r="JN124" s="36"/>
      <c r="JO124" s="36"/>
      <c r="JP124" s="36">
        <v>2</v>
      </c>
      <c r="JQ124" s="36"/>
      <c r="JR124" s="36"/>
      <c r="JS124" s="616"/>
      <c r="JT124" s="616"/>
      <c r="JU124" s="616"/>
      <c r="JV124" s="627" t="s">
        <v>15</v>
      </c>
      <c r="JW124" s="627">
        <v>0</v>
      </c>
      <c r="JX124" s="627">
        <v>0</v>
      </c>
      <c r="JY124" s="627">
        <v>1</v>
      </c>
      <c r="JZ124" s="627">
        <v>0</v>
      </c>
      <c r="KA124" s="627">
        <v>0</v>
      </c>
      <c r="KB124" s="627">
        <v>0</v>
      </c>
      <c r="KC124" s="627">
        <v>1</v>
      </c>
      <c r="KD124" s="627">
        <v>0</v>
      </c>
      <c r="KE124" s="627">
        <v>1</v>
      </c>
      <c r="KF124" s="627">
        <v>0</v>
      </c>
      <c r="KG124" s="627">
        <v>1</v>
      </c>
      <c r="KH124" s="627">
        <v>3</v>
      </c>
      <c r="KI124" s="627">
        <v>2</v>
      </c>
      <c r="KJ124" s="627">
        <v>0</v>
      </c>
      <c r="KK124" s="627">
        <v>0</v>
      </c>
      <c r="KL124" s="627">
        <v>0</v>
      </c>
      <c r="KM124" s="627">
        <v>9</v>
      </c>
      <c r="KN124" s="628">
        <f>+(KM123+KM120)/KM124</f>
        <v>0.66666666666666663</v>
      </c>
      <c r="KO124" s="617">
        <f>+KM120+KM123</f>
        <v>6</v>
      </c>
    </row>
    <row r="125" spans="1:301">
      <c r="A125" s="5737">
        <v>2</v>
      </c>
      <c r="B125" s="5737">
        <v>3</v>
      </c>
      <c r="C125" s="5736" t="s">
        <v>128</v>
      </c>
      <c r="D125" s="5739" t="s">
        <v>1076</v>
      </c>
      <c r="E125" s="5737">
        <v>5</v>
      </c>
      <c r="F125" s="5737">
        <v>13</v>
      </c>
      <c r="I125" s="4726">
        <v>2</v>
      </c>
      <c r="J125" s="4726">
        <v>3</v>
      </c>
      <c r="K125" s="4725" t="s">
        <v>128</v>
      </c>
      <c r="L125" s="4725" t="s">
        <v>2709</v>
      </c>
      <c r="M125" s="4726">
        <v>1</v>
      </c>
      <c r="N125" s="4726">
        <v>14</v>
      </c>
      <c r="Q125" s="4470">
        <v>3</v>
      </c>
      <c r="R125" s="4470">
        <v>3</v>
      </c>
      <c r="S125" s="4469" t="s">
        <v>296</v>
      </c>
      <c r="T125" s="4469" t="s">
        <v>2709</v>
      </c>
      <c r="U125" s="4470">
        <v>9</v>
      </c>
      <c r="V125" s="4488">
        <v>5</v>
      </c>
      <c r="W125" s="4510"/>
      <c r="X125" s="4467"/>
      <c r="Y125" s="4467"/>
      <c r="Z125" s="36"/>
      <c r="AA125" s="36"/>
      <c r="AB125" s="36"/>
      <c r="AC125" s="36" t="s">
        <v>1076</v>
      </c>
      <c r="AD125" s="615">
        <v>0</v>
      </c>
      <c r="AE125" s="615"/>
      <c r="AF125" s="615"/>
      <c r="AG125" s="615"/>
      <c r="AH125" s="615"/>
      <c r="AI125" s="615"/>
      <c r="AJ125" s="615"/>
      <c r="AK125" s="615"/>
      <c r="AL125" s="615"/>
      <c r="AM125" s="615">
        <v>1</v>
      </c>
      <c r="AN125" s="615"/>
      <c r="AO125" s="615">
        <v>0</v>
      </c>
      <c r="AP125" s="615">
        <v>0</v>
      </c>
      <c r="AQ125" s="36">
        <v>0</v>
      </c>
      <c r="AR125" s="36">
        <v>1</v>
      </c>
      <c r="AS125" s="36"/>
      <c r="AU125" s="36"/>
      <c r="AV125" s="36"/>
      <c r="AW125" s="36"/>
      <c r="AX125" s="36" t="s">
        <v>1080</v>
      </c>
      <c r="AY125" s="1681"/>
      <c r="AZ125" s="1681"/>
      <c r="BA125" s="1681"/>
      <c r="BB125" s="1681"/>
      <c r="BC125" s="1681"/>
      <c r="BD125" s="1681"/>
      <c r="BE125" s="1681"/>
      <c r="BF125" s="1681">
        <v>0</v>
      </c>
      <c r="BG125" s="1681"/>
      <c r="BH125" s="1681"/>
      <c r="BI125" s="1681">
        <v>0</v>
      </c>
      <c r="BJ125" s="1681">
        <v>0</v>
      </c>
      <c r="BK125" s="1681">
        <v>3</v>
      </c>
      <c r="BL125" s="1681">
        <v>3</v>
      </c>
      <c r="BM125" s="95">
        <v>5</v>
      </c>
      <c r="BN125" s="95">
        <v>2</v>
      </c>
      <c r="BO125" s="95">
        <v>13</v>
      </c>
      <c r="BP125" s="95"/>
      <c r="BU125" s="32" t="s">
        <v>1080</v>
      </c>
      <c r="BV125" s="3871">
        <v>0</v>
      </c>
      <c r="BW125" s="3871"/>
      <c r="BX125" s="3871"/>
      <c r="BY125" s="3871"/>
      <c r="BZ125" s="3871"/>
      <c r="CA125" s="3871"/>
      <c r="CB125" s="3871"/>
      <c r="CC125" s="3871">
        <v>0</v>
      </c>
      <c r="CD125" s="3871"/>
      <c r="CE125" s="3871"/>
      <c r="CF125" s="3871">
        <v>0</v>
      </c>
      <c r="CG125" s="3871">
        <v>0</v>
      </c>
      <c r="CH125" s="3871">
        <v>7</v>
      </c>
      <c r="CI125" s="3871">
        <v>0</v>
      </c>
      <c r="CJ125" s="1518">
        <v>7</v>
      </c>
      <c r="CK125" s="1518">
        <v>14</v>
      </c>
      <c r="CN125" s="36"/>
      <c r="CO125" s="36"/>
      <c r="CP125" s="36" t="s">
        <v>127</v>
      </c>
      <c r="CQ125" s="36" t="s">
        <v>1072</v>
      </c>
      <c r="CR125" s="615"/>
      <c r="CS125" s="615"/>
      <c r="CT125" s="615"/>
      <c r="CU125" s="615"/>
      <c r="CV125" s="615"/>
      <c r="CW125" s="615"/>
      <c r="CX125" s="615"/>
      <c r="CY125" s="615"/>
      <c r="CZ125" s="615"/>
      <c r="DA125" s="615"/>
      <c r="DB125" s="615"/>
      <c r="DC125" s="615"/>
      <c r="DD125" s="615">
        <v>3</v>
      </c>
      <c r="DE125" s="615">
        <v>0</v>
      </c>
      <c r="DF125" s="615"/>
      <c r="DG125" s="36">
        <v>1</v>
      </c>
      <c r="DH125" s="36"/>
      <c r="DI125" s="36">
        <v>4</v>
      </c>
      <c r="DJ125" s="36"/>
      <c r="DL125" s="36"/>
      <c r="DM125" s="36"/>
      <c r="DN125" s="36"/>
      <c r="DO125" s="36" t="s">
        <v>1163</v>
      </c>
      <c r="DP125" s="1681"/>
      <c r="DQ125" s="1681">
        <v>0</v>
      </c>
      <c r="DR125" s="1681">
        <v>0</v>
      </c>
      <c r="DS125" s="1681"/>
      <c r="DT125" s="1681"/>
      <c r="DU125" s="1681"/>
      <c r="DV125" s="1681"/>
      <c r="DW125" s="1681"/>
      <c r="DX125" s="1681">
        <v>0</v>
      </c>
      <c r="DY125" s="1681">
        <v>0</v>
      </c>
      <c r="DZ125" s="1681"/>
      <c r="EA125" s="1681"/>
      <c r="EB125" s="1681">
        <v>3</v>
      </c>
      <c r="EC125" s="1681">
        <v>1</v>
      </c>
      <c r="ED125" s="1681">
        <v>2</v>
      </c>
      <c r="EE125" s="95">
        <v>0</v>
      </c>
      <c r="EF125" s="95">
        <v>0</v>
      </c>
      <c r="EG125" s="95">
        <v>6</v>
      </c>
      <c r="EH125" s="36"/>
      <c r="EL125" s="36"/>
      <c r="EM125" s="36" t="s">
        <v>1072</v>
      </c>
      <c r="EN125" s="1490">
        <v>0</v>
      </c>
      <c r="EO125" s="1490">
        <v>1</v>
      </c>
      <c r="EP125" s="1490">
        <v>1</v>
      </c>
      <c r="EQ125" s="1490"/>
      <c r="ER125" s="1490"/>
      <c r="ES125" s="1490"/>
      <c r="ET125" s="1490"/>
      <c r="EU125" s="1490">
        <v>1</v>
      </c>
      <c r="EV125" s="1490">
        <v>1</v>
      </c>
      <c r="EW125" s="1490"/>
      <c r="EX125" s="1490"/>
      <c r="EY125" s="1490">
        <v>2</v>
      </c>
      <c r="EZ125" s="1490">
        <v>5</v>
      </c>
      <c r="FA125" s="1490">
        <v>5</v>
      </c>
      <c r="FB125" s="1490">
        <v>0</v>
      </c>
      <c r="FC125" s="36">
        <v>1</v>
      </c>
      <c r="FD125" s="36">
        <v>0</v>
      </c>
      <c r="FE125" s="36">
        <v>17</v>
      </c>
      <c r="FF125" s="36"/>
      <c r="FH125" s="1225"/>
      <c r="FI125" s="1225"/>
      <c r="FJ125" s="1225"/>
      <c r="FK125" s="1222" t="s">
        <v>109</v>
      </c>
      <c r="FL125" s="1231"/>
      <c r="FM125" s="1232">
        <v>7</v>
      </c>
      <c r="FN125" s="1232">
        <v>4</v>
      </c>
      <c r="FO125" s="1231"/>
      <c r="FP125" s="1232">
        <v>3</v>
      </c>
      <c r="FQ125" s="1232">
        <v>1</v>
      </c>
      <c r="FR125" s="1232">
        <v>3</v>
      </c>
      <c r="FS125" s="1232">
        <v>9</v>
      </c>
      <c r="FT125" s="1232">
        <v>8</v>
      </c>
      <c r="FU125" s="1232">
        <v>8</v>
      </c>
      <c r="FV125" s="1232">
        <v>28</v>
      </c>
      <c r="FW125" s="1232">
        <v>19</v>
      </c>
      <c r="FX125" s="1232">
        <v>60</v>
      </c>
      <c r="FY125" s="1234">
        <v>7</v>
      </c>
      <c r="FZ125" s="1234">
        <v>23</v>
      </c>
      <c r="GA125" s="1234">
        <v>180</v>
      </c>
      <c r="GB125" s="1178">
        <f>+(GA121-FY121+GA124)/GA125</f>
        <v>0.30555555555555558</v>
      </c>
      <c r="GD125" s="603"/>
      <c r="GE125" s="603"/>
      <c r="GF125" s="603"/>
      <c r="GG125" s="622" t="s">
        <v>485</v>
      </c>
      <c r="GH125" s="623"/>
      <c r="GI125" s="624">
        <v>1</v>
      </c>
      <c r="GJ125" s="623"/>
      <c r="GK125" s="624">
        <v>1</v>
      </c>
      <c r="GL125" s="623"/>
      <c r="GM125" s="623"/>
      <c r="GN125" s="623"/>
      <c r="GO125" s="623"/>
      <c r="GP125" s="623"/>
      <c r="GQ125" s="623"/>
      <c r="GR125" s="623"/>
      <c r="GS125" s="624">
        <v>2</v>
      </c>
      <c r="GT125" s="624">
        <v>11</v>
      </c>
      <c r="GU125" s="624">
        <v>15</v>
      </c>
      <c r="GV125" s="624">
        <v>22</v>
      </c>
      <c r="GW125" s="626">
        <v>1</v>
      </c>
      <c r="GX125" s="626">
        <v>11</v>
      </c>
      <c r="GY125" s="626">
        <v>64</v>
      </c>
      <c r="GZ125" s="560">
        <f>+(GY122+GY124)/GY125</f>
        <v>0.5</v>
      </c>
      <c r="HB125" s="441"/>
      <c r="HC125" s="441"/>
      <c r="HD125" s="441"/>
      <c r="HE125" s="441"/>
      <c r="HF125" s="442" t="s">
        <v>1072</v>
      </c>
      <c r="HG125" s="609"/>
      <c r="HH125" s="610">
        <v>1</v>
      </c>
      <c r="HI125" s="610">
        <v>2</v>
      </c>
      <c r="HJ125" s="610">
        <v>1</v>
      </c>
      <c r="HK125" s="610">
        <v>1</v>
      </c>
      <c r="HL125" s="609"/>
      <c r="HM125" s="610">
        <v>1</v>
      </c>
      <c r="HN125" s="610">
        <v>1</v>
      </c>
      <c r="HO125" s="610">
        <v>2</v>
      </c>
      <c r="HP125" s="610">
        <v>3</v>
      </c>
      <c r="HQ125" s="610">
        <v>0</v>
      </c>
      <c r="HR125" s="610">
        <v>1</v>
      </c>
      <c r="HS125" s="610">
        <v>9</v>
      </c>
      <c r="HT125" s="610">
        <v>6</v>
      </c>
      <c r="HU125" s="610">
        <v>3</v>
      </c>
      <c r="HV125" s="612">
        <v>0</v>
      </c>
      <c r="HW125" s="612">
        <v>0</v>
      </c>
      <c r="HX125" s="612">
        <v>31</v>
      </c>
      <c r="HY125" s="560"/>
      <c r="HZ125" s="36"/>
      <c r="IA125" s="36"/>
      <c r="IB125" s="36"/>
      <c r="IC125" s="613"/>
      <c r="ID125" s="629" t="s">
        <v>482</v>
      </c>
      <c r="IE125" s="630"/>
      <c r="IF125" s="630"/>
      <c r="IG125" s="630"/>
      <c r="IH125" s="395">
        <v>1</v>
      </c>
      <c r="II125" s="395">
        <v>2</v>
      </c>
      <c r="IJ125" s="395">
        <v>2</v>
      </c>
      <c r="IK125" s="395">
        <v>1</v>
      </c>
      <c r="IL125" s="395">
        <v>1</v>
      </c>
      <c r="IM125" s="395">
        <v>1</v>
      </c>
      <c r="IN125" s="395">
        <v>2</v>
      </c>
      <c r="IO125" s="395">
        <v>3</v>
      </c>
      <c r="IP125" s="630"/>
      <c r="IQ125" s="630"/>
      <c r="IR125" s="395">
        <v>13</v>
      </c>
      <c r="IS125" s="553">
        <f>+(IR124+IR123+IR120)/IR125</f>
        <v>0.30769230769230771</v>
      </c>
      <c r="IT125" s="36"/>
      <c r="IU125" s="36"/>
      <c r="IV125" s="95"/>
      <c r="IW125" s="95"/>
      <c r="IX125" s="95"/>
      <c r="IY125" s="393" t="s">
        <v>15</v>
      </c>
      <c r="IZ125" s="393"/>
      <c r="JA125" s="393"/>
      <c r="JB125" s="393">
        <v>1</v>
      </c>
      <c r="JC125" s="393"/>
      <c r="JD125" s="393"/>
      <c r="JE125" s="393">
        <v>1</v>
      </c>
      <c r="JF125" s="393"/>
      <c r="JG125" s="393"/>
      <c r="JH125" s="393">
        <v>1</v>
      </c>
      <c r="JI125" s="393">
        <v>3</v>
      </c>
      <c r="JJ125" s="393">
        <v>2</v>
      </c>
      <c r="JK125" s="393">
        <v>3</v>
      </c>
      <c r="JL125" s="393">
        <v>1</v>
      </c>
      <c r="JM125" s="393"/>
      <c r="JN125" s="393"/>
      <c r="JO125" s="393"/>
      <c r="JP125" s="393">
        <v>12</v>
      </c>
      <c r="JQ125" s="631">
        <f>+(JP120+JP123+JP124)/JP125</f>
        <v>0.5</v>
      </c>
      <c r="JR125" s="36"/>
      <c r="JS125" s="616"/>
      <c r="JT125" s="616"/>
      <c r="JU125" s="616" t="s">
        <v>16</v>
      </c>
      <c r="JV125" s="616" t="s">
        <v>1072</v>
      </c>
      <c r="JW125" s="616">
        <v>0</v>
      </c>
      <c r="JX125" s="616">
        <v>0</v>
      </c>
      <c r="JY125" s="616">
        <v>0</v>
      </c>
      <c r="JZ125" s="616">
        <v>0</v>
      </c>
      <c r="KA125" s="616">
        <v>0</v>
      </c>
      <c r="KB125" s="616">
        <v>0</v>
      </c>
      <c r="KC125" s="616">
        <v>0</v>
      </c>
      <c r="KD125" s="616">
        <v>0</v>
      </c>
      <c r="KE125" s="616">
        <v>0</v>
      </c>
      <c r="KF125" s="616">
        <v>0</v>
      </c>
      <c r="KG125" s="616">
        <v>2</v>
      </c>
      <c r="KH125" s="616">
        <v>0</v>
      </c>
      <c r="KI125" s="616">
        <v>0</v>
      </c>
      <c r="KJ125" s="616">
        <v>0</v>
      </c>
      <c r="KK125" s="616">
        <v>0</v>
      </c>
      <c r="KL125" s="616">
        <v>0</v>
      </c>
      <c r="KM125" s="616">
        <v>2</v>
      </c>
      <c r="KN125" s="616"/>
      <c r="KO125" s="617"/>
    </row>
    <row r="126" spans="1:301">
      <c r="A126" s="5740">
        <v>2</v>
      </c>
      <c r="B126" s="5740">
        <v>3</v>
      </c>
      <c r="C126" s="5741" t="s">
        <v>128</v>
      </c>
      <c r="D126" s="5741" t="s">
        <v>1076</v>
      </c>
      <c r="E126" s="5740">
        <v>2</v>
      </c>
      <c r="F126" s="5740">
        <v>15</v>
      </c>
      <c r="I126" s="4726"/>
      <c r="J126" s="4726"/>
      <c r="K126" s="4725"/>
      <c r="L126" s="4725"/>
      <c r="M126" s="4975">
        <f>SUM(M117:M125)</f>
        <v>25</v>
      </c>
      <c r="N126" s="4726"/>
      <c r="O126" s="4476">
        <f>+(M120+M121+ M122)/(M126)</f>
        <v>0.28000000000000003</v>
      </c>
      <c r="Q126" s="4458">
        <v>3</v>
      </c>
      <c r="R126" s="4458">
        <v>3</v>
      </c>
      <c r="S126" s="4459" t="s">
        <v>296</v>
      </c>
      <c r="T126" s="4459" t="s">
        <v>2709</v>
      </c>
      <c r="U126" s="4458">
        <v>10</v>
      </c>
      <c r="V126" s="4479">
        <v>6</v>
      </c>
      <c r="W126" s="4510"/>
      <c r="X126" s="4467"/>
      <c r="Y126" s="4467"/>
      <c r="Z126" s="36"/>
      <c r="AA126" s="36"/>
      <c r="AB126" s="36"/>
      <c r="AC126" s="36" t="s">
        <v>1080</v>
      </c>
      <c r="AD126" s="615">
        <v>0</v>
      </c>
      <c r="AE126" s="615"/>
      <c r="AF126" s="615"/>
      <c r="AG126" s="615"/>
      <c r="AH126" s="615"/>
      <c r="AI126" s="615"/>
      <c r="AJ126" s="615"/>
      <c r="AK126" s="615"/>
      <c r="AL126" s="615"/>
      <c r="AM126" s="615">
        <v>0</v>
      </c>
      <c r="AN126" s="615"/>
      <c r="AO126" s="615">
        <v>3</v>
      </c>
      <c r="AP126" s="615">
        <v>0</v>
      </c>
      <c r="AQ126" s="36">
        <v>1</v>
      </c>
      <c r="AR126" s="36">
        <v>4</v>
      </c>
      <c r="AS126" s="36"/>
      <c r="AU126" s="36"/>
      <c r="AV126" s="36"/>
      <c r="AW126" s="36"/>
      <c r="AX126" s="36" t="s">
        <v>1163</v>
      </c>
      <c r="AY126" s="1681"/>
      <c r="AZ126" s="1681"/>
      <c r="BA126" s="1681"/>
      <c r="BB126" s="1681"/>
      <c r="BC126" s="1681"/>
      <c r="BD126" s="1681"/>
      <c r="BE126" s="1681"/>
      <c r="BF126" s="1681">
        <v>0</v>
      </c>
      <c r="BG126" s="1681"/>
      <c r="BH126" s="1681"/>
      <c r="BI126" s="1681">
        <v>1</v>
      </c>
      <c r="BJ126" s="1681">
        <v>1</v>
      </c>
      <c r="BK126" s="1681">
        <v>1</v>
      </c>
      <c r="BL126" s="1681">
        <v>1</v>
      </c>
      <c r="BM126" s="95">
        <v>0</v>
      </c>
      <c r="BN126" s="95">
        <v>0</v>
      </c>
      <c r="BO126" s="95">
        <v>4</v>
      </c>
      <c r="BP126" s="95"/>
      <c r="BU126" s="32" t="s">
        <v>1163</v>
      </c>
      <c r="BV126" s="3871">
        <v>0</v>
      </c>
      <c r="BW126" s="3871"/>
      <c r="BX126" s="3871"/>
      <c r="BY126" s="3871"/>
      <c r="BZ126" s="3871"/>
      <c r="CA126" s="3871"/>
      <c r="CB126" s="3871"/>
      <c r="CC126" s="3871">
        <v>0</v>
      </c>
      <c r="CD126" s="3871"/>
      <c r="CE126" s="3871"/>
      <c r="CF126" s="3871">
        <v>1</v>
      </c>
      <c r="CG126" s="3871">
        <v>0</v>
      </c>
      <c r="CH126" s="3871">
        <v>1</v>
      </c>
      <c r="CI126" s="3871">
        <v>0</v>
      </c>
      <c r="CJ126" s="1518">
        <v>0</v>
      </c>
      <c r="CK126" s="1518">
        <v>2</v>
      </c>
      <c r="CN126" s="36"/>
      <c r="CO126" s="36"/>
      <c r="CP126" s="36"/>
      <c r="CQ126" s="36" t="s">
        <v>1076</v>
      </c>
      <c r="CR126" s="615"/>
      <c r="CS126" s="615"/>
      <c r="CT126" s="615"/>
      <c r="CU126" s="615"/>
      <c r="CV126" s="615"/>
      <c r="CW126" s="615"/>
      <c r="CX126" s="615"/>
      <c r="CY126" s="615"/>
      <c r="CZ126" s="615"/>
      <c r="DA126" s="615"/>
      <c r="DB126" s="615"/>
      <c r="DC126" s="615"/>
      <c r="DD126" s="615">
        <v>2</v>
      </c>
      <c r="DE126" s="615">
        <v>0</v>
      </c>
      <c r="DF126" s="615"/>
      <c r="DG126" s="36">
        <v>0</v>
      </c>
      <c r="DH126" s="36"/>
      <c r="DI126" s="36">
        <v>2</v>
      </c>
      <c r="DJ126" s="36"/>
      <c r="DL126" s="36"/>
      <c r="DM126" s="36"/>
      <c r="DN126" s="36"/>
      <c r="DO126" s="393" t="s">
        <v>15</v>
      </c>
      <c r="DP126" s="1682"/>
      <c r="DQ126" s="1682">
        <v>1</v>
      </c>
      <c r="DR126" s="1682">
        <v>2</v>
      </c>
      <c r="DS126" s="1682"/>
      <c r="DT126" s="1682"/>
      <c r="DU126" s="1682"/>
      <c r="DV126" s="1682"/>
      <c r="DW126" s="1682"/>
      <c r="DX126" s="1682">
        <v>1</v>
      </c>
      <c r="DY126" s="1682">
        <v>1</v>
      </c>
      <c r="DZ126" s="1682"/>
      <c r="EA126" s="1682"/>
      <c r="EB126" s="1682">
        <v>31</v>
      </c>
      <c r="EC126" s="1682">
        <v>8</v>
      </c>
      <c r="ED126" s="1682">
        <v>5</v>
      </c>
      <c r="EE126" s="86">
        <v>1</v>
      </c>
      <c r="EF126" s="86">
        <v>4</v>
      </c>
      <c r="EG126" s="86">
        <v>54</v>
      </c>
      <c r="EH126" s="560">
        <f>+(EG122+EG124+EG125)/EG126</f>
        <v>0.25925925925925924</v>
      </c>
      <c r="EL126" s="36"/>
      <c r="EM126" s="36" t="s">
        <v>1076</v>
      </c>
      <c r="EN126" s="1490">
        <v>0</v>
      </c>
      <c r="EO126" s="1490">
        <v>0</v>
      </c>
      <c r="EP126" s="1490">
        <v>0</v>
      </c>
      <c r="EQ126" s="1490"/>
      <c r="ER126" s="1490"/>
      <c r="ES126" s="1490"/>
      <c r="ET126" s="1490"/>
      <c r="EU126" s="1490">
        <v>0</v>
      </c>
      <c r="EV126" s="1490">
        <v>0</v>
      </c>
      <c r="EW126" s="1490"/>
      <c r="EX126" s="1490"/>
      <c r="EY126" s="1490">
        <v>0</v>
      </c>
      <c r="EZ126" s="1490">
        <v>0</v>
      </c>
      <c r="FA126" s="1490">
        <v>3</v>
      </c>
      <c r="FB126" s="1490">
        <v>3</v>
      </c>
      <c r="FC126" s="36">
        <v>2</v>
      </c>
      <c r="FD126" s="36">
        <v>0</v>
      </c>
      <c r="FE126" s="36">
        <v>8</v>
      </c>
      <c r="FF126" s="36"/>
      <c r="FH126" s="1225" t="s">
        <v>48</v>
      </c>
      <c r="FI126" s="1225" t="s">
        <v>16</v>
      </c>
      <c r="FJ126" s="1225" t="s">
        <v>143</v>
      </c>
      <c r="FK126" s="1226" t="s">
        <v>1072</v>
      </c>
      <c r="FL126" s="1227"/>
      <c r="FM126" s="1228">
        <v>3</v>
      </c>
      <c r="FN126" s="1227"/>
      <c r="FO126" s="1228">
        <v>1</v>
      </c>
      <c r="FP126" s="1228">
        <v>1</v>
      </c>
      <c r="FQ126" s="1227"/>
      <c r="FR126" s="1227"/>
      <c r="FS126" s="1228">
        <v>1</v>
      </c>
      <c r="FT126" s="1228">
        <v>2</v>
      </c>
      <c r="FU126" s="1228">
        <v>2</v>
      </c>
      <c r="FV126" s="1228">
        <v>13</v>
      </c>
      <c r="FW126" s="1228">
        <v>3</v>
      </c>
      <c r="FX126" s="1228">
        <v>1</v>
      </c>
      <c r="FY126" s="1230">
        <v>0</v>
      </c>
      <c r="FZ126" s="1230">
        <v>0</v>
      </c>
      <c r="GA126" s="1230">
        <v>27</v>
      </c>
      <c r="GB126" s="36"/>
      <c r="GD126" s="603"/>
      <c r="GE126" s="603"/>
      <c r="GF126" s="603" t="s">
        <v>109</v>
      </c>
      <c r="GG126" s="604" t="s">
        <v>1071</v>
      </c>
      <c r="GH126" s="605"/>
      <c r="GI126" s="606">
        <v>0</v>
      </c>
      <c r="GJ126" s="606">
        <v>0</v>
      </c>
      <c r="GK126" s="606">
        <v>0</v>
      </c>
      <c r="GL126" s="606">
        <v>0</v>
      </c>
      <c r="GM126" s="606">
        <v>0</v>
      </c>
      <c r="GN126" s="606">
        <v>0</v>
      </c>
      <c r="GO126" s="606">
        <v>0</v>
      </c>
      <c r="GP126" s="606">
        <v>0</v>
      </c>
      <c r="GQ126" s="606">
        <v>0</v>
      </c>
      <c r="GR126" s="606">
        <v>0</v>
      </c>
      <c r="GS126" s="606">
        <v>0</v>
      </c>
      <c r="GT126" s="606">
        <v>2</v>
      </c>
      <c r="GU126" s="606">
        <v>0</v>
      </c>
      <c r="GV126" s="606">
        <v>4</v>
      </c>
      <c r="GW126" s="608">
        <v>0</v>
      </c>
      <c r="GX126" s="608">
        <v>0</v>
      </c>
      <c r="GY126" s="608">
        <v>6</v>
      </c>
      <c r="GZ126" s="95"/>
      <c r="HB126" s="441"/>
      <c r="HC126" s="441"/>
      <c r="HD126" s="441"/>
      <c r="HE126" s="441"/>
      <c r="HF126" s="442" t="s">
        <v>1074</v>
      </c>
      <c r="HG126" s="609"/>
      <c r="HH126" s="610">
        <v>0</v>
      </c>
      <c r="HI126" s="610">
        <v>0</v>
      </c>
      <c r="HJ126" s="610">
        <v>0</v>
      </c>
      <c r="HK126" s="610">
        <v>0</v>
      </c>
      <c r="HL126" s="609"/>
      <c r="HM126" s="610">
        <v>0</v>
      </c>
      <c r="HN126" s="610">
        <v>0</v>
      </c>
      <c r="HO126" s="610">
        <v>0</v>
      </c>
      <c r="HP126" s="610">
        <v>1</v>
      </c>
      <c r="HQ126" s="610">
        <v>0</v>
      </c>
      <c r="HR126" s="610">
        <v>0</v>
      </c>
      <c r="HS126" s="610">
        <v>0</v>
      </c>
      <c r="HT126" s="610">
        <v>0</v>
      </c>
      <c r="HU126" s="610">
        <v>0</v>
      </c>
      <c r="HV126" s="612">
        <v>0</v>
      </c>
      <c r="HW126" s="612">
        <v>0</v>
      </c>
      <c r="HX126" s="612">
        <v>1</v>
      </c>
      <c r="HY126" s="560"/>
      <c r="HZ126" s="36"/>
      <c r="IA126" s="36"/>
      <c r="IB126" s="36"/>
      <c r="IC126" s="36"/>
      <c r="ID126" s="36"/>
      <c r="IE126" s="36"/>
      <c r="IF126" s="36"/>
      <c r="IG126" s="36"/>
      <c r="IH126" s="36"/>
      <c r="II126" s="36"/>
      <c r="IJ126" s="36"/>
      <c r="IK126" s="36"/>
      <c r="IL126" s="36"/>
      <c r="IM126" s="36"/>
      <c r="IN126" s="36"/>
      <c r="IO126" s="36"/>
      <c r="IP126" s="36"/>
      <c r="IQ126" s="36"/>
      <c r="IR126" s="36"/>
      <c r="IS126" s="36"/>
      <c r="IT126" s="36"/>
      <c r="IU126" s="36"/>
      <c r="IV126" s="95"/>
      <c r="IW126" s="95"/>
      <c r="IX126" s="95" t="s">
        <v>16</v>
      </c>
      <c r="IY126" s="36" t="s">
        <v>1072</v>
      </c>
      <c r="IZ126" s="36">
        <v>2</v>
      </c>
      <c r="JA126" s="36"/>
      <c r="JB126" s="36"/>
      <c r="JC126" s="36"/>
      <c r="JD126" s="36"/>
      <c r="JE126" s="36"/>
      <c r="JF126" s="36">
        <v>0</v>
      </c>
      <c r="JG126" s="36">
        <v>1</v>
      </c>
      <c r="JH126" s="36">
        <v>11</v>
      </c>
      <c r="JI126" s="36">
        <v>6</v>
      </c>
      <c r="JJ126" s="36">
        <v>1</v>
      </c>
      <c r="JK126" s="36">
        <v>1</v>
      </c>
      <c r="JL126" s="36"/>
      <c r="JM126" s="36"/>
      <c r="JN126" s="36"/>
      <c r="JO126" s="36">
        <v>0</v>
      </c>
      <c r="JP126" s="36">
        <v>22</v>
      </c>
      <c r="JQ126" s="36"/>
      <c r="JR126" s="36"/>
      <c r="JS126" s="616"/>
      <c r="JT126" s="616"/>
      <c r="JU126" s="616"/>
      <c r="JV126" s="627" t="s">
        <v>15</v>
      </c>
      <c r="JW126" s="627">
        <v>0</v>
      </c>
      <c r="JX126" s="627">
        <v>0</v>
      </c>
      <c r="JY126" s="627">
        <v>0</v>
      </c>
      <c r="JZ126" s="627">
        <v>0</v>
      </c>
      <c r="KA126" s="627">
        <v>0</v>
      </c>
      <c r="KB126" s="627">
        <v>0</v>
      </c>
      <c r="KC126" s="627">
        <v>0</v>
      </c>
      <c r="KD126" s="627">
        <v>0</v>
      </c>
      <c r="KE126" s="627">
        <v>0</v>
      </c>
      <c r="KF126" s="627">
        <v>0</v>
      </c>
      <c r="KG126" s="627">
        <v>2</v>
      </c>
      <c r="KH126" s="627">
        <v>0</v>
      </c>
      <c r="KI126" s="627">
        <v>0</v>
      </c>
      <c r="KJ126" s="627">
        <v>0</v>
      </c>
      <c r="KK126" s="627">
        <v>0</v>
      </c>
      <c r="KL126" s="627">
        <v>0</v>
      </c>
      <c r="KM126" s="627">
        <v>2</v>
      </c>
      <c r="KN126" s="628">
        <f>0/KM126</f>
        <v>0</v>
      </c>
      <c r="KO126" s="617">
        <v>0</v>
      </c>
    </row>
    <row r="127" spans="1:301">
      <c r="A127" s="5737">
        <v>2</v>
      </c>
      <c r="B127" s="5737">
        <v>3</v>
      </c>
      <c r="C127" s="5736" t="s">
        <v>128</v>
      </c>
      <c r="D127" s="5736" t="s">
        <v>2709</v>
      </c>
      <c r="E127" s="5737">
        <v>1</v>
      </c>
      <c r="F127" s="5737">
        <v>6</v>
      </c>
      <c r="I127" s="4726">
        <v>2</v>
      </c>
      <c r="J127" s="4726">
        <v>3</v>
      </c>
      <c r="K127" s="4725" t="s">
        <v>129</v>
      </c>
      <c r="L127" s="4725" t="s">
        <v>2731</v>
      </c>
      <c r="M127" s="4726">
        <v>1</v>
      </c>
      <c r="N127" s="4726">
        <v>13</v>
      </c>
      <c r="Q127" s="4458">
        <v>3</v>
      </c>
      <c r="R127" s="4458">
        <v>3</v>
      </c>
      <c r="S127" s="4459" t="s">
        <v>296</v>
      </c>
      <c r="T127" s="4461" t="s">
        <v>1076</v>
      </c>
      <c r="U127" s="4458">
        <v>9</v>
      </c>
      <c r="V127" s="4479">
        <v>1</v>
      </c>
      <c r="W127" s="4510"/>
      <c r="X127" s="4467"/>
      <c r="Y127" s="4467"/>
      <c r="Z127" s="36"/>
      <c r="AA127" s="36"/>
      <c r="AB127" s="36"/>
      <c r="AC127" s="36" t="s">
        <v>2571</v>
      </c>
      <c r="AD127" s="615">
        <v>2</v>
      </c>
      <c r="AE127" s="615"/>
      <c r="AF127" s="615"/>
      <c r="AG127" s="615"/>
      <c r="AH127" s="615"/>
      <c r="AI127" s="615"/>
      <c r="AJ127" s="615"/>
      <c r="AK127" s="615"/>
      <c r="AL127" s="615"/>
      <c r="AM127" s="615">
        <v>0</v>
      </c>
      <c r="AN127" s="615"/>
      <c r="AO127" s="615">
        <v>0</v>
      </c>
      <c r="AP127" s="615">
        <v>0</v>
      </c>
      <c r="AQ127" s="36">
        <v>0</v>
      </c>
      <c r="AR127" s="36">
        <v>2</v>
      </c>
      <c r="AS127" s="36"/>
      <c r="AU127" s="36"/>
      <c r="AV127" s="36"/>
      <c r="AW127" s="36"/>
      <c r="AX127" s="36" t="s">
        <v>15</v>
      </c>
      <c r="AY127" s="1681"/>
      <c r="AZ127" s="1681"/>
      <c r="BA127" s="1681"/>
      <c r="BB127" s="1681"/>
      <c r="BC127" s="1681"/>
      <c r="BD127" s="1681"/>
      <c r="BE127" s="1681"/>
      <c r="BF127" s="1681">
        <v>1</v>
      </c>
      <c r="BG127" s="1681"/>
      <c r="BH127" s="1681"/>
      <c r="BI127" s="1681">
        <v>1</v>
      </c>
      <c r="BJ127" s="1681">
        <v>3</v>
      </c>
      <c r="BK127" s="1681">
        <v>5</v>
      </c>
      <c r="BL127" s="1681">
        <v>4</v>
      </c>
      <c r="BM127" s="95">
        <v>5</v>
      </c>
      <c r="BN127" s="95">
        <v>2</v>
      </c>
      <c r="BO127" s="95">
        <v>21</v>
      </c>
      <c r="BP127" s="560">
        <f>+(BO123+BO126)/(BO127)</f>
        <v>0.2857142857142857</v>
      </c>
      <c r="BU127" s="1520" t="s">
        <v>15</v>
      </c>
      <c r="BV127" s="3872">
        <v>0</v>
      </c>
      <c r="BW127" s="3872"/>
      <c r="BX127" s="3872"/>
      <c r="BY127" s="3872"/>
      <c r="BZ127" s="3872"/>
      <c r="CA127" s="3872"/>
      <c r="CB127" s="3872"/>
      <c r="CC127" s="3872">
        <v>1</v>
      </c>
      <c r="CD127" s="3872"/>
      <c r="CE127" s="3872"/>
      <c r="CF127" s="3872">
        <v>1</v>
      </c>
      <c r="CG127" s="3872">
        <v>3</v>
      </c>
      <c r="CH127" s="3872">
        <v>8</v>
      </c>
      <c r="CI127" s="3872">
        <v>1</v>
      </c>
      <c r="CJ127" s="3806">
        <v>7</v>
      </c>
      <c r="CK127" s="3806">
        <v>21</v>
      </c>
      <c r="CL127" s="3807">
        <f>+(CK123+CK126)/CK127</f>
        <v>0.23809523809523808</v>
      </c>
      <c r="CN127" s="36"/>
      <c r="CO127" s="36"/>
      <c r="CP127" s="36"/>
      <c r="CQ127" s="36" t="s">
        <v>1081</v>
      </c>
      <c r="CR127" s="615"/>
      <c r="CS127" s="615"/>
      <c r="CT127" s="615"/>
      <c r="CU127" s="615"/>
      <c r="CV127" s="615"/>
      <c r="CW127" s="615"/>
      <c r="CX127" s="615"/>
      <c r="CY127" s="615"/>
      <c r="CZ127" s="615"/>
      <c r="DA127" s="615"/>
      <c r="DB127" s="615"/>
      <c r="DC127" s="615"/>
      <c r="DD127" s="615">
        <v>1</v>
      </c>
      <c r="DE127" s="615">
        <v>0</v>
      </c>
      <c r="DF127" s="615"/>
      <c r="DG127" s="36">
        <v>0</v>
      </c>
      <c r="DH127" s="36"/>
      <c r="DI127" s="36">
        <v>1</v>
      </c>
      <c r="DJ127" s="36"/>
      <c r="DL127" s="36"/>
      <c r="DM127" s="36"/>
      <c r="DN127" s="36" t="s">
        <v>110</v>
      </c>
      <c r="DO127" s="36" t="s">
        <v>1072</v>
      </c>
      <c r="DP127" s="1681"/>
      <c r="DQ127" s="1681"/>
      <c r="DR127" s="1681"/>
      <c r="DS127" s="1681"/>
      <c r="DT127" s="1681"/>
      <c r="DU127" s="1681"/>
      <c r="DV127" s="1681"/>
      <c r="DW127" s="1681"/>
      <c r="DX127" s="1681">
        <v>0</v>
      </c>
      <c r="DY127" s="1681">
        <v>3</v>
      </c>
      <c r="DZ127" s="1681">
        <v>3</v>
      </c>
      <c r="EA127" s="1681">
        <v>4</v>
      </c>
      <c r="EB127" s="1681">
        <v>1</v>
      </c>
      <c r="EC127" s="1681">
        <v>0</v>
      </c>
      <c r="ED127" s="1681"/>
      <c r="EE127" s="95"/>
      <c r="EF127" s="95"/>
      <c r="EG127" s="95">
        <v>11</v>
      </c>
      <c r="EH127" s="36"/>
      <c r="EL127" s="36"/>
      <c r="EM127" s="36" t="s">
        <v>1080</v>
      </c>
      <c r="EN127" s="1490">
        <v>0</v>
      </c>
      <c r="EO127" s="1490">
        <v>0</v>
      </c>
      <c r="EP127" s="1490">
        <v>0</v>
      </c>
      <c r="EQ127" s="1490"/>
      <c r="ER127" s="1490"/>
      <c r="ES127" s="1490"/>
      <c r="ET127" s="1490"/>
      <c r="EU127" s="1490">
        <v>0</v>
      </c>
      <c r="EV127" s="1490">
        <v>0</v>
      </c>
      <c r="EW127" s="1490"/>
      <c r="EX127" s="1490"/>
      <c r="EY127" s="1490">
        <v>0</v>
      </c>
      <c r="EZ127" s="1490">
        <v>0</v>
      </c>
      <c r="FA127" s="1490">
        <v>0</v>
      </c>
      <c r="FB127" s="1490">
        <v>14</v>
      </c>
      <c r="FC127" s="36">
        <v>1</v>
      </c>
      <c r="FD127" s="36">
        <v>9</v>
      </c>
      <c r="FE127" s="36">
        <v>24</v>
      </c>
      <c r="FF127" s="36"/>
      <c r="FH127" s="1225"/>
      <c r="FI127" s="1225"/>
      <c r="FJ127" s="1225"/>
      <c r="FK127" s="1226" t="s">
        <v>1076</v>
      </c>
      <c r="FL127" s="1227"/>
      <c r="FM127" s="1228">
        <v>0</v>
      </c>
      <c r="FN127" s="1227"/>
      <c r="FO127" s="1228">
        <v>0</v>
      </c>
      <c r="FP127" s="1228">
        <v>0</v>
      </c>
      <c r="FQ127" s="1227"/>
      <c r="FR127" s="1227"/>
      <c r="FS127" s="1228">
        <v>0</v>
      </c>
      <c r="FT127" s="1228">
        <v>0</v>
      </c>
      <c r="FU127" s="1228">
        <v>0</v>
      </c>
      <c r="FV127" s="1228">
        <v>3</v>
      </c>
      <c r="FW127" s="1228">
        <v>2</v>
      </c>
      <c r="FX127" s="1228">
        <v>0</v>
      </c>
      <c r="FY127" s="1230">
        <v>0</v>
      </c>
      <c r="FZ127" s="1230">
        <v>0</v>
      </c>
      <c r="GA127" s="1230">
        <v>5</v>
      </c>
      <c r="GB127" s="36"/>
      <c r="GD127" s="603"/>
      <c r="GE127" s="603"/>
      <c r="GF127" s="603"/>
      <c r="GG127" s="604" t="s">
        <v>1072</v>
      </c>
      <c r="GH127" s="605"/>
      <c r="GI127" s="606">
        <v>5</v>
      </c>
      <c r="GJ127" s="606">
        <v>2</v>
      </c>
      <c r="GK127" s="606">
        <v>2</v>
      </c>
      <c r="GL127" s="606">
        <v>1</v>
      </c>
      <c r="GM127" s="606">
        <v>2</v>
      </c>
      <c r="GN127" s="606">
        <v>1</v>
      </c>
      <c r="GO127" s="606">
        <v>2</v>
      </c>
      <c r="GP127" s="606">
        <v>2</v>
      </c>
      <c r="GQ127" s="606">
        <v>1</v>
      </c>
      <c r="GR127" s="606">
        <v>2</v>
      </c>
      <c r="GS127" s="606">
        <v>3</v>
      </c>
      <c r="GT127" s="606">
        <v>8</v>
      </c>
      <c r="GU127" s="606">
        <v>8</v>
      </c>
      <c r="GV127" s="606">
        <v>1</v>
      </c>
      <c r="GW127" s="608">
        <v>0</v>
      </c>
      <c r="GX127" s="608">
        <v>0</v>
      </c>
      <c r="GY127" s="608">
        <v>40</v>
      </c>
      <c r="GZ127" s="95"/>
      <c r="HB127" s="441"/>
      <c r="HC127" s="441"/>
      <c r="HD127" s="441"/>
      <c r="HE127" s="441"/>
      <c r="HF127" s="442" t="s">
        <v>1076</v>
      </c>
      <c r="HG127" s="609"/>
      <c r="HH127" s="610">
        <v>0</v>
      </c>
      <c r="HI127" s="610">
        <v>0</v>
      </c>
      <c r="HJ127" s="610">
        <v>0</v>
      </c>
      <c r="HK127" s="610">
        <v>0</v>
      </c>
      <c r="HL127" s="609"/>
      <c r="HM127" s="610">
        <v>1</v>
      </c>
      <c r="HN127" s="610">
        <v>0</v>
      </c>
      <c r="HO127" s="610">
        <v>0</v>
      </c>
      <c r="HP127" s="610">
        <v>0</v>
      </c>
      <c r="HQ127" s="610">
        <v>6</v>
      </c>
      <c r="HR127" s="610">
        <v>5</v>
      </c>
      <c r="HS127" s="610">
        <v>9</v>
      </c>
      <c r="HT127" s="610">
        <v>12</v>
      </c>
      <c r="HU127" s="610">
        <v>3</v>
      </c>
      <c r="HV127" s="612">
        <v>3</v>
      </c>
      <c r="HW127" s="612">
        <v>0</v>
      </c>
      <c r="HX127" s="612">
        <v>39</v>
      </c>
      <c r="HY127" s="560"/>
      <c r="HZ127" s="36"/>
      <c r="IA127" s="36"/>
      <c r="IB127" s="36"/>
      <c r="IC127" s="36"/>
      <c r="ID127" s="36"/>
      <c r="IE127" s="36"/>
      <c r="IF127" s="36"/>
      <c r="IG127" s="36"/>
      <c r="IH127" s="36"/>
      <c r="II127" s="36"/>
      <c r="IJ127" s="36"/>
      <c r="IK127" s="36"/>
      <c r="IL127" s="36"/>
      <c r="IM127" s="36"/>
      <c r="IN127" s="36"/>
      <c r="IO127" s="36"/>
      <c r="IP127" s="36"/>
      <c r="IQ127" s="36"/>
      <c r="IR127" s="36"/>
      <c r="IS127" s="36"/>
      <c r="IT127" s="36"/>
      <c r="IU127" s="36"/>
      <c r="IV127" s="95"/>
      <c r="IW127" s="95"/>
      <c r="IX127" s="95"/>
      <c r="IY127" s="36" t="s">
        <v>1076</v>
      </c>
      <c r="IZ127" s="36">
        <v>0</v>
      </c>
      <c r="JA127" s="36"/>
      <c r="JB127" s="36"/>
      <c r="JC127" s="36"/>
      <c r="JD127" s="36"/>
      <c r="JE127" s="36"/>
      <c r="JF127" s="36">
        <v>0</v>
      </c>
      <c r="JG127" s="36">
        <v>0</v>
      </c>
      <c r="JH127" s="36">
        <v>3</v>
      </c>
      <c r="JI127" s="36">
        <v>0</v>
      </c>
      <c r="JJ127" s="36">
        <v>0</v>
      </c>
      <c r="JK127" s="36">
        <v>0</v>
      </c>
      <c r="JL127" s="36"/>
      <c r="JM127" s="36"/>
      <c r="JN127" s="36"/>
      <c r="JO127" s="36">
        <v>0</v>
      </c>
      <c r="JP127" s="36">
        <v>3</v>
      </c>
      <c r="JQ127" s="36"/>
      <c r="JR127" s="36"/>
      <c r="JS127" s="616"/>
      <c r="JT127" s="616"/>
      <c r="JU127" s="616" t="s">
        <v>103</v>
      </c>
      <c r="JV127" s="616" t="s">
        <v>1072</v>
      </c>
      <c r="JW127" s="616">
        <v>0</v>
      </c>
      <c r="JX127" s="616">
        <v>0</v>
      </c>
      <c r="JY127" s="616">
        <v>0</v>
      </c>
      <c r="JZ127" s="616">
        <v>0</v>
      </c>
      <c r="KA127" s="616">
        <v>0</v>
      </c>
      <c r="KB127" s="616">
        <v>1</v>
      </c>
      <c r="KC127" s="616">
        <v>0</v>
      </c>
      <c r="KD127" s="616">
        <v>0</v>
      </c>
      <c r="KE127" s="616">
        <v>0</v>
      </c>
      <c r="KF127" s="616">
        <v>0</v>
      </c>
      <c r="KG127" s="616">
        <v>0</v>
      </c>
      <c r="KH127" s="616">
        <v>0</v>
      </c>
      <c r="KI127" s="616">
        <v>0</v>
      </c>
      <c r="KJ127" s="616">
        <v>0</v>
      </c>
      <c r="KK127" s="616">
        <v>0</v>
      </c>
      <c r="KL127" s="616">
        <v>0</v>
      </c>
      <c r="KM127" s="616">
        <v>1</v>
      </c>
      <c r="KN127" s="616"/>
      <c r="KO127" s="617"/>
    </row>
    <row r="128" spans="1:301">
      <c r="A128" s="5737">
        <v>2</v>
      </c>
      <c r="B128" s="5737">
        <v>3</v>
      </c>
      <c r="C128" s="5736" t="s">
        <v>128</v>
      </c>
      <c r="D128" s="5736" t="s">
        <v>2709</v>
      </c>
      <c r="E128" s="5737">
        <v>1</v>
      </c>
      <c r="F128" s="5737">
        <v>13</v>
      </c>
      <c r="I128" s="4726">
        <v>2</v>
      </c>
      <c r="J128" s="4726">
        <v>3</v>
      </c>
      <c r="K128" s="4725" t="s">
        <v>129</v>
      </c>
      <c r="L128" s="4725" t="s">
        <v>2731</v>
      </c>
      <c r="M128" s="4726">
        <v>2</v>
      </c>
      <c r="N128" s="4726">
        <v>15</v>
      </c>
      <c r="Q128" s="4458">
        <v>3</v>
      </c>
      <c r="R128" s="4458">
        <v>3</v>
      </c>
      <c r="S128" s="4459" t="s">
        <v>296</v>
      </c>
      <c r="T128" s="4459" t="s">
        <v>2731</v>
      </c>
      <c r="U128" s="4458">
        <v>12</v>
      </c>
      <c r="V128" s="4479">
        <v>1</v>
      </c>
      <c r="W128" s="4510"/>
      <c r="X128" s="4467"/>
      <c r="Y128" s="4467"/>
      <c r="Z128" s="36"/>
      <c r="AA128" s="36"/>
      <c r="AB128" s="36"/>
      <c r="AC128" s="36" t="s">
        <v>1163</v>
      </c>
      <c r="AD128" s="615">
        <v>0</v>
      </c>
      <c r="AE128" s="615"/>
      <c r="AF128" s="615"/>
      <c r="AG128" s="615"/>
      <c r="AH128" s="615"/>
      <c r="AI128" s="615"/>
      <c r="AJ128" s="615"/>
      <c r="AK128" s="615"/>
      <c r="AL128" s="615"/>
      <c r="AM128" s="615">
        <v>1</v>
      </c>
      <c r="AN128" s="615"/>
      <c r="AO128" s="615">
        <v>0</v>
      </c>
      <c r="AP128" s="615">
        <v>0</v>
      </c>
      <c r="AQ128" s="36">
        <v>0</v>
      </c>
      <c r="AR128" s="36">
        <v>1</v>
      </c>
      <c r="AS128" s="36"/>
      <c r="AU128" s="36"/>
      <c r="AV128" s="36"/>
      <c r="AW128" s="393" t="s">
        <v>485</v>
      </c>
      <c r="AX128" s="393" t="s">
        <v>1071</v>
      </c>
      <c r="AY128" s="1682"/>
      <c r="AZ128" s="1682"/>
      <c r="BA128" s="1682"/>
      <c r="BB128" s="1682"/>
      <c r="BC128" s="1682"/>
      <c r="BD128" s="1682"/>
      <c r="BE128" s="1682"/>
      <c r="BF128" s="1682">
        <v>0</v>
      </c>
      <c r="BG128" s="1682"/>
      <c r="BH128" s="1682">
        <v>0</v>
      </c>
      <c r="BI128" s="1682">
        <v>0</v>
      </c>
      <c r="BJ128" s="1682">
        <v>0</v>
      </c>
      <c r="BK128" s="1682">
        <v>0</v>
      </c>
      <c r="BL128" s="1682">
        <v>1</v>
      </c>
      <c r="BM128" s="4455">
        <v>0</v>
      </c>
      <c r="BN128" s="4455">
        <v>0</v>
      </c>
      <c r="BO128" s="4455">
        <v>1</v>
      </c>
      <c r="BP128" s="4455"/>
      <c r="BT128" s="1520" t="s">
        <v>485</v>
      </c>
      <c r="BU128" s="1520" t="s">
        <v>1071</v>
      </c>
      <c r="BV128" s="3872">
        <v>0</v>
      </c>
      <c r="BW128" s="3872"/>
      <c r="BX128" s="3872"/>
      <c r="BY128" s="3872"/>
      <c r="BZ128" s="3872"/>
      <c r="CA128" s="3872"/>
      <c r="CB128" s="3872"/>
      <c r="CC128" s="3872">
        <v>0</v>
      </c>
      <c r="CD128" s="3872"/>
      <c r="CE128" s="3872">
        <v>0</v>
      </c>
      <c r="CF128" s="3872">
        <v>0</v>
      </c>
      <c r="CG128" s="3872">
        <v>0</v>
      </c>
      <c r="CH128" s="3872">
        <v>6</v>
      </c>
      <c r="CI128" s="3872">
        <v>0</v>
      </c>
      <c r="CJ128" s="3806">
        <v>1</v>
      </c>
      <c r="CK128" s="3806">
        <v>7</v>
      </c>
      <c r="CL128" s="1520"/>
      <c r="CN128" s="36"/>
      <c r="CO128" s="36"/>
      <c r="CP128" s="36"/>
      <c r="CQ128" s="36" t="s">
        <v>1163</v>
      </c>
      <c r="CR128" s="615"/>
      <c r="CS128" s="615"/>
      <c r="CT128" s="615"/>
      <c r="CU128" s="615"/>
      <c r="CV128" s="615"/>
      <c r="CW128" s="615"/>
      <c r="CX128" s="615"/>
      <c r="CY128" s="615"/>
      <c r="CZ128" s="615"/>
      <c r="DA128" s="615"/>
      <c r="DB128" s="615"/>
      <c r="DC128" s="615"/>
      <c r="DD128" s="615">
        <v>0</v>
      </c>
      <c r="DE128" s="615">
        <v>1</v>
      </c>
      <c r="DF128" s="615"/>
      <c r="DG128" s="36">
        <v>0</v>
      </c>
      <c r="DH128" s="36"/>
      <c r="DI128" s="36">
        <v>1</v>
      </c>
      <c r="DJ128" s="36"/>
      <c r="DL128" s="36"/>
      <c r="DM128" s="36"/>
      <c r="DN128" s="36"/>
      <c r="DO128" s="36" t="s">
        <v>1076</v>
      </c>
      <c r="DP128" s="1681"/>
      <c r="DQ128" s="1681"/>
      <c r="DR128" s="1681"/>
      <c r="DS128" s="1681"/>
      <c r="DT128" s="1681"/>
      <c r="DU128" s="1681"/>
      <c r="DV128" s="1681"/>
      <c r="DW128" s="1681"/>
      <c r="DX128" s="1681">
        <v>0</v>
      </c>
      <c r="DY128" s="1681">
        <v>0</v>
      </c>
      <c r="DZ128" s="1681">
        <v>0</v>
      </c>
      <c r="EA128" s="1681">
        <v>0</v>
      </c>
      <c r="EB128" s="1681">
        <v>1</v>
      </c>
      <c r="EC128" s="1681">
        <v>1</v>
      </c>
      <c r="ED128" s="1681"/>
      <c r="EE128" s="95"/>
      <c r="EF128" s="95"/>
      <c r="EG128" s="95">
        <v>2</v>
      </c>
      <c r="EH128" s="36"/>
      <c r="EL128" s="36"/>
      <c r="EM128" s="36" t="s">
        <v>1163</v>
      </c>
      <c r="EN128" s="1490">
        <v>0</v>
      </c>
      <c r="EO128" s="1490">
        <v>0</v>
      </c>
      <c r="EP128" s="1490">
        <v>0</v>
      </c>
      <c r="EQ128" s="1490"/>
      <c r="ER128" s="1490"/>
      <c r="ES128" s="1490"/>
      <c r="ET128" s="1490"/>
      <c r="EU128" s="1490">
        <v>0</v>
      </c>
      <c r="EV128" s="1490">
        <v>0</v>
      </c>
      <c r="EW128" s="1490"/>
      <c r="EX128" s="1490"/>
      <c r="EY128" s="1490">
        <v>0</v>
      </c>
      <c r="EZ128" s="1490">
        <v>1</v>
      </c>
      <c r="FA128" s="1490">
        <v>3</v>
      </c>
      <c r="FB128" s="1490">
        <v>2</v>
      </c>
      <c r="FC128" s="36">
        <v>1</v>
      </c>
      <c r="FD128" s="36">
        <v>0</v>
      </c>
      <c r="FE128" s="36">
        <v>7</v>
      </c>
      <c r="FF128" s="36"/>
      <c r="FH128" s="1225"/>
      <c r="FI128" s="1225"/>
      <c r="FJ128" s="1225"/>
      <c r="FK128" s="1226" t="s">
        <v>1080</v>
      </c>
      <c r="FL128" s="1227"/>
      <c r="FM128" s="1228">
        <v>0</v>
      </c>
      <c r="FN128" s="1227"/>
      <c r="FO128" s="1228">
        <v>0</v>
      </c>
      <c r="FP128" s="1228">
        <v>0</v>
      </c>
      <c r="FQ128" s="1227"/>
      <c r="FR128" s="1227"/>
      <c r="FS128" s="1228">
        <v>0</v>
      </c>
      <c r="FT128" s="1228">
        <v>0</v>
      </c>
      <c r="FU128" s="1228">
        <v>0</v>
      </c>
      <c r="FV128" s="1228">
        <v>0</v>
      </c>
      <c r="FW128" s="1228">
        <v>3</v>
      </c>
      <c r="FX128" s="1228">
        <v>0</v>
      </c>
      <c r="FY128" s="1230">
        <v>1</v>
      </c>
      <c r="FZ128" s="1230">
        <v>1</v>
      </c>
      <c r="GA128" s="1230">
        <v>5</v>
      </c>
      <c r="GB128" s="36"/>
      <c r="GD128" s="603"/>
      <c r="GE128" s="603"/>
      <c r="GF128" s="603"/>
      <c r="GG128" s="604" t="s">
        <v>1074</v>
      </c>
      <c r="GH128" s="605"/>
      <c r="GI128" s="606">
        <v>0</v>
      </c>
      <c r="GJ128" s="606">
        <v>0</v>
      </c>
      <c r="GK128" s="606">
        <v>1</v>
      </c>
      <c r="GL128" s="606">
        <v>0</v>
      </c>
      <c r="GM128" s="606">
        <v>0</v>
      </c>
      <c r="GN128" s="606">
        <v>0</v>
      </c>
      <c r="GO128" s="606">
        <v>0</v>
      </c>
      <c r="GP128" s="606">
        <v>0</v>
      </c>
      <c r="GQ128" s="606">
        <v>0</v>
      </c>
      <c r="GR128" s="606">
        <v>0</v>
      </c>
      <c r="GS128" s="606">
        <v>0</v>
      </c>
      <c r="GT128" s="606">
        <v>0</v>
      </c>
      <c r="GU128" s="606">
        <v>0</v>
      </c>
      <c r="GV128" s="606">
        <v>0</v>
      </c>
      <c r="GW128" s="608">
        <v>0</v>
      </c>
      <c r="GX128" s="608">
        <v>0</v>
      </c>
      <c r="GY128" s="608">
        <v>1</v>
      </c>
      <c r="GZ128" s="95"/>
      <c r="HB128" s="441"/>
      <c r="HC128" s="441"/>
      <c r="HD128" s="441"/>
      <c r="HE128" s="441"/>
      <c r="HF128" s="442" t="s">
        <v>1077</v>
      </c>
      <c r="HG128" s="609"/>
      <c r="HH128" s="610">
        <v>0</v>
      </c>
      <c r="HI128" s="610">
        <v>1</v>
      </c>
      <c r="HJ128" s="610">
        <v>0</v>
      </c>
      <c r="HK128" s="610">
        <v>0</v>
      </c>
      <c r="HL128" s="609"/>
      <c r="HM128" s="610">
        <v>0</v>
      </c>
      <c r="HN128" s="610">
        <v>0</v>
      </c>
      <c r="HO128" s="610">
        <v>0</v>
      </c>
      <c r="HP128" s="610">
        <v>1</v>
      </c>
      <c r="HQ128" s="610">
        <v>0</v>
      </c>
      <c r="HR128" s="610">
        <v>0</v>
      </c>
      <c r="HS128" s="610">
        <v>0</v>
      </c>
      <c r="HT128" s="610">
        <v>0</v>
      </c>
      <c r="HU128" s="610">
        <v>0</v>
      </c>
      <c r="HV128" s="612">
        <v>0</v>
      </c>
      <c r="HW128" s="612">
        <v>0</v>
      </c>
      <c r="HX128" s="612">
        <v>2</v>
      </c>
      <c r="HY128" s="560"/>
      <c r="HZ128" s="36"/>
      <c r="IA128" s="36"/>
      <c r="IB128" s="36"/>
      <c r="IC128" s="613" t="s">
        <v>726</v>
      </c>
      <c r="ID128" s="389" t="s">
        <v>1074</v>
      </c>
      <c r="IE128" s="390">
        <v>1</v>
      </c>
      <c r="IF128" s="614"/>
      <c r="IG128" s="390">
        <v>0</v>
      </c>
      <c r="IH128" s="390">
        <v>0</v>
      </c>
      <c r="II128" s="390">
        <v>0</v>
      </c>
      <c r="IJ128" s="390">
        <v>0</v>
      </c>
      <c r="IK128" s="614"/>
      <c r="IL128" s="614"/>
      <c r="IM128" s="614"/>
      <c r="IN128" s="614"/>
      <c r="IO128" s="390">
        <v>0</v>
      </c>
      <c r="IP128" s="614"/>
      <c r="IQ128" s="614"/>
      <c r="IR128" s="390">
        <v>1</v>
      </c>
      <c r="IS128" s="615"/>
      <c r="IT128" s="36"/>
      <c r="IU128" s="36"/>
      <c r="IV128" s="95"/>
      <c r="IW128" s="95"/>
      <c r="IX128" s="95"/>
      <c r="IY128" s="36" t="s">
        <v>1080</v>
      </c>
      <c r="IZ128" s="36">
        <v>0</v>
      </c>
      <c r="JA128" s="36"/>
      <c r="JB128" s="36"/>
      <c r="JC128" s="36"/>
      <c r="JD128" s="36"/>
      <c r="JE128" s="36"/>
      <c r="JF128" s="36">
        <v>0</v>
      </c>
      <c r="JG128" s="36">
        <v>0</v>
      </c>
      <c r="JH128" s="36">
        <v>0</v>
      </c>
      <c r="JI128" s="36">
        <v>0</v>
      </c>
      <c r="JJ128" s="36">
        <v>0</v>
      </c>
      <c r="JK128" s="36">
        <v>0</v>
      </c>
      <c r="JL128" s="36"/>
      <c r="JM128" s="36"/>
      <c r="JN128" s="36"/>
      <c r="JO128" s="36">
        <v>2</v>
      </c>
      <c r="JP128" s="36">
        <v>2</v>
      </c>
      <c r="JQ128" s="36"/>
      <c r="JR128" s="36"/>
      <c r="JS128" s="616"/>
      <c r="JT128" s="616"/>
      <c r="JU128" s="616"/>
      <c r="JV128" s="616" t="s">
        <v>1076</v>
      </c>
      <c r="JW128" s="616">
        <v>0</v>
      </c>
      <c r="JX128" s="616">
        <v>0</v>
      </c>
      <c r="JY128" s="616">
        <v>0</v>
      </c>
      <c r="JZ128" s="616">
        <v>0</v>
      </c>
      <c r="KA128" s="616">
        <v>0</v>
      </c>
      <c r="KB128" s="616">
        <v>1</v>
      </c>
      <c r="KC128" s="616">
        <v>0</v>
      </c>
      <c r="KD128" s="616">
        <v>0</v>
      </c>
      <c r="KE128" s="616">
        <v>0</v>
      </c>
      <c r="KF128" s="616">
        <v>0</v>
      </c>
      <c r="KG128" s="616">
        <v>0</v>
      </c>
      <c r="KH128" s="616">
        <v>0</v>
      </c>
      <c r="KI128" s="616">
        <v>0</v>
      </c>
      <c r="KJ128" s="616">
        <v>0</v>
      </c>
      <c r="KK128" s="616">
        <v>0</v>
      </c>
      <c r="KL128" s="616">
        <v>0</v>
      </c>
      <c r="KM128" s="616">
        <v>1</v>
      </c>
      <c r="KN128" s="616"/>
      <c r="KO128" s="617"/>
    </row>
    <row r="129" spans="1:301">
      <c r="A129" s="5737"/>
      <c r="B129" s="5737"/>
      <c r="C129" s="5736"/>
      <c r="D129" s="5736"/>
      <c r="E129" s="5742">
        <f>SUM(E120:E128)</f>
        <v>25</v>
      </c>
      <c r="F129" s="5737"/>
      <c r="G129" s="4476">
        <f>+(E123+E124+E125)/(E129)</f>
        <v>0.36</v>
      </c>
      <c r="I129" s="4726">
        <v>2</v>
      </c>
      <c r="J129" s="4726">
        <v>3</v>
      </c>
      <c r="K129" s="4725" t="s">
        <v>129</v>
      </c>
      <c r="L129" s="4725" t="s">
        <v>1071</v>
      </c>
      <c r="M129" s="4726">
        <v>1</v>
      </c>
      <c r="N129" s="4726">
        <v>13</v>
      </c>
      <c r="Q129" s="4458">
        <v>3</v>
      </c>
      <c r="R129" s="4458">
        <v>3</v>
      </c>
      <c r="S129" s="4459" t="s">
        <v>296</v>
      </c>
      <c r="T129" s="4461" t="s">
        <v>2707</v>
      </c>
      <c r="U129" s="4458">
        <v>9</v>
      </c>
      <c r="V129" s="4479">
        <v>1</v>
      </c>
      <c r="W129" s="4510"/>
      <c r="X129" s="4467"/>
      <c r="Y129" s="4467"/>
      <c r="Z129" s="36"/>
      <c r="AA129" s="36"/>
      <c r="AB129" s="36"/>
      <c r="AC129" s="4236" t="s">
        <v>15</v>
      </c>
      <c r="AD129" s="4236">
        <v>2</v>
      </c>
      <c r="AE129" s="4236"/>
      <c r="AF129" s="4236"/>
      <c r="AG129" s="4236"/>
      <c r="AH129" s="4236"/>
      <c r="AI129" s="4236"/>
      <c r="AJ129" s="4236"/>
      <c r="AK129" s="4236"/>
      <c r="AL129" s="4236"/>
      <c r="AM129" s="4236">
        <v>2</v>
      </c>
      <c r="AN129" s="4236"/>
      <c r="AO129" s="4236">
        <v>4</v>
      </c>
      <c r="AP129" s="4236">
        <v>1</v>
      </c>
      <c r="AQ129" s="4236">
        <v>1</v>
      </c>
      <c r="AR129" s="4236">
        <v>10</v>
      </c>
      <c r="AS129" s="4243">
        <f>(AR125+AR128)/(AR129-AR127)</f>
        <v>0.25</v>
      </c>
      <c r="AU129" s="36"/>
      <c r="AV129" s="36"/>
      <c r="AW129" s="393"/>
      <c r="AX129" s="393" t="s">
        <v>1072</v>
      </c>
      <c r="AY129" s="1682"/>
      <c r="AZ129" s="1682"/>
      <c r="BA129" s="1682"/>
      <c r="BB129" s="1682"/>
      <c r="BC129" s="1682"/>
      <c r="BD129" s="1682"/>
      <c r="BE129" s="1682"/>
      <c r="BF129" s="1682">
        <v>0</v>
      </c>
      <c r="BG129" s="1682"/>
      <c r="BH129" s="1682">
        <v>1</v>
      </c>
      <c r="BI129" s="1682">
        <v>1</v>
      </c>
      <c r="BJ129" s="1682">
        <v>1</v>
      </c>
      <c r="BK129" s="1682">
        <v>1</v>
      </c>
      <c r="BL129" s="1682">
        <v>0</v>
      </c>
      <c r="BM129" s="4455">
        <v>0</v>
      </c>
      <c r="BN129" s="4455">
        <v>0</v>
      </c>
      <c r="BO129" s="4455">
        <v>4</v>
      </c>
      <c r="BP129" s="4455"/>
      <c r="BT129" s="1520"/>
      <c r="BU129" s="1520" t="s">
        <v>1072</v>
      </c>
      <c r="BV129" s="3872">
        <v>0</v>
      </c>
      <c r="BW129" s="3872"/>
      <c r="BX129" s="3872"/>
      <c r="BY129" s="3872"/>
      <c r="BZ129" s="3872"/>
      <c r="CA129" s="3872"/>
      <c r="CB129" s="3872"/>
      <c r="CC129" s="3872">
        <v>0</v>
      </c>
      <c r="CD129" s="3872"/>
      <c r="CE129" s="3872">
        <v>1</v>
      </c>
      <c r="CF129" s="3872">
        <v>1</v>
      </c>
      <c r="CG129" s="3872">
        <v>1</v>
      </c>
      <c r="CH129" s="3872">
        <v>1</v>
      </c>
      <c r="CI129" s="3872">
        <v>0</v>
      </c>
      <c r="CJ129" s="3806">
        <v>0</v>
      </c>
      <c r="CK129" s="3806">
        <v>4</v>
      </c>
      <c r="CL129" s="1520"/>
      <c r="CN129" s="36"/>
      <c r="CO129" s="36"/>
      <c r="CP129" s="36"/>
      <c r="CQ129" s="393" t="s">
        <v>15</v>
      </c>
      <c r="CR129" s="2049"/>
      <c r="CS129" s="2049"/>
      <c r="CT129" s="2049"/>
      <c r="CU129" s="2049"/>
      <c r="CV129" s="2049"/>
      <c r="CW129" s="2049"/>
      <c r="CX129" s="2049"/>
      <c r="CY129" s="2049"/>
      <c r="CZ129" s="2049"/>
      <c r="DA129" s="2049"/>
      <c r="DB129" s="2049"/>
      <c r="DC129" s="2049"/>
      <c r="DD129" s="2049">
        <v>6</v>
      </c>
      <c r="DE129" s="2049">
        <v>1</v>
      </c>
      <c r="DF129" s="2049"/>
      <c r="DG129" s="393">
        <v>1</v>
      </c>
      <c r="DH129" s="393"/>
      <c r="DI129" s="393">
        <v>8</v>
      </c>
      <c r="DJ129" s="560">
        <f>+(DI128+DI126)/DI129</f>
        <v>0.375</v>
      </c>
      <c r="DK129" s="1665"/>
      <c r="DL129" s="36"/>
      <c r="DM129" s="36"/>
      <c r="DN129" s="36"/>
      <c r="DO129" s="36" t="s">
        <v>1077</v>
      </c>
      <c r="DP129" s="1681"/>
      <c r="DQ129" s="1681"/>
      <c r="DR129" s="1681"/>
      <c r="DS129" s="1681"/>
      <c r="DT129" s="1681"/>
      <c r="DU129" s="1681"/>
      <c r="DV129" s="1681"/>
      <c r="DW129" s="1681"/>
      <c r="DX129" s="1681">
        <v>0</v>
      </c>
      <c r="DY129" s="1681">
        <v>1</v>
      </c>
      <c r="DZ129" s="1681">
        <v>0</v>
      </c>
      <c r="EA129" s="1681">
        <v>0</v>
      </c>
      <c r="EB129" s="1681">
        <v>0</v>
      </c>
      <c r="EC129" s="1681">
        <v>0</v>
      </c>
      <c r="ED129" s="1681"/>
      <c r="EE129" s="95"/>
      <c r="EF129" s="95"/>
      <c r="EG129" s="95">
        <v>1</v>
      </c>
      <c r="EH129" s="36"/>
      <c r="EL129" s="36"/>
      <c r="EM129" s="36" t="s">
        <v>1735</v>
      </c>
      <c r="EN129" s="1490">
        <v>1</v>
      </c>
      <c r="EO129" s="1490">
        <v>0</v>
      </c>
      <c r="EP129" s="1490">
        <v>0</v>
      </c>
      <c r="EQ129" s="1490"/>
      <c r="ER129" s="1490"/>
      <c r="ES129" s="1490"/>
      <c r="ET129" s="1490"/>
      <c r="EU129" s="1490">
        <v>0</v>
      </c>
      <c r="EV129" s="1490">
        <v>0</v>
      </c>
      <c r="EW129" s="1490"/>
      <c r="EX129" s="1490"/>
      <c r="EY129" s="1490">
        <v>0</v>
      </c>
      <c r="EZ129" s="1490">
        <v>0</v>
      </c>
      <c r="FA129" s="1490">
        <v>0</v>
      </c>
      <c r="FB129" s="1490">
        <v>0</v>
      </c>
      <c r="FC129" s="36">
        <v>0</v>
      </c>
      <c r="FD129" s="36">
        <v>0</v>
      </c>
      <c r="FE129" s="36">
        <v>1</v>
      </c>
      <c r="FF129" s="36"/>
      <c r="FH129" s="1225"/>
      <c r="FI129" s="1225"/>
      <c r="FJ129" s="1225"/>
      <c r="FK129" s="1226" t="s">
        <v>1081</v>
      </c>
      <c r="FL129" s="1227"/>
      <c r="FM129" s="1228">
        <v>0</v>
      </c>
      <c r="FN129" s="1227"/>
      <c r="FO129" s="1228">
        <v>0</v>
      </c>
      <c r="FP129" s="1228">
        <v>0</v>
      </c>
      <c r="FQ129" s="1227"/>
      <c r="FR129" s="1227"/>
      <c r="FS129" s="1228">
        <v>0</v>
      </c>
      <c r="FT129" s="1228">
        <v>0</v>
      </c>
      <c r="FU129" s="1228">
        <v>1</v>
      </c>
      <c r="FV129" s="1228">
        <v>2</v>
      </c>
      <c r="FW129" s="1228">
        <v>0</v>
      </c>
      <c r="FX129" s="1228">
        <v>0</v>
      </c>
      <c r="FY129" s="1230">
        <v>0</v>
      </c>
      <c r="FZ129" s="1230">
        <v>0</v>
      </c>
      <c r="GA129" s="1230">
        <v>3</v>
      </c>
      <c r="GB129" s="36"/>
      <c r="GD129" s="603"/>
      <c r="GE129" s="603"/>
      <c r="GF129" s="603"/>
      <c r="GG129" s="604" t="s">
        <v>1076</v>
      </c>
      <c r="GH129" s="605"/>
      <c r="GI129" s="606">
        <v>0</v>
      </c>
      <c r="GJ129" s="606">
        <v>0</v>
      </c>
      <c r="GK129" s="606">
        <v>0</v>
      </c>
      <c r="GL129" s="606">
        <v>0</v>
      </c>
      <c r="GM129" s="606">
        <v>0</v>
      </c>
      <c r="GN129" s="606">
        <v>1</v>
      </c>
      <c r="GO129" s="606">
        <v>2</v>
      </c>
      <c r="GP129" s="606">
        <v>1</v>
      </c>
      <c r="GQ129" s="606">
        <v>0</v>
      </c>
      <c r="GR129" s="606">
        <v>0</v>
      </c>
      <c r="GS129" s="606">
        <v>2</v>
      </c>
      <c r="GT129" s="606">
        <v>7</v>
      </c>
      <c r="GU129" s="606">
        <v>25</v>
      </c>
      <c r="GV129" s="606">
        <v>1</v>
      </c>
      <c r="GW129" s="608">
        <v>0</v>
      </c>
      <c r="GX129" s="608">
        <v>0</v>
      </c>
      <c r="GY129" s="608">
        <v>39</v>
      </c>
      <c r="GZ129" s="95"/>
      <c r="HB129" s="441"/>
      <c r="HC129" s="441"/>
      <c r="HD129" s="441"/>
      <c r="HE129" s="441"/>
      <c r="HF129" s="442" t="s">
        <v>1080</v>
      </c>
      <c r="HG129" s="609"/>
      <c r="HH129" s="610">
        <v>0</v>
      </c>
      <c r="HI129" s="610">
        <v>0</v>
      </c>
      <c r="HJ129" s="610">
        <v>0</v>
      </c>
      <c r="HK129" s="610">
        <v>0</v>
      </c>
      <c r="HL129" s="609"/>
      <c r="HM129" s="610">
        <v>0</v>
      </c>
      <c r="HN129" s="610">
        <v>0</v>
      </c>
      <c r="HO129" s="610">
        <v>0</v>
      </c>
      <c r="HP129" s="610">
        <v>0</v>
      </c>
      <c r="HQ129" s="610">
        <v>0</v>
      </c>
      <c r="HR129" s="610">
        <v>0</v>
      </c>
      <c r="HS129" s="610">
        <v>1</v>
      </c>
      <c r="HT129" s="610">
        <v>1</v>
      </c>
      <c r="HU129" s="610">
        <v>43</v>
      </c>
      <c r="HV129" s="612">
        <v>4</v>
      </c>
      <c r="HW129" s="612">
        <v>12</v>
      </c>
      <c r="HX129" s="612">
        <v>61</v>
      </c>
      <c r="HY129" s="560"/>
      <c r="HZ129" s="36"/>
      <c r="IA129" s="36"/>
      <c r="IB129" s="36"/>
      <c r="IC129" s="613"/>
      <c r="ID129" s="389" t="s">
        <v>1077</v>
      </c>
      <c r="IE129" s="390">
        <v>0</v>
      </c>
      <c r="IF129" s="614"/>
      <c r="IG129" s="390">
        <v>6</v>
      </c>
      <c r="IH129" s="390">
        <v>2</v>
      </c>
      <c r="II129" s="390">
        <v>2</v>
      </c>
      <c r="IJ129" s="390">
        <v>0</v>
      </c>
      <c r="IK129" s="614"/>
      <c r="IL129" s="614"/>
      <c r="IM129" s="614"/>
      <c r="IN129" s="614"/>
      <c r="IO129" s="390">
        <v>0</v>
      </c>
      <c r="IP129" s="614"/>
      <c r="IQ129" s="614"/>
      <c r="IR129" s="390">
        <v>10</v>
      </c>
      <c r="IS129" s="615"/>
      <c r="IT129" s="36"/>
      <c r="IU129" s="36"/>
      <c r="IV129" s="95"/>
      <c r="IW129" s="95"/>
      <c r="IX129" s="95"/>
      <c r="IY129" s="36" t="s">
        <v>1081</v>
      </c>
      <c r="IZ129" s="36">
        <v>0</v>
      </c>
      <c r="JA129" s="36"/>
      <c r="JB129" s="36"/>
      <c r="JC129" s="36"/>
      <c r="JD129" s="36"/>
      <c r="JE129" s="36"/>
      <c r="JF129" s="36">
        <v>0</v>
      </c>
      <c r="JG129" s="36">
        <v>0</v>
      </c>
      <c r="JH129" s="36">
        <v>2</v>
      </c>
      <c r="JI129" s="36">
        <v>0</v>
      </c>
      <c r="JJ129" s="36">
        <v>0</v>
      </c>
      <c r="JK129" s="36">
        <v>0</v>
      </c>
      <c r="JL129" s="36"/>
      <c r="JM129" s="36"/>
      <c r="JN129" s="36"/>
      <c r="JO129" s="36">
        <v>0</v>
      </c>
      <c r="JP129" s="36">
        <v>2</v>
      </c>
      <c r="JQ129" s="36"/>
      <c r="JR129" s="36"/>
      <c r="JS129" s="616"/>
      <c r="JT129" s="616"/>
      <c r="JU129" s="616"/>
      <c r="JV129" s="616" t="s">
        <v>1077</v>
      </c>
      <c r="JW129" s="616">
        <v>0</v>
      </c>
      <c r="JX129" s="616">
        <v>0</v>
      </c>
      <c r="JY129" s="616">
        <v>0</v>
      </c>
      <c r="JZ129" s="616">
        <v>0</v>
      </c>
      <c r="KA129" s="616">
        <v>2</v>
      </c>
      <c r="KB129" s="616">
        <v>0</v>
      </c>
      <c r="KC129" s="616">
        <v>0</v>
      </c>
      <c r="KD129" s="616">
        <v>0</v>
      </c>
      <c r="KE129" s="616">
        <v>1</v>
      </c>
      <c r="KF129" s="616">
        <v>0</v>
      </c>
      <c r="KG129" s="616">
        <v>0</v>
      </c>
      <c r="KH129" s="616">
        <v>0</v>
      </c>
      <c r="KI129" s="616">
        <v>0</v>
      </c>
      <c r="KJ129" s="616">
        <v>0</v>
      </c>
      <c r="KK129" s="616">
        <v>0</v>
      </c>
      <c r="KL129" s="616">
        <v>0</v>
      </c>
      <c r="KM129" s="616">
        <v>3</v>
      </c>
      <c r="KN129" s="616"/>
      <c r="KO129" s="617"/>
    </row>
    <row r="130" spans="1:301">
      <c r="A130" s="5737">
        <v>2</v>
      </c>
      <c r="B130" s="5737">
        <v>3</v>
      </c>
      <c r="C130" s="5736" t="s">
        <v>129</v>
      </c>
      <c r="D130" s="5736" t="s">
        <v>2731</v>
      </c>
      <c r="E130" s="5737">
        <v>1</v>
      </c>
      <c r="F130" s="5737">
        <v>13</v>
      </c>
      <c r="I130" s="4726">
        <v>2</v>
      </c>
      <c r="J130" s="4726">
        <v>3</v>
      </c>
      <c r="K130" s="4725" t="s">
        <v>129</v>
      </c>
      <c r="L130" s="4725" t="s">
        <v>2705</v>
      </c>
      <c r="M130" s="4726">
        <v>1</v>
      </c>
      <c r="N130" s="4726">
        <v>6</v>
      </c>
      <c r="Q130" s="4458">
        <v>3</v>
      </c>
      <c r="R130" s="4458">
        <v>3</v>
      </c>
      <c r="S130" s="4459" t="s">
        <v>296</v>
      </c>
      <c r="T130" s="4461" t="s">
        <v>2732</v>
      </c>
      <c r="U130" s="4458">
        <v>10</v>
      </c>
      <c r="V130" s="4479">
        <v>2</v>
      </c>
      <c r="W130" s="4510"/>
      <c r="X130" s="4467"/>
      <c r="Y130" s="4467"/>
      <c r="Z130" s="36"/>
      <c r="AA130" s="36"/>
      <c r="AB130" s="36" t="s">
        <v>320</v>
      </c>
      <c r="AC130" s="36" t="s">
        <v>1071</v>
      </c>
      <c r="AD130" s="615">
        <v>0</v>
      </c>
      <c r="AE130" s="615"/>
      <c r="AF130" s="615"/>
      <c r="AG130" s="615">
        <v>0</v>
      </c>
      <c r="AH130" s="615"/>
      <c r="AI130" s="615"/>
      <c r="AJ130" s="615">
        <v>0</v>
      </c>
      <c r="AK130" s="615"/>
      <c r="AL130" s="615"/>
      <c r="AM130" s="615"/>
      <c r="AN130" s="615">
        <v>0</v>
      </c>
      <c r="AO130" s="615">
        <v>1</v>
      </c>
      <c r="AP130" s="615">
        <v>0</v>
      </c>
      <c r="AQ130" s="36">
        <v>0</v>
      </c>
      <c r="AR130" s="36">
        <v>1</v>
      </c>
      <c r="AS130" s="36"/>
      <c r="AU130" s="36"/>
      <c r="AV130" s="36"/>
      <c r="AW130" s="393"/>
      <c r="AX130" s="393" t="s">
        <v>1076</v>
      </c>
      <c r="AY130" s="1682"/>
      <c r="AZ130" s="1682"/>
      <c r="BA130" s="1682"/>
      <c r="BB130" s="1682"/>
      <c r="BC130" s="1682"/>
      <c r="BD130" s="1682"/>
      <c r="BE130" s="1682"/>
      <c r="BF130" s="1682">
        <v>0</v>
      </c>
      <c r="BG130" s="1682"/>
      <c r="BH130" s="1682">
        <v>0</v>
      </c>
      <c r="BI130" s="1682">
        <v>0</v>
      </c>
      <c r="BJ130" s="1682">
        <v>2</v>
      </c>
      <c r="BK130" s="1682">
        <v>4</v>
      </c>
      <c r="BL130" s="1682">
        <v>0</v>
      </c>
      <c r="BM130" s="4455">
        <v>0</v>
      </c>
      <c r="BN130" s="4455">
        <v>0</v>
      </c>
      <c r="BO130" s="4455">
        <v>6</v>
      </c>
      <c r="BP130" s="4455"/>
      <c r="BT130" s="1520"/>
      <c r="BU130" s="1520" t="s">
        <v>1076</v>
      </c>
      <c r="BV130" s="3872">
        <v>0</v>
      </c>
      <c r="BW130" s="3872"/>
      <c r="BX130" s="3872"/>
      <c r="BY130" s="3872"/>
      <c r="BZ130" s="3872"/>
      <c r="CA130" s="3872"/>
      <c r="CB130" s="3872"/>
      <c r="CC130" s="3872">
        <v>0</v>
      </c>
      <c r="CD130" s="3872"/>
      <c r="CE130" s="3872">
        <v>0</v>
      </c>
      <c r="CF130" s="3872">
        <v>0</v>
      </c>
      <c r="CG130" s="3872">
        <v>5</v>
      </c>
      <c r="CH130" s="3872">
        <v>3</v>
      </c>
      <c r="CI130" s="3872">
        <v>1</v>
      </c>
      <c r="CJ130" s="3806">
        <v>0</v>
      </c>
      <c r="CK130" s="3806">
        <v>9</v>
      </c>
      <c r="CL130" s="1520"/>
      <c r="CN130" s="36"/>
      <c r="CO130" s="36"/>
      <c r="CP130" s="393" t="s">
        <v>483</v>
      </c>
      <c r="CQ130" s="393" t="s">
        <v>1072</v>
      </c>
      <c r="CR130" s="2049"/>
      <c r="CS130" s="2049">
        <v>0</v>
      </c>
      <c r="CT130" s="2049"/>
      <c r="CU130" s="2049">
        <v>1</v>
      </c>
      <c r="CV130" s="2049"/>
      <c r="CW130" s="2049">
        <v>1</v>
      </c>
      <c r="CX130" s="2049">
        <v>0</v>
      </c>
      <c r="CY130" s="2049"/>
      <c r="CZ130" s="2049"/>
      <c r="DA130" s="2049">
        <v>1</v>
      </c>
      <c r="DB130" s="2049">
        <v>0</v>
      </c>
      <c r="DC130" s="2049">
        <v>1</v>
      </c>
      <c r="DD130" s="2049">
        <v>6</v>
      </c>
      <c r="DE130" s="2049">
        <v>10</v>
      </c>
      <c r="DF130" s="2049">
        <v>0</v>
      </c>
      <c r="DG130" s="393">
        <v>1</v>
      </c>
      <c r="DH130" s="393"/>
      <c r="DI130" s="393">
        <v>21</v>
      </c>
      <c r="DJ130" s="36"/>
      <c r="DL130" s="36"/>
      <c r="DM130" s="36"/>
      <c r="DN130" s="36"/>
      <c r="DO130" s="36" t="s">
        <v>1081</v>
      </c>
      <c r="DP130" s="1681"/>
      <c r="DQ130" s="1681"/>
      <c r="DR130" s="1681"/>
      <c r="DS130" s="1681"/>
      <c r="DT130" s="1681"/>
      <c r="DU130" s="1681"/>
      <c r="DV130" s="1681"/>
      <c r="DW130" s="1681"/>
      <c r="DX130" s="1681">
        <v>0</v>
      </c>
      <c r="DY130" s="1681">
        <v>1</v>
      </c>
      <c r="DZ130" s="1681">
        <v>0</v>
      </c>
      <c r="EA130" s="1681">
        <v>0</v>
      </c>
      <c r="EB130" s="1681">
        <v>1</v>
      </c>
      <c r="EC130" s="1681">
        <v>0</v>
      </c>
      <c r="ED130" s="1681"/>
      <c r="EE130" s="95"/>
      <c r="EF130" s="95"/>
      <c r="EG130" s="95">
        <v>2</v>
      </c>
      <c r="EH130" s="36"/>
      <c r="EL130" s="36"/>
      <c r="EM130" s="393" t="s">
        <v>15</v>
      </c>
      <c r="EN130" s="1491">
        <v>1</v>
      </c>
      <c r="EO130" s="1491">
        <v>1</v>
      </c>
      <c r="EP130" s="1491">
        <v>1</v>
      </c>
      <c r="EQ130" s="1491"/>
      <c r="ER130" s="1491"/>
      <c r="ES130" s="1491"/>
      <c r="ET130" s="1491"/>
      <c r="EU130" s="1491">
        <v>1</v>
      </c>
      <c r="EV130" s="1491">
        <v>1</v>
      </c>
      <c r="EW130" s="1491"/>
      <c r="EX130" s="1491"/>
      <c r="EY130" s="1491">
        <v>2</v>
      </c>
      <c r="EZ130" s="1491">
        <v>6</v>
      </c>
      <c r="FA130" s="1491">
        <v>11</v>
      </c>
      <c r="FB130" s="1491">
        <v>19</v>
      </c>
      <c r="FC130" s="393">
        <v>5</v>
      </c>
      <c r="FD130" s="393">
        <v>10</v>
      </c>
      <c r="FE130" s="393">
        <v>58</v>
      </c>
      <c r="FF130" s="560">
        <f>+(FE126+FE128-FC126)/(FE130-FE129)</f>
        <v>0.22807017543859648</v>
      </c>
      <c r="FH130" s="1225"/>
      <c r="FI130" s="1225"/>
      <c r="FJ130" s="1225"/>
      <c r="FK130" s="1226" t="s">
        <v>1163</v>
      </c>
      <c r="FL130" s="1227"/>
      <c r="FM130" s="1228">
        <v>0</v>
      </c>
      <c r="FN130" s="1227"/>
      <c r="FO130" s="1228">
        <v>0</v>
      </c>
      <c r="FP130" s="1228">
        <v>0</v>
      </c>
      <c r="FQ130" s="1227"/>
      <c r="FR130" s="1227"/>
      <c r="FS130" s="1228">
        <v>2</v>
      </c>
      <c r="FT130" s="1228">
        <v>0</v>
      </c>
      <c r="FU130" s="1228">
        <v>0</v>
      </c>
      <c r="FV130" s="1228">
        <v>5</v>
      </c>
      <c r="FW130" s="1228">
        <v>2</v>
      </c>
      <c r="FX130" s="1228">
        <v>0</v>
      </c>
      <c r="FY130" s="1230">
        <v>0</v>
      </c>
      <c r="FZ130" s="1230">
        <v>0</v>
      </c>
      <c r="GA130" s="1230">
        <v>9</v>
      </c>
      <c r="GB130" s="36"/>
      <c r="GD130" s="603"/>
      <c r="GE130" s="603"/>
      <c r="GF130" s="603"/>
      <c r="GG130" s="604" t="s">
        <v>1077</v>
      </c>
      <c r="GH130" s="605"/>
      <c r="GI130" s="606">
        <v>0</v>
      </c>
      <c r="GJ130" s="606">
        <v>1</v>
      </c>
      <c r="GK130" s="606">
        <v>1</v>
      </c>
      <c r="GL130" s="606">
        <v>1</v>
      </c>
      <c r="GM130" s="606">
        <v>0</v>
      </c>
      <c r="GN130" s="606">
        <v>0</v>
      </c>
      <c r="GO130" s="606">
        <v>0</v>
      </c>
      <c r="GP130" s="606">
        <v>0</v>
      </c>
      <c r="GQ130" s="606">
        <v>0</v>
      </c>
      <c r="GR130" s="606">
        <v>0</v>
      </c>
      <c r="GS130" s="606">
        <v>0</v>
      </c>
      <c r="GT130" s="606">
        <v>0</v>
      </c>
      <c r="GU130" s="606">
        <v>0</v>
      </c>
      <c r="GV130" s="606">
        <v>0</v>
      </c>
      <c r="GW130" s="608">
        <v>0</v>
      </c>
      <c r="GX130" s="608">
        <v>0</v>
      </c>
      <c r="GY130" s="608">
        <v>3</v>
      </c>
      <c r="GZ130" s="95"/>
      <c r="HB130" s="441"/>
      <c r="HC130" s="441"/>
      <c r="HD130" s="441"/>
      <c r="HE130" s="441"/>
      <c r="HF130" s="442" t="s">
        <v>1163</v>
      </c>
      <c r="HG130" s="609"/>
      <c r="HH130" s="610">
        <v>0</v>
      </c>
      <c r="HI130" s="610">
        <v>0</v>
      </c>
      <c r="HJ130" s="610">
        <v>0</v>
      </c>
      <c r="HK130" s="610">
        <v>0</v>
      </c>
      <c r="HL130" s="609"/>
      <c r="HM130" s="610">
        <v>0</v>
      </c>
      <c r="HN130" s="610">
        <v>0</v>
      </c>
      <c r="HO130" s="610">
        <v>1</v>
      </c>
      <c r="HP130" s="610">
        <v>1</v>
      </c>
      <c r="HQ130" s="610">
        <v>2</v>
      </c>
      <c r="HR130" s="610">
        <v>3</v>
      </c>
      <c r="HS130" s="610">
        <v>12</v>
      </c>
      <c r="HT130" s="610">
        <v>2</v>
      </c>
      <c r="HU130" s="610">
        <v>3</v>
      </c>
      <c r="HV130" s="612">
        <v>0</v>
      </c>
      <c r="HW130" s="612">
        <v>0</v>
      </c>
      <c r="HX130" s="612">
        <v>24</v>
      </c>
      <c r="HY130" s="560"/>
      <c r="HZ130" s="36"/>
      <c r="IA130" s="36"/>
      <c r="IB130" s="36"/>
      <c r="IC130" s="613"/>
      <c r="ID130" s="389" t="s">
        <v>1080</v>
      </c>
      <c r="IE130" s="390">
        <v>0</v>
      </c>
      <c r="IF130" s="614"/>
      <c r="IG130" s="390">
        <v>0</v>
      </c>
      <c r="IH130" s="390">
        <v>0</v>
      </c>
      <c r="II130" s="390">
        <v>1</v>
      </c>
      <c r="IJ130" s="390">
        <v>1</v>
      </c>
      <c r="IK130" s="614"/>
      <c r="IL130" s="614"/>
      <c r="IM130" s="614"/>
      <c r="IN130" s="614"/>
      <c r="IO130" s="390">
        <v>1</v>
      </c>
      <c r="IP130" s="614"/>
      <c r="IQ130" s="614"/>
      <c r="IR130" s="390">
        <v>3</v>
      </c>
      <c r="IS130" s="615"/>
      <c r="IT130" s="36"/>
      <c r="IU130" s="36"/>
      <c r="IV130" s="95"/>
      <c r="IW130" s="95"/>
      <c r="IX130" s="95"/>
      <c r="IY130" s="36" t="s">
        <v>1163</v>
      </c>
      <c r="IZ130" s="36">
        <v>0</v>
      </c>
      <c r="JA130" s="36"/>
      <c r="JB130" s="36"/>
      <c r="JC130" s="36"/>
      <c r="JD130" s="36"/>
      <c r="JE130" s="36"/>
      <c r="JF130" s="36">
        <v>1</v>
      </c>
      <c r="JG130" s="36">
        <v>0</v>
      </c>
      <c r="JH130" s="36">
        <v>2</v>
      </c>
      <c r="JI130" s="36">
        <v>0</v>
      </c>
      <c r="JJ130" s="36">
        <v>0</v>
      </c>
      <c r="JK130" s="36">
        <v>0</v>
      </c>
      <c r="JL130" s="36"/>
      <c r="JM130" s="36"/>
      <c r="JN130" s="36"/>
      <c r="JO130" s="36">
        <v>0</v>
      </c>
      <c r="JP130" s="36">
        <v>3</v>
      </c>
      <c r="JQ130" s="36"/>
      <c r="JR130" s="36"/>
      <c r="JS130" s="616"/>
      <c r="JT130" s="616"/>
      <c r="JU130" s="616"/>
      <c r="JV130" s="627" t="s">
        <v>15</v>
      </c>
      <c r="JW130" s="627">
        <v>0</v>
      </c>
      <c r="JX130" s="627">
        <v>0</v>
      </c>
      <c r="JY130" s="627">
        <v>0</v>
      </c>
      <c r="JZ130" s="627">
        <v>0</v>
      </c>
      <c r="KA130" s="627">
        <v>2</v>
      </c>
      <c r="KB130" s="627">
        <v>2</v>
      </c>
      <c r="KC130" s="627">
        <v>0</v>
      </c>
      <c r="KD130" s="627">
        <v>0</v>
      </c>
      <c r="KE130" s="627">
        <v>1</v>
      </c>
      <c r="KF130" s="627">
        <v>0</v>
      </c>
      <c r="KG130" s="627">
        <v>0</v>
      </c>
      <c r="KH130" s="627">
        <v>0</v>
      </c>
      <c r="KI130" s="627">
        <v>0</v>
      </c>
      <c r="KJ130" s="627">
        <v>0</v>
      </c>
      <c r="KK130" s="627">
        <v>0</v>
      </c>
      <c r="KL130" s="627">
        <v>0</v>
      </c>
      <c r="KM130" s="627">
        <v>5</v>
      </c>
      <c r="KN130" s="628">
        <f>+KM128/KM130</f>
        <v>0.2</v>
      </c>
      <c r="KO130" s="617">
        <f>+KM128</f>
        <v>1</v>
      </c>
    </row>
    <row r="131" spans="1:301">
      <c r="A131" s="5737">
        <v>2</v>
      </c>
      <c r="B131" s="5737">
        <v>3</v>
      </c>
      <c r="C131" s="5736" t="s">
        <v>129</v>
      </c>
      <c r="D131" s="5736" t="s">
        <v>2731</v>
      </c>
      <c r="E131" s="5737">
        <v>2</v>
      </c>
      <c r="F131" s="5737">
        <v>14</v>
      </c>
      <c r="I131" s="4726">
        <v>2</v>
      </c>
      <c r="J131" s="4726">
        <v>3</v>
      </c>
      <c r="K131" s="4725" t="s">
        <v>129</v>
      </c>
      <c r="L131" s="4963" t="s">
        <v>1076</v>
      </c>
      <c r="M131" s="4964">
        <v>1</v>
      </c>
      <c r="N131" s="4726">
        <v>12</v>
      </c>
      <c r="Q131" s="4458"/>
      <c r="R131" s="4458"/>
      <c r="S131" s="4465" t="s">
        <v>15</v>
      </c>
      <c r="T131" s="4461"/>
      <c r="U131" s="4458"/>
      <c r="V131" s="4480">
        <f>SUM(V125:V130)</f>
        <v>16</v>
      </c>
      <c r="W131" s="4476">
        <f>+(V127+V129 +V130)/(V131)</f>
        <v>0.25</v>
      </c>
      <c r="X131" s="4467"/>
      <c r="Y131" s="4467"/>
      <c r="Z131" s="36"/>
      <c r="AA131" s="36"/>
      <c r="AB131" s="36"/>
      <c r="AC131" s="36" t="s">
        <v>1072</v>
      </c>
      <c r="AD131" s="615">
        <v>0</v>
      </c>
      <c r="AE131" s="615"/>
      <c r="AF131" s="615"/>
      <c r="AG131" s="615">
        <v>1</v>
      </c>
      <c r="AH131" s="615"/>
      <c r="AI131" s="615"/>
      <c r="AJ131" s="615">
        <v>0</v>
      </c>
      <c r="AK131" s="615"/>
      <c r="AL131" s="615"/>
      <c r="AM131" s="615"/>
      <c r="AN131" s="615">
        <v>1</v>
      </c>
      <c r="AO131" s="615">
        <v>0</v>
      </c>
      <c r="AP131" s="615">
        <v>0</v>
      </c>
      <c r="AQ131" s="36">
        <v>0</v>
      </c>
      <c r="AR131" s="36">
        <v>2</v>
      </c>
      <c r="AS131" s="36"/>
      <c r="AU131" s="36"/>
      <c r="AV131" s="36"/>
      <c r="AW131" s="393"/>
      <c r="AX131" s="393" t="s">
        <v>1077</v>
      </c>
      <c r="AY131" s="1682"/>
      <c r="AZ131" s="1682"/>
      <c r="BA131" s="1682"/>
      <c r="BB131" s="1682"/>
      <c r="BC131" s="1682"/>
      <c r="BD131" s="1682"/>
      <c r="BE131" s="1682"/>
      <c r="BF131" s="1682">
        <v>1</v>
      </c>
      <c r="BG131" s="1682"/>
      <c r="BH131" s="1682">
        <v>0</v>
      </c>
      <c r="BI131" s="1682">
        <v>0</v>
      </c>
      <c r="BJ131" s="1682">
        <v>0</v>
      </c>
      <c r="BK131" s="1682">
        <v>0</v>
      </c>
      <c r="BL131" s="1682">
        <v>0</v>
      </c>
      <c r="BM131" s="4455">
        <v>0</v>
      </c>
      <c r="BN131" s="4455">
        <v>0</v>
      </c>
      <c r="BO131" s="4455">
        <v>1</v>
      </c>
      <c r="BP131" s="4455"/>
      <c r="BT131" s="1520"/>
      <c r="BU131" s="1520" t="s">
        <v>1077</v>
      </c>
      <c r="BV131" s="3872">
        <v>0</v>
      </c>
      <c r="BW131" s="3872"/>
      <c r="BX131" s="3872"/>
      <c r="BY131" s="3872"/>
      <c r="BZ131" s="3872"/>
      <c r="CA131" s="3872"/>
      <c r="CB131" s="3872"/>
      <c r="CC131" s="3872">
        <v>1</v>
      </c>
      <c r="CD131" s="3872"/>
      <c r="CE131" s="3872">
        <v>0</v>
      </c>
      <c r="CF131" s="3872">
        <v>0</v>
      </c>
      <c r="CG131" s="3872">
        <v>0</v>
      </c>
      <c r="CH131" s="3872">
        <v>0</v>
      </c>
      <c r="CI131" s="3872">
        <v>0</v>
      </c>
      <c r="CJ131" s="3806">
        <v>0</v>
      </c>
      <c r="CK131" s="3806">
        <v>1</v>
      </c>
      <c r="CL131" s="1520"/>
      <c r="CN131" s="36"/>
      <c r="CO131" s="36"/>
      <c r="CP131" s="393"/>
      <c r="CQ131" s="393" t="s">
        <v>1074</v>
      </c>
      <c r="CR131" s="2049"/>
      <c r="CS131" s="2049">
        <v>1</v>
      </c>
      <c r="CT131" s="2049"/>
      <c r="CU131" s="2049">
        <v>1</v>
      </c>
      <c r="CV131" s="2049"/>
      <c r="CW131" s="2049">
        <v>0</v>
      </c>
      <c r="CX131" s="2049">
        <v>1</v>
      </c>
      <c r="CY131" s="2049"/>
      <c r="CZ131" s="2049"/>
      <c r="DA131" s="2049">
        <v>0</v>
      </c>
      <c r="DB131" s="2049">
        <v>0</v>
      </c>
      <c r="DC131" s="2049">
        <v>0</v>
      </c>
      <c r="DD131" s="2049">
        <v>0</v>
      </c>
      <c r="DE131" s="2049">
        <v>0</v>
      </c>
      <c r="DF131" s="2049">
        <v>0</v>
      </c>
      <c r="DG131" s="393">
        <v>0</v>
      </c>
      <c r="DH131" s="393"/>
      <c r="DI131" s="393">
        <v>3</v>
      </c>
      <c r="DJ131" s="36"/>
      <c r="DL131" s="36"/>
      <c r="DM131" s="36"/>
      <c r="DN131" s="36"/>
      <c r="DO131" s="36" t="s">
        <v>1163</v>
      </c>
      <c r="DP131" s="1681"/>
      <c r="DQ131" s="1681"/>
      <c r="DR131" s="1681"/>
      <c r="DS131" s="1681"/>
      <c r="DT131" s="1681"/>
      <c r="DU131" s="1681"/>
      <c r="DV131" s="1681"/>
      <c r="DW131" s="1681"/>
      <c r="DX131" s="1681">
        <v>1</v>
      </c>
      <c r="DY131" s="1681">
        <v>0</v>
      </c>
      <c r="DZ131" s="1681">
        <v>0</v>
      </c>
      <c r="EA131" s="1681">
        <v>0</v>
      </c>
      <c r="EB131" s="1681">
        <v>0</v>
      </c>
      <c r="EC131" s="1681">
        <v>0</v>
      </c>
      <c r="ED131" s="1681"/>
      <c r="EE131" s="95"/>
      <c r="EF131" s="95"/>
      <c r="EG131" s="95">
        <v>1</v>
      </c>
      <c r="EH131" s="36"/>
      <c r="EL131" s="36" t="s">
        <v>109</v>
      </c>
      <c r="EM131" s="36" t="s">
        <v>1071</v>
      </c>
      <c r="EN131" s="1490">
        <v>0</v>
      </c>
      <c r="EO131" s="1490">
        <v>0</v>
      </c>
      <c r="EP131" s="1490">
        <v>0</v>
      </c>
      <c r="EQ131" s="1490">
        <v>0</v>
      </c>
      <c r="ER131" s="1490"/>
      <c r="ES131" s="1490">
        <v>0</v>
      </c>
      <c r="ET131" s="1490"/>
      <c r="EU131" s="1490">
        <v>0</v>
      </c>
      <c r="EV131" s="1490">
        <v>0</v>
      </c>
      <c r="EW131" s="1490">
        <v>0</v>
      </c>
      <c r="EX131" s="1490">
        <v>0</v>
      </c>
      <c r="EY131" s="1490">
        <v>0</v>
      </c>
      <c r="EZ131" s="1490">
        <v>0</v>
      </c>
      <c r="FA131" s="1490">
        <v>0</v>
      </c>
      <c r="FB131" s="1490">
        <v>3</v>
      </c>
      <c r="FC131" s="36">
        <v>0</v>
      </c>
      <c r="FD131" s="36">
        <v>2</v>
      </c>
      <c r="FE131" s="36">
        <v>5</v>
      </c>
      <c r="FF131" s="36"/>
      <c r="FH131" s="1225"/>
      <c r="FI131" s="1225"/>
      <c r="FJ131" s="1225"/>
      <c r="FK131" s="1222" t="s">
        <v>15</v>
      </c>
      <c r="FL131" s="1231"/>
      <c r="FM131" s="1232">
        <v>3</v>
      </c>
      <c r="FN131" s="1231"/>
      <c r="FO131" s="1232">
        <v>1</v>
      </c>
      <c r="FP131" s="1232">
        <v>1</v>
      </c>
      <c r="FQ131" s="1231"/>
      <c r="FR131" s="1231"/>
      <c r="FS131" s="1232">
        <v>3</v>
      </c>
      <c r="FT131" s="1232">
        <v>2</v>
      </c>
      <c r="FU131" s="1232">
        <v>3</v>
      </c>
      <c r="FV131" s="1232">
        <v>23</v>
      </c>
      <c r="FW131" s="1232">
        <v>10</v>
      </c>
      <c r="FX131" s="1232">
        <v>1</v>
      </c>
      <c r="FY131" s="1234">
        <v>1</v>
      </c>
      <c r="FZ131" s="1234">
        <v>1</v>
      </c>
      <c r="GA131" s="1234">
        <v>49</v>
      </c>
      <c r="GB131" s="1178">
        <f>+(GA127+GA129+GA130)/GA131</f>
        <v>0.34693877551020408</v>
      </c>
      <c r="GD131" s="603"/>
      <c r="GE131" s="603"/>
      <c r="GF131" s="603"/>
      <c r="GG131" s="604" t="s">
        <v>1080</v>
      </c>
      <c r="GH131" s="605"/>
      <c r="GI131" s="606">
        <v>0</v>
      </c>
      <c r="GJ131" s="606">
        <v>0</v>
      </c>
      <c r="GK131" s="606">
        <v>0</v>
      </c>
      <c r="GL131" s="606">
        <v>0</v>
      </c>
      <c r="GM131" s="606">
        <v>0</v>
      </c>
      <c r="GN131" s="606">
        <v>0</v>
      </c>
      <c r="GO131" s="606">
        <v>0</v>
      </c>
      <c r="GP131" s="606">
        <v>0</v>
      </c>
      <c r="GQ131" s="606">
        <v>0</v>
      </c>
      <c r="GR131" s="606">
        <v>0</v>
      </c>
      <c r="GS131" s="606">
        <v>0</v>
      </c>
      <c r="GT131" s="606">
        <v>0</v>
      </c>
      <c r="GU131" s="606">
        <v>3</v>
      </c>
      <c r="GV131" s="606">
        <v>45</v>
      </c>
      <c r="GW131" s="608">
        <v>7</v>
      </c>
      <c r="GX131" s="608">
        <v>27</v>
      </c>
      <c r="GY131" s="608">
        <v>82</v>
      </c>
      <c r="GZ131" s="95"/>
      <c r="HB131" s="441"/>
      <c r="HC131" s="441"/>
      <c r="HD131" s="441"/>
      <c r="HE131" s="36"/>
      <c r="HF131" s="462" t="s">
        <v>109</v>
      </c>
      <c r="HG131" s="618"/>
      <c r="HH131" s="619">
        <v>1</v>
      </c>
      <c r="HI131" s="619">
        <v>3</v>
      </c>
      <c r="HJ131" s="619">
        <v>1</v>
      </c>
      <c r="HK131" s="619">
        <v>1</v>
      </c>
      <c r="HL131" s="618"/>
      <c r="HM131" s="619">
        <v>2</v>
      </c>
      <c r="HN131" s="619">
        <v>1</v>
      </c>
      <c r="HO131" s="619">
        <v>3</v>
      </c>
      <c r="HP131" s="619">
        <v>6</v>
      </c>
      <c r="HQ131" s="619">
        <v>8</v>
      </c>
      <c r="HR131" s="619">
        <v>9</v>
      </c>
      <c r="HS131" s="619">
        <v>31</v>
      </c>
      <c r="HT131" s="619">
        <v>21</v>
      </c>
      <c r="HU131" s="619">
        <v>56</v>
      </c>
      <c r="HV131" s="621">
        <v>8</v>
      </c>
      <c r="HW131" s="621">
        <v>12</v>
      </c>
      <c r="HX131" s="621">
        <v>163</v>
      </c>
      <c r="HY131" s="560">
        <f>+(HX130+HX127-HV127)/HX131</f>
        <v>0.36809815950920244</v>
      </c>
      <c r="HZ131" s="36"/>
      <c r="IA131" s="36"/>
      <c r="IB131" s="36"/>
      <c r="IC131" s="613"/>
      <c r="ID131" s="629" t="s">
        <v>726</v>
      </c>
      <c r="IE131" s="395">
        <v>1</v>
      </c>
      <c r="IF131" s="630"/>
      <c r="IG131" s="395">
        <v>6</v>
      </c>
      <c r="IH131" s="395">
        <v>2</v>
      </c>
      <c r="II131" s="395">
        <v>3</v>
      </c>
      <c r="IJ131" s="395">
        <v>1</v>
      </c>
      <c r="IK131" s="630"/>
      <c r="IL131" s="630"/>
      <c r="IM131" s="630"/>
      <c r="IN131" s="630"/>
      <c r="IO131" s="395">
        <v>1</v>
      </c>
      <c r="IP131" s="630"/>
      <c r="IQ131" s="630"/>
      <c r="IR131" s="395">
        <v>14</v>
      </c>
      <c r="IS131" s="553">
        <v>0</v>
      </c>
      <c r="IT131" s="36"/>
      <c r="IU131" s="36"/>
      <c r="IV131" s="95"/>
      <c r="IW131" s="95"/>
      <c r="IX131" s="95"/>
      <c r="IY131" s="393" t="s">
        <v>15</v>
      </c>
      <c r="IZ131" s="393">
        <v>2</v>
      </c>
      <c r="JA131" s="393"/>
      <c r="JB131" s="393"/>
      <c r="JC131" s="393"/>
      <c r="JD131" s="393"/>
      <c r="JE131" s="393"/>
      <c r="JF131" s="393">
        <v>1</v>
      </c>
      <c r="JG131" s="393">
        <v>1</v>
      </c>
      <c r="JH131" s="393">
        <v>18</v>
      </c>
      <c r="JI131" s="393">
        <v>6</v>
      </c>
      <c r="JJ131" s="393">
        <v>1</v>
      </c>
      <c r="JK131" s="393">
        <v>1</v>
      </c>
      <c r="JL131" s="393"/>
      <c r="JM131" s="393"/>
      <c r="JN131" s="393"/>
      <c r="JO131" s="393">
        <v>2</v>
      </c>
      <c r="JP131" s="393">
        <v>32</v>
      </c>
      <c r="JQ131" s="631">
        <f>+(JP127+JP129+JP130)/JP131</f>
        <v>0.25</v>
      </c>
      <c r="JR131" s="36"/>
      <c r="JS131" s="616"/>
      <c r="JT131" s="616" t="s">
        <v>1145</v>
      </c>
      <c r="JU131" s="616" t="s">
        <v>4</v>
      </c>
      <c r="JV131" s="616" t="s">
        <v>1071</v>
      </c>
      <c r="JW131" s="616">
        <v>0</v>
      </c>
      <c r="JX131" s="616">
        <v>0</v>
      </c>
      <c r="JY131" s="616">
        <v>0</v>
      </c>
      <c r="JZ131" s="616">
        <v>0</v>
      </c>
      <c r="KA131" s="616">
        <v>0</v>
      </c>
      <c r="KB131" s="616">
        <v>0</v>
      </c>
      <c r="KC131" s="616">
        <v>0</v>
      </c>
      <c r="KD131" s="616">
        <v>0</v>
      </c>
      <c r="KE131" s="616">
        <v>0</v>
      </c>
      <c r="KF131" s="616">
        <v>0</v>
      </c>
      <c r="KG131" s="616">
        <v>0</v>
      </c>
      <c r="KH131" s="616">
        <v>0</v>
      </c>
      <c r="KI131" s="616">
        <v>0</v>
      </c>
      <c r="KJ131" s="616">
        <v>1</v>
      </c>
      <c r="KK131" s="616">
        <v>0</v>
      </c>
      <c r="KL131" s="616">
        <v>0</v>
      </c>
      <c r="KM131" s="616">
        <v>1</v>
      </c>
      <c r="KN131" s="616"/>
      <c r="KO131" s="617"/>
    </row>
    <row r="132" spans="1:301">
      <c r="A132" s="5737">
        <v>2</v>
      </c>
      <c r="B132" s="5737">
        <v>3</v>
      </c>
      <c r="C132" s="5736" t="s">
        <v>129</v>
      </c>
      <c r="D132" s="5736" t="s">
        <v>2731</v>
      </c>
      <c r="E132" s="5737">
        <v>3</v>
      </c>
      <c r="F132" s="5737">
        <v>16</v>
      </c>
      <c r="I132" s="4726">
        <v>2</v>
      </c>
      <c r="J132" s="4726">
        <v>3</v>
      </c>
      <c r="K132" s="4725" t="s">
        <v>129</v>
      </c>
      <c r="L132" s="4963" t="s">
        <v>1076</v>
      </c>
      <c r="M132" s="4964">
        <v>2</v>
      </c>
      <c r="N132" s="4726">
        <v>13</v>
      </c>
      <c r="Q132" s="4458">
        <v>3</v>
      </c>
      <c r="R132" s="4458">
        <v>3</v>
      </c>
      <c r="S132" s="4459" t="s">
        <v>381</v>
      </c>
      <c r="T132" s="4459" t="s">
        <v>2709</v>
      </c>
      <c r="U132" s="4458">
        <v>12</v>
      </c>
      <c r="V132" s="4479">
        <v>1</v>
      </c>
      <c r="W132" s="4510"/>
      <c r="X132" s="4467"/>
      <c r="Y132" s="4467"/>
      <c r="Z132" s="36"/>
      <c r="AA132" s="36"/>
      <c r="AB132" s="36"/>
      <c r="AC132" s="36" t="s">
        <v>1076</v>
      </c>
      <c r="AD132" s="615">
        <v>0</v>
      </c>
      <c r="AE132" s="615"/>
      <c r="AF132" s="615"/>
      <c r="AG132" s="615">
        <v>0</v>
      </c>
      <c r="AH132" s="615"/>
      <c r="AI132" s="615"/>
      <c r="AJ132" s="615">
        <v>1</v>
      </c>
      <c r="AK132" s="615"/>
      <c r="AL132" s="615"/>
      <c r="AM132" s="615"/>
      <c r="AN132" s="615">
        <v>0</v>
      </c>
      <c r="AO132" s="615">
        <v>0</v>
      </c>
      <c r="AP132" s="615">
        <v>0</v>
      </c>
      <c r="AQ132" s="36">
        <v>0</v>
      </c>
      <c r="AR132" s="36">
        <v>1</v>
      </c>
      <c r="AS132" s="36"/>
      <c r="AU132" s="36"/>
      <c r="AV132" s="36"/>
      <c r="AW132" s="393"/>
      <c r="AX132" s="393" t="s">
        <v>1080</v>
      </c>
      <c r="AY132" s="1682"/>
      <c r="AZ132" s="1682"/>
      <c r="BA132" s="1682"/>
      <c r="BB132" s="1682"/>
      <c r="BC132" s="1682"/>
      <c r="BD132" s="1682"/>
      <c r="BE132" s="1682"/>
      <c r="BF132" s="1682">
        <v>0</v>
      </c>
      <c r="BG132" s="1682"/>
      <c r="BH132" s="1682">
        <v>0</v>
      </c>
      <c r="BI132" s="1682">
        <v>0</v>
      </c>
      <c r="BJ132" s="1682">
        <v>0</v>
      </c>
      <c r="BK132" s="1682">
        <v>9</v>
      </c>
      <c r="BL132" s="1682">
        <v>14</v>
      </c>
      <c r="BM132" s="4455">
        <v>6</v>
      </c>
      <c r="BN132" s="4455">
        <v>4</v>
      </c>
      <c r="BO132" s="4455">
        <v>33</v>
      </c>
      <c r="BP132" s="4455"/>
      <c r="BT132" s="1520"/>
      <c r="BU132" s="1520" t="s">
        <v>1080</v>
      </c>
      <c r="BV132" s="3872">
        <v>0</v>
      </c>
      <c r="BW132" s="3872"/>
      <c r="BX132" s="3872"/>
      <c r="BY132" s="3872"/>
      <c r="BZ132" s="3872"/>
      <c r="CA132" s="3872"/>
      <c r="CB132" s="3872"/>
      <c r="CC132" s="3872">
        <v>0</v>
      </c>
      <c r="CD132" s="3872"/>
      <c r="CE132" s="3872">
        <v>0</v>
      </c>
      <c r="CF132" s="3872">
        <v>0</v>
      </c>
      <c r="CG132" s="3872">
        <v>0</v>
      </c>
      <c r="CH132" s="3872">
        <v>20</v>
      </c>
      <c r="CI132" s="3872">
        <v>0</v>
      </c>
      <c r="CJ132" s="3806">
        <v>9</v>
      </c>
      <c r="CK132" s="3806">
        <v>29</v>
      </c>
      <c r="CL132" s="1520"/>
      <c r="CN132" s="36"/>
      <c r="CO132" s="36"/>
      <c r="CP132" s="393"/>
      <c r="CQ132" s="393" t="s">
        <v>1076</v>
      </c>
      <c r="CR132" s="2049"/>
      <c r="CS132" s="2049">
        <v>0</v>
      </c>
      <c r="CT132" s="2049"/>
      <c r="CU132" s="2049">
        <v>0</v>
      </c>
      <c r="CV132" s="2049"/>
      <c r="CW132" s="2049">
        <v>0</v>
      </c>
      <c r="CX132" s="2049">
        <v>0</v>
      </c>
      <c r="CY132" s="2049"/>
      <c r="CZ132" s="2049"/>
      <c r="DA132" s="2049">
        <v>0</v>
      </c>
      <c r="DB132" s="2049">
        <v>0</v>
      </c>
      <c r="DC132" s="2049">
        <v>0</v>
      </c>
      <c r="DD132" s="2049">
        <v>8</v>
      </c>
      <c r="DE132" s="2049">
        <v>19</v>
      </c>
      <c r="DF132" s="2049">
        <v>0</v>
      </c>
      <c r="DG132" s="393">
        <v>0</v>
      </c>
      <c r="DH132" s="393"/>
      <c r="DI132" s="393">
        <v>27</v>
      </c>
      <c r="DJ132" s="36"/>
      <c r="DL132" s="36"/>
      <c r="DM132" s="36"/>
      <c r="DN132" s="36"/>
      <c r="DO132" s="393" t="s">
        <v>15</v>
      </c>
      <c r="DP132" s="1682"/>
      <c r="DQ132" s="1682"/>
      <c r="DR132" s="1682"/>
      <c r="DS132" s="1682"/>
      <c r="DT132" s="1682"/>
      <c r="DU132" s="1682"/>
      <c r="DV132" s="1682"/>
      <c r="DW132" s="1682"/>
      <c r="DX132" s="1682">
        <v>1</v>
      </c>
      <c r="DY132" s="1682">
        <v>5</v>
      </c>
      <c r="DZ132" s="1682">
        <v>3</v>
      </c>
      <c r="EA132" s="1682">
        <v>4</v>
      </c>
      <c r="EB132" s="1682">
        <v>3</v>
      </c>
      <c r="EC132" s="1682">
        <v>1</v>
      </c>
      <c r="ED132" s="1682"/>
      <c r="EE132" s="86"/>
      <c r="EF132" s="86"/>
      <c r="EG132" s="86">
        <v>17</v>
      </c>
      <c r="EH132" s="560">
        <f>+(EG128+EG130+EG131)/EG132</f>
        <v>0.29411764705882354</v>
      </c>
      <c r="EL132" s="36"/>
      <c r="EM132" s="36" t="s">
        <v>1072</v>
      </c>
      <c r="EN132" s="1490">
        <v>1</v>
      </c>
      <c r="EO132" s="1490">
        <v>3</v>
      </c>
      <c r="EP132" s="1490">
        <v>1</v>
      </c>
      <c r="EQ132" s="1490">
        <v>1</v>
      </c>
      <c r="ER132" s="1490"/>
      <c r="ES132" s="1490">
        <v>2</v>
      </c>
      <c r="ET132" s="1490"/>
      <c r="EU132" s="1490">
        <v>2</v>
      </c>
      <c r="EV132" s="1490">
        <v>2</v>
      </c>
      <c r="EW132" s="1490">
        <v>0</v>
      </c>
      <c r="EX132" s="1490">
        <v>1</v>
      </c>
      <c r="EY132" s="1490">
        <v>2</v>
      </c>
      <c r="EZ132" s="1490">
        <v>18</v>
      </c>
      <c r="FA132" s="1490">
        <v>14</v>
      </c>
      <c r="FB132" s="1490">
        <v>0</v>
      </c>
      <c r="FC132" s="36">
        <v>2</v>
      </c>
      <c r="FD132" s="36">
        <v>0</v>
      </c>
      <c r="FE132" s="36">
        <v>49</v>
      </c>
      <c r="FF132" s="36"/>
      <c r="FH132" s="1225"/>
      <c r="FI132" s="1225"/>
      <c r="FJ132" s="1225" t="s">
        <v>110</v>
      </c>
      <c r="FK132" s="1226" t="s">
        <v>1072</v>
      </c>
      <c r="FL132" s="1228">
        <v>1</v>
      </c>
      <c r="FM132" s="1227"/>
      <c r="FN132" s="1227"/>
      <c r="FO132" s="1227"/>
      <c r="FP132" s="1228">
        <v>1</v>
      </c>
      <c r="FQ132" s="1227"/>
      <c r="FR132" s="1228">
        <v>2</v>
      </c>
      <c r="FS132" s="1227"/>
      <c r="FT132" s="1228">
        <v>1</v>
      </c>
      <c r="FU132" s="1228">
        <v>5</v>
      </c>
      <c r="FV132" s="1228">
        <v>9</v>
      </c>
      <c r="FW132" s="1227"/>
      <c r="FX132" s="1227"/>
      <c r="FY132" s="1229"/>
      <c r="FZ132" s="1229"/>
      <c r="GA132" s="1230">
        <v>19</v>
      </c>
      <c r="GB132" s="36"/>
      <c r="GD132" s="603"/>
      <c r="GE132" s="603"/>
      <c r="GF132" s="603"/>
      <c r="GG132" s="604" t="s">
        <v>1163</v>
      </c>
      <c r="GH132" s="605"/>
      <c r="GI132" s="606">
        <v>0</v>
      </c>
      <c r="GJ132" s="606">
        <v>0</v>
      </c>
      <c r="GK132" s="606">
        <v>0</v>
      </c>
      <c r="GL132" s="606">
        <v>0</v>
      </c>
      <c r="GM132" s="606">
        <v>0</v>
      </c>
      <c r="GN132" s="606">
        <v>2</v>
      </c>
      <c r="GO132" s="606">
        <v>1</v>
      </c>
      <c r="GP132" s="606">
        <v>2</v>
      </c>
      <c r="GQ132" s="606">
        <v>2</v>
      </c>
      <c r="GR132" s="606">
        <v>6</v>
      </c>
      <c r="GS132" s="606">
        <v>4</v>
      </c>
      <c r="GT132" s="606">
        <v>10</v>
      </c>
      <c r="GU132" s="606">
        <v>8</v>
      </c>
      <c r="GV132" s="606">
        <v>9</v>
      </c>
      <c r="GW132" s="608">
        <v>0</v>
      </c>
      <c r="GX132" s="608">
        <v>0</v>
      </c>
      <c r="GY132" s="608">
        <v>44</v>
      </c>
      <c r="GZ132" s="95"/>
      <c r="HB132" s="441" t="s">
        <v>48</v>
      </c>
      <c r="HC132" s="441" t="s">
        <v>16</v>
      </c>
      <c r="HD132" s="441" t="s">
        <v>143</v>
      </c>
      <c r="HE132" s="441" t="s">
        <v>1070</v>
      </c>
      <c r="HF132" s="442" t="s">
        <v>1072</v>
      </c>
      <c r="HG132" s="609"/>
      <c r="HH132" s="610">
        <v>1</v>
      </c>
      <c r="HI132" s="609"/>
      <c r="HJ132" s="610">
        <v>1</v>
      </c>
      <c r="HK132" s="609"/>
      <c r="HL132" s="610">
        <v>1</v>
      </c>
      <c r="HM132" s="609"/>
      <c r="HN132" s="609"/>
      <c r="HO132" s="609"/>
      <c r="HP132" s="610">
        <v>1</v>
      </c>
      <c r="HQ132" s="609"/>
      <c r="HR132" s="610">
        <v>3</v>
      </c>
      <c r="HS132" s="610">
        <v>12</v>
      </c>
      <c r="HT132" s="610">
        <v>4</v>
      </c>
      <c r="HU132" s="610">
        <v>3</v>
      </c>
      <c r="HV132" s="612">
        <v>5</v>
      </c>
      <c r="HW132" s="612">
        <v>0</v>
      </c>
      <c r="HX132" s="612">
        <v>31</v>
      </c>
      <c r="HY132" s="560"/>
      <c r="HZ132" s="36"/>
      <c r="IA132" s="613" t="s">
        <v>25</v>
      </c>
      <c r="IB132" s="36"/>
      <c r="IC132" s="613" t="s">
        <v>482</v>
      </c>
      <c r="ID132" s="389" t="s">
        <v>1071</v>
      </c>
      <c r="IE132" s="614"/>
      <c r="IF132" s="614"/>
      <c r="IG132" s="614"/>
      <c r="IH132" s="614"/>
      <c r="II132" s="614"/>
      <c r="IJ132" s="390">
        <v>0</v>
      </c>
      <c r="IK132" s="390">
        <v>0</v>
      </c>
      <c r="IL132" s="390">
        <v>1</v>
      </c>
      <c r="IM132" s="614"/>
      <c r="IN132" s="390">
        <v>0</v>
      </c>
      <c r="IO132" s="390">
        <v>0</v>
      </c>
      <c r="IP132" s="390">
        <v>0</v>
      </c>
      <c r="IQ132" s="390">
        <v>0</v>
      </c>
      <c r="IR132" s="390">
        <v>1</v>
      </c>
      <c r="IS132" s="615"/>
      <c r="IT132" s="36"/>
      <c r="IU132" s="36"/>
      <c r="IV132" s="95"/>
      <c r="IW132" s="95"/>
      <c r="IX132" s="95" t="s">
        <v>103</v>
      </c>
      <c r="IY132" s="36" t="s">
        <v>1072</v>
      </c>
      <c r="IZ132" s="36"/>
      <c r="JA132" s="36">
        <v>0</v>
      </c>
      <c r="JB132" s="36">
        <v>0</v>
      </c>
      <c r="JC132" s="36"/>
      <c r="JD132" s="36"/>
      <c r="JE132" s="36">
        <v>1</v>
      </c>
      <c r="JF132" s="36">
        <v>2</v>
      </c>
      <c r="JG132" s="36">
        <v>0</v>
      </c>
      <c r="JH132" s="36"/>
      <c r="JI132" s="36"/>
      <c r="JJ132" s="36"/>
      <c r="JK132" s="36"/>
      <c r="JL132" s="36"/>
      <c r="JM132" s="36"/>
      <c r="JN132" s="36"/>
      <c r="JO132" s="36"/>
      <c r="JP132" s="36">
        <v>3</v>
      </c>
      <c r="JQ132" s="36"/>
      <c r="JR132" s="36"/>
      <c r="JS132" s="616"/>
      <c r="JT132" s="616"/>
      <c r="JU132" s="616"/>
      <c r="JV132" s="616" t="s">
        <v>1072</v>
      </c>
      <c r="JW132" s="616">
        <v>0</v>
      </c>
      <c r="JX132" s="616">
        <v>0</v>
      </c>
      <c r="JY132" s="616">
        <v>0</v>
      </c>
      <c r="JZ132" s="616">
        <v>1</v>
      </c>
      <c r="KA132" s="616">
        <v>0</v>
      </c>
      <c r="KB132" s="616">
        <v>0</v>
      </c>
      <c r="KC132" s="616">
        <v>0</v>
      </c>
      <c r="KD132" s="616">
        <v>1</v>
      </c>
      <c r="KE132" s="616">
        <v>0</v>
      </c>
      <c r="KF132" s="616">
        <v>0</v>
      </c>
      <c r="KG132" s="616">
        <v>2</v>
      </c>
      <c r="KH132" s="616">
        <v>1</v>
      </c>
      <c r="KI132" s="616">
        <v>0</v>
      </c>
      <c r="KJ132" s="616">
        <v>1</v>
      </c>
      <c r="KK132" s="616">
        <v>0</v>
      </c>
      <c r="KL132" s="616">
        <v>0</v>
      </c>
      <c r="KM132" s="616">
        <v>6</v>
      </c>
      <c r="KN132" s="616"/>
      <c r="KO132" s="617"/>
    </row>
    <row r="133" spans="1:301">
      <c r="A133" s="5737">
        <v>2</v>
      </c>
      <c r="B133" s="5737">
        <v>3</v>
      </c>
      <c r="C133" s="5736" t="s">
        <v>129</v>
      </c>
      <c r="D133" s="5736" t="s">
        <v>2705</v>
      </c>
      <c r="E133" s="5737">
        <v>1</v>
      </c>
      <c r="F133" s="5737">
        <v>6</v>
      </c>
      <c r="I133" s="4726">
        <v>2</v>
      </c>
      <c r="J133" s="4726">
        <v>3</v>
      </c>
      <c r="K133" s="4725" t="s">
        <v>129</v>
      </c>
      <c r="L133" s="4963" t="s">
        <v>1076</v>
      </c>
      <c r="M133" s="4964">
        <v>3</v>
      </c>
      <c r="N133" s="4726">
        <v>14</v>
      </c>
      <c r="Q133" s="4458">
        <v>3</v>
      </c>
      <c r="R133" s="4458">
        <v>3</v>
      </c>
      <c r="S133" s="4459" t="s">
        <v>381</v>
      </c>
      <c r="T133" s="4461" t="s">
        <v>1076</v>
      </c>
      <c r="U133" s="4458">
        <v>12</v>
      </c>
      <c r="V133" s="4479">
        <v>1</v>
      </c>
      <c r="W133" s="4510"/>
      <c r="X133" s="4467"/>
      <c r="Y133" s="4467"/>
      <c r="Z133" s="36"/>
      <c r="AA133" s="36"/>
      <c r="AB133" s="36"/>
      <c r="AC133" s="36" t="s">
        <v>1080</v>
      </c>
      <c r="AD133" s="615">
        <v>0</v>
      </c>
      <c r="AE133" s="615"/>
      <c r="AF133" s="615"/>
      <c r="AG133" s="615">
        <v>0</v>
      </c>
      <c r="AH133" s="615"/>
      <c r="AI133" s="615"/>
      <c r="AJ133" s="615">
        <v>0</v>
      </c>
      <c r="AK133" s="615"/>
      <c r="AL133" s="615"/>
      <c r="AM133" s="615"/>
      <c r="AN133" s="615">
        <v>0</v>
      </c>
      <c r="AO133" s="615">
        <v>6</v>
      </c>
      <c r="AP133" s="615">
        <v>2</v>
      </c>
      <c r="AQ133" s="36">
        <v>14</v>
      </c>
      <c r="AR133" s="36">
        <v>22</v>
      </c>
      <c r="AS133" s="36"/>
      <c r="AU133" s="36"/>
      <c r="AV133" s="36"/>
      <c r="AW133" s="393"/>
      <c r="AX133" s="393" t="s">
        <v>1163</v>
      </c>
      <c r="AY133" s="1682"/>
      <c r="AZ133" s="1682"/>
      <c r="BA133" s="1682"/>
      <c r="BB133" s="1682"/>
      <c r="BC133" s="1682"/>
      <c r="BD133" s="1682"/>
      <c r="BE133" s="1682"/>
      <c r="BF133" s="1682">
        <v>0</v>
      </c>
      <c r="BG133" s="1682"/>
      <c r="BH133" s="1682">
        <v>0</v>
      </c>
      <c r="BI133" s="1682">
        <v>1</v>
      </c>
      <c r="BJ133" s="1682">
        <v>6</v>
      </c>
      <c r="BK133" s="1682">
        <v>3</v>
      </c>
      <c r="BL133" s="1682">
        <v>1</v>
      </c>
      <c r="BM133" s="4455">
        <v>0</v>
      </c>
      <c r="BN133" s="4455">
        <v>0</v>
      </c>
      <c r="BO133" s="4455">
        <v>11</v>
      </c>
      <c r="BP133" s="4455"/>
      <c r="BT133" s="1520"/>
      <c r="BU133" s="1520" t="s">
        <v>1163</v>
      </c>
      <c r="BV133" s="3872">
        <v>0</v>
      </c>
      <c r="BW133" s="3872"/>
      <c r="BX133" s="3872"/>
      <c r="BY133" s="3872"/>
      <c r="BZ133" s="3872"/>
      <c r="CA133" s="3872"/>
      <c r="CB133" s="3872"/>
      <c r="CC133" s="3872">
        <v>0</v>
      </c>
      <c r="CD133" s="3872"/>
      <c r="CE133" s="3872">
        <v>0</v>
      </c>
      <c r="CF133" s="3872">
        <v>1</v>
      </c>
      <c r="CG133" s="3872">
        <v>3</v>
      </c>
      <c r="CH133" s="3872">
        <v>2</v>
      </c>
      <c r="CI133" s="3872">
        <v>0</v>
      </c>
      <c r="CJ133" s="3806">
        <v>0</v>
      </c>
      <c r="CK133" s="3806">
        <v>6</v>
      </c>
      <c r="CL133" s="1520"/>
      <c r="CN133" s="36"/>
      <c r="CO133" s="36"/>
      <c r="CP133" s="393"/>
      <c r="CQ133" s="393" t="s">
        <v>1077</v>
      </c>
      <c r="CR133" s="2049"/>
      <c r="CS133" s="2049">
        <v>1</v>
      </c>
      <c r="CT133" s="2049"/>
      <c r="CU133" s="2049">
        <v>1</v>
      </c>
      <c r="CV133" s="2049"/>
      <c r="CW133" s="2049">
        <v>0</v>
      </c>
      <c r="CX133" s="2049">
        <v>0</v>
      </c>
      <c r="CY133" s="2049"/>
      <c r="CZ133" s="2049"/>
      <c r="DA133" s="2049">
        <v>0</v>
      </c>
      <c r="DB133" s="2049">
        <v>1</v>
      </c>
      <c r="DC133" s="2049">
        <v>0</v>
      </c>
      <c r="DD133" s="2049">
        <v>0</v>
      </c>
      <c r="DE133" s="2049">
        <v>0</v>
      </c>
      <c r="DF133" s="2049">
        <v>0</v>
      </c>
      <c r="DG133" s="393">
        <v>0</v>
      </c>
      <c r="DH133" s="393"/>
      <c r="DI133" s="393">
        <v>3</v>
      </c>
      <c r="DJ133" s="36"/>
      <c r="DL133" s="36"/>
      <c r="DM133" s="36"/>
      <c r="DN133" s="36" t="s">
        <v>483</v>
      </c>
      <c r="DO133" s="36" t="s">
        <v>1072</v>
      </c>
      <c r="DP133" s="1681"/>
      <c r="DQ133" s="1681">
        <v>1</v>
      </c>
      <c r="DR133" s="1681">
        <v>2</v>
      </c>
      <c r="DS133" s="1681"/>
      <c r="DT133" s="1681"/>
      <c r="DU133" s="1681"/>
      <c r="DV133" s="1681"/>
      <c r="DW133" s="1681"/>
      <c r="DX133" s="1681">
        <v>1</v>
      </c>
      <c r="DY133" s="1681">
        <v>4</v>
      </c>
      <c r="DZ133" s="1681">
        <v>3</v>
      </c>
      <c r="EA133" s="1681">
        <v>4</v>
      </c>
      <c r="EB133" s="1681">
        <v>22</v>
      </c>
      <c r="EC133" s="1681">
        <v>7</v>
      </c>
      <c r="ED133" s="1681">
        <v>1</v>
      </c>
      <c r="EE133" s="95">
        <v>1</v>
      </c>
      <c r="EF133" s="95">
        <v>0</v>
      </c>
      <c r="EG133" s="95">
        <v>46</v>
      </c>
      <c r="EH133" s="36"/>
      <c r="EL133" s="36"/>
      <c r="EM133" s="36" t="s">
        <v>1074</v>
      </c>
      <c r="EN133" s="1490">
        <v>0</v>
      </c>
      <c r="EO133" s="1490">
        <v>1</v>
      </c>
      <c r="EP133" s="1490">
        <v>0</v>
      </c>
      <c r="EQ133" s="1490">
        <v>0</v>
      </c>
      <c r="ER133" s="1490"/>
      <c r="ES133" s="1490">
        <v>0</v>
      </c>
      <c r="ET133" s="1490"/>
      <c r="EU133" s="1490">
        <v>0</v>
      </c>
      <c r="EV133" s="1490">
        <v>0</v>
      </c>
      <c r="EW133" s="1490">
        <v>0</v>
      </c>
      <c r="EX133" s="1490">
        <v>0</v>
      </c>
      <c r="EY133" s="1490">
        <v>0</v>
      </c>
      <c r="EZ133" s="1490">
        <v>0</v>
      </c>
      <c r="FA133" s="1490">
        <v>0</v>
      </c>
      <c r="FB133" s="1490">
        <v>0</v>
      </c>
      <c r="FC133" s="36">
        <v>0</v>
      </c>
      <c r="FD133" s="36">
        <v>0</v>
      </c>
      <c r="FE133" s="36">
        <v>1</v>
      </c>
      <c r="FF133" s="36"/>
      <c r="FH133" s="1225"/>
      <c r="FI133" s="1225"/>
      <c r="FJ133" s="1225"/>
      <c r="FK133" s="1226" t="s">
        <v>1081</v>
      </c>
      <c r="FL133" s="1228">
        <v>0</v>
      </c>
      <c r="FM133" s="1227"/>
      <c r="FN133" s="1227"/>
      <c r="FO133" s="1227"/>
      <c r="FP133" s="1228">
        <v>0</v>
      </c>
      <c r="FQ133" s="1227"/>
      <c r="FR133" s="1228">
        <v>0</v>
      </c>
      <c r="FS133" s="1227"/>
      <c r="FT133" s="1228">
        <v>0</v>
      </c>
      <c r="FU133" s="1228">
        <v>1</v>
      </c>
      <c r="FV133" s="1228">
        <v>2</v>
      </c>
      <c r="FW133" s="1227"/>
      <c r="FX133" s="1227"/>
      <c r="FY133" s="1229"/>
      <c r="FZ133" s="1229"/>
      <c r="GA133" s="1230">
        <v>3</v>
      </c>
      <c r="GB133" s="36"/>
      <c r="GD133" s="603"/>
      <c r="GE133" s="603"/>
      <c r="GF133" s="603"/>
      <c r="GG133" s="622" t="s">
        <v>109</v>
      </c>
      <c r="GH133" s="623"/>
      <c r="GI133" s="624">
        <v>5</v>
      </c>
      <c r="GJ133" s="624">
        <v>3</v>
      </c>
      <c r="GK133" s="624">
        <v>4</v>
      </c>
      <c r="GL133" s="624">
        <v>2</v>
      </c>
      <c r="GM133" s="624">
        <v>2</v>
      </c>
      <c r="GN133" s="624">
        <v>4</v>
      </c>
      <c r="GO133" s="624">
        <v>5</v>
      </c>
      <c r="GP133" s="624">
        <v>5</v>
      </c>
      <c r="GQ133" s="624">
        <v>3</v>
      </c>
      <c r="GR133" s="624">
        <v>8</v>
      </c>
      <c r="GS133" s="624">
        <v>9</v>
      </c>
      <c r="GT133" s="624">
        <v>27</v>
      </c>
      <c r="GU133" s="624">
        <v>44</v>
      </c>
      <c r="GV133" s="624">
        <v>60</v>
      </c>
      <c r="GW133" s="626">
        <v>7</v>
      </c>
      <c r="GX133" s="626">
        <v>27</v>
      </c>
      <c r="GY133" s="626">
        <v>215</v>
      </c>
      <c r="GZ133" s="560">
        <f>+(GY129+GY132)/GY133</f>
        <v>0.38604651162790699</v>
      </c>
      <c r="HB133" s="441"/>
      <c r="HC133" s="441"/>
      <c r="HD133" s="441"/>
      <c r="HE133" s="441"/>
      <c r="HF133" s="442" t="s">
        <v>1076</v>
      </c>
      <c r="HG133" s="609"/>
      <c r="HH133" s="610">
        <v>0</v>
      </c>
      <c r="HI133" s="609"/>
      <c r="HJ133" s="610">
        <v>0</v>
      </c>
      <c r="HK133" s="609"/>
      <c r="HL133" s="610">
        <v>0</v>
      </c>
      <c r="HM133" s="609"/>
      <c r="HN133" s="609"/>
      <c r="HO133" s="609"/>
      <c r="HP133" s="610">
        <v>0</v>
      </c>
      <c r="HQ133" s="609"/>
      <c r="HR133" s="610">
        <v>0</v>
      </c>
      <c r="HS133" s="610">
        <v>1</v>
      </c>
      <c r="HT133" s="610">
        <v>0</v>
      </c>
      <c r="HU133" s="610">
        <v>0</v>
      </c>
      <c r="HV133" s="612">
        <v>0</v>
      </c>
      <c r="HW133" s="612">
        <v>0</v>
      </c>
      <c r="HX133" s="612">
        <v>1</v>
      </c>
      <c r="HY133" s="560"/>
      <c r="HZ133" s="36"/>
      <c r="IA133" s="613"/>
      <c r="IB133" s="36"/>
      <c r="IC133" s="613"/>
      <c r="ID133" s="389" t="s">
        <v>1072</v>
      </c>
      <c r="IE133" s="614"/>
      <c r="IF133" s="614"/>
      <c r="IG133" s="614"/>
      <c r="IH133" s="614"/>
      <c r="II133" s="614"/>
      <c r="IJ133" s="390">
        <v>0</v>
      </c>
      <c r="IK133" s="390">
        <v>1</v>
      </c>
      <c r="IL133" s="390">
        <v>1</v>
      </c>
      <c r="IM133" s="614"/>
      <c r="IN133" s="390">
        <v>0</v>
      </c>
      <c r="IO133" s="390">
        <v>0</v>
      </c>
      <c r="IP133" s="390">
        <v>2</v>
      </c>
      <c r="IQ133" s="390">
        <v>0</v>
      </c>
      <c r="IR133" s="390">
        <v>4</v>
      </c>
      <c r="IS133" s="615"/>
      <c r="IT133" s="36"/>
      <c r="IU133" s="36"/>
      <c r="IV133" s="95"/>
      <c r="IW133" s="95"/>
      <c r="IX133" s="95"/>
      <c r="IY133" s="36" t="s">
        <v>1077</v>
      </c>
      <c r="IZ133" s="36"/>
      <c r="JA133" s="36">
        <v>1</v>
      </c>
      <c r="JB133" s="36">
        <v>1</v>
      </c>
      <c r="JC133" s="36"/>
      <c r="JD133" s="36"/>
      <c r="JE133" s="36">
        <v>0</v>
      </c>
      <c r="JF133" s="36">
        <v>2</v>
      </c>
      <c r="JG133" s="36">
        <v>1</v>
      </c>
      <c r="JH133" s="36"/>
      <c r="JI133" s="36"/>
      <c r="JJ133" s="36"/>
      <c r="JK133" s="36"/>
      <c r="JL133" s="36"/>
      <c r="JM133" s="36"/>
      <c r="JN133" s="36"/>
      <c r="JO133" s="36"/>
      <c r="JP133" s="36">
        <v>5</v>
      </c>
      <c r="JQ133" s="36"/>
      <c r="JR133" s="36"/>
      <c r="JS133" s="616"/>
      <c r="JT133" s="616"/>
      <c r="JU133" s="616"/>
      <c r="JV133" s="616" t="s">
        <v>1076</v>
      </c>
      <c r="JW133" s="616">
        <v>0</v>
      </c>
      <c r="JX133" s="616">
        <v>0</v>
      </c>
      <c r="JY133" s="616">
        <v>0</v>
      </c>
      <c r="JZ133" s="616">
        <v>0</v>
      </c>
      <c r="KA133" s="616">
        <v>0</v>
      </c>
      <c r="KB133" s="616">
        <v>0</v>
      </c>
      <c r="KC133" s="616">
        <v>0</v>
      </c>
      <c r="KD133" s="616">
        <v>0</v>
      </c>
      <c r="KE133" s="616">
        <v>0</v>
      </c>
      <c r="KF133" s="616">
        <v>1</v>
      </c>
      <c r="KG133" s="616">
        <v>1</v>
      </c>
      <c r="KH133" s="616">
        <v>0</v>
      </c>
      <c r="KI133" s="616">
        <v>1</v>
      </c>
      <c r="KJ133" s="616">
        <v>3</v>
      </c>
      <c r="KK133" s="616">
        <v>0</v>
      </c>
      <c r="KL133" s="616">
        <v>0</v>
      </c>
      <c r="KM133" s="616">
        <v>6</v>
      </c>
      <c r="KN133" s="616"/>
      <c r="KO133" s="617"/>
    </row>
    <row r="134" spans="1:301">
      <c r="A134" s="5737">
        <v>2</v>
      </c>
      <c r="B134" s="5737">
        <v>3</v>
      </c>
      <c r="C134" s="5736" t="s">
        <v>129</v>
      </c>
      <c r="D134" s="5739" t="s">
        <v>1076</v>
      </c>
      <c r="E134" s="5737">
        <v>2</v>
      </c>
      <c r="F134" s="5737">
        <v>12</v>
      </c>
      <c r="I134" s="4726">
        <v>2</v>
      </c>
      <c r="J134" s="4726">
        <v>3</v>
      </c>
      <c r="K134" s="4725" t="s">
        <v>129</v>
      </c>
      <c r="L134" s="4725" t="s">
        <v>2709</v>
      </c>
      <c r="M134" s="4726">
        <v>2</v>
      </c>
      <c r="N134" s="4726">
        <v>12</v>
      </c>
      <c r="Q134" s="4458">
        <v>3</v>
      </c>
      <c r="R134" s="4458">
        <v>3</v>
      </c>
      <c r="S134" s="4459" t="s">
        <v>381</v>
      </c>
      <c r="T134" s="4461" t="s">
        <v>1076</v>
      </c>
      <c r="U134" s="4458">
        <v>13</v>
      </c>
      <c r="V134" s="4479">
        <v>2</v>
      </c>
      <c r="W134" s="4510"/>
      <c r="X134" s="4467"/>
      <c r="Y134" s="4467"/>
      <c r="Z134" s="36"/>
      <c r="AA134" s="36"/>
      <c r="AB134" s="36"/>
      <c r="AC134" s="36" t="s">
        <v>2571</v>
      </c>
      <c r="AD134" s="615">
        <v>1</v>
      </c>
      <c r="AE134" s="615"/>
      <c r="AF134" s="615"/>
      <c r="AG134" s="615">
        <v>0</v>
      </c>
      <c r="AH134" s="615"/>
      <c r="AI134" s="615"/>
      <c r="AJ134" s="615">
        <v>0</v>
      </c>
      <c r="AK134" s="615"/>
      <c r="AL134" s="615"/>
      <c r="AM134" s="615"/>
      <c r="AN134" s="615">
        <v>0</v>
      </c>
      <c r="AO134" s="615">
        <v>0</v>
      </c>
      <c r="AP134" s="615">
        <v>0</v>
      </c>
      <c r="AQ134" s="36">
        <v>0</v>
      </c>
      <c r="AR134" s="36">
        <v>1</v>
      </c>
      <c r="AS134" s="36"/>
      <c r="AU134" s="36"/>
      <c r="AV134" s="36"/>
      <c r="AW134" s="393"/>
      <c r="AX134" s="36" t="s">
        <v>15</v>
      </c>
      <c r="AY134" s="1682"/>
      <c r="AZ134" s="1682"/>
      <c r="BA134" s="1682"/>
      <c r="BB134" s="1682"/>
      <c r="BC134" s="1682"/>
      <c r="BD134" s="1682"/>
      <c r="BE134" s="1682"/>
      <c r="BF134" s="1682">
        <v>1</v>
      </c>
      <c r="BG134" s="1682"/>
      <c r="BH134" s="1682">
        <v>1</v>
      </c>
      <c r="BI134" s="1682">
        <v>2</v>
      </c>
      <c r="BJ134" s="1682">
        <v>9</v>
      </c>
      <c r="BK134" s="1682">
        <v>17</v>
      </c>
      <c r="BL134" s="1682">
        <v>16</v>
      </c>
      <c r="BM134" s="4455">
        <v>6</v>
      </c>
      <c r="BN134" s="4455">
        <v>4</v>
      </c>
      <c r="BO134" s="4455">
        <v>56</v>
      </c>
      <c r="BP134" s="560">
        <f>+(BO130+BO133)/(BO134)</f>
        <v>0.30357142857142855</v>
      </c>
      <c r="BT134" s="1520"/>
      <c r="BU134" s="1520" t="s">
        <v>485</v>
      </c>
      <c r="BV134" s="3872">
        <v>0</v>
      </c>
      <c r="BW134" s="3872"/>
      <c r="BX134" s="3872"/>
      <c r="BY134" s="3872"/>
      <c r="BZ134" s="3872"/>
      <c r="CA134" s="3872"/>
      <c r="CB134" s="3872"/>
      <c r="CC134" s="3872">
        <v>1</v>
      </c>
      <c r="CD134" s="3872"/>
      <c r="CE134" s="3872">
        <v>1</v>
      </c>
      <c r="CF134" s="3872">
        <v>2</v>
      </c>
      <c r="CG134" s="3872">
        <v>9</v>
      </c>
      <c r="CH134" s="3872">
        <v>32</v>
      </c>
      <c r="CI134" s="3872">
        <v>1</v>
      </c>
      <c r="CJ134" s="3806">
        <v>10</v>
      </c>
      <c r="CK134" s="3806">
        <v>56</v>
      </c>
      <c r="CL134" s="3807">
        <f>+(CK130+CK133)/CK134</f>
        <v>0.26785714285714285</v>
      </c>
      <c r="CN134" s="36"/>
      <c r="CO134" s="36"/>
      <c r="CP134" s="393"/>
      <c r="CQ134" s="393" t="s">
        <v>1080</v>
      </c>
      <c r="CR134" s="2049"/>
      <c r="CS134" s="2049">
        <v>0</v>
      </c>
      <c r="CT134" s="2049"/>
      <c r="CU134" s="2049">
        <v>0</v>
      </c>
      <c r="CV134" s="2049"/>
      <c r="CW134" s="2049">
        <v>0</v>
      </c>
      <c r="CX134" s="2049">
        <v>0</v>
      </c>
      <c r="CY134" s="2049"/>
      <c r="CZ134" s="2049"/>
      <c r="DA134" s="2049">
        <v>0</v>
      </c>
      <c r="DB134" s="2049">
        <v>0</v>
      </c>
      <c r="DC134" s="2049">
        <v>0</v>
      </c>
      <c r="DD134" s="2049">
        <v>0</v>
      </c>
      <c r="DE134" s="2049">
        <v>9</v>
      </c>
      <c r="DF134" s="2049">
        <v>24</v>
      </c>
      <c r="DG134" s="393">
        <v>0</v>
      </c>
      <c r="DH134" s="393"/>
      <c r="DI134" s="393">
        <v>33</v>
      </c>
      <c r="DJ134" s="36"/>
      <c r="DL134" s="36"/>
      <c r="DM134" s="36"/>
      <c r="DN134" s="36"/>
      <c r="DO134" s="36" t="s">
        <v>1076</v>
      </c>
      <c r="DP134" s="1681"/>
      <c r="DQ134" s="1681">
        <v>0</v>
      </c>
      <c r="DR134" s="1681">
        <v>0</v>
      </c>
      <c r="DS134" s="1681"/>
      <c r="DT134" s="1681"/>
      <c r="DU134" s="1681"/>
      <c r="DV134" s="1681"/>
      <c r="DW134" s="1681"/>
      <c r="DX134" s="1681">
        <v>0</v>
      </c>
      <c r="DY134" s="1681">
        <v>0</v>
      </c>
      <c r="DZ134" s="1681">
        <v>0</v>
      </c>
      <c r="EA134" s="1681">
        <v>0</v>
      </c>
      <c r="EB134" s="1681">
        <v>4</v>
      </c>
      <c r="EC134" s="1681">
        <v>1</v>
      </c>
      <c r="ED134" s="1681">
        <v>0</v>
      </c>
      <c r="EE134" s="95">
        <v>0</v>
      </c>
      <c r="EF134" s="95">
        <v>0</v>
      </c>
      <c r="EG134" s="95">
        <v>5</v>
      </c>
      <c r="EH134" s="36"/>
      <c r="EL134" s="36"/>
      <c r="EM134" s="36" t="s">
        <v>1076</v>
      </c>
      <c r="EN134" s="1490">
        <v>0</v>
      </c>
      <c r="EO134" s="1490">
        <v>0</v>
      </c>
      <c r="EP134" s="1490">
        <v>0</v>
      </c>
      <c r="EQ134" s="1490">
        <v>0</v>
      </c>
      <c r="ER134" s="1490"/>
      <c r="ES134" s="1490">
        <v>0</v>
      </c>
      <c r="ET134" s="1490"/>
      <c r="EU134" s="1490">
        <v>0</v>
      </c>
      <c r="EV134" s="1490">
        <v>0</v>
      </c>
      <c r="EW134" s="1490">
        <v>0</v>
      </c>
      <c r="EX134" s="1490">
        <v>0</v>
      </c>
      <c r="EY134" s="1490">
        <v>0</v>
      </c>
      <c r="EZ134" s="1490">
        <v>19</v>
      </c>
      <c r="FA134" s="1490">
        <v>20</v>
      </c>
      <c r="FB134" s="1490">
        <v>3</v>
      </c>
      <c r="FC134" s="36">
        <v>2</v>
      </c>
      <c r="FD134" s="36">
        <v>0</v>
      </c>
      <c r="FE134" s="36">
        <v>44</v>
      </c>
      <c r="FF134" s="36"/>
      <c r="FH134" s="1225"/>
      <c r="FI134" s="1225"/>
      <c r="FJ134" s="1225"/>
      <c r="FK134" s="1226" t="s">
        <v>1163</v>
      </c>
      <c r="FL134" s="1228">
        <v>0</v>
      </c>
      <c r="FM134" s="1227"/>
      <c r="FN134" s="1227"/>
      <c r="FO134" s="1227"/>
      <c r="FP134" s="1228">
        <v>0</v>
      </c>
      <c r="FQ134" s="1227"/>
      <c r="FR134" s="1228">
        <v>0</v>
      </c>
      <c r="FS134" s="1227"/>
      <c r="FT134" s="1228">
        <v>0</v>
      </c>
      <c r="FU134" s="1228">
        <v>1</v>
      </c>
      <c r="FV134" s="1228">
        <v>0</v>
      </c>
      <c r="FW134" s="1227"/>
      <c r="FX134" s="1227"/>
      <c r="FY134" s="1229"/>
      <c r="FZ134" s="1229"/>
      <c r="GA134" s="1230">
        <v>1</v>
      </c>
      <c r="GB134" s="36"/>
      <c r="GD134" s="603" t="s">
        <v>48</v>
      </c>
      <c r="GE134" s="603" t="s">
        <v>41</v>
      </c>
      <c r="GF134" s="603" t="s">
        <v>144</v>
      </c>
      <c r="GG134" s="604" t="s">
        <v>1071</v>
      </c>
      <c r="GH134" s="605"/>
      <c r="GI134" s="605"/>
      <c r="GJ134" s="605"/>
      <c r="GK134" s="605"/>
      <c r="GL134" s="605"/>
      <c r="GM134" s="605"/>
      <c r="GN134" s="606">
        <v>0</v>
      </c>
      <c r="GO134" s="605"/>
      <c r="GP134" s="606">
        <v>0</v>
      </c>
      <c r="GQ134" s="606">
        <v>1</v>
      </c>
      <c r="GR134" s="606">
        <v>0</v>
      </c>
      <c r="GS134" s="605"/>
      <c r="GT134" s="605"/>
      <c r="GU134" s="605"/>
      <c r="GV134" s="605"/>
      <c r="GW134" s="607"/>
      <c r="GX134" s="607"/>
      <c r="GY134" s="608">
        <v>1</v>
      </c>
      <c r="GZ134" s="95"/>
      <c r="HB134" s="441"/>
      <c r="HC134" s="441"/>
      <c r="HD134" s="441"/>
      <c r="HE134" s="441"/>
      <c r="HF134" s="442" t="s">
        <v>1080</v>
      </c>
      <c r="HG134" s="609"/>
      <c r="HH134" s="610">
        <v>0</v>
      </c>
      <c r="HI134" s="609"/>
      <c r="HJ134" s="610">
        <v>0</v>
      </c>
      <c r="HK134" s="609"/>
      <c r="HL134" s="610">
        <v>0</v>
      </c>
      <c r="HM134" s="609"/>
      <c r="HN134" s="609"/>
      <c r="HO134" s="609"/>
      <c r="HP134" s="610">
        <v>0</v>
      </c>
      <c r="HQ134" s="609"/>
      <c r="HR134" s="610">
        <v>0</v>
      </c>
      <c r="HS134" s="610">
        <v>1</v>
      </c>
      <c r="HT134" s="610">
        <v>0</v>
      </c>
      <c r="HU134" s="610">
        <v>0</v>
      </c>
      <c r="HV134" s="612">
        <v>1</v>
      </c>
      <c r="HW134" s="612">
        <v>2</v>
      </c>
      <c r="HX134" s="612">
        <v>4</v>
      </c>
      <c r="HY134" s="560"/>
      <c r="HZ134" s="36"/>
      <c r="IA134" s="613"/>
      <c r="IB134" s="36"/>
      <c r="IC134" s="613"/>
      <c r="ID134" s="389" t="s">
        <v>1076</v>
      </c>
      <c r="IE134" s="614"/>
      <c r="IF134" s="614"/>
      <c r="IG134" s="614"/>
      <c r="IH134" s="614"/>
      <c r="II134" s="614"/>
      <c r="IJ134" s="390">
        <v>1</v>
      </c>
      <c r="IK134" s="390">
        <v>0</v>
      </c>
      <c r="IL134" s="390">
        <v>0</v>
      </c>
      <c r="IM134" s="614"/>
      <c r="IN134" s="390">
        <v>2</v>
      </c>
      <c r="IO134" s="390">
        <v>0</v>
      </c>
      <c r="IP134" s="390">
        <v>1</v>
      </c>
      <c r="IQ134" s="390">
        <v>0</v>
      </c>
      <c r="IR134" s="390">
        <v>4</v>
      </c>
      <c r="IS134" s="615"/>
      <c r="IT134" s="36"/>
      <c r="IU134" s="36"/>
      <c r="IV134" s="95"/>
      <c r="IW134" s="95"/>
      <c r="IX134" s="95"/>
      <c r="IY134" s="393" t="s">
        <v>15</v>
      </c>
      <c r="IZ134" s="393"/>
      <c r="JA134" s="393">
        <v>1</v>
      </c>
      <c r="JB134" s="393">
        <v>1</v>
      </c>
      <c r="JC134" s="393"/>
      <c r="JD134" s="393"/>
      <c r="JE134" s="393">
        <v>1</v>
      </c>
      <c r="JF134" s="393">
        <v>4</v>
      </c>
      <c r="JG134" s="393">
        <v>1</v>
      </c>
      <c r="JH134" s="393"/>
      <c r="JI134" s="393"/>
      <c r="JJ134" s="393"/>
      <c r="JK134" s="393"/>
      <c r="JL134" s="393"/>
      <c r="JM134" s="393"/>
      <c r="JN134" s="393"/>
      <c r="JO134" s="393"/>
      <c r="JP134" s="393">
        <v>8</v>
      </c>
      <c r="JQ134" s="632">
        <v>0</v>
      </c>
      <c r="JR134" s="36"/>
      <c r="JS134" s="616"/>
      <c r="JT134" s="616"/>
      <c r="JU134" s="616"/>
      <c r="JV134" s="616" t="s">
        <v>1080</v>
      </c>
      <c r="JW134" s="616">
        <v>0</v>
      </c>
      <c r="JX134" s="616">
        <v>0</v>
      </c>
      <c r="JY134" s="616">
        <v>0</v>
      </c>
      <c r="JZ134" s="616">
        <v>0</v>
      </c>
      <c r="KA134" s="616">
        <v>0</v>
      </c>
      <c r="KB134" s="616">
        <v>0</v>
      </c>
      <c r="KC134" s="616">
        <v>0</v>
      </c>
      <c r="KD134" s="616">
        <v>0</v>
      </c>
      <c r="KE134" s="616">
        <v>0</v>
      </c>
      <c r="KF134" s="616">
        <v>0</v>
      </c>
      <c r="KG134" s="616">
        <v>0</v>
      </c>
      <c r="KH134" s="616">
        <v>0</v>
      </c>
      <c r="KI134" s="616">
        <v>3</v>
      </c>
      <c r="KJ134" s="616">
        <v>4</v>
      </c>
      <c r="KK134" s="616">
        <v>5</v>
      </c>
      <c r="KL134" s="616">
        <v>9</v>
      </c>
      <c r="KM134" s="616">
        <v>21</v>
      </c>
      <c r="KN134" s="616"/>
      <c r="KO134" s="617"/>
    </row>
    <row r="135" spans="1:301">
      <c r="A135" s="5737">
        <v>2</v>
      </c>
      <c r="B135" s="5737">
        <v>3</v>
      </c>
      <c r="C135" s="5736" t="s">
        <v>129</v>
      </c>
      <c r="D135" s="5739" t="s">
        <v>1076</v>
      </c>
      <c r="E135" s="5737">
        <v>2</v>
      </c>
      <c r="F135" s="5737">
        <v>13</v>
      </c>
      <c r="I135" s="4726">
        <v>2</v>
      </c>
      <c r="J135" s="4726">
        <v>3</v>
      </c>
      <c r="K135" s="4725" t="s">
        <v>129</v>
      </c>
      <c r="L135" s="4725" t="s">
        <v>2709</v>
      </c>
      <c r="M135" s="4726">
        <v>1</v>
      </c>
      <c r="N135" s="4726">
        <v>14</v>
      </c>
      <c r="Q135" s="4458">
        <v>3</v>
      </c>
      <c r="R135" s="4458">
        <v>3</v>
      </c>
      <c r="S135" s="4459" t="s">
        <v>381</v>
      </c>
      <c r="T135" s="4459" t="s">
        <v>2731</v>
      </c>
      <c r="U135" s="4458">
        <v>14</v>
      </c>
      <c r="V135" s="4479">
        <v>10</v>
      </c>
      <c r="W135" s="4510"/>
      <c r="X135" s="4467"/>
      <c r="Y135" s="4467"/>
      <c r="Z135" s="36"/>
      <c r="AA135" s="36"/>
      <c r="AB135" s="36"/>
      <c r="AC135" s="4236" t="s">
        <v>15</v>
      </c>
      <c r="AD135" s="4236">
        <v>1</v>
      </c>
      <c r="AE135" s="4236"/>
      <c r="AF135" s="4236"/>
      <c r="AG135" s="4236">
        <v>1</v>
      </c>
      <c r="AH135" s="4236"/>
      <c r="AI135" s="4236"/>
      <c r="AJ135" s="4236">
        <v>1</v>
      </c>
      <c r="AK135" s="4236"/>
      <c r="AL135" s="4236"/>
      <c r="AM135" s="4236"/>
      <c r="AN135" s="4236">
        <v>1</v>
      </c>
      <c r="AO135" s="4236">
        <v>7</v>
      </c>
      <c r="AP135" s="4236">
        <v>2</v>
      </c>
      <c r="AQ135" s="4236">
        <v>14</v>
      </c>
      <c r="AR135" s="4236">
        <v>27</v>
      </c>
      <c r="AS135" s="4243">
        <f>(AR132)/(AR135-AR134)</f>
        <v>3.8461538461538464E-2</v>
      </c>
      <c r="AU135" s="36"/>
      <c r="AV135" s="36"/>
      <c r="AW135" s="393" t="s">
        <v>109</v>
      </c>
      <c r="AX135" s="393" t="s">
        <v>1071</v>
      </c>
      <c r="AY135" s="1682"/>
      <c r="AZ135" s="1682">
        <v>0</v>
      </c>
      <c r="BA135" s="1682"/>
      <c r="BB135" s="1682"/>
      <c r="BC135" s="1682">
        <v>0</v>
      </c>
      <c r="BD135" s="1682">
        <v>0</v>
      </c>
      <c r="BE135" s="1682">
        <v>0</v>
      </c>
      <c r="BF135" s="1682">
        <v>0</v>
      </c>
      <c r="BG135" s="1682">
        <v>0</v>
      </c>
      <c r="BH135" s="1682">
        <v>0</v>
      </c>
      <c r="BI135" s="1682">
        <v>0</v>
      </c>
      <c r="BJ135" s="1682">
        <v>0</v>
      </c>
      <c r="BK135" s="1682">
        <v>1</v>
      </c>
      <c r="BL135" s="1682">
        <v>3</v>
      </c>
      <c r="BM135" s="4455">
        <v>0</v>
      </c>
      <c r="BN135" s="4455">
        <v>0</v>
      </c>
      <c r="BO135" s="4455">
        <v>4</v>
      </c>
      <c r="BP135" s="4455"/>
      <c r="BT135" s="1520" t="s">
        <v>109</v>
      </c>
      <c r="BU135" s="1520" t="s">
        <v>1071</v>
      </c>
      <c r="BV135" s="3872">
        <v>0</v>
      </c>
      <c r="BW135" s="3872">
        <v>0</v>
      </c>
      <c r="BX135" s="3872"/>
      <c r="BY135" s="3872"/>
      <c r="BZ135" s="3872">
        <v>0</v>
      </c>
      <c r="CA135" s="3872">
        <v>0</v>
      </c>
      <c r="CB135" s="3872">
        <v>0</v>
      </c>
      <c r="CC135" s="3872">
        <v>0</v>
      </c>
      <c r="CD135" s="3872">
        <v>0</v>
      </c>
      <c r="CE135" s="3872">
        <v>1</v>
      </c>
      <c r="CF135" s="3872">
        <v>0</v>
      </c>
      <c r="CG135" s="3872">
        <v>1</v>
      </c>
      <c r="CH135" s="3872">
        <v>11</v>
      </c>
      <c r="CI135" s="3872">
        <v>0</v>
      </c>
      <c r="CJ135" s="3806">
        <v>1</v>
      </c>
      <c r="CK135" s="3806">
        <v>14</v>
      </c>
      <c r="CL135" s="1520"/>
      <c r="CN135" s="36"/>
      <c r="CO135" s="36"/>
      <c r="CP135" s="393"/>
      <c r="CQ135" s="393" t="s">
        <v>1081</v>
      </c>
      <c r="CR135" s="2049"/>
      <c r="CS135" s="2049">
        <v>0</v>
      </c>
      <c r="CT135" s="2049"/>
      <c r="CU135" s="2049">
        <v>0</v>
      </c>
      <c r="CV135" s="2049"/>
      <c r="CW135" s="2049">
        <v>0</v>
      </c>
      <c r="CX135" s="2049">
        <v>0</v>
      </c>
      <c r="CY135" s="2049"/>
      <c r="CZ135" s="2049"/>
      <c r="DA135" s="2049">
        <v>0</v>
      </c>
      <c r="DB135" s="2049">
        <v>0</v>
      </c>
      <c r="DC135" s="2049">
        <v>0</v>
      </c>
      <c r="DD135" s="2049">
        <v>1</v>
      </c>
      <c r="DE135" s="2049">
        <v>0</v>
      </c>
      <c r="DF135" s="2049">
        <v>0</v>
      </c>
      <c r="DG135" s="393">
        <v>0</v>
      </c>
      <c r="DH135" s="393"/>
      <c r="DI135" s="393">
        <v>1</v>
      </c>
      <c r="DJ135" s="36"/>
      <c r="DL135" s="36"/>
      <c r="DM135" s="36"/>
      <c r="DN135" s="36"/>
      <c r="DO135" s="36" t="s">
        <v>1077</v>
      </c>
      <c r="DP135" s="1681"/>
      <c r="DQ135" s="1681">
        <v>0</v>
      </c>
      <c r="DR135" s="1681">
        <v>0</v>
      </c>
      <c r="DS135" s="1681"/>
      <c r="DT135" s="1681"/>
      <c r="DU135" s="1681"/>
      <c r="DV135" s="1681"/>
      <c r="DW135" s="1681"/>
      <c r="DX135" s="1681">
        <v>0</v>
      </c>
      <c r="DY135" s="1681">
        <v>1</v>
      </c>
      <c r="DZ135" s="1681">
        <v>0</v>
      </c>
      <c r="EA135" s="1681">
        <v>0</v>
      </c>
      <c r="EB135" s="1681">
        <v>0</v>
      </c>
      <c r="EC135" s="1681">
        <v>0</v>
      </c>
      <c r="ED135" s="1681">
        <v>0</v>
      </c>
      <c r="EE135" s="95">
        <v>0</v>
      </c>
      <c r="EF135" s="95">
        <v>0</v>
      </c>
      <c r="EG135" s="95">
        <v>1</v>
      </c>
      <c r="EH135" s="36"/>
      <c r="EL135" s="36"/>
      <c r="EM135" s="36" t="s">
        <v>1077</v>
      </c>
      <c r="EN135" s="1490">
        <v>0</v>
      </c>
      <c r="EO135" s="1490">
        <v>2</v>
      </c>
      <c r="EP135" s="1490">
        <v>0</v>
      </c>
      <c r="EQ135" s="1490">
        <v>1</v>
      </c>
      <c r="ER135" s="1490"/>
      <c r="ES135" s="1490">
        <v>0</v>
      </c>
      <c r="ET135" s="1490"/>
      <c r="EU135" s="1490">
        <v>0</v>
      </c>
      <c r="EV135" s="1490">
        <v>0</v>
      </c>
      <c r="EW135" s="1490">
        <v>2</v>
      </c>
      <c r="EX135" s="1490">
        <v>0</v>
      </c>
      <c r="EY135" s="1490">
        <v>0</v>
      </c>
      <c r="EZ135" s="1490">
        <v>0</v>
      </c>
      <c r="FA135" s="1490">
        <v>1</v>
      </c>
      <c r="FB135" s="1490">
        <v>0</v>
      </c>
      <c r="FC135" s="36">
        <v>0</v>
      </c>
      <c r="FD135" s="36">
        <v>0</v>
      </c>
      <c r="FE135" s="36">
        <v>6</v>
      </c>
      <c r="FF135" s="36"/>
      <c r="FH135" s="1225"/>
      <c r="FI135" s="1225"/>
      <c r="FJ135" s="1225"/>
      <c r="FK135" s="1222" t="s">
        <v>15</v>
      </c>
      <c r="FL135" s="1232">
        <v>1</v>
      </c>
      <c r="FM135" s="1231"/>
      <c r="FN135" s="1231"/>
      <c r="FO135" s="1231"/>
      <c r="FP135" s="1232">
        <v>1</v>
      </c>
      <c r="FQ135" s="1231"/>
      <c r="FR135" s="1232">
        <v>2</v>
      </c>
      <c r="FS135" s="1231"/>
      <c r="FT135" s="1232">
        <v>1</v>
      </c>
      <c r="FU135" s="1232">
        <v>7</v>
      </c>
      <c r="FV135" s="1232">
        <v>11</v>
      </c>
      <c r="FW135" s="1231"/>
      <c r="FX135" s="1231"/>
      <c r="FY135" s="1233"/>
      <c r="FZ135" s="1233"/>
      <c r="GA135" s="1234">
        <v>23</v>
      </c>
      <c r="GB135" s="1178">
        <f>+(GA133+GA134)/GA135</f>
        <v>0.17391304347826086</v>
      </c>
      <c r="GD135" s="603"/>
      <c r="GE135" s="603"/>
      <c r="GF135" s="603"/>
      <c r="GG135" s="604" t="s">
        <v>1072</v>
      </c>
      <c r="GH135" s="605"/>
      <c r="GI135" s="605"/>
      <c r="GJ135" s="605"/>
      <c r="GK135" s="605"/>
      <c r="GL135" s="605"/>
      <c r="GM135" s="605"/>
      <c r="GN135" s="606">
        <v>0</v>
      </c>
      <c r="GO135" s="605"/>
      <c r="GP135" s="606">
        <v>1</v>
      </c>
      <c r="GQ135" s="606">
        <v>2</v>
      </c>
      <c r="GR135" s="606">
        <v>4</v>
      </c>
      <c r="GS135" s="605"/>
      <c r="GT135" s="605"/>
      <c r="GU135" s="605"/>
      <c r="GV135" s="605"/>
      <c r="GW135" s="607"/>
      <c r="GX135" s="607"/>
      <c r="GY135" s="608">
        <v>7</v>
      </c>
      <c r="GZ135" s="95"/>
      <c r="HB135" s="441"/>
      <c r="HC135" s="441"/>
      <c r="HD135" s="441"/>
      <c r="HE135" s="441"/>
      <c r="HF135" s="442" t="s">
        <v>1081</v>
      </c>
      <c r="HG135" s="609"/>
      <c r="HH135" s="610">
        <v>0</v>
      </c>
      <c r="HI135" s="609"/>
      <c r="HJ135" s="610">
        <v>0</v>
      </c>
      <c r="HK135" s="609"/>
      <c r="HL135" s="610">
        <v>0</v>
      </c>
      <c r="HM135" s="609"/>
      <c r="HN135" s="609"/>
      <c r="HO135" s="609"/>
      <c r="HP135" s="610">
        <v>0</v>
      </c>
      <c r="HQ135" s="609"/>
      <c r="HR135" s="610">
        <v>0</v>
      </c>
      <c r="HS135" s="610">
        <v>1</v>
      </c>
      <c r="HT135" s="610">
        <v>0</v>
      </c>
      <c r="HU135" s="610">
        <v>0</v>
      </c>
      <c r="HV135" s="612">
        <v>1</v>
      </c>
      <c r="HW135" s="612">
        <v>0</v>
      </c>
      <c r="HX135" s="612">
        <v>2</v>
      </c>
      <c r="HY135" s="560"/>
      <c r="HZ135" s="36"/>
      <c r="IA135" s="613"/>
      <c r="IB135" s="36"/>
      <c r="IC135" s="613"/>
      <c r="ID135" s="389" t="s">
        <v>1080</v>
      </c>
      <c r="IE135" s="614"/>
      <c r="IF135" s="614"/>
      <c r="IG135" s="614"/>
      <c r="IH135" s="614"/>
      <c r="II135" s="614"/>
      <c r="IJ135" s="390">
        <v>0</v>
      </c>
      <c r="IK135" s="390">
        <v>0</v>
      </c>
      <c r="IL135" s="390">
        <v>0</v>
      </c>
      <c r="IM135" s="614"/>
      <c r="IN135" s="390">
        <v>2</v>
      </c>
      <c r="IO135" s="390">
        <v>9</v>
      </c>
      <c r="IP135" s="390">
        <v>2</v>
      </c>
      <c r="IQ135" s="390">
        <v>4</v>
      </c>
      <c r="IR135" s="390">
        <v>17</v>
      </c>
      <c r="IS135" s="615"/>
      <c r="IT135" s="36"/>
      <c r="IU135" s="36"/>
      <c r="IV135" s="95"/>
      <c r="IW135" s="95" t="s">
        <v>25</v>
      </c>
      <c r="IX135" s="95" t="s">
        <v>4</v>
      </c>
      <c r="IY135" s="36" t="s">
        <v>1071</v>
      </c>
      <c r="IZ135" s="36"/>
      <c r="JA135" s="36"/>
      <c r="JB135" s="36">
        <v>0</v>
      </c>
      <c r="JC135" s="36"/>
      <c r="JD135" s="36"/>
      <c r="JE135" s="36"/>
      <c r="JF135" s="36">
        <v>0</v>
      </c>
      <c r="JG135" s="36"/>
      <c r="JH135" s="36">
        <v>0</v>
      </c>
      <c r="JI135" s="36">
        <v>0</v>
      </c>
      <c r="JJ135" s="36">
        <v>0</v>
      </c>
      <c r="JK135" s="36">
        <v>0</v>
      </c>
      <c r="JL135" s="36">
        <v>1</v>
      </c>
      <c r="JM135" s="36">
        <v>5</v>
      </c>
      <c r="JN135" s="36">
        <v>1</v>
      </c>
      <c r="JO135" s="36">
        <v>1</v>
      </c>
      <c r="JP135" s="36">
        <v>8</v>
      </c>
      <c r="JQ135" s="36"/>
      <c r="JR135" s="36"/>
      <c r="JS135" s="616"/>
      <c r="JT135" s="616"/>
      <c r="JU135" s="616"/>
      <c r="JV135" s="616" t="s">
        <v>1163</v>
      </c>
      <c r="JW135" s="616">
        <v>0</v>
      </c>
      <c r="JX135" s="616">
        <v>0</v>
      </c>
      <c r="JY135" s="616">
        <v>0</v>
      </c>
      <c r="JZ135" s="616">
        <v>0</v>
      </c>
      <c r="KA135" s="616">
        <v>0</v>
      </c>
      <c r="KB135" s="616">
        <v>0</v>
      </c>
      <c r="KC135" s="616">
        <v>0</v>
      </c>
      <c r="KD135" s="616">
        <v>0</v>
      </c>
      <c r="KE135" s="616">
        <v>0</v>
      </c>
      <c r="KF135" s="616">
        <v>0</v>
      </c>
      <c r="KG135" s="616">
        <v>0</v>
      </c>
      <c r="KH135" s="616">
        <v>1</v>
      </c>
      <c r="KI135" s="616">
        <v>2</v>
      </c>
      <c r="KJ135" s="616">
        <v>1</v>
      </c>
      <c r="KK135" s="616">
        <v>0</v>
      </c>
      <c r="KL135" s="616">
        <v>0</v>
      </c>
      <c r="KM135" s="616">
        <v>4</v>
      </c>
      <c r="KN135" s="616"/>
      <c r="KO135" s="617"/>
    </row>
    <row r="136" spans="1:301">
      <c r="A136" s="5737">
        <v>2</v>
      </c>
      <c r="B136" s="5737">
        <v>3</v>
      </c>
      <c r="C136" s="5736" t="s">
        <v>129</v>
      </c>
      <c r="D136" s="5739" t="s">
        <v>1076</v>
      </c>
      <c r="E136" s="5737">
        <v>3</v>
      </c>
      <c r="F136" s="5737">
        <v>14</v>
      </c>
      <c r="I136" s="4726"/>
      <c r="J136" s="4726"/>
      <c r="K136" s="4725"/>
      <c r="L136" s="4725"/>
      <c r="M136" s="4975">
        <f>SUM(M127:M135)</f>
        <v>14</v>
      </c>
      <c r="N136" s="4726"/>
      <c r="O136" s="4476">
        <f>+(M131+M132+ M133)/(M136)</f>
        <v>0.42857142857142855</v>
      </c>
      <c r="Q136" s="4458">
        <v>3</v>
      </c>
      <c r="R136" s="4458">
        <v>3</v>
      </c>
      <c r="S136" s="4459" t="s">
        <v>381</v>
      </c>
      <c r="T136" s="4461" t="s">
        <v>2707</v>
      </c>
      <c r="U136" s="4458">
        <v>12</v>
      </c>
      <c r="V136" s="4479">
        <v>1</v>
      </c>
      <c r="W136" s="4510"/>
      <c r="Z136" s="36"/>
      <c r="AA136" s="36"/>
      <c r="AB136" s="36" t="s">
        <v>15</v>
      </c>
      <c r="AC136" s="36" t="s">
        <v>1071</v>
      </c>
      <c r="AD136" s="615">
        <v>0</v>
      </c>
      <c r="AE136" s="615"/>
      <c r="AF136" s="615"/>
      <c r="AG136" s="615">
        <v>0</v>
      </c>
      <c r="AH136" s="615"/>
      <c r="AI136" s="615"/>
      <c r="AJ136" s="615">
        <v>0</v>
      </c>
      <c r="AK136" s="615"/>
      <c r="AL136" s="615"/>
      <c r="AM136" s="615">
        <v>0</v>
      </c>
      <c r="AN136" s="615">
        <v>0</v>
      </c>
      <c r="AO136" s="615">
        <v>2</v>
      </c>
      <c r="AP136" s="615">
        <v>0</v>
      </c>
      <c r="AQ136" s="36">
        <v>0</v>
      </c>
      <c r="AR136" s="36">
        <v>2</v>
      </c>
      <c r="AS136" s="36"/>
      <c r="AU136" s="36"/>
      <c r="AV136" s="36"/>
      <c r="AW136" s="393"/>
      <c r="AX136" s="393" t="s">
        <v>1072</v>
      </c>
      <c r="AY136" s="1682"/>
      <c r="AZ136" s="1682">
        <v>0</v>
      </c>
      <c r="BA136" s="1682"/>
      <c r="BB136" s="1682"/>
      <c r="BC136" s="1682">
        <v>1</v>
      </c>
      <c r="BD136" s="1682">
        <v>0</v>
      </c>
      <c r="BE136" s="1682">
        <v>0</v>
      </c>
      <c r="BF136" s="1682">
        <v>0</v>
      </c>
      <c r="BG136" s="1682">
        <v>2</v>
      </c>
      <c r="BH136" s="1682">
        <v>2</v>
      </c>
      <c r="BI136" s="1682">
        <v>1</v>
      </c>
      <c r="BJ136" s="1682">
        <v>3</v>
      </c>
      <c r="BK136" s="1682">
        <v>5</v>
      </c>
      <c r="BL136" s="1682">
        <v>0</v>
      </c>
      <c r="BM136" s="4455">
        <v>0</v>
      </c>
      <c r="BN136" s="4455">
        <v>0</v>
      </c>
      <c r="BO136" s="4455">
        <v>14</v>
      </c>
      <c r="BP136" s="4455"/>
      <c r="BT136" s="1520"/>
      <c r="BU136" s="1520" t="s">
        <v>1072</v>
      </c>
      <c r="BV136" s="3872">
        <v>0</v>
      </c>
      <c r="BW136" s="3872">
        <v>0</v>
      </c>
      <c r="BX136" s="3872"/>
      <c r="BY136" s="3872"/>
      <c r="BZ136" s="3872">
        <v>1</v>
      </c>
      <c r="CA136" s="3872">
        <v>0</v>
      </c>
      <c r="CB136" s="3872">
        <v>0</v>
      </c>
      <c r="CC136" s="3872">
        <v>0</v>
      </c>
      <c r="CD136" s="3872">
        <v>2</v>
      </c>
      <c r="CE136" s="3872">
        <v>2</v>
      </c>
      <c r="CF136" s="3872">
        <v>1</v>
      </c>
      <c r="CG136" s="3872">
        <v>3</v>
      </c>
      <c r="CH136" s="3872">
        <v>5</v>
      </c>
      <c r="CI136" s="3872">
        <v>1</v>
      </c>
      <c r="CJ136" s="3806">
        <v>0</v>
      </c>
      <c r="CK136" s="3806">
        <v>15</v>
      </c>
      <c r="CL136" s="1520"/>
      <c r="CN136" s="36"/>
      <c r="CO136" s="36"/>
      <c r="CP136" s="393"/>
      <c r="CQ136" s="393" t="s">
        <v>1163</v>
      </c>
      <c r="CR136" s="2049"/>
      <c r="CS136" s="2049">
        <v>0</v>
      </c>
      <c r="CT136" s="2049"/>
      <c r="CU136" s="2049">
        <v>0</v>
      </c>
      <c r="CV136" s="2049"/>
      <c r="CW136" s="2049">
        <v>0</v>
      </c>
      <c r="CX136" s="2049">
        <v>0</v>
      </c>
      <c r="CY136" s="2049"/>
      <c r="CZ136" s="2049"/>
      <c r="DA136" s="2049">
        <v>0</v>
      </c>
      <c r="DB136" s="2049">
        <v>0</v>
      </c>
      <c r="DC136" s="2049">
        <v>0</v>
      </c>
      <c r="DD136" s="2049">
        <v>8</v>
      </c>
      <c r="DE136" s="2049">
        <v>3</v>
      </c>
      <c r="DF136" s="2049">
        <v>0</v>
      </c>
      <c r="DG136" s="393">
        <v>0</v>
      </c>
      <c r="DH136" s="393"/>
      <c r="DI136" s="393">
        <v>11</v>
      </c>
      <c r="DJ136" s="36"/>
      <c r="DL136" s="36"/>
      <c r="DM136" s="36"/>
      <c r="DN136" s="36"/>
      <c r="DO136" s="36" t="s">
        <v>1080</v>
      </c>
      <c r="DP136" s="1681"/>
      <c r="DQ136" s="1681">
        <v>0</v>
      </c>
      <c r="DR136" s="1681">
        <v>0</v>
      </c>
      <c r="DS136" s="1681"/>
      <c r="DT136" s="1681"/>
      <c r="DU136" s="1681"/>
      <c r="DV136" s="1681"/>
      <c r="DW136" s="1681"/>
      <c r="DX136" s="1681">
        <v>0</v>
      </c>
      <c r="DY136" s="1681">
        <v>0</v>
      </c>
      <c r="DZ136" s="1681">
        <v>0</v>
      </c>
      <c r="EA136" s="1681">
        <v>0</v>
      </c>
      <c r="EB136" s="1681">
        <v>0</v>
      </c>
      <c r="EC136" s="1681">
        <v>0</v>
      </c>
      <c r="ED136" s="1681">
        <v>1</v>
      </c>
      <c r="EE136" s="95">
        <v>0</v>
      </c>
      <c r="EF136" s="95">
        <v>4</v>
      </c>
      <c r="EG136" s="95">
        <v>5</v>
      </c>
      <c r="EH136" s="36"/>
      <c r="EL136" s="36"/>
      <c r="EM136" s="36" t="s">
        <v>1080</v>
      </c>
      <c r="EN136" s="1490">
        <v>0</v>
      </c>
      <c r="EO136" s="1490">
        <v>0</v>
      </c>
      <c r="EP136" s="1490">
        <v>0</v>
      </c>
      <c r="EQ136" s="1490">
        <v>0</v>
      </c>
      <c r="ER136" s="1490"/>
      <c r="ES136" s="1490">
        <v>0</v>
      </c>
      <c r="ET136" s="1490"/>
      <c r="EU136" s="1490">
        <v>0</v>
      </c>
      <c r="EV136" s="1490">
        <v>0</v>
      </c>
      <c r="EW136" s="1490">
        <v>0</v>
      </c>
      <c r="EX136" s="1490">
        <v>0</v>
      </c>
      <c r="EY136" s="1490">
        <v>0</v>
      </c>
      <c r="EZ136" s="1490">
        <v>0</v>
      </c>
      <c r="FA136" s="1490">
        <v>1</v>
      </c>
      <c r="FB136" s="1490">
        <v>39</v>
      </c>
      <c r="FC136" s="36">
        <v>10</v>
      </c>
      <c r="FD136" s="36">
        <v>21</v>
      </c>
      <c r="FE136" s="36">
        <v>71</v>
      </c>
      <c r="FF136" s="36"/>
      <c r="FH136" s="1225"/>
      <c r="FI136" s="1225"/>
      <c r="FJ136" s="1225" t="s">
        <v>483</v>
      </c>
      <c r="FK136" s="1226" t="s">
        <v>1072</v>
      </c>
      <c r="FL136" s="1228">
        <v>1</v>
      </c>
      <c r="FM136" s="1228">
        <v>3</v>
      </c>
      <c r="FN136" s="1227"/>
      <c r="FO136" s="1228">
        <v>1</v>
      </c>
      <c r="FP136" s="1228">
        <v>2</v>
      </c>
      <c r="FQ136" s="1227"/>
      <c r="FR136" s="1228">
        <v>2</v>
      </c>
      <c r="FS136" s="1228">
        <v>1</v>
      </c>
      <c r="FT136" s="1228">
        <v>3</v>
      </c>
      <c r="FU136" s="1228">
        <v>7</v>
      </c>
      <c r="FV136" s="1228">
        <v>22</v>
      </c>
      <c r="FW136" s="1228">
        <v>3</v>
      </c>
      <c r="FX136" s="1228">
        <v>1</v>
      </c>
      <c r="FY136" s="1230">
        <v>0</v>
      </c>
      <c r="FZ136" s="1230">
        <v>0</v>
      </c>
      <c r="GA136" s="1230">
        <v>46</v>
      </c>
      <c r="GB136" s="36"/>
      <c r="GD136" s="603"/>
      <c r="GE136" s="603"/>
      <c r="GF136" s="603"/>
      <c r="GG136" s="604" t="s">
        <v>1077</v>
      </c>
      <c r="GH136" s="605"/>
      <c r="GI136" s="605"/>
      <c r="GJ136" s="605"/>
      <c r="GK136" s="605"/>
      <c r="GL136" s="605"/>
      <c r="GM136" s="605"/>
      <c r="GN136" s="606">
        <v>1</v>
      </c>
      <c r="GO136" s="605"/>
      <c r="GP136" s="606">
        <v>0</v>
      </c>
      <c r="GQ136" s="606">
        <v>0</v>
      </c>
      <c r="GR136" s="606">
        <v>0</v>
      </c>
      <c r="GS136" s="605"/>
      <c r="GT136" s="605"/>
      <c r="GU136" s="605"/>
      <c r="GV136" s="605"/>
      <c r="GW136" s="607"/>
      <c r="GX136" s="607"/>
      <c r="GY136" s="608">
        <v>1</v>
      </c>
      <c r="GZ136" s="95"/>
      <c r="HB136" s="441"/>
      <c r="HC136" s="441"/>
      <c r="HD136" s="441"/>
      <c r="HE136" s="441"/>
      <c r="HF136" s="442" t="s">
        <v>1163</v>
      </c>
      <c r="HG136" s="609"/>
      <c r="HH136" s="610">
        <v>0</v>
      </c>
      <c r="HI136" s="609"/>
      <c r="HJ136" s="610">
        <v>0</v>
      </c>
      <c r="HK136" s="609"/>
      <c r="HL136" s="610">
        <v>0</v>
      </c>
      <c r="HM136" s="609"/>
      <c r="HN136" s="609"/>
      <c r="HO136" s="609"/>
      <c r="HP136" s="610">
        <v>0</v>
      </c>
      <c r="HQ136" s="609"/>
      <c r="HR136" s="610">
        <v>0</v>
      </c>
      <c r="HS136" s="610">
        <v>5</v>
      </c>
      <c r="HT136" s="610">
        <v>2</v>
      </c>
      <c r="HU136" s="610">
        <v>1</v>
      </c>
      <c r="HV136" s="612">
        <v>0</v>
      </c>
      <c r="HW136" s="612">
        <v>0</v>
      </c>
      <c r="HX136" s="612">
        <v>8</v>
      </c>
      <c r="HY136" s="560"/>
      <c r="HZ136" s="36"/>
      <c r="IA136" s="613"/>
      <c r="IB136" s="36"/>
      <c r="IC136" s="613"/>
      <c r="ID136" s="389" t="s">
        <v>1163</v>
      </c>
      <c r="IE136" s="614"/>
      <c r="IF136" s="614"/>
      <c r="IG136" s="614"/>
      <c r="IH136" s="614"/>
      <c r="II136" s="614"/>
      <c r="IJ136" s="390">
        <v>1</v>
      </c>
      <c r="IK136" s="390">
        <v>0</v>
      </c>
      <c r="IL136" s="390">
        <v>0</v>
      </c>
      <c r="IM136" s="614"/>
      <c r="IN136" s="390">
        <v>0</v>
      </c>
      <c r="IO136" s="390">
        <v>0</v>
      </c>
      <c r="IP136" s="390">
        <v>0</v>
      </c>
      <c r="IQ136" s="390">
        <v>0</v>
      </c>
      <c r="IR136" s="390">
        <v>1</v>
      </c>
      <c r="IS136" s="615"/>
      <c r="IT136" s="36"/>
      <c r="IU136" s="36"/>
      <c r="IV136" s="95"/>
      <c r="IW136" s="95"/>
      <c r="IX136" s="95"/>
      <c r="IY136" s="36" t="s">
        <v>1072</v>
      </c>
      <c r="IZ136" s="36"/>
      <c r="JA136" s="36"/>
      <c r="JB136" s="36">
        <v>1</v>
      </c>
      <c r="JC136" s="36"/>
      <c r="JD136" s="36"/>
      <c r="JE136" s="36"/>
      <c r="JF136" s="36">
        <v>1</v>
      </c>
      <c r="JG136" s="36"/>
      <c r="JH136" s="36">
        <v>1</v>
      </c>
      <c r="JI136" s="36">
        <v>2</v>
      </c>
      <c r="JJ136" s="36">
        <v>0</v>
      </c>
      <c r="JK136" s="36">
        <v>0</v>
      </c>
      <c r="JL136" s="36">
        <v>0</v>
      </c>
      <c r="JM136" s="36">
        <v>0</v>
      </c>
      <c r="JN136" s="36">
        <v>0</v>
      </c>
      <c r="JO136" s="36">
        <v>0</v>
      </c>
      <c r="JP136" s="36">
        <v>5</v>
      </c>
      <c r="JQ136" s="36"/>
      <c r="JR136" s="36"/>
      <c r="JS136" s="616"/>
      <c r="JT136" s="616"/>
      <c r="JU136" s="616"/>
      <c r="JV136" s="627" t="s">
        <v>15</v>
      </c>
      <c r="JW136" s="627">
        <v>0</v>
      </c>
      <c r="JX136" s="627">
        <v>0</v>
      </c>
      <c r="JY136" s="627">
        <v>0</v>
      </c>
      <c r="JZ136" s="627">
        <v>1</v>
      </c>
      <c r="KA136" s="627">
        <v>0</v>
      </c>
      <c r="KB136" s="627">
        <v>0</v>
      </c>
      <c r="KC136" s="627">
        <v>0</v>
      </c>
      <c r="KD136" s="627">
        <v>1</v>
      </c>
      <c r="KE136" s="627">
        <v>0</v>
      </c>
      <c r="KF136" s="627">
        <v>1</v>
      </c>
      <c r="KG136" s="627">
        <v>3</v>
      </c>
      <c r="KH136" s="627">
        <v>2</v>
      </c>
      <c r="KI136" s="627">
        <v>6</v>
      </c>
      <c r="KJ136" s="627">
        <v>10</v>
      </c>
      <c r="KK136" s="627">
        <v>5</v>
      </c>
      <c r="KL136" s="627">
        <v>9</v>
      </c>
      <c r="KM136" s="627">
        <v>38</v>
      </c>
      <c r="KN136" s="628">
        <f>+(KM135+KM133)/KM136</f>
        <v>0.26315789473684209</v>
      </c>
      <c r="KO136" s="617">
        <f>+KM133+KM135</f>
        <v>10</v>
      </c>
    </row>
    <row r="137" spans="1:301">
      <c r="A137" s="5737"/>
      <c r="B137" s="5737"/>
      <c r="C137" s="5736"/>
      <c r="D137" s="5739"/>
      <c r="E137" s="5742">
        <f>SUM(E130:E136)</f>
        <v>14</v>
      </c>
      <c r="F137" s="5737"/>
      <c r="G137" s="4476">
        <f>+(E134+E135+E136)/(E137)</f>
        <v>0.5</v>
      </c>
      <c r="I137" s="4726">
        <v>2</v>
      </c>
      <c r="J137" s="4726">
        <v>3</v>
      </c>
      <c r="K137" s="4725" t="s">
        <v>381</v>
      </c>
      <c r="L137" s="4725" t="s">
        <v>2731</v>
      </c>
      <c r="M137" s="4726">
        <v>7</v>
      </c>
      <c r="N137" s="4726">
        <v>13</v>
      </c>
      <c r="Q137" s="4458">
        <v>3</v>
      </c>
      <c r="R137" s="4458">
        <v>3</v>
      </c>
      <c r="S137" s="4459" t="s">
        <v>381</v>
      </c>
      <c r="T137" s="4461" t="s">
        <v>2732</v>
      </c>
      <c r="U137" s="4458">
        <v>10</v>
      </c>
      <c r="V137" s="4479">
        <v>1</v>
      </c>
      <c r="W137" s="4510"/>
      <c r="Z137" s="36"/>
      <c r="AA137" s="36"/>
      <c r="AB137" s="36"/>
      <c r="AC137" s="36" t="s">
        <v>1072</v>
      </c>
      <c r="AD137" s="615">
        <v>0</v>
      </c>
      <c r="AE137" s="615"/>
      <c r="AF137" s="615"/>
      <c r="AG137" s="615">
        <v>1</v>
      </c>
      <c r="AH137" s="615"/>
      <c r="AI137" s="615"/>
      <c r="AJ137" s="615">
        <v>0</v>
      </c>
      <c r="AK137" s="615"/>
      <c r="AL137" s="615"/>
      <c r="AM137" s="615">
        <v>0</v>
      </c>
      <c r="AN137" s="615">
        <v>1</v>
      </c>
      <c r="AO137" s="615">
        <v>0</v>
      </c>
      <c r="AP137" s="615">
        <v>2</v>
      </c>
      <c r="AQ137" s="36">
        <v>0</v>
      </c>
      <c r="AR137" s="36">
        <v>4</v>
      </c>
      <c r="AS137" s="36"/>
      <c r="AU137" s="36"/>
      <c r="AV137" s="36"/>
      <c r="AW137" s="393"/>
      <c r="AX137" s="393" t="s">
        <v>1074</v>
      </c>
      <c r="AY137" s="1682"/>
      <c r="AZ137" s="1682">
        <v>0</v>
      </c>
      <c r="BA137" s="1682"/>
      <c r="BB137" s="1682"/>
      <c r="BC137" s="1682">
        <v>0</v>
      </c>
      <c r="BD137" s="1682">
        <v>0</v>
      </c>
      <c r="BE137" s="1682">
        <v>0</v>
      </c>
      <c r="BF137" s="1682">
        <v>0</v>
      </c>
      <c r="BG137" s="1682">
        <v>1</v>
      </c>
      <c r="BH137" s="1682">
        <v>0</v>
      </c>
      <c r="BI137" s="1682">
        <v>0</v>
      </c>
      <c r="BJ137" s="1682">
        <v>0</v>
      </c>
      <c r="BK137" s="1682">
        <v>0</v>
      </c>
      <c r="BL137" s="1682">
        <v>0</v>
      </c>
      <c r="BM137" s="4455">
        <v>0</v>
      </c>
      <c r="BN137" s="4455">
        <v>0</v>
      </c>
      <c r="BO137" s="4455">
        <v>1</v>
      </c>
      <c r="BP137" s="4455"/>
      <c r="BT137" s="1520"/>
      <c r="BU137" s="1520" t="s">
        <v>1074</v>
      </c>
      <c r="BV137" s="3872">
        <v>0</v>
      </c>
      <c r="BW137" s="3872">
        <v>0</v>
      </c>
      <c r="BX137" s="3872"/>
      <c r="BY137" s="3872"/>
      <c r="BZ137" s="3872">
        <v>0</v>
      </c>
      <c r="CA137" s="3872">
        <v>0</v>
      </c>
      <c r="CB137" s="3872">
        <v>0</v>
      </c>
      <c r="CC137" s="3872">
        <v>0</v>
      </c>
      <c r="CD137" s="3872">
        <v>1</v>
      </c>
      <c r="CE137" s="3872">
        <v>0</v>
      </c>
      <c r="CF137" s="3872">
        <v>0</v>
      </c>
      <c r="CG137" s="3872">
        <v>0</v>
      </c>
      <c r="CH137" s="3872">
        <v>0</v>
      </c>
      <c r="CI137" s="3872">
        <v>0</v>
      </c>
      <c r="CJ137" s="3806">
        <v>0</v>
      </c>
      <c r="CK137" s="3806">
        <v>1</v>
      </c>
      <c r="CL137" s="1520"/>
      <c r="CN137" s="36"/>
      <c r="CO137" s="36"/>
      <c r="CP137" s="393"/>
      <c r="CQ137" s="393" t="s">
        <v>15</v>
      </c>
      <c r="CR137" s="2049"/>
      <c r="CS137" s="2049">
        <v>2</v>
      </c>
      <c r="CT137" s="2049"/>
      <c r="CU137" s="2049">
        <v>3</v>
      </c>
      <c r="CV137" s="2049"/>
      <c r="CW137" s="2049">
        <v>1</v>
      </c>
      <c r="CX137" s="2049">
        <v>1</v>
      </c>
      <c r="CY137" s="2049"/>
      <c r="CZ137" s="2049"/>
      <c r="DA137" s="2049">
        <v>1</v>
      </c>
      <c r="DB137" s="2049">
        <v>1</v>
      </c>
      <c r="DC137" s="2049">
        <v>1</v>
      </c>
      <c r="DD137" s="2049">
        <v>23</v>
      </c>
      <c r="DE137" s="2049">
        <v>41</v>
      </c>
      <c r="DF137" s="2049">
        <v>24</v>
      </c>
      <c r="DG137" s="393">
        <v>1</v>
      </c>
      <c r="DH137" s="393"/>
      <c r="DI137" s="393">
        <v>99</v>
      </c>
      <c r="DJ137" s="560">
        <f>+(DI136+DI135+DI132)/DI137</f>
        <v>0.39393939393939392</v>
      </c>
      <c r="DK137" s="1665"/>
      <c r="DL137" s="36"/>
      <c r="DM137" s="36"/>
      <c r="DN137" s="36"/>
      <c r="DO137" s="36" t="s">
        <v>1081</v>
      </c>
      <c r="DP137" s="1681"/>
      <c r="DQ137" s="1681">
        <v>0</v>
      </c>
      <c r="DR137" s="1681">
        <v>0</v>
      </c>
      <c r="DS137" s="1681"/>
      <c r="DT137" s="1681"/>
      <c r="DU137" s="1681"/>
      <c r="DV137" s="1681"/>
      <c r="DW137" s="1681"/>
      <c r="DX137" s="1681">
        <v>0</v>
      </c>
      <c r="DY137" s="1681">
        <v>1</v>
      </c>
      <c r="DZ137" s="1681">
        <v>0</v>
      </c>
      <c r="EA137" s="1681">
        <v>0</v>
      </c>
      <c r="EB137" s="1681">
        <v>5</v>
      </c>
      <c r="EC137" s="1681">
        <v>0</v>
      </c>
      <c r="ED137" s="1681">
        <v>1</v>
      </c>
      <c r="EE137" s="95">
        <v>0</v>
      </c>
      <c r="EF137" s="95">
        <v>0</v>
      </c>
      <c r="EG137" s="95">
        <v>7</v>
      </c>
      <c r="EH137" s="36"/>
      <c r="EL137" s="36"/>
      <c r="EM137" s="36" t="s">
        <v>1163</v>
      </c>
      <c r="EN137" s="1490">
        <v>0</v>
      </c>
      <c r="EO137" s="1490">
        <v>0</v>
      </c>
      <c r="EP137" s="1490">
        <v>0</v>
      </c>
      <c r="EQ137" s="1490">
        <v>0</v>
      </c>
      <c r="ER137" s="1490"/>
      <c r="ES137" s="1490">
        <v>0</v>
      </c>
      <c r="ET137" s="1490"/>
      <c r="EU137" s="1490">
        <v>0</v>
      </c>
      <c r="EV137" s="1490">
        <v>0</v>
      </c>
      <c r="EW137" s="1490">
        <v>0</v>
      </c>
      <c r="EX137" s="1490">
        <v>0</v>
      </c>
      <c r="EY137" s="1490">
        <v>0</v>
      </c>
      <c r="EZ137" s="1490">
        <v>10</v>
      </c>
      <c r="FA137" s="1490">
        <v>12</v>
      </c>
      <c r="FB137" s="1490">
        <v>2</v>
      </c>
      <c r="FC137" s="36">
        <v>1</v>
      </c>
      <c r="FD137" s="36">
        <v>0</v>
      </c>
      <c r="FE137" s="36">
        <v>25</v>
      </c>
      <c r="FF137" s="36"/>
      <c r="FH137" s="1225"/>
      <c r="FI137" s="1225"/>
      <c r="FJ137" s="1225"/>
      <c r="FK137" s="1226" t="s">
        <v>1076</v>
      </c>
      <c r="FL137" s="1228">
        <v>0</v>
      </c>
      <c r="FM137" s="1228">
        <v>0</v>
      </c>
      <c r="FN137" s="1227"/>
      <c r="FO137" s="1228">
        <v>0</v>
      </c>
      <c r="FP137" s="1228">
        <v>0</v>
      </c>
      <c r="FQ137" s="1227"/>
      <c r="FR137" s="1228">
        <v>0</v>
      </c>
      <c r="FS137" s="1228">
        <v>0</v>
      </c>
      <c r="FT137" s="1228">
        <v>0</v>
      </c>
      <c r="FU137" s="1228">
        <v>0</v>
      </c>
      <c r="FV137" s="1228">
        <v>3</v>
      </c>
      <c r="FW137" s="1228">
        <v>2</v>
      </c>
      <c r="FX137" s="1228">
        <v>0</v>
      </c>
      <c r="FY137" s="1230">
        <v>0</v>
      </c>
      <c r="FZ137" s="1230">
        <v>0</v>
      </c>
      <c r="GA137" s="1230">
        <v>5</v>
      </c>
      <c r="GB137" s="36"/>
      <c r="GD137" s="603"/>
      <c r="GE137" s="603"/>
      <c r="GF137" s="603"/>
      <c r="GG137" s="604" t="s">
        <v>1163</v>
      </c>
      <c r="GH137" s="605"/>
      <c r="GI137" s="605"/>
      <c r="GJ137" s="605"/>
      <c r="GK137" s="605"/>
      <c r="GL137" s="605"/>
      <c r="GM137" s="605"/>
      <c r="GN137" s="606">
        <v>0</v>
      </c>
      <c r="GO137" s="605"/>
      <c r="GP137" s="606">
        <v>0</v>
      </c>
      <c r="GQ137" s="606">
        <v>2</v>
      </c>
      <c r="GR137" s="606">
        <v>2</v>
      </c>
      <c r="GS137" s="605"/>
      <c r="GT137" s="605"/>
      <c r="GU137" s="605"/>
      <c r="GV137" s="605"/>
      <c r="GW137" s="607"/>
      <c r="GX137" s="607"/>
      <c r="GY137" s="608">
        <v>4</v>
      </c>
      <c r="GZ137" s="95"/>
      <c r="HB137" s="441"/>
      <c r="HC137" s="441"/>
      <c r="HD137" s="441"/>
      <c r="HE137" s="36"/>
      <c r="HF137" s="462" t="s">
        <v>15</v>
      </c>
      <c r="HG137" s="618"/>
      <c r="HH137" s="619">
        <v>1</v>
      </c>
      <c r="HI137" s="618"/>
      <c r="HJ137" s="619">
        <v>1</v>
      </c>
      <c r="HK137" s="618"/>
      <c r="HL137" s="619">
        <v>1</v>
      </c>
      <c r="HM137" s="618"/>
      <c r="HN137" s="618"/>
      <c r="HO137" s="618"/>
      <c r="HP137" s="619">
        <v>1</v>
      </c>
      <c r="HQ137" s="618"/>
      <c r="HR137" s="619">
        <v>3</v>
      </c>
      <c r="HS137" s="619">
        <v>20</v>
      </c>
      <c r="HT137" s="619">
        <v>6</v>
      </c>
      <c r="HU137" s="619">
        <v>4</v>
      </c>
      <c r="HV137" s="621">
        <v>7</v>
      </c>
      <c r="HW137" s="621">
        <v>2</v>
      </c>
      <c r="HX137" s="621">
        <v>46</v>
      </c>
      <c r="HY137" s="560">
        <f>+(HX136+HX135+HX133-HV135)/HX137</f>
        <v>0.21739130434782608</v>
      </c>
      <c r="HZ137" s="36"/>
      <c r="IA137" s="613"/>
      <c r="IB137" s="36"/>
      <c r="IC137" s="613"/>
      <c r="ID137" s="629" t="s">
        <v>482</v>
      </c>
      <c r="IE137" s="630"/>
      <c r="IF137" s="630"/>
      <c r="IG137" s="630"/>
      <c r="IH137" s="630"/>
      <c r="II137" s="630"/>
      <c r="IJ137" s="395">
        <v>2</v>
      </c>
      <c r="IK137" s="395">
        <v>1</v>
      </c>
      <c r="IL137" s="395">
        <v>2</v>
      </c>
      <c r="IM137" s="630"/>
      <c r="IN137" s="395">
        <v>4</v>
      </c>
      <c r="IO137" s="395">
        <v>9</v>
      </c>
      <c r="IP137" s="395">
        <v>5</v>
      </c>
      <c r="IQ137" s="395">
        <v>4</v>
      </c>
      <c r="IR137" s="395">
        <v>27</v>
      </c>
      <c r="IS137" s="553">
        <f>+(IR136+IR134-IP134)/IR137</f>
        <v>0.14814814814814814</v>
      </c>
      <c r="IT137" s="36"/>
      <c r="IU137" s="36"/>
      <c r="IV137" s="95"/>
      <c r="IW137" s="95"/>
      <c r="IX137" s="95"/>
      <c r="IY137" s="36" t="s">
        <v>1076</v>
      </c>
      <c r="IZ137" s="36"/>
      <c r="JA137" s="36"/>
      <c r="JB137" s="36">
        <v>0</v>
      </c>
      <c r="JC137" s="36"/>
      <c r="JD137" s="36"/>
      <c r="JE137" s="36"/>
      <c r="JF137" s="36">
        <v>0</v>
      </c>
      <c r="JG137" s="36"/>
      <c r="JH137" s="36">
        <v>0</v>
      </c>
      <c r="JI137" s="36">
        <v>0</v>
      </c>
      <c r="JJ137" s="36">
        <v>0</v>
      </c>
      <c r="JK137" s="36">
        <v>0</v>
      </c>
      <c r="JL137" s="36">
        <v>1</v>
      </c>
      <c r="JM137" s="36">
        <v>0</v>
      </c>
      <c r="JN137" s="36">
        <v>0</v>
      </c>
      <c r="JO137" s="36">
        <v>0</v>
      </c>
      <c r="JP137" s="36">
        <v>1</v>
      </c>
      <c r="JQ137" s="36"/>
      <c r="JR137" s="36"/>
      <c r="JS137" s="616"/>
      <c r="JT137" s="616"/>
      <c r="JU137" s="616" t="s">
        <v>16</v>
      </c>
      <c r="JV137" s="616" t="s">
        <v>1071</v>
      </c>
      <c r="JW137" s="616">
        <v>0</v>
      </c>
      <c r="JX137" s="616">
        <v>0</v>
      </c>
      <c r="JY137" s="616">
        <v>0</v>
      </c>
      <c r="JZ137" s="616">
        <v>0</v>
      </c>
      <c r="KA137" s="616">
        <v>0</v>
      </c>
      <c r="KB137" s="616">
        <v>1</v>
      </c>
      <c r="KC137" s="616">
        <v>0</v>
      </c>
      <c r="KD137" s="616">
        <v>0</v>
      </c>
      <c r="KE137" s="616">
        <v>0</v>
      </c>
      <c r="KF137" s="616">
        <v>0</v>
      </c>
      <c r="KG137" s="616">
        <v>0</v>
      </c>
      <c r="KH137" s="616">
        <v>0</v>
      </c>
      <c r="KI137" s="616">
        <v>0</v>
      </c>
      <c r="KJ137" s="616">
        <v>0</v>
      </c>
      <c r="KK137" s="616">
        <v>0</v>
      </c>
      <c r="KL137" s="616">
        <v>0</v>
      </c>
      <c r="KM137" s="616">
        <v>1</v>
      </c>
      <c r="KN137" s="616"/>
      <c r="KO137" s="617"/>
    </row>
    <row r="138" spans="1:301">
      <c r="A138" s="5737">
        <v>2</v>
      </c>
      <c r="B138" s="5737">
        <v>3</v>
      </c>
      <c r="C138" s="5736" t="s">
        <v>381</v>
      </c>
      <c r="D138" s="5736" t="s">
        <v>2731</v>
      </c>
      <c r="E138" s="5737">
        <v>5</v>
      </c>
      <c r="F138" s="5737">
        <v>14</v>
      </c>
      <c r="I138" s="4726">
        <v>2</v>
      </c>
      <c r="J138" s="4726">
        <v>3</v>
      </c>
      <c r="K138" s="4725" t="s">
        <v>381</v>
      </c>
      <c r="L138" s="4725" t="s">
        <v>2731</v>
      </c>
      <c r="M138" s="4726">
        <v>1</v>
      </c>
      <c r="N138" s="4726">
        <v>15</v>
      </c>
      <c r="Q138" s="4458"/>
      <c r="R138" s="4458"/>
      <c r="S138" s="4465" t="s">
        <v>15</v>
      </c>
      <c r="T138" s="4461"/>
      <c r="U138" s="4458"/>
      <c r="V138" s="4480">
        <v>18</v>
      </c>
      <c r="W138" s="4476">
        <f>+(V133+V134+V136 +V137)/(V138)</f>
        <v>0.27777777777777779</v>
      </c>
      <c r="X138" s="95">
        <v>16</v>
      </c>
      <c r="Z138" s="36"/>
      <c r="AA138" s="36"/>
      <c r="AB138" s="36"/>
      <c r="AC138" s="36" t="s">
        <v>1076</v>
      </c>
      <c r="AD138" s="615">
        <v>0</v>
      </c>
      <c r="AE138" s="615"/>
      <c r="AF138" s="615"/>
      <c r="AG138" s="615">
        <v>0</v>
      </c>
      <c r="AH138" s="615"/>
      <c r="AI138" s="615"/>
      <c r="AJ138" s="615">
        <v>1</v>
      </c>
      <c r="AK138" s="615"/>
      <c r="AL138" s="615"/>
      <c r="AM138" s="615">
        <v>1</v>
      </c>
      <c r="AN138" s="615">
        <v>1</v>
      </c>
      <c r="AO138" s="615">
        <v>1</v>
      </c>
      <c r="AP138" s="615">
        <v>0</v>
      </c>
      <c r="AQ138" s="36">
        <v>0</v>
      </c>
      <c r="AR138" s="36">
        <v>4</v>
      </c>
      <c r="AS138" s="36"/>
      <c r="AU138" s="36"/>
      <c r="AV138" s="36"/>
      <c r="AW138" s="393"/>
      <c r="AX138" s="393" t="s">
        <v>1076</v>
      </c>
      <c r="AY138" s="1682"/>
      <c r="AZ138" s="1682">
        <v>0</v>
      </c>
      <c r="BA138" s="1682"/>
      <c r="BB138" s="1682"/>
      <c r="BC138" s="1682">
        <v>0</v>
      </c>
      <c r="BD138" s="1682">
        <v>0</v>
      </c>
      <c r="BE138" s="1682">
        <v>0</v>
      </c>
      <c r="BF138" s="1682">
        <v>0</v>
      </c>
      <c r="BG138" s="1682">
        <v>0</v>
      </c>
      <c r="BH138" s="1682">
        <v>0</v>
      </c>
      <c r="BI138" s="1682">
        <v>0</v>
      </c>
      <c r="BJ138" s="1682">
        <v>3</v>
      </c>
      <c r="BK138" s="1682">
        <v>18</v>
      </c>
      <c r="BL138" s="1682">
        <v>1</v>
      </c>
      <c r="BM138" s="4455">
        <v>2</v>
      </c>
      <c r="BN138" s="4455">
        <v>0</v>
      </c>
      <c r="BO138" s="4455">
        <v>24</v>
      </c>
      <c r="BP138" s="4455"/>
      <c r="BT138" s="1520"/>
      <c r="BU138" s="1520" t="s">
        <v>1076</v>
      </c>
      <c r="BV138" s="3872">
        <v>0</v>
      </c>
      <c r="BW138" s="3872">
        <v>0</v>
      </c>
      <c r="BX138" s="3872"/>
      <c r="BY138" s="3872"/>
      <c r="BZ138" s="3872">
        <v>0</v>
      </c>
      <c r="CA138" s="3872">
        <v>0</v>
      </c>
      <c r="CB138" s="3872">
        <v>0</v>
      </c>
      <c r="CC138" s="3872">
        <v>0</v>
      </c>
      <c r="CD138" s="3872">
        <v>0</v>
      </c>
      <c r="CE138" s="3872">
        <v>1</v>
      </c>
      <c r="CF138" s="3872">
        <v>0</v>
      </c>
      <c r="CG138" s="3872">
        <v>10</v>
      </c>
      <c r="CH138" s="3872">
        <v>5</v>
      </c>
      <c r="CI138" s="3872">
        <v>2</v>
      </c>
      <c r="CJ138" s="3806">
        <v>0</v>
      </c>
      <c r="CK138" s="3806">
        <v>18</v>
      </c>
      <c r="CL138" s="1520"/>
      <c r="CN138" s="36"/>
      <c r="CO138" s="36" t="s">
        <v>41</v>
      </c>
      <c r="CP138" s="36" t="s">
        <v>128</v>
      </c>
      <c r="CQ138" s="36" t="s">
        <v>1071</v>
      </c>
      <c r="CR138" s="615">
        <v>0</v>
      </c>
      <c r="CS138" s="615"/>
      <c r="CT138" s="615"/>
      <c r="CU138" s="615"/>
      <c r="CV138" s="615"/>
      <c r="CW138" s="615">
        <v>0</v>
      </c>
      <c r="CX138" s="615"/>
      <c r="CY138" s="615"/>
      <c r="CZ138" s="615"/>
      <c r="DA138" s="615"/>
      <c r="DB138" s="615"/>
      <c r="DC138" s="615">
        <v>0</v>
      </c>
      <c r="DD138" s="615">
        <v>0</v>
      </c>
      <c r="DE138" s="615">
        <v>0</v>
      </c>
      <c r="DF138" s="615">
        <v>0</v>
      </c>
      <c r="DG138" s="36">
        <v>0</v>
      </c>
      <c r="DH138" s="36">
        <v>1</v>
      </c>
      <c r="DI138" s="36">
        <v>1</v>
      </c>
      <c r="DJ138" s="36"/>
      <c r="DL138" s="36"/>
      <c r="DM138" s="36"/>
      <c r="DN138" s="36"/>
      <c r="DO138" s="36" t="s">
        <v>1163</v>
      </c>
      <c r="DP138" s="1681"/>
      <c r="DQ138" s="1681">
        <v>0</v>
      </c>
      <c r="DR138" s="1681">
        <v>0</v>
      </c>
      <c r="DS138" s="1681"/>
      <c r="DT138" s="1681"/>
      <c r="DU138" s="1681"/>
      <c r="DV138" s="1681"/>
      <c r="DW138" s="1681"/>
      <c r="DX138" s="1681">
        <v>1</v>
      </c>
      <c r="DY138" s="1681">
        <v>0</v>
      </c>
      <c r="DZ138" s="1681">
        <v>0</v>
      </c>
      <c r="EA138" s="1681">
        <v>0</v>
      </c>
      <c r="EB138" s="1681">
        <v>3</v>
      </c>
      <c r="EC138" s="1681">
        <v>1</v>
      </c>
      <c r="ED138" s="1681">
        <v>2</v>
      </c>
      <c r="EE138" s="95">
        <v>0</v>
      </c>
      <c r="EF138" s="95">
        <v>0</v>
      </c>
      <c r="EG138" s="95">
        <v>7</v>
      </c>
      <c r="EH138" s="36"/>
      <c r="EL138" s="36"/>
      <c r="EM138" s="36" t="s">
        <v>1735</v>
      </c>
      <c r="EN138" s="1490">
        <v>1</v>
      </c>
      <c r="EO138" s="1490">
        <v>0</v>
      </c>
      <c r="EP138" s="1490">
        <v>0</v>
      </c>
      <c r="EQ138" s="1490">
        <v>0</v>
      </c>
      <c r="ER138" s="1490"/>
      <c r="ES138" s="1490">
        <v>0</v>
      </c>
      <c r="ET138" s="1490"/>
      <c r="EU138" s="1490">
        <v>0</v>
      </c>
      <c r="EV138" s="1490">
        <v>0</v>
      </c>
      <c r="EW138" s="1490">
        <v>0</v>
      </c>
      <c r="EX138" s="1490">
        <v>0</v>
      </c>
      <c r="EY138" s="1490">
        <v>0</v>
      </c>
      <c r="EZ138" s="1490">
        <v>0</v>
      </c>
      <c r="FA138" s="1490">
        <v>0</v>
      </c>
      <c r="FB138" s="1490">
        <v>0</v>
      </c>
      <c r="FC138" s="36">
        <v>0</v>
      </c>
      <c r="FD138" s="36">
        <v>0</v>
      </c>
      <c r="FE138" s="36">
        <v>1</v>
      </c>
      <c r="FF138" s="36"/>
      <c r="FH138" s="1225"/>
      <c r="FI138" s="1225"/>
      <c r="FJ138" s="1225"/>
      <c r="FK138" s="1226" t="s">
        <v>1080</v>
      </c>
      <c r="FL138" s="1228">
        <v>0</v>
      </c>
      <c r="FM138" s="1228">
        <v>0</v>
      </c>
      <c r="FN138" s="1227"/>
      <c r="FO138" s="1228">
        <v>0</v>
      </c>
      <c r="FP138" s="1228">
        <v>0</v>
      </c>
      <c r="FQ138" s="1227"/>
      <c r="FR138" s="1228">
        <v>0</v>
      </c>
      <c r="FS138" s="1228">
        <v>0</v>
      </c>
      <c r="FT138" s="1228">
        <v>0</v>
      </c>
      <c r="FU138" s="1228">
        <v>0</v>
      </c>
      <c r="FV138" s="1228">
        <v>0</v>
      </c>
      <c r="FW138" s="1228">
        <v>3</v>
      </c>
      <c r="FX138" s="1228">
        <v>0</v>
      </c>
      <c r="FY138" s="1230">
        <v>1</v>
      </c>
      <c r="FZ138" s="1230">
        <v>1</v>
      </c>
      <c r="GA138" s="1230">
        <v>5</v>
      </c>
      <c r="GB138" s="36"/>
      <c r="GD138" s="603"/>
      <c r="GE138" s="603"/>
      <c r="GF138" s="603"/>
      <c r="GG138" s="622" t="s">
        <v>15</v>
      </c>
      <c r="GH138" s="623"/>
      <c r="GI138" s="623"/>
      <c r="GJ138" s="623"/>
      <c r="GK138" s="623"/>
      <c r="GL138" s="623"/>
      <c r="GM138" s="623"/>
      <c r="GN138" s="624">
        <v>1</v>
      </c>
      <c r="GO138" s="623"/>
      <c r="GP138" s="624">
        <v>1</v>
      </c>
      <c r="GQ138" s="624">
        <v>5</v>
      </c>
      <c r="GR138" s="624">
        <v>6</v>
      </c>
      <c r="GS138" s="623"/>
      <c r="GT138" s="623"/>
      <c r="GU138" s="623"/>
      <c r="GV138" s="623"/>
      <c r="GW138" s="625"/>
      <c r="GX138" s="625"/>
      <c r="GY138" s="626">
        <v>13</v>
      </c>
      <c r="GZ138" s="560">
        <f>+GY137/GY138</f>
        <v>0.30769230769230771</v>
      </c>
      <c r="HB138" s="441"/>
      <c r="HC138" s="441"/>
      <c r="HD138" s="441" t="s">
        <v>127</v>
      </c>
      <c r="HE138" s="442" t="s">
        <v>1070</v>
      </c>
      <c r="HF138" s="442" t="s">
        <v>1076</v>
      </c>
      <c r="HG138" s="609"/>
      <c r="HH138" s="609"/>
      <c r="HI138" s="609"/>
      <c r="HJ138" s="609"/>
      <c r="HK138" s="609"/>
      <c r="HL138" s="609"/>
      <c r="HM138" s="609"/>
      <c r="HN138" s="609"/>
      <c r="HO138" s="609"/>
      <c r="HP138" s="609"/>
      <c r="HQ138" s="609"/>
      <c r="HR138" s="610">
        <v>1</v>
      </c>
      <c r="HS138" s="609"/>
      <c r="HT138" s="610">
        <v>1</v>
      </c>
      <c r="HU138" s="609"/>
      <c r="HV138" s="611"/>
      <c r="HW138" s="611"/>
      <c r="HX138" s="612">
        <v>2</v>
      </c>
      <c r="HY138" s="560"/>
      <c r="HZ138" s="36"/>
      <c r="IA138" s="613"/>
      <c r="IB138" s="36"/>
      <c r="IC138" s="613" t="s">
        <v>483</v>
      </c>
      <c r="ID138" s="389" t="s">
        <v>1071</v>
      </c>
      <c r="IE138" s="390">
        <v>0</v>
      </c>
      <c r="IF138" s="390">
        <v>0</v>
      </c>
      <c r="IG138" s="390">
        <v>0</v>
      </c>
      <c r="IH138" s="390">
        <v>0</v>
      </c>
      <c r="II138" s="614"/>
      <c r="IJ138" s="390">
        <v>0</v>
      </c>
      <c r="IK138" s="390">
        <v>0</v>
      </c>
      <c r="IL138" s="390">
        <v>0</v>
      </c>
      <c r="IM138" s="390">
        <v>1</v>
      </c>
      <c r="IN138" s="390">
        <v>1</v>
      </c>
      <c r="IO138" s="390">
        <v>0</v>
      </c>
      <c r="IP138" s="390">
        <v>0</v>
      </c>
      <c r="IQ138" s="390">
        <v>0</v>
      </c>
      <c r="IR138" s="390">
        <v>2</v>
      </c>
      <c r="IS138" s="615"/>
      <c r="IT138" s="36"/>
      <c r="IU138" s="36"/>
      <c r="IV138" s="95"/>
      <c r="IW138" s="95"/>
      <c r="IX138" s="95"/>
      <c r="IY138" s="36" t="s">
        <v>1080</v>
      </c>
      <c r="IZ138" s="36"/>
      <c r="JA138" s="36"/>
      <c r="JB138" s="36">
        <v>0</v>
      </c>
      <c r="JC138" s="36"/>
      <c r="JD138" s="36"/>
      <c r="JE138" s="36"/>
      <c r="JF138" s="36">
        <v>0</v>
      </c>
      <c r="JG138" s="36"/>
      <c r="JH138" s="36">
        <v>0</v>
      </c>
      <c r="JI138" s="36">
        <v>0</v>
      </c>
      <c r="JJ138" s="36">
        <v>0</v>
      </c>
      <c r="JK138" s="36">
        <v>0</v>
      </c>
      <c r="JL138" s="36">
        <v>0</v>
      </c>
      <c r="JM138" s="36">
        <v>6</v>
      </c>
      <c r="JN138" s="36">
        <v>4</v>
      </c>
      <c r="JO138" s="36">
        <v>4</v>
      </c>
      <c r="JP138" s="36">
        <v>14</v>
      </c>
      <c r="JQ138" s="36"/>
      <c r="JR138" s="36"/>
      <c r="JS138" s="616"/>
      <c r="JT138" s="616"/>
      <c r="JU138" s="616"/>
      <c r="JV138" s="616" t="s">
        <v>1072</v>
      </c>
      <c r="JW138" s="616">
        <v>0</v>
      </c>
      <c r="JX138" s="616">
        <v>0</v>
      </c>
      <c r="JY138" s="616">
        <v>0</v>
      </c>
      <c r="JZ138" s="616">
        <v>0</v>
      </c>
      <c r="KA138" s="616">
        <v>0</v>
      </c>
      <c r="KB138" s="616">
        <v>0</v>
      </c>
      <c r="KC138" s="616">
        <v>0</v>
      </c>
      <c r="KD138" s="616">
        <v>0</v>
      </c>
      <c r="KE138" s="616">
        <v>3</v>
      </c>
      <c r="KF138" s="616">
        <v>1</v>
      </c>
      <c r="KG138" s="616">
        <v>0</v>
      </c>
      <c r="KH138" s="616">
        <v>1</v>
      </c>
      <c r="KI138" s="616">
        <v>0</v>
      </c>
      <c r="KJ138" s="616">
        <v>0</v>
      </c>
      <c r="KK138" s="616">
        <v>0</v>
      </c>
      <c r="KL138" s="616">
        <v>0</v>
      </c>
      <c r="KM138" s="616">
        <v>5</v>
      </c>
      <c r="KN138" s="616"/>
      <c r="KO138" s="617"/>
    </row>
    <row r="139" spans="1:301">
      <c r="A139" s="5737">
        <v>2</v>
      </c>
      <c r="B139" s="5737">
        <v>3</v>
      </c>
      <c r="C139" s="5736" t="s">
        <v>381</v>
      </c>
      <c r="D139" s="5736" t="s">
        <v>2731</v>
      </c>
      <c r="E139" s="5737">
        <v>1</v>
      </c>
      <c r="F139" s="5737">
        <v>15</v>
      </c>
      <c r="I139" s="4726">
        <v>2</v>
      </c>
      <c r="J139" s="4726">
        <v>3</v>
      </c>
      <c r="K139" s="4725" t="s">
        <v>381</v>
      </c>
      <c r="L139" s="4963" t="s">
        <v>2732</v>
      </c>
      <c r="M139" s="4964">
        <v>1</v>
      </c>
      <c r="N139" s="4726">
        <v>12</v>
      </c>
      <c r="Q139" s="4458">
        <v>3</v>
      </c>
      <c r="R139" s="4458">
        <v>3</v>
      </c>
      <c r="S139" s="4459" t="s">
        <v>525</v>
      </c>
      <c r="T139" s="4459" t="s">
        <v>2709</v>
      </c>
      <c r="U139" s="4458">
        <v>12</v>
      </c>
      <c r="V139" s="4479">
        <v>1</v>
      </c>
      <c r="W139" s="4510"/>
      <c r="Z139" s="36"/>
      <c r="AA139" s="36"/>
      <c r="AB139" s="36"/>
      <c r="AC139" s="36" t="s">
        <v>1080</v>
      </c>
      <c r="AD139" s="615">
        <v>0</v>
      </c>
      <c r="AE139" s="615"/>
      <c r="AF139" s="615"/>
      <c r="AG139" s="615">
        <v>0</v>
      </c>
      <c r="AH139" s="615"/>
      <c r="AI139" s="615"/>
      <c r="AJ139" s="615">
        <v>0</v>
      </c>
      <c r="AK139" s="615"/>
      <c r="AL139" s="615"/>
      <c r="AM139" s="615">
        <v>0</v>
      </c>
      <c r="AN139" s="615">
        <v>0</v>
      </c>
      <c r="AO139" s="615">
        <v>17</v>
      </c>
      <c r="AP139" s="615">
        <v>2</v>
      </c>
      <c r="AQ139" s="36">
        <v>15</v>
      </c>
      <c r="AR139" s="36">
        <v>34</v>
      </c>
      <c r="AS139" s="36"/>
      <c r="AU139" s="36"/>
      <c r="AV139" s="36"/>
      <c r="AW139" s="393"/>
      <c r="AX139" s="393" t="s">
        <v>1077</v>
      </c>
      <c r="AY139" s="1682"/>
      <c r="AZ139" s="1682">
        <v>1</v>
      </c>
      <c r="BA139" s="1682"/>
      <c r="BB139" s="1682"/>
      <c r="BC139" s="1682">
        <v>0</v>
      </c>
      <c r="BD139" s="1682">
        <v>1</v>
      </c>
      <c r="BE139" s="1682">
        <v>1</v>
      </c>
      <c r="BF139" s="1682">
        <v>1</v>
      </c>
      <c r="BG139" s="1682">
        <v>0</v>
      </c>
      <c r="BH139" s="1682">
        <v>0</v>
      </c>
      <c r="BI139" s="1682">
        <v>2</v>
      </c>
      <c r="BJ139" s="1682">
        <v>0</v>
      </c>
      <c r="BK139" s="1682">
        <v>0</v>
      </c>
      <c r="BL139" s="1682">
        <v>0</v>
      </c>
      <c r="BM139" s="4455">
        <v>0</v>
      </c>
      <c r="BN139" s="4455">
        <v>0</v>
      </c>
      <c r="BO139" s="4455">
        <v>6</v>
      </c>
      <c r="BP139" s="4455"/>
      <c r="BT139" s="1520"/>
      <c r="BU139" s="1520" t="s">
        <v>1077</v>
      </c>
      <c r="BV139" s="3872">
        <v>0</v>
      </c>
      <c r="BW139" s="3872">
        <v>1</v>
      </c>
      <c r="BX139" s="3872"/>
      <c r="BY139" s="3872"/>
      <c r="BZ139" s="3872">
        <v>0</v>
      </c>
      <c r="CA139" s="3872">
        <v>1</v>
      </c>
      <c r="CB139" s="3872">
        <v>1</v>
      </c>
      <c r="CC139" s="3872">
        <v>1</v>
      </c>
      <c r="CD139" s="3872">
        <v>0</v>
      </c>
      <c r="CE139" s="3872">
        <v>0</v>
      </c>
      <c r="CF139" s="3872">
        <v>2</v>
      </c>
      <c r="CG139" s="3872">
        <v>0</v>
      </c>
      <c r="CH139" s="3872">
        <v>0</v>
      </c>
      <c r="CI139" s="3872">
        <v>0</v>
      </c>
      <c r="CJ139" s="3806">
        <v>0</v>
      </c>
      <c r="CK139" s="3806">
        <v>6</v>
      </c>
      <c r="CL139" s="1520"/>
      <c r="CN139" s="36"/>
      <c r="CO139" s="36"/>
      <c r="CP139" s="36"/>
      <c r="CQ139" s="36" t="s">
        <v>1072</v>
      </c>
      <c r="CR139" s="615">
        <v>1</v>
      </c>
      <c r="CS139" s="615"/>
      <c r="CT139" s="615"/>
      <c r="CU139" s="615"/>
      <c r="CV139" s="615"/>
      <c r="CW139" s="615">
        <v>0</v>
      </c>
      <c r="CX139" s="615"/>
      <c r="CY139" s="615"/>
      <c r="CZ139" s="615"/>
      <c r="DA139" s="615"/>
      <c r="DB139" s="615"/>
      <c r="DC139" s="615">
        <v>0</v>
      </c>
      <c r="DD139" s="615">
        <v>0</v>
      </c>
      <c r="DE139" s="615">
        <v>0</v>
      </c>
      <c r="DF139" s="615">
        <v>0</v>
      </c>
      <c r="DG139" s="36">
        <v>0</v>
      </c>
      <c r="DH139" s="36">
        <v>0</v>
      </c>
      <c r="DI139" s="36">
        <v>1</v>
      </c>
      <c r="DJ139" s="36"/>
      <c r="DL139" s="36"/>
      <c r="DM139" s="36"/>
      <c r="DN139" s="36"/>
      <c r="DO139" s="393" t="s">
        <v>483</v>
      </c>
      <c r="DP139" s="1682"/>
      <c r="DQ139" s="1682">
        <v>1</v>
      </c>
      <c r="DR139" s="1682">
        <v>2</v>
      </c>
      <c r="DS139" s="1682"/>
      <c r="DT139" s="1682"/>
      <c r="DU139" s="1682"/>
      <c r="DV139" s="1682"/>
      <c r="DW139" s="1682"/>
      <c r="DX139" s="1682">
        <v>2</v>
      </c>
      <c r="DY139" s="1682">
        <v>6</v>
      </c>
      <c r="DZ139" s="1682">
        <v>3</v>
      </c>
      <c r="EA139" s="1682">
        <v>4</v>
      </c>
      <c r="EB139" s="1682">
        <v>34</v>
      </c>
      <c r="EC139" s="1682">
        <v>9</v>
      </c>
      <c r="ED139" s="1682">
        <v>5</v>
      </c>
      <c r="EE139" s="86">
        <v>1</v>
      </c>
      <c r="EF139" s="86">
        <v>4</v>
      </c>
      <c r="EG139" s="86">
        <v>71</v>
      </c>
      <c r="EH139" s="560">
        <f>+(EG134+EG137+EG138)/EG139</f>
        <v>0.26760563380281688</v>
      </c>
      <c r="EL139" s="36"/>
      <c r="EM139" s="393" t="s">
        <v>109</v>
      </c>
      <c r="EN139" s="1491">
        <v>2</v>
      </c>
      <c r="EO139" s="1491">
        <v>6</v>
      </c>
      <c r="EP139" s="1491">
        <v>1</v>
      </c>
      <c r="EQ139" s="1491">
        <v>2</v>
      </c>
      <c r="ER139" s="1491"/>
      <c r="ES139" s="1491">
        <v>2</v>
      </c>
      <c r="ET139" s="1491"/>
      <c r="EU139" s="1491">
        <v>2</v>
      </c>
      <c r="EV139" s="1491">
        <v>2</v>
      </c>
      <c r="EW139" s="1491">
        <v>2</v>
      </c>
      <c r="EX139" s="1491">
        <v>1</v>
      </c>
      <c r="EY139" s="1491">
        <v>2</v>
      </c>
      <c r="EZ139" s="1491">
        <v>47</v>
      </c>
      <c r="FA139" s="1491">
        <v>48</v>
      </c>
      <c r="FB139" s="1491">
        <v>47</v>
      </c>
      <c r="FC139" s="393">
        <v>15</v>
      </c>
      <c r="FD139" s="393">
        <v>23</v>
      </c>
      <c r="FE139" s="393">
        <v>202</v>
      </c>
      <c r="FF139" s="560">
        <f>+(FE134+FE137-FC134-FC137)/(FE139-FE138)</f>
        <v>0.32835820895522388</v>
      </c>
      <c r="FH139" s="1225"/>
      <c r="FI139" s="1225"/>
      <c r="FJ139" s="1225"/>
      <c r="FK139" s="1226" t="s">
        <v>1081</v>
      </c>
      <c r="FL139" s="1228">
        <v>0</v>
      </c>
      <c r="FM139" s="1228">
        <v>0</v>
      </c>
      <c r="FN139" s="1227"/>
      <c r="FO139" s="1228">
        <v>0</v>
      </c>
      <c r="FP139" s="1228">
        <v>0</v>
      </c>
      <c r="FQ139" s="1227"/>
      <c r="FR139" s="1228">
        <v>0</v>
      </c>
      <c r="FS139" s="1228">
        <v>0</v>
      </c>
      <c r="FT139" s="1228">
        <v>0</v>
      </c>
      <c r="FU139" s="1228">
        <v>2</v>
      </c>
      <c r="FV139" s="1228">
        <v>4</v>
      </c>
      <c r="FW139" s="1228">
        <v>0</v>
      </c>
      <c r="FX139" s="1228">
        <v>0</v>
      </c>
      <c r="FY139" s="1230">
        <v>0</v>
      </c>
      <c r="FZ139" s="1230">
        <v>0</v>
      </c>
      <c r="GA139" s="1230">
        <v>6</v>
      </c>
      <c r="GB139" s="36"/>
      <c r="GD139" s="603"/>
      <c r="GE139" s="603"/>
      <c r="GF139" s="603" t="s">
        <v>320</v>
      </c>
      <c r="GG139" s="604" t="s">
        <v>1072</v>
      </c>
      <c r="GH139" s="605"/>
      <c r="GI139" s="605"/>
      <c r="GJ139" s="605"/>
      <c r="GK139" s="605"/>
      <c r="GL139" s="605"/>
      <c r="GM139" s="605"/>
      <c r="GN139" s="605"/>
      <c r="GO139" s="605"/>
      <c r="GP139" s="606">
        <v>1</v>
      </c>
      <c r="GQ139" s="606">
        <v>2</v>
      </c>
      <c r="GR139" s="606">
        <v>0</v>
      </c>
      <c r="GS139" s="606">
        <v>1</v>
      </c>
      <c r="GT139" s="605"/>
      <c r="GU139" s="606">
        <v>1</v>
      </c>
      <c r="GV139" s="605"/>
      <c r="GW139" s="607"/>
      <c r="GX139" s="607"/>
      <c r="GY139" s="608">
        <v>5</v>
      </c>
      <c r="GZ139" s="95"/>
      <c r="HB139" s="441"/>
      <c r="HC139" s="441"/>
      <c r="HD139" s="441"/>
      <c r="HE139" s="36"/>
      <c r="HF139" s="462" t="s">
        <v>15</v>
      </c>
      <c r="HG139" s="618"/>
      <c r="HH139" s="618"/>
      <c r="HI139" s="618"/>
      <c r="HJ139" s="618"/>
      <c r="HK139" s="618"/>
      <c r="HL139" s="618"/>
      <c r="HM139" s="618"/>
      <c r="HN139" s="618"/>
      <c r="HO139" s="618"/>
      <c r="HP139" s="618"/>
      <c r="HQ139" s="618"/>
      <c r="HR139" s="619">
        <v>1</v>
      </c>
      <c r="HS139" s="618"/>
      <c r="HT139" s="619">
        <v>1</v>
      </c>
      <c r="HU139" s="618"/>
      <c r="HV139" s="620"/>
      <c r="HW139" s="620"/>
      <c r="HX139" s="621">
        <v>2</v>
      </c>
      <c r="HY139" s="560">
        <f>+HX138/HX139</f>
        <v>1</v>
      </c>
      <c r="HZ139" s="36"/>
      <c r="IA139" s="613"/>
      <c r="IB139" s="36"/>
      <c r="IC139" s="613"/>
      <c r="ID139" s="389" t="s">
        <v>1072</v>
      </c>
      <c r="IE139" s="390">
        <v>0</v>
      </c>
      <c r="IF139" s="390">
        <v>0</v>
      </c>
      <c r="IG139" s="390">
        <v>2</v>
      </c>
      <c r="IH139" s="390">
        <v>0</v>
      </c>
      <c r="II139" s="614"/>
      <c r="IJ139" s="390">
        <v>1</v>
      </c>
      <c r="IK139" s="390">
        <v>1</v>
      </c>
      <c r="IL139" s="390">
        <v>1</v>
      </c>
      <c r="IM139" s="390">
        <v>1</v>
      </c>
      <c r="IN139" s="390">
        <v>0</v>
      </c>
      <c r="IO139" s="390">
        <v>0</v>
      </c>
      <c r="IP139" s="390">
        <v>0</v>
      </c>
      <c r="IQ139" s="390">
        <v>0</v>
      </c>
      <c r="IR139" s="390">
        <v>6</v>
      </c>
      <c r="IS139" s="615"/>
      <c r="IT139" s="36"/>
      <c r="IU139" s="36"/>
      <c r="IV139" s="95"/>
      <c r="IW139" s="95"/>
      <c r="IX139" s="95"/>
      <c r="IY139" s="36" t="s">
        <v>1163</v>
      </c>
      <c r="IZ139" s="36"/>
      <c r="JA139" s="36"/>
      <c r="JB139" s="36">
        <v>0</v>
      </c>
      <c r="JC139" s="36"/>
      <c r="JD139" s="36"/>
      <c r="JE139" s="36"/>
      <c r="JF139" s="36">
        <v>0</v>
      </c>
      <c r="JG139" s="36"/>
      <c r="JH139" s="36">
        <v>0</v>
      </c>
      <c r="JI139" s="36">
        <v>1</v>
      </c>
      <c r="JJ139" s="36">
        <v>1</v>
      </c>
      <c r="JK139" s="36">
        <v>2</v>
      </c>
      <c r="JL139" s="36">
        <v>2</v>
      </c>
      <c r="JM139" s="36">
        <v>1</v>
      </c>
      <c r="JN139" s="36">
        <v>0</v>
      </c>
      <c r="JO139" s="36">
        <v>0</v>
      </c>
      <c r="JP139" s="36">
        <v>7</v>
      </c>
      <c r="JQ139" s="36"/>
      <c r="JR139" s="36"/>
      <c r="JS139" s="616"/>
      <c r="JT139" s="616"/>
      <c r="JU139" s="616"/>
      <c r="JV139" s="616" t="s">
        <v>1074</v>
      </c>
      <c r="JW139" s="616">
        <v>0</v>
      </c>
      <c r="JX139" s="616">
        <v>0</v>
      </c>
      <c r="JY139" s="616">
        <v>0</v>
      </c>
      <c r="JZ139" s="616">
        <v>0</v>
      </c>
      <c r="KA139" s="616">
        <v>0</v>
      </c>
      <c r="KB139" s="616">
        <v>0</v>
      </c>
      <c r="KC139" s="616">
        <v>0</v>
      </c>
      <c r="KD139" s="616">
        <v>1</v>
      </c>
      <c r="KE139" s="616">
        <v>0</v>
      </c>
      <c r="KF139" s="616">
        <v>0</v>
      </c>
      <c r="KG139" s="616">
        <v>0</v>
      </c>
      <c r="KH139" s="616">
        <v>0</v>
      </c>
      <c r="KI139" s="616">
        <v>0</v>
      </c>
      <c r="KJ139" s="616">
        <v>0</v>
      </c>
      <c r="KK139" s="616">
        <v>0</v>
      </c>
      <c r="KL139" s="616">
        <v>0</v>
      </c>
      <c r="KM139" s="616">
        <v>1</v>
      </c>
      <c r="KN139" s="616"/>
      <c r="KO139" s="617"/>
    </row>
    <row r="140" spans="1:301">
      <c r="A140" s="5737">
        <v>2</v>
      </c>
      <c r="B140" s="5737">
        <v>3</v>
      </c>
      <c r="C140" s="5736" t="s">
        <v>381</v>
      </c>
      <c r="D140" s="5739" t="s">
        <v>2732</v>
      </c>
      <c r="E140" s="5737">
        <v>1</v>
      </c>
      <c r="F140" s="5737">
        <v>12</v>
      </c>
      <c r="I140" s="4726">
        <v>2</v>
      </c>
      <c r="J140" s="4726">
        <v>3</v>
      </c>
      <c r="K140" s="4725" t="s">
        <v>381</v>
      </c>
      <c r="L140" s="4963" t="s">
        <v>2707</v>
      </c>
      <c r="M140" s="4964">
        <v>1</v>
      </c>
      <c r="N140" s="4726">
        <v>13</v>
      </c>
      <c r="Q140" s="4458">
        <v>3</v>
      </c>
      <c r="R140" s="4458">
        <v>3</v>
      </c>
      <c r="S140" s="4459" t="s">
        <v>525</v>
      </c>
      <c r="T140" s="4461" t="s">
        <v>1076</v>
      </c>
      <c r="U140" s="4458">
        <v>12</v>
      </c>
      <c r="V140" s="4479">
        <v>2</v>
      </c>
      <c r="W140" s="4510"/>
      <c r="Z140" s="36"/>
      <c r="AA140" s="36"/>
      <c r="AB140" s="36"/>
      <c r="AC140" s="36" t="s">
        <v>2571</v>
      </c>
      <c r="AD140" s="615">
        <v>3</v>
      </c>
      <c r="AE140" s="615"/>
      <c r="AF140" s="615"/>
      <c r="AG140" s="615">
        <v>0</v>
      </c>
      <c r="AH140" s="615"/>
      <c r="AI140" s="615"/>
      <c r="AJ140" s="615">
        <v>0</v>
      </c>
      <c r="AK140" s="615"/>
      <c r="AL140" s="615"/>
      <c r="AM140" s="615">
        <v>0</v>
      </c>
      <c r="AN140" s="615">
        <v>0</v>
      </c>
      <c r="AO140" s="615">
        <v>0</v>
      </c>
      <c r="AP140" s="615">
        <v>0</v>
      </c>
      <c r="AQ140" s="36">
        <v>0</v>
      </c>
      <c r="AR140" s="36">
        <v>3</v>
      </c>
      <c r="AS140" s="36"/>
      <c r="AU140" s="36"/>
      <c r="AV140" s="36"/>
      <c r="AW140" s="393"/>
      <c r="AX140" s="393" t="s">
        <v>1080</v>
      </c>
      <c r="AY140" s="1682"/>
      <c r="AZ140" s="1682">
        <v>0</v>
      </c>
      <c r="BA140" s="1682"/>
      <c r="BB140" s="1682"/>
      <c r="BC140" s="1682">
        <v>0</v>
      </c>
      <c r="BD140" s="1682">
        <v>0</v>
      </c>
      <c r="BE140" s="1682">
        <v>0</v>
      </c>
      <c r="BF140" s="1682">
        <v>0</v>
      </c>
      <c r="BG140" s="1682">
        <v>0</v>
      </c>
      <c r="BH140" s="1682">
        <v>0</v>
      </c>
      <c r="BI140" s="1682">
        <v>1</v>
      </c>
      <c r="BJ140" s="1682">
        <v>0</v>
      </c>
      <c r="BK140" s="1682">
        <v>24</v>
      </c>
      <c r="BL140" s="1682">
        <v>20</v>
      </c>
      <c r="BM140" s="4455">
        <v>15</v>
      </c>
      <c r="BN140" s="4455">
        <v>5</v>
      </c>
      <c r="BO140" s="4455">
        <v>65</v>
      </c>
      <c r="BP140" s="4455"/>
      <c r="BT140" s="1520"/>
      <c r="BU140" s="1520" t="s">
        <v>1080</v>
      </c>
      <c r="BV140" s="3872">
        <v>0</v>
      </c>
      <c r="BW140" s="3872">
        <v>0</v>
      </c>
      <c r="BX140" s="3872"/>
      <c r="BY140" s="3872"/>
      <c r="BZ140" s="3872">
        <v>0</v>
      </c>
      <c r="CA140" s="3872">
        <v>0</v>
      </c>
      <c r="CB140" s="3872">
        <v>0</v>
      </c>
      <c r="CC140" s="3872">
        <v>0</v>
      </c>
      <c r="CD140" s="3872">
        <v>0</v>
      </c>
      <c r="CE140" s="3872">
        <v>0</v>
      </c>
      <c r="CF140" s="3872">
        <v>0</v>
      </c>
      <c r="CG140" s="3872">
        <v>0</v>
      </c>
      <c r="CH140" s="3872">
        <v>46</v>
      </c>
      <c r="CI140" s="3872">
        <v>5</v>
      </c>
      <c r="CJ140" s="3806">
        <v>19</v>
      </c>
      <c r="CK140" s="3806">
        <v>70</v>
      </c>
      <c r="CL140" s="1520"/>
      <c r="CN140" s="36"/>
      <c r="CO140" s="36"/>
      <c r="CP140" s="36"/>
      <c r="CQ140" s="36" t="s">
        <v>1074</v>
      </c>
      <c r="CR140" s="615">
        <v>0</v>
      </c>
      <c r="CS140" s="615"/>
      <c r="CT140" s="615"/>
      <c r="CU140" s="615"/>
      <c r="CV140" s="615"/>
      <c r="CW140" s="615">
        <v>1</v>
      </c>
      <c r="CX140" s="615"/>
      <c r="CY140" s="615"/>
      <c r="CZ140" s="615"/>
      <c r="DA140" s="615"/>
      <c r="DB140" s="615"/>
      <c r="DC140" s="615">
        <v>0</v>
      </c>
      <c r="DD140" s="615">
        <v>0</v>
      </c>
      <c r="DE140" s="615">
        <v>0</v>
      </c>
      <c r="DF140" s="615">
        <v>0</v>
      </c>
      <c r="DG140" s="36">
        <v>0</v>
      </c>
      <c r="DH140" s="36">
        <v>0</v>
      </c>
      <c r="DI140" s="36">
        <v>1</v>
      </c>
      <c r="DJ140" s="36"/>
      <c r="DL140" s="36"/>
      <c r="DM140" s="36" t="s">
        <v>41</v>
      </c>
      <c r="DN140" s="36" t="s">
        <v>320</v>
      </c>
      <c r="DO140" s="36" t="s">
        <v>1072</v>
      </c>
      <c r="DP140" s="1681"/>
      <c r="DQ140" s="1681"/>
      <c r="DR140" s="1681"/>
      <c r="DS140" s="1681"/>
      <c r="DT140" s="1681"/>
      <c r="DU140" s="1681"/>
      <c r="DV140" s="1681"/>
      <c r="DW140" s="1681"/>
      <c r="DX140" s="1681">
        <v>1</v>
      </c>
      <c r="DY140" s="1681"/>
      <c r="DZ140" s="1681">
        <v>1</v>
      </c>
      <c r="EA140" s="1681"/>
      <c r="EB140" s="1681">
        <v>0</v>
      </c>
      <c r="EC140" s="1681">
        <v>1</v>
      </c>
      <c r="ED140" s="1681">
        <v>0</v>
      </c>
      <c r="EE140" s="95"/>
      <c r="EF140" s="95">
        <v>0</v>
      </c>
      <c r="EG140" s="95">
        <v>3</v>
      </c>
      <c r="EH140" s="36"/>
      <c r="EJ140" s="95" t="s">
        <v>48</v>
      </c>
      <c r="EK140" s="95" t="s">
        <v>41</v>
      </c>
      <c r="EL140" s="36" t="s">
        <v>144</v>
      </c>
      <c r="EM140" s="36" t="s">
        <v>1072</v>
      </c>
      <c r="EN140" s="1490"/>
      <c r="EO140" s="1490"/>
      <c r="EP140" s="1490">
        <v>1</v>
      </c>
      <c r="EQ140" s="1490"/>
      <c r="ER140" s="1490"/>
      <c r="ES140" s="1490"/>
      <c r="ET140" s="1490"/>
      <c r="EU140" s="1490">
        <v>1</v>
      </c>
      <c r="EV140" s="1490"/>
      <c r="EW140" s="1490">
        <v>5</v>
      </c>
      <c r="EX140" s="1490">
        <v>2</v>
      </c>
      <c r="EY140" s="1490"/>
      <c r="EZ140" s="1490">
        <v>0</v>
      </c>
      <c r="FA140" s="1490"/>
      <c r="FB140" s="1490">
        <v>0</v>
      </c>
      <c r="FC140" s="36"/>
      <c r="FD140" s="36"/>
      <c r="FE140" s="36">
        <v>9</v>
      </c>
      <c r="FF140" s="36"/>
      <c r="FH140" s="1225"/>
      <c r="FI140" s="1225"/>
      <c r="FJ140" s="1225"/>
      <c r="FK140" s="1226" t="s">
        <v>1163</v>
      </c>
      <c r="FL140" s="1228">
        <v>0</v>
      </c>
      <c r="FM140" s="1228">
        <v>0</v>
      </c>
      <c r="FN140" s="1227"/>
      <c r="FO140" s="1228">
        <v>0</v>
      </c>
      <c r="FP140" s="1228">
        <v>0</v>
      </c>
      <c r="FQ140" s="1227"/>
      <c r="FR140" s="1228">
        <v>0</v>
      </c>
      <c r="FS140" s="1228">
        <v>2</v>
      </c>
      <c r="FT140" s="1228">
        <v>0</v>
      </c>
      <c r="FU140" s="1228">
        <v>1</v>
      </c>
      <c r="FV140" s="1228">
        <v>5</v>
      </c>
      <c r="FW140" s="1228">
        <v>2</v>
      </c>
      <c r="FX140" s="1228">
        <v>0</v>
      </c>
      <c r="FY140" s="1230">
        <v>0</v>
      </c>
      <c r="FZ140" s="1230">
        <v>0</v>
      </c>
      <c r="GA140" s="1230">
        <v>10</v>
      </c>
      <c r="GB140" s="36"/>
      <c r="GD140" s="603"/>
      <c r="GE140" s="603"/>
      <c r="GF140" s="603"/>
      <c r="GG140" s="604" t="s">
        <v>1076</v>
      </c>
      <c r="GH140" s="605"/>
      <c r="GI140" s="605"/>
      <c r="GJ140" s="605"/>
      <c r="GK140" s="605"/>
      <c r="GL140" s="605"/>
      <c r="GM140" s="605"/>
      <c r="GN140" s="605"/>
      <c r="GO140" s="605"/>
      <c r="GP140" s="606">
        <v>0</v>
      </c>
      <c r="GQ140" s="606">
        <v>0</v>
      </c>
      <c r="GR140" s="606">
        <v>1</v>
      </c>
      <c r="GS140" s="606">
        <v>0</v>
      </c>
      <c r="GT140" s="605"/>
      <c r="GU140" s="606">
        <v>0</v>
      </c>
      <c r="GV140" s="605"/>
      <c r="GW140" s="607"/>
      <c r="GX140" s="607"/>
      <c r="GY140" s="608">
        <v>1</v>
      </c>
      <c r="GZ140" s="95"/>
      <c r="HB140" s="441"/>
      <c r="HC140" s="441"/>
      <c r="HD140" s="441" t="s">
        <v>110</v>
      </c>
      <c r="HE140" s="441" t="s">
        <v>1070</v>
      </c>
      <c r="HF140" s="442" t="s">
        <v>1072</v>
      </c>
      <c r="HG140" s="609"/>
      <c r="HH140" s="609"/>
      <c r="HI140" s="609"/>
      <c r="HJ140" s="610">
        <v>1</v>
      </c>
      <c r="HK140" s="609"/>
      <c r="HL140" s="609"/>
      <c r="HM140" s="609"/>
      <c r="HN140" s="609"/>
      <c r="HO140" s="609"/>
      <c r="HP140" s="609"/>
      <c r="HQ140" s="609"/>
      <c r="HR140" s="610">
        <v>1</v>
      </c>
      <c r="HS140" s="610">
        <v>8</v>
      </c>
      <c r="HT140" s="610">
        <v>1</v>
      </c>
      <c r="HU140" s="610">
        <v>0</v>
      </c>
      <c r="HV140" s="611"/>
      <c r="HW140" s="611"/>
      <c r="HX140" s="612">
        <v>11</v>
      </c>
      <c r="HY140" s="560"/>
      <c r="HZ140" s="36"/>
      <c r="IA140" s="613"/>
      <c r="IB140" s="36"/>
      <c r="IC140" s="613"/>
      <c r="ID140" s="389" t="s">
        <v>1074</v>
      </c>
      <c r="IE140" s="390">
        <v>1</v>
      </c>
      <c r="IF140" s="390">
        <v>1</v>
      </c>
      <c r="IG140" s="390">
        <v>0</v>
      </c>
      <c r="IH140" s="390">
        <v>1</v>
      </c>
      <c r="II140" s="614"/>
      <c r="IJ140" s="390">
        <v>0</v>
      </c>
      <c r="IK140" s="390">
        <v>0</v>
      </c>
      <c r="IL140" s="390">
        <v>0</v>
      </c>
      <c r="IM140" s="390">
        <v>0</v>
      </c>
      <c r="IN140" s="390">
        <v>0</v>
      </c>
      <c r="IO140" s="390">
        <v>0</v>
      </c>
      <c r="IP140" s="390">
        <v>0</v>
      </c>
      <c r="IQ140" s="390">
        <v>0</v>
      </c>
      <c r="IR140" s="390">
        <v>3</v>
      </c>
      <c r="IS140" s="615"/>
      <c r="IT140" s="36"/>
      <c r="IU140" s="36"/>
      <c r="IV140" s="95"/>
      <c r="IW140" s="95"/>
      <c r="IX140" s="95"/>
      <c r="IY140" s="393" t="s">
        <v>15</v>
      </c>
      <c r="IZ140" s="393"/>
      <c r="JA140" s="393"/>
      <c r="JB140" s="393">
        <v>1</v>
      </c>
      <c r="JC140" s="393"/>
      <c r="JD140" s="393"/>
      <c r="JE140" s="393"/>
      <c r="JF140" s="393">
        <v>1</v>
      </c>
      <c r="JG140" s="393"/>
      <c r="JH140" s="393">
        <v>1</v>
      </c>
      <c r="JI140" s="393">
        <v>3</v>
      </c>
      <c r="JJ140" s="393">
        <v>1</v>
      </c>
      <c r="JK140" s="393">
        <v>2</v>
      </c>
      <c r="JL140" s="393">
        <v>4</v>
      </c>
      <c r="JM140" s="393">
        <v>12</v>
      </c>
      <c r="JN140" s="393">
        <v>5</v>
      </c>
      <c r="JO140" s="393">
        <v>5</v>
      </c>
      <c r="JP140" s="393">
        <v>35</v>
      </c>
      <c r="JQ140" s="631">
        <f>+(JP137+JP139)/JP140</f>
        <v>0.22857142857142856</v>
      </c>
      <c r="JR140" s="36"/>
      <c r="JS140" s="616"/>
      <c r="JT140" s="616"/>
      <c r="JU140" s="616"/>
      <c r="JV140" s="616" t="s">
        <v>1076</v>
      </c>
      <c r="JW140" s="616">
        <v>0</v>
      </c>
      <c r="JX140" s="616">
        <v>0</v>
      </c>
      <c r="JY140" s="616">
        <v>0</v>
      </c>
      <c r="JZ140" s="616">
        <v>0</v>
      </c>
      <c r="KA140" s="616">
        <v>0</v>
      </c>
      <c r="KB140" s="616">
        <v>0</v>
      </c>
      <c r="KC140" s="616">
        <v>0</v>
      </c>
      <c r="KD140" s="616">
        <v>0</v>
      </c>
      <c r="KE140" s="616">
        <v>2</v>
      </c>
      <c r="KF140" s="616">
        <v>4</v>
      </c>
      <c r="KG140" s="616">
        <v>0</v>
      </c>
      <c r="KH140" s="616">
        <v>9</v>
      </c>
      <c r="KI140" s="616">
        <v>0</v>
      </c>
      <c r="KJ140" s="616">
        <v>0</v>
      </c>
      <c r="KK140" s="616">
        <v>0</v>
      </c>
      <c r="KL140" s="616">
        <v>0</v>
      </c>
      <c r="KM140" s="616">
        <v>15</v>
      </c>
      <c r="KN140" s="616"/>
      <c r="KO140" s="617"/>
    </row>
    <row r="141" spans="1:301">
      <c r="A141" s="5737">
        <v>2</v>
      </c>
      <c r="B141" s="5737">
        <v>3</v>
      </c>
      <c r="C141" s="5736" t="s">
        <v>381</v>
      </c>
      <c r="D141" s="5739" t="s">
        <v>2707</v>
      </c>
      <c r="E141" s="5737">
        <v>1</v>
      </c>
      <c r="F141" s="5737">
        <v>13</v>
      </c>
      <c r="I141" s="4726">
        <v>2</v>
      </c>
      <c r="J141" s="4726">
        <v>3</v>
      </c>
      <c r="K141" s="4725" t="s">
        <v>381</v>
      </c>
      <c r="L141" s="4963" t="s">
        <v>1076</v>
      </c>
      <c r="M141" s="4964">
        <v>1</v>
      </c>
      <c r="N141" s="4726">
        <v>12</v>
      </c>
      <c r="Q141" s="4458">
        <v>3</v>
      </c>
      <c r="R141" s="4458">
        <v>3</v>
      </c>
      <c r="S141" s="4459" t="s">
        <v>525</v>
      </c>
      <c r="T141" s="4461" t="s">
        <v>2707</v>
      </c>
      <c r="U141" s="4458">
        <v>11</v>
      </c>
      <c r="V141" s="4479">
        <v>1</v>
      </c>
      <c r="W141" s="4510"/>
      <c r="Z141" s="36"/>
      <c r="AA141" s="36"/>
      <c r="AB141" s="36"/>
      <c r="AC141" s="36" t="s">
        <v>1163</v>
      </c>
      <c r="AD141" s="615">
        <v>0</v>
      </c>
      <c r="AE141" s="615"/>
      <c r="AF141" s="615"/>
      <c r="AG141" s="615">
        <v>0</v>
      </c>
      <c r="AH141" s="615"/>
      <c r="AI141" s="615"/>
      <c r="AJ141" s="615">
        <v>0</v>
      </c>
      <c r="AK141" s="615"/>
      <c r="AL141" s="615"/>
      <c r="AM141" s="615">
        <v>1</v>
      </c>
      <c r="AN141" s="615">
        <v>0</v>
      </c>
      <c r="AO141" s="615">
        <v>0</v>
      </c>
      <c r="AP141" s="615">
        <v>0</v>
      </c>
      <c r="AQ141" s="36">
        <v>0</v>
      </c>
      <c r="AR141" s="36">
        <v>1</v>
      </c>
      <c r="AS141" s="36"/>
      <c r="AU141" s="36"/>
      <c r="AV141" s="36"/>
      <c r="AW141" s="393"/>
      <c r="AX141" s="393" t="s">
        <v>1081</v>
      </c>
      <c r="AY141" s="1682"/>
      <c r="AZ141" s="1682">
        <v>0</v>
      </c>
      <c r="BA141" s="1682"/>
      <c r="BB141" s="1682"/>
      <c r="BC141" s="1682">
        <v>0</v>
      </c>
      <c r="BD141" s="1682">
        <v>0</v>
      </c>
      <c r="BE141" s="1682">
        <v>0</v>
      </c>
      <c r="BF141" s="1682">
        <v>0</v>
      </c>
      <c r="BG141" s="1682">
        <v>0</v>
      </c>
      <c r="BH141" s="1682">
        <v>0</v>
      </c>
      <c r="BI141" s="1682">
        <v>0</v>
      </c>
      <c r="BJ141" s="1682">
        <v>0</v>
      </c>
      <c r="BK141" s="1682">
        <v>0</v>
      </c>
      <c r="BL141" s="1682">
        <v>1</v>
      </c>
      <c r="BM141" s="4455">
        <v>0</v>
      </c>
      <c r="BN141" s="4455">
        <v>0</v>
      </c>
      <c r="BO141" s="4455">
        <v>1</v>
      </c>
      <c r="BP141" s="4455"/>
      <c r="BT141" s="1520"/>
      <c r="BU141" s="1520" t="s">
        <v>1081</v>
      </c>
      <c r="BV141" s="3872">
        <v>0</v>
      </c>
      <c r="BW141" s="3872">
        <v>0</v>
      </c>
      <c r="BX141" s="3872"/>
      <c r="BY141" s="3872"/>
      <c r="BZ141" s="3872">
        <v>0</v>
      </c>
      <c r="CA141" s="3872">
        <v>0</v>
      </c>
      <c r="CB141" s="3872">
        <v>0</v>
      </c>
      <c r="CC141" s="3872">
        <v>0</v>
      </c>
      <c r="CD141" s="3872">
        <v>0</v>
      </c>
      <c r="CE141" s="3872">
        <v>0</v>
      </c>
      <c r="CF141" s="3872">
        <v>0</v>
      </c>
      <c r="CG141" s="3872">
        <v>0</v>
      </c>
      <c r="CH141" s="3872">
        <v>1</v>
      </c>
      <c r="CI141" s="3872">
        <v>1</v>
      </c>
      <c r="CJ141" s="3806">
        <v>0</v>
      </c>
      <c r="CK141" s="3806">
        <v>2</v>
      </c>
      <c r="CL141" s="1520"/>
      <c r="CN141" s="36"/>
      <c r="CO141" s="36"/>
      <c r="CP141" s="36"/>
      <c r="CQ141" s="36" t="s">
        <v>1076</v>
      </c>
      <c r="CR141" s="615">
        <v>0</v>
      </c>
      <c r="CS141" s="615"/>
      <c r="CT141" s="615"/>
      <c r="CU141" s="615"/>
      <c r="CV141" s="615"/>
      <c r="CW141" s="615">
        <v>0</v>
      </c>
      <c r="CX141" s="615"/>
      <c r="CY141" s="615"/>
      <c r="CZ141" s="615"/>
      <c r="DA141" s="615"/>
      <c r="DB141" s="615"/>
      <c r="DC141" s="615">
        <v>0</v>
      </c>
      <c r="DD141" s="615">
        <v>2</v>
      </c>
      <c r="DE141" s="615">
        <v>2</v>
      </c>
      <c r="DF141" s="615">
        <v>0</v>
      </c>
      <c r="DG141" s="36">
        <v>1</v>
      </c>
      <c r="DH141" s="36">
        <v>0</v>
      </c>
      <c r="DI141" s="36">
        <v>5</v>
      </c>
      <c r="DJ141" s="36"/>
      <c r="DL141" s="36"/>
      <c r="DM141" s="36"/>
      <c r="DN141" s="36"/>
      <c r="DO141" s="36" t="s">
        <v>1076</v>
      </c>
      <c r="DP141" s="1681"/>
      <c r="DQ141" s="1681"/>
      <c r="DR141" s="1681"/>
      <c r="DS141" s="1681"/>
      <c r="DT141" s="1681"/>
      <c r="DU141" s="1681"/>
      <c r="DV141" s="1681"/>
      <c r="DW141" s="1681"/>
      <c r="DX141" s="1681">
        <v>0</v>
      </c>
      <c r="DY141" s="1681"/>
      <c r="DZ141" s="1681">
        <v>0</v>
      </c>
      <c r="EA141" s="1681"/>
      <c r="EB141" s="1681">
        <v>1</v>
      </c>
      <c r="EC141" s="1681">
        <v>0</v>
      </c>
      <c r="ED141" s="1681">
        <v>0</v>
      </c>
      <c r="EE141" s="95"/>
      <c r="EF141" s="95">
        <v>0</v>
      </c>
      <c r="EG141" s="95">
        <v>1</v>
      </c>
      <c r="EH141" s="36"/>
      <c r="EL141" s="36"/>
      <c r="EM141" s="36" t="s">
        <v>1080</v>
      </c>
      <c r="EN141" s="1490"/>
      <c r="EO141" s="1490"/>
      <c r="EP141" s="1490">
        <v>0</v>
      </c>
      <c r="EQ141" s="1490"/>
      <c r="ER141" s="1490"/>
      <c r="ES141" s="1490"/>
      <c r="ET141" s="1490"/>
      <c r="EU141" s="1490">
        <v>0</v>
      </c>
      <c r="EV141" s="1490"/>
      <c r="EW141" s="1490">
        <v>0</v>
      </c>
      <c r="EX141" s="1490">
        <v>0</v>
      </c>
      <c r="EY141" s="1490"/>
      <c r="EZ141" s="1490">
        <v>1</v>
      </c>
      <c r="FA141" s="1490"/>
      <c r="FB141" s="1490">
        <v>1</v>
      </c>
      <c r="FC141" s="36"/>
      <c r="FD141" s="36"/>
      <c r="FE141" s="36">
        <v>2</v>
      </c>
      <c r="FF141" s="36"/>
      <c r="FH141" s="1225"/>
      <c r="FI141" s="1225"/>
      <c r="FJ141" s="1225"/>
      <c r="FK141" s="1222" t="s">
        <v>483</v>
      </c>
      <c r="FL141" s="1232">
        <v>1</v>
      </c>
      <c r="FM141" s="1232">
        <v>3</v>
      </c>
      <c r="FN141" s="1231"/>
      <c r="FO141" s="1232">
        <v>1</v>
      </c>
      <c r="FP141" s="1232">
        <v>2</v>
      </c>
      <c r="FQ141" s="1231"/>
      <c r="FR141" s="1232">
        <v>2</v>
      </c>
      <c r="FS141" s="1232">
        <v>3</v>
      </c>
      <c r="FT141" s="1232">
        <v>3</v>
      </c>
      <c r="FU141" s="1232">
        <v>10</v>
      </c>
      <c r="FV141" s="1232">
        <v>34</v>
      </c>
      <c r="FW141" s="1232">
        <v>10</v>
      </c>
      <c r="FX141" s="1232">
        <v>1</v>
      </c>
      <c r="FY141" s="1234">
        <v>1</v>
      </c>
      <c r="FZ141" s="1234">
        <v>1</v>
      </c>
      <c r="GA141" s="1234">
        <v>72</v>
      </c>
      <c r="GB141" s="1178">
        <f>+(GA137+GA139+GA140)/GA141</f>
        <v>0.29166666666666669</v>
      </c>
      <c r="GD141" s="603"/>
      <c r="GE141" s="603"/>
      <c r="GF141" s="603"/>
      <c r="GG141" s="604" t="s">
        <v>1163</v>
      </c>
      <c r="GH141" s="605"/>
      <c r="GI141" s="605"/>
      <c r="GJ141" s="605"/>
      <c r="GK141" s="605"/>
      <c r="GL141" s="605"/>
      <c r="GM141" s="605"/>
      <c r="GN141" s="605"/>
      <c r="GO141" s="605"/>
      <c r="GP141" s="606">
        <v>0</v>
      </c>
      <c r="GQ141" s="606">
        <v>2</v>
      </c>
      <c r="GR141" s="606">
        <v>2</v>
      </c>
      <c r="GS141" s="606">
        <v>1</v>
      </c>
      <c r="GT141" s="605"/>
      <c r="GU141" s="606">
        <v>0</v>
      </c>
      <c r="GV141" s="605"/>
      <c r="GW141" s="607"/>
      <c r="GX141" s="607"/>
      <c r="GY141" s="608">
        <v>5</v>
      </c>
      <c r="GZ141" s="95"/>
      <c r="HB141" s="441"/>
      <c r="HC141" s="441"/>
      <c r="HD141" s="441"/>
      <c r="HE141" s="441"/>
      <c r="HF141" s="442" t="s">
        <v>1080</v>
      </c>
      <c r="HG141" s="609"/>
      <c r="HH141" s="609"/>
      <c r="HI141" s="609"/>
      <c r="HJ141" s="610">
        <v>0</v>
      </c>
      <c r="HK141" s="609"/>
      <c r="HL141" s="609"/>
      <c r="HM141" s="609"/>
      <c r="HN141" s="609"/>
      <c r="HO141" s="609"/>
      <c r="HP141" s="609"/>
      <c r="HQ141" s="609"/>
      <c r="HR141" s="610">
        <v>0</v>
      </c>
      <c r="HS141" s="610">
        <v>0</v>
      </c>
      <c r="HT141" s="610">
        <v>1</v>
      </c>
      <c r="HU141" s="610">
        <v>1</v>
      </c>
      <c r="HV141" s="611"/>
      <c r="HW141" s="611"/>
      <c r="HX141" s="612">
        <v>2</v>
      </c>
      <c r="HY141" s="560"/>
      <c r="HZ141" s="36"/>
      <c r="IA141" s="613"/>
      <c r="IB141" s="36"/>
      <c r="IC141" s="613"/>
      <c r="ID141" s="389" t="s">
        <v>1076</v>
      </c>
      <c r="IE141" s="390">
        <v>0</v>
      </c>
      <c r="IF141" s="390">
        <v>0</v>
      </c>
      <c r="IG141" s="390">
        <v>0</v>
      </c>
      <c r="IH141" s="390">
        <v>0</v>
      </c>
      <c r="II141" s="614"/>
      <c r="IJ141" s="390">
        <v>5</v>
      </c>
      <c r="IK141" s="390">
        <v>5</v>
      </c>
      <c r="IL141" s="390">
        <v>4</v>
      </c>
      <c r="IM141" s="390">
        <v>11</v>
      </c>
      <c r="IN141" s="390">
        <v>4</v>
      </c>
      <c r="IO141" s="390">
        <v>1</v>
      </c>
      <c r="IP141" s="390">
        <v>0</v>
      </c>
      <c r="IQ141" s="390">
        <v>0</v>
      </c>
      <c r="IR141" s="390">
        <v>30</v>
      </c>
      <c r="IS141" s="615"/>
      <c r="IT141" s="36"/>
      <c r="IU141" s="36"/>
      <c r="IV141" s="95"/>
      <c r="IW141" s="95"/>
      <c r="IX141" s="95" t="s">
        <v>16</v>
      </c>
      <c r="IY141" s="36" t="s">
        <v>1071</v>
      </c>
      <c r="IZ141" s="36">
        <v>0</v>
      </c>
      <c r="JA141" s="36">
        <v>0</v>
      </c>
      <c r="JB141" s="36">
        <v>0</v>
      </c>
      <c r="JC141" s="36"/>
      <c r="JD141" s="36">
        <v>1</v>
      </c>
      <c r="JE141" s="36"/>
      <c r="JF141" s="36"/>
      <c r="JG141" s="36"/>
      <c r="JH141" s="36">
        <v>0</v>
      </c>
      <c r="JI141" s="36">
        <v>0</v>
      </c>
      <c r="JJ141" s="36">
        <v>0</v>
      </c>
      <c r="JK141" s="36">
        <v>0</v>
      </c>
      <c r="JL141" s="36">
        <v>0</v>
      </c>
      <c r="JM141" s="36">
        <v>1</v>
      </c>
      <c r="JN141" s="36"/>
      <c r="JO141" s="36">
        <v>0</v>
      </c>
      <c r="JP141" s="36">
        <v>2</v>
      </c>
      <c r="JQ141" s="36"/>
      <c r="JR141" s="36"/>
      <c r="JS141" s="616"/>
      <c r="JT141" s="616"/>
      <c r="JU141" s="616"/>
      <c r="JV141" s="616" t="s">
        <v>1077</v>
      </c>
      <c r="JW141" s="616">
        <v>1</v>
      </c>
      <c r="JX141" s="616">
        <v>1</v>
      </c>
      <c r="JY141" s="616">
        <v>0</v>
      </c>
      <c r="JZ141" s="616">
        <v>0</v>
      </c>
      <c r="KA141" s="616">
        <v>0</v>
      </c>
      <c r="KB141" s="616">
        <v>0</v>
      </c>
      <c r="KC141" s="616">
        <v>1</v>
      </c>
      <c r="KD141" s="616">
        <v>1</v>
      </c>
      <c r="KE141" s="616">
        <v>2</v>
      </c>
      <c r="KF141" s="616">
        <v>0</v>
      </c>
      <c r="KG141" s="616">
        <v>1</v>
      </c>
      <c r="KH141" s="616">
        <v>4</v>
      </c>
      <c r="KI141" s="616">
        <v>0</v>
      </c>
      <c r="KJ141" s="616">
        <v>0</v>
      </c>
      <c r="KK141" s="616">
        <v>0</v>
      </c>
      <c r="KL141" s="616">
        <v>0</v>
      </c>
      <c r="KM141" s="616">
        <v>11</v>
      </c>
      <c r="KN141" s="616"/>
      <c r="KO141" s="617"/>
    </row>
    <row r="142" spans="1:301">
      <c r="A142" s="5737">
        <v>2</v>
      </c>
      <c r="B142" s="5737">
        <v>3</v>
      </c>
      <c r="C142" s="5736" t="s">
        <v>381</v>
      </c>
      <c r="D142" s="5739" t="s">
        <v>1076</v>
      </c>
      <c r="E142" s="5737">
        <v>1</v>
      </c>
      <c r="F142" s="5737">
        <v>12</v>
      </c>
      <c r="I142" s="4726">
        <v>2</v>
      </c>
      <c r="J142" s="4726">
        <v>3</v>
      </c>
      <c r="K142" s="4725" t="s">
        <v>381</v>
      </c>
      <c r="L142" s="4963" t="s">
        <v>1076</v>
      </c>
      <c r="M142" s="4964">
        <v>1</v>
      </c>
      <c r="N142" s="4726">
        <v>13</v>
      </c>
      <c r="Q142" s="4458">
        <v>3</v>
      </c>
      <c r="R142" s="4458">
        <v>3</v>
      </c>
      <c r="S142" s="4459" t="s">
        <v>525</v>
      </c>
      <c r="T142" s="4461" t="s">
        <v>2707</v>
      </c>
      <c r="U142" s="4458">
        <v>12</v>
      </c>
      <c r="V142" s="4479">
        <v>1</v>
      </c>
      <c r="W142" s="4510"/>
      <c r="Z142" s="36"/>
      <c r="AA142" s="36"/>
      <c r="AB142" s="36"/>
      <c r="AC142" s="4236" t="s">
        <v>15</v>
      </c>
      <c r="AD142" s="4236">
        <v>3</v>
      </c>
      <c r="AE142" s="4236"/>
      <c r="AF142" s="4236"/>
      <c r="AG142" s="4236">
        <v>1</v>
      </c>
      <c r="AH142" s="4236"/>
      <c r="AI142" s="4236"/>
      <c r="AJ142" s="4236">
        <v>1</v>
      </c>
      <c r="AK142" s="4236"/>
      <c r="AL142" s="4236"/>
      <c r="AM142" s="4236">
        <v>2</v>
      </c>
      <c r="AN142" s="4236">
        <v>2</v>
      </c>
      <c r="AO142" s="4236">
        <v>20</v>
      </c>
      <c r="AP142" s="4236">
        <v>4</v>
      </c>
      <c r="AQ142" s="4236">
        <v>15</v>
      </c>
      <c r="AR142" s="4236">
        <v>48</v>
      </c>
      <c r="AS142" s="4243">
        <f>(AR138+AR141)/(AR142-AR140)</f>
        <v>0.1111111111111111</v>
      </c>
      <c r="AU142" s="36"/>
      <c r="AV142" s="36"/>
      <c r="AW142" s="393"/>
      <c r="AX142" s="393" t="s">
        <v>1163</v>
      </c>
      <c r="AY142" s="1682"/>
      <c r="AZ142" s="1682">
        <v>0</v>
      </c>
      <c r="BA142" s="1682"/>
      <c r="BB142" s="1682"/>
      <c r="BC142" s="1682">
        <v>0</v>
      </c>
      <c r="BD142" s="1682">
        <v>0</v>
      </c>
      <c r="BE142" s="1682">
        <v>0</v>
      </c>
      <c r="BF142" s="1682">
        <v>0</v>
      </c>
      <c r="BG142" s="1682">
        <v>10</v>
      </c>
      <c r="BH142" s="1682">
        <v>1</v>
      </c>
      <c r="BI142" s="1682">
        <v>2</v>
      </c>
      <c r="BJ142" s="1682">
        <v>14</v>
      </c>
      <c r="BK142" s="1682">
        <v>4</v>
      </c>
      <c r="BL142" s="1682">
        <v>2</v>
      </c>
      <c r="BM142" s="4455">
        <v>0</v>
      </c>
      <c r="BN142" s="4455">
        <v>0</v>
      </c>
      <c r="BO142" s="4455">
        <v>33</v>
      </c>
      <c r="BP142" s="4455"/>
      <c r="BT142" s="1520"/>
      <c r="BU142" s="1520" t="s">
        <v>1163</v>
      </c>
      <c r="BV142" s="3872">
        <v>0</v>
      </c>
      <c r="BW142" s="3872">
        <v>0</v>
      </c>
      <c r="BX142" s="3872"/>
      <c r="BY142" s="3872"/>
      <c r="BZ142" s="3872">
        <v>0</v>
      </c>
      <c r="CA142" s="3872">
        <v>0</v>
      </c>
      <c r="CB142" s="3872">
        <v>0</v>
      </c>
      <c r="CC142" s="3872">
        <v>0</v>
      </c>
      <c r="CD142" s="3872">
        <v>10</v>
      </c>
      <c r="CE142" s="3872">
        <v>0</v>
      </c>
      <c r="CF142" s="3872">
        <v>2</v>
      </c>
      <c r="CG142" s="3872">
        <v>7</v>
      </c>
      <c r="CH142" s="3872">
        <v>3</v>
      </c>
      <c r="CI142" s="3872">
        <v>0</v>
      </c>
      <c r="CJ142" s="3806">
        <v>0</v>
      </c>
      <c r="CK142" s="3806">
        <v>22</v>
      </c>
      <c r="CL142" s="1520"/>
      <c r="CN142" s="36"/>
      <c r="CO142" s="36"/>
      <c r="CP142" s="36"/>
      <c r="CQ142" s="36" t="s">
        <v>1080</v>
      </c>
      <c r="CR142" s="615">
        <v>0</v>
      </c>
      <c r="CS142" s="615"/>
      <c r="CT142" s="615"/>
      <c r="CU142" s="615"/>
      <c r="CV142" s="615"/>
      <c r="CW142" s="615">
        <v>0</v>
      </c>
      <c r="CX142" s="615"/>
      <c r="CY142" s="615"/>
      <c r="CZ142" s="615"/>
      <c r="DA142" s="615"/>
      <c r="DB142" s="615"/>
      <c r="DC142" s="615">
        <v>0</v>
      </c>
      <c r="DD142" s="615">
        <v>0</v>
      </c>
      <c r="DE142" s="615">
        <v>0</v>
      </c>
      <c r="DF142" s="615">
        <v>4</v>
      </c>
      <c r="DG142" s="36">
        <v>1</v>
      </c>
      <c r="DH142" s="36">
        <v>5</v>
      </c>
      <c r="DI142" s="36">
        <v>10</v>
      </c>
      <c r="DJ142" s="36"/>
      <c r="DL142" s="36"/>
      <c r="DM142" s="36"/>
      <c r="DN142" s="36"/>
      <c r="DO142" s="36" t="s">
        <v>1080</v>
      </c>
      <c r="DP142" s="1681"/>
      <c r="DQ142" s="1681"/>
      <c r="DR142" s="1681"/>
      <c r="DS142" s="1681"/>
      <c r="DT142" s="1681"/>
      <c r="DU142" s="1681"/>
      <c r="DV142" s="1681"/>
      <c r="DW142" s="1681"/>
      <c r="DX142" s="1681">
        <v>0</v>
      </c>
      <c r="DY142" s="1681"/>
      <c r="DZ142" s="1681">
        <v>0</v>
      </c>
      <c r="EA142" s="1681"/>
      <c r="EB142" s="1681">
        <v>0</v>
      </c>
      <c r="EC142" s="1681">
        <v>0</v>
      </c>
      <c r="ED142" s="1681">
        <v>2</v>
      </c>
      <c r="EE142" s="95"/>
      <c r="EF142" s="95">
        <v>2</v>
      </c>
      <c r="EG142" s="95">
        <v>4</v>
      </c>
      <c r="EH142" s="36"/>
      <c r="EL142" s="36"/>
      <c r="EM142" s="36" t="s">
        <v>1163</v>
      </c>
      <c r="EN142" s="1490"/>
      <c r="EO142" s="1490"/>
      <c r="EP142" s="1490">
        <v>0</v>
      </c>
      <c r="EQ142" s="1490"/>
      <c r="ER142" s="1490"/>
      <c r="ES142" s="1490"/>
      <c r="ET142" s="1490"/>
      <c r="EU142" s="1490">
        <v>0</v>
      </c>
      <c r="EV142" s="1490"/>
      <c r="EW142" s="1490">
        <v>1</v>
      </c>
      <c r="EX142" s="1490">
        <v>1</v>
      </c>
      <c r="EY142" s="1490"/>
      <c r="EZ142" s="1490">
        <v>0</v>
      </c>
      <c r="FA142" s="1490"/>
      <c r="FB142" s="1490">
        <v>0</v>
      </c>
      <c r="FC142" s="36"/>
      <c r="FD142" s="36"/>
      <c r="FE142" s="36">
        <v>2</v>
      </c>
      <c r="FF142" s="36"/>
      <c r="FH142" s="1225"/>
      <c r="FI142" s="1225" t="s">
        <v>41</v>
      </c>
      <c r="FJ142" s="1225" t="s">
        <v>320</v>
      </c>
      <c r="FK142" s="1226" t="s">
        <v>1071</v>
      </c>
      <c r="FL142" s="1227"/>
      <c r="FM142" s="1227"/>
      <c r="FN142" s="1227"/>
      <c r="FO142" s="1227"/>
      <c r="FP142" s="1227"/>
      <c r="FQ142" s="1227"/>
      <c r="FR142" s="1227"/>
      <c r="FS142" s="1228">
        <v>0</v>
      </c>
      <c r="FT142" s="1227"/>
      <c r="FU142" s="1228">
        <v>0</v>
      </c>
      <c r="FV142" s="1228">
        <v>0</v>
      </c>
      <c r="FW142" s="1228">
        <v>0</v>
      </c>
      <c r="FX142" s="1228">
        <v>1</v>
      </c>
      <c r="FY142" s="1230">
        <v>0</v>
      </c>
      <c r="FZ142" s="1230">
        <v>1</v>
      </c>
      <c r="GA142" s="1230">
        <v>2</v>
      </c>
      <c r="GB142" s="36"/>
      <c r="GD142" s="603"/>
      <c r="GE142" s="603"/>
      <c r="GF142" s="603"/>
      <c r="GG142" s="622" t="s">
        <v>15</v>
      </c>
      <c r="GH142" s="623"/>
      <c r="GI142" s="623"/>
      <c r="GJ142" s="623"/>
      <c r="GK142" s="623"/>
      <c r="GL142" s="623"/>
      <c r="GM142" s="623"/>
      <c r="GN142" s="623"/>
      <c r="GO142" s="623"/>
      <c r="GP142" s="624">
        <v>1</v>
      </c>
      <c r="GQ142" s="624">
        <v>4</v>
      </c>
      <c r="GR142" s="624">
        <v>3</v>
      </c>
      <c r="GS142" s="624">
        <v>2</v>
      </c>
      <c r="GT142" s="623"/>
      <c r="GU142" s="624">
        <v>1</v>
      </c>
      <c r="GV142" s="623"/>
      <c r="GW142" s="625"/>
      <c r="GX142" s="625"/>
      <c r="GY142" s="626">
        <v>11</v>
      </c>
      <c r="GZ142" s="560">
        <f>+(GY140+GY141)/GY142</f>
        <v>0.54545454545454541</v>
      </c>
      <c r="HB142" s="441"/>
      <c r="HC142" s="441"/>
      <c r="HD142" s="441"/>
      <c r="HE142" s="441"/>
      <c r="HF142" s="442" t="s">
        <v>1081</v>
      </c>
      <c r="HG142" s="609"/>
      <c r="HH142" s="609"/>
      <c r="HI142" s="609"/>
      <c r="HJ142" s="610">
        <v>0</v>
      </c>
      <c r="HK142" s="609"/>
      <c r="HL142" s="609"/>
      <c r="HM142" s="609"/>
      <c r="HN142" s="609"/>
      <c r="HO142" s="609"/>
      <c r="HP142" s="609"/>
      <c r="HQ142" s="609"/>
      <c r="HR142" s="610">
        <v>0</v>
      </c>
      <c r="HS142" s="610">
        <v>1</v>
      </c>
      <c r="HT142" s="610">
        <v>0</v>
      </c>
      <c r="HU142" s="610">
        <v>0</v>
      </c>
      <c r="HV142" s="611"/>
      <c r="HW142" s="611"/>
      <c r="HX142" s="612">
        <v>1</v>
      </c>
      <c r="HY142" s="560"/>
      <c r="HZ142" s="36"/>
      <c r="IA142" s="613"/>
      <c r="IB142" s="613"/>
      <c r="IC142" s="613"/>
      <c r="ID142" s="389" t="s">
        <v>1077</v>
      </c>
      <c r="IE142" s="390">
        <v>0</v>
      </c>
      <c r="IF142" s="390">
        <v>1</v>
      </c>
      <c r="IG142" s="390">
        <v>1</v>
      </c>
      <c r="IH142" s="390">
        <v>0</v>
      </c>
      <c r="II142" s="614"/>
      <c r="IJ142" s="390">
        <v>3</v>
      </c>
      <c r="IK142" s="390">
        <v>2</v>
      </c>
      <c r="IL142" s="390">
        <v>1</v>
      </c>
      <c r="IM142" s="390">
        <v>2</v>
      </c>
      <c r="IN142" s="390">
        <v>0</v>
      </c>
      <c r="IO142" s="390">
        <v>0</v>
      </c>
      <c r="IP142" s="390">
        <v>0</v>
      </c>
      <c r="IQ142" s="390">
        <v>0</v>
      </c>
      <c r="IR142" s="390">
        <v>10</v>
      </c>
      <c r="IS142" s="615"/>
      <c r="IT142" s="36"/>
      <c r="IU142" s="36"/>
      <c r="IV142" s="95"/>
      <c r="IW142" s="95"/>
      <c r="IX142" s="95"/>
      <c r="IY142" s="36" t="s">
        <v>1072</v>
      </c>
      <c r="IZ142" s="36">
        <v>2</v>
      </c>
      <c r="JA142" s="36">
        <v>0</v>
      </c>
      <c r="JB142" s="36">
        <v>0</v>
      </c>
      <c r="JC142" s="36"/>
      <c r="JD142" s="36">
        <v>1</v>
      </c>
      <c r="JE142" s="36"/>
      <c r="JF142" s="36"/>
      <c r="JG142" s="36"/>
      <c r="JH142" s="36">
        <v>1</v>
      </c>
      <c r="JI142" s="36">
        <v>2</v>
      </c>
      <c r="JJ142" s="36">
        <v>3</v>
      </c>
      <c r="JK142" s="36">
        <v>2</v>
      </c>
      <c r="JL142" s="36">
        <v>3</v>
      </c>
      <c r="JM142" s="36">
        <v>0</v>
      </c>
      <c r="JN142" s="36"/>
      <c r="JO142" s="36">
        <v>0</v>
      </c>
      <c r="JP142" s="36">
        <v>14</v>
      </c>
      <c r="JQ142" s="36"/>
      <c r="JR142" s="36"/>
      <c r="JS142" s="616"/>
      <c r="JT142" s="616"/>
      <c r="JU142" s="616"/>
      <c r="JV142" s="616" t="s">
        <v>1080</v>
      </c>
      <c r="JW142" s="616">
        <v>0</v>
      </c>
      <c r="JX142" s="616">
        <v>0</v>
      </c>
      <c r="JY142" s="616">
        <v>0</v>
      </c>
      <c r="JZ142" s="616">
        <v>0</v>
      </c>
      <c r="KA142" s="616">
        <v>0</v>
      </c>
      <c r="KB142" s="616">
        <v>0</v>
      </c>
      <c r="KC142" s="616">
        <v>0</v>
      </c>
      <c r="KD142" s="616">
        <v>0</v>
      </c>
      <c r="KE142" s="616">
        <v>0</v>
      </c>
      <c r="KF142" s="616">
        <v>0</v>
      </c>
      <c r="KG142" s="616">
        <v>0</v>
      </c>
      <c r="KH142" s="616">
        <v>0</v>
      </c>
      <c r="KI142" s="616">
        <v>0</v>
      </c>
      <c r="KJ142" s="616">
        <v>3</v>
      </c>
      <c r="KK142" s="616">
        <v>1</v>
      </c>
      <c r="KL142" s="616">
        <v>0</v>
      </c>
      <c r="KM142" s="616">
        <v>4</v>
      </c>
      <c r="KN142" s="616"/>
      <c r="KO142" s="617"/>
    </row>
    <row r="143" spans="1:301">
      <c r="A143" s="5737">
        <v>2</v>
      </c>
      <c r="B143" s="5737">
        <v>3</v>
      </c>
      <c r="C143" s="5736" t="s">
        <v>381</v>
      </c>
      <c r="D143" s="5739" t="s">
        <v>1076</v>
      </c>
      <c r="E143" s="5737">
        <v>2</v>
      </c>
      <c r="F143" s="5737">
        <v>13</v>
      </c>
      <c r="I143" s="4726">
        <v>2</v>
      </c>
      <c r="J143" s="4726">
        <v>3</v>
      </c>
      <c r="K143" s="4725" t="s">
        <v>381</v>
      </c>
      <c r="L143" s="4963" t="s">
        <v>1076</v>
      </c>
      <c r="M143" s="4964">
        <v>1</v>
      </c>
      <c r="N143" s="4726">
        <v>14</v>
      </c>
      <c r="Q143" s="4458"/>
      <c r="R143" s="4458"/>
      <c r="S143" s="4465" t="s">
        <v>15</v>
      </c>
      <c r="T143" s="4461"/>
      <c r="U143" s="4458"/>
      <c r="V143" s="4480">
        <f>SUM(V139:V142)</f>
        <v>5</v>
      </c>
      <c r="W143" s="4476">
        <f>+(V140+V141 +V142)/(V143)</f>
        <v>0.8</v>
      </c>
      <c r="Z143" s="36"/>
      <c r="AA143" s="36"/>
      <c r="AB143" s="36" t="s">
        <v>15</v>
      </c>
      <c r="AC143" s="36" t="s">
        <v>1071</v>
      </c>
      <c r="AD143" s="615">
        <v>0</v>
      </c>
      <c r="AE143" s="615">
        <v>0</v>
      </c>
      <c r="AF143" s="615">
        <v>0</v>
      </c>
      <c r="AG143" s="615">
        <v>0</v>
      </c>
      <c r="AH143" s="615">
        <v>0</v>
      </c>
      <c r="AI143" s="615">
        <v>0</v>
      </c>
      <c r="AJ143" s="615">
        <v>0</v>
      </c>
      <c r="AK143" s="615">
        <v>0</v>
      </c>
      <c r="AL143" s="615">
        <v>0</v>
      </c>
      <c r="AM143" s="615">
        <v>0</v>
      </c>
      <c r="AN143" s="615">
        <v>0</v>
      </c>
      <c r="AO143" s="615">
        <v>4</v>
      </c>
      <c r="AP143" s="615">
        <v>0</v>
      </c>
      <c r="AQ143" s="36">
        <v>0</v>
      </c>
      <c r="AR143" s="36">
        <v>4</v>
      </c>
      <c r="AS143" s="36"/>
      <c r="AU143" s="36"/>
      <c r="AV143" s="36"/>
      <c r="AW143" s="393"/>
      <c r="AX143" s="36" t="s">
        <v>15</v>
      </c>
      <c r="AY143" s="1682"/>
      <c r="AZ143" s="1682">
        <v>1</v>
      </c>
      <c r="BA143" s="1682"/>
      <c r="BB143" s="1682"/>
      <c r="BC143" s="1682">
        <v>1</v>
      </c>
      <c r="BD143" s="1682">
        <v>1</v>
      </c>
      <c r="BE143" s="1682">
        <v>1</v>
      </c>
      <c r="BF143" s="1682">
        <v>1</v>
      </c>
      <c r="BG143" s="1682">
        <v>13</v>
      </c>
      <c r="BH143" s="1682">
        <v>3</v>
      </c>
      <c r="BI143" s="1682">
        <v>6</v>
      </c>
      <c r="BJ143" s="1682">
        <v>20</v>
      </c>
      <c r="BK143" s="1682">
        <v>52</v>
      </c>
      <c r="BL143" s="1682">
        <v>27</v>
      </c>
      <c r="BM143" s="4455">
        <v>17</v>
      </c>
      <c r="BN143" s="4455">
        <v>5</v>
      </c>
      <c r="BO143" s="4455">
        <v>148</v>
      </c>
      <c r="BP143" s="560">
        <f>+(BO138+BO141+BO142)/(BO143)</f>
        <v>0.39189189189189189</v>
      </c>
      <c r="BT143" s="1520"/>
      <c r="BU143" s="1520" t="s">
        <v>109</v>
      </c>
      <c r="BV143" s="3872">
        <v>0</v>
      </c>
      <c r="BW143" s="3872">
        <v>1</v>
      </c>
      <c r="BX143" s="3872"/>
      <c r="BY143" s="3872"/>
      <c r="BZ143" s="3872">
        <v>1</v>
      </c>
      <c r="CA143" s="3872">
        <v>1</v>
      </c>
      <c r="CB143" s="3872">
        <v>1</v>
      </c>
      <c r="CC143" s="3872">
        <v>1</v>
      </c>
      <c r="CD143" s="3872">
        <v>13</v>
      </c>
      <c r="CE143" s="3872">
        <v>4</v>
      </c>
      <c r="CF143" s="3872">
        <v>5</v>
      </c>
      <c r="CG143" s="3872">
        <v>21</v>
      </c>
      <c r="CH143" s="3872">
        <v>71</v>
      </c>
      <c r="CI143" s="3872">
        <v>9</v>
      </c>
      <c r="CJ143" s="3806">
        <v>20</v>
      </c>
      <c r="CK143" s="3806">
        <v>148</v>
      </c>
      <c r="CL143" s="3807">
        <f>+(CK138+CK141+CK142)/CK143</f>
        <v>0.28378378378378377</v>
      </c>
      <c r="CN143" s="36"/>
      <c r="CO143" s="36"/>
      <c r="CP143" s="36"/>
      <c r="CQ143" s="36" t="s">
        <v>1163</v>
      </c>
      <c r="CR143" s="615">
        <v>0</v>
      </c>
      <c r="CS143" s="615"/>
      <c r="CT143" s="615"/>
      <c r="CU143" s="615"/>
      <c r="CV143" s="615"/>
      <c r="CW143" s="615">
        <v>0</v>
      </c>
      <c r="CX143" s="615"/>
      <c r="CY143" s="615"/>
      <c r="CZ143" s="615"/>
      <c r="DA143" s="615"/>
      <c r="DB143" s="615"/>
      <c r="DC143" s="615">
        <v>1</v>
      </c>
      <c r="DD143" s="615">
        <v>0</v>
      </c>
      <c r="DE143" s="615">
        <v>1</v>
      </c>
      <c r="DF143" s="615">
        <v>1</v>
      </c>
      <c r="DG143" s="36">
        <v>0</v>
      </c>
      <c r="DH143" s="36">
        <v>0</v>
      </c>
      <c r="DI143" s="36">
        <v>3</v>
      </c>
      <c r="DJ143" s="36"/>
      <c r="DL143" s="36"/>
      <c r="DM143" s="36"/>
      <c r="DN143" s="36"/>
      <c r="DO143" s="36" t="s">
        <v>1081</v>
      </c>
      <c r="DP143" s="1681"/>
      <c r="DQ143" s="1681"/>
      <c r="DR143" s="1681"/>
      <c r="DS143" s="1681"/>
      <c r="DT143" s="1681"/>
      <c r="DU143" s="1681"/>
      <c r="DV143" s="1681"/>
      <c r="DW143" s="1681"/>
      <c r="DX143" s="1681">
        <v>0</v>
      </c>
      <c r="DY143" s="1681"/>
      <c r="DZ143" s="1681">
        <v>0</v>
      </c>
      <c r="EA143" s="1681"/>
      <c r="EB143" s="1681">
        <v>1</v>
      </c>
      <c r="EC143" s="1681">
        <v>0</v>
      </c>
      <c r="ED143" s="1681">
        <v>0</v>
      </c>
      <c r="EE143" s="95"/>
      <c r="EF143" s="95">
        <v>0</v>
      </c>
      <c r="EG143" s="95">
        <v>1</v>
      </c>
      <c r="EH143" s="36"/>
      <c r="EL143" s="36"/>
      <c r="EM143" s="393" t="s">
        <v>15</v>
      </c>
      <c r="EN143" s="1491"/>
      <c r="EO143" s="1491"/>
      <c r="EP143" s="1491">
        <v>1</v>
      </c>
      <c r="EQ143" s="1491"/>
      <c r="ER143" s="1491"/>
      <c r="ES143" s="1491"/>
      <c r="ET143" s="1491"/>
      <c r="EU143" s="1491">
        <v>1</v>
      </c>
      <c r="EV143" s="1491"/>
      <c r="EW143" s="1491">
        <v>6</v>
      </c>
      <c r="EX143" s="1491">
        <v>3</v>
      </c>
      <c r="EY143" s="1491"/>
      <c r="EZ143" s="1491">
        <v>1</v>
      </c>
      <c r="FA143" s="1491"/>
      <c r="FB143" s="1491">
        <v>1</v>
      </c>
      <c r="FC143" s="393"/>
      <c r="FD143" s="393"/>
      <c r="FE143" s="393">
        <v>13</v>
      </c>
      <c r="FF143" s="560">
        <f>+FE142/FE143</f>
        <v>0.15384615384615385</v>
      </c>
      <c r="FH143" s="1225"/>
      <c r="FI143" s="1225"/>
      <c r="FJ143" s="1225"/>
      <c r="FK143" s="1226" t="s">
        <v>1072</v>
      </c>
      <c r="FL143" s="1227"/>
      <c r="FM143" s="1227"/>
      <c r="FN143" s="1227"/>
      <c r="FO143" s="1227"/>
      <c r="FP143" s="1227"/>
      <c r="FQ143" s="1227"/>
      <c r="FR143" s="1227"/>
      <c r="FS143" s="1228">
        <v>0</v>
      </c>
      <c r="FT143" s="1227"/>
      <c r="FU143" s="1228">
        <v>0</v>
      </c>
      <c r="FV143" s="1228">
        <v>0</v>
      </c>
      <c r="FW143" s="1228">
        <v>0</v>
      </c>
      <c r="FX143" s="1228">
        <v>1</v>
      </c>
      <c r="FY143" s="1230">
        <v>0</v>
      </c>
      <c r="FZ143" s="1230">
        <v>0</v>
      </c>
      <c r="GA143" s="1230">
        <v>1</v>
      </c>
      <c r="GB143" s="36"/>
      <c r="GD143" s="603"/>
      <c r="GE143" s="603"/>
      <c r="GF143" s="603" t="s">
        <v>485</v>
      </c>
      <c r="GG143" s="604" t="s">
        <v>1071</v>
      </c>
      <c r="GH143" s="605"/>
      <c r="GI143" s="605"/>
      <c r="GJ143" s="605"/>
      <c r="GK143" s="605"/>
      <c r="GL143" s="605"/>
      <c r="GM143" s="605"/>
      <c r="GN143" s="606">
        <v>0</v>
      </c>
      <c r="GO143" s="605"/>
      <c r="GP143" s="606">
        <v>0</v>
      </c>
      <c r="GQ143" s="606">
        <v>1</v>
      </c>
      <c r="GR143" s="606">
        <v>0</v>
      </c>
      <c r="GS143" s="606">
        <v>0</v>
      </c>
      <c r="GT143" s="605"/>
      <c r="GU143" s="606">
        <v>0</v>
      </c>
      <c r="GV143" s="605"/>
      <c r="GW143" s="607"/>
      <c r="GX143" s="607"/>
      <c r="GY143" s="608">
        <v>1</v>
      </c>
      <c r="GZ143" s="95"/>
      <c r="HB143" s="441"/>
      <c r="HC143" s="441"/>
      <c r="HD143" s="441"/>
      <c r="HE143" s="36"/>
      <c r="HF143" s="462" t="s">
        <v>15</v>
      </c>
      <c r="HG143" s="618"/>
      <c r="HH143" s="618"/>
      <c r="HI143" s="618"/>
      <c r="HJ143" s="619">
        <v>1</v>
      </c>
      <c r="HK143" s="618"/>
      <c r="HL143" s="618"/>
      <c r="HM143" s="618"/>
      <c r="HN143" s="618"/>
      <c r="HO143" s="618"/>
      <c r="HP143" s="618"/>
      <c r="HQ143" s="618"/>
      <c r="HR143" s="619">
        <v>1</v>
      </c>
      <c r="HS143" s="619">
        <v>9</v>
      </c>
      <c r="HT143" s="619">
        <v>2</v>
      </c>
      <c r="HU143" s="619">
        <v>1</v>
      </c>
      <c r="HV143" s="620"/>
      <c r="HW143" s="620"/>
      <c r="HX143" s="621">
        <v>14</v>
      </c>
      <c r="HY143" s="560">
        <f>+HX142/HX143</f>
        <v>7.1428571428571425E-2</v>
      </c>
      <c r="HZ143" s="36"/>
      <c r="IA143" s="613"/>
      <c r="IB143" s="613"/>
      <c r="IC143" s="613"/>
      <c r="ID143" s="389" t="s">
        <v>1080</v>
      </c>
      <c r="IE143" s="390">
        <v>0</v>
      </c>
      <c r="IF143" s="390">
        <v>0</v>
      </c>
      <c r="IG143" s="390">
        <v>0</v>
      </c>
      <c r="IH143" s="390">
        <v>0</v>
      </c>
      <c r="II143" s="614"/>
      <c r="IJ143" s="390">
        <v>0</v>
      </c>
      <c r="IK143" s="390">
        <v>0</v>
      </c>
      <c r="IL143" s="390">
        <v>0</v>
      </c>
      <c r="IM143" s="390">
        <v>0</v>
      </c>
      <c r="IN143" s="390">
        <v>6</v>
      </c>
      <c r="IO143" s="390">
        <v>14</v>
      </c>
      <c r="IP143" s="390">
        <v>1</v>
      </c>
      <c r="IQ143" s="390">
        <v>2</v>
      </c>
      <c r="IR143" s="390">
        <v>23</v>
      </c>
      <c r="IS143" s="615"/>
      <c r="IT143" s="36"/>
      <c r="IU143" s="36"/>
      <c r="IV143" s="95"/>
      <c r="IW143" s="95"/>
      <c r="IX143" s="95"/>
      <c r="IY143" s="36" t="s">
        <v>1074</v>
      </c>
      <c r="IZ143" s="36">
        <v>0</v>
      </c>
      <c r="JA143" s="36">
        <v>1</v>
      </c>
      <c r="JB143" s="36">
        <v>0</v>
      </c>
      <c r="JC143" s="36"/>
      <c r="JD143" s="36">
        <v>2</v>
      </c>
      <c r="JE143" s="36"/>
      <c r="JF143" s="36"/>
      <c r="JG143" s="36"/>
      <c r="JH143" s="36">
        <v>0</v>
      </c>
      <c r="JI143" s="36">
        <v>0</v>
      </c>
      <c r="JJ143" s="36">
        <v>0</v>
      </c>
      <c r="JK143" s="36">
        <v>0</v>
      </c>
      <c r="JL143" s="36">
        <v>0</v>
      </c>
      <c r="JM143" s="36">
        <v>0</v>
      </c>
      <c r="JN143" s="36"/>
      <c r="JO143" s="36">
        <v>0</v>
      </c>
      <c r="JP143" s="36">
        <v>3</v>
      </c>
      <c r="JQ143" s="36"/>
      <c r="JR143" s="36"/>
      <c r="JS143" s="616"/>
      <c r="JT143" s="616"/>
      <c r="JU143" s="616"/>
      <c r="JV143" s="616" t="s">
        <v>1163</v>
      </c>
      <c r="JW143" s="616">
        <v>0</v>
      </c>
      <c r="JX143" s="616">
        <v>0</v>
      </c>
      <c r="JY143" s="616">
        <v>0</v>
      </c>
      <c r="JZ143" s="616">
        <v>0</v>
      </c>
      <c r="KA143" s="616">
        <v>0</v>
      </c>
      <c r="KB143" s="616">
        <v>0</v>
      </c>
      <c r="KC143" s="616">
        <v>1</v>
      </c>
      <c r="KD143" s="616">
        <v>1</v>
      </c>
      <c r="KE143" s="616">
        <v>1</v>
      </c>
      <c r="KF143" s="616">
        <v>1</v>
      </c>
      <c r="KG143" s="616">
        <v>0</v>
      </c>
      <c r="KH143" s="616">
        <v>6</v>
      </c>
      <c r="KI143" s="616">
        <v>0</v>
      </c>
      <c r="KJ143" s="616">
        <v>0</v>
      </c>
      <c r="KK143" s="616">
        <v>0</v>
      </c>
      <c r="KL143" s="616">
        <v>0</v>
      </c>
      <c r="KM143" s="616">
        <v>10</v>
      </c>
      <c r="KN143" s="616"/>
      <c r="KO143" s="617"/>
    </row>
    <row r="144" spans="1:301">
      <c r="A144" s="5737">
        <v>2</v>
      </c>
      <c r="B144" s="5737">
        <v>3</v>
      </c>
      <c r="C144" s="5736" t="s">
        <v>381</v>
      </c>
      <c r="D144" s="5739" t="s">
        <v>1076</v>
      </c>
      <c r="E144" s="5737">
        <v>1</v>
      </c>
      <c r="F144" s="5737">
        <v>14</v>
      </c>
      <c r="I144" s="4726">
        <v>2</v>
      </c>
      <c r="J144" s="4726">
        <v>3</v>
      </c>
      <c r="K144" s="4725" t="s">
        <v>381</v>
      </c>
      <c r="L144" s="4725" t="s">
        <v>2709</v>
      </c>
      <c r="M144" s="4726">
        <v>1</v>
      </c>
      <c r="N144" s="4726">
        <v>8</v>
      </c>
      <c r="Q144" s="4458"/>
      <c r="R144" s="4458"/>
      <c r="S144" s="4459"/>
      <c r="T144" s="4461"/>
      <c r="U144" s="4458"/>
      <c r="V144" s="4490">
        <f>SUM(V127,V129:V130,V133:V134,V136:V137,V140:V142)</f>
        <v>13</v>
      </c>
      <c r="W144" s="4510"/>
      <c r="Z144" s="36"/>
      <c r="AA144" s="36"/>
      <c r="AB144" s="36"/>
      <c r="AC144" s="36" t="s">
        <v>1072</v>
      </c>
      <c r="AD144" s="615">
        <v>0</v>
      </c>
      <c r="AE144" s="615">
        <v>1</v>
      </c>
      <c r="AF144" s="615">
        <v>0</v>
      </c>
      <c r="AG144" s="615">
        <v>1</v>
      </c>
      <c r="AH144" s="615">
        <v>0</v>
      </c>
      <c r="AI144" s="615">
        <v>1</v>
      </c>
      <c r="AJ144" s="615">
        <v>0</v>
      </c>
      <c r="AK144" s="615">
        <v>0</v>
      </c>
      <c r="AL144" s="615">
        <v>0</v>
      </c>
      <c r="AM144" s="615">
        <v>0</v>
      </c>
      <c r="AN144" s="615">
        <v>11</v>
      </c>
      <c r="AO144" s="615">
        <v>1</v>
      </c>
      <c r="AP144" s="615">
        <v>5</v>
      </c>
      <c r="AQ144" s="36">
        <v>0</v>
      </c>
      <c r="AR144" s="36">
        <v>20</v>
      </c>
      <c r="AS144" s="36"/>
      <c r="AU144" s="36" t="s">
        <v>48</v>
      </c>
      <c r="AV144" s="36" t="s">
        <v>16</v>
      </c>
      <c r="AW144" s="36" t="s">
        <v>143</v>
      </c>
      <c r="AX144" s="36" t="s">
        <v>1072</v>
      </c>
      <c r="AY144" s="1681"/>
      <c r="AZ144" s="1681">
        <v>1</v>
      </c>
      <c r="BA144" s="1681"/>
      <c r="BB144" s="1681">
        <v>1</v>
      </c>
      <c r="BC144" s="1681"/>
      <c r="BD144" s="1681"/>
      <c r="BE144" s="1681"/>
      <c r="BF144" s="1681"/>
      <c r="BG144" s="1681"/>
      <c r="BH144" s="1681"/>
      <c r="BI144" s="1681">
        <v>1</v>
      </c>
      <c r="BJ144" s="1681">
        <v>17</v>
      </c>
      <c r="BK144" s="1681">
        <v>11</v>
      </c>
      <c r="BL144" s="1681">
        <v>1</v>
      </c>
      <c r="BM144" s="95">
        <v>0</v>
      </c>
      <c r="BN144" s="95">
        <v>0</v>
      </c>
      <c r="BO144" s="95">
        <v>32</v>
      </c>
      <c r="BP144" s="95"/>
      <c r="BR144" s="32" t="s">
        <v>48</v>
      </c>
      <c r="BS144" s="32" t="s">
        <v>16</v>
      </c>
      <c r="BT144" s="32" t="s">
        <v>143</v>
      </c>
      <c r="BU144" s="32" t="s">
        <v>1072</v>
      </c>
      <c r="BV144" s="3871">
        <v>0</v>
      </c>
      <c r="BW144" s="3871">
        <v>1</v>
      </c>
      <c r="BX144" s="3871"/>
      <c r="BY144" s="3871">
        <v>1</v>
      </c>
      <c r="BZ144" s="3871"/>
      <c r="CA144" s="3871"/>
      <c r="CB144" s="3871"/>
      <c r="CC144" s="3871"/>
      <c r="CD144" s="3871"/>
      <c r="CE144" s="3871"/>
      <c r="CF144" s="3871">
        <v>1</v>
      </c>
      <c r="CG144" s="3871">
        <v>18</v>
      </c>
      <c r="CH144" s="3871">
        <v>14</v>
      </c>
      <c r="CI144" s="3871">
        <v>1</v>
      </c>
      <c r="CJ144" s="1518">
        <v>0</v>
      </c>
      <c r="CK144" s="1518">
        <v>36</v>
      </c>
      <c r="CN144" s="36"/>
      <c r="CO144" s="36"/>
      <c r="CP144" s="36"/>
      <c r="CQ144" s="393" t="s">
        <v>15</v>
      </c>
      <c r="CR144" s="2049">
        <v>1</v>
      </c>
      <c r="CS144" s="2049"/>
      <c r="CT144" s="2049"/>
      <c r="CU144" s="2049"/>
      <c r="CV144" s="2049"/>
      <c r="CW144" s="2049">
        <v>1</v>
      </c>
      <c r="CX144" s="2049"/>
      <c r="CY144" s="2049"/>
      <c r="CZ144" s="2049"/>
      <c r="DA144" s="2049"/>
      <c r="DB144" s="2049"/>
      <c r="DC144" s="2049">
        <v>1</v>
      </c>
      <c r="DD144" s="2049">
        <v>2</v>
      </c>
      <c r="DE144" s="2049">
        <v>3</v>
      </c>
      <c r="DF144" s="2049">
        <v>5</v>
      </c>
      <c r="DG144" s="393">
        <v>2</v>
      </c>
      <c r="DH144" s="393">
        <v>6</v>
      </c>
      <c r="DI144" s="393">
        <v>21</v>
      </c>
      <c r="DJ144" s="560">
        <f>+(DI143+DI141-DG141)/DI144</f>
        <v>0.33333333333333331</v>
      </c>
      <c r="DK144" s="1665"/>
      <c r="DL144" s="36"/>
      <c r="DM144" s="36"/>
      <c r="DN144" s="36"/>
      <c r="DO144" s="36" t="s">
        <v>1163</v>
      </c>
      <c r="DP144" s="1681"/>
      <c r="DQ144" s="1681"/>
      <c r="DR144" s="1681"/>
      <c r="DS144" s="1681"/>
      <c r="DT144" s="1681"/>
      <c r="DU144" s="1681"/>
      <c r="DV144" s="1681"/>
      <c r="DW144" s="1681"/>
      <c r="DX144" s="1681">
        <v>0</v>
      </c>
      <c r="DY144" s="1681"/>
      <c r="DZ144" s="1681">
        <v>0</v>
      </c>
      <c r="EA144" s="1681"/>
      <c r="EB144" s="1681">
        <v>3</v>
      </c>
      <c r="EC144" s="1681">
        <v>0</v>
      </c>
      <c r="ED144" s="1681">
        <v>0</v>
      </c>
      <c r="EE144" s="95"/>
      <c r="EF144" s="95">
        <v>0</v>
      </c>
      <c r="EG144" s="95">
        <v>3</v>
      </c>
      <c r="EH144" s="36"/>
      <c r="EL144" s="36" t="s">
        <v>320</v>
      </c>
      <c r="EM144" s="36" t="s">
        <v>1072</v>
      </c>
      <c r="EN144" s="1490"/>
      <c r="EO144" s="1490"/>
      <c r="EP144" s="1490"/>
      <c r="EQ144" s="1490"/>
      <c r="ER144" s="1490"/>
      <c r="ES144" s="1490"/>
      <c r="ET144" s="1490"/>
      <c r="EU144" s="1490"/>
      <c r="EV144" s="1490"/>
      <c r="EW144" s="1490"/>
      <c r="EX144" s="1490"/>
      <c r="EY144" s="1490">
        <v>0</v>
      </c>
      <c r="EZ144" s="1490">
        <v>1</v>
      </c>
      <c r="FA144" s="1490">
        <v>0</v>
      </c>
      <c r="FB144" s="1490">
        <v>1</v>
      </c>
      <c r="FC144" s="36"/>
      <c r="FD144" s="36">
        <v>0</v>
      </c>
      <c r="FE144" s="36">
        <v>2</v>
      </c>
      <c r="FF144" s="36"/>
      <c r="FH144" s="1225"/>
      <c r="FI144" s="1225"/>
      <c r="FJ144" s="1225"/>
      <c r="FK144" s="1226" t="s">
        <v>1076</v>
      </c>
      <c r="FL144" s="1227"/>
      <c r="FM144" s="1227"/>
      <c r="FN144" s="1227"/>
      <c r="FO144" s="1227"/>
      <c r="FP144" s="1227"/>
      <c r="FQ144" s="1227"/>
      <c r="FR144" s="1227"/>
      <c r="FS144" s="1228">
        <v>0</v>
      </c>
      <c r="FT144" s="1227"/>
      <c r="FU144" s="1228">
        <v>1</v>
      </c>
      <c r="FV144" s="1228">
        <v>0</v>
      </c>
      <c r="FW144" s="1228">
        <v>1</v>
      </c>
      <c r="FX144" s="1228">
        <v>0</v>
      </c>
      <c r="FY144" s="1230">
        <v>0</v>
      </c>
      <c r="FZ144" s="1230">
        <v>0</v>
      </c>
      <c r="GA144" s="1230">
        <v>2</v>
      </c>
      <c r="GB144" s="36"/>
      <c r="GD144" s="603"/>
      <c r="GE144" s="603"/>
      <c r="GF144" s="603"/>
      <c r="GG144" s="604" t="s">
        <v>1072</v>
      </c>
      <c r="GH144" s="605"/>
      <c r="GI144" s="605"/>
      <c r="GJ144" s="605"/>
      <c r="GK144" s="605"/>
      <c r="GL144" s="605"/>
      <c r="GM144" s="605"/>
      <c r="GN144" s="606">
        <v>0</v>
      </c>
      <c r="GO144" s="605"/>
      <c r="GP144" s="606">
        <v>2</v>
      </c>
      <c r="GQ144" s="606">
        <v>4</v>
      </c>
      <c r="GR144" s="606">
        <v>4</v>
      </c>
      <c r="GS144" s="606">
        <v>1</v>
      </c>
      <c r="GT144" s="605"/>
      <c r="GU144" s="606">
        <v>1</v>
      </c>
      <c r="GV144" s="605"/>
      <c r="GW144" s="607"/>
      <c r="GX144" s="607"/>
      <c r="GY144" s="608">
        <v>12</v>
      </c>
      <c r="GZ144" s="95"/>
      <c r="HB144" s="441"/>
      <c r="HC144" s="441"/>
      <c r="HD144" s="462" t="s">
        <v>483</v>
      </c>
      <c r="HE144" s="441" t="s">
        <v>1070</v>
      </c>
      <c r="HF144" s="442" t="s">
        <v>1072</v>
      </c>
      <c r="HG144" s="609"/>
      <c r="HH144" s="610">
        <v>1</v>
      </c>
      <c r="HI144" s="609"/>
      <c r="HJ144" s="610">
        <v>2</v>
      </c>
      <c r="HK144" s="609"/>
      <c r="HL144" s="610">
        <v>1</v>
      </c>
      <c r="HM144" s="609"/>
      <c r="HN144" s="609"/>
      <c r="HO144" s="609"/>
      <c r="HP144" s="610">
        <v>1</v>
      </c>
      <c r="HQ144" s="609"/>
      <c r="HR144" s="610">
        <v>4</v>
      </c>
      <c r="HS144" s="610">
        <v>20</v>
      </c>
      <c r="HT144" s="610">
        <v>5</v>
      </c>
      <c r="HU144" s="610">
        <v>3</v>
      </c>
      <c r="HV144" s="612">
        <v>5</v>
      </c>
      <c r="HW144" s="612">
        <v>0</v>
      </c>
      <c r="HX144" s="612">
        <v>42</v>
      </c>
      <c r="HY144" s="560"/>
      <c r="HZ144" s="36"/>
      <c r="IA144" s="613"/>
      <c r="IB144" s="613"/>
      <c r="IC144" s="613"/>
      <c r="ID144" s="389" t="s">
        <v>1163</v>
      </c>
      <c r="IE144" s="390">
        <v>0</v>
      </c>
      <c r="IF144" s="390">
        <v>0</v>
      </c>
      <c r="IG144" s="390">
        <v>0</v>
      </c>
      <c r="IH144" s="390">
        <v>1</v>
      </c>
      <c r="II144" s="614"/>
      <c r="IJ144" s="390">
        <v>3</v>
      </c>
      <c r="IK144" s="390">
        <v>5</v>
      </c>
      <c r="IL144" s="390">
        <v>1</v>
      </c>
      <c r="IM144" s="390">
        <v>3</v>
      </c>
      <c r="IN144" s="390">
        <v>0</v>
      </c>
      <c r="IO144" s="390">
        <v>0</v>
      </c>
      <c r="IP144" s="390">
        <v>0</v>
      </c>
      <c r="IQ144" s="390">
        <v>0</v>
      </c>
      <c r="IR144" s="390">
        <v>13</v>
      </c>
      <c r="IS144" s="615"/>
      <c r="IT144" s="36"/>
      <c r="IU144" s="36"/>
      <c r="IV144" s="95"/>
      <c r="IW144" s="95"/>
      <c r="IX144" s="95"/>
      <c r="IY144" s="36" t="s">
        <v>1076</v>
      </c>
      <c r="IZ144" s="36">
        <v>0</v>
      </c>
      <c r="JA144" s="36">
        <v>0</v>
      </c>
      <c r="JB144" s="36">
        <v>0</v>
      </c>
      <c r="JC144" s="36"/>
      <c r="JD144" s="36">
        <v>0</v>
      </c>
      <c r="JE144" s="36"/>
      <c r="JF144" s="36"/>
      <c r="JG144" s="36"/>
      <c r="JH144" s="36">
        <v>0</v>
      </c>
      <c r="JI144" s="36">
        <v>3</v>
      </c>
      <c r="JJ144" s="36">
        <v>4</v>
      </c>
      <c r="JK144" s="36">
        <v>8</v>
      </c>
      <c r="JL144" s="36">
        <v>2</v>
      </c>
      <c r="JM144" s="36">
        <v>0</v>
      </c>
      <c r="JN144" s="36"/>
      <c r="JO144" s="36">
        <v>0</v>
      </c>
      <c r="JP144" s="36">
        <v>17</v>
      </c>
      <c r="JQ144" s="36"/>
      <c r="JR144" s="36"/>
      <c r="JS144" s="616"/>
      <c r="JT144" s="616"/>
      <c r="JU144" s="616"/>
      <c r="JV144" s="627" t="s">
        <v>15</v>
      </c>
      <c r="JW144" s="627">
        <v>1</v>
      </c>
      <c r="JX144" s="627">
        <v>1</v>
      </c>
      <c r="JY144" s="627">
        <v>0</v>
      </c>
      <c r="JZ144" s="627">
        <v>0</v>
      </c>
      <c r="KA144" s="627">
        <v>0</v>
      </c>
      <c r="KB144" s="627">
        <v>1</v>
      </c>
      <c r="KC144" s="627">
        <v>2</v>
      </c>
      <c r="KD144" s="627">
        <v>3</v>
      </c>
      <c r="KE144" s="627">
        <v>8</v>
      </c>
      <c r="KF144" s="627">
        <v>6</v>
      </c>
      <c r="KG144" s="627">
        <v>1</v>
      </c>
      <c r="KH144" s="627">
        <v>20</v>
      </c>
      <c r="KI144" s="627">
        <v>0</v>
      </c>
      <c r="KJ144" s="627">
        <v>3</v>
      </c>
      <c r="KK144" s="627">
        <v>1</v>
      </c>
      <c r="KL144" s="627">
        <v>0</v>
      </c>
      <c r="KM144" s="627">
        <v>47</v>
      </c>
      <c r="KN144" s="628">
        <f>+(KM143+KM140)/KM144</f>
        <v>0.53191489361702127</v>
      </c>
      <c r="KO144" s="617">
        <f>+KM140+KM143</f>
        <v>25</v>
      </c>
    </row>
    <row r="145" spans="1:301">
      <c r="A145" s="5740">
        <v>2</v>
      </c>
      <c r="B145" s="5740">
        <v>3</v>
      </c>
      <c r="C145" s="5741" t="s">
        <v>381</v>
      </c>
      <c r="D145" s="5741" t="s">
        <v>1076</v>
      </c>
      <c r="E145" s="5740">
        <v>1</v>
      </c>
      <c r="F145" s="5740">
        <v>15</v>
      </c>
      <c r="I145" s="4726">
        <v>2</v>
      </c>
      <c r="J145" s="4726">
        <v>3</v>
      </c>
      <c r="K145" s="4725" t="s">
        <v>381</v>
      </c>
      <c r="L145" s="4725" t="s">
        <v>2709</v>
      </c>
      <c r="M145" s="4726">
        <v>2</v>
      </c>
      <c r="N145" s="4726">
        <v>12</v>
      </c>
      <c r="Q145" s="4458"/>
      <c r="R145" s="4474"/>
      <c r="S145" s="4471" t="s">
        <v>485</v>
      </c>
      <c r="T145" s="4475"/>
      <c r="U145" s="4474"/>
      <c r="V145" s="4487">
        <f>SUM(V131,V138,V143)</f>
        <v>39</v>
      </c>
      <c r="W145" s="4451">
        <f>+(V144)/(V145)</f>
        <v>0.33333333333333331</v>
      </c>
      <c r="Z145" s="36"/>
      <c r="AA145" s="36"/>
      <c r="AB145" s="36"/>
      <c r="AC145" s="36" t="s">
        <v>1074</v>
      </c>
      <c r="AD145" s="615">
        <v>0</v>
      </c>
      <c r="AE145" s="615">
        <v>1</v>
      </c>
      <c r="AF145" s="615">
        <v>0</v>
      </c>
      <c r="AG145" s="615">
        <v>1</v>
      </c>
      <c r="AH145" s="615">
        <v>1</v>
      </c>
      <c r="AI145" s="615">
        <v>0</v>
      </c>
      <c r="AJ145" s="615">
        <v>0</v>
      </c>
      <c r="AK145" s="615">
        <v>0</v>
      </c>
      <c r="AL145" s="615">
        <v>0</v>
      </c>
      <c r="AM145" s="615">
        <v>0</v>
      </c>
      <c r="AN145" s="615">
        <v>0</v>
      </c>
      <c r="AO145" s="615">
        <v>0</v>
      </c>
      <c r="AP145" s="615">
        <v>0</v>
      </c>
      <c r="AQ145" s="36">
        <v>0</v>
      </c>
      <c r="AR145" s="36">
        <v>3</v>
      </c>
      <c r="AS145" s="36"/>
      <c r="AU145" s="36"/>
      <c r="AV145" s="36"/>
      <c r="AW145" s="36"/>
      <c r="AX145" s="36" t="s">
        <v>1076</v>
      </c>
      <c r="AY145" s="1681"/>
      <c r="AZ145" s="1681">
        <v>0</v>
      </c>
      <c r="BA145" s="1681"/>
      <c r="BB145" s="1681">
        <v>0</v>
      </c>
      <c r="BC145" s="1681"/>
      <c r="BD145" s="1681"/>
      <c r="BE145" s="1681"/>
      <c r="BF145" s="1681"/>
      <c r="BG145" s="1681"/>
      <c r="BH145" s="1681"/>
      <c r="BI145" s="1681">
        <v>0</v>
      </c>
      <c r="BJ145" s="1681">
        <v>0</v>
      </c>
      <c r="BK145" s="1681">
        <v>2</v>
      </c>
      <c r="BL145" s="1681">
        <v>0</v>
      </c>
      <c r="BM145" s="95">
        <v>0</v>
      </c>
      <c r="BN145" s="95">
        <v>0</v>
      </c>
      <c r="BO145" s="95">
        <v>2</v>
      </c>
      <c r="BP145" s="95"/>
      <c r="BU145" s="32" t="s">
        <v>1076</v>
      </c>
      <c r="BV145" s="3871">
        <v>0</v>
      </c>
      <c r="BW145" s="3871">
        <v>0</v>
      </c>
      <c r="BX145" s="3871"/>
      <c r="BY145" s="3871">
        <v>0</v>
      </c>
      <c r="BZ145" s="3871"/>
      <c r="CA145" s="3871"/>
      <c r="CB145" s="3871"/>
      <c r="CC145" s="3871"/>
      <c r="CD145" s="3871"/>
      <c r="CE145" s="3871"/>
      <c r="CF145" s="3871">
        <v>0</v>
      </c>
      <c r="CG145" s="3871">
        <v>1</v>
      </c>
      <c r="CH145" s="3871">
        <v>2</v>
      </c>
      <c r="CI145" s="3871">
        <v>1</v>
      </c>
      <c r="CJ145" s="1518">
        <v>0</v>
      </c>
      <c r="CK145" s="1518">
        <v>4</v>
      </c>
      <c r="CN145" s="36"/>
      <c r="CO145" s="36"/>
      <c r="CP145" s="36" t="s">
        <v>129</v>
      </c>
      <c r="CQ145" s="36" t="s">
        <v>1071</v>
      </c>
      <c r="CR145" s="615"/>
      <c r="CS145" s="615"/>
      <c r="CT145" s="615"/>
      <c r="CU145" s="615"/>
      <c r="CV145" s="615"/>
      <c r="CW145" s="615">
        <v>0</v>
      </c>
      <c r="CX145" s="615"/>
      <c r="CY145" s="615"/>
      <c r="CZ145" s="615"/>
      <c r="DA145" s="615"/>
      <c r="DB145" s="615"/>
      <c r="DC145" s="615">
        <v>0</v>
      </c>
      <c r="DD145" s="615">
        <v>0</v>
      </c>
      <c r="DE145" s="615">
        <v>0</v>
      </c>
      <c r="DF145" s="615">
        <v>1</v>
      </c>
      <c r="DG145" s="36"/>
      <c r="DH145" s="36"/>
      <c r="DI145" s="36">
        <v>1</v>
      </c>
      <c r="DJ145" s="36"/>
      <c r="DL145" s="36"/>
      <c r="DM145" s="36"/>
      <c r="DN145" s="36"/>
      <c r="DO145" s="393" t="s">
        <v>15</v>
      </c>
      <c r="DP145" s="1682"/>
      <c r="DQ145" s="1682"/>
      <c r="DR145" s="1682"/>
      <c r="DS145" s="1682"/>
      <c r="DT145" s="1682"/>
      <c r="DU145" s="1682"/>
      <c r="DV145" s="1682"/>
      <c r="DW145" s="1682"/>
      <c r="DX145" s="1682">
        <v>1</v>
      </c>
      <c r="DY145" s="1682"/>
      <c r="DZ145" s="1682">
        <v>1</v>
      </c>
      <c r="EA145" s="1682"/>
      <c r="EB145" s="1682">
        <v>5</v>
      </c>
      <c r="EC145" s="1682">
        <v>1</v>
      </c>
      <c r="ED145" s="1682">
        <v>2</v>
      </c>
      <c r="EE145" s="86"/>
      <c r="EF145" s="86">
        <v>2</v>
      </c>
      <c r="EG145" s="86">
        <v>12</v>
      </c>
      <c r="EH145" s="560">
        <f>+(EG141+EG143+EG144)/EG145</f>
        <v>0.41666666666666669</v>
      </c>
      <c r="EL145" s="36"/>
      <c r="EM145" s="36" t="s">
        <v>1076</v>
      </c>
      <c r="EN145" s="1490"/>
      <c r="EO145" s="1490"/>
      <c r="EP145" s="1490"/>
      <c r="EQ145" s="1490"/>
      <c r="ER145" s="1490"/>
      <c r="ES145" s="1490"/>
      <c r="ET145" s="1490"/>
      <c r="EU145" s="1490"/>
      <c r="EV145" s="1490"/>
      <c r="EW145" s="1490"/>
      <c r="EX145" s="1490"/>
      <c r="EY145" s="1490">
        <v>0</v>
      </c>
      <c r="EZ145" s="1490">
        <v>0</v>
      </c>
      <c r="FA145" s="1490">
        <v>1</v>
      </c>
      <c r="FB145" s="1490">
        <v>0</v>
      </c>
      <c r="FC145" s="36"/>
      <c r="FD145" s="36">
        <v>0</v>
      </c>
      <c r="FE145" s="36">
        <v>1</v>
      </c>
      <c r="FF145" s="36"/>
      <c r="FH145" s="1225"/>
      <c r="FI145" s="1225"/>
      <c r="FJ145" s="1225"/>
      <c r="FK145" s="1226" t="s">
        <v>1080</v>
      </c>
      <c r="FL145" s="1227"/>
      <c r="FM145" s="1227"/>
      <c r="FN145" s="1227"/>
      <c r="FO145" s="1227"/>
      <c r="FP145" s="1227"/>
      <c r="FQ145" s="1227"/>
      <c r="FR145" s="1227"/>
      <c r="FS145" s="1228">
        <v>0</v>
      </c>
      <c r="FT145" s="1227"/>
      <c r="FU145" s="1228">
        <v>1</v>
      </c>
      <c r="FV145" s="1228">
        <v>1</v>
      </c>
      <c r="FW145" s="1228">
        <v>0</v>
      </c>
      <c r="FX145" s="1228">
        <v>4</v>
      </c>
      <c r="FY145" s="1230">
        <v>0</v>
      </c>
      <c r="FZ145" s="1230">
        <v>1</v>
      </c>
      <c r="GA145" s="1230">
        <v>7</v>
      </c>
      <c r="GB145" s="36"/>
      <c r="GD145" s="603"/>
      <c r="GE145" s="603"/>
      <c r="GF145" s="603"/>
      <c r="GG145" s="604" t="s">
        <v>1076</v>
      </c>
      <c r="GH145" s="605"/>
      <c r="GI145" s="605"/>
      <c r="GJ145" s="605"/>
      <c r="GK145" s="605"/>
      <c r="GL145" s="605"/>
      <c r="GM145" s="605"/>
      <c r="GN145" s="606">
        <v>0</v>
      </c>
      <c r="GO145" s="605"/>
      <c r="GP145" s="606">
        <v>0</v>
      </c>
      <c r="GQ145" s="606">
        <v>0</v>
      </c>
      <c r="GR145" s="606">
        <v>1</v>
      </c>
      <c r="GS145" s="606">
        <v>0</v>
      </c>
      <c r="GT145" s="605"/>
      <c r="GU145" s="606">
        <v>0</v>
      </c>
      <c r="GV145" s="605"/>
      <c r="GW145" s="607"/>
      <c r="GX145" s="607"/>
      <c r="GY145" s="608">
        <v>1</v>
      </c>
      <c r="GZ145" s="95"/>
      <c r="HB145" s="441"/>
      <c r="HC145" s="441"/>
      <c r="HD145" s="441"/>
      <c r="HE145" s="441"/>
      <c r="HF145" s="442" t="s">
        <v>1076</v>
      </c>
      <c r="HG145" s="609"/>
      <c r="HH145" s="610">
        <v>0</v>
      </c>
      <c r="HI145" s="609"/>
      <c r="HJ145" s="610">
        <v>0</v>
      </c>
      <c r="HK145" s="609"/>
      <c r="HL145" s="610">
        <v>0</v>
      </c>
      <c r="HM145" s="609"/>
      <c r="HN145" s="609"/>
      <c r="HO145" s="609"/>
      <c r="HP145" s="610">
        <v>0</v>
      </c>
      <c r="HQ145" s="609"/>
      <c r="HR145" s="610">
        <v>1</v>
      </c>
      <c r="HS145" s="610">
        <v>1</v>
      </c>
      <c r="HT145" s="610">
        <v>1</v>
      </c>
      <c r="HU145" s="610">
        <v>0</v>
      </c>
      <c r="HV145" s="612">
        <v>0</v>
      </c>
      <c r="HW145" s="612">
        <v>0</v>
      </c>
      <c r="HX145" s="612">
        <v>3</v>
      </c>
      <c r="HY145" s="560"/>
      <c r="HZ145" s="36"/>
      <c r="IA145" s="613"/>
      <c r="IB145" s="613"/>
      <c r="IC145" s="613"/>
      <c r="ID145" s="629" t="s">
        <v>483</v>
      </c>
      <c r="IE145" s="395">
        <v>1</v>
      </c>
      <c r="IF145" s="395">
        <v>2</v>
      </c>
      <c r="IG145" s="395">
        <v>3</v>
      </c>
      <c r="IH145" s="395">
        <v>2</v>
      </c>
      <c r="II145" s="630"/>
      <c r="IJ145" s="395">
        <v>12</v>
      </c>
      <c r="IK145" s="395">
        <v>13</v>
      </c>
      <c r="IL145" s="395">
        <v>7</v>
      </c>
      <c r="IM145" s="395">
        <v>18</v>
      </c>
      <c r="IN145" s="395">
        <v>11</v>
      </c>
      <c r="IO145" s="395">
        <v>15</v>
      </c>
      <c r="IP145" s="395">
        <v>1</v>
      </c>
      <c r="IQ145" s="395">
        <v>2</v>
      </c>
      <c r="IR145" s="395">
        <v>87</v>
      </c>
      <c r="IS145" s="553">
        <f>+(IR144+IR141)/IR145</f>
        <v>0.4942528735632184</v>
      </c>
      <c r="IT145" s="36"/>
      <c r="IU145" s="36"/>
      <c r="IV145" s="95"/>
      <c r="IW145" s="95"/>
      <c r="IX145" s="95"/>
      <c r="IY145" s="36" t="s">
        <v>1077</v>
      </c>
      <c r="IZ145" s="36">
        <v>0</v>
      </c>
      <c r="JA145" s="36">
        <v>0</v>
      </c>
      <c r="JB145" s="36">
        <v>1</v>
      </c>
      <c r="JC145" s="36"/>
      <c r="JD145" s="36">
        <v>0</v>
      </c>
      <c r="JE145" s="36"/>
      <c r="JF145" s="36"/>
      <c r="JG145" s="36"/>
      <c r="JH145" s="36">
        <v>0</v>
      </c>
      <c r="JI145" s="36">
        <v>0</v>
      </c>
      <c r="JJ145" s="36">
        <v>1</v>
      </c>
      <c r="JK145" s="36">
        <v>11</v>
      </c>
      <c r="JL145" s="36">
        <v>0</v>
      </c>
      <c r="JM145" s="36">
        <v>0</v>
      </c>
      <c r="JN145" s="36"/>
      <c r="JO145" s="36">
        <v>0</v>
      </c>
      <c r="JP145" s="36">
        <v>13</v>
      </c>
      <c r="JQ145" s="36"/>
      <c r="JR145" s="36"/>
      <c r="JS145" s="616"/>
      <c r="JT145" s="616"/>
      <c r="JU145" s="616" t="s">
        <v>41</v>
      </c>
      <c r="JV145" s="616" t="s">
        <v>1072</v>
      </c>
      <c r="JW145" s="616">
        <v>1</v>
      </c>
      <c r="JX145" s="616">
        <v>0</v>
      </c>
      <c r="JY145" s="616">
        <v>0</v>
      </c>
      <c r="JZ145" s="616">
        <v>0</v>
      </c>
      <c r="KA145" s="616">
        <v>0</v>
      </c>
      <c r="KB145" s="616">
        <v>0</v>
      </c>
      <c r="KC145" s="616">
        <v>0</v>
      </c>
      <c r="KD145" s="616">
        <v>0</v>
      </c>
      <c r="KE145" s="616">
        <v>0</v>
      </c>
      <c r="KF145" s="616">
        <v>0</v>
      </c>
      <c r="KG145" s="616">
        <v>0</v>
      </c>
      <c r="KH145" s="616">
        <v>0</v>
      </c>
      <c r="KI145" s="616">
        <v>0</v>
      </c>
      <c r="KJ145" s="616">
        <v>0</v>
      </c>
      <c r="KK145" s="616">
        <v>0</v>
      </c>
      <c r="KL145" s="616">
        <v>0</v>
      </c>
      <c r="KM145" s="616">
        <v>1</v>
      </c>
      <c r="KN145" s="649"/>
      <c r="KO145" s="617"/>
    </row>
    <row r="146" spans="1:301">
      <c r="A146" s="5737">
        <v>2</v>
      </c>
      <c r="B146" s="5737">
        <v>3</v>
      </c>
      <c r="C146" s="5736" t="s">
        <v>381</v>
      </c>
      <c r="D146" s="5736" t="s">
        <v>2709</v>
      </c>
      <c r="E146" s="5737">
        <v>1</v>
      </c>
      <c r="F146" s="5737">
        <v>8</v>
      </c>
      <c r="I146" s="4726">
        <v>2</v>
      </c>
      <c r="J146" s="4726">
        <v>3</v>
      </c>
      <c r="K146" s="4725" t="s">
        <v>381</v>
      </c>
      <c r="L146" s="4725" t="s">
        <v>2709</v>
      </c>
      <c r="M146" s="4726">
        <v>1</v>
      </c>
      <c r="N146" s="4726">
        <v>14</v>
      </c>
      <c r="Q146" s="4458">
        <v>3</v>
      </c>
      <c r="R146" s="4470">
        <v>4</v>
      </c>
      <c r="S146" s="4469" t="s">
        <v>298</v>
      </c>
      <c r="T146" s="4469" t="s">
        <v>2709</v>
      </c>
      <c r="U146" s="4470">
        <v>1</v>
      </c>
      <c r="V146" s="4488">
        <v>1</v>
      </c>
      <c r="W146" s="4510"/>
      <c r="Z146" s="36"/>
      <c r="AA146" s="36"/>
      <c r="AB146" s="36"/>
      <c r="AC146" s="36" t="s">
        <v>1076</v>
      </c>
      <c r="AD146" s="615">
        <v>0</v>
      </c>
      <c r="AE146" s="615">
        <v>0</v>
      </c>
      <c r="AF146" s="615">
        <v>0</v>
      </c>
      <c r="AG146" s="615">
        <v>0</v>
      </c>
      <c r="AH146" s="615">
        <v>0</v>
      </c>
      <c r="AI146" s="615">
        <v>0</v>
      </c>
      <c r="AJ146" s="615">
        <v>1</v>
      </c>
      <c r="AK146" s="615">
        <v>1</v>
      </c>
      <c r="AL146" s="615">
        <v>0</v>
      </c>
      <c r="AM146" s="615">
        <v>2</v>
      </c>
      <c r="AN146" s="615">
        <v>5</v>
      </c>
      <c r="AO146" s="615">
        <v>1</v>
      </c>
      <c r="AP146" s="615">
        <v>0</v>
      </c>
      <c r="AQ146" s="36">
        <v>0</v>
      </c>
      <c r="AR146" s="36">
        <v>10</v>
      </c>
      <c r="AS146" s="36"/>
      <c r="AU146" s="36"/>
      <c r="AV146" s="36"/>
      <c r="AW146" s="36"/>
      <c r="AX146" s="36" t="s">
        <v>1080</v>
      </c>
      <c r="AY146" s="1681"/>
      <c r="AZ146" s="1681">
        <v>0</v>
      </c>
      <c r="BA146" s="1681"/>
      <c r="BB146" s="1681">
        <v>0</v>
      </c>
      <c r="BC146" s="1681"/>
      <c r="BD146" s="1681"/>
      <c r="BE146" s="1681"/>
      <c r="BF146" s="1681"/>
      <c r="BG146" s="1681"/>
      <c r="BH146" s="1681"/>
      <c r="BI146" s="1681">
        <v>0</v>
      </c>
      <c r="BJ146" s="1681">
        <v>0</v>
      </c>
      <c r="BK146" s="1681">
        <v>0</v>
      </c>
      <c r="BL146" s="1681">
        <v>1</v>
      </c>
      <c r="BM146" s="95">
        <v>2</v>
      </c>
      <c r="BN146" s="95">
        <v>1</v>
      </c>
      <c r="BO146" s="95">
        <v>4</v>
      </c>
      <c r="BP146" s="95"/>
      <c r="BU146" s="32" t="s">
        <v>1080</v>
      </c>
      <c r="BV146" s="3871">
        <v>0</v>
      </c>
      <c r="BW146" s="3871">
        <v>0</v>
      </c>
      <c r="BX146" s="3871"/>
      <c r="BY146" s="3871">
        <v>0</v>
      </c>
      <c r="BZ146" s="3871"/>
      <c r="CA146" s="3871"/>
      <c r="CB146" s="3871"/>
      <c r="CC146" s="3871"/>
      <c r="CD146" s="3871"/>
      <c r="CE146" s="3871"/>
      <c r="CF146" s="3871">
        <v>0</v>
      </c>
      <c r="CG146" s="3871">
        <v>0</v>
      </c>
      <c r="CH146" s="3871">
        <v>0</v>
      </c>
      <c r="CI146" s="3871">
        <v>1</v>
      </c>
      <c r="CJ146" s="1518">
        <v>4</v>
      </c>
      <c r="CK146" s="1518">
        <v>5</v>
      </c>
      <c r="CN146" s="36"/>
      <c r="CO146" s="36"/>
      <c r="CP146" s="36"/>
      <c r="CQ146" s="36" t="s">
        <v>1072</v>
      </c>
      <c r="CR146" s="615"/>
      <c r="CS146" s="615"/>
      <c r="CT146" s="615"/>
      <c r="CU146" s="615"/>
      <c r="CV146" s="615"/>
      <c r="CW146" s="615">
        <v>0</v>
      </c>
      <c r="CX146" s="615"/>
      <c r="CY146" s="615"/>
      <c r="CZ146" s="615"/>
      <c r="DA146" s="615"/>
      <c r="DB146" s="615"/>
      <c r="DC146" s="615">
        <v>1</v>
      </c>
      <c r="DD146" s="615">
        <v>0</v>
      </c>
      <c r="DE146" s="615">
        <v>0</v>
      </c>
      <c r="DF146" s="615">
        <v>0</v>
      </c>
      <c r="DG146" s="36"/>
      <c r="DH146" s="36"/>
      <c r="DI146" s="36">
        <v>1</v>
      </c>
      <c r="DJ146" s="36"/>
      <c r="DL146" s="36"/>
      <c r="DM146" s="36"/>
      <c r="DN146" s="36" t="s">
        <v>1743</v>
      </c>
      <c r="DO146" s="36" t="s">
        <v>1072</v>
      </c>
      <c r="DP146" s="1681"/>
      <c r="DQ146" s="1681"/>
      <c r="DR146" s="1681"/>
      <c r="DS146" s="1681"/>
      <c r="DT146" s="1681"/>
      <c r="DU146" s="1681"/>
      <c r="DV146" s="1681"/>
      <c r="DW146" s="1681"/>
      <c r="DX146" s="1681"/>
      <c r="DY146" s="1681"/>
      <c r="DZ146" s="1681"/>
      <c r="EA146" s="1681"/>
      <c r="EB146" s="1681">
        <v>0</v>
      </c>
      <c r="EC146" s="1681">
        <v>1</v>
      </c>
      <c r="ED146" s="1681">
        <v>0</v>
      </c>
      <c r="EE146" s="95">
        <v>0</v>
      </c>
      <c r="EF146" s="95">
        <v>0</v>
      </c>
      <c r="EG146" s="95">
        <v>1</v>
      </c>
      <c r="EH146" s="36"/>
      <c r="EL146" s="36"/>
      <c r="EM146" s="36" t="s">
        <v>1080</v>
      </c>
      <c r="EN146" s="1490"/>
      <c r="EO146" s="1490"/>
      <c r="EP146" s="1490"/>
      <c r="EQ146" s="1490"/>
      <c r="ER146" s="1490"/>
      <c r="ES146" s="1490"/>
      <c r="ET146" s="1490"/>
      <c r="EU146" s="1490"/>
      <c r="EV146" s="1490"/>
      <c r="EW146" s="1490"/>
      <c r="EX146" s="1490"/>
      <c r="EY146" s="1490">
        <v>0</v>
      </c>
      <c r="EZ146" s="1490">
        <v>0</v>
      </c>
      <c r="FA146" s="1490">
        <v>0</v>
      </c>
      <c r="FB146" s="1490">
        <v>3</v>
      </c>
      <c r="FC146" s="36"/>
      <c r="FD146" s="36">
        <v>3</v>
      </c>
      <c r="FE146" s="36">
        <v>6</v>
      </c>
      <c r="FF146" s="36"/>
      <c r="FH146" s="1225"/>
      <c r="FI146" s="1225"/>
      <c r="FJ146" s="1225"/>
      <c r="FK146" s="1226" t="s">
        <v>1081</v>
      </c>
      <c r="FL146" s="1227"/>
      <c r="FM146" s="1227"/>
      <c r="FN146" s="1227"/>
      <c r="FO146" s="1227"/>
      <c r="FP146" s="1227"/>
      <c r="FQ146" s="1227"/>
      <c r="FR146" s="1227"/>
      <c r="FS146" s="1228">
        <v>1</v>
      </c>
      <c r="FT146" s="1227"/>
      <c r="FU146" s="1228">
        <v>0</v>
      </c>
      <c r="FV146" s="1228">
        <v>0</v>
      </c>
      <c r="FW146" s="1228">
        <v>1</v>
      </c>
      <c r="FX146" s="1228">
        <v>0</v>
      </c>
      <c r="FY146" s="1230">
        <v>1</v>
      </c>
      <c r="FZ146" s="1230">
        <v>0</v>
      </c>
      <c r="GA146" s="1230">
        <v>3</v>
      </c>
      <c r="GB146" s="36"/>
      <c r="GD146" s="603"/>
      <c r="GE146" s="603"/>
      <c r="GF146" s="603"/>
      <c r="GG146" s="604" t="s">
        <v>1077</v>
      </c>
      <c r="GH146" s="605"/>
      <c r="GI146" s="605"/>
      <c r="GJ146" s="605"/>
      <c r="GK146" s="605"/>
      <c r="GL146" s="605"/>
      <c r="GM146" s="605"/>
      <c r="GN146" s="606">
        <v>1</v>
      </c>
      <c r="GO146" s="605"/>
      <c r="GP146" s="606">
        <v>0</v>
      </c>
      <c r="GQ146" s="606">
        <v>0</v>
      </c>
      <c r="GR146" s="606">
        <v>0</v>
      </c>
      <c r="GS146" s="606">
        <v>0</v>
      </c>
      <c r="GT146" s="605"/>
      <c r="GU146" s="606">
        <v>0</v>
      </c>
      <c r="GV146" s="605"/>
      <c r="GW146" s="607"/>
      <c r="GX146" s="607"/>
      <c r="GY146" s="608">
        <v>1</v>
      </c>
      <c r="GZ146" s="95"/>
      <c r="HB146" s="441"/>
      <c r="HC146" s="441"/>
      <c r="HD146" s="441"/>
      <c r="HE146" s="441"/>
      <c r="HF146" s="442" t="s">
        <v>1080</v>
      </c>
      <c r="HG146" s="609"/>
      <c r="HH146" s="610">
        <v>0</v>
      </c>
      <c r="HI146" s="609"/>
      <c r="HJ146" s="610">
        <v>0</v>
      </c>
      <c r="HK146" s="609"/>
      <c r="HL146" s="610">
        <v>0</v>
      </c>
      <c r="HM146" s="609"/>
      <c r="HN146" s="609"/>
      <c r="HO146" s="609"/>
      <c r="HP146" s="610">
        <v>0</v>
      </c>
      <c r="HQ146" s="609"/>
      <c r="HR146" s="610">
        <v>0</v>
      </c>
      <c r="HS146" s="610">
        <v>1</v>
      </c>
      <c r="HT146" s="610">
        <v>1</v>
      </c>
      <c r="HU146" s="610">
        <v>1</v>
      </c>
      <c r="HV146" s="612">
        <v>1</v>
      </c>
      <c r="HW146" s="612">
        <v>2</v>
      </c>
      <c r="HX146" s="612">
        <v>6</v>
      </c>
      <c r="HY146" s="560"/>
      <c r="HZ146" s="36"/>
      <c r="IA146" s="613"/>
      <c r="IB146" s="613"/>
      <c r="IC146" s="613" t="s">
        <v>485</v>
      </c>
      <c r="ID146" s="389" t="s">
        <v>1071</v>
      </c>
      <c r="IE146" s="390">
        <v>0</v>
      </c>
      <c r="IF146" s="614"/>
      <c r="IG146" s="614"/>
      <c r="IH146" s="390">
        <v>1</v>
      </c>
      <c r="II146" s="614"/>
      <c r="IJ146" s="390">
        <v>0</v>
      </c>
      <c r="IK146" s="390">
        <v>0</v>
      </c>
      <c r="IL146" s="390">
        <v>0</v>
      </c>
      <c r="IM146" s="390">
        <v>0</v>
      </c>
      <c r="IN146" s="390">
        <v>0</v>
      </c>
      <c r="IO146" s="390">
        <v>2</v>
      </c>
      <c r="IP146" s="390">
        <v>0</v>
      </c>
      <c r="IQ146" s="390">
        <v>0</v>
      </c>
      <c r="IR146" s="390">
        <v>3</v>
      </c>
      <c r="IS146" s="615"/>
      <c r="IT146" s="36"/>
      <c r="IU146" s="36"/>
      <c r="IV146" s="95"/>
      <c r="IW146" s="95"/>
      <c r="IX146" s="95"/>
      <c r="IY146" s="36" t="s">
        <v>1080</v>
      </c>
      <c r="IZ146" s="36">
        <v>0</v>
      </c>
      <c r="JA146" s="36">
        <v>0</v>
      </c>
      <c r="JB146" s="36">
        <v>0</v>
      </c>
      <c r="JC146" s="36"/>
      <c r="JD146" s="36">
        <v>0</v>
      </c>
      <c r="JE146" s="36"/>
      <c r="JF146" s="36"/>
      <c r="JG146" s="36"/>
      <c r="JH146" s="36">
        <v>0</v>
      </c>
      <c r="JI146" s="36">
        <v>0</v>
      </c>
      <c r="JJ146" s="36">
        <v>0</v>
      </c>
      <c r="JK146" s="36">
        <v>0</v>
      </c>
      <c r="JL146" s="36">
        <v>0</v>
      </c>
      <c r="JM146" s="36">
        <v>10</v>
      </c>
      <c r="JN146" s="36"/>
      <c r="JO146" s="36">
        <v>1</v>
      </c>
      <c r="JP146" s="36">
        <v>11</v>
      </c>
      <c r="JQ146" s="36"/>
      <c r="JR146" s="36"/>
      <c r="JS146" s="616"/>
      <c r="JT146" s="616"/>
      <c r="JU146" s="616"/>
      <c r="JV146" s="616" t="s">
        <v>1076</v>
      </c>
      <c r="JW146" s="616">
        <v>0</v>
      </c>
      <c r="JX146" s="616">
        <v>0</v>
      </c>
      <c r="JY146" s="616">
        <v>0</v>
      </c>
      <c r="JZ146" s="616">
        <v>0</v>
      </c>
      <c r="KA146" s="616">
        <v>0</v>
      </c>
      <c r="KB146" s="616">
        <v>0</v>
      </c>
      <c r="KC146" s="616">
        <v>0</v>
      </c>
      <c r="KD146" s="616">
        <v>0</v>
      </c>
      <c r="KE146" s="616">
        <v>0</v>
      </c>
      <c r="KF146" s="616">
        <v>0</v>
      </c>
      <c r="KG146" s="616">
        <v>1</v>
      </c>
      <c r="KH146" s="616">
        <v>0</v>
      </c>
      <c r="KI146" s="616">
        <v>2</v>
      </c>
      <c r="KJ146" s="616">
        <v>1</v>
      </c>
      <c r="KK146" s="616">
        <v>2</v>
      </c>
      <c r="KL146" s="616">
        <v>0</v>
      </c>
      <c r="KM146" s="616">
        <v>6</v>
      </c>
      <c r="KN146" s="616"/>
      <c r="KO146" s="617"/>
    </row>
    <row r="147" spans="1:301">
      <c r="A147" s="5737">
        <v>2</v>
      </c>
      <c r="B147" s="5737">
        <v>3</v>
      </c>
      <c r="C147" s="5736" t="s">
        <v>381</v>
      </c>
      <c r="D147" s="5736" t="s">
        <v>2709</v>
      </c>
      <c r="E147" s="5737">
        <v>2</v>
      </c>
      <c r="F147" s="5737">
        <v>12</v>
      </c>
      <c r="I147" s="4726"/>
      <c r="J147" s="4726"/>
      <c r="K147" s="4725"/>
      <c r="L147" s="4725"/>
      <c r="M147" s="4975">
        <f>SUM(M137:M146)</f>
        <v>17</v>
      </c>
      <c r="N147" s="4726"/>
      <c r="O147" s="4476">
        <f>+(M139+M140+ M141+M142+M143)/(M147)</f>
        <v>0.29411764705882354</v>
      </c>
      <c r="Q147" s="4458">
        <v>3</v>
      </c>
      <c r="R147" s="4458">
        <v>4</v>
      </c>
      <c r="S147" s="4459" t="s">
        <v>298</v>
      </c>
      <c r="T147" s="4459" t="s">
        <v>2709</v>
      </c>
      <c r="U147" s="4458">
        <v>3</v>
      </c>
      <c r="V147" s="4479">
        <v>1</v>
      </c>
      <c r="W147" s="4510"/>
      <c r="Z147" s="36"/>
      <c r="AA147" s="36"/>
      <c r="AB147" s="36"/>
      <c r="AC147" s="36" t="s">
        <v>1077</v>
      </c>
      <c r="AD147" s="615">
        <v>0</v>
      </c>
      <c r="AE147" s="615">
        <v>0</v>
      </c>
      <c r="AF147" s="615">
        <v>1</v>
      </c>
      <c r="AG147" s="615">
        <v>1</v>
      </c>
      <c r="AH147" s="615">
        <v>1</v>
      </c>
      <c r="AI147" s="615">
        <v>0</v>
      </c>
      <c r="AJ147" s="615">
        <v>0</v>
      </c>
      <c r="AK147" s="615">
        <v>0</v>
      </c>
      <c r="AL147" s="615">
        <v>1</v>
      </c>
      <c r="AM147" s="615">
        <v>0</v>
      </c>
      <c r="AN147" s="615">
        <v>0</v>
      </c>
      <c r="AO147" s="615">
        <v>0</v>
      </c>
      <c r="AP147" s="615">
        <v>0</v>
      </c>
      <c r="AQ147" s="36">
        <v>0</v>
      </c>
      <c r="AR147" s="36">
        <v>4</v>
      </c>
      <c r="AS147" s="36"/>
      <c r="AU147" s="36"/>
      <c r="AV147" s="36"/>
      <c r="AW147" s="36"/>
      <c r="AX147" s="36" t="s">
        <v>1081</v>
      </c>
      <c r="AY147" s="1681"/>
      <c r="AZ147" s="1681">
        <v>0</v>
      </c>
      <c r="BA147" s="1681"/>
      <c r="BB147" s="1681">
        <v>0</v>
      </c>
      <c r="BC147" s="1681"/>
      <c r="BD147" s="1681"/>
      <c r="BE147" s="1681"/>
      <c r="BF147" s="1681"/>
      <c r="BG147" s="1681"/>
      <c r="BH147" s="1681"/>
      <c r="BI147" s="1681">
        <v>0</v>
      </c>
      <c r="BJ147" s="1681">
        <v>3</v>
      </c>
      <c r="BK147" s="1681">
        <v>3</v>
      </c>
      <c r="BL147" s="1681">
        <v>0</v>
      </c>
      <c r="BM147" s="95">
        <v>0</v>
      </c>
      <c r="BN147" s="95">
        <v>0</v>
      </c>
      <c r="BO147" s="95">
        <v>6</v>
      </c>
      <c r="BP147" s="95"/>
      <c r="BU147" s="32" t="s">
        <v>1081</v>
      </c>
      <c r="BV147" s="3871">
        <v>0</v>
      </c>
      <c r="BW147" s="3871">
        <v>0</v>
      </c>
      <c r="BX147" s="3871"/>
      <c r="BY147" s="3871">
        <v>0</v>
      </c>
      <c r="BZ147" s="3871"/>
      <c r="CA147" s="3871"/>
      <c r="CB147" s="3871"/>
      <c r="CC147" s="3871"/>
      <c r="CD147" s="3871"/>
      <c r="CE147" s="3871"/>
      <c r="CF147" s="3871">
        <v>0</v>
      </c>
      <c r="CG147" s="3871">
        <v>2</v>
      </c>
      <c r="CH147" s="3871">
        <v>1</v>
      </c>
      <c r="CI147" s="3871">
        <v>0</v>
      </c>
      <c r="CJ147" s="1518">
        <v>0</v>
      </c>
      <c r="CK147" s="1518">
        <v>3</v>
      </c>
      <c r="CN147" s="36"/>
      <c r="CO147" s="36"/>
      <c r="CP147" s="36"/>
      <c r="CQ147" s="36" t="s">
        <v>1074</v>
      </c>
      <c r="CR147" s="615"/>
      <c r="CS147" s="615"/>
      <c r="CT147" s="615"/>
      <c r="CU147" s="615"/>
      <c r="CV147" s="615"/>
      <c r="CW147" s="615">
        <v>1</v>
      </c>
      <c r="CX147" s="615"/>
      <c r="CY147" s="615"/>
      <c r="CZ147" s="615"/>
      <c r="DA147" s="615"/>
      <c r="DB147" s="615"/>
      <c r="DC147" s="615">
        <v>0</v>
      </c>
      <c r="DD147" s="615">
        <v>0</v>
      </c>
      <c r="DE147" s="615">
        <v>0</v>
      </c>
      <c r="DF147" s="615">
        <v>0</v>
      </c>
      <c r="DG147" s="36"/>
      <c r="DH147" s="36"/>
      <c r="DI147" s="36">
        <v>1</v>
      </c>
      <c r="DJ147" s="36"/>
      <c r="DL147" s="36"/>
      <c r="DM147" s="36"/>
      <c r="DN147" s="36"/>
      <c r="DO147" s="36" t="s">
        <v>1076</v>
      </c>
      <c r="DP147" s="1681"/>
      <c r="DQ147" s="1681"/>
      <c r="DR147" s="1681"/>
      <c r="DS147" s="1681"/>
      <c r="DT147" s="1681"/>
      <c r="DU147" s="1681"/>
      <c r="DV147" s="1681"/>
      <c r="DW147" s="1681"/>
      <c r="DX147" s="1681"/>
      <c r="DY147" s="1681"/>
      <c r="DZ147" s="1681"/>
      <c r="EA147" s="1681"/>
      <c r="EB147" s="1681">
        <v>1</v>
      </c>
      <c r="EC147" s="1681">
        <v>1</v>
      </c>
      <c r="ED147" s="1681">
        <v>0</v>
      </c>
      <c r="EE147" s="95">
        <v>0</v>
      </c>
      <c r="EF147" s="95">
        <v>0</v>
      </c>
      <c r="EG147" s="95">
        <v>2</v>
      </c>
      <c r="EH147" s="36"/>
      <c r="EL147" s="36"/>
      <c r="EM147" s="36" t="s">
        <v>1081</v>
      </c>
      <c r="EN147" s="1490"/>
      <c r="EO147" s="1490"/>
      <c r="EP147" s="1490"/>
      <c r="EQ147" s="1490"/>
      <c r="ER147" s="1490"/>
      <c r="ES147" s="1490"/>
      <c r="ET147" s="1490"/>
      <c r="EU147" s="1490"/>
      <c r="EV147" s="1490"/>
      <c r="EW147" s="1490"/>
      <c r="EX147" s="1490"/>
      <c r="EY147" s="1490">
        <v>2</v>
      </c>
      <c r="EZ147" s="1490">
        <v>1</v>
      </c>
      <c r="FA147" s="1490">
        <v>0</v>
      </c>
      <c r="FB147" s="1490">
        <v>1</v>
      </c>
      <c r="FC147" s="36"/>
      <c r="FD147" s="36">
        <v>0</v>
      </c>
      <c r="FE147" s="36">
        <v>4</v>
      </c>
      <c r="FF147" s="36"/>
      <c r="FH147" s="1225"/>
      <c r="FI147" s="1225"/>
      <c r="FJ147" s="1225"/>
      <c r="FK147" s="1226" t="s">
        <v>1163</v>
      </c>
      <c r="FL147" s="1227"/>
      <c r="FM147" s="1227"/>
      <c r="FN147" s="1227"/>
      <c r="FO147" s="1227"/>
      <c r="FP147" s="1227"/>
      <c r="FQ147" s="1227"/>
      <c r="FR147" s="1227"/>
      <c r="FS147" s="1228">
        <v>0</v>
      </c>
      <c r="FT147" s="1227"/>
      <c r="FU147" s="1228">
        <v>0</v>
      </c>
      <c r="FV147" s="1228">
        <v>0</v>
      </c>
      <c r="FW147" s="1228">
        <v>2</v>
      </c>
      <c r="FX147" s="1228">
        <v>0</v>
      </c>
      <c r="FY147" s="1230">
        <v>0</v>
      </c>
      <c r="FZ147" s="1230">
        <v>0</v>
      </c>
      <c r="GA147" s="1230">
        <v>2</v>
      </c>
      <c r="GB147" s="36"/>
      <c r="GD147" s="603"/>
      <c r="GE147" s="603"/>
      <c r="GF147" s="603"/>
      <c r="GG147" s="604" t="s">
        <v>1163</v>
      </c>
      <c r="GH147" s="605"/>
      <c r="GI147" s="605"/>
      <c r="GJ147" s="605"/>
      <c r="GK147" s="605"/>
      <c r="GL147" s="605"/>
      <c r="GM147" s="605"/>
      <c r="GN147" s="606">
        <v>0</v>
      </c>
      <c r="GO147" s="605"/>
      <c r="GP147" s="606">
        <v>0</v>
      </c>
      <c r="GQ147" s="606">
        <v>4</v>
      </c>
      <c r="GR147" s="606">
        <v>4</v>
      </c>
      <c r="GS147" s="606">
        <v>1</v>
      </c>
      <c r="GT147" s="605"/>
      <c r="GU147" s="606">
        <v>0</v>
      </c>
      <c r="GV147" s="605"/>
      <c r="GW147" s="607"/>
      <c r="GX147" s="607"/>
      <c r="GY147" s="608">
        <v>9</v>
      </c>
      <c r="GZ147" s="95"/>
      <c r="HB147" s="441"/>
      <c r="HC147" s="441"/>
      <c r="HD147" s="441"/>
      <c r="HE147" s="441"/>
      <c r="HF147" s="442" t="s">
        <v>1081</v>
      </c>
      <c r="HG147" s="609"/>
      <c r="HH147" s="610">
        <v>0</v>
      </c>
      <c r="HI147" s="609"/>
      <c r="HJ147" s="610">
        <v>0</v>
      </c>
      <c r="HK147" s="609"/>
      <c r="HL147" s="610">
        <v>0</v>
      </c>
      <c r="HM147" s="609"/>
      <c r="HN147" s="609"/>
      <c r="HO147" s="609"/>
      <c r="HP147" s="610">
        <v>0</v>
      </c>
      <c r="HQ147" s="609"/>
      <c r="HR147" s="610">
        <v>0</v>
      </c>
      <c r="HS147" s="610">
        <v>2</v>
      </c>
      <c r="HT147" s="610">
        <v>0</v>
      </c>
      <c r="HU147" s="610">
        <v>0</v>
      </c>
      <c r="HV147" s="612">
        <v>1</v>
      </c>
      <c r="HW147" s="612">
        <v>0</v>
      </c>
      <c r="HX147" s="612">
        <v>3</v>
      </c>
      <c r="HY147" s="560"/>
      <c r="HZ147" s="36"/>
      <c r="IA147" s="613"/>
      <c r="IB147" s="613"/>
      <c r="IC147" s="613"/>
      <c r="ID147" s="389" t="s">
        <v>1072</v>
      </c>
      <c r="IE147" s="390">
        <v>1</v>
      </c>
      <c r="IF147" s="614"/>
      <c r="IG147" s="614"/>
      <c r="IH147" s="390">
        <v>0</v>
      </c>
      <c r="II147" s="614"/>
      <c r="IJ147" s="390">
        <v>0</v>
      </c>
      <c r="IK147" s="390">
        <v>0</v>
      </c>
      <c r="IL147" s="390">
        <v>1</v>
      </c>
      <c r="IM147" s="390">
        <v>0</v>
      </c>
      <c r="IN147" s="390">
        <v>0</v>
      </c>
      <c r="IO147" s="390">
        <v>0</v>
      </c>
      <c r="IP147" s="390">
        <v>1</v>
      </c>
      <c r="IQ147" s="390">
        <v>0</v>
      </c>
      <c r="IR147" s="390">
        <v>3</v>
      </c>
      <c r="IS147" s="615"/>
      <c r="IT147" s="36"/>
      <c r="IU147" s="36"/>
      <c r="IV147" s="95"/>
      <c r="IW147" s="95"/>
      <c r="IX147" s="95"/>
      <c r="IY147" s="36" t="s">
        <v>1163</v>
      </c>
      <c r="IZ147" s="36">
        <v>0</v>
      </c>
      <c r="JA147" s="36">
        <v>0</v>
      </c>
      <c r="JB147" s="36">
        <v>0</v>
      </c>
      <c r="JC147" s="36"/>
      <c r="JD147" s="36">
        <v>0</v>
      </c>
      <c r="JE147" s="36"/>
      <c r="JF147" s="36"/>
      <c r="JG147" s="36"/>
      <c r="JH147" s="36">
        <v>1</v>
      </c>
      <c r="JI147" s="36">
        <v>0</v>
      </c>
      <c r="JJ147" s="36">
        <v>1</v>
      </c>
      <c r="JK147" s="36">
        <v>2</v>
      </c>
      <c r="JL147" s="36">
        <v>0</v>
      </c>
      <c r="JM147" s="36">
        <v>0</v>
      </c>
      <c r="JN147" s="36"/>
      <c r="JO147" s="36">
        <v>0</v>
      </c>
      <c r="JP147" s="36">
        <v>4</v>
      </c>
      <c r="JQ147" s="36"/>
      <c r="JR147" s="36"/>
      <c r="JS147" s="616"/>
      <c r="JT147" s="616"/>
      <c r="JU147" s="616"/>
      <c r="JV147" s="616" t="s">
        <v>1080</v>
      </c>
      <c r="JW147" s="616">
        <v>0</v>
      </c>
      <c r="JX147" s="616">
        <v>0</v>
      </c>
      <c r="JY147" s="616">
        <v>0</v>
      </c>
      <c r="JZ147" s="616">
        <v>0</v>
      </c>
      <c r="KA147" s="616">
        <v>0</v>
      </c>
      <c r="KB147" s="616">
        <v>0</v>
      </c>
      <c r="KC147" s="616">
        <v>0</v>
      </c>
      <c r="KD147" s="616">
        <v>0</v>
      </c>
      <c r="KE147" s="616">
        <v>0</v>
      </c>
      <c r="KF147" s="616">
        <v>0</v>
      </c>
      <c r="KG147" s="616">
        <v>0</v>
      </c>
      <c r="KH147" s="616">
        <v>0</v>
      </c>
      <c r="KI147" s="616">
        <v>1</v>
      </c>
      <c r="KJ147" s="616">
        <v>6</v>
      </c>
      <c r="KK147" s="616">
        <v>1</v>
      </c>
      <c r="KL147" s="616">
        <v>5</v>
      </c>
      <c r="KM147" s="616">
        <v>13</v>
      </c>
      <c r="KN147" s="616"/>
      <c r="KO147" s="617"/>
    </row>
    <row r="148" spans="1:301">
      <c r="A148" s="5737">
        <v>2</v>
      </c>
      <c r="B148" s="5737">
        <v>3</v>
      </c>
      <c r="C148" s="5736" t="s">
        <v>381</v>
      </c>
      <c r="D148" s="5736" t="s">
        <v>2709</v>
      </c>
      <c r="E148" s="5737">
        <v>1</v>
      </c>
      <c r="F148" s="5737">
        <v>13</v>
      </c>
      <c r="I148" s="4726"/>
      <c r="J148" s="4726"/>
      <c r="K148" s="4725"/>
      <c r="L148" s="4725"/>
      <c r="M148" s="4976">
        <f>SUM(M120:M122,M131:M133,M139:M143)</f>
        <v>18</v>
      </c>
      <c r="N148" s="4726"/>
      <c r="Q148" s="4458">
        <v>3</v>
      </c>
      <c r="R148" s="4458">
        <v>4</v>
      </c>
      <c r="S148" s="4459" t="s">
        <v>298</v>
      </c>
      <c r="T148" s="4459" t="s">
        <v>2709</v>
      </c>
      <c r="U148" s="4458">
        <v>4</v>
      </c>
      <c r="V148" s="4479">
        <v>1</v>
      </c>
      <c r="W148" s="4510"/>
      <c r="Z148" s="36"/>
      <c r="AA148" s="36"/>
      <c r="AB148" s="36"/>
      <c r="AC148" s="36" t="s">
        <v>1080</v>
      </c>
      <c r="AD148" s="615">
        <v>0</v>
      </c>
      <c r="AE148" s="615">
        <v>0</v>
      </c>
      <c r="AF148" s="615">
        <v>0</v>
      </c>
      <c r="AG148" s="615">
        <v>0</v>
      </c>
      <c r="AH148" s="615">
        <v>0</v>
      </c>
      <c r="AI148" s="615">
        <v>0</v>
      </c>
      <c r="AJ148" s="615">
        <v>0</v>
      </c>
      <c r="AK148" s="615">
        <v>0</v>
      </c>
      <c r="AL148" s="615">
        <v>0</v>
      </c>
      <c r="AM148" s="615">
        <v>0</v>
      </c>
      <c r="AN148" s="615">
        <v>0</v>
      </c>
      <c r="AO148" s="615">
        <v>83</v>
      </c>
      <c r="AP148" s="615">
        <v>11</v>
      </c>
      <c r="AQ148" s="36">
        <v>25</v>
      </c>
      <c r="AR148" s="36">
        <v>119</v>
      </c>
      <c r="AS148" s="36"/>
      <c r="AU148" s="36"/>
      <c r="AV148" s="36"/>
      <c r="AW148" s="36"/>
      <c r="AX148" s="36" t="s">
        <v>1163</v>
      </c>
      <c r="AY148" s="1681"/>
      <c r="AZ148" s="1681">
        <v>0</v>
      </c>
      <c r="BA148" s="1681"/>
      <c r="BB148" s="1681">
        <v>0</v>
      </c>
      <c r="BC148" s="1681"/>
      <c r="BD148" s="1681"/>
      <c r="BE148" s="1681"/>
      <c r="BF148" s="1681"/>
      <c r="BG148" s="1681"/>
      <c r="BH148" s="1681"/>
      <c r="BI148" s="1681">
        <v>0</v>
      </c>
      <c r="BJ148" s="1681">
        <v>3</v>
      </c>
      <c r="BK148" s="1681">
        <v>2</v>
      </c>
      <c r="BL148" s="1681">
        <v>1</v>
      </c>
      <c r="BM148" s="95">
        <v>1</v>
      </c>
      <c r="BN148" s="95">
        <v>0</v>
      </c>
      <c r="BO148" s="95">
        <v>7</v>
      </c>
      <c r="BP148" s="95"/>
      <c r="BU148" s="32" t="s">
        <v>1163</v>
      </c>
      <c r="BV148" s="3871">
        <v>0</v>
      </c>
      <c r="BW148" s="3871">
        <v>0</v>
      </c>
      <c r="BX148" s="3871"/>
      <c r="BY148" s="3871">
        <v>0</v>
      </c>
      <c r="BZ148" s="3871"/>
      <c r="CA148" s="3871"/>
      <c r="CB148" s="3871"/>
      <c r="CC148" s="3871"/>
      <c r="CD148" s="3871"/>
      <c r="CE148" s="3871"/>
      <c r="CF148" s="3871">
        <v>0</v>
      </c>
      <c r="CG148" s="3871">
        <v>2</v>
      </c>
      <c r="CH148" s="3871">
        <v>1</v>
      </c>
      <c r="CI148" s="3871">
        <v>0</v>
      </c>
      <c r="CJ148" s="1518">
        <v>0</v>
      </c>
      <c r="CK148" s="1518">
        <v>3</v>
      </c>
      <c r="CN148" s="36"/>
      <c r="CO148" s="36"/>
      <c r="CP148" s="36"/>
      <c r="CQ148" s="36" t="s">
        <v>1076</v>
      </c>
      <c r="CR148" s="615"/>
      <c r="CS148" s="615"/>
      <c r="CT148" s="615"/>
      <c r="CU148" s="615"/>
      <c r="CV148" s="615"/>
      <c r="CW148" s="615">
        <v>0</v>
      </c>
      <c r="CX148" s="615"/>
      <c r="CY148" s="615"/>
      <c r="CZ148" s="615"/>
      <c r="DA148" s="615"/>
      <c r="DB148" s="615"/>
      <c r="DC148" s="615">
        <v>0</v>
      </c>
      <c r="DD148" s="615">
        <v>1</v>
      </c>
      <c r="DE148" s="615">
        <v>1</v>
      </c>
      <c r="DF148" s="615">
        <v>1</v>
      </c>
      <c r="DG148" s="36"/>
      <c r="DH148" s="36"/>
      <c r="DI148" s="36">
        <v>3</v>
      </c>
      <c r="DJ148" s="36"/>
      <c r="DL148" s="36"/>
      <c r="DM148" s="36"/>
      <c r="DN148" s="36"/>
      <c r="DO148" s="36" t="s">
        <v>1080</v>
      </c>
      <c r="DP148" s="1681"/>
      <c r="DQ148" s="1681"/>
      <c r="DR148" s="1681"/>
      <c r="DS148" s="1681"/>
      <c r="DT148" s="1681"/>
      <c r="DU148" s="1681"/>
      <c r="DV148" s="1681"/>
      <c r="DW148" s="1681"/>
      <c r="DX148" s="1681"/>
      <c r="DY148" s="1681"/>
      <c r="DZ148" s="1681"/>
      <c r="EA148" s="1681"/>
      <c r="EB148" s="1681">
        <v>0</v>
      </c>
      <c r="EC148" s="1681">
        <v>0</v>
      </c>
      <c r="ED148" s="1681">
        <v>0</v>
      </c>
      <c r="EE148" s="95">
        <v>0</v>
      </c>
      <c r="EF148" s="95">
        <v>4</v>
      </c>
      <c r="EG148" s="95">
        <v>4</v>
      </c>
      <c r="EH148" s="36"/>
      <c r="EL148" s="36"/>
      <c r="EM148" s="36" t="s">
        <v>1163</v>
      </c>
      <c r="EN148" s="1490"/>
      <c r="EO148" s="1490"/>
      <c r="EP148" s="1490"/>
      <c r="EQ148" s="1490"/>
      <c r="ER148" s="1490"/>
      <c r="ES148" s="1490"/>
      <c r="ET148" s="1490"/>
      <c r="EU148" s="1490"/>
      <c r="EV148" s="1490"/>
      <c r="EW148" s="1490"/>
      <c r="EX148" s="1490"/>
      <c r="EY148" s="1490">
        <v>0</v>
      </c>
      <c r="EZ148" s="1490">
        <v>0</v>
      </c>
      <c r="FA148" s="1490">
        <v>1</v>
      </c>
      <c r="FB148" s="1490">
        <v>0</v>
      </c>
      <c r="FC148" s="36"/>
      <c r="FD148" s="36">
        <v>0</v>
      </c>
      <c r="FE148" s="36">
        <v>1</v>
      </c>
      <c r="FF148" s="36"/>
      <c r="FH148" s="1225"/>
      <c r="FI148" s="1225"/>
      <c r="FJ148" s="1225"/>
      <c r="FK148" s="1222" t="s">
        <v>15</v>
      </c>
      <c r="FL148" s="1231"/>
      <c r="FM148" s="1231"/>
      <c r="FN148" s="1231"/>
      <c r="FO148" s="1231"/>
      <c r="FP148" s="1231"/>
      <c r="FQ148" s="1231"/>
      <c r="FR148" s="1231"/>
      <c r="FS148" s="1232">
        <v>1</v>
      </c>
      <c r="FT148" s="1231"/>
      <c r="FU148" s="1232">
        <v>2</v>
      </c>
      <c r="FV148" s="1232">
        <v>1</v>
      </c>
      <c r="FW148" s="1232">
        <v>4</v>
      </c>
      <c r="FX148" s="1232">
        <v>6</v>
      </c>
      <c r="FY148" s="1234">
        <v>1</v>
      </c>
      <c r="FZ148" s="1234">
        <v>2</v>
      </c>
      <c r="GA148" s="1234">
        <v>17</v>
      </c>
      <c r="GB148" s="1178">
        <f>+(GA144+GA146-FY146+GA147)/GA148</f>
        <v>0.35294117647058826</v>
      </c>
      <c r="GD148" s="603"/>
      <c r="GE148" s="603"/>
      <c r="GF148" s="603"/>
      <c r="GG148" s="622" t="s">
        <v>485</v>
      </c>
      <c r="GH148" s="623"/>
      <c r="GI148" s="623"/>
      <c r="GJ148" s="623"/>
      <c r="GK148" s="623"/>
      <c r="GL148" s="623"/>
      <c r="GM148" s="623"/>
      <c r="GN148" s="624">
        <v>1</v>
      </c>
      <c r="GO148" s="623"/>
      <c r="GP148" s="624">
        <v>2</v>
      </c>
      <c r="GQ148" s="624">
        <v>9</v>
      </c>
      <c r="GR148" s="624">
        <v>9</v>
      </c>
      <c r="GS148" s="624">
        <v>2</v>
      </c>
      <c r="GT148" s="623"/>
      <c r="GU148" s="624">
        <v>1</v>
      </c>
      <c r="GV148" s="623"/>
      <c r="GW148" s="625"/>
      <c r="GX148" s="625"/>
      <c r="GY148" s="626">
        <v>24</v>
      </c>
      <c r="GZ148" s="560">
        <f>+(GY145+GY147)/GY148</f>
        <v>0.41666666666666669</v>
      </c>
      <c r="HB148" s="441"/>
      <c r="HC148" s="441"/>
      <c r="HD148" s="441"/>
      <c r="HE148" s="441"/>
      <c r="HF148" s="442" t="s">
        <v>1163</v>
      </c>
      <c r="HG148" s="609"/>
      <c r="HH148" s="610">
        <v>0</v>
      </c>
      <c r="HI148" s="609"/>
      <c r="HJ148" s="610">
        <v>0</v>
      </c>
      <c r="HK148" s="609"/>
      <c r="HL148" s="610">
        <v>0</v>
      </c>
      <c r="HM148" s="609"/>
      <c r="HN148" s="609"/>
      <c r="HO148" s="609"/>
      <c r="HP148" s="610">
        <v>0</v>
      </c>
      <c r="HQ148" s="609"/>
      <c r="HR148" s="610">
        <v>0</v>
      </c>
      <c r="HS148" s="610">
        <v>5</v>
      </c>
      <c r="HT148" s="610">
        <v>2</v>
      </c>
      <c r="HU148" s="610">
        <v>1</v>
      </c>
      <c r="HV148" s="612">
        <v>0</v>
      </c>
      <c r="HW148" s="612">
        <v>0</v>
      </c>
      <c r="HX148" s="612">
        <v>8</v>
      </c>
      <c r="HY148" s="560"/>
      <c r="HZ148" s="36"/>
      <c r="IA148" s="36"/>
      <c r="IB148" s="36"/>
      <c r="IC148" s="613"/>
      <c r="ID148" s="389" t="s">
        <v>1074</v>
      </c>
      <c r="IE148" s="390">
        <v>0</v>
      </c>
      <c r="IF148" s="614"/>
      <c r="IG148" s="614"/>
      <c r="IH148" s="390">
        <v>1</v>
      </c>
      <c r="II148" s="614"/>
      <c r="IJ148" s="390">
        <v>0</v>
      </c>
      <c r="IK148" s="390">
        <v>0</v>
      </c>
      <c r="IL148" s="390">
        <v>0</v>
      </c>
      <c r="IM148" s="390">
        <v>0</v>
      </c>
      <c r="IN148" s="390">
        <v>0</v>
      </c>
      <c r="IO148" s="390">
        <v>0</v>
      </c>
      <c r="IP148" s="390">
        <v>0</v>
      </c>
      <c r="IQ148" s="390">
        <v>0</v>
      </c>
      <c r="IR148" s="390">
        <v>1</v>
      </c>
      <c r="IS148" s="615"/>
      <c r="IT148" s="36"/>
      <c r="IU148" s="36"/>
      <c r="IV148" s="95"/>
      <c r="IW148" s="95"/>
      <c r="IX148" s="95"/>
      <c r="IY148" s="393" t="s">
        <v>15</v>
      </c>
      <c r="IZ148" s="393">
        <v>2</v>
      </c>
      <c r="JA148" s="393">
        <v>1</v>
      </c>
      <c r="JB148" s="393">
        <v>1</v>
      </c>
      <c r="JC148" s="393"/>
      <c r="JD148" s="393">
        <v>4</v>
      </c>
      <c r="JE148" s="393"/>
      <c r="JF148" s="393"/>
      <c r="JG148" s="393"/>
      <c r="JH148" s="393">
        <v>2</v>
      </c>
      <c r="JI148" s="393">
        <v>5</v>
      </c>
      <c r="JJ148" s="393">
        <v>9</v>
      </c>
      <c r="JK148" s="393">
        <v>23</v>
      </c>
      <c r="JL148" s="393">
        <v>5</v>
      </c>
      <c r="JM148" s="393">
        <v>11</v>
      </c>
      <c r="JN148" s="393"/>
      <c r="JO148" s="393">
        <v>1</v>
      </c>
      <c r="JP148" s="393">
        <v>64</v>
      </c>
      <c r="JQ148" s="631">
        <f>+(JP144+JP147)/JP148</f>
        <v>0.328125</v>
      </c>
      <c r="JR148" s="36"/>
      <c r="JS148" s="616"/>
      <c r="JT148" s="616"/>
      <c r="JU148" s="616"/>
      <c r="JV148" s="616" t="s">
        <v>1163</v>
      </c>
      <c r="JW148" s="616">
        <v>0</v>
      </c>
      <c r="JX148" s="616">
        <v>0</v>
      </c>
      <c r="JY148" s="616">
        <v>0</v>
      </c>
      <c r="JZ148" s="616">
        <v>0</v>
      </c>
      <c r="KA148" s="616">
        <v>0</v>
      </c>
      <c r="KB148" s="616">
        <v>0</v>
      </c>
      <c r="KC148" s="616">
        <v>0</v>
      </c>
      <c r="KD148" s="616">
        <v>0</v>
      </c>
      <c r="KE148" s="616">
        <v>1</v>
      </c>
      <c r="KF148" s="616">
        <v>3</v>
      </c>
      <c r="KG148" s="616">
        <v>5</v>
      </c>
      <c r="KH148" s="616">
        <v>0</v>
      </c>
      <c r="KI148" s="616">
        <v>1</v>
      </c>
      <c r="KJ148" s="616">
        <v>1</v>
      </c>
      <c r="KK148" s="616">
        <v>0</v>
      </c>
      <c r="KL148" s="616">
        <v>0</v>
      </c>
      <c r="KM148" s="616">
        <v>11</v>
      </c>
      <c r="KN148" s="616"/>
      <c r="KO148" s="617"/>
    </row>
    <row r="149" spans="1:301">
      <c r="A149" s="5737"/>
      <c r="B149" s="5737"/>
      <c r="C149" s="5736"/>
      <c r="D149" s="5736"/>
      <c r="E149" s="5742">
        <f>SUM(E138:E148)</f>
        <v>17</v>
      </c>
      <c r="F149" s="5737"/>
      <c r="G149" s="4476">
        <f>+(E140+E141+E142+E143+E144)/(E149)</f>
        <v>0.35294117647058826</v>
      </c>
      <c r="I149" s="4726"/>
      <c r="J149" s="4726"/>
      <c r="K149" s="4971" t="s">
        <v>41</v>
      </c>
      <c r="L149" s="4990"/>
      <c r="M149" s="4991">
        <f>SUM(M147,M136,M126)</f>
        <v>56</v>
      </c>
      <c r="N149" s="4973"/>
      <c r="O149" s="4451">
        <f>+(M148)/(M149)</f>
        <v>0.32142857142857145</v>
      </c>
      <c r="Q149" s="4458">
        <v>3</v>
      </c>
      <c r="R149" s="4458">
        <v>4</v>
      </c>
      <c r="S149" s="4459" t="s">
        <v>298</v>
      </c>
      <c r="T149" s="4459" t="s">
        <v>2709</v>
      </c>
      <c r="U149" s="4458">
        <v>11</v>
      </c>
      <c r="V149" s="4479">
        <v>1</v>
      </c>
      <c r="W149" s="4510"/>
      <c r="Z149" s="36"/>
      <c r="AA149" s="36"/>
      <c r="AB149" s="36"/>
      <c r="AC149" s="36" t="s">
        <v>1081</v>
      </c>
      <c r="AD149" s="615">
        <v>0</v>
      </c>
      <c r="AE149" s="615">
        <v>0</v>
      </c>
      <c r="AF149" s="615">
        <v>0</v>
      </c>
      <c r="AG149" s="615">
        <v>0</v>
      </c>
      <c r="AH149" s="615">
        <v>0</v>
      </c>
      <c r="AI149" s="615">
        <v>0</v>
      </c>
      <c r="AJ149" s="615">
        <v>0</v>
      </c>
      <c r="AK149" s="615">
        <v>0</v>
      </c>
      <c r="AL149" s="615">
        <v>0</v>
      </c>
      <c r="AM149" s="615">
        <v>0</v>
      </c>
      <c r="AN149" s="615">
        <v>1</v>
      </c>
      <c r="AO149" s="615">
        <v>0</v>
      </c>
      <c r="AP149" s="615">
        <v>0</v>
      </c>
      <c r="AQ149" s="36">
        <v>0</v>
      </c>
      <c r="AR149" s="36">
        <v>1</v>
      </c>
      <c r="AS149" s="36"/>
      <c r="AU149" s="36"/>
      <c r="AV149" s="36"/>
      <c r="AW149" s="36"/>
      <c r="AX149" s="36" t="s">
        <v>15</v>
      </c>
      <c r="AY149" s="1681"/>
      <c r="AZ149" s="1681">
        <v>1</v>
      </c>
      <c r="BA149" s="1681"/>
      <c r="BB149" s="1681">
        <v>1</v>
      </c>
      <c r="BC149" s="1681"/>
      <c r="BD149" s="1681"/>
      <c r="BE149" s="1681"/>
      <c r="BF149" s="1681"/>
      <c r="BG149" s="1681"/>
      <c r="BH149" s="1681"/>
      <c r="BI149" s="1681">
        <v>1</v>
      </c>
      <c r="BJ149" s="1681">
        <v>23</v>
      </c>
      <c r="BK149" s="1681">
        <v>18</v>
      </c>
      <c r="BL149" s="1681">
        <v>3</v>
      </c>
      <c r="BM149" s="95">
        <v>3</v>
      </c>
      <c r="BN149" s="95">
        <v>1</v>
      </c>
      <c r="BO149" s="95">
        <v>51</v>
      </c>
      <c r="BP149" s="560">
        <f>+(BO145+BO147+BO148)/(BO149)</f>
        <v>0.29411764705882354</v>
      </c>
      <c r="BU149" s="1520" t="s">
        <v>15</v>
      </c>
      <c r="BV149" s="3872">
        <v>0</v>
      </c>
      <c r="BW149" s="3872">
        <v>1</v>
      </c>
      <c r="BX149" s="3872"/>
      <c r="BY149" s="3872">
        <v>1</v>
      </c>
      <c r="BZ149" s="3872"/>
      <c r="CA149" s="3872"/>
      <c r="CB149" s="3872"/>
      <c r="CC149" s="3872"/>
      <c r="CD149" s="3872"/>
      <c r="CE149" s="3872"/>
      <c r="CF149" s="3872">
        <v>1</v>
      </c>
      <c r="CG149" s="3872">
        <v>23</v>
      </c>
      <c r="CH149" s="3872">
        <v>18</v>
      </c>
      <c r="CI149" s="3872">
        <v>3</v>
      </c>
      <c r="CJ149" s="3806">
        <v>4</v>
      </c>
      <c r="CK149" s="3806">
        <v>51</v>
      </c>
      <c r="CL149" s="3807">
        <f>+(CK145+CK147+CK148)/CK149</f>
        <v>0.19607843137254902</v>
      </c>
      <c r="CN149" s="36"/>
      <c r="CO149" s="36"/>
      <c r="CP149" s="36"/>
      <c r="CQ149" s="36" t="s">
        <v>1080</v>
      </c>
      <c r="CR149" s="615"/>
      <c r="CS149" s="615"/>
      <c r="CT149" s="615"/>
      <c r="CU149" s="615"/>
      <c r="CV149" s="615"/>
      <c r="CW149" s="615">
        <v>0</v>
      </c>
      <c r="CX149" s="615"/>
      <c r="CY149" s="615"/>
      <c r="CZ149" s="615"/>
      <c r="DA149" s="615"/>
      <c r="DB149" s="615"/>
      <c r="DC149" s="615">
        <v>0</v>
      </c>
      <c r="DD149" s="615">
        <v>0</v>
      </c>
      <c r="DE149" s="615">
        <v>0</v>
      </c>
      <c r="DF149" s="615">
        <v>5</v>
      </c>
      <c r="DG149" s="36"/>
      <c r="DH149" s="36"/>
      <c r="DI149" s="36">
        <v>5</v>
      </c>
      <c r="DJ149" s="36"/>
      <c r="DL149" s="36"/>
      <c r="DM149" s="36"/>
      <c r="DN149" s="36"/>
      <c r="DO149" s="36" t="s">
        <v>1081</v>
      </c>
      <c r="DP149" s="1681"/>
      <c r="DQ149" s="1681"/>
      <c r="DR149" s="1681"/>
      <c r="DS149" s="1681"/>
      <c r="DT149" s="1681"/>
      <c r="DU149" s="1681"/>
      <c r="DV149" s="1681"/>
      <c r="DW149" s="1681"/>
      <c r="DX149" s="1681"/>
      <c r="DY149" s="1681"/>
      <c r="DZ149" s="1681"/>
      <c r="EA149" s="1681"/>
      <c r="EB149" s="1681">
        <v>0</v>
      </c>
      <c r="EC149" s="1681">
        <v>0</v>
      </c>
      <c r="ED149" s="1681">
        <v>0</v>
      </c>
      <c r="EE149" s="95">
        <v>1</v>
      </c>
      <c r="EF149" s="95">
        <v>0</v>
      </c>
      <c r="EG149" s="95">
        <v>1</v>
      </c>
      <c r="EH149" s="36"/>
      <c r="EL149" s="36"/>
      <c r="EM149" s="393" t="s">
        <v>15</v>
      </c>
      <c r="EN149" s="1491"/>
      <c r="EO149" s="1491"/>
      <c r="EP149" s="1491"/>
      <c r="EQ149" s="1491"/>
      <c r="ER149" s="1491"/>
      <c r="ES149" s="1491"/>
      <c r="ET149" s="1491"/>
      <c r="EU149" s="1491"/>
      <c r="EV149" s="1491"/>
      <c r="EW149" s="1491"/>
      <c r="EX149" s="1491"/>
      <c r="EY149" s="1491">
        <v>2</v>
      </c>
      <c r="EZ149" s="1491">
        <v>2</v>
      </c>
      <c r="FA149" s="1491">
        <v>2</v>
      </c>
      <c r="FB149" s="1491">
        <v>5</v>
      </c>
      <c r="FC149" s="393"/>
      <c r="FD149" s="393">
        <v>3</v>
      </c>
      <c r="FE149" s="393">
        <v>14</v>
      </c>
      <c r="FF149" s="560">
        <f>+(FE145+FE147+FE148)/FE149</f>
        <v>0.42857142857142855</v>
      </c>
      <c r="FH149" s="1225"/>
      <c r="FI149" s="1225"/>
      <c r="FJ149" s="1225" t="s">
        <v>485</v>
      </c>
      <c r="FK149" s="1226" t="s">
        <v>1071</v>
      </c>
      <c r="FL149" s="1227"/>
      <c r="FM149" s="1227"/>
      <c r="FN149" s="1227"/>
      <c r="FO149" s="1227"/>
      <c r="FP149" s="1227"/>
      <c r="FQ149" s="1227"/>
      <c r="FR149" s="1227"/>
      <c r="FS149" s="1228">
        <v>0</v>
      </c>
      <c r="FT149" s="1227"/>
      <c r="FU149" s="1228">
        <v>0</v>
      </c>
      <c r="FV149" s="1228">
        <v>0</v>
      </c>
      <c r="FW149" s="1228">
        <v>0</v>
      </c>
      <c r="FX149" s="1228">
        <v>1</v>
      </c>
      <c r="FY149" s="1230">
        <v>0</v>
      </c>
      <c r="FZ149" s="1230">
        <v>1</v>
      </c>
      <c r="GA149" s="1230">
        <v>2</v>
      </c>
      <c r="GB149" s="36"/>
      <c r="GD149" s="603"/>
      <c r="GE149" s="603" t="s">
        <v>103</v>
      </c>
      <c r="GF149" s="603" t="s">
        <v>145</v>
      </c>
      <c r="GG149" s="604" t="s">
        <v>1071</v>
      </c>
      <c r="GH149" s="605"/>
      <c r="GI149" s="606">
        <v>0</v>
      </c>
      <c r="GJ149" s="606">
        <v>0</v>
      </c>
      <c r="GK149" s="605"/>
      <c r="GL149" s="605"/>
      <c r="GM149" s="605"/>
      <c r="GN149" s="605"/>
      <c r="GO149" s="605"/>
      <c r="GP149" s="605"/>
      <c r="GQ149" s="605"/>
      <c r="GR149" s="605"/>
      <c r="GS149" s="605"/>
      <c r="GT149" s="606">
        <v>0</v>
      </c>
      <c r="GU149" s="606">
        <v>1</v>
      </c>
      <c r="GV149" s="606">
        <v>0</v>
      </c>
      <c r="GW149" s="608">
        <v>0</v>
      </c>
      <c r="GX149" s="608">
        <v>0</v>
      </c>
      <c r="GY149" s="608">
        <v>1</v>
      </c>
      <c r="GZ149" s="95"/>
      <c r="HB149" s="441"/>
      <c r="HC149" s="441"/>
      <c r="HD149" s="441"/>
      <c r="HE149" s="36"/>
      <c r="HF149" s="462" t="s">
        <v>483</v>
      </c>
      <c r="HG149" s="618"/>
      <c r="HH149" s="619">
        <v>1</v>
      </c>
      <c r="HI149" s="618"/>
      <c r="HJ149" s="619">
        <v>2</v>
      </c>
      <c r="HK149" s="618"/>
      <c r="HL149" s="619">
        <v>1</v>
      </c>
      <c r="HM149" s="618"/>
      <c r="HN149" s="618"/>
      <c r="HO149" s="618"/>
      <c r="HP149" s="619">
        <v>1</v>
      </c>
      <c r="HQ149" s="618"/>
      <c r="HR149" s="619">
        <v>5</v>
      </c>
      <c r="HS149" s="619">
        <v>29</v>
      </c>
      <c r="HT149" s="619">
        <v>9</v>
      </c>
      <c r="HU149" s="619">
        <v>5</v>
      </c>
      <c r="HV149" s="621">
        <v>7</v>
      </c>
      <c r="HW149" s="621">
        <v>2</v>
      </c>
      <c r="HX149" s="621">
        <v>62</v>
      </c>
      <c r="HY149" s="560">
        <f>+(HX148+HX147+HX145-HV147)/HX149</f>
        <v>0.20967741935483872</v>
      </c>
      <c r="HZ149" s="36"/>
      <c r="IA149" s="36"/>
      <c r="IB149" s="36"/>
      <c r="IC149" s="613"/>
      <c r="ID149" s="389" t="s">
        <v>1076</v>
      </c>
      <c r="IE149" s="390">
        <v>0</v>
      </c>
      <c r="IF149" s="614"/>
      <c r="IG149" s="614"/>
      <c r="IH149" s="390">
        <v>0</v>
      </c>
      <c r="II149" s="614"/>
      <c r="IJ149" s="390">
        <v>0</v>
      </c>
      <c r="IK149" s="390">
        <v>0</v>
      </c>
      <c r="IL149" s="390">
        <v>1</v>
      </c>
      <c r="IM149" s="390">
        <v>1</v>
      </c>
      <c r="IN149" s="390">
        <v>2</v>
      </c>
      <c r="IO149" s="390">
        <v>2</v>
      </c>
      <c r="IP149" s="390">
        <v>1</v>
      </c>
      <c r="IQ149" s="390">
        <v>0</v>
      </c>
      <c r="IR149" s="390">
        <v>7</v>
      </c>
      <c r="IS149" s="615"/>
      <c r="IT149" s="36"/>
      <c r="IU149" s="36"/>
      <c r="IV149" s="95"/>
      <c r="IW149" s="95"/>
      <c r="IX149" s="95" t="s">
        <v>41</v>
      </c>
      <c r="IY149" s="36" t="s">
        <v>1072</v>
      </c>
      <c r="IZ149" s="36"/>
      <c r="JA149" s="36"/>
      <c r="JB149" s="36"/>
      <c r="JC149" s="36"/>
      <c r="JD149" s="36"/>
      <c r="JE149" s="36">
        <v>0</v>
      </c>
      <c r="JF149" s="36">
        <v>0</v>
      </c>
      <c r="JG149" s="36"/>
      <c r="JH149" s="36">
        <v>1</v>
      </c>
      <c r="JI149" s="36">
        <v>1</v>
      </c>
      <c r="JJ149" s="36">
        <v>0</v>
      </c>
      <c r="JK149" s="36"/>
      <c r="JL149" s="36">
        <v>0</v>
      </c>
      <c r="JM149" s="36">
        <v>0</v>
      </c>
      <c r="JN149" s="36">
        <v>0</v>
      </c>
      <c r="JO149" s="36">
        <v>0</v>
      </c>
      <c r="JP149" s="36">
        <v>2</v>
      </c>
      <c r="JQ149" s="36"/>
      <c r="JR149" s="36"/>
      <c r="JS149" s="616"/>
      <c r="JT149" s="616"/>
      <c r="JU149" s="616"/>
      <c r="JV149" s="627" t="s">
        <v>15</v>
      </c>
      <c r="JW149" s="627">
        <v>1</v>
      </c>
      <c r="JX149" s="627">
        <v>0</v>
      </c>
      <c r="JY149" s="627">
        <v>0</v>
      </c>
      <c r="JZ149" s="627">
        <v>0</v>
      </c>
      <c r="KA149" s="627">
        <v>0</v>
      </c>
      <c r="KB149" s="627">
        <v>0</v>
      </c>
      <c r="KC149" s="627">
        <v>0</v>
      </c>
      <c r="KD149" s="627">
        <v>0</v>
      </c>
      <c r="KE149" s="627">
        <v>1</v>
      </c>
      <c r="KF149" s="627">
        <v>3</v>
      </c>
      <c r="KG149" s="627">
        <v>6</v>
      </c>
      <c r="KH149" s="627">
        <v>0</v>
      </c>
      <c r="KI149" s="627">
        <v>4</v>
      </c>
      <c r="KJ149" s="627">
        <v>8</v>
      </c>
      <c r="KK149" s="627">
        <v>3</v>
      </c>
      <c r="KL149" s="627">
        <v>5</v>
      </c>
      <c r="KM149" s="627">
        <v>31</v>
      </c>
      <c r="KN149" s="650">
        <f>+(KM148+KM146-KK146)/KM149</f>
        <v>0.4838709677419355</v>
      </c>
      <c r="KO149" s="617">
        <f>+KM146+KM148-KK146</f>
        <v>15</v>
      </c>
    </row>
    <row r="150" spans="1:301">
      <c r="A150" s="5737"/>
      <c r="B150" s="5737"/>
      <c r="C150" s="5736"/>
      <c r="D150" s="5738" t="s">
        <v>2754</v>
      </c>
      <c r="E150" s="5751">
        <f>SUM(E123:E125,E134:E136,E140:E144)</f>
        <v>22</v>
      </c>
      <c r="F150" s="5737"/>
      <c r="I150" s="4726"/>
      <c r="J150" s="4726"/>
      <c r="K150" s="4725"/>
      <c r="L150" s="4725"/>
      <c r="M150" s="4976">
        <f>SUM(M148,M115,M92)</f>
        <v>29</v>
      </c>
      <c r="N150" s="4726"/>
      <c r="Q150" s="4458">
        <v>3</v>
      </c>
      <c r="R150" s="4458">
        <v>4</v>
      </c>
      <c r="S150" s="4459" t="s">
        <v>298</v>
      </c>
      <c r="T150" s="4459" t="s">
        <v>2709</v>
      </c>
      <c r="U150" s="4458">
        <v>12</v>
      </c>
      <c r="V150" s="4479">
        <v>7</v>
      </c>
      <c r="W150" s="4510"/>
      <c r="Z150" s="36"/>
      <c r="AA150" s="36"/>
      <c r="AB150" s="36"/>
      <c r="AC150" s="36" t="s">
        <v>2571</v>
      </c>
      <c r="AD150" s="615">
        <v>14</v>
      </c>
      <c r="AE150" s="615">
        <v>0</v>
      </c>
      <c r="AF150" s="615">
        <v>0</v>
      </c>
      <c r="AG150" s="615">
        <v>0</v>
      </c>
      <c r="AH150" s="615">
        <v>0</v>
      </c>
      <c r="AI150" s="615">
        <v>0</v>
      </c>
      <c r="AJ150" s="615">
        <v>0</v>
      </c>
      <c r="AK150" s="615">
        <v>0</v>
      </c>
      <c r="AL150" s="615">
        <v>0</v>
      </c>
      <c r="AM150" s="615">
        <v>0</v>
      </c>
      <c r="AN150" s="615">
        <v>0</v>
      </c>
      <c r="AO150" s="615">
        <v>0</v>
      </c>
      <c r="AP150" s="615">
        <v>0</v>
      </c>
      <c r="AQ150" s="36">
        <v>0</v>
      </c>
      <c r="AR150" s="36">
        <v>14</v>
      </c>
      <c r="AS150" s="36"/>
      <c r="AU150" s="36"/>
      <c r="AV150" s="36"/>
      <c r="AW150" s="36" t="s">
        <v>127</v>
      </c>
      <c r="AX150" s="36" t="s">
        <v>1163</v>
      </c>
      <c r="AY150" s="1681"/>
      <c r="AZ150" s="1681"/>
      <c r="BA150" s="1681"/>
      <c r="BB150" s="1681"/>
      <c r="BC150" s="1681"/>
      <c r="BD150" s="1681"/>
      <c r="BE150" s="1681"/>
      <c r="BF150" s="1681"/>
      <c r="BG150" s="1681"/>
      <c r="BH150" s="1681"/>
      <c r="BI150" s="1681">
        <v>1</v>
      </c>
      <c r="BJ150" s="1681">
        <v>2</v>
      </c>
      <c r="BK150" s="1681"/>
      <c r="BL150" s="1681"/>
      <c r="BM150" s="95"/>
      <c r="BN150" s="95"/>
      <c r="BO150" s="95">
        <v>3</v>
      </c>
      <c r="BP150" s="95"/>
      <c r="BT150" s="32" t="s">
        <v>127</v>
      </c>
      <c r="BU150" s="32" t="s">
        <v>1163</v>
      </c>
      <c r="BV150" s="3871"/>
      <c r="BW150" s="3871"/>
      <c r="BX150" s="3871"/>
      <c r="BY150" s="3871"/>
      <c r="BZ150" s="3871"/>
      <c r="CA150" s="3871"/>
      <c r="CB150" s="3871"/>
      <c r="CC150" s="3871"/>
      <c r="CD150" s="3871"/>
      <c r="CE150" s="3871"/>
      <c r="CF150" s="3871">
        <v>1</v>
      </c>
      <c r="CG150" s="3871">
        <v>2</v>
      </c>
      <c r="CH150" s="3871"/>
      <c r="CI150" s="3871"/>
      <c r="CJ150" s="1518"/>
      <c r="CK150" s="1518">
        <v>3</v>
      </c>
      <c r="CN150" s="36"/>
      <c r="CO150" s="36"/>
      <c r="CP150" s="36"/>
      <c r="CQ150" s="36" t="s">
        <v>1163</v>
      </c>
      <c r="CR150" s="615"/>
      <c r="CS150" s="615"/>
      <c r="CT150" s="615"/>
      <c r="CU150" s="615"/>
      <c r="CV150" s="615"/>
      <c r="CW150" s="615">
        <v>0</v>
      </c>
      <c r="CX150" s="615"/>
      <c r="CY150" s="615"/>
      <c r="CZ150" s="615"/>
      <c r="DA150" s="615"/>
      <c r="DB150" s="615"/>
      <c r="DC150" s="615">
        <v>0</v>
      </c>
      <c r="DD150" s="615">
        <v>2</v>
      </c>
      <c r="DE150" s="615">
        <v>0</v>
      </c>
      <c r="DF150" s="615">
        <v>0</v>
      </c>
      <c r="DG150" s="36"/>
      <c r="DH150" s="36"/>
      <c r="DI150" s="36">
        <v>2</v>
      </c>
      <c r="DJ150" s="36"/>
      <c r="DL150" s="36"/>
      <c r="DM150" s="36"/>
      <c r="DN150" s="36"/>
      <c r="DO150" s="36" t="s">
        <v>1163</v>
      </c>
      <c r="DP150" s="1681"/>
      <c r="DQ150" s="1681"/>
      <c r="DR150" s="1681"/>
      <c r="DS150" s="1681"/>
      <c r="DT150" s="1681"/>
      <c r="DU150" s="1681"/>
      <c r="DV150" s="1681"/>
      <c r="DW150" s="1681"/>
      <c r="DX150" s="1681"/>
      <c r="DY150" s="1681"/>
      <c r="DZ150" s="1681"/>
      <c r="EA150" s="1681"/>
      <c r="EB150" s="1681">
        <v>0</v>
      </c>
      <c r="EC150" s="1681">
        <v>0</v>
      </c>
      <c r="ED150" s="1681">
        <v>1</v>
      </c>
      <c r="EE150" s="95">
        <v>0</v>
      </c>
      <c r="EF150" s="95">
        <v>0</v>
      </c>
      <c r="EG150" s="95">
        <v>1</v>
      </c>
      <c r="EH150" s="36"/>
      <c r="EL150" s="36" t="s">
        <v>485</v>
      </c>
      <c r="EM150" s="36" t="s">
        <v>1072</v>
      </c>
      <c r="EN150" s="1490"/>
      <c r="EO150" s="1490"/>
      <c r="EP150" s="1490">
        <v>1</v>
      </c>
      <c r="EQ150" s="1490"/>
      <c r="ER150" s="1490"/>
      <c r="ES150" s="1490"/>
      <c r="ET150" s="1490"/>
      <c r="EU150" s="1490">
        <v>1</v>
      </c>
      <c r="EV150" s="1490"/>
      <c r="EW150" s="1490">
        <v>5</v>
      </c>
      <c r="EX150" s="1490">
        <v>2</v>
      </c>
      <c r="EY150" s="1490">
        <v>0</v>
      </c>
      <c r="EZ150" s="1490">
        <v>1</v>
      </c>
      <c r="FA150" s="1490">
        <v>0</v>
      </c>
      <c r="FB150" s="1490">
        <v>1</v>
      </c>
      <c r="FC150" s="36"/>
      <c r="FD150" s="36">
        <v>0</v>
      </c>
      <c r="FE150" s="36">
        <v>11</v>
      </c>
      <c r="FF150" s="36"/>
      <c r="FH150" s="1225"/>
      <c r="FI150" s="1225"/>
      <c r="FJ150" s="1225"/>
      <c r="FK150" s="1226" t="s">
        <v>1072</v>
      </c>
      <c r="FL150" s="1227"/>
      <c r="FM150" s="1227"/>
      <c r="FN150" s="1227"/>
      <c r="FO150" s="1227"/>
      <c r="FP150" s="1227"/>
      <c r="FQ150" s="1227"/>
      <c r="FR150" s="1227"/>
      <c r="FS150" s="1228">
        <v>0</v>
      </c>
      <c r="FT150" s="1227"/>
      <c r="FU150" s="1228">
        <v>0</v>
      </c>
      <c r="FV150" s="1228">
        <v>0</v>
      </c>
      <c r="FW150" s="1228">
        <v>0</v>
      </c>
      <c r="FX150" s="1228">
        <v>1</v>
      </c>
      <c r="FY150" s="1230">
        <v>0</v>
      </c>
      <c r="FZ150" s="1230">
        <v>0</v>
      </c>
      <c r="GA150" s="1230">
        <v>1</v>
      </c>
      <c r="GB150" s="36"/>
      <c r="GD150" s="603"/>
      <c r="GE150" s="603"/>
      <c r="GF150" s="603"/>
      <c r="GG150" s="604" t="s">
        <v>1072</v>
      </c>
      <c r="GH150" s="605"/>
      <c r="GI150" s="606">
        <v>1</v>
      </c>
      <c r="GJ150" s="606">
        <v>0</v>
      </c>
      <c r="GK150" s="605"/>
      <c r="GL150" s="605"/>
      <c r="GM150" s="605"/>
      <c r="GN150" s="605"/>
      <c r="GO150" s="605"/>
      <c r="GP150" s="605"/>
      <c r="GQ150" s="605"/>
      <c r="GR150" s="605"/>
      <c r="GS150" s="605"/>
      <c r="GT150" s="606">
        <v>2</v>
      </c>
      <c r="GU150" s="606">
        <v>0</v>
      </c>
      <c r="GV150" s="606">
        <v>0</v>
      </c>
      <c r="GW150" s="608">
        <v>2</v>
      </c>
      <c r="GX150" s="608">
        <v>0</v>
      </c>
      <c r="GY150" s="608">
        <v>5</v>
      </c>
      <c r="GZ150" s="95"/>
      <c r="HB150" s="441"/>
      <c r="HC150" s="441" t="s">
        <v>41</v>
      </c>
      <c r="HD150" s="441" t="s">
        <v>144</v>
      </c>
      <c r="HE150" s="441" t="s">
        <v>1070</v>
      </c>
      <c r="HF150" s="442" t="s">
        <v>1072</v>
      </c>
      <c r="HG150" s="609"/>
      <c r="HH150" s="609"/>
      <c r="HI150" s="610">
        <v>2</v>
      </c>
      <c r="HJ150" s="609"/>
      <c r="HK150" s="609"/>
      <c r="HL150" s="609"/>
      <c r="HM150" s="609"/>
      <c r="HN150" s="609"/>
      <c r="HO150" s="610">
        <v>0</v>
      </c>
      <c r="HP150" s="609"/>
      <c r="HQ150" s="610">
        <v>0</v>
      </c>
      <c r="HR150" s="610">
        <v>4</v>
      </c>
      <c r="HS150" s="610">
        <v>1</v>
      </c>
      <c r="HT150" s="610">
        <v>1</v>
      </c>
      <c r="HU150" s="610">
        <v>1</v>
      </c>
      <c r="HV150" s="611"/>
      <c r="HW150" s="612">
        <v>0</v>
      </c>
      <c r="HX150" s="612">
        <v>9</v>
      </c>
      <c r="HY150" s="560"/>
      <c r="HZ150" s="36"/>
      <c r="IA150" s="36"/>
      <c r="IB150" s="36"/>
      <c r="IC150" s="613"/>
      <c r="ID150" s="389" t="s">
        <v>1080</v>
      </c>
      <c r="IE150" s="390">
        <v>0</v>
      </c>
      <c r="IF150" s="614"/>
      <c r="IG150" s="614"/>
      <c r="IH150" s="390">
        <v>0</v>
      </c>
      <c r="II150" s="614"/>
      <c r="IJ150" s="390">
        <v>0</v>
      </c>
      <c r="IK150" s="390">
        <v>0</v>
      </c>
      <c r="IL150" s="390">
        <v>0</v>
      </c>
      <c r="IM150" s="390">
        <v>1</v>
      </c>
      <c r="IN150" s="390">
        <v>0</v>
      </c>
      <c r="IO150" s="390">
        <v>13</v>
      </c>
      <c r="IP150" s="390">
        <v>0</v>
      </c>
      <c r="IQ150" s="390">
        <v>5</v>
      </c>
      <c r="IR150" s="390">
        <v>19</v>
      </c>
      <c r="IS150" s="615"/>
      <c r="IT150" s="36"/>
      <c r="IU150" s="36"/>
      <c r="IV150" s="95"/>
      <c r="IW150" s="95"/>
      <c r="IX150" s="95"/>
      <c r="IY150" s="36" t="s">
        <v>1076</v>
      </c>
      <c r="IZ150" s="36"/>
      <c r="JA150" s="36"/>
      <c r="JB150" s="36"/>
      <c r="JC150" s="36"/>
      <c r="JD150" s="36"/>
      <c r="JE150" s="36">
        <v>0</v>
      </c>
      <c r="JF150" s="36">
        <v>0</v>
      </c>
      <c r="JG150" s="36"/>
      <c r="JH150" s="36">
        <v>0</v>
      </c>
      <c r="JI150" s="36">
        <v>0</v>
      </c>
      <c r="JJ150" s="36">
        <v>0</v>
      </c>
      <c r="JK150" s="36"/>
      <c r="JL150" s="36">
        <v>0</v>
      </c>
      <c r="JM150" s="36">
        <v>0</v>
      </c>
      <c r="JN150" s="36">
        <v>1</v>
      </c>
      <c r="JO150" s="36">
        <v>0</v>
      </c>
      <c r="JP150" s="36">
        <v>1</v>
      </c>
      <c r="JQ150" s="36"/>
      <c r="JR150" s="36"/>
      <c r="JS150" s="616"/>
      <c r="JT150" s="616" t="s">
        <v>1146</v>
      </c>
      <c r="JU150" s="616" t="s">
        <v>16</v>
      </c>
      <c r="JV150" s="616" t="s">
        <v>1072</v>
      </c>
      <c r="JW150" s="616">
        <v>0</v>
      </c>
      <c r="JX150" s="616">
        <v>0</v>
      </c>
      <c r="JY150" s="616">
        <v>0</v>
      </c>
      <c r="JZ150" s="616">
        <v>0</v>
      </c>
      <c r="KA150" s="616">
        <v>0</v>
      </c>
      <c r="KB150" s="616">
        <v>0</v>
      </c>
      <c r="KC150" s="616">
        <v>0</v>
      </c>
      <c r="KD150" s="616">
        <v>0</v>
      </c>
      <c r="KE150" s="616">
        <v>0</v>
      </c>
      <c r="KF150" s="616">
        <v>0</v>
      </c>
      <c r="KG150" s="616">
        <v>0</v>
      </c>
      <c r="KH150" s="616">
        <v>1</v>
      </c>
      <c r="KI150" s="616">
        <v>0</v>
      </c>
      <c r="KJ150" s="616">
        <v>0</v>
      </c>
      <c r="KK150" s="616">
        <v>0</v>
      </c>
      <c r="KL150" s="616">
        <v>0</v>
      </c>
      <c r="KM150" s="616">
        <v>1</v>
      </c>
      <c r="KN150" s="616"/>
      <c r="KO150" s="617"/>
    </row>
    <row r="151" spans="1:301">
      <c r="A151" s="5737"/>
      <c r="B151" s="5737"/>
      <c r="C151" s="5742" t="s">
        <v>41</v>
      </c>
      <c r="D151" s="5736"/>
      <c r="E151" s="5742">
        <f>SUM(E149,E137,E129)</f>
        <v>56</v>
      </c>
      <c r="F151" s="5768"/>
      <c r="G151" s="4452">
        <f>+(E150)/(E151)</f>
        <v>0.39285714285714285</v>
      </c>
      <c r="I151" s="4981"/>
      <c r="J151" s="4981"/>
      <c r="K151" s="4982" t="s">
        <v>25</v>
      </c>
      <c r="L151" s="4983"/>
      <c r="M151" s="4984">
        <f>SUM(M149,M116,M93)</f>
        <v>131</v>
      </c>
      <c r="N151" s="4981"/>
      <c r="O151" s="4985">
        <f>+(M150)/(M151)</f>
        <v>0.22137404580152673</v>
      </c>
      <c r="Q151" s="4458">
        <v>3</v>
      </c>
      <c r="R151" s="4458">
        <v>4</v>
      </c>
      <c r="S151" s="4459" t="s">
        <v>298</v>
      </c>
      <c r="T151" s="4459" t="s">
        <v>2705</v>
      </c>
      <c r="U151" s="4458">
        <v>8</v>
      </c>
      <c r="V151" s="4479">
        <v>1</v>
      </c>
      <c r="W151" s="4510"/>
      <c r="Z151" s="36"/>
      <c r="AA151" s="36"/>
      <c r="AB151" s="36"/>
      <c r="AC151" s="36" t="s">
        <v>1163</v>
      </c>
      <c r="AD151" s="615">
        <v>0</v>
      </c>
      <c r="AE151" s="615">
        <v>0</v>
      </c>
      <c r="AF151" s="615">
        <v>0</v>
      </c>
      <c r="AG151" s="615">
        <v>0</v>
      </c>
      <c r="AH151" s="615">
        <v>0</v>
      </c>
      <c r="AI151" s="615">
        <v>0</v>
      </c>
      <c r="AJ151" s="615">
        <v>0</v>
      </c>
      <c r="AK151" s="615">
        <v>0</v>
      </c>
      <c r="AL151" s="615">
        <v>0</v>
      </c>
      <c r="AM151" s="615">
        <v>1</v>
      </c>
      <c r="AN151" s="615">
        <v>2</v>
      </c>
      <c r="AO151" s="615">
        <v>0</v>
      </c>
      <c r="AP151" s="615">
        <v>0</v>
      </c>
      <c r="AQ151" s="36">
        <v>0</v>
      </c>
      <c r="AR151" s="36">
        <v>3</v>
      </c>
      <c r="AS151" s="36"/>
      <c r="AU151" s="36"/>
      <c r="AV151" s="36"/>
      <c r="AW151" s="36"/>
      <c r="AX151" s="36" t="s">
        <v>15</v>
      </c>
      <c r="AY151" s="1681"/>
      <c r="AZ151" s="1681"/>
      <c r="BA151" s="1681"/>
      <c r="BB151" s="1681"/>
      <c r="BC151" s="1681"/>
      <c r="BD151" s="1681"/>
      <c r="BE151" s="1681"/>
      <c r="BF151" s="1681"/>
      <c r="BG151" s="1681"/>
      <c r="BH151" s="1681"/>
      <c r="BI151" s="1681">
        <v>1</v>
      </c>
      <c r="BJ151" s="1681">
        <v>2</v>
      </c>
      <c r="BK151" s="1681"/>
      <c r="BL151" s="1681"/>
      <c r="BM151" s="95"/>
      <c r="BN151" s="95"/>
      <c r="BO151" s="95">
        <v>3</v>
      </c>
      <c r="BP151" s="560">
        <f>+(BO150)/(BO151)</f>
        <v>1</v>
      </c>
      <c r="BU151" s="1520" t="s">
        <v>15</v>
      </c>
      <c r="BV151" s="3872"/>
      <c r="BW151" s="3872"/>
      <c r="BX151" s="3872"/>
      <c r="BY151" s="3872"/>
      <c r="BZ151" s="3872"/>
      <c r="CA151" s="3872"/>
      <c r="CB151" s="3872"/>
      <c r="CC151" s="3872"/>
      <c r="CD151" s="3872"/>
      <c r="CE151" s="3872"/>
      <c r="CF151" s="3872">
        <v>1</v>
      </c>
      <c r="CG151" s="3872">
        <v>2</v>
      </c>
      <c r="CH151" s="3872"/>
      <c r="CI151" s="3872"/>
      <c r="CJ151" s="3806"/>
      <c r="CK151" s="3806">
        <v>3</v>
      </c>
      <c r="CL151" s="3807">
        <f>+CK150/CK151</f>
        <v>1</v>
      </c>
      <c r="CN151" s="36"/>
      <c r="CO151" s="36"/>
      <c r="CP151" s="36"/>
      <c r="CQ151" s="393" t="s">
        <v>15</v>
      </c>
      <c r="CR151" s="2049"/>
      <c r="CS151" s="2049"/>
      <c r="CT151" s="2049"/>
      <c r="CU151" s="2049"/>
      <c r="CV151" s="2049"/>
      <c r="CW151" s="2049">
        <v>1</v>
      </c>
      <c r="CX151" s="2049"/>
      <c r="CY151" s="2049"/>
      <c r="CZ151" s="2049"/>
      <c r="DA151" s="2049"/>
      <c r="DB151" s="2049"/>
      <c r="DC151" s="2049">
        <v>1</v>
      </c>
      <c r="DD151" s="2049">
        <v>3</v>
      </c>
      <c r="DE151" s="2049">
        <v>1</v>
      </c>
      <c r="DF151" s="2049">
        <v>7</v>
      </c>
      <c r="DG151" s="393"/>
      <c r="DH151" s="393"/>
      <c r="DI151" s="393">
        <v>13</v>
      </c>
      <c r="DJ151" s="560">
        <f>+(DI150+DI148)/DI151</f>
        <v>0.38461538461538464</v>
      </c>
      <c r="DK151" s="1665"/>
      <c r="DL151" s="36"/>
      <c r="DM151" s="36"/>
      <c r="DN151" s="36"/>
      <c r="DO151" s="393" t="s">
        <v>15</v>
      </c>
      <c r="DP151" s="1682"/>
      <c r="DQ151" s="1682"/>
      <c r="DR151" s="1682"/>
      <c r="DS151" s="1682"/>
      <c r="DT151" s="1682"/>
      <c r="DU151" s="1682"/>
      <c r="DV151" s="1682"/>
      <c r="DW151" s="1682"/>
      <c r="DX151" s="1682"/>
      <c r="DY151" s="1682"/>
      <c r="DZ151" s="1682"/>
      <c r="EA151" s="1682"/>
      <c r="EB151" s="1682">
        <v>1</v>
      </c>
      <c r="EC151" s="1682">
        <v>2</v>
      </c>
      <c r="ED151" s="1682">
        <v>1</v>
      </c>
      <c r="EE151" s="86">
        <v>1</v>
      </c>
      <c r="EF151" s="86">
        <v>4</v>
      </c>
      <c r="EG151" s="86">
        <v>9</v>
      </c>
      <c r="EH151" s="560">
        <f>+(EG147+EG150)/EG151</f>
        <v>0.33333333333333331</v>
      </c>
      <c r="EL151" s="36"/>
      <c r="EM151" s="36" t="s">
        <v>1076</v>
      </c>
      <c r="EN151" s="1490"/>
      <c r="EO151" s="1490"/>
      <c r="EP151" s="1490">
        <v>0</v>
      </c>
      <c r="EQ151" s="1490"/>
      <c r="ER151" s="1490"/>
      <c r="ES151" s="1490"/>
      <c r="ET151" s="1490"/>
      <c r="EU151" s="1490">
        <v>0</v>
      </c>
      <c r="EV151" s="1490"/>
      <c r="EW151" s="1490">
        <v>0</v>
      </c>
      <c r="EX151" s="1490">
        <v>0</v>
      </c>
      <c r="EY151" s="1490">
        <v>0</v>
      </c>
      <c r="EZ151" s="1490">
        <v>0</v>
      </c>
      <c r="FA151" s="1490">
        <v>1</v>
      </c>
      <c r="FB151" s="1490">
        <v>0</v>
      </c>
      <c r="FC151" s="36"/>
      <c r="FD151" s="36">
        <v>0</v>
      </c>
      <c r="FE151" s="36">
        <v>1</v>
      </c>
      <c r="FF151" s="36"/>
      <c r="FH151" s="1225"/>
      <c r="FI151" s="1225"/>
      <c r="FJ151" s="1225"/>
      <c r="FK151" s="1226" t="s">
        <v>1076</v>
      </c>
      <c r="FL151" s="1227"/>
      <c r="FM151" s="1227"/>
      <c r="FN151" s="1227"/>
      <c r="FO151" s="1227"/>
      <c r="FP151" s="1227"/>
      <c r="FQ151" s="1227"/>
      <c r="FR151" s="1227"/>
      <c r="FS151" s="1228">
        <v>0</v>
      </c>
      <c r="FT151" s="1227"/>
      <c r="FU151" s="1228">
        <v>1</v>
      </c>
      <c r="FV151" s="1228">
        <v>0</v>
      </c>
      <c r="FW151" s="1228">
        <v>1</v>
      </c>
      <c r="FX151" s="1228">
        <v>0</v>
      </c>
      <c r="FY151" s="1230">
        <v>0</v>
      </c>
      <c r="FZ151" s="1230">
        <v>0</v>
      </c>
      <c r="GA151" s="1230">
        <v>2</v>
      </c>
      <c r="GB151" s="36"/>
      <c r="GD151" s="603"/>
      <c r="GE151" s="603"/>
      <c r="GF151" s="603"/>
      <c r="GG151" s="604" t="s">
        <v>1074</v>
      </c>
      <c r="GH151" s="605"/>
      <c r="GI151" s="606">
        <v>0</v>
      </c>
      <c r="GJ151" s="606">
        <v>1</v>
      </c>
      <c r="GK151" s="605"/>
      <c r="GL151" s="605"/>
      <c r="GM151" s="605"/>
      <c r="GN151" s="605"/>
      <c r="GO151" s="605"/>
      <c r="GP151" s="605"/>
      <c r="GQ151" s="605"/>
      <c r="GR151" s="605"/>
      <c r="GS151" s="605"/>
      <c r="GT151" s="606">
        <v>0</v>
      </c>
      <c r="GU151" s="606">
        <v>0</v>
      </c>
      <c r="GV151" s="606">
        <v>0</v>
      </c>
      <c r="GW151" s="608">
        <v>0</v>
      </c>
      <c r="GX151" s="608">
        <v>0</v>
      </c>
      <c r="GY151" s="608">
        <v>1</v>
      </c>
      <c r="GZ151" s="95"/>
      <c r="HB151" s="441"/>
      <c r="HC151" s="441"/>
      <c r="HD151" s="441"/>
      <c r="HE151" s="441"/>
      <c r="HF151" s="442" t="s">
        <v>1076</v>
      </c>
      <c r="HG151" s="609"/>
      <c r="HH151" s="609"/>
      <c r="HI151" s="610">
        <v>0</v>
      </c>
      <c r="HJ151" s="609"/>
      <c r="HK151" s="609"/>
      <c r="HL151" s="609"/>
      <c r="HM151" s="609"/>
      <c r="HN151" s="609"/>
      <c r="HO151" s="610">
        <v>1</v>
      </c>
      <c r="HP151" s="609"/>
      <c r="HQ151" s="610">
        <v>0</v>
      </c>
      <c r="HR151" s="610">
        <v>0</v>
      </c>
      <c r="HS151" s="610">
        <v>0</v>
      </c>
      <c r="HT151" s="610">
        <v>0</v>
      </c>
      <c r="HU151" s="610">
        <v>1</v>
      </c>
      <c r="HV151" s="611"/>
      <c r="HW151" s="612">
        <v>0</v>
      </c>
      <c r="HX151" s="612">
        <v>2</v>
      </c>
      <c r="HY151" s="560"/>
      <c r="HZ151" s="36"/>
      <c r="IA151" s="36"/>
      <c r="IB151" s="36"/>
      <c r="IC151" s="613"/>
      <c r="ID151" s="389" t="s">
        <v>1163</v>
      </c>
      <c r="IE151" s="390">
        <v>0</v>
      </c>
      <c r="IF151" s="614"/>
      <c r="IG151" s="614"/>
      <c r="IH151" s="390">
        <v>0</v>
      </c>
      <c r="II151" s="614"/>
      <c r="IJ151" s="390">
        <v>1</v>
      </c>
      <c r="IK151" s="390">
        <v>1</v>
      </c>
      <c r="IL151" s="390">
        <v>1</v>
      </c>
      <c r="IM151" s="390">
        <v>4</v>
      </c>
      <c r="IN151" s="390">
        <v>2</v>
      </c>
      <c r="IO151" s="390">
        <v>0</v>
      </c>
      <c r="IP151" s="390">
        <v>0</v>
      </c>
      <c r="IQ151" s="390">
        <v>0</v>
      </c>
      <c r="IR151" s="390">
        <v>9</v>
      </c>
      <c r="IS151" s="615"/>
      <c r="IT151" s="36"/>
      <c r="IU151" s="36"/>
      <c r="IV151" s="95"/>
      <c r="IW151" s="95"/>
      <c r="IX151" s="95"/>
      <c r="IY151" s="36" t="s">
        <v>1080</v>
      </c>
      <c r="IZ151" s="36"/>
      <c r="JA151" s="36"/>
      <c r="JB151" s="36"/>
      <c r="JC151" s="36"/>
      <c r="JD151" s="36"/>
      <c r="JE151" s="36">
        <v>0</v>
      </c>
      <c r="JF151" s="36">
        <v>0</v>
      </c>
      <c r="JG151" s="36"/>
      <c r="JH151" s="36">
        <v>0</v>
      </c>
      <c r="JI151" s="36">
        <v>0</v>
      </c>
      <c r="JJ151" s="36">
        <v>0</v>
      </c>
      <c r="JK151" s="36"/>
      <c r="JL151" s="36">
        <v>0</v>
      </c>
      <c r="JM151" s="36">
        <v>8</v>
      </c>
      <c r="JN151" s="36">
        <v>0</v>
      </c>
      <c r="JO151" s="36">
        <v>6</v>
      </c>
      <c r="JP151" s="36">
        <v>14</v>
      </c>
      <c r="JQ151" s="36"/>
      <c r="JR151" s="36"/>
      <c r="JS151" s="616"/>
      <c r="JT151" s="616"/>
      <c r="JU151" s="616"/>
      <c r="JV151" s="616" t="s">
        <v>1080</v>
      </c>
      <c r="JW151" s="616">
        <v>0</v>
      </c>
      <c r="JX151" s="616">
        <v>0</v>
      </c>
      <c r="JY151" s="616">
        <v>0</v>
      </c>
      <c r="JZ151" s="616">
        <v>0</v>
      </c>
      <c r="KA151" s="616">
        <v>0</v>
      </c>
      <c r="KB151" s="616">
        <v>0</v>
      </c>
      <c r="KC151" s="616">
        <v>0</v>
      </c>
      <c r="KD151" s="616">
        <v>0</v>
      </c>
      <c r="KE151" s="616">
        <v>0</v>
      </c>
      <c r="KF151" s="616">
        <v>0</v>
      </c>
      <c r="KG151" s="616">
        <v>0</v>
      </c>
      <c r="KH151" s="616">
        <v>0</v>
      </c>
      <c r="KI151" s="616">
        <v>0</v>
      </c>
      <c r="KJ151" s="616">
        <v>0</v>
      </c>
      <c r="KK151" s="616">
        <v>0</v>
      </c>
      <c r="KL151" s="616">
        <v>1</v>
      </c>
      <c r="KM151" s="616">
        <v>1</v>
      </c>
      <c r="KN151" s="616"/>
      <c r="KO151" s="617"/>
    </row>
    <row r="152" spans="1:301">
      <c r="A152" s="5737"/>
      <c r="B152" s="5737"/>
      <c r="C152" s="5736"/>
      <c r="D152" s="5738" t="s">
        <v>2754</v>
      </c>
      <c r="E152" s="5751">
        <f>SUM(E150,E118,E91)</f>
        <v>37</v>
      </c>
      <c r="F152" s="5737"/>
      <c r="I152" s="4726">
        <v>3</v>
      </c>
      <c r="J152" s="4726">
        <v>2</v>
      </c>
      <c r="K152" s="4725" t="s">
        <v>291</v>
      </c>
      <c r="L152" s="4725" t="s">
        <v>2731</v>
      </c>
      <c r="M152" s="4726">
        <v>5</v>
      </c>
      <c r="N152" s="4726">
        <v>15</v>
      </c>
      <c r="Q152" s="4458"/>
      <c r="R152" s="4458"/>
      <c r="S152" s="4459"/>
      <c r="T152" s="4459"/>
      <c r="U152" s="4458"/>
      <c r="V152" s="4480">
        <f>SUM(V146:V151)</f>
        <v>12</v>
      </c>
      <c r="W152" s="4510">
        <v>0</v>
      </c>
      <c r="Z152" s="36"/>
      <c r="AA152" s="36"/>
      <c r="AB152" s="36"/>
      <c r="AC152" s="4236" t="s">
        <v>15</v>
      </c>
      <c r="AD152" s="4236">
        <v>14</v>
      </c>
      <c r="AE152" s="4236">
        <v>2</v>
      </c>
      <c r="AF152" s="4236">
        <v>1</v>
      </c>
      <c r="AG152" s="4236">
        <v>3</v>
      </c>
      <c r="AH152" s="4236">
        <v>2</v>
      </c>
      <c r="AI152" s="4236">
        <v>1</v>
      </c>
      <c r="AJ152" s="4236">
        <v>1</v>
      </c>
      <c r="AK152" s="4236">
        <v>1</v>
      </c>
      <c r="AL152" s="4236">
        <v>1</v>
      </c>
      <c r="AM152" s="4236">
        <v>3</v>
      </c>
      <c r="AN152" s="4236">
        <v>19</v>
      </c>
      <c r="AO152" s="4236">
        <v>89</v>
      </c>
      <c r="AP152" s="4236">
        <v>16</v>
      </c>
      <c r="AQ152" s="4236">
        <v>25</v>
      </c>
      <c r="AR152" s="4236">
        <v>178</v>
      </c>
      <c r="AS152" s="4243">
        <f>(AR146+AR149+AR151)/(AR152-AR150)</f>
        <v>8.5365853658536592E-2</v>
      </c>
      <c r="AU152" s="36"/>
      <c r="AV152" s="36"/>
      <c r="AW152" s="36" t="s">
        <v>110</v>
      </c>
      <c r="AX152" s="36" t="s">
        <v>1072</v>
      </c>
      <c r="AY152" s="1681"/>
      <c r="AZ152" s="1681"/>
      <c r="BA152" s="1681"/>
      <c r="BB152" s="1681"/>
      <c r="BC152" s="1681"/>
      <c r="BD152" s="1681"/>
      <c r="BE152" s="1681">
        <v>1</v>
      </c>
      <c r="BF152" s="1681">
        <v>1</v>
      </c>
      <c r="BG152" s="1681"/>
      <c r="BH152" s="1681">
        <v>1</v>
      </c>
      <c r="BI152" s="1681">
        <v>1</v>
      </c>
      <c r="BJ152" s="1681">
        <v>9</v>
      </c>
      <c r="BK152" s="1681"/>
      <c r="BL152" s="1681"/>
      <c r="BM152" s="95"/>
      <c r="BN152" s="95"/>
      <c r="BO152" s="95">
        <v>13</v>
      </c>
      <c r="BP152" s="95"/>
      <c r="BT152" s="32" t="s">
        <v>110</v>
      </c>
      <c r="BU152" s="32" t="s">
        <v>1072</v>
      </c>
      <c r="BV152" s="3871">
        <v>0</v>
      </c>
      <c r="BW152" s="3871"/>
      <c r="BX152" s="3871"/>
      <c r="BY152" s="3871"/>
      <c r="BZ152" s="3871"/>
      <c r="CA152" s="3871"/>
      <c r="CB152" s="3871">
        <v>1</v>
      </c>
      <c r="CC152" s="3871">
        <v>1</v>
      </c>
      <c r="CD152" s="3871"/>
      <c r="CE152" s="3871">
        <v>2</v>
      </c>
      <c r="CF152" s="3871">
        <v>1</v>
      </c>
      <c r="CG152" s="3871">
        <v>17</v>
      </c>
      <c r="CH152" s="3871"/>
      <c r="CI152" s="3871"/>
      <c r="CJ152" s="1518"/>
      <c r="CK152" s="1518">
        <v>22</v>
      </c>
      <c r="CN152" s="36"/>
      <c r="CO152" s="36"/>
      <c r="CP152" s="36" t="s">
        <v>320</v>
      </c>
      <c r="CQ152" s="36" t="s">
        <v>1072</v>
      </c>
      <c r="CR152" s="615"/>
      <c r="CS152" s="615"/>
      <c r="CT152" s="615"/>
      <c r="CU152" s="615"/>
      <c r="CV152" s="615"/>
      <c r="CW152" s="615"/>
      <c r="CX152" s="615"/>
      <c r="CY152" s="615"/>
      <c r="CZ152" s="615"/>
      <c r="DA152" s="615">
        <v>1</v>
      </c>
      <c r="DB152" s="615"/>
      <c r="DC152" s="615"/>
      <c r="DD152" s="615">
        <v>1</v>
      </c>
      <c r="DE152" s="615">
        <v>1</v>
      </c>
      <c r="DF152" s="615">
        <v>0</v>
      </c>
      <c r="DG152" s="36">
        <v>0</v>
      </c>
      <c r="DH152" s="36">
        <v>0</v>
      </c>
      <c r="DI152" s="36">
        <v>3</v>
      </c>
      <c r="DJ152" s="36"/>
      <c r="DL152" s="36"/>
      <c r="DM152" s="36"/>
      <c r="DN152" s="36" t="s">
        <v>485</v>
      </c>
      <c r="DO152" s="36" t="s">
        <v>1072</v>
      </c>
      <c r="DP152" s="1681"/>
      <c r="DQ152" s="1681"/>
      <c r="DR152" s="1681"/>
      <c r="DS152" s="1681"/>
      <c r="DT152" s="1681"/>
      <c r="DU152" s="1681"/>
      <c r="DV152" s="1681"/>
      <c r="DW152" s="1681"/>
      <c r="DX152" s="1681">
        <v>1</v>
      </c>
      <c r="DY152" s="1681"/>
      <c r="DZ152" s="1681">
        <v>1</v>
      </c>
      <c r="EA152" s="1681"/>
      <c r="EB152" s="1681">
        <v>0</v>
      </c>
      <c r="EC152" s="1681">
        <v>2</v>
      </c>
      <c r="ED152" s="1681">
        <v>0</v>
      </c>
      <c r="EE152" s="95">
        <v>0</v>
      </c>
      <c r="EF152" s="95">
        <v>0</v>
      </c>
      <c r="EG152" s="95">
        <v>4</v>
      </c>
      <c r="EH152" s="36"/>
      <c r="EL152" s="36"/>
      <c r="EM152" s="36" t="s">
        <v>1080</v>
      </c>
      <c r="EN152" s="1490"/>
      <c r="EO152" s="1490"/>
      <c r="EP152" s="1490">
        <v>0</v>
      </c>
      <c r="EQ152" s="1490"/>
      <c r="ER152" s="1490"/>
      <c r="ES152" s="1490"/>
      <c r="ET152" s="1490"/>
      <c r="EU152" s="1490">
        <v>0</v>
      </c>
      <c r="EV152" s="1490"/>
      <c r="EW152" s="1490">
        <v>0</v>
      </c>
      <c r="EX152" s="1490">
        <v>0</v>
      </c>
      <c r="EY152" s="1490">
        <v>0</v>
      </c>
      <c r="EZ152" s="1490">
        <v>1</v>
      </c>
      <c r="FA152" s="1490">
        <v>0</v>
      </c>
      <c r="FB152" s="1490">
        <v>4</v>
      </c>
      <c r="FC152" s="36"/>
      <c r="FD152" s="36">
        <v>3</v>
      </c>
      <c r="FE152" s="36">
        <v>8</v>
      </c>
      <c r="FF152" s="36"/>
      <c r="FH152" s="1225"/>
      <c r="FI152" s="1225"/>
      <c r="FJ152" s="1225"/>
      <c r="FK152" s="1226" t="s">
        <v>1080</v>
      </c>
      <c r="FL152" s="1227"/>
      <c r="FM152" s="1227"/>
      <c r="FN152" s="1227"/>
      <c r="FO152" s="1227"/>
      <c r="FP152" s="1227"/>
      <c r="FQ152" s="1227"/>
      <c r="FR152" s="1227"/>
      <c r="FS152" s="1228">
        <v>0</v>
      </c>
      <c r="FT152" s="1227"/>
      <c r="FU152" s="1228">
        <v>1</v>
      </c>
      <c r="FV152" s="1228">
        <v>1</v>
      </c>
      <c r="FW152" s="1228">
        <v>0</v>
      </c>
      <c r="FX152" s="1228">
        <v>4</v>
      </c>
      <c r="FY152" s="1230">
        <v>0</v>
      </c>
      <c r="FZ152" s="1230">
        <v>1</v>
      </c>
      <c r="GA152" s="1230">
        <v>7</v>
      </c>
      <c r="GB152" s="36"/>
      <c r="GD152" s="603"/>
      <c r="GE152" s="603"/>
      <c r="GF152" s="603"/>
      <c r="GG152" s="604" t="s">
        <v>1076</v>
      </c>
      <c r="GH152" s="605"/>
      <c r="GI152" s="606">
        <v>0</v>
      </c>
      <c r="GJ152" s="606">
        <v>0</v>
      </c>
      <c r="GK152" s="605"/>
      <c r="GL152" s="605"/>
      <c r="GM152" s="605"/>
      <c r="GN152" s="605"/>
      <c r="GO152" s="605"/>
      <c r="GP152" s="605"/>
      <c r="GQ152" s="605"/>
      <c r="GR152" s="605"/>
      <c r="GS152" s="605"/>
      <c r="GT152" s="606">
        <v>0</v>
      </c>
      <c r="GU152" s="606">
        <v>1</v>
      </c>
      <c r="GV152" s="606">
        <v>1</v>
      </c>
      <c r="GW152" s="608">
        <v>0</v>
      </c>
      <c r="GX152" s="608">
        <v>0</v>
      </c>
      <c r="GY152" s="608">
        <v>2</v>
      </c>
      <c r="GZ152" s="95"/>
      <c r="HB152" s="441"/>
      <c r="HC152" s="441"/>
      <c r="HD152" s="441"/>
      <c r="HE152" s="441"/>
      <c r="HF152" s="442" t="s">
        <v>1080</v>
      </c>
      <c r="HG152" s="609"/>
      <c r="HH152" s="609"/>
      <c r="HI152" s="610">
        <v>0</v>
      </c>
      <c r="HJ152" s="609"/>
      <c r="HK152" s="609"/>
      <c r="HL152" s="609"/>
      <c r="HM152" s="609"/>
      <c r="HN152" s="609"/>
      <c r="HO152" s="610">
        <v>0</v>
      </c>
      <c r="HP152" s="609"/>
      <c r="HQ152" s="610">
        <v>0</v>
      </c>
      <c r="HR152" s="610">
        <v>0</v>
      </c>
      <c r="HS152" s="610">
        <v>0</v>
      </c>
      <c r="HT152" s="610">
        <v>0</v>
      </c>
      <c r="HU152" s="610">
        <v>0</v>
      </c>
      <c r="HV152" s="611"/>
      <c r="HW152" s="612">
        <v>1</v>
      </c>
      <c r="HX152" s="612">
        <v>1</v>
      </c>
      <c r="HY152" s="560"/>
      <c r="HZ152" s="36"/>
      <c r="IA152" s="36"/>
      <c r="IB152" s="36"/>
      <c r="IC152" s="613"/>
      <c r="ID152" s="629" t="s">
        <v>485</v>
      </c>
      <c r="IE152" s="395">
        <v>1</v>
      </c>
      <c r="IF152" s="630"/>
      <c r="IG152" s="630"/>
      <c r="IH152" s="395">
        <v>2</v>
      </c>
      <c r="II152" s="630"/>
      <c r="IJ152" s="395">
        <v>1</v>
      </c>
      <c r="IK152" s="395">
        <v>1</v>
      </c>
      <c r="IL152" s="395">
        <v>3</v>
      </c>
      <c r="IM152" s="395">
        <v>6</v>
      </c>
      <c r="IN152" s="395">
        <v>4</v>
      </c>
      <c r="IO152" s="395">
        <v>17</v>
      </c>
      <c r="IP152" s="395">
        <v>2</v>
      </c>
      <c r="IQ152" s="395">
        <v>5</v>
      </c>
      <c r="IR152" s="395">
        <v>42</v>
      </c>
      <c r="IS152" s="553">
        <f>+(IR151+IR149-IP149)/IR152</f>
        <v>0.35714285714285715</v>
      </c>
      <c r="IT152" s="36"/>
      <c r="IU152" s="36"/>
      <c r="IV152" s="95"/>
      <c r="IW152" s="95"/>
      <c r="IX152" s="95"/>
      <c r="IY152" s="36" t="s">
        <v>1163</v>
      </c>
      <c r="IZ152" s="36"/>
      <c r="JA152" s="36"/>
      <c r="JB152" s="36"/>
      <c r="JC152" s="36"/>
      <c r="JD152" s="36"/>
      <c r="JE152" s="36">
        <v>1</v>
      </c>
      <c r="JF152" s="36">
        <v>2</v>
      </c>
      <c r="JG152" s="36"/>
      <c r="JH152" s="36">
        <v>0</v>
      </c>
      <c r="JI152" s="36">
        <v>2</v>
      </c>
      <c r="JJ152" s="36">
        <v>2</v>
      </c>
      <c r="JK152" s="36"/>
      <c r="JL152" s="36">
        <v>2</v>
      </c>
      <c r="JM152" s="36">
        <v>0</v>
      </c>
      <c r="JN152" s="36">
        <v>0</v>
      </c>
      <c r="JO152" s="36">
        <v>0</v>
      </c>
      <c r="JP152" s="36">
        <v>9</v>
      </c>
      <c r="JQ152" s="36"/>
      <c r="JR152" s="36"/>
      <c r="JS152" s="616"/>
      <c r="JT152" s="616"/>
      <c r="JU152" s="616"/>
      <c r="JV152" s="627" t="s">
        <v>15</v>
      </c>
      <c r="JW152" s="627">
        <v>0</v>
      </c>
      <c r="JX152" s="627">
        <v>0</v>
      </c>
      <c r="JY152" s="627">
        <v>0</v>
      </c>
      <c r="JZ152" s="627">
        <v>0</v>
      </c>
      <c r="KA152" s="627">
        <v>0</v>
      </c>
      <c r="KB152" s="627">
        <v>0</v>
      </c>
      <c r="KC152" s="627">
        <v>0</v>
      </c>
      <c r="KD152" s="627">
        <v>0</v>
      </c>
      <c r="KE152" s="627">
        <v>0</v>
      </c>
      <c r="KF152" s="627">
        <v>0</v>
      </c>
      <c r="KG152" s="627">
        <v>0</v>
      </c>
      <c r="KH152" s="627">
        <v>1</v>
      </c>
      <c r="KI152" s="627">
        <v>0</v>
      </c>
      <c r="KJ152" s="627">
        <v>0</v>
      </c>
      <c r="KK152" s="627">
        <v>0</v>
      </c>
      <c r="KL152" s="627">
        <v>1</v>
      </c>
      <c r="KM152" s="627">
        <v>2</v>
      </c>
      <c r="KN152" s="628">
        <f>0/KM152</f>
        <v>0</v>
      </c>
      <c r="KO152" s="617">
        <v>0</v>
      </c>
    </row>
    <row r="153" spans="1:301">
      <c r="A153" s="5745"/>
      <c r="B153" s="5745"/>
      <c r="C153" s="5763" t="s">
        <v>73</v>
      </c>
      <c r="D153" s="5763"/>
      <c r="E153" s="5763">
        <f>SUM(E151,E119,E92)</f>
        <v>131</v>
      </c>
      <c r="F153" s="5763"/>
      <c r="G153" s="5767">
        <f>+(E152)/(E153)</f>
        <v>0.28244274809160308</v>
      </c>
      <c r="I153" s="4726">
        <v>3</v>
      </c>
      <c r="J153" s="4726">
        <v>2</v>
      </c>
      <c r="K153" s="4725" t="s">
        <v>291</v>
      </c>
      <c r="L153" s="4725" t="s">
        <v>1071</v>
      </c>
      <c r="M153" s="4726">
        <v>1</v>
      </c>
      <c r="N153" s="4726">
        <v>10</v>
      </c>
      <c r="Q153" s="4458"/>
      <c r="R153" s="4458"/>
      <c r="S153" s="4469"/>
      <c r="T153" s="4469"/>
      <c r="U153" s="4470"/>
      <c r="V153" s="4490">
        <f>SUM(V144)</f>
        <v>13</v>
      </c>
      <c r="W153" s="4510"/>
      <c r="Z153" s="36" t="s">
        <v>48</v>
      </c>
      <c r="AA153" s="36" t="s">
        <v>41</v>
      </c>
      <c r="AB153" s="36" t="s">
        <v>144</v>
      </c>
      <c r="AC153" s="36" t="s">
        <v>1072</v>
      </c>
      <c r="AD153" s="615">
        <v>0</v>
      </c>
      <c r="AE153" s="615"/>
      <c r="AF153" s="615"/>
      <c r="AG153" s="615"/>
      <c r="AH153" s="615"/>
      <c r="AI153" s="615"/>
      <c r="AJ153" s="615"/>
      <c r="AK153" s="615">
        <v>5</v>
      </c>
      <c r="AL153" s="615">
        <v>6</v>
      </c>
      <c r="AM153" s="615">
        <v>1</v>
      </c>
      <c r="AN153" s="615"/>
      <c r="AO153" s="615"/>
      <c r="AP153" s="615"/>
      <c r="AQ153" s="36"/>
      <c r="AR153" s="36">
        <v>12</v>
      </c>
      <c r="AS153" s="36"/>
      <c r="AU153" s="36"/>
      <c r="AV153" s="36"/>
      <c r="AW153" s="36"/>
      <c r="AX153" s="36" t="s">
        <v>1076</v>
      </c>
      <c r="AY153" s="1681"/>
      <c r="AZ153" s="1681"/>
      <c r="BA153" s="1681"/>
      <c r="BB153" s="1681"/>
      <c r="BC153" s="1681"/>
      <c r="BD153" s="1681"/>
      <c r="BE153" s="1681">
        <v>0</v>
      </c>
      <c r="BF153" s="1681">
        <v>0</v>
      </c>
      <c r="BG153" s="1681"/>
      <c r="BH153" s="1681">
        <v>0</v>
      </c>
      <c r="BI153" s="1681">
        <v>0</v>
      </c>
      <c r="BJ153" s="1681">
        <v>4</v>
      </c>
      <c r="BK153" s="1681"/>
      <c r="BL153" s="1681"/>
      <c r="BM153" s="95"/>
      <c r="BN153" s="95"/>
      <c r="BO153" s="95">
        <v>4</v>
      </c>
      <c r="BP153" s="95"/>
      <c r="BU153" s="32" t="s">
        <v>1077</v>
      </c>
      <c r="BV153" s="3871">
        <v>0</v>
      </c>
      <c r="BW153" s="3871"/>
      <c r="BX153" s="3871"/>
      <c r="BY153" s="3871"/>
      <c r="BZ153" s="3871"/>
      <c r="CA153" s="3871"/>
      <c r="CB153" s="3871">
        <v>0</v>
      </c>
      <c r="CC153" s="3871">
        <v>0</v>
      </c>
      <c r="CD153" s="3871"/>
      <c r="CE153" s="3871">
        <v>0</v>
      </c>
      <c r="CF153" s="3871">
        <v>0</v>
      </c>
      <c r="CG153" s="3871">
        <v>1</v>
      </c>
      <c r="CH153" s="3871"/>
      <c r="CI153" s="3871"/>
      <c r="CJ153" s="1518"/>
      <c r="CK153" s="1518">
        <v>1</v>
      </c>
      <c r="CN153" s="36"/>
      <c r="CO153" s="36"/>
      <c r="CP153" s="36"/>
      <c r="CQ153" s="36" t="s">
        <v>1076</v>
      </c>
      <c r="CR153" s="615"/>
      <c r="CS153" s="615"/>
      <c r="CT153" s="615"/>
      <c r="CU153" s="615"/>
      <c r="CV153" s="615"/>
      <c r="CW153" s="615"/>
      <c r="CX153" s="615"/>
      <c r="CY153" s="615"/>
      <c r="CZ153" s="615"/>
      <c r="DA153" s="615">
        <v>0</v>
      </c>
      <c r="DB153" s="615"/>
      <c r="DC153" s="615"/>
      <c r="DD153" s="615">
        <v>2</v>
      </c>
      <c r="DE153" s="615">
        <v>2</v>
      </c>
      <c r="DF153" s="615">
        <v>0</v>
      </c>
      <c r="DG153" s="36">
        <v>0</v>
      </c>
      <c r="DH153" s="36">
        <v>0</v>
      </c>
      <c r="DI153" s="36">
        <v>4</v>
      </c>
      <c r="DJ153" s="36"/>
      <c r="DL153" s="36"/>
      <c r="DM153" s="36"/>
      <c r="DN153" s="36"/>
      <c r="DO153" s="36" t="s">
        <v>1076</v>
      </c>
      <c r="DP153" s="1681"/>
      <c r="DQ153" s="1681"/>
      <c r="DR153" s="1681"/>
      <c r="DS153" s="1681"/>
      <c r="DT153" s="1681"/>
      <c r="DU153" s="1681"/>
      <c r="DV153" s="1681"/>
      <c r="DW153" s="1681"/>
      <c r="DX153" s="1681">
        <v>0</v>
      </c>
      <c r="DY153" s="1681"/>
      <c r="DZ153" s="1681">
        <v>0</v>
      </c>
      <c r="EA153" s="1681"/>
      <c r="EB153" s="1681">
        <v>2</v>
      </c>
      <c r="EC153" s="1681">
        <v>1</v>
      </c>
      <c r="ED153" s="1681">
        <v>0</v>
      </c>
      <c r="EE153" s="95">
        <v>0</v>
      </c>
      <c r="EF153" s="95">
        <v>0</v>
      </c>
      <c r="EG153" s="95">
        <v>3</v>
      </c>
      <c r="EH153" s="36"/>
      <c r="EL153" s="36"/>
      <c r="EM153" s="36" t="s">
        <v>1081</v>
      </c>
      <c r="EN153" s="1490"/>
      <c r="EO153" s="1490"/>
      <c r="EP153" s="1490">
        <v>0</v>
      </c>
      <c r="EQ153" s="1490"/>
      <c r="ER153" s="1490"/>
      <c r="ES153" s="1490"/>
      <c r="ET153" s="1490"/>
      <c r="EU153" s="1490">
        <v>0</v>
      </c>
      <c r="EV153" s="1490"/>
      <c r="EW153" s="1490">
        <v>0</v>
      </c>
      <c r="EX153" s="1490">
        <v>0</v>
      </c>
      <c r="EY153" s="1490">
        <v>2</v>
      </c>
      <c r="EZ153" s="1490">
        <v>1</v>
      </c>
      <c r="FA153" s="1490">
        <v>0</v>
      </c>
      <c r="FB153" s="1490">
        <v>1</v>
      </c>
      <c r="FC153" s="36"/>
      <c r="FD153" s="36">
        <v>0</v>
      </c>
      <c r="FE153" s="36">
        <v>4</v>
      </c>
      <c r="FF153" s="36"/>
      <c r="FH153" s="1225"/>
      <c r="FI153" s="1225"/>
      <c r="FJ153" s="1225"/>
      <c r="FK153" s="1226" t="s">
        <v>1081</v>
      </c>
      <c r="FL153" s="1227"/>
      <c r="FM153" s="1227"/>
      <c r="FN153" s="1227"/>
      <c r="FO153" s="1227"/>
      <c r="FP153" s="1227"/>
      <c r="FQ153" s="1227"/>
      <c r="FR153" s="1227"/>
      <c r="FS153" s="1228">
        <v>1</v>
      </c>
      <c r="FT153" s="1227"/>
      <c r="FU153" s="1228">
        <v>0</v>
      </c>
      <c r="FV153" s="1228">
        <v>0</v>
      </c>
      <c r="FW153" s="1228">
        <v>1</v>
      </c>
      <c r="FX153" s="1228">
        <v>0</v>
      </c>
      <c r="FY153" s="1230">
        <v>1</v>
      </c>
      <c r="FZ153" s="1230">
        <v>0</v>
      </c>
      <c r="GA153" s="1230">
        <v>3</v>
      </c>
      <c r="GB153" s="36"/>
      <c r="GD153" s="603"/>
      <c r="GE153" s="603"/>
      <c r="GF153" s="603"/>
      <c r="GG153" s="604" t="s">
        <v>1080</v>
      </c>
      <c r="GH153" s="605"/>
      <c r="GI153" s="606">
        <v>0</v>
      </c>
      <c r="GJ153" s="606">
        <v>0</v>
      </c>
      <c r="GK153" s="605"/>
      <c r="GL153" s="605"/>
      <c r="GM153" s="605"/>
      <c r="GN153" s="605"/>
      <c r="GO153" s="605"/>
      <c r="GP153" s="605"/>
      <c r="GQ153" s="605"/>
      <c r="GR153" s="605"/>
      <c r="GS153" s="605"/>
      <c r="GT153" s="606">
        <v>0</v>
      </c>
      <c r="GU153" s="606">
        <v>0</v>
      </c>
      <c r="GV153" s="606">
        <v>0</v>
      </c>
      <c r="GW153" s="608">
        <v>0</v>
      </c>
      <c r="GX153" s="608">
        <v>1</v>
      </c>
      <c r="GY153" s="608">
        <v>1</v>
      </c>
      <c r="GZ153" s="95"/>
      <c r="HB153" s="441"/>
      <c r="HC153" s="441"/>
      <c r="HD153" s="441"/>
      <c r="HE153" s="441"/>
      <c r="HF153" s="442" t="s">
        <v>1163</v>
      </c>
      <c r="HG153" s="609"/>
      <c r="HH153" s="609"/>
      <c r="HI153" s="610">
        <v>0</v>
      </c>
      <c r="HJ153" s="609"/>
      <c r="HK153" s="609"/>
      <c r="HL153" s="609"/>
      <c r="HM153" s="609"/>
      <c r="HN153" s="609"/>
      <c r="HO153" s="610">
        <v>0</v>
      </c>
      <c r="HP153" s="609"/>
      <c r="HQ153" s="610">
        <v>1</v>
      </c>
      <c r="HR153" s="610">
        <v>0</v>
      </c>
      <c r="HS153" s="610">
        <v>0</v>
      </c>
      <c r="HT153" s="610">
        <v>0</v>
      </c>
      <c r="HU153" s="610">
        <v>0</v>
      </c>
      <c r="HV153" s="611"/>
      <c r="HW153" s="612">
        <v>0</v>
      </c>
      <c r="HX153" s="612">
        <v>1</v>
      </c>
      <c r="HY153" s="560"/>
      <c r="HZ153" s="36"/>
      <c r="IA153" s="36" t="s">
        <v>48</v>
      </c>
      <c r="IB153" s="36"/>
      <c r="IC153" s="613" t="s">
        <v>483</v>
      </c>
      <c r="ID153" s="389" t="s">
        <v>1072</v>
      </c>
      <c r="IE153" s="614"/>
      <c r="IF153" s="614"/>
      <c r="IG153" s="614"/>
      <c r="IH153" s="614"/>
      <c r="II153" s="614"/>
      <c r="IJ153" s="614"/>
      <c r="IK153" s="390">
        <v>4</v>
      </c>
      <c r="IL153" s="390">
        <v>5</v>
      </c>
      <c r="IM153" s="390">
        <v>4</v>
      </c>
      <c r="IN153" s="614"/>
      <c r="IO153" s="614"/>
      <c r="IP153" s="614"/>
      <c r="IQ153" s="390">
        <v>0</v>
      </c>
      <c r="IR153" s="390">
        <v>13</v>
      </c>
      <c r="IS153" s="615"/>
      <c r="IT153" s="36"/>
      <c r="IU153" s="36"/>
      <c r="IV153" s="95"/>
      <c r="IW153" s="95"/>
      <c r="IX153" s="95"/>
      <c r="IY153" s="393" t="s">
        <v>15</v>
      </c>
      <c r="IZ153" s="393"/>
      <c r="JA153" s="393"/>
      <c r="JB153" s="393"/>
      <c r="JC153" s="393"/>
      <c r="JD153" s="393"/>
      <c r="JE153" s="393">
        <v>1</v>
      </c>
      <c r="JF153" s="393">
        <v>2</v>
      </c>
      <c r="JG153" s="393"/>
      <c r="JH153" s="393">
        <v>1</v>
      </c>
      <c r="JI153" s="393">
        <v>3</v>
      </c>
      <c r="JJ153" s="393">
        <v>2</v>
      </c>
      <c r="JK153" s="393"/>
      <c r="JL153" s="393">
        <v>2</v>
      </c>
      <c r="JM153" s="393">
        <v>8</v>
      </c>
      <c r="JN153" s="393">
        <v>1</v>
      </c>
      <c r="JO153" s="393">
        <v>6</v>
      </c>
      <c r="JP153" s="393">
        <v>26</v>
      </c>
      <c r="JQ153" s="631">
        <f>+(JP150+JP152)/JP153</f>
        <v>0.38461538461538464</v>
      </c>
      <c r="JR153" s="36"/>
      <c r="JS153" s="616"/>
      <c r="JT153" s="616"/>
      <c r="JU153" s="616" t="s">
        <v>41</v>
      </c>
      <c r="JV153" s="616" t="s">
        <v>1072</v>
      </c>
      <c r="JW153" s="616">
        <v>0</v>
      </c>
      <c r="JX153" s="616">
        <v>0</v>
      </c>
      <c r="JY153" s="616">
        <v>1</v>
      </c>
      <c r="JZ153" s="616">
        <v>0</v>
      </c>
      <c r="KA153" s="616">
        <v>0</v>
      </c>
      <c r="KB153" s="616">
        <v>1</v>
      </c>
      <c r="KC153" s="616">
        <v>0</v>
      </c>
      <c r="KD153" s="616">
        <v>2</v>
      </c>
      <c r="KE153" s="616">
        <v>5</v>
      </c>
      <c r="KF153" s="616">
        <v>2</v>
      </c>
      <c r="KG153" s="616">
        <v>1</v>
      </c>
      <c r="KH153" s="616">
        <v>0</v>
      </c>
      <c r="KI153" s="616">
        <v>0</v>
      </c>
      <c r="KJ153" s="616">
        <v>0</v>
      </c>
      <c r="KK153" s="616">
        <v>0</v>
      </c>
      <c r="KL153" s="616">
        <v>0</v>
      </c>
      <c r="KM153" s="616">
        <v>12</v>
      </c>
      <c r="KN153" s="616"/>
      <c r="KO153" s="617"/>
    </row>
    <row r="154" spans="1:301">
      <c r="A154" s="5743">
        <v>3</v>
      </c>
      <c r="B154" s="5743">
        <v>2</v>
      </c>
      <c r="C154" s="5744" t="s">
        <v>291</v>
      </c>
      <c r="D154" s="5744" t="s">
        <v>2731</v>
      </c>
      <c r="E154" s="5743">
        <v>1</v>
      </c>
      <c r="F154" s="5743">
        <v>11</v>
      </c>
      <c r="I154" s="4726">
        <v>3</v>
      </c>
      <c r="J154" s="4726">
        <v>2</v>
      </c>
      <c r="K154" s="4725" t="s">
        <v>291</v>
      </c>
      <c r="L154" s="4963" t="s">
        <v>2732</v>
      </c>
      <c r="M154" s="4964">
        <v>3</v>
      </c>
      <c r="N154" s="4726">
        <v>12</v>
      </c>
      <c r="Q154" s="4474"/>
      <c r="R154" s="4474"/>
      <c r="S154" s="4500" t="s">
        <v>412</v>
      </c>
      <c r="T154" s="4501"/>
      <c r="U154" s="4502"/>
      <c r="V154" s="4503">
        <f>SUM(V145,V152)</f>
        <v>51</v>
      </c>
      <c r="W154" s="4512">
        <f>+(V153)/(V154)</f>
        <v>0.25490196078431371</v>
      </c>
      <c r="Z154" s="36"/>
      <c r="AA154" s="36"/>
      <c r="AB154" s="36"/>
      <c r="AC154" s="36" t="s">
        <v>1076</v>
      </c>
      <c r="AD154" s="615">
        <v>0</v>
      </c>
      <c r="AE154" s="615"/>
      <c r="AF154" s="615"/>
      <c r="AG154" s="615"/>
      <c r="AH154" s="615"/>
      <c r="AI154" s="615"/>
      <c r="AJ154" s="615"/>
      <c r="AK154" s="615">
        <v>1</v>
      </c>
      <c r="AL154" s="615">
        <v>1</v>
      </c>
      <c r="AM154" s="615">
        <v>0</v>
      </c>
      <c r="AN154" s="615"/>
      <c r="AO154" s="615"/>
      <c r="AP154" s="615"/>
      <c r="AQ154" s="36"/>
      <c r="AR154" s="36">
        <v>2</v>
      </c>
      <c r="AS154" s="36"/>
      <c r="AU154" s="36"/>
      <c r="AV154" s="36"/>
      <c r="AW154" s="36"/>
      <c r="AX154" s="36" t="s">
        <v>1081</v>
      </c>
      <c r="AY154" s="1681"/>
      <c r="AZ154" s="1681"/>
      <c r="BA154" s="1681"/>
      <c r="BB154" s="1681"/>
      <c r="BC154" s="1681"/>
      <c r="BD154" s="1681"/>
      <c r="BE154" s="1681">
        <v>0</v>
      </c>
      <c r="BF154" s="1681">
        <v>0</v>
      </c>
      <c r="BG154" s="1681"/>
      <c r="BH154" s="1681">
        <v>1</v>
      </c>
      <c r="BI154" s="1681">
        <v>0</v>
      </c>
      <c r="BJ154" s="1681">
        <v>6</v>
      </c>
      <c r="BK154" s="1681"/>
      <c r="BL154" s="1681"/>
      <c r="BM154" s="95"/>
      <c r="BN154" s="95"/>
      <c r="BO154" s="95">
        <v>7</v>
      </c>
      <c r="BP154" s="95"/>
      <c r="BU154" s="32" t="s">
        <v>1081</v>
      </c>
      <c r="BV154" s="3871">
        <v>0</v>
      </c>
      <c r="BW154" s="3871"/>
      <c r="BX154" s="3871"/>
      <c r="BY154" s="3871"/>
      <c r="BZ154" s="3871"/>
      <c r="CA154" s="3871"/>
      <c r="CB154" s="3871">
        <v>0</v>
      </c>
      <c r="CC154" s="3871">
        <v>0</v>
      </c>
      <c r="CD154" s="3871"/>
      <c r="CE154" s="3871">
        <v>0</v>
      </c>
      <c r="CF154" s="3871">
        <v>0</v>
      </c>
      <c r="CG154" s="3871">
        <v>1</v>
      </c>
      <c r="CH154" s="3871"/>
      <c r="CI154" s="3871"/>
      <c r="CJ154" s="1518"/>
      <c r="CK154" s="1518">
        <v>1</v>
      </c>
      <c r="CN154" s="36"/>
      <c r="CO154" s="36"/>
      <c r="CP154" s="36"/>
      <c r="CQ154" s="36" t="s">
        <v>1080</v>
      </c>
      <c r="CR154" s="615"/>
      <c r="CS154" s="615"/>
      <c r="CT154" s="615"/>
      <c r="CU154" s="615"/>
      <c r="CV154" s="615"/>
      <c r="CW154" s="615"/>
      <c r="CX154" s="615"/>
      <c r="CY154" s="615"/>
      <c r="CZ154" s="615"/>
      <c r="DA154" s="615">
        <v>0</v>
      </c>
      <c r="DB154" s="615"/>
      <c r="DC154" s="615"/>
      <c r="DD154" s="615">
        <v>0</v>
      </c>
      <c r="DE154" s="615">
        <v>1</v>
      </c>
      <c r="DF154" s="615">
        <v>10</v>
      </c>
      <c r="DG154" s="36">
        <v>2</v>
      </c>
      <c r="DH154" s="36">
        <v>4</v>
      </c>
      <c r="DI154" s="36">
        <v>17</v>
      </c>
      <c r="DJ154" s="36"/>
      <c r="DL154" s="36"/>
      <c r="DM154" s="36"/>
      <c r="DN154" s="36"/>
      <c r="DO154" s="36" t="s">
        <v>1080</v>
      </c>
      <c r="DP154" s="1681"/>
      <c r="DQ154" s="1681"/>
      <c r="DR154" s="1681"/>
      <c r="DS154" s="1681"/>
      <c r="DT154" s="1681"/>
      <c r="DU154" s="1681"/>
      <c r="DV154" s="1681"/>
      <c r="DW154" s="1681"/>
      <c r="DX154" s="1681">
        <v>0</v>
      </c>
      <c r="DY154" s="1681"/>
      <c r="DZ154" s="1681">
        <v>0</v>
      </c>
      <c r="EA154" s="1681"/>
      <c r="EB154" s="1681">
        <v>0</v>
      </c>
      <c r="EC154" s="1681">
        <v>0</v>
      </c>
      <c r="ED154" s="1681">
        <v>2</v>
      </c>
      <c r="EE154" s="95">
        <v>0</v>
      </c>
      <c r="EF154" s="95">
        <v>6</v>
      </c>
      <c r="EG154" s="95">
        <v>8</v>
      </c>
      <c r="EH154" s="36"/>
      <c r="EL154" s="36"/>
      <c r="EM154" s="36" t="s">
        <v>1163</v>
      </c>
      <c r="EN154" s="1490"/>
      <c r="EO154" s="1490"/>
      <c r="EP154" s="1490">
        <v>0</v>
      </c>
      <c r="EQ154" s="1490"/>
      <c r="ER154" s="1490"/>
      <c r="ES154" s="1490"/>
      <c r="ET154" s="1490"/>
      <c r="EU154" s="1490">
        <v>0</v>
      </c>
      <c r="EV154" s="1490"/>
      <c r="EW154" s="1490">
        <v>1</v>
      </c>
      <c r="EX154" s="1490">
        <v>1</v>
      </c>
      <c r="EY154" s="1490">
        <v>0</v>
      </c>
      <c r="EZ154" s="1490">
        <v>0</v>
      </c>
      <c r="FA154" s="1490">
        <v>1</v>
      </c>
      <c r="FB154" s="1490">
        <v>0</v>
      </c>
      <c r="FC154" s="36"/>
      <c r="FD154" s="36">
        <v>0</v>
      </c>
      <c r="FE154" s="36">
        <v>3</v>
      </c>
      <c r="FF154" s="36"/>
      <c r="FH154" s="1225"/>
      <c r="FI154" s="1225"/>
      <c r="FJ154" s="1225"/>
      <c r="FK154" s="1226" t="s">
        <v>1163</v>
      </c>
      <c r="FL154" s="1227"/>
      <c r="FM154" s="1227"/>
      <c r="FN154" s="1227"/>
      <c r="FO154" s="1227"/>
      <c r="FP154" s="1227"/>
      <c r="FQ154" s="1227"/>
      <c r="FR154" s="1227"/>
      <c r="FS154" s="1228">
        <v>0</v>
      </c>
      <c r="FT154" s="1227"/>
      <c r="FU154" s="1228">
        <v>0</v>
      </c>
      <c r="FV154" s="1228">
        <v>0</v>
      </c>
      <c r="FW154" s="1228">
        <v>2</v>
      </c>
      <c r="FX154" s="1228">
        <v>0</v>
      </c>
      <c r="FY154" s="1230">
        <v>0</v>
      </c>
      <c r="FZ154" s="1230">
        <v>0</v>
      </c>
      <c r="GA154" s="1230">
        <v>2</v>
      </c>
      <c r="GB154" s="36"/>
      <c r="GD154" s="603"/>
      <c r="GE154" s="603"/>
      <c r="GF154" s="603"/>
      <c r="GG154" s="604" t="s">
        <v>1163</v>
      </c>
      <c r="GH154" s="605"/>
      <c r="GI154" s="606">
        <v>0</v>
      </c>
      <c r="GJ154" s="606">
        <v>0</v>
      </c>
      <c r="GK154" s="605"/>
      <c r="GL154" s="605"/>
      <c r="GM154" s="605"/>
      <c r="GN154" s="605"/>
      <c r="GO154" s="605"/>
      <c r="GP154" s="605"/>
      <c r="GQ154" s="605"/>
      <c r="GR154" s="605"/>
      <c r="GS154" s="605"/>
      <c r="GT154" s="606">
        <v>1</v>
      </c>
      <c r="GU154" s="606">
        <v>0</v>
      </c>
      <c r="GV154" s="606">
        <v>0</v>
      </c>
      <c r="GW154" s="608">
        <v>0</v>
      </c>
      <c r="GX154" s="608">
        <v>0</v>
      </c>
      <c r="GY154" s="608">
        <v>1</v>
      </c>
      <c r="GZ154" s="95"/>
      <c r="HB154" s="441"/>
      <c r="HC154" s="441"/>
      <c r="HD154" s="441"/>
      <c r="HE154" s="36"/>
      <c r="HF154" s="462" t="s">
        <v>15</v>
      </c>
      <c r="HG154" s="618"/>
      <c r="HH154" s="618"/>
      <c r="HI154" s="619">
        <v>2</v>
      </c>
      <c r="HJ154" s="618"/>
      <c r="HK154" s="618"/>
      <c r="HL154" s="618"/>
      <c r="HM154" s="618"/>
      <c r="HN154" s="618"/>
      <c r="HO154" s="619">
        <v>1</v>
      </c>
      <c r="HP154" s="618"/>
      <c r="HQ154" s="619">
        <v>1</v>
      </c>
      <c r="HR154" s="619">
        <v>4</v>
      </c>
      <c r="HS154" s="619">
        <v>1</v>
      </c>
      <c r="HT154" s="619">
        <v>1</v>
      </c>
      <c r="HU154" s="619">
        <v>2</v>
      </c>
      <c r="HV154" s="620"/>
      <c r="HW154" s="621">
        <v>1</v>
      </c>
      <c r="HX154" s="621">
        <v>13</v>
      </c>
      <c r="HY154" s="560">
        <f>+(HX153+HX151)/HX154</f>
        <v>0.23076923076923078</v>
      </c>
      <c r="HZ154" s="36"/>
      <c r="IA154" s="36"/>
      <c r="IB154" s="36"/>
      <c r="IC154" s="613"/>
      <c r="ID154" s="389" t="s">
        <v>1080</v>
      </c>
      <c r="IE154" s="614"/>
      <c r="IF154" s="614"/>
      <c r="IG154" s="614"/>
      <c r="IH154" s="614"/>
      <c r="II154" s="614"/>
      <c r="IJ154" s="614"/>
      <c r="IK154" s="390">
        <v>0</v>
      </c>
      <c r="IL154" s="390">
        <v>0</v>
      </c>
      <c r="IM154" s="390">
        <v>0</v>
      </c>
      <c r="IN154" s="614"/>
      <c r="IO154" s="614"/>
      <c r="IP154" s="614"/>
      <c r="IQ154" s="390">
        <v>1</v>
      </c>
      <c r="IR154" s="390">
        <v>1</v>
      </c>
      <c r="IS154" s="615"/>
      <c r="IT154" s="36"/>
      <c r="IU154" s="36"/>
      <c r="IV154" s="95"/>
      <c r="IW154" s="95" t="s">
        <v>48</v>
      </c>
      <c r="IX154" s="95" t="s">
        <v>16</v>
      </c>
      <c r="IY154" s="36" t="s">
        <v>1072</v>
      </c>
      <c r="IZ154" s="36"/>
      <c r="JA154" s="36">
        <v>1</v>
      </c>
      <c r="JB154" s="36">
        <v>2</v>
      </c>
      <c r="JC154" s="36">
        <v>1</v>
      </c>
      <c r="JD154" s="36">
        <v>1</v>
      </c>
      <c r="JE154" s="36"/>
      <c r="JF154" s="36"/>
      <c r="JG154" s="36"/>
      <c r="JH154" s="36">
        <v>11</v>
      </c>
      <c r="JI154" s="36">
        <v>4</v>
      </c>
      <c r="JJ154" s="36">
        <v>8</v>
      </c>
      <c r="JK154" s="36">
        <v>26</v>
      </c>
      <c r="JL154" s="36">
        <v>3</v>
      </c>
      <c r="JM154" s="36">
        <v>0</v>
      </c>
      <c r="JN154" s="36">
        <v>1</v>
      </c>
      <c r="JO154" s="36">
        <v>0</v>
      </c>
      <c r="JP154" s="36">
        <v>58</v>
      </c>
      <c r="JQ154" s="36"/>
      <c r="JR154" s="36"/>
      <c r="JS154" s="616"/>
      <c r="JT154" s="616"/>
      <c r="JU154" s="616"/>
      <c r="JV154" s="616" t="s">
        <v>1080</v>
      </c>
      <c r="JW154" s="616">
        <v>0</v>
      </c>
      <c r="JX154" s="616">
        <v>0</v>
      </c>
      <c r="JY154" s="616">
        <v>0</v>
      </c>
      <c r="JZ154" s="616">
        <v>0</v>
      </c>
      <c r="KA154" s="616">
        <v>0</v>
      </c>
      <c r="KB154" s="616">
        <v>0</v>
      </c>
      <c r="KC154" s="616">
        <v>0</v>
      </c>
      <c r="KD154" s="616">
        <v>1</v>
      </c>
      <c r="KE154" s="616">
        <v>0</v>
      </c>
      <c r="KF154" s="616">
        <v>0</v>
      </c>
      <c r="KG154" s="616">
        <v>0</v>
      </c>
      <c r="KH154" s="616">
        <v>0</v>
      </c>
      <c r="KI154" s="616">
        <v>0</v>
      </c>
      <c r="KJ154" s="616">
        <v>2</v>
      </c>
      <c r="KK154" s="616">
        <v>0</v>
      </c>
      <c r="KL154" s="616">
        <v>2</v>
      </c>
      <c r="KM154" s="616">
        <v>5</v>
      </c>
      <c r="KN154" s="616"/>
      <c r="KO154" s="617"/>
    </row>
    <row r="155" spans="1:301">
      <c r="A155" s="5737">
        <v>3</v>
      </c>
      <c r="B155" s="5737">
        <v>2</v>
      </c>
      <c r="C155" s="5736" t="s">
        <v>291</v>
      </c>
      <c r="D155" s="5736" t="s">
        <v>2731</v>
      </c>
      <c r="E155" s="5737">
        <v>2</v>
      </c>
      <c r="F155" s="5737">
        <v>14</v>
      </c>
      <c r="I155" s="4726">
        <v>3</v>
      </c>
      <c r="J155" s="4726">
        <v>2</v>
      </c>
      <c r="K155" s="4725" t="s">
        <v>291</v>
      </c>
      <c r="L155" s="4963" t="s">
        <v>2732</v>
      </c>
      <c r="M155" s="4964">
        <v>4</v>
      </c>
      <c r="N155" s="4726">
        <v>13</v>
      </c>
      <c r="Q155" s="4470">
        <v>4</v>
      </c>
      <c r="R155" s="4470">
        <v>2</v>
      </c>
      <c r="S155" s="4469" t="s">
        <v>608</v>
      </c>
      <c r="T155" s="4469" t="s">
        <v>1071</v>
      </c>
      <c r="U155" s="4470">
        <v>14</v>
      </c>
      <c r="V155" s="4488">
        <v>1</v>
      </c>
      <c r="W155" s="4510"/>
      <c r="Z155" s="36"/>
      <c r="AA155" s="36"/>
      <c r="AB155" s="36"/>
      <c r="AC155" s="36" t="s">
        <v>1081</v>
      </c>
      <c r="AD155" s="615">
        <v>0</v>
      </c>
      <c r="AE155" s="615"/>
      <c r="AF155" s="615"/>
      <c r="AG155" s="615"/>
      <c r="AH155" s="615"/>
      <c r="AI155" s="615"/>
      <c r="AJ155" s="615"/>
      <c r="AK155" s="615">
        <v>1</v>
      </c>
      <c r="AL155" s="615">
        <v>0</v>
      </c>
      <c r="AM155" s="615">
        <v>0</v>
      </c>
      <c r="AN155" s="615"/>
      <c r="AO155" s="615"/>
      <c r="AP155" s="615"/>
      <c r="AQ155" s="36"/>
      <c r="AR155" s="36">
        <v>1</v>
      </c>
      <c r="AS155" s="36"/>
      <c r="AU155" s="36"/>
      <c r="AV155" s="36"/>
      <c r="AW155" s="36"/>
      <c r="AX155" s="36" t="s">
        <v>15</v>
      </c>
      <c r="AY155" s="1681"/>
      <c r="AZ155" s="1681"/>
      <c r="BA155" s="1681"/>
      <c r="BB155" s="1681"/>
      <c r="BC155" s="1681"/>
      <c r="BD155" s="1681"/>
      <c r="BE155" s="1681">
        <v>1</v>
      </c>
      <c r="BF155" s="1681">
        <v>1</v>
      </c>
      <c r="BG155" s="1681"/>
      <c r="BH155" s="1681">
        <v>2</v>
      </c>
      <c r="BI155" s="1681">
        <v>1</v>
      </c>
      <c r="BJ155" s="1681">
        <v>19</v>
      </c>
      <c r="BK155" s="1681"/>
      <c r="BL155" s="1681"/>
      <c r="BM155" s="95"/>
      <c r="BN155" s="95"/>
      <c r="BO155" s="95">
        <v>24</v>
      </c>
      <c r="BP155" s="560">
        <f>+(BO153+BO154)/(BO155)</f>
        <v>0.45833333333333331</v>
      </c>
      <c r="BU155" s="1520" t="s">
        <v>15</v>
      </c>
      <c r="BV155" s="3872">
        <v>0</v>
      </c>
      <c r="BW155" s="3872"/>
      <c r="BX155" s="3872"/>
      <c r="BY155" s="3872"/>
      <c r="BZ155" s="3872"/>
      <c r="CA155" s="3872"/>
      <c r="CB155" s="3872">
        <v>1</v>
      </c>
      <c r="CC155" s="3872">
        <v>1</v>
      </c>
      <c r="CD155" s="3872"/>
      <c r="CE155" s="3872">
        <v>2</v>
      </c>
      <c r="CF155" s="3872">
        <v>1</v>
      </c>
      <c r="CG155" s="3872">
        <v>19</v>
      </c>
      <c r="CH155" s="3872"/>
      <c r="CI155" s="3872"/>
      <c r="CJ155" s="3806"/>
      <c r="CK155" s="3806">
        <v>24</v>
      </c>
      <c r="CL155" s="3807">
        <f>+CK154/CK155</f>
        <v>4.1666666666666664E-2</v>
      </c>
      <c r="CN155" s="36"/>
      <c r="CO155" s="36"/>
      <c r="CP155" s="36"/>
      <c r="CQ155" s="36" t="s">
        <v>1163</v>
      </c>
      <c r="CR155" s="615"/>
      <c r="CS155" s="615"/>
      <c r="CT155" s="615"/>
      <c r="CU155" s="615"/>
      <c r="CV155" s="615"/>
      <c r="CW155" s="615"/>
      <c r="CX155" s="615"/>
      <c r="CY155" s="615"/>
      <c r="CZ155" s="615"/>
      <c r="DA155" s="615">
        <v>0</v>
      </c>
      <c r="DB155" s="615"/>
      <c r="DC155" s="615"/>
      <c r="DD155" s="615">
        <v>0</v>
      </c>
      <c r="DE155" s="615">
        <v>1</v>
      </c>
      <c r="DF155" s="615">
        <v>0</v>
      </c>
      <c r="DG155" s="36">
        <v>0</v>
      </c>
      <c r="DH155" s="36">
        <v>0</v>
      </c>
      <c r="DI155" s="36">
        <v>1</v>
      </c>
      <c r="DJ155" s="36"/>
      <c r="DL155" s="36"/>
      <c r="DM155" s="36"/>
      <c r="DN155" s="36"/>
      <c r="DO155" s="36" t="s">
        <v>1081</v>
      </c>
      <c r="DP155" s="1681"/>
      <c r="DQ155" s="1681"/>
      <c r="DR155" s="1681"/>
      <c r="DS155" s="1681"/>
      <c r="DT155" s="1681"/>
      <c r="DU155" s="1681"/>
      <c r="DV155" s="1681"/>
      <c r="DW155" s="1681"/>
      <c r="DX155" s="1681">
        <v>0</v>
      </c>
      <c r="DY155" s="1681"/>
      <c r="DZ155" s="1681">
        <v>0</v>
      </c>
      <c r="EA155" s="1681"/>
      <c r="EB155" s="1681">
        <v>1</v>
      </c>
      <c r="EC155" s="1681">
        <v>0</v>
      </c>
      <c r="ED155" s="1681">
        <v>0</v>
      </c>
      <c r="EE155" s="95">
        <v>1</v>
      </c>
      <c r="EF155" s="95">
        <v>0</v>
      </c>
      <c r="EG155" s="95">
        <v>2</v>
      </c>
      <c r="EH155" s="36"/>
      <c r="EL155" s="36"/>
      <c r="EM155" s="393" t="s">
        <v>485</v>
      </c>
      <c r="EN155" s="1491"/>
      <c r="EO155" s="1491"/>
      <c r="EP155" s="1491">
        <v>1</v>
      </c>
      <c r="EQ155" s="1491"/>
      <c r="ER155" s="1491"/>
      <c r="ES155" s="1491"/>
      <c r="ET155" s="1491"/>
      <c r="EU155" s="1491">
        <v>1</v>
      </c>
      <c r="EV155" s="1491"/>
      <c r="EW155" s="1491">
        <v>6</v>
      </c>
      <c r="EX155" s="1491">
        <v>3</v>
      </c>
      <c r="EY155" s="1491">
        <v>2</v>
      </c>
      <c r="EZ155" s="1491">
        <v>3</v>
      </c>
      <c r="FA155" s="1491">
        <v>2</v>
      </c>
      <c r="FB155" s="1491">
        <v>6</v>
      </c>
      <c r="FC155" s="393"/>
      <c r="FD155" s="393">
        <v>3</v>
      </c>
      <c r="FE155" s="393">
        <v>27</v>
      </c>
      <c r="FF155" s="560">
        <f>+(FE151+FE153+FE154)/FE155</f>
        <v>0.29629629629629628</v>
      </c>
      <c r="FH155" s="1225"/>
      <c r="FI155" s="1225"/>
      <c r="FJ155" s="1225"/>
      <c r="FK155" s="1222" t="s">
        <v>485</v>
      </c>
      <c r="FL155" s="1231"/>
      <c r="FM155" s="1231"/>
      <c r="FN155" s="1231"/>
      <c r="FO155" s="1231"/>
      <c r="FP155" s="1231"/>
      <c r="FQ155" s="1231"/>
      <c r="FR155" s="1231"/>
      <c r="FS155" s="1232">
        <v>1</v>
      </c>
      <c r="FT155" s="1231"/>
      <c r="FU155" s="1232">
        <v>2</v>
      </c>
      <c r="FV155" s="1232">
        <v>1</v>
      </c>
      <c r="FW155" s="1232">
        <v>4</v>
      </c>
      <c r="FX155" s="1232">
        <v>6</v>
      </c>
      <c r="FY155" s="1234">
        <v>1</v>
      </c>
      <c r="FZ155" s="1234">
        <v>2</v>
      </c>
      <c r="GA155" s="1234">
        <v>17</v>
      </c>
      <c r="GB155" s="1178">
        <f>+(GA151+GA153-FY153+GA154)/GA155</f>
        <v>0.35294117647058826</v>
      </c>
      <c r="GD155" s="603"/>
      <c r="GE155" s="603"/>
      <c r="GF155" s="603"/>
      <c r="GG155" s="622" t="s">
        <v>15</v>
      </c>
      <c r="GH155" s="623"/>
      <c r="GI155" s="624">
        <v>1</v>
      </c>
      <c r="GJ155" s="624">
        <v>1</v>
      </c>
      <c r="GK155" s="623"/>
      <c r="GL155" s="623"/>
      <c r="GM155" s="623"/>
      <c r="GN155" s="623"/>
      <c r="GO155" s="623"/>
      <c r="GP155" s="623"/>
      <c r="GQ155" s="623"/>
      <c r="GR155" s="623"/>
      <c r="GS155" s="623"/>
      <c r="GT155" s="624">
        <v>3</v>
      </c>
      <c r="GU155" s="624">
        <v>2</v>
      </c>
      <c r="GV155" s="624">
        <v>1</v>
      </c>
      <c r="GW155" s="626">
        <v>2</v>
      </c>
      <c r="GX155" s="626">
        <v>1</v>
      </c>
      <c r="GY155" s="626">
        <v>11</v>
      </c>
      <c r="GZ155" s="560">
        <f>+(GY152+GY154)/GY155</f>
        <v>0.27272727272727271</v>
      </c>
      <c r="HB155" s="441"/>
      <c r="HC155" s="441"/>
      <c r="HD155" s="441" t="s">
        <v>320</v>
      </c>
      <c r="HE155" s="441" t="s">
        <v>1070</v>
      </c>
      <c r="HF155" s="442" t="s">
        <v>1072</v>
      </c>
      <c r="HG155" s="609"/>
      <c r="HH155" s="609"/>
      <c r="HI155" s="609"/>
      <c r="HJ155" s="609"/>
      <c r="HK155" s="609"/>
      <c r="HL155" s="609"/>
      <c r="HM155" s="609"/>
      <c r="HN155" s="610">
        <v>1</v>
      </c>
      <c r="HO155" s="609"/>
      <c r="HP155" s="610">
        <v>2</v>
      </c>
      <c r="HQ155" s="610">
        <v>1</v>
      </c>
      <c r="HR155" s="610">
        <v>1</v>
      </c>
      <c r="HS155" s="609"/>
      <c r="HT155" s="610">
        <v>2</v>
      </c>
      <c r="HU155" s="610">
        <v>0</v>
      </c>
      <c r="HV155" s="611"/>
      <c r="HW155" s="611"/>
      <c r="HX155" s="612">
        <v>7</v>
      </c>
      <c r="HY155" s="560"/>
      <c r="HZ155" s="36"/>
      <c r="IA155" s="36"/>
      <c r="IB155" s="36"/>
      <c r="IC155" s="613"/>
      <c r="ID155" s="389" t="s">
        <v>1163</v>
      </c>
      <c r="IE155" s="614"/>
      <c r="IF155" s="614"/>
      <c r="IG155" s="614"/>
      <c r="IH155" s="614"/>
      <c r="II155" s="614"/>
      <c r="IJ155" s="614"/>
      <c r="IK155" s="390">
        <v>0</v>
      </c>
      <c r="IL155" s="390">
        <v>1</v>
      </c>
      <c r="IM155" s="390">
        <v>0</v>
      </c>
      <c r="IN155" s="614"/>
      <c r="IO155" s="614"/>
      <c r="IP155" s="614"/>
      <c r="IQ155" s="390">
        <v>0</v>
      </c>
      <c r="IR155" s="390">
        <v>1</v>
      </c>
      <c r="IS155" s="615"/>
      <c r="IT155" s="36"/>
      <c r="IU155" s="36"/>
      <c r="IV155" s="95"/>
      <c r="IW155" s="95"/>
      <c r="IX155" s="95"/>
      <c r="IY155" s="36" t="s">
        <v>1076</v>
      </c>
      <c r="IZ155" s="36"/>
      <c r="JA155" s="36">
        <v>0</v>
      </c>
      <c r="JB155" s="36">
        <v>0</v>
      </c>
      <c r="JC155" s="36">
        <v>0</v>
      </c>
      <c r="JD155" s="36">
        <v>0</v>
      </c>
      <c r="JE155" s="36"/>
      <c r="JF155" s="36"/>
      <c r="JG155" s="36"/>
      <c r="JH155" s="36">
        <v>1</v>
      </c>
      <c r="JI155" s="36">
        <v>0</v>
      </c>
      <c r="JJ155" s="36">
        <v>0</v>
      </c>
      <c r="JK155" s="36">
        <v>0</v>
      </c>
      <c r="JL155" s="36">
        <v>0</v>
      </c>
      <c r="JM155" s="36">
        <v>1</v>
      </c>
      <c r="JN155" s="36">
        <v>0</v>
      </c>
      <c r="JO155" s="36">
        <v>0</v>
      </c>
      <c r="JP155" s="36">
        <v>2</v>
      </c>
      <c r="JQ155" s="36"/>
      <c r="JR155" s="36"/>
      <c r="JS155" s="616"/>
      <c r="JT155" s="616"/>
      <c r="JU155" s="616"/>
      <c r="JV155" s="616" t="s">
        <v>1081</v>
      </c>
      <c r="JW155" s="616">
        <v>0</v>
      </c>
      <c r="JX155" s="616">
        <v>0</v>
      </c>
      <c r="JY155" s="616">
        <v>0</v>
      </c>
      <c r="JZ155" s="616">
        <v>0</v>
      </c>
      <c r="KA155" s="616">
        <v>0</v>
      </c>
      <c r="KB155" s="616">
        <v>0</v>
      </c>
      <c r="KC155" s="616">
        <v>0</v>
      </c>
      <c r="KD155" s="616">
        <v>0</v>
      </c>
      <c r="KE155" s="616">
        <v>0</v>
      </c>
      <c r="KF155" s="616">
        <v>2</v>
      </c>
      <c r="KG155" s="616">
        <v>0</v>
      </c>
      <c r="KH155" s="616">
        <v>1</v>
      </c>
      <c r="KI155" s="616">
        <v>2</v>
      </c>
      <c r="KJ155" s="616">
        <v>0</v>
      </c>
      <c r="KK155" s="616">
        <v>0</v>
      </c>
      <c r="KL155" s="616">
        <v>0</v>
      </c>
      <c r="KM155" s="616">
        <v>5</v>
      </c>
      <c r="KN155" s="616"/>
      <c r="KO155" s="617"/>
    </row>
    <row r="156" spans="1:301">
      <c r="A156" s="5737">
        <v>3</v>
      </c>
      <c r="B156" s="5737">
        <v>2</v>
      </c>
      <c r="C156" s="5736" t="s">
        <v>291</v>
      </c>
      <c r="D156" s="5736" t="s">
        <v>2731</v>
      </c>
      <c r="E156" s="5737">
        <v>3</v>
      </c>
      <c r="F156" s="5737">
        <v>16</v>
      </c>
      <c r="I156" s="4726">
        <v>3</v>
      </c>
      <c r="J156" s="4726">
        <v>2</v>
      </c>
      <c r="K156" s="4725" t="s">
        <v>291</v>
      </c>
      <c r="L156" s="4963" t="s">
        <v>2707</v>
      </c>
      <c r="M156" s="4964">
        <v>1</v>
      </c>
      <c r="N156" s="4726">
        <v>12</v>
      </c>
      <c r="Q156" s="4458">
        <v>4</v>
      </c>
      <c r="R156" s="4458">
        <v>2</v>
      </c>
      <c r="S156" s="4459" t="s">
        <v>608</v>
      </c>
      <c r="T156" s="4459" t="s">
        <v>2709</v>
      </c>
      <c r="U156" s="4458">
        <v>8</v>
      </c>
      <c r="V156" s="4479">
        <v>2</v>
      </c>
      <c r="W156" s="4510"/>
      <c r="Z156" s="36"/>
      <c r="AA156" s="36"/>
      <c r="AB156" s="36"/>
      <c r="AC156" s="36" t="s">
        <v>2571</v>
      </c>
      <c r="AD156" s="615">
        <v>1</v>
      </c>
      <c r="AE156" s="615"/>
      <c r="AF156" s="615"/>
      <c r="AG156" s="615"/>
      <c r="AH156" s="615"/>
      <c r="AI156" s="615"/>
      <c r="AJ156" s="615"/>
      <c r="AK156" s="615">
        <v>0</v>
      </c>
      <c r="AL156" s="615">
        <v>0</v>
      </c>
      <c r="AM156" s="615">
        <v>0</v>
      </c>
      <c r="AN156" s="615"/>
      <c r="AO156" s="615"/>
      <c r="AP156" s="615"/>
      <c r="AQ156" s="36"/>
      <c r="AR156" s="36">
        <v>1</v>
      </c>
      <c r="AS156" s="36"/>
      <c r="AU156" s="36"/>
      <c r="AV156" s="36"/>
      <c r="AW156" s="393" t="s">
        <v>483</v>
      </c>
      <c r="AX156" s="393" t="s">
        <v>1072</v>
      </c>
      <c r="AY156" s="1682"/>
      <c r="AZ156" s="1682">
        <v>1</v>
      </c>
      <c r="BA156" s="1682"/>
      <c r="BB156" s="1682">
        <v>1</v>
      </c>
      <c r="BC156" s="1682"/>
      <c r="BD156" s="1682"/>
      <c r="BE156" s="1682">
        <v>1</v>
      </c>
      <c r="BF156" s="1682">
        <v>1</v>
      </c>
      <c r="BG156" s="1682"/>
      <c r="BH156" s="1682">
        <v>1</v>
      </c>
      <c r="BI156" s="1682">
        <v>2</v>
      </c>
      <c r="BJ156" s="1682">
        <v>26</v>
      </c>
      <c r="BK156" s="1682">
        <v>11</v>
      </c>
      <c r="BL156" s="1682">
        <v>1</v>
      </c>
      <c r="BM156" s="4455">
        <v>0</v>
      </c>
      <c r="BN156" s="4455">
        <v>0</v>
      </c>
      <c r="BO156" s="4455">
        <v>45</v>
      </c>
      <c r="BP156" s="4455"/>
      <c r="BT156" s="1520" t="s">
        <v>483</v>
      </c>
      <c r="BU156" s="1520" t="s">
        <v>1072</v>
      </c>
      <c r="BV156" s="3872">
        <v>0</v>
      </c>
      <c r="BW156" s="3872">
        <v>1</v>
      </c>
      <c r="BX156" s="3872"/>
      <c r="BY156" s="3872">
        <v>1</v>
      </c>
      <c r="BZ156" s="3872"/>
      <c r="CA156" s="3872"/>
      <c r="CB156" s="3872">
        <v>1</v>
      </c>
      <c r="CC156" s="3872">
        <v>1</v>
      </c>
      <c r="CD156" s="3872"/>
      <c r="CE156" s="3872">
        <v>2</v>
      </c>
      <c r="CF156" s="3872">
        <v>2</v>
      </c>
      <c r="CG156" s="3872">
        <v>35</v>
      </c>
      <c r="CH156" s="3872">
        <v>14</v>
      </c>
      <c r="CI156" s="3872">
        <v>1</v>
      </c>
      <c r="CJ156" s="3806">
        <v>0</v>
      </c>
      <c r="CK156" s="3806">
        <v>58</v>
      </c>
      <c r="CL156" s="1520"/>
      <c r="CN156" s="36"/>
      <c r="CO156" s="36"/>
      <c r="CP156" s="36"/>
      <c r="CQ156" s="393" t="s">
        <v>15</v>
      </c>
      <c r="CR156" s="2049"/>
      <c r="CS156" s="2049"/>
      <c r="CT156" s="2049"/>
      <c r="CU156" s="2049"/>
      <c r="CV156" s="2049"/>
      <c r="CW156" s="2049"/>
      <c r="CX156" s="2049"/>
      <c r="CY156" s="2049"/>
      <c r="CZ156" s="2049"/>
      <c r="DA156" s="2049">
        <v>1</v>
      </c>
      <c r="DB156" s="2049"/>
      <c r="DC156" s="2049"/>
      <c r="DD156" s="2049">
        <v>3</v>
      </c>
      <c r="DE156" s="2049">
        <v>5</v>
      </c>
      <c r="DF156" s="2049">
        <v>10</v>
      </c>
      <c r="DG156" s="393">
        <v>2</v>
      </c>
      <c r="DH156" s="393">
        <v>4</v>
      </c>
      <c r="DI156" s="393">
        <v>25</v>
      </c>
      <c r="DJ156" s="560">
        <f>+(DI155+DI153)/DI156</f>
        <v>0.2</v>
      </c>
      <c r="DK156" s="1665"/>
      <c r="DL156" s="36"/>
      <c r="DM156" s="36"/>
      <c r="DN156" s="36"/>
      <c r="DO156" s="36" t="s">
        <v>1163</v>
      </c>
      <c r="DP156" s="1681"/>
      <c r="DQ156" s="1681"/>
      <c r="DR156" s="1681"/>
      <c r="DS156" s="1681"/>
      <c r="DT156" s="1681"/>
      <c r="DU156" s="1681"/>
      <c r="DV156" s="1681"/>
      <c r="DW156" s="1681"/>
      <c r="DX156" s="1681">
        <v>0</v>
      </c>
      <c r="DY156" s="1681"/>
      <c r="DZ156" s="1681">
        <v>0</v>
      </c>
      <c r="EA156" s="1681"/>
      <c r="EB156" s="1681">
        <v>3</v>
      </c>
      <c r="EC156" s="1681">
        <v>0</v>
      </c>
      <c r="ED156" s="1681">
        <v>1</v>
      </c>
      <c r="EE156" s="95">
        <v>0</v>
      </c>
      <c r="EF156" s="95">
        <v>0</v>
      </c>
      <c r="EG156" s="95">
        <v>4</v>
      </c>
      <c r="EH156" s="36"/>
      <c r="EK156" s="95" t="s">
        <v>103</v>
      </c>
      <c r="EL156" s="36" t="s">
        <v>145</v>
      </c>
      <c r="EM156" s="36" t="s">
        <v>1072</v>
      </c>
      <c r="EN156" s="1490"/>
      <c r="EO156" s="1490"/>
      <c r="EP156" s="1490"/>
      <c r="EQ156" s="1490"/>
      <c r="ER156" s="1490"/>
      <c r="ES156" s="1490"/>
      <c r="ET156" s="1490"/>
      <c r="EU156" s="1490"/>
      <c r="EV156" s="1490"/>
      <c r="EW156" s="1490"/>
      <c r="EX156" s="1490"/>
      <c r="EY156" s="1490"/>
      <c r="EZ156" s="1490">
        <v>6</v>
      </c>
      <c r="FA156" s="1490">
        <v>1</v>
      </c>
      <c r="FB156" s="1490">
        <v>1</v>
      </c>
      <c r="FC156" s="36"/>
      <c r="FD156" s="36"/>
      <c r="FE156" s="36">
        <v>8</v>
      </c>
      <c r="FF156" s="36"/>
      <c r="FH156" s="1225"/>
      <c r="FI156" s="1225" t="s">
        <v>103</v>
      </c>
      <c r="FJ156" s="1225" t="s">
        <v>145</v>
      </c>
      <c r="FK156" s="1226" t="s">
        <v>1072</v>
      </c>
      <c r="FL156" s="1227"/>
      <c r="FM156" s="1227"/>
      <c r="FN156" s="1227"/>
      <c r="FO156" s="1227"/>
      <c r="FP156" s="1227"/>
      <c r="FQ156" s="1227"/>
      <c r="FR156" s="1227"/>
      <c r="FS156" s="1227"/>
      <c r="FT156" s="1227"/>
      <c r="FU156" s="1227"/>
      <c r="FV156" s="1228">
        <v>4</v>
      </c>
      <c r="FW156" s="1228">
        <v>0</v>
      </c>
      <c r="FX156" s="1227"/>
      <c r="FY156" s="1229"/>
      <c r="FZ156" s="1229"/>
      <c r="GA156" s="1230">
        <v>4</v>
      </c>
      <c r="GB156" s="36"/>
      <c r="GD156" s="603"/>
      <c r="GE156" s="603"/>
      <c r="GF156" s="603" t="s">
        <v>726</v>
      </c>
      <c r="GG156" s="604" t="s">
        <v>1071</v>
      </c>
      <c r="GH156" s="605"/>
      <c r="GI156" s="606">
        <v>0</v>
      </c>
      <c r="GJ156" s="606">
        <v>0</v>
      </c>
      <c r="GK156" s="605"/>
      <c r="GL156" s="605"/>
      <c r="GM156" s="605"/>
      <c r="GN156" s="605"/>
      <c r="GO156" s="605"/>
      <c r="GP156" s="605"/>
      <c r="GQ156" s="605"/>
      <c r="GR156" s="605"/>
      <c r="GS156" s="605"/>
      <c r="GT156" s="606">
        <v>0</v>
      </c>
      <c r="GU156" s="606">
        <v>1</v>
      </c>
      <c r="GV156" s="606">
        <v>0</v>
      </c>
      <c r="GW156" s="608">
        <v>0</v>
      </c>
      <c r="GX156" s="608">
        <v>0</v>
      </c>
      <c r="GY156" s="608">
        <v>1</v>
      </c>
      <c r="GZ156" s="95"/>
      <c r="HB156" s="441"/>
      <c r="HC156" s="441"/>
      <c r="HD156" s="441"/>
      <c r="HE156" s="441"/>
      <c r="HF156" s="442" t="s">
        <v>1076</v>
      </c>
      <c r="HG156" s="609"/>
      <c r="HH156" s="609"/>
      <c r="HI156" s="609"/>
      <c r="HJ156" s="609"/>
      <c r="HK156" s="609"/>
      <c r="HL156" s="609"/>
      <c r="HM156" s="609"/>
      <c r="HN156" s="610">
        <v>0</v>
      </c>
      <c r="HO156" s="609"/>
      <c r="HP156" s="610">
        <v>0</v>
      </c>
      <c r="HQ156" s="610">
        <v>0</v>
      </c>
      <c r="HR156" s="610">
        <v>1</v>
      </c>
      <c r="HS156" s="609"/>
      <c r="HT156" s="610">
        <v>0</v>
      </c>
      <c r="HU156" s="610">
        <v>0</v>
      </c>
      <c r="HV156" s="611"/>
      <c r="HW156" s="611"/>
      <c r="HX156" s="612">
        <v>1</v>
      </c>
      <c r="HY156" s="560"/>
      <c r="HZ156" s="36"/>
      <c r="IA156" s="613"/>
      <c r="IB156" s="613"/>
      <c r="IC156" s="613"/>
      <c r="ID156" s="629" t="s">
        <v>483</v>
      </c>
      <c r="IE156" s="630"/>
      <c r="IF156" s="630"/>
      <c r="IG156" s="630"/>
      <c r="IH156" s="630"/>
      <c r="II156" s="630"/>
      <c r="IJ156" s="630"/>
      <c r="IK156" s="395">
        <v>4</v>
      </c>
      <c r="IL156" s="395">
        <v>6</v>
      </c>
      <c r="IM156" s="395">
        <v>4</v>
      </c>
      <c r="IN156" s="630"/>
      <c r="IO156" s="630"/>
      <c r="IP156" s="630"/>
      <c r="IQ156" s="395">
        <v>1</v>
      </c>
      <c r="IR156" s="395">
        <v>15</v>
      </c>
      <c r="IS156" s="553">
        <f>+IR155/IR156</f>
        <v>6.6666666666666666E-2</v>
      </c>
      <c r="IT156" s="36"/>
      <c r="IU156" s="36"/>
      <c r="IV156" s="95"/>
      <c r="IW156" s="95"/>
      <c r="IX156" s="95"/>
      <c r="IY156" s="36" t="s">
        <v>1080</v>
      </c>
      <c r="IZ156" s="36"/>
      <c r="JA156" s="36">
        <v>0</v>
      </c>
      <c r="JB156" s="36">
        <v>0</v>
      </c>
      <c r="JC156" s="36">
        <v>0</v>
      </c>
      <c r="JD156" s="36">
        <v>0</v>
      </c>
      <c r="JE156" s="36"/>
      <c r="JF156" s="36"/>
      <c r="JG156" s="36"/>
      <c r="JH156" s="36">
        <v>0</v>
      </c>
      <c r="JI156" s="36">
        <v>2</v>
      </c>
      <c r="JJ156" s="36">
        <v>1</v>
      </c>
      <c r="JK156" s="36">
        <v>1</v>
      </c>
      <c r="JL156" s="36">
        <v>1</v>
      </c>
      <c r="JM156" s="36">
        <v>0</v>
      </c>
      <c r="JN156" s="36">
        <v>3</v>
      </c>
      <c r="JO156" s="36">
        <v>6</v>
      </c>
      <c r="JP156" s="36">
        <v>14</v>
      </c>
      <c r="JQ156" s="36"/>
      <c r="JR156" s="36"/>
      <c r="JS156" s="616"/>
      <c r="JT156" s="616"/>
      <c r="JU156" s="616"/>
      <c r="JV156" s="616" t="s">
        <v>1163</v>
      </c>
      <c r="JW156" s="616">
        <v>0</v>
      </c>
      <c r="JX156" s="616">
        <v>0</v>
      </c>
      <c r="JY156" s="616">
        <v>0</v>
      </c>
      <c r="JZ156" s="616">
        <v>0</v>
      </c>
      <c r="KA156" s="616">
        <v>0</v>
      </c>
      <c r="KB156" s="616">
        <v>0</v>
      </c>
      <c r="KC156" s="616">
        <v>0</v>
      </c>
      <c r="KD156" s="616">
        <v>2</v>
      </c>
      <c r="KE156" s="616">
        <v>0</v>
      </c>
      <c r="KF156" s="616">
        <v>0</v>
      </c>
      <c r="KG156" s="616">
        <v>1</v>
      </c>
      <c r="KH156" s="616">
        <v>0</v>
      </c>
      <c r="KI156" s="616">
        <v>0</v>
      </c>
      <c r="KJ156" s="616">
        <v>0</v>
      </c>
      <c r="KK156" s="616">
        <v>0</v>
      </c>
      <c r="KL156" s="616">
        <v>0</v>
      </c>
      <c r="KM156" s="616">
        <v>3</v>
      </c>
      <c r="KN156" s="616"/>
      <c r="KO156" s="617"/>
    </row>
    <row r="157" spans="1:301">
      <c r="A157" s="5737">
        <v>3</v>
      </c>
      <c r="B157" s="5737">
        <v>2</v>
      </c>
      <c r="C157" s="5736" t="s">
        <v>291</v>
      </c>
      <c r="D157" s="5739" t="s">
        <v>2732</v>
      </c>
      <c r="E157" s="5737">
        <v>3</v>
      </c>
      <c r="F157" s="5737">
        <v>12</v>
      </c>
      <c r="I157" s="4726">
        <v>3</v>
      </c>
      <c r="J157" s="4726">
        <v>2</v>
      </c>
      <c r="K157" s="4725" t="s">
        <v>291</v>
      </c>
      <c r="L157" s="4963" t="s">
        <v>2707</v>
      </c>
      <c r="M157" s="4964">
        <v>1</v>
      </c>
      <c r="N157" s="4726">
        <v>13</v>
      </c>
      <c r="Q157" s="4458">
        <v>4</v>
      </c>
      <c r="R157" s="4458">
        <v>2</v>
      </c>
      <c r="S157" s="4459" t="s">
        <v>608</v>
      </c>
      <c r="T157" s="4459" t="s">
        <v>2709</v>
      </c>
      <c r="U157" s="4458">
        <v>10</v>
      </c>
      <c r="V157" s="4479">
        <v>1</v>
      </c>
      <c r="W157" s="4510"/>
      <c r="Z157" s="36"/>
      <c r="AA157" s="36"/>
      <c r="AB157" s="36"/>
      <c r="AC157" s="36" t="s">
        <v>1163</v>
      </c>
      <c r="AD157" s="615">
        <v>0</v>
      </c>
      <c r="AE157" s="615"/>
      <c r="AF157" s="615"/>
      <c r="AG157" s="615"/>
      <c r="AH157" s="615"/>
      <c r="AI157" s="615"/>
      <c r="AJ157" s="615"/>
      <c r="AK157" s="615">
        <v>0</v>
      </c>
      <c r="AL157" s="615">
        <v>1</v>
      </c>
      <c r="AM157" s="615">
        <v>0</v>
      </c>
      <c r="AN157" s="615"/>
      <c r="AO157" s="615"/>
      <c r="AP157" s="615"/>
      <c r="AQ157" s="36"/>
      <c r="AR157" s="36">
        <v>1</v>
      </c>
      <c r="AS157" s="36"/>
      <c r="AU157" s="36"/>
      <c r="AV157" s="36"/>
      <c r="AW157" s="393"/>
      <c r="AX157" s="393" t="s">
        <v>1076</v>
      </c>
      <c r="AY157" s="1682"/>
      <c r="AZ157" s="1682">
        <v>0</v>
      </c>
      <c r="BA157" s="1682"/>
      <c r="BB157" s="1682">
        <v>0</v>
      </c>
      <c r="BC157" s="1682"/>
      <c r="BD157" s="1682"/>
      <c r="BE157" s="1682">
        <v>0</v>
      </c>
      <c r="BF157" s="1682">
        <v>0</v>
      </c>
      <c r="BG157" s="1682"/>
      <c r="BH157" s="1682">
        <v>0</v>
      </c>
      <c r="BI157" s="1682">
        <v>0</v>
      </c>
      <c r="BJ157" s="1682">
        <v>4</v>
      </c>
      <c r="BK157" s="1682">
        <v>2</v>
      </c>
      <c r="BL157" s="1682">
        <v>0</v>
      </c>
      <c r="BM157" s="4455">
        <v>0</v>
      </c>
      <c r="BN157" s="4455">
        <v>0</v>
      </c>
      <c r="BO157" s="4455">
        <v>6</v>
      </c>
      <c r="BP157" s="4455"/>
      <c r="BT157" s="1520"/>
      <c r="BU157" s="1520" t="s">
        <v>1076</v>
      </c>
      <c r="BV157" s="3872">
        <v>0</v>
      </c>
      <c r="BW157" s="3872">
        <v>0</v>
      </c>
      <c r="BX157" s="3872"/>
      <c r="BY157" s="3872">
        <v>0</v>
      </c>
      <c r="BZ157" s="3872"/>
      <c r="CA157" s="3872"/>
      <c r="CB157" s="3872">
        <v>0</v>
      </c>
      <c r="CC157" s="3872">
        <v>0</v>
      </c>
      <c r="CD157" s="3872"/>
      <c r="CE157" s="3872">
        <v>0</v>
      </c>
      <c r="CF157" s="3872">
        <v>0</v>
      </c>
      <c r="CG157" s="3872">
        <v>1</v>
      </c>
      <c r="CH157" s="3872">
        <v>2</v>
      </c>
      <c r="CI157" s="3872">
        <v>1</v>
      </c>
      <c r="CJ157" s="3806">
        <v>0</v>
      </c>
      <c r="CK157" s="3806">
        <v>4</v>
      </c>
      <c r="CL157" s="1520"/>
      <c r="CN157" s="36"/>
      <c r="CO157" s="36"/>
      <c r="CP157" s="393" t="s">
        <v>485</v>
      </c>
      <c r="CQ157" s="393" t="s">
        <v>1071</v>
      </c>
      <c r="CR157" s="2049">
        <v>0</v>
      </c>
      <c r="CS157" s="2049"/>
      <c r="CT157" s="2049"/>
      <c r="CU157" s="2049"/>
      <c r="CV157" s="2049"/>
      <c r="CW157" s="2049">
        <v>0</v>
      </c>
      <c r="CX157" s="2049"/>
      <c r="CY157" s="2049"/>
      <c r="CZ157" s="2049"/>
      <c r="DA157" s="2049">
        <v>0</v>
      </c>
      <c r="DB157" s="2049"/>
      <c r="DC157" s="2049">
        <v>0</v>
      </c>
      <c r="DD157" s="2049">
        <v>0</v>
      </c>
      <c r="DE157" s="2049">
        <v>0</v>
      </c>
      <c r="DF157" s="2049">
        <v>1</v>
      </c>
      <c r="DG157" s="393">
        <v>0</v>
      </c>
      <c r="DH157" s="393">
        <v>1</v>
      </c>
      <c r="DI157" s="393">
        <v>2</v>
      </c>
      <c r="DJ157" s="36"/>
      <c r="DL157" s="36"/>
      <c r="DM157" s="36"/>
      <c r="DN157" s="36"/>
      <c r="DO157" s="393" t="s">
        <v>485</v>
      </c>
      <c r="DP157" s="1682"/>
      <c r="DQ157" s="1682"/>
      <c r="DR157" s="1682"/>
      <c r="DS157" s="1682"/>
      <c r="DT157" s="1682"/>
      <c r="DU157" s="1682"/>
      <c r="DV157" s="1682"/>
      <c r="DW157" s="1682"/>
      <c r="DX157" s="1682">
        <v>1</v>
      </c>
      <c r="DY157" s="1682"/>
      <c r="DZ157" s="1682">
        <v>1</v>
      </c>
      <c r="EA157" s="1682"/>
      <c r="EB157" s="1682">
        <v>6</v>
      </c>
      <c r="EC157" s="1682">
        <v>3</v>
      </c>
      <c r="ED157" s="1682">
        <v>3</v>
      </c>
      <c r="EE157" s="86">
        <v>1</v>
      </c>
      <c r="EF157" s="86">
        <v>6</v>
      </c>
      <c r="EG157" s="86">
        <v>21</v>
      </c>
      <c r="EH157" s="560">
        <f>+(EG153+EG155-EE155+EG156)/EG157</f>
        <v>0.38095238095238093</v>
      </c>
      <c r="EL157" s="36"/>
      <c r="EM157" s="36" t="s">
        <v>1081</v>
      </c>
      <c r="EN157" s="1490"/>
      <c r="EO157" s="1490"/>
      <c r="EP157" s="1490"/>
      <c r="EQ157" s="1490"/>
      <c r="ER157" s="1490"/>
      <c r="ES157" s="1490"/>
      <c r="ET157" s="1490"/>
      <c r="EU157" s="1490"/>
      <c r="EV157" s="1490"/>
      <c r="EW157" s="1490"/>
      <c r="EX157" s="1490"/>
      <c r="EY157" s="1490"/>
      <c r="EZ157" s="1490">
        <v>0</v>
      </c>
      <c r="FA157" s="1490">
        <v>1</v>
      </c>
      <c r="FB157" s="1490">
        <v>0</v>
      </c>
      <c r="FC157" s="36"/>
      <c r="FD157" s="36"/>
      <c r="FE157" s="36">
        <v>1</v>
      </c>
      <c r="FF157" s="36"/>
      <c r="FH157" s="1225"/>
      <c r="FI157" s="1225"/>
      <c r="FJ157" s="1225"/>
      <c r="FK157" s="1226" t="s">
        <v>1076</v>
      </c>
      <c r="FL157" s="1227"/>
      <c r="FM157" s="1227"/>
      <c r="FN157" s="1227"/>
      <c r="FO157" s="1227"/>
      <c r="FP157" s="1227"/>
      <c r="FQ157" s="1227"/>
      <c r="FR157" s="1227"/>
      <c r="FS157" s="1227"/>
      <c r="FT157" s="1227"/>
      <c r="FU157" s="1227"/>
      <c r="FV157" s="1228">
        <v>2</v>
      </c>
      <c r="FW157" s="1228">
        <v>0</v>
      </c>
      <c r="FX157" s="1227"/>
      <c r="FY157" s="1229"/>
      <c r="FZ157" s="1229"/>
      <c r="GA157" s="1230">
        <v>2</v>
      </c>
      <c r="GB157" s="36"/>
      <c r="GD157" s="603"/>
      <c r="GE157" s="603"/>
      <c r="GF157" s="603"/>
      <c r="GG157" s="604" t="s">
        <v>1072</v>
      </c>
      <c r="GH157" s="605"/>
      <c r="GI157" s="606">
        <v>1</v>
      </c>
      <c r="GJ157" s="606">
        <v>0</v>
      </c>
      <c r="GK157" s="605"/>
      <c r="GL157" s="605"/>
      <c r="GM157" s="605"/>
      <c r="GN157" s="605"/>
      <c r="GO157" s="605"/>
      <c r="GP157" s="605"/>
      <c r="GQ157" s="605"/>
      <c r="GR157" s="605"/>
      <c r="GS157" s="605"/>
      <c r="GT157" s="606">
        <v>2</v>
      </c>
      <c r="GU157" s="606">
        <v>0</v>
      </c>
      <c r="GV157" s="606">
        <v>0</v>
      </c>
      <c r="GW157" s="608">
        <v>2</v>
      </c>
      <c r="GX157" s="608">
        <v>0</v>
      </c>
      <c r="GY157" s="608">
        <v>5</v>
      </c>
      <c r="GZ157" s="95"/>
      <c r="HB157" s="441"/>
      <c r="HC157" s="441"/>
      <c r="HD157" s="441"/>
      <c r="HE157" s="441"/>
      <c r="HF157" s="442" t="s">
        <v>1080</v>
      </c>
      <c r="HG157" s="609"/>
      <c r="HH157" s="609"/>
      <c r="HI157" s="609"/>
      <c r="HJ157" s="609"/>
      <c r="HK157" s="609"/>
      <c r="HL157" s="609"/>
      <c r="HM157" s="609"/>
      <c r="HN157" s="610">
        <v>0</v>
      </c>
      <c r="HO157" s="609"/>
      <c r="HP157" s="610">
        <v>0</v>
      </c>
      <c r="HQ157" s="610">
        <v>0</v>
      </c>
      <c r="HR157" s="610">
        <v>0</v>
      </c>
      <c r="HS157" s="609"/>
      <c r="HT157" s="610">
        <v>0</v>
      </c>
      <c r="HU157" s="610">
        <v>3</v>
      </c>
      <c r="HV157" s="611"/>
      <c r="HW157" s="611"/>
      <c r="HX157" s="612">
        <v>3</v>
      </c>
      <c r="HY157" s="560"/>
      <c r="HZ157" s="36"/>
      <c r="IA157" s="613"/>
      <c r="IB157" s="613"/>
      <c r="IC157" s="613" t="s">
        <v>485</v>
      </c>
      <c r="ID157" s="389" t="s">
        <v>1072</v>
      </c>
      <c r="IE157" s="614"/>
      <c r="IF157" s="614"/>
      <c r="IG157" s="614"/>
      <c r="IH157" s="614"/>
      <c r="II157" s="390">
        <v>0</v>
      </c>
      <c r="IJ157" s="390">
        <v>1</v>
      </c>
      <c r="IK157" s="390">
        <v>0</v>
      </c>
      <c r="IL157" s="614"/>
      <c r="IM157" s="390">
        <v>0</v>
      </c>
      <c r="IN157" s="390">
        <v>0</v>
      </c>
      <c r="IO157" s="390">
        <v>0</v>
      </c>
      <c r="IP157" s="614"/>
      <c r="IQ157" s="390">
        <v>0</v>
      </c>
      <c r="IR157" s="390">
        <v>1</v>
      </c>
      <c r="IS157" s="615"/>
      <c r="IT157" s="36"/>
      <c r="IU157" s="36"/>
      <c r="IV157" s="95"/>
      <c r="IW157" s="95"/>
      <c r="IX157" s="95"/>
      <c r="IY157" s="36" t="s">
        <v>1081</v>
      </c>
      <c r="IZ157" s="36"/>
      <c r="JA157" s="36">
        <v>0</v>
      </c>
      <c r="JB157" s="36">
        <v>0</v>
      </c>
      <c r="JC157" s="36">
        <v>0</v>
      </c>
      <c r="JD157" s="36">
        <v>0</v>
      </c>
      <c r="JE157" s="36"/>
      <c r="JF157" s="36"/>
      <c r="JG157" s="36"/>
      <c r="JH157" s="36">
        <v>1</v>
      </c>
      <c r="JI157" s="36">
        <v>0</v>
      </c>
      <c r="JJ157" s="36">
        <v>0</v>
      </c>
      <c r="JK157" s="36">
        <v>3</v>
      </c>
      <c r="JL157" s="36">
        <v>0</v>
      </c>
      <c r="JM157" s="36">
        <v>0</v>
      </c>
      <c r="JN157" s="36">
        <v>0</v>
      </c>
      <c r="JO157" s="36">
        <v>0</v>
      </c>
      <c r="JP157" s="36">
        <v>4</v>
      </c>
      <c r="JQ157" s="36"/>
      <c r="JR157" s="36"/>
      <c r="JS157" s="616"/>
      <c r="JT157" s="616"/>
      <c r="JU157" s="616"/>
      <c r="JV157" s="627" t="s">
        <v>15</v>
      </c>
      <c r="JW157" s="627">
        <v>0</v>
      </c>
      <c r="JX157" s="627">
        <v>0</v>
      </c>
      <c r="JY157" s="627">
        <v>1</v>
      </c>
      <c r="JZ157" s="627">
        <v>0</v>
      </c>
      <c r="KA157" s="627">
        <v>0</v>
      </c>
      <c r="KB157" s="627">
        <v>1</v>
      </c>
      <c r="KC157" s="627">
        <v>0</v>
      </c>
      <c r="KD157" s="627">
        <v>5</v>
      </c>
      <c r="KE157" s="627">
        <v>5</v>
      </c>
      <c r="KF157" s="627">
        <v>4</v>
      </c>
      <c r="KG157" s="627">
        <v>2</v>
      </c>
      <c r="KH157" s="627">
        <v>1</v>
      </c>
      <c r="KI157" s="627">
        <v>2</v>
      </c>
      <c r="KJ157" s="627">
        <v>2</v>
      </c>
      <c r="KK157" s="627">
        <v>0</v>
      </c>
      <c r="KL157" s="627">
        <v>2</v>
      </c>
      <c r="KM157" s="627">
        <v>25</v>
      </c>
      <c r="KN157" s="628">
        <f>+(KM156+KM155)/KM157</f>
        <v>0.32</v>
      </c>
      <c r="KO157" s="617">
        <f>+KM155+KM156</f>
        <v>8</v>
      </c>
    </row>
    <row r="158" spans="1:301">
      <c r="A158" s="5737">
        <v>3</v>
      </c>
      <c r="B158" s="5737">
        <v>2</v>
      </c>
      <c r="C158" s="5736" t="s">
        <v>291</v>
      </c>
      <c r="D158" s="5739" t="s">
        <v>2732</v>
      </c>
      <c r="E158" s="5737">
        <v>4</v>
      </c>
      <c r="F158" s="5737">
        <v>13</v>
      </c>
      <c r="I158" s="4726">
        <v>3</v>
      </c>
      <c r="J158" s="4726">
        <v>2</v>
      </c>
      <c r="K158" s="4725" t="s">
        <v>291</v>
      </c>
      <c r="L158" s="4965" t="s">
        <v>2707</v>
      </c>
      <c r="M158" s="4966">
        <v>1</v>
      </c>
      <c r="N158" s="4966">
        <v>15</v>
      </c>
      <c r="Q158" s="4458">
        <v>4</v>
      </c>
      <c r="R158" s="4458">
        <v>2</v>
      </c>
      <c r="S158" s="4459" t="s">
        <v>608</v>
      </c>
      <c r="T158" s="4459" t="s">
        <v>2709</v>
      </c>
      <c r="U158" s="4458">
        <v>12</v>
      </c>
      <c r="V158" s="4479">
        <v>2</v>
      </c>
      <c r="W158" s="4510"/>
      <c r="Z158" s="36"/>
      <c r="AA158" s="36"/>
      <c r="AB158" s="36"/>
      <c r="AC158" s="4236" t="s">
        <v>15</v>
      </c>
      <c r="AD158" s="4236">
        <v>1</v>
      </c>
      <c r="AE158" s="4236"/>
      <c r="AF158" s="4236"/>
      <c r="AG158" s="4236"/>
      <c r="AH158" s="4236"/>
      <c r="AI158" s="4236"/>
      <c r="AJ158" s="4236"/>
      <c r="AK158" s="4236">
        <v>7</v>
      </c>
      <c r="AL158" s="4236">
        <v>8</v>
      </c>
      <c r="AM158" s="4236">
        <v>1</v>
      </c>
      <c r="AN158" s="4236"/>
      <c r="AO158" s="4236"/>
      <c r="AP158" s="4236"/>
      <c r="AQ158" s="4236"/>
      <c r="AR158" s="4236">
        <v>17</v>
      </c>
      <c r="AS158" s="4243">
        <f>(AR154+AR155+AR157)/(AR158-AR156)</f>
        <v>0.25</v>
      </c>
      <c r="AU158" s="36"/>
      <c r="AV158" s="36"/>
      <c r="AW158" s="393"/>
      <c r="AX158" s="393" t="s">
        <v>1080</v>
      </c>
      <c r="AY158" s="1682"/>
      <c r="AZ158" s="1682">
        <v>0</v>
      </c>
      <c r="BA158" s="1682"/>
      <c r="BB158" s="1682">
        <v>0</v>
      </c>
      <c r="BC158" s="1682"/>
      <c r="BD158" s="1682"/>
      <c r="BE158" s="1682">
        <v>0</v>
      </c>
      <c r="BF158" s="1682">
        <v>0</v>
      </c>
      <c r="BG158" s="1682"/>
      <c r="BH158" s="1682">
        <v>0</v>
      </c>
      <c r="BI158" s="1682">
        <v>0</v>
      </c>
      <c r="BJ158" s="1682">
        <v>0</v>
      </c>
      <c r="BK158" s="1682">
        <v>0</v>
      </c>
      <c r="BL158" s="1682">
        <v>1</v>
      </c>
      <c r="BM158" s="4455">
        <v>2</v>
      </c>
      <c r="BN158" s="4455">
        <v>1</v>
      </c>
      <c r="BO158" s="4455">
        <v>4</v>
      </c>
      <c r="BP158" s="4455"/>
      <c r="BT158" s="1520"/>
      <c r="BU158" s="1520" t="s">
        <v>1077</v>
      </c>
      <c r="BV158" s="3872">
        <v>0</v>
      </c>
      <c r="BW158" s="3872">
        <v>0</v>
      </c>
      <c r="BX158" s="3872"/>
      <c r="BY158" s="3872">
        <v>0</v>
      </c>
      <c r="BZ158" s="3872"/>
      <c r="CA158" s="3872"/>
      <c r="CB158" s="3872">
        <v>0</v>
      </c>
      <c r="CC158" s="3872">
        <v>0</v>
      </c>
      <c r="CD158" s="3872"/>
      <c r="CE158" s="3872">
        <v>0</v>
      </c>
      <c r="CF158" s="3872">
        <v>0</v>
      </c>
      <c r="CG158" s="3872">
        <v>1</v>
      </c>
      <c r="CH158" s="3872">
        <v>0</v>
      </c>
      <c r="CI158" s="3872">
        <v>0</v>
      </c>
      <c r="CJ158" s="3806">
        <v>0</v>
      </c>
      <c r="CK158" s="3806">
        <v>1</v>
      </c>
      <c r="CL158" s="1520"/>
      <c r="CN158" s="36"/>
      <c r="CO158" s="36"/>
      <c r="CP158" s="393"/>
      <c r="CQ158" s="393" t="s">
        <v>1072</v>
      </c>
      <c r="CR158" s="2049">
        <v>1</v>
      </c>
      <c r="CS158" s="2049"/>
      <c r="CT158" s="2049"/>
      <c r="CU158" s="2049"/>
      <c r="CV158" s="2049"/>
      <c r="CW158" s="2049">
        <v>0</v>
      </c>
      <c r="CX158" s="2049"/>
      <c r="CY158" s="2049"/>
      <c r="CZ158" s="2049"/>
      <c r="DA158" s="2049">
        <v>1</v>
      </c>
      <c r="DB158" s="2049"/>
      <c r="DC158" s="2049">
        <v>1</v>
      </c>
      <c r="DD158" s="2049">
        <v>1</v>
      </c>
      <c r="DE158" s="2049">
        <v>1</v>
      </c>
      <c r="DF158" s="2049">
        <v>0</v>
      </c>
      <c r="DG158" s="393">
        <v>0</v>
      </c>
      <c r="DH158" s="393">
        <v>0</v>
      </c>
      <c r="DI158" s="393">
        <v>5</v>
      </c>
      <c r="DJ158" s="36"/>
      <c r="DL158" s="36"/>
      <c r="DM158" s="36" t="s">
        <v>21</v>
      </c>
      <c r="DN158" s="36" t="s">
        <v>145</v>
      </c>
      <c r="DO158" s="36" t="s">
        <v>1071</v>
      </c>
      <c r="DP158" s="1681"/>
      <c r="DQ158" s="1681"/>
      <c r="DR158" s="1681"/>
      <c r="DS158" s="1681"/>
      <c r="DT158" s="1681"/>
      <c r="DU158" s="1681">
        <v>0</v>
      </c>
      <c r="DV158" s="1681"/>
      <c r="DW158" s="1681">
        <v>1</v>
      </c>
      <c r="DX158" s="1681"/>
      <c r="DY158" s="1681"/>
      <c r="DZ158" s="1681"/>
      <c r="EA158" s="1681"/>
      <c r="EB158" s="1681">
        <v>0</v>
      </c>
      <c r="EC158" s="1681"/>
      <c r="ED158" s="1681"/>
      <c r="EE158" s="95"/>
      <c r="EF158" s="95"/>
      <c r="EG158" s="95">
        <v>1</v>
      </c>
      <c r="EH158" s="36"/>
      <c r="EL158" s="36"/>
      <c r="EM158" s="36" t="s">
        <v>1163</v>
      </c>
      <c r="EN158" s="1490"/>
      <c r="EO158" s="1490"/>
      <c r="EP158" s="1490"/>
      <c r="EQ158" s="1490"/>
      <c r="ER158" s="1490"/>
      <c r="ES158" s="1490"/>
      <c r="ET158" s="1490"/>
      <c r="EU158" s="1490"/>
      <c r="EV158" s="1490"/>
      <c r="EW158" s="1490"/>
      <c r="EX158" s="1490"/>
      <c r="EY158" s="1490"/>
      <c r="EZ158" s="1490">
        <v>0</v>
      </c>
      <c r="FA158" s="1490">
        <v>1</v>
      </c>
      <c r="FB158" s="1490">
        <v>0</v>
      </c>
      <c r="FC158" s="36"/>
      <c r="FD158" s="36"/>
      <c r="FE158" s="36">
        <v>1</v>
      </c>
      <c r="FF158" s="36"/>
      <c r="FH158" s="1225"/>
      <c r="FI158" s="1225"/>
      <c r="FJ158" s="1225"/>
      <c r="FK158" s="1226" t="s">
        <v>1163</v>
      </c>
      <c r="FL158" s="1227"/>
      <c r="FM158" s="1227"/>
      <c r="FN158" s="1227"/>
      <c r="FO158" s="1227"/>
      <c r="FP158" s="1227"/>
      <c r="FQ158" s="1227"/>
      <c r="FR158" s="1227"/>
      <c r="FS158" s="1227"/>
      <c r="FT158" s="1227"/>
      <c r="FU158" s="1227"/>
      <c r="FV158" s="1228">
        <v>1</v>
      </c>
      <c r="FW158" s="1228">
        <v>1</v>
      </c>
      <c r="FX158" s="1227"/>
      <c r="FY158" s="1229"/>
      <c r="FZ158" s="1229"/>
      <c r="GA158" s="1230">
        <v>2</v>
      </c>
      <c r="GB158" s="36"/>
      <c r="GD158" s="603"/>
      <c r="GE158" s="603"/>
      <c r="GF158" s="603"/>
      <c r="GG158" s="604" t="s">
        <v>1074</v>
      </c>
      <c r="GH158" s="605"/>
      <c r="GI158" s="606">
        <v>0</v>
      </c>
      <c r="GJ158" s="606">
        <v>1</v>
      </c>
      <c r="GK158" s="605"/>
      <c r="GL158" s="605"/>
      <c r="GM158" s="605"/>
      <c r="GN158" s="605"/>
      <c r="GO158" s="605"/>
      <c r="GP158" s="605"/>
      <c r="GQ158" s="605"/>
      <c r="GR158" s="605"/>
      <c r="GS158" s="605"/>
      <c r="GT158" s="606">
        <v>0</v>
      </c>
      <c r="GU158" s="606">
        <v>0</v>
      </c>
      <c r="GV158" s="606">
        <v>0</v>
      </c>
      <c r="GW158" s="608">
        <v>0</v>
      </c>
      <c r="GX158" s="608">
        <v>0</v>
      </c>
      <c r="GY158" s="608">
        <v>1</v>
      </c>
      <c r="GZ158" s="95"/>
      <c r="HB158" s="441"/>
      <c r="HC158" s="441"/>
      <c r="HD158" s="441"/>
      <c r="HE158" s="441"/>
      <c r="HF158" s="442" t="s">
        <v>1163</v>
      </c>
      <c r="HG158" s="609"/>
      <c r="HH158" s="609"/>
      <c r="HI158" s="609"/>
      <c r="HJ158" s="609"/>
      <c r="HK158" s="609"/>
      <c r="HL158" s="609"/>
      <c r="HM158" s="609"/>
      <c r="HN158" s="610">
        <v>0</v>
      </c>
      <c r="HO158" s="609"/>
      <c r="HP158" s="610">
        <v>1</v>
      </c>
      <c r="HQ158" s="610">
        <v>1</v>
      </c>
      <c r="HR158" s="610">
        <v>0</v>
      </c>
      <c r="HS158" s="609"/>
      <c r="HT158" s="610">
        <v>0</v>
      </c>
      <c r="HU158" s="610">
        <v>0</v>
      </c>
      <c r="HV158" s="611"/>
      <c r="HW158" s="611"/>
      <c r="HX158" s="612">
        <v>2</v>
      </c>
      <c r="HY158" s="560"/>
      <c r="HZ158" s="36"/>
      <c r="IA158" s="613"/>
      <c r="IB158" s="613"/>
      <c r="IC158" s="613"/>
      <c r="ID158" s="389" t="s">
        <v>1076</v>
      </c>
      <c r="IE158" s="614"/>
      <c r="IF158" s="614"/>
      <c r="IG158" s="614"/>
      <c r="IH158" s="614"/>
      <c r="II158" s="390">
        <v>0</v>
      </c>
      <c r="IJ158" s="390">
        <v>0</v>
      </c>
      <c r="IK158" s="390">
        <v>0</v>
      </c>
      <c r="IL158" s="614"/>
      <c r="IM158" s="390">
        <v>0</v>
      </c>
      <c r="IN158" s="390">
        <v>1</v>
      </c>
      <c r="IO158" s="390">
        <v>0</v>
      </c>
      <c r="IP158" s="614"/>
      <c r="IQ158" s="390">
        <v>0</v>
      </c>
      <c r="IR158" s="390">
        <v>1</v>
      </c>
      <c r="IS158" s="615"/>
      <c r="IT158" s="36"/>
      <c r="IU158" s="36"/>
      <c r="IV158" s="95"/>
      <c r="IW158" s="95"/>
      <c r="IX158" s="95"/>
      <c r="IY158" s="36" t="s">
        <v>1163</v>
      </c>
      <c r="IZ158" s="36"/>
      <c r="JA158" s="36">
        <v>0</v>
      </c>
      <c r="JB158" s="36">
        <v>0</v>
      </c>
      <c r="JC158" s="36">
        <v>0</v>
      </c>
      <c r="JD158" s="36">
        <v>0</v>
      </c>
      <c r="JE158" s="36"/>
      <c r="JF158" s="36"/>
      <c r="JG158" s="36"/>
      <c r="JH158" s="36">
        <v>7</v>
      </c>
      <c r="JI158" s="36">
        <v>1</v>
      </c>
      <c r="JJ158" s="36">
        <v>2</v>
      </c>
      <c r="JK158" s="36">
        <v>9</v>
      </c>
      <c r="JL158" s="36">
        <v>0</v>
      </c>
      <c r="JM158" s="36">
        <v>0</v>
      </c>
      <c r="JN158" s="36">
        <v>0</v>
      </c>
      <c r="JO158" s="36">
        <v>0</v>
      </c>
      <c r="JP158" s="36">
        <v>19</v>
      </c>
      <c r="JQ158" s="36"/>
      <c r="JR158" s="36"/>
      <c r="JS158" s="616"/>
      <c r="JT158" s="616"/>
      <c r="JU158" s="616" t="s">
        <v>103</v>
      </c>
      <c r="JV158" s="616" t="s">
        <v>1072</v>
      </c>
      <c r="JW158" s="616">
        <v>0</v>
      </c>
      <c r="JX158" s="616">
        <v>0</v>
      </c>
      <c r="JY158" s="616">
        <v>0</v>
      </c>
      <c r="JZ158" s="616">
        <v>2</v>
      </c>
      <c r="KA158" s="616">
        <v>0</v>
      </c>
      <c r="KB158" s="616">
        <v>0</v>
      </c>
      <c r="KC158" s="616">
        <v>0</v>
      </c>
      <c r="KD158" s="616">
        <v>0</v>
      </c>
      <c r="KE158" s="616">
        <v>1</v>
      </c>
      <c r="KF158" s="616">
        <v>2</v>
      </c>
      <c r="KG158" s="616">
        <v>0</v>
      </c>
      <c r="KH158" s="616">
        <v>2</v>
      </c>
      <c r="KI158" s="616">
        <v>2</v>
      </c>
      <c r="KJ158" s="616">
        <v>0</v>
      </c>
      <c r="KK158" s="616">
        <v>0</v>
      </c>
      <c r="KL158" s="616">
        <v>0</v>
      </c>
      <c r="KM158" s="616">
        <v>9</v>
      </c>
      <c r="KN158" s="616"/>
      <c r="KO158" s="617"/>
    </row>
    <row r="159" spans="1:301">
      <c r="A159" s="5737">
        <v>3</v>
      </c>
      <c r="B159" s="5737">
        <v>2</v>
      </c>
      <c r="C159" s="5736" t="s">
        <v>291</v>
      </c>
      <c r="D159" s="5739" t="s">
        <v>2707</v>
      </c>
      <c r="E159" s="5737">
        <v>1</v>
      </c>
      <c r="F159" s="5737">
        <v>12</v>
      </c>
      <c r="I159" s="4726">
        <v>3</v>
      </c>
      <c r="J159" s="4726">
        <v>2</v>
      </c>
      <c r="K159" s="4725" t="s">
        <v>291</v>
      </c>
      <c r="L159" s="4963" t="s">
        <v>1076</v>
      </c>
      <c r="M159" s="4964">
        <v>1</v>
      </c>
      <c r="N159" s="4726">
        <v>11</v>
      </c>
      <c r="Q159" s="4458">
        <v>4</v>
      </c>
      <c r="R159" s="4458">
        <v>2</v>
      </c>
      <c r="S159" s="4459" t="s">
        <v>608</v>
      </c>
      <c r="T159" s="4459" t="s">
        <v>2731</v>
      </c>
      <c r="U159" s="4458">
        <v>13</v>
      </c>
      <c r="V159" s="4479">
        <v>1</v>
      </c>
      <c r="W159" s="4510"/>
      <c r="Z159" s="36"/>
      <c r="AA159" s="36"/>
      <c r="AB159" s="36" t="s">
        <v>320</v>
      </c>
      <c r="AC159" s="36" t="s">
        <v>1072</v>
      </c>
      <c r="AD159" s="615">
        <v>0</v>
      </c>
      <c r="AE159" s="615"/>
      <c r="AF159" s="615"/>
      <c r="AG159" s="615"/>
      <c r="AH159" s="615"/>
      <c r="AI159" s="615"/>
      <c r="AJ159" s="615"/>
      <c r="AK159" s="615"/>
      <c r="AL159" s="615">
        <v>0</v>
      </c>
      <c r="AM159" s="615"/>
      <c r="AN159" s="615">
        <v>2</v>
      </c>
      <c r="AO159" s="615">
        <v>0</v>
      </c>
      <c r="AP159" s="615"/>
      <c r="AQ159" s="36">
        <v>0</v>
      </c>
      <c r="AR159" s="36">
        <v>2</v>
      </c>
      <c r="AS159" s="36"/>
      <c r="AU159" s="36"/>
      <c r="AV159" s="36"/>
      <c r="AW159" s="393"/>
      <c r="AX159" s="393" t="s">
        <v>1081</v>
      </c>
      <c r="AY159" s="1682"/>
      <c r="AZ159" s="1682">
        <v>0</v>
      </c>
      <c r="BA159" s="1682"/>
      <c r="BB159" s="1682">
        <v>0</v>
      </c>
      <c r="BC159" s="1682"/>
      <c r="BD159" s="1682"/>
      <c r="BE159" s="1682">
        <v>0</v>
      </c>
      <c r="BF159" s="1682">
        <v>0</v>
      </c>
      <c r="BG159" s="1682"/>
      <c r="BH159" s="1682">
        <v>1</v>
      </c>
      <c r="BI159" s="1682">
        <v>0</v>
      </c>
      <c r="BJ159" s="1682">
        <v>9</v>
      </c>
      <c r="BK159" s="1682">
        <v>3</v>
      </c>
      <c r="BL159" s="1682">
        <v>0</v>
      </c>
      <c r="BM159" s="4455">
        <v>0</v>
      </c>
      <c r="BN159" s="4455">
        <v>0</v>
      </c>
      <c r="BO159" s="4455">
        <v>13</v>
      </c>
      <c r="BP159" s="4455"/>
      <c r="BT159" s="1520"/>
      <c r="BU159" s="1520" t="s">
        <v>1080</v>
      </c>
      <c r="BV159" s="3872">
        <v>0</v>
      </c>
      <c r="BW159" s="3872">
        <v>0</v>
      </c>
      <c r="BX159" s="3872"/>
      <c r="BY159" s="3872">
        <v>0</v>
      </c>
      <c r="BZ159" s="3872"/>
      <c r="CA159" s="3872"/>
      <c r="CB159" s="3872">
        <v>0</v>
      </c>
      <c r="CC159" s="3872">
        <v>0</v>
      </c>
      <c r="CD159" s="3872"/>
      <c r="CE159" s="3872">
        <v>0</v>
      </c>
      <c r="CF159" s="3872">
        <v>0</v>
      </c>
      <c r="CG159" s="3872">
        <v>0</v>
      </c>
      <c r="CH159" s="3872">
        <v>0</v>
      </c>
      <c r="CI159" s="3872">
        <v>1</v>
      </c>
      <c r="CJ159" s="3806">
        <v>4</v>
      </c>
      <c r="CK159" s="3806">
        <v>5</v>
      </c>
      <c r="CL159" s="1520"/>
      <c r="CN159" s="36"/>
      <c r="CO159" s="36"/>
      <c r="CP159" s="393"/>
      <c r="CQ159" s="393" t="s">
        <v>1074</v>
      </c>
      <c r="CR159" s="2049">
        <v>0</v>
      </c>
      <c r="CS159" s="2049"/>
      <c r="CT159" s="2049"/>
      <c r="CU159" s="2049"/>
      <c r="CV159" s="2049"/>
      <c r="CW159" s="2049">
        <v>2</v>
      </c>
      <c r="CX159" s="2049"/>
      <c r="CY159" s="2049"/>
      <c r="CZ159" s="2049"/>
      <c r="DA159" s="2049">
        <v>0</v>
      </c>
      <c r="DB159" s="2049"/>
      <c r="DC159" s="2049">
        <v>0</v>
      </c>
      <c r="DD159" s="2049">
        <v>0</v>
      </c>
      <c r="DE159" s="2049">
        <v>0</v>
      </c>
      <c r="DF159" s="2049">
        <v>0</v>
      </c>
      <c r="DG159" s="393">
        <v>0</v>
      </c>
      <c r="DH159" s="393">
        <v>0</v>
      </c>
      <c r="DI159" s="393">
        <v>2</v>
      </c>
      <c r="DJ159" s="36"/>
      <c r="DL159" s="36"/>
      <c r="DM159" s="36"/>
      <c r="DN159" s="36"/>
      <c r="DO159" s="36" t="s">
        <v>1072</v>
      </c>
      <c r="DP159" s="1681"/>
      <c r="DQ159" s="1681"/>
      <c r="DR159" s="1681"/>
      <c r="DS159" s="1681"/>
      <c r="DT159" s="1681"/>
      <c r="DU159" s="1681">
        <v>2</v>
      </c>
      <c r="DV159" s="1681"/>
      <c r="DW159" s="1681">
        <v>0</v>
      </c>
      <c r="DX159" s="1681"/>
      <c r="DY159" s="1681"/>
      <c r="DZ159" s="1681"/>
      <c r="EA159" s="1681"/>
      <c r="EB159" s="1681">
        <v>3</v>
      </c>
      <c r="EC159" s="1681"/>
      <c r="ED159" s="1681"/>
      <c r="EE159" s="95"/>
      <c r="EF159" s="95"/>
      <c r="EG159" s="95">
        <v>5</v>
      </c>
      <c r="EH159" s="36"/>
      <c r="EL159" s="36"/>
      <c r="EM159" s="393" t="s">
        <v>15</v>
      </c>
      <c r="EN159" s="1491"/>
      <c r="EO159" s="1491"/>
      <c r="EP159" s="1491"/>
      <c r="EQ159" s="1491"/>
      <c r="ER159" s="1491"/>
      <c r="ES159" s="1491"/>
      <c r="ET159" s="1491"/>
      <c r="EU159" s="1491"/>
      <c r="EV159" s="1491"/>
      <c r="EW159" s="1491"/>
      <c r="EX159" s="1491"/>
      <c r="EY159" s="1491"/>
      <c r="EZ159" s="1491">
        <v>6</v>
      </c>
      <c r="FA159" s="1491">
        <v>3</v>
      </c>
      <c r="FB159" s="1491">
        <v>1</v>
      </c>
      <c r="FC159" s="393"/>
      <c r="FD159" s="393"/>
      <c r="FE159" s="393">
        <v>10</v>
      </c>
      <c r="FF159" s="560">
        <f>+(FE157+FE158)/FE159</f>
        <v>0.2</v>
      </c>
      <c r="FH159" s="1225"/>
      <c r="FI159" s="1225"/>
      <c r="FJ159" s="1225"/>
      <c r="FK159" s="1222" t="s">
        <v>15</v>
      </c>
      <c r="FL159" s="1231"/>
      <c r="FM159" s="1231"/>
      <c r="FN159" s="1231"/>
      <c r="FO159" s="1231"/>
      <c r="FP159" s="1231"/>
      <c r="FQ159" s="1231"/>
      <c r="FR159" s="1231"/>
      <c r="FS159" s="1231"/>
      <c r="FT159" s="1231"/>
      <c r="FU159" s="1231"/>
      <c r="FV159" s="1232">
        <v>7</v>
      </c>
      <c r="FW159" s="1232">
        <v>1</v>
      </c>
      <c r="FX159" s="1231"/>
      <c r="FY159" s="1233"/>
      <c r="FZ159" s="1233"/>
      <c r="GA159" s="1234">
        <v>8</v>
      </c>
      <c r="GB159" s="1178">
        <f>+(GA157+GA158)/GA159</f>
        <v>0.5</v>
      </c>
      <c r="GD159" s="603"/>
      <c r="GE159" s="603"/>
      <c r="GF159" s="603"/>
      <c r="GG159" s="604" t="s">
        <v>1076</v>
      </c>
      <c r="GH159" s="605"/>
      <c r="GI159" s="606">
        <v>0</v>
      </c>
      <c r="GJ159" s="606">
        <v>0</v>
      </c>
      <c r="GK159" s="605"/>
      <c r="GL159" s="605"/>
      <c r="GM159" s="605"/>
      <c r="GN159" s="605"/>
      <c r="GO159" s="605"/>
      <c r="GP159" s="605"/>
      <c r="GQ159" s="605"/>
      <c r="GR159" s="605"/>
      <c r="GS159" s="605"/>
      <c r="GT159" s="606">
        <v>0</v>
      </c>
      <c r="GU159" s="606">
        <v>1</v>
      </c>
      <c r="GV159" s="606">
        <v>1</v>
      </c>
      <c r="GW159" s="608">
        <v>0</v>
      </c>
      <c r="GX159" s="608">
        <v>0</v>
      </c>
      <c r="GY159" s="608">
        <v>2</v>
      </c>
      <c r="GZ159" s="95"/>
      <c r="HB159" s="441"/>
      <c r="HC159" s="441"/>
      <c r="HD159" s="441"/>
      <c r="HE159" s="36"/>
      <c r="HF159" s="462" t="s">
        <v>15</v>
      </c>
      <c r="HG159" s="618"/>
      <c r="HH159" s="618"/>
      <c r="HI159" s="618"/>
      <c r="HJ159" s="618"/>
      <c r="HK159" s="618"/>
      <c r="HL159" s="618"/>
      <c r="HM159" s="618"/>
      <c r="HN159" s="619">
        <v>1</v>
      </c>
      <c r="HO159" s="618"/>
      <c r="HP159" s="619">
        <v>3</v>
      </c>
      <c r="HQ159" s="619">
        <v>2</v>
      </c>
      <c r="HR159" s="619">
        <v>2</v>
      </c>
      <c r="HS159" s="618"/>
      <c r="HT159" s="619">
        <v>2</v>
      </c>
      <c r="HU159" s="619">
        <v>3</v>
      </c>
      <c r="HV159" s="620"/>
      <c r="HW159" s="620"/>
      <c r="HX159" s="621">
        <v>13</v>
      </c>
      <c r="HY159" s="560">
        <f>+(HX158+HX156)/HX159</f>
        <v>0.23076923076923078</v>
      </c>
      <c r="HZ159" s="36"/>
      <c r="IA159" s="613"/>
      <c r="IB159" s="613"/>
      <c r="IC159" s="613"/>
      <c r="ID159" s="389" t="s">
        <v>1080</v>
      </c>
      <c r="IE159" s="614"/>
      <c r="IF159" s="614"/>
      <c r="IG159" s="614"/>
      <c r="IH159" s="614"/>
      <c r="II159" s="390">
        <v>1</v>
      </c>
      <c r="IJ159" s="390">
        <v>0</v>
      </c>
      <c r="IK159" s="390">
        <v>0</v>
      </c>
      <c r="IL159" s="614"/>
      <c r="IM159" s="390">
        <v>0</v>
      </c>
      <c r="IN159" s="390">
        <v>0</v>
      </c>
      <c r="IO159" s="390">
        <v>3</v>
      </c>
      <c r="IP159" s="614"/>
      <c r="IQ159" s="390">
        <v>1</v>
      </c>
      <c r="IR159" s="390">
        <v>5</v>
      </c>
      <c r="IS159" s="615"/>
      <c r="IT159" s="36"/>
      <c r="IU159" s="36"/>
      <c r="IV159" s="95"/>
      <c r="IW159" s="95"/>
      <c r="IX159" s="95"/>
      <c r="IY159" s="393" t="s">
        <v>15</v>
      </c>
      <c r="IZ159" s="393"/>
      <c r="JA159" s="393">
        <v>1</v>
      </c>
      <c r="JB159" s="393">
        <v>2</v>
      </c>
      <c r="JC159" s="393">
        <v>1</v>
      </c>
      <c r="JD159" s="393">
        <v>1</v>
      </c>
      <c r="JE159" s="393"/>
      <c r="JF159" s="393"/>
      <c r="JG159" s="393"/>
      <c r="JH159" s="393">
        <v>20</v>
      </c>
      <c r="JI159" s="393">
        <v>7</v>
      </c>
      <c r="JJ159" s="393">
        <v>11</v>
      </c>
      <c r="JK159" s="393">
        <v>39</v>
      </c>
      <c r="JL159" s="393">
        <v>4</v>
      </c>
      <c r="JM159" s="393">
        <v>1</v>
      </c>
      <c r="JN159" s="393">
        <v>4</v>
      </c>
      <c r="JO159" s="393">
        <v>6</v>
      </c>
      <c r="JP159" s="393">
        <v>97</v>
      </c>
      <c r="JQ159" s="631">
        <f>+(JP155+JP157+JP158)/JP159</f>
        <v>0.25773195876288657</v>
      </c>
      <c r="JR159" s="36"/>
      <c r="JS159" s="616"/>
      <c r="JT159" s="616"/>
      <c r="JU159" s="616"/>
      <c r="JV159" s="616" t="s">
        <v>1076</v>
      </c>
      <c r="JW159" s="616">
        <v>0</v>
      </c>
      <c r="JX159" s="616">
        <v>0</v>
      </c>
      <c r="JY159" s="616">
        <v>0</v>
      </c>
      <c r="JZ159" s="616">
        <v>0</v>
      </c>
      <c r="KA159" s="616">
        <v>0</v>
      </c>
      <c r="KB159" s="616">
        <v>0</v>
      </c>
      <c r="KC159" s="616">
        <v>0</v>
      </c>
      <c r="KD159" s="616">
        <v>0</v>
      </c>
      <c r="KE159" s="616">
        <v>0</v>
      </c>
      <c r="KF159" s="616">
        <v>0</v>
      </c>
      <c r="KG159" s="616">
        <v>0</v>
      </c>
      <c r="KH159" s="616">
        <v>1</v>
      </c>
      <c r="KI159" s="616">
        <v>0</v>
      </c>
      <c r="KJ159" s="616">
        <v>0</v>
      </c>
      <c r="KK159" s="616">
        <v>1</v>
      </c>
      <c r="KL159" s="616">
        <v>0</v>
      </c>
      <c r="KM159" s="616">
        <v>2</v>
      </c>
      <c r="KN159" s="616"/>
      <c r="KO159" s="617"/>
    </row>
    <row r="160" spans="1:301">
      <c r="A160" s="5737">
        <v>3</v>
      </c>
      <c r="B160" s="5737">
        <v>2</v>
      </c>
      <c r="C160" s="5736" t="s">
        <v>291</v>
      </c>
      <c r="D160" s="5739" t="s">
        <v>2707</v>
      </c>
      <c r="E160" s="5737">
        <v>2</v>
      </c>
      <c r="F160" s="5737">
        <v>13</v>
      </c>
      <c r="I160" s="4726">
        <v>3</v>
      </c>
      <c r="J160" s="4726">
        <v>2</v>
      </c>
      <c r="K160" s="4725" t="s">
        <v>291</v>
      </c>
      <c r="L160" s="4963" t="s">
        <v>1076</v>
      </c>
      <c r="M160" s="4964">
        <v>2</v>
      </c>
      <c r="N160" s="4726">
        <v>12</v>
      </c>
      <c r="Q160" s="4458">
        <v>4</v>
      </c>
      <c r="R160" s="4458">
        <v>2</v>
      </c>
      <c r="S160" s="4459" t="s">
        <v>608</v>
      </c>
      <c r="T160" s="4459" t="s">
        <v>2731</v>
      </c>
      <c r="U160" s="4458">
        <v>14</v>
      </c>
      <c r="V160" s="4479">
        <v>5</v>
      </c>
      <c r="W160" s="4510"/>
      <c r="Z160" s="36"/>
      <c r="AA160" s="36"/>
      <c r="AB160" s="36"/>
      <c r="AC160" s="36" t="s">
        <v>1076</v>
      </c>
      <c r="AD160" s="615">
        <v>0</v>
      </c>
      <c r="AE160" s="615"/>
      <c r="AF160" s="615"/>
      <c r="AG160" s="615"/>
      <c r="AH160" s="615"/>
      <c r="AI160" s="615"/>
      <c r="AJ160" s="615"/>
      <c r="AK160" s="615"/>
      <c r="AL160" s="615">
        <v>0</v>
      </c>
      <c r="AM160" s="615"/>
      <c r="AN160" s="615">
        <v>1</v>
      </c>
      <c r="AO160" s="615">
        <v>1</v>
      </c>
      <c r="AP160" s="615"/>
      <c r="AQ160" s="36">
        <v>0</v>
      </c>
      <c r="AR160" s="36">
        <v>2</v>
      </c>
      <c r="AS160" s="36"/>
      <c r="AU160" s="36"/>
      <c r="AV160" s="36"/>
      <c r="AW160" s="393"/>
      <c r="AX160" s="393" t="s">
        <v>1163</v>
      </c>
      <c r="AY160" s="1682"/>
      <c r="AZ160" s="1682">
        <v>0</v>
      </c>
      <c r="BA160" s="1682"/>
      <c r="BB160" s="1682">
        <v>0</v>
      </c>
      <c r="BC160" s="1682"/>
      <c r="BD160" s="1682"/>
      <c r="BE160" s="1682">
        <v>0</v>
      </c>
      <c r="BF160" s="1682">
        <v>0</v>
      </c>
      <c r="BG160" s="1682"/>
      <c r="BH160" s="1682">
        <v>0</v>
      </c>
      <c r="BI160" s="1682">
        <v>1</v>
      </c>
      <c r="BJ160" s="1682">
        <v>5</v>
      </c>
      <c r="BK160" s="1682">
        <v>2</v>
      </c>
      <c r="BL160" s="1682">
        <v>1</v>
      </c>
      <c r="BM160" s="4455">
        <v>1</v>
      </c>
      <c r="BN160" s="4455">
        <v>0</v>
      </c>
      <c r="BO160" s="4455">
        <v>10</v>
      </c>
      <c r="BP160" s="4455"/>
      <c r="BT160" s="1520"/>
      <c r="BU160" s="1520" t="s">
        <v>1081</v>
      </c>
      <c r="BV160" s="3872">
        <v>0</v>
      </c>
      <c r="BW160" s="3872">
        <v>0</v>
      </c>
      <c r="BX160" s="3872"/>
      <c r="BY160" s="3872">
        <v>0</v>
      </c>
      <c r="BZ160" s="3872"/>
      <c r="CA160" s="3872"/>
      <c r="CB160" s="3872">
        <v>0</v>
      </c>
      <c r="CC160" s="3872">
        <v>0</v>
      </c>
      <c r="CD160" s="3872"/>
      <c r="CE160" s="3872">
        <v>0</v>
      </c>
      <c r="CF160" s="3872">
        <v>0</v>
      </c>
      <c r="CG160" s="3872">
        <v>3</v>
      </c>
      <c r="CH160" s="3872">
        <v>1</v>
      </c>
      <c r="CI160" s="3872">
        <v>0</v>
      </c>
      <c r="CJ160" s="3806">
        <v>0</v>
      </c>
      <c r="CK160" s="3806">
        <v>4</v>
      </c>
      <c r="CL160" s="1520"/>
      <c r="CN160" s="36"/>
      <c r="CO160" s="36"/>
      <c r="CP160" s="393"/>
      <c r="CQ160" s="393" t="s">
        <v>1076</v>
      </c>
      <c r="CR160" s="2049">
        <v>0</v>
      </c>
      <c r="CS160" s="2049"/>
      <c r="CT160" s="2049"/>
      <c r="CU160" s="2049"/>
      <c r="CV160" s="2049"/>
      <c r="CW160" s="2049">
        <v>0</v>
      </c>
      <c r="CX160" s="2049"/>
      <c r="CY160" s="2049"/>
      <c r="CZ160" s="2049"/>
      <c r="DA160" s="2049">
        <v>0</v>
      </c>
      <c r="DB160" s="2049"/>
      <c r="DC160" s="2049">
        <v>0</v>
      </c>
      <c r="DD160" s="2049">
        <v>5</v>
      </c>
      <c r="DE160" s="2049">
        <v>5</v>
      </c>
      <c r="DF160" s="2049">
        <v>1</v>
      </c>
      <c r="DG160" s="393">
        <v>1</v>
      </c>
      <c r="DH160" s="393">
        <v>0</v>
      </c>
      <c r="DI160" s="393">
        <v>12</v>
      </c>
      <c r="DJ160" s="36"/>
      <c r="DL160" s="36"/>
      <c r="DM160" s="36"/>
      <c r="DN160" s="36"/>
      <c r="DO160" s="36" t="s">
        <v>1163</v>
      </c>
      <c r="DP160" s="1681"/>
      <c r="DQ160" s="1681"/>
      <c r="DR160" s="1681"/>
      <c r="DS160" s="1681"/>
      <c r="DT160" s="1681"/>
      <c r="DU160" s="1681">
        <v>0</v>
      </c>
      <c r="DV160" s="1681"/>
      <c r="DW160" s="1681">
        <v>0</v>
      </c>
      <c r="DX160" s="1681"/>
      <c r="DY160" s="1681"/>
      <c r="DZ160" s="1681"/>
      <c r="EA160" s="1681"/>
      <c r="EB160" s="1681">
        <v>2</v>
      </c>
      <c r="EC160" s="1681"/>
      <c r="ED160" s="1681"/>
      <c r="EE160" s="95"/>
      <c r="EF160" s="95"/>
      <c r="EG160" s="95">
        <v>2</v>
      </c>
      <c r="EH160" s="36"/>
      <c r="EL160" s="36" t="s">
        <v>726</v>
      </c>
      <c r="EM160" s="36" t="s">
        <v>1072</v>
      </c>
      <c r="EN160" s="1490"/>
      <c r="EO160" s="1490"/>
      <c r="EP160" s="1490"/>
      <c r="EQ160" s="1490"/>
      <c r="ER160" s="1490"/>
      <c r="ES160" s="1490"/>
      <c r="ET160" s="1490"/>
      <c r="EU160" s="1490"/>
      <c r="EV160" s="1490"/>
      <c r="EW160" s="1490"/>
      <c r="EX160" s="1490"/>
      <c r="EY160" s="1490"/>
      <c r="EZ160" s="1490">
        <v>6</v>
      </c>
      <c r="FA160" s="1490">
        <v>1</v>
      </c>
      <c r="FB160" s="1490">
        <v>1</v>
      </c>
      <c r="FC160" s="36"/>
      <c r="FD160" s="36"/>
      <c r="FE160" s="36">
        <v>8</v>
      </c>
      <c r="FF160" s="36"/>
      <c r="FH160" s="1225"/>
      <c r="FI160" s="1225"/>
      <c r="FJ160" s="1225" t="s">
        <v>726</v>
      </c>
      <c r="FK160" s="1226" t="s">
        <v>1072</v>
      </c>
      <c r="FL160" s="1227"/>
      <c r="FM160" s="1227"/>
      <c r="FN160" s="1227"/>
      <c r="FO160" s="1227"/>
      <c r="FP160" s="1227"/>
      <c r="FQ160" s="1227"/>
      <c r="FR160" s="1227"/>
      <c r="FS160" s="1227"/>
      <c r="FT160" s="1227"/>
      <c r="FU160" s="1227"/>
      <c r="FV160" s="1228">
        <v>4</v>
      </c>
      <c r="FW160" s="1228">
        <v>0</v>
      </c>
      <c r="FX160" s="1227"/>
      <c r="FY160" s="1229"/>
      <c r="FZ160" s="1229"/>
      <c r="GA160" s="1230">
        <v>4</v>
      </c>
      <c r="GB160" s="36"/>
      <c r="GD160" s="603"/>
      <c r="GE160" s="603"/>
      <c r="GF160" s="603"/>
      <c r="GG160" s="604" t="s">
        <v>1080</v>
      </c>
      <c r="GH160" s="605"/>
      <c r="GI160" s="606">
        <v>0</v>
      </c>
      <c r="GJ160" s="606">
        <v>0</v>
      </c>
      <c r="GK160" s="605"/>
      <c r="GL160" s="605"/>
      <c r="GM160" s="605"/>
      <c r="GN160" s="605"/>
      <c r="GO160" s="605"/>
      <c r="GP160" s="605"/>
      <c r="GQ160" s="605"/>
      <c r="GR160" s="605"/>
      <c r="GS160" s="605"/>
      <c r="GT160" s="606">
        <v>0</v>
      </c>
      <c r="GU160" s="606">
        <v>0</v>
      </c>
      <c r="GV160" s="606">
        <v>0</v>
      </c>
      <c r="GW160" s="608">
        <v>0</v>
      </c>
      <c r="GX160" s="608">
        <v>1</v>
      </c>
      <c r="GY160" s="608">
        <v>1</v>
      </c>
      <c r="GZ160" s="95"/>
      <c r="HB160" s="441"/>
      <c r="HC160" s="441"/>
      <c r="HD160" s="462" t="s">
        <v>485</v>
      </c>
      <c r="HE160" s="441" t="s">
        <v>1070</v>
      </c>
      <c r="HF160" s="442" t="s">
        <v>1072</v>
      </c>
      <c r="HG160" s="609"/>
      <c r="HH160" s="609"/>
      <c r="HI160" s="610">
        <v>2</v>
      </c>
      <c r="HJ160" s="609"/>
      <c r="HK160" s="609"/>
      <c r="HL160" s="609"/>
      <c r="HM160" s="609"/>
      <c r="HN160" s="610">
        <v>1</v>
      </c>
      <c r="HO160" s="610">
        <v>0</v>
      </c>
      <c r="HP160" s="610">
        <v>2</v>
      </c>
      <c r="HQ160" s="610">
        <v>1</v>
      </c>
      <c r="HR160" s="610">
        <v>5</v>
      </c>
      <c r="HS160" s="610">
        <v>1</v>
      </c>
      <c r="HT160" s="610">
        <v>3</v>
      </c>
      <c r="HU160" s="610">
        <v>1</v>
      </c>
      <c r="HV160" s="611"/>
      <c r="HW160" s="612">
        <v>0</v>
      </c>
      <c r="HX160" s="612">
        <v>16</v>
      </c>
      <c r="HY160" s="560"/>
      <c r="HZ160" s="36"/>
      <c r="IA160" s="613"/>
      <c r="IB160" s="613"/>
      <c r="IC160" s="613"/>
      <c r="ID160" s="389" t="s">
        <v>1081</v>
      </c>
      <c r="IE160" s="614"/>
      <c r="IF160" s="614"/>
      <c r="IG160" s="614"/>
      <c r="IH160" s="614"/>
      <c r="II160" s="390">
        <v>0</v>
      </c>
      <c r="IJ160" s="390">
        <v>0</v>
      </c>
      <c r="IK160" s="390">
        <v>0</v>
      </c>
      <c r="IL160" s="614"/>
      <c r="IM160" s="390">
        <v>0</v>
      </c>
      <c r="IN160" s="390">
        <v>2</v>
      </c>
      <c r="IO160" s="390">
        <v>0</v>
      </c>
      <c r="IP160" s="614"/>
      <c r="IQ160" s="390">
        <v>0</v>
      </c>
      <c r="IR160" s="390">
        <v>2</v>
      </c>
      <c r="IS160" s="615"/>
      <c r="IT160" s="36"/>
      <c r="IU160" s="36"/>
      <c r="IV160" s="95"/>
      <c r="IW160" s="95"/>
      <c r="IX160" s="95" t="s">
        <v>41</v>
      </c>
      <c r="IY160" s="36" t="s">
        <v>1072</v>
      </c>
      <c r="IZ160" s="36"/>
      <c r="JA160" s="36">
        <v>0</v>
      </c>
      <c r="JB160" s="36"/>
      <c r="JC160" s="36">
        <v>1</v>
      </c>
      <c r="JD160" s="36"/>
      <c r="JE160" s="36"/>
      <c r="JF160" s="36">
        <v>0</v>
      </c>
      <c r="JG160" s="36">
        <v>3</v>
      </c>
      <c r="JH160" s="36">
        <v>4</v>
      </c>
      <c r="JI160" s="36">
        <v>1</v>
      </c>
      <c r="JJ160" s="36">
        <v>1</v>
      </c>
      <c r="JK160" s="36">
        <v>0</v>
      </c>
      <c r="JL160" s="36">
        <v>0</v>
      </c>
      <c r="JM160" s="36">
        <v>0</v>
      </c>
      <c r="JN160" s="36"/>
      <c r="JO160" s="36">
        <v>0</v>
      </c>
      <c r="JP160" s="36">
        <v>10</v>
      </c>
      <c r="JQ160" s="36"/>
      <c r="JR160" s="36"/>
      <c r="JS160" s="616"/>
      <c r="JT160" s="616"/>
      <c r="JU160" s="616"/>
      <c r="JV160" s="616" t="s">
        <v>1080</v>
      </c>
      <c r="JW160" s="616">
        <v>0</v>
      </c>
      <c r="JX160" s="616">
        <v>0</v>
      </c>
      <c r="JY160" s="616">
        <v>0</v>
      </c>
      <c r="JZ160" s="616">
        <v>0</v>
      </c>
      <c r="KA160" s="616">
        <v>0</v>
      </c>
      <c r="KB160" s="616">
        <v>0</v>
      </c>
      <c r="KC160" s="616">
        <v>0</v>
      </c>
      <c r="KD160" s="616">
        <v>0</v>
      </c>
      <c r="KE160" s="616">
        <v>0</v>
      </c>
      <c r="KF160" s="616">
        <v>0</v>
      </c>
      <c r="KG160" s="616">
        <v>1</v>
      </c>
      <c r="KH160" s="616">
        <v>0</v>
      </c>
      <c r="KI160" s="616">
        <v>0</v>
      </c>
      <c r="KJ160" s="616">
        <v>0</v>
      </c>
      <c r="KK160" s="616">
        <v>0</v>
      </c>
      <c r="KL160" s="616">
        <v>2</v>
      </c>
      <c r="KM160" s="616">
        <v>3</v>
      </c>
      <c r="KN160" s="616"/>
      <c r="KO160" s="617"/>
    </row>
    <row r="161" spans="1:301">
      <c r="A161" s="5740">
        <v>3</v>
      </c>
      <c r="B161" s="5740">
        <v>2</v>
      </c>
      <c r="C161" s="5741" t="s">
        <v>291</v>
      </c>
      <c r="D161" s="5741" t="s">
        <v>2707</v>
      </c>
      <c r="E161" s="5740">
        <v>1</v>
      </c>
      <c r="F161" s="5740">
        <v>15</v>
      </c>
      <c r="I161" s="4726">
        <v>3</v>
      </c>
      <c r="J161" s="4726">
        <v>2</v>
      </c>
      <c r="K161" s="4725" t="s">
        <v>291</v>
      </c>
      <c r="L161" s="4963" t="s">
        <v>1076</v>
      </c>
      <c r="M161" s="4964">
        <v>1</v>
      </c>
      <c r="N161" s="4726">
        <v>13</v>
      </c>
      <c r="Q161" s="4458"/>
      <c r="R161" s="4458"/>
      <c r="S161" s="4465" t="s">
        <v>15</v>
      </c>
      <c r="T161" s="4459"/>
      <c r="U161" s="4458"/>
      <c r="V161" s="4480">
        <f>SUM(V155:V160)</f>
        <v>12</v>
      </c>
      <c r="W161" s="4510">
        <v>0</v>
      </c>
      <c r="Z161" s="36"/>
      <c r="AA161" s="36"/>
      <c r="AB161" s="36"/>
      <c r="AC161" s="36" t="s">
        <v>1080</v>
      </c>
      <c r="AD161" s="615">
        <v>0</v>
      </c>
      <c r="AE161" s="615"/>
      <c r="AF161" s="615"/>
      <c r="AG161" s="615"/>
      <c r="AH161" s="615"/>
      <c r="AI161" s="615"/>
      <c r="AJ161" s="615"/>
      <c r="AK161" s="615"/>
      <c r="AL161" s="615">
        <v>0</v>
      </c>
      <c r="AM161" s="615"/>
      <c r="AN161" s="615">
        <v>0</v>
      </c>
      <c r="AO161" s="615">
        <v>10</v>
      </c>
      <c r="AP161" s="615"/>
      <c r="AQ161" s="36">
        <v>2</v>
      </c>
      <c r="AR161" s="36">
        <v>12</v>
      </c>
      <c r="AS161" s="36"/>
      <c r="AU161" s="36"/>
      <c r="AV161" s="36"/>
      <c r="AW161" s="393"/>
      <c r="AX161" s="36" t="s">
        <v>15</v>
      </c>
      <c r="AY161" s="1682"/>
      <c r="AZ161" s="1682">
        <v>1</v>
      </c>
      <c r="BA161" s="1682"/>
      <c r="BB161" s="1682">
        <v>1</v>
      </c>
      <c r="BC161" s="1682"/>
      <c r="BD161" s="1682"/>
      <c r="BE161" s="1682">
        <v>1</v>
      </c>
      <c r="BF161" s="1682">
        <v>1</v>
      </c>
      <c r="BG161" s="1682"/>
      <c r="BH161" s="1682">
        <v>2</v>
      </c>
      <c r="BI161" s="1682">
        <v>3</v>
      </c>
      <c r="BJ161" s="1682">
        <v>44</v>
      </c>
      <c r="BK161" s="1682">
        <v>18</v>
      </c>
      <c r="BL161" s="1682">
        <v>3</v>
      </c>
      <c r="BM161" s="4455">
        <v>3</v>
      </c>
      <c r="BN161" s="4455">
        <v>1</v>
      </c>
      <c r="BO161" s="4455">
        <v>78</v>
      </c>
      <c r="BP161" s="560">
        <f>+(BO157+BO159+BO160)/(BO161)</f>
        <v>0.37179487179487181</v>
      </c>
      <c r="BT161" s="1520"/>
      <c r="BU161" s="1520" t="s">
        <v>1163</v>
      </c>
      <c r="BV161" s="3872">
        <v>0</v>
      </c>
      <c r="BW161" s="3872">
        <v>0</v>
      </c>
      <c r="BX161" s="3872"/>
      <c r="BY161" s="3872">
        <v>0</v>
      </c>
      <c r="BZ161" s="3872"/>
      <c r="CA161" s="3872"/>
      <c r="CB161" s="3872">
        <v>0</v>
      </c>
      <c r="CC161" s="3872">
        <v>0</v>
      </c>
      <c r="CD161" s="3872"/>
      <c r="CE161" s="3872">
        <v>0</v>
      </c>
      <c r="CF161" s="3872">
        <v>1</v>
      </c>
      <c r="CG161" s="3872">
        <v>4</v>
      </c>
      <c r="CH161" s="3872">
        <v>1</v>
      </c>
      <c r="CI161" s="3872">
        <v>0</v>
      </c>
      <c r="CJ161" s="3806">
        <v>0</v>
      </c>
      <c r="CK161" s="3806">
        <v>6</v>
      </c>
      <c r="CL161" s="3807">
        <f>+(CK157+CK160+CK161)/CK162</f>
        <v>0.17948717948717949</v>
      </c>
      <c r="CN161" s="36"/>
      <c r="CO161" s="36"/>
      <c r="CP161" s="393"/>
      <c r="CQ161" s="393" t="s">
        <v>1080</v>
      </c>
      <c r="CR161" s="2049">
        <v>0</v>
      </c>
      <c r="CS161" s="2049"/>
      <c r="CT161" s="2049"/>
      <c r="CU161" s="2049"/>
      <c r="CV161" s="2049"/>
      <c r="CW161" s="2049">
        <v>0</v>
      </c>
      <c r="CX161" s="2049"/>
      <c r="CY161" s="2049"/>
      <c r="CZ161" s="2049"/>
      <c r="DA161" s="2049">
        <v>0</v>
      </c>
      <c r="DB161" s="2049"/>
      <c r="DC161" s="2049">
        <v>0</v>
      </c>
      <c r="DD161" s="2049">
        <v>0</v>
      </c>
      <c r="DE161" s="2049">
        <v>1</v>
      </c>
      <c r="DF161" s="2049">
        <v>19</v>
      </c>
      <c r="DG161" s="393">
        <v>3</v>
      </c>
      <c r="DH161" s="393">
        <v>9</v>
      </c>
      <c r="DI161" s="393">
        <v>32</v>
      </c>
      <c r="DJ161" s="36"/>
      <c r="DL161" s="36"/>
      <c r="DM161" s="36"/>
      <c r="DN161" s="36"/>
      <c r="DO161" s="393" t="s">
        <v>15</v>
      </c>
      <c r="DP161" s="1682"/>
      <c r="DQ161" s="1682"/>
      <c r="DR161" s="1682"/>
      <c r="DS161" s="1682"/>
      <c r="DT161" s="1682"/>
      <c r="DU161" s="1682">
        <v>2</v>
      </c>
      <c r="DV161" s="1682"/>
      <c r="DW161" s="1682">
        <v>1</v>
      </c>
      <c r="DX161" s="1682"/>
      <c r="DY161" s="1682"/>
      <c r="DZ161" s="1682"/>
      <c r="EA161" s="1682"/>
      <c r="EB161" s="1682">
        <v>5</v>
      </c>
      <c r="EC161" s="1682"/>
      <c r="ED161" s="1682"/>
      <c r="EE161" s="86"/>
      <c r="EF161" s="86"/>
      <c r="EG161" s="86">
        <v>8</v>
      </c>
      <c r="EH161" s="560">
        <f>+EG160/EG161</f>
        <v>0.25</v>
      </c>
      <c r="EL161" s="36"/>
      <c r="EM161" s="36" t="s">
        <v>1081</v>
      </c>
      <c r="EN161" s="1490"/>
      <c r="EO161" s="1490"/>
      <c r="EP161" s="1490"/>
      <c r="EQ161" s="1490"/>
      <c r="ER161" s="1490"/>
      <c r="ES161" s="1490"/>
      <c r="ET161" s="1490"/>
      <c r="EU161" s="1490"/>
      <c r="EV161" s="1490"/>
      <c r="EW161" s="1490"/>
      <c r="EX161" s="1490"/>
      <c r="EY161" s="1490"/>
      <c r="EZ161" s="1490">
        <v>0</v>
      </c>
      <c r="FA161" s="1490">
        <v>1</v>
      </c>
      <c r="FB161" s="1490">
        <v>0</v>
      </c>
      <c r="FC161" s="36"/>
      <c r="FD161" s="36"/>
      <c r="FE161" s="36">
        <v>1</v>
      </c>
      <c r="FF161" s="36"/>
      <c r="FH161" s="1225"/>
      <c r="FI161" s="1225"/>
      <c r="FJ161" s="1225"/>
      <c r="FK161" s="1226" t="s">
        <v>1076</v>
      </c>
      <c r="FL161" s="1227"/>
      <c r="FM161" s="1227"/>
      <c r="FN161" s="1227"/>
      <c r="FO161" s="1227"/>
      <c r="FP161" s="1227"/>
      <c r="FQ161" s="1227"/>
      <c r="FR161" s="1227"/>
      <c r="FS161" s="1227"/>
      <c r="FT161" s="1227"/>
      <c r="FU161" s="1227"/>
      <c r="FV161" s="1228">
        <v>2</v>
      </c>
      <c r="FW161" s="1228">
        <v>0</v>
      </c>
      <c r="FX161" s="1227"/>
      <c r="FY161" s="1229"/>
      <c r="FZ161" s="1229"/>
      <c r="GA161" s="1230">
        <v>2</v>
      </c>
      <c r="GB161" s="36"/>
      <c r="GD161" s="603"/>
      <c r="GE161" s="603"/>
      <c r="GF161" s="603"/>
      <c r="GG161" s="604" t="s">
        <v>1163</v>
      </c>
      <c r="GH161" s="605"/>
      <c r="GI161" s="606">
        <v>0</v>
      </c>
      <c r="GJ161" s="606">
        <v>0</v>
      </c>
      <c r="GK161" s="605"/>
      <c r="GL161" s="605"/>
      <c r="GM161" s="605"/>
      <c r="GN161" s="605"/>
      <c r="GO161" s="605"/>
      <c r="GP161" s="605"/>
      <c r="GQ161" s="605"/>
      <c r="GR161" s="605"/>
      <c r="GS161" s="605"/>
      <c r="GT161" s="606">
        <v>1</v>
      </c>
      <c r="GU161" s="606">
        <v>0</v>
      </c>
      <c r="GV161" s="606">
        <v>0</v>
      </c>
      <c r="GW161" s="608">
        <v>0</v>
      </c>
      <c r="GX161" s="608">
        <v>0</v>
      </c>
      <c r="GY161" s="608">
        <v>1</v>
      </c>
      <c r="GZ161" s="95"/>
      <c r="HB161" s="441"/>
      <c r="HC161" s="441"/>
      <c r="HD161" s="441"/>
      <c r="HE161" s="441"/>
      <c r="HF161" s="442" t="s">
        <v>1076</v>
      </c>
      <c r="HG161" s="609"/>
      <c r="HH161" s="609"/>
      <c r="HI161" s="610">
        <v>0</v>
      </c>
      <c r="HJ161" s="609"/>
      <c r="HK161" s="609"/>
      <c r="HL161" s="609"/>
      <c r="HM161" s="609"/>
      <c r="HN161" s="610">
        <v>0</v>
      </c>
      <c r="HO161" s="610">
        <v>1</v>
      </c>
      <c r="HP161" s="610">
        <v>0</v>
      </c>
      <c r="HQ161" s="610">
        <v>0</v>
      </c>
      <c r="HR161" s="610">
        <v>1</v>
      </c>
      <c r="HS161" s="610">
        <v>0</v>
      </c>
      <c r="HT161" s="610">
        <v>0</v>
      </c>
      <c r="HU161" s="610">
        <v>1</v>
      </c>
      <c r="HV161" s="611"/>
      <c r="HW161" s="612">
        <v>0</v>
      </c>
      <c r="HX161" s="612">
        <v>3</v>
      </c>
      <c r="HY161" s="560"/>
      <c r="HZ161" s="36"/>
      <c r="IA161" s="613"/>
      <c r="IB161" s="613"/>
      <c r="IC161" s="613"/>
      <c r="ID161" s="389" t="s">
        <v>1163</v>
      </c>
      <c r="IE161" s="614"/>
      <c r="IF161" s="614"/>
      <c r="IG161" s="614"/>
      <c r="IH161" s="614"/>
      <c r="II161" s="390">
        <v>0</v>
      </c>
      <c r="IJ161" s="390">
        <v>1</v>
      </c>
      <c r="IK161" s="390">
        <v>1</v>
      </c>
      <c r="IL161" s="614"/>
      <c r="IM161" s="390">
        <v>1</v>
      </c>
      <c r="IN161" s="390">
        <v>0</v>
      </c>
      <c r="IO161" s="390">
        <v>0</v>
      </c>
      <c r="IP161" s="614"/>
      <c r="IQ161" s="390">
        <v>0</v>
      </c>
      <c r="IR161" s="390">
        <v>3</v>
      </c>
      <c r="IS161" s="615"/>
      <c r="IT161" s="36"/>
      <c r="IU161" s="36"/>
      <c r="IV161" s="95"/>
      <c r="IW161" s="95"/>
      <c r="IX161" s="95"/>
      <c r="IY161" s="36" t="s">
        <v>1074</v>
      </c>
      <c r="IZ161" s="36"/>
      <c r="JA161" s="36">
        <v>1</v>
      </c>
      <c r="JB161" s="36"/>
      <c r="JC161" s="36">
        <v>0</v>
      </c>
      <c r="JD161" s="36"/>
      <c r="JE161" s="36"/>
      <c r="JF161" s="36">
        <v>0</v>
      </c>
      <c r="JG161" s="36">
        <v>0</v>
      </c>
      <c r="JH161" s="36">
        <v>0</v>
      </c>
      <c r="JI161" s="36">
        <v>0</v>
      </c>
      <c r="JJ161" s="36">
        <v>0</v>
      </c>
      <c r="JK161" s="36">
        <v>0</v>
      </c>
      <c r="JL161" s="36">
        <v>0</v>
      </c>
      <c r="JM161" s="36">
        <v>0</v>
      </c>
      <c r="JN161" s="36"/>
      <c r="JO161" s="36">
        <v>0</v>
      </c>
      <c r="JP161" s="36">
        <v>1</v>
      </c>
      <c r="JQ161" s="36"/>
      <c r="JR161" s="36"/>
      <c r="JS161" s="616"/>
      <c r="JT161" s="616"/>
      <c r="JU161" s="616"/>
      <c r="JV161" s="616" t="s">
        <v>1163</v>
      </c>
      <c r="JW161" s="616">
        <v>0</v>
      </c>
      <c r="JX161" s="616">
        <v>0</v>
      </c>
      <c r="JY161" s="616">
        <v>0</v>
      </c>
      <c r="JZ161" s="616">
        <v>0</v>
      </c>
      <c r="KA161" s="616">
        <v>0</v>
      </c>
      <c r="KB161" s="616">
        <v>0</v>
      </c>
      <c r="KC161" s="616">
        <v>0</v>
      </c>
      <c r="KD161" s="616">
        <v>0</v>
      </c>
      <c r="KE161" s="616">
        <v>0</v>
      </c>
      <c r="KF161" s="616">
        <v>0</v>
      </c>
      <c r="KG161" s="616">
        <v>0</v>
      </c>
      <c r="KH161" s="616">
        <v>2</v>
      </c>
      <c r="KI161" s="616">
        <v>0</v>
      </c>
      <c r="KJ161" s="616">
        <v>0</v>
      </c>
      <c r="KK161" s="616">
        <v>0</v>
      </c>
      <c r="KL161" s="616">
        <v>0</v>
      </c>
      <c r="KM161" s="616">
        <v>2</v>
      </c>
      <c r="KN161" s="616"/>
      <c r="KO161" s="617"/>
    </row>
    <row r="162" spans="1:301" ht="15" thickBot="1">
      <c r="A162" s="5737">
        <v>3</v>
      </c>
      <c r="B162" s="5737">
        <v>2</v>
      </c>
      <c r="C162" s="5736" t="s">
        <v>291</v>
      </c>
      <c r="D162" s="5739" t="s">
        <v>1076</v>
      </c>
      <c r="E162" s="5737">
        <v>1</v>
      </c>
      <c r="F162" s="5737">
        <v>11</v>
      </c>
      <c r="I162" s="4726">
        <v>3</v>
      </c>
      <c r="J162" s="4726">
        <v>2</v>
      </c>
      <c r="K162" s="4725" t="s">
        <v>291</v>
      </c>
      <c r="L162" s="4725" t="s">
        <v>2709</v>
      </c>
      <c r="M162" s="4726">
        <v>1</v>
      </c>
      <c r="N162" s="4726">
        <v>1</v>
      </c>
      <c r="Q162" s="4458">
        <v>4</v>
      </c>
      <c r="R162" s="4458">
        <v>6</v>
      </c>
      <c r="S162" s="4459" t="s">
        <v>381</v>
      </c>
      <c r="T162" s="4459" t="s">
        <v>2731</v>
      </c>
      <c r="U162" s="4458">
        <v>14</v>
      </c>
      <c r="V162" s="4479">
        <v>1</v>
      </c>
      <c r="W162" s="4510"/>
      <c r="Z162" s="36"/>
      <c r="AA162" s="36"/>
      <c r="AB162" s="36"/>
      <c r="AC162" s="36" t="s">
        <v>1081</v>
      </c>
      <c r="AD162" s="615">
        <v>0</v>
      </c>
      <c r="AE162" s="615"/>
      <c r="AF162" s="615"/>
      <c r="AG162" s="615"/>
      <c r="AH162" s="615"/>
      <c r="AI162" s="615"/>
      <c r="AJ162" s="615"/>
      <c r="AK162" s="615"/>
      <c r="AL162" s="615">
        <v>0</v>
      </c>
      <c r="AM162" s="615"/>
      <c r="AN162" s="615">
        <v>0</v>
      </c>
      <c r="AO162" s="615">
        <v>1</v>
      </c>
      <c r="AP162" s="615"/>
      <c r="AQ162" s="36">
        <v>0</v>
      </c>
      <c r="AR162" s="36">
        <v>1</v>
      </c>
      <c r="AS162" s="36"/>
      <c r="AU162" s="36"/>
      <c r="AV162" s="36" t="s">
        <v>41</v>
      </c>
      <c r="AW162" s="36" t="s">
        <v>320</v>
      </c>
      <c r="AX162" s="36" t="s">
        <v>1072</v>
      </c>
      <c r="AY162" s="1681"/>
      <c r="AZ162" s="1681"/>
      <c r="BA162" s="1681"/>
      <c r="BB162" s="1681"/>
      <c r="BC162" s="1681"/>
      <c r="BD162" s="1681"/>
      <c r="BE162" s="1681"/>
      <c r="BF162" s="1681"/>
      <c r="BG162" s="1681"/>
      <c r="BH162" s="1681"/>
      <c r="BI162" s="1681">
        <v>0</v>
      </c>
      <c r="BJ162" s="1681">
        <v>2</v>
      </c>
      <c r="BK162" s="1681">
        <v>1</v>
      </c>
      <c r="BL162" s="1681">
        <v>0</v>
      </c>
      <c r="BM162" s="95"/>
      <c r="BN162" s="95">
        <v>0</v>
      </c>
      <c r="BO162" s="95">
        <v>3</v>
      </c>
      <c r="BP162" s="95"/>
      <c r="BT162" s="1520"/>
      <c r="BU162" s="1520" t="s">
        <v>483</v>
      </c>
      <c r="BV162" s="3872">
        <v>0</v>
      </c>
      <c r="BW162" s="3872">
        <v>1</v>
      </c>
      <c r="BX162" s="3872"/>
      <c r="BY162" s="3872">
        <v>1</v>
      </c>
      <c r="BZ162" s="3872"/>
      <c r="CA162" s="3872"/>
      <c r="CB162" s="3872">
        <v>1</v>
      </c>
      <c r="CC162" s="3872">
        <v>1</v>
      </c>
      <c r="CD162" s="3872"/>
      <c r="CE162" s="3872">
        <v>2</v>
      </c>
      <c r="CF162" s="3872">
        <v>3</v>
      </c>
      <c r="CG162" s="3872">
        <v>44</v>
      </c>
      <c r="CH162" s="3872">
        <v>18</v>
      </c>
      <c r="CI162" s="3872">
        <v>3</v>
      </c>
      <c r="CJ162" s="3806">
        <v>4</v>
      </c>
      <c r="CK162" s="3806">
        <v>78</v>
      </c>
      <c r="CL162" s="1520"/>
      <c r="CN162" s="36"/>
      <c r="CO162" s="36"/>
      <c r="CP162" s="393"/>
      <c r="CQ162" s="393" t="s">
        <v>1163</v>
      </c>
      <c r="CR162" s="2049">
        <v>0</v>
      </c>
      <c r="CS162" s="2049"/>
      <c r="CT162" s="2049"/>
      <c r="CU162" s="2049"/>
      <c r="CV162" s="2049"/>
      <c r="CW162" s="2049">
        <v>0</v>
      </c>
      <c r="CX162" s="2049"/>
      <c r="CY162" s="2049"/>
      <c r="CZ162" s="2049"/>
      <c r="DA162" s="2049">
        <v>0</v>
      </c>
      <c r="DB162" s="2049"/>
      <c r="DC162" s="2049">
        <v>1</v>
      </c>
      <c r="DD162" s="2049">
        <v>2</v>
      </c>
      <c r="DE162" s="2049">
        <v>2</v>
      </c>
      <c r="DF162" s="2049">
        <v>1</v>
      </c>
      <c r="DG162" s="393">
        <v>0</v>
      </c>
      <c r="DH162" s="393">
        <v>0</v>
      </c>
      <c r="DI162" s="393">
        <v>6</v>
      </c>
      <c r="DJ162" s="36"/>
      <c r="DL162" s="36"/>
      <c r="DM162" s="36"/>
      <c r="DN162" s="36" t="s">
        <v>484</v>
      </c>
      <c r="DO162" s="36" t="s">
        <v>1071</v>
      </c>
      <c r="DP162" s="1681"/>
      <c r="DQ162" s="1681"/>
      <c r="DR162" s="1681"/>
      <c r="DS162" s="1681"/>
      <c r="DT162" s="1681"/>
      <c r="DU162" s="1681">
        <v>0</v>
      </c>
      <c r="DV162" s="1681"/>
      <c r="DW162" s="1681">
        <v>1</v>
      </c>
      <c r="DX162" s="1681"/>
      <c r="DY162" s="1681"/>
      <c r="DZ162" s="1681"/>
      <c r="EA162" s="1681"/>
      <c r="EB162" s="1681">
        <v>0</v>
      </c>
      <c r="EC162" s="1681"/>
      <c r="ED162" s="1681"/>
      <c r="EE162" s="95"/>
      <c r="EF162" s="95"/>
      <c r="EG162" s="95">
        <v>1</v>
      </c>
      <c r="EH162" s="36"/>
      <c r="EL162" s="36"/>
      <c r="EM162" s="36" t="s">
        <v>1163</v>
      </c>
      <c r="EN162" s="1490"/>
      <c r="EO162" s="1490"/>
      <c r="EP162" s="1490"/>
      <c r="EQ162" s="1490"/>
      <c r="ER162" s="1490"/>
      <c r="ES162" s="1490"/>
      <c r="ET162" s="1490"/>
      <c r="EU162" s="1490"/>
      <c r="EV162" s="1490"/>
      <c r="EW162" s="1490"/>
      <c r="EX162" s="1490"/>
      <c r="EY162" s="1490"/>
      <c r="EZ162" s="1490">
        <v>0</v>
      </c>
      <c r="FA162" s="1490">
        <v>1</v>
      </c>
      <c r="FB162" s="1490">
        <v>0</v>
      </c>
      <c r="FC162" s="36"/>
      <c r="FD162" s="36"/>
      <c r="FE162" s="36">
        <v>1</v>
      </c>
      <c r="FF162" s="36"/>
      <c r="FH162" s="1225"/>
      <c r="FI162" s="1225"/>
      <c r="FJ162" s="1225"/>
      <c r="FK162" s="1226" t="s">
        <v>1163</v>
      </c>
      <c r="FL162" s="1227"/>
      <c r="FM162" s="1227"/>
      <c r="FN162" s="1227"/>
      <c r="FO162" s="1227"/>
      <c r="FP162" s="1227"/>
      <c r="FQ162" s="1227"/>
      <c r="FR162" s="1227"/>
      <c r="FS162" s="1227"/>
      <c r="FT162" s="1227"/>
      <c r="FU162" s="1227"/>
      <c r="FV162" s="1228">
        <v>1</v>
      </c>
      <c r="FW162" s="1228">
        <v>1</v>
      </c>
      <c r="FX162" s="1227"/>
      <c r="FY162" s="1229"/>
      <c r="FZ162" s="1229"/>
      <c r="GA162" s="1230">
        <v>2</v>
      </c>
      <c r="GB162" s="36"/>
      <c r="GD162" s="603"/>
      <c r="GE162" s="603"/>
      <c r="GF162" s="603"/>
      <c r="GG162" s="622" t="s">
        <v>726</v>
      </c>
      <c r="GH162" s="623"/>
      <c r="GI162" s="624">
        <v>1</v>
      </c>
      <c r="GJ162" s="624">
        <v>1</v>
      </c>
      <c r="GK162" s="623"/>
      <c r="GL162" s="623"/>
      <c r="GM162" s="623"/>
      <c r="GN162" s="623"/>
      <c r="GO162" s="623"/>
      <c r="GP162" s="623"/>
      <c r="GQ162" s="623"/>
      <c r="GR162" s="623"/>
      <c r="GS162" s="623"/>
      <c r="GT162" s="624">
        <v>3</v>
      </c>
      <c r="GU162" s="624">
        <v>2</v>
      </c>
      <c r="GV162" s="624">
        <v>1</v>
      </c>
      <c r="GW162" s="626">
        <v>2</v>
      </c>
      <c r="GX162" s="626">
        <v>1</v>
      </c>
      <c r="GY162" s="626">
        <v>11</v>
      </c>
      <c r="GZ162" s="560">
        <f>+(GY159+GY161)/GY162</f>
        <v>0.27272727272727271</v>
      </c>
      <c r="HB162" s="441"/>
      <c r="HC162" s="441"/>
      <c r="HD162" s="441"/>
      <c r="HE162" s="441"/>
      <c r="HF162" s="442" t="s">
        <v>1080</v>
      </c>
      <c r="HG162" s="609"/>
      <c r="HH162" s="609"/>
      <c r="HI162" s="610">
        <v>0</v>
      </c>
      <c r="HJ162" s="609"/>
      <c r="HK162" s="609"/>
      <c r="HL162" s="609"/>
      <c r="HM162" s="609"/>
      <c r="HN162" s="610">
        <v>0</v>
      </c>
      <c r="HO162" s="610">
        <v>0</v>
      </c>
      <c r="HP162" s="610">
        <v>0</v>
      </c>
      <c r="HQ162" s="610">
        <v>0</v>
      </c>
      <c r="HR162" s="610">
        <v>0</v>
      </c>
      <c r="HS162" s="610">
        <v>0</v>
      </c>
      <c r="HT162" s="610">
        <v>0</v>
      </c>
      <c r="HU162" s="610">
        <v>3</v>
      </c>
      <c r="HV162" s="611"/>
      <c r="HW162" s="612">
        <v>1</v>
      </c>
      <c r="HX162" s="612">
        <v>4</v>
      </c>
      <c r="HY162" s="560"/>
      <c r="HZ162" s="36"/>
      <c r="IA162" s="613"/>
      <c r="IB162" s="613"/>
      <c r="IC162" s="613"/>
      <c r="ID162" s="629" t="s">
        <v>485</v>
      </c>
      <c r="IE162" s="630"/>
      <c r="IF162" s="630"/>
      <c r="IG162" s="630"/>
      <c r="IH162" s="630"/>
      <c r="II162" s="395">
        <v>1</v>
      </c>
      <c r="IJ162" s="395">
        <v>2</v>
      </c>
      <c r="IK162" s="395">
        <v>1</v>
      </c>
      <c r="IL162" s="630"/>
      <c r="IM162" s="395">
        <v>1</v>
      </c>
      <c r="IN162" s="395">
        <v>3</v>
      </c>
      <c r="IO162" s="395">
        <v>3</v>
      </c>
      <c r="IP162" s="630"/>
      <c r="IQ162" s="395">
        <v>1</v>
      </c>
      <c r="IR162" s="395">
        <v>12</v>
      </c>
      <c r="IS162" s="553">
        <f>+(IR161+IR160+IR158)/IR162</f>
        <v>0.5</v>
      </c>
      <c r="IT162" s="36"/>
      <c r="IU162" s="36"/>
      <c r="IV162" s="95"/>
      <c r="IW162" s="95"/>
      <c r="IX162" s="95"/>
      <c r="IY162" s="36" t="s">
        <v>1080</v>
      </c>
      <c r="IZ162" s="36"/>
      <c r="JA162" s="36">
        <v>0</v>
      </c>
      <c r="JB162" s="36"/>
      <c r="JC162" s="36">
        <v>0</v>
      </c>
      <c r="JD162" s="36"/>
      <c r="JE162" s="36"/>
      <c r="JF162" s="36">
        <v>0</v>
      </c>
      <c r="JG162" s="36">
        <v>0</v>
      </c>
      <c r="JH162" s="36">
        <v>0</v>
      </c>
      <c r="JI162" s="36">
        <v>0</v>
      </c>
      <c r="JJ162" s="36">
        <v>0</v>
      </c>
      <c r="JK162" s="36">
        <v>0</v>
      </c>
      <c r="JL162" s="36">
        <v>3</v>
      </c>
      <c r="JM162" s="36">
        <v>1</v>
      </c>
      <c r="JN162" s="36"/>
      <c r="JO162" s="36">
        <v>1</v>
      </c>
      <c r="JP162" s="36">
        <v>5</v>
      </c>
      <c r="JQ162" s="36"/>
      <c r="JR162" s="36"/>
      <c r="JS162" s="646"/>
      <c r="JT162" s="646"/>
      <c r="JU162" s="646"/>
      <c r="JV162" s="634" t="s">
        <v>15</v>
      </c>
      <c r="JW162" s="634">
        <v>0</v>
      </c>
      <c r="JX162" s="634">
        <v>0</v>
      </c>
      <c r="JY162" s="634">
        <v>0</v>
      </c>
      <c r="JZ162" s="634">
        <v>2</v>
      </c>
      <c r="KA162" s="634">
        <v>0</v>
      </c>
      <c r="KB162" s="634">
        <v>0</v>
      </c>
      <c r="KC162" s="634">
        <v>0</v>
      </c>
      <c r="KD162" s="634">
        <v>0</v>
      </c>
      <c r="KE162" s="634">
        <v>1</v>
      </c>
      <c r="KF162" s="634">
        <v>2</v>
      </c>
      <c r="KG162" s="634">
        <v>1</v>
      </c>
      <c r="KH162" s="634">
        <v>5</v>
      </c>
      <c r="KI162" s="634">
        <v>2</v>
      </c>
      <c r="KJ162" s="634">
        <v>0</v>
      </c>
      <c r="KK162" s="634">
        <v>1</v>
      </c>
      <c r="KL162" s="634">
        <v>2</v>
      </c>
      <c r="KM162" s="634">
        <v>16</v>
      </c>
      <c r="KN162" s="635">
        <f>+(KM161+KM159-KK159)/KM162</f>
        <v>0.1875</v>
      </c>
      <c r="KO162" s="636">
        <f>+KM159+KM161-KK159</f>
        <v>3</v>
      </c>
    </row>
    <row r="163" spans="1:301">
      <c r="A163" s="5737">
        <v>3</v>
      </c>
      <c r="B163" s="5737">
        <v>2</v>
      </c>
      <c r="C163" s="5736" t="s">
        <v>291</v>
      </c>
      <c r="D163" s="5739" t="s">
        <v>1076</v>
      </c>
      <c r="E163" s="5737">
        <v>3</v>
      </c>
      <c r="F163" s="5737">
        <v>12</v>
      </c>
      <c r="I163" s="4726">
        <v>3</v>
      </c>
      <c r="J163" s="4726">
        <v>2</v>
      </c>
      <c r="K163" s="4725" t="s">
        <v>291</v>
      </c>
      <c r="L163" s="4725" t="s">
        <v>2709</v>
      </c>
      <c r="M163" s="4726">
        <v>2</v>
      </c>
      <c r="N163" s="4726">
        <v>11</v>
      </c>
      <c r="Q163" s="4458">
        <v>4</v>
      </c>
      <c r="R163" s="4458">
        <v>6</v>
      </c>
      <c r="S163" s="4459" t="s">
        <v>381</v>
      </c>
      <c r="T163" s="4461" t="s">
        <v>2707</v>
      </c>
      <c r="U163" s="4458">
        <v>13</v>
      </c>
      <c r="V163" s="4484">
        <v>1</v>
      </c>
      <c r="W163" s="4510"/>
      <c r="Z163" s="36"/>
      <c r="AA163" s="36"/>
      <c r="AB163" s="36"/>
      <c r="AC163" s="36" t="s">
        <v>2571</v>
      </c>
      <c r="AD163" s="615">
        <v>1</v>
      </c>
      <c r="AE163" s="615"/>
      <c r="AF163" s="615"/>
      <c r="AG163" s="615"/>
      <c r="AH163" s="615"/>
      <c r="AI163" s="615"/>
      <c r="AJ163" s="615"/>
      <c r="AK163" s="615"/>
      <c r="AL163" s="615">
        <v>0</v>
      </c>
      <c r="AM163" s="615"/>
      <c r="AN163" s="615">
        <v>0</v>
      </c>
      <c r="AO163" s="615">
        <v>0</v>
      </c>
      <c r="AP163" s="615"/>
      <c r="AQ163" s="36">
        <v>0</v>
      </c>
      <c r="AR163" s="36">
        <v>1</v>
      </c>
      <c r="AS163" s="36"/>
      <c r="AU163" s="36"/>
      <c r="AV163" s="36"/>
      <c r="AW163" s="36"/>
      <c r="AX163" s="36" t="s">
        <v>1076</v>
      </c>
      <c r="AY163" s="1681"/>
      <c r="AZ163" s="1681"/>
      <c r="BA163" s="1681"/>
      <c r="BB163" s="1681"/>
      <c r="BC163" s="1681"/>
      <c r="BD163" s="1681"/>
      <c r="BE163" s="1681"/>
      <c r="BF163" s="1681"/>
      <c r="BG163" s="1681"/>
      <c r="BH163" s="1681"/>
      <c r="BI163" s="1681">
        <v>1</v>
      </c>
      <c r="BJ163" s="1681">
        <v>1</v>
      </c>
      <c r="BK163" s="1681">
        <v>0</v>
      </c>
      <c r="BL163" s="1681">
        <v>0</v>
      </c>
      <c r="BM163" s="95"/>
      <c r="BN163" s="95">
        <v>0</v>
      </c>
      <c r="BO163" s="95">
        <v>2</v>
      </c>
      <c r="BP163" s="95"/>
      <c r="BS163" s="32" t="s">
        <v>41</v>
      </c>
      <c r="BT163" s="32" t="s">
        <v>320</v>
      </c>
      <c r="BU163" s="32" t="s">
        <v>1072</v>
      </c>
      <c r="BV163" s="3871"/>
      <c r="BW163" s="3871"/>
      <c r="BX163" s="3871"/>
      <c r="BY163" s="3871"/>
      <c r="BZ163" s="3871"/>
      <c r="CA163" s="3871"/>
      <c r="CB163" s="3871"/>
      <c r="CC163" s="3871"/>
      <c r="CD163" s="3871"/>
      <c r="CE163" s="3871"/>
      <c r="CF163" s="3871">
        <v>0</v>
      </c>
      <c r="CG163" s="3871">
        <v>2</v>
      </c>
      <c r="CH163" s="3871">
        <v>1</v>
      </c>
      <c r="CI163" s="3871"/>
      <c r="CJ163" s="1518">
        <v>0</v>
      </c>
      <c r="CK163" s="1518">
        <v>3</v>
      </c>
      <c r="CN163" s="36"/>
      <c r="CO163" s="36"/>
      <c r="CP163" s="393"/>
      <c r="CQ163" s="393" t="s">
        <v>485</v>
      </c>
      <c r="CR163" s="2049">
        <v>1</v>
      </c>
      <c r="CS163" s="2049"/>
      <c r="CT163" s="2049"/>
      <c r="CU163" s="2049"/>
      <c r="CV163" s="2049"/>
      <c r="CW163" s="2049">
        <v>2</v>
      </c>
      <c r="CX163" s="2049"/>
      <c r="CY163" s="2049"/>
      <c r="CZ163" s="2049"/>
      <c r="DA163" s="2049">
        <v>1</v>
      </c>
      <c r="DB163" s="2049"/>
      <c r="DC163" s="2049">
        <v>2</v>
      </c>
      <c r="DD163" s="2049">
        <v>8</v>
      </c>
      <c r="DE163" s="2049">
        <v>9</v>
      </c>
      <c r="DF163" s="2049">
        <v>22</v>
      </c>
      <c r="DG163" s="393">
        <v>4</v>
      </c>
      <c r="DH163" s="393">
        <v>10</v>
      </c>
      <c r="DI163" s="393">
        <v>59</v>
      </c>
      <c r="DJ163" s="560">
        <f>+(DI162+DI160-DG160)/DI163</f>
        <v>0.28813559322033899</v>
      </c>
      <c r="DK163" s="1665"/>
      <c r="DL163" s="36"/>
      <c r="DM163" s="36"/>
      <c r="DN163" s="36"/>
      <c r="DO163" s="36" t="s">
        <v>1072</v>
      </c>
      <c r="DP163" s="1681"/>
      <c r="DQ163" s="1681"/>
      <c r="DR163" s="1681"/>
      <c r="DS163" s="1681"/>
      <c r="DT163" s="1681"/>
      <c r="DU163" s="1681">
        <v>2</v>
      </c>
      <c r="DV163" s="1681"/>
      <c r="DW163" s="1681">
        <v>0</v>
      </c>
      <c r="DX163" s="1681"/>
      <c r="DY163" s="1681"/>
      <c r="DZ163" s="1681"/>
      <c r="EA163" s="1681"/>
      <c r="EB163" s="1681">
        <v>3</v>
      </c>
      <c r="EC163" s="1681"/>
      <c r="ED163" s="1681"/>
      <c r="EE163" s="95"/>
      <c r="EF163" s="95"/>
      <c r="EG163" s="95">
        <v>5</v>
      </c>
      <c r="EH163" s="36"/>
      <c r="EL163" s="36"/>
      <c r="EM163" s="393" t="s">
        <v>726</v>
      </c>
      <c r="EN163" s="1491"/>
      <c r="EO163" s="1491"/>
      <c r="EP163" s="1491"/>
      <c r="EQ163" s="1491"/>
      <c r="ER163" s="1491"/>
      <c r="ES163" s="1491"/>
      <c r="ET163" s="1491"/>
      <c r="EU163" s="1491"/>
      <c r="EV163" s="1491"/>
      <c r="EW163" s="1491"/>
      <c r="EX163" s="1491"/>
      <c r="EY163" s="1491"/>
      <c r="EZ163" s="1491">
        <v>6</v>
      </c>
      <c r="FA163" s="1491">
        <v>3</v>
      </c>
      <c r="FB163" s="1491">
        <v>1</v>
      </c>
      <c r="FC163" s="393"/>
      <c r="FD163" s="393"/>
      <c r="FE163" s="393">
        <v>10</v>
      </c>
      <c r="FF163" s="560">
        <f>+(FE161+FE162)/FE163</f>
        <v>0.2</v>
      </c>
      <c r="FH163" s="1225"/>
      <c r="FI163" s="1225"/>
      <c r="FJ163" s="1225"/>
      <c r="FK163" s="1222" t="s">
        <v>726</v>
      </c>
      <c r="FL163" s="1231"/>
      <c r="FM163" s="1231"/>
      <c r="FN163" s="1231"/>
      <c r="FO163" s="1231"/>
      <c r="FP163" s="1231"/>
      <c r="FQ163" s="1231"/>
      <c r="FR163" s="1231"/>
      <c r="FS163" s="1231"/>
      <c r="FT163" s="1231"/>
      <c r="FU163" s="1231"/>
      <c r="FV163" s="1232">
        <v>7</v>
      </c>
      <c r="FW163" s="1232">
        <v>1</v>
      </c>
      <c r="FX163" s="1231"/>
      <c r="FY163" s="1233"/>
      <c r="FZ163" s="1233"/>
      <c r="GA163" s="1234">
        <v>8</v>
      </c>
      <c r="GB163" s="1178">
        <f>+(GA161+GA162)/GA163</f>
        <v>0.5</v>
      </c>
      <c r="GD163" s="603"/>
      <c r="GE163" s="603"/>
      <c r="GF163" s="603" t="s">
        <v>412</v>
      </c>
      <c r="GG163" s="604" t="s">
        <v>1071</v>
      </c>
      <c r="GH163" s="605"/>
      <c r="GI163" s="606">
        <v>0</v>
      </c>
      <c r="GJ163" s="606">
        <v>0</v>
      </c>
      <c r="GK163" s="605"/>
      <c r="GL163" s="605"/>
      <c r="GM163" s="605"/>
      <c r="GN163" s="606">
        <v>0</v>
      </c>
      <c r="GO163" s="605"/>
      <c r="GP163" s="606">
        <v>0</v>
      </c>
      <c r="GQ163" s="606">
        <v>1</v>
      </c>
      <c r="GR163" s="606">
        <v>0</v>
      </c>
      <c r="GS163" s="606">
        <v>0</v>
      </c>
      <c r="GT163" s="606">
        <v>0</v>
      </c>
      <c r="GU163" s="606">
        <v>1</v>
      </c>
      <c r="GV163" s="606">
        <v>0</v>
      </c>
      <c r="GW163" s="608">
        <v>0</v>
      </c>
      <c r="GX163" s="608">
        <v>0</v>
      </c>
      <c r="GY163" s="608">
        <v>2</v>
      </c>
      <c r="GZ163" s="95"/>
      <c r="HB163" s="441"/>
      <c r="HC163" s="441"/>
      <c r="HD163" s="441"/>
      <c r="HE163" s="441"/>
      <c r="HF163" s="442" t="s">
        <v>1163</v>
      </c>
      <c r="HG163" s="609"/>
      <c r="HH163" s="609"/>
      <c r="HI163" s="610">
        <v>0</v>
      </c>
      <c r="HJ163" s="609"/>
      <c r="HK163" s="609"/>
      <c r="HL163" s="609"/>
      <c r="HM163" s="609"/>
      <c r="HN163" s="610">
        <v>0</v>
      </c>
      <c r="HO163" s="610">
        <v>0</v>
      </c>
      <c r="HP163" s="610">
        <v>1</v>
      </c>
      <c r="HQ163" s="610">
        <v>2</v>
      </c>
      <c r="HR163" s="610">
        <v>0</v>
      </c>
      <c r="HS163" s="610">
        <v>0</v>
      </c>
      <c r="HT163" s="610">
        <v>0</v>
      </c>
      <c r="HU163" s="610">
        <v>0</v>
      </c>
      <c r="HV163" s="611"/>
      <c r="HW163" s="612">
        <v>0</v>
      </c>
      <c r="HX163" s="612">
        <v>3</v>
      </c>
      <c r="HY163" s="560"/>
      <c r="HZ163" s="36"/>
      <c r="IA163" s="613"/>
      <c r="IB163" s="613"/>
      <c r="IC163" s="613" t="s">
        <v>726</v>
      </c>
      <c r="ID163" s="389" t="s">
        <v>1072</v>
      </c>
      <c r="IE163" s="614"/>
      <c r="IF163" s="614"/>
      <c r="IG163" s="614"/>
      <c r="IH163" s="614"/>
      <c r="II163" s="614"/>
      <c r="IJ163" s="614"/>
      <c r="IK163" s="614"/>
      <c r="IL163" s="614"/>
      <c r="IM163" s="390">
        <v>0</v>
      </c>
      <c r="IN163" s="390">
        <v>1</v>
      </c>
      <c r="IO163" s="390">
        <v>2</v>
      </c>
      <c r="IP163" s="390">
        <v>0</v>
      </c>
      <c r="IQ163" s="390">
        <v>0</v>
      </c>
      <c r="IR163" s="390">
        <v>3</v>
      </c>
      <c r="IS163" s="615"/>
      <c r="IT163" s="36"/>
      <c r="IU163" s="36"/>
      <c r="IV163" s="95"/>
      <c r="IW163" s="95"/>
      <c r="IX163" s="95"/>
      <c r="IY163" s="36" t="s">
        <v>1081</v>
      </c>
      <c r="IZ163" s="36"/>
      <c r="JA163" s="36">
        <v>0</v>
      </c>
      <c r="JB163" s="36"/>
      <c r="JC163" s="36">
        <v>0</v>
      </c>
      <c r="JD163" s="36"/>
      <c r="JE163" s="36"/>
      <c r="JF163" s="36">
        <v>0</v>
      </c>
      <c r="JG163" s="36">
        <v>0</v>
      </c>
      <c r="JH163" s="36">
        <v>2</v>
      </c>
      <c r="JI163" s="36">
        <v>1</v>
      </c>
      <c r="JJ163" s="36">
        <v>1</v>
      </c>
      <c r="JK163" s="36">
        <v>0</v>
      </c>
      <c r="JL163" s="36">
        <v>0</v>
      </c>
      <c r="JM163" s="36">
        <v>1</v>
      </c>
      <c r="JN163" s="36"/>
      <c r="JO163" s="36">
        <v>0</v>
      </c>
      <c r="JP163" s="36">
        <v>5</v>
      </c>
      <c r="JQ163" s="36"/>
      <c r="JR163" s="36"/>
      <c r="JS163" s="616"/>
      <c r="JT163" s="616"/>
      <c r="JU163" s="36"/>
      <c r="JV163" s="36"/>
      <c r="JW163" s="36"/>
      <c r="JX163" s="36"/>
      <c r="JY163" s="36"/>
      <c r="JZ163" s="36"/>
      <c r="KA163" s="36"/>
      <c r="KB163" s="36"/>
      <c r="KC163" s="36"/>
      <c r="KD163" s="36"/>
      <c r="KE163" s="36"/>
      <c r="KF163" s="36"/>
      <c r="KG163" s="36"/>
      <c r="KH163" s="36"/>
      <c r="KI163" s="36"/>
      <c r="KJ163" s="36"/>
      <c r="KK163" s="36"/>
      <c r="KL163" s="36"/>
      <c r="KM163" s="36"/>
      <c r="KN163" s="36"/>
      <c r="KO163" s="36"/>
    </row>
    <row r="164" spans="1:301">
      <c r="A164" s="5737">
        <v>3</v>
      </c>
      <c r="B164" s="5737">
        <v>2</v>
      </c>
      <c r="C164" s="5736" t="s">
        <v>291</v>
      </c>
      <c r="D164" s="5739" t="s">
        <v>1076</v>
      </c>
      <c r="E164" s="5737">
        <v>1</v>
      </c>
      <c r="F164" s="5737">
        <v>13</v>
      </c>
      <c r="I164" s="4726">
        <v>3</v>
      </c>
      <c r="J164" s="4726">
        <v>2</v>
      </c>
      <c r="K164" s="4725" t="s">
        <v>291</v>
      </c>
      <c r="L164" s="4725" t="s">
        <v>2709</v>
      </c>
      <c r="M164" s="4726">
        <v>16</v>
      </c>
      <c r="N164" s="4726">
        <v>12</v>
      </c>
      <c r="Q164" s="4458"/>
      <c r="R164" s="4458"/>
      <c r="S164" s="4465" t="s">
        <v>15</v>
      </c>
      <c r="T164" s="4461"/>
      <c r="U164" s="4458"/>
      <c r="V164" s="4485">
        <f>SUM(V162:V163)</f>
        <v>2</v>
      </c>
      <c r="W164" s="4513">
        <f>+(V163)/(V164)</f>
        <v>0.5</v>
      </c>
      <c r="Z164" s="36"/>
      <c r="AA164" s="36"/>
      <c r="AB164" s="36"/>
      <c r="AC164" s="36" t="s">
        <v>1163</v>
      </c>
      <c r="AD164" s="615">
        <v>0</v>
      </c>
      <c r="AE164" s="615"/>
      <c r="AF164" s="615"/>
      <c r="AG164" s="615"/>
      <c r="AH164" s="615"/>
      <c r="AI164" s="615"/>
      <c r="AJ164" s="615"/>
      <c r="AK164" s="615"/>
      <c r="AL164" s="615">
        <v>1</v>
      </c>
      <c r="AM164" s="615"/>
      <c r="AN164" s="615">
        <v>0</v>
      </c>
      <c r="AO164" s="615">
        <v>0</v>
      </c>
      <c r="AP164" s="615"/>
      <c r="AQ164" s="36">
        <v>0</v>
      </c>
      <c r="AR164" s="36">
        <v>1</v>
      </c>
      <c r="AS164" s="36"/>
      <c r="AU164" s="36"/>
      <c r="AV164" s="36"/>
      <c r="AW164" s="36"/>
      <c r="AX164" s="36" t="s">
        <v>1080</v>
      </c>
      <c r="AY164" s="1681"/>
      <c r="AZ164" s="1681"/>
      <c r="BA164" s="1681"/>
      <c r="BB164" s="1681"/>
      <c r="BC164" s="1681"/>
      <c r="BD164" s="1681"/>
      <c r="BE164" s="1681"/>
      <c r="BF164" s="1681"/>
      <c r="BG164" s="1681"/>
      <c r="BH164" s="1681"/>
      <c r="BI164" s="1681">
        <v>0</v>
      </c>
      <c r="BJ164" s="1681">
        <v>0</v>
      </c>
      <c r="BK164" s="1681">
        <v>2</v>
      </c>
      <c r="BL164" s="1681">
        <v>3</v>
      </c>
      <c r="BM164" s="95"/>
      <c r="BN164" s="95">
        <v>2</v>
      </c>
      <c r="BO164" s="95">
        <v>7</v>
      </c>
      <c r="BP164" s="95"/>
      <c r="BU164" s="32" t="s">
        <v>1076</v>
      </c>
      <c r="BV164" s="3871"/>
      <c r="BW164" s="3871"/>
      <c r="BX164" s="3871"/>
      <c r="BY164" s="3871"/>
      <c r="BZ164" s="3871"/>
      <c r="CA164" s="3871"/>
      <c r="CB164" s="3871"/>
      <c r="CC164" s="3871"/>
      <c r="CD164" s="3871"/>
      <c r="CE164" s="3871"/>
      <c r="CF164" s="3871">
        <v>0</v>
      </c>
      <c r="CG164" s="3871">
        <v>1</v>
      </c>
      <c r="CH164" s="3871">
        <v>0</v>
      </c>
      <c r="CI164" s="3871"/>
      <c r="CJ164" s="1518">
        <v>0</v>
      </c>
      <c r="CK164" s="1518">
        <v>1</v>
      </c>
      <c r="CN164" s="36"/>
      <c r="CO164" s="36"/>
      <c r="CP164" s="393" t="s">
        <v>109</v>
      </c>
      <c r="CQ164" s="393" t="s">
        <v>1071</v>
      </c>
      <c r="CR164" s="2049">
        <v>0</v>
      </c>
      <c r="CS164" s="2049">
        <v>0</v>
      </c>
      <c r="CT164" s="2049">
        <v>0</v>
      </c>
      <c r="CU164" s="2049">
        <v>0</v>
      </c>
      <c r="CV164" s="2049"/>
      <c r="CW164" s="2049">
        <v>0</v>
      </c>
      <c r="CX164" s="2049">
        <v>0</v>
      </c>
      <c r="CY164" s="2049"/>
      <c r="CZ164" s="2049"/>
      <c r="DA164" s="2049">
        <v>0</v>
      </c>
      <c r="DB164" s="2049">
        <v>0</v>
      </c>
      <c r="DC164" s="2049">
        <v>0</v>
      </c>
      <c r="DD164" s="2049">
        <v>0</v>
      </c>
      <c r="DE164" s="2049">
        <v>0</v>
      </c>
      <c r="DF164" s="2049">
        <v>1</v>
      </c>
      <c r="DG164" s="393">
        <v>0</v>
      </c>
      <c r="DH164" s="393">
        <v>1</v>
      </c>
      <c r="DI164" s="393">
        <v>2</v>
      </c>
      <c r="DJ164" s="36"/>
      <c r="DL164" s="36"/>
      <c r="DM164" s="36"/>
      <c r="DN164" s="36"/>
      <c r="DO164" s="36" t="s">
        <v>1163</v>
      </c>
      <c r="DP164" s="1681"/>
      <c r="DQ164" s="1681"/>
      <c r="DR164" s="1681"/>
      <c r="DS164" s="1681"/>
      <c r="DT164" s="1681"/>
      <c r="DU164" s="1681">
        <v>0</v>
      </c>
      <c r="DV164" s="1681"/>
      <c r="DW164" s="1681">
        <v>0</v>
      </c>
      <c r="DX164" s="1681"/>
      <c r="DY164" s="1681"/>
      <c r="DZ164" s="1681"/>
      <c r="EA164" s="1681"/>
      <c r="EB164" s="1681">
        <v>2</v>
      </c>
      <c r="EC164" s="1681"/>
      <c r="ED164" s="1681"/>
      <c r="EE164" s="95"/>
      <c r="EF164" s="95"/>
      <c r="EG164" s="95">
        <v>2</v>
      </c>
      <c r="EH164" s="36"/>
      <c r="EL164" s="36" t="s">
        <v>412</v>
      </c>
      <c r="EM164" s="36" t="s">
        <v>1072</v>
      </c>
      <c r="EN164" s="1490"/>
      <c r="EO164" s="1490"/>
      <c r="EP164" s="1490">
        <v>1</v>
      </c>
      <c r="EQ164" s="1490"/>
      <c r="ER164" s="1490"/>
      <c r="ES164" s="1490"/>
      <c r="ET164" s="1490"/>
      <c r="EU164" s="1490">
        <v>1</v>
      </c>
      <c r="EV164" s="1490"/>
      <c r="EW164" s="1490">
        <v>5</v>
      </c>
      <c r="EX164" s="1490">
        <v>2</v>
      </c>
      <c r="EY164" s="1490">
        <v>0</v>
      </c>
      <c r="EZ164" s="1490">
        <v>7</v>
      </c>
      <c r="FA164" s="1490">
        <v>1</v>
      </c>
      <c r="FB164" s="1490">
        <v>2</v>
      </c>
      <c r="FC164" s="36"/>
      <c r="FD164" s="36">
        <v>0</v>
      </c>
      <c r="FE164" s="36">
        <v>19</v>
      </c>
      <c r="FF164" s="36"/>
      <c r="FH164" s="1225"/>
      <c r="FI164" s="1225"/>
      <c r="FJ164" s="1225" t="s">
        <v>412</v>
      </c>
      <c r="FK164" s="1226" t="s">
        <v>1071</v>
      </c>
      <c r="FL164" s="1228">
        <v>0</v>
      </c>
      <c r="FM164" s="1228">
        <v>0</v>
      </c>
      <c r="FN164" s="1227"/>
      <c r="FO164" s="1228">
        <v>0</v>
      </c>
      <c r="FP164" s="1228">
        <v>0</v>
      </c>
      <c r="FQ164" s="1227"/>
      <c r="FR164" s="1228">
        <v>0</v>
      </c>
      <c r="FS164" s="1228">
        <v>0</v>
      </c>
      <c r="FT164" s="1228">
        <v>0</v>
      </c>
      <c r="FU164" s="1228">
        <v>0</v>
      </c>
      <c r="FV164" s="1228">
        <v>0</v>
      </c>
      <c r="FW164" s="1228">
        <v>0</v>
      </c>
      <c r="FX164" s="1228">
        <v>1</v>
      </c>
      <c r="FY164" s="1230">
        <v>0</v>
      </c>
      <c r="FZ164" s="1230">
        <v>1</v>
      </c>
      <c r="GA164" s="1230">
        <v>2</v>
      </c>
      <c r="GB164" s="36"/>
      <c r="GD164" s="603"/>
      <c r="GE164" s="603"/>
      <c r="GF164" s="603"/>
      <c r="GG164" s="604" t="s">
        <v>1072</v>
      </c>
      <c r="GH164" s="605"/>
      <c r="GI164" s="606">
        <v>1</v>
      </c>
      <c r="GJ164" s="606">
        <v>0</v>
      </c>
      <c r="GK164" s="605"/>
      <c r="GL164" s="605"/>
      <c r="GM164" s="605"/>
      <c r="GN164" s="606">
        <v>0</v>
      </c>
      <c r="GO164" s="605"/>
      <c r="GP164" s="606">
        <v>2</v>
      </c>
      <c r="GQ164" s="606">
        <v>4</v>
      </c>
      <c r="GR164" s="606">
        <v>4</v>
      </c>
      <c r="GS164" s="606">
        <v>1</v>
      </c>
      <c r="GT164" s="606">
        <v>2</v>
      </c>
      <c r="GU164" s="606">
        <v>1</v>
      </c>
      <c r="GV164" s="606">
        <v>0</v>
      </c>
      <c r="GW164" s="608">
        <v>2</v>
      </c>
      <c r="GX164" s="608">
        <v>0</v>
      </c>
      <c r="GY164" s="608">
        <v>17</v>
      </c>
      <c r="GZ164" s="95"/>
      <c r="HB164" s="441"/>
      <c r="HC164" s="441"/>
      <c r="HD164" s="441"/>
      <c r="HE164" s="36"/>
      <c r="HF164" s="462" t="s">
        <v>485</v>
      </c>
      <c r="HG164" s="618"/>
      <c r="HH164" s="618"/>
      <c r="HI164" s="619">
        <v>2</v>
      </c>
      <c r="HJ164" s="618"/>
      <c r="HK164" s="618"/>
      <c r="HL164" s="618"/>
      <c r="HM164" s="618"/>
      <c r="HN164" s="619">
        <v>1</v>
      </c>
      <c r="HO164" s="619">
        <v>1</v>
      </c>
      <c r="HP164" s="619">
        <v>3</v>
      </c>
      <c r="HQ164" s="619">
        <v>3</v>
      </c>
      <c r="HR164" s="619">
        <v>6</v>
      </c>
      <c r="HS164" s="619">
        <v>1</v>
      </c>
      <c r="HT164" s="619">
        <v>3</v>
      </c>
      <c r="HU164" s="619">
        <v>5</v>
      </c>
      <c r="HV164" s="620"/>
      <c r="HW164" s="621">
        <v>1</v>
      </c>
      <c r="HX164" s="621">
        <v>26</v>
      </c>
      <c r="HY164" s="560">
        <f>+(HX163+HX161)/HX164</f>
        <v>0.23076923076923078</v>
      </c>
      <c r="HZ164" s="36"/>
      <c r="IA164" s="613"/>
      <c r="IB164" s="613"/>
      <c r="IC164" s="613"/>
      <c r="ID164" s="389" t="s">
        <v>1076</v>
      </c>
      <c r="IE164" s="614"/>
      <c r="IF164" s="614"/>
      <c r="IG164" s="614"/>
      <c r="IH164" s="614"/>
      <c r="II164" s="614"/>
      <c r="IJ164" s="614"/>
      <c r="IK164" s="614"/>
      <c r="IL164" s="614"/>
      <c r="IM164" s="390">
        <v>0</v>
      </c>
      <c r="IN164" s="390">
        <v>0</v>
      </c>
      <c r="IO164" s="390">
        <v>0</v>
      </c>
      <c r="IP164" s="390">
        <v>1</v>
      </c>
      <c r="IQ164" s="390">
        <v>0</v>
      </c>
      <c r="IR164" s="390">
        <v>1</v>
      </c>
      <c r="IS164" s="615"/>
      <c r="IT164" s="36"/>
      <c r="IU164" s="36"/>
      <c r="IV164" s="95"/>
      <c r="IW164" s="95"/>
      <c r="IX164" s="95"/>
      <c r="IY164" s="36" t="s">
        <v>1163</v>
      </c>
      <c r="IZ164" s="36"/>
      <c r="JA164" s="36">
        <v>0</v>
      </c>
      <c r="JB164" s="36"/>
      <c r="JC164" s="36">
        <v>0</v>
      </c>
      <c r="JD164" s="36"/>
      <c r="JE164" s="36"/>
      <c r="JF164" s="36">
        <v>1</v>
      </c>
      <c r="JG164" s="36">
        <v>2</v>
      </c>
      <c r="JH164" s="36">
        <v>1</v>
      </c>
      <c r="JI164" s="36">
        <v>1</v>
      </c>
      <c r="JJ164" s="36">
        <v>0</v>
      </c>
      <c r="JK164" s="36">
        <v>1</v>
      </c>
      <c r="JL164" s="36">
        <v>0</v>
      </c>
      <c r="JM164" s="36">
        <v>0</v>
      </c>
      <c r="JN164" s="36"/>
      <c r="JO164" s="36">
        <v>0</v>
      </c>
      <c r="JP164" s="36">
        <v>6</v>
      </c>
      <c r="JQ164" s="36"/>
      <c r="JR164" s="36"/>
      <c r="JS164" s="616"/>
      <c r="JT164" s="616"/>
      <c r="JU164" s="36"/>
      <c r="JV164" s="36"/>
      <c r="JW164" s="36"/>
      <c r="JX164" s="36"/>
      <c r="JY164" s="36"/>
      <c r="JZ164" s="36"/>
      <c r="KA164" s="36"/>
      <c r="KB164" s="36"/>
      <c r="KC164" s="36"/>
      <c r="KD164" s="36"/>
      <c r="KE164" s="36"/>
      <c r="KF164" s="36"/>
      <c r="KG164" s="36"/>
      <c r="KH164" s="36"/>
      <c r="KI164" s="36"/>
      <c r="KJ164" s="36"/>
      <c r="KK164" s="36"/>
      <c r="KL164" s="36"/>
      <c r="KM164" s="36"/>
      <c r="KN164" s="36"/>
      <c r="KO164" s="36"/>
    </row>
    <row r="165" spans="1:301">
      <c r="A165" s="5740">
        <v>3</v>
      </c>
      <c r="B165" s="5740">
        <v>2</v>
      </c>
      <c r="C165" s="5741" t="s">
        <v>291</v>
      </c>
      <c r="D165" s="5741" t="s">
        <v>1076</v>
      </c>
      <c r="E165" s="5740">
        <v>2</v>
      </c>
      <c r="F165" s="5740">
        <v>15</v>
      </c>
      <c r="I165" s="4726">
        <v>3</v>
      </c>
      <c r="J165" s="4726">
        <v>2</v>
      </c>
      <c r="K165" s="4725" t="s">
        <v>291</v>
      </c>
      <c r="L165" s="4725" t="s">
        <v>2709</v>
      </c>
      <c r="M165" s="4726">
        <v>20</v>
      </c>
      <c r="N165" s="4726">
        <v>13</v>
      </c>
      <c r="Q165" s="4458">
        <v>4</v>
      </c>
      <c r="R165" s="4458">
        <v>6</v>
      </c>
      <c r="S165" s="4459" t="s">
        <v>609</v>
      </c>
      <c r="T165" s="4459" t="s">
        <v>2709</v>
      </c>
      <c r="U165" s="4458">
        <v>13</v>
      </c>
      <c r="V165" s="4484">
        <v>1</v>
      </c>
      <c r="W165" s="4510"/>
      <c r="Z165" s="36"/>
      <c r="AA165" s="36"/>
      <c r="AB165" s="36"/>
      <c r="AC165" s="4236" t="s">
        <v>15</v>
      </c>
      <c r="AD165" s="4236">
        <v>1</v>
      </c>
      <c r="AE165" s="4236"/>
      <c r="AF165" s="4236"/>
      <c r="AG165" s="4236"/>
      <c r="AH165" s="4236"/>
      <c r="AI165" s="4236"/>
      <c r="AJ165" s="4236"/>
      <c r="AK165" s="4236"/>
      <c r="AL165" s="4236">
        <v>1</v>
      </c>
      <c r="AM165" s="4236"/>
      <c r="AN165" s="4236">
        <v>3</v>
      </c>
      <c r="AO165" s="4236">
        <v>12</v>
      </c>
      <c r="AP165" s="4236"/>
      <c r="AQ165" s="4236">
        <v>2</v>
      </c>
      <c r="AR165" s="4236">
        <v>19</v>
      </c>
      <c r="AS165" s="4243">
        <f>(AR160+AR162+AR164)/(AR165-AR163)</f>
        <v>0.22222222222222221</v>
      </c>
      <c r="AU165" s="36"/>
      <c r="AV165" s="36"/>
      <c r="AW165" s="36"/>
      <c r="AX165" s="36" t="s">
        <v>1081</v>
      </c>
      <c r="AY165" s="1681"/>
      <c r="AZ165" s="1681"/>
      <c r="BA165" s="1681"/>
      <c r="BB165" s="1681"/>
      <c r="BC165" s="1681"/>
      <c r="BD165" s="1681"/>
      <c r="BE165" s="1681"/>
      <c r="BF165" s="1681"/>
      <c r="BG165" s="1681"/>
      <c r="BH165" s="1681"/>
      <c r="BI165" s="1681">
        <v>0</v>
      </c>
      <c r="BJ165" s="1681">
        <v>2</v>
      </c>
      <c r="BK165" s="1681">
        <v>1</v>
      </c>
      <c r="BL165" s="1681">
        <v>0</v>
      </c>
      <c r="BM165" s="95"/>
      <c r="BN165" s="95">
        <v>0</v>
      </c>
      <c r="BO165" s="95">
        <v>3</v>
      </c>
      <c r="BP165" s="95"/>
      <c r="BU165" s="32" t="s">
        <v>1080</v>
      </c>
      <c r="BV165" s="3871"/>
      <c r="BW165" s="3871"/>
      <c r="BX165" s="3871"/>
      <c r="BY165" s="3871"/>
      <c r="BZ165" s="3871"/>
      <c r="CA165" s="3871"/>
      <c r="CB165" s="3871"/>
      <c r="CC165" s="3871"/>
      <c r="CD165" s="3871"/>
      <c r="CE165" s="3871"/>
      <c r="CF165" s="3871">
        <v>0</v>
      </c>
      <c r="CG165" s="3871">
        <v>0</v>
      </c>
      <c r="CH165" s="3871">
        <v>5</v>
      </c>
      <c r="CI165" s="3871"/>
      <c r="CJ165" s="1518">
        <v>2</v>
      </c>
      <c r="CK165" s="1518">
        <v>7</v>
      </c>
      <c r="CN165" s="36"/>
      <c r="CO165" s="36"/>
      <c r="CP165" s="393"/>
      <c r="CQ165" s="393" t="s">
        <v>1072</v>
      </c>
      <c r="CR165" s="2049">
        <v>2</v>
      </c>
      <c r="CS165" s="2049">
        <v>0</v>
      </c>
      <c r="CT165" s="2049">
        <v>1</v>
      </c>
      <c r="CU165" s="2049">
        <v>2</v>
      </c>
      <c r="CV165" s="2049"/>
      <c r="CW165" s="2049">
        <v>1</v>
      </c>
      <c r="CX165" s="2049">
        <v>0</v>
      </c>
      <c r="CY165" s="2049"/>
      <c r="CZ165" s="2049"/>
      <c r="DA165" s="2049">
        <v>2</v>
      </c>
      <c r="DB165" s="2049">
        <v>0</v>
      </c>
      <c r="DC165" s="2049">
        <v>3</v>
      </c>
      <c r="DD165" s="2049">
        <v>7</v>
      </c>
      <c r="DE165" s="2049">
        <v>13</v>
      </c>
      <c r="DF165" s="2049">
        <v>1</v>
      </c>
      <c r="DG165" s="393">
        <v>1</v>
      </c>
      <c r="DH165" s="393">
        <v>0</v>
      </c>
      <c r="DI165" s="393">
        <v>33</v>
      </c>
      <c r="DJ165" s="36"/>
      <c r="DL165" s="36"/>
      <c r="DM165" s="36"/>
      <c r="DN165" s="36"/>
      <c r="DO165" s="393" t="s">
        <v>484</v>
      </c>
      <c r="DP165" s="1682"/>
      <c r="DQ165" s="1682"/>
      <c r="DR165" s="1682"/>
      <c r="DS165" s="1682"/>
      <c r="DT165" s="1682"/>
      <c r="DU165" s="1682">
        <v>2</v>
      </c>
      <c r="DV165" s="1682"/>
      <c r="DW165" s="1682">
        <v>1</v>
      </c>
      <c r="DX165" s="1682"/>
      <c r="DY165" s="1682"/>
      <c r="DZ165" s="1682"/>
      <c r="EA165" s="1682"/>
      <c r="EB165" s="1682">
        <v>5</v>
      </c>
      <c r="EC165" s="1682"/>
      <c r="ED165" s="1682"/>
      <c r="EE165" s="86"/>
      <c r="EF165" s="86"/>
      <c r="EG165" s="86">
        <v>8</v>
      </c>
      <c r="EH165" s="560">
        <f>+EG164/EG165</f>
        <v>0.25</v>
      </c>
      <c r="EL165" s="36"/>
      <c r="EM165" s="36" t="s">
        <v>1076</v>
      </c>
      <c r="EN165" s="1490"/>
      <c r="EO165" s="1490"/>
      <c r="EP165" s="1490">
        <v>0</v>
      </c>
      <c r="EQ165" s="1490"/>
      <c r="ER165" s="1490"/>
      <c r="ES165" s="1490"/>
      <c r="ET165" s="1490"/>
      <c r="EU165" s="1490">
        <v>0</v>
      </c>
      <c r="EV165" s="1490"/>
      <c r="EW165" s="1490">
        <v>0</v>
      </c>
      <c r="EX165" s="1490">
        <v>0</v>
      </c>
      <c r="EY165" s="1490">
        <v>0</v>
      </c>
      <c r="EZ165" s="1490">
        <v>0</v>
      </c>
      <c r="FA165" s="1490">
        <v>1</v>
      </c>
      <c r="FB165" s="1490">
        <v>0</v>
      </c>
      <c r="FC165" s="36"/>
      <c r="FD165" s="36">
        <v>0</v>
      </c>
      <c r="FE165" s="36">
        <v>1</v>
      </c>
      <c r="FF165" s="36"/>
      <c r="FH165" s="1225"/>
      <c r="FI165" s="1225"/>
      <c r="FJ165" s="1225"/>
      <c r="FK165" s="1226" t="s">
        <v>1072</v>
      </c>
      <c r="FL165" s="1228">
        <v>1</v>
      </c>
      <c r="FM165" s="1228">
        <v>3</v>
      </c>
      <c r="FN165" s="1227"/>
      <c r="FO165" s="1228">
        <v>1</v>
      </c>
      <c r="FP165" s="1228">
        <v>2</v>
      </c>
      <c r="FQ165" s="1227"/>
      <c r="FR165" s="1228">
        <v>2</v>
      </c>
      <c r="FS165" s="1228">
        <v>1</v>
      </c>
      <c r="FT165" s="1228">
        <v>3</v>
      </c>
      <c r="FU165" s="1228">
        <v>7</v>
      </c>
      <c r="FV165" s="1228">
        <v>26</v>
      </c>
      <c r="FW165" s="1228">
        <v>3</v>
      </c>
      <c r="FX165" s="1228">
        <v>2</v>
      </c>
      <c r="FY165" s="1230">
        <v>0</v>
      </c>
      <c r="FZ165" s="1230">
        <v>0</v>
      </c>
      <c r="GA165" s="1230">
        <v>51</v>
      </c>
      <c r="GB165" s="36"/>
      <c r="GD165" s="603"/>
      <c r="GE165" s="603"/>
      <c r="GF165" s="603"/>
      <c r="GG165" s="604" t="s">
        <v>1074</v>
      </c>
      <c r="GH165" s="605"/>
      <c r="GI165" s="606">
        <v>0</v>
      </c>
      <c r="GJ165" s="606">
        <v>1</v>
      </c>
      <c r="GK165" s="605"/>
      <c r="GL165" s="605"/>
      <c r="GM165" s="605"/>
      <c r="GN165" s="606">
        <v>0</v>
      </c>
      <c r="GO165" s="605"/>
      <c r="GP165" s="606">
        <v>0</v>
      </c>
      <c r="GQ165" s="606">
        <v>0</v>
      </c>
      <c r="GR165" s="606">
        <v>0</v>
      </c>
      <c r="GS165" s="606">
        <v>0</v>
      </c>
      <c r="GT165" s="606">
        <v>0</v>
      </c>
      <c r="GU165" s="606">
        <v>0</v>
      </c>
      <c r="GV165" s="606">
        <v>0</v>
      </c>
      <c r="GW165" s="608">
        <v>0</v>
      </c>
      <c r="GX165" s="608">
        <v>0</v>
      </c>
      <c r="GY165" s="608">
        <v>1</v>
      </c>
      <c r="GZ165" s="95"/>
      <c r="HB165" s="441"/>
      <c r="HC165" s="441" t="s">
        <v>103</v>
      </c>
      <c r="HD165" s="441" t="s">
        <v>145</v>
      </c>
      <c r="HE165" s="441" t="s">
        <v>1070</v>
      </c>
      <c r="HF165" s="442" t="s">
        <v>1072</v>
      </c>
      <c r="HG165" s="609"/>
      <c r="HH165" s="610">
        <v>1</v>
      </c>
      <c r="HI165" s="609"/>
      <c r="HJ165" s="609"/>
      <c r="HK165" s="609"/>
      <c r="HL165" s="609"/>
      <c r="HM165" s="609"/>
      <c r="HN165" s="609"/>
      <c r="HO165" s="609"/>
      <c r="HP165" s="610">
        <v>2</v>
      </c>
      <c r="HQ165" s="610">
        <v>1</v>
      </c>
      <c r="HR165" s="609"/>
      <c r="HS165" s="610">
        <v>0</v>
      </c>
      <c r="HT165" s="609"/>
      <c r="HU165" s="609"/>
      <c r="HV165" s="612">
        <v>0</v>
      </c>
      <c r="HW165" s="612">
        <v>0</v>
      </c>
      <c r="HX165" s="612">
        <v>4</v>
      </c>
      <c r="HY165" s="560"/>
      <c r="HZ165" s="36"/>
      <c r="IA165" s="613"/>
      <c r="IB165" s="613"/>
      <c r="IC165" s="613"/>
      <c r="ID165" s="389" t="s">
        <v>1080</v>
      </c>
      <c r="IE165" s="614"/>
      <c r="IF165" s="614"/>
      <c r="IG165" s="614"/>
      <c r="IH165" s="614"/>
      <c r="II165" s="614"/>
      <c r="IJ165" s="614"/>
      <c r="IK165" s="614"/>
      <c r="IL165" s="614"/>
      <c r="IM165" s="390">
        <v>0</v>
      </c>
      <c r="IN165" s="390">
        <v>0</v>
      </c>
      <c r="IO165" s="390">
        <v>0</v>
      </c>
      <c r="IP165" s="390">
        <v>0</v>
      </c>
      <c r="IQ165" s="390">
        <v>4</v>
      </c>
      <c r="IR165" s="390">
        <v>4</v>
      </c>
      <c r="IS165" s="615"/>
      <c r="IT165" s="36"/>
      <c r="IU165" s="36"/>
      <c r="IV165" s="95"/>
      <c r="IW165" s="95"/>
      <c r="IX165" s="95"/>
      <c r="IY165" s="393" t="s">
        <v>15</v>
      </c>
      <c r="IZ165" s="393"/>
      <c r="JA165" s="393">
        <v>1</v>
      </c>
      <c r="JB165" s="393"/>
      <c r="JC165" s="393">
        <v>1</v>
      </c>
      <c r="JD165" s="393"/>
      <c r="JE165" s="393"/>
      <c r="JF165" s="393">
        <v>1</v>
      </c>
      <c r="JG165" s="393">
        <v>5</v>
      </c>
      <c r="JH165" s="393">
        <v>7</v>
      </c>
      <c r="JI165" s="393">
        <v>3</v>
      </c>
      <c r="JJ165" s="393">
        <v>2</v>
      </c>
      <c r="JK165" s="393">
        <v>1</v>
      </c>
      <c r="JL165" s="393">
        <v>3</v>
      </c>
      <c r="JM165" s="393">
        <v>2</v>
      </c>
      <c r="JN165" s="393"/>
      <c r="JO165" s="393">
        <v>1</v>
      </c>
      <c r="JP165" s="393">
        <v>27</v>
      </c>
      <c r="JQ165" s="631">
        <f>+(JP163+JP164)/JP165</f>
        <v>0.40740740740740738</v>
      </c>
      <c r="JR165" s="36"/>
      <c r="JS165" s="616"/>
      <c r="JT165" s="616"/>
      <c r="JU165" s="36"/>
      <c r="JV165" s="36"/>
      <c r="JW165" s="36"/>
      <c r="JX165" s="36"/>
      <c r="JY165" s="36"/>
      <c r="JZ165" s="36"/>
      <c r="KA165" s="36"/>
      <c r="KB165" s="36"/>
      <c r="KC165" s="36"/>
      <c r="KD165" s="36"/>
      <c r="KE165" s="36"/>
      <c r="KF165" s="36"/>
      <c r="KG165" s="36"/>
      <c r="KH165" s="36"/>
      <c r="KI165" s="36"/>
      <c r="KJ165" s="36"/>
      <c r="KK165" s="36"/>
      <c r="KL165" s="36"/>
      <c r="KM165" s="36"/>
      <c r="KN165" s="36"/>
      <c r="KO165" s="36"/>
    </row>
    <row r="166" spans="1:301">
      <c r="A166" s="5737">
        <v>3</v>
      </c>
      <c r="B166" s="5737">
        <v>2</v>
      </c>
      <c r="C166" s="5736" t="s">
        <v>291</v>
      </c>
      <c r="D166" s="5736" t="s">
        <v>2709</v>
      </c>
      <c r="E166" s="5737">
        <v>1</v>
      </c>
      <c r="F166" s="5737">
        <v>1</v>
      </c>
      <c r="I166" s="4726">
        <v>3</v>
      </c>
      <c r="J166" s="4726">
        <v>2</v>
      </c>
      <c r="K166" s="4725" t="s">
        <v>291</v>
      </c>
      <c r="L166" s="4725" t="s">
        <v>2709</v>
      </c>
      <c r="M166" s="4726">
        <v>1</v>
      </c>
      <c r="N166" s="4726">
        <v>14</v>
      </c>
      <c r="Q166" s="4458">
        <v>4</v>
      </c>
      <c r="R166" s="4458">
        <v>6</v>
      </c>
      <c r="S166" s="4459" t="s">
        <v>609</v>
      </c>
      <c r="T166" s="4459" t="s">
        <v>2709</v>
      </c>
      <c r="U166" s="4458">
        <v>14</v>
      </c>
      <c r="V166" s="4479">
        <v>1</v>
      </c>
      <c r="W166" s="4510"/>
      <c r="Z166" s="36"/>
      <c r="AA166" s="36"/>
      <c r="AB166" s="36" t="s">
        <v>1743</v>
      </c>
      <c r="AC166" s="36" t="s">
        <v>1072</v>
      </c>
      <c r="AD166" s="615"/>
      <c r="AE166" s="615"/>
      <c r="AF166" s="615"/>
      <c r="AG166" s="615"/>
      <c r="AH166" s="615"/>
      <c r="AI166" s="615"/>
      <c r="AJ166" s="615"/>
      <c r="AK166" s="615"/>
      <c r="AL166" s="615"/>
      <c r="AM166" s="615">
        <v>0</v>
      </c>
      <c r="AN166" s="615">
        <v>1</v>
      </c>
      <c r="AO166" s="615"/>
      <c r="AP166" s="615"/>
      <c r="AQ166" s="36"/>
      <c r="AR166" s="36">
        <v>1</v>
      </c>
      <c r="AS166" s="36"/>
      <c r="AU166" s="36"/>
      <c r="AV166" s="36"/>
      <c r="AW166" s="36"/>
      <c r="AX166" s="36" t="s">
        <v>1163</v>
      </c>
      <c r="AY166" s="1681"/>
      <c r="AZ166" s="1681"/>
      <c r="BA166" s="1681"/>
      <c r="BB166" s="1681"/>
      <c r="BC166" s="1681"/>
      <c r="BD166" s="1681"/>
      <c r="BE166" s="1681"/>
      <c r="BF166" s="1681"/>
      <c r="BG166" s="1681"/>
      <c r="BH166" s="1681"/>
      <c r="BI166" s="1681">
        <v>0</v>
      </c>
      <c r="BJ166" s="1681">
        <v>1</v>
      </c>
      <c r="BK166" s="1681">
        <v>0</v>
      </c>
      <c r="BL166" s="1681">
        <v>0</v>
      </c>
      <c r="BM166" s="95"/>
      <c r="BN166" s="95">
        <v>0</v>
      </c>
      <c r="BO166" s="95">
        <v>1</v>
      </c>
      <c r="BP166" s="95"/>
      <c r="BU166" s="32" t="s">
        <v>1081</v>
      </c>
      <c r="BV166" s="3871"/>
      <c r="BW166" s="3871"/>
      <c r="BX166" s="3871"/>
      <c r="BY166" s="3871"/>
      <c r="BZ166" s="3871"/>
      <c r="CA166" s="3871"/>
      <c r="CB166" s="3871"/>
      <c r="CC166" s="3871"/>
      <c r="CD166" s="3871"/>
      <c r="CE166" s="3871"/>
      <c r="CF166" s="3871">
        <v>1</v>
      </c>
      <c r="CG166" s="3871">
        <v>2</v>
      </c>
      <c r="CH166" s="3871">
        <v>1</v>
      </c>
      <c r="CI166" s="3871"/>
      <c r="CJ166" s="1518">
        <v>0</v>
      </c>
      <c r="CK166" s="1518">
        <v>4</v>
      </c>
      <c r="CN166" s="36"/>
      <c r="CO166" s="36"/>
      <c r="CP166" s="393"/>
      <c r="CQ166" s="393" t="s">
        <v>1074</v>
      </c>
      <c r="CR166" s="2049">
        <v>0</v>
      </c>
      <c r="CS166" s="2049">
        <v>2</v>
      </c>
      <c r="CT166" s="2049">
        <v>0</v>
      </c>
      <c r="CU166" s="2049">
        <v>1</v>
      </c>
      <c r="CV166" s="2049"/>
      <c r="CW166" s="2049">
        <v>2</v>
      </c>
      <c r="CX166" s="2049">
        <v>1</v>
      </c>
      <c r="CY166" s="2049"/>
      <c r="CZ166" s="2049"/>
      <c r="DA166" s="2049">
        <v>0</v>
      </c>
      <c r="DB166" s="2049">
        <v>0</v>
      </c>
      <c r="DC166" s="2049">
        <v>0</v>
      </c>
      <c r="DD166" s="2049">
        <v>0</v>
      </c>
      <c r="DE166" s="2049">
        <v>0</v>
      </c>
      <c r="DF166" s="2049">
        <v>0</v>
      </c>
      <c r="DG166" s="393">
        <v>0</v>
      </c>
      <c r="DH166" s="393">
        <v>0</v>
      </c>
      <c r="DI166" s="393">
        <v>6</v>
      </c>
      <c r="DJ166" s="36"/>
      <c r="DL166" s="36"/>
      <c r="DM166" s="36"/>
      <c r="DN166" s="36" t="s">
        <v>412</v>
      </c>
      <c r="DO166" s="36" t="s">
        <v>1071</v>
      </c>
      <c r="DP166" s="1681"/>
      <c r="DQ166" s="1681">
        <v>0</v>
      </c>
      <c r="DR166" s="1681">
        <v>0</v>
      </c>
      <c r="DS166" s="1681"/>
      <c r="DT166" s="1681"/>
      <c r="DU166" s="1681">
        <v>0</v>
      </c>
      <c r="DV166" s="1681"/>
      <c r="DW166" s="1681">
        <v>1</v>
      </c>
      <c r="DX166" s="1681">
        <v>0</v>
      </c>
      <c r="DY166" s="1681">
        <v>0</v>
      </c>
      <c r="DZ166" s="1681">
        <v>0</v>
      </c>
      <c r="EA166" s="1681">
        <v>0</v>
      </c>
      <c r="EB166" s="1681">
        <v>0</v>
      </c>
      <c r="EC166" s="1681">
        <v>0</v>
      </c>
      <c r="ED166" s="1681">
        <v>0</v>
      </c>
      <c r="EE166" s="95">
        <v>0</v>
      </c>
      <c r="EF166" s="95">
        <v>0</v>
      </c>
      <c r="EG166" s="95">
        <v>1</v>
      </c>
      <c r="EH166" s="36"/>
      <c r="EL166" s="36"/>
      <c r="EM166" s="36" t="s">
        <v>1080</v>
      </c>
      <c r="EN166" s="1490"/>
      <c r="EO166" s="1490"/>
      <c r="EP166" s="1490">
        <v>0</v>
      </c>
      <c r="EQ166" s="1490"/>
      <c r="ER166" s="1490"/>
      <c r="ES166" s="1490"/>
      <c r="ET166" s="1490"/>
      <c r="EU166" s="1490">
        <v>0</v>
      </c>
      <c r="EV166" s="1490"/>
      <c r="EW166" s="1490">
        <v>0</v>
      </c>
      <c r="EX166" s="1490">
        <v>0</v>
      </c>
      <c r="EY166" s="1490">
        <v>0</v>
      </c>
      <c r="EZ166" s="1490">
        <v>1</v>
      </c>
      <c r="FA166" s="1490">
        <v>0</v>
      </c>
      <c r="FB166" s="1490">
        <v>4</v>
      </c>
      <c r="FC166" s="36"/>
      <c r="FD166" s="36">
        <v>3</v>
      </c>
      <c r="FE166" s="36">
        <v>8</v>
      </c>
      <c r="FF166" s="36"/>
      <c r="FH166" s="1225"/>
      <c r="FI166" s="1225"/>
      <c r="FJ166" s="1225"/>
      <c r="FK166" s="1226" t="s">
        <v>1076</v>
      </c>
      <c r="FL166" s="1228">
        <v>0</v>
      </c>
      <c r="FM166" s="1228">
        <v>0</v>
      </c>
      <c r="FN166" s="1227"/>
      <c r="FO166" s="1228">
        <v>0</v>
      </c>
      <c r="FP166" s="1228">
        <v>0</v>
      </c>
      <c r="FQ166" s="1227"/>
      <c r="FR166" s="1228">
        <v>0</v>
      </c>
      <c r="FS166" s="1228">
        <v>0</v>
      </c>
      <c r="FT166" s="1228">
        <v>0</v>
      </c>
      <c r="FU166" s="1228">
        <v>1</v>
      </c>
      <c r="FV166" s="1228">
        <v>5</v>
      </c>
      <c r="FW166" s="1228">
        <v>3</v>
      </c>
      <c r="FX166" s="1228">
        <v>0</v>
      </c>
      <c r="FY166" s="1230">
        <v>0</v>
      </c>
      <c r="FZ166" s="1230">
        <v>0</v>
      </c>
      <c r="GA166" s="1230">
        <v>9</v>
      </c>
      <c r="GB166" s="36"/>
      <c r="GD166" s="603"/>
      <c r="GE166" s="603"/>
      <c r="GF166" s="603"/>
      <c r="GG166" s="604" t="s">
        <v>1076</v>
      </c>
      <c r="GH166" s="605"/>
      <c r="GI166" s="606">
        <v>0</v>
      </c>
      <c r="GJ166" s="606">
        <v>0</v>
      </c>
      <c r="GK166" s="605"/>
      <c r="GL166" s="605"/>
      <c r="GM166" s="605"/>
      <c r="GN166" s="606">
        <v>0</v>
      </c>
      <c r="GO166" s="605"/>
      <c r="GP166" s="606">
        <v>0</v>
      </c>
      <c r="GQ166" s="606">
        <v>0</v>
      </c>
      <c r="GR166" s="606">
        <v>1</v>
      </c>
      <c r="GS166" s="606">
        <v>0</v>
      </c>
      <c r="GT166" s="606">
        <v>0</v>
      </c>
      <c r="GU166" s="606">
        <v>1</v>
      </c>
      <c r="GV166" s="606">
        <v>1</v>
      </c>
      <c r="GW166" s="608">
        <v>0</v>
      </c>
      <c r="GX166" s="608">
        <v>0</v>
      </c>
      <c r="GY166" s="608">
        <v>3</v>
      </c>
      <c r="GZ166" s="95"/>
      <c r="HB166" s="441"/>
      <c r="HC166" s="441"/>
      <c r="HD166" s="441"/>
      <c r="HE166" s="441"/>
      <c r="HF166" s="442" t="s">
        <v>1080</v>
      </c>
      <c r="HG166" s="609"/>
      <c r="HH166" s="610">
        <v>0</v>
      </c>
      <c r="HI166" s="609"/>
      <c r="HJ166" s="609"/>
      <c r="HK166" s="609"/>
      <c r="HL166" s="609"/>
      <c r="HM166" s="609"/>
      <c r="HN166" s="609"/>
      <c r="HO166" s="609"/>
      <c r="HP166" s="610">
        <v>0</v>
      </c>
      <c r="HQ166" s="610">
        <v>0</v>
      </c>
      <c r="HR166" s="609"/>
      <c r="HS166" s="610">
        <v>0</v>
      </c>
      <c r="HT166" s="609"/>
      <c r="HU166" s="609"/>
      <c r="HV166" s="612">
        <v>1</v>
      </c>
      <c r="HW166" s="612">
        <v>4</v>
      </c>
      <c r="HX166" s="612">
        <v>5</v>
      </c>
      <c r="HY166" s="560"/>
      <c r="HZ166" s="36"/>
      <c r="IA166" s="613"/>
      <c r="IB166" s="613"/>
      <c r="IC166" s="613"/>
      <c r="ID166" s="389" t="s">
        <v>1081</v>
      </c>
      <c r="IE166" s="614"/>
      <c r="IF166" s="614"/>
      <c r="IG166" s="614"/>
      <c r="IH166" s="614"/>
      <c r="II166" s="614"/>
      <c r="IJ166" s="614"/>
      <c r="IK166" s="614"/>
      <c r="IL166" s="614"/>
      <c r="IM166" s="390">
        <v>0</v>
      </c>
      <c r="IN166" s="390">
        <v>0</v>
      </c>
      <c r="IO166" s="390">
        <v>1</v>
      </c>
      <c r="IP166" s="390">
        <v>0</v>
      </c>
      <c r="IQ166" s="390">
        <v>0</v>
      </c>
      <c r="IR166" s="390">
        <v>1</v>
      </c>
      <c r="IS166" s="615"/>
      <c r="IT166" s="36"/>
      <c r="IU166" s="36"/>
      <c r="IV166" s="95"/>
      <c r="IW166" s="95"/>
      <c r="IX166" s="95" t="s">
        <v>103</v>
      </c>
      <c r="IY166" s="36" t="s">
        <v>1072</v>
      </c>
      <c r="IZ166" s="36"/>
      <c r="JA166" s="36"/>
      <c r="JB166" s="36">
        <v>1</v>
      </c>
      <c r="JC166" s="36">
        <v>1</v>
      </c>
      <c r="JD166" s="36"/>
      <c r="JE166" s="36">
        <v>1</v>
      </c>
      <c r="JF166" s="36"/>
      <c r="JG166" s="36"/>
      <c r="JH166" s="36"/>
      <c r="JI166" s="36"/>
      <c r="JJ166" s="36">
        <v>1</v>
      </c>
      <c r="JK166" s="36"/>
      <c r="JL166" s="36"/>
      <c r="JM166" s="36"/>
      <c r="JN166" s="36">
        <v>0</v>
      </c>
      <c r="JO166" s="36">
        <v>0</v>
      </c>
      <c r="JP166" s="36">
        <v>4</v>
      </c>
      <c r="JQ166" s="36"/>
      <c r="JR166" s="36"/>
      <c r="JS166" s="616"/>
      <c r="JT166" s="616"/>
      <c r="JU166" s="36"/>
      <c r="JV166" s="36"/>
      <c r="JW166" s="36"/>
      <c r="JX166" s="36"/>
      <c r="JY166" s="36"/>
      <c r="JZ166" s="36"/>
      <c r="KA166" s="36"/>
      <c r="KB166" s="36"/>
      <c r="KC166" s="36"/>
      <c r="KD166" s="36"/>
      <c r="KE166" s="36"/>
      <c r="KF166" s="36"/>
      <c r="KG166" s="36"/>
      <c r="KH166" s="36"/>
      <c r="KI166" s="36"/>
      <c r="KJ166" s="36"/>
      <c r="KK166" s="36"/>
      <c r="KL166" s="36"/>
      <c r="KM166" s="36"/>
      <c r="KN166" s="36"/>
      <c r="KO166" s="36"/>
    </row>
    <row r="167" spans="1:301">
      <c r="A167" s="5737">
        <v>3</v>
      </c>
      <c r="B167" s="5737">
        <v>2</v>
      </c>
      <c r="C167" s="5736" t="s">
        <v>291</v>
      </c>
      <c r="D167" s="5736" t="s">
        <v>2709</v>
      </c>
      <c r="E167" s="5737">
        <v>2</v>
      </c>
      <c r="F167" s="5737">
        <v>11</v>
      </c>
      <c r="I167" s="4726"/>
      <c r="J167" s="4726"/>
      <c r="K167" s="4725"/>
      <c r="L167" s="4725"/>
      <c r="M167" s="4975">
        <f>SUM(M152:M166)</f>
        <v>60</v>
      </c>
      <c r="N167" s="4726"/>
      <c r="O167" s="4476">
        <f>+(M154+M155+ M156+M157+M159+M160+M161)/(M167)</f>
        <v>0.21666666666666667</v>
      </c>
      <c r="Q167" s="4458">
        <v>4</v>
      </c>
      <c r="R167" s="4458">
        <v>6</v>
      </c>
      <c r="S167" s="4459" t="s">
        <v>609</v>
      </c>
      <c r="T167" s="4459" t="s">
        <v>2731</v>
      </c>
      <c r="U167" s="4458">
        <v>14</v>
      </c>
      <c r="V167" s="4479">
        <v>1</v>
      </c>
      <c r="W167" s="4510"/>
      <c r="Z167" s="36"/>
      <c r="AA167" s="36"/>
      <c r="AB167" s="36"/>
      <c r="AC167" s="36" t="s">
        <v>1076</v>
      </c>
      <c r="AD167" s="615"/>
      <c r="AE167" s="615"/>
      <c r="AF167" s="615"/>
      <c r="AG167" s="615"/>
      <c r="AH167" s="615"/>
      <c r="AI167" s="615"/>
      <c r="AJ167" s="615"/>
      <c r="AK167" s="615"/>
      <c r="AL167" s="615"/>
      <c r="AM167" s="615">
        <v>0</v>
      </c>
      <c r="AN167" s="615">
        <v>2</v>
      </c>
      <c r="AO167" s="615"/>
      <c r="AP167" s="615"/>
      <c r="AQ167" s="36"/>
      <c r="AR167" s="36">
        <v>2</v>
      </c>
      <c r="AS167" s="36"/>
      <c r="AU167" s="36"/>
      <c r="AV167" s="36"/>
      <c r="AW167" s="36"/>
      <c r="AX167" s="36" t="s">
        <v>15</v>
      </c>
      <c r="AY167" s="1681"/>
      <c r="AZ167" s="1681"/>
      <c r="BA167" s="1681"/>
      <c r="BB167" s="1681"/>
      <c r="BC167" s="1681"/>
      <c r="BD167" s="1681"/>
      <c r="BE167" s="1681"/>
      <c r="BF167" s="1681"/>
      <c r="BG167" s="1681"/>
      <c r="BH167" s="1681"/>
      <c r="BI167" s="1681">
        <v>1</v>
      </c>
      <c r="BJ167" s="1681">
        <v>6</v>
      </c>
      <c r="BK167" s="1681">
        <v>4</v>
      </c>
      <c r="BL167" s="1681">
        <v>3</v>
      </c>
      <c r="BM167" s="95"/>
      <c r="BN167" s="95">
        <v>2</v>
      </c>
      <c r="BO167" s="95">
        <v>16</v>
      </c>
      <c r="BP167" s="560">
        <f>+(BO163+BO165+BO166)/(BO167)</f>
        <v>0.375</v>
      </c>
      <c r="BU167" s="32" t="s">
        <v>1163</v>
      </c>
      <c r="BV167" s="3871"/>
      <c r="BW167" s="3871"/>
      <c r="BX167" s="3871"/>
      <c r="BY167" s="3871"/>
      <c r="BZ167" s="3871"/>
      <c r="CA167" s="3871"/>
      <c r="CB167" s="3871"/>
      <c r="CC167" s="3871"/>
      <c r="CD167" s="3871"/>
      <c r="CE167" s="3871"/>
      <c r="CF167" s="3871">
        <v>0</v>
      </c>
      <c r="CG167" s="3871">
        <v>1</v>
      </c>
      <c r="CH167" s="3871">
        <v>0</v>
      </c>
      <c r="CI167" s="3871"/>
      <c r="CJ167" s="1518">
        <v>0</v>
      </c>
      <c r="CK167" s="1518">
        <v>1</v>
      </c>
      <c r="CN167" s="36"/>
      <c r="CO167" s="36"/>
      <c r="CP167" s="393"/>
      <c r="CQ167" s="393" t="s">
        <v>1076</v>
      </c>
      <c r="CR167" s="2049">
        <v>0</v>
      </c>
      <c r="CS167" s="2049">
        <v>0</v>
      </c>
      <c r="CT167" s="2049">
        <v>0</v>
      </c>
      <c r="CU167" s="2049">
        <v>0</v>
      </c>
      <c r="CV167" s="2049"/>
      <c r="CW167" s="2049">
        <v>0</v>
      </c>
      <c r="CX167" s="2049">
        <v>0</v>
      </c>
      <c r="CY167" s="2049"/>
      <c r="CZ167" s="2049"/>
      <c r="DA167" s="2049">
        <v>0</v>
      </c>
      <c r="DB167" s="2049">
        <v>0</v>
      </c>
      <c r="DC167" s="2049">
        <v>1</v>
      </c>
      <c r="DD167" s="2049">
        <v>14</v>
      </c>
      <c r="DE167" s="2049">
        <v>27</v>
      </c>
      <c r="DF167" s="2049">
        <v>3</v>
      </c>
      <c r="DG167" s="393">
        <v>3</v>
      </c>
      <c r="DH167" s="393">
        <v>0</v>
      </c>
      <c r="DI167" s="393">
        <v>48</v>
      </c>
      <c r="DJ167" s="36"/>
      <c r="DL167" s="36"/>
      <c r="DM167" s="36"/>
      <c r="DN167" s="36"/>
      <c r="DO167" s="36" t="s">
        <v>1072</v>
      </c>
      <c r="DP167" s="1681"/>
      <c r="DQ167" s="1681">
        <v>1</v>
      </c>
      <c r="DR167" s="1681">
        <v>2</v>
      </c>
      <c r="DS167" s="1681"/>
      <c r="DT167" s="1681"/>
      <c r="DU167" s="1681">
        <v>2</v>
      </c>
      <c r="DV167" s="1681"/>
      <c r="DW167" s="1681">
        <v>0</v>
      </c>
      <c r="DX167" s="1681">
        <v>2</v>
      </c>
      <c r="DY167" s="1681">
        <v>4</v>
      </c>
      <c r="DZ167" s="1681">
        <v>4</v>
      </c>
      <c r="EA167" s="1681">
        <v>4</v>
      </c>
      <c r="EB167" s="1681">
        <v>25</v>
      </c>
      <c r="EC167" s="1681">
        <v>9</v>
      </c>
      <c r="ED167" s="1681">
        <v>1</v>
      </c>
      <c r="EE167" s="95">
        <v>1</v>
      </c>
      <c r="EF167" s="95">
        <v>0</v>
      </c>
      <c r="EG167" s="95">
        <v>55</v>
      </c>
      <c r="EH167" s="36"/>
      <c r="EL167" s="36"/>
      <c r="EM167" s="36" t="s">
        <v>1081</v>
      </c>
      <c r="EN167" s="1490"/>
      <c r="EO167" s="1490"/>
      <c r="EP167" s="1490">
        <v>0</v>
      </c>
      <c r="EQ167" s="1490"/>
      <c r="ER167" s="1490"/>
      <c r="ES167" s="1490"/>
      <c r="ET167" s="1490"/>
      <c r="EU167" s="1490">
        <v>0</v>
      </c>
      <c r="EV167" s="1490"/>
      <c r="EW167" s="1490">
        <v>0</v>
      </c>
      <c r="EX167" s="1490">
        <v>0</v>
      </c>
      <c r="EY167" s="1490">
        <v>2</v>
      </c>
      <c r="EZ167" s="1490">
        <v>1</v>
      </c>
      <c r="FA167" s="1490">
        <v>1</v>
      </c>
      <c r="FB167" s="1490">
        <v>1</v>
      </c>
      <c r="FC167" s="36"/>
      <c r="FD167" s="36">
        <v>0</v>
      </c>
      <c r="FE167" s="36">
        <v>5</v>
      </c>
      <c r="FF167" s="36"/>
      <c r="FH167" s="1225"/>
      <c r="FI167" s="1225"/>
      <c r="FJ167" s="1225"/>
      <c r="FK167" s="1226" t="s">
        <v>1080</v>
      </c>
      <c r="FL167" s="1228">
        <v>0</v>
      </c>
      <c r="FM167" s="1228">
        <v>0</v>
      </c>
      <c r="FN167" s="1227"/>
      <c r="FO167" s="1228">
        <v>0</v>
      </c>
      <c r="FP167" s="1228">
        <v>0</v>
      </c>
      <c r="FQ167" s="1227"/>
      <c r="FR167" s="1228">
        <v>0</v>
      </c>
      <c r="FS167" s="1228">
        <v>0</v>
      </c>
      <c r="FT167" s="1228">
        <v>0</v>
      </c>
      <c r="FU167" s="1228">
        <v>1</v>
      </c>
      <c r="FV167" s="1228">
        <v>1</v>
      </c>
      <c r="FW167" s="1228">
        <v>3</v>
      </c>
      <c r="FX167" s="1228">
        <v>4</v>
      </c>
      <c r="FY167" s="1230">
        <v>1</v>
      </c>
      <c r="FZ167" s="1230">
        <v>2</v>
      </c>
      <c r="GA167" s="1230">
        <v>12</v>
      </c>
      <c r="GB167" s="36"/>
      <c r="GD167" s="603"/>
      <c r="GE167" s="603"/>
      <c r="GF167" s="603"/>
      <c r="GG167" s="604" t="s">
        <v>1077</v>
      </c>
      <c r="GH167" s="605"/>
      <c r="GI167" s="606">
        <v>0</v>
      </c>
      <c r="GJ167" s="606">
        <v>0</v>
      </c>
      <c r="GK167" s="605"/>
      <c r="GL167" s="605"/>
      <c r="GM167" s="605"/>
      <c r="GN167" s="606">
        <v>1</v>
      </c>
      <c r="GO167" s="605"/>
      <c r="GP167" s="606">
        <v>0</v>
      </c>
      <c r="GQ167" s="606">
        <v>0</v>
      </c>
      <c r="GR167" s="606">
        <v>0</v>
      </c>
      <c r="GS167" s="606">
        <v>0</v>
      </c>
      <c r="GT167" s="606">
        <v>0</v>
      </c>
      <c r="GU167" s="606">
        <v>0</v>
      </c>
      <c r="GV167" s="606">
        <v>0</v>
      </c>
      <c r="GW167" s="608">
        <v>0</v>
      </c>
      <c r="GX167" s="608">
        <v>0</v>
      </c>
      <c r="GY167" s="608">
        <v>1</v>
      </c>
      <c r="GZ167" s="95"/>
      <c r="HB167" s="441"/>
      <c r="HC167" s="441"/>
      <c r="HD167" s="441"/>
      <c r="HE167" s="441"/>
      <c r="HF167" s="442" t="s">
        <v>1163</v>
      </c>
      <c r="HG167" s="609"/>
      <c r="HH167" s="610">
        <v>0</v>
      </c>
      <c r="HI167" s="609"/>
      <c r="HJ167" s="609"/>
      <c r="HK167" s="609"/>
      <c r="HL167" s="609"/>
      <c r="HM167" s="609"/>
      <c r="HN167" s="609"/>
      <c r="HO167" s="609"/>
      <c r="HP167" s="610">
        <v>0</v>
      </c>
      <c r="HQ167" s="610">
        <v>0</v>
      </c>
      <c r="HR167" s="609"/>
      <c r="HS167" s="610">
        <v>1</v>
      </c>
      <c r="HT167" s="609"/>
      <c r="HU167" s="609"/>
      <c r="HV167" s="612">
        <v>0</v>
      </c>
      <c r="HW167" s="612">
        <v>0</v>
      </c>
      <c r="HX167" s="612">
        <v>1</v>
      </c>
      <c r="HY167" s="560"/>
      <c r="HZ167" s="36"/>
      <c r="IA167" s="613"/>
      <c r="IB167" s="613"/>
      <c r="IC167" s="613"/>
      <c r="ID167" s="389" t="s">
        <v>1163</v>
      </c>
      <c r="IE167" s="614"/>
      <c r="IF167" s="614"/>
      <c r="IG167" s="614"/>
      <c r="IH167" s="614"/>
      <c r="II167" s="614"/>
      <c r="IJ167" s="614"/>
      <c r="IK167" s="614"/>
      <c r="IL167" s="614"/>
      <c r="IM167" s="390">
        <v>2</v>
      </c>
      <c r="IN167" s="390">
        <v>0</v>
      </c>
      <c r="IO167" s="390">
        <v>0</v>
      </c>
      <c r="IP167" s="390">
        <v>0</v>
      </c>
      <c r="IQ167" s="390">
        <v>0</v>
      </c>
      <c r="IR167" s="390">
        <v>2</v>
      </c>
      <c r="IS167" s="615"/>
      <c r="IT167" s="36"/>
      <c r="IU167" s="36"/>
      <c r="IV167" s="95"/>
      <c r="IW167" s="95"/>
      <c r="IX167" s="95"/>
      <c r="IY167" s="36" t="s">
        <v>1080</v>
      </c>
      <c r="IZ167" s="36"/>
      <c r="JA167" s="36"/>
      <c r="JB167" s="36">
        <v>0</v>
      </c>
      <c r="JC167" s="36">
        <v>0</v>
      </c>
      <c r="JD167" s="36"/>
      <c r="JE167" s="36">
        <v>0</v>
      </c>
      <c r="JF167" s="36"/>
      <c r="JG167" s="36"/>
      <c r="JH167" s="36"/>
      <c r="JI167" s="36"/>
      <c r="JJ167" s="36">
        <v>0</v>
      </c>
      <c r="JK167" s="36"/>
      <c r="JL167" s="36"/>
      <c r="JM167" s="36"/>
      <c r="JN167" s="36">
        <v>1</v>
      </c>
      <c r="JO167" s="36">
        <v>1</v>
      </c>
      <c r="JP167" s="36">
        <v>2</v>
      </c>
      <c r="JQ167" s="36"/>
      <c r="JR167" s="36"/>
      <c r="JS167" s="616"/>
      <c r="JT167" s="616"/>
      <c r="JU167" s="36"/>
      <c r="JV167" s="36"/>
      <c r="JW167" s="36"/>
      <c r="JX167" s="36"/>
      <c r="JY167" s="36"/>
      <c r="JZ167" s="36"/>
      <c r="KA167" s="36"/>
      <c r="KB167" s="36"/>
      <c r="KC167" s="36"/>
      <c r="KD167" s="36"/>
      <c r="KE167" s="36"/>
      <c r="KF167" s="36"/>
      <c r="KG167" s="36"/>
      <c r="KH167" s="36"/>
      <c r="KI167" s="36"/>
      <c r="KJ167" s="36"/>
      <c r="KK167" s="36"/>
      <c r="KL167" s="36"/>
      <c r="KM167" s="36"/>
      <c r="KN167" s="36"/>
      <c r="KO167" s="36"/>
    </row>
    <row r="168" spans="1:301" ht="15" thickBot="1">
      <c r="A168" s="5737">
        <v>3</v>
      </c>
      <c r="B168" s="5737">
        <v>2</v>
      </c>
      <c r="C168" s="5736" t="s">
        <v>291</v>
      </c>
      <c r="D168" s="5736" t="s">
        <v>2709</v>
      </c>
      <c r="E168" s="5737">
        <v>15</v>
      </c>
      <c r="F168" s="5737">
        <v>12</v>
      </c>
      <c r="I168" s="4726">
        <v>3</v>
      </c>
      <c r="J168" s="4726">
        <v>2</v>
      </c>
      <c r="K168" s="4725" t="s">
        <v>2737</v>
      </c>
      <c r="L168" s="4725" t="s">
        <v>2731</v>
      </c>
      <c r="M168" s="4726">
        <v>2</v>
      </c>
      <c r="N168" s="4726">
        <v>15</v>
      </c>
      <c r="Q168" s="4458"/>
      <c r="R168" s="4458"/>
      <c r="S168" s="4465" t="s">
        <v>15</v>
      </c>
      <c r="T168" s="4459"/>
      <c r="U168" s="4458"/>
      <c r="V168" s="4480">
        <v>4</v>
      </c>
      <c r="W168" s="4510">
        <v>0</v>
      </c>
      <c r="X168" s="95">
        <v>3</v>
      </c>
      <c r="Z168" s="36"/>
      <c r="AA168" s="36"/>
      <c r="AB168" s="36"/>
      <c r="AC168" s="36" t="s">
        <v>1081</v>
      </c>
      <c r="AD168" s="615"/>
      <c r="AE168" s="615"/>
      <c r="AF168" s="615"/>
      <c r="AG168" s="615"/>
      <c r="AH168" s="615"/>
      <c r="AI168" s="615"/>
      <c r="AJ168" s="615"/>
      <c r="AK168" s="615"/>
      <c r="AL168" s="615"/>
      <c r="AM168" s="615">
        <v>1</v>
      </c>
      <c r="AN168" s="615">
        <v>1</v>
      </c>
      <c r="AO168" s="615"/>
      <c r="AP168" s="615"/>
      <c r="AQ168" s="36"/>
      <c r="AR168" s="36">
        <v>2</v>
      </c>
      <c r="AS168" s="36"/>
      <c r="AU168" s="36"/>
      <c r="AV168" s="36"/>
      <c r="AW168" s="36" t="s">
        <v>1743</v>
      </c>
      <c r="AX168" s="36" t="s">
        <v>1072</v>
      </c>
      <c r="AY168" s="1681"/>
      <c r="AZ168" s="1681"/>
      <c r="BA168" s="1681"/>
      <c r="BB168" s="1681"/>
      <c r="BC168" s="1681"/>
      <c r="BD168" s="1681"/>
      <c r="BE168" s="1681"/>
      <c r="BF168" s="1681"/>
      <c r="BG168" s="1681">
        <v>0</v>
      </c>
      <c r="BH168" s="1681">
        <v>1</v>
      </c>
      <c r="BI168" s="1681"/>
      <c r="BJ168" s="1681">
        <v>0</v>
      </c>
      <c r="BK168" s="1681"/>
      <c r="BL168" s="1681">
        <v>0</v>
      </c>
      <c r="BM168" s="95"/>
      <c r="BN168" s="95"/>
      <c r="BO168" s="95">
        <v>1</v>
      </c>
      <c r="BP168" s="95"/>
      <c r="BU168" s="1520" t="s">
        <v>15</v>
      </c>
      <c r="BV168" s="3872"/>
      <c r="BW168" s="3872"/>
      <c r="BX168" s="3872"/>
      <c r="BY168" s="3872"/>
      <c r="BZ168" s="3872"/>
      <c r="CA168" s="3872"/>
      <c r="CB168" s="3872"/>
      <c r="CC168" s="3872"/>
      <c r="CD168" s="3872"/>
      <c r="CE168" s="3872"/>
      <c r="CF168" s="3872">
        <v>1</v>
      </c>
      <c r="CG168" s="3872">
        <v>6</v>
      </c>
      <c r="CH168" s="3872">
        <v>7</v>
      </c>
      <c r="CI168" s="3872"/>
      <c r="CJ168" s="3806">
        <v>2</v>
      </c>
      <c r="CK168" s="3806">
        <v>16</v>
      </c>
      <c r="CL168" s="3807">
        <f>+(CK164+CK166+CK167)/CK168</f>
        <v>0.375</v>
      </c>
      <c r="CN168" s="36"/>
      <c r="CO168" s="36"/>
      <c r="CP168" s="393"/>
      <c r="CQ168" s="393" t="s">
        <v>1077</v>
      </c>
      <c r="CR168" s="2049">
        <v>0</v>
      </c>
      <c r="CS168" s="2049">
        <v>1</v>
      </c>
      <c r="CT168" s="2049">
        <v>0</v>
      </c>
      <c r="CU168" s="2049">
        <v>1</v>
      </c>
      <c r="CV168" s="2049"/>
      <c r="CW168" s="2049">
        <v>0</v>
      </c>
      <c r="CX168" s="2049">
        <v>0</v>
      </c>
      <c r="CY168" s="2049"/>
      <c r="CZ168" s="2049"/>
      <c r="DA168" s="2049">
        <v>0</v>
      </c>
      <c r="DB168" s="2049">
        <v>1</v>
      </c>
      <c r="DC168" s="2049">
        <v>0</v>
      </c>
      <c r="DD168" s="2049">
        <v>0</v>
      </c>
      <c r="DE168" s="2049">
        <v>0</v>
      </c>
      <c r="DF168" s="2049">
        <v>0</v>
      </c>
      <c r="DG168" s="393">
        <v>0</v>
      </c>
      <c r="DH168" s="393">
        <v>0</v>
      </c>
      <c r="DI168" s="393">
        <v>3</v>
      </c>
      <c r="DJ168" s="36"/>
      <c r="DL168" s="36"/>
      <c r="DM168" s="36"/>
      <c r="DN168" s="36"/>
      <c r="DO168" s="36" t="s">
        <v>1076</v>
      </c>
      <c r="DP168" s="1681"/>
      <c r="DQ168" s="1681">
        <v>0</v>
      </c>
      <c r="DR168" s="1681">
        <v>0</v>
      </c>
      <c r="DS168" s="1681"/>
      <c r="DT168" s="1681"/>
      <c r="DU168" s="1681">
        <v>0</v>
      </c>
      <c r="DV168" s="1681"/>
      <c r="DW168" s="1681">
        <v>0</v>
      </c>
      <c r="DX168" s="1681">
        <v>0</v>
      </c>
      <c r="DY168" s="1681">
        <v>0</v>
      </c>
      <c r="DZ168" s="1681">
        <v>0</v>
      </c>
      <c r="EA168" s="1681">
        <v>0</v>
      </c>
      <c r="EB168" s="1681">
        <v>6</v>
      </c>
      <c r="EC168" s="1681">
        <v>2</v>
      </c>
      <c r="ED168" s="1681">
        <v>0</v>
      </c>
      <c r="EE168" s="95">
        <v>0</v>
      </c>
      <c r="EF168" s="95">
        <v>0</v>
      </c>
      <c r="EG168" s="95">
        <v>8</v>
      </c>
      <c r="EH168" s="36"/>
      <c r="EL168" s="36"/>
      <c r="EM168" s="36" t="s">
        <v>1163</v>
      </c>
      <c r="EN168" s="1490"/>
      <c r="EO168" s="1490"/>
      <c r="EP168" s="1490">
        <v>0</v>
      </c>
      <c r="EQ168" s="1490"/>
      <c r="ER168" s="1490"/>
      <c r="ES168" s="1490"/>
      <c r="ET168" s="1490"/>
      <c r="EU168" s="1490">
        <v>0</v>
      </c>
      <c r="EV168" s="1490"/>
      <c r="EW168" s="1490">
        <v>1</v>
      </c>
      <c r="EX168" s="1490">
        <v>1</v>
      </c>
      <c r="EY168" s="1490">
        <v>0</v>
      </c>
      <c r="EZ168" s="1490">
        <v>0</v>
      </c>
      <c r="FA168" s="1490">
        <v>2</v>
      </c>
      <c r="FB168" s="1490">
        <v>0</v>
      </c>
      <c r="FC168" s="36"/>
      <c r="FD168" s="36">
        <v>0</v>
      </c>
      <c r="FE168" s="36">
        <v>4</v>
      </c>
      <c r="FF168" s="36"/>
      <c r="FH168" s="1225"/>
      <c r="FI168" s="1225"/>
      <c r="FJ168" s="1225"/>
      <c r="FK168" s="1226" t="s">
        <v>1081</v>
      </c>
      <c r="FL168" s="1228">
        <v>0</v>
      </c>
      <c r="FM168" s="1228">
        <v>0</v>
      </c>
      <c r="FN168" s="1227"/>
      <c r="FO168" s="1228">
        <v>0</v>
      </c>
      <c r="FP168" s="1228">
        <v>0</v>
      </c>
      <c r="FQ168" s="1227"/>
      <c r="FR168" s="1228">
        <v>0</v>
      </c>
      <c r="FS168" s="1228">
        <v>1</v>
      </c>
      <c r="FT168" s="1228">
        <v>0</v>
      </c>
      <c r="FU168" s="1228">
        <v>2</v>
      </c>
      <c r="FV168" s="1228">
        <v>4</v>
      </c>
      <c r="FW168" s="1228">
        <v>1</v>
      </c>
      <c r="FX168" s="1228">
        <v>0</v>
      </c>
      <c r="FY168" s="1230">
        <v>1</v>
      </c>
      <c r="FZ168" s="1230">
        <v>0</v>
      </c>
      <c r="GA168" s="1230">
        <v>9</v>
      </c>
      <c r="GB168" s="36"/>
      <c r="GD168" s="603"/>
      <c r="GE168" s="603"/>
      <c r="GF168" s="603"/>
      <c r="GG168" s="604" t="s">
        <v>1080</v>
      </c>
      <c r="GH168" s="605"/>
      <c r="GI168" s="606">
        <v>0</v>
      </c>
      <c r="GJ168" s="606">
        <v>0</v>
      </c>
      <c r="GK168" s="605"/>
      <c r="GL168" s="605"/>
      <c r="GM168" s="605"/>
      <c r="GN168" s="606">
        <v>0</v>
      </c>
      <c r="GO168" s="605"/>
      <c r="GP168" s="606">
        <v>0</v>
      </c>
      <c r="GQ168" s="606">
        <v>0</v>
      </c>
      <c r="GR168" s="606">
        <v>0</v>
      </c>
      <c r="GS168" s="606">
        <v>0</v>
      </c>
      <c r="GT168" s="606">
        <v>0</v>
      </c>
      <c r="GU168" s="606">
        <v>0</v>
      </c>
      <c r="GV168" s="606">
        <v>0</v>
      </c>
      <c r="GW168" s="608">
        <v>0</v>
      </c>
      <c r="GX168" s="608">
        <v>1</v>
      </c>
      <c r="GY168" s="608">
        <v>1</v>
      </c>
      <c r="GZ168" s="95"/>
      <c r="HB168" s="441"/>
      <c r="HC168" s="441"/>
      <c r="HD168" s="441"/>
      <c r="HE168" s="36"/>
      <c r="HF168" s="462" t="s">
        <v>15</v>
      </c>
      <c r="HG168" s="618"/>
      <c r="HH168" s="619">
        <v>1</v>
      </c>
      <c r="HI168" s="618"/>
      <c r="HJ168" s="618"/>
      <c r="HK168" s="618"/>
      <c r="HL168" s="618"/>
      <c r="HM168" s="618"/>
      <c r="HN168" s="618"/>
      <c r="HO168" s="618"/>
      <c r="HP168" s="619">
        <v>2</v>
      </c>
      <c r="HQ168" s="619">
        <v>1</v>
      </c>
      <c r="HR168" s="618"/>
      <c r="HS168" s="619">
        <v>1</v>
      </c>
      <c r="HT168" s="618"/>
      <c r="HU168" s="618"/>
      <c r="HV168" s="621">
        <v>1</v>
      </c>
      <c r="HW168" s="621">
        <v>4</v>
      </c>
      <c r="HX168" s="621">
        <v>10</v>
      </c>
      <c r="HY168" s="560">
        <f>+HX167/HX168</f>
        <v>0.1</v>
      </c>
      <c r="HZ168" s="36"/>
      <c r="IA168" s="637"/>
      <c r="IB168" s="637"/>
      <c r="IC168" s="637"/>
      <c r="ID168" s="638" t="s">
        <v>726</v>
      </c>
      <c r="IE168" s="639"/>
      <c r="IF168" s="639"/>
      <c r="IG168" s="639"/>
      <c r="IH168" s="639"/>
      <c r="II168" s="639"/>
      <c r="IJ168" s="639"/>
      <c r="IK168" s="639"/>
      <c r="IL168" s="639"/>
      <c r="IM168" s="399">
        <v>2</v>
      </c>
      <c r="IN168" s="399">
        <v>1</v>
      </c>
      <c r="IO168" s="399">
        <v>3</v>
      </c>
      <c r="IP168" s="399">
        <v>1</v>
      </c>
      <c r="IQ168" s="399">
        <v>4</v>
      </c>
      <c r="IR168" s="399">
        <v>11</v>
      </c>
      <c r="IS168" s="567">
        <f>+(IR167+IR166+IR164-IP164)/IR168</f>
        <v>0.27272727272727271</v>
      </c>
      <c r="IT168" s="36"/>
      <c r="IU168" s="36"/>
      <c r="IV168" s="396"/>
      <c r="IW168" s="396"/>
      <c r="IX168" s="396"/>
      <c r="IY168" s="397" t="s">
        <v>15</v>
      </c>
      <c r="IZ168" s="397"/>
      <c r="JA168" s="397"/>
      <c r="JB168" s="397">
        <v>1</v>
      </c>
      <c r="JC168" s="397">
        <v>1</v>
      </c>
      <c r="JD168" s="397"/>
      <c r="JE168" s="397">
        <v>1</v>
      </c>
      <c r="JF168" s="397"/>
      <c r="JG168" s="397"/>
      <c r="JH168" s="397"/>
      <c r="JI168" s="397"/>
      <c r="JJ168" s="397">
        <v>1</v>
      </c>
      <c r="JK168" s="397"/>
      <c r="JL168" s="397"/>
      <c r="JM168" s="397"/>
      <c r="JN168" s="397">
        <v>1</v>
      </c>
      <c r="JO168" s="397">
        <v>1</v>
      </c>
      <c r="JP168" s="397">
        <v>6</v>
      </c>
      <c r="JQ168" s="640">
        <v>0</v>
      </c>
      <c r="JR168" s="36"/>
      <c r="JS168" s="616"/>
      <c r="JT168" s="616"/>
      <c r="JU168" s="36"/>
      <c r="JV168" s="36"/>
      <c r="JW168" s="36"/>
      <c r="JX168" s="36"/>
      <c r="JY168" s="36"/>
      <c r="JZ168" s="36"/>
      <c r="KA168" s="36"/>
      <c r="KB168" s="36"/>
      <c r="KC168" s="36"/>
      <c r="KD168" s="36"/>
      <c r="KE168" s="36"/>
      <c r="KF168" s="36"/>
      <c r="KG168" s="36"/>
      <c r="KH168" s="36"/>
      <c r="KI168" s="36"/>
      <c r="KJ168" s="36"/>
      <c r="KK168" s="36"/>
      <c r="KL168" s="36"/>
      <c r="KM168" s="36"/>
      <c r="KN168" s="36"/>
      <c r="KO168" s="36"/>
    </row>
    <row r="169" spans="1:301">
      <c r="A169" s="5737">
        <v>3</v>
      </c>
      <c r="B169" s="5737">
        <v>2</v>
      </c>
      <c r="C169" s="5736" t="s">
        <v>291</v>
      </c>
      <c r="D169" s="5736" t="s">
        <v>2709</v>
      </c>
      <c r="E169" s="5737">
        <v>17</v>
      </c>
      <c r="F169" s="5737">
        <v>13</v>
      </c>
      <c r="I169" s="4726">
        <v>3</v>
      </c>
      <c r="J169" s="4726">
        <v>2</v>
      </c>
      <c r="K169" s="4725" t="s">
        <v>2737</v>
      </c>
      <c r="L169" s="4963" t="s">
        <v>1076</v>
      </c>
      <c r="M169" s="4964">
        <v>1</v>
      </c>
      <c r="N169" s="4726">
        <v>13</v>
      </c>
      <c r="Q169" s="4458"/>
      <c r="R169" s="4458"/>
      <c r="S169" s="4459"/>
      <c r="T169" s="4459"/>
      <c r="U169" s="4458"/>
      <c r="V169" s="4490">
        <f>SUM(V163)</f>
        <v>1</v>
      </c>
      <c r="W169" s="4510"/>
      <c r="Z169" s="36"/>
      <c r="AA169" s="36"/>
      <c r="AB169" s="36"/>
      <c r="AC169" s="4236" t="s">
        <v>15</v>
      </c>
      <c r="AD169" s="4236"/>
      <c r="AE169" s="4236"/>
      <c r="AF169" s="4236"/>
      <c r="AG169" s="4236"/>
      <c r="AH169" s="4236"/>
      <c r="AI169" s="4236"/>
      <c r="AJ169" s="4236"/>
      <c r="AK169" s="4236"/>
      <c r="AL169" s="4236"/>
      <c r="AM169" s="4236">
        <v>1</v>
      </c>
      <c r="AN169" s="4236">
        <v>4</v>
      </c>
      <c r="AO169" s="4236"/>
      <c r="AP169" s="4236"/>
      <c r="AQ169" s="4236"/>
      <c r="AR169" s="4236">
        <v>5</v>
      </c>
      <c r="AS169" s="4243">
        <f>(AR167+AR168)/(AR169)</f>
        <v>0.8</v>
      </c>
      <c r="AU169" s="36"/>
      <c r="AV169" s="36"/>
      <c r="AW169" s="36"/>
      <c r="AX169" s="36" t="s">
        <v>1076</v>
      </c>
      <c r="AY169" s="1681"/>
      <c r="AZ169" s="1681"/>
      <c r="BA169" s="1681"/>
      <c r="BB169" s="1681"/>
      <c r="BC169" s="1681"/>
      <c r="BD169" s="1681"/>
      <c r="BE169" s="1681"/>
      <c r="BF169" s="1681"/>
      <c r="BG169" s="1681">
        <v>0</v>
      </c>
      <c r="BH169" s="1681">
        <v>0</v>
      </c>
      <c r="BI169" s="1681"/>
      <c r="BJ169" s="1681">
        <v>2</v>
      </c>
      <c r="BK169" s="1681"/>
      <c r="BL169" s="1681">
        <v>0</v>
      </c>
      <c r="BM169" s="95"/>
      <c r="BN169" s="95"/>
      <c r="BO169" s="95">
        <v>2</v>
      </c>
      <c r="BP169" s="95"/>
      <c r="BT169" s="32" t="s">
        <v>1743</v>
      </c>
      <c r="BU169" s="32" t="s">
        <v>1072</v>
      </c>
      <c r="BV169" s="3871"/>
      <c r="BW169" s="3871"/>
      <c r="BX169" s="3871"/>
      <c r="BY169" s="3871"/>
      <c r="BZ169" s="3871"/>
      <c r="CA169" s="3871"/>
      <c r="CB169" s="3871"/>
      <c r="CC169" s="3871"/>
      <c r="CD169" s="3871">
        <v>0</v>
      </c>
      <c r="CE169" s="3871">
        <v>1</v>
      </c>
      <c r="CF169" s="3871"/>
      <c r="CG169" s="3871">
        <v>0</v>
      </c>
      <c r="CH169" s="3871"/>
      <c r="CI169" s="3871">
        <v>0</v>
      </c>
      <c r="CJ169" s="1518"/>
      <c r="CK169" s="1518">
        <v>1</v>
      </c>
      <c r="CN169" s="36"/>
      <c r="CO169" s="36"/>
      <c r="CP169" s="393"/>
      <c r="CQ169" s="393" t="s">
        <v>1080</v>
      </c>
      <c r="CR169" s="2049">
        <v>0</v>
      </c>
      <c r="CS169" s="2049">
        <v>0</v>
      </c>
      <c r="CT169" s="2049">
        <v>0</v>
      </c>
      <c r="CU169" s="2049">
        <v>0</v>
      </c>
      <c r="CV169" s="2049"/>
      <c r="CW169" s="2049">
        <v>0</v>
      </c>
      <c r="CX169" s="2049">
        <v>0</v>
      </c>
      <c r="CY169" s="2049"/>
      <c r="CZ169" s="2049"/>
      <c r="DA169" s="2049">
        <v>0</v>
      </c>
      <c r="DB169" s="2049">
        <v>0</v>
      </c>
      <c r="DC169" s="2049">
        <v>0</v>
      </c>
      <c r="DD169" s="2049">
        <v>0</v>
      </c>
      <c r="DE169" s="2049">
        <v>10</v>
      </c>
      <c r="DF169" s="2049">
        <v>58</v>
      </c>
      <c r="DG169" s="393">
        <v>9</v>
      </c>
      <c r="DH169" s="393">
        <v>12</v>
      </c>
      <c r="DI169" s="393">
        <v>89</v>
      </c>
      <c r="DJ169" s="36"/>
      <c r="DL169" s="36"/>
      <c r="DM169" s="36"/>
      <c r="DN169" s="36"/>
      <c r="DO169" s="36" t="s">
        <v>1077</v>
      </c>
      <c r="DP169" s="1681"/>
      <c r="DQ169" s="1681">
        <v>0</v>
      </c>
      <c r="DR169" s="1681">
        <v>0</v>
      </c>
      <c r="DS169" s="1681"/>
      <c r="DT169" s="1681"/>
      <c r="DU169" s="1681">
        <v>0</v>
      </c>
      <c r="DV169" s="1681"/>
      <c r="DW169" s="1681">
        <v>0</v>
      </c>
      <c r="DX169" s="1681">
        <v>0</v>
      </c>
      <c r="DY169" s="1681">
        <v>1</v>
      </c>
      <c r="DZ169" s="1681">
        <v>0</v>
      </c>
      <c r="EA169" s="1681">
        <v>0</v>
      </c>
      <c r="EB169" s="1681">
        <v>0</v>
      </c>
      <c r="EC169" s="1681">
        <v>0</v>
      </c>
      <c r="ED169" s="1681">
        <v>0</v>
      </c>
      <c r="EE169" s="95">
        <v>0</v>
      </c>
      <c r="EF169" s="95">
        <v>0</v>
      </c>
      <c r="EG169" s="95">
        <v>1</v>
      </c>
      <c r="EH169" s="36"/>
      <c r="EL169" s="36"/>
      <c r="EM169" s="393" t="s">
        <v>412</v>
      </c>
      <c r="EN169" s="1491"/>
      <c r="EO169" s="1491"/>
      <c r="EP169" s="1491">
        <v>1</v>
      </c>
      <c r="EQ169" s="1491"/>
      <c r="ER169" s="1491"/>
      <c r="ES169" s="1491"/>
      <c r="ET169" s="1491"/>
      <c r="EU169" s="1491">
        <v>1</v>
      </c>
      <c r="EV169" s="1491"/>
      <c r="EW169" s="1491">
        <v>6</v>
      </c>
      <c r="EX169" s="1491">
        <v>3</v>
      </c>
      <c r="EY169" s="1491">
        <v>2</v>
      </c>
      <c r="EZ169" s="1491">
        <v>9</v>
      </c>
      <c r="FA169" s="1491">
        <v>5</v>
      </c>
      <c r="FB169" s="1491">
        <v>7</v>
      </c>
      <c r="FC169" s="393"/>
      <c r="FD169" s="393">
        <v>3</v>
      </c>
      <c r="FE169" s="393">
        <v>37</v>
      </c>
      <c r="FF169" s="560">
        <f>+(FE165+FE167+FE168)/FE169</f>
        <v>0.27027027027027029</v>
      </c>
      <c r="FH169" s="1225"/>
      <c r="FI169" s="1225"/>
      <c r="FJ169" s="1225"/>
      <c r="FK169" s="1226" t="s">
        <v>1163</v>
      </c>
      <c r="FL169" s="1228">
        <v>0</v>
      </c>
      <c r="FM169" s="1228">
        <v>0</v>
      </c>
      <c r="FN169" s="1227"/>
      <c r="FO169" s="1228">
        <v>0</v>
      </c>
      <c r="FP169" s="1228">
        <v>0</v>
      </c>
      <c r="FQ169" s="1227"/>
      <c r="FR169" s="1228">
        <v>0</v>
      </c>
      <c r="FS169" s="1228">
        <v>2</v>
      </c>
      <c r="FT169" s="1228">
        <v>0</v>
      </c>
      <c r="FU169" s="1228">
        <v>1</v>
      </c>
      <c r="FV169" s="1228">
        <v>6</v>
      </c>
      <c r="FW169" s="1228">
        <v>5</v>
      </c>
      <c r="FX169" s="1228">
        <v>0</v>
      </c>
      <c r="FY169" s="1230">
        <v>0</v>
      </c>
      <c r="FZ169" s="1230">
        <v>0</v>
      </c>
      <c r="GA169" s="1230">
        <v>14</v>
      </c>
      <c r="GB169" s="36"/>
      <c r="GD169" s="603"/>
      <c r="GE169" s="603"/>
      <c r="GF169" s="603"/>
      <c r="GG169" s="604" t="s">
        <v>1163</v>
      </c>
      <c r="GH169" s="605"/>
      <c r="GI169" s="606">
        <v>0</v>
      </c>
      <c r="GJ169" s="606">
        <v>0</v>
      </c>
      <c r="GK169" s="605"/>
      <c r="GL169" s="605"/>
      <c r="GM169" s="605"/>
      <c r="GN169" s="606">
        <v>0</v>
      </c>
      <c r="GO169" s="605"/>
      <c r="GP169" s="606">
        <v>0</v>
      </c>
      <c r="GQ169" s="606">
        <v>4</v>
      </c>
      <c r="GR169" s="606">
        <v>4</v>
      </c>
      <c r="GS169" s="606">
        <v>1</v>
      </c>
      <c r="GT169" s="606">
        <v>1</v>
      </c>
      <c r="GU169" s="606">
        <v>0</v>
      </c>
      <c r="GV169" s="606">
        <v>0</v>
      </c>
      <c r="GW169" s="608">
        <v>0</v>
      </c>
      <c r="GX169" s="608">
        <v>0</v>
      </c>
      <c r="GY169" s="608">
        <v>10</v>
      </c>
      <c r="GZ169" s="95"/>
      <c r="HB169" s="441"/>
      <c r="HC169" s="441"/>
      <c r="HD169" s="462" t="s">
        <v>726</v>
      </c>
      <c r="HE169" s="441" t="s">
        <v>1070</v>
      </c>
      <c r="HF169" s="442" t="s">
        <v>1072</v>
      </c>
      <c r="HG169" s="609"/>
      <c r="HH169" s="610">
        <v>1</v>
      </c>
      <c r="HI169" s="609"/>
      <c r="HJ169" s="609"/>
      <c r="HK169" s="609"/>
      <c r="HL169" s="609"/>
      <c r="HM169" s="609"/>
      <c r="HN169" s="609"/>
      <c r="HO169" s="609"/>
      <c r="HP169" s="610">
        <v>2</v>
      </c>
      <c r="HQ169" s="610">
        <v>1</v>
      </c>
      <c r="HR169" s="609"/>
      <c r="HS169" s="610">
        <v>0</v>
      </c>
      <c r="HT169" s="609"/>
      <c r="HU169" s="609"/>
      <c r="HV169" s="612">
        <v>0</v>
      </c>
      <c r="HW169" s="612">
        <v>0</v>
      </c>
      <c r="HX169" s="612">
        <v>4</v>
      </c>
      <c r="HY169" s="560"/>
      <c r="HZ169" s="36"/>
      <c r="IA169" s="613"/>
      <c r="IB169" s="613"/>
      <c r="IC169" s="613"/>
      <c r="ID169" s="629"/>
      <c r="IE169" s="630"/>
      <c r="IF169" s="630"/>
      <c r="IG169" s="630"/>
      <c r="IH169" s="395"/>
      <c r="II169" s="395"/>
      <c r="IJ169" s="395"/>
      <c r="IK169" s="395"/>
      <c r="IL169" s="395"/>
      <c r="IM169" s="395"/>
      <c r="IN169" s="395"/>
      <c r="IO169" s="395"/>
      <c r="IP169" s="395"/>
      <c r="IQ169" s="395"/>
      <c r="IR169" s="395"/>
      <c r="IS169" s="36"/>
      <c r="IT169" s="36"/>
      <c r="IU169" s="36"/>
      <c r="IV169" s="95"/>
      <c r="IW169" s="95"/>
      <c r="IX169" s="36"/>
      <c r="IY169" s="36"/>
      <c r="IZ169" s="36"/>
      <c r="JA169" s="36"/>
      <c r="JB169" s="36"/>
      <c r="JC169" s="36"/>
      <c r="JD169" s="36"/>
      <c r="JE169" s="36"/>
      <c r="JF169" s="36"/>
      <c r="JG169" s="36"/>
      <c r="JH169" s="36"/>
      <c r="JI169" s="36"/>
      <c r="JJ169" s="36"/>
      <c r="JK169" s="36"/>
      <c r="JL169" s="36"/>
      <c r="JM169" s="36"/>
      <c r="JN169" s="36"/>
      <c r="JO169" s="36"/>
      <c r="JP169" s="36"/>
      <c r="JQ169" s="36"/>
      <c r="JR169" s="36"/>
      <c r="JS169" s="616"/>
      <c r="JT169" s="616"/>
      <c r="JU169" s="36"/>
      <c r="JV169" s="36"/>
      <c r="JW169" s="36"/>
      <c r="JX169" s="36"/>
      <c r="JY169" s="36"/>
      <c r="JZ169" s="36"/>
      <c r="KA169" s="36"/>
      <c r="KB169" s="36"/>
      <c r="KC169" s="36"/>
      <c r="KD169" s="36"/>
      <c r="KE169" s="36"/>
      <c r="KF169" s="36"/>
      <c r="KG169" s="36"/>
      <c r="KH169" s="36"/>
      <c r="KI169" s="36"/>
      <c r="KJ169" s="36"/>
      <c r="KK169" s="36"/>
      <c r="KL169" s="36"/>
      <c r="KM169" s="36"/>
      <c r="KN169" s="36"/>
      <c r="KO169" s="36"/>
    </row>
    <row r="170" spans="1:301">
      <c r="A170" s="5737">
        <v>3</v>
      </c>
      <c r="B170" s="5737">
        <v>2</v>
      </c>
      <c r="C170" s="5736" t="s">
        <v>291</v>
      </c>
      <c r="D170" s="5736" t="s">
        <v>2709</v>
      </c>
      <c r="E170" s="5737">
        <v>1</v>
      </c>
      <c r="F170" s="5737">
        <v>14</v>
      </c>
      <c r="I170" s="4726"/>
      <c r="J170" s="4726"/>
      <c r="K170" s="4725"/>
      <c r="L170" s="4963"/>
      <c r="M170" s="4987">
        <f>SUM(M168:M169)</f>
        <v>3</v>
      </c>
      <c r="N170" s="4726"/>
      <c r="O170" s="4513">
        <f>+(M169)/(M170)</f>
        <v>0.33333333333333331</v>
      </c>
      <c r="Q170" s="4474"/>
      <c r="R170" s="4474"/>
      <c r="S170" s="4504" t="s">
        <v>256</v>
      </c>
      <c r="T170" s="4501"/>
      <c r="U170" s="4502"/>
      <c r="V170" s="4503">
        <f>SUM(V161,V164,V168)</f>
        <v>18</v>
      </c>
      <c r="W170" s="4514">
        <f>+(V169)/(V170)</f>
        <v>5.5555555555555552E-2</v>
      </c>
      <c r="Z170" s="36"/>
      <c r="AA170" s="36"/>
      <c r="AB170" s="36" t="s">
        <v>15</v>
      </c>
      <c r="AC170" s="36" t="s">
        <v>1072</v>
      </c>
      <c r="AD170" s="615">
        <v>0</v>
      </c>
      <c r="AE170" s="615"/>
      <c r="AF170" s="615"/>
      <c r="AG170" s="615"/>
      <c r="AH170" s="615"/>
      <c r="AI170" s="615"/>
      <c r="AJ170" s="615"/>
      <c r="AK170" s="615">
        <v>5</v>
      </c>
      <c r="AL170" s="615">
        <v>6</v>
      </c>
      <c r="AM170" s="615">
        <v>1</v>
      </c>
      <c r="AN170" s="615">
        <v>3</v>
      </c>
      <c r="AO170" s="615">
        <v>0</v>
      </c>
      <c r="AP170" s="615"/>
      <c r="AQ170" s="36">
        <v>0</v>
      </c>
      <c r="AR170" s="36">
        <v>15</v>
      </c>
      <c r="AS170" s="36"/>
      <c r="AU170" s="36"/>
      <c r="AV170" s="36"/>
      <c r="AW170" s="36"/>
      <c r="AX170" s="36" t="s">
        <v>1080</v>
      </c>
      <c r="AY170" s="1681"/>
      <c r="AZ170" s="1681"/>
      <c r="BA170" s="1681"/>
      <c r="BB170" s="1681"/>
      <c r="BC170" s="1681"/>
      <c r="BD170" s="1681"/>
      <c r="BE170" s="1681"/>
      <c r="BF170" s="1681"/>
      <c r="BG170" s="1681">
        <v>0</v>
      </c>
      <c r="BH170" s="1681">
        <v>0</v>
      </c>
      <c r="BI170" s="1681"/>
      <c r="BJ170" s="1681">
        <v>0</v>
      </c>
      <c r="BK170" s="1681"/>
      <c r="BL170" s="1681">
        <v>1</v>
      </c>
      <c r="BM170" s="95"/>
      <c r="BN170" s="95"/>
      <c r="BO170" s="95">
        <v>1</v>
      </c>
      <c r="BP170" s="95"/>
      <c r="BU170" s="32" t="s">
        <v>1076</v>
      </c>
      <c r="BV170" s="3871"/>
      <c r="BW170" s="3871"/>
      <c r="BX170" s="3871"/>
      <c r="BY170" s="3871"/>
      <c r="BZ170" s="3871"/>
      <c r="CA170" s="3871"/>
      <c r="CB170" s="3871"/>
      <c r="CC170" s="3871"/>
      <c r="CD170" s="3871">
        <v>0</v>
      </c>
      <c r="CE170" s="3871">
        <v>0</v>
      </c>
      <c r="CF170" s="3871"/>
      <c r="CG170" s="3871">
        <v>2</v>
      </c>
      <c r="CH170" s="3871"/>
      <c r="CI170" s="3871">
        <v>0</v>
      </c>
      <c r="CJ170" s="1518"/>
      <c r="CK170" s="1518">
        <v>2</v>
      </c>
      <c r="CN170" s="36"/>
      <c r="CO170" s="36"/>
      <c r="CP170" s="393"/>
      <c r="CQ170" s="393" t="s">
        <v>1081</v>
      </c>
      <c r="CR170" s="2049">
        <v>0</v>
      </c>
      <c r="CS170" s="2049">
        <v>0</v>
      </c>
      <c r="CT170" s="2049">
        <v>0</v>
      </c>
      <c r="CU170" s="2049">
        <v>0</v>
      </c>
      <c r="CV170" s="2049"/>
      <c r="CW170" s="2049">
        <v>0</v>
      </c>
      <c r="CX170" s="2049">
        <v>0</v>
      </c>
      <c r="CY170" s="2049"/>
      <c r="CZ170" s="2049"/>
      <c r="DA170" s="2049">
        <v>0</v>
      </c>
      <c r="DB170" s="2049">
        <v>0</v>
      </c>
      <c r="DC170" s="2049">
        <v>0</v>
      </c>
      <c r="DD170" s="2049">
        <v>1</v>
      </c>
      <c r="DE170" s="2049">
        <v>0</v>
      </c>
      <c r="DF170" s="2049">
        <v>0</v>
      </c>
      <c r="DG170" s="393">
        <v>0</v>
      </c>
      <c r="DH170" s="393">
        <v>0</v>
      </c>
      <c r="DI170" s="393">
        <v>1</v>
      </c>
      <c r="DJ170" s="36"/>
      <c r="DL170" s="36"/>
      <c r="DM170" s="36"/>
      <c r="DN170" s="36"/>
      <c r="DO170" s="36" t="s">
        <v>1080</v>
      </c>
      <c r="DP170" s="1681"/>
      <c r="DQ170" s="1681">
        <v>0</v>
      </c>
      <c r="DR170" s="1681">
        <v>0</v>
      </c>
      <c r="DS170" s="1681"/>
      <c r="DT170" s="1681"/>
      <c r="DU170" s="1681">
        <v>0</v>
      </c>
      <c r="DV170" s="1681"/>
      <c r="DW170" s="1681">
        <v>0</v>
      </c>
      <c r="DX170" s="1681">
        <v>0</v>
      </c>
      <c r="DY170" s="1681">
        <v>0</v>
      </c>
      <c r="DZ170" s="1681">
        <v>0</v>
      </c>
      <c r="EA170" s="1681">
        <v>0</v>
      </c>
      <c r="EB170" s="1681">
        <v>0</v>
      </c>
      <c r="EC170" s="1681">
        <v>0</v>
      </c>
      <c r="ED170" s="1681">
        <v>3</v>
      </c>
      <c r="EE170" s="95">
        <v>0</v>
      </c>
      <c r="EF170" s="95">
        <v>10</v>
      </c>
      <c r="EG170" s="95">
        <v>13</v>
      </c>
      <c r="EH170" s="36"/>
      <c r="EJ170" s="95" t="s">
        <v>59</v>
      </c>
      <c r="EK170" s="95" t="s">
        <v>16</v>
      </c>
      <c r="EL170" s="36" t="s">
        <v>608</v>
      </c>
      <c r="EM170" s="36" t="s">
        <v>1072</v>
      </c>
      <c r="EN170" s="1490"/>
      <c r="EO170" s="1490">
        <v>0</v>
      </c>
      <c r="EP170" s="1490"/>
      <c r="EQ170" s="1490"/>
      <c r="ER170" s="1490">
        <v>0</v>
      </c>
      <c r="ES170" s="1490"/>
      <c r="ET170" s="1490"/>
      <c r="EU170" s="1490"/>
      <c r="EV170" s="1490"/>
      <c r="EW170" s="1490">
        <v>3</v>
      </c>
      <c r="EX170" s="1490">
        <v>1</v>
      </c>
      <c r="EY170" s="1490"/>
      <c r="EZ170" s="1490"/>
      <c r="FA170" s="1490"/>
      <c r="FB170" s="1490"/>
      <c r="FC170" s="36"/>
      <c r="FD170" s="36">
        <v>0</v>
      </c>
      <c r="FE170" s="36">
        <v>4</v>
      </c>
      <c r="FF170" s="36"/>
      <c r="FH170" s="1225"/>
      <c r="FI170" s="1225"/>
      <c r="FJ170" s="1225"/>
      <c r="FK170" s="1222" t="s">
        <v>412</v>
      </c>
      <c r="FL170" s="1232">
        <v>1</v>
      </c>
      <c r="FM170" s="1232">
        <v>3</v>
      </c>
      <c r="FN170" s="1231"/>
      <c r="FO170" s="1232">
        <v>1</v>
      </c>
      <c r="FP170" s="1232">
        <v>2</v>
      </c>
      <c r="FQ170" s="1231"/>
      <c r="FR170" s="1232">
        <v>2</v>
      </c>
      <c r="FS170" s="1232">
        <v>4</v>
      </c>
      <c r="FT170" s="1232">
        <v>3</v>
      </c>
      <c r="FU170" s="1232">
        <v>12</v>
      </c>
      <c r="FV170" s="1232">
        <v>42</v>
      </c>
      <c r="FW170" s="1232">
        <v>15</v>
      </c>
      <c r="FX170" s="1232">
        <v>7</v>
      </c>
      <c r="FY170" s="1234">
        <v>2</v>
      </c>
      <c r="FZ170" s="1234">
        <v>3</v>
      </c>
      <c r="GA170" s="1234">
        <v>97</v>
      </c>
      <c r="GB170" s="1178">
        <f>+(GA166+GA168-FY168+GA169)/GA170</f>
        <v>0.31958762886597936</v>
      </c>
      <c r="GD170" s="603"/>
      <c r="GE170" s="603"/>
      <c r="GF170" s="603"/>
      <c r="GG170" s="622" t="s">
        <v>412</v>
      </c>
      <c r="GH170" s="623"/>
      <c r="GI170" s="624">
        <v>1</v>
      </c>
      <c r="GJ170" s="624">
        <v>1</v>
      </c>
      <c r="GK170" s="623"/>
      <c r="GL170" s="623"/>
      <c r="GM170" s="623"/>
      <c r="GN170" s="624">
        <v>1</v>
      </c>
      <c r="GO170" s="623"/>
      <c r="GP170" s="624">
        <v>2</v>
      </c>
      <c r="GQ170" s="624">
        <v>9</v>
      </c>
      <c r="GR170" s="624">
        <v>9</v>
      </c>
      <c r="GS170" s="624">
        <v>2</v>
      </c>
      <c r="GT170" s="624">
        <v>3</v>
      </c>
      <c r="GU170" s="624">
        <v>3</v>
      </c>
      <c r="GV170" s="624">
        <v>1</v>
      </c>
      <c r="GW170" s="626">
        <v>2</v>
      </c>
      <c r="GX170" s="626">
        <v>1</v>
      </c>
      <c r="GY170" s="626">
        <v>35</v>
      </c>
      <c r="GZ170" s="560">
        <f>+(GY166+GY169)/GY170</f>
        <v>0.37142857142857144</v>
      </c>
      <c r="HB170" s="441"/>
      <c r="HC170" s="441"/>
      <c r="HD170" s="441"/>
      <c r="HE170" s="441"/>
      <c r="HF170" s="442" t="s">
        <v>1080</v>
      </c>
      <c r="HG170" s="609"/>
      <c r="HH170" s="610">
        <v>0</v>
      </c>
      <c r="HI170" s="609"/>
      <c r="HJ170" s="609"/>
      <c r="HK170" s="609"/>
      <c r="HL170" s="609"/>
      <c r="HM170" s="609"/>
      <c r="HN170" s="609"/>
      <c r="HO170" s="609"/>
      <c r="HP170" s="610">
        <v>0</v>
      </c>
      <c r="HQ170" s="610">
        <v>0</v>
      </c>
      <c r="HR170" s="609"/>
      <c r="HS170" s="610">
        <v>0</v>
      </c>
      <c r="HT170" s="609"/>
      <c r="HU170" s="609"/>
      <c r="HV170" s="612">
        <v>1</v>
      </c>
      <c r="HW170" s="612">
        <v>4</v>
      </c>
      <c r="HX170" s="612">
        <v>5</v>
      </c>
      <c r="HY170" s="560"/>
      <c r="HZ170" s="36"/>
      <c r="IA170" s="613"/>
      <c r="IB170" s="613"/>
      <c r="IC170" s="613"/>
      <c r="ID170" s="629"/>
      <c r="IE170" s="630"/>
      <c r="IF170" s="630"/>
      <c r="IG170" s="630"/>
      <c r="IH170" s="395"/>
      <c r="II170" s="395"/>
      <c r="IJ170" s="395"/>
      <c r="IK170" s="395"/>
      <c r="IL170" s="395"/>
      <c r="IM170" s="395"/>
      <c r="IN170" s="395"/>
      <c r="IO170" s="395"/>
      <c r="IP170" s="395"/>
      <c r="IQ170" s="395"/>
      <c r="IR170" s="395"/>
      <c r="IS170" s="36"/>
      <c r="IT170" s="36"/>
      <c r="IU170" s="36"/>
      <c r="IV170" s="95"/>
      <c r="IW170" s="95"/>
      <c r="IX170" s="36"/>
      <c r="IY170" s="36"/>
      <c r="IZ170" s="36"/>
      <c r="JA170" s="36"/>
      <c r="JB170" s="36"/>
      <c r="JC170" s="36"/>
      <c r="JD170" s="36"/>
      <c r="JE170" s="36"/>
      <c r="JF170" s="36"/>
      <c r="JG170" s="36"/>
      <c r="JH170" s="36"/>
      <c r="JI170" s="36"/>
      <c r="JJ170" s="36"/>
      <c r="JK170" s="36"/>
      <c r="JL170" s="36"/>
      <c r="JM170" s="36"/>
      <c r="JN170" s="36"/>
      <c r="JO170" s="36"/>
      <c r="JP170" s="36"/>
      <c r="JQ170" s="36"/>
      <c r="JR170" s="36"/>
      <c r="JS170" s="616"/>
      <c r="JT170" s="616"/>
      <c r="JU170" s="36"/>
      <c r="JV170" s="36"/>
      <c r="JW170" s="36"/>
      <c r="JX170" s="36"/>
      <c r="JY170" s="36"/>
      <c r="JZ170" s="36"/>
      <c r="KA170" s="36"/>
      <c r="KB170" s="36"/>
      <c r="KC170" s="36"/>
      <c r="KD170" s="36"/>
      <c r="KE170" s="36"/>
      <c r="KF170" s="36"/>
      <c r="KG170" s="36"/>
      <c r="KH170" s="36"/>
      <c r="KI170" s="36"/>
      <c r="KJ170" s="36"/>
      <c r="KK170" s="36"/>
      <c r="KL170" s="36"/>
      <c r="KM170" s="36"/>
      <c r="KN170" s="36"/>
      <c r="KO170" s="36"/>
    </row>
    <row r="171" spans="1:301">
      <c r="A171" s="5737"/>
      <c r="B171" s="5737"/>
      <c r="C171" s="5736"/>
      <c r="D171" s="5736"/>
      <c r="E171" s="5742">
        <f>SUM(E154:E170)</f>
        <v>60</v>
      </c>
      <c r="F171" s="5737"/>
      <c r="G171" s="4476">
        <f>+(E157+E158+E159+E160+E162+E163+E164)/(E171)</f>
        <v>0.25</v>
      </c>
      <c r="I171" s="4726">
        <v>3</v>
      </c>
      <c r="J171" s="4726">
        <v>2</v>
      </c>
      <c r="K171" s="4725" t="s">
        <v>2738</v>
      </c>
      <c r="L171" s="4725" t="s">
        <v>2709</v>
      </c>
      <c r="M171" s="4726">
        <v>1</v>
      </c>
      <c r="N171" s="4726">
        <v>5</v>
      </c>
      <c r="Q171" s="4470">
        <v>5</v>
      </c>
      <c r="R171" s="4470">
        <v>3</v>
      </c>
      <c r="S171" s="4469" t="s">
        <v>381</v>
      </c>
      <c r="T171" s="4469" t="s">
        <v>2731</v>
      </c>
      <c r="U171" s="4470">
        <v>12</v>
      </c>
      <c r="V171" s="4488">
        <v>1</v>
      </c>
      <c r="W171" s="4510"/>
      <c r="Z171" s="36"/>
      <c r="AA171" s="36"/>
      <c r="AB171" s="36"/>
      <c r="AC171" s="36" t="s">
        <v>1076</v>
      </c>
      <c r="AD171" s="615">
        <v>0</v>
      </c>
      <c r="AE171" s="615"/>
      <c r="AF171" s="615"/>
      <c r="AG171" s="615"/>
      <c r="AH171" s="615"/>
      <c r="AI171" s="615"/>
      <c r="AJ171" s="615"/>
      <c r="AK171" s="615">
        <v>1</v>
      </c>
      <c r="AL171" s="615">
        <v>1</v>
      </c>
      <c r="AM171" s="615">
        <v>0</v>
      </c>
      <c r="AN171" s="615">
        <v>3</v>
      </c>
      <c r="AO171" s="615">
        <v>1</v>
      </c>
      <c r="AP171" s="615"/>
      <c r="AQ171" s="36">
        <v>0</v>
      </c>
      <c r="AR171" s="36">
        <v>6</v>
      </c>
      <c r="AS171" s="36"/>
      <c r="AU171" s="36"/>
      <c r="AV171" s="36"/>
      <c r="AW171" s="36"/>
      <c r="AX171" s="36" t="s">
        <v>1163</v>
      </c>
      <c r="AY171" s="1681"/>
      <c r="AZ171" s="1681"/>
      <c r="BA171" s="1681"/>
      <c r="BB171" s="1681"/>
      <c r="BC171" s="1681"/>
      <c r="BD171" s="1681"/>
      <c r="BE171" s="1681"/>
      <c r="BF171" s="1681"/>
      <c r="BG171" s="1681">
        <v>1</v>
      </c>
      <c r="BH171" s="1681">
        <v>0</v>
      </c>
      <c r="BI171" s="1681"/>
      <c r="BJ171" s="1681">
        <v>0</v>
      </c>
      <c r="BK171" s="1681"/>
      <c r="BL171" s="1681">
        <v>0</v>
      </c>
      <c r="BM171" s="95"/>
      <c r="BN171" s="95"/>
      <c r="BO171" s="95">
        <v>1</v>
      </c>
      <c r="BP171" s="95"/>
      <c r="BU171" s="32" t="s">
        <v>1080</v>
      </c>
      <c r="BV171" s="3871"/>
      <c r="BW171" s="3871"/>
      <c r="BX171" s="3871"/>
      <c r="BY171" s="3871"/>
      <c r="BZ171" s="3871"/>
      <c r="CA171" s="3871"/>
      <c r="CB171" s="3871"/>
      <c r="CC171" s="3871"/>
      <c r="CD171" s="3871">
        <v>0</v>
      </c>
      <c r="CE171" s="3871">
        <v>0</v>
      </c>
      <c r="CF171" s="3871"/>
      <c r="CG171" s="3871">
        <v>0</v>
      </c>
      <c r="CH171" s="3871"/>
      <c r="CI171" s="3871">
        <v>1</v>
      </c>
      <c r="CJ171" s="1518"/>
      <c r="CK171" s="1518">
        <v>1</v>
      </c>
      <c r="CN171" s="36"/>
      <c r="CO171" s="36"/>
      <c r="CP171" s="393"/>
      <c r="CQ171" s="393" t="s">
        <v>1163</v>
      </c>
      <c r="CR171" s="2049">
        <v>0</v>
      </c>
      <c r="CS171" s="2049">
        <v>0</v>
      </c>
      <c r="CT171" s="2049">
        <v>0</v>
      </c>
      <c r="CU171" s="2049">
        <v>0</v>
      </c>
      <c r="CV171" s="2049"/>
      <c r="CW171" s="2049">
        <v>0</v>
      </c>
      <c r="CX171" s="2049">
        <v>0</v>
      </c>
      <c r="CY171" s="2049"/>
      <c r="CZ171" s="2049"/>
      <c r="DA171" s="2049">
        <v>0</v>
      </c>
      <c r="DB171" s="2049">
        <v>1</v>
      </c>
      <c r="DC171" s="2049">
        <v>2</v>
      </c>
      <c r="DD171" s="2049">
        <v>10</v>
      </c>
      <c r="DE171" s="2049">
        <v>7</v>
      </c>
      <c r="DF171" s="2049">
        <v>2</v>
      </c>
      <c r="DG171" s="393">
        <v>0</v>
      </c>
      <c r="DH171" s="393">
        <v>0</v>
      </c>
      <c r="DI171" s="393">
        <v>22</v>
      </c>
      <c r="DJ171" s="36"/>
      <c r="DL171" s="36"/>
      <c r="DM171" s="36"/>
      <c r="DN171" s="36"/>
      <c r="DO171" s="36" t="s">
        <v>1081</v>
      </c>
      <c r="DP171" s="1681"/>
      <c r="DQ171" s="1681">
        <v>0</v>
      </c>
      <c r="DR171" s="1681">
        <v>0</v>
      </c>
      <c r="DS171" s="1681"/>
      <c r="DT171" s="1681"/>
      <c r="DU171" s="1681">
        <v>0</v>
      </c>
      <c r="DV171" s="1681"/>
      <c r="DW171" s="1681">
        <v>0</v>
      </c>
      <c r="DX171" s="1681">
        <v>0</v>
      </c>
      <c r="DY171" s="1681">
        <v>1</v>
      </c>
      <c r="DZ171" s="1681">
        <v>0</v>
      </c>
      <c r="EA171" s="1681">
        <v>0</v>
      </c>
      <c r="EB171" s="1681">
        <v>6</v>
      </c>
      <c r="EC171" s="1681">
        <v>0</v>
      </c>
      <c r="ED171" s="1681">
        <v>1</v>
      </c>
      <c r="EE171" s="95">
        <v>1</v>
      </c>
      <c r="EF171" s="95">
        <v>0</v>
      </c>
      <c r="EG171" s="95">
        <v>9</v>
      </c>
      <c r="EH171" s="36"/>
      <c r="EL171" s="36"/>
      <c r="EM171" s="36" t="s">
        <v>1077</v>
      </c>
      <c r="EN171" s="1490"/>
      <c r="EO171" s="1490">
        <v>1</v>
      </c>
      <c r="EP171" s="1490"/>
      <c r="EQ171" s="1490"/>
      <c r="ER171" s="1490">
        <v>1</v>
      </c>
      <c r="ES171" s="1490"/>
      <c r="ET171" s="1490"/>
      <c r="EU171" s="1490"/>
      <c r="EV171" s="1490"/>
      <c r="EW171" s="1490">
        <v>0</v>
      </c>
      <c r="EX171" s="1490">
        <v>0</v>
      </c>
      <c r="EY171" s="1490"/>
      <c r="EZ171" s="1490"/>
      <c r="FA171" s="1490"/>
      <c r="FB171" s="1490"/>
      <c r="FC171" s="36"/>
      <c r="FD171" s="36">
        <v>0</v>
      </c>
      <c r="FE171" s="36">
        <v>2</v>
      </c>
      <c r="FF171" s="36"/>
      <c r="FH171" s="1225" t="s">
        <v>59</v>
      </c>
      <c r="FI171" s="1225" t="s">
        <v>16</v>
      </c>
      <c r="FJ171" s="1225" t="s">
        <v>608</v>
      </c>
      <c r="FK171" s="1226" t="s">
        <v>1072</v>
      </c>
      <c r="FL171" s="1227"/>
      <c r="FM171" s="1227"/>
      <c r="FN171" s="1227"/>
      <c r="FO171" s="1227"/>
      <c r="FP171" s="1227"/>
      <c r="FQ171" s="1228">
        <v>0</v>
      </c>
      <c r="FR171" s="1227"/>
      <c r="FS171" s="1228">
        <v>8</v>
      </c>
      <c r="FT171" s="1227"/>
      <c r="FU171" s="1227"/>
      <c r="FV171" s="1227"/>
      <c r="FW171" s="1227"/>
      <c r="FX171" s="1227"/>
      <c r="FY171" s="1229"/>
      <c r="FZ171" s="1229"/>
      <c r="GA171" s="1230">
        <v>8</v>
      </c>
      <c r="GB171" s="36"/>
      <c r="GD171" s="603"/>
      <c r="GE171" s="603"/>
      <c r="GF171" s="603" t="s">
        <v>112</v>
      </c>
      <c r="GG171" s="604" t="s">
        <v>1071</v>
      </c>
      <c r="GH171" s="606">
        <v>0</v>
      </c>
      <c r="GI171" s="606">
        <v>0</v>
      </c>
      <c r="GJ171" s="606">
        <v>0</v>
      </c>
      <c r="GK171" s="606">
        <v>0</v>
      </c>
      <c r="GL171" s="606">
        <v>0</v>
      </c>
      <c r="GM171" s="606">
        <v>0</v>
      </c>
      <c r="GN171" s="606">
        <v>0</v>
      </c>
      <c r="GO171" s="606">
        <v>0</v>
      </c>
      <c r="GP171" s="606">
        <v>0</v>
      </c>
      <c r="GQ171" s="606">
        <v>1</v>
      </c>
      <c r="GR171" s="606">
        <v>0</v>
      </c>
      <c r="GS171" s="606">
        <v>0</v>
      </c>
      <c r="GT171" s="606">
        <v>2</v>
      </c>
      <c r="GU171" s="606">
        <v>1</v>
      </c>
      <c r="GV171" s="606">
        <v>4</v>
      </c>
      <c r="GW171" s="608">
        <v>0</v>
      </c>
      <c r="GX171" s="608">
        <v>0</v>
      </c>
      <c r="GY171" s="608">
        <v>8</v>
      </c>
      <c r="GZ171" s="95"/>
      <c r="HB171" s="441"/>
      <c r="HC171" s="441"/>
      <c r="HD171" s="441"/>
      <c r="HE171" s="441"/>
      <c r="HF171" s="442" t="s">
        <v>1163</v>
      </c>
      <c r="HG171" s="609"/>
      <c r="HH171" s="610">
        <v>0</v>
      </c>
      <c r="HI171" s="609"/>
      <c r="HJ171" s="609"/>
      <c r="HK171" s="609"/>
      <c r="HL171" s="609"/>
      <c r="HM171" s="609"/>
      <c r="HN171" s="609"/>
      <c r="HO171" s="609"/>
      <c r="HP171" s="610">
        <v>0</v>
      </c>
      <c r="HQ171" s="610">
        <v>0</v>
      </c>
      <c r="HR171" s="609"/>
      <c r="HS171" s="610">
        <v>1</v>
      </c>
      <c r="HT171" s="609"/>
      <c r="HU171" s="609"/>
      <c r="HV171" s="612">
        <v>0</v>
      </c>
      <c r="HW171" s="612">
        <v>0</v>
      </c>
      <c r="HX171" s="612">
        <v>1</v>
      </c>
      <c r="HY171" s="560"/>
      <c r="HZ171" s="36"/>
      <c r="IA171" s="613"/>
      <c r="IB171" s="613"/>
      <c r="IC171" s="613"/>
      <c r="ID171" s="389"/>
      <c r="IE171" s="390"/>
      <c r="IF171" s="390"/>
      <c r="IG171" s="390"/>
      <c r="IH171" s="390"/>
      <c r="II171" s="614"/>
      <c r="IJ171" s="390"/>
      <c r="IK171" s="390"/>
      <c r="IL171" s="390"/>
      <c r="IM171" s="390"/>
      <c r="IN171" s="390"/>
      <c r="IO171" s="390"/>
      <c r="IP171" s="390"/>
      <c r="IQ171" s="390"/>
      <c r="IR171" s="390"/>
      <c r="IS171" s="36"/>
      <c r="IT171" s="36"/>
      <c r="IU171" s="36"/>
      <c r="IV171" s="95"/>
      <c r="IW171" s="95"/>
      <c r="IX171" s="36"/>
      <c r="IY171" s="36"/>
      <c r="IZ171" s="36"/>
      <c r="JA171" s="36"/>
      <c r="JB171" s="36"/>
      <c r="JC171" s="36"/>
      <c r="JD171" s="36"/>
      <c r="JE171" s="36"/>
      <c r="JF171" s="36"/>
      <c r="JG171" s="36"/>
      <c r="JH171" s="36"/>
      <c r="JI171" s="36"/>
      <c r="JJ171" s="36"/>
      <c r="JK171" s="36"/>
      <c r="JL171" s="36"/>
      <c r="JM171" s="36"/>
      <c r="JN171" s="36"/>
      <c r="JO171" s="36"/>
      <c r="JP171" s="36"/>
      <c r="JQ171" s="36"/>
      <c r="JR171" s="36"/>
      <c r="JS171" s="616"/>
      <c r="JT171" s="617"/>
      <c r="JU171" s="617"/>
      <c r="JV171" s="617"/>
      <c r="JW171" s="617"/>
      <c r="JX171" s="617"/>
      <c r="JY171" s="617"/>
      <c r="JZ171" s="617"/>
      <c r="KA171" s="617"/>
      <c r="KB171" s="617"/>
      <c r="KC171" s="617"/>
      <c r="KD171" s="617"/>
      <c r="KE171" s="617"/>
      <c r="KF171" s="617"/>
      <c r="KG171" s="617"/>
      <c r="KH171" s="617"/>
      <c r="KI171" s="617"/>
      <c r="KJ171" s="617"/>
      <c r="KK171" s="617"/>
      <c r="KL171" s="617"/>
      <c r="KM171" s="617"/>
      <c r="KN171" s="616"/>
      <c r="KO171" s="617"/>
    </row>
    <row r="172" spans="1:301">
      <c r="A172" s="5737">
        <v>3</v>
      </c>
      <c r="B172" s="5737">
        <v>2</v>
      </c>
      <c r="C172" s="5736" t="s">
        <v>2737</v>
      </c>
      <c r="D172" s="5739" t="s">
        <v>1076</v>
      </c>
      <c r="E172" s="5737">
        <v>1</v>
      </c>
      <c r="F172" s="5737">
        <v>13</v>
      </c>
      <c r="I172" s="4726">
        <v>3</v>
      </c>
      <c r="J172" s="4726">
        <v>2</v>
      </c>
      <c r="K172" s="4725" t="s">
        <v>2738</v>
      </c>
      <c r="L172" s="4725" t="s">
        <v>2709</v>
      </c>
      <c r="M172" s="4726">
        <v>2</v>
      </c>
      <c r="N172" s="4726">
        <v>10</v>
      </c>
      <c r="Q172" s="4458">
        <v>5</v>
      </c>
      <c r="R172" s="4458">
        <v>3</v>
      </c>
      <c r="S172" s="4459" t="s">
        <v>381</v>
      </c>
      <c r="T172" s="4459" t="s">
        <v>2731</v>
      </c>
      <c r="U172" s="4458">
        <v>13</v>
      </c>
      <c r="V172" s="4479">
        <v>1</v>
      </c>
      <c r="W172" s="4510"/>
      <c r="Z172" s="36"/>
      <c r="AA172" s="36"/>
      <c r="AB172" s="36"/>
      <c r="AC172" s="36" t="s">
        <v>1080</v>
      </c>
      <c r="AD172" s="615">
        <v>0</v>
      </c>
      <c r="AE172" s="615"/>
      <c r="AF172" s="615"/>
      <c r="AG172" s="615"/>
      <c r="AH172" s="615"/>
      <c r="AI172" s="615"/>
      <c r="AJ172" s="615"/>
      <c r="AK172" s="615">
        <v>0</v>
      </c>
      <c r="AL172" s="615">
        <v>0</v>
      </c>
      <c r="AM172" s="615">
        <v>0</v>
      </c>
      <c r="AN172" s="615">
        <v>0</v>
      </c>
      <c r="AO172" s="615">
        <v>10</v>
      </c>
      <c r="AP172" s="615"/>
      <c r="AQ172" s="36">
        <v>2</v>
      </c>
      <c r="AR172" s="36">
        <v>12</v>
      </c>
      <c r="AS172" s="36"/>
      <c r="AU172" s="36"/>
      <c r="AV172" s="36"/>
      <c r="AW172" s="36"/>
      <c r="AX172" s="36" t="s">
        <v>15</v>
      </c>
      <c r="AY172" s="1681"/>
      <c r="AZ172" s="1681"/>
      <c r="BA172" s="1681"/>
      <c r="BB172" s="1681"/>
      <c r="BC172" s="1681"/>
      <c r="BD172" s="1681"/>
      <c r="BE172" s="1681"/>
      <c r="BF172" s="1681"/>
      <c r="BG172" s="1681">
        <v>1</v>
      </c>
      <c r="BH172" s="1681">
        <v>1</v>
      </c>
      <c r="BI172" s="1681"/>
      <c r="BJ172" s="1681">
        <v>2</v>
      </c>
      <c r="BK172" s="1681"/>
      <c r="BL172" s="1681">
        <v>1</v>
      </c>
      <c r="BM172" s="95"/>
      <c r="BN172" s="95"/>
      <c r="BO172" s="95">
        <v>5</v>
      </c>
      <c r="BP172" s="560">
        <f>+(BO169+BO171)/(BO172)</f>
        <v>0.6</v>
      </c>
      <c r="BU172" s="32" t="s">
        <v>1163</v>
      </c>
      <c r="BV172" s="3871"/>
      <c r="BW172" s="3871"/>
      <c r="BX172" s="3871"/>
      <c r="BY172" s="3871"/>
      <c r="BZ172" s="3871"/>
      <c r="CA172" s="3871"/>
      <c r="CB172" s="3871"/>
      <c r="CC172" s="3871"/>
      <c r="CD172" s="3871">
        <v>1</v>
      </c>
      <c r="CE172" s="3871">
        <v>0</v>
      </c>
      <c r="CF172" s="3871"/>
      <c r="CG172" s="3871">
        <v>0</v>
      </c>
      <c r="CH172" s="3871"/>
      <c r="CI172" s="3871">
        <v>0</v>
      </c>
      <c r="CJ172" s="1518"/>
      <c r="CK172" s="1518">
        <v>1</v>
      </c>
      <c r="CN172" s="36"/>
      <c r="CO172" s="36"/>
      <c r="CP172" s="393"/>
      <c r="CQ172" s="393" t="s">
        <v>109</v>
      </c>
      <c r="CR172" s="2049">
        <v>2</v>
      </c>
      <c r="CS172" s="2049">
        <v>3</v>
      </c>
      <c r="CT172" s="2049">
        <v>1</v>
      </c>
      <c r="CU172" s="2049">
        <v>4</v>
      </c>
      <c r="CV172" s="2049"/>
      <c r="CW172" s="2049">
        <v>3</v>
      </c>
      <c r="CX172" s="2049">
        <v>1</v>
      </c>
      <c r="CY172" s="2049"/>
      <c r="CZ172" s="2049"/>
      <c r="DA172" s="2049">
        <v>2</v>
      </c>
      <c r="DB172" s="2049">
        <v>2</v>
      </c>
      <c r="DC172" s="2049">
        <v>6</v>
      </c>
      <c r="DD172" s="2049">
        <v>32</v>
      </c>
      <c r="DE172" s="2049">
        <v>57</v>
      </c>
      <c r="DF172" s="2049">
        <v>65</v>
      </c>
      <c r="DG172" s="393">
        <v>13</v>
      </c>
      <c r="DH172" s="393">
        <v>13</v>
      </c>
      <c r="DI172" s="393">
        <v>204</v>
      </c>
      <c r="DJ172" s="560">
        <f>+(DI171+DI170+DI167-DG167)/DI172</f>
        <v>0.33333333333333331</v>
      </c>
      <c r="DK172" s="1665"/>
      <c r="DL172" s="36"/>
      <c r="DM172" s="36"/>
      <c r="DN172" s="36"/>
      <c r="DO172" s="36" t="s">
        <v>1163</v>
      </c>
      <c r="DP172" s="1681"/>
      <c r="DQ172" s="1681">
        <v>0</v>
      </c>
      <c r="DR172" s="1681">
        <v>0</v>
      </c>
      <c r="DS172" s="1681"/>
      <c r="DT172" s="1681"/>
      <c r="DU172" s="1681">
        <v>0</v>
      </c>
      <c r="DV172" s="1681"/>
      <c r="DW172" s="1681">
        <v>0</v>
      </c>
      <c r="DX172" s="1681">
        <v>1</v>
      </c>
      <c r="DY172" s="1681">
        <v>0</v>
      </c>
      <c r="DZ172" s="1681">
        <v>0</v>
      </c>
      <c r="EA172" s="1681">
        <v>0</v>
      </c>
      <c r="EB172" s="1681">
        <v>8</v>
      </c>
      <c r="EC172" s="1681">
        <v>1</v>
      </c>
      <c r="ED172" s="1681">
        <v>3</v>
      </c>
      <c r="EE172" s="95">
        <v>0</v>
      </c>
      <c r="EF172" s="95">
        <v>0</v>
      </c>
      <c r="EG172" s="95">
        <v>13</v>
      </c>
      <c r="EH172" s="36"/>
      <c r="EL172" s="36"/>
      <c r="EM172" s="36" t="s">
        <v>1080</v>
      </c>
      <c r="EN172" s="1490"/>
      <c r="EO172" s="1490">
        <v>0</v>
      </c>
      <c r="EP172" s="1490"/>
      <c r="EQ172" s="1490"/>
      <c r="ER172" s="1490">
        <v>0</v>
      </c>
      <c r="ES172" s="1490"/>
      <c r="ET172" s="1490"/>
      <c r="EU172" s="1490"/>
      <c r="EV172" s="1490"/>
      <c r="EW172" s="1490">
        <v>0</v>
      </c>
      <c r="EX172" s="1490">
        <v>0</v>
      </c>
      <c r="EY172" s="1490"/>
      <c r="EZ172" s="1490"/>
      <c r="FA172" s="1490"/>
      <c r="FB172" s="1490"/>
      <c r="FC172" s="36"/>
      <c r="FD172" s="36">
        <v>1</v>
      </c>
      <c r="FE172" s="36">
        <v>1</v>
      </c>
      <c r="FF172" s="36"/>
      <c r="FH172" s="1225"/>
      <c r="FI172" s="1225"/>
      <c r="FJ172" s="1225"/>
      <c r="FK172" s="1226" t="s">
        <v>1074</v>
      </c>
      <c r="FL172" s="1227"/>
      <c r="FM172" s="1227"/>
      <c r="FN172" s="1227"/>
      <c r="FO172" s="1227"/>
      <c r="FP172" s="1227"/>
      <c r="FQ172" s="1228">
        <v>1</v>
      </c>
      <c r="FR172" s="1227"/>
      <c r="FS172" s="1228">
        <v>0</v>
      </c>
      <c r="FT172" s="1227"/>
      <c r="FU172" s="1227"/>
      <c r="FV172" s="1227"/>
      <c r="FW172" s="1227"/>
      <c r="FX172" s="1227"/>
      <c r="FY172" s="1229"/>
      <c r="FZ172" s="1229"/>
      <c r="GA172" s="1230">
        <v>1</v>
      </c>
      <c r="GB172" s="36"/>
      <c r="GD172" s="603"/>
      <c r="GE172" s="603"/>
      <c r="GF172" s="603"/>
      <c r="GG172" s="604" t="s">
        <v>1072</v>
      </c>
      <c r="GH172" s="606">
        <v>1</v>
      </c>
      <c r="GI172" s="606">
        <v>7</v>
      </c>
      <c r="GJ172" s="606">
        <v>2</v>
      </c>
      <c r="GK172" s="606">
        <v>2</v>
      </c>
      <c r="GL172" s="606">
        <v>1</v>
      </c>
      <c r="GM172" s="606">
        <v>2</v>
      </c>
      <c r="GN172" s="606">
        <v>1</v>
      </c>
      <c r="GO172" s="606">
        <v>3</v>
      </c>
      <c r="GP172" s="606">
        <v>4</v>
      </c>
      <c r="GQ172" s="606">
        <v>7</v>
      </c>
      <c r="GR172" s="606">
        <v>8</v>
      </c>
      <c r="GS172" s="606">
        <v>4</v>
      </c>
      <c r="GT172" s="606">
        <v>11</v>
      </c>
      <c r="GU172" s="606">
        <v>10</v>
      </c>
      <c r="GV172" s="606">
        <v>1</v>
      </c>
      <c r="GW172" s="608">
        <v>2</v>
      </c>
      <c r="GX172" s="608">
        <v>0</v>
      </c>
      <c r="GY172" s="608">
        <v>66</v>
      </c>
      <c r="GZ172" s="95"/>
      <c r="HB172" s="441"/>
      <c r="HC172" s="441"/>
      <c r="HD172" s="441"/>
      <c r="HE172" s="36"/>
      <c r="HF172" s="462" t="s">
        <v>726</v>
      </c>
      <c r="HG172" s="618"/>
      <c r="HH172" s="619">
        <v>1</v>
      </c>
      <c r="HI172" s="618"/>
      <c r="HJ172" s="618"/>
      <c r="HK172" s="618"/>
      <c r="HL172" s="618"/>
      <c r="HM172" s="618"/>
      <c r="HN172" s="618"/>
      <c r="HO172" s="618"/>
      <c r="HP172" s="619">
        <v>2</v>
      </c>
      <c r="HQ172" s="619">
        <v>1</v>
      </c>
      <c r="HR172" s="618"/>
      <c r="HS172" s="619">
        <v>1</v>
      </c>
      <c r="HT172" s="618"/>
      <c r="HU172" s="618"/>
      <c r="HV172" s="621">
        <v>1</v>
      </c>
      <c r="HW172" s="621">
        <v>4</v>
      </c>
      <c r="HX172" s="621">
        <v>10</v>
      </c>
      <c r="HY172" s="560">
        <f>+HX171/HX172</f>
        <v>0.1</v>
      </c>
      <c r="HZ172" s="36"/>
      <c r="IA172" s="613"/>
      <c r="IB172" s="613"/>
      <c r="IC172" s="595"/>
      <c r="ID172" s="595"/>
      <c r="IE172" s="7024" t="s">
        <v>1137</v>
      </c>
      <c r="IF172" s="7024"/>
      <c r="IG172" s="7024"/>
      <c r="IH172" s="7024"/>
      <c r="II172" s="7024"/>
      <c r="IJ172" s="7024"/>
      <c r="IK172" s="7024"/>
      <c r="IL172" s="7024"/>
      <c r="IM172" s="7024"/>
      <c r="IN172" s="7024"/>
      <c r="IO172" s="7024"/>
      <c r="IP172" s="7024"/>
      <c r="IQ172" s="7024"/>
      <c r="IR172" s="594"/>
      <c r="IS172" s="36"/>
      <c r="IT172" s="36"/>
      <c r="IU172" s="36"/>
      <c r="IV172" s="95"/>
      <c r="IW172" s="95"/>
      <c r="IX172" s="36" t="s">
        <v>315</v>
      </c>
      <c r="IY172" s="393" t="s">
        <v>315</v>
      </c>
      <c r="IZ172" s="7001" t="s">
        <v>1138</v>
      </c>
      <c r="JA172" s="7001"/>
      <c r="JB172" s="7001"/>
      <c r="JC172" s="7001"/>
      <c r="JD172" s="7001"/>
      <c r="JE172" s="7001"/>
      <c r="JF172" s="7001"/>
      <c r="JG172" s="7001"/>
      <c r="JH172" s="7001"/>
      <c r="JI172" s="7001"/>
      <c r="JJ172" s="7001"/>
      <c r="JK172" s="7001"/>
      <c r="JL172" s="7001"/>
      <c r="JM172" s="7001"/>
      <c r="JN172" s="7001"/>
      <c r="JO172" s="7001"/>
      <c r="JP172" s="393"/>
      <c r="JQ172" s="36"/>
      <c r="JR172" s="36"/>
      <c r="JS172" s="617"/>
      <c r="JT172" s="616"/>
      <c r="JU172" s="616"/>
      <c r="JV172" s="616"/>
      <c r="JW172" s="7026" t="s">
        <v>1138</v>
      </c>
      <c r="JX172" s="7026"/>
      <c r="JY172" s="7026"/>
      <c r="JZ172" s="7026"/>
      <c r="KA172" s="7026"/>
      <c r="KB172" s="7026"/>
      <c r="KC172" s="7026"/>
      <c r="KD172" s="7026"/>
      <c r="KE172" s="7026"/>
      <c r="KF172" s="7026"/>
      <c r="KG172" s="7026"/>
      <c r="KH172" s="7026"/>
      <c r="KI172" s="7026"/>
      <c r="KJ172" s="7026"/>
      <c r="KK172" s="7026"/>
      <c r="KL172" s="7026"/>
      <c r="KM172" s="616"/>
      <c r="KN172" s="616"/>
      <c r="KO172" s="617"/>
    </row>
    <row r="173" spans="1:301" ht="24.6" thickBot="1">
      <c r="A173" s="5740">
        <v>3</v>
      </c>
      <c r="B173" s="5740">
        <v>2</v>
      </c>
      <c r="C173" s="5741" t="s">
        <v>2737</v>
      </c>
      <c r="D173" s="5741" t="s">
        <v>1076</v>
      </c>
      <c r="E173" s="5740">
        <v>1</v>
      </c>
      <c r="F173" s="5740">
        <v>15</v>
      </c>
      <c r="I173" s="4726">
        <v>3</v>
      </c>
      <c r="J173" s="4726">
        <v>2</v>
      </c>
      <c r="K173" s="4725" t="s">
        <v>2738</v>
      </c>
      <c r="L173" s="4725" t="s">
        <v>2709</v>
      </c>
      <c r="M173" s="4726">
        <v>19</v>
      </c>
      <c r="N173" s="4726">
        <v>11</v>
      </c>
      <c r="Q173" s="4474"/>
      <c r="R173" s="4474"/>
      <c r="S173" s="4505" t="s">
        <v>1017</v>
      </c>
      <c r="T173" s="4506"/>
      <c r="U173" s="4507"/>
      <c r="V173" s="4508">
        <f>SUM(V171:V172)</f>
        <v>2</v>
      </c>
      <c r="W173" s="4515">
        <v>0</v>
      </c>
      <c r="Z173" s="36"/>
      <c r="AA173" s="36"/>
      <c r="AB173" s="36"/>
      <c r="AC173" s="36" t="s">
        <v>1081</v>
      </c>
      <c r="AD173" s="615">
        <v>0</v>
      </c>
      <c r="AE173" s="615"/>
      <c r="AF173" s="615"/>
      <c r="AG173" s="615"/>
      <c r="AH173" s="615"/>
      <c r="AI173" s="615"/>
      <c r="AJ173" s="615"/>
      <c r="AK173" s="615">
        <v>1</v>
      </c>
      <c r="AL173" s="615">
        <v>0</v>
      </c>
      <c r="AM173" s="615">
        <v>1</v>
      </c>
      <c r="AN173" s="615">
        <v>1</v>
      </c>
      <c r="AO173" s="615">
        <v>1</v>
      </c>
      <c r="AP173" s="615"/>
      <c r="AQ173" s="36">
        <v>0</v>
      </c>
      <c r="AR173" s="36">
        <v>4</v>
      </c>
      <c r="AS173" s="36"/>
      <c r="AU173" s="36"/>
      <c r="AV173" s="36"/>
      <c r="AW173" s="393" t="s">
        <v>485</v>
      </c>
      <c r="AX173" s="393" t="s">
        <v>1072</v>
      </c>
      <c r="AY173" s="1682"/>
      <c r="AZ173" s="1682"/>
      <c r="BA173" s="1682"/>
      <c r="BB173" s="1682"/>
      <c r="BC173" s="1682"/>
      <c r="BD173" s="1682"/>
      <c r="BE173" s="1682"/>
      <c r="BF173" s="1682"/>
      <c r="BG173" s="1682">
        <v>0</v>
      </c>
      <c r="BH173" s="1682">
        <v>1</v>
      </c>
      <c r="BI173" s="1682">
        <v>0</v>
      </c>
      <c r="BJ173" s="1682">
        <v>2</v>
      </c>
      <c r="BK173" s="1682">
        <v>1</v>
      </c>
      <c r="BL173" s="1682">
        <v>0</v>
      </c>
      <c r="BM173" s="4455"/>
      <c r="BN173" s="4455">
        <v>0</v>
      </c>
      <c r="BO173" s="4455">
        <v>4</v>
      </c>
      <c r="BP173" s="4455"/>
      <c r="BU173" s="1520" t="s">
        <v>15</v>
      </c>
      <c r="BV173" s="3872"/>
      <c r="BW173" s="3872"/>
      <c r="BX173" s="3872"/>
      <c r="BY173" s="3872"/>
      <c r="BZ173" s="3872"/>
      <c r="CA173" s="3872"/>
      <c r="CB173" s="3872"/>
      <c r="CC173" s="3872"/>
      <c r="CD173" s="3872">
        <v>1</v>
      </c>
      <c r="CE173" s="3872">
        <v>1</v>
      </c>
      <c r="CF173" s="3872"/>
      <c r="CG173" s="3872">
        <v>2</v>
      </c>
      <c r="CH173" s="3872"/>
      <c r="CI173" s="3872">
        <v>1</v>
      </c>
      <c r="CJ173" s="3806"/>
      <c r="CK173" s="3806">
        <v>5</v>
      </c>
      <c r="CL173" s="3807">
        <f>+(CK170+CK172)/CK173</f>
        <v>0.6</v>
      </c>
      <c r="CN173" s="36" t="s">
        <v>48</v>
      </c>
      <c r="CO173" s="36" t="s">
        <v>16</v>
      </c>
      <c r="CP173" s="36" t="s">
        <v>127</v>
      </c>
      <c r="CQ173" s="36" t="s">
        <v>1072</v>
      </c>
      <c r="CR173" s="615"/>
      <c r="CS173" s="615"/>
      <c r="CT173" s="615"/>
      <c r="CU173" s="615"/>
      <c r="CV173" s="615"/>
      <c r="CW173" s="615"/>
      <c r="CX173" s="615"/>
      <c r="CY173" s="615"/>
      <c r="CZ173" s="615"/>
      <c r="DA173" s="615"/>
      <c r="DB173" s="615"/>
      <c r="DC173" s="615"/>
      <c r="DD173" s="615"/>
      <c r="DE173" s="615"/>
      <c r="DF173" s="615">
        <v>2</v>
      </c>
      <c r="DG173" s="36"/>
      <c r="DH173" s="36">
        <v>0</v>
      </c>
      <c r="DI173" s="36">
        <v>2</v>
      </c>
      <c r="DJ173" s="36"/>
      <c r="DL173" s="36"/>
      <c r="DM173" s="36"/>
      <c r="DN173" s="36"/>
      <c r="DO173" s="393" t="s">
        <v>412</v>
      </c>
      <c r="DP173" s="1682"/>
      <c r="DQ173" s="1682">
        <v>1</v>
      </c>
      <c r="DR173" s="1682">
        <v>2</v>
      </c>
      <c r="DS173" s="1682"/>
      <c r="DT173" s="1682"/>
      <c r="DU173" s="1682">
        <v>2</v>
      </c>
      <c r="DV173" s="1682"/>
      <c r="DW173" s="1682">
        <v>1</v>
      </c>
      <c r="DX173" s="1682">
        <v>3</v>
      </c>
      <c r="DY173" s="1682">
        <v>6</v>
      </c>
      <c r="DZ173" s="1682">
        <v>4</v>
      </c>
      <c r="EA173" s="1682">
        <v>4</v>
      </c>
      <c r="EB173" s="1682">
        <v>45</v>
      </c>
      <c r="EC173" s="1682">
        <v>12</v>
      </c>
      <c r="ED173" s="1682">
        <v>8</v>
      </c>
      <c r="EE173" s="86">
        <v>2</v>
      </c>
      <c r="EF173" s="86">
        <v>10</v>
      </c>
      <c r="EG173" s="86">
        <v>100</v>
      </c>
      <c r="EH173" s="560">
        <f>+(EG168+EG171-EE171+EG172)/EG173</f>
        <v>0.28999999999999998</v>
      </c>
      <c r="EL173" s="36"/>
      <c r="EM173" s="36" t="s">
        <v>1163</v>
      </c>
      <c r="EN173" s="1490"/>
      <c r="EO173" s="1490">
        <v>0</v>
      </c>
      <c r="EP173" s="1490"/>
      <c r="EQ173" s="1490"/>
      <c r="ER173" s="1490">
        <v>0</v>
      </c>
      <c r="ES173" s="1490"/>
      <c r="ET173" s="1490"/>
      <c r="EU173" s="1490"/>
      <c r="EV173" s="1490"/>
      <c r="EW173" s="1490">
        <v>2</v>
      </c>
      <c r="EX173" s="1490">
        <v>1</v>
      </c>
      <c r="EY173" s="1490"/>
      <c r="EZ173" s="1490"/>
      <c r="FA173" s="1490"/>
      <c r="FB173" s="1490"/>
      <c r="FC173" s="36"/>
      <c r="FD173" s="36">
        <v>0</v>
      </c>
      <c r="FE173" s="36">
        <v>3</v>
      </c>
      <c r="FF173" s="36"/>
      <c r="FH173" s="1225"/>
      <c r="FI173" s="1225"/>
      <c r="FJ173" s="1225"/>
      <c r="FK173" s="1226" t="s">
        <v>1077</v>
      </c>
      <c r="FL173" s="1227"/>
      <c r="FM173" s="1227"/>
      <c r="FN173" s="1227"/>
      <c r="FO173" s="1227"/>
      <c r="FP173" s="1227"/>
      <c r="FQ173" s="1228">
        <v>1</v>
      </c>
      <c r="FR173" s="1227"/>
      <c r="FS173" s="1228">
        <v>0</v>
      </c>
      <c r="FT173" s="1227"/>
      <c r="FU173" s="1227"/>
      <c r="FV173" s="1227"/>
      <c r="FW173" s="1227"/>
      <c r="FX173" s="1227"/>
      <c r="FY173" s="1229"/>
      <c r="FZ173" s="1229"/>
      <c r="GA173" s="1230">
        <v>1</v>
      </c>
      <c r="GB173" s="36"/>
      <c r="GD173" s="603"/>
      <c r="GE173" s="603"/>
      <c r="GF173" s="603"/>
      <c r="GG173" s="604" t="s">
        <v>1074</v>
      </c>
      <c r="GH173" s="606">
        <v>0</v>
      </c>
      <c r="GI173" s="606">
        <v>0</v>
      </c>
      <c r="GJ173" s="606">
        <v>2</v>
      </c>
      <c r="GK173" s="606">
        <v>1</v>
      </c>
      <c r="GL173" s="606">
        <v>1</v>
      </c>
      <c r="GM173" s="606">
        <v>0</v>
      </c>
      <c r="GN173" s="606">
        <v>0</v>
      </c>
      <c r="GO173" s="606">
        <v>0</v>
      </c>
      <c r="GP173" s="606">
        <v>0</v>
      </c>
      <c r="GQ173" s="606">
        <v>1</v>
      </c>
      <c r="GR173" s="606">
        <v>0</v>
      </c>
      <c r="GS173" s="606">
        <v>0</v>
      </c>
      <c r="GT173" s="606">
        <v>0</v>
      </c>
      <c r="GU173" s="606">
        <v>0</v>
      </c>
      <c r="GV173" s="606">
        <v>0</v>
      </c>
      <c r="GW173" s="608">
        <v>0</v>
      </c>
      <c r="GX173" s="608">
        <v>0</v>
      </c>
      <c r="GY173" s="608">
        <v>5</v>
      </c>
      <c r="GZ173" s="95"/>
      <c r="HA173" s="40"/>
      <c r="HB173" s="441"/>
      <c r="HC173" s="441"/>
      <c r="HD173" s="462" t="s">
        <v>412</v>
      </c>
      <c r="HE173" s="441" t="s">
        <v>1070</v>
      </c>
      <c r="HF173" s="442" t="s">
        <v>1072</v>
      </c>
      <c r="HG173" s="609"/>
      <c r="HH173" s="610">
        <v>2</v>
      </c>
      <c r="HI173" s="610">
        <v>2</v>
      </c>
      <c r="HJ173" s="610">
        <v>2</v>
      </c>
      <c r="HK173" s="609"/>
      <c r="HL173" s="610">
        <v>1</v>
      </c>
      <c r="HM173" s="609"/>
      <c r="HN173" s="610">
        <v>1</v>
      </c>
      <c r="HO173" s="610">
        <v>0</v>
      </c>
      <c r="HP173" s="610">
        <v>5</v>
      </c>
      <c r="HQ173" s="610">
        <v>2</v>
      </c>
      <c r="HR173" s="610">
        <v>9</v>
      </c>
      <c r="HS173" s="610">
        <v>21</v>
      </c>
      <c r="HT173" s="610">
        <v>8</v>
      </c>
      <c r="HU173" s="610">
        <v>4</v>
      </c>
      <c r="HV173" s="612">
        <v>5</v>
      </c>
      <c r="HW173" s="612">
        <v>0</v>
      </c>
      <c r="HX173" s="612">
        <v>62</v>
      </c>
      <c r="HY173" s="560"/>
      <c r="HZ173" s="645"/>
      <c r="IA173" s="651"/>
      <c r="IB173" s="651"/>
      <c r="IC173" s="641" t="s">
        <v>0</v>
      </c>
      <c r="ID173" s="641" t="s">
        <v>1070</v>
      </c>
      <c r="IE173" s="641">
        <v>1</v>
      </c>
      <c r="IF173" s="641">
        <v>5</v>
      </c>
      <c r="IG173" s="641">
        <v>6</v>
      </c>
      <c r="IH173" s="641">
        <v>7</v>
      </c>
      <c r="II173" s="641">
        <v>8</v>
      </c>
      <c r="IJ173" s="641">
        <v>9</v>
      </c>
      <c r="IK173" s="641">
        <v>10</v>
      </c>
      <c r="IL173" s="641">
        <v>11</v>
      </c>
      <c r="IM173" s="641">
        <v>12</v>
      </c>
      <c r="IN173" s="641">
        <v>13</v>
      </c>
      <c r="IO173" s="641">
        <v>14</v>
      </c>
      <c r="IP173" s="641">
        <v>15</v>
      </c>
      <c r="IQ173" s="641">
        <v>16</v>
      </c>
      <c r="IR173" s="641" t="s">
        <v>15</v>
      </c>
      <c r="IS173" s="642" t="s">
        <v>66</v>
      </c>
      <c r="IT173" s="645"/>
      <c r="IU173" s="645"/>
      <c r="IV173" s="652"/>
      <c r="IW173" s="652"/>
      <c r="IX173" s="653" t="s">
        <v>0</v>
      </c>
      <c r="IY173" s="653" t="s">
        <v>1070</v>
      </c>
      <c r="IZ173" s="653">
        <v>1</v>
      </c>
      <c r="JA173" s="653">
        <v>2</v>
      </c>
      <c r="JB173" s="653">
        <v>3</v>
      </c>
      <c r="JC173" s="653">
        <v>4</v>
      </c>
      <c r="JD173" s="653">
        <v>5</v>
      </c>
      <c r="JE173" s="653">
        <v>6</v>
      </c>
      <c r="JF173" s="653">
        <v>7</v>
      </c>
      <c r="JG173" s="653">
        <v>8</v>
      </c>
      <c r="JH173" s="653">
        <v>9</v>
      </c>
      <c r="JI173" s="653">
        <v>10</v>
      </c>
      <c r="JJ173" s="653">
        <v>11</v>
      </c>
      <c r="JK173" s="653">
        <v>12</v>
      </c>
      <c r="JL173" s="653">
        <v>13</v>
      </c>
      <c r="JM173" s="653">
        <v>14</v>
      </c>
      <c r="JN173" s="653">
        <v>15</v>
      </c>
      <c r="JO173" s="653">
        <v>16</v>
      </c>
      <c r="JP173" s="653" t="s">
        <v>15</v>
      </c>
      <c r="JQ173" s="653" t="s">
        <v>66</v>
      </c>
      <c r="JR173" s="36"/>
      <c r="JS173" s="616"/>
      <c r="JT173" s="616"/>
      <c r="JU173" s="647" t="s">
        <v>0</v>
      </c>
      <c r="JV173" s="648" t="s">
        <v>1140</v>
      </c>
      <c r="JW173" s="647">
        <v>0</v>
      </c>
      <c r="JX173" s="647">
        <v>1</v>
      </c>
      <c r="JY173" s="647">
        <v>2</v>
      </c>
      <c r="JZ173" s="647">
        <v>3</v>
      </c>
      <c r="KA173" s="647">
        <v>5</v>
      </c>
      <c r="KB173" s="647">
        <v>6</v>
      </c>
      <c r="KC173" s="647">
        <v>7</v>
      </c>
      <c r="KD173" s="647">
        <v>8</v>
      </c>
      <c r="KE173" s="647">
        <v>9</v>
      </c>
      <c r="KF173" s="647">
        <v>10</v>
      </c>
      <c r="KG173" s="647">
        <v>11</v>
      </c>
      <c r="KH173" s="647">
        <v>12</v>
      </c>
      <c r="KI173" s="647">
        <v>13</v>
      </c>
      <c r="KJ173" s="647">
        <v>14</v>
      </c>
      <c r="KK173" s="647">
        <v>15</v>
      </c>
      <c r="KL173" s="647">
        <v>16</v>
      </c>
      <c r="KM173" s="647" t="s">
        <v>15</v>
      </c>
      <c r="KN173" s="648" t="s">
        <v>66</v>
      </c>
      <c r="KO173" s="647" t="s">
        <v>1141</v>
      </c>
    </row>
    <row r="174" spans="1:301">
      <c r="A174" s="5740"/>
      <c r="B174" s="5740"/>
      <c r="C174" s="5741"/>
      <c r="D174" s="5741"/>
      <c r="E174" s="5750">
        <f>SUM(E172:E173)</f>
        <v>2</v>
      </c>
      <c r="F174" s="5740"/>
      <c r="G174" s="5769">
        <f>+(E173)/(E174)</f>
        <v>0.5</v>
      </c>
      <c r="I174" s="4726"/>
      <c r="J174" s="4726"/>
      <c r="K174" s="4725"/>
      <c r="L174" s="4725"/>
      <c r="M174" s="4975">
        <f>SUM(M171:M173)</f>
        <v>22</v>
      </c>
      <c r="N174" s="4726"/>
      <c r="O174" s="4510">
        <v>0</v>
      </c>
      <c r="Q174" s="4470"/>
      <c r="R174" s="4470"/>
      <c r="S174" s="4469"/>
      <c r="T174" s="4469"/>
      <c r="U174" s="4470"/>
      <c r="V174" s="4491"/>
      <c r="W174" s="4510"/>
      <c r="Z174" s="36"/>
      <c r="AA174" s="36"/>
      <c r="AB174" s="36"/>
      <c r="AC174" s="36" t="s">
        <v>2571</v>
      </c>
      <c r="AD174" s="615">
        <v>2</v>
      </c>
      <c r="AE174" s="615"/>
      <c r="AF174" s="615"/>
      <c r="AG174" s="615"/>
      <c r="AH174" s="615"/>
      <c r="AI174" s="615"/>
      <c r="AJ174" s="615"/>
      <c r="AK174" s="615">
        <v>0</v>
      </c>
      <c r="AL174" s="615">
        <v>0</v>
      </c>
      <c r="AM174" s="615">
        <v>0</v>
      </c>
      <c r="AN174" s="615">
        <v>0</v>
      </c>
      <c r="AO174" s="615">
        <v>0</v>
      </c>
      <c r="AP174" s="615"/>
      <c r="AQ174" s="36">
        <v>0</v>
      </c>
      <c r="AR174" s="36">
        <v>2</v>
      </c>
      <c r="AS174" s="36"/>
      <c r="AU174" s="36"/>
      <c r="AV174" s="36"/>
      <c r="AW174" s="393"/>
      <c r="AX174" s="393" t="s">
        <v>1076</v>
      </c>
      <c r="AY174" s="1682"/>
      <c r="AZ174" s="1682"/>
      <c r="BA174" s="1682"/>
      <c r="BB174" s="1682"/>
      <c r="BC174" s="1682"/>
      <c r="BD174" s="1682"/>
      <c r="BE174" s="1682"/>
      <c r="BF174" s="1682"/>
      <c r="BG174" s="1682">
        <v>0</v>
      </c>
      <c r="BH174" s="1682">
        <v>0</v>
      </c>
      <c r="BI174" s="1682">
        <v>1</v>
      </c>
      <c r="BJ174" s="1682">
        <v>3</v>
      </c>
      <c r="BK174" s="1682">
        <v>0</v>
      </c>
      <c r="BL174" s="1682">
        <v>0</v>
      </c>
      <c r="BM174" s="4455"/>
      <c r="BN174" s="4455">
        <v>0</v>
      </c>
      <c r="BO174" s="4455">
        <v>4</v>
      </c>
      <c r="BP174" s="4455"/>
      <c r="BT174" s="1520" t="s">
        <v>485</v>
      </c>
      <c r="BU174" s="1520" t="s">
        <v>1072</v>
      </c>
      <c r="BV174" s="3872"/>
      <c r="BW174" s="3872"/>
      <c r="BX174" s="3872"/>
      <c r="BY174" s="3872"/>
      <c r="BZ174" s="3872"/>
      <c r="CA174" s="3872"/>
      <c r="CB174" s="3872"/>
      <c r="CC174" s="3872"/>
      <c r="CD174" s="3872">
        <v>0</v>
      </c>
      <c r="CE174" s="3872">
        <v>1</v>
      </c>
      <c r="CF174" s="3872">
        <v>0</v>
      </c>
      <c r="CG174" s="3872">
        <v>2</v>
      </c>
      <c r="CH174" s="3872">
        <v>1</v>
      </c>
      <c r="CI174" s="3872">
        <v>0</v>
      </c>
      <c r="CJ174" s="3806">
        <v>0</v>
      </c>
      <c r="CK174" s="3806">
        <v>4</v>
      </c>
      <c r="CL174" s="1520"/>
      <c r="CN174" s="36"/>
      <c r="CO174" s="36"/>
      <c r="CP174" s="36"/>
      <c r="CQ174" s="36" t="s">
        <v>1076</v>
      </c>
      <c r="CR174" s="615"/>
      <c r="CS174" s="615"/>
      <c r="CT174" s="615"/>
      <c r="CU174" s="615"/>
      <c r="CV174" s="615"/>
      <c r="CW174" s="615"/>
      <c r="CX174" s="615"/>
      <c r="CY174" s="615"/>
      <c r="CZ174" s="615"/>
      <c r="DA174" s="615"/>
      <c r="DB174" s="615"/>
      <c r="DC174" s="615"/>
      <c r="DD174" s="615"/>
      <c r="DE174" s="615"/>
      <c r="DF174" s="615">
        <v>1</v>
      </c>
      <c r="DG174" s="36"/>
      <c r="DH174" s="36">
        <v>0</v>
      </c>
      <c r="DI174" s="36">
        <v>1</v>
      </c>
      <c r="DJ174" s="36"/>
      <c r="DL174" s="36" t="s">
        <v>59</v>
      </c>
      <c r="DM174" s="36" t="s">
        <v>16</v>
      </c>
      <c r="DN174" s="36" t="s">
        <v>608</v>
      </c>
      <c r="DO174" s="36" t="s">
        <v>1071</v>
      </c>
      <c r="DP174" s="1681"/>
      <c r="DQ174" s="1681"/>
      <c r="DR174" s="1681"/>
      <c r="DS174" s="1681"/>
      <c r="DT174" s="1681"/>
      <c r="DU174" s="1681"/>
      <c r="DV174" s="1681"/>
      <c r="DW174" s="1681">
        <v>0</v>
      </c>
      <c r="DX174" s="1681"/>
      <c r="DY174" s="1681">
        <v>0</v>
      </c>
      <c r="DZ174" s="1681">
        <v>0</v>
      </c>
      <c r="EA174" s="1681"/>
      <c r="EB174" s="1681"/>
      <c r="EC174" s="1681"/>
      <c r="ED174" s="1681">
        <v>1</v>
      </c>
      <c r="EE174" s="95"/>
      <c r="EF174" s="95"/>
      <c r="EG174" s="95">
        <v>1</v>
      </c>
      <c r="EH174" s="36"/>
      <c r="EL174" s="36"/>
      <c r="EM174" s="393" t="s">
        <v>15</v>
      </c>
      <c r="EN174" s="1491"/>
      <c r="EO174" s="1491">
        <v>1</v>
      </c>
      <c r="EP174" s="1491"/>
      <c r="EQ174" s="1491"/>
      <c r="ER174" s="1491">
        <v>1</v>
      </c>
      <c r="ES174" s="1491"/>
      <c r="ET174" s="1491"/>
      <c r="EU174" s="1491"/>
      <c r="EV174" s="1491"/>
      <c r="EW174" s="1491">
        <v>5</v>
      </c>
      <c r="EX174" s="1491">
        <v>2</v>
      </c>
      <c r="EY174" s="1491"/>
      <c r="EZ174" s="1491"/>
      <c r="FA174" s="1491"/>
      <c r="FB174" s="1491"/>
      <c r="FC174" s="393"/>
      <c r="FD174" s="393">
        <v>1</v>
      </c>
      <c r="FE174" s="393">
        <v>10</v>
      </c>
      <c r="FF174" s="560">
        <f>+FE173/FE174</f>
        <v>0.3</v>
      </c>
      <c r="FH174" s="1225"/>
      <c r="FI174" s="1225"/>
      <c r="FJ174" s="1225"/>
      <c r="FK174" s="1226" t="s">
        <v>1163</v>
      </c>
      <c r="FL174" s="1227"/>
      <c r="FM174" s="1227"/>
      <c r="FN174" s="1227"/>
      <c r="FO174" s="1227"/>
      <c r="FP174" s="1227"/>
      <c r="FQ174" s="1228">
        <v>0</v>
      </c>
      <c r="FR174" s="1227"/>
      <c r="FS174" s="1228">
        <v>2</v>
      </c>
      <c r="FT174" s="1227"/>
      <c r="FU174" s="1227"/>
      <c r="FV174" s="1227"/>
      <c r="FW174" s="1227"/>
      <c r="FX174" s="1227"/>
      <c r="FY174" s="1229"/>
      <c r="FZ174" s="1229"/>
      <c r="GA174" s="1230">
        <v>2</v>
      </c>
      <c r="GB174" s="36"/>
      <c r="GD174" s="603"/>
      <c r="GE174" s="603"/>
      <c r="GF174" s="603"/>
      <c r="GG174" s="604" t="s">
        <v>1076</v>
      </c>
      <c r="GH174" s="606">
        <v>0</v>
      </c>
      <c r="GI174" s="606">
        <v>0</v>
      </c>
      <c r="GJ174" s="606">
        <v>0</v>
      </c>
      <c r="GK174" s="606">
        <v>0</v>
      </c>
      <c r="GL174" s="606">
        <v>0</v>
      </c>
      <c r="GM174" s="606">
        <v>0</v>
      </c>
      <c r="GN174" s="606">
        <v>1</v>
      </c>
      <c r="GO174" s="606">
        <v>2</v>
      </c>
      <c r="GP174" s="606">
        <v>1</v>
      </c>
      <c r="GQ174" s="606">
        <v>0</v>
      </c>
      <c r="GR174" s="606">
        <v>2</v>
      </c>
      <c r="GS174" s="606">
        <v>2</v>
      </c>
      <c r="GT174" s="606">
        <v>7</v>
      </c>
      <c r="GU174" s="606">
        <v>26</v>
      </c>
      <c r="GV174" s="606">
        <v>2</v>
      </c>
      <c r="GW174" s="608">
        <v>0</v>
      </c>
      <c r="GX174" s="608">
        <v>0</v>
      </c>
      <c r="GY174" s="608">
        <v>43</v>
      </c>
      <c r="GZ174" s="95"/>
      <c r="HB174" s="441"/>
      <c r="HC174" s="441"/>
      <c r="HD174" s="441"/>
      <c r="HE174" s="441"/>
      <c r="HF174" s="442" t="s">
        <v>1076</v>
      </c>
      <c r="HG174" s="609"/>
      <c r="HH174" s="610">
        <v>0</v>
      </c>
      <c r="HI174" s="610">
        <v>0</v>
      </c>
      <c r="HJ174" s="610">
        <v>0</v>
      </c>
      <c r="HK174" s="609"/>
      <c r="HL174" s="610">
        <v>0</v>
      </c>
      <c r="HM174" s="609"/>
      <c r="HN174" s="610">
        <v>0</v>
      </c>
      <c r="HO174" s="610">
        <v>1</v>
      </c>
      <c r="HP174" s="610">
        <v>0</v>
      </c>
      <c r="HQ174" s="610">
        <v>0</v>
      </c>
      <c r="HR174" s="610">
        <v>2</v>
      </c>
      <c r="HS174" s="610">
        <v>1</v>
      </c>
      <c r="HT174" s="610">
        <v>1</v>
      </c>
      <c r="HU174" s="610">
        <v>1</v>
      </c>
      <c r="HV174" s="612">
        <v>0</v>
      </c>
      <c r="HW174" s="612">
        <v>0</v>
      </c>
      <c r="HX174" s="612">
        <v>6</v>
      </c>
      <c r="HY174" s="560"/>
      <c r="HZ174" s="36"/>
      <c r="IA174" s="613"/>
      <c r="IB174" s="613"/>
      <c r="IC174" s="613" t="s">
        <v>105</v>
      </c>
      <c r="ID174" s="389" t="s">
        <v>1072</v>
      </c>
      <c r="IE174" s="390">
        <v>0</v>
      </c>
      <c r="IF174" s="614"/>
      <c r="IG174" s="390">
        <v>0</v>
      </c>
      <c r="IH174" s="390">
        <v>0</v>
      </c>
      <c r="II174" s="390">
        <v>0</v>
      </c>
      <c r="IJ174" s="390">
        <v>0</v>
      </c>
      <c r="IK174" s="390">
        <v>0</v>
      </c>
      <c r="IL174" s="390">
        <v>0</v>
      </c>
      <c r="IM174" s="390">
        <v>1</v>
      </c>
      <c r="IN174" s="390">
        <v>1</v>
      </c>
      <c r="IO174" s="390">
        <v>0</v>
      </c>
      <c r="IP174" s="614"/>
      <c r="IQ174" s="614"/>
      <c r="IR174" s="390">
        <v>2</v>
      </c>
      <c r="IS174" s="553"/>
      <c r="IT174" s="36"/>
      <c r="IU174" s="36"/>
      <c r="IV174" s="95"/>
      <c r="IW174" s="95"/>
      <c r="IX174" s="95" t="s">
        <v>3</v>
      </c>
      <c r="IY174" s="36" t="s">
        <v>1072</v>
      </c>
      <c r="IZ174" s="36">
        <v>2</v>
      </c>
      <c r="JA174" s="36">
        <v>0</v>
      </c>
      <c r="JB174" s="36">
        <v>0</v>
      </c>
      <c r="JC174" s="36"/>
      <c r="JD174" s="36"/>
      <c r="JE174" s="36">
        <v>1</v>
      </c>
      <c r="JF174" s="36">
        <v>2</v>
      </c>
      <c r="JG174" s="36">
        <v>1</v>
      </c>
      <c r="JH174" s="36">
        <v>11</v>
      </c>
      <c r="JI174" s="36">
        <v>6</v>
      </c>
      <c r="JJ174" s="36">
        <v>1</v>
      </c>
      <c r="JK174" s="36">
        <v>1</v>
      </c>
      <c r="JL174" s="36">
        <v>0</v>
      </c>
      <c r="JM174" s="36"/>
      <c r="JN174" s="36"/>
      <c r="JO174" s="36">
        <v>0</v>
      </c>
      <c r="JP174" s="36">
        <v>25</v>
      </c>
      <c r="JQ174" s="36"/>
      <c r="JR174" s="36"/>
      <c r="JS174" s="616"/>
      <c r="JT174" s="616"/>
      <c r="JU174" s="616" t="s">
        <v>3</v>
      </c>
      <c r="JV174" s="616" t="s">
        <v>1072</v>
      </c>
      <c r="JW174" s="616">
        <v>0</v>
      </c>
      <c r="JX174" s="616">
        <v>0</v>
      </c>
      <c r="JY174" s="616">
        <v>0</v>
      </c>
      <c r="JZ174" s="616">
        <v>0</v>
      </c>
      <c r="KA174" s="616">
        <v>0</v>
      </c>
      <c r="KB174" s="616">
        <v>1</v>
      </c>
      <c r="KC174" s="616">
        <v>0</v>
      </c>
      <c r="KD174" s="616">
        <v>0</v>
      </c>
      <c r="KE174" s="616">
        <v>0</v>
      </c>
      <c r="KF174" s="616">
        <v>0</v>
      </c>
      <c r="KG174" s="616">
        <v>2</v>
      </c>
      <c r="KH174" s="616">
        <v>0</v>
      </c>
      <c r="KI174" s="616">
        <v>0</v>
      </c>
      <c r="KJ174" s="616">
        <v>0</v>
      </c>
      <c r="KK174" s="616">
        <v>0</v>
      </c>
      <c r="KL174" s="616">
        <v>0</v>
      </c>
      <c r="KM174" s="616">
        <v>3</v>
      </c>
      <c r="KN174" s="616"/>
      <c r="KO174" s="617"/>
    </row>
    <row r="175" spans="1:301">
      <c r="A175" s="5737">
        <v>3</v>
      </c>
      <c r="B175" s="5737">
        <v>2</v>
      </c>
      <c r="C175" s="5736" t="s">
        <v>2738</v>
      </c>
      <c r="D175" s="5739" t="s">
        <v>2707</v>
      </c>
      <c r="E175" s="5737">
        <v>1</v>
      </c>
      <c r="F175" s="5737">
        <v>11</v>
      </c>
      <c r="I175" s="4726">
        <v>3</v>
      </c>
      <c r="J175" s="4726">
        <v>2</v>
      </c>
      <c r="K175" s="4725" t="s">
        <v>2058</v>
      </c>
      <c r="L175" s="4725" t="s">
        <v>2709</v>
      </c>
      <c r="M175" s="4726">
        <v>1</v>
      </c>
      <c r="N175" s="4726">
        <v>1</v>
      </c>
      <c r="Q175" s="4458"/>
      <c r="R175" s="4458"/>
      <c r="S175" s="4459"/>
      <c r="T175" s="4459"/>
      <c r="U175" s="4526" t="s">
        <v>2754</v>
      </c>
      <c r="V175" s="4490">
        <f>SUM(V41,V123,V153,V169)</f>
        <v>68</v>
      </c>
      <c r="W175" s="4510"/>
      <c r="Z175" s="36"/>
      <c r="AA175" s="36"/>
      <c r="AB175" s="36"/>
      <c r="AC175" s="36" t="s">
        <v>1163</v>
      </c>
      <c r="AD175" s="615">
        <v>0</v>
      </c>
      <c r="AE175" s="615"/>
      <c r="AF175" s="615"/>
      <c r="AG175" s="615"/>
      <c r="AH175" s="615"/>
      <c r="AI175" s="615"/>
      <c r="AJ175" s="615"/>
      <c r="AK175" s="615">
        <v>0</v>
      </c>
      <c r="AL175" s="615">
        <v>2</v>
      </c>
      <c r="AM175" s="615">
        <v>0</v>
      </c>
      <c r="AN175" s="615">
        <v>0</v>
      </c>
      <c r="AO175" s="615">
        <v>0</v>
      </c>
      <c r="AP175" s="615"/>
      <c r="AQ175" s="36">
        <v>0</v>
      </c>
      <c r="AR175" s="36">
        <v>2</v>
      </c>
      <c r="AS175" s="36"/>
      <c r="AU175" s="36"/>
      <c r="AV175" s="36"/>
      <c r="AW175" s="393"/>
      <c r="AX175" s="393" t="s">
        <v>1080</v>
      </c>
      <c r="AY175" s="1682"/>
      <c r="AZ175" s="1682"/>
      <c r="BA175" s="1682"/>
      <c r="BB175" s="1682"/>
      <c r="BC175" s="1682"/>
      <c r="BD175" s="1682"/>
      <c r="BE175" s="1682"/>
      <c r="BF175" s="1682"/>
      <c r="BG175" s="1682">
        <v>0</v>
      </c>
      <c r="BH175" s="1682">
        <v>0</v>
      </c>
      <c r="BI175" s="1682">
        <v>0</v>
      </c>
      <c r="BJ175" s="1682">
        <v>0</v>
      </c>
      <c r="BK175" s="1682">
        <v>2</v>
      </c>
      <c r="BL175" s="1682">
        <v>4</v>
      </c>
      <c r="BM175" s="4455"/>
      <c r="BN175" s="4455">
        <v>2</v>
      </c>
      <c r="BO175" s="4455">
        <v>8</v>
      </c>
      <c r="BP175" s="4455"/>
      <c r="BT175" s="1520"/>
      <c r="BU175" s="1520" t="s">
        <v>1076</v>
      </c>
      <c r="BV175" s="3872"/>
      <c r="BW175" s="3872"/>
      <c r="BX175" s="3872"/>
      <c r="BY175" s="3872"/>
      <c r="BZ175" s="3872"/>
      <c r="CA175" s="3872"/>
      <c r="CB175" s="3872"/>
      <c r="CC175" s="3872"/>
      <c r="CD175" s="3872">
        <v>0</v>
      </c>
      <c r="CE175" s="3872">
        <v>0</v>
      </c>
      <c r="CF175" s="3872">
        <v>0</v>
      </c>
      <c r="CG175" s="3872">
        <v>3</v>
      </c>
      <c r="CH175" s="3872">
        <v>0</v>
      </c>
      <c r="CI175" s="3872">
        <v>0</v>
      </c>
      <c r="CJ175" s="3806">
        <v>0</v>
      </c>
      <c r="CK175" s="3806">
        <v>3</v>
      </c>
      <c r="CL175" s="1520"/>
      <c r="CN175" s="36"/>
      <c r="CO175" s="36"/>
      <c r="CP175" s="36"/>
      <c r="CQ175" s="36" t="s">
        <v>1080</v>
      </c>
      <c r="CR175" s="615"/>
      <c r="CS175" s="615"/>
      <c r="CT175" s="615"/>
      <c r="CU175" s="615"/>
      <c r="CV175" s="615"/>
      <c r="CW175" s="615"/>
      <c r="CX175" s="615"/>
      <c r="CY175" s="615"/>
      <c r="CZ175" s="615"/>
      <c r="DA175" s="615"/>
      <c r="DB175" s="615"/>
      <c r="DC175" s="615"/>
      <c r="DD175" s="615"/>
      <c r="DE175" s="615"/>
      <c r="DF175" s="615">
        <v>0</v>
      </c>
      <c r="DG175" s="36"/>
      <c r="DH175" s="36">
        <v>5</v>
      </c>
      <c r="DI175" s="36">
        <v>5</v>
      </c>
      <c r="DJ175" s="36"/>
      <c r="DL175" s="36"/>
      <c r="DM175" s="36"/>
      <c r="DN175" s="36"/>
      <c r="DO175" s="36" t="s">
        <v>1072</v>
      </c>
      <c r="DP175" s="1681"/>
      <c r="DQ175" s="1681"/>
      <c r="DR175" s="1681"/>
      <c r="DS175" s="1681"/>
      <c r="DT175" s="1681"/>
      <c r="DU175" s="1681"/>
      <c r="DV175" s="1681"/>
      <c r="DW175" s="1681">
        <v>0</v>
      </c>
      <c r="DX175" s="1681"/>
      <c r="DY175" s="1681">
        <v>6</v>
      </c>
      <c r="DZ175" s="1681">
        <v>1</v>
      </c>
      <c r="EA175" s="1681"/>
      <c r="EB175" s="1681"/>
      <c r="EC175" s="1681"/>
      <c r="ED175" s="1681">
        <v>0</v>
      </c>
      <c r="EE175" s="95"/>
      <c r="EF175" s="95"/>
      <c r="EG175" s="95">
        <v>7</v>
      </c>
      <c r="EH175" s="36"/>
      <c r="EL175" s="36" t="s">
        <v>483</v>
      </c>
      <c r="EM175" s="36" t="s">
        <v>1072</v>
      </c>
      <c r="EN175" s="1490"/>
      <c r="EO175" s="1490">
        <v>0</v>
      </c>
      <c r="EP175" s="1490"/>
      <c r="EQ175" s="1490"/>
      <c r="ER175" s="1490">
        <v>0</v>
      </c>
      <c r="ES175" s="1490"/>
      <c r="ET175" s="1490"/>
      <c r="EU175" s="1490"/>
      <c r="EV175" s="1490"/>
      <c r="EW175" s="1490">
        <v>3</v>
      </c>
      <c r="EX175" s="1490">
        <v>1</v>
      </c>
      <c r="EY175" s="1490"/>
      <c r="EZ175" s="1490"/>
      <c r="FA175" s="1490"/>
      <c r="FB175" s="1490"/>
      <c r="FC175" s="36"/>
      <c r="FD175" s="36">
        <v>0</v>
      </c>
      <c r="FE175" s="36">
        <v>4</v>
      </c>
      <c r="FF175" s="36"/>
      <c r="FH175" s="1225"/>
      <c r="FI175" s="1225"/>
      <c r="FJ175" s="1225"/>
      <c r="FK175" s="1222" t="s">
        <v>15</v>
      </c>
      <c r="FL175" s="1231"/>
      <c r="FM175" s="1231"/>
      <c r="FN175" s="1231"/>
      <c r="FO175" s="1231"/>
      <c r="FP175" s="1231"/>
      <c r="FQ175" s="1232">
        <v>2</v>
      </c>
      <c r="FR175" s="1231"/>
      <c r="FS175" s="1232">
        <v>10</v>
      </c>
      <c r="FT175" s="1231"/>
      <c r="FU175" s="1231"/>
      <c r="FV175" s="1231"/>
      <c r="FW175" s="1231"/>
      <c r="FX175" s="1231"/>
      <c r="FY175" s="1233"/>
      <c r="FZ175" s="1233"/>
      <c r="GA175" s="1234">
        <v>12</v>
      </c>
      <c r="GB175" s="1178">
        <f>+GA174/GA175</f>
        <v>0.16666666666666666</v>
      </c>
      <c r="GD175" s="603"/>
      <c r="GE175" s="603"/>
      <c r="GF175" s="603"/>
      <c r="GG175" s="604" t="s">
        <v>1077</v>
      </c>
      <c r="GH175" s="606">
        <v>0</v>
      </c>
      <c r="GI175" s="606">
        <v>0</v>
      </c>
      <c r="GJ175" s="606">
        <v>2</v>
      </c>
      <c r="GK175" s="606">
        <v>4</v>
      </c>
      <c r="GL175" s="606">
        <v>1</v>
      </c>
      <c r="GM175" s="606">
        <v>1</v>
      </c>
      <c r="GN175" s="606">
        <v>11</v>
      </c>
      <c r="GO175" s="606">
        <v>5</v>
      </c>
      <c r="GP175" s="606">
        <v>3</v>
      </c>
      <c r="GQ175" s="606">
        <v>0</v>
      </c>
      <c r="GR175" s="606">
        <v>2</v>
      </c>
      <c r="GS175" s="606">
        <v>0</v>
      </c>
      <c r="GT175" s="606">
        <v>4</v>
      </c>
      <c r="GU175" s="606">
        <v>0</v>
      </c>
      <c r="GV175" s="606">
        <v>0</v>
      </c>
      <c r="GW175" s="608">
        <v>0</v>
      </c>
      <c r="GX175" s="608">
        <v>0</v>
      </c>
      <c r="GY175" s="608">
        <v>33</v>
      </c>
      <c r="GZ175" s="95"/>
      <c r="HB175" s="441"/>
      <c r="HC175" s="441"/>
      <c r="HD175" s="441"/>
      <c r="HE175" s="441"/>
      <c r="HF175" s="442" t="s">
        <v>1080</v>
      </c>
      <c r="HG175" s="609"/>
      <c r="HH175" s="610">
        <v>0</v>
      </c>
      <c r="HI175" s="610">
        <v>0</v>
      </c>
      <c r="HJ175" s="610">
        <v>0</v>
      </c>
      <c r="HK175" s="609"/>
      <c r="HL175" s="610">
        <v>0</v>
      </c>
      <c r="HM175" s="609"/>
      <c r="HN175" s="610">
        <v>0</v>
      </c>
      <c r="HO175" s="610">
        <v>0</v>
      </c>
      <c r="HP175" s="610">
        <v>0</v>
      </c>
      <c r="HQ175" s="610">
        <v>0</v>
      </c>
      <c r="HR175" s="610">
        <v>0</v>
      </c>
      <c r="HS175" s="610">
        <v>1</v>
      </c>
      <c r="HT175" s="610">
        <v>1</v>
      </c>
      <c r="HU175" s="610">
        <v>4</v>
      </c>
      <c r="HV175" s="612">
        <v>2</v>
      </c>
      <c r="HW175" s="612">
        <v>7</v>
      </c>
      <c r="HX175" s="612">
        <v>15</v>
      </c>
      <c r="HY175" s="560"/>
      <c r="HZ175" s="36"/>
      <c r="IA175" s="613"/>
      <c r="IB175" s="613"/>
      <c r="IC175" s="613"/>
      <c r="ID175" s="389" t="s">
        <v>1074</v>
      </c>
      <c r="IE175" s="390">
        <v>1</v>
      </c>
      <c r="IF175" s="614"/>
      <c r="IG175" s="390">
        <v>0</v>
      </c>
      <c r="IH175" s="390">
        <v>0</v>
      </c>
      <c r="II175" s="390">
        <v>0</v>
      </c>
      <c r="IJ175" s="390">
        <v>0</v>
      </c>
      <c r="IK175" s="390">
        <v>0</v>
      </c>
      <c r="IL175" s="390">
        <v>0</v>
      </c>
      <c r="IM175" s="390">
        <v>0</v>
      </c>
      <c r="IN175" s="390">
        <v>0</v>
      </c>
      <c r="IO175" s="390">
        <v>0</v>
      </c>
      <c r="IP175" s="614"/>
      <c r="IQ175" s="614"/>
      <c r="IR175" s="390">
        <v>1</v>
      </c>
      <c r="IS175" s="615"/>
      <c r="IT175" s="36"/>
      <c r="IU175" s="36"/>
      <c r="IV175" s="95"/>
      <c r="IW175" s="95"/>
      <c r="IX175" s="95"/>
      <c r="IY175" s="36" t="s">
        <v>1074</v>
      </c>
      <c r="IZ175" s="36">
        <v>0</v>
      </c>
      <c r="JA175" s="36">
        <v>0</v>
      </c>
      <c r="JB175" s="36">
        <v>1</v>
      </c>
      <c r="JC175" s="36"/>
      <c r="JD175" s="36"/>
      <c r="JE175" s="36">
        <v>0</v>
      </c>
      <c r="JF175" s="36">
        <v>0</v>
      </c>
      <c r="JG175" s="36">
        <v>0</v>
      </c>
      <c r="JH175" s="36">
        <v>0</v>
      </c>
      <c r="JI175" s="36">
        <v>0</v>
      </c>
      <c r="JJ175" s="36">
        <v>0</v>
      </c>
      <c r="JK175" s="36">
        <v>0</v>
      </c>
      <c r="JL175" s="36">
        <v>0</v>
      </c>
      <c r="JM175" s="36"/>
      <c r="JN175" s="36"/>
      <c r="JO175" s="36">
        <v>0</v>
      </c>
      <c r="JP175" s="36">
        <v>1</v>
      </c>
      <c r="JQ175" s="36"/>
      <c r="JR175" s="36"/>
      <c r="JS175" s="616"/>
      <c r="JT175" s="616"/>
      <c r="JU175" s="616"/>
      <c r="JV175" s="616" t="s">
        <v>1074</v>
      </c>
      <c r="JW175" s="616">
        <v>0</v>
      </c>
      <c r="JX175" s="616">
        <v>0</v>
      </c>
      <c r="JY175" s="616">
        <v>1</v>
      </c>
      <c r="JZ175" s="616">
        <v>0</v>
      </c>
      <c r="KA175" s="616">
        <v>0</v>
      </c>
      <c r="KB175" s="616">
        <v>0</v>
      </c>
      <c r="KC175" s="616">
        <v>0</v>
      </c>
      <c r="KD175" s="616">
        <v>0</v>
      </c>
      <c r="KE175" s="616">
        <v>0</v>
      </c>
      <c r="KF175" s="616">
        <v>0</v>
      </c>
      <c r="KG175" s="616">
        <v>0</v>
      </c>
      <c r="KH175" s="616">
        <v>0</v>
      </c>
      <c r="KI175" s="616">
        <v>0</v>
      </c>
      <c r="KJ175" s="616">
        <v>0</v>
      </c>
      <c r="KK175" s="616">
        <v>0</v>
      </c>
      <c r="KL175" s="616">
        <v>0</v>
      </c>
      <c r="KM175" s="616">
        <v>1</v>
      </c>
      <c r="KN175" s="616"/>
      <c r="KO175" s="617"/>
    </row>
    <row r="176" spans="1:301">
      <c r="A176" s="5737">
        <v>3</v>
      </c>
      <c r="B176" s="5737">
        <v>2</v>
      </c>
      <c r="C176" s="5736" t="s">
        <v>2738</v>
      </c>
      <c r="D176" s="5736" t="s">
        <v>2709</v>
      </c>
      <c r="E176" s="5737">
        <v>1</v>
      </c>
      <c r="F176" s="5737">
        <v>5</v>
      </c>
      <c r="I176" s="4726"/>
      <c r="J176" s="4726"/>
      <c r="K176" s="4725"/>
      <c r="L176" s="4725"/>
      <c r="M176" s="4975">
        <f>SUM(M175)</f>
        <v>1</v>
      </c>
      <c r="N176" s="4726"/>
      <c r="O176" s="4510">
        <v>0</v>
      </c>
      <c r="Q176" s="4474" t="s">
        <v>2613</v>
      </c>
      <c r="R176" s="4474" t="s">
        <v>2613</v>
      </c>
      <c r="S176" s="4524" t="s">
        <v>67</v>
      </c>
      <c r="T176" s="4525" t="s">
        <v>2613</v>
      </c>
      <c r="U176" s="4525" t="s">
        <v>2613</v>
      </c>
      <c r="V176" s="4509">
        <f>SUM(V42,V124,V154,V170+V173)</f>
        <v>287</v>
      </c>
      <c r="W176" s="4523">
        <f>+(V175)/(V176)</f>
        <v>0.23693379790940766</v>
      </c>
      <c r="Z176" s="36"/>
      <c r="AA176" s="36"/>
      <c r="AB176" s="36"/>
      <c r="AC176" s="4236" t="s">
        <v>15</v>
      </c>
      <c r="AD176" s="4236">
        <v>2</v>
      </c>
      <c r="AE176" s="4236"/>
      <c r="AF176" s="4236"/>
      <c r="AG176" s="4236"/>
      <c r="AH176" s="4236"/>
      <c r="AI176" s="4236"/>
      <c r="AJ176" s="4236"/>
      <c r="AK176" s="4236">
        <v>7</v>
      </c>
      <c r="AL176" s="4236">
        <v>9</v>
      </c>
      <c r="AM176" s="4236">
        <v>2</v>
      </c>
      <c r="AN176" s="4236">
        <v>7</v>
      </c>
      <c r="AO176" s="4236">
        <v>12</v>
      </c>
      <c r="AP176" s="4236"/>
      <c r="AQ176" s="4236">
        <v>2</v>
      </c>
      <c r="AR176" s="4236">
        <v>41</v>
      </c>
      <c r="AS176" s="4243">
        <f>(AR171+AR173+AR175)/(AR176-AR174)</f>
        <v>0.30769230769230771</v>
      </c>
      <c r="AU176" s="36"/>
      <c r="AV176" s="36"/>
      <c r="AW176" s="393"/>
      <c r="AX176" s="393" t="s">
        <v>1081</v>
      </c>
      <c r="AY176" s="1682"/>
      <c r="AZ176" s="1682"/>
      <c r="BA176" s="1682"/>
      <c r="BB176" s="1682"/>
      <c r="BC176" s="1682"/>
      <c r="BD176" s="1682"/>
      <c r="BE176" s="1682"/>
      <c r="BF176" s="1682"/>
      <c r="BG176" s="1682">
        <v>0</v>
      </c>
      <c r="BH176" s="1682">
        <v>0</v>
      </c>
      <c r="BI176" s="1682">
        <v>0</v>
      </c>
      <c r="BJ176" s="1682">
        <v>2</v>
      </c>
      <c r="BK176" s="1682">
        <v>1</v>
      </c>
      <c r="BL176" s="1682">
        <v>0</v>
      </c>
      <c r="BM176" s="4455"/>
      <c r="BN176" s="4455">
        <v>0</v>
      </c>
      <c r="BO176" s="4455">
        <v>3</v>
      </c>
      <c r="BP176" s="4455"/>
      <c r="BT176" s="1520"/>
      <c r="BU176" s="1520" t="s">
        <v>1080</v>
      </c>
      <c r="BV176" s="3872"/>
      <c r="BW176" s="3872"/>
      <c r="BX176" s="3872"/>
      <c r="BY176" s="3872"/>
      <c r="BZ176" s="3872"/>
      <c r="CA176" s="3872"/>
      <c r="CB176" s="3872"/>
      <c r="CC176" s="3872"/>
      <c r="CD176" s="3872">
        <v>0</v>
      </c>
      <c r="CE176" s="3872">
        <v>0</v>
      </c>
      <c r="CF176" s="3872">
        <v>0</v>
      </c>
      <c r="CG176" s="3872">
        <v>0</v>
      </c>
      <c r="CH176" s="3872">
        <v>5</v>
      </c>
      <c r="CI176" s="3872">
        <v>1</v>
      </c>
      <c r="CJ176" s="3806">
        <v>2</v>
      </c>
      <c r="CK176" s="3806">
        <v>8</v>
      </c>
      <c r="CL176" s="1520"/>
      <c r="CN176" s="36"/>
      <c r="CO176" s="36"/>
      <c r="CP176" s="36"/>
      <c r="CQ176" s="36" t="s">
        <v>1163</v>
      </c>
      <c r="CR176" s="615"/>
      <c r="CS176" s="615"/>
      <c r="CT176" s="615"/>
      <c r="CU176" s="615"/>
      <c r="CV176" s="615"/>
      <c r="CW176" s="615"/>
      <c r="CX176" s="615"/>
      <c r="CY176" s="615"/>
      <c r="CZ176" s="615"/>
      <c r="DA176" s="615"/>
      <c r="DB176" s="615"/>
      <c r="DC176" s="615"/>
      <c r="DD176" s="615"/>
      <c r="DE176" s="615"/>
      <c r="DF176" s="615">
        <v>1</v>
      </c>
      <c r="DG176" s="36"/>
      <c r="DH176" s="36">
        <v>0</v>
      </c>
      <c r="DI176" s="36">
        <v>1</v>
      </c>
      <c r="DJ176" s="36"/>
      <c r="DL176" s="36"/>
      <c r="DM176" s="36"/>
      <c r="DN176" s="36"/>
      <c r="DO176" s="36" t="s">
        <v>1074</v>
      </c>
      <c r="DP176" s="1681"/>
      <c r="DQ176" s="1681"/>
      <c r="DR176" s="1681"/>
      <c r="DS176" s="1681"/>
      <c r="DT176" s="1681"/>
      <c r="DU176" s="1681"/>
      <c r="DV176" s="1681"/>
      <c r="DW176" s="1681">
        <v>1</v>
      </c>
      <c r="DX176" s="1681"/>
      <c r="DY176" s="1681">
        <v>0</v>
      </c>
      <c r="DZ176" s="1681">
        <v>0</v>
      </c>
      <c r="EA176" s="1681"/>
      <c r="EB176" s="1681"/>
      <c r="EC176" s="1681"/>
      <c r="ED176" s="1681">
        <v>0</v>
      </c>
      <c r="EE176" s="95"/>
      <c r="EF176" s="95"/>
      <c r="EG176" s="95">
        <v>1</v>
      </c>
      <c r="EH176" s="36"/>
      <c r="EL176" s="36"/>
      <c r="EM176" s="36" t="s">
        <v>1077</v>
      </c>
      <c r="EN176" s="1490"/>
      <c r="EO176" s="1490">
        <v>1</v>
      </c>
      <c r="EP176" s="1490"/>
      <c r="EQ176" s="1490"/>
      <c r="ER176" s="1490">
        <v>1</v>
      </c>
      <c r="ES176" s="1490"/>
      <c r="ET176" s="1490"/>
      <c r="EU176" s="1490"/>
      <c r="EV176" s="1490"/>
      <c r="EW176" s="1490">
        <v>0</v>
      </c>
      <c r="EX176" s="1490">
        <v>0</v>
      </c>
      <c r="EY176" s="1490"/>
      <c r="EZ176" s="1490"/>
      <c r="FA176" s="1490"/>
      <c r="FB176" s="1490"/>
      <c r="FC176" s="36"/>
      <c r="FD176" s="36">
        <v>0</v>
      </c>
      <c r="FE176" s="36">
        <v>2</v>
      </c>
      <c r="FF176" s="36"/>
      <c r="FH176" s="1225"/>
      <c r="FI176" s="1225"/>
      <c r="FJ176" s="1225" t="s">
        <v>483</v>
      </c>
      <c r="FK176" s="1226" t="s">
        <v>1072</v>
      </c>
      <c r="FL176" s="1227"/>
      <c r="FM176" s="1227"/>
      <c r="FN176" s="1227"/>
      <c r="FO176" s="1227"/>
      <c r="FP176" s="1227"/>
      <c r="FQ176" s="1228">
        <v>0</v>
      </c>
      <c r="FR176" s="1227"/>
      <c r="FS176" s="1228">
        <v>8</v>
      </c>
      <c r="FT176" s="1227"/>
      <c r="FU176" s="1227"/>
      <c r="FV176" s="1227"/>
      <c r="FW176" s="1227"/>
      <c r="FX176" s="1227"/>
      <c r="FY176" s="1229"/>
      <c r="FZ176" s="1229"/>
      <c r="GA176" s="1230">
        <v>8</v>
      </c>
      <c r="GB176" s="36"/>
      <c r="GD176" s="603"/>
      <c r="GE176" s="603"/>
      <c r="GF176" s="603"/>
      <c r="GG176" s="604" t="s">
        <v>1080</v>
      </c>
      <c r="GH176" s="606">
        <v>0</v>
      </c>
      <c r="GI176" s="606">
        <v>0</v>
      </c>
      <c r="GJ176" s="606">
        <v>0</v>
      </c>
      <c r="GK176" s="606">
        <v>0</v>
      </c>
      <c r="GL176" s="606">
        <v>0</v>
      </c>
      <c r="GM176" s="606">
        <v>0</v>
      </c>
      <c r="GN176" s="606">
        <v>0</v>
      </c>
      <c r="GO176" s="606">
        <v>0</v>
      </c>
      <c r="GP176" s="606">
        <v>0</v>
      </c>
      <c r="GQ176" s="606">
        <v>0</v>
      </c>
      <c r="GR176" s="606">
        <v>0</v>
      </c>
      <c r="GS176" s="606">
        <v>0</v>
      </c>
      <c r="GT176" s="606">
        <v>0</v>
      </c>
      <c r="GU176" s="606">
        <v>3</v>
      </c>
      <c r="GV176" s="606">
        <v>45</v>
      </c>
      <c r="GW176" s="608">
        <v>7</v>
      </c>
      <c r="GX176" s="608">
        <v>28</v>
      </c>
      <c r="GY176" s="608">
        <v>83</v>
      </c>
      <c r="GZ176" s="95"/>
      <c r="HB176" s="441"/>
      <c r="HC176" s="441"/>
      <c r="HD176" s="441"/>
      <c r="HE176" s="441"/>
      <c r="HF176" s="442" t="s">
        <v>1081</v>
      </c>
      <c r="HG176" s="609"/>
      <c r="HH176" s="610">
        <v>0</v>
      </c>
      <c r="HI176" s="610">
        <v>0</v>
      </c>
      <c r="HJ176" s="610">
        <v>0</v>
      </c>
      <c r="HK176" s="609"/>
      <c r="HL176" s="610">
        <v>0</v>
      </c>
      <c r="HM176" s="609"/>
      <c r="HN176" s="610">
        <v>0</v>
      </c>
      <c r="HO176" s="610">
        <v>0</v>
      </c>
      <c r="HP176" s="610">
        <v>0</v>
      </c>
      <c r="HQ176" s="610">
        <v>0</v>
      </c>
      <c r="HR176" s="610">
        <v>0</v>
      </c>
      <c r="HS176" s="610">
        <v>2</v>
      </c>
      <c r="HT176" s="610">
        <v>0</v>
      </c>
      <c r="HU176" s="610">
        <v>0</v>
      </c>
      <c r="HV176" s="612">
        <v>1</v>
      </c>
      <c r="HW176" s="612">
        <v>0</v>
      </c>
      <c r="HX176" s="612">
        <v>3</v>
      </c>
      <c r="HY176" s="560"/>
      <c r="HZ176" s="36"/>
      <c r="IA176" s="613"/>
      <c r="IB176" s="613"/>
      <c r="IC176" s="613"/>
      <c r="ID176" s="389" t="s">
        <v>1076</v>
      </c>
      <c r="IE176" s="390">
        <v>0</v>
      </c>
      <c r="IF176" s="614"/>
      <c r="IG176" s="390">
        <v>0</v>
      </c>
      <c r="IH176" s="390">
        <v>0</v>
      </c>
      <c r="II176" s="390">
        <v>1</v>
      </c>
      <c r="IJ176" s="390">
        <v>0</v>
      </c>
      <c r="IK176" s="390">
        <v>0</v>
      </c>
      <c r="IL176" s="390">
        <v>0</v>
      </c>
      <c r="IM176" s="390">
        <v>0</v>
      </c>
      <c r="IN176" s="390">
        <v>0</v>
      </c>
      <c r="IO176" s="390">
        <v>0</v>
      </c>
      <c r="IP176" s="614"/>
      <c r="IQ176" s="614"/>
      <c r="IR176" s="390">
        <v>1</v>
      </c>
      <c r="IS176" s="615"/>
      <c r="IT176" s="36"/>
      <c r="IU176" s="36"/>
      <c r="IV176" s="95"/>
      <c r="IW176" s="95"/>
      <c r="IX176" s="95"/>
      <c r="IY176" s="36" t="s">
        <v>1076</v>
      </c>
      <c r="IZ176" s="36">
        <v>0</v>
      </c>
      <c r="JA176" s="36">
        <v>0</v>
      </c>
      <c r="JB176" s="36">
        <v>0</v>
      </c>
      <c r="JC176" s="36"/>
      <c r="JD176" s="36"/>
      <c r="JE176" s="36">
        <v>0</v>
      </c>
      <c r="JF176" s="36">
        <v>0</v>
      </c>
      <c r="JG176" s="36">
        <v>0</v>
      </c>
      <c r="JH176" s="36">
        <v>4</v>
      </c>
      <c r="JI176" s="36">
        <v>0</v>
      </c>
      <c r="JJ176" s="36">
        <v>0</v>
      </c>
      <c r="JK176" s="36">
        <v>0</v>
      </c>
      <c r="JL176" s="36">
        <v>0</v>
      </c>
      <c r="JM176" s="36"/>
      <c r="JN176" s="36"/>
      <c r="JO176" s="36">
        <v>0</v>
      </c>
      <c r="JP176" s="36">
        <v>4</v>
      </c>
      <c r="JQ176" s="36"/>
      <c r="JR176" s="36"/>
      <c r="JS176" s="616"/>
      <c r="JT176" s="616"/>
      <c r="JU176" s="616"/>
      <c r="JV176" s="616" t="s">
        <v>1076</v>
      </c>
      <c r="JW176" s="616">
        <v>0</v>
      </c>
      <c r="JX176" s="616">
        <v>0</v>
      </c>
      <c r="JY176" s="616">
        <v>0</v>
      </c>
      <c r="JZ176" s="616">
        <v>0</v>
      </c>
      <c r="KA176" s="616">
        <v>0</v>
      </c>
      <c r="KB176" s="616">
        <v>1</v>
      </c>
      <c r="KC176" s="616">
        <v>0</v>
      </c>
      <c r="KD176" s="616">
        <v>0</v>
      </c>
      <c r="KE176" s="616">
        <v>1</v>
      </c>
      <c r="KF176" s="616">
        <v>0</v>
      </c>
      <c r="KG176" s="616">
        <v>0</v>
      </c>
      <c r="KH176" s="616">
        <v>0</v>
      </c>
      <c r="KI176" s="616">
        <v>1</v>
      </c>
      <c r="KJ176" s="616">
        <v>0</v>
      </c>
      <c r="KK176" s="616">
        <v>0</v>
      </c>
      <c r="KL176" s="616">
        <v>0</v>
      </c>
      <c r="KM176" s="616">
        <v>3</v>
      </c>
      <c r="KN176" s="616"/>
      <c r="KO176" s="617"/>
    </row>
    <row r="177" spans="1:301">
      <c r="A177" s="5737">
        <v>3</v>
      </c>
      <c r="B177" s="5737">
        <v>2</v>
      </c>
      <c r="C177" s="5736" t="s">
        <v>2738</v>
      </c>
      <c r="D177" s="5736" t="s">
        <v>2709</v>
      </c>
      <c r="E177" s="5737">
        <v>2</v>
      </c>
      <c r="F177" s="5737">
        <v>10</v>
      </c>
      <c r="I177" s="4726">
        <v>3</v>
      </c>
      <c r="J177" s="4726">
        <v>2</v>
      </c>
      <c r="K177" s="4725" t="s">
        <v>279</v>
      </c>
      <c r="L177" s="4725" t="s">
        <v>2731</v>
      </c>
      <c r="M177" s="4726">
        <v>11</v>
      </c>
      <c r="N177" s="4726">
        <v>13</v>
      </c>
      <c r="U177" s="4457"/>
      <c r="V177" s="4457"/>
      <c r="W177" s="115" t="s">
        <v>2578</v>
      </c>
      <c r="Z177" s="36"/>
      <c r="AA177" s="36" t="s">
        <v>21</v>
      </c>
      <c r="AB177" s="36" t="s">
        <v>145</v>
      </c>
      <c r="AC177" s="36" t="s">
        <v>1072</v>
      </c>
      <c r="AD177" s="615"/>
      <c r="AE177" s="615">
        <v>1</v>
      </c>
      <c r="AF177" s="615"/>
      <c r="AG177" s="615">
        <v>1</v>
      </c>
      <c r="AH177" s="615">
        <v>1</v>
      </c>
      <c r="AI177" s="615"/>
      <c r="AJ177" s="615">
        <v>0</v>
      </c>
      <c r="AK177" s="615"/>
      <c r="AL177" s="615"/>
      <c r="AM177" s="615">
        <v>1</v>
      </c>
      <c r="AN177" s="615">
        <v>7</v>
      </c>
      <c r="AO177" s="615"/>
      <c r="AP177" s="615"/>
      <c r="AQ177" s="36"/>
      <c r="AR177" s="36">
        <v>11</v>
      </c>
      <c r="AS177" s="36"/>
      <c r="AU177" s="36"/>
      <c r="AV177" s="36"/>
      <c r="AW177" s="393"/>
      <c r="AX177" s="393" t="s">
        <v>1163</v>
      </c>
      <c r="AY177" s="1682"/>
      <c r="AZ177" s="1682"/>
      <c r="BA177" s="1682"/>
      <c r="BB177" s="1682"/>
      <c r="BC177" s="1682"/>
      <c r="BD177" s="1682"/>
      <c r="BE177" s="1682"/>
      <c r="BF177" s="1682"/>
      <c r="BG177" s="1682">
        <v>1</v>
      </c>
      <c r="BH177" s="1682">
        <v>0</v>
      </c>
      <c r="BI177" s="1682">
        <v>0</v>
      </c>
      <c r="BJ177" s="1682">
        <v>1</v>
      </c>
      <c r="BK177" s="1682">
        <v>0</v>
      </c>
      <c r="BL177" s="1682">
        <v>0</v>
      </c>
      <c r="BM177" s="4455"/>
      <c r="BN177" s="4455">
        <v>0</v>
      </c>
      <c r="BO177" s="4455">
        <v>2</v>
      </c>
      <c r="BP177" s="4455"/>
      <c r="BT177" s="1520"/>
      <c r="BU177" s="1520" t="s">
        <v>1081</v>
      </c>
      <c r="BV177" s="3872"/>
      <c r="BW177" s="3872"/>
      <c r="BX177" s="3872"/>
      <c r="BY177" s="3872"/>
      <c r="BZ177" s="3872"/>
      <c r="CA177" s="3872"/>
      <c r="CB177" s="3872"/>
      <c r="CC177" s="3872"/>
      <c r="CD177" s="3872">
        <v>0</v>
      </c>
      <c r="CE177" s="3872">
        <v>0</v>
      </c>
      <c r="CF177" s="3872">
        <v>1</v>
      </c>
      <c r="CG177" s="3872">
        <v>2</v>
      </c>
      <c r="CH177" s="3872">
        <v>1</v>
      </c>
      <c r="CI177" s="3872">
        <v>0</v>
      </c>
      <c r="CJ177" s="3806">
        <v>0</v>
      </c>
      <c r="CK177" s="3806">
        <v>4</v>
      </c>
      <c r="CL177" s="1520"/>
      <c r="CN177" s="36"/>
      <c r="CO177" s="36"/>
      <c r="CP177" s="36"/>
      <c r="CQ177" s="393" t="s">
        <v>15</v>
      </c>
      <c r="CR177" s="2049"/>
      <c r="CS177" s="2049"/>
      <c r="CT177" s="2049"/>
      <c r="CU177" s="2049"/>
      <c r="CV177" s="2049"/>
      <c r="CW177" s="2049"/>
      <c r="CX177" s="2049"/>
      <c r="CY177" s="2049"/>
      <c r="CZ177" s="2049"/>
      <c r="DA177" s="2049"/>
      <c r="DB177" s="2049"/>
      <c r="DC177" s="2049"/>
      <c r="DD177" s="2049"/>
      <c r="DE177" s="2049"/>
      <c r="DF177" s="2049">
        <v>4</v>
      </c>
      <c r="DG177" s="393"/>
      <c r="DH177" s="393">
        <v>5</v>
      </c>
      <c r="DI177" s="393">
        <v>9</v>
      </c>
      <c r="DJ177" s="560">
        <f>+(DI176+DI174)/DI177</f>
        <v>0.22222222222222221</v>
      </c>
      <c r="DK177" s="1665"/>
      <c r="DL177" s="36"/>
      <c r="DM177" s="36"/>
      <c r="DN177" s="36"/>
      <c r="DO177" s="36" t="s">
        <v>1076</v>
      </c>
      <c r="DP177" s="1681"/>
      <c r="DQ177" s="1681"/>
      <c r="DR177" s="1681"/>
      <c r="DS177" s="1681"/>
      <c r="DT177" s="1681"/>
      <c r="DU177" s="1681"/>
      <c r="DV177" s="1681"/>
      <c r="DW177" s="1681">
        <v>0</v>
      </c>
      <c r="DX177" s="1681"/>
      <c r="DY177" s="1681">
        <v>1</v>
      </c>
      <c r="DZ177" s="1681">
        <v>0</v>
      </c>
      <c r="EA177" s="1681"/>
      <c r="EB177" s="1681"/>
      <c r="EC177" s="1681"/>
      <c r="ED177" s="1681">
        <v>0</v>
      </c>
      <c r="EE177" s="95"/>
      <c r="EF177" s="95"/>
      <c r="EG177" s="95">
        <v>1</v>
      </c>
      <c r="EH177" s="36"/>
      <c r="EL177" s="36"/>
      <c r="EM177" s="36" t="s">
        <v>1080</v>
      </c>
      <c r="EN177" s="1490"/>
      <c r="EO177" s="1490">
        <v>0</v>
      </c>
      <c r="EP177" s="1490"/>
      <c r="EQ177" s="1490"/>
      <c r="ER177" s="1490">
        <v>0</v>
      </c>
      <c r="ES177" s="1490"/>
      <c r="ET177" s="1490"/>
      <c r="EU177" s="1490"/>
      <c r="EV177" s="1490"/>
      <c r="EW177" s="1490">
        <v>0</v>
      </c>
      <c r="EX177" s="1490">
        <v>0</v>
      </c>
      <c r="EY177" s="1490"/>
      <c r="EZ177" s="1490"/>
      <c r="FA177" s="1490"/>
      <c r="FB177" s="1490"/>
      <c r="FC177" s="36"/>
      <c r="FD177" s="36">
        <v>1</v>
      </c>
      <c r="FE177" s="36">
        <v>1</v>
      </c>
      <c r="FF177" s="36"/>
      <c r="FH177" s="1225"/>
      <c r="FI177" s="1225"/>
      <c r="FJ177" s="1225"/>
      <c r="FK177" s="1226" t="s">
        <v>1074</v>
      </c>
      <c r="FL177" s="1227"/>
      <c r="FM177" s="1227"/>
      <c r="FN177" s="1227"/>
      <c r="FO177" s="1227"/>
      <c r="FP177" s="1227"/>
      <c r="FQ177" s="1228">
        <v>1</v>
      </c>
      <c r="FR177" s="1227"/>
      <c r="FS177" s="1228">
        <v>0</v>
      </c>
      <c r="FT177" s="1227"/>
      <c r="FU177" s="1227"/>
      <c r="FV177" s="1227"/>
      <c r="FW177" s="1227"/>
      <c r="FX177" s="1227"/>
      <c r="FY177" s="1229"/>
      <c r="FZ177" s="1229"/>
      <c r="GA177" s="1230">
        <v>1</v>
      </c>
      <c r="GB177" s="36"/>
      <c r="GD177" s="603"/>
      <c r="GE177" s="603"/>
      <c r="GF177" s="603"/>
      <c r="GG177" s="604" t="s">
        <v>1081</v>
      </c>
      <c r="GH177" s="606">
        <v>0</v>
      </c>
      <c r="GI177" s="606">
        <v>0</v>
      </c>
      <c r="GJ177" s="606">
        <v>0</v>
      </c>
      <c r="GK177" s="606">
        <v>0</v>
      </c>
      <c r="GL177" s="606">
        <v>0</v>
      </c>
      <c r="GM177" s="606">
        <v>0</v>
      </c>
      <c r="GN177" s="606">
        <v>0</v>
      </c>
      <c r="GO177" s="606">
        <v>0</v>
      </c>
      <c r="GP177" s="606">
        <v>0</v>
      </c>
      <c r="GQ177" s="606">
        <v>0</v>
      </c>
      <c r="GR177" s="606">
        <v>1</v>
      </c>
      <c r="GS177" s="606">
        <v>2</v>
      </c>
      <c r="GT177" s="606">
        <v>0</v>
      </c>
      <c r="GU177" s="606">
        <v>0</v>
      </c>
      <c r="GV177" s="606">
        <v>0</v>
      </c>
      <c r="GW177" s="608">
        <v>0</v>
      </c>
      <c r="GX177" s="608">
        <v>0</v>
      </c>
      <c r="GY177" s="608">
        <v>3</v>
      </c>
      <c r="GZ177" s="95"/>
      <c r="HB177" s="441"/>
      <c r="HC177" s="441"/>
      <c r="HD177" s="441"/>
      <c r="HE177" s="441"/>
      <c r="HF177" s="442" t="s">
        <v>1163</v>
      </c>
      <c r="HG177" s="609"/>
      <c r="HH177" s="610">
        <v>0</v>
      </c>
      <c r="HI177" s="610">
        <v>0</v>
      </c>
      <c r="HJ177" s="610">
        <v>0</v>
      </c>
      <c r="HK177" s="609"/>
      <c r="HL177" s="610">
        <v>0</v>
      </c>
      <c r="HM177" s="609"/>
      <c r="HN177" s="610">
        <v>0</v>
      </c>
      <c r="HO177" s="610">
        <v>0</v>
      </c>
      <c r="HP177" s="610">
        <v>1</v>
      </c>
      <c r="HQ177" s="610">
        <v>2</v>
      </c>
      <c r="HR177" s="610">
        <v>0</v>
      </c>
      <c r="HS177" s="610">
        <v>6</v>
      </c>
      <c r="HT177" s="610">
        <v>2</v>
      </c>
      <c r="HU177" s="610">
        <v>1</v>
      </c>
      <c r="HV177" s="612">
        <v>0</v>
      </c>
      <c r="HW177" s="612">
        <v>0</v>
      </c>
      <c r="HX177" s="612">
        <v>12</v>
      </c>
      <c r="HY177" s="560"/>
      <c r="HZ177" s="36"/>
      <c r="IA177" s="613"/>
      <c r="IB177" s="613"/>
      <c r="IC177" s="613"/>
      <c r="ID177" s="389" t="s">
        <v>1077</v>
      </c>
      <c r="IE177" s="390">
        <v>0</v>
      </c>
      <c r="IF177" s="614"/>
      <c r="IG177" s="390">
        <v>6</v>
      </c>
      <c r="IH177" s="390">
        <v>3</v>
      </c>
      <c r="II177" s="390">
        <v>3</v>
      </c>
      <c r="IJ177" s="390">
        <v>0</v>
      </c>
      <c r="IK177" s="390">
        <v>1</v>
      </c>
      <c r="IL177" s="390">
        <v>1</v>
      </c>
      <c r="IM177" s="390">
        <v>0</v>
      </c>
      <c r="IN177" s="390">
        <v>0</v>
      </c>
      <c r="IO177" s="390">
        <v>0</v>
      </c>
      <c r="IP177" s="614"/>
      <c r="IQ177" s="614"/>
      <c r="IR177" s="390">
        <v>14</v>
      </c>
      <c r="IS177" s="615"/>
      <c r="IT177" s="36"/>
      <c r="IU177" s="36"/>
      <c r="IV177" s="95"/>
      <c r="IW177" s="95"/>
      <c r="IX177" s="95"/>
      <c r="IY177" s="36" t="s">
        <v>1077</v>
      </c>
      <c r="IZ177" s="36">
        <v>0</v>
      </c>
      <c r="JA177" s="36">
        <v>1</v>
      </c>
      <c r="JB177" s="36">
        <v>1</v>
      </c>
      <c r="JC177" s="36"/>
      <c r="JD177" s="36"/>
      <c r="JE177" s="36">
        <v>1</v>
      </c>
      <c r="JF177" s="36">
        <v>2</v>
      </c>
      <c r="JG177" s="36">
        <v>1</v>
      </c>
      <c r="JH177" s="36">
        <v>0</v>
      </c>
      <c r="JI177" s="36">
        <v>0</v>
      </c>
      <c r="JJ177" s="36">
        <v>0</v>
      </c>
      <c r="JK177" s="36">
        <v>3</v>
      </c>
      <c r="JL177" s="36">
        <v>0</v>
      </c>
      <c r="JM177" s="36"/>
      <c r="JN177" s="36"/>
      <c r="JO177" s="36">
        <v>0</v>
      </c>
      <c r="JP177" s="36">
        <v>9</v>
      </c>
      <c r="JQ177" s="36"/>
      <c r="JR177" s="36"/>
      <c r="JS177" s="616"/>
      <c r="JT177" s="616"/>
      <c r="JU177" s="616"/>
      <c r="JV177" s="616" t="s">
        <v>1077</v>
      </c>
      <c r="JW177" s="616">
        <v>0</v>
      </c>
      <c r="JX177" s="616">
        <v>0</v>
      </c>
      <c r="JY177" s="616">
        <v>0</v>
      </c>
      <c r="JZ177" s="616">
        <v>0</v>
      </c>
      <c r="KA177" s="616">
        <v>2</v>
      </c>
      <c r="KB177" s="616">
        <v>0</v>
      </c>
      <c r="KC177" s="616">
        <v>1</v>
      </c>
      <c r="KD177" s="616">
        <v>0</v>
      </c>
      <c r="KE177" s="616">
        <v>1</v>
      </c>
      <c r="KF177" s="616">
        <v>0</v>
      </c>
      <c r="KG177" s="616">
        <v>0</v>
      </c>
      <c r="KH177" s="616">
        <v>0</v>
      </c>
      <c r="KI177" s="616">
        <v>0</v>
      </c>
      <c r="KJ177" s="616">
        <v>0</v>
      </c>
      <c r="KK177" s="616">
        <v>0</v>
      </c>
      <c r="KL177" s="616">
        <v>0</v>
      </c>
      <c r="KM177" s="616">
        <v>4</v>
      </c>
      <c r="KN177" s="616"/>
      <c r="KO177" s="617"/>
    </row>
    <row r="178" spans="1:301">
      <c r="A178" s="5737">
        <v>3</v>
      </c>
      <c r="B178" s="5737">
        <v>2</v>
      </c>
      <c r="C178" s="5736" t="s">
        <v>2738</v>
      </c>
      <c r="D178" s="5736" t="s">
        <v>2709</v>
      </c>
      <c r="E178" s="5737">
        <v>18</v>
      </c>
      <c r="F178" s="5737">
        <v>11</v>
      </c>
      <c r="I178" s="4726">
        <v>3</v>
      </c>
      <c r="J178" s="4726">
        <v>2</v>
      </c>
      <c r="K178" s="4725" t="s">
        <v>279</v>
      </c>
      <c r="L178" s="4725" t="s">
        <v>2709</v>
      </c>
      <c r="M178" s="4726">
        <v>1</v>
      </c>
      <c r="N178" s="4726">
        <v>3</v>
      </c>
      <c r="U178" s="4457"/>
      <c r="V178" s="4457"/>
      <c r="W178" s="4457"/>
      <c r="Z178" s="36"/>
      <c r="AA178" s="36"/>
      <c r="AB178" s="36"/>
      <c r="AC178" s="36" t="s">
        <v>1077</v>
      </c>
      <c r="AD178" s="615"/>
      <c r="AE178" s="615">
        <v>0</v>
      </c>
      <c r="AF178" s="615"/>
      <c r="AG178" s="615">
        <v>0</v>
      </c>
      <c r="AH178" s="615">
        <v>0</v>
      </c>
      <c r="AI178" s="615"/>
      <c r="AJ178" s="615">
        <v>1</v>
      </c>
      <c r="AK178" s="615"/>
      <c r="AL178" s="615"/>
      <c r="AM178" s="615">
        <v>0</v>
      </c>
      <c r="AN178" s="615">
        <v>0</v>
      </c>
      <c r="AO178" s="615"/>
      <c r="AP178" s="615"/>
      <c r="AQ178" s="36"/>
      <c r="AR178" s="36">
        <v>1</v>
      </c>
      <c r="AS178" s="36"/>
      <c r="AU178" s="36"/>
      <c r="AV178" s="36"/>
      <c r="AW178" s="393"/>
      <c r="AX178" s="36" t="s">
        <v>15</v>
      </c>
      <c r="AY178" s="1682"/>
      <c r="AZ178" s="1682"/>
      <c r="BA178" s="1682"/>
      <c r="BB178" s="1682"/>
      <c r="BC178" s="1682"/>
      <c r="BD178" s="1682"/>
      <c r="BE178" s="1682"/>
      <c r="BF178" s="1682"/>
      <c r="BG178" s="1682">
        <v>1</v>
      </c>
      <c r="BH178" s="1682">
        <v>1</v>
      </c>
      <c r="BI178" s="1682">
        <v>1</v>
      </c>
      <c r="BJ178" s="1682">
        <v>8</v>
      </c>
      <c r="BK178" s="1682">
        <v>4</v>
      </c>
      <c r="BL178" s="1682">
        <v>4</v>
      </c>
      <c r="BM178" s="4455"/>
      <c r="BN178" s="4455">
        <v>2</v>
      </c>
      <c r="BO178" s="4455">
        <v>21</v>
      </c>
      <c r="BP178" s="560">
        <f>+(BO174+BO176+BO177)/(BO178)</f>
        <v>0.42857142857142855</v>
      </c>
      <c r="BT178" s="1520"/>
      <c r="BU178" s="1520" t="s">
        <v>1163</v>
      </c>
      <c r="BV178" s="3872"/>
      <c r="BW178" s="3872"/>
      <c r="BX178" s="3872"/>
      <c r="BY178" s="3872"/>
      <c r="BZ178" s="3872"/>
      <c r="CA178" s="3872"/>
      <c r="CB178" s="3872"/>
      <c r="CC178" s="3872"/>
      <c r="CD178" s="3872">
        <v>1</v>
      </c>
      <c r="CE178" s="3872">
        <v>0</v>
      </c>
      <c r="CF178" s="3872">
        <v>0</v>
      </c>
      <c r="CG178" s="3872">
        <v>1</v>
      </c>
      <c r="CH178" s="3872">
        <v>0</v>
      </c>
      <c r="CI178" s="3872">
        <v>0</v>
      </c>
      <c r="CJ178" s="3806">
        <v>0</v>
      </c>
      <c r="CK178" s="3806">
        <v>2</v>
      </c>
      <c r="CL178" s="1520"/>
      <c r="CN178" s="36"/>
      <c r="CO178" s="36"/>
      <c r="CP178" s="393" t="s">
        <v>483</v>
      </c>
      <c r="CQ178" s="393" t="s">
        <v>1072</v>
      </c>
      <c r="CR178" s="2049"/>
      <c r="CS178" s="2049"/>
      <c r="CT178" s="2049"/>
      <c r="CU178" s="2049"/>
      <c r="CV178" s="2049"/>
      <c r="CW178" s="2049"/>
      <c r="CX178" s="2049"/>
      <c r="CY178" s="2049"/>
      <c r="CZ178" s="2049"/>
      <c r="DA178" s="2049"/>
      <c r="DB178" s="2049"/>
      <c r="DC178" s="2049"/>
      <c r="DD178" s="2049"/>
      <c r="DE178" s="2049"/>
      <c r="DF178" s="2049">
        <v>2</v>
      </c>
      <c r="DG178" s="393"/>
      <c r="DH178" s="393">
        <v>0</v>
      </c>
      <c r="DI178" s="393">
        <v>2</v>
      </c>
      <c r="DJ178" s="36"/>
      <c r="DL178" s="36"/>
      <c r="DM178" s="36"/>
      <c r="DN178" s="36"/>
      <c r="DO178" s="36" t="s">
        <v>1080</v>
      </c>
      <c r="DP178" s="1681"/>
      <c r="DQ178" s="1681"/>
      <c r="DR178" s="1681"/>
      <c r="DS178" s="1681"/>
      <c r="DT178" s="1681"/>
      <c r="DU178" s="1681"/>
      <c r="DV178" s="1681"/>
      <c r="DW178" s="1681">
        <v>0</v>
      </c>
      <c r="DX178" s="1681"/>
      <c r="DY178" s="1681">
        <v>0</v>
      </c>
      <c r="DZ178" s="1681">
        <v>0</v>
      </c>
      <c r="EA178" s="1681"/>
      <c r="EB178" s="1681"/>
      <c r="EC178" s="1681"/>
      <c r="ED178" s="1681">
        <v>1</v>
      </c>
      <c r="EE178" s="95"/>
      <c r="EF178" s="95"/>
      <c r="EG178" s="95">
        <v>1</v>
      </c>
      <c r="EH178" s="36"/>
      <c r="EL178" s="36"/>
      <c r="EM178" s="36" t="s">
        <v>1163</v>
      </c>
      <c r="EN178" s="1490"/>
      <c r="EO178" s="1490">
        <v>0</v>
      </c>
      <c r="EP178" s="1490"/>
      <c r="EQ178" s="1490"/>
      <c r="ER178" s="1490">
        <v>0</v>
      </c>
      <c r="ES178" s="1490"/>
      <c r="ET178" s="1490"/>
      <c r="EU178" s="1490"/>
      <c r="EV178" s="1490"/>
      <c r="EW178" s="1490">
        <v>2</v>
      </c>
      <c r="EX178" s="1490">
        <v>1</v>
      </c>
      <c r="EY178" s="1490"/>
      <c r="EZ178" s="1490"/>
      <c r="FA178" s="1490"/>
      <c r="FB178" s="1490"/>
      <c r="FC178" s="36"/>
      <c r="FD178" s="36">
        <v>0</v>
      </c>
      <c r="FE178" s="36">
        <v>3</v>
      </c>
      <c r="FF178" s="36"/>
      <c r="FH178" s="1225"/>
      <c r="FI178" s="1225"/>
      <c r="FJ178" s="1225"/>
      <c r="FK178" s="1226" t="s">
        <v>1077</v>
      </c>
      <c r="FL178" s="1227"/>
      <c r="FM178" s="1227"/>
      <c r="FN178" s="1227"/>
      <c r="FO178" s="1227"/>
      <c r="FP178" s="1227"/>
      <c r="FQ178" s="1228">
        <v>1</v>
      </c>
      <c r="FR178" s="1227"/>
      <c r="FS178" s="1228">
        <v>0</v>
      </c>
      <c r="FT178" s="1227"/>
      <c r="FU178" s="1227"/>
      <c r="FV178" s="1227"/>
      <c r="FW178" s="1227"/>
      <c r="FX178" s="1227"/>
      <c r="FY178" s="1229"/>
      <c r="FZ178" s="1229"/>
      <c r="GA178" s="1230">
        <v>1</v>
      </c>
      <c r="GB178" s="36"/>
      <c r="GD178" s="603"/>
      <c r="GE178" s="603"/>
      <c r="GF178" s="603"/>
      <c r="GG178" s="604" t="s">
        <v>1163</v>
      </c>
      <c r="GH178" s="606">
        <v>0</v>
      </c>
      <c r="GI178" s="606">
        <v>0</v>
      </c>
      <c r="GJ178" s="606">
        <v>0</v>
      </c>
      <c r="GK178" s="606">
        <v>0</v>
      </c>
      <c r="GL178" s="606">
        <v>0</v>
      </c>
      <c r="GM178" s="606">
        <v>0</v>
      </c>
      <c r="GN178" s="606">
        <v>4</v>
      </c>
      <c r="GO178" s="606">
        <v>1</v>
      </c>
      <c r="GP178" s="606">
        <v>2</v>
      </c>
      <c r="GQ178" s="606">
        <v>11</v>
      </c>
      <c r="GR178" s="606">
        <v>13</v>
      </c>
      <c r="GS178" s="606">
        <v>8</v>
      </c>
      <c r="GT178" s="606">
        <v>11</v>
      </c>
      <c r="GU178" s="606">
        <v>8</v>
      </c>
      <c r="GV178" s="606">
        <v>9</v>
      </c>
      <c r="GW178" s="608">
        <v>0</v>
      </c>
      <c r="GX178" s="608">
        <v>0</v>
      </c>
      <c r="GY178" s="608">
        <v>67</v>
      </c>
      <c r="GZ178" s="95"/>
      <c r="HB178" s="441"/>
      <c r="HC178" s="441"/>
      <c r="HD178" s="441"/>
      <c r="HE178" s="36"/>
      <c r="HF178" s="462" t="s">
        <v>412</v>
      </c>
      <c r="HG178" s="618"/>
      <c r="HH178" s="619">
        <v>2</v>
      </c>
      <c r="HI178" s="619">
        <v>2</v>
      </c>
      <c r="HJ178" s="619">
        <v>2</v>
      </c>
      <c r="HK178" s="618"/>
      <c r="HL178" s="619">
        <v>1</v>
      </c>
      <c r="HM178" s="618"/>
      <c r="HN178" s="619">
        <v>1</v>
      </c>
      <c r="HO178" s="619">
        <v>1</v>
      </c>
      <c r="HP178" s="619">
        <v>6</v>
      </c>
      <c r="HQ178" s="619">
        <v>4</v>
      </c>
      <c r="HR178" s="619">
        <v>11</v>
      </c>
      <c r="HS178" s="619">
        <v>31</v>
      </c>
      <c r="HT178" s="619">
        <v>12</v>
      </c>
      <c r="HU178" s="619">
        <v>10</v>
      </c>
      <c r="HV178" s="621">
        <v>8</v>
      </c>
      <c r="HW178" s="621">
        <v>7</v>
      </c>
      <c r="HX178" s="621">
        <v>98</v>
      </c>
      <c r="HY178" s="560">
        <f>+(HX177+HX176+HX174-HV176)/HX178</f>
        <v>0.20408163265306123</v>
      </c>
      <c r="HZ178" s="36"/>
      <c r="IA178" s="613"/>
      <c r="IB178" s="613"/>
      <c r="IC178" s="613"/>
      <c r="ID178" s="389" t="s">
        <v>1080</v>
      </c>
      <c r="IE178" s="390">
        <v>0</v>
      </c>
      <c r="IF178" s="614"/>
      <c r="IG178" s="390">
        <v>0</v>
      </c>
      <c r="IH178" s="390">
        <v>0</v>
      </c>
      <c r="II178" s="390">
        <v>1</v>
      </c>
      <c r="IJ178" s="390">
        <v>1</v>
      </c>
      <c r="IK178" s="390">
        <v>0</v>
      </c>
      <c r="IL178" s="390">
        <v>0</v>
      </c>
      <c r="IM178" s="390">
        <v>0</v>
      </c>
      <c r="IN178" s="390">
        <v>0</v>
      </c>
      <c r="IO178" s="390">
        <v>4</v>
      </c>
      <c r="IP178" s="614"/>
      <c r="IQ178" s="614"/>
      <c r="IR178" s="390">
        <v>6</v>
      </c>
      <c r="IS178" s="615"/>
      <c r="IT178" s="36"/>
      <c r="IU178" s="36"/>
      <c r="IV178" s="95"/>
      <c r="IW178" s="95"/>
      <c r="IX178" s="95"/>
      <c r="IY178" s="36" t="s">
        <v>1080</v>
      </c>
      <c r="IZ178" s="36">
        <v>0</v>
      </c>
      <c r="JA178" s="36">
        <v>0</v>
      </c>
      <c r="JB178" s="36">
        <v>0</v>
      </c>
      <c r="JC178" s="36"/>
      <c r="JD178" s="36"/>
      <c r="JE178" s="36">
        <v>0</v>
      </c>
      <c r="JF178" s="36">
        <v>0</v>
      </c>
      <c r="JG178" s="36">
        <v>0</v>
      </c>
      <c r="JH178" s="36">
        <v>0</v>
      </c>
      <c r="JI178" s="36">
        <v>0</v>
      </c>
      <c r="JJ178" s="36">
        <v>1</v>
      </c>
      <c r="JK178" s="36">
        <v>0</v>
      </c>
      <c r="JL178" s="36">
        <v>0</v>
      </c>
      <c r="JM178" s="36"/>
      <c r="JN178" s="36"/>
      <c r="JO178" s="36">
        <v>2</v>
      </c>
      <c r="JP178" s="36">
        <v>3</v>
      </c>
      <c r="JQ178" s="36"/>
      <c r="JR178" s="36"/>
      <c r="JS178" s="616"/>
      <c r="JT178" s="616"/>
      <c r="JU178" s="616"/>
      <c r="JV178" s="616" t="s">
        <v>1080</v>
      </c>
      <c r="JW178" s="616">
        <v>0</v>
      </c>
      <c r="JX178" s="616">
        <v>0</v>
      </c>
      <c r="JY178" s="616">
        <v>0</v>
      </c>
      <c r="JZ178" s="616">
        <v>0</v>
      </c>
      <c r="KA178" s="616">
        <v>0</v>
      </c>
      <c r="KB178" s="616">
        <v>0</v>
      </c>
      <c r="KC178" s="616">
        <v>0</v>
      </c>
      <c r="KD178" s="616">
        <v>0</v>
      </c>
      <c r="KE178" s="616">
        <v>0</v>
      </c>
      <c r="KF178" s="616">
        <v>0</v>
      </c>
      <c r="KG178" s="616">
        <v>0</v>
      </c>
      <c r="KH178" s="616">
        <v>0</v>
      </c>
      <c r="KI178" s="616">
        <v>1</v>
      </c>
      <c r="KJ178" s="616">
        <v>0</v>
      </c>
      <c r="KK178" s="616">
        <v>0</v>
      </c>
      <c r="KL178" s="616">
        <v>0</v>
      </c>
      <c r="KM178" s="616">
        <v>1</v>
      </c>
      <c r="KN178" s="616"/>
      <c r="KO178" s="617"/>
    </row>
    <row r="179" spans="1:301" ht="15" thickBot="1">
      <c r="A179" s="5737"/>
      <c r="B179" s="5737"/>
      <c r="C179" s="5736"/>
      <c r="D179" s="5736"/>
      <c r="E179" s="5742">
        <f>SUM(E175:E178)</f>
        <v>22</v>
      </c>
      <c r="F179" s="5737"/>
      <c r="G179" s="5769">
        <f>+(E175)/(E179)</f>
        <v>4.5454545454545456E-2</v>
      </c>
      <c r="I179" s="4726">
        <v>3</v>
      </c>
      <c r="J179" s="4726">
        <v>2</v>
      </c>
      <c r="K179" s="4725" t="s">
        <v>279</v>
      </c>
      <c r="L179" s="4725" t="s">
        <v>2709</v>
      </c>
      <c r="M179" s="4726">
        <v>1</v>
      </c>
      <c r="N179" s="4726">
        <v>5</v>
      </c>
      <c r="U179" s="4457"/>
      <c r="V179" s="4457"/>
      <c r="W179" s="4457"/>
      <c r="Z179" s="36"/>
      <c r="AA179" s="36"/>
      <c r="AB179" s="36"/>
      <c r="AC179" s="4236" t="s">
        <v>15</v>
      </c>
      <c r="AD179" s="4236"/>
      <c r="AE179" s="4236">
        <v>1</v>
      </c>
      <c r="AF179" s="4236"/>
      <c r="AG179" s="4236">
        <v>1</v>
      </c>
      <c r="AH179" s="4236">
        <v>1</v>
      </c>
      <c r="AI179" s="4236"/>
      <c r="AJ179" s="4236">
        <v>1</v>
      </c>
      <c r="AK179" s="4236"/>
      <c r="AL179" s="4236"/>
      <c r="AM179" s="4236">
        <v>1</v>
      </c>
      <c r="AN179" s="4236">
        <v>7</v>
      </c>
      <c r="AO179" s="4236"/>
      <c r="AP179" s="4236"/>
      <c r="AQ179" s="4236"/>
      <c r="AR179" s="4236">
        <v>12</v>
      </c>
      <c r="AS179" s="4243">
        <v>0</v>
      </c>
      <c r="AU179" s="36"/>
      <c r="AV179" s="36" t="s">
        <v>21</v>
      </c>
      <c r="AW179" s="36" t="s">
        <v>145</v>
      </c>
      <c r="AX179" s="36" t="s">
        <v>1072</v>
      </c>
      <c r="AY179" s="1681"/>
      <c r="AZ179" s="1681"/>
      <c r="BA179" s="1681"/>
      <c r="BB179" s="1681"/>
      <c r="BC179" s="1681"/>
      <c r="BD179" s="1681"/>
      <c r="BE179" s="1681"/>
      <c r="BF179" s="1681"/>
      <c r="BG179" s="1681">
        <v>1</v>
      </c>
      <c r="BH179" s="1681"/>
      <c r="BI179" s="1681"/>
      <c r="BJ179" s="1681">
        <v>6</v>
      </c>
      <c r="BK179" s="1681">
        <v>1</v>
      </c>
      <c r="BL179" s="1681"/>
      <c r="BM179" s="95"/>
      <c r="BN179" s="95"/>
      <c r="BO179" s="95">
        <v>8</v>
      </c>
      <c r="BP179" s="95"/>
      <c r="BT179" s="1520"/>
      <c r="BU179" s="1520" t="s">
        <v>485</v>
      </c>
      <c r="BV179" s="3872"/>
      <c r="BW179" s="3872"/>
      <c r="BX179" s="3872"/>
      <c r="BY179" s="3872"/>
      <c r="BZ179" s="3872"/>
      <c r="CA179" s="3872"/>
      <c r="CB179" s="3872"/>
      <c r="CC179" s="3872"/>
      <c r="CD179" s="3872">
        <v>1</v>
      </c>
      <c r="CE179" s="3872">
        <v>1</v>
      </c>
      <c r="CF179" s="3872">
        <v>1</v>
      </c>
      <c r="CG179" s="3872">
        <v>8</v>
      </c>
      <c r="CH179" s="3872">
        <v>7</v>
      </c>
      <c r="CI179" s="3872">
        <v>1</v>
      </c>
      <c r="CJ179" s="3806">
        <v>2</v>
      </c>
      <c r="CK179" s="3806">
        <v>21</v>
      </c>
      <c r="CL179" s="3807">
        <f>+(CK175+CK177+CK178)/CK179</f>
        <v>0.42857142857142855</v>
      </c>
      <c r="CN179" s="36"/>
      <c r="CO179" s="36"/>
      <c r="CP179" s="393"/>
      <c r="CQ179" s="393" t="s">
        <v>1076</v>
      </c>
      <c r="CR179" s="2049"/>
      <c r="CS179" s="2049"/>
      <c r="CT179" s="2049"/>
      <c r="CU179" s="2049"/>
      <c r="CV179" s="2049"/>
      <c r="CW179" s="2049"/>
      <c r="CX179" s="2049"/>
      <c r="CY179" s="2049"/>
      <c r="CZ179" s="2049"/>
      <c r="DA179" s="2049"/>
      <c r="DB179" s="2049"/>
      <c r="DC179" s="2049"/>
      <c r="DD179" s="2049"/>
      <c r="DE179" s="2049"/>
      <c r="DF179" s="2049">
        <v>1</v>
      </c>
      <c r="DG179" s="393"/>
      <c r="DH179" s="393">
        <v>0</v>
      </c>
      <c r="DI179" s="393">
        <v>1</v>
      </c>
      <c r="DJ179" s="36"/>
      <c r="DL179" s="36"/>
      <c r="DM179" s="36"/>
      <c r="DN179" s="36"/>
      <c r="DO179" s="36" t="s">
        <v>1163</v>
      </c>
      <c r="DP179" s="1681"/>
      <c r="DQ179" s="1681"/>
      <c r="DR179" s="1681"/>
      <c r="DS179" s="1681"/>
      <c r="DT179" s="1681"/>
      <c r="DU179" s="1681"/>
      <c r="DV179" s="1681"/>
      <c r="DW179" s="1681">
        <v>0</v>
      </c>
      <c r="DX179" s="1681"/>
      <c r="DY179" s="1681">
        <v>6</v>
      </c>
      <c r="DZ179" s="1681">
        <v>0</v>
      </c>
      <c r="EA179" s="1681"/>
      <c r="EB179" s="1681"/>
      <c r="EC179" s="1681"/>
      <c r="ED179" s="1681">
        <v>0</v>
      </c>
      <c r="EE179" s="95"/>
      <c r="EF179" s="95"/>
      <c r="EG179" s="95">
        <v>6</v>
      </c>
      <c r="EH179" s="36"/>
      <c r="EL179" s="36"/>
      <c r="EM179" s="393" t="s">
        <v>483</v>
      </c>
      <c r="EN179" s="1491"/>
      <c r="EO179" s="1491">
        <v>1</v>
      </c>
      <c r="EP179" s="1491"/>
      <c r="EQ179" s="1491"/>
      <c r="ER179" s="1491">
        <v>1</v>
      </c>
      <c r="ES179" s="1491"/>
      <c r="ET179" s="1491"/>
      <c r="EU179" s="1491"/>
      <c r="EV179" s="1491"/>
      <c r="EW179" s="1491">
        <v>5</v>
      </c>
      <c r="EX179" s="1491">
        <v>2</v>
      </c>
      <c r="EY179" s="1491"/>
      <c r="EZ179" s="1491"/>
      <c r="FA179" s="1491"/>
      <c r="FB179" s="1491"/>
      <c r="FC179" s="393"/>
      <c r="FD179" s="393">
        <v>1</v>
      </c>
      <c r="FE179" s="393">
        <v>10</v>
      </c>
      <c r="FF179" s="560">
        <f>+FE178/FE179</f>
        <v>0.3</v>
      </c>
      <c r="FH179" s="1225"/>
      <c r="FI179" s="1225"/>
      <c r="FJ179" s="1225"/>
      <c r="FK179" s="1226" t="s">
        <v>1163</v>
      </c>
      <c r="FL179" s="1227"/>
      <c r="FM179" s="1227"/>
      <c r="FN179" s="1227"/>
      <c r="FO179" s="1227"/>
      <c r="FP179" s="1227"/>
      <c r="FQ179" s="1228">
        <v>0</v>
      </c>
      <c r="FR179" s="1227"/>
      <c r="FS179" s="1228">
        <v>2</v>
      </c>
      <c r="FT179" s="1227"/>
      <c r="FU179" s="1227"/>
      <c r="FV179" s="1227"/>
      <c r="FW179" s="1227"/>
      <c r="FX179" s="1227"/>
      <c r="FY179" s="1229"/>
      <c r="FZ179" s="1229"/>
      <c r="GA179" s="1230">
        <v>2</v>
      </c>
      <c r="GB179" s="36"/>
      <c r="GD179" s="654"/>
      <c r="GE179" s="654"/>
      <c r="GF179" s="654"/>
      <c r="GG179" s="655" t="s">
        <v>112</v>
      </c>
      <c r="GH179" s="656">
        <v>1</v>
      </c>
      <c r="GI179" s="656">
        <v>7</v>
      </c>
      <c r="GJ179" s="656">
        <v>6</v>
      </c>
      <c r="GK179" s="656">
        <v>7</v>
      </c>
      <c r="GL179" s="656">
        <v>3</v>
      </c>
      <c r="GM179" s="656">
        <v>3</v>
      </c>
      <c r="GN179" s="656">
        <v>17</v>
      </c>
      <c r="GO179" s="656">
        <v>11</v>
      </c>
      <c r="GP179" s="656">
        <v>10</v>
      </c>
      <c r="GQ179" s="656">
        <v>20</v>
      </c>
      <c r="GR179" s="656">
        <v>26</v>
      </c>
      <c r="GS179" s="656">
        <v>16</v>
      </c>
      <c r="GT179" s="656">
        <v>35</v>
      </c>
      <c r="GU179" s="656">
        <v>48</v>
      </c>
      <c r="GV179" s="656">
        <v>61</v>
      </c>
      <c r="GW179" s="657">
        <v>9</v>
      </c>
      <c r="GX179" s="657">
        <v>28</v>
      </c>
      <c r="GY179" s="657">
        <v>308</v>
      </c>
      <c r="GZ179" s="587">
        <f>+(GY174+GY177+GY178)/GY179</f>
        <v>0.36688311688311687</v>
      </c>
      <c r="HB179" s="441"/>
      <c r="HC179" s="441"/>
      <c r="HD179" s="462" t="s">
        <v>112</v>
      </c>
      <c r="HE179" s="441" t="s">
        <v>1070</v>
      </c>
      <c r="HF179" s="442" t="s">
        <v>1071</v>
      </c>
      <c r="HG179" s="610">
        <v>0</v>
      </c>
      <c r="HH179" s="610">
        <v>0</v>
      </c>
      <c r="HI179" s="610">
        <v>0</v>
      </c>
      <c r="HJ179" s="610">
        <v>0</v>
      </c>
      <c r="HK179" s="610">
        <v>0</v>
      </c>
      <c r="HL179" s="610">
        <v>0</v>
      </c>
      <c r="HM179" s="610">
        <v>0</v>
      </c>
      <c r="HN179" s="610">
        <v>0</v>
      </c>
      <c r="HO179" s="610">
        <v>0</v>
      </c>
      <c r="HP179" s="610">
        <v>0</v>
      </c>
      <c r="HQ179" s="610">
        <v>0</v>
      </c>
      <c r="HR179" s="610">
        <v>0</v>
      </c>
      <c r="HS179" s="610">
        <v>0</v>
      </c>
      <c r="HT179" s="610">
        <v>0</v>
      </c>
      <c r="HU179" s="610">
        <v>4</v>
      </c>
      <c r="HV179" s="612">
        <v>1</v>
      </c>
      <c r="HW179" s="612">
        <v>0</v>
      </c>
      <c r="HX179" s="612">
        <v>5</v>
      </c>
      <c r="HY179" s="560"/>
      <c r="HZ179" s="36"/>
      <c r="IA179" s="613"/>
      <c r="IB179" s="613"/>
      <c r="IC179" s="613"/>
      <c r="ID179" s="389" t="s">
        <v>1081</v>
      </c>
      <c r="IE179" s="390">
        <v>0</v>
      </c>
      <c r="IF179" s="614"/>
      <c r="IG179" s="390">
        <v>0</v>
      </c>
      <c r="IH179" s="390">
        <v>0</v>
      </c>
      <c r="II179" s="390">
        <v>0</v>
      </c>
      <c r="IJ179" s="390">
        <v>1</v>
      </c>
      <c r="IK179" s="390">
        <v>0</v>
      </c>
      <c r="IL179" s="390">
        <v>0</v>
      </c>
      <c r="IM179" s="390">
        <v>0</v>
      </c>
      <c r="IN179" s="390">
        <v>1</v>
      </c>
      <c r="IO179" s="390">
        <v>0</v>
      </c>
      <c r="IP179" s="614"/>
      <c r="IQ179" s="614"/>
      <c r="IR179" s="390">
        <v>2</v>
      </c>
      <c r="IS179" s="615"/>
      <c r="IT179" s="36"/>
      <c r="IU179" s="36"/>
      <c r="IV179" s="95"/>
      <c r="IW179" s="95"/>
      <c r="IX179" s="95"/>
      <c r="IY179" s="36" t="s">
        <v>1081</v>
      </c>
      <c r="IZ179" s="36">
        <v>0</v>
      </c>
      <c r="JA179" s="36">
        <v>0</v>
      </c>
      <c r="JB179" s="36">
        <v>0</v>
      </c>
      <c r="JC179" s="36"/>
      <c r="JD179" s="36"/>
      <c r="JE179" s="36">
        <v>0</v>
      </c>
      <c r="JF179" s="36">
        <v>0</v>
      </c>
      <c r="JG179" s="36">
        <v>0</v>
      </c>
      <c r="JH179" s="36">
        <v>2</v>
      </c>
      <c r="JI179" s="36">
        <v>2</v>
      </c>
      <c r="JJ179" s="36">
        <v>1</v>
      </c>
      <c r="JK179" s="36">
        <v>0</v>
      </c>
      <c r="JL179" s="36">
        <v>0</v>
      </c>
      <c r="JM179" s="36"/>
      <c r="JN179" s="36"/>
      <c r="JO179" s="36">
        <v>0</v>
      </c>
      <c r="JP179" s="36">
        <v>5</v>
      </c>
      <c r="JQ179" s="36"/>
      <c r="JR179" s="36"/>
      <c r="JS179" s="616"/>
      <c r="JT179" s="616"/>
      <c r="JU179" s="616"/>
      <c r="JV179" s="616" t="s">
        <v>1163</v>
      </c>
      <c r="JW179" s="616">
        <v>0</v>
      </c>
      <c r="JX179" s="616">
        <v>0</v>
      </c>
      <c r="JY179" s="616">
        <v>0</v>
      </c>
      <c r="JZ179" s="616">
        <v>0</v>
      </c>
      <c r="KA179" s="616">
        <v>0</v>
      </c>
      <c r="KB179" s="616">
        <v>0</v>
      </c>
      <c r="KC179" s="616">
        <v>0</v>
      </c>
      <c r="KD179" s="616">
        <v>0</v>
      </c>
      <c r="KE179" s="616">
        <v>0</v>
      </c>
      <c r="KF179" s="616">
        <v>0</v>
      </c>
      <c r="KG179" s="616">
        <v>1</v>
      </c>
      <c r="KH179" s="616">
        <v>3</v>
      </c>
      <c r="KI179" s="616">
        <v>0</v>
      </c>
      <c r="KJ179" s="616">
        <v>0</v>
      </c>
      <c r="KK179" s="616">
        <v>0</v>
      </c>
      <c r="KL179" s="616">
        <v>0</v>
      </c>
      <c r="KM179" s="616">
        <v>4</v>
      </c>
      <c r="KN179" s="616"/>
      <c r="KO179" s="617"/>
    </row>
    <row r="180" spans="1:301">
      <c r="A180" s="5737">
        <v>3</v>
      </c>
      <c r="B180" s="5737">
        <v>2</v>
      </c>
      <c r="C180" s="5736" t="s">
        <v>2058</v>
      </c>
      <c r="D180" s="5736" t="s">
        <v>2709</v>
      </c>
      <c r="E180" s="5737">
        <v>1</v>
      </c>
      <c r="F180" s="5737">
        <v>1</v>
      </c>
      <c r="I180" s="4726">
        <v>3</v>
      </c>
      <c r="J180" s="4726">
        <v>2</v>
      </c>
      <c r="K180" s="4725" t="s">
        <v>279</v>
      </c>
      <c r="L180" s="4725" t="s">
        <v>2709</v>
      </c>
      <c r="M180" s="4726">
        <v>1</v>
      </c>
      <c r="N180" s="4726">
        <v>11</v>
      </c>
      <c r="Q180" s="4832"/>
      <c r="R180" s="4832"/>
      <c r="S180" s="4832"/>
      <c r="T180" s="4832"/>
      <c r="U180" s="4832"/>
      <c r="V180" s="4832"/>
      <c r="W180" s="4622"/>
      <c r="Z180" s="36"/>
      <c r="AA180" s="36"/>
      <c r="AB180" s="36" t="s">
        <v>15</v>
      </c>
      <c r="AC180" s="36" t="s">
        <v>1072</v>
      </c>
      <c r="AD180" s="615"/>
      <c r="AE180" s="615">
        <v>1</v>
      </c>
      <c r="AF180" s="615"/>
      <c r="AG180" s="615">
        <v>1</v>
      </c>
      <c r="AH180" s="615">
        <v>1</v>
      </c>
      <c r="AI180" s="615"/>
      <c r="AJ180" s="615">
        <v>0</v>
      </c>
      <c r="AK180" s="615"/>
      <c r="AL180" s="615"/>
      <c r="AM180" s="615">
        <v>1</v>
      </c>
      <c r="AN180" s="615">
        <v>7</v>
      </c>
      <c r="AO180" s="615"/>
      <c r="AP180" s="615"/>
      <c r="AQ180" s="36"/>
      <c r="AR180" s="36">
        <v>11</v>
      </c>
      <c r="AS180" s="36"/>
      <c r="AU180" s="36"/>
      <c r="AV180" s="36"/>
      <c r="AW180" s="36"/>
      <c r="AX180" s="36" t="s">
        <v>15</v>
      </c>
      <c r="AY180" s="1681"/>
      <c r="AZ180" s="1681"/>
      <c r="BA180" s="1681"/>
      <c r="BB180" s="1681"/>
      <c r="BC180" s="1681"/>
      <c r="BD180" s="1681"/>
      <c r="BE180" s="1681"/>
      <c r="BF180" s="1681"/>
      <c r="BG180" s="1681">
        <v>1</v>
      </c>
      <c r="BH180" s="1681"/>
      <c r="BI180" s="1681"/>
      <c r="BJ180" s="1681">
        <v>6</v>
      </c>
      <c r="BK180" s="1681">
        <v>1</v>
      </c>
      <c r="BL180" s="1681"/>
      <c r="BM180" s="95"/>
      <c r="BN180" s="95"/>
      <c r="BO180" s="95">
        <v>8</v>
      </c>
      <c r="BP180" s="560">
        <v>0</v>
      </c>
      <c r="BS180" s="32" t="s">
        <v>21</v>
      </c>
      <c r="BT180" s="32" t="s">
        <v>145</v>
      </c>
      <c r="BU180" s="32" t="s">
        <v>1072</v>
      </c>
      <c r="BV180" s="3871">
        <v>0</v>
      </c>
      <c r="BW180" s="3871"/>
      <c r="BX180" s="3871"/>
      <c r="BY180" s="3871"/>
      <c r="BZ180" s="3871"/>
      <c r="CA180" s="3871"/>
      <c r="CB180" s="3871"/>
      <c r="CC180" s="3871"/>
      <c r="CD180" s="3871">
        <v>1</v>
      </c>
      <c r="CE180" s="3871"/>
      <c r="CF180" s="3871"/>
      <c r="CG180" s="3871">
        <v>6</v>
      </c>
      <c r="CH180" s="3871">
        <v>1</v>
      </c>
      <c r="CI180" s="3871"/>
      <c r="CJ180" s="1518"/>
      <c r="CK180" s="1518">
        <v>8</v>
      </c>
      <c r="CN180" s="36"/>
      <c r="CO180" s="36"/>
      <c r="CP180" s="393"/>
      <c r="CQ180" s="393" t="s">
        <v>1080</v>
      </c>
      <c r="CR180" s="2049"/>
      <c r="CS180" s="2049"/>
      <c r="CT180" s="2049"/>
      <c r="CU180" s="2049"/>
      <c r="CV180" s="2049"/>
      <c r="CW180" s="2049"/>
      <c r="CX180" s="2049"/>
      <c r="CY180" s="2049"/>
      <c r="CZ180" s="2049"/>
      <c r="DA180" s="2049"/>
      <c r="DB180" s="2049"/>
      <c r="DC180" s="2049"/>
      <c r="DD180" s="2049"/>
      <c r="DE180" s="2049"/>
      <c r="DF180" s="2049">
        <v>0</v>
      </c>
      <c r="DG180" s="393"/>
      <c r="DH180" s="393">
        <v>5</v>
      </c>
      <c r="DI180" s="393">
        <v>5</v>
      </c>
      <c r="DJ180" s="36"/>
      <c r="DL180" s="36"/>
      <c r="DM180" s="36"/>
      <c r="DN180" s="36"/>
      <c r="DO180" s="393" t="s">
        <v>15</v>
      </c>
      <c r="DP180" s="1682"/>
      <c r="DQ180" s="1682"/>
      <c r="DR180" s="1682"/>
      <c r="DS180" s="1682"/>
      <c r="DT180" s="1682"/>
      <c r="DU180" s="1682"/>
      <c r="DV180" s="1682"/>
      <c r="DW180" s="1682">
        <v>1</v>
      </c>
      <c r="DX180" s="1682"/>
      <c r="DY180" s="1682">
        <v>13</v>
      </c>
      <c r="DZ180" s="1682">
        <v>1</v>
      </c>
      <c r="EA180" s="1682"/>
      <c r="EB180" s="1682"/>
      <c r="EC180" s="1682"/>
      <c r="ED180" s="1682">
        <v>2</v>
      </c>
      <c r="EE180" s="86"/>
      <c r="EF180" s="86"/>
      <c r="EG180" s="86">
        <v>17</v>
      </c>
      <c r="EH180" s="560">
        <f>+(EG177+EG179)/EG180</f>
        <v>0.41176470588235292</v>
      </c>
      <c r="EK180" s="95" t="s">
        <v>64</v>
      </c>
      <c r="EL180" s="36" t="s">
        <v>609</v>
      </c>
      <c r="EM180" s="36" t="s">
        <v>1072</v>
      </c>
      <c r="EN180" s="1490"/>
      <c r="EO180" s="1490"/>
      <c r="EP180" s="1490"/>
      <c r="EQ180" s="1490"/>
      <c r="ER180" s="1490"/>
      <c r="ES180" s="1490"/>
      <c r="ET180" s="1490"/>
      <c r="EU180" s="1490"/>
      <c r="EV180" s="1490"/>
      <c r="EW180" s="1490"/>
      <c r="EX180" s="1490">
        <v>1</v>
      </c>
      <c r="EY180" s="1490"/>
      <c r="EZ180" s="1490">
        <v>1</v>
      </c>
      <c r="FA180" s="1490">
        <v>1</v>
      </c>
      <c r="FB180" s="1490">
        <v>0</v>
      </c>
      <c r="FC180" s="36">
        <v>0</v>
      </c>
      <c r="FD180" s="36"/>
      <c r="FE180" s="36">
        <v>3</v>
      </c>
      <c r="FF180" s="36"/>
      <c r="FH180" s="1225"/>
      <c r="FI180" s="1225"/>
      <c r="FJ180" s="1225"/>
      <c r="FK180" s="1222" t="s">
        <v>483</v>
      </c>
      <c r="FL180" s="1231"/>
      <c r="FM180" s="1231"/>
      <c r="FN180" s="1231"/>
      <c r="FO180" s="1231"/>
      <c r="FP180" s="1231"/>
      <c r="FQ180" s="1232">
        <v>2</v>
      </c>
      <c r="FR180" s="1231"/>
      <c r="FS180" s="1232">
        <v>10</v>
      </c>
      <c r="FT180" s="1231"/>
      <c r="FU180" s="1231"/>
      <c r="FV180" s="1231"/>
      <c r="FW180" s="1231"/>
      <c r="FX180" s="1231"/>
      <c r="FY180" s="1233"/>
      <c r="FZ180" s="1233"/>
      <c r="GA180" s="1234">
        <v>12</v>
      </c>
      <c r="GB180" s="1178">
        <f>+GA179/GA180</f>
        <v>0.16666666666666666</v>
      </c>
      <c r="HB180" s="441"/>
      <c r="HC180" s="441"/>
      <c r="HD180" s="441"/>
      <c r="HE180" s="441"/>
      <c r="HF180" s="442" t="s">
        <v>1072</v>
      </c>
      <c r="HG180" s="610">
        <v>3</v>
      </c>
      <c r="HH180" s="610">
        <v>3</v>
      </c>
      <c r="HI180" s="610">
        <v>4</v>
      </c>
      <c r="HJ180" s="610">
        <v>4</v>
      </c>
      <c r="HK180" s="610">
        <v>1</v>
      </c>
      <c r="HL180" s="610">
        <v>1</v>
      </c>
      <c r="HM180" s="610">
        <v>4</v>
      </c>
      <c r="HN180" s="610">
        <v>2</v>
      </c>
      <c r="HO180" s="610">
        <v>2</v>
      </c>
      <c r="HP180" s="610">
        <v>8</v>
      </c>
      <c r="HQ180" s="610">
        <v>2</v>
      </c>
      <c r="HR180" s="610">
        <v>10</v>
      </c>
      <c r="HS180" s="610">
        <v>31</v>
      </c>
      <c r="HT180" s="610">
        <v>14</v>
      </c>
      <c r="HU180" s="610">
        <v>7</v>
      </c>
      <c r="HV180" s="612">
        <v>5</v>
      </c>
      <c r="HW180" s="612">
        <v>0</v>
      </c>
      <c r="HX180" s="612">
        <v>101</v>
      </c>
      <c r="HY180" s="560"/>
      <c r="HZ180" s="36"/>
      <c r="IA180" s="613"/>
      <c r="IB180" s="613"/>
      <c r="IC180" s="613"/>
      <c r="ID180" s="389" t="s">
        <v>1163</v>
      </c>
      <c r="IE180" s="390">
        <v>0</v>
      </c>
      <c r="IF180" s="614"/>
      <c r="IG180" s="390">
        <v>0</v>
      </c>
      <c r="IH180" s="390">
        <v>0</v>
      </c>
      <c r="II180" s="390">
        <v>0</v>
      </c>
      <c r="IJ180" s="390">
        <v>1</v>
      </c>
      <c r="IK180" s="390">
        <v>0</v>
      </c>
      <c r="IL180" s="390">
        <v>0</v>
      </c>
      <c r="IM180" s="390">
        <v>0</v>
      </c>
      <c r="IN180" s="390">
        <v>0</v>
      </c>
      <c r="IO180" s="390">
        <v>0</v>
      </c>
      <c r="IP180" s="614"/>
      <c r="IQ180" s="614"/>
      <c r="IR180" s="390">
        <v>1</v>
      </c>
      <c r="IS180" s="615"/>
      <c r="IT180" s="36"/>
      <c r="IU180" s="36"/>
      <c r="IV180" s="95"/>
      <c r="IW180" s="95"/>
      <c r="IX180" s="95"/>
      <c r="IY180" s="36" t="s">
        <v>1163</v>
      </c>
      <c r="IZ180" s="36">
        <v>0</v>
      </c>
      <c r="JA180" s="36">
        <v>0</v>
      </c>
      <c r="JB180" s="36">
        <v>0</v>
      </c>
      <c r="JC180" s="36"/>
      <c r="JD180" s="36"/>
      <c r="JE180" s="36">
        <v>0</v>
      </c>
      <c r="JF180" s="36">
        <v>1</v>
      </c>
      <c r="JG180" s="36">
        <v>0</v>
      </c>
      <c r="JH180" s="36">
        <v>2</v>
      </c>
      <c r="JI180" s="36">
        <v>1</v>
      </c>
      <c r="JJ180" s="36">
        <v>0</v>
      </c>
      <c r="JK180" s="36">
        <v>0</v>
      </c>
      <c r="JL180" s="36">
        <v>1</v>
      </c>
      <c r="JM180" s="36"/>
      <c r="JN180" s="36"/>
      <c r="JO180" s="36">
        <v>0</v>
      </c>
      <c r="JP180" s="36">
        <v>5</v>
      </c>
      <c r="JQ180" s="36"/>
      <c r="JR180" s="36"/>
      <c r="JS180" s="616"/>
      <c r="JT180" s="616"/>
      <c r="JU180" s="616"/>
      <c r="JV180" s="627" t="s">
        <v>15</v>
      </c>
      <c r="JW180" s="627">
        <v>0</v>
      </c>
      <c r="JX180" s="627">
        <v>0</v>
      </c>
      <c r="JY180" s="627">
        <v>1</v>
      </c>
      <c r="JZ180" s="627">
        <v>0</v>
      </c>
      <c r="KA180" s="627">
        <v>2</v>
      </c>
      <c r="KB180" s="627">
        <v>2</v>
      </c>
      <c r="KC180" s="627">
        <v>1</v>
      </c>
      <c r="KD180" s="627">
        <v>0</v>
      </c>
      <c r="KE180" s="627">
        <v>2</v>
      </c>
      <c r="KF180" s="627">
        <v>0</v>
      </c>
      <c r="KG180" s="627">
        <v>3</v>
      </c>
      <c r="KH180" s="627">
        <v>3</v>
      </c>
      <c r="KI180" s="627">
        <v>2</v>
      </c>
      <c r="KJ180" s="627">
        <v>0</v>
      </c>
      <c r="KK180" s="627">
        <v>0</v>
      </c>
      <c r="KL180" s="627">
        <v>0</v>
      </c>
      <c r="KM180" s="627">
        <v>16</v>
      </c>
      <c r="KN180" s="628">
        <f>+(KM179+KM176)/KM180</f>
        <v>0.4375</v>
      </c>
      <c r="KO180" s="617">
        <f>+KM176+KM179</f>
        <v>7</v>
      </c>
    </row>
    <row r="181" spans="1:301">
      <c r="A181" s="5737"/>
      <c r="B181" s="5737"/>
      <c r="C181" s="5736"/>
      <c r="D181" s="5736"/>
      <c r="E181" s="5742">
        <f>SUM(E180)</f>
        <v>1</v>
      </c>
      <c r="F181" s="5737"/>
      <c r="G181" s="4510">
        <v>0</v>
      </c>
      <c r="I181" s="4726">
        <v>3</v>
      </c>
      <c r="J181" s="4726">
        <v>2</v>
      </c>
      <c r="K181" s="4725" t="s">
        <v>279</v>
      </c>
      <c r="L181" s="4725" t="s">
        <v>2709</v>
      </c>
      <c r="M181" s="4726">
        <v>1</v>
      </c>
      <c r="N181" s="4726">
        <v>12</v>
      </c>
      <c r="Q181" s="4832"/>
      <c r="R181" s="4832"/>
      <c r="S181" s="4832"/>
      <c r="T181" s="4832"/>
      <c r="U181" s="4832"/>
      <c r="V181" s="4832"/>
      <c r="W181" s="4622"/>
      <c r="Z181" s="36"/>
      <c r="AA181" s="36"/>
      <c r="AB181" s="36"/>
      <c r="AC181" s="36" t="s">
        <v>1077</v>
      </c>
      <c r="AD181" s="615"/>
      <c r="AE181" s="615">
        <v>0</v>
      </c>
      <c r="AF181" s="615"/>
      <c r="AG181" s="615">
        <v>0</v>
      </c>
      <c r="AH181" s="615">
        <v>0</v>
      </c>
      <c r="AI181" s="615"/>
      <c r="AJ181" s="615">
        <v>1</v>
      </c>
      <c r="AK181" s="615"/>
      <c r="AL181" s="615"/>
      <c r="AM181" s="615">
        <v>0</v>
      </c>
      <c r="AN181" s="615">
        <v>0</v>
      </c>
      <c r="AO181" s="615"/>
      <c r="AP181" s="615"/>
      <c r="AQ181" s="36"/>
      <c r="AR181" s="36">
        <v>1</v>
      </c>
      <c r="AS181" s="36"/>
      <c r="AU181" s="36"/>
      <c r="AV181" s="36"/>
      <c r="AW181" s="393" t="s">
        <v>484</v>
      </c>
      <c r="AX181" s="393" t="s">
        <v>1072</v>
      </c>
      <c r="AY181" s="1682"/>
      <c r="AZ181" s="1682"/>
      <c r="BA181" s="1682"/>
      <c r="BB181" s="1682"/>
      <c r="BC181" s="1682"/>
      <c r="BD181" s="1682"/>
      <c r="BE181" s="1682"/>
      <c r="BF181" s="1682"/>
      <c r="BG181" s="1682">
        <v>1</v>
      </c>
      <c r="BH181" s="1682"/>
      <c r="BI181" s="1682"/>
      <c r="BJ181" s="1682">
        <v>6</v>
      </c>
      <c r="BK181" s="1682">
        <v>1</v>
      </c>
      <c r="BL181" s="1682"/>
      <c r="BM181" s="4455"/>
      <c r="BN181" s="4455"/>
      <c r="BO181" s="4455">
        <v>8</v>
      </c>
      <c r="BP181" s="4455"/>
      <c r="BU181" s="1520" t="s">
        <v>15</v>
      </c>
      <c r="BV181" s="3872">
        <v>0</v>
      </c>
      <c r="BW181" s="3872"/>
      <c r="BX181" s="3872"/>
      <c r="BY181" s="3872"/>
      <c r="BZ181" s="3872"/>
      <c r="CA181" s="3872"/>
      <c r="CB181" s="3872"/>
      <c r="CC181" s="3872"/>
      <c r="CD181" s="3872">
        <v>1</v>
      </c>
      <c r="CE181" s="3872"/>
      <c r="CF181" s="3872"/>
      <c r="CG181" s="3872">
        <v>6</v>
      </c>
      <c r="CH181" s="3872">
        <v>1</v>
      </c>
      <c r="CI181" s="3872"/>
      <c r="CJ181" s="3806"/>
      <c r="CK181" s="3806">
        <v>8</v>
      </c>
      <c r="CL181" s="3807">
        <v>0</v>
      </c>
      <c r="CN181" s="36"/>
      <c r="CO181" s="36"/>
      <c r="CP181" s="393"/>
      <c r="CQ181" s="393" t="s">
        <v>1163</v>
      </c>
      <c r="CR181" s="2049"/>
      <c r="CS181" s="2049"/>
      <c r="CT181" s="2049"/>
      <c r="CU181" s="2049"/>
      <c r="CV181" s="2049"/>
      <c r="CW181" s="2049"/>
      <c r="CX181" s="2049"/>
      <c r="CY181" s="2049"/>
      <c r="CZ181" s="2049"/>
      <c r="DA181" s="2049"/>
      <c r="DB181" s="2049"/>
      <c r="DC181" s="2049"/>
      <c r="DD181" s="2049"/>
      <c r="DE181" s="2049"/>
      <c r="DF181" s="2049">
        <v>1</v>
      </c>
      <c r="DG181" s="393"/>
      <c r="DH181" s="393">
        <v>0</v>
      </c>
      <c r="DI181" s="393">
        <v>1</v>
      </c>
      <c r="DJ181" s="36"/>
      <c r="DL181" s="36"/>
      <c r="DM181" s="36"/>
      <c r="DN181" s="36" t="s">
        <v>483</v>
      </c>
      <c r="DO181" s="36" t="s">
        <v>1071</v>
      </c>
      <c r="DP181" s="1681"/>
      <c r="DQ181" s="1681"/>
      <c r="DR181" s="1681"/>
      <c r="DS181" s="1681"/>
      <c r="DT181" s="1681"/>
      <c r="DU181" s="1681"/>
      <c r="DV181" s="1681"/>
      <c r="DW181" s="1681">
        <v>0</v>
      </c>
      <c r="DX181" s="1681"/>
      <c r="DY181" s="1681">
        <v>0</v>
      </c>
      <c r="DZ181" s="1681">
        <v>0</v>
      </c>
      <c r="EA181" s="1681"/>
      <c r="EB181" s="1681"/>
      <c r="EC181" s="1681"/>
      <c r="ED181" s="1681">
        <v>1</v>
      </c>
      <c r="EE181" s="95"/>
      <c r="EF181" s="95"/>
      <c r="EG181" s="95">
        <v>1</v>
      </c>
      <c r="EH181" s="36"/>
      <c r="EL181" s="36"/>
      <c r="EM181" s="36" t="s">
        <v>1080</v>
      </c>
      <c r="EN181" s="1490"/>
      <c r="EO181" s="1490"/>
      <c r="EP181" s="1490"/>
      <c r="EQ181" s="1490"/>
      <c r="ER181" s="1490"/>
      <c r="ES181" s="1490"/>
      <c r="ET181" s="1490"/>
      <c r="EU181" s="1490"/>
      <c r="EV181" s="1490"/>
      <c r="EW181" s="1490"/>
      <c r="EX181" s="1490">
        <v>0</v>
      </c>
      <c r="EY181" s="1490"/>
      <c r="EZ181" s="1490">
        <v>0</v>
      </c>
      <c r="FA181" s="1490">
        <v>0</v>
      </c>
      <c r="FB181" s="1490">
        <v>2</v>
      </c>
      <c r="FC181" s="36">
        <v>1</v>
      </c>
      <c r="FD181" s="36"/>
      <c r="FE181" s="36">
        <v>3</v>
      </c>
      <c r="FF181" s="36"/>
      <c r="FH181" s="1225"/>
      <c r="FI181" s="1225"/>
      <c r="FJ181" s="1225" t="s">
        <v>256</v>
      </c>
      <c r="FK181" s="1226" t="s">
        <v>1072</v>
      </c>
      <c r="FL181" s="1227"/>
      <c r="FM181" s="1227"/>
      <c r="FN181" s="1227"/>
      <c r="FO181" s="1227"/>
      <c r="FP181" s="1227"/>
      <c r="FQ181" s="1228">
        <v>0</v>
      </c>
      <c r="FR181" s="1227"/>
      <c r="FS181" s="1228">
        <v>8</v>
      </c>
      <c r="FT181" s="1227"/>
      <c r="FU181" s="1227"/>
      <c r="FV181" s="1227"/>
      <c r="FW181" s="1227"/>
      <c r="FX181" s="1227"/>
      <c r="FY181" s="1229"/>
      <c r="FZ181" s="1229"/>
      <c r="GA181" s="1230">
        <v>8</v>
      </c>
      <c r="GB181" s="36"/>
      <c r="GD181" s="658" t="s">
        <v>1175</v>
      </c>
      <c r="HB181" s="441"/>
      <c r="HC181" s="441"/>
      <c r="HD181" s="441"/>
      <c r="HE181" s="441"/>
      <c r="HF181" s="442" t="s">
        <v>1074</v>
      </c>
      <c r="HG181" s="610">
        <v>0</v>
      </c>
      <c r="HH181" s="610">
        <v>0</v>
      </c>
      <c r="HI181" s="610">
        <v>0</v>
      </c>
      <c r="HJ181" s="610">
        <v>0</v>
      </c>
      <c r="HK181" s="610">
        <v>0</v>
      </c>
      <c r="HL181" s="610">
        <v>0</v>
      </c>
      <c r="HM181" s="610">
        <v>0</v>
      </c>
      <c r="HN181" s="610">
        <v>0</v>
      </c>
      <c r="HO181" s="610">
        <v>0</v>
      </c>
      <c r="HP181" s="610">
        <v>1</v>
      </c>
      <c r="HQ181" s="610">
        <v>0</v>
      </c>
      <c r="HR181" s="610">
        <v>0</v>
      </c>
      <c r="HS181" s="610">
        <v>0</v>
      </c>
      <c r="HT181" s="610">
        <v>0</v>
      </c>
      <c r="HU181" s="610">
        <v>0</v>
      </c>
      <c r="HV181" s="612">
        <v>0</v>
      </c>
      <c r="HW181" s="612">
        <v>0</v>
      </c>
      <c r="HX181" s="612">
        <v>1</v>
      </c>
      <c r="HY181" s="560"/>
      <c r="HZ181" s="36"/>
      <c r="IA181" s="613"/>
      <c r="IB181" s="613"/>
      <c r="IC181" s="613"/>
      <c r="ID181" s="629" t="s">
        <v>105</v>
      </c>
      <c r="IE181" s="395">
        <v>1</v>
      </c>
      <c r="IF181" s="630"/>
      <c r="IG181" s="395">
        <v>6</v>
      </c>
      <c r="IH181" s="395">
        <v>3</v>
      </c>
      <c r="II181" s="395">
        <v>5</v>
      </c>
      <c r="IJ181" s="395">
        <v>3</v>
      </c>
      <c r="IK181" s="395">
        <v>1</v>
      </c>
      <c r="IL181" s="395">
        <v>1</v>
      </c>
      <c r="IM181" s="395">
        <v>1</v>
      </c>
      <c r="IN181" s="395">
        <v>2</v>
      </c>
      <c r="IO181" s="395">
        <v>4</v>
      </c>
      <c r="IP181" s="630"/>
      <c r="IQ181" s="630"/>
      <c r="IR181" s="395">
        <v>27</v>
      </c>
      <c r="IS181" s="553">
        <f>+(IR180+IR179+IR176)/IR181</f>
        <v>0.14814814814814814</v>
      </c>
      <c r="IT181" s="36"/>
      <c r="IU181" s="36"/>
      <c r="IV181" s="95"/>
      <c r="IW181" s="95"/>
      <c r="IX181" s="95"/>
      <c r="IY181" s="393" t="s">
        <v>15</v>
      </c>
      <c r="IZ181" s="393">
        <v>2</v>
      </c>
      <c r="JA181" s="393">
        <v>1</v>
      </c>
      <c r="JB181" s="393">
        <v>2</v>
      </c>
      <c r="JC181" s="393"/>
      <c r="JD181" s="393"/>
      <c r="JE181" s="393">
        <v>2</v>
      </c>
      <c r="JF181" s="393">
        <v>5</v>
      </c>
      <c r="JG181" s="393">
        <v>2</v>
      </c>
      <c r="JH181" s="393">
        <v>19</v>
      </c>
      <c r="JI181" s="393">
        <v>9</v>
      </c>
      <c r="JJ181" s="393">
        <v>3</v>
      </c>
      <c r="JK181" s="393">
        <v>4</v>
      </c>
      <c r="JL181" s="393">
        <v>1</v>
      </c>
      <c r="JM181" s="393"/>
      <c r="JN181" s="393"/>
      <c r="JO181" s="393">
        <v>2</v>
      </c>
      <c r="JP181" s="393">
        <v>52</v>
      </c>
      <c r="JQ181" s="631">
        <f>+(JP176+JP179+JP180)/JP181</f>
        <v>0.26923076923076922</v>
      </c>
      <c r="JR181" s="36"/>
      <c r="JS181" s="616"/>
      <c r="JT181" s="616"/>
      <c r="JU181" s="616" t="s">
        <v>25</v>
      </c>
      <c r="JV181" s="616" t="s">
        <v>1071</v>
      </c>
      <c r="JW181" s="616">
        <v>0</v>
      </c>
      <c r="JX181" s="616">
        <v>0</v>
      </c>
      <c r="JY181" s="616">
        <v>0</v>
      </c>
      <c r="JZ181" s="616">
        <v>0</v>
      </c>
      <c r="KA181" s="616">
        <v>0</v>
      </c>
      <c r="KB181" s="616">
        <v>1</v>
      </c>
      <c r="KC181" s="616">
        <v>0</v>
      </c>
      <c r="KD181" s="616">
        <v>0</v>
      </c>
      <c r="KE181" s="616">
        <v>0</v>
      </c>
      <c r="KF181" s="616">
        <v>0</v>
      </c>
      <c r="KG181" s="616">
        <v>0</v>
      </c>
      <c r="KH181" s="616">
        <v>0</v>
      </c>
      <c r="KI181" s="616">
        <v>0</v>
      </c>
      <c r="KJ181" s="616">
        <v>1</v>
      </c>
      <c r="KK181" s="616">
        <v>0</v>
      </c>
      <c r="KL181" s="616">
        <v>0</v>
      </c>
      <c r="KM181" s="616">
        <v>2</v>
      </c>
      <c r="KN181" s="616"/>
      <c r="KO181" s="617"/>
    </row>
    <row r="182" spans="1:301">
      <c r="A182" s="5737">
        <v>3</v>
      </c>
      <c r="B182" s="5737">
        <v>2</v>
      </c>
      <c r="C182" s="5736" t="s">
        <v>279</v>
      </c>
      <c r="D182" s="5736" t="s">
        <v>2731</v>
      </c>
      <c r="E182" s="5737">
        <v>1</v>
      </c>
      <c r="F182" s="5737">
        <v>12</v>
      </c>
      <c r="I182" s="4726"/>
      <c r="J182" s="4726"/>
      <c r="K182" s="4725"/>
      <c r="L182" s="4725"/>
      <c r="M182" s="4975">
        <f>SUM(M177:M181)</f>
        <v>15</v>
      </c>
      <c r="N182" s="4726"/>
      <c r="O182" s="4510">
        <v>0</v>
      </c>
      <c r="Q182" s="4832"/>
      <c r="R182" s="4832"/>
      <c r="S182" s="4832"/>
      <c r="T182" s="4832"/>
      <c r="U182" s="4832"/>
      <c r="V182" s="4832"/>
      <c r="W182" s="4622"/>
      <c r="Z182" s="36"/>
      <c r="AA182" s="36"/>
      <c r="AB182" s="36"/>
      <c r="AC182" s="4236" t="s">
        <v>15</v>
      </c>
      <c r="AD182" s="4236"/>
      <c r="AE182" s="4236">
        <v>1</v>
      </c>
      <c r="AF182" s="4236"/>
      <c r="AG182" s="4236">
        <v>1</v>
      </c>
      <c r="AH182" s="4236">
        <v>1</v>
      </c>
      <c r="AI182" s="4236"/>
      <c r="AJ182" s="4236">
        <v>1</v>
      </c>
      <c r="AK182" s="4236"/>
      <c r="AL182" s="4236"/>
      <c r="AM182" s="4236">
        <v>1</v>
      </c>
      <c r="AN182" s="4236">
        <v>7</v>
      </c>
      <c r="AO182" s="4236"/>
      <c r="AP182" s="4236"/>
      <c r="AQ182" s="4236"/>
      <c r="AR182" s="4236">
        <v>12</v>
      </c>
      <c r="AS182" s="4243">
        <v>0</v>
      </c>
      <c r="AU182" s="36"/>
      <c r="AV182" s="36"/>
      <c r="AW182" s="393"/>
      <c r="AX182" s="36" t="s">
        <v>15</v>
      </c>
      <c r="AY182" s="1682"/>
      <c r="AZ182" s="1682"/>
      <c r="BA182" s="1682"/>
      <c r="BB182" s="1682"/>
      <c r="BC182" s="1682"/>
      <c r="BD182" s="1682"/>
      <c r="BE182" s="1682"/>
      <c r="BF182" s="1682"/>
      <c r="BG182" s="1682">
        <v>1</v>
      </c>
      <c r="BH182" s="1682"/>
      <c r="BI182" s="1682"/>
      <c r="BJ182" s="1682">
        <v>6</v>
      </c>
      <c r="BK182" s="1682">
        <v>1</v>
      </c>
      <c r="BL182" s="1682"/>
      <c r="BM182" s="4455"/>
      <c r="BN182" s="4455"/>
      <c r="BO182" s="4455">
        <v>8</v>
      </c>
      <c r="BP182" s="560">
        <v>0</v>
      </c>
      <c r="BT182" s="1520" t="s">
        <v>484</v>
      </c>
      <c r="BU182" s="1520" t="s">
        <v>1072</v>
      </c>
      <c r="BV182" s="3872">
        <v>0</v>
      </c>
      <c r="BW182" s="3872"/>
      <c r="BX182" s="3872"/>
      <c r="BY182" s="3872"/>
      <c r="BZ182" s="3872"/>
      <c r="CA182" s="3872"/>
      <c r="CB182" s="3872"/>
      <c r="CC182" s="3872"/>
      <c r="CD182" s="3872">
        <v>1</v>
      </c>
      <c r="CE182" s="3872"/>
      <c r="CF182" s="3872"/>
      <c r="CG182" s="3872">
        <v>6</v>
      </c>
      <c r="CH182" s="3872">
        <v>1</v>
      </c>
      <c r="CI182" s="3872"/>
      <c r="CJ182" s="3806"/>
      <c r="CK182" s="3806">
        <v>8</v>
      </c>
      <c r="CL182" s="1520"/>
      <c r="CN182" s="36"/>
      <c r="CO182" s="36"/>
      <c r="CP182" s="393"/>
      <c r="CQ182" s="393" t="s">
        <v>483</v>
      </c>
      <c r="CR182" s="2049"/>
      <c r="CS182" s="2049"/>
      <c r="CT182" s="2049"/>
      <c r="CU182" s="2049"/>
      <c r="CV182" s="2049"/>
      <c r="CW182" s="2049"/>
      <c r="CX182" s="2049"/>
      <c r="CY182" s="2049"/>
      <c r="CZ182" s="2049"/>
      <c r="DA182" s="2049"/>
      <c r="DB182" s="2049"/>
      <c r="DC182" s="2049"/>
      <c r="DD182" s="2049"/>
      <c r="DE182" s="2049"/>
      <c r="DF182" s="2049">
        <v>4</v>
      </c>
      <c r="DG182" s="393"/>
      <c r="DH182" s="393">
        <v>5</v>
      </c>
      <c r="DI182" s="393">
        <v>9</v>
      </c>
      <c r="DJ182" s="560">
        <f>+(DI181+DI179)/DI182</f>
        <v>0.22222222222222221</v>
      </c>
      <c r="DK182" s="1665"/>
      <c r="DL182" s="36"/>
      <c r="DM182" s="36"/>
      <c r="DN182" s="36"/>
      <c r="DO182" s="36" t="s">
        <v>1072</v>
      </c>
      <c r="DP182" s="1681"/>
      <c r="DQ182" s="1681"/>
      <c r="DR182" s="1681"/>
      <c r="DS182" s="1681"/>
      <c r="DT182" s="1681"/>
      <c r="DU182" s="1681"/>
      <c r="DV182" s="1681"/>
      <c r="DW182" s="1681">
        <v>0</v>
      </c>
      <c r="DX182" s="1681"/>
      <c r="DY182" s="1681">
        <v>6</v>
      </c>
      <c r="DZ182" s="1681">
        <v>1</v>
      </c>
      <c r="EA182" s="1681"/>
      <c r="EB182" s="1681"/>
      <c r="EC182" s="1681"/>
      <c r="ED182" s="1681">
        <v>0</v>
      </c>
      <c r="EE182" s="95"/>
      <c r="EF182" s="95"/>
      <c r="EG182" s="95">
        <v>7</v>
      </c>
      <c r="EH182" s="36"/>
      <c r="EL182" s="36"/>
      <c r="EM182" s="36" t="s">
        <v>1163</v>
      </c>
      <c r="EN182" s="1490"/>
      <c r="EO182" s="1490"/>
      <c r="EP182" s="1490"/>
      <c r="EQ182" s="1490"/>
      <c r="ER182" s="1490"/>
      <c r="ES182" s="1490"/>
      <c r="ET182" s="1490"/>
      <c r="EU182" s="1490"/>
      <c r="EV182" s="1490"/>
      <c r="EW182" s="1490"/>
      <c r="EX182" s="1490">
        <v>1</v>
      </c>
      <c r="EY182" s="1490"/>
      <c r="EZ182" s="1490">
        <v>0</v>
      </c>
      <c r="FA182" s="1490">
        <v>0</v>
      </c>
      <c r="FB182" s="1490">
        <v>0</v>
      </c>
      <c r="FC182" s="36">
        <v>0</v>
      </c>
      <c r="FD182" s="36"/>
      <c r="FE182" s="36">
        <v>1</v>
      </c>
      <c r="FF182" s="36"/>
      <c r="FH182" s="1225"/>
      <c r="FI182" s="1225"/>
      <c r="FJ182" s="1225"/>
      <c r="FK182" s="1226" t="s">
        <v>1074</v>
      </c>
      <c r="FL182" s="1227"/>
      <c r="FM182" s="1227"/>
      <c r="FN182" s="1227"/>
      <c r="FO182" s="1227"/>
      <c r="FP182" s="1227"/>
      <c r="FQ182" s="1228">
        <v>1</v>
      </c>
      <c r="FR182" s="1227"/>
      <c r="FS182" s="1228">
        <v>0</v>
      </c>
      <c r="FT182" s="1227"/>
      <c r="FU182" s="1227"/>
      <c r="FV182" s="1227"/>
      <c r="FW182" s="1227"/>
      <c r="FX182" s="1227"/>
      <c r="FY182" s="1229"/>
      <c r="FZ182" s="1229"/>
      <c r="GA182" s="1230">
        <v>1</v>
      </c>
      <c r="GB182" s="36"/>
      <c r="HB182" s="441"/>
      <c r="HC182" s="441"/>
      <c r="HD182" s="441"/>
      <c r="HE182" s="441"/>
      <c r="HF182" s="442" t="s">
        <v>1076</v>
      </c>
      <c r="HG182" s="610">
        <v>0</v>
      </c>
      <c r="HH182" s="610">
        <v>0</v>
      </c>
      <c r="HI182" s="610">
        <v>0</v>
      </c>
      <c r="HJ182" s="610">
        <v>0</v>
      </c>
      <c r="HK182" s="610">
        <v>0</v>
      </c>
      <c r="HL182" s="610">
        <v>0</v>
      </c>
      <c r="HM182" s="610">
        <v>1</v>
      </c>
      <c r="HN182" s="610">
        <v>0</v>
      </c>
      <c r="HO182" s="610">
        <v>1</v>
      </c>
      <c r="HP182" s="610">
        <v>0</v>
      </c>
      <c r="HQ182" s="610">
        <v>6</v>
      </c>
      <c r="HR182" s="610">
        <v>7</v>
      </c>
      <c r="HS182" s="610">
        <v>10</v>
      </c>
      <c r="HT182" s="610">
        <v>14</v>
      </c>
      <c r="HU182" s="610">
        <v>4</v>
      </c>
      <c r="HV182" s="612">
        <v>3</v>
      </c>
      <c r="HW182" s="612">
        <v>0</v>
      </c>
      <c r="HX182" s="612">
        <v>46</v>
      </c>
      <c r="HY182" s="560"/>
      <c r="HZ182" s="36"/>
      <c r="IA182" s="613"/>
      <c r="IB182" s="613"/>
      <c r="IC182" s="613" t="s">
        <v>109</v>
      </c>
      <c r="ID182" s="389" t="s">
        <v>1071</v>
      </c>
      <c r="IE182" s="390">
        <v>0</v>
      </c>
      <c r="IF182" s="390">
        <v>0</v>
      </c>
      <c r="IG182" s="390">
        <v>0</v>
      </c>
      <c r="IH182" s="390">
        <v>1</v>
      </c>
      <c r="II182" s="614"/>
      <c r="IJ182" s="390">
        <v>0</v>
      </c>
      <c r="IK182" s="390">
        <v>0</v>
      </c>
      <c r="IL182" s="390">
        <v>1</v>
      </c>
      <c r="IM182" s="390">
        <v>1</v>
      </c>
      <c r="IN182" s="390">
        <v>1</v>
      </c>
      <c r="IO182" s="390">
        <v>2</v>
      </c>
      <c r="IP182" s="390">
        <v>0</v>
      </c>
      <c r="IQ182" s="390">
        <v>0</v>
      </c>
      <c r="IR182" s="390">
        <v>6</v>
      </c>
      <c r="IS182" s="615"/>
      <c r="IT182" s="36"/>
      <c r="IU182" s="36"/>
      <c r="IV182" s="95"/>
      <c r="IW182" s="95"/>
      <c r="IX182" s="95" t="s">
        <v>25</v>
      </c>
      <c r="IY182" s="36" t="s">
        <v>1071</v>
      </c>
      <c r="IZ182" s="36">
        <v>0</v>
      </c>
      <c r="JA182" s="36">
        <v>0</v>
      </c>
      <c r="JB182" s="36">
        <v>0</v>
      </c>
      <c r="JC182" s="36"/>
      <c r="JD182" s="36">
        <v>1</v>
      </c>
      <c r="JE182" s="36">
        <v>0</v>
      </c>
      <c r="JF182" s="36">
        <v>0</v>
      </c>
      <c r="JG182" s="36"/>
      <c r="JH182" s="36">
        <v>0</v>
      </c>
      <c r="JI182" s="36">
        <v>0</v>
      </c>
      <c r="JJ182" s="36">
        <v>0</v>
      </c>
      <c r="JK182" s="36">
        <v>0</v>
      </c>
      <c r="JL182" s="36">
        <v>1</v>
      </c>
      <c r="JM182" s="36">
        <v>6</v>
      </c>
      <c r="JN182" s="36">
        <v>1</v>
      </c>
      <c r="JO182" s="36">
        <v>1</v>
      </c>
      <c r="JP182" s="36">
        <v>10</v>
      </c>
      <c r="JQ182" s="36"/>
      <c r="JR182" s="36"/>
      <c r="JS182" s="616"/>
      <c r="JT182" s="616"/>
      <c r="JU182" s="616"/>
      <c r="JV182" s="616" t="s">
        <v>1072</v>
      </c>
      <c r="JW182" s="616">
        <v>1</v>
      </c>
      <c r="JX182" s="616">
        <v>0</v>
      </c>
      <c r="JY182" s="616">
        <v>0</v>
      </c>
      <c r="JZ182" s="616">
        <v>1</v>
      </c>
      <c r="KA182" s="616">
        <v>0</v>
      </c>
      <c r="KB182" s="616">
        <v>0</v>
      </c>
      <c r="KC182" s="616">
        <v>0</v>
      </c>
      <c r="KD182" s="616">
        <v>1</v>
      </c>
      <c r="KE182" s="616">
        <v>3</v>
      </c>
      <c r="KF182" s="616">
        <v>1</v>
      </c>
      <c r="KG182" s="616">
        <v>2</v>
      </c>
      <c r="KH182" s="616">
        <v>2</v>
      </c>
      <c r="KI182" s="616">
        <v>0</v>
      </c>
      <c r="KJ182" s="616">
        <v>1</v>
      </c>
      <c r="KK182" s="616">
        <v>0</v>
      </c>
      <c r="KL182" s="616">
        <v>0</v>
      </c>
      <c r="KM182" s="616">
        <v>12</v>
      </c>
      <c r="KN182" s="616"/>
      <c r="KO182" s="617"/>
    </row>
    <row r="183" spans="1:301">
      <c r="A183" s="5737">
        <v>3</v>
      </c>
      <c r="B183" s="5737">
        <v>2</v>
      </c>
      <c r="C183" s="5736" t="s">
        <v>279</v>
      </c>
      <c r="D183" s="5736" t="s">
        <v>2731</v>
      </c>
      <c r="E183" s="5737">
        <v>1</v>
      </c>
      <c r="F183" s="5737">
        <v>13</v>
      </c>
      <c r="I183" s="4726"/>
      <c r="J183" s="4726"/>
      <c r="K183" s="4725"/>
      <c r="L183" s="4725"/>
      <c r="M183" s="4976">
        <f>SUM(M154:M157,M159:M161,M169)</f>
        <v>14</v>
      </c>
      <c r="N183" s="4726"/>
      <c r="O183" s="4510"/>
      <c r="Q183" s="4832"/>
      <c r="R183" s="4832"/>
      <c r="S183" s="4832"/>
      <c r="T183" s="4832"/>
      <c r="U183" s="4832"/>
      <c r="V183" s="4832"/>
      <c r="W183" s="4622"/>
      <c r="Z183" s="36"/>
      <c r="AA183" s="36"/>
      <c r="AB183" s="36" t="s">
        <v>15</v>
      </c>
      <c r="AC183" s="36" t="s">
        <v>1072</v>
      </c>
      <c r="AD183" s="615">
        <v>0</v>
      </c>
      <c r="AE183" s="615">
        <v>1</v>
      </c>
      <c r="AF183" s="615"/>
      <c r="AG183" s="615">
        <v>1</v>
      </c>
      <c r="AH183" s="615">
        <v>1</v>
      </c>
      <c r="AI183" s="615"/>
      <c r="AJ183" s="615">
        <v>0</v>
      </c>
      <c r="AK183" s="615">
        <v>5</v>
      </c>
      <c r="AL183" s="615">
        <v>6</v>
      </c>
      <c r="AM183" s="615">
        <v>2</v>
      </c>
      <c r="AN183" s="615">
        <v>10</v>
      </c>
      <c r="AO183" s="615">
        <v>0</v>
      </c>
      <c r="AP183" s="615"/>
      <c r="AQ183" s="36">
        <v>0</v>
      </c>
      <c r="AR183" s="36">
        <v>26</v>
      </c>
      <c r="AS183" s="36"/>
      <c r="AU183" s="36"/>
      <c r="AV183" s="36"/>
      <c r="AW183" s="393" t="s">
        <v>412</v>
      </c>
      <c r="AX183" s="393" t="s">
        <v>1072</v>
      </c>
      <c r="AY183" s="1682"/>
      <c r="AZ183" s="1682">
        <v>1</v>
      </c>
      <c r="BA183" s="1682"/>
      <c r="BB183" s="1682">
        <v>1</v>
      </c>
      <c r="BC183" s="1682"/>
      <c r="BD183" s="1682"/>
      <c r="BE183" s="1682">
        <v>1</v>
      </c>
      <c r="BF183" s="1682">
        <v>1</v>
      </c>
      <c r="BG183" s="1682">
        <v>1</v>
      </c>
      <c r="BH183" s="1682">
        <v>2</v>
      </c>
      <c r="BI183" s="1682">
        <v>2</v>
      </c>
      <c r="BJ183" s="1682">
        <v>34</v>
      </c>
      <c r="BK183" s="1682">
        <v>13</v>
      </c>
      <c r="BL183" s="1682">
        <v>1</v>
      </c>
      <c r="BM183" s="4455">
        <v>0</v>
      </c>
      <c r="BN183" s="4455">
        <v>0</v>
      </c>
      <c r="BO183" s="4455">
        <v>57</v>
      </c>
      <c r="BP183" s="4455"/>
      <c r="BT183" s="1520"/>
      <c r="BU183" s="1520" t="s">
        <v>484</v>
      </c>
      <c r="BV183" s="3872">
        <v>0</v>
      </c>
      <c r="BW183" s="3872"/>
      <c r="BX183" s="3872"/>
      <c r="BY183" s="3872"/>
      <c r="BZ183" s="3872"/>
      <c r="CA183" s="3872"/>
      <c r="CB183" s="3872"/>
      <c r="CC183" s="3872"/>
      <c r="CD183" s="3872">
        <v>1</v>
      </c>
      <c r="CE183" s="3872"/>
      <c r="CF183" s="3872"/>
      <c r="CG183" s="3872">
        <v>6</v>
      </c>
      <c r="CH183" s="3872">
        <v>1</v>
      </c>
      <c r="CI183" s="3872"/>
      <c r="CJ183" s="3806"/>
      <c r="CK183" s="3806">
        <v>8</v>
      </c>
      <c r="CL183" s="3807">
        <v>0</v>
      </c>
      <c r="CN183" s="36"/>
      <c r="CO183" s="36" t="s">
        <v>41</v>
      </c>
      <c r="CP183" s="36" t="s">
        <v>144</v>
      </c>
      <c r="CQ183" s="36" t="s">
        <v>1072</v>
      </c>
      <c r="CR183" s="615"/>
      <c r="CS183" s="615"/>
      <c r="CT183" s="615"/>
      <c r="CU183" s="615"/>
      <c r="CV183" s="615"/>
      <c r="CW183" s="615"/>
      <c r="CX183" s="615"/>
      <c r="CY183" s="615"/>
      <c r="CZ183" s="615"/>
      <c r="DA183" s="615">
        <v>3</v>
      </c>
      <c r="DB183" s="615">
        <v>1</v>
      </c>
      <c r="DC183" s="615"/>
      <c r="DD183" s="615">
        <v>0</v>
      </c>
      <c r="DE183" s="615"/>
      <c r="DF183" s="615">
        <v>0</v>
      </c>
      <c r="DG183" s="36"/>
      <c r="DH183" s="36"/>
      <c r="DI183" s="36">
        <v>4</v>
      </c>
      <c r="DJ183" s="36"/>
      <c r="DL183" s="36"/>
      <c r="DM183" s="36"/>
      <c r="DN183" s="36"/>
      <c r="DO183" s="36" t="s">
        <v>1074</v>
      </c>
      <c r="DP183" s="1681"/>
      <c r="DQ183" s="1681"/>
      <c r="DR183" s="1681"/>
      <c r="DS183" s="1681"/>
      <c r="DT183" s="1681"/>
      <c r="DU183" s="1681"/>
      <c r="DV183" s="1681"/>
      <c r="DW183" s="1681">
        <v>1</v>
      </c>
      <c r="DX183" s="1681"/>
      <c r="DY183" s="1681">
        <v>0</v>
      </c>
      <c r="DZ183" s="1681">
        <v>0</v>
      </c>
      <c r="EA183" s="1681"/>
      <c r="EB183" s="1681"/>
      <c r="EC183" s="1681"/>
      <c r="ED183" s="1681">
        <v>0</v>
      </c>
      <c r="EE183" s="95"/>
      <c r="EF183" s="95"/>
      <c r="EG183" s="95">
        <v>1</v>
      </c>
      <c r="EH183" s="36"/>
      <c r="EL183" s="36"/>
      <c r="EM183" s="393" t="s">
        <v>15</v>
      </c>
      <c r="EN183" s="1491"/>
      <c r="EO183" s="1491"/>
      <c r="EP183" s="1491"/>
      <c r="EQ183" s="1491"/>
      <c r="ER183" s="1491"/>
      <c r="ES183" s="1491"/>
      <c r="ET183" s="1491"/>
      <c r="EU183" s="1491"/>
      <c r="EV183" s="1491"/>
      <c r="EW183" s="1491"/>
      <c r="EX183" s="1491">
        <v>2</v>
      </c>
      <c r="EY183" s="1491"/>
      <c r="EZ183" s="1491">
        <v>1</v>
      </c>
      <c r="FA183" s="1491">
        <v>1</v>
      </c>
      <c r="FB183" s="1491">
        <v>2</v>
      </c>
      <c r="FC183" s="393">
        <v>1</v>
      </c>
      <c r="FD183" s="393"/>
      <c r="FE183" s="393">
        <v>7</v>
      </c>
      <c r="FF183" s="560">
        <f>+FE182/FE183</f>
        <v>0.14285714285714285</v>
      </c>
      <c r="FH183" s="1225"/>
      <c r="FI183" s="1225"/>
      <c r="FJ183" s="1225"/>
      <c r="FK183" s="1226" t="s">
        <v>1077</v>
      </c>
      <c r="FL183" s="1227"/>
      <c r="FM183" s="1227"/>
      <c r="FN183" s="1227"/>
      <c r="FO183" s="1227"/>
      <c r="FP183" s="1227"/>
      <c r="FQ183" s="1228">
        <v>1</v>
      </c>
      <c r="FR183" s="1227"/>
      <c r="FS183" s="1228">
        <v>0</v>
      </c>
      <c r="FT183" s="1227"/>
      <c r="FU183" s="1227"/>
      <c r="FV183" s="1227"/>
      <c r="FW183" s="1227"/>
      <c r="FX183" s="1227"/>
      <c r="FY183" s="1229"/>
      <c r="FZ183" s="1229"/>
      <c r="GA183" s="1230">
        <v>1</v>
      </c>
      <c r="GB183" s="36"/>
      <c r="HB183" s="441"/>
      <c r="HC183" s="441"/>
      <c r="HD183" s="441"/>
      <c r="HE183" s="441"/>
      <c r="HF183" s="442" t="s">
        <v>1077</v>
      </c>
      <c r="HG183" s="610">
        <v>0</v>
      </c>
      <c r="HH183" s="610">
        <v>0</v>
      </c>
      <c r="HI183" s="610">
        <v>1</v>
      </c>
      <c r="HJ183" s="610">
        <v>0</v>
      </c>
      <c r="HK183" s="610">
        <v>0</v>
      </c>
      <c r="HL183" s="610">
        <v>1</v>
      </c>
      <c r="HM183" s="610">
        <v>5</v>
      </c>
      <c r="HN183" s="610">
        <v>2</v>
      </c>
      <c r="HO183" s="610">
        <v>1</v>
      </c>
      <c r="HP183" s="610">
        <v>1</v>
      </c>
      <c r="HQ183" s="610">
        <v>0</v>
      </c>
      <c r="HR183" s="610">
        <v>0</v>
      </c>
      <c r="HS183" s="610">
        <v>0</v>
      </c>
      <c r="HT183" s="610">
        <v>0</v>
      </c>
      <c r="HU183" s="610">
        <v>0</v>
      </c>
      <c r="HV183" s="612">
        <v>0</v>
      </c>
      <c r="HW183" s="612">
        <v>0</v>
      </c>
      <c r="HX183" s="612">
        <v>11</v>
      </c>
      <c r="HY183" s="560"/>
      <c r="HZ183" s="36"/>
      <c r="IA183" s="613"/>
      <c r="IB183" s="613"/>
      <c r="IC183" s="613"/>
      <c r="ID183" s="389" t="s">
        <v>1072</v>
      </c>
      <c r="IE183" s="390">
        <v>1</v>
      </c>
      <c r="IF183" s="390">
        <v>0</v>
      </c>
      <c r="IG183" s="390">
        <v>2</v>
      </c>
      <c r="IH183" s="390">
        <v>0</v>
      </c>
      <c r="II183" s="614"/>
      <c r="IJ183" s="390">
        <v>1</v>
      </c>
      <c r="IK183" s="390">
        <v>2</v>
      </c>
      <c r="IL183" s="390">
        <v>3</v>
      </c>
      <c r="IM183" s="390">
        <v>1</v>
      </c>
      <c r="IN183" s="390">
        <v>0</v>
      </c>
      <c r="IO183" s="390">
        <v>0</v>
      </c>
      <c r="IP183" s="390">
        <v>3</v>
      </c>
      <c r="IQ183" s="390">
        <v>0</v>
      </c>
      <c r="IR183" s="390">
        <v>13</v>
      </c>
      <c r="IS183" s="615"/>
      <c r="IT183" s="36"/>
      <c r="IU183" s="36"/>
      <c r="IV183" s="95"/>
      <c r="IW183" s="95"/>
      <c r="IX183" s="95"/>
      <c r="IY183" s="36" t="s">
        <v>1072</v>
      </c>
      <c r="IZ183" s="36">
        <v>2</v>
      </c>
      <c r="JA183" s="36">
        <v>0</v>
      </c>
      <c r="JB183" s="36">
        <v>1</v>
      </c>
      <c r="JC183" s="36"/>
      <c r="JD183" s="36">
        <v>1</v>
      </c>
      <c r="JE183" s="36">
        <v>0</v>
      </c>
      <c r="JF183" s="36">
        <v>1</v>
      </c>
      <c r="JG183" s="36"/>
      <c r="JH183" s="36">
        <v>3</v>
      </c>
      <c r="JI183" s="36">
        <v>5</v>
      </c>
      <c r="JJ183" s="36">
        <v>3</v>
      </c>
      <c r="JK183" s="36">
        <v>2</v>
      </c>
      <c r="JL183" s="36">
        <v>3</v>
      </c>
      <c r="JM183" s="36">
        <v>0</v>
      </c>
      <c r="JN183" s="36">
        <v>0</v>
      </c>
      <c r="JO183" s="36">
        <v>0</v>
      </c>
      <c r="JP183" s="36">
        <v>21</v>
      </c>
      <c r="JQ183" s="36"/>
      <c r="JR183" s="36"/>
      <c r="JS183" s="616"/>
      <c r="JT183" s="616"/>
      <c r="JU183" s="616"/>
      <c r="JV183" s="616" t="s">
        <v>1074</v>
      </c>
      <c r="JW183" s="616">
        <v>0</v>
      </c>
      <c r="JX183" s="616">
        <v>0</v>
      </c>
      <c r="JY183" s="616">
        <v>0</v>
      </c>
      <c r="JZ183" s="616">
        <v>0</v>
      </c>
      <c r="KA183" s="616">
        <v>0</v>
      </c>
      <c r="KB183" s="616">
        <v>0</v>
      </c>
      <c r="KC183" s="616">
        <v>0</v>
      </c>
      <c r="KD183" s="616">
        <v>1</v>
      </c>
      <c r="KE183" s="616">
        <v>0</v>
      </c>
      <c r="KF183" s="616">
        <v>0</v>
      </c>
      <c r="KG183" s="616">
        <v>0</v>
      </c>
      <c r="KH183" s="616">
        <v>0</v>
      </c>
      <c r="KI183" s="616">
        <v>0</v>
      </c>
      <c r="KJ183" s="616">
        <v>0</v>
      </c>
      <c r="KK183" s="616">
        <v>0</v>
      </c>
      <c r="KL183" s="616">
        <v>0</v>
      </c>
      <c r="KM183" s="616">
        <v>1</v>
      </c>
      <c r="KN183" s="616"/>
      <c r="KO183" s="617"/>
    </row>
    <row r="184" spans="1:301">
      <c r="A184" s="5737">
        <v>3</v>
      </c>
      <c r="B184" s="5737">
        <v>2</v>
      </c>
      <c r="C184" s="5736" t="s">
        <v>279</v>
      </c>
      <c r="D184" s="5736" t="s">
        <v>2731</v>
      </c>
      <c r="E184" s="5737">
        <v>8</v>
      </c>
      <c r="F184" s="5737">
        <v>14</v>
      </c>
      <c r="I184" s="4726"/>
      <c r="J184" s="4726"/>
      <c r="K184" s="4971" t="s">
        <v>16</v>
      </c>
      <c r="L184" s="4990"/>
      <c r="M184" s="4991">
        <f>SUM(M182,M176,M174,M170,M167)</f>
        <v>101</v>
      </c>
      <c r="N184" s="4973"/>
      <c r="O184" s="4451">
        <f>+(M183)/(M184)</f>
        <v>0.13861386138613863</v>
      </c>
      <c r="Q184" s="4832"/>
      <c r="R184" s="4832"/>
      <c r="S184" s="4832"/>
      <c r="T184" s="4832"/>
      <c r="U184" s="4832"/>
      <c r="V184" s="4832"/>
      <c r="W184" s="4622"/>
      <c r="Z184" s="36"/>
      <c r="AA184" s="36"/>
      <c r="AB184" s="36"/>
      <c r="AC184" s="36" t="s">
        <v>1076</v>
      </c>
      <c r="AD184" s="615">
        <v>0</v>
      </c>
      <c r="AE184" s="615">
        <v>0</v>
      </c>
      <c r="AF184" s="615"/>
      <c r="AG184" s="615">
        <v>0</v>
      </c>
      <c r="AH184" s="615">
        <v>0</v>
      </c>
      <c r="AI184" s="615"/>
      <c r="AJ184" s="615">
        <v>0</v>
      </c>
      <c r="AK184" s="615">
        <v>1</v>
      </c>
      <c r="AL184" s="615">
        <v>1</v>
      </c>
      <c r="AM184" s="615">
        <v>0</v>
      </c>
      <c r="AN184" s="615">
        <v>3</v>
      </c>
      <c r="AO184" s="615">
        <v>1</v>
      </c>
      <c r="AP184" s="615"/>
      <c r="AQ184" s="36">
        <v>0</v>
      </c>
      <c r="AR184" s="36">
        <v>6</v>
      </c>
      <c r="AS184" s="36"/>
      <c r="AU184" s="36"/>
      <c r="AV184" s="36"/>
      <c r="AW184" s="393"/>
      <c r="AX184" s="393" t="s">
        <v>1076</v>
      </c>
      <c r="AY184" s="1682"/>
      <c r="AZ184" s="1682">
        <v>0</v>
      </c>
      <c r="BA184" s="1682"/>
      <c r="BB184" s="1682">
        <v>0</v>
      </c>
      <c r="BC184" s="1682"/>
      <c r="BD184" s="1682"/>
      <c r="BE184" s="1682">
        <v>0</v>
      </c>
      <c r="BF184" s="1682">
        <v>0</v>
      </c>
      <c r="BG184" s="1682">
        <v>0</v>
      </c>
      <c r="BH184" s="1682">
        <v>0</v>
      </c>
      <c r="BI184" s="1682">
        <v>1</v>
      </c>
      <c r="BJ184" s="1682">
        <v>7</v>
      </c>
      <c r="BK184" s="1682">
        <v>2</v>
      </c>
      <c r="BL184" s="1682">
        <v>0</v>
      </c>
      <c r="BM184" s="4455">
        <v>0</v>
      </c>
      <c r="BN184" s="4455">
        <v>0</v>
      </c>
      <c r="BO184" s="4455">
        <v>10</v>
      </c>
      <c r="BP184" s="4455"/>
      <c r="BT184" s="1520" t="s">
        <v>412</v>
      </c>
      <c r="BU184" s="1520" t="s">
        <v>1072</v>
      </c>
      <c r="BV184" s="3872">
        <v>0</v>
      </c>
      <c r="BW184" s="3872">
        <v>1</v>
      </c>
      <c r="BX184" s="3872"/>
      <c r="BY184" s="3872">
        <v>1</v>
      </c>
      <c r="BZ184" s="3872"/>
      <c r="CA184" s="3872"/>
      <c r="CB184" s="3872">
        <v>1</v>
      </c>
      <c r="CC184" s="3872">
        <v>1</v>
      </c>
      <c r="CD184" s="3872">
        <v>1</v>
      </c>
      <c r="CE184" s="3872">
        <v>3</v>
      </c>
      <c r="CF184" s="3872">
        <v>2</v>
      </c>
      <c r="CG184" s="3872">
        <v>43</v>
      </c>
      <c r="CH184" s="3872">
        <v>16</v>
      </c>
      <c r="CI184" s="3872">
        <v>1</v>
      </c>
      <c r="CJ184" s="3806">
        <v>0</v>
      </c>
      <c r="CK184" s="3806">
        <v>70</v>
      </c>
      <c r="CL184" s="1520"/>
      <c r="CN184" s="36"/>
      <c r="CO184" s="36"/>
      <c r="CP184" s="36"/>
      <c r="CQ184" s="36" t="s">
        <v>1076</v>
      </c>
      <c r="CR184" s="615"/>
      <c r="CS184" s="615"/>
      <c r="CT184" s="615"/>
      <c r="CU184" s="615"/>
      <c r="CV184" s="615"/>
      <c r="CW184" s="615"/>
      <c r="CX184" s="615"/>
      <c r="CY184" s="615"/>
      <c r="CZ184" s="615"/>
      <c r="DA184" s="615">
        <v>2</v>
      </c>
      <c r="DB184" s="615">
        <v>0</v>
      </c>
      <c r="DC184" s="615"/>
      <c r="DD184" s="615">
        <v>1</v>
      </c>
      <c r="DE184" s="615"/>
      <c r="DF184" s="615">
        <v>0</v>
      </c>
      <c r="DG184" s="36"/>
      <c r="DH184" s="36"/>
      <c r="DI184" s="36">
        <v>3</v>
      </c>
      <c r="DJ184" s="36"/>
      <c r="DL184" s="36"/>
      <c r="DM184" s="36"/>
      <c r="DN184" s="36"/>
      <c r="DO184" s="36" t="s">
        <v>1076</v>
      </c>
      <c r="DP184" s="1681"/>
      <c r="DQ184" s="1681"/>
      <c r="DR184" s="1681"/>
      <c r="DS184" s="1681"/>
      <c r="DT184" s="1681"/>
      <c r="DU184" s="1681"/>
      <c r="DV184" s="1681"/>
      <c r="DW184" s="1681">
        <v>0</v>
      </c>
      <c r="DX184" s="1681"/>
      <c r="DY184" s="1681">
        <v>1</v>
      </c>
      <c r="DZ184" s="1681">
        <v>0</v>
      </c>
      <c r="EA184" s="1681"/>
      <c r="EB184" s="1681"/>
      <c r="EC184" s="1681"/>
      <c r="ED184" s="1681">
        <v>0</v>
      </c>
      <c r="EE184" s="95"/>
      <c r="EF184" s="95"/>
      <c r="EG184" s="95">
        <v>1</v>
      </c>
      <c r="EH184" s="36"/>
      <c r="EL184" s="36" t="s">
        <v>487</v>
      </c>
      <c r="EM184" s="36" t="s">
        <v>1072</v>
      </c>
      <c r="EN184" s="1490"/>
      <c r="EO184" s="1490"/>
      <c r="EP184" s="1490"/>
      <c r="EQ184" s="1490"/>
      <c r="ER184" s="1490"/>
      <c r="ES184" s="1490"/>
      <c r="ET184" s="1490"/>
      <c r="EU184" s="1490"/>
      <c r="EV184" s="1490"/>
      <c r="EW184" s="1490"/>
      <c r="EX184" s="1490">
        <v>1</v>
      </c>
      <c r="EY184" s="1490"/>
      <c r="EZ184" s="1490">
        <v>1</v>
      </c>
      <c r="FA184" s="1490">
        <v>1</v>
      </c>
      <c r="FB184" s="1490">
        <v>0</v>
      </c>
      <c r="FC184" s="36">
        <v>0</v>
      </c>
      <c r="FD184" s="36"/>
      <c r="FE184" s="36">
        <v>3</v>
      </c>
      <c r="FF184" s="36"/>
      <c r="FH184" s="1225"/>
      <c r="FI184" s="1225"/>
      <c r="FJ184" s="1225"/>
      <c r="FK184" s="1226" t="s">
        <v>1163</v>
      </c>
      <c r="FL184" s="1227"/>
      <c r="FM184" s="1227"/>
      <c r="FN184" s="1227"/>
      <c r="FO184" s="1227"/>
      <c r="FP184" s="1227"/>
      <c r="FQ184" s="1228">
        <v>0</v>
      </c>
      <c r="FR184" s="1227"/>
      <c r="FS184" s="1228">
        <v>2</v>
      </c>
      <c r="FT184" s="1227"/>
      <c r="FU184" s="1227"/>
      <c r="FV184" s="1227"/>
      <c r="FW184" s="1227"/>
      <c r="FX184" s="1227"/>
      <c r="FY184" s="1229"/>
      <c r="FZ184" s="1229"/>
      <c r="GA184" s="1230">
        <v>2</v>
      </c>
      <c r="GB184" s="36"/>
      <c r="HB184" s="441"/>
      <c r="HC184" s="441"/>
      <c r="HD184" s="441"/>
      <c r="HE184" s="441"/>
      <c r="HF184" s="442" t="s">
        <v>1080</v>
      </c>
      <c r="HG184" s="610">
        <v>0</v>
      </c>
      <c r="HH184" s="610">
        <v>0</v>
      </c>
      <c r="HI184" s="610">
        <v>0</v>
      </c>
      <c r="HJ184" s="610">
        <v>0</v>
      </c>
      <c r="HK184" s="610">
        <v>0</v>
      </c>
      <c r="HL184" s="610">
        <v>0</v>
      </c>
      <c r="HM184" s="610">
        <v>0</v>
      </c>
      <c r="HN184" s="610">
        <v>0</v>
      </c>
      <c r="HO184" s="610">
        <v>0</v>
      </c>
      <c r="HP184" s="610">
        <v>0</v>
      </c>
      <c r="HQ184" s="610">
        <v>0</v>
      </c>
      <c r="HR184" s="610">
        <v>0</v>
      </c>
      <c r="HS184" s="610">
        <v>4</v>
      </c>
      <c r="HT184" s="610">
        <v>5</v>
      </c>
      <c r="HU184" s="610">
        <v>48</v>
      </c>
      <c r="HV184" s="612">
        <v>6</v>
      </c>
      <c r="HW184" s="612">
        <v>19</v>
      </c>
      <c r="HX184" s="612">
        <v>82</v>
      </c>
      <c r="HY184" s="560"/>
      <c r="HZ184" s="36"/>
      <c r="IA184" s="613"/>
      <c r="IB184" s="613"/>
      <c r="IC184" s="613"/>
      <c r="ID184" s="389" t="s">
        <v>1074</v>
      </c>
      <c r="IE184" s="390">
        <v>1</v>
      </c>
      <c r="IF184" s="390">
        <v>1</v>
      </c>
      <c r="IG184" s="390">
        <v>0</v>
      </c>
      <c r="IH184" s="390">
        <v>2</v>
      </c>
      <c r="II184" s="614"/>
      <c r="IJ184" s="390">
        <v>0</v>
      </c>
      <c r="IK184" s="390">
        <v>0</v>
      </c>
      <c r="IL184" s="390">
        <v>0</v>
      </c>
      <c r="IM184" s="390">
        <v>0</v>
      </c>
      <c r="IN184" s="390">
        <v>0</v>
      </c>
      <c r="IO184" s="390">
        <v>0</v>
      </c>
      <c r="IP184" s="390">
        <v>0</v>
      </c>
      <c r="IQ184" s="390">
        <v>0</v>
      </c>
      <c r="IR184" s="390">
        <v>4</v>
      </c>
      <c r="IS184" s="615"/>
      <c r="IT184" s="36"/>
      <c r="IU184" s="36"/>
      <c r="IV184" s="95"/>
      <c r="IW184" s="95"/>
      <c r="IX184" s="95"/>
      <c r="IY184" s="36" t="s">
        <v>1074</v>
      </c>
      <c r="IZ184" s="36">
        <v>0</v>
      </c>
      <c r="JA184" s="36">
        <v>1</v>
      </c>
      <c r="JB184" s="36">
        <v>0</v>
      </c>
      <c r="JC184" s="36"/>
      <c r="JD184" s="36">
        <v>2</v>
      </c>
      <c r="JE184" s="36">
        <v>0</v>
      </c>
      <c r="JF184" s="36">
        <v>0</v>
      </c>
      <c r="JG184" s="36"/>
      <c r="JH184" s="36">
        <v>0</v>
      </c>
      <c r="JI184" s="36">
        <v>0</v>
      </c>
      <c r="JJ184" s="36">
        <v>0</v>
      </c>
      <c r="JK184" s="36">
        <v>0</v>
      </c>
      <c r="JL184" s="36">
        <v>0</v>
      </c>
      <c r="JM184" s="36">
        <v>0</v>
      </c>
      <c r="JN184" s="36">
        <v>0</v>
      </c>
      <c r="JO184" s="36">
        <v>0</v>
      </c>
      <c r="JP184" s="36">
        <v>3</v>
      </c>
      <c r="JQ184" s="36"/>
      <c r="JR184" s="36"/>
      <c r="JS184" s="616"/>
      <c r="JT184" s="616"/>
      <c r="JU184" s="616"/>
      <c r="JV184" s="616" t="s">
        <v>1076</v>
      </c>
      <c r="JW184" s="616">
        <v>0</v>
      </c>
      <c r="JX184" s="616">
        <v>0</v>
      </c>
      <c r="JY184" s="616">
        <v>0</v>
      </c>
      <c r="JZ184" s="616">
        <v>0</v>
      </c>
      <c r="KA184" s="616">
        <v>0</v>
      </c>
      <c r="KB184" s="616">
        <v>0</v>
      </c>
      <c r="KC184" s="616">
        <v>0</v>
      </c>
      <c r="KD184" s="616">
        <v>0</v>
      </c>
      <c r="KE184" s="616">
        <v>2</v>
      </c>
      <c r="KF184" s="616">
        <v>5</v>
      </c>
      <c r="KG184" s="616">
        <v>2</v>
      </c>
      <c r="KH184" s="616">
        <v>9</v>
      </c>
      <c r="KI184" s="616">
        <v>3</v>
      </c>
      <c r="KJ184" s="616">
        <v>4</v>
      </c>
      <c r="KK184" s="616">
        <v>2</v>
      </c>
      <c r="KL184" s="616">
        <v>0</v>
      </c>
      <c r="KM184" s="616">
        <v>27</v>
      </c>
      <c r="KN184" s="616"/>
      <c r="KO184" s="617"/>
    </row>
    <row r="185" spans="1:301">
      <c r="A185" s="5737">
        <v>3</v>
      </c>
      <c r="B185" s="5737">
        <v>2</v>
      </c>
      <c r="C185" s="5736" t="s">
        <v>279</v>
      </c>
      <c r="D185" s="5739" t="s">
        <v>2707</v>
      </c>
      <c r="E185" s="5737">
        <v>1</v>
      </c>
      <c r="F185" s="5737">
        <v>13</v>
      </c>
      <c r="I185" s="4726">
        <v>3</v>
      </c>
      <c r="J185" s="4726">
        <v>3</v>
      </c>
      <c r="K185" s="4725" t="s">
        <v>381</v>
      </c>
      <c r="L185" s="4725" t="s">
        <v>2731</v>
      </c>
      <c r="M185" s="4726">
        <v>4</v>
      </c>
      <c r="N185" s="4726">
        <v>13</v>
      </c>
      <c r="Q185" s="4832"/>
      <c r="R185" s="4832"/>
      <c r="S185" s="4832"/>
      <c r="T185" s="4832"/>
      <c r="U185" s="4832"/>
      <c r="V185" s="4832"/>
      <c r="W185" s="4622"/>
      <c r="Z185" s="36"/>
      <c r="AA185" s="36"/>
      <c r="AB185" s="36"/>
      <c r="AC185" s="36" t="s">
        <v>1077</v>
      </c>
      <c r="AD185" s="615">
        <v>0</v>
      </c>
      <c r="AE185" s="615">
        <v>0</v>
      </c>
      <c r="AF185" s="615"/>
      <c r="AG185" s="615">
        <v>0</v>
      </c>
      <c r="AH185" s="615">
        <v>0</v>
      </c>
      <c r="AI185" s="615"/>
      <c r="AJ185" s="615">
        <v>1</v>
      </c>
      <c r="AK185" s="615">
        <v>0</v>
      </c>
      <c r="AL185" s="615">
        <v>0</v>
      </c>
      <c r="AM185" s="615">
        <v>0</v>
      </c>
      <c r="AN185" s="615">
        <v>0</v>
      </c>
      <c r="AO185" s="615">
        <v>0</v>
      </c>
      <c r="AP185" s="615"/>
      <c r="AQ185" s="36">
        <v>0</v>
      </c>
      <c r="AR185" s="36">
        <v>1</v>
      </c>
      <c r="AS185" s="36"/>
      <c r="AU185" s="36"/>
      <c r="AV185" s="36"/>
      <c r="AW185" s="393"/>
      <c r="AX185" s="393" t="s">
        <v>1080</v>
      </c>
      <c r="AY185" s="1682"/>
      <c r="AZ185" s="1682">
        <v>0</v>
      </c>
      <c r="BA185" s="1682"/>
      <c r="BB185" s="1682">
        <v>0</v>
      </c>
      <c r="BC185" s="1682"/>
      <c r="BD185" s="1682"/>
      <c r="BE185" s="1682">
        <v>0</v>
      </c>
      <c r="BF185" s="1682">
        <v>0</v>
      </c>
      <c r="BG185" s="1682">
        <v>0</v>
      </c>
      <c r="BH185" s="1682">
        <v>0</v>
      </c>
      <c r="BI185" s="1682">
        <v>0</v>
      </c>
      <c r="BJ185" s="1682">
        <v>0</v>
      </c>
      <c r="BK185" s="1682">
        <v>2</v>
      </c>
      <c r="BL185" s="1682">
        <v>5</v>
      </c>
      <c r="BM185" s="4455">
        <v>2</v>
      </c>
      <c r="BN185" s="4455">
        <v>3</v>
      </c>
      <c r="BO185" s="4455">
        <v>12</v>
      </c>
      <c r="BP185" s="4455"/>
      <c r="BT185" s="1520"/>
      <c r="BU185" s="1520" t="s">
        <v>1076</v>
      </c>
      <c r="BV185" s="3872">
        <v>0</v>
      </c>
      <c r="BW185" s="3872">
        <v>0</v>
      </c>
      <c r="BX185" s="3872"/>
      <c r="BY185" s="3872">
        <v>0</v>
      </c>
      <c r="BZ185" s="3872"/>
      <c r="CA185" s="3872"/>
      <c r="CB185" s="3872">
        <v>0</v>
      </c>
      <c r="CC185" s="3872">
        <v>0</v>
      </c>
      <c r="CD185" s="3872">
        <v>0</v>
      </c>
      <c r="CE185" s="3872">
        <v>0</v>
      </c>
      <c r="CF185" s="3872">
        <v>0</v>
      </c>
      <c r="CG185" s="3872">
        <v>4</v>
      </c>
      <c r="CH185" s="3872">
        <v>2</v>
      </c>
      <c r="CI185" s="3872">
        <v>1</v>
      </c>
      <c r="CJ185" s="3806">
        <v>0</v>
      </c>
      <c r="CK185" s="3806">
        <v>7</v>
      </c>
      <c r="CL185" s="1520"/>
      <c r="CN185" s="36"/>
      <c r="CO185" s="36"/>
      <c r="CP185" s="36"/>
      <c r="CQ185" s="36" t="s">
        <v>1080</v>
      </c>
      <c r="CR185" s="615"/>
      <c r="CS185" s="615"/>
      <c r="CT185" s="615"/>
      <c r="CU185" s="615"/>
      <c r="CV185" s="615"/>
      <c r="CW185" s="615"/>
      <c r="CX185" s="615"/>
      <c r="CY185" s="615"/>
      <c r="CZ185" s="615"/>
      <c r="DA185" s="615">
        <v>0</v>
      </c>
      <c r="DB185" s="615">
        <v>0</v>
      </c>
      <c r="DC185" s="615"/>
      <c r="DD185" s="615">
        <v>0</v>
      </c>
      <c r="DE185" s="615"/>
      <c r="DF185" s="615">
        <v>1</v>
      </c>
      <c r="DG185" s="36"/>
      <c r="DH185" s="36"/>
      <c r="DI185" s="36">
        <v>1</v>
      </c>
      <c r="DJ185" s="36"/>
      <c r="DL185" s="36"/>
      <c r="DM185" s="36"/>
      <c r="DN185" s="36"/>
      <c r="DO185" s="36" t="s">
        <v>1080</v>
      </c>
      <c r="DP185" s="1681"/>
      <c r="DQ185" s="1681"/>
      <c r="DR185" s="1681"/>
      <c r="DS185" s="1681"/>
      <c r="DT185" s="1681"/>
      <c r="DU185" s="1681"/>
      <c r="DV185" s="1681"/>
      <c r="DW185" s="1681">
        <v>0</v>
      </c>
      <c r="DX185" s="1681"/>
      <c r="DY185" s="1681">
        <v>0</v>
      </c>
      <c r="DZ185" s="1681">
        <v>0</v>
      </c>
      <c r="EA185" s="1681"/>
      <c r="EB185" s="1681"/>
      <c r="EC185" s="1681"/>
      <c r="ED185" s="1681">
        <v>1</v>
      </c>
      <c r="EE185" s="95"/>
      <c r="EF185" s="95"/>
      <c r="EG185" s="95">
        <v>1</v>
      </c>
      <c r="EH185" s="36"/>
      <c r="EL185" s="36"/>
      <c r="EM185" s="36" t="s">
        <v>1080</v>
      </c>
      <c r="EN185" s="1490"/>
      <c r="EO185" s="1490"/>
      <c r="EP185" s="1490"/>
      <c r="EQ185" s="1490"/>
      <c r="ER185" s="1490"/>
      <c r="ES185" s="1490"/>
      <c r="ET185" s="1490"/>
      <c r="EU185" s="1490"/>
      <c r="EV185" s="1490"/>
      <c r="EW185" s="1490"/>
      <c r="EX185" s="1490">
        <v>0</v>
      </c>
      <c r="EY185" s="1490"/>
      <c r="EZ185" s="1490">
        <v>0</v>
      </c>
      <c r="FA185" s="1490">
        <v>0</v>
      </c>
      <c r="FB185" s="1490">
        <v>2</v>
      </c>
      <c r="FC185" s="36">
        <v>1</v>
      </c>
      <c r="FD185" s="36"/>
      <c r="FE185" s="36">
        <v>3</v>
      </c>
      <c r="FF185" s="36"/>
      <c r="FH185" s="1225"/>
      <c r="FI185" s="1225"/>
      <c r="FJ185" s="1225"/>
      <c r="FK185" s="1222" t="s">
        <v>256</v>
      </c>
      <c r="FL185" s="1231"/>
      <c r="FM185" s="1231"/>
      <c r="FN185" s="1231"/>
      <c r="FO185" s="1231"/>
      <c r="FP185" s="1231"/>
      <c r="FQ185" s="1232">
        <v>2</v>
      </c>
      <c r="FR185" s="1231"/>
      <c r="FS185" s="1232">
        <v>10</v>
      </c>
      <c r="FT185" s="1231"/>
      <c r="FU185" s="1231"/>
      <c r="FV185" s="1231"/>
      <c r="FW185" s="1231"/>
      <c r="FX185" s="1231"/>
      <c r="FY185" s="1233"/>
      <c r="FZ185" s="1233"/>
      <c r="GA185" s="1234">
        <v>12</v>
      </c>
      <c r="GB185" s="1178">
        <f>+GA184/GA185</f>
        <v>0.16666666666666666</v>
      </c>
      <c r="HB185" s="441"/>
      <c r="HC185" s="441"/>
      <c r="HD185" s="441"/>
      <c r="HE185" s="441"/>
      <c r="HF185" s="442" t="s">
        <v>1081</v>
      </c>
      <c r="HG185" s="610">
        <v>0</v>
      </c>
      <c r="HH185" s="610">
        <v>0</v>
      </c>
      <c r="HI185" s="610">
        <v>0</v>
      </c>
      <c r="HJ185" s="610">
        <v>0</v>
      </c>
      <c r="HK185" s="610">
        <v>0</v>
      </c>
      <c r="HL185" s="610">
        <v>0</v>
      </c>
      <c r="HM185" s="610">
        <v>0</v>
      </c>
      <c r="HN185" s="610">
        <v>0</v>
      </c>
      <c r="HO185" s="610">
        <v>0</v>
      </c>
      <c r="HP185" s="610">
        <v>0</v>
      </c>
      <c r="HQ185" s="610">
        <v>0</v>
      </c>
      <c r="HR185" s="610">
        <v>0</v>
      </c>
      <c r="HS185" s="610">
        <v>2</v>
      </c>
      <c r="HT185" s="610">
        <v>0</v>
      </c>
      <c r="HU185" s="610">
        <v>0</v>
      </c>
      <c r="HV185" s="612">
        <v>1</v>
      </c>
      <c r="HW185" s="612">
        <v>0</v>
      </c>
      <c r="HX185" s="612">
        <v>3</v>
      </c>
      <c r="HY185" s="560"/>
      <c r="HZ185" s="36"/>
      <c r="IA185" s="613"/>
      <c r="IB185" s="613"/>
      <c r="IC185" s="613"/>
      <c r="ID185" s="389" t="s">
        <v>1076</v>
      </c>
      <c r="IE185" s="390">
        <v>0</v>
      </c>
      <c r="IF185" s="390">
        <v>0</v>
      </c>
      <c r="IG185" s="390">
        <v>0</v>
      </c>
      <c r="IH185" s="390">
        <v>0</v>
      </c>
      <c r="II185" s="614"/>
      <c r="IJ185" s="390">
        <v>6</v>
      </c>
      <c r="IK185" s="390">
        <v>5</v>
      </c>
      <c r="IL185" s="390">
        <v>5</v>
      </c>
      <c r="IM185" s="390">
        <v>12</v>
      </c>
      <c r="IN185" s="390">
        <v>8</v>
      </c>
      <c r="IO185" s="390">
        <v>3</v>
      </c>
      <c r="IP185" s="390">
        <v>2</v>
      </c>
      <c r="IQ185" s="390">
        <v>0</v>
      </c>
      <c r="IR185" s="390">
        <v>41</v>
      </c>
      <c r="IS185" s="615"/>
      <c r="IT185" s="36"/>
      <c r="IU185" s="36"/>
      <c r="IV185" s="95"/>
      <c r="IW185" s="95"/>
      <c r="IX185" s="95"/>
      <c r="IY185" s="36" t="s">
        <v>1076</v>
      </c>
      <c r="IZ185" s="36">
        <v>0</v>
      </c>
      <c r="JA185" s="36">
        <v>0</v>
      </c>
      <c r="JB185" s="36">
        <v>0</v>
      </c>
      <c r="JC185" s="36"/>
      <c r="JD185" s="36">
        <v>0</v>
      </c>
      <c r="JE185" s="36">
        <v>0</v>
      </c>
      <c r="JF185" s="36">
        <v>0</v>
      </c>
      <c r="JG185" s="36"/>
      <c r="JH185" s="36">
        <v>0</v>
      </c>
      <c r="JI185" s="36">
        <v>3</v>
      </c>
      <c r="JJ185" s="36">
        <v>4</v>
      </c>
      <c r="JK185" s="36">
        <v>8</v>
      </c>
      <c r="JL185" s="36">
        <v>3</v>
      </c>
      <c r="JM185" s="36">
        <v>0</v>
      </c>
      <c r="JN185" s="36">
        <v>1</v>
      </c>
      <c r="JO185" s="36">
        <v>0</v>
      </c>
      <c r="JP185" s="36">
        <v>19</v>
      </c>
      <c r="JQ185" s="36"/>
      <c r="JR185" s="36"/>
      <c r="JS185" s="616"/>
      <c r="JT185" s="616"/>
      <c r="JU185" s="616"/>
      <c r="JV185" s="616" t="s">
        <v>1077</v>
      </c>
      <c r="JW185" s="616">
        <v>1</v>
      </c>
      <c r="JX185" s="616">
        <v>1</v>
      </c>
      <c r="JY185" s="616">
        <v>0</v>
      </c>
      <c r="JZ185" s="616">
        <v>0</v>
      </c>
      <c r="KA185" s="616">
        <v>0</v>
      </c>
      <c r="KB185" s="616">
        <v>0</v>
      </c>
      <c r="KC185" s="616">
        <v>1</v>
      </c>
      <c r="KD185" s="616">
        <v>1</v>
      </c>
      <c r="KE185" s="616">
        <v>2</v>
      </c>
      <c r="KF185" s="616">
        <v>0</v>
      </c>
      <c r="KG185" s="616">
        <v>1</v>
      </c>
      <c r="KH185" s="616">
        <v>4</v>
      </c>
      <c r="KI185" s="616">
        <v>0</v>
      </c>
      <c r="KJ185" s="616">
        <v>0</v>
      </c>
      <c r="KK185" s="616">
        <v>0</v>
      </c>
      <c r="KL185" s="616">
        <v>0</v>
      </c>
      <c r="KM185" s="616">
        <v>11</v>
      </c>
      <c r="KN185" s="616"/>
      <c r="KO185" s="617"/>
    </row>
    <row r="186" spans="1:301">
      <c r="A186" s="5737">
        <v>3</v>
      </c>
      <c r="B186" s="5737">
        <v>2</v>
      </c>
      <c r="C186" s="5736" t="s">
        <v>279</v>
      </c>
      <c r="D186" s="5739" t="s">
        <v>1076</v>
      </c>
      <c r="E186" s="5737">
        <v>2</v>
      </c>
      <c r="F186" s="5737">
        <v>13</v>
      </c>
      <c r="I186" s="4726">
        <v>3</v>
      </c>
      <c r="J186" s="4726">
        <v>3</v>
      </c>
      <c r="K186" s="4725" t="s">
        <v>381</v>
      </c>
      <c r="L186" s="4725" t="s">
        <v>2731</v>
      </c>
      <c r="M186" s="4726">
        <v>3</v>
      </c>
      <c r="N186" s="4726">
        <v>15</v>
      </c>
      <c r="Q186" s="4832"/>
      <c r="R186" s="4832"/>
      <c r="S186" s="4832"/>
      <c r="T186" s="4832"/>
      <c r="U186" s="4832"/>
      <c r="V186" s="4832"/>
      <c r="W186" s="4622"/>
      <c r="Z186" s="36"/>
      <c r="AA186" s="36"/>
      <c r="AB186" s="36"/>
      <c r="AC186" s="36" t="s">
        <v>1080</v>
      </c>
      <c r="AD186" s="615">
        <v>0</v>
      </c>
      <c r="AE186" s="615">
        <v>0</v>
      </c>
      <c r="AF186" s="615"/>
      <c r="AG186" s="615">
        <v>0</v>
      </c>
      <c r="AH186" s="615">
        <v>0</v>
      </c>
      <c r="AI186" s="615"/>
      <c r="AJ186" s="615">
        <v>0</v>
      </c>
      <c r="AK186" s="615">
        <v>0</v>
      </c>
      <c r="AL186" s="615">
        <v>0</v>
      </c>
      <c r="AM186" s="615">
        <v>0</v>
      </c>
      <c r="AN186" s="615">
        <v>0</v>
      </c>
      <c r="AO186" s="615">
        <v>10</v>
      </c>
      <c r="AP186" s="615"/>
      <c r="AQ186" s="36">
        <v>2</v>
      </c>
      <c r="AR186" s="36">
        <v>12</v>
      </c>
      <c r="AS186" s="36"/>
      <c r="AU186" s="36"/>
      <c r="AV186" s="36"/>
      <c r="AW186" s="393"/>
      <c r="AX186" s="393" t="s">
        <v>1081</v>
      </c>
      <c r="AY186" s="1682"/>
      <c r="AZ186" s="1682">
        <v>0</v>
      </c>
      <c r="BA186" s="1682"/>
      <c r="BB186" s="1682">
        <v>0</v>
      </c>
      <c r="BC186" s="1682"/>
      <c r="BD186" s="1682"/>
      <c r="BE186" s="1682">
        <v>0</v>
      </c>
      <c r="BF186" s="1682">
        <v>0</v>
      </c>
      <c r="BG186" s="1682">
        <v>0</v>
      </c>
      <c r="BH186" s="1682">
        <v>1</v>
      </c>
      <c r="BI186" s="1682">
        <v>0</v>
      </c>
      <c r="BJ186" s="1682">
        <v>11</v>
      </c>
      <c r="BK186" s="1682">
        <v>4</v>
      </c>
      <c r="BL186" s="1682">
        <v>0</v>
      </c>
      <c r="BM186" s="4455">
        <v>0</v>
      </c>
      <c r="BN186" s="4455">
        <v>0</v>
      </c>
      <c r="BO186" s="4455">
        <v>16</v>
      </c>
      <c r="BP186" s="4455"/>
      <c r="BT186" s="1520"/>
      <c r="BU186" s="1520" t="s">
        <v>1077</v>
      </c>
      <c r="BV186" s="3872">
        <v>0</v>
      </c>
      <c r="BW186" s="3872">
        <v>0</v>
      </c>
      <c r="BX186" s="3872"/>
      <c r="BY186" s="3872">
        <v>0</v>
      </c>
      <c r="BZ186" s="3872"/>
      <c r="CA186" s="3872"/>
      <c r="CB186" s="3872">
        <v>0</v>
      </c>
      <c r="CC186" s="3872">
        <v>0</v>
      </c>
      <c r="CD186" s="3872">
        <v>0</v>
      </c>
      <c r="CE186" s="3872">
        <v>0</v>
      </c>
      <c r="CF186" s="3872">
        <v>0</v>
      </c>
      <c r="CG186" s="3872">
        <v>1</v>
      </c>
      <c r="CH186" s="3872">
        <v>0</v>
      </c>
      <c r="CI186" s="3872">
        <v>0</v>
      </c>
      <c r="CJ186" s="3806">
        <v>0</v>
      </c>
      <c r="CK186" s="3806">
        <v>1</v>
      </c>
      <c r="CL186" s="1520"/>
      <c r="CN186" s="36"/>
      <c r="CO186" s="36"/>
      <c r="CP186" s="36"/>
      <c r="CQ186" s="36" t="s">
        <v>1081</v>
      </c>
      <c r="CR186" s="615"/>
      <c r="CS186" s="615"/>
      <c r="CT186" s="615"/>
      <c r="CU186" s="615"/>
      <c r="CV186" s="615"/>
      <c r="CW186" s="615"/>
      <c r="CX186" s="615"/>
      <c r="CY186" s="615"/>
      <c r="CZ186" s="615"/>
      <c r="DA186" s="615">
        <v>2</v>
      </c>
      <c r="DB186" s="615">
        <v>1</v>
      </c>
      <c r="DC186" s="615"/>
      <c r="DD186" s="615">
        <v>0</v>
      </c>
      <c r="DE186" s="615"/>
      <c r="DF186" s="615">
        <v>0</v>
      </c>
      <c r="DG186" s="36"/>
      <c r="DH186" s="36"/>
      <c r="DI186" s="36">
        <v>3</v>
      </c>
      <c r="DJ186" s="36"/>
      <c r="DL186" s="36"/>
      <c r="DM186" s="36"/>
      <c r="DN186" s="36"/>
      <c r="DO186" s="36" t="s">
        <v>1163</v>
      </c>
      <c r="DP186" s="1681"/>
      <c r="DQ186" s="1681"/>
      <c r="DR186" s="1681"/>
      <c r="DS186" s="1681"/>
      <c r="DT186" s="1681"/>
      <c r="DU186" s="1681"/>
      <c r="DV186" s="1681"/>
      <c r="DW186" s="1681">
        <v>0</v>
      </c>
      <c r="DX186" s="1681"/>
      <c r="DY186" s="1681">
        <v>6</v>
      </c>
      <c r="DZ186" s="1681">
        <v>0</v>
      </c>
      <c r="EA186" s="1681"/>
      <c r="EB186" s="1681"/>
      <c r="EC186" s="1681"/>
      <c r="ED186" s="1681">
        <v>0</v>
      </c>
      <c r="EE186" s="95"/>
      <c r="EF186" s="95"/>
      <c r="EG186" s="95">
        <v>6</v>
      </c>
      <c r="EH186" s="36"/>
      <c r="EL186" s="36"/>
      <c r="EM186" s="36" t="s">
        <v>1163</v>
      </c>
      <c r="EN186" s="1490"/>
      <c r="EO186" s="1490"/>
      <c r="EP186" s="1490"/>
      <c r="EQ186" s="1490"/>
      <c r="ER186" s="1490"/>
      <c r="ES186" s="1490"/>
      <c r="ET186" s="1490"/>
      <c r="EU186" s="1490"/>
      <c r="EV186" s="1490"/>
      <c r="EW186" s="1490"/>
      <c r="EX186" s="1490">
        <v>1</v>
      </c>
      <c r="EY186" s="1490"/>
      <c r="EZ186" s="1490">
        <v>0</v>
      </c>
      <c r="FA186" s="1490">
        <v>0</v>
      </c>
      <c r="FB186" s="1490">
        <v>0</v>
      </c>
      <c r="FC186" s="36">
        <v>0</v>
      </c>
      <c r="FD186" s="36"/>
      <c r="FE186" s="36">
        <v>1</v>
      </c>
      <c r="FF186" s="36"/>
      <c r="FH186" s="1225"/>
      <c r="FI186" s="1225"/>
      <c r="FJ186" s="1225" t="s">
        <v>112</v>
      </c>
      <c r="FK186" s="1226" t="s">
        <v>1071</v>
      </c>
      <c r="FL186" s="1228">
        <v>0</v>
      </c>
      <c r="FM186" s="1228">
        <v>0</v>
      </c>
      <c r="FN186" s="1228">
        <v>0</v>
      </c>
      <c r="FO186" s="1228">
        <v>0</v>
      </c>
      <c r="FP186" s="1228">
        <v>0</v>
      </c>
      <c r="FQ186" s="1228">
        <v>0</v>
      </c>
      <c r="FR186" s="1228">
        <v>0</v>
      </c>
      <c r="FS186" s="1228">
        <v>0</v>
      </c>
      <c r="FT186" s="1228">
        <v>0</v>
      </c>
      <c r="FU186" s="1228">
        <v>0</v>
      </c>
      <c r="FV186" s="1228">
        <v>0</v>
      </c>
      <c r="FW186" s="1228">
        <v>0</v>
      </c>
      <c r="FX186" s="1228">
        <v>8</v>
      </c>
      <c r="FY186" s="1230">
        <v>1</v>
      </c>
      <c r="FZ186" s="1230">
        <v>3</v>
      </c>
      <c r="GA186" s="1230">
        <v>12</v>
      </c>
      <c r="GB186" s="36"/>
      <c r="HB186" s="441"/>
      <c r="HC186" s="441"/>
      <c r="HD186" s="441"/>
      <c r="HE186" s="441"/>
      <c r="HF186" s="442" t="s">
        <v>1163</v>
      </c>
      <c r="HG186" s="610">
        <v>0</v>
      </c>
      <c r="HH186" s="610">
        <v>0</v>
      </c>
      <c r="HI186" s="610">
        <v>0</v>
      </c>
      <c r="HJ186" s="610">
        <v>0</v>
      </c>
      <c r="HK186" s="610">
        <v>0</v>
      </c>
      <c r="HL186" s="610">
        <v>0</v>
      </c>
      <c r="HM186" s="610">
        <v>2</v>
      </c>
      <c r="HN186" s="610">
        <v>0</v>
      </c>
      <c r="HO186" s="610">
        <v>1</v>
      </c>
      <c r="HP186" s="610">
        <v>2</v>
      </c>
      <c r="HQ186" s="610">
        <v>6</v>
      </c>
      <c r="HR186" s="610">
        <v>4</v>
      </c>
      <c r="HS186" s="610">
        <v>18</v>
      </c>
      <c r="HT186" s="610">
        <v>4</v>
      </c>
      <c r="HU186" s="610">
        <v>4</v>
      </c>
      <c r="HV186" s="612">
        <v>0</v>
      </c>
      <c r="HW186" s="612">
        <v>0</v>
      </c>
      <c r="HX186" s="612">
        <v>41</v>
      </c>
      <c r="HY186" s="560"/>
      <c r="HZ186" s="36"/>
      <c r="IA186" s="613"/>
      <c r="IB186" s="613"/>
      <c r="IC186" s="613"/>
      <c r="ID186" s="389" t="s">
        <v>1077</v>
      </c>
      <c r="IE186" s="390">
        <v>0</v>
      </c>
      <c r="IF186" s="390">
        <v>1</v>
      </c>
      <c r="IG186" s="390">
        <v>1</v>
      </c>
      <c r="IH186" s="390">
        <v>0</v>
      </c>
      <c r="II186" s="614"/>
      <c r="IJ186" s="390">
        <v>3</v>
      </c>
      <c r="IK186" s="390">
        <v>2</v>
      </c>
      <c r="IL186" s="390">
        <v>1</v>
      </c>
      <c r="IM186" s="390">
        <v>2</v>
      </c>
      <c r="IN186" s="390">
        <v>0</v>
      </c>
      <c r="IO186" s="390">
        <v>0</v>
      </c>
      <c r="IP186" s="390">
        <v>0</v>
      </c>
      <c r="IQ186" s="390">
        <v>0</v>
      </c>
      <c r="IR186" s="390">
        <v>10</v>
      </c>
      <c r="IS186" s="615"/>
      <c r="IT186" s="36"/>
      <c r="IU186" s="36"/>
      <c r="IV186" s="95"/>
      <c r="IW186" s="95"/>
      <c r="IX186" s="95"/>
      <c r="IY186" s="36" t="s">
        <v>1077</v>
      </c>
      <c r="IZ186" s="36">
        <v>0</v>
      </c>
      <c r="JA186" s="36">
        <v>0</v>
      </c>
      <c r="JB186" s="36">
        <v>1</v>
      </c>
      <c r="JC186" s="36"/>
      <c r="JD186" s="36">
        <v>0</v>
      </c>
      <c r="JE186" s="36">
        <v>0</v>
      </c>
      <c r="JF186" s="36">
        <v>0</v>
      </c>
      <c r="JG186" s="36"/>
      <c r="JH186" s="36">
        <v>0</v>
      </c>
      <c r="JI186" s="36">
        <v>0</v>
      </c>
      <c r="JJ186" s="36">
        <v>1</v>
      </c>
      <c r="JK186" s="36">
        <v>11</v>
      </c>
      <c r="JL186" s="36">
        <v>0</v>
      </c>
      <c r="JM186" s="36">
        <v>0</v>
      </c>
      <c r="JN186" s="36">
        <v>0</v>
      </c>
      <c r="JO186" s="36">
        <v>0</v>
      </c>
      <c r="JP186" s="36">
        <v>13</v>
      </c>
      <c r="JQ186" s="36"/>
      <c r="JR186" s="36"/>
      <c r="JS186" s="616"/>
      <c r="JT186" s="616"/>
      <c r="JU186" s="616"/>
      <c r="JV186" s="616" t="s">
        <v>1080</v>
      </c>
      <c r="JW186" s="616">
        <v>0</v>
      </c>
      <c r="JX186" s="616">
        <v>0</v>
      </c>
      <c r="JY186" s="616">
        <v>0</v>
      </c>
      <c r="JZ186" s="616">
        <v>0</v>
      </c>
      <c r="KA186" s="616">
        <v>0</v>
      </c>
      <c r="KB186" s="616">
        <v>0</v>
      </c>
      <c r="KC186" s="616">
        <v>0</v>
      </c>
      <c r="KD186" s="616">
        <v>0</v>
      </c>
      <c r="KE186" s="616">
        <v>0</v>
      </c>
      <c r="KF186" s="616">
        <v>0</v>
      </c>
      <c r="KG186" s="616">
        <v>0</v>
      </c>
      <c r="KH186" s="616">
        <v>0</v>
      </c>
      <c r="KI186" s="616">
        <v>4</v>
      </c>
      <c r="KJ186" s="616">
        <v>13</v>
      </c>
      <c r="KK186" s="616">
        <v>7</v>
      </c>
      <c r="KL186" s="616">
        <v>14</v>
      </c>
      <c r="KM186" s="616">
        <v>38</v>
      </c>
      <c r="KN186" s="616"/>
      <c r="KO186" s="617"/>
    </row>
    <row r="187" spans="1:301" ht="15" thickBot="1">
      <c r="A187" s="5737">
        <v>3</v>
      </c>
      <c r="B187" s="5737">
        <v>2</v>
      </c>
      <c r="C187" s="5736" t="s">
        <v>279</v>
      </c>
      <c r="D187" s="5736" t="s">
        <v>2709</v>
      </c>
      <c r="E187" s="5737">
        <v>1</v>
      </c>
      <c r="F187" s="5737">
        <v>3</v>
      </c>
      <c r="I187" s="4726">
        <v>3</v>
      </c>
      <c r="J187" s="4726">
        <v>3</v>
      </c>
      <c r="K187" s="4725" t="s">
        <v>381</v>
      </c>
      <c r="L187" s="4963" t="s">
        <v>2707</v>
      </c>
      <c r="M187" s="4964">
        <v>2</v>
      </c>
      <c r="N187" s="4726">
        <v>12</v>
      </c>
      <c r="Q187" s="4832"/>
      <c r="R187" s="4832"/>
      <c r="S187" s="4832"/>
      <c r="T187" s="4832"/>
      <c r="U187" s="4832"/>
      <c r="V187" s="4832"/>
      <c r="W187" s="4622"/>
      <c r="Z187" s="36"/>
      <c r="AA187" s="36"/>
      <c r="AB187" s="36"/>
      <c r="AC187" s="36" t="s">
        <v>1081</v>
      </c>
      <c r="AD187" s="615">
        <v>0</v>
      </c>
      <c r="AE187" s="615">
        <v>0</v>
      </c>
      <c r="AF187" s="615"/>
      <c r="AG187" s="615">
        <v>0</v>
      </c>
      <c r="AH187" s="615">
        <v>0</v>
      </c>
      <c r="AI187" s="615"/>
      <c r="AJ187" s="615">
        <v>0</v>
      </c>
      <c r="AK187" s="615">
        <v>1</v>
      </c>
      <c r="AL187" s="615">
        <v>0</v>
      </c>
      <c r="AM187" s="615">
        <v>1</v>
      </c>
      <c r="AN187" s="615">
        <v>1</v>
      </c>
      <c r="AO187" s="615">
        <v>1</v>
      </c>
      <c r="AP187" s="615"/>
      <c r="AQ187" s="36">
        <v>0</v>
      </c>
      <c r="AR187" s="36">
        <v>4</v>
      </c>
      <c r="AS187" s="36"/>
      <c r="AU187" s="36"/>
      <c r="AV187" s="36"/>
      <c r="AW187" s="393"/>
      <c r="AX187" s="393" t="s">
        <v>1163</v>
      </c>
      <c r="AY187" s="1682"/>
      <c r="AZ187" s="1682">
        <v>0</v>
      </c>
      <c r="BA187" s="1682"/>
      <c r="BB187" s="1682">
        <v>0</v>
      </c>
      <c r="BC187" s="1682"/>
      <c r="BD187" s="1682"/>
      <c r="BE187" s="1682">
        <v>0</v>
      </c>
      <c r="BF187" s="1682">
        <v>0</v>
      </c>
      <c r="BG187" s="1682">
        <v>1</v>
      </c>
      <c r="BH187" s="1682">
        <v>0</v>
      </c>
      <c r="BI187" s="1682">
        <v>1</v>
      </c>
      <c r="BJ187" s="1682">
        <v>6</v>
      </c>
      <c r="BK187" s="1682">
        <v>2</v>
      </c>
      <c r="BL187" s="1682">
        <v>1</v>
      </c>
      <c r="BM187" s="4455">
        <v>1</v>
      </c>
      <c r="BN187" s="4455">
        <v>0</v>
      </c>
      <c r="BO187" s="4455">
        <v>12</v>
      </c>
      <c r="BP187" s="4455"/>
      <c r="BT187" s="1520"/>
      <c r="BU187" s="1520" t="s">
        <v>1080</v>
      </c>
      <c r="BV187" s="3872">
        <v>0</v>
      </c>
      <c r="BW187" s="3872">
        <v>0</v>
      </c>
      <c r="BX187" s="3872"/>
      <c r="BY187" s="3872">
        <v>0</v>
      </c>
      <c r="BZ187" s="3872"/>
      <c r="CA187" s="3872"/>
      <c r="CB187" s="3872">
        <v>0</v>
      </c>
      <c r="CC187" s="3872">
        <v>0</v>
      </c>
      <c r="CD187" s="3872">
        <v>0</v>
      </c>
      <c r="CE187" s="3872">
        <v>0</v>
      </c>
      <c r="CF187" s="3872">
        <v>0</v>
      </c>
      <c r="CG187" s="3872">
        <v>0</v>
      </c>
      <c r="CH187" s="3872">
        <v>5</v>
      </c>
      <c r="CI187" s="3872">
        <v>2</v>
      </c>
      <c r="CJ187" s="3806">
        <v>6</v>
      </c>
      <c r="CK187" s="3806">
        <v>13</v>
      </c>
      <c r="CL187" s="1520"/>
      <c r="CN187" s="36"/>
      <c r="CO187" s="36"/>
      <c r="CP187" s="36"/>
      <c r="CQ187" s="36" t="s">
        <v>1163</v>
      </c>
      <c r="CR187" s="615"/>
      <c r="CS187" s="615"/>
      <c r="CT187" s="615"/>
      <c r="CU187" s="615"/>
      <c r="CV187" s="615"/>
      <c r="CW187" s="615"/>
      <c r="CX187" s="615"/>
      <c r="CY187" s="615"/>
      <c r="CZ187" s="615"/>
      <c r="DA187" s="615">
        <v>1</v>
      </c>
      <c r="DB187" s="615">
        <v>1</v>
      </c>
      <c r="DC187" s="615"/>
      <c r="DD187" s="615">
        <v>1</v>
      </c>
      <c r="DE187" s="615"/>
      <c r="DF187" s="615">
        <v>0</v>
      </c>
      <c r="DG187" s="36"/>
      <c r="DH187" s="36"/>
      <c r="DI187" s="36">
        <v>3</v>
      </c>
      <c r="DJ187" s="36"/>
      <c r="DL187" s="36"/>
      <c r="DM187" s="36"/>
      <c r="DN187" s="36"/>
      <c r="DO187" s="393" t="s">
        <v>483</v>
      </c>
      <c r="DP187" s="1682"/>
      <c r="DQ187" s="1682"/>
      <c r="DR187" s="1682"/>
      <c r="DS187" s="1682"/>
      <c r="DT187" s="1682"/>
      <c r="DU187" s="1682"/>
      <c r="DV187" s="1682"/>
      <c r="DW187" s="1682">
        <v>1</v>
      </c>
      <c r="DX187" s="1682"/>
      <c r="DY187" s="1682">
        <v>13</v>
      </c>
      <c r="DZ187" s="1682">
        <v>1</v>
      </c>
      <c r="EA187" s="1682"/>
      <c r="EB187" s="1682"/>
      <c r="EC187" s="1682"/>
      <c r="ED187" s="1682">
        <v>2</v>
      </c>
      <c r="EE187" s="86"/>
      <c r="EF187" s="86"/>
      <c r="EG187" s="86">
        <v>17</v>
      </c>
      <c r="EH187" s="560">
        <f>+(EG184+EG186)/EG187</f>
        <v>0.41176470588235292</v>
      </c>
      <c r="EL187" s="36"/>
      <c r="EM187" s="393" t="s">
        <v>487</v>
      </c>
      <c r="EN187" s="1491"/>
      <c r="EO187" s="1491"/>
      <c r="EP187" s="1491"/>
      <c r="EQ187" s="1491"/>
      <c r="ER187" s="1491"/>
      <c r="ES187" s="1491"/>
      <c r="ET187" s="1491"/>
      <c r="EU187" s="1491"/>
      <c r="EV187" s="1491"/>
      <c r="EW187" s="1491"/>
      <c r="EX187" s="1491">
        <v>2</v>
      </c>
      <c r="EY187" s="1491"/>
      <c r="EZ187" s="1491">
        <v>1</v>
      </c>
      <c r="FA187" s="1491">
        <v>1</v>
      </c>
      <c r="FB187" s="1491">
        <v>2</v>
      </c>
      <c r="FC187" s="393">
        <v>1</v>
      </c>
      <c r="FD187" s="393"/>
      <c r="FE187" s="393">
        <v>7</v>
      </c>
      <c r="FF187" s="560">
        <f>+FE186/FE187</f>
        <v>0.14285714285714285</v>
      </c>
      <c r="FH187" s="1225"/>
      <c r="FI187" s="1225"/>
      <c r="FJ187" s="1225"/>
      <c r="FK187" s="1226" t="s">
        <v>1072</v>
      </c>
      <c r="FL187" s="1228">
        <v>1</v>
      </c>
      <c r="FM187" s="1228">
        <v>8</v>
      </c>
      <c r="FN187" s="1228">
        <v>1</v>
      </c>
      <c r="FO187" s="1228">
        <v>1</v>
      </c>
      <c r="FP187" s="1228">
        <v>4</v>
      </c>
      <c r="FQ187" s="1228">
        <v>1</v>
      </c>
      <c r="FR187" s="1228">
        <v>2</v>
      </c>
      <c r="FS187" s="1228">
        <v>11</v>
      </c>
      <c r="FT187" s="1228">
        <v>5</v>
      </c>
      <c r="FU187" s="1228">
        <v>9</v>
      </c>
      <c r="FV187" s="1228">
        <v>36</v>
      </c>
      <c r="FW187" s="1228">
        <v>11</v>
      </c>
      <c r="FX187" s="1228">
        <v>8</v>
      </c>
      <c r="FY187" s="1230">
        <v>1</v>
      </c>
      <c r="FZ187" s="1230">
        <v>0</v>
      </c>
      <c r="GA187" s="1230">
        <v>99</v>
      </c>
      <c r="GB187" s="36"/>
      <c r="HB187" s="483"/>
      <c r="HC187" s="483"/>
      <c r="HD187" s="483"/>
      <c r="HE187" s="401"/>
      <c r="HF187" s="484" t="s">
        <v>112</v>
      </c>
      <c r="HG187" s="659">
        <v>3</v>
      </c>
      <c r="HH187" s="659">
        <v>3</v>
      </c>
      <c r="HI187" s="659">
        <v>5</v>
      </c>
      <c r="HJ187" s="659">
        <v>4</v>
      </c>
      <c r="HK187" s="659">
        <v>1</v>
      </c>
      <c r="HL187" s="659">
        <v>2</v>
      </c>
      <c r="HM187" s="659">
        <v>12</v>
      </c>
      <c r="HN187" s="659">
        <v>4</v>
      </c>
      <c r="HO187" s="659">
        <v>5</v>
      </c>
      <c r="HP187" s="659">
        <v>12</v>
      </c>
      <c r="HQ187" s="659">
        <v>14</v>
      </c>
      <c r="HR187" s="659">
        <v>21</v>
      </c>
      <c r="HS187" s="659">
        <v>65</v>
      </c>
      <c r="HT187" s="659">
        <v>37</v>
      </c>
      <c r="HU187" s="659">
        <v>67</v>
      </c>
      <c r="HV187" s="660">
        <v>16</v>
      </c>
      <c r="HW187" s="660">
        <v>19</v>
      </c>
      <c r="HX187" s="660">
        <v>290</v>
      </c>
      <c r="HY187" s="587">
        <f>+(HX186+HX185+HX182-HV182-HV185)/HX187</f>
        <v>0.29655172413793102</v>
      </c>
      <c r="HZ187" s="36"/>
      <c r="IA187" s="613"/>
      <c r="IB187" s="613"/>
      <c r="IC187" s="613"/>
      <c r="ID187" s="389" t="s">
        <v>1080</v>
      </c>
      <c r="IE187" s="390">
        <v>0</v>
      </c>
      <c r="IF187" s="390">
        <v>0</v>
      </c>
      <c r="IG187" s="390">
        <v>0</v>
      </c>
      <c r="IH187" s="390">
        <v>0</v>
      </c>
      <c r="II187" s="614"/>
      <c r="IJ187" s="390">
        <v>0</v>
      </c>
      <c r="IK187" s="390">
        <v>0</v>
      </c>
      <c r="IL187" s="390">
        <v>0</v>
      </c>
      <c r="IM187" s="390">
        <v>1</v>
      </c>
      <c r="IN187" s="390">
        <v>8</v>
      </c>
      <c r="IO187" s="390">
        <v>36</v>
      </c>
      <c r="IP187" s="390">
        <v>3</v>
      </c>
      <c r="IQ187" s="390">
        <v>11</v>
      </c>
      <c r="IR187" s="390">
        <v>59</v>
      </c>
      <c r="IS187" s="615"/>
      <c r="IT187" s="36"/>
      <c r="IU187" s="36"/>
      <c r="IV187" s="95"/>
      <c r="IW187" s="95"/>
      <c r="IX187" s="95"/>
      <c r="IY187" s="36" t="s">
        <v>1080</v>
      </c>
      <c r="IZ187" s="36">
        <v>0</v>
      </c>
      <c r="JA187" s="36">
        <v>0</v>
      </c>
      <c r="JB187" s="36">
        <v>0</v>
      </c>
      <c r="JC187" s="36"/>
      <c r="JD187" s="36">
        <v>0</v>
      </c>
      <c r="JE187" s="36">
        <v>0</v>
      </c>
      <c r="JF187" s="36">
        <v>0</v>
      </c>
      <c r="JG187" s="36"/>
      <c r="JH187" s="36">
        <v>0</v>
      </c>
      <c r="JI187" s="36">
        <v>0</v>
      </c>
      <c r="JJ187" s="36">
        <v>0</v>
      </c>
      <c r="JK187" s="36">
        <v>0</v>
      </c>
      <c r="JL187" s="36">
        <v>0</v>
      </c>
      <c r="JM187" s="36">
        <v>24</v>
      </c>
      <c r="JN187" s="36">
        <v>4</v>
      </c>
      <c r="JO187" s="36">
        <v>11</v>
      </c>
      <c r="JP187" s="36">
        <v>39</v>
      </c>
      <c r="JQ187" s="36"/>
      <c r="JR187" s="36"/>
      <c r="JS187" s="616"/>
      <c r="JT187" s="616"/>
      <c r="JU187" s="616"/>
      <c r="JV187" s="616" t="s">
        <v>1163</v>
      </c>
      <c r="JW187" s="616">
        <v>0</v>
      </c>
      <c r="JX187" s="616">
        <v>0</v>
      </c>
      <c r="JY187" s="616">
        <v>0</v>
      </c>
      <c r="JZ187" s="616">
        <v>0</v>
      </c>
      <c r="KA187" s="616">
        <v>0</v>
      </c>
      <c r="KB187" s="616">
        <v>0</v>
      </c>
      <c r="KC187" s="616">
        <v>1</v>
      </c>
      <c r="KD187" s="616">
        <v>1</v>
      </c>
      <c r="KE187" s="616">
        <v>2</v>
      </c>
      <c r="KF187" s="616">
        <v>4</v>
      </c>
      <c r="KG187" s="616">
        <v>5</v>
      </c>
      <c r="KH187" s="616">
        <v>7</v>
      </c>
      <c r="KI187" s="616">
        <v>3</v>
      </c>
      <c r="KJ187" s="616">
        <v>2</v>
      </c>
      <c r="KK187" s="616">
        <v>0</v>
      </c>
      <c r="KL187" s="616">
        <v>0</v>
      </c>
      <c r="KM187" s="616">
        <v>25</v>
      </c>
      <c r="KN187" s="616"/>
      <c r="KO187" s="617"/>
    </row>
    <row r="188" spans="1:301">
      <c r="A188" s="5737">
        <v>3</v>
      </c>
      <c r="B188" s="5737">
        <v>2</v>
      </c>
      <c r="C188" s="5736" t="s">
        <v>279</v>
      </c>
      <c r="D188" s="5736" t="s">
        <v>2709</v>
      </c>
      <c r="E188" s="5737">
        <v>1</v>
      </c>
      <c r="F188" s="5737">
        <v>5</v>
      </c>
      <c r="I188" s="4726">
        <v>3</v>
      </c>
      <c r="J188" s="4726">
        <v>3</v>
      </c>
      <c r="K188" s="4725" t="s">
        <v>381</v>
      </c>
      <c r="L188" s="4963" t="s">
        <v>2707</v>
      </c>
      <c r="M188" s="4964">
        <v>1</v>
      </c>
      <c r="N188" s="4726">
        <v>13</v>
      </c>
      <c r="Q188" s="4832"/>
      <c r="R188" s="4832"/>
      <c r="S188" s="4832"/>
      <c r="T188" s="4832"/>
      <c r="U188" s="4832"/>
      <c r="V188" s="4832"/>
      <c r="W188" s="4622"/>
      <c r="Z188" s="36"/>
      <c r="AA188" s="36"/>
      <c r="AB188" s="36"/>
      <c r="AC188" s="36" t="s">
        <v>2571</v>
      </c>
      <c r="AD188" s="615">
        <v>2</v>
      </c>
      <c r="AE188" s="615">
        <v>0</v>
      </c>
      <c r="AF188" s="615"/>
      <c r="AG188" s="615">
        <v>0</v>
      </c>
      <c r="AH188" s="615">
        <v>0</v>
      </c>
      <c r="AI188" s="615"/>
      <c r="AJ188" s="615">
        <v>0</v>
      </c>
      <c r="AK188" s="615">
        <v>0</v>
      </c>
      <c r="AL188" s="615">
        <v>0</v>
      </c>
      <c r="AM188" s="615">
        <v>0</v>
      </c>
      <c r="AN188" s="615">
        <v>0</v>
      </c>
      <c r="AO188" s="615">
        <v>0</v>
      </c>
      <c r="AP188" s="615"/>
      <c r="AQ188" s="36">
        <v>0</v>
      </c>
      <c r="AR188" s="36">
        <v>2</v>
      </c>
      <c r="AS188" s="36"/>
      <c r="AU188" s="36"/>
      <c r="AV188" s="36"/>
      <c r="AW188" s="393"/>
      <c r="AX188" s="36" t="s">
        <v>15</v>
      </c>
      <c r="AY188" s="1682"/>
      <c r="AZ188" s="1682">
        <v>1</v>
      </c>
      <c r="BA188" s="1682"/>
      <c r="BB188" s="1682">
        <v>1</v>
      </c>
      <c r="BC188" s="1682"/>
      <c r="BD188" s="1682"/>
      <c r="BE188" s="1682">
        <v>1</v>
      </c>
      <c r="BF188" s="1682">
        <v>1</v>
      </c>
      <c r="BG188" s="1682">
        <v>2</v>
      </c>
      <c r="BH188" s="1682">
        <v>3</v>
      </c>
      <c r="BI188" s="1682">
        <v>4</v>
      </c>
      <c r="BJ188" s="1682">
        <v>58</v>
      </c>
      <c r="BK188" s="1682">
        <v>23</v>
      </c>
      <c r="BL188" s="1682">
        <v>7</v>
      </c>
      <c r="BM188" s="4455">
        <v>3</v>
      </c>
      <c r="BN188" s="4455">
        <v>3</v>
      </c>
      <c r="BO188" s="4455">
        <v>107</v>
      </c>
      <c r="BP188" s="560">
        <f>+(BO184+BO186+BO187)/(BO188)</f>
        <v>0.35514018691588783</v>
      </c>
      <c r="BT188" s="1520"/>
      <c r="BU188" s="1520" t="s">
        <v>1081</v>
      </c>
      <c r="BV188" s="3872">
        <v>0</v>
      </c>
      <c r="BW188" s="3872">
        <v>0</v>
      </c>
      <c r="BX188" s="3872"/>
      <c r="BY188" s="3872">
        <v>0</v>
      </c>
      <c r="BZ188" s="3872"/>
      <c r="CA188" s="3872"/>
      <c r="CB188" s="3872">
        <v>0</v>
      </c>
      <c r="CC188" s="3872">
        <v>0</v>
      </c>
      <c r="CD188" s="3872">
        <v>0</v>
      </c>
      <c r="CE188" s="3872">
        <v>0</v>
      </c>
      <c r="CF188" s="3872">
        <v>1</v>
      </c>
      <c r="CG188" s="3872">
        <v>5</v>
      </c>
      <c r="CH188" s="3872">
        <v>2</v>
      </c>
      <c r="CI188" s="3872">
        <v>0</v>
      </c>
      <c r="CJ188" s="3806">
        <v>0</v>
      </c>
      <c r="CK188" s="3806">
        <v>8</v>
      </c>
      <c r="CL188" s="1520"/>
      <c r="CN188" s="36"/>
      <c r="CO188" s="36"/>
      <c r="CP188" s="36"/>
      <c r="CQ188" s="393" t="s">
        <v>15</v>
      </c>
      <c r="CR188" s="2049"/>
      <c r="CS188" s="2049"/>
      <c r="CT188" s="2049"/>
      <c r="CU188" s="2049"/>
      <c r="CV188" s="2049"/>
      <c r="CW188" s="2049"/>
      <c r="CX188" s="2049"/>
      <c r="CY188" s="2049"/>
      <c r="CZ188" s="2049"/>
      <c r="DA188" s="2049">
        <v>8</v>
      </c>
      <c r="DB188" s="2049">
        <v>3</v>
      </c>
      <c r="DC188" s="2049"/>
      <c r="DD188" s="2049">
        <v>2</v>
      </c>
      <c r="DE188" s="2049"/>
      <c r="DF188" s="2049">
        <v>1</v>
      </c>
      <c r="DG188" s="393"/>
      <c r="DH188" s="393"/>
      <c r="DI188" s="393">
        <v>14</v>
      </c>
      <c r="DJ188" s="560">
        <f>+(DI187+DI186+DI184)/DI188</f>
        <v>0.6428571428571429</v>
      </c>
      <c r="DK188" s="1665"/>
      <c r="DL188" s="36"/>
      <c r="DM188" s="36" t="s">
        <v>64</v>
      </c>
      <c r="DN188" s="36" t="s">
        <v>609</v>
      </c>
      <c r="DO188" s="36" t="s">
        <v>1076</v>
      </c>
      <c r="DP188" s="1681"/>
      <c r="DQ188" s="1681"/>
      <c r="DR188" s="1681"/>
      <c r="DS188" s="1681"/>
      <c r="DT188" s="1681"/>
      <c r="DU188" s="1681"/>
      <c r="DV188" s="1681"/>
      <c r="DW188" s="1681"/>
      <c r="DX188" s="1681"/>
      <c r="DY188" s="1681"/>
      <c r="DZ188" s="1681"/>
      <c r="EA188" s="1681"/>
      <c r="EB188" s="1681"/>
      <c r="EC188" s="1681">
        <v>1</v>
      </c>
      <c r="ED188" s="1681">
        <v>0</v>
      </c>
      <c r="EE188" s="95">
        <v>0</v>
      </c>
      <c r="EF188" s="95">
        <v>0</v>
      </c>
      <c r="EG188" s="95">
        <v>1</v>
      </c>
      <c r="EH188" s="36"/>
      <c r="EL188" s="36" t="s">
        <v>256</v>
      </c>
      <c r="EM188" s="36" t="s">
        <v>1072</v>
      </c>
      <c r="EN188" s="1490"/>
      <c r="EO188" s="1490">
        <v>0</v>
      </c>
      <c r="EP188" s="1490"/>
      <c r="EQ188" s="1490"/>
      <c r="ER188" s="1490">
        <v>0</v>
      </c>
      <c r="ES188" s="1490"/>
      <c r="ET188" s="1490"/>
      <c r="EU188" s="1490"/>
      <c r="EV188" s="1490"/>
      <c r="EW188" s="1490">
        <v>3</v>
      </c>
      <c r="EX188" s="1490">
        <v>2</v>
      </c>
      <c r="EY188" s="1490"/>
      <c r="EZ188" s="1490">
        <v>1</v>
      </c>
      <c r="FA188" s="1490">
        <v>1</v>
      </c>
      <c r="FB188" s="1490">
        <v>0</v>
      </c>
      <c r="FC188" s="36">
        <v>0</v>
      </c>
      <c r="FD188" s="36">
        <v>0</v>
      </c>
      <c r="FE188" s="36">
        <v>7</v>
      </c>
      <c r="FF188" s="36"/>
      <c r="FH188" s="1225"/>
      <c r="FI188" s="1225"/>
      <c r="FJ188" s="1225"/>
      <c r="FK188" s="1226" t="s">
        <v>1074</v>
      </c>
      <c r="FL188" s="1228">
        <v>0</v>
      </c>
      <c r="FM188" s="1228">
        <v>2</v>
      </c>
      <c r="FN188" s="1228">
        <v>1</v>
      </c>
      <c r="FO188" s="1228">
        <v>0</v>
      </c>
      <c r="FP188" s="1228">
        <v>0</v>
      </c>
      <c r="FQ188" s="1228">
        <v>1</v>
      </c>
      <c r="FR188" s="1228">
        <v>0</v>
      </c>
      <c r="FS188" s="1228">
        <v>0</v>
      </c>
      <c r="FT188" s="1228">
        <v>0</v>
      </c>
      <c r="FU188" s="1228">
        <v>0</v>
      </c>
      <c r="FV188" s="1228">
        <v>0</v>
      </c>
      <c r="FW188" s="1228">
        <v>0</v>
      </c>
      <c r="FX188" s="1228">
        <v>0</v>
      </c>
      <c r="FY188" s="1230">
        <v>0</v>
      </c>
      <c r="FZ188" s="1230">
        <v>0</v>
      </c>
      <c r="GA188" s="1230">
        <v>4</v>
      </c>
      <c r="GB188" s="36"/>
      <c r="HB188" s="36"/>
      <c r="HC188" s="36"/>
      <c r="HD188" s="36"/>
      <c r="HE188" s="36"/>
      <c r="HF188" s="36"/>
      <c r="HG188" s="36"/>
      <c r="HH188" s="36"/>
      <c r="HI188" s="36"/>
      <c r="HJ188" s="36"/>
      <c r="HK188" s="36"/>
      <c r="HL188" s="36"/>
      <c r="HM188" s="36"/>
      <c r="HN188" s="36"/>
      <c r="HO188" s="36"/>
      <c r="HP188" s="36"/>
      <c r="HQ188" s="36"/>
      <c r="HR188" s="36"/>
      <c r="HS188" s="36"/>
      <c r="HT188" s="36"/>
      <c r="HU188" s="36"/>
      <c r="HV188" s="36"/>
      <c r="HW188" s="36"/>
      <c r="HX188" s="36"/>
      <c r="HY188" s="36"/>
      <c r="HZ188" s="36"/>
      <c r="IA188" s="613"/>
      <c r="IB188" s="613"/>
      <c r="IC188" s="613"/>
      <c r="ID188" s="389" t="s">
        <v>1163</v>
      </c>
      <c r="IE188" s="390">
        <v>0</v>
      </c>
      <c r="IF188" s="390">
        <v>0</v>
      </c>
      <c r="IG188" s="390">
        <v>0</v>
      </c>
      <c r="IH188" s="390">
        <v>1</v>
      </c>
      <c r="II188" s="614"/>
      <c r="IJ188" s="390">
        <v>5</v>
      </c>
      <c r="IK188" s="390">
        <v>6</v>
      </c>
      <c r="IL188" s="390">
        <v>2</v>
      </c>
      <c r="IM188" s="390">
        <v>7</v>
      </c>
      <c r="IN188" s="390">
        <v>2</v>
      </c>
      <c r="IO188" s="390">
        <v>0</v>
      </c>
      <c r="IP188" s="390">
        <v>0</v>
      </c>
      <c r="IQ188" s="390">
        <v>0</v>
      </c>
      <c r="IR188" s="390">
        <v>23</v>
      </c>
      <c r="IS188" s="615"/>
      <c r="IT188" s="36"/>
      <c r="IU188" s="36"/>
      <c r="IV188" s="95"/>
      <c r="IW188" s="95"/>
      <c r="IX188" s="95"/>
      <c r="IY188" s="36" t="s">
        <v>1163</v>
      </c>
      <c r="IZ188" s="36">
        <v>0</v>
      </c>
      <c r="JA188" s="36">
        <v>0</v>
      </c>
      <c r="JB188" s="36">
        <v>0</v>
      </c>
      <c r="JC188" s="36"/>
      <c r="JD188" s="36">
        <v>0</v>
      </c>
      <c r="JE188" s="36">
        <v>1</v>
      </c>
      <c r="JF188" s="36">
        <v>2</v>
      </c>
      <c r="JG188" s="36"/>
      <c r="JH188" s="36">
        <v>1</v>
      </c>
      <c r="JI188" s="36">
        <v>3</v>
      </c>
      <c r="JJ188" s="36">
        <v>4</v>
      </c>
      <c r="JK188" s="36">
        <v>4</v>
      </c>
      <c r="JL188" s="36">
        <v>4</v>
      </c>
      <c r="JM188" s="36">
        <v>1</v>
      </c>
      <c r="JN188" s="36">
        <v>0</v>
      </c>
      <c r="JO188" s="36">
        <v>0</v>
      </c>
      <c r="JP188" s="36">
        <v>20</v>
      </c>
      <c r="JQ188" s="36"/>
      <c r="JR188" s="36"/>
      <c r="JS188" s="616"/>
      <c r="JT188" s="616"/>
      <c r="JU188" s="616"/>
      <c r="JV188" s="627" t="s">
        <v>15</v>
      </c>
      <c r="JW188" s="627">
        <v>2</v>
      </c>
      <c r="JX188" s="627">
        <v>1</v>
      </c>
      <c r="JY188" s="627">
        <v>0</v>
      </c>
      <c r="JZ188" s="627">
        <v>1</v>
      </c>
      <c r="KA188" s="627">
        <v>0</v>
      </c>
      <c r="KB188" s="627">
        <v>1</v>
      </c>
      <c r="KC188" s="627">
        <v>2</v>
      </c>
      <c r="KD188" s="627">
        <v>4</v>
      </c>
      <c r="KE188" s="627">
        <v>9</v>
      </c>
      <c r="KF188" s="627">
        <v>10</v>
      </c>
      <c r="KG188" s="627">
        <v>10</v>
      </c>
      <c r="KH188" s="627">
        <v>22</v>
      </c>
      <c r="KI188" s="627">
        <v>10</v>
      </c>
      <c r="KJ188" s="627">
        <v>21</v>
      </c>
      <c r="KK188" s="627">
        <v>9</v>
      </c>
      <c r="KL188" s="627">
        <v>14</v>
      </c>
      <c r="KM188" s="627">
        <v>116</v>
      </c>
      <c r="KN188" s="628">
        <f>+(KM187+KM184-KK184)/KM188</f>
        <v>0.43103448275862066</v>
      </c>
      <c r="KO188" s="617">
        <f>+KM184+KM187-KK184</f>
        <v>50</v>
      </c>
    </row>
    <row r="189" spans="1:301">
      <c r="A189" s="5737"/>
      <c r="B189" s="5737"/>
      <c r="C189" s="5736"/>
      <c r="D189" s="5736"/>
      <c r="E189" s="5742">
        <f>SUM(E182:E188)</f>
        <v>15</v>
      </c>
      <c r="F189" s="5737"/>
      <c r="G189" s="5769">
        <f>+(E185+E186)/(E189)</f>
        <v>0.2</v>
      </c>
      <c r="I189" s="4726">
        <v>3</v>
      </c>
      <c r="J189" s="4726">
        <v>3</v>
      </c>
      <c r="K189" s="4725" t="s">
        <v>381</v>
      </c>
      <c r="L189" s="4725" t="s">
        <v>2709</v>
      </c>
      <c r="M189" s="4726">
        <v>1</v>
      </c>
      <c r="N189" s="4726">
        <v>13</v>
      </c>
      <c r="Q189" s="4832"/>
      <c r="R189" s="4832"/>
      <c r="S189" s="4832"/>
      <c r="T189" s="4832"/>
      <c r="U189" s="4832"/>
      <c r="V189" s="4832"/>
      <c r="W189" s="4622"/>
      <c r="Z189" s="36"/>
      <c r="AA189" s="36"/>
      <c r="AB189" s="36"/>
      <c r="AC189" s="36" t="s">
        <v>1163</v>
      </c>
      <c r="AD189" s="615">
        <v>0</v>
      </c>
      <c r="AE189" s="615">
        <v>0</v>
      </c>
      <c r="AF189" s="615"/>
      <c r="AG189" s="615">
        <v>0</v>
      </c>
      <c r="AH189" s="615">
        <v>0</v>
      </c>
      <c r="AI189" s="615"/>
      <c r="AJ189" s="615">
        <v>0</v>
      </c>
      <c r="AK189" s="615">
        <v>0</v>
      </c>
      <c r="AL189" s="615">
        <v>2</v>
      </c>
      <c r="AM189" s="615">
        <v>0</v>
      </c>
      <c r="AN189" s="615">
        <v>0</v>
      </c>
      <c r="AO189" s="615">
        <v>0</v>
      </c>
      <c r="AP189" s="615"/>
      <c r="AQ189" s="36">
        <v>0</v>
      </c>
      <c r="AR189" s="36">
        <v>2</v>
      </c>
      <c r="AS189" s="36"/>
      <c r="AU189" s="36" t="s">
        <v>59</v>
      </c>
      <c r="AV189" s="36" t="s">
        <v>16</v>
      </c>
      <c r="AW189" s="36" t="s">
        <v>608</v>
      </c>
      <c r="AX189" s="36" t="s">
        <v>1072</v>
      </c>
      <c r="AY189" s="1681"/>
      <c r="AZ189" s="1681"/>
      <c r="BA189" s="1681">
        <v>0</v>
      </c>
      <c r="BB189" s="1681"/>
      <c r="BC189" s="1681">
        <v>0</v>
      </c>
      <c r="BD189" s="1681"/>
      <c r="BE189" s="1681">
        <v>1</v>
      </c>
      <c r="BF189" s="1681">
        <v>0</v>
      </c>
      <c r="BG189" s="1681"/>
      <c r="BH189" s="1681">
        <v>1</v>
      </c>
      <c r="BI189" s="1681">
        <v>1</v>
      </c>
      <c r="BJ189" s="1681">
        <v>4</v>
      </c>
      <c r="BK189" s="1681">
        <v>0</v>
      </c>
      <c r="BL189" s="1681">
        <v>0</v>
      </c>
      <c r="BM189" s="95"/>
      <c r="BN189" s="95"/>
      <c r="BO189" s="95">
        <v>7</v>
      </c>
      <c r="BP189" s="95"/>
      <c r="BT189" s="1520"/>
      <c r="BU189" s="1520" t="s">
        <v>1163</v>
      </c>
      <c r="BV189" s="3872">
        <v>0</v>
      </c>
      <c r="BW189" s="3872">
        <v>0</v>
      </c>
      <c r="BX189" s="3872"/>
      <c r="BY189" s="3872">
        <v>0</v>
      </c>
      <c r="BZ189" s="3872"/>
      <c r="CA189" s="3872"/>
      <c r="CB189" s="3872">
        <v>0</v>
      </c>
      <c r="CC189" s="3872">
        <v>0</v>
      </c>
      <c r="CD189" s="3872">
        <v>1</v>
      </c>
      <c r="CE189" s="3872">
        <v>0</v>
      </c>
      <c r="CF189" s="3872">
        <v>1</v>
      </c>
      <c r="CG189" s="3872">
        <v>5</v>
      </c>
      <c r="CH189" s="3872">
        <v>1</v>
      </c>
      <c r="CI189" s="3872">
        <v>0</v>
      </c>
      <c r="CJ189" s="3806">
        <v>0</v>
      </c>
      <c r="CK189" s="3806">
        <v>8</v>
      </c>
      <c r="CL189" s="1520"/>
      <c r="CN189" s="36"/>
      <c r="CO189" s="36"/>
      <c r="CP189" s="36" t="s">
        <v>320</v>
      </c>
      <c r="CQ189" s="36" t="s">
        <v>1072</v>
      </c>
      <c r="CR189" s="615"/>
      <c r="CS189" s="615"/>
      <c r="CT189" s="615"/>
      <c r="CU189" s="615"/>
      <c r="CV189" s="615">
        <v>1</v>
      </c>
      <c r="CW189" s="615"/>
      <c r="CX189" s="615"/>
      <c r="CY189" s="615"/>
      <c r="CZ189" s="615"/>
      <c r="DA189" s="615">
        <v>1</v>
      </c>
      <c r="DB189" s="615"/>
      <c r="DC189" s="615"/>
      <c r="DD189" s="615">
        <v>1</v>
      </c>
      <c r="DE189" s="615">
        <v>0</v>
      </c>
      <c r="DF189" s="615">
        <v>0</v>
      </c>
      <c r="DG189" s="36"/>
      <c r="DH189" s="36">
        <v>0</v>
      </c>
      <c r="DI189" s="36">
        <v>3</v>
      </c>
      <c r="DJ189" s="36"/>
      <c r="DL189" s="36"/>
      <c r="DM189" s="36"/>
      <c r="DN189" s="36"/>
      <c r="DO189" s="36" t="s">
        <v>1080</v>
      </c>
      <c r="DP189" s="1681"/>
      <c r="DQ189" s="1681"/>
      <c r="DR189" s="1681"/>
      <c r="DS189" s="1681"/>
      <c r="DT189" s="1681"/>
      <c r="DU189" s="1681"/>
      <c r="DV189" s="1681"/>
      <c r="DW189" s="1681"/>
      <c r="DX189" s="1681"/>
      <c r="DY189" s="1681"/>
      <c r="DZ189" s="1681"/>
      <c r="EA189" s="1681"/>
      <c r="EB189" s="1681"/>
      <c r="EC189" s="1681">
        <v>0</v>
      </c>
      <c r="ED189" s="1681">
        <v>1</v>
      </c>
      <c r="EE189" s="95">
        <v>1</v>
      </c>
      <c r="EF189" s="95">
        <v>2</v>
      </c>
      <c r="EG189" s="95">
        <v>4</v>
      </c>
      <c r="EH189" s="36"/>
      <c r="EL189" s="36"/>
      <c r="EM189" s="36" t="s">
        <v>1077</v>
      </c>
      <c r="EN189" s="1490"/>
      <c r="EO189" s="1490">
        <v>1</v>
      </c>
      <c r="EP189" s="1490"/>
      <c r="EQ189" s="1490"/>
      <c r="ER189" s="1490">
        <v>1</v>
      </c>
      <c r="ES189" s="1490"/>
      <c r="ET189" s="1490"/>
      <c r="EU189" s="1490"/>
      <c r="EV189" s="1490"/>
      <c r="EW189" s="1490">
        <v>0</v>
      </c>
      <c r="EX189" s="1490">
        <v>0</v>
      </c>
      <c r="EY189" s="1490"/>
      <c r="EZ189" s="1490">
        <v>0</v>
      </c>
      <c r="FA189" s="1490">
        <v>0</v>
      </c>
      <c r="FB189" s="1490">
        <v>0</v>
      </c>
      <c r="FC189" s="36">
        <v>0</v>
      </c>
      <c r="FD189" s="36">
        <v>0</v>
      </c>
      <c r="FE189" s="36">
        <v>2</v>
      </c>
      <c r="FF189" s="36"/>
      <c r="FH189" s="1225"/>
      <c r="FI189" s="1225"/>
      <c r="FJ189" s="1225"/>
      <c r="FK189" s="1226" t="s">
        <v>1076</v>
      </c>
      <c r="FL189" s="1228">
        <v>0</v>
      </c>
      <c r="FM189" s="1228">
        <v>0</v>
      </c>
      <c r="FN189" s="1228">
        <v>0</v>
      </c>
      <c r="FO189" s="1228">
        <v>0</v>
      </c>
      <c r="FP189" s="1228">
        <v>0</v>
      </c>
      <c r="FQ189" s="1228">
        <v>0</v>
      </c>
      <c r="FR189" s="1228">
        <v>2</v>
      </c>
      <c r="FS189" s="1228">
        <v>4</v>
      </c>
      <c r="FT189" s="1228">
        <v>4</v>
      </c>
      <c r="FU189" s="1228">
        <v>2</v>
      </c>
      <c r="FV189" s="1228">
        <v>15</v>
      </c>
      <c r="FW189" s="1228">
        <v>9</v>
      </c>
      <c r="FX189" s="1228">
        <v>1</v>
      </c>
      <c r="FY189" s="1230">
        <v>1</v>
      </c>
      <c r="FZ189" s="1230">
        <v>0</v>
      </c>
      <c r="GA189" s="1230">
        <v>38</v>
      </c>
      <c r="GB189" s="36"/>
      <c r="HB189" s="36"/>
      <c r="HC189" s="36"/>
      <c r="HD189" s="36"/>
      <c r="HE189" s="36"/>
      <c r="HF189" s="36"/>
      <c r="HG189" s="36"/>
      <c r="HH189" s="36"/>
      <c r="HI189" s="36"/>
      <c r="HJ189" s="36"/>
      <c r="HK189" s="36"/>
      <c r="HL189" s="36"/>
      <c r="HM189" s="36"/>
      <c r="HN189" s="36"/>
      <c r="HO189" s="36"/>
      <c r="HP189" s="36"/>
      <c r="HQ189" s="36"/>
      <c r="HR189" s="36"/>
      <c r="HS189" s="36"/>
      <c r="HT189" s="36"/>
      <c r="HU189" s="36"/>
      <c r="HV189" s="36"/>
      <c r="HW189" s="36"/>
      <c r="HX189" s="36"/>
      <c r="HY189" s="36"/>
      <c r="HZ189" s="36"/>
      <c r="IA189" s="613"/>
      <c r="IB189" s="613"/>
      <c r="IC189" s="613"/>
      <c r="ID189" s="629" t="s">
        <v>109</v>
      </c>
      <c r="IE189" s="395">
        <v>2</v>
      </c>
      <c r="IF189" s="395">
        <v>2</v>
      </c>
      <c r="IG189" s="395">
        <v>3</v>
      </c>
      <c r="IH189" s="395">
        <v>4</v>
      </c>
      <c r="II189" s="630"/>
      <c r="IJ189" s="395">
        <v>15</v>
      </c>
      <c r="IK189" s="395">
        <v>15</v>
      </c>
      <c r="IL189" s="395">
        <v>12</v>
      </c>
      <c r="IM189" s="395">
        <v>24</v>
      </c>
      <c r="IN189" s="395">
        <v>19</v>
      </c>
      <c r="IO189" s="395">
        <v>41</v>
      </c>
      <c r="IP189" s="395">
        <v>8</v>
      </c>
      <c r="IQ189" s="395">
        <v>11</v>
      </c>
      <c r="IR189" s="395">
        <v>156</v>
      </c>
      <c r="IS189" s="553">
        <f>+(IR188+IR185-IP185)/IR189</f>
        <v>0.39743589743589741</v>
      </c>
      <c r="IT189" s="36"/>
      <c r="IU189" s="36"/>
      <c r="IV189" s="95"/>
      <c r="IW189" s="95"/>
      <c r="IX189" s="95"/>
      <c r="IY189" s="393" t="s">
        <v>15</v>
      </c>
      <c r="IZ189" s="393">
        <v>2</v>
      </c>
      <c r="JA189" s="393">
        <v>1</v>
      </c>
      <c r="JB189" s="393">
        <v>2</v>
      </c>
      <c r="JC189" s="393"/>
      <c r="JD189" s="393">
        <v>4</v>
      </c>
      <c r="JE189" s="393">
        <v>1</v>
      </c>
      <c r="JF189" s="393">
        <v>3</v>
      </c>
      <c r="JG189" s="393"/>
      <c r="JH189" s="393">
        <v>4</v>
      </c>
      <c r="JI189" s="393">
        <v>11</v>
      </c>
      <c r="JJ189" s="393">
        <v>12</v>
      </c>
      <c r="JK189" s="393">
        <v>25</v>
      </c>
      <c r="JL189" s="393">
        <v>11</v>
      </c>
      <c r="JM189" s="393">
        <v>31</v>
      </c>
      <c r="JN189" s="393">
        <v>6</v>
      </c>
      <c r="JO189" s="393">
        <v>12</v>
      </c>
      <c r="JP189" s="393">
        <v>125</v>
      </c>
      <c r="JQ189" s="631">
        <f>+(JP185+JP188)/JP189</f>
        <v>0.312</v>
      </c>
      <c r="JR189" s="36"/>
      <c r="JS189" s="616"/>
      <c r="JT189" s="36"/>
      <c r="JU189" s="616" t="s">
        <v>48</v>
      </c>
      <c r="JV189" s="616" t="s">
        <v>1072</v>
      </c>
      <c r="JW189" s="616">
        <v>0</v>
      </c>
      <c r="JX189" s="616">
        <v>0</v>
      </c>
      <c r="JY189" s="616">
        <v>1</v>
      </c>
      <c r="JZ189" s="616">
        <v>2</v>
      </c>
      <c r="KA189" s="616">
        <v>0</v>
      </c>
      <c r="KB189" s="616">
        <v>1</v>
      </c>
      <c r="KC189" s="616">
        <v>0</v>
      </c>
      <c r="KD189" s="616">
        <v>2</v>
      </c>
      <c r="KE189" s="616">
        <v>6</v>
      </c>
      <c r="KF189" s="616">
        <v>4</v>
      </c>
      <c r="KG189" s="616">
        <v>1</v>
      </c>
      <c r="KH189" s="616">
        <v>3</v>
      </c>
      <c r="KI189" s="616">
        <v>2</v>
      </c>
      <c r="KJ189" s="616">
        <v>0</v>
      </c>
      <c r="KK189" s="616">
        <v>0</v>
      </c>
      <c r="KL189" s="616">
        <v>0</v>
      </c>
      <c r="KM189" s="616">
        <v>22</v>
      </c>
      <c r="KN189" s="616"/>
      <c r="KO189" s="617"/>
    </row>
    <row r="190" spans="1:301">
      <c r="A190" s="5737"/>
      <c r="B190" s="5737"/>
      <c r="C190" s="5736"/>
      <c r="D190" s="5738" t="s">
        <v>2754</v>
      </c>
      <c r="E190" s="5751">
        <f>SUM(E157:E160,E162:E164,E172,E175,E185:E186)</f>
        <v>20</v>
      </c>
      <c r="F190" s="5737"/>
      <c r="I190" s="4726"/>
      <c r="J190" s="4726"/>
      <c r="K190" s="4725"/>
      <c r="L190" s="4725"/>
      <c r="M190" s="4975">
        <f>SUM(M185:M189)</f>
        <v>11</v>
      </c>
      <c r="N190" s="4726"/>
      <c r="O190" s="4513">
        <f>+(M187+M188)/(M190)</f>
        <v>0.27272727272727271</v>
      </c>
      <c r="Q190" s="4832"/>
      <c r="R190" s="4832"/>
      <c r="S190" s="4832"/>
      <c r="T190" s="4832"/>
      <c r="U190" s="4832"/>
      <c r="V190" s="4832"/>
      <c r="W190" s="4622"/>
      <c r="Z190" s="36"/>
      <c r="AA190" s="36"/>
      <c r="AB190" s="36"/>
      <c r="AC190" s="4236" t="s">
        <v>15</v>
      </c>
      <c r="AD190" s="4236">
        <v>2</v>
      </c>
      <c r="AE190" s="4236">
        <v>1</v>
      </c>
      <c r="AF190" s="4236"/>
      <c r="AG190" s="4236">
        <v>1</v>
      </c>
      <c r="AH190" s="4236">
        <v>1</v>
      </c>
      <c r="AI190" s="4236"/>
      <c r="AJ190" s="4236">
        <v>1</v>
      </c>
      <c r="AK190" s="4236">
        <v>7</v>
      </c>
      <c r="AL190" s="4236">
        <v>9</v>
      </c>
      <c r="AM190" s="4236">
        <v>3</v>
      </c>
      <c r="AN190" s="4236">
        <v>14</v>
      </c>
      <c r="AO190" s="4236">
        <v>12</v>
      </c>
      <c r="AP190" s="4236"/>
      <c r="AQ190" s="4236">
        <v>2</v>
      </c>
      <c r="AR190" s="4236">
        <v>53</v>
      </c>
      <c r="AS190" s="4243">
        <f>(AR184+AR187+AR189)/(AR190-AR188)</f>
        <v>0.23529411764705882</v>
      </c>
      <c r="AU190" s="36"/>
      <c r="AV190" s="36"/>
      <c r="AW190" s="36"/>
      <c r="AX190" s="36" t="s">
        <v>1076</v>
      </c>
      <c r="AY190" s="1681"/>
      <c r="AZ190" s="1681"/>
      <c r="BA190" s="1681">
        <v>0</v>
      </c>
      <c r="BB190" s="1681"/>
      <c r="BC190" s="1681">
        <v>0</v>
      </c>
      <c r="BD190" s="1681"/>
      <c r="BE190" s="1681">
        <v>0</v>
      </c>
      <c r="BF190" s="1681">
        <v>0</v>
      </c>
      <c r="BG190" s="1681"/>
      <c r="BH190" s="1681">
        <v>0</v>
      </c>
      <c r="BI190" s="1681">
        <v>0</v>
      </c>
      <c r="BJ190" s="1681">
        <v>1</v>
      </c>
      <c r="BK190" s="1681">
        <v>0</v>
      </c>
      <c r="BL190" s="1681">
        <v>0</v>
      </c>
      <c r="BM190" s="95"/>
      <c r="BN190" s="95"/>
      <c r="BO190" s="95">
        <v>1</v>
      </c>
      <c r="BP190" s="95"/>
      <c r="BT190" s="1520"/>
      <c r="BU190" s="1520" t="s">
        <v>412</v>
      </c>
      <c r="BV190" s="3872">
        <v>0</v>
      </c>
      <c r="BW190" s="3872">
        <v>1</v>
      </c>
      <c r="BX190" s="3872"/>
      <c r="BY190" s="3872">
        <v>1</v>
      </c>
      <c r="BZ190" s="3872"/>
      <c r="CA190" s="3872"/>
      <c r="CB190" s="3872">
        <v>1</v>
      </c>
      <c r="CC190" s="3872">
        <v>1</v>
      </c>
      <c r="CD190" s="3872">
        <v>2</v>
      </c>
      <c r="CE190" s="3872">
        <v>3</v>
      </c>
      <c r="CF190" s="3872">
        <v>4</v>
      </c>
      <c r="CG190" s="3872">
        <v>58</v>
      </c>
      <c r="CH190" s="3872">
        <v>26</v>
      </c>
      <c r="CI190" s="3872">
        <v>4</v>
      </c>
      <c r="CJ190" s="3806">
        <v>6</v>
      </c>
      <c r="CK190" s="3806">
        <v>107</v>
      </c>
      <c r="CL190" s="3807">
        <f>+(CK185+CK188+CK189)/CK190</f>
        <v>0.21495327102803738</v>
      </c>
      <c r="CN190" s="36"/>
      <c r="CO190" s="36"/>
      <c r="CP190" s="36"/>
      <c r="CQ190" s="36" t="s">
        <v>1080</v>
      </c>
      <c r="CR190" s="615"/>
      <c r="CS190" s="615"/>
      <c r="CT190" s="615"/>
      <c r="CU190" s="615"/>
      <c r="CV190" s="615">
        <v>0</v>
      </c>
      <c r="CW190" s="615"/>
      <c r="CX190" s="615"/>
      <c r="CY190" s="615"/>
      <c r="CZ190" s="615"/>
      <c r="DA190" s="615">
        <v>0</v>
      </c>
      <c r="DB190" s="615"/>
      <c r="DC190" s="615"/>
      <c r="DD190" s="615">
        <v>0</v>
      </c>
      <c r="DE190" s="615">
        <v>0</v>
      </c>
      <c r="DF190" s="615">
        <v>2</v>
      </c>
      <c r="DG190" s="36"/>
      <c r="DH190" s="36">
        <v>3</v>
      </c>
      <c r="DI190" s="36">
        <v>5</v>
      </c>
      <c r="DJ190" s="36"/>
      <c r="DL190" s="36"/>
      <c r="DM190" s="36"/>
      <c r="DN190" s="36"/>
      <c r="DO190" s="36" t="s">
        <v>1081</v>
      </c>
      <c r="DP190" s="1681"/>
      <c r="DQ190" s="1681"/>
      <c r="DR190" s="1681"/>
      <c r="DS190" s="1681"/>
      <c r="DT190" s="1681"/>
      <c r="DU190" s="1681"/>
      <c r="DV190" s="1681"/>
      <c r="DW190" s="1681"/>
      <c r="DX190" s="1681"/>
      <c r="DY190" s="1681"/>
      <c r="DZ190" s="1681"/>
      <c r="EA190" s="1681"/>
      <c r="EB190" s="1681"/>
      <c r="EC190" s="1681">
        <v>0</v>
      </c>
      <c r="ED190" s="1681">
        <v>1</v>
      </c>
      <c r="EE190" s="95">
        <v>0</v>
      </c>
      <c r="EF190" s="95">
        <v>0</v>
      </c>
      <c r="EG190" s="95">
        <v>1</v>
      </c>
      <c r="EH190" s="36"/>
      <c r="EL190" s="36"/>
      <c r="EM190" s="36" t="s">
        <v>1080</v>
      </c>
      <c r="EN190" s="1490"/>
      <c r="EO190" s="1490">
        <v>0</v>
      </c>
      <c r="EP190" s="1490"/>
      <c r="EQ190" s="1490"/>
      <c r="ER190" s="1490">
        <v>0</v>
      </c>
      <c r="ES190" s="1490"/>
      <c r="ET190" s="1490"/>
      <c r="EU190" s="1490"/>
      <c r="EV190" s="1490"/>
      <c r="EW190" s="1490">
        <v>0</v>
      </c>
      <c r="EX190" s="1490">
        <v>0</v>
      </c>
      <c r="EY190" s="1490"/>
      <c r="EZ190" s="1490">
        <v>0</v>
      </c>
      <c r="FA190" s="1490">
        <v>0</v>
      </c>
      <c r="FB190" s="1490">
        <v>2</v>
      </c>
      <c r="FC190" s="36">
        <v>1</v>
      </c>
      <c r="FD190" s="36">
        <v>1</v>
      </c>
      <c r="FE190" s="36">
        <v>4</v>
      </c>
      <c r="FF190" s="36"/>
      <c r="FH190" s="1225"/>
      <c r="FI190" s="1225"/>
      <c r="FJ190" s="1225"/>
      <c r="FK190" s="1226" t="s">
        <v>1077</v>
      </c>
      <c r="FL190" s="1228">
        <v>0</v>
      </c>
      <c r="FM190" s="1228">
        <v>0</v>
      </c>
      <c r="FN190" s="1228">
        <v>2</v>
      </c>
      <c r="FO190" s="1228">
        <v>0</v>
      </c>
      <c r="FP190" s="1228">
        <v>1</v>
      </c>
      <c r="FQ190" s="1228">
        <v>4</v>
      </c>
      <c r="FR190" s="1228">
        <v>0</v>
      </c>
      <c r="FS190" s="1228">
        <v>0</v>
      </c>
      <c r="FT190" s="1228">
        <v>1</v>
      </c>
      <c r="FU190" s="1228">
        <v>0</v>
      </c>
      <c r="FV190" s="1228">
        <v>0</v>
      </c>
      <c r="FW190" s="1228">
        <v>0</v>
      </c>
      <c r="FX190" s="1228">
        <v>0</v>
      </c>
      <c r="FY190" s="1230">
        <v>0</v>
      </c>
      <c r="FZ190" s="1230">
        <v>0</v>
      </c>
      <c r="GA190" s="1230">
        <v>8</v>
      </c>
      <c r="GB190" s="36"/>
      <c r="HB190" s="36"/>
      <c r="HC190" s="36"/>
      <c r="HD190" s="36"/>
      <c r="HE190" s="36"/>
      <c r="HF190" s="36"/>
      <c r="HG190" s="36"/>
      <c r="HH190" s="36"/>
      <c r="HI190" s="36"/>
      <c r="HJ190" s="36"/>
      <c r="HK190" s="36"/>
      <c r="HL190" s="36"/>
      <c r="HM190" s="36"/>
      <c r="HN190" s="36"/>
      <c r="HO190" s="36"/>
      <c r="HP190" s="36"/>
      <c r="HQ190" s="36"/>
      <c r="HR190" s="36"/>
      <c r="HS190" s="36"/>
      <c r="HT190" s="36"/>
      <c r="HU190" s="36"/>
      <c r="HV190" s="36"/>
      <c r="HW190" s="36"/>
      <c r="HX190" s="36"/>
      <c r="HY190" s="36"/>
      <c r="HZ190" s="36"/>
      <c r="IA190" s="613"/>
      <c r="IB190" s="613"/>
      <c r="IC190" s="613" t="s">
        <v>412</v>
      </c>
      <c r="ID190" s="389" t="s">
        <v>1072</v>
      </c>
      <c r="IE190" s="614"/>
      <c r="IF190" s="614"/>
      <c r="IG190" s="614"/>
      <c r="IH190" s="614"/>
      <c r="II190" s="390">
        <v>0</v>
      </c>
      <c r="IJ190" s="390">
        <v>1</v>
      </c>
      <c r="IK190" s="390">
        <v>4</v>
      </c>
      <c r="IL190" s="390">
        <v>5</v>
      </c>
      <c r="IM190" s="390">
        <v>4</v>
      </c>
      <c r="IN190" s="390">
        <v>1</v>
      </c>
      <c r="IO190" s="390">
        <v>2</v>
      </c>
      <c r="IP190" s="390">
        <v>0</v>
      </c>
      <c r="IQ190" s="390">
        <v>0</v>
      </c>
      <c r="IR190" s="390">
        <v>17</v>
      </c>
      <c r="IS190" s="615"/>
      <c r="IT190" s="36"/>
      <c r="IU190" s="36"/>
      <c r="IV190" s="95"/>
      <c r="IW190" s="95"/>
      <c r="IX190" s="95" t="s">
        <v>48</v>
      </c>
      <c r="IY190" s="36" t="s">
        <v>1072</v>
      </c>
      <c r="IZ190" s="36"/>
      <c r="JA190" s="36">
        <v>1</v>
      </c>
      <c r="JB190" s="36">
        <v>3</v>
      </c>
      <c r="JC190" s="36">
        <v>3</v>
      </c>
      <c r="JD190" s="36">
        <v>1</v>
      </c>
      <c r="JE190" s="36">
        <v>1</v>
      </c>
      <c r="JF190" s="36">
        <v>0</v>
      </c>
      <c r="JG190" s="36">
        <v>3</v>
      </c>
      <c r="JH190" s="36">
        <v>15</v>
      </c>
      <c r="JI190" s="36">
        <v>5</v>
      </c>
      <c r="JJ190" s="36">
        <v>10</v>
      </c>
      <c r="JK190" s="36">
        <v>26</v>
      </c>
      <c r="JL190" s="36">
        <v>3</v>
      </c>
      <c r="JM190" s="36">
        <v>0</v>
      </c>
      <c r="JN190" s="36">
        <v>1</v>
      </c>
      <c r="JO190" s="36">
        <v>0</v>
      </c>
      <c r="JP190" s="36">
        <v>72</v>
      </c>
      <c r="JQ190" s="36"/>
      <c r="JR190" s="36"/>
      <c r="JS190" s="36"/>
      <c r="JT190" s="36"/>
      <c r="JU190" s="616"/>
      <c r="JV190" s="616" t="s">
        <v>1076</v>
      </c>
      <c r="JW190" s="616">
        <v>0</v>
      </c>
      <c r="JX190" s="616">
        <v>0</v>
      </c>
      <c r="JY190" s="616">
        <v>0</v>
      </c>
      <c r="JZ190" s="616">
        <v>0</v>
      </c>
      <c r="KA190" s="616">
        <v>0</v>
      </c>
      <c r="KB190" s="616">
        <v>0</v>
      </c>
      <c r="KC190" s="616">
        <v>0</v>
      </c>
      <c r="KD190" s="616">
        <v>0</v>
      </c>
      <c r="KE190" s="616">
        <v>0</v>
      </c>
      <c r="KF190" s="616">
        <v>0</v>
      </c>
      <c r="KG190" s="616">
        <v>0</v>
      </c>
      <c r="KH190" s="616">
        <v>1</v>
      </c>
      <c r="KI190" s="616">
        <v>0</v>
      </c>
      <c r="KJ190" s="616">
        <v>0</v>
      </c>
      <c r="KK190" s="616">
        <v>1</v>
      </c>
      <c r="KL190" s="616">
        <v>0</v>
      </c>
      <c r="KM190" s="616">
        <v>2</v>
      </c>
      <c r="KN190" s="616"/>
      <c r="KO190" s="617"/>
    </row>
    <row r="191" spans="1:301">
      <c r="A191" s="5737"/>
      <c r="B191" s="5737"/>
      <c r="C191" s="5742" t="s">
        <v>16</v>
      </c>
      <c r="D191" s="5736"/>
      <c r="E191" s="5742">
        <f>SUM(E189,E181,E179,E174,E171)</f>
        <v>100</v>
      </c>
      <c r="F191" s="5737"/>
      <c r="G191" s="5769">
        <f>+(E190)/(E191)</f>
        <v>0.2</v>
      </c>
      <c r="I191" s="4726">
        <v>3</v>
      </c>
      <c r="J191" s="4726">
        <v>3</v>
      </c>
      <c r="K191" s="4725" t="s">
        <v>525</v>
      </c>
      <c r="L191" s="4963" t="s">
        <v>2707</v>
      </c>
      <c r="M191" s="4964">
        <v>2</v>
      </c>
      <c r="N191" s="4726">
        <v>12</v>
      </c>
      <c r="Q191" s="4832"/>
      <c r="R191" s="4832"/>
      <c r="S191" s="4832"/>
      <c r="T191" s="4832"/>
      <c r="U191" s="4832"/>
      <c r="V191" s="4832"/>
      <c r="W191" s="4622"/>
      <c r="Z191" s="36" t="s">
        <v>59</v>
      </c>
      <c r="AA191" s="36" t="s">
        <v>16</v>
      </c>
      <c r="AB191" s="36" t="s">
        <v>608</v>
      </c>
      <c r="AC191" s="36" t="s">
        <v>1071</v>
      </c>
      <c r="AD191" s="615">
        <v>0</v>
      </c>
      <c r="AE191" s="615"/>
      <c r="AF191" s="615"/>
      <c r="AG191" s="615"/>
      <c r="AH191" s="615"/>
      <c r="AI191" s="615"/>
      <c r="AJ191" s="615">
        <v>0</v>
      </c>
      <c r="AK191" s="615"/>
      <c r="AL191" s="615">
        <v>0</v>
      </c>
      <c r="AM191" s="615"/>
      <c r="AN191" s="615">
        <v>0</v>
      </c>
      <c r="AO191" s="615">
        <v>1</v>
      </c>
      <c r="AP191" s="615"/>
      <c r="AQ191" s="36"/>
      <c r="AR191" s="36">
        <v>1</v>
      </c>
      <c r="AS191" s="36"/>
      <c r="AU191" s="36"/>
      <c r="AV191" s="36"/>
      <c r="AW191" s="36"/>
      <c r="AX191" s="36" t="s">
        <v>1077</v>
      </c>
      <c r="AY191" s="1681"/>
      <c r="AZ191" s="1681"/>
      <c r="BA191" s="1681">
        <v>0</v>
      </c>
      <c r="BB191" s="1681"/>
      <c r="BC191" s="1681">
        <v>1</v>
      </c>
      <c r="BD191" s="1681"/>
      <c r="BE191" s="1681">
        <v>0</v>
      </c>
      <c r="BF191" s="1681">
        <v>1</v>
      </c>
      <c r="BG191" s="1681"/>
      <c r="BH191" s="1681">
        <v>0</v>
      </c>
      <c r="BI191" s="1681">
        <v>0</v>
      </c>
      <c r="BJ191" s="1681">
        <v>0</v>
      </c>
      <c r="BK191" s="1681">
        <v>0</v>
      </c>
      <c r="BL191" s="1681">
        <v>0</v>
      </c>
      <c r="BM191" s="95"/>
      <c r="BN191" s="95"/>
      <c r="BO191" s="95">
        <v>2</v>
      </c>
      <c r="BP191" s="95"/>
      <c r="BR191" s="32" t="s">
        <v>59</v>
      </c>
      <c r="BS191" s="32" t="s">
        <v>16</v>
      </c>
      <c r="BT191" s="32" t="s">
        <v>608</v>
      </c>
      <c r="BU191" s="32" t="s">
        <v>1071</v>
      </c>
      <c r="BV191" s="3871">
        <v>0</v>
      </c>
      <c r="BW191" s="3871"/>
      <c r="BX191" s="3871">
        <v>0</v>
      </c>
      <c r="BY191" s="3871"/>
      <c r="BZ191" s="3871">
        <v>0</v>
      </c>
      <c r="CA191" s="3871"/>
      <c r="CB191" s="3871">
        <v>0</v>
      </c>
      <c r="CC191" s="3871">
        <v>0</v>
      </c>
      <c r="CD191" s="3871"/>
      <c r="CE191" s="3871">
        <v>0</v>
      </c>
      <c r="CF191" s="3871">
        <v>0</v>
      </c>
      <c r="CG191" s="3871">
        <v>0</v>
      </c>
      <c r="CH191" s="3871">
        <v>1</v>
      </c>
      <c r="CI191" s="3871"/>
      <c r="CJ191" s="1518"/>
      <c r="CK191" s="1518">
        <v>1</v>
      </c>
      <c r="CN191" s="36"/>
      <c r="CO191" s="36"/>
      <c r="CP191" s="36"/>
      <c r="CQ191" s="36" t="s">
        <v>1081</v>
      </c>
      <c r="CR191" s="615"/>
      <c r="CS191" s="615"/>
      <c r="CT191" s="615"/>
      <c r="CU191" s="615"/>
      <c r="CV191" s="615">
        <v>0</v>
      </c>
      <c r="CW191" s="615"/>
      <c r="CX191" s="615"/>
      <c r="CY191" s="615"/>
      <c r="CZ191" s="615"/>
      <c r="DA191" s="615">
        <v>0</v>
      </c>
      <c r="DB191" s="615"/>
      <c r="DC191" s="615"/>
      <c r="DD191" s="615">
        <v>3</v>
      </c>
      <c r="DE191" s="615">
        <v>1</v>
      </c>
      <c r="DF191" s="615">
        <v>0</v>
      </c>
      <c r="DG191" s="36"/>
      <c r="DH191" s="36">
        <v>0</v>
      </c>
      <c r="DI191" s="36">
        <v>4</v>
      </c>
      <c r="DJ191" s="36"/>
      <c r="DL191" s="36"/>
      <c r="DM191" s="36"/>
      <c r="DN191" s="36"/>
      <c r="DO191" s="393" t="s">
        <v>15</v>
      </c>
      <c r="DP191" s="1682"/>
      <c r="DQ191" s="1682"/>
      <c r="DR191" s="1682"/>
      <c r="DS191" s="1682"/>
      <c r="DT191" s="1682"/>
      <c r="DU191" s="1682"/>
      <c r="DV191" s="1682"/>
      <c r="DW191" s="1682"/>
      <c r="DX191" s="1682"/>
      <c r="DY191" s="1682"/>
      <c r="DZ191" s="1682"/>
      <c r="EA191" s="1682"/>
      <c r="EB191" s="1682"/>
      <c r="EC191" s="1682">
        <v>1</v>
      </c>
      <c r="ED191" s="1682">
        <v>2</v>
      </c>
      <c r="EE191" s="86">
        <v>1</v>
      </c>
      <c r="EF191" s="86">
        <v>2</v>
      </c>
      <c r="EG191" s="86">
        <v>6</v>
      </c>
      <c r="EH191" s="560">
        <f>+(EG188+EG190)/EG191</f>
        <v>0.33333333333333331</v>
      </c>
      <c r="EL191" s="36"/>
      <c r="EM191" s="36" t="s">
        <v>1163</v>
      </c>
      <c r="EN191" s="1490"/>
      <c r="EO191" s="1490">
        <v>0</v>
      </c>
      <c r="EP191" s="1490"/>
      <c r="EQ191" s="1490"/>
      <c r="ER191" s="1490">
        <v>0</v>
      </c>
      <c r="ES191" s="1490"/>
      <c r="ET191" s="1490"/>
      <c r="EU191" s="1490"/>
      <c r="EV191" s="1490"/>
      <c r="EW191" s="1490">
        <v>2</v>
      </c>
      <c r="EX191" s="1490">
        <v>2</v>
      </c>
      <c r="EY191" s="1490"/>
      <c r="EZ191" s="1490">
        <v>0</v>
      </c>
      <c r="FA191" s="1490">
        <v>0</v>
      </c>
      <c r="FB191" s="1490">
        <v>0</v>
      </c>
      <c r="FC191" s="36">
        <v>0</v>
      </c>
      <c r="FD191" s="36">
        <v>0</v>
      </c>
      <c r="FE191" s="36">
        <v>4</v>
      </c>
      <c r="FF191" s="36"/>
      <c r="FH191" s="1225"/>
      <c r="FI191" s="1225"/>
      <c r="FJ191" s="1225"/>
      <c r="FK191" s="1226" t="s">
        <v>1080</v>
      </c>
      <c r="FL191" s="1228">
        <v>0</v>
      </c>
      <c r="FM191" s="1228">
        <v>0</v>
      </c>
      <c r="FN191" s="1228">
        <v>0</v>
      </c>
      <c r="FO191" s="1228">
        <v>0</v>
      </c>
      <c r="FP191" s="1228">
        <v>0</v>
      </c>
      <c r="FQ191" s="1228">
        <v>0</v>
      </c>
      <c r="FR191" s="1228">
        <v>0</v>
      </c>
      <c r="FS191" s="1228">
        <v>0</v>
      </c>
      <c r="FT191" s="1228">
        <v>0</v>
      </c>
      <c r="FU191" s="1228">
        <v>1</v>
      </c>
      <c r="FV191" s="1228">
        <v>1</v>
      </c>
      <c r="FW191" s="1228">
        <v>6</v>
      </c>
      <c r="FX191" s="1228">
        <v>53</v>
      </c>
      <c r="FY191" s="1230">
        <v>5</v>
      </c>
      <c r="FZ191" s="1230">
        <v>23</v>
      </c>
      <c r="GA191" s="1230">
        <v>89</v>
      </c>
      <c r="GB191" s="36"/>
      <c r="HB191" s="36"/>
      <c r="HC191" s="36"/>
      <c r="HD191" s="36"/>
      <c r="HE191" s="36"/>
      <c r="HF191" s="36"/>
      <c r="HG191" s="36"/>
      <c r="HH191" s="36"/>
      <c r="HI191" s="36"/>
      <c r="HJ191" s="36"/>
      <c r="HK191" s="36"/>
      <c r="HL191" s="36"/>
      <c r="HM191" s="36"/>
      <c r="HN191" s="36"/>
      <c r="HO191" s="36"/>
      <c r="HP191" s="36"/>
      <c r="HQ191" s="36"/>
      <c r="HR191" s="36"/>
      <c r="HS191" s="36"/>
      <c r="HT191" s="36"/>
      <c r="HU191" s="36"/>
      <c r="HV191" s="36"/>
      <c r="HW191" s="36"/>
      <c r="HX191" s="36"/>
      <c r="HY191" s="36"/>
      <c r="HZ191" s="36"/>
      <c r="IA191" s="613"/>
      <c r="IB191" s="613"/>
      <c r="IC191" s="613"/>
      <c r="ID191" s="389" t="s">
        <v>1076</v>
      </c>
      <c r="IE191" s="614"/>
      <c r="IF191" s="614"/>
      <c r="IG191" s="614"/>
      <c r="IH191" s="614"/>
      <c r="II191" s="390">
        <v>0</v>
      </c>
      <c r="IJ191" s="390">
        <v>0</v>
      </c>
      <c r="IK191" s="390">
        <v>0</v>
      </c>
      <c r="IL191" s="390">
        <v>0</v>
      </c>
      <c r="IM191" s="390">
        <v>0</v>
      </c>
      <c r="IN191" s="390">
        <v>1</v>
      </c>
      <c r="IO191" s="390">
        <v>0</v>
      </c>
      <c r="IP191" s="390">
        <v>1</v>
      </c>
      <c r="IQ191" s="390">
        <v>0</v>
      </c>
      <c r="IR191" s="390">
        <v>2</v>
      </c>
      <c r="IS191" s="615"/>
      <c r="IT191" s="36"/>
      <c r="IU191" s="36"/>
      <c r="IV191" s="95"/>
      <c r="IW191" s="95"/>
      <c r="IX191" s="95"/>
      <c r="IY191" s="36" t="s">
        <v>1074</v>
      </c>
      <c r="IZ191" s="36"/>
      <c r="JA191" s="36">
        <v>1</v>
      </c>
      <c r="JB191" s="36">
        <v>0</v>
      </c>
      <c r="JC191" s="36">
        <v>0</v>
      </c>
      <c r="JD191" s="36">
        <v>0</v>
      </c>
      <c r="JE191" s="36">
        <v>0</v>
      </c>
      <c r="JF191" s="36">
        <v>0</v>
      </c>
      <c r="JG191" s="36">
        <v>0</v>
      </c>
      <c r="JH191" s="36">
        <v>0</v>
      </c>
      <c r="JI191" s="36">
        <v>0</v>
      </c>
      <c r="JJ191" s="36">
        <v>0</v>
      </c>
      <c r="JK191" s="36">
        <v>0</v>
      </c>
      <c r="JL191" s="36">
        <v>0</v>
      </c>
      <c r="JM191" s="36">
        <v>0</v>
      </c>
      <c r="JN191" s="36">
        <v>0</v>
      </c>
      <c r="JO191" s="36">
        <v>0</v>
      </c>
      <c r="JP191" s="36">
        <v>1</v>
      </c>
      <c r="JQ191" s="36"/>
      <c r="JR191" s="36"/>
      <c r="JS191" s="36"/>
      <c r="JT191" s="36"/>
      <c r="JU191" s="616"/>
      <c r="JV191" s="616" t="s">
        <v>1080</v>
      </c>
      <c r="JW191" s="616">
        <v>0</v>
      </c>
      <c r="JX191" s="616">
        <v>0</v>
      </c>
      <c r="JY191" s="616">
        <v>0</v>
      </c>
      <c r="JZ191" s="616">
        <v>0</v>
      </c>
      <c r="KA191" s="616">
        <v>0</v>
      </c>
      <c r="KB191" s="616">
        <v>0</v>
      </c>
      <c r="KC191" s="616">
        <v>0</v>
      </c>
      <c r="KD191" s="616">
        <v>1</v>
      </c>
      <c r="KE191" s="616">
        <v>0</v>
      </c>
      <c r="KF191" s="616">
        <v>0</v>
      </c>
      <c r="KG191" s="616">
        <v>1</v>
      </c>
      <c r="KH191" s="616">
        <v>0</v>
      </c>
      <c r="KI191" s="616">
        <v>0</v>
      </c>
      <c r="KJ191" s="616">
        <v>2</v>
      </c>
      <c r="KK191" s="616">
        <v>0</v>
      </c>
      <c r="KL191" s="616">
        <v>5</v>
      </c>
      <c r="KM191" s="616">
        <v>9</v>
      </c>
      <c r="KN191" s="616"/>
      <c r="KO191" s="617"/>
    </row>
    <row r="192" spans="1:301">
      <c r="A192" s="5737">
        <v>3</v>
      </c>
      <c r="B192" s="5737">
        <v>3</v>
      </c>
      <c r="C192" s="5736" t="s">
        <v>381</v>
      </c>
      <c r="D192" s="5736" t="s">
        <v>2731</v>
      </c>
      <c r="E192" s="5737">
        <v>3</v>
      </c>
      <c r="F192" s="5737">
        <v>14</v>
      </c>
      <c r="I192" s="4726">
        <v>3</v>
      </c>
      <c r="J192" s="4726">
        <v>3</v>
      </c>
      <c r="K192" s="4725" t="s">
        <v>525</v>
      </c>
      <c r="L192" s="4963" t="s">
        <v>2707</v>
      </c>
      <c r="M192" s="4964">
        <v>1</v>
      </c>
      <c r="N192" s="4726">
        <v>13</v>
      </c>
      <c r="Q192" s="4832"/>
      <c r="R192" s="4832"/>
      <c r="S192" s="4832"/>
      <c r="T192" s="4832"/>
      <c r="U192" s="4832"/>
      <c r="V192" s="4832"/>
      <c r="W192" s="4622"/>
      <c r="Z192" s="36"/>
      <c r="AA192" s="36"/>
      <c r="AB192" s="36"/>
      <c r="AC192" s="36" t="s">
        <v>1072</v>
      </c>
      <c r="AD192" s="615">
        <v>0</v>
      </c>
      <c r="AE192" s="615"/>
      <c r="AF192" s="615"/>
      <c r="AG192" s="615"/>
      <c r="AH192" s="615"/>
      <c r="AI192" s="615"/>
      <c r="AJ192" s="615">
        <v>2</v>
      </c>
      <c r="AK192" s="615"/>
      <c r="AL192" s="615">
        <v>1</v>
      </c>
      <c r="AM192" s="615"/>
      <c r="AN192" s="615">
        <v>3</v>
      </c>
      <c r="AO192" s="615">
        <v>0</v>
      </c>
      <c r="AP192" s="615"/>
      <c r="AQ192" s="36"/>
      <c r="AR192" s="36">
        <v>6</v>
      </c>
      <c r="AS192" s="36"/>
      <c r="AU192" s="36"/>
      <c r="AV192" s="36"/>
      <c r="AW192" s="36"/>
      <c r="AX192" s="36" t="s">
        <v>1080</v>
      </c>
      <c r="AY192" s="1681"/>
      <c r="AZ192" s="1681"/>
      <c r="BA192" s="1681">
        <v>0</v>
      </c>
      <c r="BB192" s="1681"/>
      <c r="BC192" s="1681">
        <v>0</v>
      </c>
      <c r="BD192" s="1681"/>
      <c r="BE192" s="1681">
        <v>0</v>
      </c>
      <c r="BF192" s="1681">
        <v>0</v>
      </c>
      <c r="BG192" s="1681"/>
      <c r="BH192" s="1681">
        <v>0</v>
      </c>
      <c r="BI192" s="1681">
        <v>0</v>
      </c>
      <c r="BJ192" s="1681">
        <v>0</v>
      </c>
      <c r="BK192" s="1681">
        <v>3</v>
      </c>
      <c r="BL192" s="1681">
        <v>4</v>
      </c>
      <c r="BM192" s="95"/>
      <c r="BN192" s="95"/>
      <c r="BO192" s="95">
        <v>7</v>
      </c>
      <c r="BP192" s="95"/>
      <c r="BU192" s="32" t="s">
        <v>1072</v>
      </c>
      <c r="BV192" s="3871">
        <v>0</v>
      </c>
      <c r="BW192" s="3871"/>
      <c r="BX192" s="3871">
        <v>0</v>
      </c>
      <c r="BY192" s="3871"/>
      <c r="BZ192" s="3871">
        <v>0</v>
      </c>
      <c r="CA192" s="3871"/>
      <c r="CB192" s="3871">
        <v>1</v>
      </c>
      <c r="CC192" s="3871">
        <v>0</v>
      </c>
      <c r="CD192" s="3871"/>
      <c r="CE192" s="3871">
        <v>2</v>
      </c>
      <c r="CF192" s="3871">
        <v>1</v>
      </c>
      <c r="CG192" s="3871">
        <v>4</v>
      </c>
      <c r="CH192" s="3871">
        <v>0</v>
      </c>
      <c r="CI192" s="3871"/>
      <c r="CJ192" s="1518"/>
      <c r="CK192" s="1518">
        <v>8</v>
      </c>
      <c r="CN192" s="36"/>
      <c r="CO192" s="36"/>
      <c r="CP192" s="36"/>
      <c r="CQ192" s="36" t="s">
        <v>1163</v>
      </c>
      <c r="CR192" s="615"/>
      <c r="CS192" s="615"/>
      <c r="CT192" s="615"/>
      <c r="CU192" s="615"/>
      <c r="CV192" s="615">
        <v>0</v>
      </c>
      <c r="CW192" s="615"/>
      <c r="CX192" s="615"/>
      <c r="CY192" s="615"/>
      <c r="CZ192" s="615"/>
      <c r="DA192" s="615">
        <v>0</v>
      </c>
      <c r="DB192" s="615"/>
      <c r="DC192" s="615"/>
      <c r="DD192" s="615">
        <v>0</v>
      </c>
      <c r="DE192" s="615">
        <v>1</v>
      </c>
      <c r="DF192" s="615">
        <v>0</v>
      </c>
      <c r="DG192" s="36"/>
      <c r="DH192" s="36">
        <v>0</v>
      </c>
      <c r="DI192" s="36">
        <v>1</v>
      </c>
      <c r="DJ192" s="36"/>
      <c r="DL192" s="36"/>
      <c r="DM192" s="36"/>
      <c r="DN192" s="36" t="s">
        <v>487</v>
      </c>
      <c r="DO192" s="36" t="s">
        <v>1076</v>
      </c>
      <c r="DP192" s="1681"/>
      <c r="DQ192" s="1681"/>
      <c r="DR192" s="1681"/>
      <c r="DS192" s="1681"/>
      <c r="DT192" s="1681"/>
      <c r="DU192" s="1681"/>
      <c r="DV192" s="1681"/>
      <c r="DW192" s="1681"/>
      <c r="DX192" s="1681"/>
      <c r="DY192" s="1681"/>
      <c r="DZ192" s="1681"/>
      <c r="EA192" s="1681"/>
      <c r="EB192" s="1681"/>
      <c r="EC192" s="1681">
        <v>1</v>
      </c>
      <c r="ED192" s="1681">
        <v>0</v>
      </c>
      <c r="EE192" s="95">
        <v>0</v>
      </c>
      <c r="EF192" s="95">
        <v>0</v>
      </c>
      <c r="EG192" s="95">
        <v>1</v>
      </c>
      <c r="EH192" s="36"/>
      <c r="EL192" s="36"/>
      <c r="EM192" s="393" t="s">
        <v>256</v>
      </c>
      <c r="EN192" s="1491"/>
      <c r="EO192" s="1491">
        <v>1</v>
      </c>
      <c r="EP192" s="1491"/>
      <c r="EQ192" s="1491"/>
      <c r="ER192" s="1491">
        <v>1</v>
      </c>
      <c r="ES192" s="1491"/>
      <c r="ET192" s="1491"/>
      <c r="EU192" s="1491"/>
      <c r="EV192" s="1491"/>
      <c r="EW192" s="1491">
        <v>5</v>
      </c>
      <c r="EX192" s="1491">
        <v>4</v>
      </c>
      <c r="EY192" s="1491"/>
      <c r="EZ192" s="1491">
        <v>1</v>
      </c>
      <c r="FA192" s="1491">
        <v>1</v>
      </c>
      <c r="FB192" s="1491">
        <v>2</v>
      </c>
      <c r="FC192" s="393">
        <v>1</v>
      </c>
      <c r="FD192" s="393">
        <v>1</v>
      </c>
      <c r="FE192" s="393">
        <v>17</v>
      </c>
      <c r="FF192" s="560">
        <f>+FE191/FE192</f>
        <v>0.23529411764705882</v>
      </c>
      <c r="FH192" s="1225"/>
      <c r="FI192" s="1225"/>
      <c r="FJ192" s="1225"/>
      <c r="FK192" s="1226" t="s">
        <v>1081</v>
      </c>
      <c r="FL192" s="1228">
        <v>0</v>
      </c>
      <c r="FM192" s="1228">
        <v>0</v>
      </c>
      <c r="FN192" s="1228">
        <v>0</v>
      </c>
      <c r="FO192" s="1228">
        <v>0</v>
      </c>
      <c r="FP192" s="1228">
        <v>0</v>
      </c>
      <c r="FQ192" s="1228">
        <v>0</v>
      </c>
      <c r="FR192" s="1228">
        <v>0</v>
      </c>
      <c r="FS192" s="1228">
        <v>1</v>
      </c>
      <c r="FT192" s="1228">
        <v>0</v>
      </c>
      <c r="FU192" s="1228">
        <v>2</v>
      </c>
      <c r="FV192" s="1228">
        <v>6</v>
      </c>
      <c r="FW192" s="1228">
        <v>1</v>
      </c>
      <c r="FX192" s="1228">
        <v>0</v>
      </c>
      <c r="FY192" s="1230">
        <v>1</v>
      </c>
      <c r="FZ192" s="1230">
        <v>0</v>
      </c>
      <c r="GA192" s="1230">
        <v>11</v>
      </c>
      <c r="GB192" s="36"/>
      <c r="HB192" s="36"/>
      <c r="HC192" s="36"/>
      <c r="HD192" s="36"/>
      <c r="HE192" s="36"/>
      <c r="HF192" s="36"/>
      <c r="HG192" s="36"/>
      <c r="HH192" s="36"/>
      <c r="HI192" s="36"/>
      <c r="HJ192" s="36"/>
      <c r="HK192" s="36"/>
      <c r="HL192" s="36"/>
      <c r="HM192" s="36"/>
      <c r="HN192" s="36"/>
      <c r="HO192" s="36"/>
      <c r="HP192" s="36"/>
      <c r="HQ192" s="36"/>
      <c r="HR192" s="36"/>
      <c r="HS192" s="36"/>
      <c r="HT192" s="36"/>
      <c r="HU192" s="36"/>
      <c r="HV192" s="36"/>
      <c r="HW192" s="36"/>
      <c r="HX192" s="36"/>
      <c r="HY192" s="36"/>
      <c r="HZ192" s="36"/>
      <c r="IA192" s="613"/>
      <c r="IB192" s="613"/>
      <c r="IC192" s="613"/>
      <c r="ID192" s="389" t="s">
        <v>1080</v>
      </c>
      <c r="IE192" s="614"/>
      <c r="IF192" s="614"/>
      <c r="IG192" s="614"/>
      <c r="IH192" s="614"/>
      <c r="II192" s="390">
        <v>1</v>
      </c>
      <c r="IJ192" s="390">
        <v>0</v>
      </c>
      <c r="IK192" s="390">
        <v>0</v>
      </c>
      <c r="IL192" s="390">
        <v>0</v>
      </c>
      <c r="IM192" s="390">
        <v>0</v>
      </c>
      <c r="IN192" s="390">
        <v>0</v>
      </c>
      <c r="IO192" s="390">
        <v>3</v>
      </c>
      <c r="IP192" s="390">
        <v>0</v>
      </c>
      <c r="IQ192" s="390">
        <v>6</v>
      </c>
      <c r="IR192" s="390">
        <v>10</v>
      </c>
      <c r="IS192" s="615"/>
      <c r="IT192" s="36"/>
      <c r="IU192" s="36"/>
      <c r="IV192" s="95"/>
      <c r="IW192" s="95"/>
      <c r="IX192" s="95"/>
      <c r="IY192" s="36" t="s">
        <v>1076</v>
      </c>
      <c r="IZ192" s="36"/>
      <c r="JA192" s="36">
        <v>0</v>
      </c>
      <c r="JB192" s="36">
        <v>0</v>
      </c>
      <c r="JC192" s="36">
        <v>0</v>
      </c>
      <c r="JD192" s="36">
        <v>0</v>
      </c>
      <c r="JE192" s="36">
        <v>0</v>
      </c>
      <c r="JF192" s="36">
        <v>0</v>
      </c>
      <c r="JG192" s="36">
        <v>0</v>
      </c>
      <c r="JH192" s="36">
        <v>1</v>
      </c>
      <c r="JI192" s="36">
        <v>0</v>
      </c>
      <c r="JJ192" s="36">
        <v>0</v>
      </c>
      <c r="JK192" s="36">
        <v>0</v>
      </c>
      <c r="JL192" s="36">
        <v>0</v>
      </c>
      <c r="JM192" s="36">
        <v>1</v>
      </c>
      <c r="JN192" s="36">
        <v>0</v>
      </c>
      <c r="JO192" s="36">
        <v>0</v>
      </c>
      <c r="JP192" s="36">
        <v>2</v>
      </c>
      <c r="JQ192" s="36"/>
      <c r="JR192" s="36"/>
      <c r="JS192" s="36"/>
      <c r="JT192" s="36"/>
      <c r="JU192" s="616"/>
      <c r="JV192" s="616" t="s">
        <v>1081</v>
      </c>
      <c r="JW192" s="616">
        <v>0</v>
      </c>
      <c r="JX192" s="616">
        <v>0</v>
      </c>
      <c r="JY192" s="616">
        <v>0</v>
      </c>
      <c r="JZ192" s="616">
        <v>0</v>
      </c>
      <c r="KA192" s="616">
        <v>0</v>
      </c>
      <c r="KB192" s="616">
        <v>0</v>
      </c>
      <c r="KC192" s="616">
        <v>0</v>
      </c>
      <c r="KD192" s="616">
        <v>0</v>
      </c>
      <c r="KE192" s="616">
        <v>0</v>
      </c>
      <c r="KF192" s="616">
        <v>2</v>
      </c>
      <c r="KG192" s="616">
        <v>0</v>
      </c>
      <c r="KH192" s="616">
        <v>1</v>
      </c>
      <c r="KI192" s="616">
        <v>2</v>
      </c>
      <c r="KJ192" s="616">
        <v>0</v>
      </c>
      <c r="KK192" s="616">
        <v>0</v>
      </c>
      <c r="KL192" s="616">
        <v>0</v>
      </c>
      <c r="KM192" s="616">
        <v>5</v>
      </c>
      <c r="KN192" s="616"/>
      <c r="KO192" s="617"/>
    </row>
    <row r="193" spans="1:301">
      <c r="A193" s="5737">
        <v>3</v>
      </c>
      <c r="B193" s="5737">
        <v>3</v>
      </c>
      <c r="C193" s="5736" t="s">
        <v>381</v>
      </c>
      <c r="D193" s="5739" t="s">
        <v>2707</v>
      </c>
      <c r="E193" s="5737">
        <v>2</v>
      </c>
      <c r="F193" s="5737">
        <v>12</v>
      </c>
      <c r="I193" s="4726">
        <v>3</v>
      </c>
      <c r="J193" s="4726">
        <v>3</v>
      </c>
      <c r="K193" s="4725" t="s">
        <v>525</v>
      </c>
      <c r="L193" s="4725" t="s">
        <v>2709</v>
      </c>
      <c r="M193" s="4726">
        <v>2</v>
      </c>
      <c r="N193" s="4726">
        <v>12</v>
      </c>
      <c r="Q193" s="4832"/>
      <c r="R193" s="4832"/>
      <c r="S193" s="4832"/>
      <c r="T193" s="4832"/>
      <c r="U193" s="4832"/>
      <c r="V193" s="4832"/>
      <c r="W193" s="4622"/>
      <c r="Z193" s="36"/>
      <c r="AA193" s="36"/>
      <c r="AB193" s="36"/>
      <c r="AC193" s="36" t="s">
        <v>1080</v>
      </c>
      <c r="AD193" s="615">
        <v>0</v>
      </c>
      <c r="AE193" s="615"/>
      <c r="AF193" s="615"/>
      <c r="AG193" s="615"/>
      <c r="AH193" s="615"/>
      <c r="AI193" s="615"/>
      <c r="AJ193" s="615">
        <v>0</v>
      </c>
      <c r="AK193" s="615"/>
      <c r="AL193" s="615">
        <v>0</v>
      </c>
      <c r="AM193" s="615"/>
      <c r="AN193" s="615">
        <v>1</v>
      </c>
      <c r="AO193" s="615">
        <v>4</v>
      </c>
      <c r="AP193" s="615"/>
      <c r="AQ193" s="36"/>
      <c r="AR193" s="36">
        <v>5</v>
      </c>
      <c r="AS193" s="36"/>
      <c r="AU193" s="36"/>
      <c r="AV193" s="36"/>
      <c r="AW193" s="36"/>
      <c r="AX193" s="36" t="s">
        <v>1081</v>
      </c>
      <c r="AY193" s="1681"/>
      <c r="AZ193" s="1681"/>
      <c r="BA193" s="1681">
        <v>0</v>
      </c>
      <c r="BB193" s="1681"/>
      <c r="BC193" s="1681">
        <v>0</v>
      </c>
      <c r="BD193" s="1681"/>
      <c r="BE193" s="1681">
        <v>0</v>
      </c>
      <c r="BF193" s="1681">
        <v>0</v>
      </c>
      <c r="BG193" s="1681"/>
      <c r="BH193" s="1681">
        <v>1</v>
      </c>
      <c r="BI193" s="1681">
        <v>0</v>
      </c>
      <c r="BJ193" s="1681">
        <v>0</v>
      </c>
      <c r="BK193" s="1681">
        <v>0</v>
      </c>
      <c r="BL193" s="1681">
        <v>0</v>
      </c>
      <c r="BM193" s="95"/>
      <c r="BN193" s="95"/>
      <c r="BO193" s="95">
        <v>1</v>
      </c>
      <c r="BP193" s="95"/>
      <c r="BU193" s="32" t="s">
        <v>1077</v>
      </c>
      <c r="BV193" s="3871">
        <v>0</v>
      </c>
      <c r="BW193" s="3871"/>
      <c r="BX193" s="3871">
        <v>0</v>
      </c>
      <c r="BY193" s="3871"/>
      <c r="BZ193" s="3871">
        <v>1</v>
      </c>
      <c r="CA193" s="3871"/>
      <c r="CB193" s="3871">
        <v>0</v>
      </c>
      <c r="CC193" s="3871">
        <v>1</v>
      </c>
      <c r="CD193" s="3871"/>
      <c r="CE193" s="3871">
        <v>0</v>
      </c>
      <c r="CF193" s="3871">
        <v>0</v>
      </c>
      <c r="CG193" s="3871">
        <v>0</v>
      </c>
      <c r="CH193" s="3871">
        <v>0</v>
      </c>
      <c r="CI193" s="3871"/>
      <c r="CJ193" s="1518"/>
      <c r="CK193" s="1518">
        <v>2</v>
      </c>
      <c r="CN193" s="36"/>
      <c r="CO193" s="36"/>
      <c r="CP193" s="36"/>
      <c r="CQ193" s="393" t="s">
        <v>15</v>
      </c>
      <c r="CR193" s="2049"/>
      <c r="CS193" s="2049"/>
      <c r="CT193" s="2049"/>
      <c r="CU193" s="2049"/>
      <c r="CV193" s="2049">
        <v>1</v>
      </c>
      <c r="CW193" s="2049"/>
      <c r="CX193" s="2049"/>
      <c r="CY193" s="2049"/>
      <c r="CZ193" s="2049"/>
      <c r="DA193" s="2049">
        <v>1</v>
      </c>
      <c r="DB193" s="2049"/>
      <c r="DC193" s="2049"/>
      <c r="DD193" s="2049">
        <v>4</v>
      </c>
      <c r="DE193" s="2049">
        <v>2</v>
      </c>
      <c r="DF193" s="2049">
        <v>2</v>
      </c>
      <c r="DG193" s="393"/>
      <c r="DH193" s="393">
        <v>3</v>
      </c>
      <c r="DI193" s="393">
        <v>13</v>
      </c>
      <c r="DJ193" s="560">
        <f>+(DI192+DI191)/DI193</f>
        <v>0.38461538461538464</v>
      </c>
      <c r="DK193" s="1665"/>
      <c r="DL193" s="36"/>
      <c r="DM193" s="36"/>
      <c r="DN193" s="36"/>
      <c r="DO193" s="36" t="s">
        <v>1080</v>
      </c>
      <c r="DP193" s="1681"/>
      <c r="DQ193" s="1681"/>
      <c r="DR193" s="1681"/>
      <c r="DS193" s="1681"/>
      <c r="DT193" s="1681"/>
      <c r="DU193" s="1681"/>
      <c r="DV193" s="1681"/>
      <c r="DW193" s="1681"/>
      <c r="DX193" s="1681"/>
      <c r="DY193" s="1681"/>
      <c r="DZ193" s="1681"/>
      <c r="EA193" s="1681"/>
      <c r="EB193" s="1681"/>
      <c r="EC193" s="1681">
        <v>0</v>
      </c>
      <c r="ED193" s="1681">
        <v>1</v>
      </c>
      <c r="EE193" s="95">
        <v>1</v>
      </c>
      <c r="EF193" s="95">
        <v>2</v>
      </c>
      <c r="EG193" s="95">
        <v>4</v>
      </c>
      <c r="EH193" s="36"/>
      <c r="EL193" s="36" t="s">
        <v>112</v>
      </c>
      <c r="EM193" s="36" t="s">
        <v>1071</v>
      </c>
      <c r="EN193" s="1490">
        <v>0</v>
      </c>
      <c r="EO193" s="1490">
        <v>0</v>
      </c>
      <c r="EP193" s="1490">
        <v>0</v>
      </c>
      <c r="EQ193" s="1490">
        <v>0</v>
      </c>
      <c r="ER193" s="1490">
        <v>0</v>
      </c>
      <c r="ES193" s="1490">
        <v>0</v>
      </c>
      <c r="ET193" s="1490">
        <v>0</v>
      </c>
      <c r="EU193" s="1490">
        <v>0</v>
      </c>
      <c r="EV193" s="1490">
        <v>0</v>
      </c>
      <c r="EW193" s="1490">
        <v>0</v>
      </c>
      <c r="EX193" s="1490">
        <v>1</v>
      </c>
      <c r="EY193" s="1490">
        <v>1</v>
      </c>
      <c r="EZ193" s="1490">
        <v>1</v>
      </c>
      <c r="FA193" s="1490">
        <v>2</v>
      </c>
      <c r="FB193" s="1490">
        <v>4</v>
      </c>
      <c r="FC193" s="36">
        <v>0</v>
      </c>
      <c r="FD193" s="36">
        <v>2</v>
      </c>
      <c r="FE193" s="36">
        <v>11</v>
      </c>
      <c r="FF193" s="36"/>
      <c r="FH193" s="1225"/>
      <c r="FI193" s="1225"/>
      <c r="FJ193" s="1225"/>
      <c r="FK193" s="1226" t="s">
        <v>1163</v>
      </c>
      <c r="FL193" s="1228">
        <v>0</v>
      </c>
      <c r="FM193" s="1228">
        <v>0</v>
      </c>
      <c r="FN193" s="1228">
        <v>0</v>
      </c>
      <c r="FO193" s="1228">
        <v>0</v>
      </c>
      <c r="FP193" s="1228">
        <v>0</v>
      </c>
      <c r="FQ193" s="1228">
        <v>0</v>
      </c>
      <c r="FR193" s="1228">
        <v>3</v>
      </c>
      <c r="FS193" s="1228">
        <v>10</v>
      </c>
      <c r="FT193" s="1228">
        <v>1</v>
      </c>
      <c r="FU193" s="1228">
        <v>6</v>
      </c>
      <c r="FV193" s="1228">
        <v>19</v>
      </c>
      <c r="FW193" s="1228">
        <v>10</v>
      </c>
      <c r="FX193" s="1228">
        <v>0</v>
      </c>
      <c r="FY193" s="1230">
        <v>0</v>
      </c>
      <c r="FZ193" s="1230">
        <v>0</v>
      </c>
      <c r="GA193" s="1230">
        <v>49</v>
      </c>
      <c r="GB193" s="36"/>
      <c r="HB193" s="36"/>
      <c r="HC193" s="36"/>
      <c r="HD193" s="36"/>
      <c r="HE193" s="36"/>
      <c r="HF193" s="36"/>
      <c r="HG193" s="36"/>
      <c r="HH193" s="36"/>
      <c r="HI193" s="36"/>
      <c r="HJ193" s="36"/>
      <c r="HK193" s="36"/>
      <c r="HL193" s="36"/>
      <c r="HM193" s="36"/>
      <c r="HN193" s="36"/>
      <c r="HO193" s="36"/>
      <c r="HP193" s="36"/>
      <c r="HQ193" s="36"/>
      <c r="HR193" s="36"/>
      <c r="HS193" s="36"/>
      <c r="HT193" s="36"/>
      <c r="HU193" s="36"/>
      <c r="HV193" s="36"/>
      <c r="HW193" s="36"/>
      <c r="HX193" s="36"/>
      <c r="HY193" s="36"/>
      <c r="HZ193" s="36"/>
      <c r="IA193" s="613"/>
      <c r="IB193" s="613"/>
      <c r="IC193" s="613"/>
      <c r="ID193" s="389" t="s">
        <v>1081</v>
      </c>
      <c r="IE193" s="614"/>
      <c r="IF193" s="614"/>
      <c r="IG193" s="614"/>
      <c r="IH193" s="614"/>
      <c r="II193" s="390">
        <v>0</v>
      </c>
      <c r="IJ193" s="390">
        <v>0</v>
      </c>
      <c r="IK193" s="390">
        <v>0</v>
      </c>
      <c r="IL193" s="390">
        <v>0</v>
      </c>
      <c r="IM193" s="390">
        <v>0</v>
      </c>
      <c r="IN193" s="390">
        <v>2</v>
      </c>
      <c r="IO193" s="390">
        <v>1</v>
      </c>
      <c r="IP193" s="390">
        <v>0</v>
      </c>
      <c r="IQ193" s="390">
        <v>0</v>
      </c>
      <c r="IR193" s="390">
        <v>3</v>
      </c>
      <c r="IS193" s="615"/>
      <c r="IT193" s="36"/>
      <c r="IU193" s="36"/>
      <c r="IV193" s="95"/>
      <c r="IW193" s="95"/>
      <c r="IX193" s="95"/>
      <c r="IY193" s="36" t="s">
        <v>1080</v>
      </c>
      <c r="IZ193" s="36"/>
      <c r="JA193" s="36">
        <v>0</v>
      </c>
      <c r="JB193" s="36">
        <v>0</v>
      </c>
      <c r="JC193" s="36">
        <v>0</v>
      </c>
      <c r="JD193" s="36">
        <v>0</v>
      </c>
      <c r="JE193" s="36">
        <v>0</v>
      </c>
      <c r="JF193" s="36">
        <v>0</v>
      </c>
      <c r="JG193" s="36">
        <v>0</v>
      </c>
      <c r="JH193" s="36">
        <v>0</v>
      </c>
      <c r="JI193" s="36">
        <v>2</v>
      </c>
      <c r="JJ193" s="36">
        <v>1</v>
      </c>
      <c r="JK193" s="36">
        <v>1</v>
      </c>
      <c r="JL193" s="36">
        <v>4</v>
      </c>
      <c r="JM193" s="36">
        <v>1</v>
      </c>
      <c r="JN193" s="36">
        <v>4</v>
      </c>
      <c r="JO193" s="36">
        <v>8</v>
      </c>
      <c r="JP193" s="36">
        <v>21</v>
      </c>
      <c r="JQ193" s="36"/>
      <c r="JR193" s="36"/>
      <c r="JS193" s="36"/>
      <c r="JT193" s="36"/>
      <c r="JU193" s="616"/>
      <c r="JV193" s="616" t="s">
        <v>1163</v>
      </c>
      <c r="JW193" s="616">
        <v>0</v>
      </c>
      <c r="JX193" s="616">
        <v>0</v>
      </c>
      <c r="JY193" s="616">
        <v>0</v>
      </c>
      <c r="JZ193" s="616">
        <v>0</v>
      </c>
      <c r="KA193" s="616">
        <v>0</v>
      </c>
      <c r="KB193" s="616">
        <v>0</v>
      </c>
      <c r="KC193" s="616">
        <v>0</v>
      </c>
      <c r="KD193" s="616">
        <v>2</v>
      </c>
      <c r="KE193" s="616">
        <v>0</v>
      </c>
      <c r="KF193" s="616">
        <v>0</v>
      </c>
      <c r="KG193" s="616">
        <v>1</v>
      </c>
      <c r="KH193" s="616">
        <v>2</v>
      </c>
      <c r="KI193" s="616">
        <v>0</v>
      </c>
      <c r="KJ193" s="616">
        <v>0</v>
      </c>
      <c r="KK193" s="616">
        <v>0</v>
      </c>
      <c r="KL193" s="616">
        <v>0</v>
      </c>
      <c r="KM193" s="616">
        <v>5</v>
      </c>
      <c r="KN193" s="616"/>
      <c r="KO193" s="617"/>
    </row>
    <row r="194" spans="1:301" ht="15" thickBot="1">
      <c r="A194" s="5740">
        <v>3</v>
      </c>
      <c r="B194" s="5740">
        <v>3</v>
      </c>
      <c r="C194" s="5741" t="s">
        <v>381</v>
      </c>
      <c r="D194" s="5741" t="s">
        <v>2707</v>
      </c>
      <c r="E194" s="5740">
        <v>2</v>
      </c>
      <c r="F194" s="5740">
        <v>15</v>
      </c>
      <c r="I194" s="4726"/>
      <c r="J194" s="4726"/>
      <c r="K194" s="4725"/>
      <c r="L194" s="4725"/>
      <c r="M194" s="4975">
        <f>SUM(M191:M193)</f>
        <v>5</v>
      </c>
      <c r="N194" s="4726"/>
      <c r="O194" s="4513">
        <f>+(M191+M192)/(M194)</f>
        <v>0.6</v>
      </c>
      <c r="Q194" s="4832"/>
      <c r="R194" s="4832"/>
      <c r="S194" s="4832"/>
      <c r="T194" s="4832"/>
      <c r="U194" s="4832"/>
      <c r="V194" s="4832"/>
      <c r="W194" s="4622"/>
      <c r="Z194" s="36"/>
      <c r="AA194" s="36"/>
      <c r="AB194" s="36"/>
      <c r="AC194" s="36" t="s">
        <v>2571</v>
      </c>
      <c r="AD194" s="615">
        <v>1</v>
      </c>
      <c r="AE194" s="615"/>
      <c r="AF194" s="615"/>
      <c r="AG194" s="615"/>
      <c r="AH194" s="615"/>
      <c r="AI194" s="615"/>
      <c r="AJ194" s="615">
        <v>0</v>
      </c>
      <c r="AK194" s="615"/>
      <c r="AL194" s="615">
        <v>0</v>
      </c>
      <c r="AM194" s="615"/>
      <c r="AN194" s="615">
        <v>0</v>
      </c>
      <c r="AO194" s="615">
        <v>0</v>
      </c>
      <c r="AP194" s="615"/>
      <c r="AQ194" s="36"/>
      <c r="AR194" s="36">
        <v>1</v>
      </c>
      <c r="AS194" s="36"/>
      <c r="AU194" s="36"/>
      <c r="AV194" s="36"/>
      <c r="AW194" s="36"/>
      <c r="AX194" s="36" t="s">
        <v>15</v>
      </c>
      <c r="AY194" s="1681"/>
      <c r="AZ194" s="1681"/>
      <c r="BA194" s="1681">
        <v>0</v>
      </c>
      <c r="BB194" s="1681"/>
      <c r="BC194" s="1681">
        <v>1</v>
      </c>
      <c r="BD194" s="1681"/>
      <c r="BE194" s="1681">
        <v>1</v>
      </c>
      <c r="BF194" s="1681">
        <v>1</v>
      </c>
      <c r="BG194" s="1681"/>
      <c r="BH194" s="1681">
        <v>2</v>
      </c>
      <c r="BI194" s="1681">
        <v>1</v>
      </c>
      <c r="BJ194" s="1681">
        <v>5</v>
      </c>
      <c r="BK194" s="1681">
        <v>3</v>
      </c>
      <c r="BL194" s="1681">
        <v>4</v>
      </c>
      <c r="BM194" s="95"/>
      <c r="BN194" s="95"/>
      <c r="BO194" s="95">
        <v>18</v>
      </c>
      <c r="BP194" s="560">
        <f>+(BO190+BO192+BO193)/(BO194)</f>
        <v>0.5</v>
      </c>
      <c r="BU194" s="32" t="s">
        <v>1080</v>
      </c>
      <c r="BV194" s="3871">
        <v>0</v>
      </c>
      <c r="BW194" s="3871"/>
      <c r="BX194" s="3871">
        <v>0</v>
      </c>
      <c r="BY194" s="3871"/>
      <c r="BZ194" s="3871">
        <v>0</v>
      </c>
      <c r="CA194" s="3871"/>
      <c r="CB194" s="3871">
        <v>0</v>
      </c>
      <c r="CC194" s="3871">
        <v>0</v>
      </c>
      <c r="CD194" s="3871"/>
      <c r="CE194" s="3871">
        <v>0</v>
      </c>
      <c r="CF194" s="3871">
        <v>0</v>
      </c>
      <c r="CG194" s="3871">
        <v>0</v>
      </c>
      <c r="CH194" s="3871">
        <v>6</v>
      </c>
      <c r="CI194" s="3871"/>
      <c r="CJ194" s="1518"/>
      <c r="CK194" s="1518">
        <v>6</v>
      </c>
      <c r="CN194" s="36"/>
      <c r="CO194" s="36"/>
      <c r="CP194" s="36" t="s">
        <v>1743</v>
      </c>
      <c r="CQ194" s="36" t="s">
        <v>1072</v>
      </c>
      <c r="CR194" s="615"/>
      <c r="CS194" s="615"/>
      <c r="CT194" s="615"/>
      <c r="CU194" s="615"/>
      <c r="CV194" s="615"/>
      <c r="CW194" s="615"/>
      <c r="CX194" s="615"/>
      <c r="CY194" s="615"/>
      <c r="CZ194" s="615"/>
      <c r="DA194" s="615"/>
      <c r="DB194" s="615"/>
      <c r="DC194" s="615"/>
      <c r="DD194" s="615">
        <v>1</v>
      </c>
      <c r="DE194" s="615"/>
      <c r="DF194" s="615">
        <v>0</v>
      </c>
      <c r="DG194" s="36">
        <v>1</v>
      </c>
      <c r="DH194" s="36">
        <v>0</v>
      </c>
      <c r="DI194" s="36">
        <v>2</v>
      </c>
      <c r="DJ194" s="36"/>
      <c r="DL194" s="36"/>
      <c r="DM194" s="36"/>
      <c r="DN194" s="36"/>
      <c r="DO194" s="36" t="s">
        <v>1081</v>
      </c>
      <c r="DP194" s="1681"/>
      <c r="DQ194" s="1681"/>
      <c r="DR194" s="1681"/>
      <c r="DS194" s="1681"/>
      <c r="DT194" s="1681"/>
      <c r="DU194" s="1681"/>
      <c r="DV194" s="1681"/>
      <c r="DW194" s="1681"/>
      <c r="DX194" s="1681"/>
      <c r="DY194" s="1681"/>
      <c r="DZ194" s="1681"/>
      <c r="EA194" s="1681"/>
      <c r="EB194" s="1681"/>
      <c r="EC194" s="1681">
        <v>0</v>
      </c>
      <c r="ED194" s="1681">
        <v>1</v>
      </c>
      <c r="EE194" s="95">
        <v>0</v>
      </c>
      <c r="EF194" s="95">
        <v>0</v>
      </c>
      <c r="EG194" s="95">
        <v>1</v>
      </c>
      <c r="EH194" s="36"/>
      <c r="EL194" s="36"/>
      <c r="EM194" s="36" t="s">
        <v>1072</v>
      </c>
      <c r="EN194" s="1490">
        <v>1</v>
      </c>
      <c r="EO194" s="1490">
        <v>3</v>
      </c>
      <c r="EP194" s="1490">
        <v>4</v>
      </c>
      <c r="EQ194" s="1490">
        <v>1</v>
      </c>
      <c r="ER194" s="1490">
        <v>1</v>
      </c>
      <c r="ES194" s="1490">
        <v>2</v>
      </c>
      <c r="ET194" s="1490">
        <v>2</v>
      </c>
      <c r="EU194" s="1490">
        <v>3</v>
      </c>
      <c r="EV194" s="1490">
        <v>4</v>
      </c>
      <c r="EW194" s="1490">
        <v>9</v>
      </c>
      <c r="EX194" s="1490">
        <v>7</v>
      </c>
      <c r="EY194" s="1490">
        <v>2</v>
      </c>
      <c r="EZ194" s="1490">
        <v>29</v>
      </c>
      <c r="FA194" s="1490">
        <v>18</v>
      </c>
      <c r="FB194" s="1490">
        <v>2</v>
      </c>
      <c r="FC194" s="36">
        <v>2</v>
      </c>
      <c r="FD194" s="36">
        <v>0</v>
      </c>
      <c r="FE194" s="36">
        <v>90</v>
      </c>
      <c r="FF194" s="36"/>
      <c r="FH194" s="1235"/>
      <c r="FI194" s="1235"/>
      <c r="FJ194" s="1235"/>
      <c r="FK194" s="1236" t="s">
        <v>112</v>
      </c>
      <c r="FL194" s="1237">
        <v>1</v>
      </c>
      <c r="FM194" s="1237">
        <v>10</v>
      </c>
      <c r="FN194" s="1237">
        <v>4</v>
      </c>
      <c r="FO194" s="1237">
        <v>1</v>
      </c>
      <c r="FP194" s="1237">
        <v>5</v>
      </c>
      <c r="FQ194" s="1237">
        <v>6</v>
      </c>
      <c r="FR194" s="1237">
        <v>7</v>
      </c>
      <c r="FS194" s="1237">
        <v>26</v>
      </c>
      <c r="FT194" s="1237">
        <v>11</v>
      </c>
      <c r="FU194" s="1237">
        <v>20</v>
      </c>
      <c r="FV194" s="1237">
        <v>77</v>
      </c>
      <c r="FW194" s="1237">
        <v>37</v>
      </c>
      <c r="FX194" s="1237">
        <v>70</v>
      </c>
      <c r="FY194" s="1238">
        <v>9</v>
      </c>
      <c r="FZ194" s="1238">
        <v>26</v>
      </c>
      <c r="GA194" s="1238">
        <v>310</v>
      </c>
      <c r="GB194" s="1182">
        <f>+(GA189-FY189+GA192-FY192+GA193)/GA194</f>
        <v>0.30967741935483872</v>
      </c>
      <c r="HB194" s="36"/>
      <c r="HC194" s="36"/>
      <c r="HD194" s="36"/>
      <c r="HE194" s="36"/>
      <c r="HF194" s="36"/>
      <c r="HG194" s="36"/>
      <c r="HH194" s="36"/>
      <c r="HI194" s="36"/>
      <c r="HJ194" s="36"/>
      <c r="HK194" s="36"/>
      <c r="HL194" s="36"/>
      <c r="HM194" s="36"/>
      <c r="HN194" s="36"/>
      <c r="HO194" s="36"/>
      <c r="HP194" s="36"/>
      <c r="HQ194" s="36"/>
      <c r="HR194" s="36"/>
      <c r="HS194" s="36"/>
      <c r="HT194" s="36"/>
      <c r="HU194" s="36"/>
      <c r="HV194" s="36"/>
      <c r="HW194" s="36"/>
      <c r="HX194" s="36"/>
      <c r="HY194" s="36"/>
      <c r="HZ194" s="36"/>
      <c r="IA194" s="613"/>
      <c r="IB194" s="613"/>
      <c r="IC194" s="613"/>
      <c r="ID194" s="389" t="s">
        <v>1163</v>
      </c>
      <c r="IE194" s="614"/>
      <c r="IF194" s="614"/>
      <c r="IG194" s="614"/>
      <c r="IH194" s="614"/>
      <c r="II194" s="390">
        <v>0</v>
      </c>
      <c r="IJ194" s="390">
        <v>1</v>
      </c>
      <c r="IK194" s="390">
        <v>1</v>
      </c>
      <c r="IL194" s="390">
        <v>1</v>
      </c>
      <c r="IM194" s="390">
        <v>3</v>
      </c>
      <c r="IN194" s="390">
        <v>0</v>
      </c>
      <c r="IO194" s="390">
        <v>0</v>
      </c>
      <c r="IP194" s="390">
        <v>0</v>
      </c>
      <c r="IQ194" s="390">
        <v>0</v>
      </c>
      <c r="IR194" s="390">
        <v>6</v>
      </c>
      <c r="IS194" s="615"/>
      <c r="IT194" s="36"/>
      <c r="IU194" s="36"/>
      <c r="IV194" s="95"/>
      <c r="IW194" s="95"/>
      <c r="IX194" s="95"/>
      <c r="IY194" s="36" t="s">
        <v>1081</v>
      </c>
      <c r="IZ194" s="36"/>
      <c r="JA194" s="36">
        <v>0</v>
      </c>
      <c r="JB194" s="36">
        <v>0</v>
      </c>
      <c r="JC194" s="36">
        <v>0</v>
      </c>
      <c r="JD194" s="36">
        <v>0</v>
      </c>
      <c r="JE194" s="36">
        <v>0</v>
      </c>
      <c r="JF194" s="36">
        <v>0</v>
      </c>
      <c r="JG194" s="36">
        <v>0</v>
      </c>
      <c r="JH194" s="36">
        <v>3</v>
      </c>
      <c r="JI194" s="36">
        <v>1</v>
      </c>
      <c r="JJ194" s="36">
        <v>1</v>
      </c>
      <c r="JK194" s="36">
        <v>3</v>
      </c>
      <c r="JL194" s="36">
        <v>0</v>
      </c>
      <c r="JM194" s="36">
        <v>1</v>
      </c>
      <c r="JN194" s="36">
        <v>0</v>
      </c>
      <c r="JO194" s="36">
        <v>0</v>
      </c>
      <c r="JP194" s="36">
        <v>9</v>
      </c>
      <c r="JQ194" s="36"/>
      <c r="JR194" s="36"/>
      <c r="JS194" s="36"/>
      <c r="JT194" s="36"/>
      <c r="JU194" s="646"/>
      <c r="JV194" s="634" t="s">
        <v>15</v>
      </c>
      <c r="JW194" s="634">
        <v>0</v>
      </c>
      <c r="JX194" s="634">
        <v>0</v>
      </c>
      <c r="JY194" s="634">
        <v>1</v>
      </c>
      <c r="JZ194" s="634">
        <v>2</v>
      </c>
      <c r="KA194" s="634">
        <v>0</v>
      </c>
      <c r="KB194" s="634">
        <v>1</v>
      </c>
      <c r="KC194" s="634">
        <v>0</v>
      </c>
      <c r="KD194" s="634">
        <v>5</v>
      </c>
      <c r="KE194" s="634">
        <v>6</v>
      </c>
      <c r="KF194" s="634">
        <v>6</v>
      </c>
      <c r="KG194" s="634">
        <v>3</v>
      </c>
      <c r="KH194" s="634">
        <v>7</v>
      </c>
      <c r="KI194" s="634">
        <v>4</v>
      </c>
      <c r="KJ194" s="634">
        <v>2</v>
      </c>
      <c r="KK194" s="634">
        <v>1</v>
      </c>
      <c r="KL194" s="634">
        <v>5</v>
      </c>
      <c r="KM194" s="634">
        <v>43</v>
      </c>
      <c r="KN194" s="635">
        <f>+(KM193+KM192+KM190-KK190)/KM194</f>
        <v>0.2558139534883721</v>
      </c>
      <c r="KO194" s="636">
        <f>+KM190+KM192+KM193-KK190</f>
        <v>11</v>
      </c>
    </row>
    <row r="195" spans="1:301" ht="15" thickBot="1">
      <c r="A195" s="5737">
        <v>3</v>
      </c>
      <c r="B195" s="5737">
        <v>3</v>
      </c>
      <c r="C195" s="5736" t="s">
        <v>381</v>
      </c>
      <c r="D195" s="5739" t="s">
        <v>1076</v>
      </c>
      <c r="E195" s="5737">
        <v>2</v>
      </c>
      <c r="F195" s="5737">
        <v>13</v>
      </c>
      <c r="I195" s="4726"/>
      <c r="J195" s="4726"/>
      <c r="K195" s="4725"/>
      <c r="L195" s="4725"/>
      <c r="M195" s="4976">
        <f>SUM(M187:M188,M191:M192)</f>
        <v>6</v>
      </c>
      <c r="N195" s="4726"/>
      <c r="O195" s="4513"/>
      <c r="Q195" s="4832"/>
      <c r="R195" s="4832"/>
      <c r="S195" s="4832"/>
      <c r="T195" s="4832"/>
      <c r="U195" s="4832"/>
      <c r="V195" s="4832"/>
      <c r="W195" s="4622"/>
      <c r="Z195" s="36"/>
      <c r="AA195" s="36"/>
      <c r="AB195" s="36"/>
      <c r="AC195" s="4236" t="s">
        <v>15</v>
      </c>
      <c r="AD195" s="4236">
        <v>1</v>
      </c>
      <c r="AE195" s="4236"/>
      <c r="AF195" s="4236"/>
      <c r="AG195" s="4236"/>
      <c r="AH195" s="4236"/>
      <c r="AI195" s="4236"/>
      <c r="AJ195" s="4236">
        <v>2</v>
      </c>
      <c r="AK195" s="4236"/>
      <c r="AL195" s="4236">
        <v>1</v>
      </c>
      <c r="AM195" s="4236"/>
      <c r="AN195" s="4236">
        <v>4</v>
      </c>
      <c r="AO195" s="4236">
        <v>5</v>
      </c>
      <c r="AP195" s="4236"/>
      <c r="AQ195" s="4236"/>
      <c r="AR195" s="4236">
        <v>13</v>
      </c>
      <c r="AS195" s="4243">
        <v>0</v>
      </c>
      <c r="AU195" s="36"/>
      <c r="AV195" s="36"/>
      <c r="AW195" s="393" t="s">
        <v>483</v>
      </c>
      <c r="AX195" s="393" t="s">
        <v>1072</v>
      </c>
      <c r="AY195" s="1682"/>
      <c r="AZ195" s="1682"/>
      <c r="BA195" s="1682">
        <v>0</v>
      </c>
      <c r="BB195" s="1682"/>
      <c r="BC195" s="1682">
        <v>0</v>
      </c>
      <c r="BD195" s="1682"/>
      <c r="BE195" s="1682">
        <v>1</v>
      </c>
      <c r="BF195" s="1682">
        <v>0</v>
      </c>
      <c r="BG195" s="1682"/>
      <c r="BH195" s="1682">
        <v>1</v>
      </c>
      <c r="BI195" s="1682">
        <v>1</v>
      </c>
      <c r="BJ195" s="1682">
        <v>4</v>
      </c>
      <c r="BK195" s="1682">
        <v>0</v>
      </c>
      <c r="BL195" s="1682">
        <v>0</v>
      </c>
      <c r="BM195" s="4455"/>
      <c r="BN195" s="4455"/>
      <c r="BO195" s="4455">
        <v>7</v>
      </c>
      <c r="BP195" s="4455"/>
      <c r="BU195" s="32" t="s">
        <v>1081</v>
      </c>
      <c r="BV195" s="3871">
        <v>0</v>
      </c>
      <c r="BW195" s="3871"/>
      <c r="BX195" s="3871">
        <v>0</v>
      </c>
      <c r="BY195" s="3871"/>
      <c r="BZ195" s="3871">
        <v>0</v>
      </c>
      <c r="CA195" s="3871"/>
      <c r="CB195" s="3871">
        <v>0</v>
      </c>
      <c r="CC195" s="3871">
        <v>0</v>
      </c>
      <c r="CD195" s="3871"/>
      <c r="CE195" s="3871">
        <v>0</v>
      </c>
      <c r="CF195" s="3871">
        <v>0</v>
      </c>
      <c r="CG195" s="3871">
        <v>1</v>
      </c>
      <c r="CH195" s="3871">
        <v>0</v>
      </c>
      <c r="CI195" s="3871"/>
      <c r="CJ195" s="1518"/>
      <c r="CK195" s="1518">
        <v>1</v>
      </c>
      <c r="CN195" s="36"/>
      <c r="CO195" s="36"/>
      <c r="CP195" s="36"/>
      <c r="CQ195" s="36" t="s">
        <v>1080</v>
      </c>
      <c r="CR195" s="615"/>
      <c r="CS195" s="615"/>
      <c r="CT195" s="615"/>
      <c r="CU195" s="615"/>
      <c r="CV195" s="615"/>
      <c r="CW195" s="615"/>
      <c r="CX195" s="615"/>
      <c r="CY195" s="615"/>
      <c r="CZ195" s="615"/>
      <c r="DA195" s="615"/>
      <c r="DB195" s="615"/>
      <c r="DC195" s="615"/>
      <c r="DD195" s="615">
        <v>0</v>
      </c>
      <c r="DE195" s="615"/>
      <c r="DF195" s="615">
        <v>3</v>
      </c>
      <c r="DG195" s="36">
        <v>0</v>
      </c>
      <c r="DH195" s="36">
        <v>1</v>
      </c>
      <c r="DI195" s="36">
        <v>4</v>
      </c>
      <c r="DJ195" s="36"/>
      <c r="DL195" s="36"/>
      <c r="DM195" s="36"/>
      <c r="DN195" s="36"/>
      <c r="DO195" s="393" t="s">
        <v>487</v>
      </c>
      <c r="DP195" s="1682"/>
      <c r="DQ195" s="1682"/>
      <c r="DR195" s="1682"/>
      <c r="DS195" s="1682"/>
      <c r="DT195" s="1682"/>
      <c r="DU195" s="1682"/>
      <c r="DV195" s="1682"/>
      <c r="DW195" s="1682"/>
      <c r="DX195" s="1682"/>
      <c r="DY195" s="1682"/>
      <c r="DZ195" s="1682"/>
      <c r="EA195" s="1682"/>
      <c r="EB195" s="1682"/>
      <c r="EC195" s="1682">
        <v>1</v>
      </c>
      <c r="ED195" s="1682">
        <v>2</v>
      </c>
      <c r="EE195" s="86">
        <v>1</v>
      </c>
      <c r="EF195" s="86">
        <v>2</v>
      </c>
      <c r="EG195" s="86">
        <v>6</v>
      </c>
      <c r="EH195" s="560">
        <f>+(EG192+EG194)/EG195</f>
        <v>0.33333333333333331</v>
      </c>
      <c r="EL195" s="36"/>
      <c r="EM195" s="36" t="s">
        <v>1074</v>
      </c>
      <c r="EN195" s="1490">
        <v>0</v>
      </c>
      <c r="EO195" s="1490">
        <v>1</v>
      </c>
      <c r="EP195" s="1490">
        <v>0</v>
      </c>
      <c r="EQ195" s="1490">
        <v>0</v>
      </c>
      <c r="ER195" s="1490">
        <v>0</v>
      </c>
      <c r="ES195" s="1490">
        <v>0</v>
      </c>
      <c r="ET195" s="1490">
        <v>0</v>
      </c>
      <c r="EU195" s="1490">
        <v>0</v>
      </c>
      <c r="EV195" s="1490">
        <v>0</v>
      </c>
      <c r="EW195" s="1490">
        <v>0</v>
      </c>
      <c r="EX195" s="1490">
        <v>0</v>
      </c>
      <c r="EY195" s="1490">
        <v>0</v>
      </c>
      <c r="EZ195" s="1490">
        <v>0</v>
      </c>
      <c r="FA195" s="1490">
        <v>0</v>
      </c>
      <c r="FB195" s="1490">
        <v>0</v>
      </c>
      <c r="FC195" s="36">
        <v>0</v>
      </c>
      <c r="FD195" s="36">
        <v>0</v>
      </c>
      <c r="FE195" s="36">
        <v>1</v>
      </c>
      <c r="FF195" s="36"/>
      <c r="FH195" s="1450" t="s">
        <v>1175</v>
      </c>
      <c r="HB195" s="36"/>
      <c r="HC195" s="36"/>
      <c r="HD195" s="36"/>
      <c r="HE195" s="36"/>
      <c r="HF195" s="36"/>
      <c r="HG195" s="36"/>
      <c r="HH195" s="36"/>
      <c r="HI195" s="36"/>
      <c r="HJ195" s="36"/>
      <c r="HK195" s="36"/>
      <c r="HL195" s="36"/>
      <c r="HM195" s="36"/>
      <c r="HN195" s="36"/>
      <c r="HO195" s="36"/>
      <c r="HP195" s="36"/>
      <c r="HQ195" s="36"/>
      <c r="HR195" s="36"/>
      <c r="HS195" s="36"/>
      <c r="HT195" s="36"/>
      <c r="HU195" s="36"/>
      <c r="HV195" s="36"/>
      <c r="HW195" s="36"/>
      <c r="HX195" s="36"/>
      <c r="HY195" s="36"/>
      <c r="HZ195" s="36"/>
      <c r="IA195" s="613"/>
      <c r="IB195" s="613"/>
      <c r="IC195" s="637"/>
      <c r="ID195" s="638" t="s">
        <v>412</v>
      </c>
      <c r="IE195" s="639"/>
      <c r="IF195" s="639"/>
      <c r="IG195" s="639"/>
      <c r="IH195" s="639"/>
      <c r="II195" s="399">
        <v>1</v>
      </c>
      <c r="IJ195" s="399">
        <v>2</v>
      </c>
      <c r="IK195" s="399">
        <v>5</v>
      </c>
      <c r="IL195" s="399">
        <v>6</v>
      </c>
      <c r="IM195" s="399">
        <v>7</v>
      </c>
      <c r="IN195" s="399">
        <v>4</v>
      </c>
      <c r="IO195" s="399">
        <v>6</v>
      </c>
      <c r="IP195" s="399">
        <v>1</v>
      </c>
      <c r="IQ195" s="399">
        <v>6</v>
      </c>
      <c r="IR195" s="399">
        <v>38</v>
      </c>
      <c r="IS195" s="567">
        <f>+(IR194+IR193+IR191-IP191)/IR195</f>
        <v>0.26315789473684209</v>
      </c>
      <c r="IT195" s="36"/>
      <c r="IU195" s="36"/>
      <c r="IV195" s="95"/>
      <c r="IW195" s="95"/>
      <c r="IX195" s="95"/>
      <c r="IY195" s="36" t="s">
        <v>1163</v>
      </c>
      <c r="IZ195" s="36"/>
      <c r="JA195" s="36">
        <v>0</v>
      </c>
      <c r="JB195" s="36">
        <v>0</v>
      </c>
      <c r="JC195" s="36">
        <v>0</v>
      </c>
      <c r="JD195" s="36">
        <v>0</v>
      </c>
      <c r="JE195" s="36">
        <v>0</v>
      </c>
      <c r="JF195" s="36">
        <v>1</v>
      </c>
      <c r="JG195" s="36">
        <v>2</v>
      </c>
      <c r="JH195" s="36">
        <v>8</v>
      </c>
      <c r="JI195" s="36">
        <v>2</v>
      </c>
      <c r="JJ195" s="36">
        <v>2</v>
      </c>
      <c r="JK195" s="36">
        <v>10</v>
      </c>
      <c r="JL195" s="36">
        <v>0</v>
      </c>
      <c r="JM195" s="36">
        <v>0</v>
      </c>
      <c r="JN195" s="36">
        <v>0</v>
      </c>
      <c r="JO195" s="36">
        <v>0</v>
      </c>
      <c r="JP195" s="36">
        <v>25</v>
      </c>
      <c r="JQ195" s="36"/>
      <c r="JR195" s="36"/>
      <c r="JS195" s="36"/>
      <c r="JT195" s="36"/>
      <c r="JU195" s="36"/>
      <c r="JV195" s="36"/>
      <c r="JW195" s="36"/>
      <c r="JX195" s="36"/>
      <c r="JY195" s="36"/>
      <c r="JZ195" s="36"/>
      <c r="KA195" s="36"/>
      <c r="KB195" s="36"/>
      <c r="KC195" s="36"/>
      <c r="KD195" s="36"/>
      <c r="KE195" s="36"/>
      <c r="KF195" s="36"/>
      <c r="KG195" s="36"/>
      <c r="KH195" s="36"/>
      <c r="KI195" s="36"/>
      <c r="KJ195" s="36"/>
      <c r="KK195" s="36"/>
      <c r="KL195" s="36"/>
      <c r="KM195" s="36"/>
      <c r="KN195" s="36"/>
      <c r="KO195" s="36"/>
    </row>
    <row r="196" spans="1:301" ht="15" thickBot="1">
      <c r="A196" s="5740">
        <v>3</v>
      </c>
      <c r="B196" s="5740">
        <v>3</v>
      </c>
      <c r="C196" s="5741" t="s">
        <v>381</v>
      </c>
      <c r="D196" s="5741" t="s">
        <v>1076</v>
      </c>
      <c r="E196" s="5740">
        <v>1</v>
      </c>
      <c r="F196" s="5740">
        <v>15</v>
      </c>
      <c r="I196" s="4726"/>
      <c r="J196" s="4726"/>
      <c r="K196" s="4971" t="s">
        <v>41</v>
      </c>
      <c r="L196" s="4990"/>
      <c r="M196" s="4991">
        <f>SUM(M194,M190)</f>
        <v>16</v>
      </c>
      <c r="N196" s="4973"/>
      <c r="O196" s="4451">
        <f>+(M195)/(M196)</f>
        <v>0.375</v>
      </c>
      <c r="Q196" s="4832"/>
      <c r="R196" s="4832"/>
      <c r="S196" s="4832"/>
      <c r="T196" s="4832"/>
      <c r="U196" s="4832"/>
      <c r="V196" s="4832"/>
      <c r="W196" s="4622"/>
      <c r="Z196" s="36"/>
      <c r="AA196" s="36"/>
      <c r="AB196" s="36" t="s">
        <v>15</v>
      </c>
      <c r="AC196" s="36" t="s">
        <v>1071</v>
      </c>
      <c r="AD196" s="615">
        <v>0</v>
      </c>
      <c r="AE196" s="615"/>
      <c r="AF196" s="615"/>
      <c r="AG196" s="615"/>
      <c r="AH196" s="615"/>
      <c r="AI196" s="615"/>
      <c r="AJ196" s="615">
        <v>0</v>
      </c>
      <c r="AK196" s="615"/>
      <c r="AL196" s="615">
        <v>0</v>
      </c>
      <c r="AM196" s="615"/>
      <c r="AN196" s="615">
        <v>0</v>
      </c>
      <c r="AO196" s="615">
        <v>1</v>
      </c>
      <c r="AP196" s="615"/>
      <c r="AQ196" s="36"/>
      <c r="AR196" s="36">
        <v>1</v>
      </c>
      <c r="AS196" s="36"/>
      <c r="AU196" s="36"/>
      <c r="AV196" s="36"/>
      <c r="AW196" s="393"/>
      <c r="AX196" s="393" t="s">
        <v>1076</v>
      </c>
      <c r="AY196" s="1682"/>
      <c r="AZ196" s="1682"/>
      <c r="BA196" s="1682">
        <v>0</v>
      </c>
      <c r="BB196" s="1682"/>
      <c r="BC196" s="1682">
        <v>0</v>
      </c>
      <c r="BD196" s="1682"/>
      <c r="BE196" s="1682">
        <v>0</v>
      </c>
      <c r="BF196" s="1682">
        <v>0</v>
      </c>
      <c r="BG196" s="1682"/>
      <c r="BH196" s="1682">
        <v>0</v>
      </c>
      <c r="BI196" s="1682">
        <v>0</v>
      </c>
      <c r="BJ196" s="1682">
        <v>1</v>
      </c>
      <c r="BK196" s="1682">
        <v>0</v>
      </c>
      <c r="BL196" s="1682">
        <v>0</v>
      </c>
      <c r="BM196" s="4455"/>
      <c r="BN196" s="4455"/>
      <c r="BO196" s="4455">
        <v>1</v>
      </c>
      <c r="BP196" s="4455"/>
      <c r="BU196" s="1520" t="s">
        <v>15</v>
      </c>
      <c r="BV196" s="3872">
        <v>0</v>
      </c>
      <c r="BW196" s="3872"/>
      <c r="BX196" s="3872">
        <v>0</v>
      </c>
      <c r="BY196" s="3872"/>
      <c r="BZ196" s="3872">
        <v>1</v>
      </c>
      <c r="CA196" s="3872"/>
      <c r="CB196" s="3872">
        <v>1</v>
      </c>
      <c r="CC196" s="3872">
        <v>1</v>
      </c>
      <c r="CD196" s="3872"/>
      <c r="CE196" s="3872">
        <v>2</v>
      </c>
      <c r="CF196" s="3872">
        <v>1</v>
      </c>
      <c r="CG196" s="3872">
        <v>5</v>
      </c>
      <c r="CH196" s="3872">
        <v>7</v>
      </c>
      <c r="CI196" s="3872"/>
      <c r="CJ196" s="3806"/>
      <c r="CK196" s="3806">
        <v>18</v>
      </c>
      <c r="CL196" s="3807">
        <f>+CK195/CK196</f>
        <v>5.5555555555555552E-2</v>
      </c>
      <c r="CN196" s="36"/>
      <c r="CO196" s="36"/>
      <c r="CP196" s="36"/>
      <c r="CQ196" s="36" t="s">
        <v>1163</v>
      </c>
      <c r="CR196" s="615"/>
      <c r="CS196" s="615"/>
      <c r="CT196" s="615"/>
      <c r="CU196" s="615"/>
      <c r="CV196" s="615"/>
      <c r="CW196" s="615"/>
      <c r="CX196" s="615"/>
      <c r="CY196" s="615"/>
      <c r="CZ196" s="615"/>
      <c r="DA196" s="615"/>
      <c r="DB196" s="615"/>
      <c r="DC196" s="615"/>
      <c r="DD196" s="615">
        <v>1</v>
      </c>
      <c r="DE196" s="615"/>
      <c r="DF196" s="615">
        <v>0</v>
      </c>
      <c r="DG196" s="36">
        <v>0</v>
      </c>
      <c r="DH196" s="36">
        <v>0</v>
      </c>
      <c r="DI196" s="36">
        <v>1</v>
      </c>
      <c r="DJ196" s="36"/>
      <c r="DL196" s="36"/>
      <c r="DM196" s="36"/>
      <c r="DN196" s="36" t="s">
        <v>256</v>
      </c>
      <c r="DO196" s="36" t="s">
        <v>1071</v>
      </c>
      <c r="DP196" s="1681"/>
      <c r="DQ196" s="1681"/>
      <c r="DR196" s="1681"/>
      <c r="DS196" s="1681"/>
      <c r="DT196" s="1681"/>
      <c r="DU196" s="1681"/>
      <c r="DV196" s="1681"/>
      <c r="DW196" s="1681">
        <v>0</v>
      </c>
      <c r="DX196" s="1681"/>
      <c r="DY196" s="1681">
        <v>0</v>
      </c>
      <c r="DZ196" s="1681">
        <v>0</v>
      </c>
      <c r="EA196" s="1681"/>
      <c r="EB196" s="1681"/>
      <c r="EC196" s="1681">
        <v>0</v>
      </c>
      <c r="ED196" s="1681">
        <v>1</v>
      </c>
      <c r="EE196" s="95">
        <v>0</v>
      </c>
      <c r="EF196" s="95">
        <v>0</v>
      </c>
      <c r="EG196" s="95">
        <v>1</v>
      </c>
      <c r="EH196" s="36"/>
      <c r="EL196" s="36"/>
      <c r="EM196" s="36" t="s">
        <v>1076</v>
      </c>
      <c r="EN196" s="1490">
        <v>0</v>
      </c>
      <c r="EO196" s="1490">
        <v>0</v>
      </c>
      <c r="EP196" s="1490">
        <v>0</v>
      </c>
      <c r="EQ196" s="1490">
        <v>0</v>
      </c>
      <c r="ER196" s="1490">
        <v>0</v>
      </c>
      <c r="ES196" s="1490">
        <v>0</v>
      </c>
      <c r="ET196" s="1490">
        <v>0</v>
      </c>
      <c r="EU196" s="1490">
        <v>0</v>
      </c>
      <c r="EV196" s="1490">
        <v>0</v>
      </c>
      <c r="EW196" s="1490">
        <v>0</v>
      </c>
      <c r="EX196" s="1490">
        <v>0</v>
      </c>
      <c r="EY196" s="1490">
        <v>0</v>
      </c>
      <c r="EZ196" s="1490">
        <v>19</v>
      </c>
      <c r="FA196" s="1490">
        <v>21</v>
      </c>
      <c r="FB196" s="1490">
        <v>3</v>
      </c>
      <c r="FC196" s="36">
        <v>2</v>
      </c>
      <c r="FD196" s="36">
        <v>0</v>
      </c>
      <c r="FE196" s="36">
        <v>45</v>
      </c>
      <c r="FF196" s="36"/>
      <c r="HB196" s="36"/>
      <c r="HC196" s="36"/>
      <c r="HD196" s="36"/>
      <c r="HE196" s="36"/>
      <c r="HF196" s="36"/>
      <c r="HG196" s="36"/>
      <c r="HH196" s="36"/>
      <c r="HI196" s="36"/>
      <c r="HJ196" s="36"/>
      <c r="HK196" s="36"/>
      <c r="HL196" s="36"/>
      <c r="HM196" s="36"/>
      <c r="HN196" s="36"/>
      <c r="HO196" s="36"/>
      <c r="HP196" s="36"/>
      <c r="HQ196" s="36"/>
      <c r="HR196" s="36"/>
      <c r="HS196" s="36"/>
      <c r="HT196" s="36"/>
      <c r="HU196" s="36"/>
      <c r="HV196" s="36"/>
      <c r="HW196" s="36"/>
      <c r="HX196" s="36"/>
      <c r="HY196" s="36"/>
      <c r="HZ196" s="36"/>
      <c r="IA196" s="36"/>
      <c r="IB196" s="36"/>
      <c r="IC196" s="36"/>
      <c r="ID196" s="36"/>
      <c r="IE196" s="36"/>
      <c r="IF196" s="36"/>
      <c r="IG196" s="36"/>
      <c r="IH196" s="36"/>
      <c r="II196" s="36"/>
      <c r="IJ196" s="36"/>
      <c r="IK196" s="36"/>
      <c r="IL196" s="36"/>
      <c r="IM196" s="36"/>
      <c r="IN196" s="36"/>
      <c r="IO196" s="36"/>
      <c r="IP196" s="36"/>
      <c r="IQ196" s="36"/>
      <c r="IR196" s="36"/>
      <c r="IS196" s="36"/>
      <c r="IT196" s="36"/>
      <c r="IU196" s="36"/>
      <c r="IV196" s="396"/>
      <c r="IW196" s="396"/>
      <c r="IX196" s="396"/>
      <c r="IY196" s="397" t="s">
        <v>15</v>
      </c>
      <c r="IZ196" s="397"/>
      <c r="JA196" s="397">
        <v>2</v>
      </c>
      <c r="JB196" s="397">
        <v>3</v>
      </c>
      <c r="JC196" s="397">
        <v>3</v>
      </c>
      <c r="JD196" s="397">
        <v>1</v>
      </c>
      <c r="JE196" s="397">
        <v>1</v>
      </c>
      <c r="JF196" s="397">
        <v>1</v>
      </c>
      <c r="JG196" s="397">
        <v>5</v>
      </c>
      <c r="JH196" s="397">
        <v>27</v>
      </c>
      <c r="JI196" s="397">
        <v>10</v>
      </c>
      <c r="JJ196" s="397">
        <v>14</v>
      </c>
      <c r="JK196" s="397">
        <v>40</v>
      </c>
      <c r="JL196" s="397">
        <v>7</v>
      </c>
      <c r="JM196" s="397">
        <v>3</v>
      </c>
      <c r="JN196" s="397">
        <v>5</v>
      </c>
      <c r="JO196" s="397">
        <v>8</v>
      </c>
      <c r="JP196" s="397">
        <v>130</v>
      </c>
      <c r="JQ196" s="661">
        <f>+(JP192+JP194+JP195)/JP196</f>
        <v>0.27692307692307694</v>
      </c>
      <c r="JR196" s="36"/>
      <c r="JS196" s="36"/>
      <c r="JT196" s="36"/>
      <c r="JU196" s="36"/>
      <c r="JV196" s="36"/>
      <c r="JW196" s="36"/>
      <c r="JX196" s="36"/>
      <c r="JY196" s="36"/>
      <c r="JZ196" s="36"/>
      <c r="KA196" s="36"/>
      <c r="KB196" s="36"/>
      <c r="KC196" s="36"/>
      <c r="KD196" s="36"/>
      <c r="KE196" s="36"/>
      <c r="KF196" s="36"/>
      <c r="KG196" s="36"/>
      <c r="KH196" s="36"/>
      <c r="KI196" s="36"/>
      <c r="KJ196" s="36"/>
      <c r="KK196" s="36"/>
      <c r="KL196" s="36"/>
      <c r="KM196" s="36"/>
      <c r="KN196" s="36"/>
      <c r="KO196" s="36"/>
    </row>
    <row r="197" spans="1:301">
      <c r="A197" s="5737">
        <v>3</v>
      </c>
      <c r="B197" s="5737">
        <v>3</v>
      </c>
      <c r="C197" s="5736" t="s">
        <v>381</v>
      </c>
      <c r="D197" s="5736" t="s">
        <v>2709</v>
      </c>
      <c r="E197" s="5737">
        <v>1</v>
      </c>
      <c r="F197" s="5737">
        <v>13</v>
      </c>
      <c r="I197" s="4726">
        <v>3</v>
      </c>
      <c r="J197" s="4726">
        <v>4</v>
      </c>
      <c r="K197" s="4725" t="s">
        <v>298</v>
      </c>
      <c r="L197" s="4725" t="s">
        <v>2705</v>
      </c>
      <c r="M197" s="4726">
        <v>1</v>
      </c>
      <c r="N197" s="4726">
        <v>3</v>
      </c>
      <c r="Q197" s="4832"/>
      <c r="R197" s="4832"/>
      <c r="S197" s="4832"/>
      <c r="T197" s="4832"/>
      <c r="U197" s="4832"/>
      <c r="V197" s="4832"/>
      <c r="W197" s="4622"/>
      <c r="Z197" s="36"/>
      <c r="AA197" s="36"/>
      <c r="AB197" s="36"/>
      <c r="AC197" s="36" t="s">
        <v>1072</v>
      </c>
      <c r="AD197" s="615">
        <v>0</v>
      </c>
      <c r="AE197" s="615"/>
      <c r="AF197" s="615"/>
      <c r="AG197" s="615"/>
      <c r="AH197" s="615"/>
      <c r="AI197" s="615"/>
      <c r="AJ197" s="615">
        <v>2</v>
      </c>
      <c r="AK197" s="615"/>
      <c r="AL197" s="615">
        <v>1</v>
      </c>
      <c r="AM197" s="615"/>
      <c r="AN197" s="615">
        <v>3</v>
      </c>
      <c r="AO197" s="615">
        <v>0</v>
      </c>
      <c r="AP197" s="615"/>
      <c r="AQ197" s="36"/>
      <c r="AR197" s="36">
        <v>6</v>
      </c>
      <c r="AS197" s="36"/>
      <c r="AU197" s="36"/>
      <c r="AV197" s="36"/>
      <c r="AW197" s="393"/>
      <c r="AX197" s="393" t="s">
        <v>1077</v>
      </c>
      <c r="AY197" s="1682"/>
      <c r="AZ197" s="1682"/>
      <c r="BA197" s="1682">
        <v>0</v>
      </c>
      <c r="BB197" s="1682"/>
      <c r="BC197" s="1682">
        <v>1</v>
      </c>
      <c r="BD197" s="1682"/>
      <c r="BE197" s="1682">
        <v>0</v>
      </c>
      <c r="BF197" s="1682">
        <v>1</v>
      </c>
      <c r="BG197" s="1682"/>
      <c r="BH197" s="1682">
        <v>0</v>
      </c>
      <c r="BI197" s="1682">
        <v>0</v>
      </c>
      <c r="BJ197" s="1682">
        <v>0</v>
      </c>
      <c r="BK197" s="1682">
        <v>0</v>
      </c>
      <c r="BL197" s="1682">
        <v>0</v>
      </c>
      <c r="BM197" s="4455"/>
      <c r="BN197" s="4455"/>
      <c r="BO197" s="4455">
        <v>2</v>
      </c>
      <c r="BP197" s="4455"/>
      <c r="BT197" s="1520" t="s">
        <v>483</v>
      </c>
      <c r="BU197" s="1520" t="s">
        <v>1071</v>
      </c>
      <c r="BV197" s="3872">
        <v>0</v>
      </c>
      <c r="BW197" s="3872"/>
      <c r="BX197" s="3872">
        <v>0</v>
      </c>
      <c r="BY197" s="3872"/>
      <c r="BZ197" s="3872">
        <v>0</v>
      </c>
      <c r="CA197" s="3872"/>
      <c r="CB197" s="3872">
        <v>0</v>
      </c>
      <c r="CC197" s="3872">
        <v>0</v>
      </c>
      <c r="CD197" s="3872"/>
      <c r="CE197" s="3872">
        <v>0</v>
      </c>
      <c r="CF197" s="3872">
        <v>0</v>
      </c>
      <c r="CG197" s="3872">
        <v>0</v>
      </c>
      <c r="CH197" s="3872">
        <v>1</v>
      </c>
      <c r="CI197" s="3872"/>
      <c r="CJ197" s="3806"/>
      <c r="CK197" s="3806">
        <v>1</v>
      </c>
      <c r="CL197" s="1520"/>
      <c r="CN197" s="36"/>
      <c r="CO197" s="36"/>
      <c r="CP197" s="36"/>
      <c r="CQ197" s="393" t="s">
        <v>15</v>
      </c>
      <c r="CR197" s="2049"/>
      <c r="CS197" s="2049"/>
      <c r="CT197" s="2049"/>
      <c r="CU197" s="2049"/>
      <c r="CV197" s="2049"/>
      <c r="CW197" s="2049"/>
      <c r="CX197" s="2049"/>
      <c r="CY197" s="2049"/>
      <c r="CZ197" s="2049"/>
      <c r="DA197" s="2049"/>
      <c r="DB197" s="2049"/>
      <c r="DC197" s="2049"/>
      <c r="DD197" s="2049">
        <v>2</v>
      </c>
      <c r="DE197" s="2049"/>
      <c r="DF197" s="2049">
        <v>3</v>
      </c>
      <c r="DG197" s="393">
        <v>1</v>
      </c>
      <c r="DH197" s="393">
        <v>1</v>
      </c>
      <c r="DI197" s="393">
        <v>7</v>
      </c>
      <c r="DJ197" s="560">
        <f>+DI196/DI197</f>
        <v>0.14285714285714285</v>
      </c>
      <c r="DK197" s="1665"/>
      <c r="DL197" s="36"/>
      <c r="DM197" s="36"/>
      <c r="DN197" s="36"/>
      <c r="DO197" s="36" t="s">
        <v>1072</v>
      </c>
      <c r="DP197" s="1681"/>
      <c r="DQ197" s="1681"/>
      <c r="DR197" s="1681"/>
      <c r="DS197" s="1681"/>
      <c r="DT197" s="1681"/>
      <c r="DU197" s="1681"/>
      <c r="DV197" s="1681"/>
      <c r="DW197" s="1681">
        <v>0</v>
      </c>
      <c r="DX197" s="1681"/>
      <c r="DY197" s="1681">
        <v>6</v>
      </c>
      <c r="DZ197" s="1681">
        <v>1</v>
      </c>
      <c r="EA197" s="1681"/>
      <c r="EB197" s="1681"/>
      <c r="EC197" s="1681">
        <v>0</v>
      </c>
      <c r="ED197" s="1681">
        <v>0</v>
      </c>
      <c r="EE197" s="95">
        <v>0</v>
      </c>
      <c r="EF197" s="95">
        <v>0</v>
      </c>
      <c r="EG197" s="95">
        <v>7</v>
      </c>
      <c r="EH197" s="36"/>
      <c r="EL197" s="36"/>
      <c r="EM197" s="36" t="s">
        <v>1077</v>
      </c>
      <c r="EN197" s="1490">
        <v>0</v>
      </c>
      <c r="EO197" s="1490">
        <v>3</v>
      </c>
      <c r="EP197" s="1490">
        <v>0</v>
      </c>
      <c r="EQ197" s="1490">
        <v>1</v>
      </c>
      <c r="ER197" s="1490">
        <v>1</v>
      </c>
      <c r="ES197" s="1490">
        <v>0</v>
      </c>
      <c r="ET197" s="1490">
        <v>1</v>
      </c>
      <c r="EU197" s="1490">
        <v>0</v>
      </c>
      <c r="EV197" s="1490">
        <v>0</v>
      </c>
      <c r="EW197" s="1490">
        <v>2</v>
      </c>
      <c r="EX197" s="1490">
        <v>0</v>
      </c>
      <c r="EY197" s="1490">
        <v>0</v>
      </c>
      <c r="EZ197" s="1490">
        <v>0</v>
      </c>
      <c r="FA197" s="1490">
        <v>1</v>
      </c>
      <c r="FB197" s="1490">
        <v>0</v>
      </c>
      <c r="FC197" s="36">
        <v>0</v>
      </c>
      <c r="FD197" s="36">
        <v>0</v>
      </c>
      <c r="FE197" s="36">
        <v>9</v>
      </c>
      <c r="FF197" s="36"/>
      <c r="HB197" s="36"/>
      <c r="HC197" s="36"/>
      <c r="HD197" s="36"/>
      <c r="HE197" s="36"/>
      <c r="HF197" s="36"/>
      <c r="HG197" s="36"/>
      <c r="HH197" s="36"/>
      <c r="HI197" s="36"/>
      <c r="HJ197" s="36"/>
      <c r="HK197" s="36"/>
      <c r="HL197" s="36"/>
      <c r="HM197" s="36"/>
      <c r="HN197" s="36"/>
      <c r="HO197" s="36"/>
      <c r="HP197" s="36"/>
      <c r="HQ197" s="36"/>
      <c r="HR197" s="36"/>
      <c r="HS197" s="36"/>
      <c r="HT197" s="36"/>
      <c r="HU197" s="36"/>
      <c r="HV197" s="36"/>
      <c r="HW197" s="36"/>
      <c r="HX197" s="36"/>
      <c r="HY197" s="36"/>
      <c r="HZ197" s="36"/>
      <c r="IA197" s="36"/>
      <c r="IB197" s="36"/>
      <c r="IC197" s="36"/>
      <c r="ID197" s="36"/>
      <c r="IE197" s="36"/>
      <c r="IF197" s="36"/>
      <c r="IG197" s="36"/>
      <c r="IH197" s="36"/>
      <c r="II197" s="36"/>
      <c r="IJ197" s="36"/>
      <c r="IK197" s="36"/>
      <c r="IL197" s="36"/>
      <c r="IM197" s="36"/>
      <c r="IN197" s="36"/>
      <c r="IO197" s="36"/>
      <c r="IP197" s="36"/>
      <c r="IQ197" s="36"/>
      <c r="IR197" s="36"/>
      <c r="IS197" s="36"/>
      <c r="IT197" s="36"/>
      <c r="IU197" s="36"/>
      <c r="IV197" s="95"/>
      <c r="IW197" s="95"/>
      <c r="IX197" s="36"/>
      <c r="IY197" s="36"/>
      <c r="IZ197" s="36"/>
      <c r="JA197" s="36"/>
      <c r="JB197" s="36"/>
      <c r="JC197" s="36"/>
      <c r="JD197" s="36"/>
      <c r="JE197" s="36"/>
      <c r="JF197" s="36"/>
      <c r="JG197" s="36"/>
      <c r="JH197" s="36"/>
      <c r="JI197" s="36"/>
      <c r="JJ197" s="36"/>
      <c r="JK197" s="36"/>
      <c r="JL197" s="36"/>
      <c r="JM197" s="36"/>
      <c r="JN197" s="36"/>
      <c r="JO197" s="36"/>
      <c r="JP197" s="36"/>
      <c r="JQ197" s="36"/>
      <c r="JR197" s="36"/>
      <c r="JS197" s="36"/>
      <c r="JT197" s="36"/>
      <c r="JU197" s="36"/>
      <c r="JV197" s="36"/>
      <c r="JW197" s="36"/>
      <c r="JX197" s="36"/>
      <c r="JY197" s="36"/>
      <c r="JZ197" s="36"/>
      <c r="KA197" s="36"/>
      <c r="KB197" s="36"/>
      <c r="KC197" s="36"/>
      <c r="KD197" s="36"/>
      <c r="KE197" s="36"/>
      <c r="KF197" s="36"/>
      <c r="KG197" s="36"/>
      <c r="KH197" s="36"/>
      <c r="KI197" s="36"/>
      <c r="KJ197" s="36"/>
      <c r="KK197" s="36"/>
      <c r="KL197" s="36"/>
      <c r="KM197" s="36"/>
      <c r="KN197" s="36"/>
      <c r="KO197" s="36"/>
    </row>
    <row r="198" spans="1:301">
      <c r="A198" s="5737"/>
      <c r="B198" s="5737"/>
      <c r="C198" s="5736"/>
      <c r="D198" s="5736"/>
      <c r="E198" s="5742">
        <f>SUM(E192:E197)</f>
        <v>11</v>
      </c>
      <c r="F198" s="5737"/>
      <c r="G198" s="5769">
        <f>+(E193+E195)/(E198)</f>
        <v>0.36363636363636365</v>
      </c>
      <c r="I198" s="4726">
        <v>3</v>
      </c>
      <c r="J198" s="4726">
        <v>4</v>
      </c>
      <c r="K198" s="4725" t="s">
        <v>298</v>
      </c>
      <c r="L198" s="4725" t="s">
        <v>2709</v>
      </c>
      <c r="M198" s="4726">
        <v>10</v>
      </c>
      <c r="N198" s="4726">
        <v>12</v>
      </c>
      <c r="Q198" s="4832"/>
      <c r="R198" s="4832"/>
      <c r="S198" s="4832"/>
      <c r="T198" s="4832"/>
      <c r="U198" s="4832"/>
      <c r="V198" s="4832"/>
      <c r="W198" s="4622"/>
      <c r="Z198" s="36"/>
      <c r="AA198" s="36"/>
      <c r="AB198" s="36"/>
      <c r="AC198" s="36" t="s">
        <v>1080</v>
      </c>
      <c r="AD198" s="615">
        <v>0</v>
      </c>
      <c r="AE198" s="615"/>
      <c r="AF198" s="615"/>
      <c r="AG198" s="615"/>
      <c r="AH198" s="615"/>
      <c r="AI198" s="615"/>
      <c r="AJ198" s="615">
        <v>0</v>
      </c>
      <c r="AK198" s="615"/>
      <c r="AL198" s="615">
        <v>0</v>
      </c>
      <c r="AM198" s="615"/>
      <c r="AN198" s="615">
        <v>1</v>
      </c>
      <c r="AO198" s="615">
        <v>4</v>
      </c>
      <c r="AP198" s="615"/>
      <c r="AQ198" s="36"/>
      <c r="AR198" s="36">
        <v>5</v>
      </c>
      <c r="AS198" s="36"/>
      <c r="AU198" s="36"/>
      <c r="AV198" s="36"/>
      <c r="AW198" s="393"/>
      <c r="AX198" s="393" t="s">
        <v>1080</v>
      </c>
      <c r="AY198" s="1682"/>
      <c r="AZ198" s="1682"/>
      <c r="BA198" s="1682">
        <v>0</v>
      </c>
      <c r="BB198" s="1682"/>
      <c r="BC198" s="1682">
        <v>0</v>
      </c>
      <c r="BD198" s="1682"/>
      <c r="BE198" s="1682">
        <v>0</v>
      </c>
      <c r="BF198" s="1682">
        <v>0</v>
      </c>
      <c r="BG198" s="1682"/>
      <c r="BH198" s="1682">
        <v>0</v>
      </c>
      <c r="BI198" s="1682">
        <v>0</v>
      </c>
      <c r="BJ198" s="1682">
        <v>0</v>
      </c>
      <c r="BK198" s="1682">
        <v>3</v>
      </c>
      <c r="BL198" s="1682">
        <v>4</v>
      </c>
      <c r="BM198" s="4455"/>
      <c r="BN198" s="4455"/>
      <c r="BO198" s="4455">
        <v>7</v>
      </c>
      <c r="BP198" s="4455"/>
      <c r="BT198" s="1520"/>
      <c r="BU198" s="1520" t="s">
        <v>1072</v>
      </c>
      <c r="BV198" s="3872">
        <v>0</v>
      </c>
      <c r="BW198" s="3872"/>
      <c r="BX198" s="3872">
        <v>0</v>
      </c>
      <c r="BY198" s="3872"/>
      <c r="BZ198" s="3872">
        <v>0</v>
      </c>
      <c r="CA198" s="3872"/>
      <c r="CB198" s="3872">
        <v>1</v>
      </c>
      <c r="CC198" s="3872">
        <v>0</v>
      </c>
      <c r="CD198" s="3872"/>
      <c r="CE198" s="3872">
        <v>2</v>
      </c>
      <c r="CF198" s="3872">
        <v>1</v>
      </c>
      <c r="CG198" s="3872">
        <v>4</v>
      </c>
      <c r="CH198" s="3872">
        <v>0</v>
      </c>
      <c r="CI198" s="3872"/>
      <c r="CJ198" s="3806"/>
      <c r="CK198" s="3806">
        <v>8</v>
      </c>
      <c r="CL198" s="1520"/>
      <c r="CN198" s="36"/>
      <c r="CO198" s="36"/>
      <c r="CP198" s="393" t="s">
        <v>485</v>
      </c>
      <c r="CQ198" s="393" t="s">
        <v>1072</v>
      </c>
      <c r="CR198" s="2049"/>
      <c r="CS198" s="2049"/>
      <c r="CT198" s="2049"/>
      <c r="CU198" s="2049"/>
      <c r="CV198" s="2049">
        <v>1</v>
      </c>
      <c r="CW198" s="2049"/>
      <c r="CX198" s="2049"/>
      <c r="CY198" s="2049"/>
      <c r="CZ198" s="2049"/>
      <c r="DA198" s="2049">
        <v>4</v>
      </c>
      <c r="DB198" s="2049">
        <v>1</v>
      </c>
      <c r="DC198" s="2049"/>
      <c r="DD198" s="2049">
        <v>2</v>
      </c>
      <c r="DE198" s="2049">
        <v>0</v>
      </c>
      <c r="DF198" s="2049">
        <v>0</v>
      </c>
      <c r="DG198" s="393">
        <v>1</v>
      </c>
      <c r="DH198" s="393">
        <v>0</v>
      </c>
      <c r="DI198" s="393">
        <v>9</v>
      </c>
      <c r="DJ198" s="36"/>
      <c r="DL198" s="36"/>
      <c r="DM198" s="36"/>
      <c r="DN198" s="36"/>
      <c r="DO198" s="36" t="s">
        <v>1074</v>
      </c>
      <c r="DP198" s="1681"/>
      <c r="DQ198" s="1681"/>
      <c r="DR198" s="1681"/>
      <c r="DS198" s="1681"/>
      <c r="DT198" s="1681"/>
      <c r="DU198" s="1681"/>
      <c r="DV198" s="1681"/>
      <c r="DW198" s="1681">
        <v>1</v>
      </c>
      <c r="DX198" s="1681"/>
      <c r="DY198" s="1681">
        <v>0</v>
      </c>
      <c r="DZ198" s="1681">
        <v>0</v>
      </c>
      <c r="EA198" s="1681"/>
      <c r="EB198" s="1681"/>
      <c r="EC198" s="1681">
        <v>0</v>
      </c>
      <c r="ED198" s="1681">
        <v>0</v>
      </c>
      <c r="EE198" s="95">
        <v>0</v>
      </c>
      <c r="EF198" s="95">
        <v>0</v>
      </c>
      <c r="EG198" s="95">
        <v>1</v>
      </c>
      <c r="EH198" s="36"/>
      <c r="EL198" s="36"/>
      <c r="EM198" s="36" t="s">
        <v>1080</v>
      </c>
      <c r="EN198" s="1490">
        <v>0</v>
      </c>
      <c r="EO198" s="1490">
        <v>0</v>
      </c>
      <c r="EP198" s="1490">
        <v>0</v>
      </c>
      <c r="EQ198" s="1490">
        <v>0</v>
      </c>
      <c r="ER198" s="1490">
        <v>0</v>
      </c>
      <c r="ES198" s="1490">
        <v>0</v>
      </c>
      <c r="ET198" s="1490">
        <v>0</v>
      </c>
      <c r="EU198" s="1490">
        <v>1</v>
      </c>
      <c r="EV198" s="1490">
        <v>0</v>
      </c>
      <c r="EW198" s="1490">
        <v>0</v>
      </c>
      <c r="EX198" s="1490">
        <v>1</v>
      </c>
      <c r="EY198" s="1490">
        <v>0</v>
      </c>
      <c r="EZ198" s="1490">
        <v>1</v>
      </c>
      <c r="FA198" s="1490">
        <v>2</v>
      </c>
      <c r="FB198" s="1490">
        <v>46</v>
      </c>
      <c r="FC198" s="36">
        <v>11</v>
      </c>
      <c r="FD198" s="36">
        <v>25</v>
      </c>
      <c r="FE198" s="36">
        <v>87</v>
      </c>
      <c r="FF198" s="36"/>
      <c r="HB198" s="36"/>
      <c r="HC198" s="36"/>
      <c r="HD198" s="36"/>
      <c r="HE198" s="36"/>
      <c r="HF198" s="36"/>
      <c r="HG198" s="36"/>
      <c r="HH198" s="36"/>
      <c r="HI198" s="36"/>
      <c r="HJ198" s="36"/>
      <c r="HK198" s="36"/>
      <c r="HL198" s="36"/>
      <c r="HM198" s="36"/>
      <c r="HN198" s="36"/>
      <c r="HO198" s="36"/>
      <c r="HP198" s="36"/>
      <c r="HQ198" s="36"/>
      <c r="HR198" s="36"/>
      <c r="HS198" s="36"/>
      <c r="HT198" s="36"/>
      <c r="HU198" s="36"/>
      <c r="HV198" s="36"/>
      <c r="HW198" s="36"/>
      <c r="HX198" s="36"/>
      <c r="HY198" s="36"/>
      <c r="HZ198" s="36"/>
      <c r="IA198" s="36"/>
      <c r="IB198" s="36"/>
      <c r="IC198" s="36"/>
      <c r="ID198" s="36"/>
      <c r="IE198" s="36"/>
      <c r="IF198" s="36"/>
      <c r="IG198" s="36"/>
      <c r="IH198" s="36"/>
      <c r="II198" s="36"/>
      <c r="IJ198" s="36"/>
      <c r="IK198" s="36"/>
      <c r="IL198" s="36"/>
      <c r="IM198" s="36"/>
      <c r="IN198" s="36"/>
      <c r="IO198" s="36"/>
      <c r="IP198" s="36"/>
      <c r="IQ198" s="36"/>
      <c r="IR198" s="36"/>
      <c r="IS198" s="36"/>
      <c r="IT198" s="36"/>
      <c r="IU198" s="36"/>
      <c r="IV198" s="95"/>
      <c r="IW198" s="95"/>
      <c r="IX198" s="36"/>
      <c r="IY198" s="36"/>
      <c r="IZ198" s="36"/>
      <c r="JA198" s="36"/>
      <c r="JB198" s="36"/>
      <c r="JC198" s="36"/>
      <c r="JD198" s="36"/>
      <c r="JE198" s="36"/>
      <c r="JF198" s="36"/>
      <c r="JG198" s="36"/>
      <c r="JH198" s="36"/>
      <c r="JI198" s="36"/>
      <c r="JJ198" s="36"/>
      <c r="JK198" s="36"/>
      <c r="JL198" s="36"/>
      <c r="JM198" s="36"/>
      <c r="JN198" s="36"/>
      <c r="JO198" s="36"/>
      <c r="JP198" s="36"/>
      <c r="JQ198" s="36"/>
      <c r="JR198" s="36"/>
      <c r="JS198" s="36"/>
      <c r="JT198" s="36"/>
      <c r="JU198" s="36"/>
      <c r="JV198" s="36"/>
      <c r="JW198" s="36"/>
      <c r="JX198" s="36"/>
      <c r="JY198" s="36"/>
      <c r="JZ198" s="36"/>
      <c r="KA198" s="36"/>
      <c r="KB198" s="36"/>
      <c r="KC198" s="36"/>
      <c r="KD198" s="36"/>
      <c r="KE198" s="36"/>
      <c r="KF198" s="36"/>
      <c r="KG198" s="36"/>
      <c r="KH198" s="36"/>
      <c r="KI198" s="36"/>
      <c r="KJ198" s="36"/>
      <c r="KK198" s="36"/>
      <c r="KL198" s="36"/>
      <c r="KM198" s="36"/>
      <c r="KN198" s="36"/>
      <c r="KO198" s="36"/>
    </row>
    <row r="199" spans="1:301">
      <c r="A199" s="5737">
        <v>3</v>
      </c>
      <c r="B199" s="5737">
        <v>3</v>
      </c>
      <c r="C199" s="5736" t="s">
        <v>525</v>
      </c>
      <c r="D199" s="5739" t="s">
        <v>2707</v>
      </c>
      <c r="E199" s="5737">
        <v>2</v>
      </c>
      <c r="F199" s="5737">
        <v>12</v>
      </c>
      <c r="I199" s="4726"/>
      <c r="J199" s="4726"/>
      <c r="K199" s="4971" t="s">
        <v>21</v>
      </c>
      <c r="L199" s="4990"/>
      <c r="M199" s="4991">
        <f t="shared" ref="M199" si="1">SUM(M197:M198)</f>
        <v>11</v>
      </c>
      <c r="N199" s="4973"/>
      <c r="O199" s="4451">
        <v>0</v>
      </c>
      <c r="Q199" s="4832"/>
      <c r="R199" s="4832"/>
      <c r="S199" s="4832"/>
      <c r="T199" s="4832"/>
      <c r="U199" s="4832"/>
      <c r="V199" s="4832"/>
      <c r="W199" s="4622"/>
      <c r="Z199" s="36"/>
      <c r="AA199" s="36"/>
      <c r="AB199" s="36"/>
      <c r="AC199" s="36" t="s">
        <v>2571</v>
      </c>
      <c r="AD199" s="615">
        <v>1</v>
      </c>
      <c r="AE199" s="615"/>
      <c r="AF199" s="615"/>
      <c r="AG199" s="615"/>
      <c r="AH199" s="615"/>
      <c r="AI199" s="615"/>
      <c r="AJ199" s="615">
        <v>0</v>
      </c>
      <c r="AK199" s="615"/>
      <c r="AL199" s="615">
        <v>0</v>
      </c>
      <c r="AM199" s="615"/>
      <c r="AN199" s="615">
        <v>0</v>
      </c>
      <c r="AO199" s="615">
        <v>0</v>
      </c>
      <c r="AP199" s="615"/>
      <c r="AQ199" s="36"/>
      <c r="AR199" s="36">
        <v>1</v>
      </c>
      <c r="AS199" s="36"/>
      <c r="AU199" s="36"/>
      <c r="AV199" s="36"/>
      <c r="AW199" s="393"/>
      <c r="AX199" s="393" t="s">
        <v>1081</v>
      </c>
      <c r="AY199" s="1682"/>
      <c r="AZ199" s="1682"/>
      <c r="BA199" s="1682">
        <v>0</v>
      </c>
      <c r="BB199" s="1682"/>
      <c r="BC199" s="1682">
        <v>0</v>
      </c>
      <c r="BD199" s="1682"/>
      <c r="BE199" s="1682">
        <v>0</v>
      </c>
      <c r="BF199" s="1682">
        <v>0</v>
      </c>
      <c r="BG199" s="1682"/>
      <c r="BH199" s="1682">
        <v>1</v>
      </c>
      <c r="BI199" s="1682">
        <v>0</v>
      </c>
      <c r="BJ199" s="1682">
        <v>0</v>
      </c>
      <c r="BK199" s="1682">
        <v>0</v>
      </c>
      <c r="BL199" s="1682">
        <v>0</v>
      </c>
      <c r="BM199" s="4455"/>
      <c r="BN199" s="4455"/>
      <c r="BO199" s="4455">
        <v>1</v>
      </c>
      <c r="BP199" s="4455"/>
      <c r="BT199" s="1520"/>
      <c r="BU199" s="1520" t="s">
        <v>1077</v>
      </c>
      <c r="BV199" s="3872">
        <v>0</v>
      </c>
      <c r="BW199" s="3872"/>
      <c r="BX199" s="3872">
        <v>0</v>
      </c>
      <c r="BY199" s="3872"/>
      <c r="BZ199" s="3872">
        <v>1</v>
      </c>
      <c r="CA199" s="3872"/>
      <c r="CB199" s="3872">
        <v>0</v>
      </c>
      <c r="CC199" s="3872">
        <v>1</v>
      </c>
      <c r="CD199" s="3872"/>
      <c r="CE199" s="3872">
        <v>0</v>
      </c>
      <c r="CF199" s="3872">
        <v>0</v>
      </c>
      <c r="CG199" s="3872">
        <v>0</v>
      </c>
      <c r="CH199" s="3872">
        <v>0</v>
      </c>
      <c r="CI199" s="3872"/>
      <c r="CJ199" s="3806"/>
      <c r="CK199" s="3806">
        <v>2</v>
      </c>
      <c r="CL199" s="1520"/>
      <c r="CN199" s="36"/>
      <c r="CO199" s="36"/>
      <c r="CP199" s="393"/>
      <c r="CQ199" s="393" t="s">
        <v>1076</v>
      </c>
      <c r="CR199" s="2049"/>
      <c r="CS199" s="2049"/>
      <c r="CT199" s="2049"/>
      <c r="CU199" s="2049"/>
      <c r="CV199" s="2049">
        <v>0</v>
      </c>
      <c r="CW199" s="2049"/>
      <c r="CX199" s="2049"/>
      <c r="CY199" s="2049"/>
      <c r="CZ199" s="2049"/>
      <c r="DA199" s="2049">
        <v>2</v>
      </c>
      <c r="DB199" s="2049">
        <v>0</v>
      </c>
      <c r="DC199" s="2049"/>
      <c r="DD199" s="2049">
        <v>1</v>
      </c>
      <c r="DE199" s="2049">
        <v>0</v>
      </c>
      <c r="DF199" s="2049">
        <v>0</v>
      </c>
      <c r="DG199" s="393">
        <v>0</v>
      </c>
      <c r="DH199" s="393">
        <v>0</v>
      </c>
      <c r="DI199" s="393">
        <v>3</v>
      </c>
      <c r="DJ199" s="36"/>
      <c r="DL199" s="36"/>
      <c r="DM199" s="36"/>
      <c r="DN199" s="36"/>
      <c r="DO199" s="36" t="s">
        <v>1076</v>
      </c>
      <c r="DP199" s="1681"/>
      <c r="DQ199" s="1681"/>
      <c r="DR199" s="1681"/>
      <c r="DS199" s="1681"/>
      <c r="DT199" s="1681"/>
      <c r="DU199" s="1681"/>
      <c r="DV199" s="1681"/>
      <c r="DW199" s="1681">
        <v>0</v>
      </c>
      <c r="DX199" s="1681"/>
      <c r="DY199" s="1681">
        <v>1</v>
      </c>
      <c r="DZ199" s="1681">
        <v>0</v>
      </c>
      <c r="EA199" s="1681"/>
      <c r="EB199" s="1681"/>
      <c r="EC199" s="1681">
        <v>1</v>
      </c>
      <c r="ED199" s="1681">
        <v>0</v>
      </c>
      <c r="EE199" s="95">
        <v>0</v>
      </c>
      <c r="EF199" s="95">
        <v>0</v>
      </c>
      <c r="EG199" s="95">
        <v>2</v>
      </c>
      <c r="EH199" s="36"/>
      <c r="EL199" s="36"/>
      <c r="EM199" s="36" t="s">
        <v>1081</v>
      </c>
      <c r="EN199" s="1490">
        <v>0</v>
      </c>
      <c r="EO199" s="1490">
        <v>0</v>
      </c>
      <c r="EP199" s="1490">
        <v>0</v>
      </c>
      <c r="EQ199" s="1490">
        <v>0</v>
      </c>
      <c r="ER199" s="1490">
        <v>0</v>
      </c>
      <c r="ES199" s="1490">
        <v>0</v>
      </c>
      <c r="ET199" s="1490">
        <v>0</v>
      </c>
      <c r="EU199" s="1490">
        <v>0</v>
      </c>
      <c r="EV199" s="1490">
        <v>0</v>
      </c>
      <c r="EW199" s="1490">
        <v>2</v>
      </c>
      <c r="EX199" s="1490">
        <v>1</v>
      </c>
      <c r="EY199" s="1490">
        <v>2</v>
      </c>
      <c r="EZ199" s="1490">
        <v>1</v>
      </c>
      <c r="FA199" s="1490">
        <v>1</v>
      </c>
      <c r="FB199" s="1490">
        <v>1</v>
      </c>
      <c r="FC199" s="36">
        <v>0</v>
      </c>
      <c r="FD199" s="36">
        <v>0</v>
      </c>
      <c r="FE199" s="36">
        <v>8</v>
      </c>
      <c r="FF199" s="36"/>
      <c r="HB199" s="36"/>
      <c r="HC199" s="36"/>
      <c r="HD199" s="36"/>
      <c r="HE199" s="36"/>
      <c r="HF199" s="36"/>
      <c r="HG199" s="36"/>
      <c r="HH199" s="36"/>
      <c r="HI199" s="36"/>
      <c r="HJ199" s="36"/>
      <c r="HK199" s="36"/>
      <c r="HL199" s="36"/>
      <c r="HM199" s="36"/>
      <c r="HN199" s="36"/>
      <c r="HO199" s="36"/>
      <c r="HP199" s="36"/>
      <c r="HQ199" s="36"/>
      <c r="HR199" s="36"/>
      <c r="HS199" s="36"/>
      <c r="HT199" s="36"/>
      <c r="HU199" s="36"/>
      <c r="HV199" s="36"/>
      <c r="HW199" s="36"/>
      <c r="HX199" s="36"/>
      <c r="HY199" s="36"/>
      <c r="HZ199" s="36"/>
      <c r="IA199" s="36"/>
      <c r="IB199" s="36"/>
      <c r="IC199" s="36"/>
      <c r="ID199" s="36"/>
      <c r="IE199" s="36"/>
      <c r="IF199" s="36"/>
      <c r="IG199" s="36"/>
      <c r="IH199" s="36"/>
      <c r="II199" s="36"/>
      <c r="IJ199" s="36"/>
      <c r="IK199" s="36"/>
      <c r="IL199" s="36"/>
      <c r="IM199" s="36"/>
      <c r="IN199" s="36"/>
      <c r="IO199" s="36"/>
      <c r="IP199" s="36"/>
      <c r="IQ199" s="36"/>
      <c r="IR199" s="36"/>
      <c r="IS199" s="36"/>
      <c r="IT199" s="36"/>
      <c r="IU199" s="36"/>
      <c r="IV199" s="95"/>
      <c r="IW199" s="95"/>
      <c r="IX199" s="36"/>
      <c r="IY199" s="36"/>
      <c r="IZ199" s="36"/>
      <c r="JA199" s="36"/>
      <c r="JB199" s="36"/>
      <c r="JC199" s="36"/>
      <c r="JD199" s="36"/>
      <c r="JE199" s="36"/>
      <c r="JF199" s="36"/>
      <c r="JG199" s="36"/>
      <c r="JH199" s="36"/>
      <c r="JI199" s="36"/>
      <c r="JJ199" s="36"/>
      <c r="JK199" s="36"/>
      <c r="JL199" s="36"/>
      <c r="JM199" s="36"/>
      <c r="JN199" s="36"/>
      <c r="JO199" s="36"/>
      <c r="JP199" s="36"/>
      <c r="JQ199" s="36"/>
      <c r="JR199" s="36"/>
      <c r="JS199" s="36"/>
      <c r="JT199" s="36"/>
      <c r="JU199" s="36"/>
      <c r="JV199" s="36"/>
      <c r="JW199" s="36"/>
      <c r="JX199" s="36"/>
      <c r="JY199" s="36"/>
      <c r="JZ199" s="36"/>
      <c r="KA199" s="36"/>
      <c r="KB199" s="36"/>
      <c r="KC199" s="36"/>
      <c r="KD199" s="36"/>
      <c r="KE199" s="36"/>
      <c r="KF199" s="36"/>
      <c r="KG199" s="36"/>
      <c r="KH199" s="36"/>
      <c r="KI199" s="36"/>
      <c r="KJ199" s="36"/>
      <c r="KK199" s="36"/>
      <c r="KL199" s="36"/>
      <c r="KM199" s="36"/>
      <c r="KN199" s="36"/>
      <c r="KO199" s="36"/>
    </row>
    <row r="200" spans="1:301">
      <c r="A200" s="5737">
        <v>3</v>
      </c>
      <c r="B200" s="5737">
        <v>3</v>
      </c>
      <c r="C200" s="5736" t="s">
        <v>525</v>
      </c>
      <c r="D200" s="5739" t="s">
        <v>2707</v>
      </c>
      <c r="E200" s="5737">
        <v>1</v>
      </c>
      <c r="F200" s="5737">
        <v>13</v>
      </c>
      <c r="I200" s="4726"/>
      <c r="J200" s="4726"/>
      <c r="K200" s="4978"/>
      <c r="L200" s="4978"/>
      <c r="M200" s="4976">
        <f>SUM(M183,M195)</f>
        <v>20</v>
      </c>
      <c r="N200" s="4979"/>
      <c r="Q200" s="4832"/>
      <c r="R200" s="4832"/>
      <c r="S200" s="4832"/>
      <c r="T200" s="4832"/>
      <c r="U200" s="4832"/>
      <c r="V200" s="4832"/>
      <c r="W200" s="4622"/>
      <c r="Z200" s="36"/>
      <c r="AA200" s="36"/>
      <c r="AB200" s="36"/>
      <c r="AC200" s="4236" t="s">
        <v>15</v>
      </c>
      <c r="AD200" s="4236">
        <v>1</v>
      </c>
      <c r="AE200" s="4236"/>
      <c r="AF200" s="4236"/>
      <c r="AG200" s="4236"/>
      <c r="AH200" s="4236"/>
      <c r="AI200" s="4236"/>
      <c r="AJ200" s="4236">
        <v>2</v>
      </c>
      <c r="AK200" s="4236"/>
      <c r="AL200" s="4236">
        <v>1</v>
      </c>
      <c r="AM200" s="4236"/>
      <c r="AN200" s="4236">
        <v>4</v>
      </c>
      <c r="AO200" s="4236">
        <v>5</v>
      </c>
      <c r="AP200" s="4236"/>
      <c r="AQ200" s="4236"/>
      <c r="AR200" s="4236">
        <v>13</v>
      </c>
      <c r="AS200" s="4243">
        <v>0</v>
      </c>
      <c r="AU200" s="36"/>
      <c r="AV200" s="36"/>
      <c r="AW200" s="393"/>
      <c r="AX200" s="36" t="s">
        <v>15</v>
      </c>
      <c r="AY200" s="1682"/>
      <c r="AZ200" s="1682"/>
      <c r="BA200" s="1682">
        <v>0</v>
      </c>
      <c r="BB200" s="1682"/>
      <c r="BC200" s="1682">
        <v>1</v>
      </c>
      <c r="BD200" s="1682"/>
      <c r="BE200" s="1682">
        <v>1</v>
      </c>
      <c r="BF200" s="1682">
        <v>1</v>
      </c>
      <c r="BG200" s="1682"/>
      <c r="BH200" s="1682">
        <v>2</v>
      </c>
      <c r="BI200" s="1682">
        <v>1</v>
      </c>
      <c r="BJ200" s="1682">
        <v>5</v>
      </c>
      <c r="BK200" s="1682">
        <v>3</v>
      </c>
      <c r="BL200" s="1682">
        <v>4</v>
      </c>
      <c r="BM200" s="4455"/>
      <c r="BN200" s="4455"/>
      <c r="BO200" s="4455">
        <v>18</v>
      </c>
      <c r="BP200" s="560">
        <f>+(BO196+BO198+BO199)/(BO200)</f>
        <v>0.5</v>
      </c>
      <c r="BT200" s="1520"/>
      <c r="BU200" s="1520" t="s">
        <v>1080</v>
      </c>
      <c r="BV200" s="3872">
        <v>0</v>
      </c>
      <c r="BW200" s="3872"/>
      <c r="BX200" s="3872">
        <v>0</v>
      </c>
      <c r="BY200" s="3872"/>
      <c r="BZ200" s="3872">
        <v>0</v>
      </c>
      <c r="CA200" s="3872"/>
      <c r="CB200" s="3872">
        <v>0</v>
      </c>
      <c r="CC200" s="3872">
        <v>0</v>
      </c>
      <c r="CD200" s="3872"/>
      <c r="CE200" s="3872">
        <v>0</v>
      </c>
      <c r="CF200" s="3872">
        <v>0</v>
      </c>
      <c r="CG200" s="3872">
        <v>0</v>
      </c>
      <c r="CH200" s="3872">
        <v>6</v>
      </c>
      <c r="CI200" s="3872"/>
      <c r="CJ200" s="3806"/>
      <c r="CK200" s="3806">
        <v>6</v>
      </c>
      <c r="CL200" s="1520"/>
      <c r="CN200" s="36"/>
      <c r="CO200" s="36"/>
      <c r="CP200" s="393"/>
      <c r="CQ200" s="393" t="s">
        <v>1080</v>
      </c>
      <c r="CR200" s="2049"/>
      <c r="CS200" s="2049"/>
      <c r="CT200" s="2049"/>
      <c r="CU200" s="2049"/>
      <c r="CV200" s="2049">
        <v>0</v>
      </c>
      <c r="CW200" s="2049"/>
      <c r="CX200" s="2049"/>
      <c r="CY200" s="2049"/>
      <c r="CZ200" s="2049"/>
      <c r="DA200" s="2049">
        <v>0</v>
      </c>
      <c r="DB200" s="2049">
        <v>0</v>
      </c>
      <c r="DC200" s="2049"/>
      <c r="DD200" s="2049">
        <v>0</v>
      </c>
      <c r="DE200" s="2049">
        <v>0</v>
      </c>
      <c r="DF200" s="2049">
        <v>6</v>
      </c>
      <c r="DG200" s="393">
        <v>0</v>
      </c>
      <c r="DH200" s="393">
        <v>4</v>
      </c>
      <c r="DI200" s="393">
        <v>10</v>
      </c>
      <c r="DJ200" s="36"/>
      <c r="DL200" s="36"/>
      <c r="DM200" s="36"/>
      <c r="DN200" s="36"/>
      <c r="DO200" s="36" t="s">
        <v>1080</v>
      </c>
      <c r="DP200" s="1681"/>
      <c r="DQ200" s="1681"/>
      <c r="DR200" s="1681"/>
      <c r="DS200" s="1681"/>
      <c r="DT200" s="1681"/>
      <c r="DU200" s="1681"/>
      <c r="DV200" s="1681"/>
      <c r="DW200" s="1681">
        <v>0</v>
      </c>
      <c r="DX200" s="1681"/>
      <c r="DY200" s="1681">
        <v>0</v>
      </c>
      <c r="DZ200" s="1681">
        <v>0</v>
      </c>
      <c r="EA200" s="1681"/>
      <c r="EB200" s="1681"/>
      <c r="EC200" s="1681">
        <v>0</v>
      </c>
      <c r="ED200" s="1681">
        <v>2</v>
      </c>
      <c r="EE200" s="95">
        <v>1</v>
      </c>
      <c r="EF200" s="95">
        <v>2</v>
      </c>
      <c r="EG200" s="95">
        <v>5</v>
      </c>
      <c r="EH200" s="36"/>
      <c r="EL200" s="36"/>
      <c r="EM200" s="36" t="s">
        <v>1163</v>
      </c>
      <c r="EN200" s="1490">
        <v>0</v>
      </c>
      <c r="EO200" s="1490">
        <v>0</v>
      </c>
      <c r="EP200" s="1490">
        <v>0</v>
      </c>
      <c r="EQ200" s="1490">
        <v>0</v>
      </c>
      <c r="ER200" s="1490">
        <v>0</v>
      </c>
      <c r="ES200" s="1490">
        <v>0</v>
      </c>
      <c r="ET200" s="1490">
        <v>2</v>
      </c>
      <c r="EU200" s="1490">
        <v>2</v>
      </c>
      <c r="EV200" s="1490">
        <v>0</v>
      </c>
      <c r="EW200" s="1490">
        <v>8</v>
      </c>
      <c r="EX200" s="1490">
        <v>3</v>
      </c>
      <c r="EY200" s="1490">
        <v>1</v>
      </c>
      <c r="EZ200" s="1490">
        <v>11</v>
      </c>
      <c r="FA200" s="1490">
        <v>14</v>
      </c>
      <c r="FB200" s="1490">
        <v>2</v>
      </c>
      <c r="FC200" s="36">
        <v>1</v>
      </c>
      <c r="FD200" s="36">
        <v>0</v>
      </c>
      <c r="FE200" s="36">
        <v>44</v>
      </c>
      <c r="FF200" s="36"/>
      <c r="HB200" s="36"/>
      <c r="HC200" s="36"/>
      <c r="HD200" s="36"/>
      <c r="HE200" s="36"/>
      <c r="HF200" s="36"/>
      <c r="HG200" s="36"/>
      <c r="HH200" s="36"/>
      <c r="HI200" s="36"/>
      <c r="HJ200" s="36"/>
      <c r="HK200" s="36"/>
      <c r="HL200" s="36"/>
      <c r="HM200" s="36"/>
      <c r="HN200" s="36"/>
      <c r="HO200" s="36"/>
      <c r="HP200" s="36"/>
      <c r="HQ200" s="36"/>
      <c r="HR200" s="36"/>
      <c r="HS200" s="36"/>
      <c r="HT200" s="36"/>
      <c r="HU200" s="36"/>
      <c r="HV200" s="36"/>
      <c r="HW200" s="36"/>
      <c r="HX200" s="36"/>
      <c r="HY200" s="36"/>
      <c r="HZ200" s="36"/>
      <c r="IA200" s="36"/>
      <c r="IB200" s="36"/>
      <c r="IC200" s="36"/>
      <c r="ID200" s="36"/>
      <c r="IE200" s="36"/>
      <c r="IF200" s="36"/>
      <c r="IG200" s="36"/>
      <c r="IH200" s="36"/>
      <c r="II200" s="36"/>
      <c r="IJ200" s="36"/>
      <c r="IK200" s="36"/>
      <c r="IL200" s="36"/>
      <c r="IM200" s="36"/>
      <c r="IN200" s="36"/>
      <c r="IO200" s="36"/>
      <c r="IP200" s="36"/>
      <c r="IQ200" s="36"/>
      <c r="IR200" s="36"/>
      <c r="IS200" s="36"/>
      <c r="IT200" s="36"/>
      <c r="IU200" s="36"/>
      <c r="IV200" s="95"/>
      <c r="IW200" s="95"/>
      <c r="IX200" s="36"/>
      <c r="IY200" s="36"/>
      <c r="IZ200" s="36"/>
      <c r="JA200" s="36"/>
      <c r="JB200" s="36"/>
      <c r="JC200" s="36"/>
      <c r="JD200" s="36"/>
      <c r="JE200" s="36"/>
      <c r="JF200" s="36"/>
      <c r="JG200" s="36"/>
      <c r="JH200" s="36"/>
      <c r="JI200" s="36"/>
      <c r="JJ200" s="36"/>
      <c r="JK200" s="36"/>
      <c r="JL200" s="36"/>
      <c r="JM200" s="36"/>
      <c r="JN200" s="36"/>
      <c r="JO200" s="36"/>
      <c r="JP200" s="36"/>
      <c r="JQ200" s="36"/>
      <c r="JR200" s="36"/>
      <c r="JS200" s="36"/>
      <c r="JT200" s="36"/>
      <c r="JU200" s="36"/>
      <c r="JV200" s="36"/>
      <c r="JW200" s="36"/>
      <c r="JX200" s="36"/>
      <c r="JY200" s="36"/>
      <c r="JZ200" s="36"/>
      <c r="KA200" s="36"/>
      <c r="KB200" s="36"/>
      <c r="KC200" s="36"/>
      <c r="KD200" s="36"/>
      <c r="KE200" s="36"/>
      <c r="KF200" s="36"/>
      <c r="KG200" s="36"/>
      <c r="KH200" s="36"/>
      <c r="KI200" s="36"/>
      <c r="KJ200" s="36"/>
      <c r="KK200" s="36"/>
      <c r="KL200" s="36"/>
      <c r="KM200" s="36"/>
      <c r="KN200" s="36"/>
      <c r="KO200" s="36"/>
    </row>
    <row r="201" spans="1:301">
      <c r="A201" s="5737">
        <v>3</v>
      </c>
      <c r="B201" s="5737">
        <v>3</v>
      </c>
      <c r="C201" s="5736" t="s">
        <v>525</v>
      </c>
      <c r="D201" s="5739" t="s">
        <v>1076</v>
      </c>
      <c r="E201" s="5737">
        <v>1</v>
      </c>
      <c r="F201" s="5737">
        <v>12</v>
      </c>
      <c r="I201" s="4992"/>
      <c r="J201" s="4993"/>
      <c r="K201" s="4982" t="s">
        <v>48</v>
      </c>
      <c r="L201" s="4994"/>
      <c r="M201" s="4995">
        <f>SUM(M184,M196,M199)</f>
        <v>128</v>
      </c>
      <c r="N201" s="4981"/>
      <c r="O201" s="4985">
        <f>+(M200)/(M201)</f>
        <v>0.15625</v>
      </c>
      <c r="Q201" s="4832"/>
      <c r="R201" s="4832"/>
      <c r="S201" s="4832"/>
      <c r="T201" s="4832"/>
      <c r="U201" s="4832"/>
      <c r="V201" s="4832"/>
      <c r="W201" s="4622"/>
      <c r="Z201" s="36"/>
      <c r="AA201" s="36" t="s">
        <v>64</v>
      </c>
      <c r="AB201" s="36" t="s">
        <v>320</v>
      </c>
      <c r="AC201" s="36" t="s">
        <v>1080</v>
      </c>
      <c r="AD201" s="615"/>
      <c r="AE201" s="615"/>
      <c r="AF201" s="615"/>
      <c r="AG201" s="615"/>
      <c r="AH201" s="615"/>
      <c r="AI201" s="615"/>
      <c r="AJ201" s="615"/>
      <c r="AK201" s="615"/>
      <c r="AL201" s="615"/>
      <c r="AM201" s="615"/>
      <c r="AN201" s="615"/>
      <c r="AO201" s="615">
        <v>2</v>
      </c>
      <c r="AP201" s="615"/>
      <c r="AQ201" s="36"/>
      <c r="AR201" s="36">
        <v>2</v>
      </c>
      <c r="AS201" s="36"/>
      <c r="AU201" s="36"/>
      <c r="AV201" s="36" t="s">
        <v>64</v>
      </c>
      <c r="AW201" s="36" t="s">
        <v>609</v>
      </c>
      <c r="AX201" s="36" t="s">
        <v>1071</v>
      </c>
      <c r="AY201" s="1681"/>
      <c r="AZ201" s="1681">
        <v>0</v>
      </c>
      <c r="BA201" s="1681"/>
      <c r="BB201" s="1681"/>
      <c r="BC201" s="1681"/>
      <c r="BD201" s="1681"/>
      <c r="BE201" s="1681"/>
      <c r="BF201" s="1681"/>
      <c r="BG201" s="1681"/>
      <c r="BH201" s="1681">
        <v>0</v>
      </c>
      <c r="BI201" s="1681">
        <v>0</v>
      </c>
      <c r="BJ201" s="1681">
        <v>0</v>
      </c>
      <c r="BK201" s="1681">
        <v>0</v>
      </c>
      <c r="BL201" s="1681">
        <v>1</v>
      </c>
      <c r="BM201" s="95">
        <v>0</v>
      </c>
      <c r="BN201" s="95"/>
      <c r="BO201" s="95">
        <v>1</v>
      </c>
      <c r="BP201" s="95"/>
      <c r="BT201" s="1520"/>
      <c r="BU201" s="1520" t="s">
        <v>1081</v>
      </c>
      <c r="BV201" s="3872">
        <v>0</v>
      </c>
      <c r="BW201" s="3872"/>
      <c r="BX201" s="3872">
        <v>0</v>
      </c>
      <c r="BY201" s="3872"/>
      <c r="BZ201" s="3872">
        <v>0</v>
      </c>
      <c r="CA201" s="3872"/>
      <c r="CB201" s="3872">
        <v>0</v>
      </c>
      <c r="CC201" s="3872">
        <v>0</v>
      </c>
      <c r="CD201" s="3872"/>
      <c r="CE201" s="3872">
        <v>0</v>
      </c>
      <c r="CF201" s="3872">
        <v>0</v>
      </c>
      <c r="CG201" s="3872">
        <v>1</v>
      </c>
      <c r="CH201" s="3872">
        <v>0</v>
      </c>
      <c r="CI201" s="3872"/>
      <c r="CJ201" s="3806"/>
      <c r="CK201" s="3806">
        <v>1</v>
      </c>
      <c r="CL201" s="1520"/>
      <c r="CN201" s="36"/>
      <c r="CO201" s="36"/>
      <c r="CP201" s="393"/>
      <c r="CQ201" s="393" t="s">
        <v>1081</v>
      </c>
      <c r="CR201" s="2049"/>
      <c r="CS201" s="2049"/>
      <c r="CT201" s="2049"/>
      <c r="CU201" s="2049"/>
      <c r="CV201" s="2049">
        <v>0</v>
      </c>
      <c r="CW201" s="2049"/>
      <c r="CX201" s="2049"/>
      <c r="CY201" s="2049"/>
      <c r="CZ201" s="2049"/>
      <c r="DA201" s="2049">
        <v>2</v>
      </c>
      <c r="DB201" s="2049">
        <v>1</v>
      </c>
      <c r="DC201" s="2049"/>
      <c r="DD201" s="2049">
        <v>3</v>
      </c>
      <c r="DE201" s="2049">
        <v>1</v>
      </c>
      <c r="DF201" s="2049">
        <v>0</v>
      </c>
      <c r="DG201" s="393">
        <v>0</v>
      </c>
      <c r="DH201" s="393">
        <v>0</v>
      </c>
      <c r="DI201" s="393">
        <v>7</v>
      </c>
      <c r="DJ201" s="36"/>
      <c r="DL201" s="36"/>
      <c r="DM201" s="36"/>
      <c r="DN201" s="36"/>
      <c r="DO201" s="36" t="s">
        <v>1081</v>
      </c>
      <c r="DP201" s="1681"/>
      <c r="DQ201" s="1681"/>
      <c r="DR201" s="1681"/>
      <c r="DS201" s="1681"/>
      <c r="DT201" s="1681"/>
      <c r="DU201" s="1681"/>
      <c r="DV201" s="1681"/>
      <c r="DW201" s="1681">
        <v>0</v>
      </c>
      <c r="DX201" s="1681"/>
      <c r="DY201" s="1681">
        <v>0</v>
      </c>
      <c r="DZ201" s="1681">
        <v>0</v>
      </c>
      <c r="EA201" s="1681"/>
      <c r="EB201" s="1681"/>
      <c r="EC201" s="1681">
        <v>0</v>
      </c>
      <c r="ED201" s="1681">
        <v>1</v>
      </c>
      <c r="EE201" s="95">
        <v>0</v>
      </c>
      <c r="EF201" s="95">
        <v>0</v>
      </c>
      <c r="EG201" s="95">
        <v>1</v>
      </c>
      <c r="EH201" s="36"/>
      <c r="EL201" s="36"/>
      <c r="EM201" s="36" t="s">
        <v>1735</v>
      </c>
      <c r="EN201" s="1490">
        <v>1</v>
      </c>
      <c r="EO201" s="1490">
        <v>0</v>
      </c>
      <c r="EP201" s="1490">
        <v>0</v>
      </c>
      <c r="EQ201" s="1490">
        <v>0</v>
      </c>
      <c r="ER201" s="1490">
        <v>0</v>
      </c>
      <c r="ES201" s="1490">
        <v>0</v>
      </c>
      <c r="ET201" s="1490">
        <v>0</v>
      </c>
      <c r="EU201" s="1490">
        <v>0</v>
      </c>
      <c r="EV201" s="1490">
        <v>0</v>
      </c>
      <c r="EW201" s="1490">
        <v>0</v>
      </c>
      <c r="EX201" s="1490">
        <v>0</v>
      </c>
      <c r="EY201" s="1490">
        <v>0</v>
      </c>
      <c r="EZ201" s="1490">
        <v>0</v>
      </c>
      <c r="FA201" s="1490">
        <v>0</v>
      </c>
      <c r="FB201" s="1490">
        <v>0</v>
      </c>
      <c r="FC201" s="36">
        <v>0</v>
      </c>
      <c r="FD201" s="36">
        <v>0</v>
      </c>
      <c r="FE201" s="36">
        <v>1</v>
      </c>
      <c r="FF201" s="36"/>
      <c r="HB201" s="36"/>
      <c r="HC201" s="36"/>
      <c r="HD201" s="36"/>
      <c r="HE201" s="36"/>
      <c r="HF201" s="36"/>
      <c r="HG201" s="36"/>
      <c r="HH201" s="36"/>
      <c r="HI201" s="36"/>
      <c r="HJ201" s="36"/>
      <c r="HK201" s="36"/>
      <c r="HL201" s="36"/>
      <c r="HM201" s="36"/>
      <c r="HN201" s="36"/>
      <c r="HO201" s="36"/>
      <c r="HP201" s="36"/>
      <c r="HQ201" s="36"/>
      <c r="HR201" s="36"/>
      <c r="HS201" s="36"/>
      <c r="HT201" s="36"/>
      <c r="HU201" s="36"/>
      <c r="HV201" s="36"/>
      <c r="HW201" s="36"/>
      <c r="HX201" s="36"/>
      <c r="HY201" s="36"/>
      <c r="HZ201" s="36"/>
      <c r="IA201" s="594"/>
      <c r="IB201" s="595"/>
      <c r="IC201" s="595"/>
      <c r="ID201" s="595"/>
      <c r="IE201" s="7024" t="s">
        <v>1137</v>
      </c>
      <c r="IF201" s="7024"/>
      <c r="IG201" s="7024"/>
      <c r="IH201" s="7024"/>
      <c r="II201" s="7024"/>
      <c r="IJ201" s="7024"/>
      <c r="IK201" s="7024"/>
      <c r="IL201" s="7024"/>
      <c r="IM201" s="7024"/>
      <c r="IN201" s="7024"/>
      <c r="IO201" s="7024"/>
      <c r="IP201" s="7024"/>
      <c r="IQ201" s="7024"/>
      <c r="IR201" s="594"/>
      <c r="IS201" s="36"/>
      <c r="IT201" s="36"/>
      <c r="IU201" s="36"/>
      <c r="IV201" s="95"/>
      <c r="IW201" s="95"/>
      <c r="IX201" s="36" t="s">
        <v>315</v>
      </c>
      <c r="IY201" s="393" t="s">
        <v>315</v>
      </c>
      <c r="IZ201" s="7001" t="s">
        <v>1138</v>
      </c>
      <c r="JA201" s="7001"/>
      <c r="JB201" s="7001"/>
      <c r="JC201" s="7001"/>
      <c r="JD201" s="7001"/>
      <c r="JE201" s="7001"/>
      <c r="JF201" s="7001"/>
      <c r="JG201" s="7001"/>
      <c r="JH201" s="7001"/>
      <c r="JI201" s="7001"/>
      <c r="JJ201" s="7001"/>
      <c r="JK201" s="7001"/>
      <c r="JL201" s="7001"/>
      <c r="JM201" s="7001"/>
      <c r="JN201" s="7001"/>
      <c r="JO201" s="7001"/>
      <c r="JP201" s="393"/>
      <c r="JQ201" s="36"/>
      <c r="JR201" s="36"/>
      <c r="JS201" s="36"/>
      <c r="JT201" s="36"/>
      <c r="JU201" s="36"/>
      <c r="JV201" s="36"/>
      <c r="JW201" s="7026" t="s">
        <v>1138</v>
      </c>
      <c r="JX201" s="7026"/>
      <c r="JY201" s="7026"/>
      <c r="JZ201" s="7026"/>
      <c r="KA201" s="7026"/>
      <c r="KB201" s="7026"/>
      <c r="KC201" s="7026"/>
      <c r="KD201" s="7026"/>
      <c r="KE201" s="7026"/>
      <c r="KF201" s="7026"/>
      <c r="KG201" s="7026"/>
      <c r="KH201" s="7026"/>
      <c r="KI201" s="7026"/>
      <c r="KJ201" s="7026"/>
      <c r="KK201" s="7026"/>
      <c r="KL201" s="7026"/>
      <c r="KM201" s="36"/>
      <c r="KN201" s="36"/>
      <c r="KO201" s="36"/>
    </row>
    <row r="202" spans="1:301" ht="16.5" customHeight="1" thickBot="1">
      <c r="A202" s="5737">
        <v>3</v>
      </c>
      <c r="B202" s="5737">
        <v>3</v>
      </c>
      <c r="C202" s="5736" t="s">
        <v>525</v>
      </c>
      <c r="D202" s="5736" t="s">
        <v>2709</v>
      </c>
      <c r="E202" s="5737">
        <v>1</v>
      </c>
      <c r="F202" s="5737">
        <v>12</v>
      </c>
      <c r="I202" s="4726">
        <v>4</v>
      </c>
      <c r="J202" s="4726">
        <v>2</v>
      </c>
      <c r="K202" s="4725" t="s">
        <v>608</v>
      </c>
      <c r="L202" s="4725" t="s">
        <v>2731</v>
      </c>
      <c r="M202" s="4726">
        <v>9</v>
      </c>
      <c r="N202" s="4726">
        <v>13</v>
      </c>
      <c r="Q202" s="4832"/>
      <c r="R202" s="4832"/>
      <c r="S202" s="4832"/>
      <c r="T202" s="4832"/>
      <c r="U202" s="4832"/>
      <c r="V202" s="4832"/>
      <c r="W202" s="4622"/>
      <c r="Z202" s="36"/>
      <c r="AA202" s="36"/>
      <c r="AB202" s="36"/>
      <c r="AC202" s="4236" t="s">
        <v>15</v>
      </c>
      <c r="AD202" s="4236"/>
      <c r="AE202" s="4236"/>
      <c r="AF202" s="4236"/>
      <c r="AG202" s="4236"/>
      <c r="AH202" s="4236"/>
      <c r="AI202" s="4236"/>
      <c r="AJ202" s="4236"/>
      <c r="AK202" s="4236"/>
      <c r="AL202" s="4236"/>
      <c r="AM202" s="4236"/>
      <c r="AN202" s="4236"/>
      <c r="AO202" s="4236">
        <v>2</v>
      </c>
      <c r="AP202" s="4236"/>
      <c r="AQ202" s="4236"/>
      <c r="AR202" s="4236">
        <v>2</v>
      </c>
      <c r="AS202" s="4243">
        <v>0</v>
      </c>
      <c r="AU202" s="36"/>
      <c r="AV202" s="36"/>
      <c r="AW202" s="36"/>
      <c r="AX202" s="36" t="s">
        <v>1072</v>
      </c>
      <c r="AY202" s="1681"/>
      <c r="AZ202" s="1681">
        <v>1</v>
      </c>
      <c r="BA202" s="1681"/>
      <c r="BB202" s="1681"/>
      <c r="BC202" s="1681"/>
      <c r="BD202" s="1681"/>
      <c r="BE202" s="1681"/>
      <c r="BF202" s="1681"/>
      <c r="BG202" s="1681"/>
      <c r="BH202" s="1681">
        <v>0</v>
      </c>
      <c r="BI202" s="1681">
        <v>1</v>
      </c>
      <c r="BJ202" s="1681">
        <v>1</v>
      </c>
      <c r="BK202" s="1681">
        <v>0</v>
      </c>
      <c r="BL202" s="1681">
        <v>0</v>
      </c>
      <c r="BM202" s="95">
        <v>0</v>
      </c>
      <c r="BN202" s="95"/>
      <c r="BO202" s="95">
        <v>3</v>
      </c>
      <c r="BP202" s="95"/>
      <c r="BT202" s="1520"/>
      <c r="BU202" s="1520" t="s">
        <v>483</v>
      </c>
      <c r="BV202" s="3872">
        <v>0</v>
      </c>
      <c r="BW202" s="3872"/>
      <c r="BX202" s="3872">
        <v>0</v>
      </c>
      <c r="BY202" s="3872"/>
      <c r="BZ202" s="3872">
        <v>1</v>
      </c>
      <c r="CA202" s="3872"/>
      <c r="CB202" s="3872">
        <v>1</v>
      </c>
      <c r="CC202" s="3872">
        <v>1</v>
      </c>
      <c r="CD202" s="3872"/>
      <c r="CE202" s="3872">
        <v>2</v>
      </c>
      <c r="CF202" s="3872">
        <v>1</v>
      </c>
      <c r="CG202" s="3872">
        <v>5</v>
      </c>
      <c r="CH202" s="3872">
        <v>7</v>
      </c>
      <c r="CI202" s="3872"/>
      <c r="CJ202" s="3806"/>
      <c r="CK202" s="3806">
        <v>18</v>
      </c>
      <c r="CL202" s="3807">
        <f>+CK201/CK202</f>
        <v>5.5555555555555552E-2</v>
      </c>
      <c r="CN202" s="36"/>
      <c r="CO202" s="36"/>
      <c r="CP202" s="393"/>
      <c r="CQ202" s="393" t="s">
        <v>1163</v>
      </c>
      <c r="CR202" s="2049"/>
      <c r="CS202" s="2049"/>
      <c r="CT202" s="2049"/>
      <c r="CU202" s="2049"/>
      <c r="CV202" s="2049">
        <v>0</v>
      </c>
      <c r="CW202" s="2049"/>
      <c r="CX202" s="2049"/>
      <c r="CY202" s="2049"/>
      <c r="CZ202" s="2049"/>
      <c r="DA202" s="2049">
        <v>1</v>
      </c>
      <c r="DB202" s="2049">
        <v>1</v>
      </c>
      <c r="DC202" s="2049"/>
      <c r="DD202" s="2049">
        <v>2</v>
      </c>
      <c r="DE202" s="2049">
        <v>1</v>
      </c>
      <c r="DF202" s="2049">
        <v>0</v>
      </c>
      <c r="DG202" s="393">
        <v>0</v>
      </c>
      <c r="DH202" s="393">
        <v>0</v>
      </c>
      <c r="DI202" s="393">
        <v>5</v>
      </c>
      <c r="DJ202" s="36"/>
      <c r="DL202" s="36"/>
      <c r="DM202" s="36"/>
      <c r="DN202" s="36"/>
      <c r="DO202" s="36" t="s">
        <v>1163</v>
      </c>
      <c r="DP202" s="1681"/>
      <c r="DQ202" s="1681"/>
      <c r="DR202" s="1681"/>
      <c r="DS202" s="1681"/>
      <c r="DT202" s="1681"/>
      <c r="DU202" s="1681"/>
      <c r="DV202" s="1681"/>
      <c r="DW202" s="1681">
        <v>0</v>
      </c>
      <c r="DX202" s="1681"/>
      <c r="DY202" s="1681">
        <v>6</v>
      </c>
      <c r="DZ202" s="1681">
        <v>0</v>
      </c>
      <c r="EA202" s="1681"/>
      <c r="EB202" s="1681"/>
      <c r="EC202" s="1681">
        <v>0</v>
      </c>
      <c r="ED202" s="1681">
        <v>0</v>
      </c>
      <c r="EE202" s="95">
        <v>0</v>
      </c>
      <c r="EF202" s="95">
        <v>0</v>
      </c>
      <c r="EG202" s="95">
        <v>6</v>
      </c>
      <c r="EH202" s="36"/>
      <c r="EJ202" s="396"/>
      <c r="EK202" s="396"/>
      <c r="EL202" s="401"/>
      <c r="EM202" s="397" t="s">
        <v>112</v>
      </c>
      <c r="EN202" s="1492">
        <v>2</v>
      </c>
      <c r="EO202" s="1492">
        <v>7</v>
      </c>
      <c r="EP202" s="1492">
        <v>4</v>
      </c>
      <c r="EQ202" s="1492">
        <v>2</v>
      </c>
      <c r="ER202" s="1492">
        <v>2</v>
      </c>
      <c r="ES202" s="1492">
        <v>2</v>
      </c>
      <c r="ET202" s="1492">
        <v>5</v>
      </c>
      <c r="EU202" s="1492">
        <v>6</v>
      </c>
      <c r="EV202" s="1492">
        <v>4</v>
      </c>
      <c r="EW202" s="1492">
        <v>21</v>
      </c>
      <c r="EX202" s="1492">
        <v>13</v>
      </c>
      <c r="EY202" s="1492">
        <v>6</v>
      </c>
      <c r="EZ202" s="1492">
        <v>62</v>
      </c>
      <c r="FA202" s="1492">
        <v>59</v>
      </c>
      <c r="FB202" s="1492">
        <v>58</v>
      </c>
      <c r="FC202" s="397">
        <v>16</v>
      </c>
      <c r="FD202" s="397">
        <v>27</v>
      </c>
      <c r="FE202" s="397">
        <v>296</v>
      </c>
      <c r="FF202" s="587">
        <f>+(FE196+FE199+FE200)/(FE202-FE201)</f>
        <v>0.32881355932203388</v>
      </c>
      <c r="HB202" s="36"/>
      <c r="HC202" s="36"/>
      <c r="HD202" s="36"/>
      <c r="HE202" s="36"/>
      <c r="HF202" s="36"/>
      <c r="HG202" s="36"/>
      <c r="HH202" s="36"/>
      <c r="HI202" s="36"/>
      <c r="HJ202" s="36"/>
      <c r="HK202" s="36"/>
      <c r="HL202" s="36"/>
      <c r="HM202" s="36"/>
      <c r="HN202" s="36"/>
      <c r="HO202" s="36"/>
      <c r="HP202" s="36"/>
      <c r="HQ202" s="36"/>
      <c r="HR202" s="36"/>
      <c r="HS202" s="36"/>
      <c r="HT202" s="36"/>
      <c r="HU202" s="36"/>
      <c r="HV202" s="36"/>
      <c r="HW202" s="36"/>
      <c r="HX202" s="36"/>
      <c r="HY202" s="36"/>
      <c r="HZ202" s="36"/>
      <c r="IA202" s="662"/>
      <c r="IB202" s="662"/>
      <c r="IC202" s="662" t="s">
        <v>0</v>
      </c>
      <c r="ID202" s="662" t="s">
        <v>1070</v>
      </c>
      <c r="IE202" s="662">
        <v>1</v>
      </c>
      <c r="IF202" s="662">
        <v>5</v>
      </c>
      <c r="IG202" s="662">
        <v>6</v>
      </c>
      <c r="IH202" s="662">
        <v>7</v>
      </c>
      <c r="II202" s="662">
        <v>8</v>
      </c>
      <c r="IJ202" s="662">
        <v>9</v>
      </c>
      <c r="IK202" s="662">
        <v>10</v>
      </c>
      <c r="IL202" s="662">
        <v>11</v>
      </c>
      <c r="IM202" s="662">
        <v>12</v>
      </c>
      <c r="IN202" s="662">
        <v>13</v>
      </c>
      <c r="IO202" s="662">
        <v>14</v>
      </c>
      <c r="IP202" s="662">
        <v>15</v>
      </c>
      <c r="IQ202" s="662">
        <v>16</v>
      </c>
      <c r="IR202" s="662" t="s">
        <v>15</v>
      </c>
      <c r="IS202" s="663" t="s">
        <v>66</v>
      </c>
      <c r="IT202" s="645"/>
      <c r="IU202" s="645"/>
      <c r="IV202" s="643"/>
      <c r="IW202" s="643"/>
      <c r="IX202" s="644" t="s">
        <v>146</v>
      </c>
      <c r="IY202" s="644" t="s">
        <v>1070</v>
      </c>
      <c r="IZ202" s="644">
        <v>1</v>
      </c>
      <c r="JA202" s="644">
        <v>2</v>
      </c>
      <c r="JB202" s="644">
        <v>3</v>
      </c>
      <c r="JC202" s="644">
        <v>4</v>
      </c>
      <c r="JD202" s="644">
        <v>5</v>
      </c>
      <c r="JE202" s="644">
        <v>6</v>
      </c>
      <c r="JF202" s="644">
        <v>7</v>
      </c>
      <c r="JG202" s="644">
        <v>8</v>
      </c>
      <c r="JH202" s="644">
        <v>9</v>
      </c>
      <c r="JI202" s="644">
        <v>10</v>
      </c>
      <c r="JJ202" s="644">
        <v>11</v>
      </c>
      <c r="JK202" s="644">
        <v>12</v>
      </c>
      <c r="JL202" s="644">
        <v>13</v>
      </c>
      <c r="JM202" s="644">
        <v>14</v>
      </c>
      <c r="JN202" s="644">
        <v>15</v>
      </c>
      <c r="JO202" s="644">
        <v>16</v>
      </c>
      <c r="JP202" s="644" t="s">
        <v>15</v>
      </c>
      <c r="JQ202" s="644" t="s">
        <v>66</v>
      </c>
      <c r="JR202" s="36"/>
      <c r="JS202" s="36"/>
      <c r="JT202" s="36"/>
      <c r="JU202" s="664" t="s">
        <v>0</v>
      </c>
      <c r="JV202" s="664" t="s">
        <v>1140</v>
      </c>
      <c r="JW202" s="634">
        <v>0</v>
      </c>
      <c r="JX202" s="634">
        <v>1</v>
      </c>
      <c r="JY202" s="634">
        <v>2</v>
      </c>
      <c r="JZ202" s="634">
        <v>3</v>
      </c>
      <c r="KA202" s="634">
        <v>5</v>
      </c>
      <c r="KB202" s="634">
        <v>6</v>
      </c>
      <c r="KC202" s="634">
        <v>7</v>
      </c>
      <c r="KD202" s="634">
        <v>8</v>
      </c>
      <c r="KE202" s="634">
        <v>9</v>
      </c>
      <c r="KF202" s="634">
        <v>10</v>
      </c>
      <c r="KG202" s="634">
        <v>11</v>
      </c>
      <c r="KH202" s="634">
        <v>12</v>
      </c>
      <c r="KI202" s="634">
        <v>13</v>
      </c>
      <c r="KJ202" s="634">
        <v>14</v>
      </c>
      <c r="KK202" s="634">
        <v>15</v>
      </c>
      <c r="KL202" s="634">
        <v>16</v>
      </c>
      <c r="KM202" s="634" t="s">
        <v>15</v>
      </c>
      <c r="KN202" s="648" t="s">
        <v>66</v>
      </c>
      <c r="KO202" s="602" t="s">
        <v>1141</v>
      </c>
    </row>
    <row r="203" spans="1:301">
      <c r="A203" s="5737"/>
      <c r="B203" s="5737"/>
      <c r="C203" s="5736"/>
      <c r="D203" s="5736"/>
      <c r="E203" s="5742">
        <f>SUM(E199:E202)</f>
        <v>5</v>
      </c>
      <c r="F203" s="5737"/>
      <c r="G203" s="5769">
        <f>+(E199+E200+E201)/(E203)</f>
        <v>0.8</v>
      </c>
      <c r="I203" s="4726">
        <v>4</v>
      </c>
      <c r="J203" s="4726">
        <v>2</v>
      </c>
      <c r="K203" s="4725" t="s">
        <v>608</v>
      </c>
      <c r="L203" s="4725" t="s">
        <v>2709</v>
      </c>
      <c r="M203" s="4726">
        <v>1</v>
      </c>
      <c r="N203" s="4726">
        <v>12</v>
      </c>
      <c r="Q203" s="4832"/>
      <c r="R203" s="4832"/>
      <c r="S203" s="4832"/>
      <c r="T203" s="4832"/>
      <c r="U203" s="4832"/>
      <c r="V203" s="4832"/>
      <c r="W203" s="4622"/>
      <c r="Z203" s="36"/>
      <c r="AA203" s="36"/>
      <c r="AB203" s="36" t="s">
        <v>609</v>
      </c>
      <c r="AC203" s="36" t="s">
        <v>1072</v>
      </c>
      <c r="AD203" s="615"/>
      <c r="AE203" s="615"/>
      <c r="AF203" s="615"/>
      <c r="AG203" s="615"/>
      <c r="AH203" s="615"/>
      <c r="AI203" s="615"/>
      <c r="AJ203" s="615"/>
      <c r="AK203" s="615"/>
      <c r="AL203" s="615"/>
      <c r="AM203" s="615"/>
      <c r="AN203" s="615">
        <v>1</v>
      </c>
      <c r="AO203" s="615">
        <v>2</v>
      </c>
      <c r="AP203" s="615"/>
      <c r="AQ203" s="36">
        <v>0</v>
      </c>
      <c r="AR203" s="36">
        <v>3</v>
      </c>
      <c r="AS203" s="36"/>
      <c r="AU203" s="36"/>
      <c r="AV203" s="36"/>
      <c r="AW203" s="36"/>
      <c r="AX203" s="36" t="s">
        <v>1080</v>
      </c>
      <c r="AY203" s="1681"/>
      <c r="AZ203" s="1681">
        <v>0</v>
      </c>
      <c r="BA203" s="1681"/>
      <c r="BB203" s="1681"/>
      <c r="BC203" s="1681"/>
      <c r="BD203" s="1681"/>
      <c r="BE203" s="1681"/>
      <c r="BF203" s="1681"/>
      <c r="BG203" s="1681"/>
      <c r="BH203" s="1681">
        <v>0</v>
      </c>
      <c r="BI203" s="1681">
        <v>0</v>
      </c>
      <c r="BJ203" s="1681">
        <v>0</v>
      </c>
      <c r="BK203" s="1681">
        <v>0</v>
      </c>
      <c r="BL203" s="1681">
        <v>4</v>
      </c>
      <c r="BM203" s="95">
        <v>1</v>
      </c>
      <c r="BN203" s="95"/>
      <c r="BO203" s="95">
        <v>5</v>
      </c>
      <c r="BP203" s="95"/>
      <c r="BS203" s="32" t="s">
        <v>64</v>
      </c>
      <c r="BT203" s="32" t="s">
        <v>609</v>
      </c>
      <c r="BU203" s="32" t="s">
        <v>1072</v>
      </c>
      <c r="BV203" s="3871"/>
      <c r="BW203" s="3871">
        <v>1</v>
      </c>
      <c r="BX203" s="3871"/>
      <c r="BY203" s="3871"/>
      <c r="BZ203" s="3871"/>
      <c r="CA203" s="3871"/>
      <c r="CB203" s="3871"/>
      <c r="CC203" s="3871"/>
      <c r="CD203" s="3871"/>
      <c r="CE203" s="3871">
        <v>0</v>
      </c>
      <c r="CF203" s="3871">
        <v>1</v>
      </c>
      <c r="CG203" s="3871">
        <v>1</v>
      </c>
      <c r="CH203" s="3871">
        <v>0</v>
      </c>
      <c r="CI203" s="3871">
        <v>0</v>
      </c>
      <c r="CJ203" s="1518">
        <v>0</v>
      </c>
      <c r="CK203" s="1518">
        <v>3</v>
      </c>
      <c r="CN203" s="36"/>
      <c r="CO203" s="36"/>
      <c r="CP203" s="393"/>
      <c r="CQ203" s="393" t="s">
        <v>485</v>
      </c>
      <c r="CR203" s="2049"/>
      <c r="CS203" s="2049"/>
      <c r="CT203" s="2049"/>
      <c r="CU203" s="2049"/>
      <c r="CV203" s="2049">
        <v>1</v>
      </c>
      <c r="CW203" s="2049"/>
      <c r="CX203" s="2049"/>
      <c r="CY203" s="2049"/>
      <c r="CZ203" s="2049"/>
      <c r="DA203" s="2049">
        <v>9</v>
      </c>
      <c r="DB203" s="2049">
        <v>3</v>
      </c>
      <c r="DC203" s="2049"/>
      <c r="DD203" s="2049">
        <v>8</v>
      </c>
      <c r="DE203" s="2049">
        <v>2</v>
      </c>
      <c r="DF203" s="2049">
        <v>6</v>
      </c>
      <c r="DG203" s="393">
        <v>1</v>
      </c>
      <c r="DH203" s="393">
        <v>4</v>
      </c>
      <c r="DI203" s="393">
        <v>34</v>
      </c>
      <c r="DJ203" s="560">
        <f>+(DI202+DI201+DI199)/DI203</f>
        <v>0.44117647058823528</v>
      </c>
      <c r="DK203" s="1665"/>
      <c r="DL203" s="36"/>
      <c r="DM203" s="36"/>
      <c r="DN203" s="36"/>
      <c r="DO203" s="393" t="s">
        <v>256</v>
      </c>
      <c r="DP203" s="1682"/>
      <c r="DQ203" s="1682"/>
      <c r="DR203" s="1682"/>
      <c r="DS203" s="1682"/>
      <c r="DT203" s="1682"/>
      <c r="DU203" s="1682"/>
      <c r="DV203" s="1682"/>
      <c r="DW203" s="1682">
        <v>1</v>
      </c>
      <c r="DX203" s="1682"/>
      <c r="DY203" s="1682">
        <v>13</v>
      </c>
      <c r="DZ203" s="1682">
        <v>1</v>
      </c>
      <c r="EA203" s="1682"/>
      <c r="EB203" s="1682"/>
      <c r="EC203" s="1682">
        <v>1</v>
      </c>
      <c r="ED203" s="1682">
        <v>4</v>
      </c>
      <c r="EE203" s="86">
        <v>1</v>
      </c>
      <c r="EF203" s="86">
        <v>2</v>
      </c>
      <c r="EG203" s="86">
        <v>23</v>
      </c>
      <c r="EH203" s="560">
        <f>+(EG199+EG201+EG202)/EG203</f>
        <v>0.39130434782608697</v>
      </c>
      <c r="EM203"/>
      <c r="EN203"/>
      <c r="EO203"/>
      <c r="EP203"/>
      <c r="EQ203"/>
      <c r="ER203"/>
      <c r="ES203"/>
      <c r="ET203"/>
      <c r="EU203"/>
      <c r="EV203"/>
      <c r="EW203"/>
      <c r="EX203"/>
      <c r="EY203"/>
      <c r="EZ203"/>
      <c r="FA203"/>
      <c r="FB203"/>
      <c r="FC203"/>
      <c r="FD203"/>
      <c r="FE203"/>
      <c r="FF203"/>
      <c r="HB203" s="36"/>
      <c r="HC203" s="36"/>
      <c r="HD203" s="36"/>
      <c r="HE203" s="36"/>
      <c r="HF203" s="36"/>
      <c r="HG203" s="36"/>
      <c r="HH203" s="36"/>
      <c r="HI203" s="36"/>
      <c r="HJ203" s="36"/>
      <c r="HK203" s="36"/>
      <c r="HL203" s="36"/>
      <c r="HM203" s="36"/>
      <c r="HN203" s="36"/>
      <c r="HO203" s="36"/>
      <c r="HP203" s="36"/>
      <c r="HQ203" s="36"/>
      <c r="HR203" s="36"/>
      <c r="HS203" s="36"/>
      <c r="HT203" s="36"/>
      <c r="HU203" s="36"/>
      <c r="HV203" s="36"/>
      <c r="HW203" s="36"/>
      <c r="HX203" s="36"/>
      <c r="HY203" s="36"/>
      <c r="HZ203" s="36"/>
      <c r="IA203" s="613"/>
      <c r="IB203" s="613"/>
      <c r="IC203" s="613" t="s">
        <v>112</v>
      </c>
      <c r="ID203" s="389" t="s">
        <v>1071</v>
      </c>
      <c r="IE203" s="390">
        <v>0</v>
      </c>
      <c r="IF203" s="390">
        <v>0</v>
      </c>
      <c r="IG203" s="390">
        <v>0</v>
      </c>
      <c r="IH203" s="390">
        <v>1</v>
      </c>
      <c r="II203" s="390">
        <v>0</v>
      </c>
      <c r="IJ203" s="390">
        <v>0</v>
      </c>
      <c r="IK203" s="390">
        <v>0</v>
      </c>
      <c r="IL203" s="390">
        <v>1</v>
      </c>
      <c r="IM203" s="390">
        <v>1</v>
      </c>
      <c r="IN203" s="390">
        <v>1</v>
      </c>
      <c r="IO203" s="390">
        <v>2</v>
      </c>
      <c r="IP203" s="390">
        <v>0</v>
      </c>
      <c r="IQ203" s="390">
        <v>0</v>
      </c>
      <c r="IR203" s="390">
        <v>6</v>
      </c>
      <c r="IS203" s="615"/>
      <c r="IT203" s="36"/>
      <c r="IU203" s="36"/>
      <c r="IV203" s="95"/>
      <c r="IW203" s="95"/>
      <c r="IX203" s="95" t="s">
        <v>75</v>
      </c>
      <c r="IY203" s="36" t="s">
        <v>1071</v>
      </c>
      <c r="IZ203" s="36">
        <v>0</v>
      </c>
      <c r="JA203" s="36">
        <v>0</v>
      </c>
      <c r="JB203" s="36">
        <v>0</v>
      </c>
      <c r="JC203" s="36">
        <v>0</v>
      </c>
      <c r="JD203" s="36">
        <v>1</v>
      </c>
      <c r="JE203" s="36">
        <v>0</v>
      </c>
      <c r="JF203" s="36">
        <v>0</v>
      </c>
      <c r="JG203" s="36">
        <v>0</v>
      </c>
      <c r="JH203" s="36">
        <v>0</v>
      </c>
      <c r="JI203" s="36">
        <v>0</v>
      </c>
      <c r="JJ203" s="36">
        <v>0</v>
      </c>
      <c r="JK203" s="36">
        <v>0</v>
      </c>
      <c r="JL203" s="36">
        <v>1</v>
      </c>
      <c r="JM203" s="36">
        <v>6</v>
      </c>
      <c r="JN203" s="36">
        <v>1</v>
      </c>
      <c r="JO203" s="36">
        <v>1</v>
      </c>
      <c r="JP203" s="36">
        <v>10</v>
      </c>
      <c r="JQ203" s="36"/>
      <c r="JR203" s="36"/>
      <c r="JS203" s="36"/>
      <c r="JT203" s="36"/>
      <c r="JU203" s="665" t="s">
        <v>75</v>
      </c>
      <c r="JV203" s="616" t="s">
        <v>1071</v>
      </c>
      <c r="JW203" s="616">
        <v>0</v>
      </c>
      <c r="JX203" s="616">
        <v>0</v>
      </c>
      <c r="JY203" s="616">
        <v>0</v>
      </c>
      <c r="JZ203" s="616">
        <v>0</v>
      </c>
      <c r="KA203" s="616">
        <v>0</v>
      </c>
      <c r="KB203" s="616">
        <v>1</v>
      </c>
      <c r="KC203" s="616">
        <v>0</v>
      </c>
      <c r="KD203" s="616">
        <v>0</v>
      </c>
      <c r="KE203" s="616">
        <v>0</v>
      </c>
      <c r="KF203" s="616">
        <v>0</v>
      </c>
      <c r="KG203" s="616">
        <v>0</v>
      </c>
      <c r="KH203" s="616">
        <v>0</v>
      </c>
      <c r="KI203" s="616">
        <v>0</v>
      </c>
      <c r="KJ203" s="616">
        <v>1</v>
      </c>
      <c r="KK203" s="616">
        <v>0</v>
      </c>
      <c r="KL203" s="616">
        <v>0</v>
      </c>
      <c r="KM203" s="616">
        <v>2</v>
      </c>
      <c r="KN203" s="616"/>
      <c r="KO203" s="617"/>
    </row>
    <row r="204" spans="1:301">
      <c r="A204" s="5737"/>
      <c r="B204" s="5737"/>
      <c r="C204" s="5736"/>
      <c r="D204" s="5738" t="s">
        <v>2754</v>
      </c>
      <c r="E204" s="5751">
        <f>SUM(E193,E199:E201)</f>
        <v>6</v>
      </c>
      <c r="F204" s="5737"/>
      <c r="I204" s="4726"/>
      <c r="J204" s="4726"/>
      <c r="K204" s="4725"/>
      <c r="L204" s="4725"/>
      <c r="M204" s="4975">
        <f>SUM(M202:M203)</f>
        <v>10</v>
      </c>
      <c r="N204" s="4726"/>
      <c r="O204" s="4510">
        <v>0</v>
      </c>
      <c r="Q204" s="4832"/>
      <c r="R204" s="4832"/>
      <c r="S204" s="4832"/>
      <c r="T204" s="4832"/>
      <c r="U204" s="4832"/>
      <c r="V204" s="4832"/>
      <c r="W204" s="4622"/>
      <c r="Z204" s="36"/>
      <c r="AA204" s="36"/>
      <c r="AB204" s="36"/>
      <c r="AC204" s="36" t="s">
        <v>1080</v>
      </c>
      <c r="AD204" s="615"/>
      <c r="AE204" s="615"/>
      <c r="AF204" s="615"/>
      <c r="AG204" s="615"/>
      <c r="AH204" s="615"/>
      <c r="AI204" s="615"/>
      <c r="AJ204" s="615"/>
      <c r="AK204" s="615"/>
      <c r="AL204" s="615"/>
      <c r="AM204" s="615"/>
      <c r="AN204" s="615">
        <v>0</v>
      </c>
      <c r="AO204" s="615">
        <v>0</v>
      </c>
      <c r="AP204" s="615"/>
      <c r="AQ204" s="36">
        <v>1</v>
      </c>
      <c r="AR204" s="36">
        <v>1</v>
      </c>
      <c r="AS204" s="36"/>
      <c r="AU204" s="36"/>
      <c r="AV204" s="36"/>
      <c r="AW204" s="36"/>
      <c r="AX204" s="36" t="s">
        <v>1081</v>
      </c>
      <c r="AY204" s="1681"/>
      <c r="AZ204" s="1681">
        <v>0</v>
      </c>
      <c r="BA204" s="1681"/>
      <c r="BB204" s="1681"/>
      <c r="BC204" s="1681"/>
      <c r="BD204" s="1681"/>
      <c r="BE204" s="1681"/>
      <c r="BF204" s="1681"/>
      <c r="BG204" s="1681"/>
      <c r="BH204" s="1681">
        <v>0</v>
      </c>
      <c r="BI204" s="1681">
        <v>0</v>
      </c>
      <c r="BJ204" s="1681">
        <v>0</v>
      </c>
      <c r="BK204" s="1681">
        <v>1</v>
      </c>
      <c r="BL204" s="1681">
        <v>0</v>
      </c>
      <c r="BM204" s="95">
        <v>1</v>
      </c>
      <c r="BN204" s="95"/>
      <c r="BO204" s="95">
        <v>2</v>
      </c>
      <c r="BP204" s="95"/>
      <c r="BU204" s="32" t="s">
        <v>1080</v>
      </c>
      <c r="BV204" s="3871"/>
      <c r="BW204" s="3871">
        <v>0</v>
      </c>
      <c r="BX204" s="3871"/>
      <c r="BY204" s="3871"/>
      <c r="BZ204" s="3871"/>
      <c r="CA204" s="3871"/>
      <c r="CB204" s="3871"/>
      <c r="CC204" s="3871"/>
      <c r="CD204" s="3871"/>
      <c r="CE204" s="3871">
        <v>0</v>
      </c>
      <c r="CF204" s="3871">
        <v>0</v>
      </c>
      <c r="CG204" s="3871">
        <v>0</v>
      </c>
      <c r="CH204" s="3871">
        <v>6</v>
      </c>
      <c r="CI204" s="3871">
        <v>1</v>
      </c>
      <c r="CJ204" s="1518">
        <v>1</v>
      </c>
      <c r="CK204" s="1518">
        <v>8</v>
      </c>
      <c r="CN204" s="36"/>
      <c r="CO204" s="36" t="s">
        <v>21</v>
      </c>
      <c r="CP204" s="36" t="s">
        <v>145</v>
      </c>
      <c r="CQ204" s="36" t="s">
        <v>1072</v>
      </c>
      <c r="CR204" s="615"/>
      <c r="CS204" s="615"/>
      <c r="CT204" s="615"/>
      <c r="CU204" s="615"/>
      <c r="CV204" s="615"/>
      <c r="CW204" s="615"/>
      <c r="CX204" s="615"/>
      <c r="CY204" s="615"/>
      <c r="CZ204" s="615"/>
      <c r="DA204" s="615"/>
      <c r="DB204" s="615"/>
      <c r="DC204" s="615"/>
      <c r="DD204" s="615">
        <v>4</v>
      </c>
      <c r="DE204" s="615"/>
      <c r="DF204" s="615"/>
      <c r="DG204" s="36"/>
      <c r="DH204" s="36"/>
      <c r="DI204" s="36">
        <v>4</v>
      </c>
      <c r="DJ204" s="36"/>
      <c r="DL204" s="36"/>
      <c r="DM204" s="36"/>
      <c r="DN204" s="36" t="s">
        <v>112</v>
      </c>
      <c r="DO204" s="36" t="s">
        <v>1071</v>
      </c>
      <c r="DP204" s="1681">
        <v>0</v>
      </c>
      <c r="DQ204" s="1681">
        <v>0</v>
      </c>
      <c r="DR204" s="1681">
        <v>0</v>
      </c>
      <c r="DS204" s="1681">
        <v>0</v>
      </c>
      <c r="DT204" s="1681">
        <v>0</v>
      </c>
      <c r="DU204" s="1681">
        <v>0</v>
      </c>
      <c r="DV204" s="1681">
        <v>0</v>
      </c>
      <c r="DW204" s="1681">
        <v>1</v>
      </c>
      <c r="DX204" s="1681">
        <v>0</v>
      </c>
      <c r="DY204" s="1681">
        <v>0</v>
      </c>
      <c r="DZ204" s="1681">
        <v>0</v>
      </c>
      <c r="EA204" s="1681">
        <v>0</v>
      </c>
      <c r="EB204" s="1681">
        <v>0</v>
      </c>
      <c r="EC204" s="1681">
        <v>0</v>
      </c>
      <c r="ED204" s="1681">
        <v>1</v>
      </c>
      <c r="EE204" s="95">
        <v>0</v>
      </c>
      <c r="EF204" s="95">
        <v>0</v>
      </c>
      <c r="EG204" s="95">
        <v>2</v>
      </c>
      <c r="EH204" s="36"/>
      <c r="EN204" s="1487"/>
      <c r="EO204" s="1487"/>
      <c r="EP204" s="1487"/>
      <c r="EQ204" s="1487"/>
      <c r="ER204" s="1487"/>
      <c r="ES204" s="1487"/>
      <c r="ET204" s="1487"/>
      <c r="EU204" s="1487"/>
      <c r="EV204" s="1487"/>
      <c r="EW204" s="1487"/>
      <c r="EX204" s="1487"/>
      <c r="EY204" s="1487"/>
      <c r="EZ204" s="1487"/>
      <c r="FA204" s="1487"/>
      <c r="FB204" s="1487"/>
      <c r="FC204" s="1487"/>
      <c r="FD204" s="1487"/>
      <c r="FE204" s="1487"/>
      <c r="FF204" s="1487"/>
      <c r="FG204" s="1487"/>
      <c r="FH204" s="1487"/>
      <c r="FI204" s="1487"/>
      <c r="FJ204" s="1487"/>
      <c r="FK204" s="1487"/>
      <c r="FL204" s="1487"/>
      <c r="FM204" s="1487"/>
      <c r="FN204" s="1487"/>
      <c r="FO204" s="1487"/>
      <c r="FP204" s="1487"/>
      <c r="FQ204" s="1487"/>
      <c r="FR204" s="1487"/>
      <c r="FS204" s="1487"/>
      <c r="FT204" s="1487"/>
      <c r="FU204" s="1487"/>
      <c r="FV204" s="1487"/>
      <c r="FW204" s="1487"/>
      <c r="FX204" s="1487"/>
      <c r="FY204" s="1487"/>
      <c r="FZ204" s="1487"/>
      <c r="GA204" s="1487"/>
      <c r="GB204" s="1487"/>
      <c r="GC204" s="1487"/>
      <c r="GD204" s="1487"/>
      <c r="HB204" s="36"/>
      <c r="HC204" s="36"/>
      <c r="HD204" s="36"/>
      <c r="HE204" s="36"/>
      <c r="HF204" s="36"/>
      <c r="HG204" s="36"/>
      <c r="HH204" s="36"/>
      <c r="HI204" s="36"/>
      <c r="HJ204" s="36"/>
      <c r="HK204" s="36"/>
      <c r="HL204" s="36"/>
      <c r="HM204" s="36"/>
      <c r="HN204" s="36"/>
      <c r="HO204" s="36"/>
      <c r="HP204" s="36"/>
      <c r="HQ204" s="36"/>
      <c r="HR204" s="36"/>
      <c r="HS204" s="36"/>
      <c r="HT204" s="36"/>
      <c r="HU204" s="36"/>
      <c r="HV204" s="36"/>
      <c r="HW204" s="36"/>
      <c r="HX204" s="36"/>
      <c r="HY204" s="36"/>
      <c r="HZ204" s="36"/>
      <c r="IA204" s="613"/>
      <c r="IB204" s="613"/>
      <c r="IC204" s="613"/>
      <c r="ID204" s="389" t="s">
        <v>1072</v>
      </c>
      <c r="IE204" s="390">
        <v>1</v>
      </c>
      <c r="IF204" s="390">
        <v>0</v>
      </c>
      <c r="IG204" s="390">
        <v>2</v>
      </c>
      <c r="IH204" s="390">
        <v>0</v>
      </c>
      <c r="II204" s="390">
        <v>0</v>
      </c>
      <c r="IJ204" s="390">
        <v>2</v>
      </c>
      <c r="IK204" s="390">
        <v>6</v>
      </c>
      <c r="IL204" s="390">
        <v>8</v>
      </c>
      <c r="IM204" s="390">
        <v>6</v>
      </c>
      <c r="IN204" s="390">
        <v>2</v>
      </c>
      <c r="IO204" s="390">
        <v>2</v>
      </c>
      <c r="IP204" s="390">
        <v>3</v>
      </c>
      <c r="IQ204" s="390">
        <v>0</v>
      </c>
      <c r="IR204" s="390">
        <v>32</v>
      </c>
      <c r="IS204" s="615"/>
      <c r="IT204" s="36"/>
      <c r="IU204" s="36"/>
      <c r="IV204" s="95"/>
      <c r="IW204" s="95"/>
      <c r="IX204" s="36"/>
      <c r="IY204" s="36" t="s">
        <v>1072</v>
      </c>
      <c r="IZ204" s="36">
        <v>4</v>
      </c>
      <c r="JA204" s="36">
        <v>1</v>
      </c>
      <c r="JB204" s="36">
        <v>4</v>
      </c>
      <c r="JC204" s="36">
        <v>3</v>
      </c>
      <c r="JD204" s="36">
        <v>2</v>
      </c>
      <c r="JE204" s="36">
        <v>2</v>
      </c>
      <c r="JF204" s="36">
        <v>3</v>
      </c>
      <c r="JG204" s="36">
        <v>4</v>
      </c>
      <c r="JH204" s="36">
        <v>29</v>
      </c>
      <c r="JI204" s="36">
        <v>16</v>
      </c>
      <c r="JJ204" s="36">
        <v>14</v>
      </c>
      <c r="JK204" s="36">
        <v>29</v>
      </c>
      <c r="JL204" s="36">
        <v>6</v>
      </c>
      <c r="JM204" s="36">
        <v>0</v>
      </c>
      <c r="JN204" s="36">
        <v>1</v>
      </c>
      <c r="JO204" s="36">
        <v>0</v>
      </c>
      <c r="JP204" s="36">
        <v>118</v>
      </c>
      <c r="JQ204" s="36"/>
      <c r="JR204" s="36"/>
      <c r="JS204" s="36"/>
      <c r="JT204" s="36"/>
      <c r="JU204" s="616"/>
      <c r="JV204" s="616" t="s">
        <v>1072</v>
      </c>
      <c r="JW204" s="616">
        <v>1</v>
      </c>
      <c r="JX204" s="616">
        <v>0</v>
      </c>
      <c r="JY204" s="616">
        <v>1</v>
      </c>
      <c r="JZ204" s="616">
        <v>3</v>
      </c>
      <c r="KA204" s="616">
        <v>0</v>
      </c>
      <c r="KB204" s="616">
        <v>2</v>
      </c>
      <c r="KC204" s="616">
        <v>0</v>
      </c>
      <c r="KD204" s="616">
        <v>3</v>
      </c>
      <c r="KE204" s="616">
        <v>9</v>
      </c>
      <c r="KF204" s="616">
        <v>5</v>
      </c>
      <c r="KG204" s="616">
        <v>5</v>
      </c>
      <c r="KH204" s="616">
        <v>5</v>
      </c>
      <c r="KI204" s="616">
        <v>2</v>
      </c>
      <c r="KJ204" s="616">
        <v>1</v>
      </c>
      <c r="KK204" s="616">
        <v>0</v>
      </c>
      <c r="KL204" s="616">
        <v>0</v>
      </c>
      <c r="KM204" s="616">
        <v>37</v>
      </c>
      <c r="KN204" s="616"/>
      <c r="KO204" s="617"/>
    </row>
    <row r="205" spans="1:301">
      <c r="A205" s="5737"/>
      <c r="B205" s="5737"/>
      <c r="C205" s="5742" t="s">
        <v>41</v>
      </c>
      <c r="D205" s="5736"/>
      <c r="E205" s="5742">
        <f>SUM(E203,E198)</f>
        <v>16</v>
      </c>
      <c r="F205" s="5737"/>
      <c r="G205" s="5769">
        <f>+(E204)/(E205)</f>
        <v>0.375</v>
      </c>
      <c r="I205" s="4726">
        <v>4</v>
      </c>
      <c r="J205" s="4726">
        <v>6</v>
      </c>
      <c r="K205" s="4725" t="s">
        <v>609</v>
      </c>
      <c r="L205" s="4725" t="s">
        <v>2731</v>
      </c>
      <c r="M205" s="4726">
        <v>2</v>
      </c>
      <c r="N205" s="4726">
        <v>13</v>
      </c>
      <c r="Q205" s="4832"/>
      <c r="R205" s="4832"/>
      <c r="S205" s="4832"/>
      <c r="T205" s="4832"/>
      <c r="U205" s="4832"/>
      <c r="V205" s="4832"/>
      <c r="W205" s="4622"/>
      <c r="Z205" s="36"/>
      <c r="AA205" s="36"/>
      <c r="AB205" s="36"/>
      <c r="AC205" s="4236" t="s">
        <v>15</v>
      </c>
      <c r="AD205" s="4236"/>
      <c r="AE205" s="4236"/>
      <c r="AF205" s="4236"/>
      <c r="AG205" s="4236"/>
      <c r="AH205" s="4236"/>
      <c r="AI205" s="4236"/>
      <c r="AJ205" s="4236"/>
      <c r="AK205" s="4236"/>
      <c r="AL205" s="4236"/>
      <c r="AM205" s="4236"/>
      <c r="AN205" s="4236">
        <v>1</v>
      </c>
      <c r="AO205" s="4236">
        <v>2</v>
      </c>
      <c r="AP205" s="4236"/>
      <c r="AQ205" s="4236">
        <v>1</v>
      </c>
      <c r="AR205" s="4236">
        <v>4</v>
      </c>
      <c r="AS205" s="4243">
        <v>0</v>
      </c>
      <c r="AU205" s="36"/>
      <c r="AV205" s="36"/>
      <c r="AW205" s="36"/>
      <c r="AX205" s="36" t="s">
        <v>1163</v>
      </c>
      <c r="AY205" s="1681"/>
      <c r="AZ205" s="1681">
        <v>0</v>
      </c>
      <c r="BA205" s="1681"/>
      <c r="BB205" s="1681"/>
      <c r="BC205" s="1681"/>
      <c r="BD205" s="1681"/>
      <c r="BE205" s="1681"/>
      <c r="BF205" s="1681"/>
      <c r="BG205" s="1681"/>
      <c r="BH205" s="1681">
        <v>1</v>
      </c>
      <c r="BI205" s="1681">
        <v>0</v>
      </c>
      <c r="BJ205" s="1681">
        <v>0</v>
      </c>
      <c r="BK205" s="1681">
        <v>0</v>
      </c>
      <c r="BL205" s="1681">
        <v>0</v>
      </c>
      <c r="BM205" s="95">
        <v>0</v>
      </c>
      <c r="BN205" s="95"/>
      <c r="BO205" s="95">
        <v>1</v>
      </c>
      <c r="BP205" s="95"/>
      <c r="BU205" s="32" t="s">
        <v>1163</v>
      </c>
      <c r="BV205" s="3871"/>
      <c r="BW205" s="3871">
        <v>0</v>
      </c>
      <c r="BX205" s="3871"/>
      <c r="BY205" s="3871"/>
      <c r="BZ205" s="3871"/>
      <c r="CA205" s="3871"/>
      <c r="CB205" s="3871"/>
      <c r="CC205" s="3871"/>
      <c r="CD205" s="3871"/>
      <c r="CE205" s="3871">
        <v>1</v>
      </c>
      <c r="CF205" s="3871">
        <v>0</v>
      </c>
      <c r="CG205" s="3871">
        <v>0</v>
      </c>
      <c r="CH205" s="3871">
        <v>0</v>
      </c>
      <c r="CI205" s="3871">
        <v>0</v>
      </c>
      <c r="CJ205" s="1518">
        <v>0</v>
      </c>
      <c r="CK205" s="1518">
        <v>1</v>
      </c>
      <c r="CN205" s="36"/>
      <c r="CO205" s="36"/>
      <c r="CP205" s="36"/>
      <c r="CQ205" s="36" t="s">
        <v>1081</v>
      </c>
      <c r="CR205" s="615"/>
      <c r="CS205" s="615"/>
      <c r="CT205" s="615"/>
      <c r="CU205" s="615"/>
      <c r="CV205" s="615"/>
      <c r="CW205" s="615"/>
      <c r="CX205" s="615"/>
      <c r="CY205" s="615"/>
      <c r="CZ205" s="615"/>
      <c r="DA205" s="615"/>
      <c r="DB205" s="615"/>
      <c r="DC205" s="615"/>
      <c r="DD205" s="615">
        <v>1</v>
      </c>
      <c r="DE205" s="615"/>
      <c r="DF205" s="615"/>
      <c r="DG205" s="36"/>
      <c r="DH205" s="36"/>
      <c r="DI205" s="36">
        <v>1</v>
      </c>
      <c r="DJ205" s="36"/>
      <c r="DL205" s="36"/>
      <c r="DM205" s="36"/>
      <c r="DN205" s="36"/>
      <c r="DO205" s="36" t="s">
        <v>1072</v>
      </c>
      <c r="DP205" s="1681">
        <v>1</v>
      </c>
      <c r="DQ205" s="1681">
        <v>3</v>
      </c>
      <c r="DR205" s="1681">
        <v>4</v>
      </c>
      <c r="DS205" s="1681">
        <v>1</v>
      </c>
      <c r="DT205" s="1681">
        <v>5</v>
      </c>
      <c r="DU205" s="1681">
        <v>2</v>
      </c>
      <c r="DV205" s="1681">
        <v>2</v>
      </c>
      <c r="DW205" s="1681">
        <v>1</v>
      </c>
      <c r="DX205" s="1681">
        <v>3</v>
      </c>
      <c r="DY205" s="1681">
        <v>11</v>
      </c>
      <c r="DZ205" s="1681">
        <v>5</v>
      </c>
      <c r="EA205" s="1681">
        <v>7</v>
      </c>
      <c r="EB205" s="1681">
        <v>35</v>
      </c>
      <c r="EC205" s="1681">
        <v>18</v>
      </c>
      <c r="ED205" s="1681">
        <v>3</v>
      </c>
      <c r="EE205" s="95">
        <v>3</v>
      </c>
      <c r="EF205" s="95">
        <v>0</v>
      </c>
      <c r="EG205" s="95">
        <v>104</v>
      </c>
      <c r="EH205" s="36"/>
      <c r="EN205" s="1487"/>
      <c r="EO205" s="1487"/>
      <c r="EP205" s="1487"/>
      <c r="EQ205" s="1487"/>
      <c r="ER205" s="1487"/>
      <c r="ES205" s="1487"/>
      <c r="ET205" s="1487"/>
      <c r="EU205" s="1487"/>
      <c r="EV205" s="1487"/>
      <c r="EW205" s="1487"/>
      <c r="EX205" s="1487"/>
      <c r="EY205" s="1487"/>
      <c r="EZ205" s="1487"/>
      <c r="FA205" s="1487"/>
      <c r="FB205" s="1487"/>
      <c r="FC205" s="1487"/>
      <c r="FD205" s="1487"/>
      <c r="FE205" s="1487"/>
      <c r="FF205" s="1487"/>
      <c r="FG205" s="1487"/>
      <c r="FH205" s="1487"/>
      <c r="FI205" s="1487"/>
      <c r="FJ205" s="1487"/>
      <c r="FK205" s="1487"/>
      <c r="FL205" s="1487"/>
      <c r="FM205" s="1487"/>
      <c r="FN205" s="1487"/>
      <c r="FO205" s="1487"/>
      <c r="FP205" s="1487"/>
      <c r="FQ205" s="1487"/>
      <c r="FR205" s="1487"/>
      <c r="FS205" s="1487"/>
      <c r="FT205" s="1487"/>
      <c r="FU205" s="1487"/>
      <c r="FV205" s="1487"/>
      <c r="FW205" s="1487"/>
      <c r="FX205" s="1487"/>
      <c r="FY205" s="1487"/>
      <c r="FZ205" s="1487"/>
      <c r="GA205" s="1487"/>
      <c r="GB205" s="1487"/>
      <c r="GC205" s="1487"/>
      <c r="GD205" s="1487"/>
      <c r="HB205" s="36"/>
      <c r="HC205" s="36"/>
      <c r="HD205" s="36"/>
      <c r="HE205" s="36"/>
      <c r="HF205" s="36"/>
      <c r="HG205" s="36"/>
      <c r="HH205" s="36"/>
      <c r="HI205" s="36"/>
      <c r="HJ205" s="36"/>
      <c r="HK205" s="36"/>
      <c r="HL205" s="36"/>
      <c r="HM205" s="36"/>
      <c r="HN205" s="36"/>
      <c r="HO205" s="36"/>
      <c r="HP205" s="36"/>
      <c r="HQ205" s="36"/>
      <c r="HR205" s="36"/>
      <c r="HS205" s="36"/>
      <c r="HT205" s="36"/>
      <c r="HU205" s="36"/>
      <c r="HV205" s="36"/>
      <c r="HW205" s="36"/>
      <c r="HX205" s="36"/>
      <c r="HY205" s="36"/>
      <c r="HZ205" s="36"/>
      <c r="IA205" s="613"/>
      <c r="IB205" s="613"/>
      <c r="IC205" s="613"/>
      <c r="ID205" s="389" t="s">
        <v>1074</v>
      </c>
      <c r="IE205" s="390">
        <v>2</v>
      </c>
      <c r="IF205" s="390">
        <v>1</v>
      </c>
      <c r="IG205" s="390">
        <v>0</v>
      </c>
      <c r="IH205" s="390">
        <v>2</v>
      </c>
      <c r="II205" s="390">
        <v>0</v>
      </c>
      <c r="IJ205" s="390">
        <v>0</v>
      </c>
      <c r="IK205" s="390">
        <v>0</v>
      </c>
      <c r="IL205" s="390">
        <v>0</v>
      </c>
      <c r="IM205" s="390">
        <v>0</v>
      </c>
      <c r="IN205" s="390">
        <v>0</v>
      </c>
      <c r="IO205" s="390">
        <v>0</v>
      </c>
      <c r="IP205" s="390">
        <v>0</v>
      </c>
      <c r="IQ205" s="390">
        <v>0</v>
      </c>
      <c r="IR205" s="390">
        <v>5</v>
      </c>
      <c r="IS205" s="615"/>
      <c r="IT205" s="36"/>
      <c r="IU205" s="36"/>
      <c r="IV205" s="95"/>
      <c r="IW205" s="95"/>
      <c r="IX205" s="36"/>
      <c r="IY205" s="36" t="s">
        <v>1074</v>
      </c>
      <c r="IZ205" s="36">
        <v>0</v>
      </c>
      <c r="JA205" s="36">
        <v>2</v>
      </c>
      <c r="JB205" s="36">
        <v>1</v>
      </c>
      <c r="JC205" s="36">
        <v>0</v>
      </c>
      <c r="JD205" s="36">
        <v>2</v>
      </c>
      <c r="JE205" s="36">
        <v>0</v>
      </c>
      <c r="JF205" s="36">
        <v>0</v>
      </c>
      <c r="JG205" s="36">
        <v>0</v>
      </c>
      <c r="JH205" s="36">
        <v>0</v>
      </c>
      <c r="JI205" s="36">
        <v>0</v>
      </c>
      <c r="JJ205" s="36">
        <v>0</v>
      </c>
      <c r="JK205" s="36">
        <v>0</v>
      </c>
      <c r="JL205" s="36">
        <v>0</v>
      </c>
      <c r="JM205" s="36">
        <v>0</v>
      </c>
      <c r="JN205" s="36">
        <v>0</v>
      </c>
      <c r="JO205" s="36">
        <v>0</v>
      </c>
      <c r="JP205" s="36">
        <v>5</v>
      </c>
      <c r="JQ205" s="36"/>
      <c r="JR205" s="36"/>
      <c r="JS205" s="36"/>
      <c r="JT205" s="36"/>
      <c r="JU205" s="616"/>
      <c r="JV205" s="616" t="s">
        <v>1074</v>
      </c>
      <c r="JW205" s="616">
        <v>0</v>
      </c>
      <c r="JX205" s="616">
        <v>0</v>
      </c>
      <c r="JY205" s="616">
        <v>1</v>
      </c>
      <c r="JZ205" s="616">
        <v>0</v>
      </c>
      <c r="KA205" s="616">
        <v>0</v>
      </c>
      <c r="KB205" s="616">
        <v>0</v>
      </c>
      <c r="KC205" s="616">
        <v>0</v>
      </c>
      <c r="KD205" s="616">
        <v>1</v>
      </c>
      <c r="KE205" s="616">
        <v>0</v>
      </c>
      <c r="KF205" s="616">
        <v>0</v>
      </c>
      <c r="KG205" s="616">
        <v>0</v>
      </c>
      <c r="KH205" s="616">
        <v>0</v>
      </c>
      <c r="KI205" s="616">
        <v>0</v>
      </c>
      <c r="KJ205" s="616">
        <v>0</v>
      </c>
      <c r="KK205" s="616">
        <v>0</v>
      </c>
      <c r="KL205" s="616">
        <v>0</v>
      </c>
      <c r="KM205" s="616">
        <v>2</v>
      </c>
      <c r="KN205" s="616"/>
      <c r="KO205" s="617"/>
    </row>
    <row r="206" spans="1:301">
      <c r="A206" s="5737">
        <v>3</v>
      </c>
      <c r="B206" s="5737">
        <v>4</v>
      </c>
      <c r="C206" s="5736" t="s">
        <v>298</v>
      </c>
      <c r="D206" s="5736" t="s">
        <v>2705</v>
      </c>
      <c r="E206" s="5737">
        <v>1</v>
      </c>
      <c r="F206" s="5737">
        <v>3</v>
      </c>
      <c r="I206" s="4726">
        <v>4</v>
      </c>
      <c r="J206" s="4726">
        <v>6</v>
      </c>
      <c r="K206" s="4725" t="s">
        <v>609</v>
      </c>
      <c r="L206" s="4725" t="s">
        <v>2731</v>
      </c>
      <c r="M206" s="4726">
        <v>1</v>
      </c>
      <c r="N206" s="4726">
        <v>14</v>
      </c>
      <c r="Q206" s="4832"/>
      <c r="R206" s="4832"/>
      <c r="S206" s="4832"/>
      <c r="T206" s="4832"/>
      <c r="U206" s="4832"/>
      <c r="V206" s="4832"/>
      <c r="W206" s="4622"/>
      <c r="Z206" s="36"/>
      <c r="AA206" s="36"/>
      <c r="AB206" s="36" t="s">
        <v>487</v>
      </c>
      <c r="AC206" s="36" t="s">
        <v>1072</v>
      </c>
      <c r="AD206" s="615"/>
      <c r="AE206" s="615"/>
      <c r="AF206" s="615"/>
      <c r="AG206" s="615"/>
      <c r="AH206" s="615"/>
      <c r="AI206" s="615"/>
      <c r="AJ206" s="615"/>
      <c r="AK206" s="615"/>
      <c r="AL206" s="615"/>
      <c r="AM206" s="615"/>
      <c r="AN206" s="615">
        <v>1</v>
      </c>
      <c r="AO206" s="615">
        <v>2</v>
      </c>
      <c r="AP206" s="615"/>
      <c r="AQ206" s="36">
        <v>0</v>
      </c>
      <c r="AR206" s="36">
        <v>3</v>
      </c>
      <c r="AS206" s="36"/>
      <c r="AU206" s="36"/>
      <c r="AV206" s="36"/>
      <c r="AW206" s="36"/>
      <c r="AX206" s="36" t="s">
        <v>15</v>
      </c>
      <c r="AY206" s="1681"/>
      <c r="AZ206" s="1681">
        <v>1</v>
      </c>
      <c r="BA206" s="1681"/>
      <c r="BB206" s="1681"/>
      <c r="BC206" s="1681"/>
      <c r="BD206" s="1681"/>
      <c r="BE206" s="1681"/>
      <c r="BF206" s="1681"/>
      <c r="BG206" s="1681"/>
      <c r="BH206" s="1681">
        <v>1</v>
      </c>
      <c r="BI206" s="1681">
        <v>1</v>
      </c>
      <c r="BJ206" s="1681">
        <v>1</v>
      </c>
      <c r="BK206" s="1681">
        <v>1</v>
      </c>
      <c r="BL206" s="1681">
        <v>5</v>
      </c>
      <c r="BM206" s="95">
        <v>2</v>
      </c>
      <c r="BN206" s="95"/>
      <c r="BO206" s="95">
        <v>12</v>
      </c>
      <c r="BP206" s="560">
        <f>+(BO204+BO205)/(BO206)</f>
        <v>0.25</v>
      </c>
      <c r="BU206" s="1520" t="s">
        <v>15</v>
      </c>
      <c r="BV206" s="3872"/>
      <c r="BW206" s="3872">
        <v>1</v>
      </c>
      <c r="BX206" s="3872"/>
      <c r="BY206" s="3872"/>
      <c r="BZ206" s="3872"/>
      <c r="CA206" s="3872"/>
      <c r="CB206" s="3872"/>
      <c r="CC206" s="3872"/>
      <c r="CD206" s="3872"/>
      <c r="CE206" s="3872">
        <v>1</v>
      </c>
      <c r="CF206" s="3872">
        <v>1</v>
      </c>
      <c r="CG206" s="3872">
        <v>1</v>
      </c>
      <c r="CH206" s="3872">
        <v>6</v>
      </c>
      <c r="CI206" s="3872">
        <v>1</v>
      </c>
      <c r="CJ206" s="3806">
        <v>1</v>
      </c>
      <c r="CK206" s="3806">
        <v>12</v>
      </c>
      <c r="CL206" s="3807">
        <f>+CK205/CK206</f>
        <v>8.3333333333333329E-2</v>
      </c>
      <c r="CN206" s="36"/>
      <c r="CO206" s="36"/>
      <c r="CP206" s="36"/>
      <c r="CQ206" s="36" t="s">
        <v>1163</v>
      </c>
      <c r="CR206" s="615"/>
      <c r="CS206" s="615"/>
      <c r="CT206" s="615"/>
      <c r="CU206" s="615"/>
      <c r="CV206" s="615"/>
      <c r="CW206" s="615"/>
      <c r="CX206" s="615"/>
      <c r="CY206" s="615"/>
      <c r="CZ206" s="615"/>
      <c r="DA206" s="615"/>
      <c r="DB206" s="615"/>
      <c r="DC206" s="615"/>
      <c r="DD206" s="615">
        <v>2</v>
      </c>
      <c r="DE206" s="615"/>
      <c r="DF206" s="615"/>
      <c r="DG206" s="36"/>
      <c r="DH206" s="36"/>
      <c r="DI206" s="36">
        <v>2</v>
      </c>
      <c r="DJ206" s="36"/>
      <c r="DL206" s="36"/>
      <c r="DM206" s="36"/>
      <c r="DN206" s="36"/>
      <c r="DO206" s="36" t="s">
        <v>1074</v>
      </c>
      <c r="DP206" s="1681">
        <v>0</v>
      </c>
      <c r="DQ206" s="1681">
        <v>1</v>
      </c>
      <c r="DR206" s="1681">
        <v>0</v>
      </c>
      <c r="DS206" s="1681">
        <v>0</v>
      </c>
      <c r="DT206" s="1681">
        <v>0</v>
      </c>
      <c r="DU206" s="1681">
        <v>0</v>
      </c>
      <c r="DV206" s="1681">
        <v>0</v>
      </c>
      <c r="DW206" s="1681">
        <v>1</v>
      </c>
      <c r="DX206" s="1681">
        <v>0</v>
      </c>
      <c r="DY206" s="1681">
        <v>0</v>
      </c>
      <c r="DZ206" s="1681">
        <v>0</v>
      </c>
      <c r="EA206" s="1681">
        <v>0</v>
      </c>
      <c r="EB206" s="1681">
        <v>0</v>
      </c>
      <c r="EC206" s="1681">
        <v>0</v>
      </c>
      <c r="ED206" s="1681">
        <v>0</v>
      </c>
      <c r="EE206" s="95">
        <v>0</v>
      </c>
      <c r="EF206" s="95">
        <v>0</v>
      </c>
      <c r="EG206" s="95">
        <v>2</v>
      </c>
      <c r="EH206" s="36"/>
      <c r="EM206" s="1488"/>
      <c r="EN206" s="1487"/>
      <c r="EO206" s="1487"/>
      <c r="EP206" s="1487"/>
      <c r="EQ206" s="1487"/>
      <c r="ER206" s="1487"/>
      <c r="ES206" s="1487"/>
      <c r="ET206" s="1487"/>
      <c r="EU206" s="1487"/>
      <c r="EV206" s="1487"/>
      <c r="EW206" s="1487"/>
      <c r="EX206" s="1487"/>
      <c r="EY206" s="1487"/>
      <c r="EZ206" s="1487"/>
      <c r="FA206" s="1487"/>
      <c r="FB206" s="1487"/>
      <c r="FC206" s="1487"/>
      <c r="FD206" s="1487"/>
      <c r="FE206" s="1487"/>
      <c r="FF206" s="1487"/>
      <c r="FG206" s="1488"/>
      <c r="FH206" s="1488"/>
      <c r="FI206" s="1488"/>
      <c r="FJ206" s="1488"/>
      <c r="FK206" s="1488"/>
      <c r="FL206" s="1488"/>
      <c r="FM206" s="1488"/>
      <c r="FN206" s="1488"/>
      <c r="FO206" s="1488"/>
      <c r="FP206" s="1488"/>
      <c r="FQ206" s="1488"/>
      <c r="FR206" s="1488"/>
      <c r="FS206" s="1488"/>
      <c r="FT206" s="1488"/>
      <c r="FU206" s="1488"/>
      <c r="FV206" s="1488"/>
      <c r="FW206" s="1488"/>
      <c r="FX206" s="1488"/>
      <c r="FY206" s="1488"/>
      <c r="FZ206" s="1488"/>
      <c r="GA206" s="1488"/>
      <c r="GB206" s="1488"/>
      <c r="GC206" s="1488"/>
      <c r="GD206" s="1488"/>
      <c r="HB206" s="36"/>
      <c r="HC206" s="36"/>
      <c r="HD206" s="36"/>
      <c r="HE206" s="36"/>
      <c r="HF206" s="36"/>
      <c r="HG206" s="36"/>
      <c r="HH206" s="36"/>
      <c r="HI206" s="36"/>
      <c r="HJ206" s="36"/>
      <c r="HK206" s="36"/>
      <c r="HL206" s="36"/>
      <c r="HM206" s="36"/>
      <c r="HN206" s="36"/>
      <c r="HO206" s="36"/>
      <c r="HP206" s="36"/>
      <c r="HQ206" s="36"/>
      <c r="HR206" s="36"/>
      <c r="HS206" s="36"/>
      <c r="HT206" s="36"/>
      <c r="HU206" s="36"/>
      <c r="HV206" s="36"/>
      <c r="HW206" s="36"/>
      <c r="HX206" s="36"/>
      <c r="HY206" s="36"/>
      <c r="HZ206" s="36"/>
      <c r="IA206" s="613"/>
      <c r="IB206" s="613"/>
      <c r="IC206" s="613"/>
      <c r="ID206" s="389" t="s">
        <v>1076</v>
      </c>
      <c r="IE206" s="390">
        <v>0</v>
      </c>
      <c r="IF206" s="390">
        <v>0</v>
      </c>
      <c r="IG206" s="390">
        <v>0</v>
      </c>
      <c r="IH206" s="390">
        <v>0</v>
      </c>
      <c r="II206" s="390">
        <v>1</v>
      </c>
      <c r="IJ206" s="390">
        <v>6</v>
      </c>
      <c r="IK206" s="390">
        <v>5</v>
      </c>
      <c r="IL206" s="390">
        <v>5</v>
      </c>
      <c r="IM206" s="390">
        <v>12</v>
      </c>
      <c r="IN206" s="390">
        <v>9</v>
      </c>
      <c r="IO206" s="390">
        <v>3</v>
      </c>
      <c r="IP206" s="390">
        <v>3</v>
      </c>
      <c r="IQ206" s="390">
        <v>0</v>
      </c>
      <c r="IR206" s="390">
        <v>44</v>
      </c>
      <c r="IS206" s="615"/>
      <c r="IT206" s="36"/>
      <c r="IU206" s="36"/>
      <c r="IV206" s="95"/>
      <c r="IW206" s="95"/>
      <c r="IX206" s="36"/>
      <c r="IY206" s="36" t="s">
        <v>1076</v>
      </c>
      <c r="IZ206" s="36">
        <v>0</v>
      </c>
      <c r="JA206" s="36">
        <v>0</v>
      </c>
      <c r="JB206" s="36">
        <v>0</v>
      </c>
      <c r="JC206" s="36">
        <v>0</v>
      </c>
      <c r="JD206" s="36">
        <v>0</v>
      </c>
      <c r="JE206" s="36">
        <v>0</v>
      </c>
      <c r="JF206" s="36">
        <v>0</v>
      </c>
      <c r="JG206" s="36">
        <v>0</v>
      </c>
      <c r="JH206" s="36">
        <v>5</v>
      </c>
      <c r="JI206" s="36">
        <v>3</v>
      </c>
      <c r="JJ206" s="36">
        <v>4</v>
      </c>
      <c r="JK206" s="36">
        <v>8</v>
      </c>
      <c r="JL206" s="36">
        <v>3</v>
      </c>
      <c r="JM206" s="36">
        <v>1</v>
      </c>
      <c r="JN206" s="36">
        <v>1</v>
      </c>
      <c r="JO206" s="36">
        <v>0</v>
      </c>
      <c r="JP206" s="36">
        <v>25</v>
      </c>
      <c r="JQ206" s="36"/>
      <c r="JR206" s="36"/>
      <c r="JS206" s="36"/>
      <c r="JT206" s="36"/>
      <c r="JU206" s="616"/>
      <c r="JV206" s="616" t="s">
        <v>1076</v>
      </c>
      <c r="JW206" s="616">
        <v>0</v>
      </c>
      <c r="JX206" s="616">
        <v>0</v>
      </c>
      <c r="JY206" s="616">
        <v>0</v>
      </c>
      <c r="JZ206" s="616">
        <v>0</v>
      </c>
      <c r="KA206" s="616">
        <v>0</v>
      </c>
      <c r="KB206" s="616">
        <v>1</v>
      </c>
      <c r="KC206" s="616">
        <v>0</v>
      </c>
      <c r="KD206" s="616">
        <v>0</v>
      </c>
      <c r="KE206" s="616">
        <v>3</v>
      </c>
      <c r="KF206" s="616">
        <v>5</v>
      </c>
      <c r="KG206" s="616">
        <v>2</v>
      </c>
      <c r="KH206" s="616">
        <v>10</v>
      </c>
      <c r="KI206" s="616">
        <v>4</v>
      </c>
      <c r="KJ206" s="616">
        <v>4</v>
      </c>
      <c r="KK206" s="616">
        <v>3</v>
      </c>
      <c r="KL206" s="616">
        <v>0</v>
      </c>
      <c r="KM206" s="616">
        <v>32</v>
      </c>
      <c r="KN206" s="616"/>
      <c r="KO206" s="617"/>
    </row>
    <row r="207" spans="1:301">
      <c r="A207" s="5737">
        <v>3</v>
      </c>
      <c r="B207" s="5737">
        <v>4</v>
      </c>
      <c r="C207" s="5736" t="s">
        <v>298</v>
      </c>
      <c r="D207" s="5736" t="s">
        <v>2709</v>
      </c>
      <c r="E207" s="5737">
        <v>10</v>
      </c>
      <c r="F207" s="5737">
        <v>12</v>
      </c>
      <c r="I207" s="4726">
        <v>4</v>
      </c>
      <c r="J207" s="4726">
        <v>6</v>
      </c>
      <c r="K207" s="4725" t="s">
        <v>609</v>
      </c>
      <c r="L207" s="4725" t="s">
        <v>2731</v>
      </c>
      <c r="M207" s="4726">
        <v>1</v>
      </c>
      <c r="N207" s="4726">
        <v>15</v>
      </c>
      <c r="Q207" s="4832"/>
      <c r="R207" s="4832"/>
      <c r="S207" s="4832"/>
      <c r="T207" s="4832"/>
      <c r="U207" s="4832"/>
      <c r="V207" s="4832"/>
      <c r="W207" s="4622"/>
      <c r="Z207" s="36"/>
      <c r="AA207" s="36"/>
      <c r="AB207" s="36"/>
      <c r="AC207" s="36" t="s">
        <v>1080</v>
      </c>
      <c r="AD207" s="615"/>
      <c r="AE207" s="615"/>
      <c r="AF207" s="615"/>
      <c r="AG207" s="615"/>
      <c r="AH207" s="615"/>
      <c r="AI207" s="615"/>
      <c r="AJ207" s="615"/>
      <c r="AK207" s="615"/>
      <c r="AL207" s="615"/>
      <c r="AM207" s="615"/>
      <c r="AN207" s="615">
        <v>0</v>
      </c>
      <c r="AO207" s="615">
        <v>2</v>
      </c>
      <c r="AP207" s="615"/>
      <c r="AQ207" s="36">
        <v>1</v>
      </c>
      <c r="AR207" s="36">
        <v>3</v>
      </c>
      <c r="AS207" s="36"/>
      <c r="AU207" s="36"/>
      <c r="AV207" s="36"/>
      <c r="AW207" s="393" t="s">
        <v>487</v>
      </c>
      <c r="AX207" s="393" t="s">
        <v>1071</v>
      </c>
      <c r="AY207" s="1682"/>
      <c r="AZ207" s="1682">
        <v>0</v>
      </c>
      <c r="BA207" s="1682"/>
      <c r="BB207" s="1682"/>
      <c r="BC207" s="1682"/>
      <c r="BD207" s="1682"/>
      <c r="BE207" s="1682"/>
      <c r="BF207" s="1682"/>
      <c r="BG207" s="1682"/>
      <c r="BH207" s="1682">
        <v>0</v>
      </c>
      <c r="BI207" s="1682">
        <v>0</v>
      </c>
      <c r="BJ207" s="1682">
        <v>0</v>
      </c>
      <c r="BK207" s="1682">
        <v>0</v>
      </c>
      <c r="BL207" s="1682">
        <v>1</v>
      </c>
      <c r="BM207" s="4455">
        <v>0</v>
      </c>
      <c r="BN207" s="4455"/>
      <c r="BO207" s="4455">
        <v>1</v>
      </c>
      <c r="BP207" s="4455"/>
      <c r="BT207" s="1520" t="s">
        <v>487</v>
      </c>
      <c r="BU207" s="1520" t="s">
        <v>1072</v>
      </c>
      <c r="BV207" s="3872"/>
      <c r="BW207" s="3872">
        <v>1</v>
      </c>
      <c r="BX207" s="3872"/>
      <c r="BY207" s="3872"/>
      <c r="BZ207" s="3872"/>
      <c r="CA207" s="3872"/>
      <c r="CB207" s="3872"/>
      <c r="CC207" s="3872"/>
      <c r="CD207" s="3872"/>
      <c r="CE207" s="3872">
        <v>0</v>
      </c>
      <c r="CF207" s="3872">
        <v>1</v>
      </c>
      <c r="CG207" s="3872">
        <v>1</v>
      </c>
      <c r="CH207" s="3872">
        <v>0</v>
      </c>
      <c r="CI207" s="3872">
        <v>0</v>
      </c>
      <c r="CJ207" s="3806">
        <v>0</v>
      </c>
      <c r="CK207" s="3806">
        <v>3</v>
      </c>
      <c r="CN207" s="36"/>
      <c r="CO207" s="36"/>
      <c r="CP207" s="36"/>
      <c r="CQ207" s="393" t="s">
        <v>15</v>
      </c>
      <c r="CR207" s="2049"/>
      <c r="CS207" s="2049"/>
      <c r="CT207" s="2049"/>
      <c r="CU207" s="2049"/>
      <c r="CV207" s="2049"/>
      <c r="CW207" s="2049"/>
      <c r="CX207" s="2049"/>
      <c r="CY207" s="2049"/>
      <c r="CZ207" s="2049"/>
      <c r="DA207" s="2049"/>
      <c r="DB207" s="2049"/>
      <c r="DC207" s="2049"/>
      <c r="DD207" s="2049">
        <v>7</v>
      </c>
      <c r="DE207" s="2049"/>
      <c r="DF207" s="2049"/>
      <c r="DG207" s="393"/>
      <c r="DH207" s="393"/>
      <c r="DI207" s="393">
        <v>7</v>
      </c>
      <c r="DJ207" s="560">
        <f>+(DI206+DI205)/DI207</f>
        <v>0.42857142857142855</v>
      </c>
      <c r="DK207" s="1665"/>
      <c r="DL207" s="36"/>
      <c r="DM207" s="36"/>
      <c r="DN207" s="36"/>
      <c r="DO207" s="36" t="s">
        <v>1076</v>
      </c>
      <c r="DP207" s="1681">
        <v>0</v>
      </c>
      <c r="DQ207" s="1681">
        <v>0</v>
      </c>
      <c r="DR207" s="1681">
        <v>0</v>
      </c>
      <c r="DS207" s="1681">
        <v>0</v>
      </c>
      <c r="DT207" s="1681">
        <v>0</v>
      </c>
      <c r="DU207" s="1681">
        <v>0</v>
      </c>
      <c r="DV207" s="1681">
        <v>0</v>
      </c>
      <c r="DW207" s="1681">
        <v>1</v>
      </c>
      <c r="DX207" s="1681">
        <v>0</v>
      </c>
      <c r="DY207" s="1681">
        <v>2</v>
      </c>
      <c r="DZ207" s="1681">
        <v>0</v>
      </c>
      <c r="EA207" s="1681">
        <v>1</v>
      </c>
      <c r="EB207" s="1681">
        <v>16</v>
      </c>
      <c r="EC207" s="1681">
        <v>14</v>
      </c>
      <c r="ED207" s="1681">
        <v>2</v>
      </c>
      <c r="EE207" s="95">
        <v>1</v>
      </c>
      <c r="EF207" s="95">
        <v>0</v>
      </c>
      <c r="EG207" s="95">
        <v>37</v>
      </c>
      <c r="EH207" s="36"/>
      <c r="EN207" s="1487"/>
      <c r="EO207" s="1487"/>
      <c r="EP207" s="1487"/>
      <c r="EQ207" s="1487"/>
      <c r="ER207" s="1487"/>
      <c r="ES207" s="1487"/>
      <c r="ET207" s="1487"/>
      <c r="EU207" s="1487"/>
      <c r="EV207" s="1487"/>
      <c r="EW207" s="1487"/>
      <c r="EX207" s="1487"/>
      <c r="EY207" s="1487"/>
      <c r="EZ207" s="1487"/>
      <c r="FA207" s="1487"/>
      <c r="FB207" s="1487"/>
      <c r="FC207" s="1487"/>
      <c r="FD207" s="1487"/>
      <c r="FE207" s="1487"/>
      <c r="FF207" s="1487"/>
      <c r="HB207" s="36"/>
      <c r="HC207" s="36"/>
      <c r="HD207" s="36"/>
      <c r="HE207" s="36"/>
      <c r="HF207" s="36"/>
      <c r="HG207" s="36"/>
      <c r="HH207" s="36"/>
      <c r="HI207" s="36"/>
      <c r="HJ207" s="36"/>
      <c r="HK207" s="36"/>
      <c r="HL207" s="36"/>
      <c r="HM207" s="36"/>
      <c r="HN207" s="36"/>
      <c r="HO207" s="36"/>
      <c r="HP207" s="36"/>
      <c r="HQ207" s="36"/>
      <c r="HR207" s="36"/>
      <c r="HS207" s="36"/>
      <c r="HT207" s="36"/>
      <c r="HU207" s="36"/>
      <c r="HV207" s="36"/>
      <c r="HW207" s="36"/>
      <c r="HX207" s="36"/>
      <c r="HY207" s="36"/>
      <c r="HZ207" s="36"/>
      <c r="IA207" s="613"/>
      <c r="IB207" s="613"/>
      <c r="IC207" s="613"/>
      <c r="ID207" s="389" t="s">
        <v>1077</v>
      </c>
      <c r="IE207" s="390">
        <v>0</v>
      </c>
      <c r="IF207" s="390">
        <v>1</v>
      </c>
      <c r="IG207" s="390">
        <v>7</v>
      </c>
      <c r="IH207" s="390">
        <v>3</v>
      </c>
      <c r="II207" s="390">
        <v>3</v>
      </c>
      <c r="IJ207" s="390">
        <v>3</v>
      </c>
      <c r="IK207" s="390">
        <v>3</v>
      </c>
      <c r="IL207" s="390">
        <v>2</v>
      </c>
      <c r="IM207" s="390">
        <v>2</v>
      </c>
      <c r="IN207" s="390">
        <v>0</v>
      </c>
      <c r="IO207" s="390">
        <v>0</v>
      </c>
      <c r="IP207" s="390">
        <v>0</v>
      </c>
      <c r="IQ207" s="390">
        <v>0</v>
      </c>
      <c r="IR207" s="390">
        <v>24</v>
      </c>
      <c r="IS207" s="615"/>
      <c r="IT207" s="36"/>
      <c r="IU207" s="36"/>
      <c r="IV207" s="95"/>
      <c r="IW207" s="95"/>
      <c r="IX207" s="36"/>
      <c r="IY207" s="36" t="s">
        <v>1077</v>
      </c>
      <c r="IZ207" s="36">
        <v>0</v>
      </c>
      <c r="JA207" s="36">
        <v>1</v>
      </c>
      <c r="JB207" s="36">
        <v>2</v>
      </c>
      <c r="JC207" s="36">
        <v>0</v>
      </c>
      <c r="JD207" s="36">
        <v>0</v>
      </c>
      <c r="JE207" s="36">
        <v>1</v>
      </c>
      <c r="JF207" s="36">
        <v>2</v>
      </c>
      <c r="JG207" s="36">
        <v>1</v>
      </c>
      <c r="JH207" s="36">
        <v>0</v>
      </c>
      <c r="JI207" s="36">
        <v>0</v>
      </c>
      <c r="JJ207" s="36">
        <v>1</v>
      </c>
      <c r="JK207" s="36">
        <v>14</v>
      </c>
      <c r="JL207" s="36">
        <v>0</v>
      </c>
      <c r="JM207" s="36">
        <v>0</v>
      </c>
      <c r="JN207" s="36">
        <v>0</v>
      </c>
      <c r="JO207" s="36">
        <v>0</v>
      </c>
      <c r="JP207" s="36">
        <v>22</v>
      </c>
      <c r="JQ207" s="36"/>
      <c r="JR207" s="36"/>
      <c r="JS207" s="36"/>
      <c r="JT207" s="36"/>
      <c r="JU207" s="616"/>
      <c r="JV207" s="616" t="s">
        <v>1077</v>
      </c>
      <c r="JW207" s="616">
        <v>1</v>
      </c>
      <c r="JX207" s="616">
        <v>1</v>
      </c>
      <c r="JY207" s="616">
        <v>0</v>
      </c>
      <c r="JZ207" s="616">
        <v>0</v>
      </c>
      <c r="KA207" s="616">
        <v>2</v>
      </c>
      <c r="KB207" s="616">
        <v>0</v>
      </c>
      <c r="KC207" s="616">
        <v>2</v>
      </c>
      <c r="KD207" s="616">
        <v>1</v>
      </c>
      <c r="KE207" s="616">
        <v>3</v>
      </c>
      <c r="KF207" s="616">
        <v>0</v>
      </c>
      <c r="KG207" s="616">
        <v>1</v>
      </c>
      <c r="KH207" s="616">
        <v>4</v>
      </c>
      <c r="KI207" s="616">
        <v>0</v>
      </c>
      <c r="KJ207" s="616">
        <v>0</v>
      </c>
      <c r="KK207" s="616">
        <v>0</v>
      </c>
      <c r="KL207" s="616">
        <v>0</v>
      </c>
      <c r="KM207" s="616">
        <v>15</v>
      </c>
      <c r="KN207" s="616"/>
      <c r="KO207" s="617"/>
    </row>
    <row r="208" spans="1:301">
      <c r="A208" s="5737"/>
      <c r="B208" s="5737"/>
      <c r="C208" s="5736"/>
      <c r="D208" s="5736"/>
      <c r="E208" s="5742">
        <f>SUM(E206:E207)</f>
        <v>11</v>
      </c>
      <c r="F208" s="5737"/>
      <c r="I208" s="4726">
        <v>4</v>
      </c>
      <c r="J208" s="4726">
        <v>6</v>
      </c>
      <c r="K208" s="4725" t="s">
        <v>609</v>
      </c>
      <c r="L208" s="4963" t="s">
        <v>2707</v>
      </c>
      <c r="M208" s="4964">
        <v>1</v>
      </c>
      <c r="N208" s="4726">
        <v>14</v>
      </c>
      <c r="Q208" s="4832"/>
      <c r="R208" s="4832"/>
      <c r="S208" s="5677"/>
      <c r="T208" s="4832"/>
      <c r="U208" s="4832"/>
      <c r="V208" s="4832"/>
      <c r="W208" s="4622"/>
      <c r="Z208" s="36"/>
      <c r="AA208" s="36"/>
      <c r="AB208" s="36"/>
      <c r="AC208" s="4236" t="s">
        <v>15</v>
      </c>
      <c r="AD208" s="4236"/>
      <c r="AE208" s="4236"/>
      <c r="AF208" s="4236"/>
      <c r="AG208" s="4236"/>
      <c r="AH208" s="4236"/>
      <c r="AI208" s="4236"/>
      <c r="AJ208" s="4236"/>
      <c r="AK208" s="4236"/>
      <c r="AL208" s="4236"/>
      <c r="AM208" s="4236"/>
      <c r="AN208" s="4236">
        <v>1</v>
      </c>
      <c r="AO208" s="4236">
        <v>4</v>
      </c>
      <c r="AP208" s="4236"/>
      <c r="AQ208" s="4236">
        <v>1</v>
      </c>
      <c r="AR208" s="4236">
        <v>6</v>
      </c>
      <c r="AS208" s="4243">
        <v>0</v>
      </c>
      <c r="AU208" s="36"/>
      <c r="AV208" s="36"/>
      <c r="AW208" s="393"/>
      <c r="AX208" s="393" t="s">
        <v>1072</v>
      </c>
      <c r="AY208" s="1682"/>
      <c r="AZ208" s="1682">
        <v>1</v>
      </c>
      <c r="BA208" s="1682"/>
      <c r="BB208" s="1682"/>
      <c r="BC208" s="1682"/>
      <c r="BD208" s="1682"/>
      <c r="BE208" s="1682"/>
      <c r="BF208" s="1682"/>
      <c r="BG208" s="1682"/>
      <c r="BH208" s="1682">
        <v>0</v>
      </c>
      <c r="BI208" s="1682">
        <v>1</v>
      </c>
      <c r="BJ208" s="1682">
        <v>1</v>
      </c>
      <c r="BK208" s="1682">
        <v>0</v>
      </c>
      <c r="BL208" s="1682">
        <v>0</v>
      </c>
      <c r="BM208" s="4455">
        <v>0</v>
      </c>
      <c r="BN208" s="4455"/>
      <c r="BO208" s="4455">
        <v>3</v>
      </c>
      <c r="BP208" s="4455"/>
      <c r="BU208" s="1520" t="s">
        <v>1080</v>
      </c>
      <c r="BV208" s="3872"/>
      <c r="BW208" s="3872">
        <v>0</v>
      </c>
      <c r="BX208" s="3872"/>
      <c r="BY208" s="3872"/>
      <c r="BZ208" s="3872"/>
      <c r="CA208" s="3872"/>
      <c r="CB208" s="3872"/>
      <c r="CC208" s="3872"/>
      <c r="CD208" s="3872"/>
      <c r="CE208" s="3872">
        <v>0</v>
      </c>
      <c r="CF208" s="3872">
        <v>0</v>
      </c>
      <c r="CG208" s="3872">
        <v>0</v>
      </c>
      <c r="CH208" s="3872">
        <v>6</v>
      </c>
      <c r="CI208" s="3872">
        <v>1</v>
      </c>
      <c r="CJ208" s="3806">
        <v>1</v>
      </c>
      <c r="CK208" s="3806">
        <v>8</v>
      </c>
      <c r="CN208" s="36"/>
      <c r="CO208" s="36"/>
      <c r="CP208" s="393" t="s">
        <v>484</v>
      </c>
      <c r="CQ208" s="393" t="s">
        <v>1072</v>
      </c>
      <c r="CR208" s="2049"/>
      <c r="CS208" s="2049"/>
      <c r="CT208" s="2049"/>
      <c r="CU208" s="2049"/>
      <c r="CV208" s="2049"/>
      <c r="CW208" s="2049"/>
      <c r="CX208" s="2049"/>
      <c r="CY208" s="2049"/>
      <c r="CZ208" s="2049"/>
      <c r="DA208" s="2049"/>
      <c r="DB208" s="2049"/>
      <c r="DC208" s="2049"/>
      <c r="DD208" s="2049">
        <v>4</v>
      </c>
      <c r="DE208" s="2049"/>
      <c r="DF208" s="2049"/>
      <c r="DG208" s="393"/>
      <c r="DH208" s="393"/>
      <c r="DI208" s="393">
        <v>4</v>
      </c>
      <c r="DJ208" s="36"/>
      <c r="DL208" s="36"/>
      <c r="DM208" s="36"/>
      <c r="DN208" s="36"/>
      <c r="DO208" s="36" t="s">
        <v>1077</v>
      </c>
      <c r="DP208" s="1681">
        <v>0</v>
      </c>
      <c r="DQ208" s="1681">
        <v>0</v>
      </c>
      <c r="DR208" s="1681">
        <v>0</v>
      </c>
      <c r="DS208" s="1681">
        <v>0</v>
      </c>
      <c r="DT208" s="1681">
        <v>0</v>
      </c>
      <c r="DU208" s="1681">
        <v>0</v>
      </c>
      <c r="DV208" s="1681">
        <v>0</v>
      </c>
      <c r="DW208" s="1681">
        <v>1</v>
      </c>
      <c r="DX208" s="1681">
        <v>0</v>
      </c>
      <c r="DY208" s="1681">
        <v>2</v>
      </c>
      <c r="DZ208" s="1681">
        <v>0</v>
      </c>
      <c r="EA208" s="1681">
        <v>0</v>
      </c>
      <c r="EB208" s="1681">
        <v>0</v>
      </c>
      <c r="EC208" s="1681">
        <v>0</v>
      </c>
      <c r="ED208" s="1681">
        <v>0</v>
      </c>
      <c r="EE208" s="95">
        <v>0</v>
      </c>
      <c r="EF208" s="95">
        <v>0</v>
      </c>
      <c r="EG208" s="95">
        <v>3</v>
      </c>
      <c r="EH208" s="36"/>
      <c r="EN208" s="1487"/>
      <c r="EO208" s="1487"/>
      <c r="EP208" s="1487"/>
      <c r="EQ208" s="1487"/>
      <c r="ER208" s="1487"/>
      <c r="ES208" s="1487"/>
      <c r="ET208" s="1487"/>
      <c r="EU208" s="1487"/>
      <c r="EV208" s="1487"/>
      <c r="EW208" s="1487"/>
      <c r="EX208" s="1487"/>
      <c r="EY208" s="1487"/>
      <c r="EZ208" s="1487"/>
      <c r="FA208" s="1487"/>
      <c r="FB208" s="1487"/>
      <c r="FC208" s="1487"/>
      <c r="FD208" s="1487"/>
      <c r="FE208" s="1487"/>
      <c r="FF208" s="1487"/>
      <c r="HB208" s="36"/>
      <c r="HC208" s="36"/>
      <c r="HD208" s="36"/>
      <c r="HE208" s="36"/>
      <c r="HF208" s="36"/>
      <c r="HG208" s="36"/>
      <c r="HH208" s="36"/>
      <c r="HI208" s="36"/>
      <c r="HJ208" s="36"/>
      <c r="HK208" s="36"/>
      <c r="HL208" s="36"/>
      <c r="HM208" s="36"/>
      <c r="HN208" s="36"/>
      <c r="HO208" s="36"/>
      <c r="HP208" s="36"/>
      <c r="HQ208" s="36"/>
      <c r="HR208" s="36"/>
      <c r="HS208" s="36"/>
      <c r="HT208" s="36"/>
      <c r="HU208" s="36"/>
      <c r="HV208" s="36"/>
      <c r="HW208" s="36"/>
      <c r="HX208" s="36"/>
      <c r="HY208" s="36"/>
      <c r="HZ208" s="36"/>
      <c r="IA208" s="613"/>
      <c r="IB208" s="613"/>
      <c r="IC208" s="613"/>
      <c r="ID208" s="389" t="s">
        <v>1080</v>
      </c>
      <c r="IE208" s="390">
        <v>0</v>
      </c>
      <c r="IF208" s="390">
        <v>0</v>
      </c>
      <c r="IG208" s="390">
        <v>0</v>
      </c>
      <c r="IH208" s="390">
        <v>0</v>
      </c>
      <c r="II208" s="390">
        <v>2</v>
      </c>
      <c r="IJ208" s="390">
        <v>1</v>
      </c>
      <c r="IK208" s="390">
        <v>0</v>
      </c>
      <c r="IL208" s="390">
        <v>0</v>
      </c>
      <c r="IM208" s="390">
        <v>1</v>
      </c>
      <c r="IN208" s="390">
        <v>8</v>
      </c>
      <c r="IO208" s="390">
        <v>43</v>
      </c>
      <c r="IP208" s="390">
        <v>3</v>
      </c>
      <c r="IQ208" s="390">
        <v>17</v>
      </c>
      <c r="IR208" s="390">
        <v>75</v>
      </c>
      <c r="IS208" s="615"/>
      <c r="IT208" s="36"/>
      <c r="IU208" s="36"/>
      <c r="IV208" s="95"/>
      <c r="IW208" s="95"/>
      <c r="IX208" s="36"/>
      <c r="IY208" s="36" t="s">
        <v>1080</v>
      </c>
      <c r="IZ208" s="36">
        <v>0</v>
      </c>
      <c r="JA208" s="36">
        <v>0</v>
      </c>
      <c r="JB208" s="36">
        <v>0</v>
      </c>
      <c r="JC208" s="36">
        <v>0</v>
      </c>
      <c r="JD208" s="36">
        <v>0</v>
      </c>
      <c r="JE208" s="36">
        <v>0</v>
      </c>
      <c r="JF208" s="36">
        <v>0</v>
      </c>
      <c r="JG208" s="36">
        <v>0</v>
      </c>
      <c r="JH208" s="36">
        <v>0</v>
      </c>
      <c r="JI208" s="36">
        <v>2</v>
      </c>
      <c r="JJ208" s="36">
        <v>2</v>
      </c>
      <c r="JK208" s="36">
        <v>1</v>
      </c>
      <c r="JL208" s="36">
        <v>4</v>
      </c>
      <c r="JM208" s="36">
        <v>25</v>
      </c>
      <c r="JN208" s="36">
        <v>8</v>
      </c>
      <c r="JO208" s="36">
        <v>21</v>
      </c>
      <c r="JP208" s="36">
        <v>63</v>
      </c>
      <c r="JQ208" s="36"/>
      <c r="JR208" s="36"/>
      <c r="JS208" s="36"/>
      <c r="JT208" s="36"/>
      <c r="JU208" s="616"/>
      <c r="JV208" s="616" t="s">
        <v>1080</v>
      </c>
      <c r="JW208" s="616">
        <v>0</v>
      </c>
      <c r="JX208" s="616">
        <v>0</v>
      </c>
      <c r="JY208" s="616">
        <v>0</v>
      </c>
      <c r="JZ208" s="616">
        <v>0</v>
      </c>
      <c r="KA208" s="616">
        <v>0</v>
      </c>
      <c r="KB208" s="616">
        <v>0</v>
      </c>
      <c r="KC208" s="616">
        <v>0</v>
      </c>
      <c r="KD208" s="616">
        <v>1</v>
      </c>
      <c r="KE208" s="616">
        <v>0</v>
      </c>
      <c r="KF208" s="616">
        <v>0</v>
      </c>
      <c r="KG208" s="616">
        <v>1</v>
      </c>
      <c r="KH208" s="616">
        <v>0</v>
      </c>
      <c r="KI208" s="616">
        <v>5</v>
      </c>
      <c r="KJ208" s="616">
        <v>15</v>
      </c>
      <c r="KK208" s="616">
        <v>7</v>
      </c>
      <c r="KL208" s="616">
        <v>19</v>
      </c>
      <c r="KM208" s="616">
        <v>48</v>
      </c>
      <c r="KN208" s="616"/>
      <c r="KO208" s="617"/>
    </row>
    <row r="209" spans="1:301">
      <c r="A209" s="5737"/>
      <c r="B209" s="5737"/>
      <c r="C209" s="5736"/>
      <c r="D209" s="5738" t="s">
        <v>2754</v>
      </c>
      <c r="E209" s="5751">
        <v>0</v>
      </c>
      <c r="F209" s="5737"/>
      <c r="I209" s="4726" t="s">
        <v>2613</v>
      </c>
      <c r="J209" s="4726" t="s">
        <v>2613</v>
      </c>
      <c r="K209" s="4726" t="s">
        <v>2613</v>
      </c>
      <c r="L209" s="4726" t="s">
        <v>2613</v>
      </c>
      <c r="M209" s="27">
        <f t="shared" ref="M209" si="2">SUM(M205:M208)</f>
        <v>5</v>
      </c>
      <c r="N209" s="4726" t="s">
        <v>2613</v>
      </c>
      <c r="O209" s="4513">
        <f>+(M208)/(M209)</f>
        <v>0.2</v>
      </c>
      <c r="Q209" s="4832"/>
      <c r="R209" s="4832"/>
      <c r="S209" s="4832"/>
      <c r="T209" s="4832"/>
      <c r="U209" s="4832"/>
      <c r="V209" s="4832"/>
      <c r="W209" s="4622"/>
      <c r="Z209" s="36"/>
      <c r="AA209" s="36"/>
      <c r="AB209" s="36" t="s">
        <v>256</v>
      </c>
      <c r="AC209" s="36" t="s">
        <v>1071</v>
      </c>
      <c r="AD209" s="615">
        <v>0</v>
      </c>
      <c r="AE209" s="615"/>
      <c r="AF209" s="615"/>
      <c r="AG209" s="615"/>
      <c r="AH209" s="615"/>
      <c r="AI209" s="615"/>
      <c r="AJ209" s="615">
        <v>0</v>
      </c>
      <c r="AK209" s="615"/>
      <c r="AL209" s="615">
        <v>0</v>
      </c>
      <c r="AM209" s="615"/>
      <c r="AN209" s="615">
        <v>0</v>
      </c>
      <c r="AO209" s="615">
        <v>1</v>
      </c>
      <c r="AP209" s="615"/>
      <c r="AQ209" s="36">
        <v>0</v>
      </c>
      <c r="AR209" s="36">
        <v>1</v>
      </c>
      <c r="AS209" s="36"/>
      <c r="AU209" s="36"/>
      <c r="AV209" s="36"/>
      <c r="AW209" s="393"/>
      <c r="AX209" s="393" t="s">
        <v>1080</v>
      </c>
      <c r="AY209" s="1682"/>
      <c r="AZ209" s="1682">
        <v>0</v>
      </c>
      <c r="BA209" s="1682"/>
      <c r="BB209" s="1682"/>
      <c r="BC209" s="1682"/>
      <c r="BD209" s="1682"/>
      <c r="BE209" s="1682"/>
      <c r="BF209" s="1682"/>
      <c r="BG209" s="1682"/>
      <c r="BH209" s="1682">
        <v>0</v>
      </c>
      <c r="BI209" s="1682">
        <v>0</v>
      </c>
      <c r="BJ209" s="1682">
        <v>0</v>
      </c>
      <c r="BK209" s="1682">
        <v>0</v>
      </c>
      <c r="BL209" s="1682">
        <v>4</v>
      </c>
      <c r="BM209" s="4455">
        <v>1</v>
      </c>
      <c r="BN209" s="4455"/>
      <c r="BO209" s="4455">
        <v>5</v>
      </c>
      <c r="BP209" s="4455"/>
      <c r="BU209" s="1520" t="s">
        <v>1163</v>
      </c>
      <c r="BV209" s="3872"/>
      <c r="BW209" s="3872">
        <v>0</v>
      </c>
      <c r="BX209" s="3872"/>
      <c r="BY209" s="3872"/>
      <c r="BZ209" s="3872"/>
      <c r="CA209" s="3872"/>
      <c r="CB209" s="3872"/>
      <c r="CC209" s="3872"/>
      <c r="CD209" s="3872"/>
      <c r="CE209" s="3872">
        <v>1</v>
      </c>
      <c r="CF209" s="3872">
        <v>0</v>
      </c>
      <c r="CG209" s="3872">
        <v>0</v>
      </c>
      <c r="CH209" s="3872">
        <v>0</v>
      </c>
      <c r="CI209" s="3872">
        <v>0</v>
      </c>
      <c r="CJ209" s="3806">
        <v>0</v>
      </c>
      <c r="CK209" s="3806">
        <v>1</v>
      </c>
      <c r="CN209" s="36"/>
      <c r="CO209" s="36"/>
      <c r="CP209" s="393"/>
      <c r="CQ209" s="393" t="s">
        <v>1081</v>
      </c>
      <c r="CR209" s="2049"/>
      <c r="CS209" s="2049"/>
      <c r="CT209" s="2049"/>
      <c r="CU209" s="2049"/>
      <c r="CV209" s="2049"/>
      <c r="CW209" s="2049"/>
      <c r="CX209" s="2049"/>
      <c r="CY209" s="2049"/>
      <c r="CZ209" s="2049"/>
      <c r="DA209" s="2049"/>
      <c r="DB209" s="2049"/>
      <c r="DC209" s="2049"/>
      <c r="DD209" s="2049">
        <v>1</v>
      </c>
      <c r="DE209" s="2049"/>
      <c r="DF209" s="2049"/>
      <c r="DG209" s="393"/>
      <c r="DH209" s="393"/>
      <c r="DI209" s="393">
        <v>1</v>
      </c>
      <c r="DJ209" s="36"/>
      <c r="DL209" s="36"/>
      <c r="DM209" s="36"/>
      <c r="DN209" s="36"/>
      <c r="DO209" s="36" t="s">
        <v>1080</v>
      </c>
      <c r="DP209" s="1681">
        <v>0</v>
      </c>
      <c r="DQ209" s="1681">
        <v>0</v>
      </c>
      <c r="DR209" s="1681">
        <v>0</v>
      </c>
      <c r="DS209" s="1681">
        <v>0</v>
      </c>
      <c r="DT209" s="1681">
        <v>0</v>
      </c>
      <c r="DU209" s="1681">
        <v>0</v>
      </c>
      <c r="DV209" s="1681">
        <v>0</v>
      </c>
      <c r="DW209" s="1681">
        <v>0</v>
      </c>
      <c r="DX209" s="1681">
        <v>0</v>
      </c>
      <c r="DY209" s="1681">
        <v>0</v>
      </c>
      <c r="DZ209" s="1681">
        <v>0</v>
      </c>
      <c r="EA209" s="1681">
        <v>1</v>
      </c>
      <c r="EB209" s="1681">
        <v>0</v>
      </c>
      <c r="EC209" s="1681">
        <v>0</v>
      </c>
      <c r="ED209" s="1681">
        <v>41</v>
      </c>
      <c r="EE209" s="95">
        <v>5</v>
      </c>
      <c r="EF209" s="95">
        <v>27</v>
      </c>
      <c r="EG209" s="95">
        <v>74</v>
      </c>
      <c r="EH209" s="36"/>
      <c r="EN209" s="1487"/>
      <c r="EO209" s="1487"/>
      <c r="EP209" s="1487"/>
      <c r="EQ209" s="1487"/>
      <c r="ER209" s="1487"/>
      <c r="ES209" s="1487"/>
      <c r="ET209" s="1487"/>
      <c r="EU209" s="1487"/>
      <c r="EV209" s="1487"/>
      <c r="EW209" s="1487"/>
      <c r="EX209" s="1487"/>
      <c r="EY209" s="1487"/>
      <c r="EZ209" s="1487"/>
      <c r="FA209" s="1487"/>
      <c r="FB209" s="1487"/>
      <c r="FC209" s="1487"/>
      <c r="FD209" s="1487"/>
      <c r="FE209" s="1487"/>
      <c r="FF209" s="1487"/>
      <c r="HB209" s="36"/>
      <c r="HC209" s="36"/>
      <c r="HD209" s="36"/>
      <c r="HE209" s="36"/>
      <c r="HF209" s="36"/>
      <c r="HG209" s="36"/>
      <c r="HH209" s="36"/>
      <c r="HI209" s="36"/>
      <c r="HJ209" s="36"/>
      <c r="HK209" s="36"/>
      <c r="HL209" s="36"/>
      <c r="HM209" s="36"/>
      <c r="HN209" s="36"/>
      <c r="HO209" s="36"/>
      <c r="HP209" s="36"/>
      <c r="HQ209" s="36"/>
      <c r="HR209" s="36"/>
      <c r="HS209" s="36"/>
      <c r="HT209" s="36"/>
      <c r="HU209" s="36"/>
      <c r="HV209" s="36"/>
      <c r="HW209" s="36"/>
      <c r="HX209" s="36"/>
      <c r="HY209" s="36"/>
      <c r="HZ209" s="36"/>
      <c r="IA209" s="613"/>
      <c r="IB209" s="613"/>
      <c r="IC209" s="613"/>
      <c r="ID209" s="389" t="s">
        <v>1081</v>
      </c>
      <c r="IE209" s="390">
        <v>0</v>
      </c>
      <c r="IF209" s="390">
        <v>0</v>
      </c>
      <c r="IG209" s="390">
        <v>0</v>
      </c>
      <c r="IH209" s="390">
        <v>0</v>
      </c>
      <c r="II209" s="390">
        <v>0</v>
      </c>
      <c r="IJ209" s="390">
        <v>1</v>
      </c>
      <c r="IK209" s="390">
        <v>0</v>
      </c>
      <c r="IL209" s="390">
        <v>0</v>
      </c>
      <c r="IM209" s="390">
        <v>0</v>
      </c>
      <c r="IN209" s="390">
        <v>3</v>
      </c>
      <c r="IO209" s="390">
        <v>1</v>
      </c>
      <c r="IP209" s="390">
        <v>0</v>
      </c>
      <c r="IQ209" s="390">
        <v>0</v>
      </c>
      <c r="IR209" s="390">
        <v>5</v>
      </c>
      <c r="IS209" s="615"/>
      <c r="IT209" s="36"/>
      <c r="IU209" s="36"/>
      <c r="IV209" s="95"/>
      <c r="IW209" s="95"/>
      <c r="IX209" s="36"/>
      <c r="IY209" s="36" t="s">
        <v>1081</v>
      </c>
      <c r="IZ209" s="36">
        <v>0</v>
      </c>
      <c r="JA209" s="36">
        <v>0</v>
      </c>
      <c r="JB209" s="36">
        <v>0</v>
      </c>
      <c r="JC209" s="36">
        <v>0</v>
      </c>
      <c r="JD209" s="36">
        <v>0</v>
      </c>
      <c r="JE209" s="36">
        <v>0</v>
      </c>
      <c r="JF209" s="36">
        <v>0</v>
      </c>
      <c r="JG209" s="36">
        <v>0</v>
      </c>
      <c r="JH209" s="36">
        <v>5</v>
      </c>
      <c r="JI209" s="36">
        <v>3</v>
      </c>
      <c r="JJ209" s="36">
        <v>2</v>
      </c>
      <c r="JK209" s="36">
        <v>3</v>
      </c>
      <c r="JL209" s="36">
        <v>0</v>
      </c>
      <c r="JM209" s="36">
        <v>1</v>
      </c>
      <c r="JN209" s="36">
        <v>0</v>
      </c>
      <c r="JO209" s="36">
        <v>0</v>
      </c>
      <c r="JP209" s="36">
        <v>14</v>
      </c>
      <c r="JQ209" s="36"/>
      <c r="JR209" s="36"/>
      <c r="JS209" s="36"/>
      <c r="JT209" s="36"/>
      <c r="JU209" s="616"/>
      <c r="JV209" s="616" t="s">
        <v>1081</v>
      </c>
      <c r="JW209" s="616">
        <v>0</v>
      </c>
      <c r="JX209" s="616">
        <v>0</v>
      </c>
      <c r="JY209" s="616">
        <v>0</v>
      </c>
      <c r="JZ209" s="616">
        <v>0</v>
      </c>
      <c r="KA209" s="616">
        <v>0</v>
      </c>
      <c r="KB209" s="616">
        <v>0</v>
      </c>
      <c r="KC209" s="616">
        <v>0</v>
      </c>
      <c r="KD209" s="616">
        <v>0</v>
      </c>
      <c r="KE209" s="616">
        <v>0</v>
      </c>
      <c r="KF209" s="616">
        <v>2</v>
      </c>
      <c r="KG209" s="616">
        <v>0</v>
      </c>
      <c r="KH209" s="616">
        <v>1</v>
      </c>
      <c r="KI209" s="616">
        <v>2</v>
      </c>
      <c r="KJ209" s="616">
        <v>0</v>
      </c>
      <c r="KK209" s="616">
        <v>0</v>
      </c>
      <c r="KL209" s="616">
        <v>0</v>
      </c>
      <c r="KM209" s="616">
        <v>5</v>
      </c>
      <c r="KN209" s="616"/>
      <c r="KO209" s="617"/>
    </row>
    <row r="210" spans="1:301">
      <c r="A210" s="5737"/>
      <c r="B210" s="5737"/>
      <c r="C210" s="5742" t="s">
        <v>21</v>
      </c>
      <c r="D210" s="5736"/>
      <c r="E210" s="5742">
        <f>SUM(E208)</f>
        <v>11</v>
      </c>
      <c r="F210" s="5737"/>
      <c r="G210" s="5769">
        <f>+(E209)/(E210)</f>
        <v>0</v>
      </c>
      <c r="M210" s="4996">
        <f>SUM(M208)</f>
        <v>1</v>
      </c>
      <c r="Q210" s="4832"/>
      <c r="R210" s="4832"/>
      <c r="S210" s="4832"/>
      <c r="T210" s="4832"/>
      <c r="U210" s="4832"/>
      <c r="V210" s="4832"/>
      <c r="W210" s="4622"/>
      <c r="Z210" s="36"/>
      <c r="AA210" s="36"/>
      <c r="AB210" s="36"/>
      <c r="AC210" s="36" t="s">
        <v>1072</v>
      </c>
      <c r="AD210" s="615">
        <v>0</v>
      </c>
      <c r="AE210" s="615"/>
      <c r="AF210" s="615"/>
      <c r="AG210" s="615"/>
      <c r="AH210" s="615"/>
      <c r="AI210" s="615"/>
      <c r="AJ210" s="615">
        <v>2</v>
      </c>
      <c r="AK210" s="615"/>
      <c r="AL210" s="615">
        <v>1</v>
      </c>
      <c r="AM210" s="615"/>
      <c r="AN210" s="615">
        <v>4</v>
      </c>
      <c r="AO210" s="615">
        <v>2</v>
      </c>
      <c r="AP210" s="615"/>
      <c r="AQ210" s="36">
        <v>0</v>
      </c>
      <c r="AR210" s="36">
        <v>9</v>
      </c>
      <c r="AS210" s="36"/>
      <c r="AU210" s="36"/>
      <c r="AV210" s="36"/>
      <c r="AW210" s="393"/>
      <c r="AX210" s="393" t="s">
        <v>1081</v>
      </c>
      <c r="AY210" s="1682"/>
      <c r="AZ210" s="1682">
        <v>0</v>
      </c>
      <c r="BA210" s="1682"/>
      <c r="BB210" s="1682"/>
      <c r="BC210" s="1682"/>
      <c r="BD210" s="1682"/>
      <c r="BE210" s="1682"/>
      <c r="BF210" s="1682"/>
      <c r="BG210" s="1682"/>
      <c r="BH210" s="1682">
        <v>0</v>
      </c>
      <c r="BI210" s="1682">
        <v>0</v>
      </c>
      <c r="BJ210" s="1682">
        <v>0</v>
      </c>
      <c r="BK210" s="1682">
        <v>1</v>
      </c>
      <c r="BL210" s="1682">
        <v>0</v>
      </c>
      <c r="BM210" s="4455">
        <v>1</v>
      </c>
      <c r="BN210" s="4455"/>
      <c r="BO210" s="4455">
        <v>2</v>
      </c>
      <c r="BP210" s="4455"/>
      <c r="BU210" s="1520" t="s">
        <v>487</v>
      </c>
      <c r="BV210" s="3872"/>
      <c r="BW210" s="3872">
        <v>1</v>
      </c>
      <c r="BX210" s="3872"/>
      <c r="BY210" s="3872"/>
      <c r="BZ210" s="3872"/>
      <c r="CA210" s="3872"/>
      <c r="CB210" s="3872"/>
      <c r="CC210" s="3872"/>
      <c r="CD210" s="3872"/>
      <c r="CE210" s="3872">
        <v>1</v>
      </c>
      <c r="CF210" s="3872">
        <v>1</v>
      </c>
      <c r="CG210" s="3872">
        <v>1</v>
      </c>
      <c r="CH210" s="3872">
        <v>6</v>
      </c>
      <c r="CI210" s="3872">
        <v>1</v>
      </c>
      <c r="CJ210" s="3806">
        <v>1</v>
      </c>
      <c r="CK210" s="3806">
        <v>12</v>
      </c>
      <c r="CL210" s="3807">
        <f>+CK209/CK210</f>
        <v>8.3333333333333329E-2</v>
      </c>
      <c r="CN210" s="36"/>
      <c r="CO210" s="36"/>
      <c r="CP210" s="393"/>
      <c r="CQ210" s="393" t="s">
        <v>1163</v>
      </c>
      <c r="CR210" s="2049"/>
      <c r="CS210" s="2049"/>
      <c r="CT210" s="2049"/>
      <c r="CU210" s="2049"/>
      <c r="CV210" s="2049"/>
      <c r="CW210" s="2049"/>
      <c r="CX210" s="2049"/>
      <c r="CY210" s="2049"/>
      <c r="CZ210" s="2049"/>
      <c r="DA210" s="2049"/>
      <c r="DB210" s="2049"/>
      <c r="DC210" s="2049"/>
      <c r="DD210" s="2049">
        <v>2</v>
      </c>
      <c r="DE210" s="2049"/>
      <c r="DF210" s="2049"/>
      <c r="DG210" s="393"/>
      <c r="DH210" s="393"/>
      <c r="DI210" s="393">
        <v>2</v>
      </c>
      <c r="DJ210" s="36"/>
      <c r="DL210" s="36"/>
      <c r="DM210" s="36"/>
      <c r="DN210" s="36"/>
      <c r="DO210" s="36" t="s">
        <v>1081</v>
      </c>
      <c r="DP210" s="1681">
        <v>0</v>
      </c>
      <c r="DQ210" s="1681">
        <v>0</v>
      </c>
      <c r="DR210" s="1681">
        <v>0</v>
      </c>
      <c r="DS210" s="1681">
        <v>0</v>
      </c>
      <c r="DT210" s="1681">
        <v>0</v>
      </c>
      <c r="DU210" s="1681">
        <v>0</v>
      </c>
      <c r="DV210" s="1681">
        <v>0</v>
      </c>
      <c r="DW210" s="1681">
        <v>0</v>
      </c>
      <c r="DX210" s="1681">
        <v>0</v>
      </c>
      <c r="DY210" s="1681">
        <v>1</v>
      </c>
      <c r="DZ210" s="1681">
        <v>0</v>
      </c>
      <c r="EA210" s="1681">
        <v>1</v>
      </c>
      <c r="EB210" s="1681">
        <v>6</v>
      </c>
      <c r="EC210" s="1681">
        <v>0</v>
      </c>
      <c r="ED210" s="1681">
        <v>2</v>
      </c>
      <c r="EE210" s="95">
        <v>1</v>
      </c>
      <c r="EF210" s="95">
        <v>0</v>
      </c>
      <c r="EG210" s="95">
        <v>11</v>
      </c>
      <c r="EH210" s="36"/>
      <c r="EM210" s="1488"/>
      <c r="EN210" s="1487"/>
      <c r="EO210" s="1487"/>
      <c r="EP210" s="1487"/>
      <c r="EQ210" s="1487"/>
      <c r="ER210" s="1487"/>
      <c r="ES210" s="1487"/>
      <c r="ET210" s="1487"/>
      <c r="EU210" s="1487"/>
      <c r="EV210" s="1487"/>
      <c r="EW210" s="1487"/>
      <c r="EX210" s="1487"/>
      <c r="EY210" s="1487"/>
      <c r="EZ210" s="1487"/>
      <c r="FA210" s="1487"/>
      <c r="FB210" s="1487"/>
      <c r="FC210" s="1487"/>
      <c r="FD210" s="1487"/>
      <c r="FE210" s="1487"/>
      <c r="FF210" s="1487"/>
      <c r="HB210" s="36"/>
      <c r="HC210" s="36"/>
      <c r="HD210" s="36"/>
      <c r="HE210" s="36"/>
      <c r="HF210" s="36"/>
      <c r="HG210" s="36"/>
      <c r="HH210" s="36"/>
      <c r="HI210" s="36"/>
      <c r="HJ210" s="36"/>
      <c r="HK210" s="36"/>
      <c r="HL210" s="36"/>
      <c r="HM210" s="36"/>
      <c r="HN210" s="36"/>
      <c r="HO210" s="36"/>
      <c r="HP210" s="36"/>
      <c r="HQ210" s="36"/>
      <c r="HR210" s="36"/>
      <c r="HS210" s="36"/>
      <c r="HT210" s="36"/>
      <c r="HU210" s="36"/>
      <c r="HV210" s="36"/>
      <c r="HW210" s="36"/>
      <c r="HX210" s="36"/>
      <c r="HY210" s="36"/>
      <c r="HZ210" s="36"/>
      <c r="IA210" s="613"/>
      <c r="IB210" s="613"/>
      <c r="IC210" s="613"/>
      <c r="ID210" s="389" t="s">
        <v>1163</v>
      </c>
      <c r="IE210" s="390">
        <v>0</v>
      </c>
      <c r="IF210" s="390">
        <v>0</v>
      </c>
      <c r="IG210" s="390">
        <v>0</v>
      </c>
      <c r="IH210" s="390">
        <v>1</v>
      </c>
      <c r="II210" s="390">
        <v>0</v>
      </c>
      <c r="IJ210" s="390">
        <v>7</v>
      </c>
      <c r="IK210" s="390">
        <v>7</v>
      </c>
      <c r="IL210" s="390">
        <v>3</v>
      </c>
      <c r="IM210" s="390">
        <v>10</v>
      </c>
      <c r="IN210" s="390">
        <v>2</v>
      </c>
      <c r="IO210" s="390">
        <v>0</v>
      </c>
      <c r="IP210" s="390">
        <v>0</v>
      </c>
      <c r="IQ210" s="390">
        <v>0</v>
      </c>
      <c r="IR210" s="390">
        <v>30</v>
      </c>
      <c r="IS210" s="615"/>
      <c r="IT210" s="36"/>
      <c r="IU210" s="36"/>
      <c r="IV210" s="95"/>
      <c r="IW210" s="95"/>
      <c r="IX210" s="36"/>
      <c r="IY210" s="36" t="s">
        <v>1163</v>
      </c>
      <c r="IZ210" s="36">
        <v>0</v>
      </c>
      <c r="JA210" s="36">
        <v>0</v>
      </c>
      <c r="JB210" s="36">
        <v>0</v>
      </c>
      <c r="JC210" s="36">
        <v>0</v>
      </c>
      <c r="JD210" s="36">
        <v>0</v>
      </c>
      <c r="JE210" s="36">
        <v>1</v>
      </c>
      <c r="JF210" s="36">
        <v>4</v>
      </c>
      <c r="JG210" s="36">
        <v>2</v>
      </c>
      <c r="JH210" s="36">
        <v>11</v>
      </c>
      <c r="JI210" s="36">
        <v>6</v>
      </c>
      <c r="JJ210" s="36">
        <v>6</v>
      </c>
      <c r="JK210" s="36">
        <v>14</v>
      </c>
      <c r="JL210" s="36">
        <v>5</v>
      </c>
      <c r="JM210" s="36">
        <v>1</v>
      </c>
      <c r="JN210" s="36">
        <v>0</v>
      </c>
      <c r="JO210" s="36">
        <v>0</v>
      </c>
      <c r="JP210" s="36">
        <v>50</v>
      </c>
      <c r="JQ210" s="36"/>
      <c r="JR210" s="36"/>
      <c r="JS210" s="36"/>
      <c r="JT210" s="36"/>
      <c r="JU210" s="616"/>
      <c r="JV210" s="616" t="s">
        <v>1163</v>
      </c>
      <c r="JW210" s="616">
        <v>0</v>
      </c>
      <c r="JX210" s="616">
        <v>0</v>
      </c>
      <c r="JY210" s="616">
        <v>0</v>
      </c>
      <c r="JZ210" s="616">
        <v>0</v>
      </c>
      <c r="KA210" s="616">
        <v>0</v>
      </c>
      <c r="KB210" s="616">
        <v>0</v>
      </c>
      <c r="KC210" s="616">
        <v>1</v>
      </c>
      <c r="KD210" s="616">
        <v>3</v>
      </c>
      <c r="KE210" s="616">
        <v>2</v>
      </c>
      <c r="KF210" s="616">
        <v>4</v>
      </c>
      <c r="KG210" s="616">
        <v>7</v>
      </c>
      <c r="KH210" s="616">
        <v>12</v>
      </c>
      <c r="KI210" s="616">
        <v>3</v>
      </c>
      <c r="KJ210" s="616">
        <v>2</v>
      </c>
      <c r="KK210" s="616">
        <v>0</v>
      </c>
      <c r="KL210" s="616">
        <v>0</v>
      </c>
      <c r="KM210" s="616">
        <v>34</v>
      </c>
      <c r="KN210" s="616"/>
      <c r="KO210" s="617"/>
    </row>
    <row r="211" spans="1:301" ht="15" thickBot="1">
      <c r="A211" s="5737"/>
      <c r="B211" s="5737"/>
      <c r="C211" s="5736"/>
      <c r="D211" s="5738" t="s">
        <v>2754</v>
      </c>
      <c r="E211" s="5751">
        <f>SUM(E190,E204,E209)</f>
        <v>26</v>
      </c>
      <c r="F211" s="5737"/>
      <c r="I211" s="4992"/>
      <c r="J211" s="4993"/>
      <c r="K211" s="4982" t="s">
        <v>59</v>
      </c>
      <c r="L211" s="4994"/>
      <c r="M211" s="4995">
        <f>SUM(M209,M204)</f>
        <v>15</v>
      </c>
      <c r="N211" s="4981"/>
      <c r="O211" s="4985">
        <f>+(M210)/(M211)</f>
        <v>6.6666666666666666E-2</v>
      </c>
      <c r="Q211" s="4832"/>
      <c r="R211" s="4832"/>
      <c r="S211" s="4832"/>
      <c r="T211" s="4832"/>
      <c r="U211" s="4832"/>
      <c r="V211" s="4832"/>
      <c r="W211" s="4622"/>
      <c r="Z211" s="36"/>
      <c r="AA211" s="36"/>
      <c r="AB211" s="36"/>
      <c r="AC211" s="36" t="s">
        <v>1080</v>
      </c>
      <c r="AD211" s="615">
        <v>0</v>
      </c>
      <c r="AE211" s="615"/>
      <c r="AF211" s="615"/>
      <c r="AG211" s="615"/>
      <c r="AH211" s="615"/>
      <c r="AI211" s="615"/>
      <c r="AJ211" s="615">
        <v>0</v>
      </c>
      <c r="AK211" s="615"/>
      <c r="AL211" s="615">
        <v>0</v>
      </c>
      <c r="AM211" s="615"/>
      <c r="AN211" s="615">
        <v>1</v>
      </c>
      <c r="AO211" s="615">
        <v>6</v>
      </c>
      <c r="AP211" s="615"/>
      <c r="AQ211" s="36">
        <v>1</v>
      </c>
      <c r="AR211" s="36">
        <v>8</v>
      </c>
      <c r="AS211" s="36"/>
      <c r="AU211" s="36"/>
      <c r="AV211" s="36"/>
      <c r="AW211" s="393"/>
      <c r="AX211" s="393" t="s">
        <v>1163</v>
      </c>
      <c r="AY211" s="1682"/>
      <c r="AZ211" s="1682">
        <v>0</v>
      </c>
      <c r="BA211" s="1682"/>
      <c r="BB211" s="1682"/>
      <c r="BC211" s="1682"/>
      <c r="BD211" s="1682"/>
      <c r="BE211" s="1682"/>
      <c r="BF211" s="1682"/>
      <c r="BG211" s="1682"/>
      <c r="BH211" s="1682">
        <v>1</v>
      </c>
      <c r="BI211" s="1682">
        <v>0</v>
      </c>
      <c r="BJ211" s="1682">
        <v>0</v>
      </c>
      <c r="BK211" s="1682">
        <v>0</v>
      </c>
      <c r="BL211" s="1682">
        <v>0</v>
      </c>
      <c r="BM211" s="4455">
        <v>0</v>
      </c>
      <c r="BN211" s="4455"/>
      <c r="BO211" s="4455">
        <v>1</v>
      </c>
      <c r="BP211" s="4455"/>
      <c r="BT211" s="1520" t="s">
        <v>256</v>
      </c>
      <c r="BU211" s="1520" t="s">
        <v>1071</v>
      </c>
      <c r="BV211" s="3872">
        <v>0</v>
      </c>
      <c r="BW211" s="3872">
        <v>0</v>
      </c>
      <c r="BX211" s="3872">
        <v>0</v>
      </c>
      <c r="BY211" s="3872"/>
      <c r="BZ211" s="3872">
        <v>0</v>
      </c>
      <c r="CA211" s="3872"/>
      <c r="CB211" s="3872">
        <v>0</v>
      </c>
      <c r="CC211" s="3872">
        <v>0</v>
      </c>
      <c r="CD211" s="3872"/>
      <c r="CE211" s="3872">
        <v>0</v>
      </c>
      <c r="CF211" s="3872">
        <v>0</v>
      </c>
      <c r="CG211" s="3872">
        <v>0</v>
      </c>
      <c r="CH211" s="3872">
        <v>1</v>
      </c>
      <c r="CI211" s="3872">
        <v>0</v>
      </c>
      <c r="CJ211" s="3806">
        <v>0</v>
      </c>
      <c r="CK211" s="3806">
        <v>1</v>
      </c>
      <c r="CL211" s="1520"/>
      <c r="CN211" s="36"/>
      <c r="CO211" s="36"/>
      <c r="CP211" s="393"/>
      <c r="CQ211" s="393" t="s">
        <v>484</v>
      </c>
      <c r="CR211" s="2049"/>
      <c r="CS211" s="2049"/>
      <c r="CT211" s="2049"/>
      <c r="CU211" s="2049"/>
      <c r="CV211" s="2049"/>
      <c r="CW211" s="2049"/>
      <c r="CX211" s="2049"/>
      <c r="CY211" s="2049"/>
      <c r="CZ211" s="2049"/>
      <c r="DA211" s="2049"/>
      <c r="DB211" s="2049"/>
      <c r="DC211" s="2049"/>
      <c r="DD211" s="2049">
        <v>7</v>
      </c>
      <c r="DE211" s="2049"/>
      <c r="DF211" s="2049"/>
      <c r="DG211" s="393"/>
      <c r="DH211" s="393"/>
      <c r="DI211" s="393">
        <v>7</v>
      </c>
      <c r="DJ211" s="560">
        <f>+(DI210+DI209)/DI211</f>
        <v>0.42857142857142855</v>
      </c>
      <c r="DK211" s="1665"/>
      <c r="DL211" s="36"/>
      <c r="DM211" s="36"/>
      <c r="DN211" s="36"/>
      <c r="DO211" s="36" t="s">
        <v>1163</v>
      </c>
      <c r="DP211" s="1681">
        <v>0</v>
      </c>
      <c r="DQ211" s="1681">
        <v>0</v>
      </c>
      <c r="DR211" s="1681">
        <v>0</v>
      </c>
      <c r="DS211" s="1681">
        <v>0</v>
      </c>
      <c r="DT211" s="1681">
        <v>0</v>
      </c>
      <c r="DU211" s="1681">
        <v>0</v>
      </c>
      <c r="DV211" s="1681">
        <v>0</v>
      </c>
      <c r="DW211" s="1681">
        <v>0</v>
      </c>
      <c r="DX211" s="1681">
        <v>2</v>
      </c>
      <c r="DY211" s="1681">
        <v>7</v>
      </c>
      <c r="DZ211" s="1681">
        <v>2</v>
      </c>
      <c r="EA211" s="1681">
        <v>4</v>
      </c>
      <c r="EB211" s="1681">
        <v>16</v>
      </c>
      <c r="EC211" s="1681">
        <v>11</v>
      </c>
      <c r="ED211" s="1681">
        <v>5</v>
      </c>
      <c r="EE211" s="95">
        <v>0</v>
      </c>
      <c r="EF211" s="95">
        <v>0</v>
      </c>
      <c r="EG211" s="95">
        <v>47</v>
      </c>
      <c r="EH211" s="36"/>
      <c r="EN211" s="1487"/>
      <c r="EO211" s="1487"/>
      <c r="EP211" s="1487"/>
      <c r="EQ211" s="1487"/>
      <c r="ER211" s="1487"/>
      <c r="ES211" s="1487"/>
      <c r="ET211" s="1487"/>
      <c r="EU211" s="1487"/>
      <c r="EV211" s="1487"/>
      <c r="EW211" s="1487"/>
      <c r="EX211" s="1487"/>
      <c r="EY211" s="1487"/>
      <c r="EZ211" s="1487"/>
      <c r="FA211" s="1487"/>
      <c r="FB211" s="1487"/>
      <c r="FC211" s="1487"/>
      <c r="FD211" s="1487"/>
      <c r="FE211" s="1487"/>
      <c r="FF211" s="1487"/>
      <c r="HB211" s="36"/>
      <c r="HC211" s="36"/>
      <c r="HD211" s="36"/>
      <c r="HE211" s="36"/>
      <c r="HF211" s="36"/>
      <c r="HG211" s="36"/>
      <c r="HH211" s="36"/>
      <c r="HI211" s="36"/>
      <c r="HJ211" s="36"/>
      <c r="HK211" s="36"/>
      <c r="HL211" s="36"/>
      <c r="HM211" s="36"/>
      <c r="HN211" s="36"/>
      <c r="HO211" s="36"/>
      <c r="HP211" s="36"/>
      <c r="HQ211" s="36"/>
      <c r="HR211" s="36"/>
      <c r="HS211" s="36"/>
      <c r="HT211" s="36"/>
      <c r="HU211" s="36"/>
      <c r="HV211" s="36"/>
      <c r="HW211" s="36"/>
      <c r="HX211" s="36"/>
      <c r="HY211" s="36"/>
      <c r="HZ211" s="36"/>
      <c r="IA211" s="637"/>
      <c r="IB211" s="637"/>
      <c r="IC211" s="637"/>
      <c r="ID211" s="638" t="s">
        <v>112</v>
      </c>
      <c r="IE211" s="399">
        <v>3</v>
      </c>
      <c r="IF211" s="399">
        <v>2</v>
      </c>
      <c r="IG211" s="399">
        <v>9</v>
      </c>
      <c r="IH211" s="399">
        <v>7</v>
      </c>
      <c r="II211" s="399">
        <v>6</v>
      </c>
      <c r="IJ211" s="399">
        <v>20</v>
      </c>
      <c r="IK211" s="399">
        <v>21</v>
      </c>
      <c r="IL211" s="399">
        <v>19</v>
      </c>
      <c r="IM211" s="399">
        <v>32</v>
      </c>
      <c r="IN211" s="399">
        <v>25</v>
      </c>
      <c r="IO211" s="399">
        <v>51</v>
      </c>
      <c r="IP211" s="399">
        <v>9</v>
      </c>
      <c r="IQ211" s="399">
        <v>17</v>
      </c>
      <c r="IR211" s="399">
        <v>221</v>
      </c>
      <c r="IS211" s="567">
        <f>+(IR210+IR209+IR206-IP206)/IR211</f>
        <v>0.34389140271493213</v>
      </c>
      <c r="IT211" s="36"/>
      <c r="IU211" s="36"/>
      <c r="IV211" s="398"/>
      <c r="IW211" s="398"/>
      <c r="IX211" s="397"/>
      <c r="IY211" s="397" t="s">
        <v>15</v>
      </c>
      <c r="IZ211" s="397">
        <v>4</v>
      </c>
      <c r="JA211" s="397">
        <v>4</v>
      </c>
      <c r="JB211" s="397">
        <v>7</v>
      </c>
      <c r="JC211" s="397">
        <v>3</v>
      </c>
      <c r="JD211" s="397">
        <v>5</v>
      </c>
      <c r="JE211" s="397">
        <v>4</v>
      </c>
      <c r="JF211" s="397">
        <v>9</v>
      </c>
      <c r="JG211" s="397">
        <v>7</v>
      </c>
      <c r="JH211" s="397">
        <v>50</v>
      </c>
      <c r="JI211" s="397">
        <v>30</v>
      </c>
      <c r="JJ211" s="397">
        <v>29</v>
      </c>
      <c r="JK211" s="397">
        <v>69</v>
      </c>
      <c r="JL211" s="397">
        <v>19</v>
      </c>
      <c r="JM211" s="397">
        <v>34</v>
      </c>
      <c r="JN211" s="397">
        <v>11</v>
      </c>
      <c r="JO211" s="397">
        <v>22</v>
      </c>
      <c r="JP211" s="397">
        <v>307</v>
      </c>
      <c r="JQ211" s="666">
        <f>+(JP206+JP209+JP210)/JP211</f>
        <v>0.28990228013029318</v>
      </c>
      <c r="JR211" s="36"/>
      <c r="JS211" s="36"/>
      <c r="JT211" s="36"/>
      <c r="JU211" s="616"/>
      <c r="JV211" s="634" t="s">
        <v>15</v>
      </c>
      <c r="JW211" s="634">
        <v>2</v>
      </c>
      <c r="JX211" s="634">
        <v>1</v>
      </c>
      <c r="JY211" s="634">
        <v>2</v>
      </c>
      <c r="JZ211" s="634">
        <v>3</v>
      </c>
      <c r="KA211" s="634">
        <v>2</v>
      </c>
      <c r="KB211" s="634">
        <v>4</v>
      </c>
      <c r="KC211" s="634">
        <v>3</v>
      </c>
      <c r="KD211" s="634">
        <v>9</v>
      </c>
      <c r="KE211" s="634">
        <v>17</v>
      </c>
      <c r="KF211" s="634">
        <v>16</v>
      </c>
      <c r="KG211" s="634">
        <v>16</v>
      </c>
      <c r="KH211" s="634">
        <v>32</v>
      </c>
      <c r="KI211" s="634">
        <v>16</v>
      </c>
      <c r="KJ211" s="634">
        <v>23</v>
      </c>
      <c r="KK211" s="634">
        <v>10</v>
      </c>
      <c r="KL211" s="634">
        <v>19</v>
      </c>
      <c r="KM211" s="634">
        <v>175</v>
      </c>
      <c r="KN211" s="667">
        <f>+(KM210+KM209+KM206-KK206)/KM211</f>
        <v>0.38857142857142857</v>
      </c>
      <c r="KO211" s="668">
        <f>+KM206+KM209+KM210-KK206</f>
        <v>68</v>
      </c>
    </row>
    <row r="212" spans="1:301">
      <c r="A212" s="5745"/>
      <c r="B212" s="5745"/>
      <c r="C212" s="5753" t="s">
        <v>74</v>
      </c>
      <c r="D212" s="5753"/>
      <c r="E212" s="5764">
        <f>SUM(E191,E205,E210)</f>
        <v>127</v>
      </c>
      <c r="F212" s="5753"/>
      <c r="G212" s="5765">
        <f>+(E211)/(E212)</f>
        <v>0.20472440944881889</v>
      </c>
      <c r="M212" s="4976">
        <f>SUM(M62,M150,M200,M210)</f>
        <v>55</v>
      </c>
      <c r="Q212" s="4832"/>
      <c r="R212" s="4832"/>
      <c r="S212" s="4832"/>
      <c r="T212" s="4832"/>
      <c r="U212" s="4832"/>
      <c r="V212" s="4832"/>
      <c r="W212" s="4622"/>
      <c r="Z212" s="36"/>
      <c r="AA212" s="36"/>
      <c r="AB212" s="36"/>
      <c r="AC212" s="36" t="s">
        <v>2571</v>
      </c>
      <c r="AD212" s="615">
        <v>1</v>
      </c>
      <c r="AE212" s="615"/>
      <c r="AF212" s="615"/>
      <c r="AG212" s="615"/>
      <c r="AH212" s="615"/>
      <c r="AI212" s="615"/>
      <c r="AJ212" s="615">
        <v>0</v>
      </c>
      <c r="AK212" s="615"/>
      <c r="AL212" s="615">
        <v>0</v>
      </c>
      <c r="AM212" s="615"/>
      <c r="AN212" s="615">
        <v>0</v>
      </c>
      <c r="AO212" s="615">
        <v>0</v>
      </c>
      <c r="AP212" s="615"/>
      <c r="AQ212" s="36">
        <v>0</v>
      </c>
      <c r="AR212" s="36">
        <v>1</v>
      </c>
      <c r="AS212" s="36"/>
      <c r="AU212" s="36"/>
      <c r="AV212" s="36"/>
      <c r="AW212" s="393"/>
      <c r="AX212" s="36" t="s">
        <v>15</v>
      </c>
      <c r="AY212" s="1682"/>
      <c r="AZ212" s="1682">
        <v>1</v>
      </c>
      <c r="BA212" s="1682"/>
      <c r="BB212" s="1682"/>
      <c r="BC212" s="1682"/>
      <c r="BD212" s="1682"/>
      <c r="BE212" s="1682"/>
      <c r="BF212" s="1682"/>
      <c r="BG212" s="1682"/>
      <c r="BH212" s="1682">
        <v>1</v>
      </c>
      <c r="BI212" s="1682">
        <v>1</v>
      </c>
      <c r="BJ212" s="1682">
        <v>1</v>
      </c>
      <c r="BK212" s="1682">
        <v>1</v>
      </c>
      <c r="BL212" s="1682">
        <v>5</v>
      </c>
      <c r="BM212" s="4455">
        <v>2</v>
      </c>
      <c r="BN212" s="4455"/>
      <c r="BO212" s="4455">
        <v>12</v>
      </c>
      <c r="BP212" s="560">
        <f>+(BO210+BO211)/(BO212)</f>
        <v>0.25</v>
      </c>
      <c r="BT212" s="1520"/>
      <c r="BU212" s="1520" t="s">
        <v>1072</v>
      </c>
      <c r="BV212" s="3872">
        <v>0</v>
      </c>
      <c r="BW212" s="3872">
        <v>1</v>
      </c>
      <c r="BX212" s="3872">
        <v>0</v>
      </c>
      <c r="BY212" s="3872"/>
      <c r="BZ212" s="3872">
        <v>0</v>
      </c>
      <c r="CA212" s="3872"/>
      <c r="CB212" s="3872">
        <v>1</v>
      </c>
      <c r="CC212" s="3872">
        <v>0</v>
      </c>
      <c r="CD212" s="3872"/>
      <c r="CE212" s="3872">
        <v>2</v>
      </c>
      <c r="CF212" s="3872">
        <v>2</v>
      </c>
      <c r="CG212" s="3872">
        <v>5</v>
      </c>
      <c r="CH212" s="3872">
        <v>0</v>
      </c>
      <c r="CI212" s="3872">
        <v>0</v>
      </c>
      <c r="CJ212" s="3806">
        <v>0</v>
      </c>
      <c r="CK212" s="3806">
        <v>11</v>
      </c>
      <c r="CL212" s="1520"/>
      <c r="CN212" s="36"/>
      <c r="CO212" s="36"/>
      <c r="CP212" s="393" t="s">
        <v>412</v>
      </c>
      <c r="CQ212" s="393" t="s">
        <v>1072</v>
      </c>
      <c r="CR212" s="2049"/>
      <c r="CS212" s="2049"/>
      <c r="CT212" s="2049"/>
      <c r="CU212" s="2049"/>
      <c r="CV212" s="2049">
        <v>1</v>
      </c>
      <c r="CW212" s="2049"/>
      <c r="CX212" s="2049"/>
      <c r="CY212" s="2049"/>
      <c r="CZ212" s="2049"/>
      <c r="DA212" s="2049">
        <v>4</v>
      </c>
      <c r="DB212" s="2049">
        <v>1</v>
      </c>
      <c r="DC212" s="2049"/>
      <c r="DD212" s="2049">
        <v>6</v>
      </c>
      <c r="DE212" s="2049">
        <v>0</v>
      </c>
      <c r="DF212" s="2049">
        <v>2</v>
      </c>
      <c r="DG212" s="393">
        <v>1</v>
      </c>
      <c r="DH212" s="393">
        <v>0</v>
      </c>
      <c r="DI212" s="393">
        <v>15</v>
      </c>
      <c r="DJ212" s="36"/>
      <c r="DL212" s="36"/>
      <c r="DM212" s="36"/>
      <c r="DN212" s="36"/>
      <c r="DO212" s="36" t="s">
        <v>1735</v>
      </c>
      <c r="DP212" s="1681">
        <v>1</v>
      </c>
      <c r="DQ212" s="1681">
        <v>0</v>
      </c>
      <c r="DR212" s="1681">
        <v>0</v>
      </c>
      <c r="DS212" s="1681">
        <v>0</v>
      </c>
      <c r="DT212" s="1681">
        <v>0</v>
      </c>
      <c r="DU212" s="1681">
        <v>0</v>
      </c>
      <c r="DV212" s="1681">
        <v>0</v>
      </c>
      <c r="DW212" s="1681">
        <v>0</v>
      </c>
      <c r="DX212" s="1681">
        <v>0</v>
      </c>
      <c r="DY212" s="1681">
        <v>0</v>
      </c>
      <c r="DZ212" s="1681">
        <v>0</v>
      </c>
      <c r="EA212" s="1681">
        <v>0</v>
      </c>
      <c r="EB212" s="1681">
        <v>0</v>
      </c>
      <c r="EC212" s="1681">
        <v>0</v>
      </c>
      <c r="ED212" s="1681">
        <v>0</v>
      </c>
      <c r="EE212" s="95">
        <v>0</v>
      </c>
      <c r="EF212" s="95">
        <v>0</v>
      </c>
      <c r="EG212" s="95">
        <v>1</v>
      </c>
      <c r="EH212" s="36"/>
      <c r="EN212" s="1487"/>
      <c r="EO212" s="1487"/>
      <c r="EP212" s="1487"/>
      <c r="EQ212" s="1487"/>
      <c r="ER212" s="1487"/>
      <c r="ES212" s="1487"/>
      <c r="ET212" s="1487"/>
      <c r="EU212" s="1487"/>
      <c r="EV212" s="1487"/>
      <c r="EW212" s="1487"/>
      <c r="EX212" s="1487"/>
      <c r="EY212" s="1487"/>
      <c r="EZ212" s="1487"/>
      <c r="FA212" s="1487"/>
      <c r="FB212" s="1487"/>
      <c r="FC212" s="1487"/>
      <c r="FD212" s="1487"/>
      <c r="FE212" s="1487"/>
      <c r="FF212" s="1487"/>
      <c r="HB212" s="36"/>
      <c r="HC212" s="36"/>
      <c r="HD212" s="36"/>
      <c r="HE212" s="36"/>
      <c r="HF212" s="36"/>
      <c r="HG212" s="36"/>
      <c r="HH212" s="36"/>
      <c r="HI212" s="36"/>
      <c r="HJ212" s="36"/>
      <c r="HK212" s="36"/>
      <c r="HL212" s="36"/>
      <c r="HM212" s="36"/>
      <c r="HN212" s="36"/>
      <c r="HO212" s="36"/>
      <c r="HP212" s="36"/>
      <c r="HQ212" s="36"/>
      <c r="HR212" s="36"/>
      <c r="HS212" s="36"/>
      <c r="HT212" s="36"/>
      <c r="HU212" s="36"/>
      <c r="HV212" s="36"/>
      <c r="HW212" s="36"/>
      <c r="HX212" s="36"/>
      <c r="HY212" s="36"/>
      <c r="HZ212" s="36"/>
      <c r="IA212" s="441" t="s">
        <v>1166</v>
      </c>
      <c r="IB212" s="36"/>
      <c r="IC212" s="36"/>
      <c r="ID212" s="36"/>
      <c r="IE212" s="36"/>
      <c r="IF212" s="36"/>
      <c r="IG212" s="36"/>
      <c r="IH212" s="36"/>
      <c r="II212" s="36"/>
      <c r="IJ212" s="36"/>
      <c r="IK212" s="36"/>
      <c r="IL212" s="36"/>
      <c r="IM212" s="36"/>
      <c r="IN212" s="36"/>
      <c r="IO212" s="36"/>
      <c r="IP212" s="36"/>
      <c r="IQ212" s="36"/>
      <c r="IR212" s="36"/>
      <c r="IS212" s="36"/>
      <c r="IT212" s="36"/>
      <c r="IU212" s="36"/>
      <c r="IV212" s="36" t="s">
        <v>1125</v>
      </c>
      <c r="IW212" s="95"/>
      <c r="IX212" s="36"/>
      <c r="IY212" s="36"/>
      <c r="IZ212" s="36"/>
      <c r="JA212" s="36"/>
      <c r="JB212" s="36"/>
      <c r="JC212" s="36"/>
      <c r="JD212" s="36"/>
      <c r="JE212" s="36"/>
      <c r="JF212" s="36"/>
      <c r="JG212" s="36"/>
      <c r="JH212" s="36"/>
      <c r="JI212" s="36"/>
      <c r="JJ212" s="36"/>
      <c r="JK212" s="36"/>
      <c r="JL212" s="36"/>
      <c r="JM212" s="36"/>
      <c r="JN212" s="36"/>
      <c r="JO212" s="36"/>
      <c r="JP212" s="36"/>
      <c r="JQ212" s="36"/>
      <c r="JR212" s="36"/>
      <c r="JS212" s="36"/>
      <c r="JT212" s="36"/>
      <c r="JU212" s="616"/>
      <c r="JV212" s="616"/>
      <c r="JW212" s="616"/>
      <c r="JX212" s="616"/>
      <c r="JY212" s="616"/>
      <c r="JZ212" s="616"/>
      <c r="KA212" s="616"/>
      <c r="KB212" s="616"/>
      <c r="KC212" s="616"/>
      <c r="KD212" s="616"/>
      <c r="KE212" s="616"/>
      <c r="KF212" s="616"/>
      <c r="KG212" s="616"/>
      <c r="KH212" s="616"/>
      <c r="KI212" s="616"/>
      <c r="KJ212" s="616"/>
      <c r="KK212" s="616"/>
      <c r="KL212" s="616"/>
      <c r="KM212" s="616"/>
      <c r="KN212" s="616"/>
      <c r="KO212" s="616"/>
    </row>
    <row r="213" spans="1:301" ht="15" thickBot="1">
      <c r="A213" s="5743">
        <v>4</v>
      </c>
      <c r="B213" s="5743">
        <v>2</v>
      </c>
      <c r="C213" s="5744" t="s">
        <v>608</v>
      </c>
      <c r="D213" s="5744" t="s">
        <v>2731</v>
      </c>
      <c r="E213" s="5743">
        <v>8</v>
      </c>
      <c r="F213" s="5743">
        <v>14</v>
      </c>
      <c r="I213" s="4448"/>
      <c r="J213" s="4448"/>
      <c r="K213" s="4954" t="s">
        <v>75</v>
      </c>
      <c r="L213" s="4448"/>
      <c r="M213" s="4997">
        <f>SUM(M211,M201,M151,M63)</f>
        <v>320</v>
      </c>
      <c r="N213" s="4448"/>
      <c r="O213" s="4998">
        <f>+(M212)/(M213)</f>
        <v>0.171875</v>
      </c>
      <c r="Q213" s="4832"/>
      <c r="R213" s="4832"/>
      <c r="S213" s="4832"/>
      <c r="T213" s="4832"/>
      <c r="U213" s="4832"/>
      <c r="V213" s="4832"/>
      <c r="W213" s="4622"/>
      <c r="Z213" s="36"/>
      <c r="AA213" s="36"/>
      <c r="AB213" s="36"/>
      <c r="AC213" s="4236" t="s">
        <v>15</v>
      </c>
      <c r="AD213" s="4236">
        <v>1</v>
      </c>
      <c r="AE213" s="4236"/>
      <c r="AF213" s="4236"/>
      <c r="AG213" s="4236"/>
      <c r="AH213" s="4236"/>
      <c r="AI213" s="4236"/>
      <c r="AJ213" s="4236">
        <v>2</v>
      </c>
      <c r="AK213" s="4236"/>
      <c r="AL213" s="4236">
        <v>1</v>
      </c>
      <c r="AM213" s="4236"/>
      <c r="AN213" s="4236">
        <v>5</v>
      </c>
      <c r="AO213" s="4236">
        <v>9</v>
      </c>
      <c r="AP213" s="4236"/>
      <c r="AQ213" s="4236">
        <v>1</v>
      </c>
      <c r="AR213" s="4236">
        <v>19</v>
      </c>
      <c r="AS213" s="4243">
        <v>0</v>
      </c>
      <c r="AU213" s="36"/>
      <c r="AV213" s="36"/>
      <c r="AW213" s="393" t="s">
        <v>256</v>
      </c>
      <c r="AX213" s="393" t="s">
        <v>1071</v>
      </c>
      <c r="AY213" s="1682"/>
      <c r="AZ213" s="1682">
        <v>0</v>
      </c>
      <c r="BA213" s="1682">
        <v>0</v>
      </c>
      <c r="BB213" s="1682"/>
      <c r="BC213" s="1682">
        <v>0</v>
      </c>
      <c r="BD213" s="1682"/>
      <c r="BE213" s="1682">
        <v>0</v>
      </c>
      <c r="BF213" s="1682">
        <v>0</v>
      </c>
      <c r="BG213" s="1682"/>
      <c r="BH213" s="1682">
        <v>0</v>
      </c>
      <c r="BI213" s="1682">
        <v>0</v>
      </c>
      <c r="BJ213" s="1682">
        <v>0</v>
      </c>
      <c r="BK213" s="1682">
        <v>0</v>
      </c>
      <c r="BL213" s="1682">
        <v>1</v>
      </c>
      <c r="BM213" s="4455">
        <v>0</v>
      </c>
      <c r="BN213" s="4455"/>
      <c r="BO213" s="4455">
        <v>1</v>
      </c>
      <c r="BP213" s="4455"/>
      <c r="BT213" s="1520"/>
      <c r="BU213" s="1520" t="s">
        <v>1077</v>
      </c>
      <c r="BV213" s="3872">
        <v>0</v>
      </c>
      <c r="BW213" s="3872">
        <v>0</v>
      </c>
      <c r="BX213" s="3872">
        <v>0</v>
      </c>
      <c r="BY213" s="3872"/>
      <c r="BZ213" s="3872">
        <v>1</v>
      </c>
      <c r="CA213" s="3872"/>
      <c r="CB213" s="3872">
        <v>0</v>
      </c>
      <c r="CC213" s="3872">
        <v>1</v>
      </c>
      <c r="CD213" s="3872"/>
      <c r="CE213" s="3872">
        <v>0</v>
      </c>
      <c r="CF213" s="3872">
        <v>0</v>
      </c>
      <c r="CG213" s="3872">
        <v>0</v>
      </c>
      <c r="CH213" s="3872">
        <v>0</v>
      </c>
      <c r="CI213" s="3872">
        <v>0</v>
      </c>
      <c r="CJ213" s="3806">
        <v>0</v>
      </c>
      <c r="CK213" s="3806">
        <v>2</v>
      </c>
      <c r="CL213" s="1520"/>
      <c r="CN213" s="36"/>
      <c r="CO213" s="36"/>
      <c r="CP213" s="393"/>
      <c r="CQ213" s="393" t="s">
        <v>1076</v>
      </c>
      <c r="CR213" s="2049"/>
      <c r="CS213" s="2049"/>
      <c r="CT213" s="2049"/>
      <c r="CU213" s="2049"/>
      <c r="CV213" s="2049">
        <v>0</v>
      </c>
      <c r="CW213" s="2049"/>
      <c r="CX213" s="2049"/>
      <c r="CY213" s="2049"/>
      <c r="CZ213" s="2049"/>
      <c r="DA213" s="2049">
        <v>2</v>
      </c>
      <c r="DB213" s="2049">
        <v>0</v>
      </c>
      <c r="DC213" s="2049"/>
      <c r="DD213" s="2049">
        <v>1</v>
      </c>
      <c r="DE213" s="2049">
        <v>0</v>
      </c>
      <c r="DF213" s="2049">
        <v>1</v>
      </c>
      <c r="DG213" s="393">
        <v>0</v>
      </c>
      <c r="DH213" s="393">
        <v>0</v>
      </c>
      <c r="DI213" s="393">
        <v>4</v>
      </c>
      <c r="DJ213" s="36"/>
      <c r="DL213" s="401"/>
      <c r="DM213" s="401"/>
      <c r="DN213" s="401"/>
      <c r="DO213" s="397" t="s">
        <v>112</v>
      </c>
      <c r="DP213" s="1680">
        <v>2</v>
      </c>
      <c r="DQ213" s="1680">
        <v>4</v>
      </c>
      <c r="DR213" s="1680">
        <v>4</v>
      </c>
      <c r="DS213" s="1680">
        <v>1</v>
      </c>
      <c r="DT213" s="1680">
        <v>5</v>
      </c>
      <c r="DU213" s="1680">
        <v>2</v>
      </c>
      <c r="DV213" s="1680">
        <v>2</v>
      </c>
      <c r="DW213" s="1680">
        <v>5</v>
      </c>
      <c r="DX213" s="1680">
        <v>5</v>
      </c>
      <c r="DY213" s="1680">
        <v>23</v>
      </c>
      <c r="DZ213" s="1680">
        <v>7</v>
      </c>
      <c r="EA213" s="1680">
        <v>14</v>
      </c>
      <c r="EB213" s="1680">
        <v>73</v>
      </c>
      <c r="EC213" s="1680">
        <v>43</v>
      </c>
      <c r="ED213" s="1680">
        <v>54</v>
      </c>
      <c r="EE213" s="398">
        <v>10</v>
      </c>
      <c r="EF213" s="398">
        <v>27</v>
      </c>
      <c r="EG213" s="398">
        <v>281</v>
      </c>
      <c r="EH213" s="1470">
        <f>+(EG207-EE207+EG210-EE210+EG211)/(EG213-EG212)</f>
        <v>0.33214285714285713</v>
      </c>
      <c r="EM213" s="1488"/>
      <c r="EN213" s="1487"/>
      <c r="EO213" s="1487"/>
      <c r="EP213" s="1487"/>
      <c r="EQ213" s="1487"/>
      <c r="ER213" s="1487"/>
      <c r="ES213" s="1487"/>
      <c r="ET213" s="1487"/>
      <c r="EU213" s="1487"/>
      <c r="EV213" s="1487"/>
      <c r="EW213" s="1487"/>
      <c r="EX213" s="1487"/>
      <c r="EY213" s="1487"/>
      <c r="EZ213" s="1487"/>
      <c r="FA213" s="1487"/>
      <c r="FB213" s="1487"/>
      <c r="FC213" s="1487"/>
      <c r="FD213" s="1487"/>
      <c r="FE213" s="1487"/>
      <c r="FF213" s="1487"/>
      <c r="HB213" s="36"/>
      <c r="HC213" s="36"/>
      <c r="HD213" s="36"/>
      <c r="HE213" s="36"/>
      <c r="HF213" s="36"/>
      <c r="HG213" s="36"/>
      <c r="HH213" s="36"/>
      <c r="HI213" s="36"/>
      <c r="HJ213" s="36"/>
      <c r="HK213" s="36"/>
      <c r="HL213" s="36"/>
      <c r="HM213" s="36"/>
      <c r="HN213" s="36"/>
      <c r="HO213" s="36"/>
      <c r="HP213" s="36"/>
      <c r="HQ213" s="36"/>
      <c r="HR213" s="36"/>
      <c r="HS213" s="36"/>
      <c r="HT213" s="36"/>
      <c r="HU213" s="36"/>
      <c r="HV213" s="36"/>
      <c r="HW213" s="36"/>
      <c r="HX213" s="36"/>
      <c r="HY213" s="36"/>
      <c r="HZ213" s="36"/>
      <c r="IA213" s="658" t="s">
        <v>1175</v>
      </c>
      <c r="IB213" s="36"/>
      <c r="IC213" s="36"/>
      <c r="ID213" s="36"/>
      <c r="IE213" s="36"/>
      <c r="IF213" s="36"/>
      <c r="IG213" s="36"/>
      <c r="IH213" s="36"/>
      <c r="II213" s="36"/>
      <c r="IJ213" s="36"/>
      <c r="IK213" s="36"/>
      <c r="IL213" s="36"/>
      <c r="IM213" s="36"/>
      <c r="IN213" s="36"/>
      <c r="IO213" s="36"/>
      <c r="IP213" s="36"/>
      <c r="IQ213" s="36"/>
      <c r="IR213" s="36"/>
      <c r="IS213" s="36"/>
      <c r="IT213" s="36"/>
      <c r="IU213" s="36"/>
      <c r="IV213" s="95"/>
      <c r="IW213" s="95"/>
      <c r="IX213" s="36"/>
      <c r="IY213" s="36"/>
      <c r="IZ213" s="36"/>
      <c r="JA213" s="36"/>
      <c r="JB213" s="36"/>
      <c r="JC213" s="36"/>
      <c r="JD213" s="36"/>
      <c r="JE213" s="36"/>
      <c r="JF213" s="36"/>
      <c r="JG213" s="36"/>
      <c r="JH213" s="36"/>
      <c r="JI213" s="36"/>
      <c r="JJ213" s="36"/>
      <c r="JK213" s="36"/>
      <c r="JL213" s="36"/>
      <c r="JM213" s="36"/>
      <c r="JN213" s="36"/>
      <c r="JO213" s="36"/>
      <c r="JP213" s="36"/>
      <c r="JQ213" s="36"/>
      <c r="JR213" s="36"/>
      <c r="JS213" s="36"/>
      <c r="JT213" s="36"/>
      <c r="JU213" s="616"/>
      <c r="JV213" s="616"/>
      <c r="JW213" s="616"/>
      <c r="JX213" s="616"/>
      <c r="JY213" s="616"/>
      <c r="JZ213" s="616"/>
      <c r="KA213" s="616"/>
      <c r="KB213" s="616"/>
      <c r="KC213" s="616"/>
      <c r="KD213" s="616"/>
      <c r="KE213" s="616"/>
      <c r="KF213" s="616"/>
      <c r="KG213" s="616"/>
      <c r="KH213" s="616"/>
      <c r="KI213" s="616"/>
      <c r="KJ213" s="616"/>
      <c r="KK213" s="616"/>
      <c r="KL213" s="616"/>
      <c r="KM213" s="616"/>
      <c r="KN213" s="616"/>
      <c r="KO213" s="616"/>
    </row>
    <row r="214" spans="1:301">
      <c r="A214" s="5737">
        <v>4</v>
      </c>
      <c r="B214" s="5737">
        <v>2</v>
      </c>
      <c r="C214" s="5736" t="s">
        <v>608</v>
      </c>
      <c r="D214" s="5739" t="s">
        <v>2707</v>
      </c>
      <c r="E214" s="5737">
        <v>1</v>
      </c>
      <c r="F214" s="5737">
        <v>13</v>
      </c>
      <c r="Q214" s="4832"/>
      <c r="R214" s="4832"/>
      <c r="S214" s="4832"/>
      <c r="T214" s="4832"/>
      <c r="U214" s="4832"/>
      <c r="V214" s="4832"/>
      <c r="W214" s="4622"/>
      <c r="Z214" s="36" t="s">
        <v>240</v>
      </c>
      <c r="AA214" s="36" t="s">
        <v>41</v>
      </c>
      <c r="AB214" s="36" t="s">
        <v>320</v>
      </c>
      <c r="AC214" s="36" t="s">
        <v>1072</v>
      </c>
      <c r="AD214" s="615"/>
      <c r="AE214" s="615"/>
      <c r="AF214" s="615"/>
      <c r="AG214" s="615"/>
      <c r="AH214" s="615"/>
      <c r="AI214" s="615"/>
      <c r="AJ214" s="615"/>
      <c r="AK214" s="615"/>
      <c r="AL214" s="615">
        <v>1</v>
      </c>
      <c r="AM214" s="615"/>
      <c r="AN214" s="615">
        <v>1</v>
      </c>
      <c r="AO214" s="615"/>
      <c r="AP214" s="615"/>
      <c r="AQ214" s="36"/>
      <c r="AR214" s="36">
        <v>2</v>
      </c>
      <c r="AS214" s="36"/>
      <c r="AU214" s="36"/>
      <c r="AV214" s="36"/>
      <c r="AW214" s="393"/>
      <c r="AX214" s="393" t="s">
        <v>1072</v>
      </c>
      <c r="AY214" s="1682"/>
      <c r="AZ214" s="1682">
        <v>1</v>
      </c>
      <c r="BA214" s="1682">
        <v>0</v>
      </c>
      <c r="BB214" s="1682"/>
      <c r="BC214" s="1682">
        <v>0</v>
      </c>
      <c r="BD214" s="1682"/>
      <c r="BE214" s="1682">
        <v>1</v>
      </c>
      <c r="BF214" s="1682">
        <v>0</v>
      </c>
      <c r="BG214" s="1682"/>
      <c r="BH214" s="1682">
        <v>1</v>
      </c>
      <c r="BI214" s="1682">
        <v>2</v>
      </c>
      <c r="BJ214" s="1682">
        <v>5</v>
      </c>
      <c r="BK214" s="1682">
        <v>0</v>
      </c>
      <c r="BL214" s="1682">
        <v>0</v>
      </c>
      <c r="BM214" s="4455">
        <v>0</v>
      </c>
      <c r="BN214" s="4455"/>
      <c r="BO214" s="4455">
        <v>10</v>
      </c>
      <c r="BP214" s="4455"/>
      <c r="BT214" s="1520"/>
      <c r="BU214" s="1520" t="s">
        <v>1080</v>
      </c>
      <c r="BV214" s="3872">
        <v>0</v>
      </c>
      <c r="BW214" s="3872">
        <v>0</v>
      </c>
      <c r="BX214" s="3872">
        <v>0</v>
      </c>
      <c r="BY214" s="3872"/>
      <c r="BZ214" s="3872">
        <v>0</v>
      </c>
      <c r="CA214" s="3872"/>
      <c r="CB214" s="3872">
        <v>0</v>
      </c>
      <c r="CC214" s="3872">
        <v>0</v>
      </c>
      <c r="CD214" s="3872"/>
      <c r="CE214" s="3872">
        <v>0</v>
      </c>
      <c r="CF214" s="3872">
        <v>0</v>
      </c>
      <c r="CG214" s="3872">
        <v>0</v>
      </c>
      <c r="CH214" s="3872">
        <v>12</v>
      </c>
      <c r="CI214" s="3872">
        <v>1</v>
      </c>
      <c r="CJ214" s="3806">
        <v>1</v>
      </c>
      <c r="CK214" s="3806">
        <v>14</v>
      </c>
      <c r="CL214" s="1520"/>
      <c r="CN214" s="36"/>
      <c r="CO214" s="36"/>
      <c r="CP214" s="393"/>
      <c r="CQ214" s="393" t="s">
        <v>1080</v>
      </c>
      <c r="CR214" s="2049"/>
      <c r="CS214" s="2049"/>
      <c r="CT214" s="2049"/>
      <c r="CU214" s="2049"/>
      <c r="CV214" s="2049">
        <v>0</v>
      </c>
      <c r="CW214" s="2049"/>
      <c r="CX214" s="2049"/>
      <c r="CY214" s="2049"/>
      <c r="CZ214" s="2049"/>
      <c r="DA214" s="2049">
        <v>0</v>
      </c>
      <c r="DB214" s="2049">
        <v>0</v>
      </c>
      <c r="DC214" s="2049"/>
      <c r="DD214" s="2049">
        <v>0</v>
      </c>
      <c r="DE214" s="2049">
        <v>0</v>
      </c>
      <c r="DF214" s="2049">
        <v>6</v>
      </c>
      <c r="DG214" s="393">
        <v>0</v>
      </c>
      <c r="DH214" s="393">
        <v>9</v>
      </c>
      <c r="DI214" s="393">
        <v>15</v>
      </c>
      <c r="DJ214" s="36"/>
      <c r="EN214" s="1487"/>
      <c r="EO214" s="1487"/>
      <c r="EP214" s="1487"/>
      <c r="EQ214" s="1487"/>
      <c r="ER214" s="1487"/>
      <c r="ES214" s="1487"/>
      <c r="ET214" s="1487"/>
      <c r="EU214" s="1487"/>
      <c r="EV214" s="1487"/>
      <c r="EW214" s="1487"/>
      <c r="EX214" s="1487"/>
      <c r="EY214" s="1487"/>
      <c r="EZ214" s="1487"/>
      <c r="FA214" s="1487"/>
      <c r="FB214" s="1487"/>
      <c r="FC214" s="1487"/>
      <c r="FD214" s="1487"/>
      <c r="FE214" s="1487"/>
      <c r="FF214" s="1487"/>
      <c r="HB214" s="36"/>
      <c r="HC214" s="36"/>
      <c r="HD214" s="36"/>
      <c r="HE214" s="36"/>
      <c r="HF214" s="36"/>
      <c r="HG214" s="36"/>
      <c r="HH214" s="36"/>
      <c r="HI214" s="36"/>
      <c r="HJ214" s="36"/>
      <c r="HK214" s="36"/>
      <c r="HL214" s="36"/>
      <c r="HM214" s="36"/>
      <c r="HN214" s="36"/>
      <c r="HO214" s="36"/>
      <c r="HP214" s="36"/>
      <c r="HQ214" s="36"/>
      <c r="HR214" s="36"/>
      <c r="HS214" s="36"/>
      <c r="HT214" s="36"/>
      <c r="HU214" s="36"/>
      <c r="HV214" s="36"/>
      <c r="HW214" s="36"/>
      <c r="HX214" s="36"/>
      <c r="HY214" s="36"/>
      <c r="HZ214" s="36"/>
      <c r="IA214" s="36"/>
      <c r="IB214" s="36"/>
      <c r="IC214" s="36"/>
      <c r="ID214" s="36"/>
      <c r="IE214" s="36"/>
      <c r="IF214" s="36"/>
      <c r="IG214" s="36"/>
      <c r="IH214" s="36"/>
      <c r="II214" s="36"/>
      <c r="IJ214" s="36"/>
      <c r="IK214" s="36"/>
      <c r="IL214" s="36"/>
      <c r="IM214" s="36"/>
      <c r="IN214" s="36"/>
      <c r="IO214" s="36"/>
      <c r="IP214" s="36"/>
      <c r="IQ214" s="36"/>
      <c r="IR214" s="36"/>
      <c r="IS214" s="36"/>
      <c r="IT214" s="36"/>
      <c r="IU214" s="36"/>
      <c r="IV214" s="658" t="s">
        <v>1151</v>
      </c>
      <c r="IW214" s="95"/>
      <c r="IX214" s="36"/>
      <c r="IY214" s="36"/>
      <c r="IZ214" s="36"/>
      <c r="JA214" s="36"/>
      <c r="JB214" s="36"/>
      <c r="JC214" s="36"/>
      <c r="JD214" s="36"/>
      <c r="JE214" s="36"/>
      <c r="JF214" s="36"/>
      <c r="JG214" s="36"/>
      <c r="JH214" s="36"/>
      <c r="JI214" s="36"/>
      <c r="JJ214" s="36"/>
      <c r="JK214" s="36"/>
      <c r="JL214" s="36"/>
      <c r="JM214" s="36"/>
      <c r="JN214" s="36"/>
      <c r="JO214" s="36"/>
      <c r="JP214" s="36"/>
      <c r="JQ214" s="36"/>
      <c r="JR214" s="36"/>
      <c r="JS214" s="36"/>
      <c r="JT214" s="36"/>
      <c r="JU214" s="392" t="s">
        <v>1151</v>
      </c>
      <c r="JV214" s="616"/>
      <c r="JW214" s="616"/>
      <c r="JX214" s="616"/>
      <c r="JY214" s="616"/>
      <c r="JZ214" s="616"/>
      <c r="KA214" s="616"/>
      <c r="KB214" s="616"/>
      <c r="KC214" s="616"/>
      <c r="KD214" s="616"/>
      <c r="KE214" s="616"/>
      <c r="KF214" s="616"/>
      <c r="KG214" s="616"/>
      <c r="KH214" s="616"/>
      <c r="KI214" s="616"/>
      <c r="KJ214" s="616"/>
      <c r="KK214" s="616"/>
      <c r="KL214" s="616"/>
      <c r="KM214" s="616"/>
      <c r="KN214" s="616"/>
      <c r="KO214" s="616"/>
    </row>
    <row r="215" spans="1:301">
      <c r="A215" s="5737">
        <v>4</v>
      </c>
      <c r="B215" s="5737">
        <v>2</v>
      </c>
      <c r="C215" s="5736" t="s">
        <v>608</v>
      </c>
      <c r="D215" s="5736" t="s">
        <v>2709</v>
      </c>
      <c r="E215" s="5737">
        <v>1</v>
      </c>
      <c r="F215" s="5737">
        <v>12</v>
      </c>
      <c r="M215" s="4967"/>
      <c r="Q215" s="4832"/>
      <c r="R215" s="4832"/>
      <c r="S215" s="4832"/>
      <c r="T215" s="4832"/>
      <c r="U215" s="4832"/>
      <c r="V215" s="4832"/>
      <c r="W215" s="4622"/>
      <c r="Z215" s="36"/>
      <c r="AA215" s="36"/>
      <c r="AB215" s="36"/>
      <c r="AC215" s="4236" t="s">
        <v>15</v>
      </c>
      <c r="AD215" s="4236"/>
      <c r="AE215" s="4236"/>
      <c r="AF215" s="4236"/>
      <c r="AG215" s="4236"/>
      <c r="AH215" s="4236"/>
      <c r="AI215" s="4236"/>
      <c r="AJ215" s="4236"/>
      <c r="AK215" s="4236"/>
      <c r="AL215" s="4236">
        <v>1</v>
      </c>
      <c r="AM215" s="4236"/>
      <c r="AN215" s="4236">
        <v>1</v>
      </c>
      <c r="AO215" s="4236"/>
      <c r="AP215" s="4236"/>
      <c r="AQ215" s="4236"/>
      <c r="AR215" s="4236">
        <v>2</v>
      </c>
      <c r="AS215" s="4243">
        <v>0</v>
      </c>
      <c r="AU215" s="36"/>
      <c r="AV215" s="36"/>
      <c r="AW215" s="393"/>
      <c r="AX215" s="393" t="s">
        <v>1076</v>
      </c>
      <c r="AY215" s="1682"/>
      <c r="AZ215" s="1682">
        <v>0</v>
      </c>
      <c r="BA215" s="1682">
        <v>0</v>
      </c>
      <c r="BB215" s="1682"/>
      <c r="BC215" s="1682">
        <v>0</v>
      </c>
      <c r="BD215" s="1682"/>
      <c r="BE215" s="1682">
        <v>0</v>
      </c>
      <c r="BF215" s="1682">
        <v>0</v>
      </c>
      <c r="BG215" s="1682"/>
      <c r="BH215" s="1682">
        <v>0</v>
      </c>
      <c r="BI215" s="1682">
        <v>0</v>
      </c>
      <c r="BJ215" s="1682">
        <v>1</v>
      </c>
      <c r="BK215" s="1682">
        <v>0</v>
      </c>
      <c r="BL215" s="1682">
        <v>0</v>
      </c>
      <c r="BM215" s="4455">
        <v>0</v>
      </c>
      <c r="BN215" s="4455"/>
      <c r="BO215" s="4455">
        <v>1</v>
      </c>
      <c r="BP215" s="4455"/>
      <c r="BT215" s="1520"/>
      <c r="BU215" s="1520" t="s">
        <v>1081</v>
      </c>
      <c r="BV215" s="3872">
        <v>0</v>
      </c>
      <c r="BW215" s="3872">
        <v>0</v>
      </c>
      <c r="BX215" s="3872">
        <v>0</v>
      </c>
      <c r="BY215" s="3872"/>
      <c r="BZ215" s="3872">
        <v>0</v>
      </c>
      <c r="CA215" s="3872"/>
      <c r="CB215" s="3872">
        <v>0</v>
      </c>
      <c r="CC215" s="3872">
        <v>0</v>
      </c>
      <c r="CD215" s="3872"/>
      <c r="CE215" s="3872">
        <v>0</v>
      </c>
      <c r="CF215" s="3872">
        <v>0</v>
      </c>
      <c r="CG215" s="3872">
        <v>1</v>
      </c>
      <c r="CH215" s="3872">
        <v>0</v>
      </c>
      <c r="CI215" s="3872">
        <v>0</v>
      </c>
      <c r="CJ215" s="3806">
        <v>0</v>
      </c>
      <c r="CK215" s="3806">
        <v>1</v>
      </c>
      <c r="CL215" s="1520"/>
      <c r="CN215" s="36"/>
      <c r="CO215" s="36"/>
      <c r="CP215" s="393"/>
      <c r="CQ215" s="393" t="s">
        <v>1081</v>
      </c>
      <c r="CR215" s="2049"/>
      <c r="CS215" s="2049"/>
      <c r="CT215" s="2049"/>
      <c r="CU215" s="2049"/>
      <c r="CV215" s="2049">
        <v>0</v>
      </c>
      <c r="CW215" s="2049"/>
      <c r="CX215" s="2049"/>
      <c r="CY215" s="2049"/>
      <c r="CZ215" s="2049"/>
      <c r="DA215" s="2049">
        <v>2</v>
      </c>
      <c r="DB215" s="2049">
        <v>1</v>
      </c>
      <c r="DC215" s="2049"/>
      <c r="DD215" s="2049">
        <v>4</v>
      </c>
      <c r="DE215" s="2049">
        <v>1</v>
      </c>
      <c r="DF215" s="2049">
        <v>0</v>
      </c>
      <c r="DG215" s="393">
        <v>0</v>
      </c>
      <c r="DH215" s="393">
        <v>0</v>
      </c>
      <c r="DI215" s="393">
        <v>8</v>
      </c>
      <c r="DJ215" s="36"/>
      <c r="EN215" s="1487"/>
      <c r="EO215" s="1487"/>
      <c r="EP215" s="1487"/>
      <c r="EQ215" s="1487"/>
      <c r="ER215" s="1487"/>
      <c r="ES215" s="1487"/>
      <c r="ET215" s="1487"/>
      <c r="EU215" s="1487"/>
      <c r="EV215" s="1487"/>
      <c r="EW215" s="1487"/>
      <c r="EX215" s="1487"/>
      <c r="EY215" s="1487"/>
      <c r="EZ215" s="1487"/>
      <c r="FA215" s="1487"/>
      <c r="FB215" s="1487"/>
      <c r="FC215" s="1487"/>
      <c r="FD215" s="1487"/>
      <c r="FE215" s="1487"/>
      <c r="FF215" s="1487"/>
      <c r="HB215" s="36"/>
      <c r="HC215" s="36"/>
      <c r="HD215" s="36"/>
      <c r="HE215" s="36"/>
      <c r="HF215" s="36"/>
      <c r="HG215" s="36"/>
      <c r="HH215" s="36"/>
      <c r="HI215" s="36"/>
      <c r="HJ215" s="36"/>
      <c r="HK215" s="36"/>
      <c r="HL215" s="36"/>
      <c r="HM215" s="36"/>
      <c r="HN215" s="36"/>
      <c r="HO215" s="36"/>
      <c r="HP215" s="36"/>
      <c r="HQ215" s="36"/>
      <c r="HR215" s="36"/>
      <c r="HS215" s="36"/>
      <c r="HT215" s="36"/>
      <c r="HU215" s="36"/>
      <c r="HV215" s="36"/>
      <c r="HW215" s="36"/>
      <c r="HX215" s="36"/>
      <c r="HY215" s="36"/>
      <c r="HZ215" s="36"/>
      <c r="IA215" s="36"/>
      <c r="IB215" s="36"/>
      <c r="IC215" s="36"/>
      <c r="ID215" s="36"/>
      <c r="IE215" s="36"/>
      <c r="IF215" s="36"/>
      <c r="IG215" s="36"/>
      <c r="IH215" s="36"/>
      <c r="II215" s="36"/>
      <c r="IJ215" s="36"/>
      <c r="IK215" s="36"/>
      <c r="IL215" s="36"/>
      <c r="IM215" s="36"/>
      <c r="IN215" s="36"/>
      <c r="IO215" s="36"/>
      <c r="IP215" s="36"/>
      <c r="IQ215" s="36"/>
      <c r="IR215" s="36"/>
      <c r="IS215" s="36"/>
      <c r="IT215" s="36"/>
      <c r="IU215" s="36"/>
      <c r="IV215" s="658" t="s">
        <v>1175</v>
      </c>
      <c r="IW215" s="95"/>
      <c r="IX215" s="36"/>
      <c r="IY215" s="36"/>
      <c r="IZ215" s="36"/>
      <c r="JA215" s="36"/>
      <c r="JB215" s="36"/>
      <c r="JC215" s="36"/>
      <c r="JD215" s="36"/>
      <c r="JE215" s="36"/>
      <c r="JF215" s="36"/>
      <c r="JG215" s="36"/>
      <c r="JH215" s="36"/>
      <c r="JI215" s="36"/>
      <c r="JJ215" s="36"/>
      <c r="JK215" s="36"/>
      <c r="JL215" s="36"/>
      <c r="JM215" s="36"/>
      <c r="JN215" s="36"/>
      <c r="JO215" s="36"/>
      <c r="JP215" s="36"/>
      <c r="JQ215" s="36"/>
      <c r="JR215" s="36"/>
      <c r="JS215" s="36"/>
      <c r="JT215" s="36"/>
      <c r="JU215" s="392" t="s">
        <v>1153</v>
      </c>
      <c r="JV215" s="616"/>
      <c r="JW215" s="616"/>
      <c r="JX215" s="616"/>
      <c r="JY215" s="616"/>
      <c r="JZ215" s="616"/>
      <c r="KA215" s="616"/>
      <c r="KB215" s="616"/>
      <c r="KC215" s="616"/>
      <c r="KD215" s="616"/>
      <c r="KE215" s="616"/>
      <c r="KF215" s="616"/>
      <c r="KG215" s="616"/>
      <c r="KH215" s="616"/>
      <c r="KI215" s="616"/>
      <c r="KJ215" s="616"/>
      <c r="KK215" s="616"/>
      <c r="KL215" s="616"/>
      <c r="KM215" s="616"/>
      <c r="KN215" s="616"/>
      <c r="KO215" s="616"/>
    </row>
    <row r="216" spans="1:301">
      <c r="A216" s="5737"/>
      <c r="B216" s="5737"/>
      <c r="C216" s="5742" t="s">
        <v>16</v>
      </c>
      <c r="D216" s="5736"/>
      <c r="E216" s="5742">
        <f>SUM(E213:E215)</f>
        <v>10</v>
      </c>
      <c r="F216" s="5737"/>
      <c r="G216" s="5758">
        <f>+(E214)/(E216)</f>
        <v>0.1</v>
      </c>
      <c r="M216" s="4726"/>
      <c r="O216" s="4476"/>
      <c r="Q216" s="4832"/>
      <c r="R216" s="4832"/>
      <c r="S216" s="4832"/>
      <c r="T216" s="4832"/>
      <c r="U216" s="4832"/>
      <c r="V216" s="4832"/>
      <c r="W216" s="4622"/>
      <c r="Z216" s="36"/>
      <c r="AA216" s="36"/>
      <c r="AB216" s="36" t="s">
        <v>485</v>
      </c>
      <c r="AC216" s="36" t="s">
        <v>1072</v>
      </c>
      <c r="AD216" s="615"/>
      <c r="AE216" s="615"/>
      <c r="AF216" s="615"/>
      <c r="AG216" s="615"/>
      <c r="AH216" s="615"/>
      <c r="AI216" s="615"/>
      <c r="AJ216" s="615"/>
      <c r="AK216" s="615"/>
      <c r="AL216" s="615">
        <v>1</v>
      </c>
      <c r="AM216" s="615"/>
      <c r="AN216" s="615">
        <v>1</v>
      </c>
      <c r="AO216" s="615"/>
      <c r="AP216" s="615"/>
      <c r="AQ216" s="36"/>
      <c r="AR216" s="36">
        <v>2</v>
      </c>
      <c r="AS216" s="36"/>
      <c r="AU216" s="36"/>
      <c r="AV216" s="36"/>
      <c r="AW216" s="393"/>
      <c r="AX216" s="393" t="s">
        <v>1077</v>
      </c>
      <c r="AY216" s="1682"/>
      <c r="AZ216" s="1682">
        <v>0</v>
      </c>
      <c r="BA216" s="1682">
        <v>0</v>
      </c>
      <c r="BB216" s="1682"/>
      <c r="BC216" s="1682">
        <v>1</v>
      </c>
      <c r="BD216" s="1682"/>
      <c r="BE216" s="1682">
        <v>0</v>
      </c>
      <c r="BF216" s="1682">
        <v>1</v>
      </c>
      <c r="BG216" s="1682"/>
      <c r="BH216" s="1682">
        <v>0</v>
      </c>
      <c r="BI216" s="1682">
        <v>0</v>
      </c>
      <c r="BJ216" s="1682">
        <v>0</v>
      </c>
      <c r="BK216" s="1682">
        <v>0</v>
      </c>
      <c r="BL216" s="1682">
        <v>0</v>
      </c>
      <c r="BM216" s="4455">
        <v>0</v>
      </c>
      <c r="BN216" s="4455"/>
      <c r="BO216" s="4455">
        <v>2</v>
      </c>
      <c r="BP216" s="4455"/>
      <c r="BT216" s="1520"/>
      <c r="BU216" s="1520" t="s">
        <v>1163</v>
      </c>
      <c r="BV216" s="3872">
        <v>0</v>
      </c>
      <c r="BW216" s="3872">
        <v>0</v>
      </c>
      <c r="BX216" s="3872">
        <v>0</v>
      </c>
      <c r="BY216" s="3872"/>
      <c r="BZ216" s="3872">
        <v>0</v>
      </c>
      <c r="CA216" s="3872"/>
      <c r="CB216" s="3872">
        <v>0</v>
      </c>
      <c r="CC216" s="3872">
        <v>0</v>
      </c>
      <c r="CD216" s="3872"/>
      <c r="CE216" s="3872">
        <v>1</v>
      </c>
      <c r="CF216" s="3872">
        <v>0</v>
      </c>
      <c r="CG216" s="3872">
        <v>0</v>
      </c>
      <c r="CH216" s="3872">
        <v>0</v>
      </c>
      <c r="CI216" s="3872">
        <v>0</v>
      </c>
      <c r="CJ216" s="3806">
        <v>0</v>
      </c>
      <c r="CK216" s="3806">
        <v>1</v>
      </c>
      <c r="CL216" s="1520"/>
      <c r="CN216" s="36"/>
      <c r="CO216" s="36"/>
      <c r="CP216" s="393"/>
      <c r="CQ216" s="393" t="s">
        <v>1163</v>
      </c>
      <c r="CR216" s="2049"/>
      <c r="CS216" s="2049"/>
      <c r="CT216" s="2049"/>
      <c r="CU216" s="2049"/>
      <c r="CV216" s="2049">
        <v>0</v>
      </c>
      <c r="CW216" s="2049"/>
      <c r="CX216" s="2049"/>
      <c r="CY216" s="2049"/>
      <c r="CZ216" s="2049"/>
      <c r="DA216" s="2049">
        <v>1</v>
      </c>
      <c r="DB216" s="2049">
        <v>1</v>
      </c>
      <c r="DC216" s="2049"/>
      <c r="DD216" s="2049">
        <v>4</v>
      </c>
      <c r="DE216" s="2049">
        <v>1</v>
      </c>
      <c r="DF216" s="2049">
        <v>1</v>
      </c>
      <c r="DG216" s="393">
        <v>0</v>
      </c>
      <c r="DH216" s="393">
        <v>0</v>
      </c>
      <c r="DI216" s="393">
        <v>8</v>
      </c>
      <c r="DJ216" s="36"/>
      <c r="EN216" s="1487"/>
      <c r="EO216" s="1487"/>
      <c r="EP216" s="1487"/>
      <c r="EQ216" s="1487"/>
      <c r="ER216" s="1487"/>
      <c r="ES216" s="1487"/>
      <c r="ET216" s="1487"/>
      <c r="EU216" s="1487"/>
      <c r="EV216" s="1487"/>
      <c r="EW216" s="1487"/>
      <c r="EX216" s="1487"/>
      <c r="EY216" s="1487"/>
      <c r="EZ216" s="1487"/>
      <c r="FA216" s="1487"/>
      <c r="FB216" s="1487"/>
      <c r="FC216" s="1487"/>
      <c r="FD216" s="1487"/>
      <c r="FE216" s="1487"/>
      <c r="FF216" s="1487"/>
      <c r="HB216" s="36"/>
      <c r="HC216" s="36"/>
      <c r="HD216" s="36"/>
      <c r="HE216" s="36"/>
      <c r="HF216" s="36"/>
      <c r="HG216" s="36"/>
      <c r="HH216" s="36"/>
      <c r="HI216" s="36"/>
      <c r="HJ216" s="36"/>
      <c r="HK216" s="36"/>
      <c r="HL216" s="36"/>
      <c r="HM216" s="36"/>
      <c r="HN216" s="36"/>
      <c r="HO216" s="36"/>
      <c r="HP216" s="36"/>
      <c r="HQ216" s="36"/>
      <c r="HR216" s="36"/>
      <c r="HS216" s="36"/>
      <c r="HT216" s="36"/>
      <c r="HU216" s="36"/>
      <c r="HV216" s="36"/>
      <c r="HW216" s="36"/>
      <c r="HX216" s="36"/>
      <c r="HY216" s="36"/>
      <c r="HZ216" s="36"/>
      <c r="IA216" s="36"/>
      <c r="IB216" s="36"/>
      <c r="IC216" s="36"/>
      <c r="ID216" s="36"/>
      <c r="IE216" s="36"/>
      <c r="IF216" s="36"/>
      <c r="IG216" s="36"/>
      <c r="IH216" s="36"/>
      <c r="II216" s="36"/>
      <c r="IJ216" s="36"/>
      <c r="IK216" s="36"/>
      <c r="IL216" s="36"/>
      <c r="IM216" s="36"/>
      <c r="IN216" s="36"/>
      <c r="IO216" s="36"/>
      <c r="IP216" s="36"/>
      <c r="IQ216" s="36"/>
      <c r="IR216" s="36"/>
      <c r="IS216" s="36"/>
      <c r="IT216" s="36"/>
      <c r="IU216" s="36"/>
      <c r="IV216" s="658" t="s">
        <v>1154</v>
      </c>
      <c r="IW216" s="95"/>
      <c r="IX216" s="36"/>
      <c r="IY216" s="36"/>
      <c r="IZ216" s="36"/>
      <c r="JA216" s="36"/>
      <c r="JB216" s="36"/>
      <c r="JC216" s="36"/>
      <c r="JD216" s="36"/>
      <c r="JE216" s="36"/>
      <c r="JF216" s="36"/>
      <c r="JG216" s="36"/>
      <c r="JH216" s="36"/>
      <c r="JI216" s="36"/>
      <c r="JJ216" s="36"/>
      <c r="JK216" s="36"/>
      <c r="JL216" s="36"/>
      <c r="JM216" s="36"/>
      <c r="JN216" s="36"/>
      <c r="JO216" s="36"/>
      <c r="JP216" s="36"/>
      <c r="JQ216" s="36"/>
      <c r="JR216" s="36"/>
      <c r="JS216" s="36"/>
      <c r="JT216" s="36"/>
      <c r="JU216" s="392" t="s">
        <v>1126</v>
      </c>
      <c r="JV216" s="616"/>
      <c r="JW216" s="616"/>
      <c r="JX216" s="616"/>
      <c r="JY216" s="616"/>
      <c r="JZ216" s="616"/>
      <c r="KA216" s="616"/>
      <c r="KB216" s="616"/>
      <c r="KC216" s="616"/>
      <c r="KD216" s="616"/>
      <c r="KE216" s="616"/>
      <c r="KF216" s="616"/>
      <c r="KG216" s="616"/>
      <c r="KH216" s="616"/>
      <c r="KI216" s="616"/>
      <c r="KJ216" s="616"/>
      <c r="KK216" s="616"/>
      <c r="KL216" s="616"/>
      <c r="KM216" s="616"/>
      <c r="KN216" s="616"/>
      <c r="KO216" s="616"/>
    </row>
    <row r="217" spans="1:301">
      <c r="A217" s="5737">
        <v>4</v>
      </c>
      <c r="B217" s="5737">
        <v>6</v>
      </c>
      <c r="C217" s="5736" t="s">
        <v>609</v>
      </c>
      <c r="D217" s="5736" t="s">
        <v>2731</v>
      </c>
      <c r="E217" s="5737">
        <v>2</v>
      </c>
      <c r="F217" s="5737">
        <v>14</v>
      </c>
      <c r="Q217" s="4832"/>
      <c r="R217" s="4832"/>
      <c r="S217" s="4832"/>
      <c r="T217" s="4832"/>
      <c r="U217" s="4832"/>
      <c r="V217" s="4832"/>
      <c r="W217" s="4622"/>
      <c r="Z217" s="36"/>
      <c r="AA217" s="36"/>
      <c r="AB217" s="36"/>
      <c r="AC217" s="4236" t="s">
        <v>15</v>
      </c>
      <c r="AD217" s="4236"/>
      <c r="AE217" s="4236"/>
      <c r="AF217" s="4236"/>
      <c r="AG217" s="4236"/>
      <c r="AH217" s="4236"/>
      <c r="AI217" s="4236"/>
      <c r="AJ217" s="4236"/>
      <c r="AK217" s="4236"/>
      <c r="AL217" s="4236">
        <v>1</v>
      </c>
      <c r="AM217" s="4236"/>
      <c r="AN217" s="4236">
        <v>1</v>
      </c>
      <c r="AO217" s="4236"/>
      <c r="AP217" s="4236"/>
      <c r="AQ217" s="4236"/>
      <c r="AR217" s="4236">
        <v>2</v>
      </c>
      <c r="AS217" s="4243">
        <v>0</v>
      </c>
      <c r="AU217" s="36"/>
      <c r="AV217" s="36"/>
      <c r="AW217" s="393"/>
      <c r="AX217" s="393" t="s">
        <v>1080</v>
      </c>
      <c r="AY217" s="1682"/>
      <c r="AZ217" s="1682">
        <v>0</v>
      </c>
      <c r="BA217" s="1682">
        <v>0</v>
      </c>
      <c r="BB217" s="1682"/>
      <c r="BC217" s="1682">
        <v>0</v>
      </c>
      <c r="BD217" s="1682"/>
      <c r="BE217" s="1682">
        <v>0</v>
      </c>
      <c r="BF217" s="1682">
        <v>0</v>
      </c>
      <c r="BG217" s="1682"/>
      <c r="BH217" s="1682">
        <v>0</v>
      </c>
      <c r="BI217" s="1682">
        <v>0</v>
      </c>
      <c r="BJ217" s="1682">
        <v>0</v>
      </c>
      <c r="BK217" s="1682">
        <v>3</v>
      </c>
      <c r="BL217" s="1682">
        <v>8</v>
      </c>
      <c r="BM217" s="4455">
        <v>1</v>
      </c>
      <c r="BN217" s="4455"/>
      <c r="BO217" s="4455">
        <v>12</v>
      </c>
      <c r="BP217" s="4455"/>
      <c r="BT217" s="1520"/>
      <c r="BU217" s="1520" t="s">
        <v>256</v>
      </c>
      <c r="BV217" s="3872">
        <v>0</v>
      </c>
      <c r="BW217" s="3872">
        <v>1</v>
      </c>
      <c r="BX217" s="3872">
        <v>0</v>
      </c>
      <c r="BY217" s="3872"/>
      <c r="BZ217" s="3872">
        <v>1</v>
      </c>
      <c r="CA217" s="3872"/>
      <c r="CB217" s="3872">
        <v>1</v>
      </c>
      <c r="CC217" s="3872">
        <v>1</v>
      </c>
      <c r="CD217" s="3872"/>
      <c r="CE217" s="3872">
        <v>3</v>
      </c>
      <c r="CF217" s="3872">
        <v>2</v>
      </c>
      <c r="CG217" s="3872">
        <v>6</v>
      </c>
      <c r="CH217" s="3872">
        <v>13</v>
      </c>
      <c r="CI217" s="3872">
        <v>1</v>
      </c>
      <c r="CJ217" s="3806">
        <v>1</v>
      </c>
      <c r="CK217" s="3806">
        <v>30</v>
      </c>
      <c r="CL217" s="3807">
        <f>+(CK215+CK216)/CK217</f>
        <v>6.6666666666666666E-2</v>
      </c>
      <c r="CN217" s="36"/>
      <c r="CO217" s="36"/>
      <c r="CP217" s="393"/>
      <c r="CQ217" s="393" t="s">
        <v>412</v>
      </c>
      <c r="CR217" s="2049"/>
      <c r="CS217" s="2049"/>
      <c r="CT217" s="2049"/>
      <c r="CU217" s="2049"/>
      <c r="CV217" s="2049">
        <v>1</v>
      </c>
      <c r="CW217" s="2049"/>
      <c r="CX217" s="2049"/>
      <c r="CY217" s="2049"/>
      <c r="CZ217" s="2049"/>
      <c r="DA217" s="2049">
        <v>9</v>
      </c>
      <c r="DB217" s="2049">
        <v>3</v>
      </c>
      <c r="DC217" s="2049"/>
      <c r="DD217" s="2049">
        <v>15</v>
      </c>
      <c r="DE217" s="2049">
        <v>2</v>
      </c>
      <c r="DF217" s="2049">
        <v>10</v>
      </c>
      <c r="DG217" s="393">
        <v>1</v>
      </c>
      <c r="DH217" s="393">
        <v>9</v>
      </c>
      <c r="DI217" s="393">
        <v>50</v>
      </c>
      <c r="DJ217" s="560">
        <f>+(DI216+DI215+DI213)/DI217</f>
        <v>0.4</v>
      </c>
      <c r="DK217" s="1665"/>
      <c r="EN217" s="1487"/>
      <c r="EO217" s="1487"/>
      <c r="EP217" s="1487"/>
      <c r="EQ217" s="1487"/>
      <c r="ER217" s="1487"/>
      <c r="ES217" s="1487"/>
      <c r="ET217" s="1487"/>
      <c r="EU217" s="1487"/>
      <c r="EV217" s="1487"/>
      <c r="EW217" s="1487"/>
      <c r="EX217" s="1487"/>
      <c r="EY217" s="1487"/>
      <c r="EZ217" s="1487"/>
      <c r="FA217" s="1487"/>
      <c r="FB217" s="1487"/>
      <c r="FC217" s="1487"/>
      <c r="FD217" s="1487"/>
      <c r="FE217" s="1487"/>
      <c r="FF217" s="1487"/>
      <c r="HB217" s="36"/>
      <c r="HC217" s="36"/>
      <c r="HD217" s="36"/>
      <c r="HE217" s="36"/>
      <c r="HF217" s="36"/>
      <c r="HG217" s="36"/>
      <c r="HH217" s="36"/>
      <c r="HI217" s="36"/>
      <c r="HJ217" s="36"/>
      <c r="HK217" s="36"/>
      <c r="HL217" s="36"/>
      <c r="HM217" s="36"/>
      <c r="HN217" s="36"/>
      <c r="HO217" s="36"/>
      <c r="HP217" s="36"/>
      <c r="HQ217" s="36"/>
      <c r="HR217" s="36"/>
      <c r="HS217" s="36"/>
      <c r="HT217" s="36"/>
      <c r="HU217" s="36"/>
      <c r="HV217" s="36"/>
      <c r="HW217" s="36"/>
      <c r="HX217" s="36"/>
      <c r="HY217" s="36"/>
      <c r="HZ217" s="36"/>
      <c r="IA217" s="36"/>
      <c r="IB217" s="36"/>
      <c r="IC217" s="36"/>
      <c r="ID217" s="36"/>
      <c r="IE217" s="36"/>
      <c r="IF217" s="36"/>
      <c r="IG217" s="36"/>
      <c r="IH217" s="36"/>
      <c r="II217" s="36"/>
      <c r="IJ217" s="36"/>
      <c r="IK217" s="36"/>
      <c r="IL217" s="36"/>
      <c r="IM217" s="36"/>
      <c r="IN217" s="36"/>
      <c r="IO217" s="36"/>
      <c r="IP217" s="36"/>
      <c r="IQ217" s="36"/>
      <c r="IR217" s="36"/>
      <c r="IS217" s="36"/>
      <c r="IT217" s="36"/>
      <c r="IU217" s="36"/>
      <c r="IV217" s="95"/>
      <c r="IW217" s="95"/>
      <c r="IX217" s="36"/>
      <c r="IY217" s="36"/>
      <c r="IZ217" s="36"/>
      <c r="JA217" s="36"/>
      <c r="JB217" s="36"/>
      <c r="JC217" s="36"/>
      <c r="JD217" s="36"/>
      <c r="JE217" s="36"/>
      <c r="JF217" s="36"/>
      <c r="JG217" s="36"/>
      <c r="JH217" s="36"/>
      <c r="JI217" s="36"/>
      <c r="JJ217" s="36"/>
      <c r="JK217" s="36"/>
      <c r="JL217" s="36"/>
      <c r="JM217" s="36"/>
      <c r="JN217" s="36"/>
      <c r="JO217" s="36"/>
      <c r="JP217" s="36"/>
      <c r="JQ217" s="36"/>
      <c r="JR217" s="36"/>
      <c r="JS217" s="36"/>
      <c r="JT217" s="36"/>
      <c r="JU217" s="36"/>
      <c r="JV217" s="36"/>
      <c r="JW217" s="36"/>
      <c r="JX217" s="36"/>
      <c r="JY217" s="36"/>
      <c r="JZ217" s="36"/>
      <c r="KA217" s="36"/>
      <c r="KB217" s="36"/>
      <c r="KC217" s="36"/>
      <c r="KD217" s="36"/>
      <c r="KE217" s="36"/>
      <c r="KF217" s="36"/>
      <c r="KG217" s="36"/>
      <c r="KH217" s="36"/>
      <c r="KI217" s="36"/>
      <c r="KJ217" s="36"/>
      <c r="KK217" s="36"/>
      <c r="KL217" s="36"/>
      <c r="KM217" s="36"/>
      <c r="KN217" s="36"/>
      <c r="KO217" s="36"/>
    </row>
    <row r="218" spans="1:301">
      <c r="A218" s="5737">
        <v>4</v>
      </c>
      <c r="B218" s="5737">
        <v>6</v>
      </c>
      <c r="C218" s="5736" t="s">
        <v>609</v>
      </c>
      <c r="D218" s="5736" t="s">
        <v>2731</v>
      </c>
      <c r="E218" s="5737">
        <v>1</v>
      </c>
      <c r="F218" s="5737">
        <v>16</v>
      </c>
      <c r="Q218" s="4832"/>
      <c r="R218" s="4832"/>
      <c r="S218" s="4832"/>
      <c r="T218" s="4832"/>
      <c r="U218" s="4832"/>
      <c r="V218" s="4832"/>
      <c r="W218" s="4622"/>
      <c r="Z218" s="36"/>
      <c r="AA218" s="36"/>
      <c r="AB218" s="36" t="s">
        <v>1017</v>
      </c>
      <c r="AC218" s="36" t="s">
        <v>1072</v>
      </c>
      <c r="AD218" s="615"/>
      <c r="AE218" s="615"/>
      <c r="AF218" s="615"/>
      <c r="AG218" s="615"/>
      <c r="AH218" s="615"/>
      <c r="AI218" s="615"/>
      <c r="AJ218" s="615"/>
      <c r="AK218" s="615"/>
      <c r="AL218" s="615">
        <v>1</v>
      </c>
      <c r="AM218" s="615"/>
      <c r="AN218" s="615">
        <v>1</v>
      </c>
      <c r="AO218" s="615"/>
      <c r="AP218" s="615"/>
      <c r="AQ218" s="36"/>
      <c r="AR218" s="36">
        <v>2</v>
      </c>
      <c r="AS218" s="36"/>
      <c r="AU218" s="36"/>
      <c r="AV218" s="36"/>
      <c r="AW218" s="393"/>
      <c r="AX218" s="393" t="s">
        <v>1081</v>
      </c>
      <c r="AY218" s="1682"/>
      <c r="AZ218" s="1682">
        <v>0</v>
      </c>
      <c r="BA218" s="1682">
        <v>0</v>
      </c>
      <c r="BB218" s="1682"/>
      <c r="BC218" s="1682">
        <v>0</v>
      </c>
      <c r="BD218" s="1682"/>
      <c r="BE218" s="1682">
        <v>0</v>
      </c>
      <c r="BF218" s="1682">
        <v>0</v>
      </c>
      <c r="BG218" s="1682"/>
      <c r="BH218" s="1682">
        <v>1</v>
      </c>
      <c r="BI218" s="1682">
        <v>0</v>
      </c>
      <c r="BJ218" s="1682">
        <v>0</v>
      </c>
      <c r="BK218" s="1682">
        <v>1</v>
      </c>
      <c r="BL218" s="1682">
        <v>0</v>
      </c>
      <c r="BM218" s="4455">
        <v>1</v>
      </c>
      <c r="BN218" s="4455"/>
      <c r="BO218" s="4455">
        <v>3</v>
      </c>
      <c r="BP218" s="4455"/>
      <c r="BT218" s="1520" t="s">
        <v>112</v>
      </c>
      <c r="BU218" s="1520" t="s">
        <v>1071</v>
      </c>
      <c r="BV218" s="3872">
        <v>0</v>
      </c>
      <c r="BW218" s="3872">
        <v>0</v>
      </c>
      <c r="BX218" s="3872">
        <v>0</v>
      </c>
      <c r="BY218" s="3872">
        <v>0</v>
      </c>
      <c r="BZ218" s="3872">
        <v>0</v>
      </c>
      <c r="CA218" s="3872">
        <v>0</v>
      </c>
      <c r="CB218" s="3872">
        <v>0</v>
      </c>
      <c r="CC218" s="3872">
        <v>0</v>
      </c>
      <c r="CD218" s="3872">
        <v>0</v>
      </c>
      <c r="CE218" s="3872">
        <v>1</v>
      </c>
      <c r="CF218" s="3872">
        <v>0</v>
      </c>
      <c r="CG218" s="3872">
        <v>1</v>
      </c>
      <c r="CH218" s="3872">
        <v>12</v>
      </c>
      <c r="CI218" s="3872">
        <v>0</v>
      </c>
      <c r="CJ218" s="3806">
        <v>1</v>
      </c>
      <c r="CK218" s="3806">
        <v>15</v>
      </c>
      <c r="CL218" s="1520"/>
      <c r="CN218" s="36" t="s">
        <v>59</v>
      </c>
      <c r="CO218" s="36" t="s">
        <v>16</v>
      </c>
      <c r="CP218" s="36" t="s">
        <v>608</v>
      </c>
      <c r="CQ218" s="36" t="s">
        <v>1072</v>
      </c>
      <c r="CR218" s="615"/>
      <c r="CS218" s="615"/>
      <c r="CT218" s="615"/>
      <c r="CU218" s="615"/>
      <c r="CV218" s="615"/>
      <c r="CW218" s="615">
        <v>0</v>
      </c>
      <c r="CX218" s="615"/>
      <c r="CY218" s="615">
        <v>0</v>
      </c>
      <c r="CZ218" s="615">
        <v>1</v>
      </c>
      <c r="DA218" s="615">
        <v>4</v>
      </c>
      <c r="DB218" s="615">
        <v>1</v>
      </c>
      <c r="DC218" s="615"/>
      <c r="DD218" s="615">
        <v>0</v>
      </c>
      <c r="DE218" s="615"/>
      <c r="DF218" s="615">
        <v>0</v>
      </c>
      <c r="DG218" s="36"/>
      <c r="DH218" s="36"/>
      <c r="DI218" s="36">
        <v>6</v>
      </c>
      <c r="DJ218" s="36"/>
      <c r="EM218" s="1488"/>
      <c r="EN218" s="1487"/>
      <c r="EO218" s="1487"/>
      <c r="EP218" s="1487"/>
      <c r="EQ218" s="1487"/>
      <c r="ER218" s="1487"/>
      <c r="ES218" s="1487"/>
      <c r="ET218" s="1487"/>
      <c r="EU218" s="1487"/>
      <c r="EV218" s="1487"/>
      <c r="EW218" s="1487"/>
      <c r="EX218" s="1487"/>
      <c r="EY218" s="1487"/>
      <c r="EZ218" s="1487"/>
      <c r="FA218" s="1487"/>
      <c r="FB218" s="1487"/>
      <c r="FC218" s="1487"/>
      <c r="FD218" s="1487"/>
      <c r="FE218" s="1487"/>
      <c r="FF218" s="1487"/>
      <c r="HB218" s="36"/>
      <c r="HC218" s="36"/>
      <c r="HD218" s="36"/>
      <c r="HE218" s="36"/>
      <c r="HF218" s="36"/>
      <c r="HG218" s="36"/>
      <c r="HH218" s="36"/>
      <c r="HI218" s="36"/>
      <c r="HJ218" s="36"/>
      <c r="HK218" s="36"/>
      <c r="HL218" s="36"/>
      <c r="HM218" s="36"/>
      <c r="HN218" s="36"/>
      <c r="HO218" s="36"/>
      <c r="HP218" s="36"/>
      <c r="HQ218" s="36"/>
      <c r="HR218" s="36"/>
      <c r="HS218" s="36"/>
      <c r="HT218" s="36"/>
      <c r="HU218" s="36"/>
      <c r="HV218" s="36"/>
      <c r="HW218" s="36"/>
      <c r="HX218" s="36"/>
      <c r="HY218" s="36"/>
      <c r="HZ218" s="36"/>
      <c r="IA218" s="36"/>
      <c r="IB218" s="36"/>
      <c r="IC218" s="36"/>
      <c r="ID218" s="36"/>
      <c r="IE218" s="36"/>
      <c r="IF218" s="36"/>
      <c r="IG218" s="36"/>
      <c r="IH218" s="36"/>
      <c r="II218" s="36"/>
      <c r="IJ218" s="36"/>
      <c r="IK218" s="36"/>
      <c r="IL218" s="36"/>
      <c r="IM218" s="36"/>
      <c r="IN218" s="36"/>
      <c r="IO218" s="36"/>
      <c r="IP218" s="36"/>
      <c r="IQ218" s="36"/>
      <c r="IR218" s="36"/>
      <c r="IS218" s="36"/>
      <c r="IT218" s="36"/>
      <c r="IU218" s="36"/>
      <c r="IV218" s="95"/>
      <c r="IW218" s="95"/>
      <c r="IX218" s="36"/>
      <c r="IY218" s="36"/>
      <c r="IZ218" s="36"/>
      <c r="JA218" s="36"/>
      <c r="JB218" s="36"/>
      <c r="JC218" s="36"/>
      <c r="JD218" s="36"/>
      <c r="JE218" s="36"/>
      <c r="JF218" s="36"/>
      <c r="JG218" s="36"/>
      <c r="JH218" s="36"/>
      <c r="JI218" s="36"/>
      <c r="JJ218" s="36"/>
      <c r="JK218" s="36"/>
      <c r="JL218" s="36"/>
      <c r="JM218" s="36"/>
      <c r="JN218" s="36"/>
      <c r="JO218" s="36"/>
      <c r="JP218" s="36"/>
      <c r="JQ218" s="36"/>
      <c r="JR218" s="36"/>
      <c r="JS218" s="36"/>
      <c r="JT218" s="36"/>
      <c r="JU218" s="36"/>
      <c r="JV218" s="36"/>
      <c r="JW218" s="36"/>
      <c r="JX218" s="36"/>
      <c r="JY218" s="36"/>
      <c r="JZ218" s="36"/>
      <c r="KA218" s="36"/>
      <c r="KB218" s="36"/>
      <c r="KC218" s="36"/>
      <c r="KD218" s="36"/>
      <c r="KE218" s="36"/>
      <c r="KF218" s="36"/>
      <c r="KG218" s="36"/>
      <c r="KH218" s="36"/>
      <c r="KI218" s="36"/>
      <c r="KJ218" s="36"/>
      <c r="KK218" s="36"/>
      <c r="KL218" s="36"/>
      <c r="KM218" s="36"/>
      <c r="KN218" s="36"/>
      <c r="KO218" s="36"/>
    </row>
    <row r="219" spans="1:301">
      <c r="A219" s="5737">
        <v>4</v>
      </c>
      <c r="B219" s="5737">
        <v>6</v>
      </c>
      <c r="C219" s="5736" t="s">
        <v>609</v>
      </c>
      <c r="D219" s="5739" t="s">
        <v>1076</v>
      </c>
      <c r="E219" s="5737">
        <v>1</v>
      </c>
      <c r="F219" s="5737">
        <v>14</v>
      </c>
      <c r="Q219" s="4832"/>
      <c r="R219" s="4832"/>
      <c r="S219" s="4832"/>
      <c r="T219" s="4832"/>
      <c r="U219" s="4832"/>
      <c r="V219" s="4832"/>
      <c r="W219" s="4622"/>
      <c r="Z219" s="36"/>
      <c r="AA219" s="36"/>
      <c r="AB219" s="36"/>
      <c r="AC219" s="4236" t="s">
        <v>15</v>
      </c>
      <c r="AD219" s="4236"/>
      <c r="AE219" s="4236"/>
      <c r="AF219" s="4236"/>
      <c r="AG219" s="4236"/>
      <c r="AH219" s="4236"/>
      <c r="AI219" s="4236"/>
      <c r="AJ219" s="4236"/>
      <c r="AK219" s="4236"/>
      <c r="AL219" s="4236">
        <v>1</v>
      </c>
      <c r="AM219" s="4236"/>
      <c r="AN219" s="4236">
        <v>1</v>
      </c>
      <c r="AO219" s="4236"/>
      <c r="AP219" s="4236"/>
      <c r="AQ219" s="4236"/>
      <c r="AR219" s="4236">
        <v>2</v>
      </c>
      <c r="AS219" s="4243">
        <v>0</v>
      </c>
      <c r="AU219" s="36"/>
      <c r="AV219" s="36"/>
      <c r="AW219" s="393"/>
      <c r="AX219" s="393" t="s">
        <v>1163</v>
      </c>
      <c r="AY219" s="1682"/>
      <c r="AZ219" s="1682">
        <v>0</v>
      </c>
      <c r="BA219" s="1682">
        <v>0</v>
      </c>
      <c r="BB219" s="1682"/>
      <c r="BC219" s="1682">
        <v>0</v>
      </c>
      <c r="BD219" s="1682"/>
      <c r="BE219" s="1682">
        <v>0</v>
      </c>
      <c r="BF219" s="1682">
        <v>0</v>
      </c>
      <c r="BG219" s="1682"/>
      <c r="BH219" s="1682">
        <v>1</v>
      </c>
      <c r="BI219" s="1682">
        <v>0</v>
      </c>
      <c r="BJ219" s="1682">
        <v>0</v>
      </c>
      <c r="BK219" s="1682">
        <v>0</v>
      </c>
      <c r="BL219" s="1682">
        <v>0</v>
      </c>
      <c r="BM219" s="4455">
        <v>0</v>
      </c>
      <c r="BN219" s="4455"/>
      <c r="BO219" s="4455">
        <v>1</v>
      </c>
      <c r="BP219" s="4455"/>
      <c r="BT219" s="1520"/>
      <c r="BU219" s="1520" t="s">
        <v>1072</v>
      </c>
      <c r="BV219" s="3872">
        <v>1</v>
      </c>
      <c r="BW219" s="3872">
        <v>2</v>
      </c>
      <c r="BX219" s="3872">
        <v>0</v>
      </c>
      <c r="BY219" s="3872">
        <v>1</v>
      </c>
      <c r="BZ219" s="3872">
        <v>2</v>
      </c>
      <c r="CA219" s="3872">
        <v>1</v>
      </c>
      <c r="CB219" s="3872">
        <v>3</v>
      </c>
      <c r="CC219" s="3872">
        <v>1</v>
      </c>
      <c r="CD219" s="3872">
        <v>4</v>
      </c>
      <c r="CE219" s="3872">
        <v>7</v>
      </c>
      <c r="CF219" s="3872">
        <v>8</v>
      </c>
      <c r="CG219" s="3872">
        <v>55</v>
      </c>
      <c r="CH219" s="3872">
        <v>21</v>
      </c>
      <c r="CI219" s="3872">
        <v>2</v>
      </c>
      <c r="CJ219" s="3806">
        <v>0</v>
      </c>
      <c r="CK219" s="3806">
        <v>108</v>
      </c>
      <c r="CL219" s="1520"/>
      <c r="CN219" s="36"/>
      <c r="CO219" s="36"/>
      <c r="CP219" s="36"/>
      <c r="CQ219" s="36" t="s">
        <v>1074</v>
      </c>
      <c r="CR219" s="615"/>
      <c r="CS219" s="615"/>
      <c r="CT219" s="615"/>
      <c r="CU219" s="615"/>
      <c r="CV219" s="615"/>
      <c r="CW219" s="615">
        <v>0</v>
      </c>
      <c r="CX219" s="615"/>
      <c r="CY219" s="615">
        <v>1</v>
      </c>
      <c r="CZ219" s="615">
        <v>0</v>
      </c>
      <c r="DA219" s="615">
        <v>0</v>
      </c>
      <c r="DB219" s="615">
        <v>0</v>
      </c>
      <c r="DC219" s="615"/>
      <c r="DD219" s="615">
        <v>0</v>
      </c>
      <c r="DE219" s="615"/>
      <c r="DF219" s="615">
        <v>0</v>
      </c>
      <c r="DG219" s="36"/>
      <c r="DH219" s="36"/>
      <c r="DI219" s="36">
        <v>1</v>
      </c>
      <c r="DJ219" s="36"/>
      <c r="EN219" s="1487"/>
      <c r="EO219" s="1487"/>
      <c r="EP219" s="1487"/>
      <c r="EQ219" s="1487"/>
      <c r="ER219" s="1487"/>
      <c r="ES219" s="1487"/>
      <c r="ET219" s="1487"/>
      <c r="EU219" s="1487"/>
      <c r="EV219" s="1487"/>
      <c r="EW219" s="1487"/>
      <c r="EX219" s="1487"/>
      <c r="EY219" s="1487"/>
      <c r="EZ219" s="1487"/>
      <c r="FA219" s="1487"/>
      <c r="FB219" s="1487"/>
      <c r="FC219" s="1487"/>
      <c r="FD219" s="1487"/>
      <c r="FE219" s="1487"/>
      <c r="FF219" s="1487"/>
      <c r="HB219" s="36"/>
      <c r="HC219" s="36"/>
      <c r="HD219" s="36"/>
      <c r="HE219" s="36"/>
      <c r="HF219" s="36"/>
      <c r="HG219" s="36"/>
      <c r="HH219" s="36"/>
      <c r="HI219" s="36"/>
      <c r="HJ219" s="36"/>
      <c r="HK219" s="36"/>
      <c r="HL219" s="36"/>
      <c r="HM219" s="36"/>
      <c r="HN219" s="36"/>
      <c r="HO219" s="36"/>
      <c r="HP219" s="36"/>
      <c r="HQ219" s="36"/>
      <c r="HR219" s="36"/>
      <c r="HS219" s="36"/>
      <c r="HT219" s="36"/>
      <c r="HU219" s="36"/>
      <c r="HV219" s="36"/>
      <c r="HW219" s="36"/>
      <c r="HX219" s="36"/>
      <c r="HY219" s="36"/>
      <c r="HZ219" s="36"/>
      <c r="IA219" s="36"/>
      <c r="IB219" s="36"/>
      <c r="IC219" s="36"/>
      <c r="ID219" s="36"/>
      <c r="IE219" s="36"/>
      <c r="IF219" s="36"/>
      <c r="IG219" s="36"/>
      <c r="IH219" s="36"/>
      <c r="II219" s="36"/>
      <c r="IJ219" s="36"/>
      <c r="IK219" s="36"/>
      <c r="IL219" s="36"/>
      <c r="IM219" s="36"/>
      <c r="IN219" s="36"/>
      <c r="IO219" s="36"/>
      <c r="IP219" s="36"/>
      <c r="IQ219" s="36"/>
      <c r="IR219" s="36"/>
      <c r="IS219" s="36"/>
      <c r="IT219" s="36"/>
      <c r="IU219" s="36"/>
      <c r="IV219" s="95"/>
      <c r="IW219" s="95"/>
      <c r="IX219" s="36"/>
      <c r="IY219" s="36"/>
      <c r="IZ219" s="36"/>
      <c r="JA219" s="36"/>
      <c r="JB219" s="36"/>
      <c r="JC219" s="36"/>
      <c r="JD219" s="36"/>
      <c r="JE219" s="36"/>
      <c r="JF219" s="36"/>
      <c r="JG219" s="36"/>
      <c r="JH219" s="36"/>
      <c r="JI219" s="36"/>
      <c r="JJ219" s="36"/>
      <c r="JK219" s="36"/>
      <c r="JL219" s="36"/>
      <c r="JM219" s="36"/>
      <c r="JN219" s="36"/>
      <c r="JO219" s="36"/>
      <c r="JP219" s="36"/>
      <c r="JQ219" s="36"/>
      <c r="JR219" s="36"/>
      <c r="JS219" s="36"/>
      <c r="JT219" s="36"/>
      <c r="JU219" s="36"/>
      <c r="JV219" s="36"/>
      <c r="JW219" s="36"/>
      <c r="JX219" s="36"/>
      <c r="JY219" s="36"/>
      <c r="JZ219" s="36"/>
      <c r="KA219" s="36"/>
      <c r="KB219" s="36"/>
      <c r="KC219" s="36"/>
      <c r="KD219" s="36"/>
      <c r="KE219" s="36"/>
      <c r="KF219" s="36"/>
      <c r="KG219" s="36"/>
      <c r="KH219" s="36"/>
      <c r="KI219" s="36"/>
      <c r="KJ219" s="36"/>
      <c r="KK219" s="36"/>
      <c r="KL219" s="36"/>
      <c r="KM219" s="36"/>
      <c r="KN219" s="36"/>
      <c r="KO219" s="36"/>
    </row>
    <row r="220" spans="1:301">
      <c r="A220" s="5737">
        <v>4</v>
      </c>
      <c r="B220" s="5737">
        <v>6</v>
      </c>
      <c r="C220" s="5736" t="s">
        <v>609</v>
      </c>
      <c r="D220" s="5736" t="s">
        <v>2709</v>
      </c>
      <c r="E220" s="5737">
        <v>1</v>
      </c>
      <c r="F220" s="5737">
        <v>14</v>
      </c>
      <c r="Q220" s="4832"/>
      <c r="R220" s="4832"/>
      <c r="S220" s="4832"/>
      <c r="T220" s="4832"/>
      <c r="U220" s="4832"/>
      <c r="V220" s="4832"/>
      <c r="W220" s="4622"/>
      <c r="Z220" s="36" t="s">
        <v>75</v>
      </c>
      <c r="AA220" s="36"/>
      <c r="AB220" s="36" t="s">
        <v>15</v>
      </c>
      <c r="AC220" s="36" t="s">
        <v>1071</v>
      </c>
      <c r="AD220" s="615">
        <v>0</v>
      </c>
      <c r="AE220" s="615">
        <v>0</v>
      </c>
      <c r="AF220" s="615">
        <v>0</v>
      </c>
      <c r="AG220" s="615">
        <v>0</v>
      </c>
      <c r="AH220" s="615">
        <v>0</v>
      </c>
      <c r="AI220" s="615">
        <v>0</v>
      </c>
      <c r="AJ220" s="615">
        <v>0</v>
      </c>
      <c r="AK220" s="615">
        <v>0</v>
      </c>
      <c r="AL220" s="615">
        <v>0</v>
      </c>
      <c r="AM220" s="615">
        <v>0</v>
      </c>
      <c r="AN220" s="615">
        <v>2</v>
      </c>
      <c r="AO220" s="615">
        <v>8</v>
      </c>
      <c r="AP220" s="615">
        <v>1</v>
      </c>
      <c r="AQ220" s="36">
        <v>0</v>
      </c>
      <c r="AR220" s="36">
        <v>11</v>
      </c>
      <c r="AS220" s="36"/>
      <c r="AU220" s="36"/>
      <c r="AV220" s="36"/>
      <c r="AW220" s="393"/>
      <c r="AX220" s="36" t="s">
        <v>15</v>
      </c>
      <c r="AY220" s="1682"/>
      <c r="AZ220" s="1682">
        <v>1</v>
      </c>
      <c r="BA220" s="1682">
        <v>0</v>
      </c>
      <c r="BB220" s="1682"/>
      <c r="BC220" s="1682">
        <v>1</v>
      </c>
      <c r="BD220" s="1682"/>
      <c r="BE220" s="1682">
        <v>1</v>
      </c>
      <c r="BF220" s="1682">
        <v>1</v>
      </c>
      <c r="BG220" s="1682"/>
      <c r="BH220" s="1682">
        <v>3</v>
      </c>
      <c r="BI220" s="1682">
        <v>2</v>
      </c>
      <c r="BJ220" s="1682">
        <v>6</v>
      </c>
      <c r="BK220" s="1682">
        <v>4</v>
      </c>
      <c r="BL220" s="1682">
        <v>9</v>
      </c>
      <c r="BM220" s="4455">
        <v>2</v>
      </c>
      <c r="BN220" s="4455"/>
      <c r="BO220" s="4455">
        <v>30</v>
      </c>
      <c r="BP220" s="560">
        <f>+(BO215+BO218+BO219)/(BO220)</f>
        <v>0.16666666666666666</v>
      </c>
      <c r="BT220" s="1520"/>
      <c r="BU220" s="1520" t="s">
        <v>1074</v>
      </c>
      <c r="BV220" s="3872">
        <v>0</v>
      </c>
      <c r="BW220" s="3872">
        <v>1</v>
      </c>
      <c r="BX220" s="3872">
        <v>0</v>
      </c>
      <c r="BY220" s="3872">
        <v>0</v>
      </c>
      <c r="BZ220" s="3872">
        <v>0</v>
      </c>
      <c r="CA220" s="3872">
        <v>0</v>
      </c>
      <c r="CB220" s="3872">
        <v>0</v>
      </c>
      <c r="CC220" s="3872">
        <v>0</v>
      </c>
      <c r="CD220" s="3872">
        <v>1</v>
      </c>
      <c r="CE220" s="3872">
        <v>0</v>
      </c>
      <c r="CF220" s="3872">
        <v>0</v>
      </c>
      <c r="CG220" s="3872">
        <v>0</v>
      </c>
      <c r="CH220" s="3872">
        <v>0</v>
      </c>
      <c r="CI220" s="3872">
        <v>0</v>
      </c>
      <c r="CJ220" s="3806">
        <v>0</v>
      </c>
      <c r="CK220" s="3806">
        <v>2</v>
      </c>
      <c r="CL220" s="1520"/>
      <c r="CN220" s="36"/>
      <c r="CO220" s="36"/>
      <c r="CP220" s="36"/>
      <c r="CQ220" s="36" t="s">
        <v>1077</v>
      </c>
      <c r="CR220" s="615"/>
      <c r="CS220" s="615"/>
      <c r="CT220" s="615"/>
      <c r="CU220" s="615"/>
      <c r="CV220" s="615"/>
      <c r="CW220" s="615">
        <v>1</v>
      </c>
      <c r="CX220" s="615"/>
      <c r="CY220" s="615">
        <v>0</v>
      </c>
      <c r="CZ220" s="615">
        <v>0</v>
      </c>
      <c r="DA220" s="615">
        <v>0</v>
      </c>
      <c r="DB220" s="615">
        <v>1</v>
      </c>
      <c r="DC220" s="615"/>
      <c r="DD220" s="615">
        <v>0</v>
      </c>
      <c r="DE220" s="615"/>
      <c r="DF220" s="615">
        <v>0</v>
      </c>
      <c r="DG220" s="36"/>
      <c r="DH220" s="36"/>
      <c r="DI220" s="36">
        <v>2</v>
      </c>
      <c r="DJ220" s="36"/>
      <c r="EM220" s="1488"/>
      <c r="EN220" s="1487"/>
      <c r="EO220" s="1487"/>
      <c r="EP220" s="1487"/>
      <c r="EQ220" s="1487"/>
      <c r="ER220" s="1487"/>
      <c r="ES220" s="1487"/>
      <c r="ET220" s="1487"/>
      <c r="EU220" s="1487"/>
      <c r="EV220" s="1487"/>
      <c r="EW220" s="1487"/>
      <c r="EX220" s="1487"/>
      <c r="EY220" s="1487"/>
      <c r="EZ220" s="1487"/>
      <c r="FA220" s="1487"/>
      <c r="FB220" s="1487"/>
      <c r="FC220" s="1487"/>
      <c r="FD220" s="1487"/>
      <c r="FE220" s="1487"/>
      <c r="FF220" s="1487"/>
      <c r="HB220" s="36"/>
      <c r="HC220" s="36"/>
      <c r="HD220" s="36"/>
      <c r="HE220" s="36"/>
      <c r="HF220" s="36"/>
      <c r="HG220" s="36"/>
      <c r="HH220" s="36"/>
      <c r="HI220" s="36"/>
      <c r="HJ220" s="36"/>
      <c r="HK220" s="36"/>
      <c r="HL220" s="36"/>
      <c r="HM220" s="36"/>
      <c r="HN220" s="36"/>
      <c r="HO220" s="36"/>
      <c r="HP220" s="36"/>
      <c r="HQ220" s="36"/>
      <c r="HR220" s="36"/>
      <c r="HS220" s="36"/>
      <c r="HT220" s="36"/>
      <c r="HU220" s="36"/>
      <c r="HV220" s="36"/>
      <c r="HW220" s="36"/>
      <c r="HX220" s="36"/>
      <c r="HY220" s="36"/>
      <c r="HZ220" s="36"/>
      <c r="IA220" s="36"/>
      <c r="IB220" s="36"/>
      <c r="IC220" s="36"/>
      <c r="ID220" s="36"/>
      <c r="IE220" s="36"/>
      <c r="IF220" s="36"/>
      <c r="IG220" s="36"/>
      <c r="IH220" s="36"/>
      <c r="II220" s="36"/>
      <c r="IJ220" s="36"/>
      <c r="IK220" s="36"/>
      <c r="IL220" s="36"/>
      <c r="IM220" s="36"/>
      <c r="IN220" s="36"/>
      <c r="IO220" s="36"/>
      <c r="IP220" s="36"/>
      <c r="IQ220" s="36"/>
      <c r="IR220" s="36"/>
      <c r="IS220" s="36"/>
      <c r="IT220" s="36"/>
      <c r="IU220" s="36"/>
      <c r="IV220" s="95"/>
      <c r="IW220" s="95"/>
      <c r="IX220" s="36"/>
      <c r="IY220" s="36"/>
      <c r="IZ220" s="36"/>
      <c r="JA220" s="36"/>
      <c r="JB220" s="36"/>
      <c r="JC220" s="36"/>
      <c r="JD220" s="36"/>
      <c r="JE220" s="36"/>
      <c r="JF220" s="36"/>
      <c r="JG220" s="36"/>
      <c r="JH220" s="36"/>
      <c r="JI220" s="36"/>
      <c r="JJ220" s="36"/>
      <c r="JK220" s="36"/>
      <c r="JL220" s="36"/>
      <c r="JM220" s="36"/>
      <c r="JN220" s="36"/>
      <c r="JO220" s="36"/>
      <c r="JP220" s="36"/>
      <c r="JQ220" s="36"/>
      <c r="JR220" s="36"/>
      <c r="JS220" s="36"/>
      <c r="JT220" s="36"/>
      <c r="JU220" s="36"/>
      <c r="JV220" s="36"/>
      <c r="JW220" s="36"/>
      <c r="JX220" s="36"/>
      <c r="JY220" s="36"/>
      <c r="JZ220" s="36"/>
      <c r="KA220" s="36"/>
      <c r="KB220" s="36"/>
      <c r="KC220" s="36"/>
      <c r="KD220" s="36"/>
      <c r="KE220" s="36"/>
      <c r="KF220" s="36"/>
      <c r="KG220" s="36"/>
      <c r="KH220" s="36"/>
      <c r="KI220" s="36"/>
      <c r="KJ220" s="36"/>
      <c r="KK220" s="36"/>
      <c r="KL220" s="36"/>
      <c r="KM220" s="36"/>
      <c r="KN220" s="36"/>
      <c r="KO220" s="36"/>
    </row>
    <row r="221" spans="1:301">
      <c r="A221" s="5735" t="s">
        <v>2613</v>
      </c>
      <c r="B221" s="5735" t="s">
        <v>2613</v>
      </c>
      <c r="C221" s="5742" t="s">
        <v>64</v>
      </c>
      <c r="D221" s="5735" t="s">
        <v>2613</v>
      </c>
      <c r="E221" s="5742">
        <f>SUM(E217:E220)</f>
        <v>5</v>
      </c>
      <c r="F221" s="5735" t="s">
        <v>2613</v>
      </c>
      <c r="G221" s="5758">
        <f>+(E219)/(E221)</f>
        <v>0.2</v>
      </c>
      <c r="Q221" s="4832"/>
      <c r="R221" s="4832"/>
      <c r="S221" s="4832"/>
      <c r="T221" s="4832"/>
      <c r="U221" s="4832"/>
      <c r="V221" s="4832"/>
      <c r="W221" s="4622"/>
      <c r="Z221" s="36"/>
      <c r="AA221" s="36"/>
      <c r="AB221" s="36"/>
      <c r="AC221" s="36" t="s">
        <v>1076</v>
      </c>
      <c r="AD221" s="615">
        <v>0</v>
      </c>
      <c r="AE221" s="615">
        <v>0</v>
      </c>
      <c r="AF221" s="615">
        <v>0</v>
      </c>
      <c r="AG221" s="615">
        <v>0</v>
      </c>
      <c r="AH221" s="615">
        <v>0</v>
      </c>
      <c r="AI221" s="615">
        <v>0</v>
      </c>
      <c r="AJ221" s="615">
        <v>1</v>
      </c>
      <c r="AK221" s="615">
        <v>2</v>
      </c>
      <c r="AL221" s="615">
        <v>1</v>
      </c>
      <c r="AM221" s="615">
        <v>2</v>
      </c>
      <c r="AN221" s="615">
        <v>8</v>
      </c>
      <c r="AO221" s="615">
        <v>2</v>
      </c>
      <c r="AP221" s="615">
        <v>0</v>
      </c>
      <c r="AQ221" s="36">
        <v>0</v>
      </c>
      <c r="AR221" s="36">
        <v>16</v>
      </c>
      <c r="AS221" s="36"/>
      <c r="AU221" s="36"/>
      <c r="AV221" s="36"/>
      <c r="AW221" s="393"/>
      <c r="AX221" s="393" t="s">
        <v>1074</v>
      </c>
      <c r="AY221" s="1682">
        <v>0</v>
      </c>
      <c r="AZ221" s="1682">
        <v>1</v>
      </c>
      <c r="BA221" s="1682">
        <v>0</v>
      </c>
      <c r="BB221" s="1682">
        <v>0</v>
      </c>
      <c r="BC221" s="1682">
        <v>0</v>
      </c>
      <c r="BD221" s="1682">
        <v>0</v>
      </c>
      <c r="BE221" s="1682">
        <v>0</v>
      </c>
      <c r="BF221" s="1682">
        <v>0</v>
      </c>
      <c r="BG221" s="1682">
        <v>1</v>
      </c>
      <c r="BH221" s="1682">
        <v>0</v>
      </c>
      <c r="BI221" s="1682">
        <v>0</v>
      </c>
      <c r="BJ221" s="1682">
        <v>0</v>
      </c>
      <c r="BK221" s="1682">
        <v>0</v>
      </c>
      <c r="BL221" s="1682">
        <v>0</v>
      </c>
      <c r="BM221" s="4455">
        <v>0</v>
      </c>
      <c r="BN221" s="4455">
        <v>0</v>
      </c>
      <c r="BO221" s="4455">
        <v>2</v>
      </c>
      <c r="BP221" s="4455"/>
      <c r="BT221" s="1520"/>
      <c r="BU221" s="1520" t="s">
        <v>1080</v>
      </c>
      <c r="BV221" s="3872">
        <v>0</v>
      </c>
      <c r="BW221" s="3872">
        <v>0</v>
      </c>
      <c r="BX221" s="3872">
        <v>0</v>
      </c>
      <c r="BY221" s="3872">
        <v>0</v>
      </c>
      <c r="BZ221" s="3872">
        <v>0</v>
      </c>
      <c r="CA221" s="3872">
        <v>0</v>
      </c>
      <c r="CB221" s="3872">
        <v>0</v>
      </c>
      <c r="CC221" s="3872">
        <v>0</v>
      </c>
      <c r="CD221" s="3872">
        <v>0</v>
      </c>
      <c r="CE221" s="3872">
        <v>0</v>
      </c>
      <c r="CF221" s="3872">
        <v>0</v>
      </c>
      <c r="CG221" s="3872">
        <v>1</v>
      </c>
      <c r="CH221" s="3872">
        <v>68</v>
      </c>
      <c r="CI221" s="3872">
        <v>8</v>
      </c>
      <c r="CJ221" s="3806">
        <v>27</v>
      </c>
      <c r="CK221" s="3806">
        <v>104</v>
      </c>
      <c r="CL221" s="1520"/>
      <c r="CN221" s="36"/>
      <c r="CO221" s="36"/>
      <c r="CP221" s="36"/>
      <c r="CQ221" s="36" t="s">
        <v>1163</v>
      </c>
      <c r="CR221" s="615"/>
      <c r="CS221" s="615"/>
      <c r="CT221" s="615"/>
      <c r="CU221" s="615"/>
      <c r="CV221" s="615"/>
      <c r="CW221" s="615">
        <v>0</v>
      </c>
      <c r="CX221" s="615"/>
      <c r="CY221" s="615">
        <v>0</v>
      </c>
      <c r="CZ221" s="615">
        <v>0</v>
      </c>
      <c r="DA221" s="615">
        <v>0</v>
      </c>
      <c r="DB221" s="615">
        <v>3</v>
      </c>
      <c r="DC221" s="615"/>
      <c r="DD221" s="615">
        <v>0</v>
      </c>
      <c r="DE221" s="615"/>
      <c r="DF221" s="615">
        <v>0</v>
      </c>
      <c r="DG221" s="36"/>
      <c r="DH221" s="36"/>
      <c r="DI221" s="36">
        <v>3</v>
      </c>
      <c r="DJ221" s="36"/>
      <c r="EN221" s="1487"/>
      <c r="EO221" s="1487"/>
      <c r="EP221" s="1487"/>
      <c r="EQ221" s="1487"/>
      <c r="ER221" s="1487"/>
      <c r="ES221" s="1487"/>
      <c r="ET221" s="1487"/>
      <c r="EU221" s="1487"/>
      <c r="EV221" s="1487"/>
      <c r="EW221" s="1487"/>
      <c r="EX221" s="1487"/>
      <c r="EY221" s="1487"/>
      <c r="EZ221" s="1487"/>
      <c r="FA221" s="1487"/>
      <c r="FB221" s="1487"/>
      <c r="FC221" s="1487"/>
      <c r="FD221" s="1487"/>
      <c r="FE221" s="1487"/>
      <c r="FF221" s="1487"/>
      <c r="HB221" s="36"/>
      <c r="HC221" s="36"/>
      <c r="HD221" s="36"/>
      <c r="HE221" s="36"/>
      <c r="HF221" s="36"/>
      <c r="HG221" s="36"/>
      <c r="HH221" s="36"/>
      <c r="HI221" s="36"/>
      <c r="HJ221" s="36"/>
      <c r="HK221" s="36"/>
      <c r="HL221" s="36"/>
      <c r="HM221" s="36"/>
      <c r="HN221" s="36"/>
      <c r="HO221" s="36"/>
      <c r="HP221" s="36"/>
      <c r="HQ221" s="36"/>
      <c r="HR221" s="36"/>
      <c r="HS221" s="36"/>
      <c r="HT221" s="36"/>
      <c r="HU221" s="36"/>
      <c r="HV221" s="36"/>
      <c r="HW221" s="36"/>
      <c r="HX221" s="36"/>
      <c r="HY221" s="36"/>
      <c r="HZ221" s="36"/>
      <c r="IA221" s="36"/>
      <c r="IB221" s="36"/>
      <c r="IC221" s="36"/>
      <c r="ID221" s="36"/>
      <c r="IE221" s="36"/>
      <c r="IF221" s="36"/>
      <c r="IG221" s="36"/>
      <c r="IH221" s="36"/>
      <c r="II221" s="36"/>
      <c r="IJ221" s="36"/>
      <c r="IK221" s="36"/>
      <c r="IL221" s="36"/>
      <c r="IM221" s="36"/>
      <c r="IN221" s="36"/>
      <c r="IO221" s="36"/>
      <c r="IP221" s="36"/>
      <c r="IQ221" s="36"/>
      <c r="IR221" s="36"/>
      <c r="IS221" s="36"/>
      <c r="IT221" s="36"/>
      <c r="IU221" s="36"/>
      <c r="IV221" s="95"/>
      <c r="IW221" s="95"/>
      <c r="IX221" s="36"/>
      <c r="IY221" s="36"/>
      <c r="IZ221" s="36"/>
      <c r="JA221" s="36"/>
      <c r="JB221" s="36"/>
      <c r="JC221" s="36"/>
      <c r="JD221" s="36"/>
      <c r="JE221" s="36"/>
      <c r="JF221" s="36"/>
      <c r="JG221" s="36"/>
      <c r="JH221" s="36"/>
      <c r="JI221" s="36"/>
      <c r="JJ221" s="36"/>
      <c r="JK221" s="36"/>
      <c r="JL221" s="36"/>
      <c r="JM221" s="36"/>
      <c r="JN221" s="36"/>
      <c r="JO221" s="36"/>
      <c r="JP221" s="36"/>
      <c r="JQ221" s="36"/>
      <c r="JR221" s="36"/>
      <c r="JS221" s="36"/>
      <c r="JT221" s="36"/>
      <c r="JU221" s="36"/>
      <c r="JV221" s="36"/>
      <c r="JW221" s="36"/>
      <c r="JX221" s="36"/>
      <c r="JY221" s="36"/>
      <c r="JZ221" s="36"/>
      <c r="KA221" s="36"/>
      <c r="KB221" s="36"/>
      <c r="KC221" s="36"/>
      <c r="KD221" s="36"/>
      <c r="KE221" s="36"/>
      <c r="KF221" s="36"/>
      <c r="KG221" s="36"/>
      <c r="KH221" s="36"/>
      <c r="KI221" s="36"/>
      <c r="KJ221" s="36"/>
      <c r="KK221" s="36"/>
      <c r="KL221" s="36"/>
      <c r="KM221" s="36"/>
      <c r="KN221" s="36"/>
      <c r="KO221" s="36"/>
    </row>
    <row r="222" spans="1:301">
      <c r="D222" s="5738" t="s">
        <v>2754</v>
      </c>
      <c r="E222" s="5752">
        <f>SUM(E214,E219)</f>
        <v>2</v>
      </c>
      <c r="Q222" s="4832"/>
      <c r="R222" s="4832"/>
      <c r="S222" s="4832"/>
      <c r="T222" s="4832"/>
      <c r="U222" s="4832"/>
      <c r="V222" s="4832"/>
      <c r="W222" s="4622"/>
      <c r="Z222" s="36"/>
      <c r="AA222" s="36"/>
      <c r="AB222" s="36"/>
      <c r="AC222" s="36" t="s">
        <v>1077</v>
      </c>
      <c r="AD222" s="615">
        <v>0</v>
      </c>
      <c r="AE222" s="615">
        <v>0</v>
      </c>
      <c r="AF222" s="615">
        <v>1</v>
      </c>
      <c r="AG222" s="615">
        <v>2</v>
      </c>
      <c r="AH222" s="615">
        <v>1</v>
      </c>
      <c r="AI222" s="615">
        <v>1</v>
      </c>
      <c r="AJ222" s="615">
        <v>1</v>
      </c>
      <c r="AK222" s="615">
        <v>0</v>
      </c>
      <c r="AL222" s="615">
        <v>1</v>
      </c>
      <c r="AM222" s="615">
        <v>0</v>
      </c>
      <c r="AN222" s="615">
        <v>0</v>
      </c>
      <c r="AO222" s="615">
        <v>0</v>
      </c>
      <c r="AP222" s="615">
        <v>0</v>
      </c>
      <c r="AQ222" s="36">
        <v>0</v>
      </c>
      <c r="AR222" s="36">
        <v>7</v>
      </c>
      <c r="AS222" s="36"/>
      <c r="AU222" s="36"/>
      <c r="AV222" s="36"/>
      <c r="AW222" s="393"/>
      <c r="AX222" s="393" t="s">
        <v>1076</v>
      </c>
      <c r="AY222" s="1682">
        <v>0</v>
      </c>
      <c r="AZ222" s="1682">
        <v>0</v>
      </c>
      <c r="BA222" s="1682">
        <v>0</v>
      </c>
      <c r="BB222" s="1682">
        <v>0</v>
      </c>
      <c r="BC222" s="1682">
        <v>0</v>
      </c>
      <c r="BD222" s="1682">
        <v>0</v>
      </c>
      <c r="BE222" s="1682">
        <v>0</v>
      </c>
      <c r="BF222" s="1682">
        <v>0</v>
      </c>
      <c r="BG222" s="1682">
        <v>0</v>
      </c>
      <c r="BH222" s="1682">
        <v>0</v>
      </c>
      <c r="BI222" s="1682">
        <v>1</v>
      </c>
      <c r="BJ222" s="1682">
        <v>12</v>
      </c>
      <c r="BK222" s="1682">
        <v>20</v>
      </c>
      <c r="BL222" s="1682">
        <v>1</v>
      </c>
      <c r="BM222" s="4455">
        <v>2</v>
      </c>
      <c r="BN222" s="4455">
        <v>0</v>
      </c>
      <c r="BO222" s="4455">
        <v>36</v>
      </c>
      <c r="BP222" s="4455"/>
      <c r="BT222" s="1520"/>
      <c r="BU222" s="1520" t="s">
        <v>1081</v>
      </c>
      <c r="BV222" s="3872">
        <v>0</v>
      </c>
      <c r="BW222" s="3872">
        <v>0</v>
      </c>
      <c r="BX222" s="3872">
        <v>0</v>
      </c>
      <c r="BY222" s="3872">
        <v>0</v>
      </c>
      <c r="BZ222" s="3872">
        <v>0</v>
      </c>
      <c r="CA222" s="3872">
        <v>0</v>
      </c>
      <c r="CB222" s="3872">
        <v>0</v>
      </c>
      <c r="CC222" s="3872">
        <v>0</v>
      </c>
      <c r="CD222" s="3872">
        <v>0</v>
      </c>
      <c r="CE222" s="3872">
        <v>0</v>
      </c>
      <c r="CF222" s="3872">
        <v>1</v>
      </c>
      <c r="CG222" s="3872">
        <v>6</v>
      </c>
      <c r="CH222" s="3872">
        <v>4</v>
      </c>
      <c r="CI222" s="3872">
        <v>1</v>
      </c>
      <c r="CJ222" s="3806">
        <v>0</v>
      </c>
      <c r="CK222" s="3806">
        <v>12</v>
      </c>
      <c r="CL222" s="1520"/>
      <c r="CN222" s="36"/>
      <c r="CO222" s="36"/>
      <c r="CP222" s="36"/>
      <c r="CQ222" s="393" t="s">
        <v>15</v>
      </c>
      <c r="CR222" s="2049"/>
      <c r="CS222" s="2049"/>
      <c r="CT222" s="2049"/>
      <c r="CU222" s="2049"/>
      <c r="CV222" s="2049"/>
      <c r="CW222" s="2049">
        <v>1</v>
      </c>
      <c r="CX222" s="2049"/>
      <c r="CY222" s="2049">
        <v>1</v>
      </c>
      <c r="CZ222" s="2049">
        <v>1</v>
      </c>
      <c r="DA222" s="2049">
        <v>6</v>
      </c>
      <c r="DB222" s="2049">
        <v>5</v>
      </c>
      <c r="DC222" s="2049"/>
      <c r="DD222" s="2049">
        <v>2</v>
      </c>
      <c r="DE222" s="2049"/>
      <c r="DF222" s="2049">
        <v>1</v>
      </c>
      <c r="DG222" s="393"/>
      <c r="DH222" s="393"/>
      <c r="DI222" s="393">
        <v>17</v>
      </c>
      <c r="DJ222" s="560" t="e">
        <f>+(DI221+#REF!)/DI222</f>
        <v>#REF!</v>
      </c>
      <c r="DK222" s="1665"/>
      <c r="EN222" s="1487"/>
      <c r="EO222" s="1487"/>
      <c r="EP222" s="1487"/>
      <c r="EQ222" s="1487"/>
      <c r="ER222" s="1487"/>
      <c r="ES222" s="1487"/>
      <c r="ET222" s="1487"/>
      <c r="EU222" s="1487"/>
      <c r="EV222" s="1487"/>
      <c r="EW222" s="1487"/>
      <c r="EX222" s="1487"/>
      <c r="EY222" s="1487"/>
      <c r="EZ222" s="1487"/>
      <c r="FA222" s="1487"/>
      <c r="FB222" s="1487"/>
      <c r="FC222" s="1487"/>
      <c r="FD222" s="1487"/>
      <c r="FE222" s="1487"/>
      <c r="FF222" s="1487"/>
      <c r="HB222" s="36"/>
      <c r="HC222" s="36"/>
      <c r="HD222" s="36"/>
      <c r="HE222" s="36"/>
      <c r="HF222" s="36"/>
      <c r="HG222" s="36"/>
      <c r="HH222" s="36"/>
      <c r="HI222" s="36"/>
      <c r="HJ222" s="36"/>
      <c r="HK222" s="36"/>
      <c r="HL222" s="36"/>
      <c r="HM222" s="36"/>
      <c r="HN222" s="36"/>
      <c r="HO222" s="36"/>
      <c r="HP222" s="36"/>
      <c r="HQ222" s="36"/>
      <c r="HR222" s="36"/>
      <c r="HS222" s="36"/>
      <c r="HT222" s="36"/>
      <c r="HU222" s="36"/>
      <c r="HV222" s="36"/>
      <c r="HW222" s="36"/>
      <c r="HX222" s="36"/>
      <c r="HY222" s="36"/>
      <c r="HZ222" s="36"/>
      <c r="IA222" s="36"/>
      <c r="IB222" s="36"/>
      <c r="IC222" s="36"/>
      <c r="ID222" s="36"/>
      <c r="IE222" s="36"/>
      <c r="IF222" s="36"/>
      <c r="IG222" s="36"/>
      <c r="IH222" s="36"/>
      <c r="II222" s="36"/>
      <c r="IJ222" s="36"/>
      <c r="IK222" s="36"/>
      <c r="IL222" s="36"/>
      <c r="IM222" s="36"/>
      <c r="IN222" s="36"/>
      <c r="IO222" s="36"/>
      <c r="IP222" s="36"/>
      <c r="IQ222" s="36"/>
      <c r="IR222" s="36"/>
      <c r="IS222" s="36"/>
      <c r="IT222" s="36"/>
      <c r="IU222" s="36"/>
      <c r="IV222" s="95"/>
      <c r="IW222" s="95"/>
      <c r="IX222" s="36"/>
      <c r="IY222" s="36"/>
      <c r="IZ222" s="36"/>
      <c r="JA222" s="36"/>
      <c r="JB222" s="36"/>
      <c r="JC222" s="36"/>
      <c r="JD222" s="36"/>
      <c r="JE222" s="36"/>
      <c r="JF222" s="36"/>
      <c r="JG222" s="36"/>
      <c r="JH222" s="36"/>
      <c r="JI222" s="36"/>
      <c r="JJ222" s="36"/>
      <c r="JK222" s="36"/>
      <c r="JL222" s="36"/>
      <c r="JM222" s="36"/>
      <c r="JN222" s="36"/>
      <c r="JO222" s="36"/>
      <c r="JP222" s="36"/>
      <c r="JQ222" s="36"/>
      <c r="JR222" s="36"/>
      <c r="JS222" s="36"/>
      <c r="JT222" s="36"/>
      <c r="JU222" s="36"/>
      <c r="JV222" s="36"/>
      <c r="JW222" s="36"/>
      <c r="JX222" s="36"/>
      <c r="JY222" s="36"/>
      <c r="JZ222" s="36"/>
      <c r="KA222" s="36"/>
      <c r="KB222" s="36"/>
      <c r="KC222" s="36"/>
      <c r="KD222" s="36"/>
      <c r="KE222" s="36"/>
      <c r="KF222" s="36"/>
      <c r="KG222" s="36"/>
      <c r="KH222" s="36"/>
      <c r="KI222" s="36"/>
      <c r="KJ222" s="36"/>
      <c r="KK222" s="36"/>
      <c r="KL222" s="36"/>
      <c r="KM222" s="36"/>
      <c r="KN222" s="36"/>
      <c r="KO222" s="36"/>
    </row>
    <row r="223" spans="1:301">
      <c r="A223" s="5754"/>
      <c r="B223" s="5754"/>
      <c r="C223" s="5755" t="s">
        <v>72</v>
      </c>
      <c r="D223" s="5756"/>
      <c r="E223" s="5756">
        <f>SUM(E221,E216)</f>
        <v>15</v>
      </c>
      <c r="F223" s="5756"/>
      <c r="G223" s="5759">
        <f>+(E222)/(E223)</f>
        <v>0.13333333333333333</v>
      </c>
      <c r="Q223" s="4832"/>
      <c r="R223" s="4832"/>
      <c r="S223" s="4832"/>
      <c r="T223" s="4832"/>
      <c r="U223" s="4832"/>
      <c r="V223" s="4832"/>
      <c r="W223" s="4622"/>
      <c r="Z223" s="36"/>
      <c r="AA223" s="36"/>
      <c r="AB223" s="36"/>
      <c r="AC223" s="36" t="s">
        <v>1080</v>
      </c>
      <c r="AD223" s="615">
        <v>0</v>
      </c>
      <c r="AE223" s="615">
        <v>0</v>
      </c>
      <c r="AF223" s="615">
        <v>0</v>
      </c>
      <c r="AG223" s="615">
        <v>0</v>
      </c>
      <c r="AH223" s="615">
        <v>0</v>
      </c>
      <c r="AI223" s="615">
        <v>0</v>
      </c>
      <c r="AJ223" s="615">
        <v>0</v>
      </c>
      <c r="AK223" s="615">
        <v>0</v>
      </c>
      <c r="AL223" s="615">
        <v>0</v>
      </c>
      <c r="AM223" s="615">
        <v>0</v>
      </c>
      <c r="AN223" s="615">
        <v>2</v>
      </c>
      <c r="AO223" s="615">
        <v>106</v>
      </c>
      <c r="AP223" s="615">
        <v>12</v>
      </c>
      <c r="AQ223" s="36">
        <v>29</v>
      </c>
      <c r="AR223" s="36">
        <v>149</v>
      </c>
      <c r="AS223" s="36"/>
      <c r="AU223" s="36"/>
      <c r="AV223" s="36"/>
      <c r="AW223" s="393"/>
      <c r="AX223" s="393" t="s">
        <v>1077</v>
      </c>
      <c r="AY223" s="1682">
        <v>0</v>
      </c>
      <c r="AZ223" s="1682">
        <v>1</v>
      </c>
      <c r="BA223" s="1682">
        <v>0</v>
      </c>
      <c r="BB223" s="1682">
        <v>0</v>
      </c>
      <c r="BC223" s="1682">
        <v>1</v>
      </c>
      <c r="BD223" s="1682">
        <v>1</v>
      </c>
      <c r="BE223" s="1682">
        <v>1</v>
      </c>
      <c r="BF223" s="1682">
        <v>2</v>
      </c>
      <c r="BG223" s="1682">
        <v>0</v>
      </c>
      <c r="BH223" s="1682">
        <v>0</v>
      </c>
      <c r="BI223" s="1682">
        <v>2</v>
      </c>
      <c r="BJ223" s="1682">
        <v>0</v>
      </c>
      <c r="BK223" s="1682">
        <v>0</v>
      </c>
      <c r="BL223" s="1682">
        <v>1</v>
      </c>
      <c r="BM223" s="4455">
        <v>1</v>
      </c>
      <c r="BN223" s="4455">
        <v>0</v>
      </c>
      <c r="BO223" s="4455">
        <v>10</v>
      </c>
      <c r="BP223" s="4455"/>
      <c r="BT223" s="1520"/>
      <c r="BU223" s="1520" t="s">
        <v>1163</v>
      </c>
      <c r="BV223" s="3872">
        <v>0</v>
      </c>
      <c r="BW223" s="3872">
        <v>0</v>
      </c>
      <c r="BX223" s="3872">
        <v>0</v>
      </c>
      <c r="BY223" s="3872">
        <v>0</v>
      </c>
      <c r="BZ223" s="3872">
        <v>0</v>
      </c>
      <c r="CA223" s="3872">
        <v>0</v>
      </c>
      <c r="CB223" s="3872">
        <v>0</v>
      </c>
      <c r="CC223" s="3872">
        <v>0</v>
      </c>
      <c r="CD223" s="3872">
        <v>12</v>
      </c>
      <c r="CE223" s="3872">
        <v>2</v>
      </c>
      <c r="CF223" s="3872">
        <v>4</v>
      </c>
      <c r="CG223" s="3872">
        <v>12</v>
      </c>
      <c r="CH223" s="3872">
        <v>4</v>
      </c>
      <c r="CI223" s="3872">
        <v>0</v>
      </c>
      <c r="CJ223" s="3806">
        <v>0</v>
      </c>
      <c r="CK223" s="3806">
        <v>34</v>
      </c>
      <c r="CL223" s="1520"/>
      <c r="CN223" s="36"/>
      <c r="CO223" s="36"/>
      <c r="CP223" s="393" t="s">
        <v>483</v>
      </c>
      <c r="CQ223" s="393" t="s">
        <v>1072</v>
      </c>
      <c r="CR223" s="2049"/>
      <c r="CS223" s="2049"/>
      <c r="CT223" s="2049"/>
      <c r="CU223" s="2049"/>
      <c r="CV223" s="2049"/>
      <c r="CW223" s="2049">
        <v>0</v>
      </c>
      <c r="CX223" s="2049"/>
      <c r="CY223" s="2049">
        <v>0</v>
      </c>
      <c r="CZ223" s="2049">
        <v>1</v>
      </c>
      <c r="DA223" s="2049">
        <v>4</v>
      </c>
      <c r="DB223" s="2049">
        <v>1</v>
      </c>
      <c r="DC223" s="2049"/>
      <c r="DD223" s="2049">
        <v>0</v>
      </c>
      <c r="DE223" s="2049"/>
      <c r="DF223" s="2049">
        <v>0</v>
      </c>
      <c r="DG223" s="393"/>
      <c r="DH223" s="393"/>
      <c r="DI223" s="393">
        <v>6</v>
      </c>
      <c r="DJ223" s="36"/>
      <c r="EM223" s="1488"/>
      <c r="EN223" s="1487"/>
      <c r="EO223" s="1487"/>
      <c r="EP223" s="1487"/>
      <c r="EQ223" s="1487"/>
      <c r="ER223" s="1487"/>
      <c r="ES223" s="1487"/>
      <c r="ET223" s="1487"/>
      <c r="EU223" s="1487"/>
      <c r="EV223" s="1487"/>
      <c r="EW223" s="1487"/>
      <c r="EX223" s="1487"/>
      <c r="EY223" s="1487"/>
      <c r="EZ223" s="1487"/>
      <c r="FA223" s="1487"/>
      <c r="FB223" s="1487"/>
      <c r="FC223" s="1487"/>
      <c r="FD223" s="1487"/>
      <c r="FE223" s="1487"/>
      <c r="FF223" s="1487"/>
      <c r="HB223" s="36"/>
      <c r="HC223" s="36"/>
      <c r="HD223" s="36"/>
      <c r="HE223" s="36"/>
      <c r="HF223" s="36"/>
      <c r="HG223" s="36"/>
      <c r="HH223" s="36"/>
      <c r="HI223" s="36"/>
      <c r="HJ223" s="36"/>
      <c r="HK223" s="36"/>
      <c r="HL223" s="36"/>
      <c r="HM223" s="36"/>
      <c r="HN223" s="36"/>
      <c r="HO223" s="36"/>
      <c r="HP223" s="36"/>
      <c r="HQ223" s="36"/>
      <c r="HR223" s="36"/>
      <c r="HS223" s="36"/>
      <c r="HT223" s="36"/>
      <c r="HU223" s="36"/>
      <c r="HV223" s="36"/>
      <c r="HW223" s="36"/>
      <c r="HX223" s="36"/>
      <c r="HY223" s="36"/>
      <c r="HZ223" s="36"/>
      <c r="IA223" s="36"/>
      <c r="IB223" s="36"/>
      <c r="IC223" s="36"/>
      <c r="ID223" s="36"/>
      <c r="IE223" s="36"/>
      <c r="IF223" s="36"/>
      <c r="IG223" s="36"/>
      <c r="IH223" s="36"/>
      <c r="II223" s="36"/>
      <c r="IJ223" s="36"/>
      <c r="IK223" s="36"/>
      <c r="IL223" s="36"/>
      <c r="IM223" s="36"/>
      <c r="IN223" s="36"/>
      <c r="IO223" s="36"/>
      <c r="IP223" s="36"/>
      <c r="IQ223" s="36"/>
      <c r="IR223" s="36"/>
      <c r="IS223" s="36"/>
      <c r="IT223" s="36"/>
      <c r="IU223" s="36"/>
      <c r="IV223" s="95"/>
      <c r="IW223" s="95"/>
      <c r="IX223" s="36"/>
      <c r="IY223" s="36"/>
      <c r="IZ223" s="36"/>
      <c r="JA223" s="36"/>
      <c r="JB223" s="36"/>
      <c r="JC223" s="36"/>
      <c r="JD223" s="36"/>
      <c r="JE223" s="36"/>
      <c r="JF223" s="36"/>
      <c r="JG223" s="36"/>
      <c r="JH223" s="36"/>
      <c r="JI223" s="36"/>
      <c r="JJ223" s="36"/>
      <c r="JK223" s="36"/>
      <c r="JL223" s="36"/>
      <c r="JM223" s="36"/>
      <c r="JN223" s="36"/>
      <c r="JO223" s="36"/>
      <c r="JP223" s="36"/>
      <c r="JQ223" s="36"/>
      <c r="JR223" s="36"/>
      <c r="JS223" s="36"/>
      <c r="JT223" s="36"/>
      <c r="JU223" s="36"/>
      <c r="JV223" s="36"/>
      <c r="JW223" s="36"/>
      <c r="JX223" s="36"/>
      <c r="JY223" s="36"/>
      <c r="JZ223" s="36"/>
      <c r="KA223" s="36"/>
      <c r="KB223" s="36"/>
      <c r="KC223" s="36"/>
      <c r="KD223" s="36"/>
      <c r="KE223" s="36"/>
      <c r="KF223" s="36"/>
      <c r="KG223" s="36"/>
      <c r="KH223" s="36"/>
      <c r="KI223" s="36"/>
      <c r="KJ223" s="36"/>
      <c r="KK223" s="36"/>
      <c r="KL223" s="36"/>
      <c r="KM223" s="36"/>
      <c r="KN223" s="36"/>
      <c r="KO223" s="36"/>
    </row>
    <row r="224" spans="1:301" ht="15" thickBot="1">
      <c r="D224" s="5738" t="s">
        <v>2754</v>
      </c>
      <c r="E224" s="5752">
        <f>SUM(E222,E211,E152,E61)</f>
        <v>72</v>
      </c>
      <c r="Q224" s="4832"/>
      <c r="R224" s="4832"/>
      <c r="S224" s="4832"/>
      <c r="T224" s="4832"/>
      <c r="U224" s="4832"/>
      <c r="V224" s="4832"/>
      <c r="W224" s="4622"/>
      <c r="Z224" s="36"/>
      <c r="AA224" s="36"/>
      <c r="AB224" s="36"/>
      <c r="AC224" s="36" t="s">
        <v>1081</v>
      </c>
      <c r="AD224" s="615">
        <v>0</v>
      </c>
      <c r="AE224" s="615">
        <v>0</v>
      </c>
      <c r="AF224" s="615">
        <v>0</v>
      </c>
      <c r="AG224" s="615">
        <v>0</v>
      </c>
      <c r="AH224" s="615">
        <v>0</v>
      </c>
      <c r="AI224" s="615">
        <v>0</v>
      </c>
      <c r="AJ224" s="615">
        <v>0</v>
      </c>
      <c r="AK224" s="615">
        <v>1</v>
      </c>
      <c r="AL224" s="615">
        <v>0</v>
      </c>
      <c r="AM224" s="615">
        <v>3</v>
      </c>
      <c r="AN224" s="615">
        <v>2</v>
      </c>
      <c r="AO224" s="615">
        <v>1</v>
      </c>
      <c r="AP224" s="615">
        <v>0</v>
      </c>
      <c r="AQ224" s="36">
        <v>0</v>
      </c>
      <c r="AR224" s="36">
        <v>7</v>
      </c>
      <c r="AS224" s="36"/>
      <c r="AU224" s="36"/>
      <c r="AV224" s="36"/>
      <c r="AW224" s="393"/>
      <c r="AX224" s="393" t="s">
        <v>1080</v>
      </c>
      <c r="AY224" s="1682">
        <v>0</v>
      </c>
      <c r="AZ224" s="1682">
        <v>0</v>
      </c>
      <c r="BA224" s="1682">
        <v>0</v>
      </c>
      <c r="BB224" s="1682">
        <v>0</v>
      </c>
      <c r="BC224" s="1682">
        <v>0</v>
      </c>
      <c r="BD224" s="1682">
        <v>0</v>
      </c>
      <c r="BE224" s="1682">
        <v>0</v>
      </c>
      <c r="BF224" s="1682">
        <v>0</v>
      </c>
      <c r="BG224" s="1682">
        <v>0</v>
      </c>
      <c r="BH224" s="1682">
        <v>0</v>
      </c>
      <c r="BI224" s="1682">
        <v>1</v>
      </c>
      <c r="BJ224" s="1682">
        <v>1</v>
      </c>
      <c r="BK224" s="1682">
        <v>31</v>
      </c>
      <c r="BL224" s="1682">
        <v>37</v>
      </c>
      <c r="BM224" s="4455">
        <v>19</v>
      </c>
      <c r="BN224" s="4455">
        <v>8</v>
      </c>
      <c r="BO224" s="4455">
        <v>97</v>
      </c>
      <c r="BP224" s="4455"/>
      <c r="BR224" s="3833"/>
      <c r="BS224" s="3833"/>
      <c r="BT224" s="3804"/>
      <c r="BU224" s="3804" t="s">
        <v>112</v>
      </c>
      <c r="BV224" s="3870">
        <v>1</v>
      </c>
      <c r="BW224" s="3870">
        <v>4</v>
      </c>
      <c r="BX224" s="3870">
        <v>0</v>
      </c>
      <c r="BY224" s="3870">
        <v>1</v>
      </c>
      <c r="BZ224" s="3870">
        <v>3</v>
      </c>
      <c r="CA224" s="3870">
        <v>2</v>
      </c>
      <c r="CB224" s="3870">
        <v>4</v>
      </c>
      <c r="CC224" s="3870">
        <v>3</v>
      </c>
      <c r="CD224" s="3870">
        <v>17</v>
      </c>
      <c r="CE224" s="3870">
        <v>11</v>
      </c>
      <c r="CF224" s="3870">
        <v>15</v>
      </c>
      <c r="CG224" s="3870">
        <v>91</v>
      </c>
      <c r="CH224" s="3870">
        <v>116</v>
      </c>
      <c r="CI224" s="3870">
        <v>15</v>
      </c>
      <c r="CJ224" s="3803">
        <v>29</v>
      </c>
      <c r="CK224" s="3803">
        <v>312</v>
      </c>
      <c r="CL224" s="3809" t="e">
        <f>+(#REF!+CK222+CK223)/CK224</f>
        <v>#REF!</v>
      </c>
      <c r="CN224" s="36"/>
      <c r="CO224" s="36"/>
      <c r="CP224" s="393"/>
      <c r="CQ224" s="393" t="s">
        <v>1074</v>
      </c>
      <c r="CR224" s="2049"/>
      <c r="CS224" s="2049"/>
      <c r="CT224" s="2049"/>
      <c r="CU224" s="2049"/>
      <c r="CV224" s="2049"/>
      <c r="CW224" s="2049">
        <v>0</v>
      </c>
      <c r="CX224" s="2049"/>
      <c r="CY224" s="2049">
        <v>1</v>
      </c>
      <c r="CZ224" s="2049">
        <v>0</v>
      </c>
      <c r="DA224" s="2049">
        <v>0</v>
      </c>
      <c r="DB224" s="2049">
        <v>0</v>
      </c>
      <c r="DC224" s="2049"/>
      <c r="DD224" s="2049">
        <v>0</v>
      </c>
      <c r="DE224" s="2049"/>
      <c r="DF224" s="2049">
        <v>0</v>
      </c>
      <c r="DG224" s="393"/>
      <c r="DH224" s="393"/>
      <c r="DI224" s="393">
        <v>1</v>
      </c>
      <c r="DJ224" s="36"/>
      <c r="EN224" s="1487"/>
      <c r="EO224" s="1487"/>
      <c r="EP224" s="1487"/>
      <c r="EQ224" s="1487"/>
      <c r="ER224" s="1487"/>
      <c r="ES224" s="1487"/>
      <c r="ET224" s="1487"/>
      <c r="EU224" s="1487"/>
      <c r="EV224" s="1487"/>
      <c r="EW224" s="1487"/>
      <c r="EX224" s="1487"/>
      <c r="EY224" s="1487"/>
      <c r="EZ224" s="1487"/>
      <c r="FA224" s="1487"/>
      <c r="FB224" s="1487"/>
      <c r="FC224" s="1487"/>
      <c r="FD224" s="1487"/>
      <c r="FE224" s="1487"/>
      <c r="FF224" s="1487"/>
      <c r="HB224" s="36"/>
      <c r="HC224" s="36"/>
      <c r="HD224" s="36"/>
      <c r="HE224" s="36"/>
      <c r="HF224" s="36"/>
      <c r="HG224" s="36"/>
      <c r="HH224" s="36"/>
      <c r="HI224" s="36"/>
      <c r="HJ224" s="36"/>
      <c r="HK224" s="36"/>
      <c r="HL224" s="36"/>
      <c r="HM224" s="36"/>
      <c r="HN224" s="36"/>
      <c r="HO224" s="36"/>
      <c r="HP224" s="36"/>
      <c r="HQ224" s="36"/>
      <c r="HR224" s="36"/>
      <c r="HS224" s="36"/>
      <c r="HT224" s="36"/>
      <c r="HU224" s="36"/>
      <c r="HV224" s="36"/>
      <c r="HW224" s="36"/>
      <c r="HX224" s="36"/>
      <c r="HY224" s="36"/>
      <c r="HZ224" s="36"/>
      <c r="IA224" s="36"/>
      <c r="IB224" s="36"/>
      <c r="IC224" s="36"/>
      <c r="ID224" s="36"/>
      <c r="IE224" s="36"/>
      <c r="IF224" s="36"/>
      <c r="IG224" s="36"/>
      <c r="IH224" s="36"/>
      <c r="II224" s="36"/>
      <c r="IJ224" s="36"/>
      <c r="IK224" s="36"/>
      <c r="IL224" s="36"/>
      <c r="IM224" s="36"/>
      <c r="IN224" s="36"/>
      <c r="IO224" s="36"/>
      <c r="IP224" s="36"/>
      <c r="IQ224" s="36"/>
      <c r="IR224" s="36"/>
      <c r="IS224" s="36"/>
      <c r="IT224" s="36"/>
      <c r="IU224" s="36"/>
      <c r="IV224" s="95"/>
      <c r="IW224" s="95"/>
      <c r="IX224" s="36"/>
      <c r="IY224" s="36"/>
      <c r="IZ224" s="36"/>
      <c r="JA224" s="36"/>
      <c r="JB224" s="36"/>
      <c r="JC224" s="36"/>
      <c r="JD224" s="36"/>
      <c r="JE224" s="36"/>
      <c r="JF224" s="36"/>
      <c r="JG224" s="36"/>
      <c r="JH224" s="36"/>
      <c r="JI224" s="36"/>
      <c r="JJ224" s="36"/>
      <c r="JK224" s="36"/>
      <c r="JL224" s="36"/>
      <c r="JM224" s="36"/>
      <c r="JN224" s="36"/>
      <c r="JO224" s="36"/>
      <c r="JP224" s="36"/>
      <c r="JQ224" s="36"/>
      <c r="JR224" s="36"/>
      <c r="JS224" s="36"/>
      <c r="JT224" s="36"/>
      <c r="JU224" s="36"/>
      <c r="JV224" s="36"/>
      <c r="JW224" s="36"/>
      <c r="JX224" s="36"/>
      <c r="JY224" s="36"/>
      <c r="JZ224" s="36"/>
      <c r="KA224" s="36"/>
      <c r="KB224" s="36"/>
      <c r="KC224" s="36"/>
      <c r="KD224" s="36"/>
      <c r="KE224" s="36"/>
      <c r="KF224" s="36"/>
      <c r="KG224" s="36"/>
      <c r="KH224" s="36"/>
      <c r="KI224" s="36"/>
      <c r="KJ224" s="36"/>
      <c r="KK224" s="36"/>
      <c r="KL224" s="36"/>
      <c r="KM224" s="36"/>
      <c r="KN224" s="36"/>
      <c r="KO224" s="36"/>
    </row>
    <row r="225" spans="1:301">
      <c r="A225" s="5654"/>
      <c r="B225" s="5654"/>
      <c r="C225" s="5728" t="s">
        <v>75</v>
      </c>
      <c r="D225" s="5654"/>
      <c r="E225" s="5760">
        <f>SUM(E223,E212,E153,E62)</f>
        <v>318</v>
      </c>
      <c r="F225" s="5654"/>
      <c r="G225" s="5761">
        <f>+(E224)/(E225)</f>
        <v>0.22641509433962265</v>
      </c>
      <c r="Q225" s="4832"/>
      <c r="R225" s="4832"/>
      <c r="S225" s="4832"/>
      <c r="T225" s="4832"/>
      <c r="U225" s="4832"/>
      <c r="V225" s="4832"/>
      <c r="W225" s="4622"/>
      <c r="Z225" s="36"/>
      <c r="AA225" s="36"/>
      <c r="AB225" s="36"/>
      <c r="AC225" s="36" t="s">
        <v>2571</v>
      </c>
      <c r="AD225" s="615">
        <v>22</v>
      </c>
      <c r="AE225" s="615">
        <v>0</v>
      </c>
      <c r="AF225" s="615">
        <v>0</v>
      </c>
      <c r="AG225" s="615">
        <v>0</v>
      </c>
      <c r="AH225" s="615">
        <v>0</v>
      </c>
      <c r="AI225" s="615">
        <v>0</v>
      </c>
      <c r="AJ225" s="615">
        <v>0</v>
      </c>
      <c r="AK225" s="615">
        <v>0</v>
      </c>
      <c r="AL225" s="615">
        <v>0</v>
      </c>
      <c r="AM225" s="615">
        <v>0</v>
      </c>
      <c r="AN225" s="615">
        <v>0</v>
      </c>
      <c r="AO225" s="615">
        <v>0</v>
      </c>
      <c r="AP225" s="615">
        <v>0</v>
      </c>
      <c r="AQ225" s="36">
        <v>0</v>
      </c>
      <c r="AR225" s="36">
        <v>22</v>
      </c>
      <c r="AS225" s="36"/>
      <c r="AU225" s="36"/>
      <c r="AV225" s="36"/>
      <c r="AW225" s="393"/>
      <c r="AX225" s="393" t="s">
        <v>1081</v>
      </c>
      <c r="AY225" s="1682">
        <v>0</v>
      </c>
      <c r="AZ225" s="1682">
        <v>0</v>
      </c>
      <c r="BA225" s="1682">
        <v>0</v>
      </c>
      <c r="BB225" s="1682">
        <v>0</v>
      </c>
      <c r="BC225" s="1682">
        <v>0</v>
      </c>
      <c r="BD225" s="1682">
        <v>0</v>
      </c>
      <c r="BE225" s="1682">
        <v>0</v>
      </c>
      <c r="BF225" s="1682">
        <v>0</v>
      </c>
      <c r="BG225" s="1682">
        <v>0</v>
      </c>
      <c r="BH225" s="1682">
        <v>2</v>
      </c>
      <c r="BI225" s="1682">
        <v>1</v>
      </c>
      <c r="BJ225" s="1682">
        <v>11</v>
      </c>
      <c r="BK225" s="1682">
        <v>6</v>
      </c>
      <c r="BL225" s="1682">
        <v>1</v>
      </c>
      <c r="BM225" s="4455">
        <v>1</v>
      </c>
      <c r="BN225" s="4455">
        <v>0</v>
      </c>
      <c r="BO225" s="4455">
        <v>22</v>
      </c>
      <c r="BP225" s="4455"/>
      <c r="CN225" s="36"/>
      <c r="CO225" s="36"/>
      <c r="CP225" s="393"/>
      <c r="CQ225" s="393" t="s">
        <v>1077</v>
      </c>
      <c r="CR225" s="2049"/>
      <c r="CS225" s="2049"/>
      <c r="CT225" s="2049"/>
      <c r="CU225" s="2049"/>
      <c r="CV225" s="2049"/>
      <c r="CW225" s="2049">
        <v>1</v>
      </c>
      <c r="CX225" s="2049"/>
      <c r="CY225" s="2049">
        <v>0</v>
      </c>
      <c r="CZ225" s="2049">
        <v>0</v>
      </c>
      <c r="DA225" s="2049">
        <v>0</v>
      </c>
      <c r="DB225" s="2049">
        <v>1</v>
      </c>
      <c r="DC225" s="2049"/>
      <c r="DD225" s="2049">
        <v>0</v>
      </c>
      <c r="DE225" s="2049"/>
      <c r="DF225" s="2049">
        <v>0</v>
      </c>
      <c r="DG225" s="393"/>
      <c r="DH225" s="393"/>
      <c r="DI225" s="393">
        <v>2</v>
      </c>
      <c r="DJ225" s="36"/>
      <c r="EN225" s="1487"/>
      <c r="EO225" s="1487"/>
      <c r="EP225" s="1487"/>
      <c r="EQ225" s="1487"/>
      <c r="ER225" s="1487"/>
      <c r="ES225" s="1487"/>
      <c r="ET225" s="1487"/>
      <c r="EU225" s="1487"/>
      <c r="EV225" s="1487"/>
      <c r="EW225" s="1487"/>
      <c r="EX225" s="1487"/>
      <c r="EY225" s="1487"/>
      <c r="EZ225" s="1487"/>
      <c r="FA225" s="1487"/>
      <c r="FB225" s="1487"/>
      <c r="FC225" s="1487"/>
      <c r="FD225" s="1487"/>
      <c r="FE225" s="1487"/>
      <c r="FF225" s="1487"/>
      <c r="HB225" s="36"/>
      <c r="HC225" s="36"/>
      <c r="HD225" s="36"/>
      <c r="HE225" s="36"/>
      <c r="HF225" s="36"/>
      <c r="HG225" s="36"/>
      <c r="HH225" s="36"/>
      <c r="HI225" s="36"/>
      <c r="HJ225" s="36"/>
      <c r="HK225" s="36"/>
      <c r="HL225" s="36"/>
      <c r="HM225" s="36"/>
      <c r="HN225" s="36"/>
      <c r="HO225" s="36"/>
      <c r="HP225" s="36"/>
      <c r="HQ225" s="36"/>
      <c r="HR225" s="36"/>
      <c r="HS225" s="36"/>
      <c r="HT225" s="36"/>
      <c r="HU225" s="36"/>
      <c r="HV225" s="36"/>
      <c r="HW225" s="36"/>
      <c r="HX225" s="36"/>
      <c r="HY225" s="36"/>
      <c r="HZ225" s="36"/>
      <c r="IA225" s="36"/>
      <c r="IB225" s="36"/>
      <c r="IC225" s="36"/>
      <c r="ID225" s="36"/>
      <c r="IE225" s="36"/>
      <c r="IF225" s="36"/>
      <c r="IG225" s="36"/>
      <c r="IH225" s="36"/>
      <c r="II225" s="36"/>
      <c r="IJ225" s="36"/>
      <c r="IK225" s="36"/>
      <c r="IL225" s="36"/>
      <c r="IM225" s="36"/>
      <c r="IN225" s="36"/>
      <c r="IO225" s="36"/>
      <c r="IP225" s="36"/>
      <c r="IQ225" s="36"/>
      <c r="IR225" s="36"/>
      <c r="IS225" s="36"/>
      <c r="IT225" s="36"/>
      <c r="IU225" s="36"/>
      <c r="IV225" s="95"/>
      <c r="IW225" s="95"/>
      <c r="IX225" s="36"/>
      <c r="IY225" s="36"/>
      <c r="IZ225" s="36"/>
      <c r="JA225" s="36"/>
      <c r="JB225" s="36"/>
      <c r="JC225" s="36"/>
      <c r="JD225" s="36"/>
      <c r="JE225" s="36"/>
      <c r="JF225" s="36"/>
      <c r="JG225" s="36"/>
      <c r="JH225" s="36"/>
      <c r="JI225" s="36"/>
      <c r="JJ225" s="36"/>
      <c r="JK225" s="36"/>
      <c r="JL225" s="36"/>
      <c r="JM225" s="36"/>
      <c r="JN225" s="36"/>
      <c r="JO225" s="36"/>
      <c r="JP225" s="36"/>
      <c r="JQ225" s="36"/>
      <c r="JR225" s="36"/>
      <c r="JS225" s="36"/>
      <c r="JT225" s="36"/>
      <c r="JU225" s="36"/>
      <c r="JV225" s="36"/>
      <c r="JW225" s="36"/>
      <c r="JX225" s="36"/>
      <c r="JY225" s="36"/>
      <c r="JZ225" s="36"/>
      <c r="KA225" s="36"/>
      <c r="KB225" s="36"/>
      <c r="KC225" s="36"/>
      <c r="KD225" s="36"/>
      <c r="KE225" s="36"/>
      <c r="KF225" s="36"/>
      <c r="KG225" s="36"/>
      <c r="KH225" s="36"/>
      <c r="KI225" s="36"/>
      <c r="KJ225" s="36"/>
      <c r="KK225" s="36"/>
      <c r="KL225" s="36"/>
      <c r="KM225" s="36"/>
      <c r="KN225" s="36"/>
      <c r="KO225" s="36"/>
    </row>
    <row r="226" spans="1:301">
      <c r="Q226" s="4832"/>
      <c r="R226" s="4832"/>
      <c r="S226" s="4832"/>
      <c r="T226" s="4832"/>
      <c r="U226" s="4832"/>
      <c r="V226" s="4832"/>
      <c r="W226" s="4622"/>
      <c r="Z226" s="36"/>
      <c r="AA226" s="36"/>
      <c r="AB226" s="36"/>
      <c r="AC226" s="36" t="s">
        <v>1163</v>
      </c>
      <c r="AD226" s="615">
        <v>0</v>
      </c>
      <c r="AE226" s="615">
        <v>0</v>
      </c>
      <c r="AF226" s="615">
        <v>0</v>
      </c>
      <c r="AG226" s="615">
        <v>0</v>
      </c>
      <c r="AH226" s="615">
        <v>0</v>
      </c>
      <c r="AI226" s="615">
        <v>1</v>
      </c>
      <c r="AJ226" s="615">
        <v>0</v>
      </c>
      <c r="AK226" s="615">
        <v>1</v>
      </c>
      <c r="AL226" s="615">
        <v>3</v>
      </c>
      <c r="AM226" s="615">
        <v>1</v>
      </c>
      <c r="AN226" s="615">
        <v>2</v>
      </c>
      <c r="AO226" s="615">
        <v>0</v>
      </c>
      <c r="AP226" s="615">
        <v>0</v>
      </c>
      <c r="AQ226" s="36">
        <v>0</v>
      </c>
      <c r="AR226" s="36">
        <v>8</v>
      </c>
      <c r="AS226" s="36"/>
      <c r="AU226" s="36"/>
      <c r="AV226" s="36"/>
      <c r="AW226" s="393"/>
      <c r="AX226" s="393" t="s">
        <v>1163</v>
      </c>
      <c r="AY226" s="1682">
        <v>0</v>
      </c>
      <c r="AZ226" s="1682">
        <v>0</v>
      </c>
      <c r="BA226" s="1682">
        <v>0</v>
      </c>
      <c r="BB226" s="1682">
        <v>0</v>
      </c>
      <c r="BC226" s="1682">
        <v>0</v>
      </c>
      <c r="BD226" s="1682">
        <v>0</v>
      </c>
      <c r="BE226" s="1682">
        <v>0</v>
      </c>
      <c r="BF226" s="1682">
        <v>0</v>
      </c>
      <c r="BG226" s="1682">
        <v>12</v>
      </c>
      <c r="BH226" s="1682">
        <v>3</v>
      </c>
      <c r="BI226" s="1682">
        <v>4</v>
      </c>
      <c r="BJ226" s="1682">
        <v>21</v>
      </c>
      <c r="BK226" s="1682">
        <v>6</v>
      </c>
      <c r="BL226" s="1682">
        <v>3</v>
      </c>
      <c r="BM226" s="4455">
        <v>1</v>
      </c>
      <c r="BN226" s="4455">
        <v>0</v>
      </c>
      <c r="BO226" s="4455">
        <v>50</v>
      </c>
      <c r="BP226" s="4455"/>
      <c r="CN226" s="36"/>
      <c r="CO226" s="36"/>
      <c r="CP226" s="393"/>
      <c r="CQ226" s="393" t="s">
        <v>1080</v>
      </c>
      <c r="CR226" s="2049"/>
      <c r="CS226" s="2049"/>
      <c r="CT226" s="2049"/>
      <c r="CU226" s="2049"/>
      <c r="CV226" s="2049"/>
      <c r="CW226" s="2049">
        <v>0</v>
      </c>
      <c r="CX226" s="2049"/>
      <c r="CY226" s="2049">
        <v>0</v>
      </c>
      <c r="CZ226" s="2049">
        <v>0</v>
      </c>
      <c r="DA226" s="2049">
        <v>0</v>
      </c>
      <c r="DB226" s="2049">
        <v>0</v>
      </c>
      <c r="DC226" s="2049"/>
      <c r="DD226" s="2049">
        <v>2</v>
      </c>
      <c r="DE226" s="2049"/>
      <c r="DF226" s="2049">
        <v>1</v>
      </c>
      <c r="DG226" s="393"/>
      <c r="DH226" s="393"/>
      <c r="DI226" s="393">
        <v>3</v>
      </c>
      <c r="DJ226" s="36"/>
      <c r="EN226" s="1487"/>
      <c r="EO226" s="1487"/>
      <c r="EP226" s="1487"/>
      <c r="EQ226" s="1487"/>
      <c r="ER226" s="1487"/>
      <c r="ES226" s="1487"/>
      <c r="ET226" s="1487"/>
      <c r="EU226" s="1487"/>
      <c r="EV226" s="1487"/>
      <c r="EW226" s="1487"/>
      <c r="EX226" s="1487"/>
      <c r="EY226" s="1487"/>
      <c r="EZ226" s="1487"/>
      <c r="FA226" s="1487"/>
      <c r="FB226" s="1487"/>
      <c r="FC226" s="1487"/>
      <c r="FD226" s="1487"/>
      <c r="FE226" s="1487"/>
      <c r="FF226" s="1487"/>
      <c r="HB226" s="36"/>
      <c r="HC226" s="36"/>
      <c r="HD226" s="36"/>
      <c r="HE226" s="36"/>
      <c r="HF226" s="36"/>
      <c r="HG226" s="36"/>
      <c r="HH226" s="36"/>
      <c r="HI226" s="36"/>
      <c r="HJ226" s="36"/>
      <c r="HK226" s="36"/>
      <c r="HL226" s="36"/>
      <c r="HM226" s="36"/>
      <c r="HN226" s="36"/>
      <c r="HO226" s="36"/>
      <c r="HP226" s="36"/>
      <c r="HQ226" s="36"/>
      <c r="HR226" s="36"/>
      <c r="HS226" s="36"/>
      <c r="HT226" s="36"/>
      <c r="HU226" s="36"/>
      <c r="HV226" s="36"/>
      <c r="HW226" s="36"/>
      <c r="HX226" s="36"/>
      <c r="HY226" s="36"/>
      <c r="HZ226" s="36"/>
      <c r="IA226" s="36"/>
      <c r="IB226" s="36"/>
      <c r="IC226" s="36"/>
      <c r="ID226" s="36"/>
      <c r="IE226" s="36"/>
      <c r="IF226" s="36"/>
      <c r="IG226" s="36"/>
      <c r="IH226" s="36"/>
      <c r="II226" s="36"/>
      <c r="IJ226" s="36"/>
      <c r="IK226" s="36"/>
      <c r="IL226" s="36"/>
      <c r="IM226" s="36"/>
      <c r="IN226" s="36"/>
      <c r="IO226" s="36"/>
      <c r="IP226" s="36"/>
      <c r="IQ226" s="36"/>
      <c r="IR226" s="36"/>
      <c r="IS226" s="36"/>
      <c r="IT226" s="36"/>
      <c r="IU226" s="36"/>
      <c r="IV226" s="95"/>
      <c r="IW226" s="95"/>
      <c r="IX226" s="36"/>
      <c r="IY226" s="36"/>
      <c r="IZ226" s="36"/>
      <c r="JA226" s="36"/>
      <c r="JB226" s="36"/>
      <c r="JC226" s="36"/>
      <c r="JD226" s="36"/>
      <c r="JE226" s="36"/>
      <c r="JF226" s="36"/>
      <c r="JG226" s="36"/>
      <c r="JH226" s="36"/>
      <c r="JI226" s="36"/>
      <c r="JJ226" s="36"/>
      <c r="JK226" s="36"/>
      <c r="JL226" s="36"/>
      <c r="JM226" s="36"/>
      <c r="JN226" s="36"/>
      <c r="JO226" s="36"/>
      <c r="JP226" s="36"/>
      <c r="JQ226" s="36"/>
      <c r="JR226" s="36"/>
      <c r="JS226" s="36"/>
      <c r="JT226" s="36"/>
      <c r="JU226" s="36"/>
      <c r="JV226" s="36"/>
      <c r="JW226" s="36"/>
      <c r="JX226" s="36"/>
      <c r="JY226" s="36"/>
      <c r="JZ226" s="36"/>
      <c r="KA226" s="36"/>
      <c r="KB226" s="36"/>
      <c r="KC226" s="36"/>
      <c r="KD226" s="36"/>
      <c r="KE226" s="36"/>
      <c r="KF226" s="36"/>
      <c r="KG226" s="36"/>
      <c r="KH226" s="36"/>
      <c r="KI226" s="36"/>
      <c r="KJ226" s="36"/>
      <c r="KK226" s="36"/>
      <c r="KL226" s="36"/>
      <c r="KM226" s="36"/>
      <c r="KN226" s="36"/>
      <c r="KO226" s="36"/>
    </row>
    <row r="227" spans="1:301">
      <c r="Q227" s="4832"/>
      <c r="R227" s="4832"/>
      <c r="S227" s="4832"/>
      <c r="T227" s="4832"/>
      <c r="U227" s="4832"/>
      <c r="V227" s="4832"/>
      <c r="W227" s="4622"/>
      <c r="Z227" s="4547"/>
      <c r="AA227" s="4547"/>
      <c r="AB227" s="4547"/>
      <c r="AC227" s="4548" t="s">
        <v>15</v>
      </c>
      <c r="AD227" s="4548">
        <v>22</v>
      </c>
      <c r="AE227" s="4548">
        <v>5</v>
      </c>
      <c r="AF227" s="4548">
        <v>1</v>
      </c>
      <c r="AG227" s="4548">
        <v>5</v>
      </c>
      <c r="AH227" s="4548">
        <v>3</v>
      </c>
      <c r="AI227" s="4548">
        <v>3</v>
      </c>
      <c r="AJ227" s="4548">
        <v>5</v>
      </c>
      <c r="AK227" s="4548">
        <v>11</v>
      </c>
      <c r="AL227" s="4548">
        <v>13</v>
      </c>
      <c r="AM227" s="4548">
        <v>10</v>
      </c>
      <c r="AN227" s="4548">
        <v>64</v>
      </c>
      <c r="AO227" s="4548">
        <v>120</v>
      </c>
      <c r="AP227" s="4548">
        <v>18</v>
      </c>
      <c r="AQ227" s="4548">
        <v>29</v>
      </c>
      <c r="AR227" s="4548">
        <v>309</v>
      </c>
      <c r="AS227" s="4549">
        <f>(AR221+AR224+AR226)/(AR227-AR225)</f>
        <v>0.10801393728222997</v>
      </c>
      <c r="AU227" s="36"/>
      <c r="AV227" s="36"/>
      <c r="AW227" s="393"/>
      <c r="AX227" s="36" t="s">
        <v>15</v>
      </c>
      <c r="AY227" s="1682">
        <v>1</v>
      </c>
      <c r="AZ227" s="1682">
        <v>4</v>
      </c>
      <c r="BA227" s="1682">
        <v>0</v>
      </c>
      <c r="BB227" s="1682">
        <v>1</v>
      </c>
      <c r="BC227" s="1682">
        <v>3</v>
      </c>
      <c r="BD227" s="1682">
        <v>2</v>
      </c>
      <c r="BE227" s="1682">
        <v>4</v>
      </c>
      <c r="BF227" s="1682">
        <v>3</v>
      </c>
      <c r="BG227" s="1682">
        <v>17</v>
      </c>
      <c r="BH227" s="1682">
        <v>10</v>
      </c>
      <c r="BI227" s="1682">
        <v>15</v>
      </c>
      <c r="BJ227" s="1682">
        <v>90</v>
      </c>
      <c r="BK227" s="1682">
        <v>82</v>
      </c>
      <c r="BL227" s="1682">
        <v>48</v>
      </c>
      <c r="BM227" s="4455">
        <v>24</v>
      </c>
      <c r="BN227" s="4455">
        <v>8</v>
      </c>
      <c r="BO227" s="4455">
        <v>312</v>
      </c>
      <c r="BP227" s="560">
        <f>+(BO222+BO225+BO226)/(BO227)</f>
        <v>0.34615384615384615</v>
      </c>
      <c r="CN227" s="36"/>
      <c r="CO227" s="36"/>
      <c r="CP227" s="393"/>
      <c r="CQ227" s="393" t="s">
        <v>1081</v>
      </c>
      <c r="CR227" s="2049"/>
      <c r="CS227" s="2049"/>
      <c r="CT227" s="2049"/>
      <c r="CU227" s="2049"/>
      <c r="CV227" s="2049"/>
      <c r="CW227" s="2049">
        <v>0</v>
      </c>
      <c r="CX227" s="2049"/>
      <c r="CY227" s="2049">
        <v>0</v>
      </c>
      <c r="CZ227" s="2049">
        <v>0</v>
      </c>
      <c r="DA227" s="2049">
        <v>2</v>
      </c>
      <c r="DB227" s="2049">
        <v>0</v>
      </c>
      <c r="DC227" s="2049"/>
      <c r="DD227" s="2049">
        <v>0</v>
      </c>
      <c r="DE227" s="2049"/>
      <c r="DF227" s="2049">
        <v>0</v>
      </c>
      <c r="DG227" s="393"/>
      <c r="DH227" s="393"/>
      <c r="DI227" s="393">
        <v>2</v>
      </c>
      <c r="DJ227" s="36"/>
      <c r="EN227" s="1487"/>
      <c r="EO227" s="1487"/>
      <c r="EP227" s="1487"/>
      <c r="EQ227" s="1487"/>
      <c r="ER227" s="1487"/>
      <c r="ES227" s="1487"/>
      <c r="ET227" s="1487"/>
      <c r="EU227" s="1487"/>
      <c r="EV227" s="1487"/>
      <c r="EW227" s="1487"/>
      <c r="EX227" s="1487"/>
      <c r="EY227" s="1487"/>
      <c r="EZ227" s="1487"/>
      <c r="FA227" s="1487"/>
      <c r="FB227" s="1487"/>
      <c r="FC227" s="1487"/>
      <c r="FD227" s="1487"/>
      <c r="FE227" s="1487"/>
      <c r="FF227" s="1487"/>
      <c r="HB227" s="36"/>
      <c r="HC227" s="36"/>
      <c r="HD227" s="36"/>
      <c r="HE227" s="36"/>
      <c r="HF227" s="36"/>
      <c r="HG227" s="36"/>
      <c r="HH227" s="36"/>
      <c r="HI227" s="36"/>
      <c r="HJ227" s="36"/>
      <c r="HK227" s="36"/>
      <c r="HL227" s="36"/>
      <c r="HM227" s="36"/>
      <c r="HN227" s="36"/>
      <c r="HO227" s="36"/>
      <c r="HP227" s="36"/>
      <c r="HQ227" s="36"/>
      <c r="HR227" s="36"/>
      <c r="HS227" s="36"/>
      <c r="HT227" s="36"/>
      <c r="HU227" s="36"/>
      <c r="HV227" s="36"/>
      <c r="HW227" s="36"/>
      <c r="HX227" s="36"/>
      <c r="HY227" s="36"/>
      <c r="HZ227" s="36"/>
      <c r="IA227" s="36"/>
      <c r="IB227" s="36"/>
      <c r="IC227" s="36"/>
      <c r="ID227" s="36"/>
      <c r="IE227" s="36"/>
      <c r="IF227" s="36"/>
      <c r="IG227" s="36"/>
      <c r="IH227" s="36"/>
      <c r="II227" s="36"/>
      <c r="IJ227" s="36"/>
      <c r="IK227" s="36"/>
      <c r="IL227" s="36"/>
      <c r="IM227" s="36"/>
      <c r="IN227" s="36"/>
      <c r="IO227" s="36"/>
      <c r="IP227" s="36"/>
      <c r="IQ227" s="36"/>
      <c r="IR227" s="36"/>
      <c r="IS227" s="36"/>
      <c r="IT227" s="36"/>
      <c r="IU227" s="36"/>
      <c r="IV227" s="95"/>
      <c r="IW227" s="95"/>
      <c r="IX227" s="36"/>
      <c r="IY227" s="36"/>
      <c r="IZ227" s="36"/>
      <c r="JA227" s="36"/>
      <c r="JB227" s="36"/>
      <c r="JC227" s="36"/>
      <c r="JD227" s="36"/>
      <c r="JE227" s="36"/>
      <c r="JF227" s="36"/>
      <c r="JG227" s="36"/>
      <c r="JH227" s="36"/>
      <c r="JI227" s="36"/>
      <c r="JJ227" s="36"/>
      <c r="JK227" s="36"/>
      <c r="JL227" s="36"/>
      <c r="JM227" s="36"/>
      <c r="JN227" s="36"/>
      <c r="JO227" s="36"/>
      <c r="JP227" s="36"/>
      <c r="JQ227" s="36"/>
      <c r="JR227" s="36"/>
      <c r="JS227" s="36"/>
      <c r="JT227" s="36"/>
      <c r="JU227" s="36"/>
      <c r="JV227" s="36"/>
      <c r="JW227" s="36"/>
      <c r="JX227" s="36"/>
      <c r="JY227" s="36"/>
      <c r="JZ227" s="36"/>
      <c r="KA227" s="36"/>
      <c r="KB227" s="36"/>
      <c r="KC227" s="36"/>
      <c r="KD227" s="36"/>
      <c r="KE227" s="36"/>
      <c r="KF227" s="36"/>
      <c r="KG227" s="36"/>
      <c r="KH227" s="36"/>
      <c r="KI227" s="36"/>
      <c r="KJ227" s="36"/>
      <c r="KK227" s="36"/>
      <c r="KL227" s="36"/>
      <c r="KM227" s="36"/>
      <c r="KN227" s="36"/>
      <c r="KO227" s="36"/>
    </row>
    <row r="228" spans="1:301">
      <c r="F228" s="6396"/>
      <c r="G228" s="6397" t="s">
        <v>3274</v>
      </c>
      <c r="Q228" s="4832"/>
      <c r="R228" s="4832"/>
      <c r="S228" s="4832"/>
      <c r="T228" s="4832"/>
      <c r="U228" s="4832"/>
      <c r="V228" s="4832"/>
      <c r="W228" s="4622"/>
      <c r="Z228" s="36"/>
      <c r="AA228" s="36"/>
      <c r="AB228" s="36"/>
      <c r="AC228" s="36"/>
      <c r="AD228" s="36"/>
      <c r="AE228" s="36"/>
      <c r="AF228" s="36"/>
      <c r="AG228" s="36"/>
      <c r="AH228" s="36"/>
      <c r="AI228" s="36"/>
      <c r="AJ228" s="36"/>
      <c r="AK228" s="36"/>
      <c r="AL228" s="36"/>
      <c r="AM228" s="36"/>
      <c r="AN228" s="36"/>
      <c r="AO228" s="36"/>
      <c r="AP228" s="36"/>
      <c r="AQ228" s="36"/>
      <c r="AR228" s="36"/>
      <c r="AS228" s="36"/>
      <c r="CN228" s="36"/>
      <c r="CO228" s="36"/>
      <c r="CP228" s="393"/>
      <c r="CQ228" s="393" t="s">
        <v>1163</v>
      </c>
      <c r="CR228" s="2049"/>
      <c r="CS228" s="2049"/>
      <c r="CT228" s="2049"/>
      <c r="CU228" s="2049"/>
      <c r="CV228" s="2049"/>
      <c r="CW228" s="2049">
        <v>0</v>
      </c>
      <c r="CX228" s="2049"/>
      <c r="CY228" s="2049">
        <v>0</v>
      </c>
      <c r="CZ228" s="2049">
        <v>0</v>
      </c>
      <c r="DA228" s="2049">
        <v>0</v>
      </c>
      <c r="DB228" s="2049">
        <v>3</v>
      </c>
      <c r="DC228" s="2049"/>
      <c r="DD228" s="2049">
        <v>0</v>
      </c>
      <c r="DE228" s="2049"/>
      <c r="DF228" s="2049">
        <v>0</v>
      </c>
      <c r="DG228" s="393"/>
      <c r="DH228" s="393"/>
      <c r="DI228" s="393">
        <v>3</v>
      </c>
      <c r="DJ228" s="36"/>
      <c r="EM228" s="1488"/>
      <c r="EN228" s="1487"/>
      <c r="EO228" s="1487"/>
      <c r="EP228" s="1487"/>
      <c r="EQ228" s="1487"/>
      <c r="ER228" s="1487"/>
      <c r="ES228" s="1487"/>
      <c r="ET228" s="1487"/>
      <c r="EU228" s="1487"/>
      <c r="EV228" s="1487"/>
      <c r="EW228" s="1487"/>
      <c r="EX228" s="1487"/>
      <c r="EY228" s="1487"/>
      <c r="EZ228" s="1487"/>
      <c r="FA228" s="1487"/>
      <c r="FB228" s="1487"/>
      <c r="FC228" s="1487"/>
      <c r="FD228" s="1487"/>
      <c r="FE228" s="1487"/>
      <c r="FF228" s="1487"/>
      <c r="HB228" s="36"/>
      <c r="HC228" s="36"/>
      <c r="HD228" s="36"/>
      <c r="HE228" s="36"/>
      <c r="HF228" s="36"/>
      <c r="HG228" s="36"/>
      <c r="HH228" s="36"/>
      <c r="HI228" s="36"/>
      <c r="HJ228" s="36"/>
      <c r="HK228" s="36"/>
      <c r="HL228" s="36"/>
      <c r="HM228" s="36"/>
      <c r="HN228" s="36"/>
      <c r="HO228" s="36"/>
      <c r="HP228" s="36"/>
      <c r="HQ228" s="36"/>
      <c r="HR228" s="36"/>
      <c r="HS228" s="36"/>
      <c r="HT228" s="36"/>
      <c r="HU228" s="36"/>
      <c r="HV228" s="36"/>
      <c r="HW228" s="36"/>
      <c r="HX228" s="36"/>
      <c r="HY228" s="36"/>
      <c r="HZ228" s="36"/>
      <c r="IA228" s="36"/>
      <c r="IB228" s="36"/>
      <c r="IC228" s="36"/>
      <c r="ID228" s="36"/>
      <c r="IE228" s="36"/>
      <c r="IF228" s="36"/>
      <c r="IG228" s="36"/>
      <c r="IH228" s="36"/>
      <c r="II228" s="36"/>
      <c r="IJ228" s="36"/>
      <c r="IK228" s="36"/>
      <c r="IL228" s="36"/>
      <c r="IM228" s="36"/>
      <c r="IN228" s="36"/>
      <c r="IO228" s="36"/>
      <c r="IP228" s="36"/>
      <c r="IQ228" s="36"/>
      <c r="IR228" s="36"/>
      <c r="IS228" s="36"/>
      <c r="IT228" s="36"/>
      <c r="IU228" s="36"/>
      <c r="IV228" s="95"/>
      <c r="IW228" s="95"/>
      <c r="IX228" s="36"/>
      <c r="IY228" s="36"/>
      <c r="IZ228" s="36"/>
      <c r="JA228" s="36"/>
      <c r="JB228" s="36"/>
      <c r="JC228" s="36"/>
      <c r="JD228" s="36"/>
      <c r="JE228" s="36"/>
      <c r="JF228" s="36"/>
      <c r="JG228" s="36"/>
      <c r="JH228" s="36"/>
      <c r="JI228" s="36"/>
      <c r="JJ228" s="36"/>
      <c r="JK228" s="36"/>
      <c r="JL228" s="36"/>
      <c r="JM228" s="36"/>
      <c r="JN228" s="36"/>
      <c r="JO228" s="36"/>
      <c r="JP228" s="36"/>
      <c r="JQ228" s="36"/>
      <c r="JR228" s="36"/>
      <c r="JS228" s="36"/>
      <c r="JT228" s="36"/>
      <c r="JU228" s="36"/>
      <c r="JV228" s="36"/>
      <c r="JW228" s="36"/>
      <c r="JX228" s="36"/>
      <c r="JY228" s="36"/>
      <c r="JZ228" s="36"/>
      <c r="KA228" s="36"/>
      <c r="KB228" s="36"/>
      <c r="KC228" s="36"/>
      <c r="KD228" s="36"/>
      <c r="KE228" s="36"/>
      <c r="KF228" s="36"/>
      <c r="KG228" s="36"/>
      <c r="KH228" s="36"/>
      <c r="KI228" s="36"/>
      <c r="KJ228" s="36"/>
      <c r="KK228" s="36"/>
      <c r="KL228" s="36"/>
      <c r="KM228" s="36"/>
      <c r="KN228" s="36"/>
      <c r="KO228" s="36"/>
    </row>
    <row r="229" spans="1:301">
      <c r="C229" s="5033"/>
      <c r="D229" s="5033"/>
      <c r="E229" s="5033"/>
      <c r="F229" s="6399" t="s">
        <v>2344</v>
      </c>
      <c r="G229" s="6398">
        <v>292</v>
      </c>
      <c r="Q229" s="4832"/>
      <c r="R229" s="4832"/>
      <c r="S229" s="4832"/>
      <c r="T229" s="4832"/>
      <c r="U229" s="4832"/>
      <c r="V229" s="4832"/>
      <c r="W229" s="4622"/>
      <c r="Z229" s="36"/>
      <c r="AA229" s="36"/>
      <c r="AB229" s="36"/>
      <c r="AC229" s="36"/>
      <c r="AD229" s="36"/>
      <c r="AE229" s="36"/>
      <c r="AF229" s="36"/>
      <c r="AG229" s="36"/>
      <c r="AH229" s="36"/>
      <c r="AI229" s="36"/>
      <c r="AJ229" s="36"/>
      <c r="AK229" s="36"/>
      <c r="AL229" s="36"/>
      <c r="AM229" s="36"/>
      <c r="AN229" s="36"/>
      <c r="AO229" s="36"/>
      <c r="AP229" s="36"/>
      <c r="AQ229" s="36"/>
      <c r="AR229" s="36"/>
      <c r="AS229" s="4539" t="s">
        <v>2757</v>
      </c>
      <c r="BP229" s="115" t="s">
        <v>2578</v>
      </c>
      <c r="CN229" s="36"/>
      <c r="CO229" s="36"/>
      <c r="CP229" s="393"/>
      <c r="CQ229" s="393" t="s">
        <v>483</v>
      </c>
      <c r="CR229" s="2049"/>
      <c r="CS229" s="2049"/>
      <c r="CT229" s="2049"/>
      <c r="CU229" s="2049"/>
      <c r="CV229" s="2049"/>
      <c r="CW229" s="2049">
        <v>1</v>
      </c>
      <c r="CX229" s="2049"/>
      <c r="CY229" s="2049">
        <v>1</v>
      </c>
      <c r="CZ229" s="2049">
        <v>1</v>
      </c>
      <c r="DA229" s="2049">
        <v>6</v>
      </c>
      <c r="DB229" s="2049">
        <v>5</v>
      </c>
      <c r="DC229" s="2049"/>
      <c r="DD229" s="2049">
        <v>2</v>
      </c>
      <c r="DE229" s="2049"/>
      <c r="DF229" s="2049">
        <v>1</v>
      </c>
      <c r="DG229" s="393"/>
      <c r="DH229" s="393"/>
      <c r="DI229" s="393">
        <v>17</v>
      </c>
      <c r="DJ229" s="560">
        <f>+(DI228+DI227)/DI229</f>
        <v>0.29411764705882354</v>
      </c>
      <c r="DK229" s="1665"/>
      <c r="EN229" s="1487"/>
      <c r="EO229" s="1487"/>
      <c r="EP229" s="1487"/>
      <c r="EQ229" s="1487"/>
      <c r="ER229" s="1487"/>
      <c r="ES229" s="1487"/>
      <c r="ET229" s="1487"/>
      <c r="EU229" s="1487"/>
      <c r="EV229" s="1487"/>
      <c r="EW229" s="1487"/>
      <c r="EX229" s="1487"/>
      <c r="EY229" s="1487"/>
      <c r="EZ229" s="1487"/>
      <c r="FA229" s="1487"/>
      <c r="FB229" s="1487"/>
      <c r="FC229" s="1487"/>
      <c r="FD229" s="1487"/>
      <c r="FE229" s="1487"/>
      <c r="FF229" s="1487"/>
      <c r="HB229" s="36"/>
      <c r="HC229" s="36"/>
      <c r="HD229" s="36"/>
      <c r="HE229" s="36"/>
      <c r="HF229" s="36"/>
      <c r="HG229" s="36"/>
      <c r="HH229" s="36"/>
      <c r="HI229" s="36"/>
      <c r="HJ229" s="36"/>
      <c r="HK229" s="36"/>
      <c r="HL229" s="36"/>
      <c r="HM229" s="36"/>
      <c r="HN229" s="36"/>
      <c r="HO229" s="36"/>
      <c r="HP229" s="36"/>
      <c r="HQ229" s="36"/>
      <c r="HR229" s="36"/>
      <c r="HS229" s="36"/>
      <c r="HT229" s="36"/>
      <c r="HU229" s="36"/>
      <c r="HV229" s="36"/>
      <c r="HW229" s="36"/>
      <c r="HX229" s="36"/>
      <c r="HY229" s="36"/>
      <c r="HZ229" s="36"/>
      <c r="IA229" s="36"/>
      <c r="IB229" s="36"/>
      <c r="IC229" s="36"/>
      <c r="ID229" s="36"/>
      <c r="IE229" s="36"/>
      <c r="IF229" s="36"/>
      <c r="IG229" s="36"/>
      <c r="IH229" s="36"/>
      <c r="II229" s="36"/>
      <c r="IJ229" s="36"/>
      <c r="IK229" s="36"/>
      <c r="IL229" s="36"/>
      <c r="IM229" s="36"/>
      <c r="IN229" s="36"/>
      <c r="IO229" s="36"/>
      <c r="IP229" s="36"/>
      <c r="IQ229" s="36"/>
      <c r="IR229" s="36"/>
      <c r="IS229" s="36"/>
      <c r="IT229" s="36"/>
      <c r="IU229" s="36"/>
      <c r="IV229" s="95"/>
      <c r="IW229" s="95"/>
      <c r="IX229" s="36"/>
      <c r="IY229" s="36"/>
      <c r="IZ229" s="36"/>
      <c r="JA229" s="36"/>
      <c r="JB229" s="36"/>
      <c r="JC229" s="36"/>
      <c r="JD229" s="36"/>
      <c r="JE229" s="36"/>
      <c r="JF229" s="36"/>
      <c r="JG229" s="36"/>
      <c r="JH229" s="36"/>
      <c r="JI229" s="36"/>
      <c r="JJ229" s="36"/>
      <c r="JK229" s="36"/>
      <c r="JL229" s="36"/>
      <c r="JM229" s="36"/>
      <c r="JN229" s="36"/>
      <c r="JO229" s="36"/>
      <c r="JP229" s="36"/>
      <c r="JQ229" s="36"/>
      <c r="JR229" s="36"/>
      <c r="JS229" s="36"/>
      <c r="JT229" s="36"/>
      <c r="JU229" s="36"/>
      <c r="JV229" s="36"/>
      <c r="JW229" s="36"/>
      <c r="JX229" s="36"/>
      <c r="JY229" s="36"/>
      <c r="JZ229" s="36"/>
      <c r="KA229" s="36"/>
      <c r="KB229" s="36"/>
      <c r="KC229" s="36"/>
      <c r="KD229" s="36"/>
      <c r="KE229" s="36"/>
      <c r="KF229" s="36"/>
      <c r="KG229" s="36"/>
      <c r="KH229" s="36"/>
      <c r="KI229" s="36"/>
      <c r="KJ229" s="36"/>
      <c r="KK229" s="36"/>
      <c r="KL229" s="36"/>
      <c r="KM229" s="36"/>
      <c r="KN229" s="36"/>
      <c r="KO229" s="36"/>
    </row>
    <row r="230" spans="1:301">
      <c r="C230" s="5033"/>
      <c r="D230" s="5033"/>
      <c r="E230" s="5033"/>
      <c r="F230" s="6399" t="s">
        <v>3275</v>
      </c>
      <c r="G230" s="6398">
        <v>55</v>
      </c>
      <c r="Q230" s="4832"/>
      <c r="R230" s="4832"/>
      <c r="S230" s="4832"/>
      <c r="T230" s="4832"/>
      <c r="U230" s="4832"/>
      <c r="V230" s="4832"/>
      <c r="W230" s="4622"/>
      <c r="CN230" s="36"/>
      <c r="CO230" s="36" t="s">
        <v>64</v>
      </c>
      <c r="CP230" s="36" t="s">
        <v>609</v>
      </c>
      <c r="CQ230" s="36" t="s">
        <v>1072</v>
      </c>
      <c r="CR230" s="615"/>
      <c r="CS230" s="615"/>
      <c r="CT230" s="615"/>
      <c r="CU230" s="615"/>
      <c r="CV230" s="615"/>
      <c r="CW230" s="615"/>
      <c r="CX230" s="615"/>
      <c r="CY230" s="615"/>
      <c r="CZ230" s="615"/>
      <c r="DA230" s="615"/>
      <c r="DB230" s="615">
        <v>1</v>
      </c>
      <c r="DC230" s="615"/>
      <c r="DD230" s="615">
        <v>1</v>
      </c>
      <c r="DE230" s="615"/>
      <c r="DF230" s="615">
        <v>1</v>
      </c>
      <c r="DG230" s="36">
        <v>0</v>
      </c>
      <c r="DH230" s="36">
        <v>0</v>
      </c>
      <c r="DI230" s="36">
        <v>3</v>
      </c>
      <c r="DJ230" s="36"/>
      <c r="EN230" s="1487"/>
      <c r="EO230" s="1487"/>
      <c r="EP230" s="1487"/>
      <c r="EQ230" s="1487"/>
      <c r="ER230" s="1487"/>
      <c r="ES230" s="1487"/>
      <c r="ET230" s="1487"/>
      <c r="EU230" s="1487"/>
      <c r="EV230" s="1487"/>
      <c r="EW230" s="1487"/>
      <c r="EX230" s="1487"/>
      <c r="EY230" s="1487"/>
      <c r="EZ230" s="1487"/>
      <c r="FA230" s="1487"/>
      <c r="FB230" s="1487"/>
      <c r="FC230" s="1487"/>
      <c r="FD230" s="1487"/>
      <c r="FE230" s="1487"/>
      <c r="FF230" s="1487"/>
      <c r="HB230" s="36"/>
      <c r="HC230" s="36"/>
      <c r="HD230" s="36"/>
      <c r="HE230" s="36"/>
      <c r="HF230" s="36"/>
      <c r="HG230" s="36"/>
      <c r="HH230" s="36"/>
      <c r="HI230" s="36"/>
      <c r="HJ230" s="36"/>
      <c r="HK230" s="36"/>
      <c r="HL230" s="36"/>
      <c r="HM230" s="36"/>
      <c r="HN230" s="36"/>
      <c r="HO230" s="36"/>
      <c r="HP230" s="36"/>
      <c r="HQ230" s="36"/>
      <c r="HR230" s="36"/>
      <c r="HS230" s="36"/>
      <c r="HT230" s="36"/>
      <c r="HU230" s="36"/>
      <c r="HV230" s="36"/>
      <c r="HW230" s="36"/>
      <c r="HX230" s="36"/>
      <c r="HY230" s="36"/>
      <c r="HZ230" s="36"/>
      <c r="IA230" s="36"/>
      <c r="IB230" s="36"/>
      <c r="IC230" s="36"/>
      <c r="ID230" s="36"/>
      <c r="IE230" s="36"/>
      <c r="IF230" s="36"/>
      <c r="IG230" s="36"/>
      <c r="IH230" s="36"/>
      <c r="II230" s="36"/>
      <c r="IJ230" s="36"/>
      <c r="IK230" s="36"/>
      <c r="IL230" s="36"/>
      <c r="IM230" s="36"/>
      <c r="IN230" s="36"/>
      <c r="IO230" s="36"/>
      <c r="IP230" s="36"/>
      <c r="IQ230" s="36"/>
      <c r="IR230" s="36"/>
      <c r="IS230" s="36"/>
      <c r="IT230" s="36"/>
      <c r="IU230" s="36"/>
      <c r="IV230" s="95"/>
      <c r="IW230" s="95"/>
      <c r="IX230" s="36"/>
      <c r="IY230" s="36"/>
      <c r="IZ230" s="36"/>
      <c r="JA230" s="36"/>
      <c r="JB230" s="36"/>
      <c r="JC230" s="36"/>
      <c r="JD230" s="36"/>
      <c r="JE230" s="36"/>
      <c r="JF230" s="36"/>
      <c r="JG230" s="36"/>
      <c r="JH230" s="36"/>
      <c r="JI230" s="36"/>
      <c r="JJ230" s="36"/>
      <c r="JK230" s="36"/>
      <c r="JL230" s="36"/>
      <c r="JM230" s="36"/>
      <c r="JN230" s="36"/>
      <c r="JO230" s="36"/>
      <c r="JP230" s="36"/>
      <c r="JQ230" s="36"/>
      <c r="JR230" s="36"/>
      <c r="JS230" s="36"/>
      <c r="JT230" s="36"/>
      <c r="JU230" s="36"/>
      <c r="JV230" s="36"/>
      <c r="JW230" s="36"/>
      <c r="JX230" s="36"/>
      <c r="JY230" s="36"/>
      <c r="JZ230" s="36"/>
      <c r="KA230" s="36"/>
      <c r="KB230" s="36"/>
      <c r="KC230" s="36"/>
      <c r="KD230" s="36"/>
      <c r="KE230" s="36"/>
      <c r="KF230" s="36"/>
      <c r="KG230" s="36"/>
      <c r="KH230" s="36"/>
      <c r="KI230" s="36"/>
      <c r="KJ230" s="36"/>
      <c r="KK230" s="36"/>
      <c r="KL230" s="36"/>
      <c r="KM230" s="36"/>
      <c r="KN230" s="36"/>
      <c r="KO230" s="36"/>
    </row>
    <row r="231" spans="1:301">
      <c r="C231" s="5033"/>
      <c r="D231" s="5033"/>
      <c r="E231" s="6400"/>
      <c r="F231" s="6401" t="s">
        <v>3276</v>
      </c>
      <c r="G231" s="6402">
        <f>+(G230)/(G229)</f>
        <v>0.18835616438356165</v>
      </c>
      <c r="Q231" s="4832"/>
      <c r="R231" s="4832"/>
      <c r="S231" s="4832"/>
      <c r="T231" s="4832"/>
      <c r="U231" s="4832"/>
      <c r="V231" s="4832"/>
      <c r="W231" s="4622"/>
      <c r="BO231" s="3868">
        <v>104</v>
      </c>
      <c r="BP231" s="23">
        <f>BO231/BO227</f>
        <v>0.33333333333333331</v>
      </c>
      <c r="CN231" s="36"/>
      <c r="CO231" s="36"/>
      <c r="CP231" s="36"/>
      <c r="CQ231" s="36" t="s">
        <v>1080</v>
      </c>
      <c r="CR231" s="615"/>
      <c r="CS231" s="615"/>
      <c r="CT231" s="615"/>
      <c r="CU231" s="615"/>
      <c r="CV231" s="615"/>
      <c r="CW231" s="615"/>
      <c r="CX231" s="615"/>
      <c r="CY231" s="615"/>
      <c r="CZ231" s="615"/>
      <c r="DA231" s="615"/>
      <c r="DB231" s="615">
        <v>0</v>
      </c>
      <c r="DC231" s="615"/>
      <c r="DD231" s="615">
        <v>0</v>
      </c>
      <c r="DE231" s="615"/>
      <c r="DF231" s="615">
        <v>2</v>
      </c>
      <c r="DG231" s="36">
        <v>2</v>
      </c>
      <c r="DH231" s="36">
        <v>1</v>
      </c>
      <c r="DI231" s="36">
        <v>5</v>
      </c>
      <c r="DJ231" s="36"/>
      <c r="EN231" s="1487"/>
      <c r="EO231" s="1487"/>
      <c r="EP231" s="1487"/>
      <c r="EQ231" s="1487"/>
      <c r="ER231" s="1487"/>
      <c r="ES231" s="1487"/>
      <c r="ET231" s="1487"/>
      <c r="EU231" s="1487"/>
      <c r="EV231" s="1487"/>
      <c r="EW231" s="1487"/>
      <c r="EX231" s="1487"/>
      <c r="EY231" s="1487"/>
      <c r="EZ231" s="1487"/>
      <c r="FA231" s="1487"/>
      <c r="FB231" s="1487"/>
      <c r="FC231" s="1487"/>
      <c r="FD231" s="1487"/>
      <c r="FE231" s="1487"/>
      <c r="FF231" s="1487"/>
    </row>
    <row r="232" spans="1:301">
      <c r="Q232" s="4832"/>
      <c r="R232" s="4832"/>
      <c r="S232" s="4832"/>
      <c r="T232" s="4832"/>
      <c r="U232" s="4832"/>
      <c r="V232" s="4832"/>
      <c r="W232" s="4622"/>
      <c r="AS232" s="95">
        <v>16</v>
      </c>
      <c r="AU232" s="4723" t="s">
        <v>2698</v>
      </c>
      <c r="AV232" s="4723" t="s">
        <v>2699</v>
      </c>
      <c r="AW232" s="4723" t="s">
        <v>2722</v>
      </c>
      <c r="AX232" s="4723" t="s">
        <v>2730</v>
      </c>
      <c r="AY232" s="4723" t="s">
        <v>1185</v>
      </c>
      <c r="AZ232" s="4723" t="s">
        <v>1138</v>
      </c>
      <c r="CN232" s="36"/>
      <c r="CO232" s="36"/>
      <c r="CP232" s="36"/>
      <c r="CQ232" s="393" t="s">
        <v>15</v>
      </c>
      <c r="CR232" s="2049"/>
      <c r="CS232" s="2049"/>
      <c r="CT232" s="2049"/>
      <c r="CU232" s="2049"/>
      <c r="CV232" s="2049"/>
      <c r="CW232" s="2049"/>
      <c r="CX232" s="2049"/>
      <c r="CY232" s="2049"/>
      <c r="CZ232" s="2049"/>
      <c r="DA232" s="2049"/>
      <c r="DB232" s="2049">
        <v>1</v>
      </c>
      <c r="DC232" s="2049"/>
      <c r="DD232" s="2049">
        <v>1</v>
      </c>
      <c r="DE232" s="2049"/>
      <c r="DF232" s="2049">
        <v>3</v>
      </c>
      <c r="DG232" s="393">
        <v>2</v>
      </c>
      <c r="DH232" s="393">
        <v>1</v>
      </c>
      <c r="DI232" s="393">
        <v>8</v>
      </c>
      <c r="DJ232" s="560">
        <v>0</v>
      </c>
      <c r="DK232" s="1665"/>
      <c r="EM232" s="1488"/>
      <c r="EN232" s="1487"/>
      <c r="EO232" s="1487"/>
      <c r="EP232" s="1487"/>
      <c r="EQ232" s="1487"/>
      <c r="ER232" s="1487"/>
      <c r="ES232" s="1487"/>
      <c r="ET232" s="1487"/>
      <c r="EU232" s="1487"/>
      <c r="EV232" s="1487"/>
      <c r="EW232" s="1487"/>
      <c r="EX232" s="1487"/>
      <c r="EY232" s="1487"/>
      <c r="EZ232" s="1487"/>
      <c r="FA232" s="1487"/>
      <c r="FB232" s="1487"/>
      <c r="FC232" s="1487"/>
      <c r="FD232" s="1487"/>
      <c r="FE232" s="1487"/>
      <c r="FF232" s="1487"/>
    </row>
    <row r="233" spans="1:301">
      <c r="Q233" s="4832"/>
      <c r="R233" s="4832"/>
      <c r="S233" s="4832"/>
      <c r="T233" s="4832"/>
      <c r="U233" s="4832"/>
      <c r="V233" s="4832"/>
      <c r="W233" s="4622"/>
      <c r="AS233" s="95">
        <v>7</v>
      </c>
      <c r="AU233" s="4724">
        <v>1</v>
      </c>
      <c r="AV233" s="4724">
        <v>1</v>
      </c>
      <c r="AW233" s="4725" t="s">
        <v>2780</v>
      </c>
      <c r="AX233" s="4725" t="s">
        <v>2703</v>
      </c>
      <c r="AY233" s="4726">
        <v>1</v>
      </c>
      <c r="AZ233" s="4724">
        <v>1</v>
      </c>
      <c r="CN233" s="36"/>
      <c r="CO233" s="36"/>
      <c r="CP233" s="393" t="s">
        <v>487</v>
      </c>
      <c r="CQ233" s="393" t="s">
        <v>1072</v>
      </c>
      <c r="CR233" s="2049"/>
      <c r="CS233" s="2049"/>
      <c r="CT233" s="2049"/>
      <c r="CU233" s="2049"/>
      <c r="CV233" s="2049"/>
      <c r="CW233" s="2049"/>
      <c r="CX233" s="2049"/>
      <c r="CY233" s="2049"/>
      <c r="CZ233" s="2049"/>
      <c r="DA233" s="2049"/>
      <c r="DB233" s="2049">
        <v>1</v>
      </c>
      <c r="DC233" s="2049"/>
      <c r="DD233" s="2049">
        <v>1</v>
      </c>
      <c r="DE233" s="2049"/>
      <c r="DF233" s="2049">
        <v>1</v>
      </c>
      <c r="DG233" s="393">
        <v>0</v>
      </c>
      <c r="DH233" s="393">
        <v>0</v>
      </c>
      <c r="DI233" s="393">
        <v>3</v>
      </c>
      <c r="DJ233" s="36"/>
      <c r="EN233" s="1487"/>
      <c r="EO233" s="1487"/>
      <c r="EP233" s="1487"/>
      <c r="EQ233" s="1487"/>
      <c r="ER233" s="1487"/>
      <c r="ES233" s="1487"/>
      <c r="ET233" s="1487"/>
      <c r="EU233" s="1487"/>
      <c r="EV233" s="1487"/>
      <c r="EW233" s="1487"/>
      <c r="EX233" s="1487"/>
      <c r="EY233" s="1487"/>
      <c r="EZ233" s="1487"/>
      <c r="FA233" s="1487"/>
      <c r="FB233" s="1487"/>
      <c r="FC233" s="1487"/>
      <c r="FD233" s="1487"/>
      <c r="FE233" s="1487"/>
      <c r="FF233" s="1487"/>
    </row>
    <row r="234" spans="1:301">
      <c r="Q234" s="4832"/>
      <c r="R234" s="4832"/>
      <c r="S234" s="4832"/>
      <c r="T234" s="4832"/>
      <c r="U234" s="4832"/>
      <c r="V234" s="4832"/>
      <c r="W234" s="4622"/>
      <c r="AS234" s="95">
        <v>8</v>
      </c>
      <c r="AU234" s="4724">
        <v>1</v>
      </c>
      <c r="AV234" s="4724">
        <v>1</v>
      </c>
      <c r="AW234" s="4725" t="s">
        <v>2733</v>
      </c>
      <c r="AX234" s="4725" t="s">
        <v>2731</v>
      </c>
      <c r="AY234" s="4726">
        <v>1</v>
      </c>
      <c r="AZ234" s="4724">
        <v>14</v>
      </c>
      <c r="CN234" s="36"/>
      <c r="CO234" s="36"/>
      <c r="CP234" s="393"/>
      <c r="CQ234" s="393" t="s">
        <v>1080</v>
      </c>
      <c r="CR234" s="2049"/>
      <c r="CS234" s="2049"/>
      <c r="CT234" s="2049"/>
      <c r="CU234" s="2049"/>
      <c r="CV234" s="2049"/>
      <c r="CW234" s="2049"/>
      <c r="CX234" s="2049"/>
      <c r="CY234" s="2049"/>
      <c r="CZ234" s="2049"/>
      <c r="DA234" s="2049"/>
      <c r="DB234" s="2049">
        <v>0</v>
      </c>
      <c r="DC234" s="2049"/>
      <c r="DD234" s="2049">
        <v>0</v>
      </c>
      <c r="DE234" s="2049"/>
      <c r="DF234" s="2049">
        <v>2</v>
      </c>
      <c r="DG234" s="393">
        <v>2</v>
      </c>
      <c r="DH234" s="393">
        <v>1</v>
      </c>
      <c r="DI234" s="393">
        <v>5</v>
      </c>
      <c r="DJ234" s="36"/>
      <c r="EN234" s="1487"/>
      <c r="EO234" s="1487"/>
      <c r="EP234" s="1487"/>
      <c r="EQ234" s="1487"/>
      <c r="ER234" s="1487"/>
      <c r="ES234" s="1487"/>
      <c r="ET234" s="1487"/>
      <c r="EU234" s="1487"/>
      <c r="EV234" s="1487"/>
      <c r="EW234" s="1487"/>
      <c r="EX234" s="1487"/>
      <c r="EY234" s="1487"/>
      <c r="EZ234" s="1487"/>
      <c r="FA234" s="1487"/>
      <c r="FB234" s="1487"/>
      <c r="FC234" s="1487"/>
      <c r="FD234" s="1487"/>
      <c r="FE234" s="1487"/>
      <c r="FF234" s="1487"/>
    </row>
    <row r="235" spans="1:301">
      <c r="Q235" s="4832"/>
      <c r="R235" s="4832"/>
      <c r="S235" s="4832"/>
      <c r="T235" s="4832"/>
      <c r="U235" s="4832"/>
      <c r="V235" s="4832"/>
      <c r="W235" s="4622"/>
      <c r="AS235" s="95">
        <f>SUBTOTAL(9,AS232:AS234)</f>
        <v>31</v>
      </c>
      <c r="AU235" s="4724">
        <v>1</v>
      </c>
      <c r="AV235" s="4724">
        <v>1</v>
      </c>
      <c r="AW235" s="4725" t="s">
        <v>2734</v>
      </c>
      <c r="AX235" s="4725" t="s">
        <v>2731</v>
      </c>
      <c r="AY235" s="4726">
        <v>1</v>
      </c>
      <c r="AZ235" s="4724">
        <v>14</v>
      </c>
      <c r="CN235" s="36"/>
      <c r="CO235" s="36"/>
      <c r="CP235" s="393"/>
      <c r="CQ235" s="393" t="s">
        <v>487</v>
      </c>
      <c r="CR235" s="2049"/>
      <c r="CS235" s="2049"/>
      <c r="CT235" s="2049"/>
      <c r="CU235" s="2049"/>
      <c r="CV235" s="2049"/>
      <c r="CW235" s="2049"/>
      <c r="CX235" s="2049"/>
      <c r="CY235" s="2049"/>
      <c r="CZ235" s="2049"/>
      <c r="DA235" s="2049"/>
      <c r="DB235" s="2049">
        <v>1</v>
      </c>
      <c r="DC235" s="2049"/>
      <c r="DD235" s="2049">
        <v>1</v>
      </c>
      <c r="DE235" s="2049"/>
      <c r="DF235" s="2049">
        <v>3</v>
      </c>
      <c r="DG235" s="393">
        <v>2</v>
      </c>
      <c r="DH235" s="393">
        <v>1</v>
      </c>
      <c r="DI235" s="393">
        <v>8</v>
      </c>
      <c r="DJ235" s="560">
        <v>0</v>
      </c>
      <c r="DK235" s="1665"/>
      <c r="EN235" s="1487"/>
      <c r="EO235" s="1487"/>
      <c r="EP235" s="1487"/>
      <c r="EQ235" s="1487"/>
      <c r="ER235" s="1487"/>
      <c r="ES235" s="1487"/>
      <c r="ET235" s="1487"/>
      <c r="EU235" s="1487"/>
      <c r="EV235" s="1487"/>
      <c r="EW235" s="1487"/>
      <c r="EX235" s="1487"/>
      <c r="EY235" s="1487"/>
      <c r="EZ235" s="1487"/>
      <c r="FA235" s="1487"/>
      <c r="FB235" s="1487"/>
      <c r="FC235" s="1487"/>
      <c r="FD235" s="1487"/>
      <c r="FE235" s="1487"/>
      <c r="FF235" s="1487"/>
    </row>
    <row r="236" spans="1:301">
      <c r="Q236" s="4832"/>
      <c r="R236" s="4832"/>
      <c r="S236" s="4832"/>
      <c r="T236" s="4832"/>
      <c r="U236" s="4832"/>
      <c r="V236" s="4832"/>
      <c r="W236" s="4622"/>
      <c r="AU236" s="4724">
        <v>1</v>
      </c>
      <c r="AV236" s="4724">
        <v>1</v>
      </c>
      <c r="AW236" s="4725" t="s">
        <v>2734</v>
      </c>
      <c r="AX236" s="4727" t="s">
        <v>2732</v>
      </c>
      <c r="AY236" s="4728">
        <v>1</v>
      </c>
      <c r="AZ236" s="4729">
        <v>12</v>
      </c>
      <c r="BO236" s="23"/>
      <c r="CN236" s="36"/>
      <c r="CO236" s="36"/>
      <c r="CP236" s="393" t="s">
        <v>256</v>
      </c>
      <c r="CQ236" s="393" t="s">
        <v>1072</v>
      </c>
      <c r="CR236" s="2049"/>
      <c r="CS236" s="2049"/>
      <c r="CT236" s="2049"/>
      <c r="CU236" s="2049"/>
      <c r="CV236" s="2049"/>
      <c r="CW236" s="2049">
        <v>0</v>
      </c>
      <c r="CX236" s="2049"/>
      <c r="CY236" s="2049">
        <v>0</v>
      </c>
      <c r="CZ236" s="2049">
        <v>1</v>
      </c>
      <c r="DA236" s="2049">
        <v>4</v>
      </c>
      <c r="DB236" s="2049">
        <v>2</v>
      </c>
      <c r="DC236" s="2049"/>
      <c r="DD236" s="2049">
        <v>1</v>
      </c>
      <c r="DE236" s="2049"/>
      <c r="DF236" s="2049">
        <v>1</v>
      </c>
      <c r="DG236" s="393">
        <v>0</v>
      </c>
      <c r="DH236" s="393">
        <v>0</v>
      </c>
      <c r="DI236" s="393">
        <v>9</v>
      </c>
      <c r="DJ236" s="36"/>
      <c r="EN236" s="1487"/>
      <c r="EO236" s="1487"/>
      <c r="EP236" s="1487"/>
      <c r="EQ236" s="1487"/>
      <c r="ER236" s="1487"/>
      <c r="ES236" s="1487"/>
      <c r="ET236" s="1487"/>
      <c r="EU236" s="1487"/>
      <c r="EV236" s="1487"/>
      <c r="EW236" s="1487"/>
      <c r="EX236" s="1487"/>
      <c r="EY236" s="1487"/>
      <c r="EZ236" s="1487"/>
      <c r="FA236" s="1487"/>
      <c r="FB236" s="1487"/>
      <c r="FC236" s="1487"/>
      <c r="FD236" s="1487"/>
      <c r="FE236" s="1487"/>
      <c r="FF236" s="1487"/>
    </row>
    <row r="237" spans="1:301">
      <c r="Q237" s="4832"/>
      <c r="R237" s="4832"/>
      <c r="S237" s="4832"/>
      <c r="T237" s="4832"/>
      <c r="U237" s="4832"/>
      <c r="V237" s="4832"/>
      <c r="W237" s="4622"/>
      <c r="AS237" s="95">
        <v>309</v>
      </c>
      <c r="AU237" s="4724">
        <v>1</v>
      </c>
      <c r="AV237" s="4724">
        <v>1</v>
      </c>
      <c r="AW237" s="4725" t="s">
        <v>2734</v>
      </c>
      <c r="AX237" s="4725" t="s">
        <v>2709</v>
      </c>
      <c r="AY237" s="4726">
        <v>1</v>
      </c>
      <c r="AZ237" s="4724">
        <v>5</v>
      </c>
      <c r="CN237" s="36"/>
      <c r="CO237" s="36"/>
      <c r="CP237" s="393"/>
      <c r="CQ237" s="393" t="s">
        <v>1074</v>
      </c>
      <c r="CR237" s="2049"/>
      <c r="CS237" s="2049"/>
      <c r="CT237" s="2049"/>
      <c r="CU237" s="2049"/>
      <c r="CV237" s="2049"/>
      <c r="CW237" s="2049">
        <v>0</v>
      </c>
      <c r="CX237" s="2049"/>
      <c r="CY237" s="2049">
        <v>1</v>
      </c>
      <c r="CZ237" s="2049">
        <v>0</v>
      </c>
      <c r="DA237" s="2049">
        <v>0</v>
      </c>
      <c r="DB237" s="2049">
        <v>0</v>
      </c>
      <c r="DC237" s="2049"/>
      <c r="DD237" s="2049">
        <v>0</v>
      </c>
      <c r="DE237" s="2049"/>
      <c r="DF237" s="2049">
        <v>0</v>
      </c>
      <c r="DG237" s="393">
        <v>0</v>
      </c>
      <c r="DH237" s="393">
        <v>0</v>
      </c>
      <c r="DI237" s="393">
        <v>1</v>
      </c>
      <c r="DJ237" s="36"/>
      <c r="EM237" s="1488"/>
      <c r="EN237" s="1487"/>
      <c r="EO237" s="1487"/>
      <c r="EP237" s="1487"/>
      <c r="EQ237" s="1487"/>
      <c r="ER237" s="1487"/>
      <c r="ES237" s="1487"/>
      <c r="ET237" s="1487"/>
      <c r="EU237" s="1487"/>
      <c r="EV237" s="1487"/>
      <c r="EW237" s="1487"/>
      <c r="EX237" s="1487"/>
      <c r="EY237" s="1487"/>
      <c r="EZ237" s="1487"/>
      <c r="FA237" s="1487"/>
      <c r="FB237" s="1487"/>
      <c r="FC237" s="1487"/>
      <c r="FD237" s="1487"/>
      <c r="FE237" s="1487"/>
      <c r="FF237" s="1487"/>
    </row>
    <row r="238" spans="1:301">
      <c r="Q238" s="4832"/>
      <c r="R238" s="4832"/>
      <c r="S238" s="4832"/>
      <c r="T238" s="4832"/>
      <c r="U238" s="4832"/>
      <c r="V238" s="4832"/>
      <c r="W238" s="4622"/>
      <c r="AS238" s="95">
        <v>22</v>
      </c>
      <c r="AU238" s="4724">
        <v>1</v>
      </c>
      <c r="AV238" s="4724">
        <v>1</v>
      </c>
      <c r="AW238" s="4725" t="s">
        <v>2734</v>
      </c>
      <c r="AX238" s="4725" t="s">
        <v>2709</v>
      </c>
      <c r="AY238" s="4726">
        <v>1</v>
      </c>
      <c r="AZ238" s="4724">
        <v>6</v>
      </c>
      <c r="CN238" s="36"/>
      <c r="CO238" s="36"/>
      <c r="CP238" s="393"/>
      <c r="CQ238" s="393" t="s">
        <v>1077</v>
      </c>
      <c r="CR238" s="2049"/>
      <c r="CS238" s="2049"/>
      <c r="CT238" s="2049"/>
      <c r="CU238" s="2049"/>
      <c r="CV238" s="2049"/>
      <c r="CW238" s="2049">
        <v>1</v>
      </c>
      <c r="CX238" s="2049"/>
      <c r="CY238" s="2049">
        <v>0</v>
      </c>
      <c r="CZ238" s="2049">
        <v>0</v>
      </c>
      <c r="DA238" s="2049">
        <v>0</v>
      </c>
      <c r="DB238" s="2049">
        <v>1</v>
      </c>
      <c r="DC238" s="2049"/>
      <c r="DD238" s="2049">
        <v>0</v>
      </c>
      <c r="DE238" s="2049"/>
      <c r="DF238" s="2049">
        <v>0</v>
      </c>
      <c r="DG238" s="393">
        <v>0</v>
      </c>
      <c r="DH238" s="393">
        <v>0</v>
      </c>
      <c r="DI238" s="393">
        <v>2</v>
      </c>
      <c r="DJ238" s="36"/>
      <c r="EN238" s="1487"/>
      <c r="EO238" s="1487"/>
      <c r="EP238" s="1487"/>
      <c r="EQ238" s="1487"/>
      <c r="ER238" s="1487"/>
      <c r="ES238" s="1487"/>
      <c r="ET238" s="1487"/>
      <c r="EU238" s="1487"/>
      <c r="EV238" s="1487"/>
      <c r="EW238" s="1487"/>
      <c r="EX238" s="1487"/>
      <c r="EY238" s="1487"/>
      <c r="EZ238" s="1487"/>
      <c r="FA238" s="1487"/>
      <c r="FB238" s="1487"/>
      <c r="FC238" s="1487"/>
      <c r="FD238" s="1487"/>
      <c r="FE238" s="1487"/>
      <c r="FF238" s="1487"/>
    </row>
    <row r="239" spans="1:301">
      <c r="Q239" s="4832"/>
      <c r="R239" s="4832"/>
      <c r="S239" s="4832"/>
      <c r="T239" s="4832"/>
      <c r="U239" s="4832"/>
      <c r="V239" s="4832"/>
      <c r="W239" s="4622"/>
      <c r="AS239" s="95">
        <f>AS237-AS238</f>
        <v>287</v>
      </c>
      <c r="AU239" s="4724">
        <v>1</v>
      </c>
      <c r="AV239" s="4724">
        <v>1</v>
      </c>
      <c r="AW239" s="4725" t="s">
        <v>2734</v>
      </c>
      <c r="AX239" s="4725" t="s">
        <v>2709</v>
      </c>
      <c r="AY239" s="4726">
        <v>1</v>
      </c>
      <c r="AZ239" s="4724">
        <v>7</v>
      </c>
      <c r="CN239" s="36"/>
      <c r="CO239" s="36"/>
      <c r="CP239" s="393"/>
      <c r="CQ239" s="393" t="s">
        <v>1080</v>
      </c>
      <c r="CR239" s="2049"/>
      <c r="CS239" s="2049"/>
      <c r="CT239" s="2049"/>
      <c r="CU239" s="2049"/>
      <c r="CV239" s="2049"/>
      <c r="CW239" s="2049">
        <v>0</v>
      </c>
      <c r="CX239" s="2049"/>
      <c r="CY239" s="2049">
        <v>0</v>
      </c>
      <c r="CZ239" s="2049">
        <v>0</v>
      </c>
      <c r="DA239" s="2049">
        <v>0</v>
      </c>
      <c r="DB239" s="2049">
        <v>0</v>
      </c>
      <c r="DC239" s="2049"/>
      <c r="DD239" s="2049">
        <v>2</v>
      </c>
      <c r="DE239" s="2049"/>
      <c r="DF239" s="2049">
        <v>3</v>
      </c>
      <c r="DG239" s="393">
        <v>2</v>
      </c>
      <c r="DH239" s="393">
        <v>1</v>
      </c>
      <c r="DI239" s="393">
        <v>8</v>
      </c>
      <c r="DJ239" s="36"/>
      <c r="EN239" s="1487"/>
      <c r="EO239" s="1487"/>
      <c r="EP239" s="1487"/>
      <c r="EQ239" s="1487"/>
      <c r="ER239" s="1487"/>
      <c r="ES239" s="1487"/>
      <c r="ET239" s="1487"/>
      <c r="EU239" s="1487"/>
      <c r="EV239" s="1487"/>
      <c r="EW239" s="1487"/>
      <c r="EX239" s="1487"/>
      <c r="EY239" s="1487"/>
      <c r="EZ239" s="1487"/>
      <c r="FA239" s="1487"/>
      <c r="FB239" s="1487"/>
      <c r="FC239" s="1487"/>
      <c r="FD239" s="1487"/>
      <c r="FE239" s="1487"/>
      <c r="FF239" s="1487"/>
    </row>
    <row r="240" spans="1:301">
      <c r="Q240" s="4832"/>
      <c r="R240" s="4832"/>
      <c r="S240" s="4832"/>
      <c r="T240" s="4832"/>
      <c r="U240" s="4832"/>
      <c r="V240" s="4832"/>
      <c r="W240" s="4622"/>
      <c r="AU240" s="4724">
        <v>1</v>
      </c>
      <c r="AV240" s="4724">
        <v>1</v>
      </c>
      <c r="AW240" s="4725" t="s">
        <v>607</v>
      </c>
      <c r="AX240" s="4725" t="s">
        <v>2731</v>
      </c>
      <c r="AY240" s="4726">
        <v>1</v>
      </c>
      <c r="AZ240" s="4724">
        <v>13</v>
      </c>
      <c r="CN240" s="36"/>
      <c r="CO240" s="36"/>
      <c r="CP240" s="393"/>
      <c r="CQ240" s="393" t="s">
        <v>1081</v>
      </c>
      <c r="CR240" s="2049"/>
      <c r="CS240" s="2049"/>
      <c r="CT240" s="2049"/>
      <c r="CU240" s="2049"/>
      <c r="CV240" s="2049"/>
      <c r="CW240" s="2049">
        <v>0</v>
      </c>
      <c r="CX240" s="2049"/>
      <c r="CY240" s="2049">
        <v>0</v>
      </c>
      <c r="CZ240" s="2049">
        <v>0</v>
      </c>
      <c r="DA240" s="2049">
        <v>2</v>
      </c>
      <c r="DB240" s="2049">
        <v>0</v>
      </c>
      <c r="DC240" s="2049"/>
      <c r="DD240" s="2049">
        <v>0</v>
      </c>
      <c r="DE240" s="2049"/>
      <c r="DF240" s="2049">
        <v>0</v>
      </c>
      <c r="DG240" s="393">
        <v>0</v>
      </c>
      <c r="DH240" s="393">
        <v>0</v>
      </c>
      <c r="DI240" s="393">
        <v>2</v>
      </c>
      <c r="DJ240" s="36"/>
      <c r="EN240" s="1487"/>
      <c r="EO240" s="1487"/>
      <c r="EP240" s="1487"/>
      <c r="EQ240" s="1487"/>
      <c r="ER240" s="1487"/>
      <c r="ES240" s="1487"/>
      <c r="ET240" s="1487"/>
      <c r="EU240" s="1487"/>
      <c r="EV240" s="1487"/>
      <c r="EW240" s="1487"/>
      <c r="EX240" s="1487"/>
      <c r="EY240" s="1487"/>
      <c r="EZ240" s="1487"/>
      <c r="FA240" s="1487"/>
      <c r="FB240" s="1487"/>
      <c r="FC240" s="1487"/>
      <c r="FD240" s="1487"/>
      <c r="FE240" s="1487"/>
      <c r="FF240" s="1487"/>
    </row>
    <row r="241" spans="17:162">
      <c r="Q241" s="4832"/>
      <c r="R241" s="4832"/>
      <c r="S241" s="4832"/>
      <c r="T241" s="4832"/>
      <c r="U241" s="4832"/>
      <c r="V241" s="4832"/>
      <c r="W241" s="4622"/>
      <c r="AU241" s="4724">
        <v>1</v>
      </c>
      <c r="AV241" s="4724">
        <v>1</v>
      </c>
      <c r="AW241" s="4725" t="s">
        <v>607</v>
      </c>
      <c r="AX241" s="4725" t="s">
        <v>2731</v>
      </c>
      <c r="AY241" s="4726">
        <v>2</v>
      </c>
      <c r="AZ241" s="4724">
        <v>14</v>
      </c>
      <c r="CN241" s="36"/>
      <c r="CO241" s="36"/>
      <c r="CP241" s="393"/>
      <c r="CQ241" s="393" t="s">
        <v>1163</v>
      </c>
      <c r="CR241" s="2049"/>
      <c r="CS241" s="2049"/>
      <c r="CT241" s="2049"/>
      <c r="CU241" s="2049"/>
      <c r="CV241" s="2049"/>
      <c r="CW241" s="2049">
        <v>0</v>
      </c>
      <c r="CX241" s="2049"/>
      <c r="CY241" s="2049">
        <v>0</v>
      </c>
      <c r="CZ241" s="2049">
        <v>0</v>
      </c>
      <c r="DA241" s="2049">
        <v>0</v>
      </c>
      <c r="DB241" s="2049">
        <v>3</v>
      </c>
      <c r="DC241" s="2049"/>
      <c r="DD241" s="2049">
        <v>0</v>
      </c>
      <c r="DE241" s="2049"/>
      <c r="DF241" s="2049">
        <v>0</v>
      </c>
      <c r="DG241" s="393">
        <v>0</v>
      </c>
      <c r="DH241" s="393">
        <v>0</v>
      </c>
      <c r="DI241" s="393">
        <v>3</v>
      </c>
      <c r="DJ241" s="36"/>
      <c r="EN241" s="1487"/>
      <c r="EO241" s="1487"/>
      <c r="EP241" s="1487"/>
      <c r="EQ241" s="1487"/>
      <c r="ER241" s="1487"/>
      <c r="ES241" s="1487"/>
      <c r="ET241" s="1487"/>
      <c r="EU241" s="1487"/>
      <c r="EV241" s="1487"/>
      <c r="EW241" s="1487"/>
      <c r="EX241" s="1487"/>
      <c r="EY241" s="1487"/>
      <c r="EZ241" s="1487"/>
      <c r="FA241" s="1487"/>
      <c r="FB241" s="1487"/>
      <c r="FC241" s="1487"/>
      <c r="FD241" s="1487"/>
      <c r="FE241" s="1487"/>
      <c r="FF241" s="1487"/>
    </row>
    <row r="242" spans="17:162">
      <c r="Q242" s="4832"/>
      <c r="R242" s="4832"/>
      <c r="S242" s="4832"/>
      <c r="T242" s="4832"/>
      <c r="U242" s="4832"/>
      <c r="V242" s="4832"/>
      <c r="W242" s="4622"/>
      <c r="AS242" s="95">
        <v>31</v>
      </c>
      <c r="AU242" s="4724">
        <v>1</v>
      </c>
      <c r="AV242" s="4724">
        <v>1</v>
      </c>
      <c r="AW242" s="4725" t="s">
        <v>607</v>
      </c>
      <c r="AX242" s="4725" t="s">
        <v>2731</v>
      </c>
      <c r="AY242" s="4726">
        <v>1</v>
      </c>
      <c r="AZ242" s="4724">
        <v>15</v>
      </c>
      <c r="CN242" s="36"/>
      <c r="CO242" s="36"/>
      <c r="CP242" s="393"/>
      <c r="CQ242" s="393" t="s">
        <v>256</v>
      </c>
      <c r="CR242" s="2049"/>
      <c r="CS242" s="2049"/>
      <c r="CT242" s="2049"/>
      <c r="CU242" s="2049"/>
      <c r="CV242" s="2049"/>
      <c r="CW242" s="2049">
        <v>1</v>
      </c>
      <c r="CX242" s="2049"/>
      <c r="CY242" s="2049">
        <v>1</v>
      </c>
      <c r="CZ242" s="2049">
        <v>1</v>
      </c>
      <c r="DA242" s="2049">
        <v>6</v>
      </c>
      <c r="DB242" s="2049">
        <v>6</v>
      </c>
      <c r="DC242" s="2049"/>
      <c r="DD242" s="2049">
        <v>3</v>
      </c>
      <c r="DE242" s="2049"/>
      <c r="DF242" s="2049">
        <v>4</v>
      </c>
      <c r="DG242" s="393">
        <v>2</v>
      </c>
      <c r="DH242" s="393">
        <v>1</v>
      </c>
      <c r="DI242" s="393">
        <v>25</v>
      </c>
      <c r="DJ242" s="560">
        <f>+(DI241+DI240)/DI242</f>
        <v>0.2</v>
      </c>
      <c r="DK242" s="1665"/>
      <c r="EN242" s="1487"/>
      <c r="EO242" s="1487"/>
      <c r="EP242" s="1487"/>
      <c r="EQ242" s="1487"/>
      <c r="ER242" s="1487"/>
      <c r="ES242" s="1487"/>
      <c r="ET242" s="1487"/>
      <c r="EU242" s="1487"/>
      <c r="EV242" s="1487"/>
      <c r="EW242" s="1487"/>
      <c r="EX242" s="1487"/>
      <c r="EY242" s="1487"/>
      <c r="EZ242" s="1487"/>
      <c r="FA242" s="1487"/>
      <c r="FB242" s="1487"/>
      <c r="FC242" s="1487"/>
      <c r="FD242" s="1487"/>
      <c r="FE242" s="1487"/>
      <c r="FF242" s="1487"/>
    </row>
    <row r="243" spans="17:162">
      <c r="Q243" s="4832"/>
      <c r="R243" s="4832"/>
      <c r="S243" s="4832"/>
      <c r="T243" s="4832"/>
      <c r="U243" s="4832"/>
      <c r="V243" s="4832"/>
      <c r="W243" s="4622"/>
      <c r="AS243" s="95">
        <v>287</v>
      </c>
      <c r="AU243" s="4724">
        <v>1</v>
      </c>
      <c r="AV243" s="4724">
        <v>1</v>
      </c>
      <c r="AW243" s="4725" t="s">
        <v>607</v>
      </c>
      <c r="AX243" s="4727" t="s">
        <v>2707</v>
      </c>
      <c r="AY243" s="4728">
        <v>1</v>
      </c>
      <c r="AZ243" s="4729">
        <v>13</v>
      </c>
      <c r="CN243" s="36"/>
      <c r="CO243" s="36"/>
      <c r="CP243" s="393" t="s">
        <v>112</v>
      </c>
      <c r="CQ243" s="393" t="s">
        <v>1071</v>
      </c>
      <c r="CR243" s="2049">
        <v>0</v>
      </c>
      <c r="CS243" s="2049">
        <v>0</v>
      </c>
      <c r="CT243" s="2049">
        <v>0</v>
      </c>
      <c r="CU243" s="2049">
        <v>0</v>
      </c>
      <c r="CV243" s="2049">
        <v>0</v>
      </c>
      <c r="CW243" s="2049">
        <v>0</v>
      </c>
      <c r="CX243" s="2049">
        <v>0</v>
      </c>
      <c r="CY243" s="2049">
        <v>0</v>
      </c>
      <c r="CZ243" s="2049">
        <v>0</v>
      </c>
      <c r="DA243" s="2049">
        <v>0</v>
      </c>
      <c r="DB243" s="2049">
        <v>0</v>
      </c>
      <c r="DC243" s="2049">
        <v>0</v>
      </c>
      <c r="DD243" s="2049">
        <v>0</v>
      </c>
      <c r="DE243" s="2049">
        <v>0</v>
      </c>
      <c r="DF243" s="2049">
        <v>1</v>
      </c>
      <c r="DG243" s="393">
        <v>0</v>
      </c>
      <c r="DH243" s="393">
        <v>1</v>
      </c>
      <c r="DI243" s="393">
        <v>2</v>
      </c>
      <c r="DJ243" s="36"/>
      <c r="EM243" s="1488"/>
      <c r="EN243" s="1487"/>
      <c r="EO243" s="1487"/>
      <c r="EP243" s="1487"/>
      <c r="EQ243" s="1487"/>
      <c r="ER243" s="1487"/>
      <c r="ES243" s="1487"/>
      <c r="ET243" s="1487"/>
      <c r="EU243" s="1487"/>
      <c r="EV243" s="1487"/>
      <c r="EW243" s="1487"/>
      <c r="EX243" s="1487"/>
      <c r="EY243" s="1487"/>
      <c r="EZ243" s="1487"/>
      <c r="FA243" s="1487"/>
      <c r="FB243" s="1487"/>
      <c r="FC243" s="1487"/>
      <c r="FD243" s="1487"/>
      <c r="FE243" s="1487"/>
      <c r="FF243" s="1487"/>
    </row>
    <row r="244" spans="17:162">
      <c r="Q244" s="4832"/>
      <c r="R244" s="4832"/>
      <c r="S244" s="4832"/>
      <c r="T244" s="4832"/>
      <c r="U244" s="4832"/>
      <c r="V244" s="4832"/>
      <c r="W244" s="4622"/>
      <c r="AS244" s="95">
        <f>AS242/AS243</f>
        <v>0.10801393728222997</v>
      </c>
      <c r="AU244" s="4724">
        <v>1</v>
      </c>
      <c r="AV244" s="4724">
        <v>1</v>
      </c>
      <c r="AW244" s="4725" t="s">
        <v>607</v>
      </c>
      <c r="AX244" s="4725" t="s">
        <v>2709</v>
      </c>
      <c r="AY244" s="4726">
        <v>1</v>
      </c>
      <c r="AZ244" s="4724">
        <v>11</v>
      </c>
      <c r="CN244" s="36"/>
      <c r="CO244" s="36"/>
      <c r="CP244" s="393"/>
      <c r="CQ244" s="393" t="s">
        <v>1072</v>
      </c>
      <c r="CR244" s="2049">
        <v>3</v>
      </c>
      <c r="CS244" s="2049">
        <v>0</v>
      </c>
      <c r="CT244" s="2049">
        <v>1</v>
      </c>
      <c r="CU244" s="2049">
        <v>2</v>
      </c>
      <c r="CV244" s="2049">
        <v>2</v>
      </c>
      <c r="CW244" s="2049">
        <v>1</v>
      </c>
      <c r="CX244" s="2049">
        <v>1</v>
      </c>
      <c r="CY244" s="2049">
        <v>2</v>
      </c>
      <c r="CZ244" s="2049">
        <v>2</v>
      </c>
      <c r="DA244" s="2049">
        <v>18</v>
      </c>
      <c r="DB244" s="2049">
        <v>6</v>
      </c>
      <c r="DC244" s="2049">
        <v>6</v>
      </c>
      <c r="DD244" s="2049">
        <v>14</v>
      </c>
      <c r="DE244" s="2049">
        <v>20</v>
      </c>
      <c r="DF244" s="2049">
        <v>4</v>
      </c>
      <c r="DG244" s="393">
        <v>2</v>
      </c>
      <c r="DH244" s="393">
        <v>0</v>
      </c>
      <c r="DI244" s="393">
        <v>84</v>
      </c>
      <c r="DJ244" s="36"/>
      <c r="EN244" s="1487"/>
      <c r="EO244" s="1487"/>
      <c r="EP244" s="1487"/>
      <c r="EQ244" s="1487"/>
      <c r="ER244" s="1487"/>
      <c r="ES244" s="1487"/>
      <c r="ET244" s="1487"/>
      <c r="EU244" s="1487"/>
      <c r="EV244" s="1487"/>
      <c r="EW244" s="1487"/>
      <c r="EX244" s="1487"/>
      <c r="EY244" s="1487"/>
      <c r="EZ244" s="1487"/>
      <c r="FA244" s="1487"/>
      <c r="FB244" s="1487"/>
      <c r="FC244" s="1487"/>
      <c r="FD244" s="1487"/>
      <c r="FE244" s="1487"/>
      <c r="FF244" s="1487"/>
    </row>
    <row r="245" spans="17:162">
      <c r="Q245" s="4832"/>
      <c r="R245" s="4832"/>
      <c r="S245" s="4832"/>
      <c r="T245" s="4832"/>
      <c r="U245" s="4832"/>
      <c r="V245" s="4832"/>
      <c r="W245" s="4622"/>
      <c r="AU245" s="4724">
        <v>1</v>
      </c>
      <c r="AV245" s="4724">
        <v>1</v>
      </c>
      <c r="AW245" s="4725" t="s">
        <v>606</v>
      </c>
      <c r="AX245" s="4727" t="s">
        <v>2732</v>
      </c>
      <c r="AY245" s="4728">
        <v>1</v>
      </c>
      <c r="AZ245" s="4729">
        <v>11</v>
      </c>
      <c r="CN245" s="36"/>
      <c r="CO245" s="36"/>
      <c r="CP245" s="393"/>
      <c r="CQ245" s="393" t="s">
        <v>1074</v>
      </c>
      <c r="CR245" s="2049">
        <v>0</v>
      </c>
      <c r="CS245" s="2049">
        <v>2</v>
      </c>
      <c r="CT245" s="2049">
        <v>0</v>
      </c>
      <c r="CU245" s="2049">
        <v>1</v>
      </c>
      <c r="CV245" s="2049">
        <v>1</v>
      </c>
      <c r="CW245" s="2049">
        <v>2</v>
      </c>
      <c r="CX245" s="2049">
        <v>1</v>
      </c>
      <c r="CY245" s="2049">
        <v>1</v>
      </c>
      <c r="CZ245" s="2049">
        <v>0</v>
      </c>
      <c r="DA245" s="2049">
        <v>0</v>
      </c>
      <c r="DB245" s="2049">
        <v>0</v>
      </c>
      <c r="DC245" s="2049">
        <v>0</v>
      </c>
      <c r="DD245" s="2049">
        <v>0</v>
      </c>
      <c r="DE245" s="2049">
        <v>0</v>
      </c>
      <c r="DF245" s="2049">
        <v>0</v>
      </c>
      <c r="DG245" s="393">
        <v>0</v>
      </c>
      <c r="DH245" s="393">
        <v>0</v>
      </c>
      <c r="DI245" s="393">
        <v>8</v>
      </c>
      <c r="DJ245" s="36"/>
      <c r="EM245" s="1488"/>
      <c r="EN245" s="1487"/>
      <c r="EO245" s="1487"/>
      <c r="EP245" s="1487"/>
      <c r="EQ245" s="1487"/>
      <c r="ER245" s="1487"/>
      <c r="ES245" s="1487"/>
      <c r="ET245" s="1487"/>
      <c r="EU245" s="1487"/>
      <c r="EV245" s="1487"/>
      <c r="EW245" s="1487"/>
      <c r="EX245" s="1487"/>
      <c r="EY245" s="1487"/>
      <c r="EZ245" s="1487"/>
      <c r="FA245" s="1487"/>
      <c r="FB245" s="1487"/>
      <c r="FC245" s="1487"/>
      <c r="FD245" s="1487"/>
      <c r="FE245" s="1487"/>
      <c r="FF245" s="1487"/>
    </row>
    <row r="246" spans="17:162">
      <c r="Q246" s="4832"/>
      <c r="R246" s="4832"/>
      <c r="S246" s="4832"/>
      <c r="T246" s="4832"/>
      <c r="U246" s="4832"/>
      <c r="V246" s="4832"/>
      <c r="W246" s="4622"/>
      <c r="AU246" s="4724">
        <v>1</v>
      </c>
      <c r="AV246" s="4724">
        <v>2</v>
      </c>
      <c r="AW246" s="4725" t="s">
        <v>2737</v>
      </c>
      <c r="AX246" s="4725" t="s">
        <v>2709</v>
      </c>
      <c r="AY246" s="4726">
        <v>1</v>
      </c>
      <c r="AZ246" s="4724">
        <v>0</v>
      </c>
      <c r="CN246" s="36"/>
      <c r="CO246" s="36"/>
      <c r="CP246" s="393"/>
      <c r="CQ246" s="393" t="s">
        <v>1076</v>
      </c>
      <c r="CR246" s="2049">
        <v>0</v>
      </c>
      <c r="CS246" s="2049">
        <v>0</v>
      </c>
      <c r="CT246" s="2049">
        <v>0</v>
      </c>
      <c r="CU246" s="2049">
        <v>0</v>
      </c>
      <c r="CV246" s="2049">
        <v>0</v>
      </c>
      <c r="CW246" s="2049">
        <v>0</v>
      </c>
      <c r="CX246" s="2049">
        <v>0</v>
      </c>
      <c r="CY246" s="2049">
        <v>0</v>
      </c>
      <c r="CZ246" s="2049">
        <v>0</v>
      </c>
      <c r="DA246" s="2049">
        <v>5</v>
      </c>
      <c r="DB246" s="2049">
        <v>0</v>
      </c>
      <c r="DC246" s="2049">
        <v>1</v>
      </c>
      <c r="DD246" s="2049">
        <v>16</v>
      </c>
      <c r="DE246" s="2049">
        <v>27</v>
      </c>
      <c r="DF246" s="2049">
        <v>4</v>
      </c>
      <c r="DG246" s="393">
        <v>3</v>
      </c>
      <c r="DH246" s="393">
        <v>0</v>
      </c>
      <c r="DI246" s="393">
        <v>56</v>
      </c>
      <c r="DJ246" s="36"/>
      <c r="EN246" s="1487"/>
      <c r="EO246" s="1487"/>
      <c r="EP246" s="1487"/>
      <c r="EQ246" s="1487"/>
      <c r="ER246" s="1487"/>
      <c r="ES246" s="1487"/>
      <c r="ET246" s="1487"/>
      <c r="EU246" s="1487"/>
      <c r="EV246" s="1487"/>
      <c r="EW246" s="1487"/>
      <c r="EX246" s="1487"/>
      <c r="EY246" s="1487"/>
      <c r="EZ246" s="1487"/>
      <c r="FA246" s="1487"/>
      <c r="FB246" s="1487"/>
      <c r="FC246" s="1487"/>
      <c r="FD246" s="1487"/>
      <c r="FE246" s="1487"/>
      <c r="FF246" s="1487"/>
    </row>
    <row r="247" spans="17:162">
      <c r="Q247" s="4832"/>
      <c r="R247" s="4832"/>
      <c r="S247" s="4832"/>
      <c r="T247" s="4832"/>
      <c r="U247" s="4832"/>
      <c r="V247" s="4832"/>
      <c r="W247" s="4622"/>
      <c r="AU247" s="4724">
        <v>1</v>
      </c>
      <c r="AV247" s="4724">
        <v>2</v>
      </c>
      <c r="AW247" s="4725" t="s">
        <v>118</v>
      </c>
      <c r="AX247" s="4727" t="s">
        <v>2707</v>
      </c>
      <c r="AY247" s="4728">
        <v>1</v>
      </c>
      <c r="AZ247" s="4729">
        <v>11</v>
      </c>
      <c r="CN247" s="36"/>
      <c r="CO247" s="36"/>
      <c r="CP247" s="393"/>
      <c r="CQ247" s="393" t="s">
        <v>1077</v>
      </c>
      <c r="CR247" s="2049">
        <v>0</v>
      </c>
      <c r="CS247" s="2049">
        <v>1</v>
      </c>
      <c r="CT247" s="2049">
        <v>0</v>
      </c>
      <c r="CU247" s="2049">
        <v>1</v>
      </c>
      <c r="CV247" s="2049">
        <v>0</v>
      </c>
      <c r="CW247" s="2049">
        <v>1</v>
      </c>
      <c r="CX247" s="2049">
        <v>0</v>
      </c>
      <c r="CY247" s="2049">
        <v>0</v>
      </c>
      <c r="CZ247" s="2049">
        <v>0</v>
      </c>
      <c r="DA247" s="2049">
        <v>0</v>
      </c>
      <c r="DB247" s="2049">
        <v>2</v>
      </c>
      <c r="DC247" s="2049">
        <v>0</v>
      </c>
      <c r="DD247" s="2049">
        <v>0</v>
      </c>
      <c r="DE247" s="2049">
        <v>0</v>
      </c>
      <c r="DF247" s="2049">
        <v>0</v>
      </c>
      <c r="DG247" s="393">
        <v>0</v>
      </c>
      <c r="DH247" s="393">
        <v>0</v>
      </c>
      <c r="DI247" s="393">
        <v>5</v>
      </c>
      <c r="DJ247" s="36"/>
      <c r="EN247" s="1487"/>
      <c r="EO247" s="1487"/>
      <c r="EP247" s="1487"/>
      <c r="EQ247" s="1487"/>
      <c r="ER247" s="1487"/>
      <c r="ES247" s="1487"/>
      <c r="ET247" s="1487"/>
      <c r="EU247" s="1487"/>
      <c r="EV247" s="1487"/>
      <c r="EW247" s="1487"/>
      <c r="EX247" s="1487"/>
      <c r="EY247" s="1487"/>
      <c r="EZ247" s="1487"/>
      <c r="FA247" s="1487"/>
      <c r="FB247" s="1487"/>
      <c r="FC247" s="1487"/>
      <c r="FD247" s="1487"/>
      <c r="FE247" s="1487"/>
      <c r="FF247" s="1487"/>
    </row>
    <row r="248" spans="17:162">
      <c r="Q248" s="4832"/>
      <c r="R248" s="4832"/>
      <c r="S248" s="4832"/>
      <c r="T248" s="4832"/>
      <c r="U248" s="4832"/>
      <c r="V248" s="4832"/>
      <c r="W248" s="4622"/>
      <c r="AU248" s="4724">
        <v>1</v>
      </c>
      <c r="AV248" s="4724">
        <v>2</v>
      </c>
      <c r="AW248" s="4725" t="s">
        <v>118</v>
      </c>
      <c r="AX248" s="4727" t="s">
        <v>1076</v>
      </c>
      <c r="AY248" s="4728">
        <v>1</v>
      </c>
      <c r="AZ248" s="4729">
        <v>12</v>
      </c>
      <c r="CN248" s="36"/>
      <c r="CO248" s="36"/>
      <c r="CP248" s="393"/>
      <c r="CQ248" s="393" t="s">
        <v>1080</v>
      </c>
      <c r="CR248" s="2049">
        <v>0</v>
      </c>
      <c r="CS248" s="2049">
        <v>0</v>
      </c>
      <c r="CT248" s="2049">
        <v>0</v>
      </c>
      <c r="CU248" s="2049">
        <v>0</v>
      </c>
      <c r="CV248" s="2049">
        <v>0</v>
      </c>
      <c r="CW248" s="2049">
        <v>0</v>
      </c>
      <c r="CX248" s="2049">
        <v>0</v>
      </c>
      <c r="CY248" s="2049">
        <v>0</v>
      </c>
      <c r="CZ248" s="2049">
        <v>0</v>
      </c>
      <c r="DA248" s="2049">
        <v>0</v>
      </c>
      <c r="DB248" s="2049">
        <v>1</v>
      </c>
      <c r="DC248" s="2049">
        <v>3</v>
      </c>
      <c r="DD248" s="2049">
        <v>2</v>
      </c>
      <c r="DE248" s="2049">
        <v>11</v>
      </c>
      <c r="DF248" s="2049">
        <v>80</v>
      </c>
      <c r="DG248" s="393">
        <v>11</v>
      </c>
      <c r="DH248" s="393">
        <v>23</v>
      </c>
      <c r="DI248" s="393">
        <v>131</v>
      </c>
      <c r="DJ248" s="36"/>
      <c r="EN248" s="1487"/>
      <c r="EO248" s="1487"/>
      <c r="EP248" s="1487"/>
      <c r="EQ248" s="1487"/>
      <c r="ER248" s="1487"/>
      <c r="ES248" s="1487"/>
      <c r="ET248" s="1487"/>
      <c r="EU248" s="1487"/>
      <c r="EV248" s="1487"/>
      <c r="EW248" s="1487"/>
      <c r="EX248" s="1487"/>
      <c r="EY248" s="1487"/>
      <c r="EZ248" s="1487"/>
      <c r="FA248" s="1487"/>
      <c r="FB248" s="1487"/>
      <c r="FC248" s="1487"/>
      <c r="FD248" s="1487"/>
      <c r="FE248" s="1487"/>
      <c r="FF248" s="1487"/>
    </row>
    <row r="249" spans="17:162">
      <c r="Q249" s="4832"/>
      <c r="R249" s="4832"/>
      <c r="S249" s="4832"/>
      <c r="T249" s="4832"/>
      <c r="U249" s="4832"/>
      <c r="V249" s="4832"/>
      <c r="W249" s="4622"/>
      <c r="AU249" s="4724">
        <v>1</v>
      </c>
      <c r="AV249" s="4724">
        <v>2</v>
      </c>
      <c r="AW249" s="4725" t="s">
        <v>118</v>
      </c>
      <c r="AX249" s="4725" t="s">
        <v>2709</v>
      </c>
      <c r="AY249" s="4726">
        <v>3</v>
      </c>
      <c r="AZ249" s="4724">
        <v>12</v>
      </c>
      <c r="CN249" s="36"/>
      <c r="CO249" s="36"/>
      <c r="CP249" s="393"/>
      <c r="CQ249" s="393" t="s">
        <v>1081</v>
      </c>
      <c r="CR249" s="2049">
        <v>0</v>
      </c>
      <c r="CS249" s="2049">
        <v>0</v>
      </c>
      <c r="CT249" s="2049">
        <v>0</v>
      </c>
      <c r="CU249" s="2049">
        <v>0</v>
      </c>
      <c r="CV249" s="2049">
        <v>0</v>
      </c>
      <c r="CW249" s="2049">
        <v>0</v>
      </c>
      <c r="CX249" s="2049">
        <v>0</v>
      </c>
      <c r="CY249" s="2049">
        <v>0</v>
      </c>
      <c r="CZ249" s="2049">
        <v>0</v>
      </c>
      <c r="DA249" s="2049">
        <v>8</v>
      </c>
      <c r="DB249" s="2049">
        <v>1</v>
      </c>
      <c r="DC249" s="2049">
        <v>1</v>
      </c>
      <c r="DD249" s="2049">
        <v>5</v>
      </c>
      <c r="DE249" s="2049">
        <v>2</v>
      </c>
      <c r="DF249" s="2049">
        <v>0</v>
      </c>
      <c r="DG249" s="393">
        <v>0</v>
      </c>
      <c r="DH249" s="393">
        <v>0</v>
      </c>
      <c r="DI249" s="393">
        <v>17</v>
      </c>
      <c r="DJ249" s="36"/>
      <c r="EN249" s="1487"/>
      <c r="EO249" s="1487"/>
      <c r="EP249" s="1487"/>
      <c r="EQ249" s="1487"/>
      <c r="ER249" s="1487"/>
      <c r="ES249" s="1487"/>
      <c r="ET249" s="1487"/>
      <c r="EU249" s="1487"/>
      <c r="EV249" s="1487"/>
      <c r="EW249" s="1487"/>
      <c r="EX249" s="1487"/>
      <c r="EY249" s="1487"/>
      <c r="EZ249" s="1487"/>
      <c r="FA249" s="1487"/>
      <c r="FB249" s="1487"/>
      <c r="FC249" s="1487"/>
      <c r="FD249" s="1487"/>
      <c r="FE249" s="1487"/>
      <c r="FF249" s="1487"/>
    </row>
    <row r="250" spans="17:162">
      <c r="Q250" s="4832"/>
      <c r="R250" s="4832"/>
      <c r="S250" s="4832"/>
      <c r="T250" s="4832"/>
      <c r="U250" s="4832"/>
      <c r="V250" s="4832"/>
      <c r="W250" s="4622"/>
      <c r="AU250" s="4724">
        <v>1</v>
      </c>
      <c r="AV250" s="4724">
        <v>4</v>
      </c>
      <c r="AW250" s="4725" t="s">
        <v>1456</v>
      </c>
      <c r="AX250" s="4727" t="s">
        <v>2732</v>
      </c>
      <c r="AY250" s="4728">
        <v>1</v>
      </c>
      <c r="AZ250" s="4729">
        <v>9</v>
      </c>
      <c r="CN250" s="36"/>
      <c r="CO250" s="36"/>
      <c r="CP250" s="393"/>
      <c r="CQ250" s="393" t="s">
        <v>1163</v>
      </c>
      <c r="CR250" s="2049">
        <v>0</v>
      </c>
      <c r="CS250" s="2049">
        <v>0</v>
      </c>
      <c r="CT250" s="2049">
        <v>0</v>
      </c>
      <c r="CU250" s="2049">
        <v>0</v>
      </c>
      <c r="CV250" s="2049">
        <v>0</v>
      </c>
      <c r="CW250" s="2049">
        <v>0</v>
      </c>
      <c r="CX250" s="2049">
        <v>0</v>
      </c>
      <c r="CY250" s="2049">
        <v>0</v>
      </c>
      <c r="CZ250" s="2049">
        <v>0</v>
      </c>
      <c r="DA250" s="2049">
        <v>4</v>
      </c>
      <c r="DB250" s="2049">
        <v>6</v>
      </c>
      <c r="DC250" s="2049">
        <v>3</v>
      </c>
      <c r="DD250" s="2049">
        <v>15</v>
      </c>
      <c r="DE250" s="2049">
        <v>8</v>
      </c>
      <c r="DF250" s="2049">
        <v>3</v>
      </c>
      <c r="DG250" s="393">
        <v>0</v>
      </c>
      <c r="DH250" s="393">
        <v>0</v>
      </c>
      <c r="DI250" s="393">
        <v>39</v>
      </c>
      <c r="DJ250" s="36"/>
      <c r="EM250" s="1488"/>
      <c r="EN250" s="1487"/>
      <c r="EO250" s="1487"/>
      <c r="EP250" s="1487"/>
      <c r="EQ250" s="1487"/>
      <c r="ER250" s="1487"/>
      <c r="ES250" s="1487"/>
      <c r="ET250" s="1487"/>
      <c r="EU250" s="1487"/>
      <c r="EV250" s="1487"/>
      <c r="EW250" s="1487"/>
      <c r="EX250" s="1487"/>
      <c r="EY250" s="1487"/>
      <c r="EZ250" s="1487"/>
      <c r="FA250" s="1487"/>
      <c r="FB250" s="1487"/>
      <c r="FC250" s="1487"/>
      <c r="FD250" s="1487"/>
      <c r="FE250" s="1487"/>
      <c r="FF250" s="1487"/>
    </row>
    <row r="251" spans="17:162" ht="15" thickBot="1">
      <c r="Q251" s="4832"/>
      <c r="R251" s="4832"/>
      <c r="S251" s="4832"/>
      <c r="T251" s="4832"/>
      <c r="U251" s="4832"/>
      <c r="V251" s="4832"/>
      <c r="W251" s="4622"/>
      <c r="AU251" s="4724">
        <v>1</v>
      </c>
      <c r="AV251" s="4724">
        <v>4</v>
      </c>
      <c r="AW251" s="4725" t="s">
        <v>1456</v>
      </c>
      <c r="AX251" s="4725" t="s">
        <v>2705</v>
      </c>
      <c r="AY251" s="4726">
        <v>1</v>
      </c>
      <c r="AZ251" s="4724">
        <v>15</v>
      </c>
      <c r="CN251" s="401"/>
      <c r="CO251" s="401"/>
      <c r="CP251" s="397"/>
      <c r="CQ251" s="397" t="s">
        <v>112</v>
      </c>
      <c r="CR251" s="2050">
        <v>3</v>
      </c>
      <c r="CS251" s="2050">
        <v>3</v>
      </c>
      <c r="CT251" s="2050">
        <v>1</v>
      </c>
      <c r="CU251" s="2050">
        <v>4</v>
      </c>
      <c r="CV251" s="2050">
        <v>3</v>
      </c>
      <c r="CW251" s="2050">
        <v>4</v>
      </c>
      <c r="CX251" s="2050">
        <v>2</v>
      </c>
      <c r="CY251" s="2050">
        <v>3</v>
      </c>
      <c r="CZ251" s="2050">
        <v>2</v>
      </c>
      <c r="DA251" s="2050">
        <v>35</v>
      </c>
      <c r="DB251" s="2050">
        <v>16</v>
      </c>
      <c r="DC251" s="2050">
        <v>14</v>
      </c>
      <c r="DD251" s="2050">
        <v>52</v>
      </c>
      <c r="DE251" s="2050">
        <v>68</v>
      </c>
      <c r="DF251" s="2050">
        <v>92</v>
      </c>
      <c r="DG251" s="397">
        <v>16</v>
      </c>
      <c r="DH251" s="397">
        <v>24</v>
      </c>
      <c r="DI251" s="397">
        <v>342</v>
      </c>
      <c r="DJ251" s="1470">
        <f>+(DI250+DI249+DI246-DG246)/DI251</f>
        <v>0.31871345029239767</v>
      </c>
      <c r="DK251" s="2047"/>
      <c r="EN251" s="1487"/>
      <c r="EO251" s="1487"/>
      <c r="EP251" s="1487"/>
      <c r="EQ251" s="1487"/>
      <c r="ER251" s="1487"/>
      <c r="ES251" s="1487"/>
      <c r="ET251" s="1487"/>
      <c r="EU251" s="1487"/>
      <c r="EV251" s="1487"/>
      <c r="EW251" s="1487"/>
      <c r="EX251" s="1487"/>
      <c r="EY251" s="1487"/>
      <c r="EZ251" s="1487"/>
      <c r="FA251" s="1487"/>
      <c r="FB251" s="1487"/>
      <c r="FC251" s="1487"/>
      <c r="FD251" s="1487"/>
      <c r="FE251" s="1487"/>
      <c r="FF251" s="1487"/>
    </row>
    <row r="252" spans="17:162">
      <c r="Q252" s="4832"/>
      <c r="R252" s="4832"/>
      <c r="S252" s="4832"/>
      <c r="T252" s="4832"/>
      <c r="U252" s="4832"/>
      <c r="V252" s="4832"/>
      <c r="W252" s="4622"/>
      <c r="AU252" s="4724">
        <v>1</v>
      </c>
      <c r="AV252" s="4724">
        <v>4</v>
      </c>
      <c r="AW252" s="4725" t="s">
        <v>1457</v>
      </c>
      <c r="AX252" s="4725" t="s">
        <v>2731</v>
      </c>
      <c r="AY252" s="4726">
        <v>1</v>
      </c>
      <c r="AZ252" s="4724">
        <v>12</v>
      </c>
      <c r="EN252" s="1487"/>
      <c r="EO252" s="1487"/>
      <c r="EP252" s="1487"/>
      <c r="EQ252" s="1487"/>
      <c r="ER252" s="1487"/>
      <c r="ES252" s="1487"/>
      <c r="ET252" s="1487"/>
      <c r="EU252" s="1487"/>
      <c r="EV252" s="1487"/>
      <c r="EW252" s="1487"/>
      <c r="EX252" s="1487"/>
      <c r="EY252" s="1487"/>
      <c r="EZ252" s="1487"/>
      <c r="FA252" s="1487"/>
      <c r="FB252" s="1487"/>
      <c r="FC252" s="1487"/>
      <c r="FD252" s="1487"/>
      <c r="FE252" s="1487"/>
      <c r="FF252" s="1487"/>
    </row>
    <row r="253" spans="17:162">
      <c r="Q253" s="4832"/>
      <c r="R253" s="4832"/>
      <c r="S253" s="4832"/>
      <c r="T253" s="4832"/>
      <c r="U253" s="4832"/>
      <c r="V253" s="4832"/>
      <c r="W253" s="4622"/>
      <c r="AU253" s="4724">
        <v>1</v>
      </c>
      <c r="AV253" s="4724">
        <v>4</v>
      </c>
      <c r="AW253" s="4725" t="s">
        <v>1457</v>
      </c>
      <c r="AX253" s="4725" t="s">
        <v>2731</v>
      </c>
      <c r="AY253" s="4726">
        <v>1</v>
      </c>
      <c r="AZ253" s="4724">
        <v>13</v>
      </c>
      <c r="EN253" s="1487"/>
      <c r="EO253" s="1487"/>
      <c r="EP253" s="1487"/>
      <c r="EQ253" s="1487"/>
      <c r="ER253" s="1487"/>
      <c r="ES253" s="1487"/>
      <c r="ET253" s="1487"/>
      <c r="EU253" s="1487"/>
      <c r="EV253" s="1487"/>
      <c r="EW253" s="1487"/>
      <c r="EX253" s="1487"/>
      <c r="EY253" s="1487"/>
      <c r="EZ253" s="1487"/>
      <c r="FA253" s="1487"/>
      <c r="FB253" s="1487"/>
      <c r="FC253" s="1487"/>
      <c r="FD253" s="1487"/>
      <c r="FE253" s="1487"/>
      <c r="FF253" s="1487"/>
    </row>
    <row r="254" spans="17:162">
      <c r="Q254" s="4832"/>
      <c r="R254" s="4832"/>
      <c r="S254" s="4832"/>
      <c r="T254" s="4832"/>
      <c r="U254" s="4832"/>
      <c r="V254" s="4832"/>
      <c r="W254" s="4622"/>
      <c r="AU254" s="4724">
        <v>1</v>
      </c>
      <c r="AV254" s="4724">
        <v>4</v>
      </c>
      <c r="AW254" s="4725" t="s">
        <v>1457</v>
      </c>
      <c r="AX254" s="4727" t="s">
        <v>2732</v>
      </c>
      <c r="AY254" s="4728">
        <v>1</v>
      </c>
      <c r="AZ254" s="4729">
        <v>10</v>
      </c>
      <c r="EN254" s="1487"/>
      <c r="EO254" s="1487"/>
      <c r="EP254" s="1487"/>
      <c r="EQ254" s="1487"/>
      <c r="ER254" s="1487"/>
      <c r="ES254" s="1487"/>
      <c r="ET254" s="1487"/>
      <c r="EU254" s="1487"/>
      <c r="EV254" s="1487"/>
      <c r="EW254" s="1487"/>
      <c r="EX254" s="1487"/>
      <c r="EY254" s="1487"/>
      <c r="EZ254" s="1487"/>
      <c r="FA254" s="1487"/>
      <c r="FB254" s="1487"/>
      <c r="FC254" s="1487"/>
      <c r="FD254" s="1487"/>
      <c r="FE254" s="1487"/>
      <c r="FF254" s="1487"/>
    </row>
    <row r="255" spans="17:162">
      <c r="Q255" s="4832"/>
      <c r="R255" s="4832"/>
      <c r="S255" s="4832"/>
      <c r="T255" s="4832"/>
      <c r="U255" s="4832"/>
      <c r="V255" s="4832"/>
      <c r="W255" s="4622"/>
      <c r="AU255" s="4724">
        <v>1</v>
      </c>
      <c r="AV255" s="4724">
        <v>4</v>
      </c>
      <c r="AW255" s="4725" t="s">
        <v>1457</v>
      </c>
      <c r="AX255" s="4725" t="s">
        <v>2705</v>
      </c>
      <c r="AY255" s="4726">
        <v>1</v>
      </c>
      <c r="AZ255" s="4724">
        <v>14</v>
      </c>
      <c r="EN255" s="1487"/>
      <c r="EO255" s="1487"/>
      <c r="EP255" s="1487"/>
      <c r="EQ255" s="1487"/>
      <c r="ER255" s="1487"/>
      <c r="ES255" s="1487"/>
      <c r="ET255" s="1487"/>
      <c r="EU255" s="1487"/>
      <c r="EV255" s="1487"/>
      <c r="EW255" s="1487"/>
      <c r="EX255" s="1487"/>
      <c r="EY255" s="1487"/>
      <c r="EZ255" s="1487"/>
      <c r="FA255" s="1487"/>
      <c r="FB255" s="1487"/>
      <c r="FC255" s="1487"/>
      <c r="FD255" s="1487"/>
      <c r="FE255" s="1487"/>
      <c r="FF255" s="1487"/>
    </row>
    <row r="256" spans="17:162">
      <c r="Q256" s="4832"/>
      <c r="R256" s="4832"/>
      <c r="S256" s="4832"/>
      <c r="T256" s="4832"/>
      <c r="U256" s="4832"/>
      <c r="V256" s="4832"/>
      <c r="W256" s="4622"/>
      <c r="AU256" s="4724">
        <v>1</v>
      </c>
      <c r="AV256" s="4724">
        <v>4</v>
      </c>
      <c r="AW256" s="4725" t="s">
        <v>1458</v>
      </c>
      <c r="AX256" s="4725" t="s">
        <v>2709</v>
      </c>
      <c r="AY256" s="4726">
        <v>1</v>
      </c>
      <c r="AZ256" s="4724">
        <v>9</v>
      </c>
      <c r="EM256" s="1488"/>
      <c r="EN256" s="1487"/>
      <c r="EO256" s="1487"/>
      <c r="EP256" s="1487"/>
      <c r="EQ256" s="1487"/>
      <c r="ER256" s="1487"/>
      <c r="ES256" s="1487"/>
      <c r="ET256" s="1487"/>
      <c r="EU256" s="1487"/>
      <c r="EV256" s="1487"/>
      <c r="EW256" s="1487"/>
      <c r="EX256" s="1487"/>
      <c r="EY256" s="1487"/>
      <c r="EZ256" s="1487"/>
      <c r="FA256" s="1487"/>
      <c r="FB256" s="1487"/>
      <c r="FC256" s="1487"/>
      <c r="FD256" s="1487"/>
      <c r="FE256" s="1487"/>
      <c r="FF256" s="1487"/>
    </row>
    <row r="257" spans="17:162">
      <c r="Q257" s="4832"/>
      <c r="R257" s="4832"/>
      <c r="S257" s="4832"/>
      <c r="T257" s="4832"/>
      <c r="U257" s="4832"/>
      <c r="V257" s="4832"/>
      <c r="W257" s="4622"/>
      <c r="AU257" s="4724">
        <v>2</v>
      </c>
      <c r="AV257" s="4724">
        <v>1</v>
      </c>
      <c r="AW257" s="4725" t="s">
        <v>388</v>
      </c>
      <c r="AX257" s="4725" t="s">
        <v>2731</v>
      </c>
      <c r="AY257" s="4726">
        <v>1</v>
      </c>
      <c r="AZ257" s="4724">
        <v>13</v>
      </c>
      <c r="EN257" s="1487"/>
      <c r="EO257" s="1487"/>
      <c r="EP257" s="1487"/>
      <c r="EQ257" s="1487"/>
      <c r="ER257" s="1487"/>
      <c r="ES257" s="1487"/>
      <c r="ET257" s="1487"/>
      <c r="EU257" s="1487"/>
      <c r="EV257" s="1487"/>
      <c r="EW257" s="1487"/>
      <c r="EX257" s="1487"/>
      <c r="EY257" s="1487"/>
      <c r="EZ257" s="1487"/>
      <c r="FA257" s="1487"/>
      <c r="FB257" s="1487"/>
      <c r="FC257" s="1487"/>
      <c r="FD257" s="1487"/>
      <c r="FE257" s="1487"/>
      <c r="FF257" s="1487"/>
    </row>
    <row r="258" spans="17:162">
      <c r="Q258" s="4832"/>
      <c r="R258" s="4832"/>
      <c r="S258" s="4832"/>
      <c r="T258" s="4832"/>
      <c r="U258" s="4832"/>
      <c r="V258" s="4832"/>
      <c r="W258" s="4622"/>
      <c r="AU258" s="4724">
        <v>2</v>
      </c>
      <c r="AV258" s="4724">
        <v>1</v>
      </c>
      <c r="AW258" s="4725" t="s">
        <v>388</v>
      </c>
      <c r="AX258" s="4725" t="s">
        <v>2731</v>
      </c>
      <c r="AY258" s="4726">
        <v>1</v>
      </c>
      <c r="AZ258" s="4724">
        <v>14</v>
      </c>
      <c r="EN258" s="1487"/>
      <c r="EO258" s="1487"/>
      <c r="EP258" s="1487"/>
      <c r="EQ258" s="1487"/>
      <c r="ER258" s="1487"/>
      <c r="ES258" s="1487"/>
      <c r="ET258" s="1487"/>
      <c r="EU258" s="1487"/>
      <c r="EV258" s="1487"/>
      <c r="EW258" s="1487"/>
      <c r="EX258" s="1487"/>
      <c r="EY258" s="1487"/>
      <c r="EZ258" s="1487"/>
      <c r="FA258" s="1487"/>
      <c r="FB258" s="1487"/>
      <c r="FC258" s="1487"/>
      <c r="FD258" s="1487"/>
      <c r="FE258" s="1487"/>
      <c r="FF258" s="1487"/>
    </row>
    <row r="259" spans="17:162">
      <c r="Q259" s="4832"/>
      <c r="R259" s="4832"/>
      <c r="S259" s="4832"/>
      <c r="T259" s="4832"/>
      <c r="U259" s="4832"/>
      <c r="V259" s="4832"/>
      <c r="W259" s="4622"/>
      <c r="AU259" s="4724">
        <v>2</v>
      </c>
      <c r="AV259" s="4724">
        <v>1</v>
      </c>
      <c r="AW259" s="4725" t="s">
        <v>388</v>
      </c>
      <c r="AX259" s="4725" t="s">
        <v>1071</v>
      </c>
      <c r="AY259" s="4726">
        <v>1</v>
      </c>
      <c r="AZ259" s="4724">
        <v>14</v>
      </c>
      <c r="EN259" s="1487"/>
      <c r="EO259" s="1487"/>
      <c r="EP259" s="1487"/>
      <c r="EQ259" s="1487"/>
      <c r="ER259" s="1487"/>
      <c r="ES259" s="1487"/>
      <c r="ET259" s="1487"/>
      <c r="EU259" s="1487"/>
      <c r="EV259" s="1487"/>
      <c r="EW259" s="1487"/>
      <c r="EX259" s="1487"/>
      <c r="EY259" s="1487"/>
      <c r="EZ259" s="1487"/>
      <c r="FA259" s="1487"/>
      <c r="FB259" s="1487"/>
      <c r="FC259" s="1487"/>
      <c r="FD259" s="1487"/>
      <c r="FE259" s="1487"/>
      <c r="FF259" s="1487"/>
    </row>
    <row r="260" spans="17:162">
      <c r="Q260" s="4832"/>
      <c r="R260" s="4832"/>
      <c r="S260" s="4832"/>
      <c r="T260" s="4832"/>
      <c r="U260" s="4832"/>
      <c r="V260" s="4832"/>
      <c r="W260" s="4622"/>
      <c r="AU260" s="4724">
        <v>2</v>
      </c>
      <c r="AV260" s="4724">
        <v>1</v>
      </c>
      <c r="AW260" s="4725" t="s">
        <v>681</v>
      </c>
      <c r="AX260" s="4725" t="s">
        <v>2731</v>
      </c>
      <c r="AY260" s="4726">
        <v>1</v>
      </c>
      <c r="AZ260" s="4724">
        <v>11</v>
      </c>
      <c r="EN260" s="1487"/>
      <c r="EO260" s="1487"/>
      <c r="EP260" s="1487"/>
      <c r="EQ260" s="1487"/>
      <c r="ER260" s="1487"/>
      <c r="ES260" s="1487"/>
      <c r="ET260" s="1487"/>
      <c r="EU260" s="1487"/>
      <c r="EV260" s="1487"/>
      <c r="EW260" s="1487"/>
      <c r="EX260" s="1487"/>
      <c r="EY260" s="1487"/>
      <c r="EZ260" s="1487"/>
      <c r="FA260" s="1487"/>
      <c r="FB260" s="1487"/>
      <c r="FC260" s="1487"/>
      <c r="FD260" s="1487"/>
      <c r="FE260" s="1487"/>
      <c r="FF260" s="1487"/>
    </row>
    <row r="261" spans="17:162">
      <c r="Q261" s="4832"/>
      <c r="R261" s="4832"/>
      <c r="S261" s="4832"/>
      <c r="T261" s="4832"/>
      <c r="U261" s="4832"/>
      <c r="V261" s="4832"/>
      <c r="W261" s="4622"/>
      <c r="AU261" s="4724">
        <v>2</v>
      </c>
      <c r="AV261" s="4724">
        <v>1</v>
      </c>
      <c r="AW261" s="4725" t="s">
        <v>681</v>
      </c>
      <c r="AX261" s="4727" t="s">
        <v>2732</v>
      </c>
      <c r="AY261" s="4728">
        <v>2</v>
      </c>
      <c r="AZ261" s="4729">
        <v>12</v>
      </c>
      <c r="EN261" s="1487"/>
      <c r="EO261" s="1487"/>
      <c r="EP261" s="1487"/>
      <c r="EQ261" s="1487"/>
      <c r="ER261" s="1487"/>
      <c r="ES261" s="1487"/>
      <c r="ET261" s="1487"/>
      <c r="EU261" s="1487"/>
      <c r="EV261" s="1487"/>
      <c r="EW261" s="1487"/>
      <c r="EX261" s="1487"/>
      <c r="EY261" s="1487"/>
      <c r="EZ261" s="1487"/>
      <c r="FA261" s="1487"/>
      <c r="FB261" s="1487"/>
      <c r="FC261" s="1487"/>
      <c r="FD261" s="1487"/>
      <c r="FE261" s="1487"/>
      <c r="FF261" s="1487"/>
    </row>
    <row r="262" spans="17:162">
      <c r="Q262" s="4832"/>
      <c r="R262" s="4832"/>
      <c r="S262" s="4832"/>
      <c r="T262" s="4832"/>
      <c r="U262" s="4832"/>
      <c r="V262" s="4832"/>
      <c r="W262" s="4622"/>
      <c r="AU262" s="4724">
        <v>2</v>
      </c>
      <c r="AV262" s="4724">
        <v>1</v>
      </c>
      <c r="AW262" s="4725" t="s">
        <v>119</v>
      </c>
      <c r="AX262" s="4725" t="s">
        <v>2731</v>
      </c>
      <c r="AY262" s="4726">
        <v>1</v>
      </c>
      <c r="AZ262" s="4724">
        <v>13</v>
      </c>
      <c r="EM262" s="1488"/>
      <c r="EN262" s="1487"/>
      <c r="EO262" s="1487"/>
      <c r="EP262" s="1487"/>
      <c r="EQ262" s="1487"/>
      <c r="ER262" s="1487"/>
      <c r="ES262" s="1487"/>
      <c r="ET262" s="1487"/>
      <c r="EU262" s="1487"/>
      <c r="EV262" s="1487"/>
      <c r="EW262" s="1487"/>
      <c r="EX262" s="1487"/>
      <c r="EY262" s="1487"/>
      <c r="EZ262" s="1487"/>
      <c r="FA262" s="1487"/>
      <c r="FB262" s="1487"/>
      <c r="FC262" s="1487"/>
      <c r="FD262" s="1487"/>
      <c r="FE262" s="1487"/>
      <c r="FF262" s="1487"/>
    </row>
    <row r="263" spans="17:162">
      <c r="Q263" s="4832"/>
      <c r="R263" s="4832"/>
      <c r="S263" s="4832"/>
      <c r="T263" s="4832"/>
      <c r="U263" s="4832"/>
      <c r="V263" s="4832"/>
      <c r="W263" s="4622"/>
      <c r="AU263" s="4724">
        <v>2</v>
      </c>
      <c r="AV263" s="4724">
        <v>1</v>
      </c>
      <c r="AW263" s="4725" t="s">
        <v>119</v>
      </c>
      <c r="AX263" s="4725" t="s">
        <v>2731</v>
      </c>
      <c r="AY263" s="4726">
        <v>1</v>
      </c>
      <c r="AZ263" s="4724">
        <v>14</v>
      </c>
      <c r="EN263" s="1487"/>
      <c r="EO263" s="1487"/>
      <c r="EP263" s="1487"/>
      <c r="EQ263" s="1487"/>
      <c r="ER263" s="1487"/>
      <c r="ES263" s="1487"/>
      <c r="ET263" s="1487"/>
      <c r="EU263" s="1487"/>
      <c r="EV263" s="1487"/>
      <c r="EW263" s="1487"/>
      <c r="EX263" s="1487"/>
      <c r="EY263" s="1487"/>
      <c r="EZ263" s="1487"/>
      <c r="FA263" s="1487"/>
      <c r="FB263" s="1487"/>
      <c r="FC263" s="1487"/>
      <c r="FD263" s="1487"/>
      <c r="FE263" s="1487"/>
      <c r="FF263" s="1487"/>
    </row>
    <row r="264" spans="17:162">
      <c r="Q264" s="4832"/>
      <c r="R264" s="4832"/>
      <c r="S264" s="4832"/>
      <c r="T264" s="4832"/>
      <c r="U264" s="4832"/>
      <c r="V264" s="4832"/>
      <c r="W264" s="4622"/>
      <c r="AU264" s="4724">
        <v>2</v>
      </c>
      <c r="AV264" s="4724">
        <v>1</v>
      </c>
      <c r="AW264" s="4725" t="s">
        <v>119</v>
      </c>
      <c r="AX264" s="4725" t="s">
        <v>2731</v>
      </c>
      <c r="AY264" s="4726">
        <v>1</v>
      </c>
      <c r="AZ264" s="4724">
        <v>16</v>
      </c>
      <c r="EN264" s="1487"/>
      <c r="EO264" s="1487"/>
      <c r="EP264" s="1487"/>
      <c r="EQ264" s="1487"/>
      <c r="ER264" s="1487"/>
      <c r="ES264" s="1487"/>
      <c r="ET264" s="1487"/>
      <c r="EU264" s="1487"/>
      <c r="EV264" s="1487"/>
      <c r="EW264" s="1487"/>
      <c r="EX264" s="1487"/>
      <c r="EY264" s="1487"/>
      <c r="EZ264" s="1487"/>
      <c r="FA264" s="1487"/>
      <c r="FB264" s="1487"/>
      <c r="FC264" s="1487"/>
      <c r="FD264" s="1487"/>
      <c r="FE264" s="1487"/>
      <c r="FF264" s="1487"/>
    </row>
    <row r="265" spans="17:162">
      <c r="Q265" s="4832"/>
      <c r="R265" s="4832"/>
      <c r="S265" s="4832"/>
      <c r="T265" s="4832"/>
      <c r="U265" s="4832"/>
      <c r="V265" s="4832"/>
      <c r="W265" s="4622"/>
      <c r="AU265" s="4724">
        <v>2</v>
      </c>
      <c r="AV265" s="4724">
        <v>1</v>
      </c>
      <c r="AW265" s="4725" t="s">
        <v>119</v>
      </c>
      <c r="AX265" s="4727" t="s">
        <v>2732</v>
      </c>
      <c r="AY265" s="4728">
        <v>1</v>
      </c>
      <c r="AZ265" s="4729">
        <v>12</v>
      </c>
      <c r="EN265" s="1487"/>
      <c r="EO265" s="1487"/>
      <c r="EP265" s="1487"/>
      <c r="EQ265" s="1487"/>
      <c r="ER265" s="1487"/>
      <c r="ES265" s="1487"/>
      <c r="ET265" s="1487"/>
      <c r="EU265" s="1487"/>
      <c r="EV265" s="1487"/>
      <c r="EW265" s="1487"/>
      <c r="EX265" s="1487"/>
      <c r="EY265" s="1487"/>
      <c r="EZ265" s="1487"/>
      <c r="FA265" s="1487"/>
      <c r="FB265" s="1487"/>
      <c r="FC265" s="1487"/>
      <c r="FD265" s="1487"/>
      <c r="FE265" s="1487"/>
      <c r="FF265" s="1487"/>
    </row>
    <row r="266" spans="17:162">
      <c r="Q266" s="4832"/>
      <c r="R266" s="4832"/>
      <c r="S266" s="4832"/>
      <c r="T266" s="4832"/>
      <c r="U266" s="4832"/>
      <c r="V266" s="4832"/>
      <c r="W266" s="4622"/>
      <c r="AU266" s="4724">
        <v>2</v>
      </c>
      <c r="AV266" s="4724">
        <v>1</v>
      </c>
      <c r="AW266" s="4725" t="s">
        <v>119</v>
      </c>
      <c r="AX266" s="4727" t="s">
        <v>2732</v>
      </c>
      <c r="AY266" s="4728">
        <v>1</v>
      </c>
      <c r="AZ266" s="4729">
        <v>13</v>
      </c>
      <c r="EM266" s="1488"/>
      <c r="EN266" s="1487"/>
      <c r="EO266" s="1487"/>
      <c r="EP266" s="1487"/>
      <c r="EQ266" s="1487"/>
      <c r="ER266" s="1487"/>
      <c r="ES266" s="1487"/>
      <c r="ET266" s="1487"/>
      <c r="EU266" s="1487"/>
      <c r="EV266" s="1487"/>
      <c r="EW266" s="1487"/>
      <c r="EX266" s="1487"/>
      <c r="EY266" s="1487"/>
      <c r="EZ266" s="1487"/>
      <c r="FA266" s="1487"/>
      <c r="FB266" s="1487"/>
      <c r="FC266" s="1487"/>
      <c r="FD266" s="1487"/>
      <c r="FE266" s="1487"/>
      <c r="FF266" s="1487"/>
    </row>
    <row r="267" spans="17:162">
      <c r="Q267" s="4832"/>
      <c r="R267" s="4832"/>
      <c r="S267" s="4832"/>
      <c r="T267" s="4832"/>
      <c r="U267" s="4832"/>
      <c r="V267" s="4832"/>
      <c r="W267" s="4622"/>
      <c r="AU267" s="4724">
        <v>2</v>
      </c>
      <c r="AV267" s="4724">
        <v>1</v>
      </c>
      <c r="AW267" s="4725" t="s">
        <v>119</v>
      </c>
      <c r="AX267" s="4725" t="s">
        <v>2703</v>
      </c>
      <c r="AY267" s="4726">
        <v>1</v>
      </c>
      <c r="AZ267" s="4724">
        <v>9</v>
      </c>
      <c r="EN267" s="1487"/>
      <c r="EO267" s="1487"/>
      <c r="EP267" s="1487"/>
      <c r="EQ267" s="1487"/>
      <c r="ER267" s="1487"/>
      <c r="ES267" s="1487"/>
      <c r="ET267" s="1487"/>
      <c r="EU267" s="1487"/>
      <c r="EV267" s="1487"/>
      <c r="EW267" s="1487"/>
      <c r="EX267" s="1487"/>
      <c r="EY267" s="1487"/>
      <c r="EZ267" s="1487"/>
      <c r="FA267" s="1487"/>
      <c r="FB267" s="1487"/>
      <c r="FC267" s="1487"/>
      <c r="FD267" s="1487"/>
      <c r="FE267" s="1487"/>
      <c r="FF267" s="1487"/>
    </row>
    <row r="268" spans="17:162">
      <c r="Q268" s="4832"/>
      <c r="R268" s="4832"/>
      <c r="S268" s="4832"/>
      <c r="T268" s="4832"/>
      <c r="U268" s="4832"/>
      <c r="V268" s="4832"/>
      <c r="W268" s="4622"/>
      <c r="AU268" s="4724">
        <v>2</v>
      </c>
      <c r="AV268" s="4724">
        <v>1</v>
      </c>
      <c r="AW268" s="4725" t="s">
        <v>119</v>
      </c>
      <c r="AX268" s="4727" t="s">
        <v>1076</v>
      </c>
      <c r="AY268" s="4728">
        <v>1</v>
      </c>
      <c r="AZ268" s="4729">
        <v>14</v>
      </c>
      <c r="EN268" s="1487"/>
      <c r="EO268" s="1487"/>
      <c r="EP268" s="1487"/>
      <c r="EQ268" s="1487"/>
      <c r="ER268" s="1487"/>
      <c r="ES268" s="1487"/>
      <c r="ET268" s="1487"/>
      <c r="EU268" s="1487"/>
      <c r="EV268" s="1487"/>
      <c r="EW268" s="1487"/>
      <c r="EX268" s="1487"/>
      <c r="EY268" s="1487"/>
      <c r="EZ268" s="1487"/>
      <c r="FA268" s="1487"/>
      <c r="FB268" s="1487"/>
      <c r="FC268" s="1487"/>
      <c r="FD268" s="1487"/>
      <c r="FE268" s="1487"/>
      <c r="FF268" s="1487"/>
    </row>
    <row r="269" spans="17:162">
      <c r="Q269" s="4832"/>
      <c r="R269" s="4832"/>
      <c r="S269" s="4832"/>
      <c r="T269" s="4832"/>
      <c r="U269" s="4832"/>
      <c r="V269" s="4832"/>
      <c r="W269" s="4622"/>
      <c r="AU269" s="4724">
        <v>2</v>
      </c>
      <c r="AV269" s="4724">
        <v>1</v>
      </c>
      <c r="AW269" s="4725" t="s">
        <v>119</v>
      </c>
      <c r="AX269" s="4725" t="s">
        <v>2709</v>
      </c>
      <c r="AY269" s="4726">
        <v>1</v>
      </c>
      <c r="AZ269" s="4724">
        <v>9</v>
      </c>
      <c r="EN269" s="1487"/>
      <c r="EO269" s="1487"/>
      <c r="EP269" s="1487"/>
      <c r="EQ269" s="1487"/>
      <c r="ER269" s="1487"/>
      <c r="ES269" s="1487"/>
      <c r="ET269" s="1487"/>
      <c r="EU269" s="1487"/>
      <c r="EV269" s="1487"/>
      <c r="EW269" s="1487"/>
      <c r="EX269" s="1487"/>
      <c r="EY269" s="1487"/>
      <c r="EZ269" s="1487"/>
      <c r="FA269" s="1487"/>
      <c r="FB269" s="1487"/>
      <c r="FC269" s="1487"/>
      <c r="FD269" s="1487"/>
      <c r="FE269" s="1487"/>
      <c r="FF269" s="1487"/>
    </row>
    <row r="270" spans="17:162">
      <c r="Q270" s="4832"/>
      <c r="R270" s="4832"/>
      <c r="S270" s="4832"/>
      <c r="T270" s="4832"/>
      <c r="U270" s="4832"/>
      <c r="V270" s="4832"/>
      <c r="W270" s="4622"/>
      <c r="AU270" s="4724">
        <v>2</v>
      </c>
      <c r="AV270" s="4724">
        <v>1</v>
      </c>
      <c r="AW270" s="4725" t="s">
        <v>119</v>
      </c>
      <c r="AX270" s="4725" t="s">
        <v>2709</v>
      </c>
      <c r="AY270" s="4726">
        <v>1</v>
      </c>
      <c r="AZ270" s="4724">
        <v>12</v>
      </c>
      <c r="EN270" s="1487"/>
      <c r="EO270" s="1487"/>
      <c r="EP270" s="1487"/>
      <c r="EQ270" s="1487"/>
      <c r="ER270" s="1487"/>
      <c r="ES270" s="1487"/>
      <c r="ET270" s="1487"/>
      <c r="EU270" s="1487"/>
      <c r="EV270" s="1487"/>
      <c r="EW270" s="1487"/>
      <c r="EX270" s="1487"/>
      <c r="EY270" s="1487"/>
      <c r="EZ270" s="1487"/>
      <c r="FA270" s="1487"/>
      <c r="FB270" s="1487"/>
      <c r="FC270" s="1487"/>
      <c r="FD270" s="1487"/>
      <c r="FE270" s="1487"/>
      <c r="FF270" s="1487"/>
    </row>
    <row r="271" spans="17:162">
      <c r="Q271" s="4832"/>
      <c r="R271" s="4832"/>
      <c r="S271" s="4832"/>
      <c r="T271" s="4832"/>
      <c r="U271" s="4832"/>
      <c r="V271" s="4832"/>
      <c r="W271" s="4622"/>
      <c r="AU271" s="4724">
        <v>2</v>
      </c>
      <c r="AV271" s="4724">
        <v>1</v>
      </c>
      <c r="AW271" s="4725" t="s">
        <v>119</v>
      </c>
      <c r="AX271" s="4725" t="s">
        <v>2709</v>
      </c>
      <c r="AY271" s="4726">
        <v>2</v>
      </c>
      <c r="AZ271" s="4724">
        <v>13</v>
      </c>
      <c r="EN271" s="1487"/>
      <c r="EO271" s="1487"/>
      <c r="EP271" s="1487"/>
      <c r="EQ271" s="1487"/>
      <c r="ER271" s="1487"/>
      <c r="ES271" s="1487"/>
      <c r="ET271" s="1487"/>
      <c r="EU271" s="1487"/>
      <c r="EV271" s="1487"/>
      <c r="EW271" s="1487"/>
      <c r="EX271" s="1487"/>
      <c r="EY271" s="1487"/>
      <c r="EZ271" s="1487"/>
      <c r="FA271" s="1487"/>
      <c r="FB271" s="1487"/>
      <c r="FC271" s="1487"/>
      <c r="FD271" s="1487"/>
      <c r="FE271" s="1487"/>
      <c r="FF271" s="1487"/>
    </row>
    <row r="272" spans="17:162">
      <c r="Q272" s="4832"/>
      <c r="R272" s="4832"/>
      <c r="S272" s="4832"/>
      <c r="T272" s="4832"/>
      <c r="U272" s="4832"/>
      <c r="V272" s="4832"/>
      <c r="W272" s="4622"/>
      <c r="AU272" s="4724">
        <v>2</v>
      </c>
      <c r="AV272" s="4724">
        <v>1</v>
      </c>
      <c r="AW272" s="4725" t="s">
        <v>123</v>
      </c>
      <c r="AX272" s="4725" t="s">
        <v>2731</v>
      </c>
      <c r="AY272" s="4726">
        <v>1</v>
      </c>
      <c r="AZ272" s="4724">
        <v>13</v>
      </c>
      <c r="EN272" s="1487"/>
      <c r="EO272" s="1487"/>
      <c r="EP272" s="1487"/>
      <c r="EQ272" s="1487"/>
      <c r="ER272" s="1487"/>
      <c r="ES272" s="1487"/>
      <c r="ET272" s="1487"/>
      <c r="EU272" s="1487"/>
      <c r="EV272" s="1487"/>
      <c r="EW272" s="1487"/>
      <c r="EX272" s="1487"/>
      <c r="EY272" s="1487"/>
      <c r="EZ272" s="1487"/>
      <c r="FA272" s="1487"/>
      <c r="FB272" s="1487"/>
      <c r="FC272" s="1487"/>
      <c r="FD272" s="1487"/>
      <c r="FE272" s="1487"/>
      <c r="FF272" s="1487"/>
    </row>
    <row r="273" spans="17:162">
      <c r="Q273" s="4832"/>
      <c r="R273" s="4832"/>
      <c r="S273" s="4832"/>
      <c r="T273" s="4832"/>
      <c r="U273" s="4832"/>
      <c r="V273" s="4832"/>
      <c r="W273" s="4622"/>
      <c r="AU273" s="4724">
        <v>2</v>
      </c>
      <c r="AV273" s="4724">
        <v>1</v>
      </c>
      <c r="AW273" s="4725" t="s">
        <v>123</v>
      </c>
      <c r="AX273" s="4725" t="s">
        <v>2731</v>
      </c>
      <c r="AY273" s="4726">
        <v>2</v>
      </c>
      <c r="AZ273" s="4724">
        <v>15</v>
      </c>
      <c r="EM273" s="1488"/>
      <c r="EN273" s="1487"/>
      <c r="EO273" s="1487"/>
      <c r="EP273" s="1487"/>
      <c r="EQ273" s="1487"/>
      <c r="ER273" s="1487"/>
      <c r="ES273" s="1487"/>
      <c r="ET273" s="1487"/>
      <c r="EU273" s="1487"/>
      <c r="EV273" s="1487"/>
      <c r="EW273" s="1487"/>
      <c r="EX273" s="1487"/>
      <c r="EY273" s="1487"/>
      <c r="EZ273" s="1487"/>
      <c r="FA273" s="1487"/>
      <c r="FB273" s="1487"/>
      <c r="FC273" s="1487"/>
      <c r="FD273" s="1487"/>
      <c r="FE273" s="1487"/>
      <c r="FF273" s="1487"/>
    </row>
    <row r="274" spans="17:162">
      <c r="Q274" s="4832"/>
      <c r="R274" s="4832"/>
      <c r="S274" s="4832"/>
      <c r="T274" s="4832"/>
      <c r="U274" s="4832"/>
      <c r="V274" s="4832"/>
      <c r="W274" s="4622"/>
      <c r="AU274" s="4724">
        <v>2</v>
      </c>
      <c r="AV274" s="4724">
        <v>1</v>
      </c>
      <c r="AW274" s="4725" t="s">
        <v>123</v>
      </c>
      <c r="AX274" s="4727" t="s">
        <v>1076</v>
      </c>
      <c r="AY274" s="4728">
        <v>1</v>
      </c>
      <c r="AZ274" s="4729">
        <v>12</v>
      </c>
      <c r="EN274" s="1487"/>
      <c r="EO274" s="1487"/>
      <c r="EP274" s="1487"/>
      <c r="EQ274" s="1487"/>
      <c r="ER274" s="1487"/>
      <c r="ES274" s="1487"/>
      <c r="ET274" s="1487"/>
      <c r="EU274" s="1487"/>
      <c r="EV274" s="1487"/>
      <c r="EW274" s="1487"/>
      <c r="EX274" s="1487"/>
      <c r="EY274" s="1487"/>
      <c r="EZ274" s="1487"/>
      <c r="FA274" s="1487"/>
      <c r="FB274" s="1487"/>
      <c r="FC274" s="1487"/>
      <c r="FD274" s="1487"/>
      <c r="FE274" s="1487"/>
      <c r="FF274" s="1487"/>
    </row>
    <row r="275" spans="17:162">
      <c r="Q275" s="4832"/>
      <c r="R275" s="4832"/>
      <c r="S275" s="4832"/>
      <c r="T275" s="4832"/>
      <c r="U275" s="4832"/>
      <c r="V275" s="4832"/>
      <c r="W275" s="4622"/>
      <c r="AU275" s="4724">
        <v>2</v>
      </c>
      <c r="AV275" s="4724">
        <v>1</v>
      </c>
      <c r="AW275" s="4725" t="s">
        <v>123</v>
      </c>
      <c r="AX275" s="4725" t="s">
        <v>2709</v>
      </c>
      <c r="AY275" s="4726">
        <v>1</v>
      </c>
      <c r="AZ275" s="4724">
        <v>5</v>
      </c>
      <c r="EN275" s="1487"/>
      <c r="EO275" s="1487"/>
      <c r="EP275" s="1487"/>
      <c r="EQ275" s="1487"/>
      <c r="ER275" s="1487"/>
      <c r="ES275" s="1487"/>
      <c r="ET275" s="1487"/>
      <c r="EU275" s="1487"/>
      <c r="EV275" s="1487"/>
      <c r="EW275" s="1487"/>
      <c r="EX275" s="1487"/>
      <c r="EY275" s="1487"/>
      <c r="EZ275" s="1487"/>
      <c r="FA275" s="1487"/>
      <c r="FB275" s="1487"/>
      <c r="FC275" s="1487"/>
      <c r="FD275" s="1487"/>
      <c r="FE275" s="1487"/>
      <c r="FF275" s="1487"/>
    </row>
    <row r="276" spans="17:162">
      <c r="Q276" s="4832"/>
      <c r="R276" s="4832"/>
      <c r="S276" s="4832"/>
      <c r="T276" s="4832"/>
      <c r="U276" s="4832"/>
      <c r="V276" s="4832"/>
      <c r="W276" s="4622"/>
      <c r="AU276" s="4724">
        <v>2</v>
      </c>
      <c r="AV276" s="4724">
        <v>1</v>
      </c>
      <c r="AW276" s="4725" t="s">
        <v>123</v>
      </c>
      <c r="AX276" s="4725" t="s">
        <v>2709</v>
      </c>
      <c r="AY276" s="4726">
        <v>1</v>
      </c>
      <c r="AZ276" s="4724">
        <v>10</v>
      </c>
      <c r="EN276" s="1487"/>
      <c r="EO276" s="1487"/>
      <c r="EP276" s="1487"/>
      <c r="EQ276" s="1487"/>
      <c r="ER276" s="1487"/>
      <c r="ES276" s="1487"/>
      <c r="ET276" s="1487"/>
      <c r="EU276" s="1487"/>
      <c r="EV276" s="1487"/>
      <c r="EW276" s="1487"/>
      <c r="EX276" s="1487"/>
      <c r="EY276" s="1487"/>
      <c r="EZ276" s="1487"/>
      <c r="FA276" s="1487"/>
      <c r="FB276" s="1487"/>
      <c r="FC276" s="1487"/>
      <c r="FD276" s="1487"/>
      <c r="FE276" s="1487"/>
      <c r="FF276" s="1487"/>
    </row>
    <row r="277" spans="17:162">
      <c r="Q277" s="4832"/>
      <c r="R277" s="4832"/>
      <c r="S277" s="4832"/>
      <c r="T277" s="4832"/>
      <c r="U277" s="4832"/>
      <c r="V277" s="4832"/>
      <c r="W277" s="4622"/>
      <c r="AU277" s="4724">
        <v>2</v>
      </c>
      <c r="AV277" s="4724">
        <v>1</v>
      </c>
      <c r="AW277" s="4725" t="s">
        <v>123</v>
      </c>
      <c r="AX277" s="4725" t="s">
        <v>2709</v>
      </c>
      <c r="AY277" s="4726">
        <v>1</v>
      </c>
      <c r="AZ277" s="4724">
        <v>13</v>
      </c>
      <c r="EN277" s="1487"/>
      <c r="EO277" s="1487"/>
      <c r="EP277" s="1487"/>
      <c r="EQ277" s="1487"/>
      <c r="ER277" s="1487"/>
      <c r="ES277" s="1487"/>
      <c r="ET277" s="1487"/>
      <c r="EU277" s="1487"/>
      <c r="EV277" s="1487"/>
      <c r="EW277" s="1487"/>
      <c r="EX277" s="1487"/>
      <c r="EY277" s="1487"/>
      <c r="EZ277" s="1487"/>
      <c r="FA277" s="1487"/>
      <c r="FB277" s="1487"/>
      <c r="FC277" s="1487"/>
      <c r="FD277" s="1487"/>
      <c r="FE277" s="1487"/>
      <c r="FF277" s="1487"/>
    </row>
    <row r="278" spans="17:162">
      <c r="Q278" s="4832"/>
      <c r="R278" s="4832"/>
      <c r="S278" s="4832"/>
      <c r="T278" s="4832"/>
      <c r="U278" s="4832"/>
      <c r="V278" s="4832"/>
      <c r="W278" s="4622"/>
      <c r="AU278" s="4724">
        <v>2</v>
      </c>
      <c r="AV278" s="4724">
        <v>1</v>
      </c>
      <c r="AW278" s="4725" t="s">
        <v>122</v>
      </c>
      <c r="AX278" s="4725" t="s">
        <v>2731</v>
      </c>
      <c r="AY278" s="4726">
        <v>1</v>
      </c>
      <c r="AZ278" s="4724">
        <v>13</v>
      </c>
      <c r="EM278" s="1488"/>
      <c r="EN278" s="1487"/>
      <c r="EO278" s="1487"/>
      <c r="EP278" s="1487"/>
      <c r="EQ278" s="1487"/>
      <c r="ER278" s="1487"/>
      <c r="ES278" s="1487"/>
      <c r="ET278" s="1487"/>
      <c r="EU278" s="1487"/>
      <c r="EV278" s="1487"/>
      <c r="EW278" s="1487"/>
      <c r="EX278" s="1487"/>
      <c r="EY278" s="1487"/>
      <c r="EZ278" s="1487"/>
      <c r="FA278" s="1487"/>
      <c r="FB278" s="1487"/>
      <c r="FC278" s="1487"/>
      <c r="FD278" s="1487"/>
      <c r="FE278" s="1487"/>
      <c r="FF278" s="1487"/>
    </row>
    <row r="279" spans="17:162">
      <c r="Q279" s="4832"/>
      <c r="R279" s="4832"/>
      <c r="S279" s="4832"/>
      <c r="T279" s="4832"/>
      <c r="U279" s="4832"/>
      <c r="V279" s="4832"/>
      <c r="W279" s="4622"/>
      <c r="AU279" s="4724">
        <v>2</v>
      </c>
      <c r="AV279" s="4724">
        <v>1</v>
      </c>
      <c r="AW279" s="4725" t="s">
        <v>122</v>
      </c>
      <c r="AX279" s="4725" t="s">
        <v>2731</v>
      </c>
      <c r="AY279" s="4726">
        <v>2</v>
      </c>
      <c r="AZ279" s="4724">
        <v>14</v>
      </c>
      <c r="EN279" s="1487"/>
      <c r="EO279" s="1487"/>
      <c r="EP279" s="1487"/>
      <c r="EQ279" s="1487"/>
      <c r="ER279" s="1487"/>
      <c r="ES279" s="1487"/>
      <c r="ET279" s="1487"/>
      <c r="EU279" s="1487"/>
      <c r="EV279" s="1487"/>
      <c r="EW279" s="1487"/>
      <c r="EX279" s="1487"/>
      <c r="EY279" s="1487"/>
      <c r="EZ279" s="1487"/>
      <c r="FA279" s="1487"/>
      <c r="FB279" s="1487"/>
      <c r="FC279" s="1487"/>
      <c r="FD279" s="1487"/>
      <c r="FE279" s="1487"/>
      <c r="FF279" s="1487"/>
    </row>
    <row r="280" spans="17:162">
      <c r="Q280" s="4832"/>
      <c r="R280" s="4832"/>
      <c r="S280" s="4832"/>
      <c r="T280" s="4832"/>
      <c r="U280" s="4832"/>
      <c r="V280" s="4832"/>
      <c r="W280" s="4622"/>
      <c r="AU280" s="4724">
        <v>2</v>
      </c>
      <c r="AV280" s="4724">
        <v>1</v>
      </c>
      <c r="AW280" s="4725" t="s">
        <v>122</v>
      </c>
      <c r="AX280" s="4727" t="s">
        <v>2732</v>
      </c>
      <c r="AY280" s="4728">
        <v>1</v>
      </c>
      <c r="AZ280" s="4729">
        <v>12</v>
      </c>
      <c r="EN280" s="1487"/>
      <c r="EO280" s="1487"/>
      <c r="EP280" s="1487"/>
      <c r="EQ280" s="1487"/>
      <c r="ER280" s="1487"/>
      <c r="ES280" s="1487"/>
      <c r="ET280" s="1487"/>
      <c r="EU280" s="1487"/>
      <c r="EV280" s="1487"/>
      <c r="EW280" s="1487"/>
      <c r="EX280" s="1487"/>
      <c r="EY280" s="1487"/>
      <c r="EZ280" s="1487"/>
      <c r="FA280" s="1487"/>
      <c r="FB280" s="1487"/>
      <c r="FC280" s="1487"/>
      <c r="FD280" s="1487"/>
      <c r="FE280" s="1487"/>
      <c r="FF280" s="1487"/>
    </row>
    <row r="281" spans="17:162">
      <c r="Q281" s="4832"/>
      <c r="R281" s="4832"/>
      <c r="S281" s="4832"/>
      <c r="T281" s="4832"/>
      <c r="U281" s="4832"/>
      <c r="V281" s="4832"/>
      <c r="W281" s="4622"/>
      <c r="AU281" s="4724">
        <v>2</v>
      </c>
      <c r="AV281" s="4724">
        <v>1</v>
      </c>
      <c r="AW281" s="4725" t="s">
        <v>122</v>
      </c>
      <c r="AX281" s="4725" t="s">
        <v>2709</v>
      </c>
      <c r="AY281" s="4726">
        <v>1</v>
      </c>
      <c r="AZ281" s="4724">
        <v>9</v>
      </c>
      <c r="EN281" s="1487"/>
      <c r="EO281" s="1487"/>
      <c r="EP281" s="1487"/>
      <c r="EQ281" s="1487"/>
      <c r="ER281" s="1487"/>
      <c r="ES281" s="1487"/>
      <c r="ET281" s="1487"/>
      <c r="EU281" s="1487"/>
      <c r="EV281" s="1487"/>
      <c r="EW281" s="1487"/>
      <c r="EX281" s="1487"/>
      <c r="EY281" s="1487"/>
      <c r="EZ281" s="1487"/>
      <c r="FA281" s="1487"/>
      <c r="FB281" s="1487"/>
      <c r="FC281" s="1487"/>
      <c r="FD281" s="1487"/>
      <c r="FE281" s="1487"/>
      <c r="FF281" s="1487"/>
    </row>
    <row r="282" spans="17:162">
      <c r="Q282" s="4832"/>
      <c r="R282" s="4832"/>
      <c r="S282" s="4832"/>
      <c r="T282" s="4832"/>
      <c r="U282" s="4832"/>
      <c r="V282" s="4832"/>
      <c r="W282" s="4622"/>
      <c r="AU282" s="4724">
        <v>2</v>
      </c>
      <c r="AV282" s="4724">
        <v>1</v>
      </c>
      <c r="AW282" s="4725" t="s">
        <v>120</v>
      </c>
      <c r="AX282" s="4725" t="s">
        <v>2731</v>
      </c>
      <c r="AY282" s="4726">
        <v>2</v>
      </c>
      <c r="AZ282" s="4724">
        <v>13</v>
      </c>
      <c r="EN282" s="1487"/>
      <c r="EO282" s="1487"/>
      <c r="EP282" s="1487"/>
      <c r="EQ282" s="1487"/>
      <c r="ER282" s="1487"/>
      <c r="ES282" s="1487"/>
      <c r="ET282" s="1487"/>
      <c r="EU282" s="1487"/>
      <c r="EV282" s="1487"/>
      <c r="EW282" s="1487"/>
      <c r="EX282" s="1487"/>
      <c r="EY282" s="1487"/>
      <c r="EZ282" s="1487"/>
      <c r="FA282" s="1487"/>
      <c r="FB282" s="1487"/>
      <c r="FC282" s="1487"/>
      <c r="FD282" s="1487"/>
      <c r="FE282" s="1487"/>
      <c r="FF282" s="1487"/>
    </row>
    <row r="283" spans="17:162">
      <c r="Q283" s="4832"/>
      <c r="R283" s="4832"/>
      <c r="S283" s="4832"/>
      <c r="T283" s="4832"/>
      <c r="U283" s="4832"/>
      <c r="V283" s="4832"/>
      <c r="W283" s="4622"/>
      <c r="AU283" s="4724">
        <v>2</v>
      </c>
      <c r="AV283" s="4724">
        <v>1</v>
      </c>
      <c r="AW283" s="4725" t="s">
        <v>120</v>
      </c>
      <c r="AX283" s="4725" t="s">
        <v>2731</v>
      </c>
      <c r="AY283" s="4726">
        <v>3</v>
      </c>
      <c r="AZ283" s="4724">
        <v>15</v>
      </c>
      <c r="EM283" s="1488"/>
      <c r="EN283" s="1487"/>
      <c r="EO283" s="1487"/>
      <c r="EP283" s="1487"/>
      <c r="EQ283" s="1487"/>
      <c r="ER283" s="1487"/>
      <c r="ES283" s="1487"/>
      <c r="ET283" s="1487"/>
      <c r="EU283" s="1487"/>
      <c r="EV283" s="1487"/>
      <c r="EW283" s="1487"/>
      <c r="EX283" s="1487"/>
      <c r="EY283" s="1487"/>
      <c r="EZ283" s="1487"/>
      <c r="FA283" s="1487"/>
      <c r="FB283" s="1487"/>
      <c r="FC283" s="1487"/>
      <c r="FD283" s="1487"/>
      <c r="FE283" s="1487"/>
      <c r="FF283" s="1487"/>
    </row>
    <row r="284" spans="17:162">
      <c r="Q284" s="4832"/>
      <c r="R284" s="4832"/>
      <c r="S284" s="4832"/>
      <c r="T284" s="4832"/>
      <c r="U284" s="4832"/>
      <c r="V284" s="4832"/>
      <c r="W284" s="4622"/>
      <c r="AU284" s="4724">
        <v>2</v>
      </c>
      <c r="AV284" s="4724">
        <v>1</v>
      </c>
      <c r="AW284" s="4725" t="s">
        <v>120</v>
      </c>
      <c r="AX284" s="4725" t="s">
        <v>1071</v>
      </c>
      <c r="AY284" s="4726">
        <v>1</v>
      </c>
      <c r="AZ284" s="4724">
        <v>13</v>
      </c>
      <c r="EN284" s="1487"/>
      <c r="EO284" s="1487"/>
      <c r="EP284" s="1487"/>
      <c r="EQ284" s="1487"/>
      <c r="ER284" s="1487"/>
      <c r="ES284" s="1487"/>
      <c r="ET284" s="1487"/>
      <c r="EU284" s="1487"/>
      <c r="EV284" s="1487"/>
      <c r="EW284" s="1487"/>
      <c r="EX284" s="1487"/>
      <c r="EY284" s="1487"/>
      <c r="EZ284" s="1487"/>
      <c r="FA284" s="1487"/>
      <c r="FB284" s="1487"/>
      <c r="FC284" s="1487"/>
      <c r="FD284" s="1487"/>
      <c r="FE284" s="1487"/>
      <c r="FF284" s="1487"/>
    </row>
    <row r="285" spans="17:162">
      <c r="Q285" s="4832"/>
      <c r="R285" s="4832"/>
      <c r="S285" s="4832"/>
      <c r="T285" s="4832"/>
      <c r="U285" s="4832"/>
      <c r="V285" s="4832"/>
      <c r="W285" s="4622"/>
      <c r="AU285" s="4724">
        <v>2</v>
      </c>
      <c r="AV285" s="4724">
        <v>1</v>
      </c>
      <c r="AW285" s="4725" t="s">
        <v>120</v>
      </c>
      <c r="AX285" s="4725" t="s">
        <v>1071</v>
      </c>
      <c r="AY285" s="4726">
        <v>1</v>
      </c>
      <c r="AZ285" s="4724">
        <v>14</v>
      </c>
      <c r="EN285" s="1487"/>
      <c r="EO285" s="1487"/>
      <c r="EP285" s="1487"/>
      <c r="EQ285" s="1487"/>
      <c r="ER285" s="1487"/>
      <c r="ES285" s="1487"/>
      <c r="ET285" s="1487"/>
      <c r="EU285" s="1487"/>
      <c r="EV285" s="1487"/>
      <c r="EW285" s="1487"/>
      <c r="EX285" s="1487"/>
      <c r="EY285" s="1487"/>
      <c r="EZ285" s="1487"/>
      <c r="FA285" s="1487"/>
      <c r="FB285" s="1487"/>
      <c r="FC285" s="1487"/>
      <c r="FD285" s="1487"/>
      <c r="FE285" s="1487"/>
      <c r="FF285" s="1487"/>
    </row>
    <row r="286" spans="17:162">
      <c r="Q286" s="4832"/>
      <c r="R286" s="4832"/>
      <c r="S286" s="4832"/>
      <c r="T286" s="4832"/>
      <c r="U286" s="4832"/>
      <c r="V286" s="4832"/>
      <c r="W286" s="4622"/>
      <c r="AU286" s="4724">
        <v>2</v>
      </c>
      <c r="AV286" s="4724">
        <v>1</v>
      </c>
      <c r="AW286" s="4725" t="s">
        <v>120</v>
      </c>
      <c r="AX286" s="4727" t="s">
        <v>2732</v>
      </c>
      <c r="AY286" s="4728">
        <v>1</v>
      </c>
      <c r="AZ286" s="4729">
        <v>12</v>
      </c>
      <c r="EN286" s="1487"/>
      <c r="EO286" s="1487"/>
      <c r="EP286" s="1487"/>
      <c r="EQ286" s="1487"/>
      <c r="ER286" s="1487"/>
      <c r="ES286" s="1487"/>
      <c r="ET286" s="1487"/>
      <c r="EU286" s="1487"/>
      <c r="EV286" s="1487"/>
      <c r="EW286" s="1487"/>
      <c r="EX286" s="1487"/>
      <c r="EY286" s="1487"/>
      <c r="EZ286" s="1487"/>
      <c r="FA286" s="1487"/>
      <c r="FB286" s="1487"/>
      <c r="FC286" s="1487"/>
      <c r="FD286" s="1487"/>
      <c r="FE286" s="1487"/>
      <c r="FF286" s="1487"/>
    </row>
    <row r="287" spans="17:162">
      <c r="Q287" s="4832"/>
      <c r="R287" s="4832"/>
      <c r="S287" s="4832"/>
      <c r="T287" s="4832"/>
      <c r="U287" s="4832"/>
      <c r="V287" s="4832"/>
      <c r="W287" s="4622"/>
      <c r="AU287" s="4724">
        <v>2</v>
      </c>
      <c r="AV287" s="4724">
        <v>1</v>
      </c>
      <c r="AW287" s="4725" t="s">
        <v>120</v>
      </c>
      <c r="AX287" s="4727" t="s">
        <v>2732</v>
      </c>
      <c r="AY287" s="4728">
        <v>1</v>
      </c>
      <c r="AZ287" s="4729">
        <v>14</v>
      </c>
      <c r="EN287" s="1487"/>
      <c r="EO287" s="1487"/>
      <c r="EP287" s="1487"/>
      <c r="EQ287" s="1487"/>
      <c r="ER287" s="1487"/>
      <c r="ES287" s="1487"/>
      <c r="ET287" s="1487"/>
      <c r="EU287" s="1487"/>
      <c r="EV287" s="1487"/>
      <c r="EW287" s="1487"/>
      <c r="EX287" s="1487"/>
      <c r="EY287" s="1487"/>
      <c r="EZ287" s="1487"/>
      <c r="FA287" s="1487"/>
      <c r="FB287" s="1487"/>
      <c r="FC287" s="1487"/>
      <c r="FD287" s="1487"/>
      <c r="FE287" s="1487"/>
      <c r="FF287" s="1487"/>
    </row>
    <row r="288" spans="17:162">
      <c r="Q288" s="4832"/>
      <c r="R288" s="4832"/>
      <c r="S288" s="4832"/>
      <c r="T288" s="4832"/>
      <c r="U288" s="4832"/>
      <c r="V288" s="4832"/>
      <c r="W288" s="4622"/>
      <c r="AU288" s="4724">
        <v>2</v>
      </c>
      <c r="AV288" s="4724">
        <v>1</v>
      </c>
      <c r="AW288" s="4725" t="s">
        <v>120</v>
      </c>
      <c r="AX288" s="4725" t="s">
        <v>2709</v>
      </c>
      <c r="AY288" s="4726">
        <v>1</v>
      </c>
      <c r="AZ288" s="4724">
        <v>12</v>
      </c>
      <c r="EN288" s="1487"/>
      <c r="EO288" s="1487"/>
      <c r="EP288" s="1487"/>
      <c r="EQ288" s="1487"/>
      <c r="ER288" s="1487"/>
      <c r="ES288" s="1487"/>
      <c r="ET288" s="1487"/>
      <c r="EU288" s="1487"/>
      <c r="EV288" s="1487"/>
      <c r="EW288" s="1487"/>
      <c r="EX288" s="1487"/>
      <c r="EY288" s="1487"/>
      <c r="EZ288" s="1487"/>
      <c r="FA288" s="1487"/>
      <c r="FB288" s="1487"/>
      <c r="FC288" s="1487"/>
      <c r="FD288" s="1487"/>
      <c r="FE288" s="1487"/>
      <c r="FF288" s="1487"/>
    </row>
    <row r="289" spans="17:162">
      <c r="Q289" s="4832"/>
      <c r="R289" s="4832"/>
      <c r="S289" s="4832"/>
      <c r="T289" s="4832"/>
      <c r="U289" s="4832"/>
      <c r="V289" s="4832"/>
      <c r="W289" s="4622"/>
      <c r="AU289" s="4724">
        <v>2</v>
      </c>
      <c r="AV289" s="4724">
        <v>1</v>
      </c>
      <c r="AW289" s="4725" t="s">
        <v>120</v>
      </c>
      <c r="AX289" s="4725" t="s">
        <v>2709</v>
      </c>
      <c r="AY289" s="4726">
        <v>1</v>
      </c>
      <c r="AZ289" s="4724">
        <v>13</v>
      </c>
      <c r="EN289" s="1487"/>
      <c r="EO289" s="1487"/>
      <c r="EP289" s="1487"/>
      <c r="EQ289" s="1487"/>
      <c r="ER289" s="1487"/>
      <c r="ES289" s="1487"/>
      <c r="ET289" s="1487"/>
      <c r="EU289" s="1487"/>
      <c r="EV289" s="1487"/>
      <c r="EW289" s="1487"/>
      <c r="EX289" s="1487"/>
      <c r="EY289" s="1487"/>
      <c r="EZ289" s="1487"/>
      <c r="FA289" s="1487"/>
      <c r="FB289" s="1487"/>
      <c r="FC289" s="1487"/>
      <c r="FD289" s="1487"/>
      <c r="FE289" s="1487"/>
      <c r="FF289" s="1487"/>
    </row>
    <row r="290" spans="17:162">
      <c r="Q290" s="4832"/>
      <c r="R290" s="4832"/>
      <c r="S290" s="4832"/>
      <c r="T290" s="4832"/>
      <c r="U290" s="4832"/>
      <c r="V290" s="4832"/>
      <c r="W290" s="4622"/>
      <c r="AU290" s="4724">
        <v>2</v>
      </c>
      <c r="AV290" s="4724">
        <v>1</v>
      </c>
      <c r="AW290" s="4725" t="s">
        <v>121</v>
      </c>
      <c r="AX290" s="4725" t="s">
        <v>2731</v>
      </c>
      <c r="AY290" s="4726">
        <v>1</v>
      </c>
      <c r="AZ290" s="4724">
        <v>13</v>
      </c>
      <c r="EM290" s="1488"/>
      <c r="EN290" s="1487"/>
      <c r="EO290" s="1487"/>
      <c r="EP290" s="1487"/>
      <c r="EQ290" s="1487"/>
      <c r="ER290" s="1487"/>
      <c r="ES290" s="1487"/>
      <c r="ET290" s="1487"/>
      <c r="EU290" s="1487"/>
      <c r="EV290" s="1487"/>
      <c r="EW290" s="1487"/>
      <c r="EX290" s="1487"/>
      <c r="EY290" s="1487"/>
      <c r="EZ290" s="1487"/>
      <c r="FA290" s="1487"/>
      <c r="FB290" s="1487"/>
      <c r="FC290" s="1487"/>
      <c r="FD290" s="1487"/>
      <c r="FE290" s="1487"/>
      <c r="FF290" s="1487"/>
    </row>
    <row r="291" spans="17:162">
      <c r="Q291" s="4832"/>
      <c r="R291" s="4832"/>
      <c r="S291" s="4832"/>
      <c r="T291" s="4832"/>
      <c r="U291" s="4832"/>
      <c r="V291" s="4832"/>
      <c r="W291" s="4622"/>
      <c r="AU291" s="4724">
        <v>2</v>
      </c>
      <c r="AV291" s="4724">
        <v>1</v>
      </c>
      <c r="AW291" s="4725" t="s">
        <v>121</v>
      </c>
      <c r="AX291" s="4727" t="s">
        <v>2732</v>
      </c>
      <c r="AY291" s="4728">
        <v>1</v>
      </c>
      <c r="AZ291" s="4729">
        <v>12</v>
      </c>
      <c r="EN291" s="1487"/>
      <c r="EO291" s="1487"/>
      <c r="EP291" s="1487"/>
      <c r="EQ291" s="1487"/>
      <c r="ER291" s="1487"/>
      <c r="ES291" s="1487"/>
      <c r="ET291" s="1487"/>
      <c r="EU291" s="1487"/>
      <c r="EV291" s="1487"/>
      <c r="EW291" s="1487"/>
      <c r="EX291" s="1487"/>
      <c r="EY291" s="1487"/>
      <c r="EZ291" s="1487"/>
      <c r="FA291" s="1487"/>
      <c r="FB291" s="1487"/>
      <c r="FC291" s="1487"/>
      <c r="FD291" s="1487"/>
      <c r="FE291" s="1487"/>
      <c r="FF291" s="1487"/>
    </row>
    <row r="292" spans="17:162">
      <c r="Q292" s="4832"/>
      <c r="R292" s="4832"/>
      <c r="S292" s="4832"/>
      <c r="T292" s="4832"/>
      <c r="U292" s="4832"/>
      <c r="V292" s="4832"/>
      <c r="W292" s="4622"/>
      <c r="AU292" s="4724">
        <v>2</v>
      </c>
      <c r="AV292" s="4724">
        <v>2</v>
      </c>
      <c r="AW292" s="4725" t="s">
        <v>2737</v>
      </c>
      <c r="AX292" s="4725" t="s">
        <v>2731</v>
      </c>
      <c r="AY292" s="4726">
        <v>2</v>
      </c>
      <c r="AZ292" s="4724">
        <v>14</v>
      </c>
      <c r="EN292" s="1487"/>
      <c r="EO292" s="1487"/>
      <c r="EP292" s="1487"/>
      <c r="EQ292" s="1487"/>
      <c r="ER292" s="1487"/>
      <c r="ES292" s="1487"/>
      <c r="ET292" s="1487"/>
      <c r="EU292" s="1487"/>
      <c r="EV292" s="1487"/>
      <c r="EW292" s="1487"/>
      <c r="EX292" s="1487"/>
      <c r="EY292" s="1487"/>
      <c r="EZ292" s="1487"/>
      <c r="FA292" s="1487"/>
      <c r="FB292" s="1487"/>
      <c r="FC292" s="1487"/>
      <c r="FD292" s="1487"/>
      <c r="FE292" s="1487"/>
      <c r="FF292" s="1487"/>
    </row>
    <row r="293" spans="17:162">
      <c r="Q293" s="4832"/>
      <c r="R293" s="4832"/>
      <c r="S293" s="4832"/>
      <c r="T293" s="4832"/>
      <c r="U293" s="4832"/>
      <c r="V293" s="4832"/>
      <c r="W293" s="4622"/>
      <c r="AU293" s="4724">
        <v>2</v>
      </c>
      <c r="AV293" s="4724">
        <v>2</v>
      </c>
      <c r="AW293" s="4725" t="s">
        <v>2737</v>
      </c>
      <c r="AX293" s="4725" t="s">
        <v>2731</v>
      </c>
      <c r="AY293" s="4726">
        <v>4</v>
      </c>
      <c r="AZ293" s="4724">
        <v>15</v>
      </c>
      <c r="EN293" s="1487"/>
      <c r="EO293" s="1487"/>
      <c r="EP293" s="1487"/>
      <c r="EQ293" s="1487"/>
      <c r="ER293" s="1487"/>
      <c r="ES293" s="1487"/>
      <c r="ET293" s="1487"/>
      <c r="EU293" s="1487"/>
      <c r="EV293" s="1487"/>
      <c r="EW293" s="1487"/>
      <c r="EX293" s="1487"/>
      <c r="EY293" s="1487"/>
      <c r="EZ293" s="1487"/>
      <c r="FA293" s="1487"/>
      <c r="FB293" s="1487"/>
      <c r="FC293" s="1487"/>
      <c r="FD293" s="1487"/>
      <c r="FE293" s="1487"/>
      <c r="FF293" s="1487"/>
    </row>
    <row r="294" spans="17:162">
      <c r="Q294" s="4832"/>
      <c r="R294" s="4832"/>
      <c r="S294" s="4832"/>
      <c r="T294" s="4832"/>
      <c r="U294" s="4832"/>
      <c r="V294" s="4832"/>
      <c r="W294" s="4622"/>
      <c r="AU294" s="4724">
        <v>2</v>
      </c>
      <c r="AV294" s="4724">
        <v>2</v>
      </c>
      <c r="AW294" s="4725" t="s">
        <v>2737</v>
      </c>
      <c r="AX294" s="4725" t="s">
        <v>2705</v>
      </c>
      <c r="AY294" s="4726">
        <v>1</v>
      </c>
      <c r="AZ294" s="4724">
        <v>1</v>
      </c>
      <c r="EN294" s="1487"/>
      <c r="EO294" s="1487"/>
      <c r="EP294" s="1487"/>
      <c r="EQ294" s="1487"/>
      <c r="ER294" s="1487"/>
      <c r="ES294" s="1487"/>
      <c r="ET294" s="1487"/>
      <c r="EU294" s="1487"/>
      <c r="EV294" s="1487"/>
      <c r="EW294" s="1487"/>
      <c r="EX294" s="1487"/>
      <c r="EY294" s="1487"/>
      <c r="EZ294" s="1487"/>
      <c r="FA294" s="1487"/>
      <c r="FB294" s="1487"/>
      <c r="FC294" s="1487"/>
      <c r="FD294" s="1487"/>
      <c r="FE294" s="1487"/>
      <c r="FF294" s="1487"/>
    </row>
    <row r="295" spans="17:162">
      <c r="Q295" s="4832"/>
      <c r="R295" s="4832"/>
      <c r="S295" s="4832"/>
      <c r="T295" s="4832"/>
      <c r="U295" s="4832"/>
      <c r="V295" s="4832"/>
      <c r="W295" s="4622"/>
      <c r="AU295" s="4724">
        <v>2</v>
      </c>
      <c r="AV295" s="4724">
        <v>2</v>
      </c>
      <c r="AW295" s="4725" t="s">
        <v>2737</v>
      </c>
      <c r="AX295" s="4727" t="s">
        <v>2707</v>
      </c>
      <c r="AY295" s="4728">
        <v>1</v>
      </c>
      <c r="AZ295" s="4729">
        <v>14</v>
      </c>
      <c r="EN295" s="1487"/>
      <c r="EO295" s="1487"/>
      <c r="EP295" s="1487"/>
      <c r="EQ295" s="1487"/>
      <c r="ER295" s="1487"/>
      <c r="ES295" s="1487"/>
      <c r="ET295" s="1487"/>
      <c r="EU295" s="1487"/>
      <c r="EV295" s="1487"/>
      <c r="EW295" s="1487"/>
      <c r="EX295" s="1487"/>
      <c r="EY295" s="1487"/>
      <c r="EZ295" s="1487"/>
      <c r="FA295" s="1487"/>
      <c r="FB295" s="1487"/>
      <c r="FC295" s="1487"/>
      <c r="FD295" s="1487"/>
      <c r="FE295" s="1487"/>
      <c r="FF295" s="1487"/>
    </row>
    <row r="296" spans="17:162">
      <c r="Q296" s="4832"/>
      <c r="R296" s="4832"/>
      <c r="S296" s="4832"/>
      <c r="T296" s="4832"/>
      <c r="U296" s="4832"/>
      <c r="V296" s="4832"/>
      <c r="W296" s="4622"/>
      <c r="AU296" s="4724">
        <v>2</v>
      </c>
      <c r="AV296" s="4724">
        <v>2</v>
      </c>
      <c r="AW296" s="4725" t="s">
        <v>2737</v>
      </c>
      <c r="AX296" s="4727" t="s">
        <v>1076</v>
      </c>
      <c r="AY296" s="4728">
        <v>2</v>
      </c>
      <c r="AZ296" s="4729">
        <v>13</v>
      </c>
      <c r="EM296" s="1488"/>
      <c r="EN296" s="1487"/>
      <c r="EO296" s="1487"/>
      <c r="EP296" s="1487"/>
      <c r="EQ296" s="1487"/>
      <c r="ER296" s="1487"/>
      <c r="ES296" s="1487"/>
      <c r="ET296" s="1487"/>
      <c r="EU296" s="1487"/>
      <c r="EV296" s="1487"/>
      <c r="EW296" s="1487"/>
      <c r="EX296" s="1487"/>
      <c r="EY296" s="1487"/>
      <c r="EZ296" s="1487"/>
      <c r="FA296" s="1487"/>
      <c r="FB296" s="1487"/>
      <c r="FC296" s="1487"/>
      <c r="FD296" s="1487"/>
      <c r="FE296" s="1487"/>
      <c r="FF296" s="1487"/>
    </row>
    <row r="297" spans="17:162">
      <c r="Q297" s="4832"/>
      <c r="R297" s="4832"/>
      <c r="S297" s="4832"/>
      <c r="T297" s="4832"/>
      <c r="U297" s="4832"/>
      <c r="V297" s="4832"/>
      <c r="W297" s="4622"/>
      <c r="AU297" s="4724">
        <v>2</v>
      </c>
      <c r="AV297" s="4724">
        <v>2</v>
      </c>
      <c r="AW297" s="4725" t="s">
        <v>2737</v>
      </c>
      <c r="AX297" s="4727" t="s">
        <v>1076</v>
      </c>
      <c r="AY297" s="4728">
        <v>2</v>
      </c>
      <c r="AZ297" s="4729">
        <v>15</v>
      </c>
      <c r="EN297" s="1487"/>
      <c r="EO297" s="1487"/>
      <c r="EP297" s="1487"/>
      <c r="EQ297" s="1487"/>
      <c r="ER297" s="1487"/>
      <c r="ES297" s="1487"/>
      <c r="ET297" s="1487"/>
      <c r="EU297" s="1487"/>
      <c r="EV297" s="1487"/>
      <c r="EW297" s="1487"/>
      <c r="EX297" s="1487"/>
      <c r="EY297" s="1487"/>
      <c r="EZ297" s="1487"/>
      <c r="FA297" s="1487"/>
      <c r="FB297" s="1487"/>
      <c r="FC297" s="1487"/>
      <c r="FD297" s="1487"/>
      <c r="FE297" s="1487"/>
      <c r="FF297" s="1487"/>
    </row>
    <row r="298" spans="17:162">
      <c r="Q298" s="4832"/>
      <c r="R298" s="4832"/>
      <c r="S298" s="4832"/>
      <c r="T298" s="4832"/>
      <c r="U298" s="4832"/>
      <c r="V298" s="4832"/>
      <c r="W298" s="4622"/>
      <c r="AU298" s="4724">
        <v>2</v>
      </c>
      <c r="AV298" s="4724">
        <v>2</v>
      </c>
      <c r="AW298" s="4725" t="s">
        <v>2749</v>
      </c>
      <c r="AX298" s="4727" t="s">
        <v>2732</v>
      </c>
      <c r="AY298" s="4728">
        <v>10</v>
      </c>
      <c r="AZ298" s="4729">
        <v>9</v>
      </c>
      <c r="EN298" s="1487"/>
      <c r="EO298" s="1487"/>
      <c r="EP298" s="1487"/>
      <c r="EQ298" s="1487"/>
      <c r="ER298" s="1487"/>
      <c r="ES298" s="1487"/>
      <c r="ET298" s="1487"/>
      <c r="EU298" s="1487"/>
      <c r="EV298" s="1487"/>
      <c r="EW298" s="1487"/>
      <c r="EX298" s="1487"/>
      <c r="EY298" s="1487"/>
      <c r="EZ298" s="1487"/>
      <c r="FA298" s="1487"/>
      <c r="FB298" s="1487"/>
      <c r="FC298" s="1487"/>
      <c r="FD298" s="1487"/>
      <c r="FE298" s="1487"/>
      <c r="FF298" s="1487"/>
    </row>
    <row r="299" spans="17:162">
      <c r="Q299" s="4832"/>
      <c r="R299" s="4832"/>
      <c r="S299" s="4832"/>
      <c r="T299" s="4832"/>
      <c r="U299" s="4832"/>
      <c r="V299" s="4832"/>
      <c r="W299" s="4622"/>
      <c r="AU299" s="4724">
        <v>2</v>
      </c>
      <c r="AV299" s="4724">
        <v>2</v>
      </c>
      <c r="AW299" s="4725" t="s">
        <v>2749</v>
      </c>
      <c r="AX299" s="4727" t="s">
        <v>2732</v>
      </c>
      <c r="AY299" s="4728">
        <v>1</v>
      </c>
      <c r="AZ299" s="4729">
        <v>11</v>
      </c>
      <c r="EN299" s="1487"/>
      <c r="EO299" s="1487"/>
      <c r="EP299" s="1487"/>
      <c r="EQ299" s="1487"/>
      <c r="ER299" s="1487"/>
      <c r="ES299" s="1487"/>
      <c r="ET299" s="1487"/>
      <c r="EU299" s="1487"/>
      <c r="EV299" s="1487"/>
      <c r="EW299" s="1487"/>
      <c r="EX299" s="1487"/>
      <c r="EY299" s="1487"/>
      <c r="EZ299" s="1487"/>
      <c r="FA299" s="1487"/>
      <c r="FB299" s="1487"/>
      <c r="FC299" s="1487"/>
      <c r="FD299" s="1487"/>
      <c r="FE299" s="1487"/>
      <c r="FF299" s="1487"/>
    </row>
    <row r="300" spans="17:162">
      <c r="Q300" s="4832"/>
      <c r="R300" s="4832"/>
      <c r="S300" s="4832"/>
      <c r="T300" s="4832"/>
      <c r="U300" s="4832"/>
      <c r="V300" s="4832"/>
      <c r="W300" s="4622"/>
      <c r="AU300" s="4724">
        <v>2</v>
      </c>
      <c r="AV300" s="4724">
        <v>2</v>
      </c>
      <c r="AW300" s="4725" t="s">
        <v>2735</v>
      </c>
      <c r="AX300" s="4725" t="s">
        <v>2731</v>
      </c>
      <c r="AY300" s="4726">
        <v>8</v>
      </c>
      <c r="AZ300" s="4724">
        <v>13</v>
      </c>
      <c r="EN300" s="1487"/>
      <c r="EO300" s="1487"/>
      <c r="EP300" s="1487"/>
      <c r="EQ300" s="1487"/>
      <c r="ER300" s="1487"/>
      <c r="ES300" s="1487"/>
      <c r="ET300" s="1487"/>
      <c r="EU300" s="1487"/>
      <c r="EV300" s="1487"/>
      <c r="EW300" s="1487"/>
      <c r="EX300" s="1487"/>
      <c r="EY300" s="1487"/>
      <c r="EZ300" s="1487"/>
      <c r="FA300" s="1487"/>
      <c r="FB300" s="1487"/>
      <c r="FC300" s="1487"/>
      <c r="FD300" s="1487"/>
      <c r="FE300" s="1487"/>
      <c r="FF300" s="1487"/>
    </row>
    <row r="301" spans="17:162">
      <c r="Q301" s="4832"/>
      <c r="R301" s="4832"/>
      <c r="S301" s="4832"/>
      <c r="T301" s="4832"/>
      <c r="U301" s="4832"/>
      <c r="V301" s="4832"/>
      <c r="W301" s="4622"/>
      <c r="AU301" s="4724">
        <v>2</v>
      </c>
      <c r="AV301" s="4724">
        <v>2</v>
      </c>
      <c r="AW301" s="4725" t="s">
        <v>2735</v>
      </c>
      <c r="AX301" s="4727" t="s">
        <v>2732</v>
      </c>
      <c r="AY301" s="4728">
        <v>1</v>
      </c>
      <c r="AZ301" s="4729">
        <v>10</v>
      </c>
      <c r="EN301" s="1487"/>
      <c r="EO301" s="1487"/>
      <c r="EP301" s="1487"/>
      <c r="EQ301" s="1487"/>
      <c r="ER301" s="1487"/>
      <c r="ES301" s="1487"/>
      <c r="ET301" s="1487"/>
      <c r="EU301" s="1487"/>
      <c r="EV301" s="1487"/>
      <c r="EW301" s="1487"/>
      <c r="EX301" s="1487"/>
      <c r="EY301" s="1487"/>
      <c r="EZ301" s="1487"/>
      <c r="FA301" s="1487"/>
      <c r="FB301" s="1487"/>
      <c r="FC301" s="1487"/>
      <c r="FD301" s="1487"/>
      <c r="FE301" s="1487"/>
      <c r="FF301" s="1487"/>
    </row>
    <row r="302" spans="17:162">
      <c r="Q302" s="4832"/>
      <c r="R302" s="4832"/>
      <c r="S302" s="4832"/>
      <c r="T302" s="4832"/>
      <c r="U302" s="4832"/>
      <c r="V302" s="4832"/>
      <c r="W302" s="4622"/>
      <c r="AU302" s="4724">
        <v>2</v>
      </c>
      <c r="AV302" s="4724">
        <v>2</v>
      </c>
      <c r="AW302" s="4725" t="s">
        <v>2735</v>
      </c>
      <c r="AX302" s="4727" t="s">
        <v>2732</v>
      </c>
      <c r="AY302" s="4728">
        <v>2</v>
      </c>
      <c r="AZ302" s="4729">
        <v>12</v>
      </c>
      <c r="EM302" s="1488"/>
      <c r="EN302" s="1487"/>
      <c r="EO302" s="1487"/>
      <c r="EP302" s="1487"/>
      <c r="EQ302" s="1487"/>
      <c r="ER302" s="1487"/>
      <c r="ES302" s="1487"/>
      <c r="ET302" s="1487"/>
      <c r="EU302" s="1487"/>
      <c r="EV302" s="1487"/>
      <c r="EW302" s="1487"/>
      <c r="EX302" s="1487"/>
      <c r="EY302" s="1487"/>
      <c r="EZ302" s="1487"/>
      <c r="FA302" s="1487"/>
      <c r="FB302" s="1487"/>
      <c r="FC302" s="1487"/>
      <c r="FD302" s="1487"/>
      <c r="FE302" s="1487"/>
      <c r="FF302" s="1487"/>
    </row>
    <row r="303" spans="17:162">
      <c r="Q303" s="4832"/>
      <c r="R303" s="4832"/>
      <c r="S303" s="4832"/>
      <c r="T303" s="4832"/>
      <c r="U303" s="4832"/>
      <c r="V303" s="4832"/>
      <c r="W303" s="4622"/>
      <c r="AU303" s="4724">
        <v>2</v>
      </c>
      <c r="AV303" s="4724">
        <v>2</v>
      </c>
      <c r="AW303" s="4725" t="s">
        <v>2735</v>
      </c>
      <c r="AX303" s="4725" t="s">
        <v>2705</v>
      </c>
      <c r="AY303" s="4726">
        <v>1</v>
      </c>
      <c r="AZ303" s="4724">
        <v>6</v>
      </c>
      <c r="EN303" s="1487"/>
      <c r="EO303" s="1487"/>
      <c r="EP303" s="1487"/>
      <c r="EQ303" s="1487"/>
      <c r="ER303" s="1487"/>
      <c r="ES303" s="1487"/>
      <c r="ET303" s="1487"/>
      <c r="EU303" s="1487"/>
      <c r="EV303" s="1487"/>
      <c r="EW303" s="1487"/>
      <c r="EX303" s="1487"/>
      <c r="EY303" s="1487"/>
      <c r="EZ303" s="1487"/>
      <c r="FA303" s="1487"/>
      <c r="FB303" s="1487"/>
      <c r="FC303" s="1487"/>
      <c r="FD303" s="1487"/>
      <c r="FE303" s="1487"/>
      <c r="FF303" s="1487"/>
    </row>
    <row r="304" spans="17:162">
      <c r="Q304" s="4832"/>
      <c r="R304" s="4832"/>
      <c r="S304" s="4832"/>
      <c r="T304" s="4832"/>
      <c r="U304" s="4832"/>
      <c r="V304" s="4832"/>
      <c r="W304" s="4622"/>
      <c r="AU304" s="4724">
        <v>2</v>
      </c>
      <c r="AV304" s="4724">
        <v>2</v>
      </c>
      <c r="AW304" s="4725" t="s">
        <v>2735</v>
      </c>
      <c r="AX304" s="4725" t="s">
        <v>2705</v>
      </c>
      <c r="AY304" s="4726">
        <v>1</v>
      </c>
      <c r="AZ304" s="4724">
        <v>7</v>
      </c>
      <c r="EN304" s="1487"/>
      <c r="EO304" s="1487"/>
      <c r="EP304" s="1487"/>
      <c r="EQ304" s="1487"/>
      <c r="ER304" s="1487"/>
      <c r="ES304" s="1487"/>
      <c r="ET304" s="1487"/>
      <c r="EU304" s="1487"/>
      <c r="EV304" s="1487"/>
      <c r="EW304" s="1487"/>
      <c r="EX304" s="1487"/>
      <c r="EY304" s="1487"/>
      <c r="EZ304" s="1487"/>
      <c r="FA304" s="1487"/>
      <c r="FB304" s="1487"/>
      <c r="FC304" s="1487"/>
      <c r="FD304" s="1487"/>
      <c r="FE304" s="1487"/>
      <c r="FF304" s="1487"/>
    </row>
    <row r="305" spans="17:162">
      <c r="Q305" s="4832"/>
      <c r="R305" s="4832"/>
      <c r="S305" s="4832"/>
      <c r="T305" s="4832"/>
      <c r="U305" s="4832"/>
      <c r="V305" s="4832"/>
      <c r="W305" s="4622"/>
      <c r="AU305" s="4724">
        <v>2</v>
      </c>
      <c r="AV305" s="4724">
        <v>2</v>
      </c>
      <c r="AW305" s="4725" t="s">
        <v>2735</v>
      </c>
      <c r="AX305" s="4725" t="s">
        <v>2705</v>
      </c>
      <c r="AY305" s="4726">
        <v>2</v>
      </c>
      <c r="AZ305" s="4724">
        <v>11</v>
      </c>
      <c r="EN305" s="1487"/>
      <c r="EO305" s="1487"/>
      <c r="EP305" s="1487"/>
      <c r="EQ305" s="1487"/>
      <c r="ER305" s="1487"/>
      <c r="ES305" s="1487"/>
      <c r="ET305" s="1487"/>
      <c r="EU305" s="1487"/>
      <c r="EV305" s="1487"/>
      <c r="EW305" s="1487"/>
      <c r="EX305" s="1487"/>
      <c r="EY305" s="1487"/>
      <c r="EZ305" s="1487"/>
      <c r="FA305" s="1487"/>
      <c r="FB305" s="1487"/>
      <c r="FC305" s="1487"/>
      <c r="FD305" s="1487"/>
      <c r="FE305" s="1487"/>
      <c r="FF305" s="1487"/>
    </row>
    <row r="306" spans="17:162">
      <c r="Q306" s="4832"/>
      <c r="R306" s="4832"/>
      <c r="S306" s="4832"/>
      <c r="T306" s="4832"/>
      <c r="U306" s="4832"/>
      <c r="V306" s="4832"/>
      <c r="W306" s="4622"/>
      <c r="AU306" s="4724">
        <v>2</v>
      </c>
      <c r="AV306" s="4724">
        <v>2</v>
      </c>
      <c r="AW306" s="4725" t="s">
        <v>2735</v>
      </c>
      <c r="AX306" s="4727" t="s">
        <v>1076</v>
      </c>
      <c r="AY306" s="4728">
        <v>12</v>
      </c>
      <c r="AZ306" s="4729">
        <v>13</v>
      </c>
      <c r="EN306" s="1487"/>
      <c r="EO306" s="1487"/>
      <c r="EP306" s="1487"/>
      <c r="EQ306" s="1487"/>
      <c r="ER306" s="1487"/>
      <c r="ES306" s="1487"/>
      <c r="ET306" s="1487"/>
      <c r="EU306" s="1487"/>
      <c r="EV306" s="1487"/>
      <c r="EW306" s="1487"/>
      <c r="EX306" s="1487"/>
      <c r="EY306" s="1487"/>
      <c r="EZ306" s="1487"/>
      <c r="FA306" s="1487"/>
      <c r="FB306" s="1487"/>
      <c r="FC306" s="1487"/>
      <c r="FD306" s="1487"/>
      <c r="FE306" s="1487"/>
      <c r="FF306" s="1487"/>
    </row>
    <row r="307" spans="17:162">
      <c r="Q307" s="4832"/>
      <c r="R307" s="4832"/>
      <c r="S307" s="4832"/>
      <c r="T307" s="4832"/>
      <c r="U307" s="4832"/>
      <c r="V307" s="4832"/>
      <c r="W307" s="4622"/>
      <c r="AU307" s="4724">
        <v>2</v>
      </c>
      <c r="AV307" s="4724">
        <v>3</v>
      </c>
      <c r="AW307" s="4725" t="s">
        <v>381</v>
      </c>
      <c r="AX307" s="4725" t="s">
        <v>2731</v>
      </c>
      <c r="AY307" s="4726">
        <v>3</v>
      </c>
      <c r="AZ307" s="4724">
        <v>13</v>
      </c>
      <c r="EM307" s="1488"/>
      <c r="EN307" s="1487"/>
      <c r="EO307" s="1487"/>
      <c r="EP307" s="1487"/>
      <c r="EQ307" s="1487"/>
      <c r="ER307" s="1487"/>
      <c r="ES307" s="1487"/>
      <c r="ET307" s="1487"/>
      <c r="EU307" s="1487"/>
      <c r="EV307" s="1487"/>
      <c r="EW307" s="1487"/>
      <c r="EX307" s="1487"/>
      <c r="EY307" s="1487"/>
      <c r="EZ307" s="1487"/>
      <c r="FA307" s="1487"/>
      <c r="FB307" s="1487"/>
      <c r="FC307" s="1487"/>
      <c r="FD307" s="1487"/>
      <c r="FE307" s="1487"/>
      <c r="FF307" s="1487"/>
    </row>
    <row r="308" spans="17:162">
      <c r="Q308" s="4832"/>
      <c r="R308" s="4832"/>
      <c r="S308" s="4832"/>
      <c r="T308" s="4832"/>
      <c r="U308" s="4832"/>
      <c r="V308" s="4832"/>
      <c r="W308" s="4622"/>
      <c r="AU308" s="4724">
        <v>2</v>
      </c>
      <c r="AV308" s="4724">
        <v>3</v>
      </c>
      <c r="AW308" s="4725" t="s">
        <v>381</v>
      </c>
      <c r="AX308" s="4725" t="s">
        <v>2731</v>
      </c>
      <c r="AY308" s="4726">
        <v>3</v>
      </c>
      <c r="AZ308" s="4724">
        <v>14</v>
      </c>
      <c r="EN308" s="1487"/>
      <c r="EO308" s="1487"/>
      <c r="EP308" s="1487"/>
      <c r="EQ308" s="1487"/>
      <c r="ER308" s="1487"/>
      <c r="ES308" s="1487"/>
      <c r="ET308" s="1487"/>
      <c r="EU308" s="1487"/>
      <c r="EV308" s="1487"/>
      <c r="EW308" s="1487"/>
      <c r="EX308" s="1487"/>
      <c r="EY308" s="1487"/>
      <c r="EZ308" s="1487"/>
      <c r="FA308" s="1487"/>
      <c r="FB308" s="1487"/>
      <c r="FC308" s="1487"/>
      <c r="FD308" s="1487"/>
      <c r="FE308" s="1487"/>
      <c r="FF308" s="1487"/>
    </row>
    <row r="309" spans="17:162">
      <c r="Q309" s="4832"/>
      <c r="R309" s="4832"/>
      <c r="S309" s="4832"/>
      <c r="T309" s="4832"/>
      <c r="U309" s="4832"/>
      <c r="V309" s="4832"/>
      <c r="W309" s="4622"/>
      <c r="AU309" s="4724">
        <v>2</v>
      </c>
      <c r="AV309" s="4724">
        <v>3</v>
      </c>
      <c r="AW309" s="4725" t="s">
        <v>381</v>
      </c>
      <c r="AX309" s="4725" t="s">
        <v>2731</v>
      </c>
      <c r="AY309" s="4726">
        <v>5</v>
      </c>
      <c r="AZ309" s="4724">
        <v>15</v>
      </c>
      <c r="EN309" s="1487"/>
      <c r="EO309" s="1487"/>
      <c r="EP309" s="1487"/>
      <c r="EQ309" s="1487"/>
      <c r="ER309" s="1487"/>
      <c r="ES309" s="1487"/>
      <c r="ET309" s="1487"/>
      <c r="EU309" s="1487"/>
      <c r="EV309" s="1487"/>
      <c r="EW309" s="1487"/>
      <c r="EX309" s="1487"/>
      <c r="EY309" s="1487"/>
      <c r="EZ309" s="1487"/>
      <c r="FA309" s="1487"/>
      <c r="FB309" s="1487"/>
      <c r="FC309" s="1487"/>
      <c r="FD309" s="1487"/>
      <c r="FE309" s="1487"/>
      <c r="FF309" s="1487"/>
    </row>
    <row r="310" spans="17:162">
      <c r="Q310" s="4832"/>
      <c r="R310" s="4832"/>
      <c r="S310" s="4832"/>
      <c r="T310" s="4832"/>
      <c r="U310" s="4832"/>
      <c r="V310" s="4832"/>
      <c r="W310" s="4622"/>
      <c r="AU310" s="4724">
        <v>2</v>
      </c>
      <c r="AV310" s="4724">
        <v>3</v>
      </c>
      <c r="AW310" s="4725" t="s">
        <v>381</v>
      </c>
      <c r="AX310" s="4725" t="s">
        <v>2731</v>
      </c>
      <c r="AY310" s="4726">
        <v>2</v>
      </c>
      <c r="AZ310" s="4724">
        <v>16</v>
      </c>
      <c r="EN310" s="1487"/>
      <c r="EO310" s="1487"/>
      <c r="EP310" s="1487"/>
      <c r="EQ310" s="1487"/>
      <c r="ER310" s="1487"/>
      <c r="ES310" s="1487"/>
      <c r="ET310" s="1487"/>
      <c r="EU310" s="1487"/>
      <c r="EV310" s="1487"/>
      <c r="EW310" s="1487"/>
      <c r="EX310" s="1487"/>
      <c r="EY310" s="1487"/>
      <c r="EZ310" s="1487"/>
      <c r="FA310" s="1487"/>
      <c r="FB310" s="1487"/>
      <c r="FC310" s="1487"/>
      <c r="FD310" s="1487"/>
      <c r="FE310" s="1487"/>
      <c r="FF310" s="1487"/>
    </row>
    <row r="311" spans="17:162">
      <c r="Q311" s="4832"/>
      <c r="R311" s="4832"/>
      <c r="S311" s="4832"/>
      <c r="T311" s="4832"/>
      <c r="U311" s="4832"/>
      <c r="V311" s="4832"/>
      <c r="W311" s="4622"/>
      <c r="AU311" s="4724">
        <v>2</v>
      </c>
      <c r="AV311" s="4724">
        <v>3</v>
      </c>
      <c r="AW311" s="4725" t="s">
        <v>381</v>
      </c>
      <c r="AX311" s="4727" t="s">
        <v>2732</v>
      </c>
      <c r="AY311" s="4728">
        <v>1</v>
      </c>
      <c r="AZ311" s="4729">
        <v>11</v>
      </c>
      <c r="EN311" s="1487"/>
      <c r="EO311" s="1487"/>
      <c r="EP311" s="1487"/>
      <c r="EQ311" s="1487"/>
      <c r="ER311" s="1487"/>
      <c r="ES311" s="1487"/>
      <c r="ET311" s="1487"/>
      <c r="EU311" s="1487"/>
      <c r="EV311" s="1487"/>
      <c r="EW311" s="1487"/>
      <c r="EX311" s="1487"/>
      <c r="EY311" s="1487"/>
      <c r="EZ311" s="1487"/>
      <c r="FA311" s="1487"/>
      <c r="FB311" s="1487"/>
      <c r="FC311" s="1487"/>
      <c r="FD311" s="1487"/>
      <c r="FE311" s="1487"/>
      <c r="FF311" s="1487"/>
    </row>
    <row r="312" spans="17:162">
      <c r="Q312" s="4832"/>
      <c r="R312" s="4832"/>
      <c r="S312" s="4832"/>
      <c r="T312" s="4832"/>
      <c r="U312" s="4832"/>
      <c r="V312" s="4832"/>
      <c r="W312" s="4622"/>
      <c r="AU312" s="4724">
        <v>2</v>
      </c>
      <c r="AV312" s="4724">
        <v>3</v>
      </c>
      <c r="AW312" s="4725" t="s">
        <v>381</v>
      </c>
      <c r="AX312" s="4727" t="s">
        <v>2732</v>
      </c>
      <c r="AY312" s="4728">
        <v>1</v>
      </c>
      <c r="AZ312" s="4729">
        <v>12</v>
      </c>
      <c r="EM312" s="1488"/>
      <c r="EN312" s="1487"/>
      <c r="EO312" s="1487"/>
      <c r="EP312" s="1487"/>
      <c r="EQ312" s="1487"/>
      <c r="ER312" s="1487"/>
      <c r="ES312" s="1487"/>
      <c r="ET312" s="1487"/>
      <c r="EU312" s="1487"/>
      <c r="EV312" s="1487"/>
      <c r="EW312" s="1487"/>
      <c r="EX312" s="1487"/>
      <c r="EY312" s="1487"/>
      <c r="EZ312" s="1487"/>
      <c r="FA312" s="1487"/>
      <c r="FB312" s="1487"/>
      <c r="FC312" s="1487"/>
      <c r="FD312" s="1487"/>
      <c r="FE312" s="1487"/>
      <c r="FF312" s="1487"/>
    </row>
    <row r="313" spans="17:162">
      <c r="Q313" s="4832"/>
      <c r="R313" s="4832"/>
      <c r="S313" s="4832"/>
      <c r="T313" s="4832"/>
      <c r="U313" s="4832"/>
      <c r="V313" s="4832"/>
      <c r="W313" s="4622"/>
      <c r="AU313" s="4724">
        <v>2</v>
      </c>
      <c r="AV313" s="4724">
        <v>3</v>
      </c>
      <c r="AW313" s="4725" t="s">
        <v>381</v>
      </c>
      <c r="AX313" s="4727" t="s">
        <v>2732</v>
      </c>
      <c r="AY313" s="4728">
        <v>1</v>
      </c>
      <c r="AZ313" s="4729">
        <v>13</v>
      </c>
      <c r="EN313" s="1487"/>
      <c r="EO313" s="1487"/>
      <c r="EP313" s="1487"/>
      <c r="EQ313" s="1487"/>
      <c r="ER313" s="1487"/>
      <c r="ES313" s="1487"/>
      <c r="ET313" s="1487"/>
      <c r="EU313" s="1487"/>
      <c r="EV313" s="1487"/>
      <c r="EW313" s="1487"/>
      <c r="EX313" s="1487"/>
      <c r="EY313" s="1487"/>
      <c r="EZ313" s="1487"/>
      <c r="FA313" s="1487"/>
      <c r="FB313" s="1487"/>
      <c r="FC313" s="1487"/>
      <c r="FD313" s="1487"/>
      <c r="FE313" s="1487"/>
      <c r="FF313" s="1487"/>
    </row>
    <row r="314" spans="17:162">
      <c r="Q314" s="4832"/>
      <c r="R314" s="4832"/>
      <c r="S314" s="4832"/>
      <c r="T314" s="4832"/>
      <c r="U314" s="4832"/>
      <c r="V314" s="4832"/>
      <c r="W314" s="4622"/>
      <c r="AU314" s="4724">
        <v>2</v>
      </c>
      <c r="AV314" s="4724">
        <v>3</v>
      </c>
      <c r="AW314" s="4725" t="s">
        <v>381</v>
      </c>
      <c r="AX314" s="4727" t="s">
        <v>2732</v>
      </c>
      <c r="AY314" s="4728">
        <v>1</v>
      </c>
      <c r="AZ314" s="4729">
        <v>14</v>
      </c>
      <c r="EN314" s="1487"/>
      <c r="EO314" s="1487"/>
      <c r="EP314" s="1487"/>
      <c r="EQ314" s="1487"/>
      <c r="ER314" s="1487"/>
      <c r="ES314" s="1487"/>
      <c r="ET314" s="1487"/>
      <c r="EU314" s="1487"/>
      <c r="EV314" s="1487"/>
      <c r="EW314" s="1487"/>
      <c r="EX314" s="1487"/>
      <c r="EY314" s="1487"/>
      <c r="EZ314" s="1487"/>
      <c r="FA314" s="1487"/>
      <c r="FB314" s="1487"/>
      <c r="FC314" s="1487"/>
      <c r="FD314" s="1487"/>
      <c r="FE314" s="1487"/>
      <c r="FF314" s="1487"/>
    </row>
    <row r="315" spans="17:162">
      <c r="Q315" s="4832"/>
      <c r="R315" s="4832"/>
      <c r="S315" s="4832"/>
      <c r="T315" s="4832"/>
      <c r="U315" s="4832"/>
      <c r="V315" s="4832"/>
      <c r="W315" s="4622"/>
      <c r="AU315" s="4724">
        <v>2</v>
      </c>
      <c r="AV315" s="4724">
        <v>3</v>
      </c>
      <c r="AW315" s="4725" t="s">
        <v>381</v>
      </c>
      <c r="AX315" s="4725" t="s">
        <v>2705</v>
      </c>
      <c r="AY315" s="4726">
        <v>1</v>
      </c>
      <c r="AZ315" s="4724">
        <v>8</v>
      </c>
      <c r="EN315" s="1487"/>
      <c r="EO315" s="1487"/>
      <c r="EP315" s="1487"/>
      <c r="EQ315" s="1487"/>
      <c r="ER315" s="1487"/>
      <c r="ES315" s="1487"/>
      <c r="ET315" s="1487"/>
      <c r="EU315" s="1487"/>
      <c r="EV315" s="1487"/>
      <c r="EW315" s="1487"/>
      <c r="EX315" s="1487"/>
      <c r="EY315" s="1487"/>
      <c r="EZ315" s="1487"/>
      <c r="FA315" s="1487"/>
      <c r="FB315" s="1487"/>
      <c r="FC315" s="1487"/>
      <c r="FD315" s="1487"/>
      <c r="FE315" s="1487"/>
      <c r="FF315" s="1487"/>
    </row>
    <row r="316" spans="17:162">
      <c r="Q316" s="4832"/>
      <c r="R316" s="4832"/>
      <c r="S316" s="4832"/>
      <c r="T316" s="4832"/>
      <c r="U316" s="4832"/>
      <c r="V316" s="4832"/>
      <c r="W316" s="4622"/>
      <c r="AU316" s="4724">
        <v>2</v>
      </c>
      <c r="AV316" s="4724">
        <v>3</v>
      </c>
      <c r="AW316" s="4725" t="s">
        <v>381</v>
      </c>
      <c r="AX316" s="4727" t="s">
        <v>1076</v>
      </c>
      <c r="AY316" s="4728">
        <v>1</v>
      </c>
      <c r="AZ316" s="4729">
        <v>12</v>
      </c>
      <c r="EN316" s="1487"/>
      <c r="EO316" s="1487"/>
      <c r="EP316" s="1487"/>
      <c r="EQ316" s="1487"/>
      <c r="ER316" s="1487"/>
      <c r="ES316" s="1487"/>
      <c r="ET316" s="1487"/>
      <c r="EU316" s="1487"/>
      <c r="EV316" s="1487"/>
      <c r="EW316" s="1487"/>
      <c r="EX316" s="1487"/>
      <c r="EY316" s="1487"/>
      <c r="EZ316" s="1487"/>
      <c r="FA316" s="1487"/>
      <c r="FB316" s="1487"/>
      <c r="FC316" s="1487"/>
      <c r="FD316" s="1487"/>
      <c r="FE316" s="1487"/>
      <c r="FF316" s="1487"/>
    </row>
    <row r="317" spans="17:162">
      <c r="Q317" s="4832"/>
      <c r="R317" s="4832"/>
      <c r="S317" s="4832"/>
      <c r="T317" s="4832"/>
      <c r="U317" s="4832"/>
      <c r="V317" s="4832"/>
      <c r="W317" s="4622"/>
      <c r="AU317" s="4724">
        <v>2</v>
      </c>
      <c r="AV317" s="4724">
        <v>3</v>
      </c>
      <c r="AW317" s="4725" t="s">
        <v>381</v>
      </c>
      <c r="AX317" s="4727" t="s">
        <v>1076</v>
      </c>
      <c r="AY317" s="4728">
        <v>1</v>
      </c>
      <c r="AZ317" s="4729">
        <v>13</v>
      </c>
      <c r="EN317" s="1487"/>
      <c r="EO317" s="1487"/>
      <c r="EP317" s="1487"/>
      <c r="EQ317" s="1487"/>
      <c r="ER317" s="1487"/>
      <c r="ES317" s="1487"/>
      <c r="ET317" s="1487"/>
      <c r="EU317" s="1487"/>
      <c r="EV317" s="1487"/>
      <c r="EW317" s="1487"/>
      <c r="EX317" s="1487"/>
      <c r="EY317" s="1487"/>
      <c r="EZ317" s="1487"/>
      <c r="FA317" s="1487"/>
      <c r="FB317" s="1487"/>
      <c r="FC317" s="1487"/>
      <c r="FD317" s="1487"/>
      <c r="FE317" s="1487"/>
      <c r="FF317" s="1487"/>
    </row>
    <row r="318" spans="17:162">
      <c r="Q318" s="4832"/>
      <c r="R318" s="4832"/>
      <c r="S318" s="4832"/>
      <c r="T318" s="4832"/>
      <c r="U318" s="4832"/>
      <c r="V318" s="4832"/>
      <c r="W318" s="4622"/>
      <c r="AU318" s="4724">
        <v>2</v>
      </c>
      <c r="AV318" s="4724">
        <v>3</v>
      </c>
      <c r="AW318" s="4725" t="s">
        <v>381</v>
      </c>
      <c r="AX318" s="4725" t="s">
        <v>2709</v>
      </c>
      <c r="AY318" s="4726">
        <v>1</v>
      </c>
      <c r="AZ318" s="4724">
        <v>12</v>
      </c>
      <c r="EN318" s="1487"/>
      <c r="EO318" s="1487"/>
      <c r="EP318" s="1487"/>
      <c r="EQ318" s="1487"/>
      <c r="ER318" s="1487"/>
      <c r="ES318" s="1487"/>
      <c r="ET318" s="1487"/>
      <c r="EU318" s="1487"/>
      <c r="EV318" s="1487"/>
      <c r="EW318" s="1487"/>
      <c r="EX318" s="1487"/>
      <c r="EY318" s="1487"/>
      <c r="EZ318" s="1487"/>
      <c r="FA318" s="1487"/>
      <c r="FB318" s="1487"/>
      <c r="FC318" s="1487"/>
      <c r="FD318" s="1487"/>
      <c r="FE318" s="1487"/>
      <c r="FF318" s="1487"/>
    </row>
    <row r="319" spans="17:162">
      <c r="Q319" s="4832"/>
      <c r="R319" s="4832"/>
      <c r="S319" s="4832"/>
      <c r="T319" s="4832"/>
      <c r="U319" s="4832"/>
      <c r="V319" s="4832"/>
      <c r="W319" s="4622"/>
      <c r="AU319" s="4724">
        <v>2</v>
      </c>
      <c r="AV319" s="4724">
        <v>3</v>
      </c>
      <c r="AW319" s="4725" t="s">
        <v>129</v>
      </c>
      <c r="AX319" s="4725" t="s">
        <v>2731</v>
      </c>
      <c r="AY319" s="4726">
        <v>1</v>
      </c>
      <c r="AZ319" s="4724">
        <v>13</v>
      </c>
      <c r="EM319" s="1488"/>
      <c r="EN319" s="1487"/>
      <c r="EO319" s="1487"/>
      <c r="EP319" s="1487"/>
      <c r="EQ319" s="1487"/>
      <c r="ER319" s="1487"/>
      <c r="ES319" s="1487"/>
      <c r="ET319" s="1487"/>
      <c r="EU319" s="1487"/>
      <c r="EV319" s="1487"/>
      <c r="EW319" s="1487"/>
      <c r="EX319" s="1487"/>
      <c r="EY319" s="1487"/>
      <c r="EZ319" s="1487"/>
      <c r="FA319" s="1487"/>
      <c r="FB319" s="1487"/>
      <c r="FC319" s="1487"/>
      <c r="FD319" s="1487"/>
      <c r="FE319" s="1487"/>
      <c r="FF319" s="1487"/>
    </row>
    <row r="320" spans="17:162">
      <c r="Q320" s="4832"/>
      <c r="R320" s="4832"/>
      <c r="S320" s="4832"/>
      <c r="T320" s="4832"/>
      <c r="U320" s="4832"/>
      <c r="V320" s="4832"/>
      <c r="W320" s="4622"/>
      <c r="AU320" s="4724">
        <v>2</v>
      </c>
      <c r="AV320" s="4724">
        <v>3</v>
      </c>
      <c r="AW320" s="4725" t="s">
        <v>129</v>
      </c>
      <c r="AX320" s="4725" t="s">
        <v>2731</v>
      </c>
      <c r="AY320" s="4726">
        <v>1</v>
      </c>
      <c r="AZ320" s="4724">
        <v>14</v>
      </c>
      <c r="EN320" s="1487"/>
      <c r="EO320" s="1487"/>
      <c r="EP320" s="1487"/>
      <c r="EQ320" s="1487"/>
      <c r="ER320" s="1487"/>
      <c r="ES320" s="1487"/>
      <c r="ET320" s="1487"/>
      <c r="EU320" s="1487"/>
      <c r="EV320" s="1487"/>
      <c r="EW320" s="1487"/>
      <c r="EX320" s="1487"/>
      <c r="EY320" s="1487"/>
      <c r="EZ320" s="1487"/>
      <c r="FA320" s="1487"/>
      <c r="FB320" s="1487"/>
      <c r="FC320" s="1487"/>
      <c r="FD320" s="1487"/>
      <c r="FE320" s="1487"/>
      <c r="FF320" s="1487"/>
    </row>
    <row r="321" spans="17:162">
      <c r="Q321" s="4832"/>
      <c r="R321" s="4832"/>
      <c r="S321" s="4832"/>
      <c r="T321" s="4832"/>
      <c r="U321" s="4832"/>
      <c r="V321" s="4832"/>
      <c r="W321" s="4622"/>
      <c r="AU321" s="4724">
        <v>2</v>
      </c>
      <c r="AV321" s="4724">
        <v>3</v>
      </c>
      <c r="AW321" s="4725" t="s">
        <v>129</v>
      </c>
      <c r="AX321" s="4725" t="s">
        <v>2731</v>
      </c>
      <c r="AY321" s="4726">
        <v>1</v>
      </c>
      <c r="AZ321" s="4724">
        <v>16</v>
      </c>
      <c r="EN321" s="1487"/>
      <c r="EO321" s="1487"/>
      <c r="EP321" s="1487"/>
      <c r="EQ321" s="1487"/>
      <c r="ER321" s="1487"/>
      <c r="ES321" s="1487"/>
      <c r="ET321" s="1487"/>
      <c r="EU321" s="1487"/>
      <c r="EV321" s="1487"/>
      <c r="EW321" s="1487"/>
      <c r="EX321" s="1487"/>
      <c r="EY321" s="1487"/>
      <c r="EZ321" s="1487"/>
      <c r="FA321" s="1487"/>
      <c r="FB321" s="1487"/>
      <c r="FC321" s="1487"/>
      <c r="FD321" s="1487"/>
      <c r="FE321" s="1487"/>
      <c r="FF321" s="1487"/>
    </row>
    <row r="322" spans="17:162">
      <c r="Q322" s="4832"/>
      <c r="R322" s="4832"/>
      <c r="S322" s="4832"/>
      <c r="T322" s="4832"/>
      <c r="U322" s="4832"/>
      <c r="V322" s="4832"/>
      <c r="W322" s="4622"/>
      <c r="X322" s="95">
        <v>76</v>
      </c>
      <c r="AU322" s="4724">
        <v>2</v>
      </c>
      <c r="AV322" s="4724">
        <v>3</v>
      </c>
      <c r="AW322" s="4725" t="s">
        <v>129</v>
      </c>
      <c r="AX322" s="4727" t="s">
        <v>2732</v>
      </c>
      <c r="AY322" s="4728">
        <v>3</v>
      </c>
      <c r="AZ322" s="4729">
        <v>12</v>
      </c>
      <c r="EN322" s="1487"/>
      <c r="EO322" s="1487"/>
      <c r="EP322" s="1487"/>
      <c r="EQ322" s="1487"/>
      <c r="ER322" s="1487"/>
      <c r="ES322" s="1487"/>
      <c r="ET322" s="1487"/>
      <c r="EU322" s="1487"/>
      <c r="EV322" s="1487"/>
      <c r="EW322" s="1487"/>
      <c r="EX322" s="1487"/>
      <c r="EY322" s="1487"/>
      <c r="EZ322" s="1487"/>
      <c r="FA322" s="1487"/>
      <c r="FB322" s="1487"/>
      <c r="FC322" s="1487"/>
      <c r="FD322" s="1487"/>
      <c r="FE322" s="1487"/>
      <c r="FF322" s="1487"/>
    </row>
    <row r="323" spans="17:162">
      <c r="Q323" s="4832"/>
      <c r="R323" s="4832"/>
      <c r="S323" s="4832"/>
      <c r="T323" s="4832"/>
      <c r="U323" s="4832"/>
      <c r="V323" s="4832"/>
      <c r="W323" s="4622"/>
      <c r="AU323" s="4724">
        <v>2</v>
      </c>
      <c r="AV323" s="4724">
        <v>3</v>
      </c>
      <c r="AW323" s="4725" t="s">
        <v>129</v>
      </c>
      <c r="AX323" s="4727" t="s">
        <v>2732</v>
      </c>
      <c r="AY323" s="4728">
        <v>1</v>
      </c>
      <c r="AZ323" s="4729">
        <v>13</v>
      </c>
      <c r="EN323" s="1487"/>
      <c r="EO323" s="1487"/>
      <c r="EP323" s="1487"/>
      <c r="EQ323" s="1487"/>
      <c r="ER323" s="1487"/>
      <c r="ES323" s="1487"/>
      <c r="ET323" s="1487"/>
      <c r="EU323" s="1487"/>
      <c r="EV323" s="1487"/>
      <c r="EW323" s="1487"/>
      <c r="EX323" s="1487"/>
      <c r="EY323" s="1487"/>
      <c r="EZ323" s="1487"/>
      <c r="FA323" s="1487"/>
      <c r="FB323" s="1487"/>
      <c r="FC323" s="1487"/>
      <c r="FD323" s="1487"/>
      <c r="FE323" s="1487"/>
      <c r="FF323" s="1487"/>
    </row>
    <row r="324" spans="17:162">
      <c r="Q324" s="4832"/>
      <c r="R324" s="4832"/>
      <c r="S324" s="4832"/>
      <c r="T324" s="4832"/>
      <c r="U324" s="4832"/>
      <c r="V324" s="4832"/>
      <c r="W324" s="4622"/>
      <c r="AU324" s="4724">
        <v>2</v>
      </c>
      <c r="AV324" s="4724">
        <v>3</v>
      </c>
      <c r="AW324" s="4725" t="s">
        <v>129</v>
      </c>
      <c r="AX324" s="4727" t="s">
        <v>1076</v>
      </c>
      <c r="AY324" s="4728">
        <v>2</v>
      </c>
      <c r="AZ324" s="4729">
        <v>13</v>
      </c>
      <c r="EN324" s="1487"/>
      <c r="EO324" s="1487"/>
      <c r="EP324" s="1487"/>
      <c r="EQ324" s="1487"/>
      <c r="ER324" s="1487"/>
      <c r="ES324" s="1487"/>
      <c r="ET324" s="1487"/>
      <c r="EU324" s="1487"/>
      <c r="EV324" s="1487"/>
      <c r="EW324" s="1487"/>
      <c r="EX324" s="1487"/>
      <c r="EY324" s="1487"/>
      <c r="EZ324" s="1487"/>
      <c r="FA324" s="1487"/>
      <c r="FB324" s="1487"/>
      <c r="FC324" s="1487"/>
      <c r="FD324" s="1487"/>
      <c r="FE324" s="1487"/>
      <c r="FF324" s="1487"/>
    </row>
    <row r="325" spans="17:162">
      <c r="Q325" s="4832"/>
      <c r="R325" s="4832"/>
      <c r="S325" s="4832"/>
      <c r="T325" s="4832"/>
      <c r="U325" s="4832"/>
      <c r="V325" s="4832"/>
      <c r="W325" s="4622"/>
      <c r="AU325" s="4724">
        <v>2</v>
      </c>
      <c r="AV325" s="4724">
        <v>3</v>
      </c>
      <c r="AW325" s="4725" t="s">
        <v>128</v>
      </c>
      <c r="AX325" s="4725" t="s">
        <v>2731</v>
      </c>
      <c r="AY325" s="4726">
        <v>5</v>
      </c>
      <c r="AZ325" s="4724">
        <v>13</v>
      </c>
      <c r="EN325" s="1487"/>
      <c r="EO325" s="1487"/>
      <c r="EP325" s="1487"/>
      <c r="EQ325" s="1487"/>
      <c r="ER325" s="1487"/>
      <c r="ES325" s="1487"/>
      <c r="ET325" s="1487"/>
      <c r="EU325" s="1487"/>
      <c r="EV325" s="1487"/>
      <c r="EW325" s="1487"/>
      <c r="EX325" s="1487"/>
      <c r="EY325" s="1487"/>
      <c r="EZ325" s="1487"/>
      <c r="FA325" s="1487"/>
      <c r="FB325" s="1487"/>
      <c r="FC325" s="1487"/>
      <c r="FD325" s="1487"/>
      <c r="FE325" s="1487"/>
      <c r="FF325" s="1487"/>
    </row>
    <row r="326" spans="17:162">
      <c r="Q326" s="4832"/>
      <c r="R326" s="4832"/>
      <c r="S326" s="4832"/>
      <c r="T326" s="4832"/>
      <c r="U326" s="4832"/>
      <c r="V326" s="4832"/>
      <c r="W326" s="4622"/>
      <c r="AU326" s="4724">
        <v>2</v>
      </c>
      <c r="AV326" s="4724">
        <v>3</v>
      </c>
      <c r="AW326" s="4725" t="s">
        <v>128</v>
      </c>
      <c r="AX326" s="4725" t="s">
        <v>2731</v>
      </c>
      <c r="AY326" s="4726">
        <v>10</v>
      </c>
      <c r="AZ326" s="4724">
        <v>14</v>
      </c>
      <c r="EM326" s="1488"/>
      <c r="EN326" s="1487"/>
      <c r="EO326" s="1487"/>
      <c r="EP326" s="1487"/>
      <c r="EQ326" s="1487"/>
      <c r="ER326" s="1487"/>
      <c r="ES326" s="1487"/>
      <c r="ET326" s="1487"/>
      <c r="EU326" s="1487"/>
      <c r="EV326" s="1487"/>
      <c r="EW326" s="1487"/>
      <c r="EX326" s="1487"/>
      <c r="EY326" s="1487"/>
      <c r="EZ326" s="1487"/>
      <c r="FA326" s="1487"/>
      <c r="FB326" s="1487"/>
      <c r="FC326" s="1487"/>
      <c r="FD326" s="1487"/>
      <c r="FE326" s="1487"/>
      <c r="FF326" s="1487"/>
    </row>
    <row r="327" spans="17:162">
      <c r="Q327" s="4832"/>
      <c r="R327" s="4832"/>
      <c r="S327" s="4832"/>
      <c r="T327" s="4832"/>
      <c r="U327" s="4832"/>
      <c r="V327" s="4832"/>
      <c r="W327" s="4622"/>
      <c r="AU327" s="4724">
        <v>2</v>
      </c>
      <c r="AV327" s="4724">
        <v>3</v>
      </c>
      <c r="AW327" s="4725" t="s">
        <v>128</v>
      </c>
      <c r="AX327" s="4725" t="s">
        <v>2731</v>
      </c>
      <c r="AY327" s="4726">
        <v>1</v>
      </c>
      <c r="AZ327" s="4724">
        <v>15</v>
      </c>
      <c r="EN327" s="1487"/>
      <c r="EO327" s="1487"/>
      <c r="EP327" s="1487"/>
      <c r="EQ327" s="1487"/>
      <c r="ER327" s="1487"/>
      <c r="ES327" s="1487"/>
      <c r="ET327" s="1487"/>
      <c r="EU327" s="1487"/>
      <c r="EV327" s="1487"/>
      <c r="EW327" s="1487"/>
      <c r="EX327" s="1487"/>
      <c r="EY327" s="1487"/>
      <c r="EZ327" s="1487"/>
      <c r="FA327" s="1487"/>
      <c r="FB327" s="1487"/>
      <c r="FC327" s="1487"/>
      <c r="FD327" s="1487"/>
      <c r="FE327" s="1487"/>
      <c r="FF327" s="1487"/>
    </row>
    <row r="328" spans="17:162">
      <c r="Q328" s="4832"/>
      <c r="R328" s="4832"/>
      <c r="S328" s="4832"/>
      <c r="T328" s="4832"/>
      <c r="U328" s="4832"/>
      <c r="V328" s="4832"/>
      <c r="W328" s="4622"/>
      <c r="AU328" s="4724">
        <v>2</v>
      </c>
      <c r="AV328" s="4724">
        <v>3</v>
      </c>
      <c r="AW328" s="4725" t="s">
        <v>128</v>
      </c>
      <c r="AX328" s="4725" t="s">
        <v>2731</v>
      </c>
      <c r="AY328" s="4726">
        <v>1</v>
      </c>
      <c r="AZ328" s="4724">
        <v>16</v>
      </c>
      <c r="EN328" s="1487"/>
      <c r="EO328" s="1487"/>
      <c r="EP328" s="1487"/>
      <c r="EQ328" s="1487"/>
      <c r="ER328" s="1487"/>
      <c r="ES328" s="1487"/>
      <c r="ET328" s="1487"/>
      <c r="EU328" s="1487"/>
      <c r="EV328" s="1487"/>
      <c r="EW328" s="1487"/>
      <c r="EX328" s="1487"/>
      <c r="EY328" s="1487"/>
      <c r="EZ328" s="1487"/>
      <c r="FA328" s="1487"/>
      <c r="FB328" s="1487"/>
      <c r="FC328" s="1487"/>
      <c r="FD328" s="1487"/>
      <c r="FE328" s="1487"/>
      <c r="FF328" s="1487"/>
    </row>
    <row r="329" spans="17:162">
      <c r="Q329" s="4832"/>
      <c r="R329" s="4832"/>
      <c r="S329" s="4832"/>
      <c r="T329" s="4832"/>
      <c r="U329" s="4832"/>
      <c r="V329" s="4832"/>
      <c r="W329" s="4622"/>
      <c r="AU329" s="4724">
        <v>2</v>
      </c>
      <c r="AV329" s="4724">
        <v>3</v>
      </c>
      <c r="AW329" s="4725" t="s">
        <v>128</v>
      </c>
      <c r="AX329" s="4725" t="s">
        <v>1071</v>
      </c>
      <c r="AY329" s="4726">
        <v>1</v>
      </c>
      <c r="AZ329" s="4724">
        <v>14</v>
      </c>
      <c r="EN329" s="1487"/>
      <c r="EO329" s="1487"/>
      <c r="EP329" s="1487"/>
      <c r="EQ329" s="1487"/>
      <c r="ER329" s="1487"/>
      <c r="ES329" s="1487"/>
      <c r="ET329" s="1487"/>
      <c r="EU329" s="1487"/>
      <c r="EV329" s="1487"/>
      <c r="EW329" s="1487"/>
      <c r="EX329" s="1487"/>
      <c r="EY329" s="1487"/>
      <c r="EZ329" s="1487"/>
      <c r="FA329" s="1487"/>
      <c r="FB329" s="1487"/>
      <c r="FC329" s="1487"/>
      <c r="FD329" s="1487"/>
      <c r="FE329" s="1487"/>
      <c r="FF329" s="1487"/>
    </row>
    <row r="330" spans="17:162">
      <c r="Q330" s="4832"/>
      <c r="R330" s="4832"/>
      <c r="S330" s="4832"/>
      <c r="T330" s="4832"/>
      <c r="U330" s="4832"/>
      <c r="V330" s="4832"/>
      <c r="W330" s="4622"/>
      <c r="AU330" s="4724">
        <v>2</v>
      </c>
      <c r="AV330" s="4724">
        <v>3</v>
      </c>
      <c r="AW330" s="4725" t="s">
        <v>128</v>
      </c>
      <c r="AX330" s="4727" t="s">
        <v>2732</v>
      </c>
      <c r="AY330" s="4728">
        <v>2</v>
      </c>
      <c r="AZ330" s="4729">
        <v>12</v>
      </c>
      <c r="EN330" s="1487"/>
      <c r="EO330" s="1487"/>
      <c r="EP330" s="1487"/>
      <c r="EQ330" s="1487"/>
      <c r="ER330" s="1487"/>
      <c r="ES330" s="1487"/>
      <c r="ET330" s="1487"/>
      <c r="EU330" s="1487"/>
      <c r="EV330" s="1487"/>
      <c r="EW330" s="1487"/>
      <c r="EX330" s="1487"/>
      <c r="EY330" s="1487"/>
      <c r="EZ330" s="1487"/>
      <c r="FA330" s="1487"/>
      <c r="FB330" s="1487"/>
      <c r="FC330" s="1487"/>
      <c r="FD330" s="1487"/>
      <c r="FE330" s="1487"/>
      <c r="FF330" s="1487"/>
    </row>
    <row r="331" spans="17:162">
      <c r="Q331" s="4832"/>
      <c r="R331" s="4832"/>
      <c r="S331" s="4832"/>
      <c r="T331" s="4832"/>
      <c r="U331" s="4832"/>
      <c r="V331" s="4832"/>
      <c r="W331" s="4622"/>
      <c r="AU331" s="4724">
        <v>2</v>
      </c>
      <c r="AV331" s="4724">
        <v>3</v>
      </c>
      <c r="AW331" s="4725" t="s">
        <v>128</v>
      </c>
      <c r="AX331" s="4727" t="s">
        <v>2732</v>
      </c>
      <c r="AY331" s="4728">
        <v>1</v>
      </c>
      <c r="AZ331" s="4729">
        <v>13</v>
      </c>
      <c r="EN331" s="1487"/>
      <c r="EO331" s="1487"/>
      <c r="EP331" s="1487"/>
      <c r="EQ331" s="1487"/>
      <c r="ER331" s="1487"/>
      <c r="ES331" s="1487"/>
      <c r="ET331" s="1487"/>
      <c r="EU331" s="1487"/>
      <c r="EV331" s="1487"/>
      <c r="EW331" s="1487"/>
      <c r="EX331" s="1487"/>
      <c r="EY331" s="1487"/>
      <c r="EZ331" s="1487"/>
      <c r="FA331" s="1487"/>
      <c r="FB331" s="1487"/>
      <c r="FC331" s="1487"/>
      <c r="FD331" s="1487"/>
      <c r="FE331" s="1487"/>
      <c r="FF331" s="1487"/>
    </row>
    <row r="332" spans="17:162">
      <c r="Q332" s="4832"/>
      <c r="R332" s="4832"/>
      <c r="S332" s="4832"/>
      <c r="T332" s="4832"/>
      <c r="U332" s="4832"/>
      <c r="V332" s="4832"/>
      <c r="W332" s="4622"/>
      <c r="AU332" s="4724">
        <v>2</v>
      </c>
      <c r="AV332" s="4724">
        <v>3</v>
      </c>
      <c r="AW332" s="4725" t="s">
        <v>128</v>
      </c>
      <c r="AX332" s="4727" t="s">
        <v>1076</v>
      </c>
      <c r="AY332" s="4728">
        <v>1</v>
      </c>
      <c r="AZ332" s="4729">
        <v>12</v>
      </c>
      <c r="EN332" s="1487"/>
      <c r="EO332" s="1487"/>
      <c r="EP332" s="1487"/>
      <c r="EQ332" s="1487"/>
      <c r="ER332" s="1487"/>
      <c r="ES332" s="1487"/>
      <c r="ET332" s="1487"/>
      <c r="EU332" s="1487"/>
      <c r="EV332" s="1487"/>
      <c r="EW332" s="1487"/>
      <c r="EX332" s="1487"/>
      <c r="EY332" s="1487"/>
      <c r="EZ332" s="1487"/>
      <c r="FA332" s="1487"/>
      <c r="FB332" s="1487"/>
      <c r="FC332" s="1487"/>
      <c r="FD332" s="1487"/>
      <c r="FE332" s="1487"/>
      <c r="FF332" s="1487"/>
    </row>
    <row r="333" spans="17:162">
      <c r="Q333" s="4832"/>
      <c r="R333" s="4832"/>
      <c r="S333" s="4832"/>
      <c r="T333" s="4832"/>
      <c r="U333" s="4832"/>
      <c r="V333" s="4832"/>
      <c r="W333" s="4622"/>
      <c r="AU333" s="4724">
        <v>2</v>
      </c>
      <c r="AV333" s="4724">
        <v>3</v>
      </c>
      <c r="AW333" s="4725" t="s">
        <v>128</v>
      </c>
      <c r="AX333" s="4727" t="s">
        <v>1076</v>
      </c>
      <c r="AY333" s="4728">
        <v>1</v>
      </c>
      <c r="AZ333" s="4729">
        <v>13</v>
      </c>
      <c r="EN333" s="1487"/>
      <c r="EO333" s="1487"/>
      <c r="EP333" s="1487"/>
      <c r="EQ333" s="1487"/>
      <c r="ER333" s="1487"/>
      <c r="ES333" s="1487"/>
      <c r="ET333" s="1487"/>
      <c r="EU333" s="1487"/>
      <c r="EV333" s="1487"/>
      <c r="EW333" s="1487"/>
      <c r="EX333" s="1487"/>
      <c r="EY333" s="1487"/>
      <c r="EZ333" s="1487"/>
      <c r="FA333" s="1487"/>
      <c r="FB333" s="1487"/>
      <c r="FC333" s="1487"/>
      <c r="FD333" s="1487"/>
      <c r="FE333" s="1487"/>
      <c r="FF333" s="1487"/>
    </row>
    <row r="334" spans="17:162">
      <c r="Q334" s="4832"/>
      <c r="R334" s="4832"/>
      <c r="S334" s="4832"/>
      <c r="T334" s="4832"/>
      <c r="U334" s="4832"/>
      <c r="V334" s="4832"/>
      <c r="W334" s="4622"/>
      <c r="AU334" s="4724">
        <v>2</v>
      </c>
      <c r="AV334" s="4724">
        <v>3</v>
      </c>
      <c r="AW334" s="4725" t="s">
        <v>128</v>
      </c>
      <c r="AX334" s="4725" t="s">
        <v>2709</v>
      </c>
      <c r="AY334" s="4726">
        <v>1</v>
      </c>
      <c r="AZ334" s="4724">
        <v>10</v>
      </c>
      <c r="EN334" s="1487"/>
      <c r="EO334" s="1487"/>
      <c r="EP334" s="1487"/>
      <c r="EQ334" s="1487"/>
      <c r="ER334" s="1487"/>
      <c r="ES334" s="1487"/>
      <c r="ET334" s="1487"/>
      <c r="EU334" s="1487"/>
      <c r="EV334" s="1487"/>
      <c r="EW334" s="1487"/>
      <c r="EX334" s="1487"/>
      <c r="EY334" s="1487"/>
      <c r="EZ334" s="1487"/>
      <c r="FA334" s="1487"/>
      <c r="FB334" s="1487"/>
      <c r="FC334" s="1487"/>
      <c r="FD334" s="1487"/>
      <c r="FE334" s="1487"/>
      <c r="FF334" s="1487"/>
    </row>
    <row r="335" spans="17:162">
      <c r="Q335" s="4832"/>
      <c r="R335" s="4832"/>
      <c r="S335" s="4832"/>
      <c r="T335" s="4832"/>
      <c r="U335" s="4832"/>
      <c r="V335" s="4832"/>
      <c r="W335" s="4622"/>
      <c r="AU335" s="4724">
        <v>2</v>
      </c>
      <c r="AV335" s="4724">
        <v>3</v>
      </c>
      <c r="AW335" s="4725" t="s">
        <v>128</v>
      </c>
      <c r="AX335" s="4725" t="s">
        <v>2709</v>
      </c>
      <c r="AY335" s="4726">
        <v>1</v>
      </c>
      <c r="AZ335" s="4724">
        <v>11</v>
      </c>
      <c r="EM335" s="1488"/>
      <c r="EN335" s="1487"/>
      <c r="EO335" s="1487"/>
      <c r="EP335" s="1487"/>
      <c r="EQ335" s="1487"/>
      <c r="ER335" s="1487"/>
      <c r="ES335" s="1487"/>
      <c r="ET335" s="1487"/>
      <c r="EU335" s="1487"/>
      <c r="EV335" s="1487"/>
      <c r="EW335" s="1487"/>
      <c r="EX335" s="1487"/>
      <c r="EY335" s="1487"/>
      <c r="EZ335" s="1487"/>
      <c r="FA335" s="1487"/>
      <c r="FB335" s="1487"/>
      <c r="FC335" s="1487"/>
      <c r="FD335" s="1487"/>
      <c r="FE335" s="1487"/>
      <c r="FF335" s="1487"/>
    </row>
    <row r="336" spans="17:162">
      <c r="Q336" s="4832"/>
      <c r="R336" s="4832"/>
      <c r="S336" s="4832"/>
      <c r="T336" s="4832"/>
      <c r="U336" s="4832"/>
      <c r="V336" s="4832"/>
      <c r="W336" s="4622"/>
      <c r="AU336" s="4724">
        <v>2</v>
      </c>
      <c r="AV336" s="4724">
        <v>3</v>
      </c>
      <c r="AW336" s="4725" t="s">
        <v>128</v>
      </c>
      <c r="AX336" s="4725" t="s">
        <v>2709</v>
      </c>
      <c r="AY336" s="4726">
        <v>1</v>
      </c>
      <c r="AZ336" s="4724">
        <v>13</v>
      </c>
      <c r="EN336" s="1487"/>
      <c r="EO336" s="1487"/>
      <c r="EP336" s="1487"/>
      <c r="EQ336" s="1487"/>
      <c r="ER336" s="1487"/>
      <c r="ES336" s="1487"/>
      <c r="ET336" s="1487"/>
      <c r="EU336" s="1487"/>
      <c r="EV336" s="1487"/>
      <c r="EW336" s="1487"/>
      <c r="EX336" s="1487"/>
      <c r="EY336" s="1487"/>
      <c r="EZ336" s="1487"/>
      <c r="FA336" s="1487"/>
      <c r="FB336" s="1487"/>
      <c r="FC336" s="1487"/>
      <c r="FD336" s="1487"/>
      <c r="FE336" s="1487"/>
      <c r="FF336" s="1487"/>
    </row>
    <row r="337" spans="17:162">
      <c r="Q337" s="4832"/>
      <c r="R337" s="4832"/>
      <c r="S337" s="4832"/>
      <c r="T337" s="4832"/>
      <c r="U337" s="4832"/>
      <c r="V337" s="4832"/>
      <c r="W337" s="4622"/>
      <c r="AU337" s="4724">
        <v>3</v>
      </c>
      <c r="AV337" s="4724">
        <v>2</v>
      </c>
      <c r="AW337" s="4725" t="s">
        <v>291</v>
      </c>
      <c r="AX337" s="4725" t="s">
        <v>2731</v>
      </c>
      <c r="AY337" s="4726">
        <v>1</v>
      </c>
      <c r="AZ337" s="4724">
        <v>14</v>
      </c>
      <c r="EN337" s="1487"/>
      <c r="EO337" s="1487"/>
      <c r="EP337" s="1487"/>
      <c r="EQ337" s="1487"/>
      <c r="ER337" s="1487"/>
      <c r="ES337" s="1487"/>
      <c r="ET337" s="1487"/>
      <c r="EU337" s="1487"/>
      <c r="EV337" s="1487"/>
      <c r="EW337" s="1487"/>
      <c r="EX337" s="1487"/>
      <c r="EY337" s="1487"/>
      <c r="EZ337" s="1487"/>
      <c r="FA337" s="1487"/>
      <c r="FB337" s="1487"/>
      <c r="FC337" s="1487"/>
      <c r="FD337" s="1487"/>
      <c r="FE337" s="1487"/>
      <c r="FF337" s="1487"/>
    </row>
    <row r="338" spans="17:162">
      <c r="Q338" s="4832"/>
      <c r="R338" s="4832"/>
      <c r="S338" s="4832"/>
      <c r="T338" s="4832"/>
      <c r="U338" s="4832"/>
      <c r="V338" s="4832"/>
      <c r="W338" s="4622"/>
      <c r="AU338" s="4724">
        <v>3</v>
      </c>
      <c r="AV338" s="4724">
        <v>2</v>
      </c>
      <c r="AW338" s="4725" t="s">
        <v>291</v>
      </c>
      <c r="AX338" s="4725" t="s">
        <v>2731</v>
      </c>
      <c r="AY338" s="4726">
        <v>2</v>
      </c>
      <c r="AZ338" s="4724">
        <v>15</v>
      </c>
      <c r="EN338" s="1487"/>
      <c r="EO338" s="1487"/>
      <c r="EP338" s="1487"/>
      <c r="EQ338" s="1487"/>
      <c r="ER338" s="1487"/>
      <c r="ES338" s="1487"/>
      <c r="ET338" s="1487"/>
      <c r="EU338" s="1487"/>
      <c r="EV338" s="1487"/>
      <c r="EW338" s="1487"/>
      <c r="EX338" s="1487"/>
      <c r="EY338" s="1487"/>
      <c r="EZ338" s="1487"/>
      <c r="FA338" s="1487"/>
      <c r="FB338" s="1487"/>
      <c r="FC338" s="1487"/>
      <c r="FD338" s="1487"/>
      <c r="FE338" s="1487"/>
      <c r="FF338" s="1487"/>
    </row>
    <row r="339" spans="17:162">
      <c r="Q339" s="4832"/>
      <c r="R339" s="4832"/>
      <c r="S339" s="4832"/>
      <c r="T339" s="4832"/>
      <c r="U339" s="4832"/>
      <c r="V339" s="4832"/>
      <c r="W339" s="4622"/>
      <c r="AU339" s="4724">
        <v>3</v>
      </c>
      <c r="AV339" s="4724">
        <v>2</v>
      </c>
      <c r="AW339" s="4725" t="s">
        <v>291</v>
      </c>
      <c r="AX339" s="4725" t="s">
        <v>2731</v>
      </c>
      <c r="AY339" s="4726">
        <v>1</v>
      </c>
      <c r="AZ339" s="4724">
        <v>16</v>
      </c>
      <c r="EN339" s="1487"/>
      <c r="EO339" s="1487"/>
      <c r="EP339" s="1487"/>
      <c r="EQ339" s="1487"/>
      <c r="ER339" s="1487"/>
      <c r="ES339" s="1487"/>
      <c r="ET339" s="1487"/>
      <c r="EU339" s="1487"/>
      <c r="EV339" s="1487"/>
      <c r="EW339" s="1487"/>
      <c r="EX339" s="1487"/>
      <c r="EY339" s="1487"/>
      <c r="EZ339" s="1487"/>
      <c r="FA339" s="1487"/>
      <c r="FB339" s="1487"/>
      <c r="FC339" s="1487"/>
      <c r="FD339" s="1487"/>
      <c r="FE339" s="1487"/>
      <c r="FF339" s="1487"/>
    </row>
    <row r="340" spans="17:162">
      <c r="Q340" s="4832"/>
      <c r="R340" s="4832"/>
      <c r="S340" s="4832"/>
      <c r="T340" s="4832"/>
      <c r="U340" s="4832"/>
      <c r="V340" s="4832"/>
      <c r="W340" s="4622"/>
      <c r="AU340" s="4724">
        <v>3</v>
      </c>
      <c r="AV340" s="4724">
        <v>2</v>
      </c>
      <c r="AW340" s="4725" t="s">
        <v>291</v>
      </c>
      <c r="AX340" s="4727" t="s">
        <v>2732</v>
      </c>
      <c r="AY340" s="4728">
        <v>3</v>
      </c>
      <c r="AZ340" s="4729">
        <v>12</v>
      </c>
      <c r="EN340" s="1487"/>
      <c r="EO340" s="1487"/>
      <c r="EP340" s="1487"/>
      <c r="EQ340" s="1487"/>
      <c r="ER340" s="1487"/>
      <c r="ES340" s="1487"/>
      <c r="ET340" s="1487"/>
      <c r="EU340" s="1487"/>
      <c r="EV340" s="1487"/>
      <c r="EW340" s="1487"/>
      <c r="EX340" s="1487"/>
      <c r="EY340" s="1487"/>
      <c r="EZ340" s="1487"/>
      <c r="FA340" s="1487"/>
      <c r="FB340" s="1487"/>
      <c r="FC340" s="1487"/>
      <c r="FD340" s="1487"/>
      <c r="FE340" s="1487"/>
      <c r="FF340" s="1487"/>
    </row>
    <row r="341" spans="17:162">
      <c r="Q341" s="4832"/>
      <c r="R341" s="4832"/>
      <c r="S341" s="4832"/>
      <c r="T341" s="4832"/>
      <c r="U341" s="4832"/>
      <c r="V341" s="4832"/>
      <c r="W341" s="4622"/>
      <c r="AU341" s="4724">
        <v>3</v>
      </c>
      <c r="AV341" s="4724">
        <v>2</v>
      </c>
      <c r="AW341" s="4725" t="s">
        <v>291</v>
      </c>
      <c r="AX341" s="4727" t="s">
        <v>2732</v>
      </c>
      <c r="AY341" s="4728">
        <v>2</v>
      </c>
      <c r="AZ341" s="4729">
        <v>13</v>
      </c>
      <c r="EN341" s="1487"/>
      <c r="EO341" s="1487"/>
      <c r="EP341" s="1487"/>
      <c r="EQ341" s="1487"/>
      <c r="ER341" s="1487"/>
      <c r="ES341" s="1487"/>
      <c r="ET341" s="1487"/>
      <c r="EU341" s="1487"/>
      <c r="EV341" s="1487"/>
      <c r="EW341" s="1487"/>
      <c r="EX341" s="1487"/>
      <c r="EY341" s="1487"/>
      <c r="EZ341" s="1487"/>
      <c r="FA341" s="1487"/>
      <c r="FB341" s="1487"/>
      <c r="FC341" s="1487"/>
      <c r="FD341" s="1487"/>
      <c r="FE341" s="1487"/>
      <c r="FF341" s="1487"/>
    </row>
    <row r="342" spans="17:162">
      <c r="Q342" s="4832"/>
      <c r="R342" s="4832"/>
      <c r="S342" s="4832"/>
      <c r="T342" s="4832"/>
      <c r="U342" s="4832"/>
      <c r="V342" s="4832"/>
      <c r="W342" s="4622"/>
      <c r="AU342" s="4724">
        <v>3</v>
      </c>
      <c r="AV342" s="4724">
        <v>2</v>
      </c>
      <c r="AW342" s="4725" t="s">
        <v>291</v>
      </c>
      <c r="AX342" s="4727" t="s">
        <v>2732</v>
      </c>
      <c r="AY342" s="4728">
        <v>1</v>
      </c>
      <c r="AZ342" s="4729">
        <v>14</v>
      </c>
      <c r="EN342" s="1487"/>
      <c r="EO342" s="1487"/>
      <c r="EP342" s="1487"/>
      <c r="EQ342" s="1487"/>
      <c r="ER342" s="1487"/>
      <c r="ES342" s="1487"/>
      <c r="ET342" s="1487"/>
      <c r="EU342" s="1487"/>
      <c r="EV342" s="1487"/>
      <c r="EW342" s="1487"/>
      <c r="EX342" s="1487"/>
      <c r="EY342" s="1487"/>
      <c r="EZ342" s="1487"/>
      <c r="FA342" s="1487"/>
      <c r="FB342" s="1487"/>
      <c r="FC342" s="1487"/>
      <c r="FD342" s="1487"/>
      <c r="FE342" s="1487"/>
      <c r="FF342" s="1487"/>
    </row>
    <row r="343" spans="17:162">
      <c r="Q343" s="4832"/>
      <c r="R343" s="4832"/>
      <c r="S343" s="4832"/>
      <c r="T343" s="4832"/>
      <c r="U343" s="4832"/>
      <c r="V343" s="4832"/>
      <c r="W343" s="4622"/>
      <c r="AU343" s="4724">
        <v>3</v>
      </c>
      <c r="AV343" s="4724">
        <v>2</v>
      </c>
      <c r="AW343" s="4725" t="s">
        <v>291</v>
      </c>
      <c r="AX343" s="4727" t="s">
        <v>2732</v>
      </c>
      <c r="AY343" s="4728">
        <v>1</v>
      </c>
      <c r="AZ343" s="4729">
        <v>15</v>
      </c>
      <c r="EN343" s="1487"/>
      <c r="EO343" s="1487"/>
      <c r="EP343" s="1487"/>
      <c r="EQ343" s="1487"/>
      <c r="ER343" s="1487"/>
      <c r="ES343" s="1487"/>
      <c r="ET343" s="1487"/>
      <c r="EU343" s="1487"/>
      <c r="EV343" s="1487"/>
      <c r="EW343" s="1487"/>
      <c r="EX343" s="1487"/>
      <c r="EY343" s="1487"/>
      <c r="EZ343" s="1487"/>
      <c r="FA343" s="1487"/>
      <c r="FB343" s="1487"/>
      <c r="FC343" s="1487"/>
      <c r="FD343" s="1487"/>
      <c r="FE343" s="1487"/>
      <c r="FF343" s="1487"/>
    </row>
    <row r="344" spans="17:162">
      <c r="Q344" s="4832"/>
      <c r="R344" s="4832"/>
      <c r="S344" s="4832"/>
      <c r="T344" s="4832"/>
      <c r="U344" s="4832"/>
      <c r="V344" s="4832"/>
      <c r="W344" s="4622"/>
      <c r="AU344" s="4724">
        <v>3</v>
      </c>
      <c r="AV344" s="4724">
        <v>2</v>
      </c>
      <c r="AW344" s="4725" t="s">
        <v>291</v>
      </c>
      <c r="AX344" s="4727" t="s">
        <v>2707</v>
      </c>
      <c r="AY344" s="4728">
        <v>3</v>
      </c>
      <c r="AZ344" s="4729">
        <v>12</v>
      </c>
      <c r="EJ344" s="1487"/>
      <c r="EK344" s="1487"/>
      <c r="EN344" s="1487"/>
      <c r="EO344" s="1487"/>
      <c r="EP344" s="1487"/>
      <c r="EQ344" s="1487"/>
      <c r="ER344" s="1487"/>
      <c r="ES344" s="1487"/>
      <c r="ET344" s="1487"/>
      <c r="EU344" s="1487"/>
      <c r="EV344" s="1487"/>
      <c r="EW344" s="1487"/>
      <c r="EX344" s="1487"/>
      <c r="EY344" s="1487"/>
      <c r="EZ344" s="1487"/>
      <c r="FA344" s="1487"/>
      <c r="FB344" s="1487"/>
      <c r="FC344" s="1487"/>
      <c r="FD344" s="1487"/>
      <c r="FE344" s="1487"/>
      <c r="FF344" s="1487"/>
    </row>
    <row r="345" spans="17:162">
      <c r="Q345" s="4832"/>
      <c r="R345" s="4832"/>
      <c r="S345" s="4832"/>
      <c r="T345" s="4832"/>
      <c r="U345" s="4832"/>
      <c r="V345" s="4832"/>
      <c r="W345" s="4622"/>
      <c r="AU345" s="4724">
        <v>3</v>
      </c>
      <c r="AV345" s="4724">
        <v>2</v>
      </c>
      <c r="AW345" s="4725" t="s">
        <v>291</v>
      </c>
      <c r="AX345" s="4727" t="s">
        <v>2707</v>
      </c>
      <c r="AY345" s="4728">
        <v>3</v>
      </c>
      <c r="AZ345" s="4729">
        <v>13</v>
      </c>
      <c r="EJ345" s="1487"/>
      <c r="EK345" s="1487"/>
      <c r="EN345" s="1487"/>
      <c r="EO345" s="1487"/>
      <c r="EP345" s="1487"/>
      <c r="EQ345" s="1487"/>
      <c r="ER345" s="1487"/>
      <c r="ES345" s="1487"/>
      <c r="ET345" s="1487"/>
      <c r="EU345" s="1487"/>
      <c r="EV345" s="1487"/>
      <c r="EW345" s="1487"/>
      <c r="EX345" s="1487"/>
      <c r="EY345" s="1487"/>
      <c r="EZ345" s="1487"/>
      <c r="FA345" s="1487"/>
      <c r="FB345" s="1487"/>
      <c r="FC345" s="1487"/>
      <c r="FD345" s="1487"/>
      <c r="FE345" s="1487"/>
      <c r="FF345" s="1487"/>
    </row>
    <row r="346" spans="17:162">
      <c r="Q346" s="4832"/>
      <c r="R346" s="4832"/>
      <c r="S346" s="4832"/>
      <c r="T346" s="4832"/>
      <c r="U346" s="4832"/>
      <c r="V346" s="4832"/>
      <c r="W346" s="4622"/>
      <c r="AU346" s="4724">
        <v>3</v>
      </c>
      <c r="AV346" s="4724">
        <v>2</v>
      </c>
      <c r="AW346" s="4725" t="s">
        <v>291</v>
      </c>
      <c r="AX346" s="4727" t="s">
        <v>1076</v>
      </c>
      <c r="AY346" s="4728">
        <v>2</v>
      </c>
      <c r="AZ346" s="4729">
        <v>13</v>
      </c>
      <c r="EN346" s="1487"/>
      <c r="EO346" s="1487"/>
      <c r="EP346" s="1487"/>
      <c r="EQ346" s="1487"/>
      <c r="ER346" s="1487"/>
      <c r="ES346" s="1487"/>
      <c r="ET346" s="1487"/>
      <c r="EU346" s="1487"/>
      <c r="EV346" s="1487"/>
      <c r="EW346" s="1487"/>
      <c r="EX346" s="1487"/>
      <c r="EY346" s="1487"/>
      <c r="EZ346" s="1487"/>
      <c r="FA346" s="1487"/>
      <c r="FB346" s="1487"/>
      <c r="FC346" s="1487"/>
      <c r="FD346" s="1487"/>
      <c r="FE346" s="1487"/>
      <c r="FF346" s="1487"/>
    </row>
    <row r="347" spans="17:162">
      <c r="Q347" s="4832"/>
      <c r="R347" s="4832"/>
      <c r="S347" s="4832"/>
      <c r="T347" s="4832"/>
      <c r="U347" s="4832"/>
      <c r="V347" s="4832"/>
      <c r="W347" s="4622"/>
      <c r="AU347" s="4724">
        <v>3</v>
      </c>
      <c r="AV347" s="4724">
        <v>2</v>
      </c>
      <c r="AW347" s="4725" t="s">
        <v>291</v>
      </c>
      <c r="AX347" s="4725" t="s">
        <v>2709</v>
      </c>
      <c r="AY347" s="4726">
        <v>1</v>
      </c>
      <c r="AZ347" s="4724">
        <v>1</v>
      </c>
      <c r="EN347" s="1487"/>
      <c r="EO347" s="1487"/>
      <c r="EP347" s="1487"/>
      <c r="EQ347" s="1487"/>
      <c r="ER347" s="1487"/>
      <c r="ES347" s="1487"/>
      <c r="ET347" s="1487"/>
      <c r="EU347" s="1487"/>
      <c r="EV347" s="1487"/>
      <c r="EW347" s="1487"/>
      <c r="EX347" s="1487"/>
      <c r="EY347" s="1487"/>
      <c r="EZ347" s="1487"/>
      <c r="FA347" s="1487"/>
      <c r="FB347" s="1487"/>
      <c r="FC347" s="1487"/>
      <c r="FD347" s="1487"/>
      <c r="FE347" s="1487"/>
      <c r="FF347" s="1487"/>
    </row>
    <row r="348" spans="17:162">
      <c r="Q348" s="4832"/>
      <c r="R348" s="4832"/>
      <c r="S348" s="4832"/>
      <c r="T348" s="4832"/>
      <c r="U348" s="4832"/>
      <c r="V348" s="4832"/>
      <c r="W348" s="4622"/>
      <c r="AU348" s="4724">
        <v>3</v>
      </c>
      <c r="AV348" s="4724">
        <v>2</v>
      </c>
      <c r="AW348" s="4725" t="s">
        <v>291</v>
      </c>
      <c r="AX348" s="4725" t="s">
        <v>2709</v>
      </c>
      <c r="AY348" s="4726">
        <v>1</v>
      </c>
      <c r="AZ348" s="4724">
        <v>3</v>
      </c>
      <c r="EN348" s="1487"/>
      <c r="EO348" s="1487"/>
      <c r="EP348" s="1487"/>
      <c r="EQ348" s="1487"/>
      <c r="ER348" s="1487"/>
      <c r="ES348" s="1487"/>
      <c r="ET348" s="1487"/>
      <c r="EU348" s="1487"/>
      <c r="EV348" s="1487"/>
      <c r="EW348" s="1487"/>
      <c r="EX348" s="1487"/>
      <c r="EY348" s="1487"/>
      <c r="EZ348" s="1487"/>
      <c r="FA348" s="1487"/>
      <c r="FB348" s="1487"/>
      <c r="FC348" s="1487"/>
      <c r="FD348" s="1487"/>
      <c r="FE348" s="1487"/>
      <c r="FF348" s="1487"/>
    </row>
    <row r="349" spans="17:162">
      <c r="Q349" s="4832"/>
      <c r="R349" s="4832"/>
      <c r="S349" s="4832"/>
      <c r="T349" s="4832"/>
      <c r="U349" s="4832"/>
      <c r="V349" s="4832"/>
      <c r="W349" s="4622"/>
      <c r="AU349" s="4724">
        <v>3</v>
      </c>
      <c r="AV349" s="4724">
        <v>2</v>
      </c>
      <c r="AW349" s="4725" t="s">
        <v>291</v>
      </c>
      <c r="AX349" s="4725" t="s">
        <v>2709</v>
      </c>
      <c r="AY349" s="4726">
        <v>1</v>
      </c>
      <c r="AZ349" s="4724">
        <v>11</v>
      </c>
      <c r="EN349" s="1487"/>
      <c r="EO349" s="1487"/>
      <c r="EP349" s="1487"/>
      <c r="EQ349" s="1487"/>
      <c r="ER349" s="1487"/>
      <c r="ES349" s="1487"/>
      <c r="ET349" s="1487"/>
      <c r="EU349" s="1487"/>
      <c r="EV349" s="1487"/>
      <c r="EW349" s="1487"/>
      <c r="EX349" s="1487"/>
      <c r="EY349" s="1487"/>
      <c r="EZ349" s="1487"/>
      <c r="FA349" s="1487"/>
      <c r="FB349" s="1487"/>
      <c r="FC349" s="1487"/>
      <c r="FD349" s="1487"/>
      <c r="FE349" s="1487"/>
      <c r="FF349" s="1487"/>
    </row>
    <row r="350" spans="17:162">
      <c r="Q350" s="4832"/>
      <c r="R350" s="4832"/>
      <c r="S350" s="4832"/>
      <c r="T350" s="4832"/>
      <c r="U350" s="4832"/>
      <c r="V350" s="4832"/>
      <c r="W350" s="4622"/>
      <c r="AU350" s="4724">
        <v>3</v>
      </c>
      <c r="AV350" s="4724">
        <v>2</v>
      </c>
      <c r="AW350" s="4725" t="s">
        <v>291</v>
      </c>
      <c r="AX350" s="4725" t="s">
        <v>2709</v>
      </c>
      <c r="AY350" s="4726">
        <v>17</v>
      </c>
      <c r="AZ350" s="4724">
        <v>12</v>
      </c>
      <c r="EN350" s="1487"/>
      <c r="EO350" s="1487"/>
      <c r="EP350" s="1487"/>
      <c r="EQ350" s="1487"/>
      <c r="ER350" s="1487"/>
      <c r="ES350" s="1487"/>
      <c r="ET350" s="1487"/>
      <c r="EU350" s="1487"/>
      <c r="EV350" s="1487"/>
      <c r="EW350" s="1487"/>
      <c r="EX350" s="1487"/>
      <c r="EY350" s="1487"/>
      <c r="EZ350" s="1487"/>
      <c r="FA350" s="1487"/>
      <c r="FB350" s="1487"/>
      <c r="FC350" s="1487"/>
      <c r="FD350" s="1487"/>
      <c r="FE350" s="1487"/>
      <c r="FF350" s="1487"/>
    </row>
    <row r="351" spans="17:162">
      <c r="Q351" s="4832"/>
      <c r="R351" s="4832"/>
      <c r="S351" s="4832"/>
      <c r="T351" s="4832"/>
      <c r="U351" s="4832"/>
      <c r="V351" s="4832"/>
      <c r="W351" s="4622"/>
      <c r="AU351" s="4724">
        <v>3</v>
      </c>
      <c r="AV351" s="4724">
        <v>2</v>
      </c>
      <c r="AW351" s="4725" t="s">
        <v>291</v>
      </c>
      <c r="AX351" s="4725" t="s">
        <v>2709</v>
      </c>
      <c r="AY351" s="4726">
        <v>11</v>
      </c>
      <c r="AZ351" s="4724">
        <v>13</v>
      </c>
      <c r="EN351" s="1487"/>
      <c r="EO351" s="1487"/>
      <c r="EP351" s="1487"/>
      <c r="EQ351" s="1487"/>
      <c r="ER351" s="1487"/>
      <c r="ES351" s="1487"/>
      <c r="ET351" s="1487"/>
      <c r="EU351" s="1487"/>
      <c r="EV351" s="1487"/>
      <c r="EW351" s="1487"/>
      <c r="EX351" s="1487"/>
      <c r="EY351" s="1487"/>
      <c r="EZ351" s="1487"/>
      <c r="FA351" s="1487"/>
      <c r="FB351" s="1487"/>
      <c r="FC351" s="1487"/>
      <c r="FD351" s="1487"/>
      <c r="FE351" s="1487"/>
      <c r="FF351" s="1487"/>
    </row>
    <row r="352" spans="17:162">
      <c r="Q352" s="4832"/>
      <c r="R352" s="4832"/>
      <c r="S352" s="4832"/>
      <c r="T352" s="4832"/>
      <c r="U352" s="4832"/>
      <c r="V352" s="4832"/>
      <c r="W352" s="4622"/>
      <c r="AU352" s="4724">
        <v>3</v>
      </c>
      <c r="AV352" s="4724">
        <v>2</v>
      </c>
      <c r="AW352" s="4725" t="s">
        <v>291</v>
      </c>
      <c r="AX352" s="4725" t="s">
        <v>2709</v>
      </c>
      <c r="AY352" s="4726">
        <v>1</v>
      </c>
      <c r="AZ352" s="4724">
        <v>14</v>
      </c>
      <c r="EN352" s="1487"/>
      <c r="EO352" s="1487"/>
      <c r="EP352" s="1487"/>
      <c r="EQ352" s="1487"/>
      <c r="ER352" s="1487"/>
      <c r="ES352" s="1487"/>
      <c r="ET352" s="1487"/>
      <c r="EU352" s="1487"/>
      <c r="EV352" s="1487"/>
      <c r="EW352" s="1487"/>
      <c r="EX352" s="1487"/>
      <c r="EY352" s="1487"/>
      <c r="EZ352" s="1487"/>
      <c r="FA352" s="1487"/>
      <c r="FB352" s="1487"/>
      <c r="FC352" s="1487"/>
      <c r="FD352" s="1487"/>
      <c r="FE352" s="1487"/>
      <c r="FF352" s="1487"/>
    </row>
    <row r="353" spans="17:162">
      <c r="Q353" s="4832"/>
      <c r="R353" s="4832"/>
      <c r="S353" s="4832"/>
      <c r="T353" s="4832"/>
      <c r="U353" s="4832"/>
      <c r="V353" s="4832"/>
      <c r="W353" s="4622"/>
      <c r="AU353" s="4724">
        <v>3</v>
      </c>
      <c r="AV353" s="4724">
        <v>2</v>
      </c>
      <c r="AW353" s="4725" t="s">
        <v>2738</v>
      </c>
      <c r="AX353" s="4727" t="s">
        <v>2707</v>
      </c>
      <c r="AY353" s="4728">
        <v>1</v>
      </c>
      <c r="AZ353" s="4729">
        <v>10</v>
      </c>
      <c r="EN353" s="1487"/>
      <c r="EO353" s="1487"/>
      <c r="EP353" s="1487"/>
      <c r="EQ353" s="1487"/>
      <c r="ER353" s="1487"/>
      <c r="ES353" s="1487"/>
      <c r="ET353" s="1487"/>
      <c r="EU353" s="1487"/>
      <c r="EV353" s="1487"/>
      <c r="EW353" s="1487"/>
      <c r="EX353" s="1487"/>
      <c r="EY353" s="1487"/>
      <c r="EZ353" s="1487"/>
      <c r="FA353" s="1487"/>
      <c r="FB353" s="1487"/>
      <c r="FC353" s="1487"/>
      <c r="FD353" s="1487"/>
      <c r="FE353" s="1487"/>
      <c r="FF353" s="1487"/>
    </row>
    <row r="354" spans="17:162">
      <c r="Q354" s="4832"/>
      <c r="R354" s="4832"/>
      <c r="S354" s="4832"/>
      <c r="T354" s="4832"/>
      <c r="U354" s="4832"/>
      <c r="V354" s="4832"/>
      <c r="W354" s="4622"/>
      <c r="AU354" s="4724">
        <v>3</v>
      </c>
      <c r="AV354" s="4724">
        <v>2</v>
      </c>
      <c r="AW354" s="4725" t="s">
        <v>2738</v>
      </c>
      <c r="AX354" s="4727" t="s">
        <v>2707</v>
      </c>
      <c r="AY354" s="4728">
        <v>6</v>
      </c>
      <c r="AZ354" s="4729">
        <v>12</v>
      </c>
      <c r="EN354" s="1487"/>
      <c r="EO354" s="1487"/>
      <c r="EP354" s="1487"/>
      <c r="EQ354" s="1487"/>
      <c r="ER354" s="1487"/>
      <c r="ES354" s="1487"/>
      <c r="ET354" s="1487"/>
      <c r="EU354" s="1487"/>
      <c r="EV354" s="1487"/>
      <c r="EW354" s="1487"/>
      <c r="EX354" s="1487"/>
      <c r="EY354" s="1487"/>
      <c r="EZ354" s="1487"/>
      <c r="FA354" s="1487"/>
      <c r="FB354" s="1487"/>
      <c r="FC354" s="1487"/>
      <c r="FD354" s="1487"/>
      <c r="FE354" s="1487"/>
      <c r="FF354" s="1487"/>
    </row>
    <row r="355" spans="17:162">
      <c r="Q355" s="4832"/>
      <c r="R355" s="4832"/>
      <c r="S355" s="4832"/>
      <c r="T355" s="4832"/>
      <c r="U355" s="4832"/>
      <c r="V355" s="4832"/>
      <c r="W355" s="4622"/>
      <c r="AU355" s="4724">
        <v>3</v>
      </c>
      <c r="AV355" s="4724">
        <v>2</v>
      </c>
      <c r="AW355" s="4725" t="s">
        <v>2738</v>
      </c>
      <c r="AX355" s="4727" t="s">
        <v>1076</v>
      </c>
      <c r="AY355" s="4728">
        <v>4</v>
      </c>
      <c r="AZ355" s="4729">
        <v>12</v>
      </c>
      <c r="EN355" s="1487"/>
      <c r="EO355" s="1487"/>
      <c r="EP355" s="1487"/>
      <c r="EQ355" s="1487"/>
      <c r="ER355" s="1487"/>
      <c r="ES355" s="1487"/>
      <c r="ET355" s="1487"/>
      <c r="EU355" s="1487"/>
      <c r="EV355" s="1487"/>
      <c r="EW355" s="1487"/>
      <c r="EX355" s="1487"/>
      <c r="EY355" s="1487"/>
      <c r="EZ355" s="1487"/>
      <c r="FA355" s="1487"/>
      <c r="FB355" s="1487"/>
      <c r="FC355" s="1487"/>
      <c r="FD355" s="1487"/>
      <c r="FE355" s="1487"/>
      <c r="FF355" s="1487"/>
    </row>
    <row r="356" spans="17:162">
      <c r="Q356" s="4832"/>
      <c r="R356" s="4832"/>
      <c r="S356" s="4832"/>
      <c r="T356" s="4832"/>
      <c r="U356" s="4832"/>
      <c r="V356" s="4832"/>
      <c r="W356" s="4622"/>
      <c r="AU356" s="4724">
        <v>3</v>
      </c>
      <c r="AV356" s="4724">
        <v>2</v>
      </c>
      <c r="AW356" s="4725" t="s">
        <v>2738</v>
      </c>
      <c r="AX356" s="4725" t="s">
        <v>2709</v>
      </c>
      <c r="AY356" s="4726">
        <v>1</v>
      </c>
      <c r="AZ356" s="4724">
        <v>7</v>
      </c>
      <c r="EN356" s="1487"/>
      <c r="EO356" s="1487"/>
      <c r="EP356" s="1487"/>
      <c r="EQ356" s="1487"/>
      <c r="ER356" s="1487"/>
      <c r="ES356" s="1487"/>
      <c r="ET356" s="1487"/>
      <c r="EU356" s="1487"/>
      <c r="EV356" s="1487"/>
      <c r="EW356" s="1487"/>
      <c r="EX356" s="1487"/>
      <c r="EY356" s="1487"/>
      <c r="EZ356" s="1487"/>
      <c r="FA356" s="1487"/>
      <c r="FB356" s="1487"/>
      <c r="FC356" s="1487"/>
      <c r="FD356" s="1487"/>
      <c r="FE356" s="1487"/>
      <c r="FF356" s="1487"/>
    </row>
    <row r="357" spans="17:162">
      <c r="Q357" s="4832"/>
      <c r="R357" s="4832"/>
      <c r="S357" s="4832"/>
      <c r="T357" s="4832"/>
      <c r="U357" s="4832"/>
      <c r="V357" s="4832"/>
      <c r="W357" s="4622"/>
      <c r="AU357" s="4724">
        <v>3</v>
      </c>
      <c r="AV357" s="4724">
        <v>2</v>
      </c>
      <c r="AW357" s="4725" t="s">
        <v>2738</v>
      </c>
      <c r="AX357" s="4725" t="s">
        <v>2709</v>
      </c>
      <c r="AY357" s="4726">
        <v>1</v>
      </c>
      <c r="AZ357" s="4724">
        <v>8</v>
      </c>
      <c r="EN357" s="1487"/>
      <c r="EO357" s="1487"/>
      <c r="EP357" s="1487"/>
      <c r="EQ357" s="1487"/>
      <c r="ER357" s="1487"/>
      <c r="ES357" s="1487"/>
      <c r="ET357" s="1487"/>
      <c r="EU357" s="1487"/>
      <c r="EV357" s="1487"/>
      <c r="EW357" s="1487"/>
      <c r="EX357" s="1487"/>
      <c r="EY357" s="1487"/>
      <c r="EZ357" s="1487"/>
      <c r="FA357" s="1487"/>
      <c r="FB357" s="1487"/>
      <c r="FC357" s="1487"/>
      <c r="FD357" s="1487"/>
      <c r="FE357" s="1487"/>
      <c r="FF357" s="1487"/>
    </row>
    <row r="358" spans="17:162">
      <c r="Q358" s="4832"/>
      <c r="R358" s="4832"/>
      <c r="S358" s="4832"/>
      <c r="T358" s="4832"/>
      <c r="U358" s="4832"/>
      <c r="V358" s="4832"/>
      <c r="W358" s="4622"/>
      <c r="AU358" s="4724">
        <v>3</v>
      </c>
      <c r="AV358" s="4724">
        <v>2</v>
      </c>
      <c r="AW358" s="4725" t="s">
        <v>2738</v>
      </c>
      <c r="AX358" s="4725" t="s">
        <v>2709</v>
      </c>
      <c r="AY358" s="4726">
        <v>1</v>
      </c>
      <c r="AZ358" s="4724">
        <v>10</v>
      </c>
      <c r="EN358" s="1487"/>
      <c r="EO358" s="1487"/>
      <c r="EP358" s="1487"/>
      <c r="EQ358" s="1487"/>
      <c r="ER358" s="1487"/>
      <c r="ES358" s="1487"/>
      <c r="ET358" s="1487"/>
      <c r="EU358" s="1487"/>
      <c r="EV358" s="1487"/>
      <c r="EW358" s="1487"/>
      <c r="EX358" s="1487"/>
      <c r="EY358" s="1487"/>
      <c r="EZ358" s="1487"/>
      <c r="FA358" s="1487"/>
      <c r="FB358" s="1487"/>
      <c r="FC358" s="1487"/>
      <c r="FD358" s="1487"/>
      <c r="FE358" s="1487"/>
      <c r="FF358" s="1487"/>
    </row>
    <row r="359" spans="17:162">
      <c r="Q359" s="4832"/>
      <c r="R359" s="4832"/>
      <c r="S359" s="4832"/>
      <c r="T359" s="4832"/>
      <c r="U359" s="4832"/>
      <c r="V359" s="4832"/>
      <c r="W359" s="4622"/>
      <c r="AU359" s="4724">
        <v>3</v>
      </c>
      <c r="AV359" s="4724">
        <v>2</v>
      </c>
      <c r="AW359" s="4725" t="s">
        <v>2738</v>
      </c>
      <c r="AX359" s="4725" t="s">
        <v>2709</v>
      </c>
      <c r="AY359" s="4726">
        <v>1</v>
      </c>
      <c r="AZ359" s="4724">
        <v>11</v>
      </c>
      <c r="EN359" s="1487"/>
      <c r="EO359" s="1487"/>
      <c r="EP359" s="1487"/>
      <c r="EQ359" s="1487"/>
      <c r="ER359" s="1487"/>
      <c r="ES359" s="1487"/>
      <c r="ET359" s="1487"/>
      <c r="EU359" s="1487"/>
      <c r="EV359" s="1487"/>
      <c r="EW359" s="1487"/>
      <c r="EX359" s="1487"/>
      <c r="EY359" s="1487"/>
      <c r="EZ359" s="1487"/>
      <c r="FA359" s="1487"/>
      <c r="FB359" s="1487"/>
      <c r="FC359" s="1487"/>
      <c r="FD359" s="1487"/>
      <c r="FE359" s="1487"/>
      <c r="FF359" s="1487"/>
    </row>
    <row r="360" spans="17:162">
      <c r="Q360" s="4832"/>
      <c r="R360" s="4832"/>
      <c r="S360" s="4832"/>
      <c r="T360" s="4832"/>
      <c r="U360" s="4832"/>
      <c r="V360" s="4832"/>
      <c r="W360" s="4622"/>
      <c r="AU360" s="4724">
        <v>3</v>
      </c>
      <c r="AV360" s="4724">
        <v>2</v>
      </c>
      <c r="AW360" s="4725" t="s">
        <v>2738</v>
      </c>
      <c r="AX360" s="4725" t="s">
        <v>2709</v>
      </c>
      <c r="AY360" s="4726">
        <v>9</v>
      </c>
      <c r="AZ360" s="4724">
        <v>12</v>
      </c>
      <c r="EN360" s="1487"/>
      <c r="EO360" s="1487"/>
      <c r="EP360" s="1487"/>
      <c r="EQ360" s="1487"/>
      <c r="ER360" s="1487"/>
      <c r="ES360" s="1487"/>
      <c r="ET360" s="1487"/>
      <c r="EU360" s="1487"/>
      <c r="EV360" s="1487"/>
      <c r="EW360" s="1487"/>
      <c r="EX360" s="1487"/>
      <c r="EY360" s="1487"/>
      <c r="EZ360" s="1487"/>
      <c r="FA360" s="1487"/>
      <c r="FB360" s="1487"/>
      <c r="FC360" s="1487"/>
      <c r="FD360" s="1487"/>
      <c r="FE360" s="1487"/>
      <c r="FF360" s="1487"/>
    </row>
    <row r="361" spans="17:162">
      <c r="Q361" s="4832"/>
      <c r="R361" s="4832"/>
      <c r="S361" s="4832"/>
      <c r="T361" s="4832"/>
      <c r="U361" s="4832"/>
      <c r="V361" s="4832"/>
      <c r="W361" s="4622"/>
      <c r="AU361" s="4724">
        <v>3</v>
      </c>
      <c r="AV361" s="4724">
        <v>2</v>
      </c>
      <c r="AW361" s="4725" t="s">
        <v>2737</v>
      </c>
      <c r="AX361" s="4727" t="s">
        <v>2732</v>
      </c>
      <c r="AY361" s="4728">
        <v>1</v>
      </c>
      <c r="AZ361" s="4729">
        <v>11</v>
      </c>
      <c r="EN361" s="1487"/>
      <c r="EO361" s="1487"/>
      <c r="EP361" s="1487"/>
      <c r="EQ361" s="1487"/>
      <c r="ER361" s="1487"/>
      <c r="ES361" s="1487"/>
      <c r="ET361" s="1487"/>
      <c r="EU361" s="1487"/>
      <c r="EV361" s="1487"/>
      <c r="EW361" s="1487"/>
      <c r="EX361" s="1487"/>
      <c r="EY361" s="1487"/>
      <c r="EZ361" s="1487"/>
      <c r="FA361" s="1487"/>
      <c r="FB361" s="1487"/>
      <c r="FC361" s="1487"/>
      <c r="FD361" s="1487"/>
      <c r="FE361" s="1487"/>
      <c r="FF361" s="1487"/>
    </row>
    <row r="362" spans="17:162">
      <c r="Q362" s="4832"/>
      <c r="R362" s="4832"/>
      <c r="S362" s="4832"/>
      <c r="T362" s="4832"/>
      <c r="U362" s="4832"/>
      <c r="V362" s="4832"/>
      <c r="W362" s="4622"/>
      <c r="AU362" s="4724">
        <v>3</v>
      </c>
      <c r="AV362" s="4724">
        <v>2</v>
      </c>
      <c r="AW362" s="4725" t="s">
        <v>2737</v>
      </c>
      <c r="AX362" s="4727" t="s">
        <v>2732</v>
      </c>
      <c r="AY362" s="4728">
        <v>2</v>
      </c>
      <c r="AZ362" s="4729">
        <v>12</v>
      </c>
      <c r="EN362" s="1487"/>
      <c r="EO362" s="1487"/>
      <c r="EP362" s="1487"/>
      <c r="EQ362" s="1487"/>
      <c r="ER362" s="1487"/>
      <c r="ES362" s="1487"/>
      <c r="ET362" s="1487"/>
      <c r="EU362" s="1487"/>
      <c r="EV362" s="1487"/>
      <c r="EW362" s="1487"/>
      <c r="EX362" s="1487"/>
      <c r="EY362" s="1487"/>
      <c r="EZ362" s="1487"/>
      <c r="FA362" s="1487"/>
      <c r="FB362" s="1487"/>
      <c r="FC362" s="1487"/>
      <c r="FD362" s="1487"/>
      <c r="FE362" s="1487"/>
      <c r="FF362" s="1487"/>
    </row>
    <row r="363" spans="17:162">
      <c r="Q363" s="4832"/>
      <c r="R363" s="4832"/>
      <c r="S363" s="4832"/>
      <c r="T363" s="4832"/>
      <c r="U363" s="4832"/>
      <c r="V363" s="4832"/>
      <c r="W363" s="4622"/>
      <c r="AU363" s="4724">
        <v>3</v>
      </c>
      <c r="AV363" s="4724">
        <v>3</v>
      </c>
      <c r="AW363" s="4725" t="s">
        <v>525</v>
      </c>
      <c r="AX363" s="4725" t="s">
        <v>2731</v>
      </c>
      <c r="AY363" s="4726">
        <v>1</v>
      </c>
      <c r="AZ363" s="4724">
        <v>14</v>
      </c>
      <c r="EN363" s="1487"/>
      <c r="EO363" s="1487"/>
      <c r="EP363" s="1487"/>
      <c r="EQ363" s="1487"/>
      <c r="ER363" s="1487"/>
      <c r="ES363" s="1487"/>
      <c r="ET363" s="1487"/>
      <c r="EU363" s="1487"/>
      <c r="EV363" s="1487"/>
      <c r="EW363" s="1487"/>
      <c r="EX363" s="1487"/>
      <c r="EY363" s="1487"/>
      <c r="EZ363" s="1487"/>
      <c r="FA363" s="1487"/>
      <c r="FB363" s="1487"/>
      <c r="FC363" s="1487"/>
      <c r="FD363" s="1487"/>
      <c r="FE363" s="1487"/>
      <c r="FF363" s="1487"/>
    </row>
    <row r="364" spans="17:162">
      <c r="Q364" s="4832"/>
      <c r="R364" s="4832"/>
      <c r="S364" s="4832"/>
      <c r="T364" s="4832"/>
      <c r="U364" s="4832"/>
      <c r="V364" s="4832"/>
      <c r="W364" s="4622"/>
      <c r="AU364" s="4724">
        <v>3</v>
      </c>
      <c r="AV364" s="4724">
        <v>3</v>
      </c>
      <c r="AW364" s="4725" t="s">
        <v>525</v>
      </c>
      <c r="AX364" s="4727" t="s">
        <v>2732</v>
      </c>
      <c r="AY364" s="4728">
        <v>1</v>
      </c>
      <c r="AZ364" s="4729">
        <v>9</v>
      </c>
      <c r="EN364" s="1487"/>
      <c r="EO364" s="1487"/>
      <c r="EP364" s="1487"/>
      <c r="EQ364" s="1487"/>
      <c r="ER364" s="1487"/>
      <c r="ES364" s="1487"/>
      <c r="ET364" s="1487"/>
      <c r="EU364" s="1487"/>
      <c r="EV364" s="1487"/>
      <c r="EW364" s="1487"/>
      <c r="EX364" s="1487"/>
      <c r="EY364" s="1487"/>
      <c r="EZ364" s="1487"/>
      <c r="FA364" s="1487"/>
      <c r="FB364" s="1487"/>
      <c r="FC364" s="1487"/>
      <c r="FD364" s="1487"/>
      <c r="FE364" s="1487"/>
      <c r="FF364" s="1487"/>
    </row>
    <row r="365" spans="17:162">
      <c r="Q365" s="4832"/>
      <c r="R365" s="4832"/>
      <c r="S365" s="4832"/>
      <c r="T365" s="4832"/>
      <c r="U365" s="4832"/>
      <c r="V365" s="4832"/>
      <c r="W365" s="4622"/>
      <c r="AU365" s="4724">
        <v>3</v>
      </c>
      <c r="AV365" s="4724">
        <v>3</v>
      </c>
      <c r="AW365" s="4725" t="s">
        <v>525</v>
      </c>
      <c r="AX365" s="4727" t="s">
        <v>1076</v>
      </c>
      <c r="AY365" s="4728">
        <v>2</v>
      </c>
      <c r="AZ365" s="4729">
        <v>12</v>
      </c>
      <c r="EN365" s="1487"/>
      <c r="EO365" s="1487"/>
      <c r="EP365" s="1487"/>
      <c r="EQ365" s="1487"/>
      <c r="ER365" s="1487"/>
      <c r="ES365" s="1487"/>
      <c r="ET365" s="1487"/>
      <c r="EU365" s="1487"/>
      <c r="EV365" s="1487"/>
      <c r="EW365" s="1487"/>
      <c r="EX365" s="1487"/>
      <c r="EY365" s="1487"/>
      <c r="EZ365" s="1487"/>
      <c r="FA365" s="1487"/>
      <c r="FB365" s="1487"/>
      <c r="FC365" s="1487"/>
      <c r="FD365" s="1487"/>
      <c r="FE365" s="1487"/>
      <c r="FF365" s="1487"/>
    </row>
    <row r="366" spans="17:162">
      <c r="Q366" s="4832"/>
      <c r="R366" s="4832"/>
      <c r="S366" s="4832"/>
      <c r="T366" s="4832"/>
      <c r="U366" s="4832"/>
      <c r="V366" s="4832"/>
      <c r="W366" s="4622"/>
      <c r="AU366" s="4724">
        <v>3</v>
      </c>
      <c r="AV366" s="4724">
        <v>3</v>
      </c>
      <c r="AW366" s="4725" t="s">
        <v>525</v>
      </c>
      <c r="AX366" s="4725" t="s">
        <v>2709</v>
      </c>
      <c r="AY366" s="4726">
        <v>1</v>
      </c>
      <c r="AZ366" s="4724">
        <v>10</v>
      </c>
      <c r="EN366" s="1487"/>
      <c r="EO366" s="1487"/>
      <c r="EP366" s="1487"/>
      <c r="EQ366" s="1487"/>
      <c r="ER366" s="1487"/>
      <c r="ES366" s="1487"/>
      <c r="ET366" s="1487"/>
      <c r="EU366" s="1487"/>
      <c r="EV366" s="1487"/>
      <c r="EW366" s="1487"/>
      <c r="EX366" s="1487"/>
      <c r="EY366" s="1487"/>
      <c r="EZ366" s="1487"/>
      <c r="FA366" s="1487"/>
      <c r="FB366" s="1487"/>
      <c r="FC366" s="1487"/>
      <c r="FD366" s="1487"/>
      <c r="FE366" s="1487"/>
      <c r="FF366" s="1487"/>
    </row>
    <row r="367" spans="17:162">
      <c r="Q367" s="4832"/>
      <c r="R367" s="4832"/>
      <c r="S367" s="4832"/>
      <c r="T367" s="4832"/>
      <c r="U367" s="4832"/>
      <c r="V367" s="4832"/>
      <c r="W367" s="4622"/>
      <c r="AU367" s="4724">
        <v>3</v>
      </c>
      <c r="AV367" s="4724">
        <v>3</v>
      </c>
      <c r="AW367" s="4725" t="s">
        <v>381</v>
      </c>
      <c r="AX367" s="4725" t="s">
        <v>2731</v>
      </c>
      <c r="AY367" s="4726">
        <v>2</v>
      </c>
      <c r="AZ367" s="4724">
        <v>13</v>
      </c>
      <c r="EN367" s="1487"/>
      <c r="EO367" s="1487"/>
      <c r="EP367" s="1487"/>
      <c r="EQ367" s="1487"/>
      <c r="ER367" s="1487"/>
      <c r="ES367" s="1487"/>
      <c r="ET367" s="1487"/>
      <c r="EU367" s="1487"/>
      <c r="EV367" s="1487"/>
      <c r="EW367" s="1487"/>
      <c r="EX367" s="1487"/>
      <c r="EY367" s="1487"/>
      <c r="EZ367" s="1487"/>
      <c r="FA367" s="1487"/>
      <c r="FB367" s="1487"/>
      <c r="FC367" s="1487"/>
      <c r="FD367" s="1487"/>
      <c r="FE367" s="1487"/>
      <c r="FF367" s="1487"/>
    </row>
    <row r="368" spans="17:162">
      <c r="Q368" s="4832"/>
      <c r="R368" s="4832"/>
      <c r="S368" s="4832"/>
      <c r="T368" s="4832"/>
      <c r="U368" s="4832"/>
      <c r="V368" s="4832"/>
      <c r="W368" s="4622"/>
      <c r="AU368" s="4724">
        <v>3</v>
      </c>
      <c r="AV368" s="4724">
        <v>3</v>
      </c>
      <c r="AW368" s="4725" t="s">
        <v>381</v>
      </c>
      <c r="AX368" s="4725" t="s">
        <v>2731</v>
      </c>
      <c r="AY368" s="4726">
        <v>3</v>
      </c>
      <c r="AZ368" s="4724">
        <v>14</v>
      </c>
      <c r="EN368" s="1487"/>
      <c r="EO368" s="1487"/>
      <c r="EP368" s="1487"/>
      <c r="EQ368" s="1487"/>
      <c r="ER368" s="1487"/>
      <c r="ES368" s="1487"/>
      <c r="ET368" s="1487"/>
      <c r="EU368" s="1487"/>
      <c r="EV368" s="1487"/>
      <c r="EW368" s="1487"/>
      <c r="EX368" s="1487"/>
      <c r="EY368" s="1487"/>
      <c r="EZ368" s="1487"/>
      <c r="FA368" s="1487"/>
      <c r="FB368" s="1487"/>
      <c r="FC368" s="1487"/>
      <c r="FD368" s="1487"/>
      <c r="FE368" s="1487"/>
      <c r="FF368" s="1487"/>
    </row>
    <row r="369" spans="17:162">
      <c r="Q369" s="4832"/>
      <c r="R369" s="4832"/>
      <c r="S369" s="4832"/>
      <c r="T369" s="4832"/>
      <c r="U369" s="4832"/>
      <c r="V369" s="4832"/>
      <c r="W369" s="4622"/>
      <c r="AU369" s="4724">
        <v>3</v>
      </c>
      <c r="AV369" s="4724">
        <v>3</v>
      </c>
      <c r="AW369" s="4725" t="s">
        <v>381</v>
      </c>
      <c r="AX369" s="4725" t="s">
        <v>2731</v>
      </c>
      <c r="AY369" s="4726">
        <v>2</v>
      </c>
      <c r="AZ369" s="4724">
        <v>16</v>
      </c>
      <c r="EN369" s="1487"/>
      <c r="EO369" s="1487"/>
      <c r="EP369" s="1487"/>
      <c r="EQ369" s="1487"/>
      <c r="ER369" s="1487"/>
      <c r="ES369" s="1487"/>
      <c r="ET369" s="1487"/>
      <c r="EU369" s="1487"/>
      <c r="EV369" s="1487"/>
      <c r="EW369" s="1487"/>
      <c r="EX369" s="1487"/>
      <c r="EY369" s="1487"/>
      <c r="EZ369" s="1487"/>
      <c r="FA369" s="1487"/>
      <c r="FB369" s="1487"/>
      <c r="FC369" s="1487"/>
      <c r="FD369" s="1487"/>
      <c r="FE369" s="1487"/>
      <c r="FF369" s="1487"/>
    </row>
    <row r="370" spans="17:162">
      <c r="Q370" s="4832"/>
      <c r="R370" s="4832"/>
      <c r="S370" s="4832"/>
      <c r="T370" s="4832"/>
      <c r="U370" s="4832"/>
      <c r="V370" s="4832"/>
      <c r="W370" s="4622"/>
      <c r="AU370" s="4724">
        <v>3</v>
      </c>
      <c r="AV370" s="4724">
        <v>3</v>
      </c>
      <c r="AW370" s="4725" t="s">
        <v>381</v>
      </c>
      <c r="AX370" s="4727" t="s">
        <v>2732</v>
      </c>
      <c r="AY370" s="4728">
        <v>1</v>
      </c>
      <c r="AZ370" s="4729">
        <v>12</v>
      </c>
      <c r="EN370" s="1487"/>
      <c r="EO370" s="1487"/>
      <c r="EP370" s="1487"/>
      <c r="EQ370" s="1487"/>
      <c r="ER370" s="1487"/>
      <c r="ES370" s="1487"/>
      <c r="ET370" s="1487"/>
      <c r="EU370" s="1487"/>
      <c r="EV370" s="1487"/>
      <c r="EW370" s="1487"/>
      <c r="EX370" s="1487"/>
      <c r="EY370" s="1487"/>
      <c r="EZ370" s="1487"/>
      <c r="FA370" s="1487"/>
      <c r="FB370" s="1487"/>
      <c r="FC370" s="1487"/>
      <c r="FD370" s="1487"/>
      <c r="FE370" s="1487"/>
      <c r="FF370" s="1487"/>
    </row>
    <row r="371" spans="17:162">
      <c r="Q371" s="4832"/>
      <c r="R371" s="4832"/>
      <c r="S371" s="4832"/>
      <c r="T371" s="4832"/>
      <c r="U371" s="4832"/>
      <c r="V371" s="4832"/>
      <c r="W371" s="4622"/>
      <c r="AU371" s="4724">
        <v>3</v>
      </c>
      <c r="AV371" s="4724">
        <v>3</v>
      </c>
      <c r="AW371" s="4725" t="s">
        <v>381</v>
      </c>
      <c r="AX371" s="4727" t="s">
        <v>2707</v>
      </c>
      <c r="AY371" s="4728">
        <v>2</v>
      </c>
      <c r="AZ371" s="4729">
        <v>12</v>
      </c>
      <c r="EN371" s="1487"/>
      <c r="EO371" s="1487"/>
      <c r="EP371" s="1487"/>
      <c r="EQ371" s="1487"/>
      <c r="ER371" s="1487"/>
      <c r="ES371" s="1487"/>
      <c r="ET371" s="1487"/>
      <c r="EU371" s="1487"/>
      <c r="EV371" s="1487"/>
      <c r="EW371" s="1487"/>
      <c r="EX371" s="1487"/>
      <c r="EY371" s="1487"/>
      <c r="EZ371" s="1487"/>
      <c r="FA371" s="1487"/>
      <c r="FB371" s="1487"/>
      <c r="FC371" s="1487"/>
      <c r="FD371" s="1487"/>
      <c r="FE371" s="1487"/>
      <c r="FF371" s="1487"/>
    </row>
    <row r="372" spans="17:162">
      <c r="Q372" s="4832"/>
      <c r="R372" s="4832"/>
      <c r="S372" s="4832"/>
      <c r="T372" s="4832"/>
      <c r="U372" s="4832"/>
      <c r="V372" s="4832"/>
      <c r="W372" s="4622"/>
      <c r="AU372" s="4724">
        <v>3</v>
      </c>
      <c r="AV372" s="4724">
        <v>3</v>
      </c>
      <c r="AW372" s="4725" t="s">
        <v>381</v>
      </c>
      <c r="AX372" s="4727" t="s">
        <v>2707</v>
      </c>
      <c r="AY372" s="4728">
        <v>1</v>
      </c>
      <c r="AZ372" s="4729">
        <v>13</v>
      </c>
      <c r="EN372" s="1487"/>
      <c r="EO372" s="1487"/>
      <c r="EP372" s="1487"/>
      <c r="EQ372" s="1487"/>
      <c r="ER372" s="1487"/>
      <c r="ES372" s="1487"/>
      <c r="ET372" s="1487"/>
      <c r="EU372" s="1487"/>
      <c r="EV372" s="1487"/>
      <c r="EW372" s="1487"/>
      <c r="EX372" s="1487"/>
      <c r="EY372" s="1487"/>
      <c r="EZ372" s="1487"/>
      <c r="FA372" s="1487"/>
      <c r="FB372" s="1487"/>
      <c r="FC372" s="1487"/>
      <c r="FD372" s="1487"/>
      <c r="FE372" s="1487"/>
      <c r="FF372" s="1487"/>
    </row>
    <row r="373" spans="17:162">
      <c r="Q373" s="4832"/>
      <c r="R373" s="4832"/>
      <c r="S373" s="4832"/>
      <c r="T373" s="4832"/>
      <c r="U373" s="4832"/>
      <c r="V373" s="4832"/>
      <c r="W373" s="4622"/>
      <c r="AU373" s="4724">
        <v>3</v>
      </c>
      <c r="AV373" s="4724">
        <v>3</v>
      </c>
      <c r="AW373" s="4725" t="s">
        <v>381</v>
      </c>
      <c r="AX373" s="4727" t="s">
        <v>1076</v>
      </c>
      <c r="AY373" s="4728">
        <v>1</v>
      </c>
      <c r="AZ373" s="4729">
        <v>11</v>
      </c>
      <c r="EN373" s="1487"/>
      <c r="EO373" s="1487"/>
      <c r="EP373" s="1487"/>
      <c r="EQ373" s="1487"/>
      <c r="ER373" s="1487"/>
      <c r="ES373" s="1487"/>
      <c r="ET373" s="1487"/>
      <c r="EU373" s="1487"/>
      <c r="EV373" s="1487"/>
      <c r="EW373" s="1487"/>
      <c r="EX373" s="1487"/>
      <c r="EY373" s="1487"/>
      <c r="EZ373" s="1487"/>
      <c r="FA373" s="1487"/>
      <c r="FB373" s="1487"/>
      <c r="FC373" s="1487"/>
      <c r="FD373" s="1487"/>
      <c r="FE373" s="1487"/>
      <c r="FF373" s="1487"/>
    </row>
    <row r="374" spans="17:162">
      <c r="Q374" s="4832"/>
      <c r="R374" s="4832"/>
      <c r="S374" s="4832"/>
      <c r="T374" s="4832"/>
      <c r="U374" s="4832"/>
      <c r="V374" s="4832"/>
      <c r="W374" s="4622"/>
      <c r="AU374" s="4724">
        <v>3</v>
      </c>
      <c r="AV374" s="4724">
        <v>3</v>
      </c>
      <c r="AW374" s="4725" t="s">
        <v>381</v>
      </c>
      <c r="AX374" s="4727" t="s">
        <v>1076</v>
      </c>
      <c r="AY374" s="4728">
        <v>1</v>
      </c>
      <c r="AZ374" s="4729">
        <v>12</v>
      </c>
      <c r="EN374" s="1487"/>
      <c r="EO374" s="1487"/>
      <c r="EP374" s="1487"/>
      <c r="EQ374" s="1487"/>
      <c r="ER374" s="1487"/>
      <c r="ES374" s="1487"/>
      <c r="ET374" s="1487"/>
      <c r="EU374" s="1487"/>
      <c r="EV374" s="1487"/>
      <c r="EW374" s="1487"/>
      <c r="EX374" s="1487"/>
      <c r="EY374" s="1487"/>
      <c r="EZ374" s="1487"/>
      <c r="FA374" s="1487"/>
      <c r="FB374" s="1487"/>
      <c r="FC374" s="1487"/>
      <c r="FD374" s="1487"/>
      <c r="FE374" s="1487"/>
      <c r="FF374" s="1487"/>
    </row>
    <row r="375" spans="17:162">
      <c r="Q375" s="4832"/>
      <c r="R375" s="4832"/>
      <c r="S375" s="4832"/>
      <c r="T375" s="4832"/>
      <c r="U375" s="4832"/>
      <c r="V375" s="4832"/>
      <c r="W375" s="4622"/>
      <c r="AU375" s="4724">
        <v>3</v>
      </c>
      <c r="AV375" s="4724">
        <v>3</v>
      </c>
      <c r="AW375" s="4725" t="s">
        <v>381</v>
      </c>
      <c r="AX375" s="4725" t="s">
        <v>2709</v>
      </c>
      <c r="AY375" s="4726">
        <v>2</v>
      </c>
      <c r="AZ375" s="4724">
        <v>12</v>
      </c>
      <c r="EN375" s="1487"/>
      <c r="EO375" s="1487"/>
      <c r="EP375" s="1487"/>
      <c r="EQ375" s="1487"/>
      <c r="ER375" s="1487"/>
      <c r="ES375" s="1487"/>
      <c r="ET375" s="1487"/>
      <c r="EU375" s="1487"/>
      <c r="EV375" s="1487"/>
      <c r="EW375" s="1487"/>
      <c r="EX375" s="1487"/>
      <c r="EY375" s="1487"/>
      <c r="EZ375" s="1487"/>
      <c r="FA375" s="1487"/>
      <c r="FB375" s="1487"/>
      <c r="FC375" s="1487"/>
      <c r="FD375" s="1487"/>
      <c r="FE375" s="1487"/>
      <c r="FF375" s="1487"/>
    </row>
    <row r="376" spans="17:162">
      <c r="Q376" s="4832"/>
      <c r="R376" s="4832"/>
      <c r="S376" s="4832"/>
      <c r="T376" s="4832"/>
      <c r="U376" s="4832"/>
      <c r="V376" s="4832"/>
      <c r="W376" s="4622"/>
      <c r="AU376" s="4724">
        <v>3</v>
      </c>
      <c r="AV376" s="4724">
        <v>3</v>
      </c>
      <c r="AW376" s="4725" t="s">
        <v>381</v>
      </c>
      <c r="AX376" s="4725" t="s">
        <v>2709</v>
      </c>
      <c r="AY376" s="4726">
        <v>1</v>
      </c>
      <c r="AZ376" s="4724">
        <v>13</v>
      </c>
      <c r="EN376" s="1487"/>
      <c r="EO376" s="1487"/>
      <c r="EP376" s="1487"/>
      <c r="EQ376" s="1487"/>
      <c r="ER376" s="1487"/>
      <c r="ES376" s="1487"/>
      <c r="ET376" s="1487"/>
      <c r="EU376" s="1487"/>
      <c r="EV376" s="1487"/>
      <c r="EW376" s="1487"/>
      <c r="EX376" s="1487"/>
      <c r="EY376" s="1487"/>
      <c r="EZ376" s="1487"/>
      <c r="FA376" s="1487"/>
      <c r="FB376" s="1487"/>
      <c r="FC376" s="1487"/>
      <c r="FD376" s="1487"/>
      <c r="FE376" s="1487"/>
      <c r="FF376" s="1487"/>
    </row>
    <row r="377" spans="17:162">
      <c r="Q377" s="4832"/>
      <c r="R377" s="4832"/>
      <c r="S377" s="4832"/>
      <c r="T377" s="4832"/>
      <c r="U377" s="4832"/>
      <c r="V377" s="4832"/>
      <c r="W377" s="4622"/>
      <c r="AU377" s="4724">
        <v>3</v>
      </c>
      <c r="AV377" s="4724">
        <v>4</v>
      </c>
      <c r="AW377" s="4725" t="s">
        <v>298</v>
      </c>
      <c r="AX377" s="4725" t="s">
        <v>2709</v>
      </c>
      <c r="AY377" s="4726">
        <v>1</v>
      </c>
      <c r="AZ377" s="4724">
        <v>9</v>
      </c>
      <c r="EN377" s="1487"/>
      <c r="EO377" s="1487"/>
      <c r="EP377" s="1487"/>
      <c r="EQ377" s="1487"/>
      <c r="ER377" s="1487"/>
      <c r="ES377" s="1487"/>
      <c r="ET377" s="1487"/>
      <c r="EU377" s="1487"/>
      <c r="EV377" s="1487"/>
      <c r="EW377" s="1487"/>
      <c r="EX377" s="1487"/>
      <c r="EY377" s="1487"/>
      <c r="EZ377" s="1487"/>
      <c r="FA377" s="1487"/>
      <c r="FB377" s="1487"/>
      <c r="FC377" s="1487"/>
      <c r="FD377" s="1487"/>
      <c r="FE377" s="1487"/>
      <c r="FF377" s="1487"/>
    </row>
    <row r="378" spans="17:162">
      <c r="Q378" s="4832"/>
      <c r="R378" s="4832"/>
      <c r="S378" s="4832"/>
      <c r="T378" s="4832"/>
      <c r="U378" s="4832"/>
      <c r="V378" s="4832"/>
      <c r="W378" s="4622"/>
      <c r="AU378" s="4724">
        <v>3</v>
      </c>
      <c r="AV378" s="4724">
        <v>4</v>
      </c>
      <c r="AW378" s="4725" t="s">
        <v>298</v>
      </c>
      <c r="AX378" s="4725" t="s">
        <v>2709</v>
      </c>
      <c r="AY378" s="4726">
        <v>6</v>
      </c>
      <c r="AZ378" s="4724">
        <v>12</v>
      </c>
      <c r="EN378" s="1487"/>
      <c r="EO378" s="1487"/>
      <c r="EP378" s="1487"/>
      <c r="EQ378" s="1487"/>
      <c r="ER378" s="1487"/>
      <c r="ES378" s="1487"/>
      <c r="ET378" s="1487"/>
      <c r="EU378" s="1487"/>
      <c r="EV378" s="1487"/>
      <c r="EW378" s="1487"/>
      <c r="EX378" s="1487"/>
      <c r="EY378" s="1487"/>
      <c r="EZ378" s="1487"/>
      <c r="FA378" s="1487"/>
      <c r="FB378" s="1487"/>
      <c r="FC378" s="1487"/>
      <c r="FD378" s="1487"/>
      <c r="FE378" s="1487"/>
      <c r="FF378" s="1487"/>
    </row>
    <row r="379" spans="17:162">
      <c r="Q379" s="4832"/>
      <c r="R379" s="4832"/>
      <c r="S379" s="4832"/>
      <c r="T379" s="4832"/>
      <c r="U379" s="4832"/>
      <c r="V379" s="4832"/>
      <c r="W379" s="4622"/>
      <c r="AU379" s="4724">
        <v>3</v>
      </c>
      <c r="AV379" s="4724">
        <v>4</v>
      </c>
      <c r="AW379" s="4725" t="s">
        <v>298</v>
      </c>
      <c r="AX379" s="4725" t="s">
        <v>2709</v>
      </c>
      <c r="AY379" s="4726">
        <v>1</v>
      </c>
      <c r="AZ379" s="4724">
        <v>13</v>
      </c>
      <c r="EN379" s="1487"/>
      <c r="EO379" s="1487"/>
      <c r="EP379" s="1487"/>
      <c r="EQ379" s="1487"/>
      <c r="ER379" s="1487"/>
      <c r="ES379" s="1487"/>
      <c r="ET379" s="1487"/>
      <c r="EU379" s="1487"/>
      <c r="EV379" s="1487"/>
      <c r="EW379" s="1487"/>
      <c r="EX379" s="1487"/>
      <c r="EY379" s="1487"/>
      <c r="EZ379" s="1487"/>
      <c r="FA379" s="1487"/>
      <c r="FB379" s="1487"/>
      <c r="FC379" s="1487"/>
      <c r="FD379" s="1487"/>
      <c r="FE379" s="1487"/>
      <c r="FF379" s="1487"/>
    </row>
    <row r="380" spans="17:162">
      <c r="Q380" s="4832"/>
      <c r="R380" s="4832"/>
      <c r="S380" s="4832"/>
      <c r="T380" s="4832"/>
      <c r="U380" s="4832"/>
      <c r="V380" s="4832"/>
      <c r="W380" s="4622"/>
      <c r="AU380" s="4724">
        <v>4</v>
      </c>
      <c r="AV380" s="4724">
        <v>2</v>
      </c>
      <c r="AW380" s="4725" t="s">
        <v>608</v>
      </c>
      <c r="AX380" s="4725" t="s">
        <v>2731</v>
      </c>
      <c r="AY380" s="4726">
        <v>3</v>
      </c>
      <c r="AZ380" s="4724">
        <v>13</v>
      </c>
      <c r="EN380" s="1487"/>
      <c r="EO380" s="1487"/>
      <c r="EP380" s="1487"/>
      <c r="EQ380" s="1487"/>
      <c r="ER380" s="1487"/>
      <c r="ES380" s="1487"/>
      <c r="ET380" s="1487"/>
      <c r="EU380" s="1487"/>
      <c r="EV380" s="1487"/>
      <c r="EW380" s="1487"/>
      <c r="EX380" s="1487"/>
      <c r="EY380" s="1487"/>
      <c r="EZ380" s="1487"/>
      <c r="FA380" s="1487"/>
      <c r="FB380" s="1487"/>
      <c r="FC380" s="1487"/>
      <c r="FD380" s="1487"/>
      <c r="FE380" s="1487"/>
      <c r="FF380" s="1487"/>
    </row>
    <row r="381" spans="17:162">
      <c r="Q381" s="4832"/>
      <c r="R381" s="4832"/>
      <c r="S381" s="4832"/>
      <c r="T381" s="4832"/>
      <c r="U381" s="4832"/>
      <c r="V381" s="4832"/>
      <c r="W381" s="4622"/>
      <c r="AU381" s="4724">
        <v>4</v>
      </c>
      <c r="AV381" s="4724">
        <v>2</v>
      </c>
      <c r="AW381" s="4725" t="s">
        <v>608</v>
      </c>
      <c r="AX381" s="4725" t="s">
        <v>2731</v>
      </c>
      <c r="AY381" s="4726">
        <v>4</v>
      </c>
      <c r="AZ381" s="4724">
        <v>14</v>
      </c>
      <c r="EN381" s="1487"/>
      <c r="EO381" s="1487"/>
      <c r="EP381" s="1487"/>
      <c r="EQ381" s="1487"/>
      <c r="ER381" s="1487"/>
      <c r="ES381" s="1487"/>
      <c r="ET381" s="1487"/>
      <c r="EU381" s="1487"/>
      <c r="EV381" s="1487"/>
      <c r="EW381" s="1487"/>
      <c r="EX381" s="1487"/>
      <c r="EY381" s="1487"/>
      <c r="EZ381" s="1487"/>
      <c r="FA381" s="1487"/>
      <c r="FB381" s="1487"/>
      <c r="FC381" s="1487"/>
      <c r="FD381" s="1487"/>
      <c r="FE381" s="1487"/>
      <c r="FF381" s="1487"/>
    </row>
    <row r="382" spans="17:162">
      <c r="Q382" s="4832"/>
      <c r="R382" s="4832"/>
      <c r="S382" s="4832"/>
      <c r="T382" s="4832"/>
      <c r="U382" s="4832"/>
      <c r="V382" s="4832"/>
      <c r="W382" s="4622"/>
      <c r="AU382" s="4724">
        <v>4</v>
      </c>
      <c r="AV382" s="4724">
        <v>2</v>
      </c>
      <c r="AW382" s="4725" t="s">
        <v>608</v>
      </c>
      <c r="AX382" s="4725" t="s">
        <v>2705</v>
      </c>
      <c r="AY382" s="4726">
        <v>1</v>
      </c>
      <c r="AZ382" s="4724">
        <v>5</v>
      </c>
      <c r="EN382" s="1487"/>
      <c r="EO382" s="1487"/>
      <c r="EP382" s="1487"/>
      <c r="EQ382" s="1487"/>
      <c r="ER382" s="1487"/>
      <c r="ES382" s="1487"/>
      <c r="ET382" s="1487"/>
      <c r="EU382" s="1487"/>
      <c r="EV382" s="1487"/>
      <c r="EW382" s="1487"/>
      <c r="EX382" s="1487"/>
      <c r="EY382" s="1487"/>
      <c r="EZ382" s="1487"/>
      <c r="FA382" s="1487"/>
      <c r="FB382" s="1487"/>
      <c r="FC382" s="1487"/>
      <c r="FD382" s="1487"/>
      <c r="FE382" s="1487"/>
      <c r="FF382" s="1487"/>
    </row>
    <row r="383" spans="17:162">
      <c r="Q383" s="4832"/>
      <c r="R383" s="4832"/>
      <c r="S383" s="4832"/>
      <c r="T383" s="4832"/>
      <c r="U383" s="4832"/>
      <c r="V383" s="4832"/>
      <c r="W383" s="4622"/>
      <c r="AU383" s="4724">
        <v>4</v>
      </c>
      <c r="AV383" s="4724">
        <v>2</v>
      </c>
      <c r="AW383" s="4725" t="s">
        <v>608</v>
      </c>
      <c r="AX383" s="4725" t="s">
        <v>2705</v>
      </c>
      <c r="AY383" s="4726">
        <v>1</v>
      </c>
      <c r="AZ383" s="4724">
        <v>8</v>
      </c>
      <c r="EN383" s="1487"/>
      <c r="EO383" s="1487"/>
      <c r="EP383" s="1487"/>
      <c r="EQ383" s="1487"/>
      <c r="ER383" s="1487"/>
      <c r="ES383" s="1487"/>
      <c r="ET383" s="1487"/>
      <c r="EU383" s="1487"/>
      <c r="EV383" s="1487"/>
      <c r="EW383" s="1487"/>
      <c r="EX383" s="1487"/>
      <c r="EY383" s="1487"/>
      <c r="EZ383" s="1487"/>
      <c r="FA383" s="1487"/>
      <c r="FB383" s="1487"/>
      <c r="FC383" s="1487"/>
      <c r="FD383" s="1487"/>
      <c r="FE383" s="1487"/>
      <c r="FF383" s="1487"/>
    </row>
    <row r="384" spans="17:162">
      <c r="Q384" s="4832"/>
      <c r="R384" s="4832"/>
      <c r="S384" s="4832"/>
      <c r="T384" s="4832"/>
      <c r="U384" s="4832"/>
      <c r="V384" s="4832"/>
      <c r="W384" s="4622"/>
      <c r="AU384" s="4724">
        <v>4</v>
      </c>
      <c r="AV384" s="4724">
        <v>2</v>
      </c>
      <c r="AW384" s="4725" t="s">
        <v>608</v>
      </c>
      <c r="AX384" s="4727" t="s">
        <v>2707</v>
      </c>
      <c r="AY384" s="4728">
        <v>1</v>
      </c>
      <c r="AZ384" s="4729">
        <v>10</v>
      </c>
      <c r="EN384" s="1487"/>
      <c r="EO384" s="1487"/>
      <c r="EP384" s="1487"/>
      <c r="EQ384" s="1487"/>
      <c r="ER384" s="1487"/>
      <c r="ES384" s="1487"/>
      <c r="ET384" s="1487"/>
      <c r="EU384" s="1487"/>
      <c r="EV384" s="1487"/>
      <c r="EW384" s="1487"/>
      <c r="EX384" s="1487"/>
      <c r="EY384" s="1487"/>
      <c r="EZ384" s="1487"/>
      <c r="FA384" s="1487"/>
      <c r="FB384" s="1487"/>
      <c r="FC384" s="1487"/>
      <c r="FD384" s="1487"/>
      <c r="FE384" s="1487"/>
      <c r="FF384" s="1487"/>
    </row>
    <row r="385" spans="17:162">
      <c r="Q385" s="4832"/>
      <c r="R385" s="4832"/>
      <c r="S385" s="4832"/>
      <c r="T385" s="4832"/>
      <c r="U385" s="4832"/>
      <c r="V385" s="4832"/>
      <c r="W385" s="4622"/>
      <c r="AU385" s="4724">
        <v>4</v>
      </c>
      <c r="AV385" s="4724">
        <v>2</v>
      </c>
      <c r="AW385" s="4725" t="s">
        <v>608</v>
      </c>
      <c r="AX385" s="4727" t="s">
        <v>1076</v>
      </c>
      <c r="AY385" s="4728">
        <v>1</v>
      </c>
      <c r="AZ385" s="4729">
        <v>12</v>
      </c>
      <c r="EN385" s="1487"/>
      <c r="EO385" s="1487"/>
      <c r="EP385" s="1487"/>
      <c r="EQ385" s="1487"/>
      <c r="ER385" s="1487"/>
      <c r="ES385" s="1487"/>
      <c r="ET385" s="1487"/>
      <c r="EU385" s="1487"/>
      <c r="EV385" s="1487"/>
      <c r="EW385" s="1487"/>
      <c r="EX385" s="1487"/>
      <c r="EY385" s="1487"/>
      <c r="EZ385" s="1487"/>
      <c r="FA385" s="1487"/>
      <c r="FB385" s="1487"/>
      <c r="FC385" s="1487"/>
      <c r="FD385" s="1487"/>
      <c r="FE385" s="1487"/>
      <c r="FF385" s="1487"/>
    </row>
    <row r="386" spans="17:162">
      <c r="Q386" s="4832"/>
      <c r="R386" s="4832"/>
      <c r="S386" s="4832"/>
      <c r="T386" s="4832"/>
      <c r="U386" s="4832"/>
      <c r="V386" s="4832"/>
      <c r="W386" s="4622"/>
      <c r="AU386" s="4724">
        <v>4</v>
      </c>
      <c r="AV386" s="4724">
        <v>2</v>
      </c>
      <c r="AW386" s="4725" t="s">
        <v>608</v>
      </c>
      <c r="AX386" s="4725" t="s">
        <v>2709</v>
      </c>
      <c r="AY386" s="4726">
        <v>1</v>
      </c>
      <c r="AZ386" s="4724">
        <v>7</v>
      </c>
      <c r="EN386" s="1487"/>
      <c r="EO386" s="1487"/>
      <c r="EP386" s="1487"/>
      <c r="EQ386" s="1487"/>
      <c r="ER386" s="1487"/>
      <c r="ES386" s="1487"/>
      <c r="ET386" s="1487"/>
      <c r="EU386" s="1487"/>
      <c r="EV386" s="1487"/>
      <c r="EW386" s="1487"/>
      <c r="EX386" s="1487"/>
      <c r="EY386" s="1487"/>
      <c r="EZ386" s="1487"/>
      <c r="FA386" s="1487"/>
      <c r="FB386" s="1487"/>
      <c r="FC386" s="1487"/>
      <c r="FD386" s="1487"/>
      <c r="FE386" s="1487"/>
      <c r="FF386" s="1487"/>
    </row>
    <row r="387" spans="17:162">
      <c r="Q387" s="4832"/>
      <c r="R387" s="4832"/>
      <c r="S387" s="4832"/>
      <c r="T387" s="4832"/>
      <c r="U387" s="4832"/>
      <c r="V387" s="4832"/>
      <c r="W387" s="4622"/>
      <c r="AU387" s="4724">
        <v>4</v>
      </c>
      <c r="AV387" s="4724">
        <v>2</v>
      </c>
      <c r="AW387" s="4725" t="s">
        <v>608</v>
      </c>
      <c r="AX387" s="4725" t="s">
        <v>2709</v>
      </c>
      <c r="AY387" s="4726">
        <v>1</v>
      </c>
      <c r="AZ387" s="4724">
        <v>10</v>
      </c>
      <c r="EN387" s="1487"/>
      <c r="EO387" s="1487"/>
      <c r="EP387" s="1487"/>
      <c r="EQ387" s="1487"/>
      <c r="ER387" s="1487"/>
      <c r="ES387" s="1487"/>
      <c r="ET387" s="1487"/>
      <c r="EU387" s="1487"/>
      <c r="EV387" s="1487"/>
      <c r="EW387" s="1487"/>
      <c r="EX387" s="1487"/>
      <c r="EY387" s="1487"/>
      <c r="EZ387" s="1487"/>
      <c r="FA387" s="1487"/>
      <c r="FB387" s="1487"/>
      <c r="FC387" s="1487"/>
      <c r="FD387" s="1487"/>
      <c r="FE387" s="1487"/>
      <c r="FF387" s="1487"/>
    </row>
    <row r="388" spans="17:162">
      <c r="Q388" s="4832"/>
      <c r="R388" s="4832"/>
      <c r="S388" s="4832"/>
      <c r="T388" s="4832"/>
      <c r="U388" s="4832"/>
      <c r="V388" s="4832"/>
      <c r="W388" s="4622"/>
      <c r="AU388" s="4724">
        <v>4</v>
      </c>
      <c r="AV388" s="4724">
        <v>2</v>
      </c>
      <c r="AW388" s="4725" t="s">
        <v>608</v>
      </c>
      <c r="AX388" s="4725" t="s">
        <v>2709</v>
      </c>
      <c r="AY388" s="4726">
        <v>1</v>
      </c>
      <c r="AZ388" s="4724">
        <v>11</v>
      </c>
      <c r="EN388" s="1487"/>
      <c r="EO388" s="1487"/>
      <c r="EP388" s="1487"/>
      <c r="EQ388" s="1487"/>
      <c r="ER388" s="1487"/>
      <c r="ES388" s="1487"/>
      <c r="ET388" s="1487"/>
      <c r="EU388" s="1487"/>
      <c r="EV388" s="1487"/>
      <c r="EW388" s="1487"/>
      <c r="EX388" s="1487"/>
      <c r="EY388" s="1487"/>
      <c r="EZ388" s="1487"/>
      <c r="FA388" s="1487"/>
      <c r="FB388" s="1487"/>
      <c r="FC388" s="1487"/>
      <c r="FD388" s="1487"/>
      <c r="FE388" s="1487"/>
      <c r="FF388" s="1487"/>
    </row>
    <row r="389" spans="17:162">
      <c r="Q389" s="4832"/>
      <c r="R389" s="4832"/>
      <c r="S389" s="4832"/>
      <c r="T389" s="4832"/>
      <c r="U389" s="4832"/>
      <c r="V389" s="4832"/>
      <c r="W389" s="4622"/>
      <c r="AU389" s="4724">
        <v>4</v>
      </c>
      <c r="AV389" s="4724">
        <v>2</v>
      </c>
      <c r="AW389" s="4725" t="s">
        <v>608</v>
      </c>
      <c r="AX389" s="4725" t="s">
        <v>2709</v>
      </c>
      <c r="AY389" s="4726">
        <v>4</v>
      </c>
      <c r="AZ389" s="4724">
        <v>12</v>
      </c>
      <c r="EN389" s="1487"/>
      <c r="EO389" s="1487"/>
      <c r="EP389" s="1487"/>
      <c r="EQ389" s="1487"/>
      <c r="ER389" s="1487"/>
      <c r="ES389" s="1487"/>
      <c r="ET389" s="1487"/>
      <c r="EU389" s="1487"/>
      <c r="EV389" s="1487"/>
      <c r="EW389" s="1487"/>
      <c r="EX389" s="1487"/>
      <c r="EY389" s="1487"/>
      <c r="EZ389" s="1487"/>
      <c r="FA389" s="1487"/>
      <c r="FB389" s="1487"/>
      <c r="FC389" s="1487"/>
      <c r="FD389" s="1487"/>
      <c r="FE389" s="1487"/>
      <c r="FF389" s="1487"/>
    </row>
    <row r="390" spans="17:162">
      <c r="Q390" s="4832"/>
      <c r="R390" s="4832"/>
      <c r="S390" s="4832"/>
      <c r="T390" s="4832"/>
      <c r="U390" s="4832"/>
      <c r="V390" s="4832"/>
      <c r="W390" s="4622"/>
      <c r="AU390" s="4724">
        <v>4</v>
      </c>
      <c r="AV390" s="4724">
        <v>6</v>
      </c>
      <c r="AW390" s="4725" t="s">
        <v>609</v>
      </c>
      <c r="AX390" s="4725" t="s">
        <v>2731</v>
      </c>
      <c r="AY390" s="4726">
        <v>4</v>
      </c>
      <c r="AZ390" s="4724">
        <v>14</v>
      </c>
      <c r="EN390" s="1487"/>
      <c r="EO390" s="1487"/>
      <c r="EP390" s="1487"/>
      <c r="EQ390" s="1487"/>
      <c r="ER390" s="1487"/>
      <c r="ES390" s="1487"/>
      <c r="ET390" s="1487"/>
      <c r="EU390" s="1487"/>
      <c r="EV390" s="1487"/>
      <c r="EW390" s="1487"/>
      <c r="EX390" s="1487"/>
      <c r="EY390" s="1487"/>
      <c r="EZ390" s="1487"/>
      <c r="FA390" s="1487"/>
      <c r="FB390" s="1487"/>
      <c r="FC390" s="1487"/>
      <c r="FD390" s="1487"/>
      <c r="FE390" s="1487"/>
      <c r="FF390" s="1487"/>
    </row>
    <row r="391" spans="17:162">
      <c r="Q391" s="4832"/>
      <c r="R391" s="4832"/>
      <c r="S391" s="4832"/>
      <c r="T391" s="4832"/>
      <c r="U391" s="4832"/>
      <c r="V391" s="4832"/>
      <c r="W391" s="4622"/>
      <c r="AU391" s="4724">
        <v>4</v>
      </c>
      <c r="AV391" s="4724">
        <v>6</v>
      </c>
      <c r="AW391" s="4725" t="s">
        <v>609</v>
      </c>
      <c r="AX391" s="4725" t="s">
        <v>2731</v>
      </c>
      <c r="AY391" s="4726">
        <v>1</v>
      </c>
      <c r="AZ391" s="4724">
        <v>15</v>
      </c>
      <c r="EN391" s="1487"/>
      <c r="EO391" s="1487"/>
      <c r="EP391" s="1487"/>
      <c r="EQ391" s="1487"/>
      <c r="ER391" s="1487"/>
      <c r="ES391" s="1487"/>
      <c r="ET391" s="1487"/>
      <c r="EU391" s="1487"/>
      <c r="EV391" s="1487"/>
      <c r="EW391" s="1487"/>
      <c r="EX391" s="1487"/>
      <c r="EY391" s="1487"/>
      <c r="EZ391" s="1487"/>
      <c r="FA391" s="1487"/>
      <c r="FB391" s="1487"/>
      <c r="FC391" s="1487"/>
      <c r="FD391" s="1487"/>
      <c r="FE391" s="1487"/>
      <c r="FF391" s="1487"/>
    </row>
    <row r="392" spans="17:162">
      <c r="Q392" s="4832"/>
      <c r="R392" s="4832"/>
      <c r="S392" s="4832"/>
      <c r="T392" s="4832"/>
      <c r="U392" s="4832"/>
      <c r="V392" s="4832"/>
      <c r="W392" s="4622"/>
      <c r="AU392" s="4724">
        <v>4</v>
      </c>
      <c r="AV392" s="4724">
        <v>6</v>
      </c>
      <c r="AW392" s="4725" t="s">
        <v>609</v>
      </c>
      <c r="AX392" s="4725" t="s">
        <v>1071</v>
      </c>
      <c r="AY392" s="4726">
        <v>1</v>
      </c>
      <c r="AZ392" s="4724">
        <v>14</v>
      </c>
      <c r="EN392" s="1487"/>
      <c r="EO392" s="1487"/>
      <c r="EP392" s="1487"/>
      <c r="EQ392" s="1487"/>
      <c r="ER392" s="1487"/>
      <c r="ES392" s="1487"/>
      <c r="ET392" s="1487"/>
      <c r="EU392" s="1487"/>
      <c r="EV392" s="1487"/>
      <c r="EW392" s="1487"/>
      <c r="EX392" s="1487"/>
      <c r="EY392" s="1487"/>
      <c r="EZ392" s="1487"/>
      <c r="FA392" s="1487"/>
      <c r="FB392" s="1487"/>
      <c r="FC392" s="1487"/>
      <c r="FD392" s="1487"/>
      <c r="FE392" s="1487"/>
      <c r="FF392" s="1487"/>
    </row>
    <row r="393" spans="17:162">
      <c r="Q393" s="4832"/>
      <c r="R393" s="4832"/>
      <c r="S393" s="4832"/>
      <c r="T393" s="4832"/>
      <c r="U393" s="4832"/>
      <c r="V393" s="4832"/>
      <c r="W393" s="4622"/>
      <c r="AU393" s="4724">
        <v>4</v>
      </c>
      <c r="AV393" s="4724">
        <v>6</v>
      </c>
      <c r="AW393" s="4725" t="s">
        <v>609</v>
      </c>
      <c r="AX393" s="4727" t="s">
        <v>2732</v>
      </c>
      <c r="AY393" s="4728">
        <v>1</v>
      </c>
      <c r="AZ393" s="4729">
        <v>10</v>
      </c>
      <c r="EN393" s="1487"/>
      <c r="EO393" s="1487"/>
      <c r="EP393" s="1487"/>
      <c r="EQ393" s="1487"/>
      <c r="ER393" s="1487"/>
      <c r="ES393" s="1487"/>
      <c r="ET393" s="1487"/>
      <c r="EU393" s="1487"/>
      <c r="EV393" s="1487"/>
      <c r="EW393" s="1487"/>
      <c r="EX393" s="1487"/>
      <c r="EY393" s="1487"/>
      <c r="EZ393" s="1487"/>
      <c r="FA393" s="1487"/>
      <c r="FB393" s="1487"/>
      <c r="FC393" s="1487"/>
      <c r="FD393" s="1487"/>
      <c r="FE393" s="1487"/>
      <c r="FF393" s="1487"/>
    </row>
    <row r="394" spans="17:162">
      <c r="Q394" s="4832"/>
      <c r="R394" s="4832"/>
      <c r="S394" s="4832"/>
      <c r="T394" s="4832"/>
      <c r="U394" s="4832"/>
      <c r="V394" s="4832"/>
      <c r="W394" s="4622"/>
      <c r="AU394" s="4724">
        <v>4</v>
      </c>
      <c r="AV394" s="4724">
        <v>6</v>
      </c>
      <c r="AW394" s="4725" t="s">
        <v>609</v>
      </c>
      <c r="AX394" s="4727" t="s">
        <v>2707</v>
      </c>
      <c r="AY394" s="4728">
        <v>1</v>
      </c>
      <c r="AZ394" s="4729">
        <v>13</v>
      </c>
      <c r="EN394" s="1487"/>
      <c r="EO394" s="1487"/>
      <c r="EP394" s="1487"/>
      <c r="EQ394" s="1487"/>
      <c r="ER394" s="1487"/>
      <c r="ES394" s="1487"/>
      <c r="ET394" s="1487"/>
      <c r="EU394" s="1487"/>
      <c r="EV394" s="1487"/>
      <c r="EW394" s="1487"/>
      <c r="EX394" s="1487"/>
      <c r="EY394" s="1487"/>
      <c r="EZ394" s="1487"/>
      <c r="FA394" s="1487"/>
      <c r="FB394" s="1487"/>
      <c r="FC394" s="1487"/>
      <c r="FD394" s="1487"/>
      <c r="FE394" s="1487"/>
      <c r="FF394" s="1487"/>
    </row>
    <row r="395" spans="17:162">
      <c r="Q395" s="4832"/>
      <c r="R395" s="4832"/>
      <c r="S395" s="4832"/>
      <c r="T395" s="4832"/>
      <c r="U395" s="4832"/>
      <c r="V395" s="4832"/>
      <c r="W395" s="4622"/>
      <c r="AU395" s="4724">
        <v>4</v>
      </c>
      <c r="AV395" s="4724">
        <v>6</v>
      </c>
      <c r="AW395" s="4725" t="s">
        <v>609</v>
      </c>
      <c r="AX395" s="4727" t="s">
        <v>2707</v>
      </c>
      <c r="AY395" s="4728">
        <v>1</v>
      </c>
      <c r="AZ395" s="4729">
        <v>15</v>
      </c>
      <c r="EN395" s="1487"/>
      <c r="EO395" s="1487"/>
      <c r="EP395" s="1487"/>
      <c r="EQ395" s="1487"/>
      <c r="ER395" s="1487"/>
      <c r="ES395" s="1487"/>
      <c r="ET395" s="1487"/>
      <c r="EU395" s="1487"/>
      <c r="EV395" s="1487"/>
      <c r="EW395" s="1487"/>
      <c r="EX395" s="1487"/>
      <c r="EY395" s="1487"/>
      <c r="EZ395" s="1487"/>
      <c r="FA395" s="1487"/>
      <c r="FB395" s="1487"/>
      <c r="FC395" s="1487"/>
      <c r="FD395" s="1487"/>
      <c r="FE395" s="1487"/>
      <c r="FF395" s="1487"/>
    </row>
    <row r="396" spans="17:162">
      <c r="Q396" s="4832"/>
      <c r="R396" s="4832"/>
      <c r="S396" s="4832"/>
      <c r="T396" s="4832"/>
      <c r="U396" s="4832"/>
      <c r="V396" s="4832"/>
      <c r="W396" s="4622"/>
      <c r="AU396" s="4724">
        <v>4</v>
      </c>
      <c r="AV396" s="4724">
        <v>6</v>
      </c>
      <c r="AW396" s="4725" t="s">
        <v>609</v>
      </c>
      <c r="AX396" s="4725" t="s">
        <v>2709</v>
      </c>
      <c r="AY396" s="4726">
        <v>1</v>
      </c>
      <c r="AZ396" s="4724">
        <v>1</v>
      </c>
      <c r="EN396" s="1487"/>
      <c r="EO396" s="1487"/>
      <c r="EP396" s="1487"/>
      <c r="EQ396" s="1487"/>
      <c r="ER396" s="1487"/>
      <c r="ES396" s="1487"/>
      <c r="ET396" s="1487"/>
      <c r="EU396" s="1487"/>
      <c r="EV396" s="1487"/>
      <c r="EW396" s="1487"/>
      <c r="EX396" s="1487"/>
      <c r="EY396" s="1487"/>
      <c r="EZ396" s="1487"/>
      <c r="FA396" s="1487"/>
      <c r="FB396" s="1487"/>
      <c r="FC396" s="1487"/>
      <c r="FD396" s="1487"/>
      <c r="FE396" s="1487"/>
      <c r="FF396" s="1487"/>
    </row>
    <row r="397" spans="17:162">
      <c r="Q397" s="4832"/>
      <c r="R397" s="4832"/>
      <c r="S397" s="4832"/>
      <c r="T397" s="4832"/>
      <c r="U397" s="4832"/>
      <c r="V397" s="4832"/>
      <c r="W397" s="4622"/>
      <c r="AU397" s="4724">
        <v>4</v>
      </c>
      <c r="AV397" s="4724">
        <v>6</v>
      </c>
      <c r="AW397" s="4725" t="s">
        <v>609</v>
      </c>
      <c r="AX397" s="4725" t="s">
        <v>2709</v>
      </c>
      <c r="AY397" s="4726">
        <v>1</v>
      </c>
      <c r="AZ397" s="4724">
        <v>11</v>
      </c>
      <c r="EN397" s="1487"/>
      <c r="EO397" s="1487"/>
      <c r="EP397" s="1487"/>
      <c r="EQ397" s="1487"/>
      <c r="ER397" s="1487"/>
      <c r="ES397" s="1487"/>
      <c r="ET397" s="1487"/>
      <c r="EU397" s="1487"/>
      <c r="EV397" s="1487"/>
      <c r="EW397" s="1487"/>
      <c r="EX397" s="1487"/>
      <c r="EY397" s="1487"/>
      <c r="EZ397" s="1487"/>
      <c r="FA397" s="1487"/>
      <c r="FB397" s="1487"/>
      <c r="FC397" s="1487"/>
      <c r="FD397" s="1487"/>
      <c r="FE397" s="1487"/>
      <c r="FF397" s="1487"/>
    </row>
    <row r="398" spans="17:162">
      <c r="Q398" s="4832"/>
      <c r="R398" s="4832"/>
      <c r="S398" s="4832"/>
      <c r="T398" s="4832"/>
      <c r="U398" s="4832"/>
      <c r="V398" s="4832"/>
      <c r="W398" s="4622"/>
      <c r="AU398" s="4724">
        <v>4</v>
      </c>
      <c r="AV398" s="4724">
        <v>6</v>
      </c>
      <c r="AW398" s="4725" t="s">
        <v>609</v>
      </c>
      <c r="AX398" s="4725" t="s">
        <v>2709</v>
      </c>
      <c r="AY398" s="4726">
        <v>1</v>
      </c>
      <c r="AZ398" s="4724">
        <v>12</v>
      </c>
      <c r="EN398" s="1487"/>
      <c r="EO398" s="1487"/>
      <c r="EP398" s="1487"/>
      <c r="EQ398" s="1487"/>
      <c r="ER398" s="1487"/>
      <c r="ES398" s="1487"/>
      <c r="ET398" s="1487"/>
      <c r="EU398" s="1487"/>
      <c r="EV398" s="1487"/>
      <c r="EW398" s="1487"/>
      <c r="EX398" s="1487"/>
      <c r="EY398" s="1487"/>
      <c r="EZ398" s="1487"/>
      <c r="FA398" s="1487"/>
      <c r="FB398" s="1487"/>
      <c r="FC398" s="1487"/>
      <c r="FD398" s="1487"/>
      <c r="FE398" s="1487"/>
      <c r="FF398" s="1487"/>
    </row>
    <row r="399" spans="17:162">
      <c r="Q399" s="4832"/>
      <c r="R399" s="4832"/>
      <c r="S399" s="4832"/>
      <c r="T399" s="4832"/>
      <c r="U399" s="4832"/>
      <c r="V399" s="4832"/>
      <c r="W399" s="4622"/>
      <c r="AU399" s="4724" t="s">
        <v>2613</v>
      </c>
      <c r="AV399" s="4724" t="s">
        <v>2613</v>
      </c>
      <c r="AW399" s="4724" t="s">
        <v>2613</v>
      </c>
      <c r="AX399" s="4724" t="s">
        <v>2613</v>
      </c>
      <c r="AY399" s="4724"/>
      <c r="AZ399" s="4724" t="s">
        <v>2613</v>
      </c>
      <c r="EN399" s="1487"/>
      <c r="EO399" s="1487"/>
      <c r="EP399" s="1487"/>
      <c r="EQ399" s="1487"/>
      <c r="ER399" s="1487"/>
      <c r="ES399" s="1487"/>
      <c r="ET399" s="1487"/>
      <c r="EU399" s="1487"/>
      <c r="EV399" s="1487"/>
      <c r="EW399" s="1487"/>
      <c r="EX399" s="1487"/>
      <c r="EY399" s="1487"/>
      <c r="EZ399" s="1487"/>
      <c r="FA399" s="1487"/>
      <c r="FB399" s="1487"/>
      <c r="FC399" s="1487"/>
      <c r="FD399" s="1487"/>
      <c r="FE399" s="1487"/>
      <c r="FF399" s="1487"/>
    </row>
    <row r="400" spans="17:162">
      <c r="Q400" s="4832"/>
      <c r="R400" s="4832"/>
      <c r="S400" s="4832"/>
      <c r="T400" s="4832"/>
      <c r="U400" s="4832"/>
      <c r="V400" s="4832"/>
      <c r="W400" s="4622"/>
      <c r="AY400" s="3868">
        <f>SUBTOTAL(9,AY233:AY399)</f>
        <v>312</v>
      </c>
      <c r="EN400" s="1487"/>
      <c r="EO400" s="1487"/>
      <c r="EP400" s="1487"/>
      <c r="EQ400" s="1487"/>
      <c r="ER400" s="1487"/>
      <c r="ES400" s="1487"/>
      <c r="ET400" s="1487"/>
      <c r="EU400" s="1487"/>
      <c r="EV400" s="1487"/>
      <c r="EW400" s="1487"/>
      <c r="EX400" s="1487"/>
      <c r="EY400" s="1487"/>
      <c r="EZ400" s="1487"/>
      <c r="FA400" s="1487"/>
      <c r="FB400" s="1487"/>
      <c r="FC400" s="1487"/>
      <c r="FD400" s="1487"/>
      <c r="FE400" s="1487"/>
      <c r="FF400" s="1487"/>
    </row>
    <row r="401" spans="17:162">
      <c r="Q401" s="4832"/>
      <c r="R401" s="4832"/>
      <c r="S401" s="4832"/>
      <c r="T401" s="4832"/>
      <c r="U401" s="4832"/>
      <c r="V401" s="4832"/>
      <c r="W401" s="4622"/>
      <c r="EN401" s="1487"/>
      <c r="EO401" s="1487"/>
      <c r="EP401" s="1487"/>
      <c r="EQ401" s="1487"/>
      <c r="ER401" s="1487"/>
      <c r="ES401" s="1487"/>
      <c r="ET401" s="1487"/>
      <c r="EU401" s="1487"/>
      <c r="EV401" s="1487"/>
      <c r="EW401" s="1487"/>
      <c r="EX401" s="1487"/>
      <c r="EY401" s="1487"/>
      <c r="EZ401" s="1487"/>
      <c r="FA401" s="1487"/>
      <c r="FB401" s="1487"/>
      <c r="FC401" s="1487"/>
      <c r="FD401" s="1487"/>
      <c r="FE401" s="1487"/>
      <c r="FF401" s="1487"/>
    </row>
    <row r="402" spans="17:162">
      <c r="Q402" s="4832"/>
      <c r="R402" s="4832"/>
      <c r="S402" s="4832"/>
      <c r="T402" s="4832"/>
      <c r="U402" s="4832"/>
      <c r="V402" s="4832"/>
      <c r="W402" s="4622"/>
      <c r="EN402" s="1487"/>
      <c r="EO402" s="1487"/>
      <c r="EP402" s="1487"/>
      <c r="EQ402" s="1487"/>
      <c r="ER402" s="1487"/>
      <c r="ES402" s="1487"/>
      <c r="ET402" s="1487"/>
      <c r="EU402" s="1487"/>
      <c r="EV402" s="1487"/>
      <c r="EW402" s="1487"/>
      <c r="EX402" s="1487"/>
      <c r="EY402" s="1487"/>
      <c r="EZ402" s="1487"/>
      <c r="FA402" s="1487"/>
      <c r="FB402" s="1487"/>
      <c r="FC402" s="1487"/>
      <c r="FD402" s="1487"/>
      <c r="FE402" s="1487"/>
      <c r="FF402" s="1487"/>
    </row>
    <row r="403" spans="17:162">
      <c r="Q403" s="4832"/>
      <c r="R403" s="4832"/>
      <c r="S403" s="4832"/>
      <c r="T403" s="4832"/>
      <c r="U403" s="4832"/>
      <c r="V403" s="4832"/>
      <c r="W403" s="4622"/>
      <c r="AX403" s="3868">
        <v>312</v>
      </c>
      <c r="EN403" s="1487"/>
      <c r="EO403" s="1487"/>
      <c r="EP403" s="1487"/>
      <c r="EQ403" s="1487"/>
      <c r="ER403" s="1487"/>
      <c r="ES403" s="1487"/>
      <c r="ET403" s="1487"/>
      <c r="EU403" s="1487"/>
      <c r="EV403" s="1487"/>
      <c r="EW403" s="1487"/>
      <c r="EX403" s="1487"/>
      <c r="EY403" s="1487"/>
      <c r="EZ403" s="1487"/>
      <c r="FA403" s="1487"/>
      <c r="FB403" s="1487"/>
      <c r="FC403" s="1487"/>
      <c r="FD403" s="1487"/>
      <c r="FE403" s="1487"/>
      <c r="FF403" s="1487"/>
    </row>
    <row r="404" spans="17:162">
      <c r="Q404" s="4832"/>
      <c r="R404" s="4832"/>
      <c r="S404" s="4832"/>
      <c r="T404" s="4832"/>
      <c r="U404" s="4832"/>
      <c r="V404" s="4832"/>
      <c r="W404" s="4622"/>
      <c r="AX404" s="4640">
        <v>108</v>
      </c>
      <c r="EN404" s="1487"/>
      <c r="EO404" s="1487"/>
      <c r="EP404" s="1487"/>
      <c r="EQ404" s="1487"/>
      <c r="ER404" s="1487"/>
      <c r="ES404" s="1487"/>
      <c r="ET404" s="1487"/>
      <c r="EU404" s="1487"/>
      <c r="EV404" s="1487"/>
      <c r="EW404" s="1487"/>
      <c r="EX404" s="1487"/>
      <c r="EY404" s="1487"/>
      <c r="EZ404" s="1487"/>
      <c r="FA404" s="1487"/>
      <c r="FB404" s="1487"/>
      <c r="FC404" s="1487"/>
      <c r="FD404" s="1487"/>
      <c r="FE404" s="1487"/>
      <c r="FF404" s="1487"/>
    </row>
    <row r="405" spans="17:162">
      <c r="Q405" s="4832"/>
      <c r="R405" s="4832"/>
      <c r="S405" s="4832"/>
      <c r="T405" s="4832"/>
      <c r="U405" s="4832"/>
      <c r="V405" s="4832"/>
      <c r="W405" s="4622"/>
      <c r="AW405" s="23">
        <f>AX405/AX403</f>
        <v>0.33333333333333331</v>
      </c>
      <c r="AX405" s="4710">
        <v>104</v>
      </c>
      <c r="EN405" s="1487"/>
      <c r="EO405" s="1487"/>
      <c r="EP405" s="1487"/>
      <c r="EQ405" s="1487"/>
      <c r="ER405" s="1487"/>
      <c r="ES405" s="1487"/>
      <c r="ET405" s="1487"/>
      <c r="EU405" s="1487"/>
      <c r="EV405" s="1487"/>
      <c r="EW405" s="1487"/>
      <c r="EX405" s="1487"/>
      <c r="EY405" s="1487"/>
      <c r="EZ405" s="1487"/>
      <c r="FA405" s="1487"/>
      <c r="FB405" s="1487"/>
      <c r="FC405" s="1487"/>
      <c r="FD405" s="1487"/>
      <c r="FE405" s="1487"/>
      <c r="FF405" s="1487"/>
    </row>
    <row r="406" spans="17:162">
      <c r="Q406" s="4832"/>
      <c r="R406" s="4832"/>
      <c r="S406" s="4832"/>
      <c r="T406" s="4832"/>
      <c r="U406" s="4832"/>
      <c r="V406" s="4832"/>
      <c r="W406" s="4622"/>
      <c r="EN406" s="1487"/>
      <c r="EO406" s="1487"/>
      <c r="EP406" s="1487"/>
      <c r="EQ406" s="1487"/>
      <c r="ER406" s="1487"/>
      <c r="ES406" s="1487"/>
      <c r="ET406" s="1487"/>
      <c r="EU406" s="1487"/>
      <c r="EV406" s="1487"/>
      <c r="EW406" s="1487"/>
      <c r="EX406" s="1487"/>
      <c r="EY406" s="1487"/>
      <c r="EZ406" s="1487"/>
      <c r="FA406" s="1487"/>
      <c r="FB406" s="1487"/>
      <c r="FC406" s="1487"/>
      <c r="FD406" s="1487"/>
      <c r="FE406" s="1487"/>
      <c r="FF406" s="1487"/>
    </row>
    <row r="407" spans="17:162">
      <c r="Q407" s="4832"/>
      <c r="R407" s="4832"/>
      <c r="S407" s="4832"/>
      <c r="T407" s="4832"/>
      <c r="U407" s="4832"/>
      <c r="V407" s="4832"/>
      <c r="W407" s="4622"/>
      <c r="EN407" s="1487"/>
      <c r="EO407" s="1487"/>
      <c r="EP407" s="1487"/>
      <c r="EQ407" s="1487"/>
      <c r="ER407" s="1487"/>
      <c r="ES407" s="1487"/>
      <c r="ET407" s="1487"/>
      <c r="EU407" s="1487"/>
      <c r="EV407" s="1487"/>
      <c r="EW407" s="1487"/>
      <c r="EX407" s="1487"/>
      <c r="EY407" s="1487"/>
      <c r="EZ407" s="1487"/>
      <c r="FA407" s="1487"/>
      <c r="FB407" s="1487"/>
      <c r="FC407" s="1487"/>
      <c r="FD407" s="1487"/>
      <c r="FE407" s="1487"/>
      <c r="FF407" s="1487"/>
    </row>
    <row r="408" spans="17:162">
      <c r="Q408" s="4832"/>
      <c r="R408" s="4832"/>
      <c r="S408" s="4832"/>
      <c r="T408" s="4832"/>
      <c r="U408" s="4832"/>
      <c r="V408" s="4832"/>
      <c r="W408" s="4622"/>
      <c r="EN408" s="1487"/>
      <c r="EO408" s="1487"/>
      <c r="EP408" s="1487"/>
      <c r="EQ408" s="1487"/>
      <c r="ER408" s="1487"/>
      <c r="ES408" s="1487"/>
      <c r="ET408" s="1487"/>
      <c r="EU408" s="1487"/>
      <c r="EV408" s="1487"/>
      <c r="EW408" s="1487"/>
      <c r="EX408" s="1487"/>
      <c r="EY408" s="1487"/>
      <c r="EZ408" s="1487"/>
      <c r="FA408" s="1487"/>
      <c r="FB408" s="1487"/>
      <c r="FC408" s="1487"/>
      <c r="FD408" s="1487"/>
      <c r="FE408" s="1487"/>
      <c r="FF408" s="1487"/>
    </row>
    <row r="409" spans="17:162">
      <c r="Q409" s="4832"/>
      <c r="R409" s="4832"/>
      <c r="S409" s="4832"/>
      <c r="T409" s="4832"/>
      <c r="U409" s="4832"/>
      <c r="V409" s="4832"/>
      <c r="W409" s="4622"/>
      <c r="EN409" s="1487"/>
      <c r="EO409" s="1487"/>
      <c r="EP409" s="1487"/>
      <c r="EQ409" s="1487"/>
      <c r="ER409" s="1487"/>
      <c r="ES409" s="1487"/>
      <c r="ET409" s="1487"/>
      <c r="EU409" s="1487"/>
      <c r="EV409" s="1487"/>
      <c r="EW409" s="1487"/>
      <c r="EX409" s="1487"/>
      <c r="EY409" s="1487"/>
      <c r="EZ409" s="1487"/>
      <c r="FA409" s="1487"/>
      <c r="FB409" s="1487"/>
      <c r="FC409" s="1487"/>
      <c r="FD409" s="1487"/>
      <c r="FE409" s="1487"/>
      <c r="FF409" s="1487"/>
    </row>
    <row r="410" spans="17:162">
      <c r="Q410" s="4832"/>
      <c r="R410" s="4832"/>
      <c r="S410" s="4832"/>
      <c r="T410" s="4832"/>
      <c r="U410" s="4832"/>
      <c r="V410" s="4832"/>
      <c r="W410" s="4622"/>
      <c r="EN410" s="1487"/>
      <c r="EO410" s="1487"/>
      <c r="EP410" s="1487"/>
      <c r="EQ410" s="1487"/>
      <c r="ER410" s="1487"/>
      <c r="ES410" s="1487"/>
      <c r="ET410" s="1487"/>
      <c r="EU410" s="1487"/>
      <c r="EV410" s="1487"/>
      <c r="EW410" s="1487"/>
      <c r="EX410" s="1487"/>
      <c r="EY410" s="1487"/>
      <c r="EZ410" s="1487"/>
      <c r="FA410" s="1487"/>
      <c r="FB410" s="1487"/>
      <c r="FC410" s="1487"/>
      <c r="FD410" s="1487"/>
      <c r="FE410" s="1487"/>
      <c r="FF410" s="1487"/>
    </row>
    <row r="411" spans="17:162">
      <c r="Q411" s="4832"/>
      <c r="R411" s="4832"/>
      <c r="S411" s="4832"/>
      <c r="T411" s="4832"/>
      <c r="U411" s="4832"/>
      <c r="V411" s="4832"/>
      <c r="W411" s="4622"/>
      <c r="EN411" s="1487"/>
      <c r="EO411" s="1487"/>
      <c r="EP411" s="1487"/>
      <c r="EQ411" s="1487"/>
      <c r="ER411" s="1487"/>
      <c r="ES411" s="1487"/>
      <c r="ET411" s="1487"/>
      <c r="EU411" s="1487"/>
      <c r="EV411" s="1487"/>
      <c r="EW411" s="1487"/>
      <c r="EX411" s="1487"/>
      <c r="EY411" s="1487"/>
      <c r="EZ411" s="1487"/>
      <c r="FA411" s="1487"/>
      <c r="FB411" s="1487"/>
      <c r="FC411" s="1487"/>
      <c r="FD411" s="1487"/>
      <c r="FE411" s="1487"/>
      <c r="FF411" s="1487"/>
    </row>
    <row r="412" spans="17:162">
      <c r="Q412" s="4832"/>
      <c r="R412" s="4832"/>
      <c r="S412" s="4832"/>
      <c r="T412" s="4832"/>
      <c r="U412" s="4832"/>
      <c r="V412" s="4832"/>
      <c r="W412" s="4622"/>
      <c r="EN412" s="1487"/>
      <c r="EO412" s="1487"/>
      <c r="EP412" s="1487"/>
      <c r="EQ412" s="1487"/>
      <c r="ER412" s="1487"/>
      <c r="ES412" s="1487"/>
      <c r="ET412" s="1487"/>
      <c r="EU412" s="1487"/>
      <c r="EV412" s="1487"/>
      <c r="EW412" s="1487"/>
      <c r="EX412" s="1487"/>
      <c r="EY412" s="1487"/>
      <c r="EZ412" s="1487"/>
      <c r="FA412" s="1487"/>
      <c r="FB412" s="1487"/>
      <c r="FC412" s="1487"/>
      <c r="FD412" s="1487"/>
      <c r="FE412" s="1487"/>
      <c r="FF412" s="1487"/>
    </row>
    <row r="413" spans="17:162">
      <c r="Q413" s="4832"/>
      <c r="R413" s="4832"/>
      <c r="S413" s="4832"/>
      <c r="T413" s="4832"/>
      <c r="U413" s="4832"/>
      <c r="V413" s="4832"/>
      <c r="W413" s="4622"/>
      <c r="EN413" s="1487"/>
      <c r="EO413" s="1487"/>
      <c r="EP413" s="1487"/>
      <c r="EQ413" s="1487"/>
      <c r="ER413" s="1487"/>
      <c r="ES413" s="1487"/>
      <c r="ET413" s="1487"/>
      <c r="EU413" s="1487"/>
      <c r="EV413" s="1487"/>
      <c r="EW413" s="1487"/>
      <c r="EX413" s="1487"/>
      <c r="EY413" s="1487"/>
      <c r="EZ413" s="1487"/>
      <c r="FA413" s="1487"/>
      <c r="FB413" s="1487"/>
      <c r="FC413" s="1487"/>
      <c r="FD413" s="1487"/>
      <c r="FE413" s="1487"/>
      <c r="FF413" s="1487"/>
    </row>
    <row r="414" spans="17:162">
      <c r="Q414" s="4832"/>
      <c r="R414" s="4832"/>
      <c r="S414" s="4832"/>
      <c r="T414" s="4832"/>
      <c r="U414" s="4832"/>
      <c r="V414" s="4832"/>
      <c r="W414" s="4622"/>
      <c r="EN414" s="1487"/>
      <c r="EO414" s="1487"/>
      <c r="EP414" s="1487"/>
      <c r="EQ414" s="1487"/>
      <c r="ER414" s="1487"/>
      <c r="ES414" s="1487"/>
      <c r="ET414" s="1487"/>
      <c r="EU414" s="1487"/>
      <c r="EV414" s="1487"/>
      <c r="EW414" s="1487"/>
      <c r="EX414" s="1487"/>
      <c r="EY414" s="1487"/>
      <c r="EZ414" s="1487"/>
      <c r="FA414" s="1487"/>
      <c r="FB414" s="1487"/>
      <c r="FC414" s="1487"/>
      <c r="FD414" s="1487"/>
      <c r="FE414" s="1487"/>
      <c r="FF414" s="1487"/>
    </row>
    <row r="415" spans="17:162">
      <c r="Q415" s="4832"/>
      <c r="R415" s="4832"/>
      <c r="S415" s="4832"/>
      <c r="T415" s="4832"/>
      <c r="U415" s="4832"/>
      <c r="V415" s="4832"/>
      <c r="W415" s="4622"/>
      <c r="EN415" s="1487"/>
      <c r="EO415" s="1487"/>
      <c r="EP415" s="1487"/>
      <c r="EQ415" s="1487"/>
      <c r="ER415" s="1487"/>
      <c r="ES415" s="1487"/>
      <c r="ET415" s="1487"/>
      <c r="EU415" s="1487"/>
      <c r="EV415" s="1487"/>
      <c r="EW415" s="1487"/>
      <c r="EX415" s="1487"/>
      <c r="EY415" s="1487"/>
      <c r="EZ415" s="1487"/>
      <c r="FA415" s="1487"/>
      <c r="FB415" s="1487"/>
      <c r="FC415" s="1487"/>
      <c r="FD415" s="1487"/>
      <c r="FE415" s="1487"/>
      <c r="FF415" s="1487"/>
    </row>
    <row r="416" spans="17:162">
      <c r="Q416" s="4832"/>
      <c r="R416" s="4832"/>
      <c r="S416" s="4832"/>
      <c r="T416" s="4832"/>
      <c r="U416" s="4832"/>
      <c r="V416" s="4832"/>
      <c r="W416" s="4622"/>
      <c r="EN416" s="1487"/>
      <c r="EO416" s="1487"/>
      <c r="EP416" s="1487"/>
      <c r="EQ416" s="1487"/>
      <c r="ER416" s="1487"/>
      <c r="ES416" s="1487"/>
      <c r="ET416" s="1487"/>
      <c r="EU416" s="1487"/>
      <c r="EV416" s="1487"/>
      <c r="EW416" s="1487"/>
      <c r="EX416" s="1487"/>
      <c r="EY416" s="1487"/>
      <c r="EZ416" s="1487"/>
      <c r="FA416" s="1487"/>
      <c r="FB416" s="1487"/>
      <c r="FC416" s="1487"/>
      <c r="FD416" s="1487"/>
      <c r="FE416" s="1487"/>
      <c r="FF416" s="1487"/>
    </row>
    <row r="417" spans="17:162">
      <c r="Q417" s="4832"/>
      <c r="R417" s="4832"/>
      <c r="S417" s="4832"/>
      <c r="T417" s="4832"/>
      <c r="U417" s="4832"/>
      <c r="V417" s="4832"/>
      <c r="W417" s="4622"/>
      <c r="EN417" s="1487"/>
      <c r="EO417" s="1487"/>
      <c r="EP417" s="1487"/>
      <c r="EQ417" s="1487"/>
      <c r="ER417" s="1487"/>
      <c r="ES417" s="1487"/>
      <c r="ET417" s="1487"/>
      <c r="EU417" s="1487"/>
      <c r="EV417" s="1487"/>
      <c r="EW417" s="1487"/>
      <c r="EX417" s="1487"/>
      <c r="EY417" s="1487"/>
      <c r="EZ417" s="1487"/>
      <c r="FA417" s="1487"/>
      <c r="FB417" s="1487"/>
      <c r="FC417" s="1487"/>
      <c r="FD417" s="1487"/>
      <c r="FE417" s="1487"/>
      <c r="FF417" s="1487"/>
    </row>
    <row r="418" spans="17:162">
      <c r="Q418" s="4832"/>
      <c r="R418" s="4832"/>
      <c r="S418" s="4832"/>
      <c r="T418" s="4832"/>
      <c r="U418" s="4832"/>
      <c r="V418" s="4832"/>
      <c r="W418" s="4622"/>
      <c r="EN418" s="1487"/>
      <c r="EO418" s="1487"/>
      <c r="EP418" s="1487"/>
      <c r="EQ418" s="1487"/>
      <c r="ER418" s="1487"/>
      <c r="ES418" s="1487"/>
      <c r="ET418" s="1487"/>
      <c r="EU418" s="1487"/>
      <c r="EV418" s="1487"/>
      <c r="EW418" s="1487"/>
      <c r="EX418" s="1487"/>
      <c r="EY418" s="1487"/>
      <c r="EZ418" s="1487"/>
      <c r="FA418" s="1487"/>
      <c r="FB418" s="1487"/>
      <c r="FC418" s="1487"/>
      <c r="FD418" s="1487"/>
      <c r="FE418" s="1487"/>
      <c r="FF418" s="1487"/>
    </row>
    <row r="419" spans="17:162">
      <c r="Q419" s="4832"/>
      <c r="R419" s="4832"/>
      <c r="S419" s="4832"/>
      <c r="T419" s="4832"/>
      <c r="U419" s="4832"/>
      <c r="V419" s="4832"/>
      <c r="W419" s="4622"/>
      <c r="EN419" s="1487"/>
      <c r="EO419" s="1487"/>
      <c r="EP419" s="1487"/>
      <c r="EQ419" s="1487"/>
      <c r="ER419" s="1487"/>
      <c r="ES419" s="1487"/>
      <c r="ET419" s="1487"/>
      <c r="EU419" s="1487"/>
      <c r="EV419" s="1487"/>
      <c r="EW419" s="1487"/>
      <c r="EX419" s="1487"/>
      <c r="EY419" s="1487"/>
      <c r="EZ419" s="1487"/>
      <c r="FA419" s="1487"/>
      <c r="FB419" s="1487"/>
      <c r="FC419" s="1487"/>
      <c r="FD419" s="1487"/>
      <c r="FE419" s="1487"/>
      <c r="FF419" s="1487"/>
    </row>
    <row r="420" spans="17:162">
      <c r="Q420" s="4832"/>
      <c r="R420" s="4832"/>
      <c r="S420" s="4832"/>
      <c r="T420" s="4832"/>
      <c r="U420" s="4832"/>
      <c r="V420" s="4832"/>
      <c r="W420" s="4622"/>
      <c r="EN420" s="1487"/>
      <c r="EO420" s="1487"/>
      <c r="EP420" s="1487"/>
      <c r="EQ420" s="1487"/>
      <c r="ER420" s="1487"/>
      <c r="ES420" s="1487"/>
      <c r="ET420" s="1487"/>
      <c r="EU420" s="1487"/>
      <c r="EV420" s="1487"/>
      <c r="EW420" s="1487"/>
      <c r="EX420" s="1487"/>
      <c r="EY420" s="1487"/>
      <c r="EZ420" s="1487"/>
      <c r="FA420" s="1487"/>
      <c r="FB420" s="1487"/>
      <c r="FC420" s="1487"/>
      <c r="FD420" s="1487"/>
      <c r="FE420" s="1487"/>
      <c r="FF420" s="1487"/>
    </row>
    <row r="421" spans="17:162">
      <c r="Q421" s="4832"/>
      <c r="R421" s="4832"/>
      <c r="S421" s="4832"/>
      <c r="T421" s="4832"/>
      <c r="U421" s="4832"/>
      <c r="V421" s="4832"/>
      <c r="W421" s="4622"/>
      <c r="EN421" s="1487"/>
      <c r="EO421" s="1487"/>
      <c r="EP421" s="1487"/>
      <c r="EQ421" s="1487"/>
      <c r="ER421" s="1487"/>
      <c r="ES421" s="1487"/>
      <c r="ET421" s="1487"/>
      <c r="EU421" s="1487"/>
      <c r="EV421" s="1487"/>
      <c r="EW421" s="1487"/>
      <c r="EX421" s="1487"/>
      <c r="EY421" s="1487"/>
      <c r="EZ421" s="1487"/>
      <c r="FA421" s="1487"/>
      <c r="FB421" s="1487"/>
      <c r="FC421" s="1487"/>
      <c r="FD421" s="1487"/>
      <c r="FE421" s="1487"/>
      <c r="FF421" s="1487"/>
    </row>
    <row r="422" spans="17:162">
      <c r="Q422" s="4832"/>
      <c r="R422" s="4832"/>
      <c r="S422" s="4832"/>
      <c r="T422" s="4832"/>
      <c r="U422" s="4832"/>
      <c r="V422" s="4832"/>
      <c r="W422" s="4622"/>
      <c r="EN422" s="1487"/>
      <c r="EO422" s="1487"/>
      <c r="EP422" s="1487"/>
      <c r="EQ422" s="1487"/>
      <c r="ER422" s="1487"/>
      <c r="ES422" s="1487"/>
      <c r="ET422" s="1487"/>
      <c r="EU422" s="1487"/>
      <c r="EV422" s="1487"/>
      <c r="EW422" s="1487"/>
      <c r="EX422" s="1487"/>
      <c r="EY422" s="1487"/>
      <c r="EZ422" s="1487"/>
      <c r="FA422" s="1487"/>
      <c r="FB422" s="1487"/>
      <c r="FC422" s="1487"/>
      <c r="FD422" s="1487"/>
      <c r="FE422" s="1487"/>
      <c r="FF422" s="1487"/>
    </row>
    <row r="423" spans="17:162">
      <c r="Q423" s="4832"/>
      <c r="R423" s="4832"/>
      <c r="S423" s="4832"/>
      <c r="T423" s="4832"/>
      <c r="U423" s="4832"/>
      <c r="V423" s="4832"/>
      <c r="W423" s="4622"/>
      <c r="EN423" s="1487"/>
      <c r="EO423" s="1487"/>
      <c r="EP423" s="1487"/>
      <c r="EQ423" s="1487"/>
      <c r="ER423" s="1487"/>
      <c r="ES423" s="1487"/>
      <c r="ET423" s="1487"/>
      <c r="EU423" s="1487"/>
      <c r="EV423" s="1487"/>
      <c r="EW423" s="1487"/>
      <c r="EX423" s="1487"/>
      <c r="EY423" s="1487"/>
      <c r="EZ423" s="1487"/>
      <c r="FA423" s="1487"/>
      <c r="FB423" s="1487"/>
      <c r="FC423" s="1487"/>
      <c r="FD423" s="1487"/>
      <c r="FE423" s="1487"/>
      <c r="FF423" s="1487"/>
    </row>
    <row r="424" spans="17:162">
      <c r="Q424" s="4832"/>
      <c r="R424" s="4832"/>
      <c r="S424" s="4832"/>
      <c r="T424" s="4832"/>
      <c r="U424" s="4832"/>
      <c r="V424" s="4832"/>
      <c r="W424" s="4622"/>
      <c r="EN424" s="1487"/>
      <c r="EO424" s="1487"/>
      <c r="EP424" s="1487"/>
      <c r="EQ424" s="1487"/>
      <c r="ER424" s="1487"/>
      <c r="ES424" s="1487"/>
      <c r="ET424" s="1487"/>
      <c r="EU424" s="1487"/>
      <c r="EV424" s="1487"/>
      <c r="EW424" s="1487"/>
      <c r="EX424" s="1487"/>
      <c r="EY424" s="1487"/>
      <c r="EZ424" s="1487"/>
      <c r="FA424" s="1487"/>
      <c r="FB424" s="1487"/>
      <c r="FC424" s="1487"/>
      <c r="FD424" s="1487"/>
      <c r="FE424" s="1487"/>
      <c r="FF424" s="1487"/>
    </row>
    <row r="425" spans="17:162">
      <c r="Q425" s="4832"/>
      <c r="R425" s="4832"/>
      <c r="S425" s="4832"/>
      <c r="T425" s="4832"/>
      <c r="U425" s="4832"/>
      <c r="V425" s="4832"/>
      <c r="W425" s="4622"/>
      <c r="EN425" s="1487"/>
      <c r="EO425" s="1487"/>
      <c r="EP425" s="1487"/>
      <c r="EQ425" s="1487"/>
      <c r="ER425" s="1487"/>
      <c r="ES425" s="1487"/>
      <c r="ET425" s="1487"/>
      <c r="EU425" s="1487"/>
      <c r="EV425" s="1487"/>
      <c r="EW425" s="1487"/>
      <c r="EX425" s="1487"/>
      <c r="EY425" s="1487"/>
      <c r="EZ425" s="1487"/>
      <c r="FA425" s="1487"/>
      <c r="FB425" s="1487"/>
      <c r="FC425" s="1487"/>
      <c r="FD425" s="1487"/>
      <c r="FE425" s="1487"/>
      <c r="FF425" s="1487"/>
    </row>
    <row r="426" spans="17:162">
      <c r="Q426" s="4832"/>
      <c r="R426" s="4832"/>
      <c r="S426" s="4832"/>
      <c r="T426" s="4832"/>
      <c r="U426" s="4832"/>
      <c r="V426" s="4832"/>
      <c r="W426" s="4622"/>
      <c r="EN426" s="1487"/>
      <c r="EO426" s="1487"/>
      <c r="EP426" s="1487"/>
      <c r="EQ426" s="1487"/>
      <c r="ER426" s="1487"/>
      <c r="ES426" s="1487"/>
      <c r="ET426" s="1487"/>
      <c r="EU426" s="1487"/>
      <c r="EV426" s="1487"/>
      <c r="EW426" s="1487"/>
      <c r="EX426" s="1487"/>
      <c r="EY426" s="1487"/>
      <c r="EZ426" s="1487"/>
      <c r="FA426" s="1487"/>
      <c r="FB426" s="1487"/>
      <c r="FC426" s="1487"/>
      <c r="FD426" s="1487"/>
      <c r="FE426" s="1487"/>
      <c r="FF426" s="1487"/>
    </row>
    <row r="427" spans="17:162">
      <c r="Q427" s="4832"/>
      <c r="R427" s="4832"/>
      <c r="S427" s="4832"/>
      <c r="T427" s="4832"/>
      <c r="U427" s="4832"/>
      <c r="V427" s="4832"/>
      <c r="W427" s="4622"/>
      <c r="EN427" s="1487"/>
      <c r="EO427" s="1487"/>
      <c r="EP427" s="1487"/>
      <c r="EQ427" s="1487"/>
      <c r="ER427" s="1487"/>
      <c r="ES427" s="1487"/>
      <c r="ET427" s="1487"/>
      <c r="EU427" s="1487"/>
      <c r="EV427" s="1487"/>
      <c r="EW427" s="1487"/>
      <c r="EX427" s="1487"/>
      <c r="EY427" s="1487"/>
      <c r="EZ427" s="1487"/>
      <c r="FA427" s="1487"/>
      <c r="FB427" s="1487"/>
      <c r="FC427" s="1487"/>
      <c r="FD427" s="1487"/>
      <c r="FE427" s="1487"/>
      <c r="FF427" s="1487"/>
    </row>
    <row r="428" spans="17:162">
      <c r="Q428" s="4832"/>
      <c r="R428" s="4832"/>
      <c r="S428" s="4832"/>
      <c r="T428" s="4832"/>
      <c r="U428" s="4832"/>
      <c r="V428" s="4832"/>
      <c r="EN428" s="1487"/>
      <c r="EO428" s="1487"/>
      <c r="EP428" s="1487"/>
      <c r="EQ428" s="1487"/>
      <c r="ER428" s="1487"/>
      <c r="ES428" s="1487"/>
      <c r="ET428" s="1487"/>
      <c r="EU428" s="1487"/>
      <c r="EV428" s="1487"/>
      <c r="EW428" s="1487"/>
      <c r="EX428" s="1487"/>
      <c r="EY428" s="1487"/>
      <c r="EZ428" s="1487"/>
      <c r="FA428" s="1487"/>
      <c r="FB428" s="1487"/>
      <c r="FC428" s="1487"/>
      <c r="FD428" s="1487"/>
      <c r="FE428" s="1487"/>
      <c r="FF428" s="1487"/>
    </row>
    <row r="429" spans="17:162">
      <c r="EN429" s="1487"/>
      <c r="EO429" s="1487"/>
      <c r="EP429" s="1487"/>
      <c r="EQ429" s="1487"/>
      <c r="ER429" s="1487"/>
      <c r="ES429" s="1487"/>
      <c r="ET429" s="1487"/>
      <c r="EU429" s="1487"/>
      <c r="EV429" s="1487"/>
      <c r="EW429" s="1487"/>
      <c r="EX429" s="1487"/>
      <c r="EY429" s="1487"/>
      <c r="EZ429" s="1487"/>
      <c r="FA429" s="1487"/>
      <c r="FB429" s="1487"/>
      <c r="FC429" s="1487"/>
      <c r="FD429" s="1487"/>
      <c r="FE429" s="1487"/>
      <c r="FF429" s="1487"/>
    </row>
    <row r="430" spans="17:162">
      <c r="EN430" s="1487"/>
      <c r="EO430" s="1487"/>
      <c r="EP430" s="1487"/>
      <c r="EQ430" s="1487"/>
      <c r="ER430" s="1487"/>
      <c r="ES430" s="1487"/>
      <c r="ET430" s="1487"/>
      <c r="EU430" s="1487"/>
      <c r="EV430" s="1487"/>
      <c r="EW430" s="1487"/>
      <c r="EX430" s="1487"/>
      <c r="EY430" s="1487"/>
      <c r="EZ430" s="1487"/>
      <c r="FA430" s="1487"/>
      <c r="FB430" s="1487"/>
      <c r="FC430" s="1487"/>
      <c r="FD430" s="1487"/>
      <c r="FE430" s="1487"/>
      <c r="FF430" s="1487"/>
    </row>
    <row r="431" spans="17:162">
      <c r="EN431" s="1487"/>
      <c r="EO431" s="1487"/>
      <c r="EP431" s="1487"/>
      <c r="EQ431" s="1487"/>
      <c r="ER431" s="1487"/>
      <c r="ES431" s="1487"/>
      <c r="ET431" s="1487"/>
      <c r="EU431" s="1487"/>
      <c r="EV431" s="1487"/>
      <c r="EW431" s="1487"/>
      <c r="EX431" s="1487"/>
      <c r="EY431" s="1487"/>
      <c r="EZ431" s="1487"/>
      <c r="FA431" s="1487"/>
      <c r="FB431" s="1487"/>
      <c r="FC431" s="1487"/>
      <c r="FD431" s="1487"/>
      <c r="FE431" s="1487"/>
      <c r="FF431" s="1487"/>
    </row>
    <row r="432" spans="17:162">
      <c r="EN432" s="1487"/>
      <c r="EO432" s="1487"/>
      <c r="EP432" s="1487"/>
      <c r="EQ432" s="1487"/>
      <c r="ER432" s="1487"/>
      <c r="ES432" s="1487"/>
      <c r="ET432" s="1487"/>
      <c r="EU432" s="1487"/>
      <c r="EV432" s="1487"/>
      <c r="EW432" s="1487"/>
      <c r="EX432" s="1487"/>
      <c r="EY432" s="1487"/>
      <c r="EZ432" s="1487"/>
      <c r="FA432" s="1487"/>
      <c r="FB432" s="1487"/>
      <c r="FC432" s="1487"/>
      <c r="FD432" s="1487"/>
      <c r="FE432" s="1487"/>
      <c r="FF432" s="1487"/>
    </row>
    <row r="433" spans="144:162">
      <c r="EN433" s="1487"/>
      <c r="EO433" s="1487"/>
      <c r="EP433" s="1487"/>
      <c r="EQ433" s="1487"/>
      <c r="ER433" s="1487"/>
      <c r="ES433" s="1487"/>
      <c r="ET433" s="1487"/>
      <c r="EU433" s="1487"/>
      <c r="EV433" s="1487"/>
      <c r="EW433" s="1487"/>
      <c r="EX433" s="1487"/>
      <c r="EY433" s="1487"/>
      <c r="EZ433" s="1487"/>
      <c r="FA433" s="1487"/>
      <c r="FB433" s="1487"/>
      <c r="FC433" s="1487"/>
      <c r="FD433" s="1487"/>
      <c r="FE433" s="1487"/>
      <c r="FF433" s="1487"/>
    </row>
    <row r="434" spans="144:162">
      <c r="EN434" s="1487"/>
      <c r="EO434" s="1487"/>
      <c r="EP434" s="1487"/>
      <c r="EQ434" s="1487"/>
      <c r="ER434" s="1487"/>
      <c r="ES434" s="1487"/>
      <c r="ET434" s="1487"/>
      <c r="EU434" s="1487"/>
      <c r="EV434" s="1487"/>
      <c r="EW434" s="1487"/>
      <c r="EX434" s="1487"/>
      <c r="EY434" s="1487"/>
      <c r="EZ434" s="1487"/>
      <c r="FA434" s="1487"/>
      <c r="FB434" s="1487"/>
      <c r="FC434" s="1487"/>
      <c r="FD434" s="1487"/>
      <c r="FE434" s="1487"/>
      <c r="FF434" s="1487"/>
    </row>
    <row r="435" spans="144:162">
      <c r="EN435" s="1487"/>
      <c r="EO435" s="1487"/>
      <c r="EP435" s="1487"/>
      <c r="EQ435" s="1487"/>
      <c r="ER435" s="1487"/>
      <c r="ES435" s="1487"/>
      <c r="ET435" s="1487"/>
      <c r="EU435" s="1487"/>
      <c r="EV435" s="1487"/>
      <c r="EW435" s="1487"/>
      <c r="EX435" s="1487"/>
      <c r="EY435" s="1487"/>
      <c r="EZ435" s="1487"/>
      <c r="FA435" s="1487"/>
      <c r="FB435" s="1487"/>
      <c r="FC435" s="1487"/>
      <c r="FD435" s="1487"/>
      <c r="FE435" s="1487"/>
      <c r="FF435" s="1487"/>
    </row>
    <row r="436" spans="144:162">
      <c r="EN436" s="1487"/>
      <c r="EO436" s="1487"/>
      <c r="EP436" s="1487"/>
      <c r="EQ436" s="1487"/>
      <c r="ER436" s="1487"/>
      <c r="ES436" s="1487"/>
      <c r="ET436" s="1487"/>
      <c r="EU436" s="1487"/>
      <c r="EV436" s="1487"/>
      <c r="EW436" s="1487"/>
      <c r="EX436" s="1487"/>
      <c r="EY436" s="1487"/>
      <c r="EZ436" s="1487"/>
      <c r="FA436" s="1487"/>
      <c r="FB436" s="1487"/>
      <c r="FC436" s="1487"/>
      <c r="FD436" s="1487"/>
      <c r="FE436" s="1487"/>
      <c r="FF436" s="1487"/>
    </row>
    <row r="437" spans="144:162">
      <c r="EN437" s="1487"/>
      <c r="EO437" s="1487"/>
      <c r="EP437" s="1487"/>
      <c r="EQ437" s="1487"/>
      <c r="ER437" s="1487"/>
      <c r="ES437" s="1487"/>
      <c r="ET437" s="1487"/>
      <c r="EU437" s="1487"/>
      <c r="EV437" s="1487"/>
      <c r="EW437" s="1487"/>
      <c r="EX437" s="1487"/>
      <c r="EY437" s="1487"/>
      <c r="EZ437" s="1487"/>
      <c r="FA437" s="1487"/>
      <c r="FB437" s="1487"/>
      <c r="FC437" s="1487"/>
      <c r="FD437" s="1487"/>
      <c r="FE437" s="1487"/>
      <c r="FF437" s="1487"/>
    </row>
    <row r="438" spans="144:162">
      <c r="EN438" s="1487"/>
      <c r="EO438" s="1487"/>
      <c r="EP438" s="1487"/>
      <c r="EQ438" s="1487"/>
      <c r="ER438" s="1487"/>
      <c r="ES438" s="1487"/>
      <c r="ET438" s="1487"/>
      <c r="EU438" s="1487"/>
      <c r="EV438" s="1487"/>
      <c r="EW438" s="1487"/>
      <c r="EX438" s="1487"/>
      <c r="EY438" s="1487"/>
      <c r="EZ438" s="1487"/>
      <c r="FA438" s="1487"/>
      <c r="FB438" s="1487"/>
      <c r="FC438" s="1487"/>
      <c r="FD438" s="1487"/>
      <c r="FE438" s="1487"/>
      <c r="FF438" s="1487"/>
    </row>
    <row r="439" spans="144:162">
      <c r="EN439" s="1487"/>
      <c r="EO439" s="1487"/>
      <c r="EP439" s="1487"/>
      <c r="EQ439" s="1487"/>
      <c r="ER439" s="1487"/>
      <c r="ES439" s="1487"/>
      <c r="ET439" s="1487"/>
      <c r="EU439" s="1487"/>
      <c r="EV439" s="1487"/>
      <c r="EW439" s="1487"/>
      <c r="EX439" s="1487"/>
      <c r="EY439" s="1487"/>
      <c r="EZ439" s="1487"/>
      <c r="FA439" s="1487"/>
      <c r="FB439" s="1487"/>
      <c r="FC439" s="1487"/>
      <c r="FD439" s="1487"/>
      <c r="FE439" s="1487"/>
      <c r="FF439" s="1487"/>
    </row>
    <row r="440" spans="144:162">
      <c r="EN440" s="1487"/>
      <c r="EO440" s="1487"/>
      <c r="EP440" s="1487"/>
      <c r="EQ440" s="1487"/>
      <c r="ER440" s="1487"/>
      <c r="ES440" s="1487"/>
      <c r="ET440" s="1487"/>
      <c r="EU440" s="1487"/>
      <c r="EV440" s="1487"/>
      <c r="EW440" s="1487"/>
      <c r="EX440" s="1487"/>
      <c r="EY440" s="1487"/>
      <c r="EZ440" s="1487"/>
      <c r="FA440" s="1487"/>
      <c r="FB440" s="1487"/>
      <c r="FC440" s="1487"/>
      <c r="FD440" s="1487"/>
      <c r="FE440" s="1487"/>
      <c r="FF440" s="1487"/>
    </row>
  </sheetData>
  <mergeCells count="26">
    <mergeCell ref="L3:M3"/>
    <mergeCell ref="Z2:AA2"/>
    <mergeCell ref="AY5:BN5"/>
    <mergeCell ref="BV5:CJ5"/>
    <mergeCell ref="CR5:DF5"/>
    <mergeCell ref="DP5:EF5"/>
    <mergeCell ref="EN5:FD5"/>
    <mergeCell ref="IE201:IQ201"/>
    <mergeCell ref="IZ201:JO201"/>
    <mergeCell ref="FL5:GA5"/>
    <mergeCell ref="JW201:KL201"/>
    <mergeCell ref="IE117:IQ117"/>
    <mergeCell ref="IZ117:JO117"/>
    <mergeCell ref="JW117:KL117"/>
    <mergeCell ref="IE172:IQ172"/>
    <mergeCell ref="IZ172:JO172"/>
    <mergeCell ref="JW172:KL172"/>
    <mergeCell ref="IV1:JQ1"/>
    <mergeCell ref="IV2:JQ2"/>
    <mergeCell ref="IV3:JQ3"/>
    <mergeCell ref="JS3:KO3"/>
    <mergeCell ref="GH5:GX5"/>
    <mergeCell ref="HG5:HW5"/>
    <mergeCell ref="IE5:IQ5"/>
    <mergeCell ref="IZ5:JO5"/>
    <mergeCell ref="JW5:KL5"/>
  </mergeCells>
  <pageMargins left="0.7" right="0.7" top="0.75" bottom="0.75" header="0.3" footer="0.3"/>
  <pageSetup paperSize="9" orientation="portrait" r:id="rId1"/>
  <ignoredErrors>
    <ignoredError sqref="M60"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76"/>
  <sheetViews>
    <sheetView showGridLines="0" topLeftCell="B1" zoomScaleNormal="100" workbookViewId="0">
      <pane xSplit="1" ySplit="4" topLeftCell="D37" activePane="bottomRight" state="frozen"/>
      <selection activeCell="C65" sqref="C65:C67"/>
      <selection pane="topRight" activeCell="C65" sqref="C65:C67"/>
      <selection pane="bottomLeft" activeCell="C65" sqref="C65:C67"/>
      <selection pane="bottomRight" activeCell="R67" sqref="R67"/>
    </sheetView>
  </sheetViews>
  <sheetFormatPr baseColWidth="10" defaultColWidth="11.44140625" defaultRowHeight="13.8"/>
  <cols>
    <col min="1" max="1" width="2.6640625" style="26" customWidth="1"/>
    <col min="2" max="2" width="51.6640625" style="26" customWidth="1"/>
    <col min="3" max="16384" width="11.44140625" style="26"/>
  </cols>
  <sheetData>
    <row r="1" spans="2:16" ht="35.25" customHeight="1">
      <c r="L1" s="7002" t="s">
        <v>3309</v>
      </c>
      <c r="M1" s="7002"/>
      <c r="N1" s="7002"/>
      <c r="O1" s="7002"/>
      <c r="P1" s="7002"/>
    </row>
    <row r="2" spans="2:16">
      <c r="P2" s="6486" t="s">
        <v>712</v>
      </c>
    </row>
    <row r="4" spans="2:16" ht="15" thickBot="1">
      <c r="B4" s="2118" t="s">
        <v>2439</v>
      </c>
      <c r="C4" s="2119">
        <v>2010</v>
      </c>
      <c r="D4" s="2119">
        <v>2011</v>
      </c>
      <c r="E4" s="2119">
        <v>2012</v>
      </c>
      <c r="F4" s="2119">
        <v>2013</v>
      </c>
      <c r="G4" s="2119">
        <v>2014</v>
      </c>
      <c r="H4" s="2119">
        <v>2015</v>
      </c>
      <c r="I4" s="2119">
        <v>2016</v>
      </c>
      <c r="J4" s="2119">
        <v>2017</v>
      </c>
      <c r="K4" s="2119">
        <v>2018</v>
      </c>
      <c r="L4" s="2114">
        <v>2019</v>
      </c>
      <c r="M4" s="2114">
        <v>2020</v>
      </c>
      <c r="N4" s="3270">
        <v>2021</v>
      </c>
      <c r="O4" s="3270">
        <v>2022</v>
      </c>
      <c r="P4" s="3270">
        <v>2023</v>
      </c>
    </row>
    <row r="5" spans="2:16" ht="15" customHeight="1">
      <c r="B5" s="3107" t="s">
        <v>114</v>
      </c>
      <c r="C5" s="2471">
        <v>0.83333333333333337</v>
      </c>
      <c r="D5" s="3108">
        <v>0.5</v>
      </c>
      <c r="E5" s="2475">
        <v>0.27272727272727271</v>
      </c>
      <c r="F5" s="3108">
        <v>1</v>
      </c>
      <c r="G5" s="3060">
        <v>0.8</v>
      </c>
      <c r="H5" s="3060">
        <v>0.7142857142857143</v>
      </c>
      <c r="I5" s="3060">
        <v>0.8</v>
      </c>
      <c r="J5" s="3060">
        <v>0.75</v>
      </c>
      <c r="K5" s="3062">
        <v>1</v>
      </c>
      <c r="L5" s="3062">
        <v>0</v>
      </c>
      <c r="M5" s="3062"/>
      <c r="N5" s="3062"/>
      <c r="O5" s="3062"/>
      <c r="P5" s="3062"/>
    </row>
    <row r="6" spans="2:16" ht="15" customHeight="1">
      <c r="B6" s="3109" t="s">
        <v>115</v>
      </c>
      <c r="C6" s="2489">
        <v>0.33333333333333331</v>
      </c>
      <c r="D6" s="2487"/>
      <c r="E6" s="2481">
        <v>0.5</v>
      </c>
      <c r="F6" s="3110">
        <v>0</v>
      </c>
      <c r="G6" s="3065"/>
      <c r="H6" s="3065"/>
      <c r="I6" s="3065"/>
      <c r="J6" s="3065">
        <v>0</v>
      </c>
      <c r="K6" s="3067">
        <v>0</v>
      </c>
      <c r="L6" s="3067">
        <v>0</v>
      </c>
      <c r="M6" s="3067">
        <v>0.33300000000000002</v>
      </c>
      <c r="N6" s="3067">
        <v>0.33333333333333331</v>
      </c>
      <c r="O6" s="3067">
        <v>0</v>
      </c>
      <c r="P6" s="3067"/>
    </row>
    <row r="7" spans="2:16" ht="15" customHeight="1">
      <c r="B7" s="3109" t="s">
        <v>607</v>
      </c>
      <c r="C7" s="2489"/>
      <c r="D7" s="2487"/>
      <c r="E7" s="2481"/>
      <c r="F7" s="3111"/>
      <c r="G7" s="3065"/>
      <c r="H7" s="3065"/>
      <c r="I7" s="3065"/>
      <c r="J7" s="3065">
        <v>0.33333333333333331</v>
      </c>
      <c r="K7" s="3067"/>
      <c r="L7" s="3067">
        <v>0.16666666666666666</v>
      </c>
      <c r="M7" s="3067"/>
      <c r="N7" s="3067">
        <v>0.5</v>
      </c>
      <c r="O7" s="3067">
        <v>0.4</v>
      </c>
      <c r="P7" s="3067"/>
    </row>
    <row r="8" spans="2:16" ht="15" customHeight="1">
      <c r="B8" s="3109" t="s">
        <v>606</v>
      </c>
      <c r="C8" s="2489"/>
      <c r="D8" s="2487"/>
      <c r="E8" s="2481"/>
      <c r="F8" s="3111"/>
      <c r="G8" s="3065"/>
      <c r="H8" s="3065"/>
      <c r="I8" s="3065"/>
      <c r="J8" s="3065">
        <v>1</v>
      </c>
      <c r="K8" s="3067"/>
      <c r="L8" s="3067">
        <v>1</v>
      </c>
      <c r="M8" s="3067">
        <v>0</v>
      </c>
      <c r="N8" s="3067"/>
      <c r="O8" s="3067"/>
      <c r="P8" s="3067"/>
    </row>
    <row r="9" spans="2:16" ht="15" customHeight="1">
      <c r="B9" s="3109" t="s">
        <v>2270</v>
      </c>
      <c r="C9" s="2489"/>
      <c r="D9" s="2487"/>
      <c r="E9" s="2481"/>
      <c r="F9" s="3111"/>
      <c r="G9" s="3065"/>
      <c r="H9" s="3065"/>
      <c r="I9" s="3065"/>
      <c r="J9" s="3065">
        <v>0</v>
      </c>
      <c r="K9" s="3067">
        <v>0.75</v>
      </c>
      <c r="L9" s="3067">
        <v>0.2</v>
      </c>
      <c r="M9" s="3067">
        <v>0.36399999999999999</v>
      </c>
      <c r="N9" s="3067">
        <v>0.25</v>
      </c>
      <c r="O9" s="3067">
        <v>0.222</v>
      </c>
      <c r="P9" s="3067">
        <v>0.17599999999999999</v>
      </c>
    </row>
    <row r="10" spans="2:16" ht="15" customHeight="1">
      <c r="B10" s="3112" t="s">
        <v>482</v>
      </c>
      <c r="C10" s="3069">
        <v>0.66666666666666663</v>
      </c>
      <c r="D10" s="2487">
        <v>0.5</v>
      </c>
      <c r="E10" s="2484">
        <v>0.30769230769230771</v>
      </c>
      <c r="F10" s="2487">
        <v>0.5</v>
      </c>
      <c r="G10" s="3069">
        <v>0.8</v>
      </c>
      <c r="H10" s="3069">
        <v>0.7142857142857143</v>
      </c>
      <c r="I10" s="3069">
        <v>0.8</v>
      </c>
      <c r="J10" s="3069">
        <v>0.54545454545454541</v>
      </c>
      <c r="K10" s="3071">
        <v>0.63636363636363635</v>
      </c>
      <c r="L10" s="3071">
        <v>0.21428571428571427</v>
      </c>
      <c r="M10" s="3071">
        <v>0.29399999999999998</v>
      </c>
      <c r="N10" s="3071">
        <v>0.33300000000000002</v>
      </c>
      <c r="O10" s="3071">
        <v>0.26700000000000002</v>
      </c>
      <c r="P10" s="3071">
        <v>6.5000000000000002E-2</v>
      </c>
    </row>
    <row r="11" spans="2:16" ht="15" customHeight="1">
      <c r="B11" s="3113" t="s">
        <v>127</v>
      </c>
      <c r="C11" s="2489">
        <v>0</v>
      </c>
      <c r="D11" s="3111">
        <v>0.2</v>
      </c>
      <c r="E11" s="2484"/>
      <c r="F11" s="2487"/>
      <c r="G11" s="3069"/>
      <c r="H11" s="3069"/>
      <c r="I11" s="3069"/>
      <c r="J11" s="3069"/>
      <c r="K11" s="3071"/>
      <c r="L11" s="3071">
        <v>0</v>
      </c>
      <c r="M11" s="3071"/>
      <c r="N11" s="3071"/>
      <c r="O11" s="3071"/>
      <c r="P11" s="3071"/>
    </row>
    <row r="12" spans="2:16" ht="15" customHeight="1">
      <c r="B12" s="3109" t="s">
        <v>118</v>
      </c>
      <c r="C12" s="3073"/>
      <c r="D12" s="3111">
        <v>0.35714285714285715</v>
      </c>
      <c r="E12" s="3069"/>
      <c r="F12" s="3110">
        <v>0</v>
      </c>
      <c r="G12" s="3065"/>
      <c r="H12" s="3065">
        <v>0.27272727272727271</v>
      </c>
      <c r="I12" s="3065"/>
      <c r="J12" s="3065">
        <v>0.22222222222222221</v>
      </c>
      <c r="K12" s="3067"/>
      <c r="L12" s="3067">
        <v>0.4</v>
      </c>
      <c r="M12" s="3067"/>
      <c r="N12" s="3067">
        <v>0</v>
      </c>
      <c r="O12" s="3067"/>
      <c r="P12" s="3067"/>
    </row>
    <row r="13" spans="2:16" ht="15" customHeight="1">
      <c r="B13" s="3723" t="s">
        <v>117</v>
      </c>
      <c r="C13" s="3073"/>
      <c r="D13" s="3111">
        <v>0.15384615384615385</v>
      </c>
      <c r="E13" s="3069"/>
      <c r="F13" s="3114"/>
      <c r="G13" s="3065">
        <v>0.5</v>
      </c>
      <c r="H13" s="3065"/>
      <c r="I13" s="3065">
        <v>0.27272727272727271</v>
      </c>
      <c r="J13" s="3065"/>
      <c r="K13" s="3067">
        <v>0.23076923076923078</v>
      </c>
      <c r="L13" s="3067"/>
      <c r="M13" s="3067">
        <v>3.5999999999999997E-2</v>
      </c>
      <c r="N13" s="3067"/>
      <c r="O13" s="3067">
        <v>0.04</v>
      </c>
      <c r="P13" s="3067"/>
    </row>
    <row r="14" spans="2:16" ht="15" customHeight="1">
      <c r="B14" s="3723" t="s">
        <v>2058</v>
      </c>
      <c r="C14" s="3073"/>
      <c r="D14" s="3111"/>
      <c r="E14" s="3069"/>
      <c r="F14" s="2487"/>
      <c r="G14" s="3065"/>
      <c r="H14" s="3065"/>
      <c r="I14" s="3065"/>
      <c r="J14" s="3065"/>
      <c r="K14" s="3067"/>
      <c r="L14" s="3067"/>
      <c r="M14" s="3067"/>
      <c r="N14" s="3067">
        <v>0</v>
      </c>
      <c r="O14" s="3067"/>
      <c r="P14" s="3067"/>
    </row>
    <row r="15" spans="2:16" ht="15" customHeight="1">
      <c r="B15" s="3723" t="s">
        <v>2891</v>
      </c>
      <c r="C15" s="3073"/>
      <c r="D15" s="3111"/>
      <c r="E15" s="3069"/>
      <c r="F15" s="2487"/>
      <c r="G15" s="3065"/>
      <c r="H15" s="3065"/>
      <c r="I15" s="3065"/>
      <c r="J15" s="3065"/>
      <c r="K15" s="3067"/>
      <c r="L15" s="3067"/>
      <c r="M15" s="3067"/>
      <c r="N15" s="3067"/>
      <c r="O15" s="3067"/>
      <c r="P15" s="3067"/>
    </row>
    <row r="16" spans="2:16" ht="15" customHeight="1">
      <c r="B16" s="3112" t="s">
        <v>483</v>
      </c>
      <c r="C16" s="3069">
        <v>0</v>
      </c>
      <c r="D16" s="2487">
        <v>0.25</v>
      </c>
      <c r="E16" s="3069"/>
      <c r="F16" s="2487">
        <v>0</v>
      </c>
      <c r="G16" s="3069">
        <v>0.5</v>
      </c>
      <c r="H16" s="3069">
        <v>0.27272727272727271</v>
      </c>
      <c r="I16" s="3069">
        <v>0.27272727272727271</v>
      </c>
      <c r="J16" s="3069">
        <v>0.22222222222222221</v>
      </c>
      <c r="K16" s="3071">
        <v>0.23076923076923078</v>
      </c>
      <c r="L16" s="3071">
        <v>0.33329999999999999</v>
      </c>
      <c r="M16" s="3071">
        <v>3.5999999999999997E-2</v>
      </c>
      <c r="N16" s="3071">
        <v>0</v>
      </c>
      <c r="O16" s="3071">
        <v>0.04</v>
      </c>
      <c r="P16" s="3071">
        <v>0</v>
      </c>
    </row>
    <row r="17" spans="2:16" ht="15" customHeight="1">
      <c r="B17" s="3115" t="s">
        <v>104</v>
      </c>
      <c r="C17" s="2489">
        <v>0.2</v>
      </c>
      <c r="D17" s="3111">
        <v>0</v>
      </c>
      <c r="E17" s="2481">
        <v>0</v>
      </c>
      <c r="F17" s="3111">
        <v>0.17647058823529413</v>
      </c>
      <c r="G17" s="3065">
        <v>9.0909090909090912E-2</v>
      </c>
      <c r="H17" s="3065">
        <v>0</v>
      </c>
      <c r="I17" s="3065">
        <v>1</v>
      </c>
      <c r="J17" s="3065"/>
      <c r="K17" s="3067"/>
      <c r="L17" s="3067"/>
      <c r="M17" s="3067"/>
      <c r="N17" s="3067"/>
      <c r="O17" s="3067"/>
      <c r="P17" s="3067"/>
    </row>
    <row r="18" spans="2:16" ht="15" customHeight="1">
      <c r="B18" s="3115" t="s">
        <v>1455</v>
      </c>
      <c r="C18" s="2489"/>
      <c r="D18" s="3111"/>
      <c r="E18" s="2481"/>
      <c r="F18" s="3111"/>
      <c r="G18" s="3065"/>
      <c r="H18" s="3065"/>
      <c r="I18" s="3065">
        <v>1</v>
      </c>
      <c r="J18" s="3065"/>
      <c r="K18" s="3067">
        <v>0</v>
      </c>
      <c r="L18" s="3067"/>
      <c r="M18" s="3067"/>
      <c r="N18" s="3067">
        <v>0</v>
      </c>
      <c r="O18" s="3067">
        <v>0</v>
      </c>
      <c r="P18" s="3067">
        <v>0.1</v>
      </c>
    </row>
    <row r="19" spans="2:16" ht="15" customHeight="1">
      <c r="B19" s="3115" t="s">
        <v>1456</v>
      </c>
      <c r="C19" s="2489"/>
      <c r="D19" s="3111"/>
      <c r="E19" s="2481"/>
      <c r="F19" s="3111"/>
      <c r="G19" s="3065"/>
      <c r="H19" s="3065"/>
      <c r="I19" s="3065">
        <v>0</v>
      </c>
      <c r="J19" s="3065"/>
      <c r="K19" s="3067">
        <v>0</v>
      </c>
      <c r="L19" s="3067">
        <v>0.5</v>
      </c>
      <c r="M19" s="3067"/>
      <c r="N19" s="3067">
        <v>0</v>
      </c>
      <c r="O19" s="3067"/>
      <c r="P19" s="3067"/>
    </row>
    <row r="20" spans="2:16" ht="15" customHeight="1">
      <c r="B20" s="3115" t="s">
        <v>1457</v>
      </c>
      <c r="C20" s="2489"/>
      <c r="D20" s="3111"/>
      <c r="E20" s="2481"/>
      <c r="F20" s="3111"/>
      <c r="G20" s="3065"/>
      <c r="H20" s="3065"/>
      <c r="I20" s="3065">
        <v>0.27272727272727271</v>
      </c>
      <c r="J20" s="3065"/>
      <c r="K20" s="3067">
        <v>0.16666666666666666</v>
      </c>
      <c r="L20" s="3067">
        <v>0.25</v>
      </c>
      <c r="M20" s="3067">
        <v>0.33300000000000002</v>
      </c>
      <c r="N20" s="3067">
        <v>0</v>
      </c>
      <c r="O20" s="3067"/>
      <c r="P20" s="3067"/>
    </row>
    <row r="21" spans="2:16" ht="30.6" customHeight="1">
      <c r="B21" s="4208" t="s">
        <v>1454</v>
      </c>
      <c r="C21" s="2489"/>
      <c r="D21" s="3111"/>
      <c r="E21" s="2481"/>
      <c r="F21" s="3111"/>
      <c r="G21" s="3065"/>
      <c r="H21" s="3065"/>
      <c r="I21" s="3065"/>
      <c r="J21" s="3065"/>
      <c r="K21" s="3067">
        <v>0</v>
      </c>
      <c r="L21" s="3067"/>
      <c r="M21" s="3067"/>
      <c r="N21" s="3067">
        <v>0</v>
      </c>
      <c r="O21" s="3067"/>
      <c r="P21" s="3067"/>
    </row>
    <row r="22" spans="2:16" ht="15" customHeight="1">
      <c r="B22" s="3115" t="s">
        <v>1458</v>
      </c>
      <c r="C22" s="2489"/>
      <c r="D22" s="3111"/>
      <c r="E22" s="2481"/>
      <c r="F22" s="3111"/>
      <c r="G22" s="3065"/>
      <c r="H22" s="3065"/>
      <c r="I22" s="3065">
        <v>0.125</v>
      </c>
      <c r="J22" s="3065"/>
      <c r="K22" s="3067">
        <v>0.2857142857142857</v>
      </c>
      <c r="L22" s="3067">
        <v>0</v>
      </c>
      <c r="M22" s="3067">
        <v>0.25</v>
      </c>
      <c r="N22" s="3067">
        <v>0.5</v>
      </c>
      <c r="O22" s="3067"/>
      <c r="P22" s="3067"/>
    </row>
    <row r="23" spans="2:16" ht="28.8">
      <c r="B23" s="4208" t="s">
        <v>1527</v>
      </c>
      <c r="C23" s="2489"/>
      <c r="D23" s="3111"/>
      <c r="E23" s="2481"/>
      <c r="F23" s="3111"/>
      <c r="G23" s="3065"/>
      <c r="H23" s="3065"/>
      <c r="I23" s="3065"/>
      <c r="J23" s="3065"/>
      <c r="K23" s="3067"/>
      <c r="L23" s="3067"/>
      <c r="M23" s="3067"/>
      <c r="N23" s="3067">
        <v>0</v>
      </c>
      <c r="O23" s="3067">
        <v>0</v>
      </c>
      <c r="P23" s="3067"/>
    </row>
    <row r="24" spans="2:16" ht="15" customHeight="1">
      <c r="B24" s="3112" t="s">
        <v>484</v>
      </c>
      <c r="C24" s="3069">
        <v>0.2</v>
      </c>
      <c r="D24" s="2487">
        <v>0</v>
      </c>
      <c r="E24" s="2484">
        <v>0</v>
      </c>
      <c r="F24" s="2487">
        <v>0.17647058823529413</v>
      </c>
      <c r="G24" s="3069">
        <v>9.0909090909090912E-2</v>
      </c>
      <c r="H24" s="3069">
        <v>0</v>
      </c>
      <c r="I24" s="3069">
        <v>0.29166666666666669</v>
      </c>
      <c r="J24" s="3069"/>
      <c r="K24" s="3071">
        <v>0.15384615384615385</v>
      </c>
      <c r="L24" s="3071">
        <v>0.28570000000000001</v>
      </c>
      <c r="M24" s="3071">
        <v>0.28599999999999998</v>
      </c>
      <c r="N24" s="3071">
        <v>0.13636363636363635</v>
      </c>
      <c r="O24" s="3071">
        <v>0</v>
      </c>
      <c r="P24" s="3071">
        <v>1.2E-2</v>
      </c>
    </row>
    <row r="25" spans="2:16" ht="15" customHeight="1">
      <c r="B25" s="3116" t="s">
        <v>105</v>
      </c>
      <c r="C25" s="3078">
        <v>0.4375</v>
      </c>
      <c r="D25" s="2515">
        <v>0.26923076923076922</v>
      </c>
      <c r="E25" s="2518">
        <v>0.14814814814814814</v>
      </c>
      <c r="F25" s="2515">
        <v>0.20689655172413793</v>
      </c>
      <c r="G25" s="3078">
        <v>0.29310344827586204</v>
      </c>
      <c r="H25" s="3078">
        <v>0.38095238095238093</v>
      </c>
      <c r="I25" s="3078">
        <v>0.35</v>
      </c>
      <c r="J25" s="3078">
        <v>0.4</v>
      </c>
      <c r="K25" s="3079">
        <v>0.25396825396825395</v>
      </c>
      <c r="L25" s="3079">
        <v>0.25929999999999997</v>
      </c>
      <c r="M25" s="3079">
        <v>0.154</v>
      </c>
      <c r="N25" s="3079">
        <v>0.15555555555555556</v>
      </c>
      <c r="O25" s="3079">
        <v>0.11899999999999999</v>
      </c>
      <c r="P25" s="3079">
        <v>0.02</v>
      </c>
    </row>
    <row r="26" spans="2:16" ht="15" customHeight="1">
      <c r="B26" s="3128" t="s">
        <v>608</v>
      </c>
      <c r="C26" s="3094"/>
      <c r="D26" s="2522"/>
      <c r="E26" s="2511"/>
      <c r="F26" s="2510"/>
      <c r="G26" s="2511"/>
      <c r="H26" s="2511">
        <v>0.16666666666666666</v>
      </c>
      <c r="I26" s="2511">
        <v>0.3</v>
      </c>
      <c r="J26" s="2511">
        <v>0.41176470588235292</v>
      </c>
      <c r="K26" s="2512">
        <v>0.29411764705882354</v>
      </c>
      <c r="L26" s="2512">
        <v>0.5</v>
      </c>
      <c r="M26" s="2512">
        <v>0</v>
      </c>
      <c r="N26" s="2512">
        <v>0.1</v>
      </c>
      <c r="O26" s="2512">
        <v>9.0999999999999998E-2</v>
      </c>
      <c r="P26" s="2512"/>
    </row>
    <row r="27" spans="2:16" ht="15" customHeight="1">
      <c r="B27" s="3129" t="s">
        <v>483</v>
      </c>
      <c r="C27" s="2486"/>
      <c r="D27" s="2487"/>
      <c r="E27" s="2479"/>
      <c r="F27" s="2488"/>
      <c r="G27" s="2484"/>
      <c r="H27" s="2484">
        <v>0.16666666666666666</v>
      </c>
      <c r="I27" s="2484">
        <v>0.3</v>
      </c>
      <c r="J27" s="2484">
        <v>0.41176470588235292</v>
      </c>
      <c r="K27" s="2485">
        <v>0.29411764705882354</v>
      </c>
      <c r="L27" s="2485">
        <v>0.5</v>
      </c>
      <c r="M27" s="2485">
        <v>0</v>
      </c>
      <c r="N27" s="2485">
        <v>0.1</v>
      </c>
      <c r="O27" s="2485">
        <v>9.0999999999999998E-2</v>
      </c>
      <c r="P27" s="2485"/>
    </row>
    <row r="28" spans="2:16" ht="15" customHeight="1">
      <c r="B28" s="3130" t="s">
        <v>320</v>
      </c>
      <c r="C28" s="2486"/>
      <c r="D28" s="2487"/>
      <c r="E28" s="2479"/>
      <c r="F28" s="2488"/>
      <c r="G28" s="2484"/>
      <c r="H28" s="2484"/>
      <c r="I28" s="2484"/>
      <c r="J28" s="2484"/>
      <c r="K28" s="2485"/>
      <c r="L28" s="2485"/>
      <c r="M28" s="2482">
        <v>0.5</v>
      </c>
      <c r="N28" s="2482"/>
      <c r="O28" s="2482"/>
      <c r="P28" s="2482"/>
    </row>
    <row r="29" spans="2:16" ht="15" customHeight="1">
      <c r="B29" s="3130" t="s">
        <v>609</v>
      </c>
      <c r="C29" s="3095"/>
      <c r="D29" s="2480"/>
      <c r="E29" s="2481"/>
      <c r="F29" s="2493"/>
      <c r="G29" s="2481"/>
      <c r="H29" s="2481"/>
      <c r="I29" s="2481">
        <v>0.14285714285714285</v>
      </c>
      <c r="J29" s="2481">
        <v>0.33333333333333331</v>
      </c>
      <c r="K29" s="2482">
        <v>0</v>
      </c>
      <c r="L29" s="2482">
        <v>0.25</v>
      </c>
      <c r="M29" s="2482">
        <v>0</v>
      </c>
      <c r="N29" s="2482">
        <v>0.2</v>
      </c>
      <c r="O29" s="2482">
        <v>0</v>
      </c>
      <c r="P29" s="2482"/>
    </row>
    <row r="30" spans="2:16" ht="15" customHeight="1">
      <c r="B30" s="3131" t="s">
        <v>487</v>
      </c>
      <c r="C30" s="2494"/>
      <c r="D30" s="2495"/>
      <c r="E30" s="2496"/>
      <c r="F30" s="2497"/>
      <c r="G30" s="2498"/>
      <c r="H30" s="2498"/>
      <c r="I30" s="2498">
        <v>0.14285714285714285</v>
      </c>
      <c r="J30" s="2498">
        <v>0.33333333333333331</v>
      </c>
      <c r="K30" s="2499">
        <v>0</v>
      </c>
      <c r="L30" s="2499">
        <v>0.25</v>
      </c>
      <c r="M30" s="2499">
        <v>0.5</v>
      </c>
      <c r="N30" s="2499">
        <v>0.2</v>
      </c>
      <c r="O30" s="2499">
        <v>0</v>
      </c>
      <c r="P30" s="2499"/>
    </row>
    <row r="31" spans="2:16" ht="15" customHeight="1">
      <c r="B31" s="2411" t="s">
        <v>256</v>
      </c>
      <c r="C31" s="2120"/>
      <c r="D31" s="2121"/>
      <c r="E31" s="2122"/>
      <c r="F31" s="2123"/>
      <c r="G31" s="2124"/>
      <c r="H31" s="2124">
        <v>0.16666666666666666</v>
      </c>
      <c r="I31" s="2124">
        <v>0.23529411764705882</v>
      </c>
      <c r="J31" s="2124">
        <v>0.39130434782608697</v>
      </c>
      <c r="K31" s="2125">
        <v>0.2</v>
      </c>
      <c r="L31" s="2125">
        <v>0.16669999999999999</v>
      </c>
      <c r="M31" s="2125">
        <v>5.6000000000000001E-2</v>
      </c>
      <c r="N31" s="2125">
        <v>0.13300000000000001</v>
      </c>
      <c r="O31" s="2125">
        <v>5.6000000000000001E-2</v>
      </c>
      <c r="P31" s="6584">
        <v>0</v>
      </c>
    </row>
    <row r="32" spans="2:16" ht="15" customHeight="1">
      <c r="B32" s="3117" t="s">
        <v>119</v>
      </c>
      <c r="C32" s="2507">
        <v>0</v>
      </c>
      <c r="D32" s="3118">
        <v>0.5</v>
      </c>
      <c r="E32" s="2511">
        <v>0</v>
      </c>
      <c r="F32" s="3118">
        <v>0.2</v>
      </c>
      <c r="G32" s="3082">
        <v>0.5</v>
      </c>
      <c r="H32" s="3082">
        <v>0</v>
      </c>
      <c r="I32" s="3082">
        <v>1</v>
      </c>
      <c r="J32" s="3082">
        <v>0</v>
      </c>
      <c r="K32" s="3083">
        <v>0.375</v>
      </c>
      <c r="L32" s="3083">
        <v>0.27272727272727271</v>
      </c>
      <c r="M32" s="3083">
        <v>0</v>
      </c>
      <c r="N32" s="3083">
        <v>0</v>
      </c>
      <c r="O32" s="3083">
        <v>0</v>
      </c>
      <c r="P32" s="3083"/>
    </row>
    <row r="33" spans="2:16" ht="15" customHeight="1">
      <c r="B33" s="3115" t="s">
        <v>120</v>
      </c>
      <c r="C33" s="2489">
        <v>0.5</v>
      </c>
      <c r="D33" s="3111">
        <v>0</v>
      </c>
      <c r="E33" s="2481">
        <v>0.2857142857142857</v>
      </c>
      <c r="F33" s="3111">
        <v>0.22222222222222221</v>
      </c>
      <c r="G33" s="3065">
        <v>0.16666666666666666</v>
      </c>
      <c r="H33" s="3065">
        <v>0</v>
      </c>
      <c r="I33" s="3065">
        <v>0.2</v>
      </c>
      <c r="J33" s="3065">
        <v>0.22222222222222221</v>
      </c>
      <c r="K33" s="3067">
        <v>0.4</v>
      </c>
      <c r="L33" s="3067">
        <v>0.18181818181818182</v>
      </c>
      <c r="M33" s="3067">
        <v>0</v>
      </c>
      <c r="N33" s="3067">
        <v>0.33333333333333331</v>
      </c>
      <c r="O33" s="3067">
        <v>0</v>
      </c>
      <c r="P33" s="3067"/>
    </row>
    <row r="34" spans="2:16" ht="15" customHeight="1">
      <c r="B34" s="3115" t="s">
        <v>121</v>
      </c>
      <c r="C34" s="2489">
        <v>0.21428571428571427</v>
      </c>
      <c r="D34" s="3111">
        <v>0.15384615384615385</v>
      </c>
      <c r="E34" s="2481">
        <v>0</v>
      </c>
      <c r="F34" s="3111">
        <v>0.29411764705882354</v>
      </c>
      <c r="G34" s="3065">
        <v>9.5238095238095233E-2</v>
      </c>
      <c r="H34" s="3065">
        <v>0</v>
      </c>
      <c r="I34" s="3065">
        <v>0.11764705882352941</v>
      </c>
      <c r="J34" s="3065">
        <v>0.5</v>
      </c>
      <c r="K34" s="3067">
        <v>0.27272727272727271</v>
      </c>
      <c r="L34" s="3067">
        <v>0.5</v>
      </c>
      <c r="M34" s="3067">
        <v>0.5</v>
      </c>
      <c r="N34" s="3067">
        <v>0.2857142857142857</v>
      </c>
      <c r="O34" s="3067">
        <v>0.5</v>
      </c>
      <c r="P34" s="3067"/>
    </row>
    <row r="35" spans="2:16" ht="15" customHeight="1">
      <c r="B35" s="3115" t="s">
        <v>122</v>
      </c>
      <c r="C35" s="2489">
        <v>0.3</v>
      </c>
      <c r="D35" s="3111">
        <v>0.5</v>
      </c>
      <c r="E35" s="2481">
        <v>0.5</v>
      </c>
      <c r="F35" s="3111">
        <v>0.33333333333333331</v>
      </c>
      <c r="G35" s="3065">
        <v>0.25</v>
      </c>
      <c r="H35" s="3065">
        <v>0.13333333333333333</v>
      </c>
      <c r="I35" s="3065">
        <v>0.33333333333333331</v>
      </c>
      <c r="J35" s="3065">
        <v>0.5</v>
      </c>
      <c r="K35" s="3067">
        <v>0.25</v>
      </c>
      <c r="L35" s="3067">
        <v>0.2</v>
      </c>
      <c r="M35" s="3067"/>
      <c r="N35" s="3067">
        <v>0.16666666666666666</v>
      </c>
      <c r="O35" s="3067">
        <v>0.182</v>
      </c>
      <c r="P35" s="3067"/>
    </row>
    <row r="36" spans="2:16" ht="15" customHeight="1">
      <c r="B36" s="3115" t="s">
        <v>123</v>
      </c>
      <c r="C36" s="2489">
        <v>0.2</v>
      </c>
      <c r="D36" s="3111">
        <v>0</v>
      </c>
      <c r="E36" s="2481">
        <v>0</v>
      </c>
      <c r="F36" s="3111">
        <v>0</v>
      </c>
      <c r="G36" s="3065">
        <v>0</v>
      </c>
      <c r="H36" s="3065">
        <v>0.33333333333333331</v>
      </c>
      <c r="I36" s="3065">
        <v>0</v>
      </c>
      <c r="J36" s="3065">
        <v>0.33333333333333331</v>
      </c>
      <c r="K36" s="3067">
        <v>0</v>
      </c>
      <c r="L36" s="3067">
        <v>0.14285714285714285</v>
      </c>
      <c r="M36" s="3067">
        <v>0</v>
      </c>
      <c r="N36" s="3067">
        <v>0.5</v>
      </c>
      <c r="O36" s="3067">
        <v>0.25</v>
      </c>
      <c r="P36" s="3067">
        <v>0.16700000000000001</v>
      </c>
    </row>
    <row r="37" spans="2:16" ht="15" customHeight="1">
      <c r="B37" s="3119" t="s">
        <v>388</v>
      </c>
      <c r="C37" s="3120"/>
      <c r="D37" s="3065"/>
      <c r="E37" s="2481"/>
      <c r="F37" s="3065"/>
      <c r="G37" s="3065"/>
      <c r="H37" s="3065">
        <v>0</v>
      </c>
      <c r="I37" s="3065">
        <v>0.18181818181818182</v>
      </c>
      <c r="J37" s="3065">
        <v>0.14285714285714285</v>
      </c>
      <c r="K37" s="3067">
        <v>0.14285714285714285</v>
      </c>
      <c r="L37" s="3067">
        <v>0</v>
      </c>
      <c r="M37" s="3067">
        <v>0.5</v>
      </c>
      <c r="N37" s="3067">
        <v>1</v>
      </c>
      <c r="O37" s="3067">
        <v>0</v>
      </c>
      <c r="P37" s="3067"/>
    </row>
    <row r="38" spans="2:16" ht="15" customHeight="1">
      <c r="B38" s="3119" t="s">
        <v>681</v>
      </c>
      <c r="C38" s="3085"/>
      <c r="D38" s="3065"/>
      <c r="E38" s="2480"/>
      <c r="F38" s="3065"/>
      <c r="G38" s="3065"/>
      <c r="H38" s="3065"/>
      <c r="I38" s="3065"/>
      <c r="J38" s="3065">
        <v>0</v>
      </c>
      <c r="K38" s="3067">
        <v>0</v>
      </c>
      <c r="L38" s="3067">
        <v>0.66666666666666663</v>
      </c>
      <c r="M38" s="3067">
        <v>0</v>
      </c>
      <c r="N38" s="3067">
        <v>1</v>
      </c>
      <c r="O38" s="3067">
        <v>0</v>
      </c>
      <c r="P38" s="3067"/>
    </row>
    <row r="39" spans="2:16" ht="15" customHeight="1">
      <c r="B39" s="3121" t="s">
        <v>482</v>
      </c>
      <c r="C39" s="2487">
        <v>0.26315789473684209</v>
      </c>
      <c r="D39" s="3069">
        <v>0.22857142857142856</v>
      </c>
      <c r="E39" s="2488">
        <v>0.14814814814814814</v>
      </c>
      <c r="F39" s="3069">
        <v>0.22500000000000001</v>
      </c>
      <c r="G39" s="3069">
        <v>0.13953488372093023</v>
      </c>
      <c r="H39" s="3069">
        <v>7.8431372549019607E-2</v>
      </c>
      <c r="I39" s="3069">
        <v>0.18367346938775511</v>
      </c>
      <c r="J39" s="3069">
        <v>0.32075471698113206</v>
      </c>
      <c r="K39" s="3071">
        <v>0.2608695652173913</v>
      </c>
      <c r="L39" s="3071">
        <v>0.23809523809523808</v>
      </c>
      <c r="M39" s="3071">
        <v>0.17899999999999999</v>
      </c>
      <c r="N39" s="3071">
        <v>0.32</v>
      </c>
      <c r="O39" s="3071">
        <v>0.17</v>
      </c>
      <c r="P39" s="3071">
        <v>1.4E-2</v>
      </c>
    </row>
    <row r="40" spans="2:16" ht="15" customHeight="1">
      <c r="B40" s="3115" t="s">
        <v>106</v>
      </c>
      <c r="C40" s="2489">
        <v>0.25</v>
      </c>
      <c r="D40" s="3111">
        <v>0.23809523809523808</v>
      </c>
      <c r="E40" s="2481">
        <v>0.30769230769230771</v>
      </c>
      <c r="F40" s="3111">
        <v>0.2413793103448276</v>
      </c>
      <c r="G40" s="3065">
        <v>0.1111111111111111</v>
      </c>
      <c r="H40" s="3065">
        <v>9.0909090909090912E-2</v>
      </c>
      <c r="I40" s="3065">
        <v>0.3</v>
      </c>
      <c r="J40" s="3065"/>
      <c r="K40" s="3067">
        <v>0.1</v>
      </c>
      <c r="L40" s="3067"/>
      <c r="M40" s="3067">
        <v>0.13600000000000001</v>
      </c>
      <c r="N40" s="3067"/>
      <c r="O40" s="3067">
        <v>5.8999999999999997E-2</v>
      </c>
      <c r="P40" s="3067"/>
    </row>
    <row r="41" spans="2:16" ht="15" customHeight="1">
      <c r="B41" s="3115" t="s">
        <v>124</v>
      </c>
      <c r="C41" s="2489">
        <v>0.5</v>
      </c>
      <c r="D41" s="3111">
        <v>0.2</v>
      </c>
      <c r="E41" s="2481">
        <v>0.13333333333333333</v>
      </c>
      <c r="F41" s="3111">
        <v>0.6</v>
      </c>
      <c r="G41" s="3065">
        <v>0.5</v>
      </c>
      <c r="H41" s="3065">
        <v>0.46666666666666667</v>
      </c>
      <c r="I41" s="3065">
        <v>0.63636363636363635</v>
      </c>
      <c r="J41" s="3065"/>
      <c r="K41" s="3067">
        <v>0.8</v>
      </c>
      <c r="L41" s="3067">
        <v>1</v>
      </c>
      <c r="M41" s="3067">
        <v>0.57099999999999995</v>
      </c>
      <c r="N41" s="3067">
        <v>0.5</v>
      </c>
      <c r="O41" s="3067">
        <v>0.25</v>
      </c>
      <c r="P41" s="3067">
        <v>0.186</v>
      </c>
    </row>
    <row r="42" spans="2:16" ht="15" customHeight="1">
      <c r="B42" s="3115" t="s">
        <v>125</v>
      </c>
      <c r="C42" s="2489">
        <v>0.41666666666666669</v>
      </c>
      <c r="D42" s="3111">
        <v>0.36842105263157893</v>
      </c>
      <c r="E42" s="2481">
        <v>0.55555555555555558</v>
      </c>
      <c r="F42" s="3111">
        <v>0.58333333333333337</v>
      </c>
      <c r="G42" s="3065">
        <v>0.55000000000000004</v>
      </c>
      <c r="H42" s="3065">
        <v>0.63157894736842102</v>
      </c>
      <c r="I42" s="3065">
        <v>0.6</v>
      </c>
      <c r="J42" s="3065">
        <v>0.31818181818181818</v>
      </c>
      <c r="K42" s="3067">
        <v>0.25</v>
      </c>
      <c r="L42" s="3067">
        <v>0.55559999999999998</v>
      </c>
      <c r="M42" s="3067">
        <v>0.27300000000000002</v>
      </c>
      <c r="N42" s="3067">
        <v>0.12</v>
      </c>
      <c r="O42" s="3067">
        <v>4.4999999999999998E-2</v>
      </c>
      <c r="P42" s="3067"/>
    </row>
    <row r="43" spans="2:16" ht="15" customHeight="1">
      <c r="B43" s="3115" t="s">
        <v>126</v>
      </c>
      <c r="C43" s="2489">
        <v>0.8125</v>
      </c>
      <c r="D43" s="3111">
        <v>1</v>
      </c>
      <c r="E43" s="2481">
        <v>0.77272727272727271</v>
      </c>
      <c r="F43" s="3111">
        <v>0.7142857142857143</v>
      </c>
      <c r="G43" s="3065">
        <v>0.45454545454545453</v>
      </c>
      <c r="H43" s="3065">
        <v>1</v>
      </c>
      <c r="I43" s="3065">
        <v>0.51724137931034486</v>
      </c>
      <c r="J43" s="3065"/>
      <c r="K43" s="3067">
        <v>0.5</v>
      </c>
      <c r="L43" s="3067"/>
      <c r="M43" s="3067">
        <v>0.55000000000000004</v>
      </c>
      <c r="N43" s="3067"/>
      <c r="O43" s="3067">
        <v>0.66700000000000004</v>
      </c>
      <c r="P43" s="3067"/>
    </row>
    <row r="44" spans="2:16" ht="15" customHeight="1">
      <c r="B44" s="3115" t="s">
        <v>127</v>
      </c>
      <c r="C44" s="2489">
        <v>0</v>
      </c>
      <c r="D44" s="3111">
        <v>0.125</v>
      </c>
      <c r="E44" s="2481">
        <v>0</v>
      </c>
      <c r="F44" s="3111">
        <v>8.3333333333333329E-2</v>
      </c>
      <c r="G44" s="3065">
        <v>6.6666666666666666E-2</v>
      </c>
      <c r="H44" s="3065">
        <v>6.6666666666666666E-2</v>
      </c>
      <c r="I44" s="3065">
        <v>0.13333333333333333</v>
      </c>
      <c r="J44" s="3065">
        <v>0.35714285714285715</v>
      </c>
      <c r="K44" s="3067">
        <v>0.375</v>
      </c>
      <c r="L44" s="3067">
        <v>0.41670000000000001</v>
      </c>
      <c r="M44" s="3067">
        <v>0.15384615384615385</v>
      </c>
      <c r="N44" s="3067">
        <v>7.6999999999999999E-2</v>
      </c>
      <c r="O44" s="3067"/>
      <c r="P44" s="3067"/>
    </row>
    <row r="45" spans="2:16" ht="15" customHeight="1">
      <c r="B45" s="3115" t="s">
        <v>2058</v>
      </c>
      <c r="C45" s="2489"/>
      <c r="D45" s="3111"/>
      <c r="E45" s="2481"/>
      <c r="F45" s="3111"/>
      <c r="G45" s="3065"/>
      <c r="H45" s="3065"/>
      <c r="I45" s="3065"/>
      <c r="J45" s="3065"/>
      <c r="K45" s="3067"/>
      <c r="L45" s="3067"/>
      <c r="M45" s="3067"/>
      <c r="N45" s="3067">
        <v>0.14299999999999999</v>
      </c>
      <c r="O45" s="3067"/>
      <c r="P45" s="3067"/>
    </row>
    <row r="46" spans="2:16" ht="15" customHeight="1">
      <c r="B46" s="3115" t="s">
        <v>2340</v>
      </c>
      <c r="C46" s="2489"/>
      <c r="D46" s="3111"/>
      <c r="E46" s="2481"/>
      <c r="F46" s="3111"/>
      <c r="G46" s="3065"/>
      <c r="H46" s="3065"/>
      <c r="I46" s="3065"/>
      <c r="J46" s="3065"/>
      <c r="K46" s="3067"/>
      <c r="L46" s="3067"/>
      <c r="M46" s="3067"/>
      <c r="N46" s="3067">
        <v>0.33333333333333331</v>
      </c>
      <c r="O46" s="3067"/>
      <c r="P46" s="3067"/>
    </row>
    <row r="47" spans="2:16" ht="15" customHeight="1">
      <c r="B47" s="3112" t="s">
        <v>483</v>
      </c>
      <c r="C47" s="3069">
        <v>0.53191489361702127</v>
      </c>
      <c r="D47" s="2487">
        <v>0.328125</v>
      </c>
      <c r="E47" s="2484">
        <v>0.4942528735632184</v>
      </c>
      <c r="F47" s="2487">
        <v>0.40229885057471265</v>
      </c>
      <c r="G47" s="3069">
        <v>0.41666666666666669</v>
      </c>
      <c r="H47" s="3069">
        <v>0.43209876543209874</v>
      </c>
      <c r="I47" s="3069">
        <v>0.47368421052631576</v>
      </c>
      <c r="J47" s="3069">
        <v>0.33333333333333331</v>
      </c>
      <c r="K47" s="3071">
        <v>0.39393939393939392</v>
      </c>
      <c r="L47" s="3071">
        <v>0.62</v>
      </c>
      <c r="M47" s="3071">
        <v>0.32967032967032966</v>
      </c>
      <c r="N47" s="3071">
        <v>0.14000000000000001</v>
      </c>
      <c r="O47" s="3071">
        <v>0.27800000000000002</v>
      </c>
      <c r="P47" s="3071">
        <v>0.04</v>
      </c>
    </row>
    <row r="48" spans="2:16" ht="15" customHeight="1">
      <c r="B48" s="3119" t="s">
        <v>128</v>
      </c>
      <c r="C48" s="3085">
        <v>0.56521739130434778</v>
      </c>
      <c r="D48" s="3065">
        <v>0.6</v>
      </c>
      <c r="E48" s="2480">
        <v>0.54545454545454541</v>
      </c>
      <c r="F48" s="3065">
        <v>0.63636363636363635</v>
      </c>
      <c r="G48" s="3065">
        <v>0.63636363636363635</v>
      </c>
      <c r="H48" s="3065">
        <v>0.30434782608695654</v>
      </c>
      <c r="I48" s="3065">
        <v>0.17391304347826086</v>
      </c>
      <c r="J48" s="3065">
        <v>0.22222222222222221</v>
      </c>
      <c r="K48" s="3067">
        <v>0.33333333333333331</v>
      </c>
      <c r="L48" s="3067">
        <v>0.19230769230769232</v>
      </c>
      <c r="M48" s="3067">
        <v>0.27272727272727271</v>
      </c>
      <c r="N48" s="3067">
        <v>0.36</v>
      </c>
      <c r="O48" s="3067">
        <v>0.214</v>
      </c>
      <c r="P48" s="3067"/>
    </row>
    <row r="49" spans="2:16" ht="15" customHeight="1">
      <c r="B49" s="3119" t="s">
        <v>129</v>
      </c>
      <c r="C49" s="3085">
        <v>0.25</v>
      </c>
      <c r="D49" s="3065">
        <v>0.3</v>
      </c>
      <c r="E49" s="2480">
        <v>0.14285714285714285</v>
      </c>
      <c r="F49" s="3065">
        <v>0.42857142857142855</v>
      </c>
      <c r="G49" s="3065">
        <v>0.5</v>
      </c>
      <c r="H49" s="3065">
        <v>0.66666666666666663</v>
      </c>
      <c r="I49" s="3065">
        <v>0.5</v>
      </c>
      <c r="J49" s="3065">
        <v>0.73333333333333328</v>
      </c>
      <c r="K49" s="3067">
        <v>0.38461538461538464</v>
      </c>
      <c r="L49" s="3067">
        <v>0.66666666666666663</v>
      </c>
      <c r="M49" s="3067">
        <v>0.75</v>
      </c>
      <c r="N49" s="3067">
        <v>0.5</v>
      </c>
      <c r="O49" s="3067">
        <v>0.214</v>
      </c>
      <c r="P49" s="3067">
        <v>2.4E-2</v>
      </c>
    </row>
    <row r="50" spans="2:16" ht="15" customHeight="1">
      <c r="B50" s="3119" t="s">
        <v>320</v>
      </c>
      <c r="C50" s="3085">
        <v>0</v>
      </c>
      <c r="D50" s="3065">
        <v>0</v>
      </c>
      <c r="E50" s="2480">
        <v>0.15384615384615385</v>
      </c>
      <c r="F50" s="3065">
        <v>0.27272727272727271</v>
      </c>
      <c r="G50" s="3065">
        <v>0.2857142857142857</v>
      </c>
      <c r="H50" s="3065">
        <v>7.6923076923076927E-2</v>
      </c>
      <c r="I50" s="3065">
        <v>0.05</v>
      </c>
      <c r="J50" s="3065">
        <v>0.2</v>
      </c>
      <c r="K50" s="3067">
        <v>0.2</v>
      </c>
      <c r="L50" s="3067">
        <v>0.2857142857142857</v>
      </c>
      <c r="M50" s="3067">
        <v>0.19230769230769232</v>
      </c>
      <c r="N50" s="3067">
        <v>0.35294117647058826</v>
      </c>
      <c r="O50" s="3067"/>
      <c r="P50" s="3067">
        <v>1.9E-2</v>
      </c>
    </row>
    <row r="51" spans="2:16" ht="15" customHeight="1">
      <c r="B51" s="3122" t="s">
        <v>728</v>
      </c>
      <c r="C51" s="3085">
        <v>0.5</v>
      </c>
      <c r="D51" s="3065">
        <v>1</v>
      </c>
      <c r="E51" s="2480"/>
      <c r="F51" s="3065"/>
      <c r="G51" s="3065"/>
      <c r="H51" s="3065"/>
      <c r="I51" s="3065"/>
      <c r="J51" s="3065"/>
      <c r="K51" s="3067"/>
      <c r="L51" s="3067"/>
      <c r="M51" s="3067"/>
      <c r="N51" s="3067"/>
      <c r="O51" s="3067"/>
      <c r="P51" s="3067"/>
    </row>
    <row r="52" spans="2:16" ht="15" customHeight="1">
      <c r="B52" s="3112" t="s">
        <v>485</v>
      </c>
      <c r="C52" s="3069">
        <v>0.4838709677419355</v>
      </c>
      <c r="D52" s="2487">
        <v>0.38461538461538464</v>
      </c>
      <c r="E52" s="2484">
        <v>0.35714285714285715</v>
      </c>
      <c r="F52" s="2487">
        <v>0.44444444444444442</v>
      </c>
      <c r="G52" s="3069">
        <v>0.5</v>
      </c>
      <c r="H52" s="3069">
        <v>0.33333333333333331</v>
      </c>
      <c r="I52" s="3069">
        <v>0.22807017543859648</v>
      </c>
      <c r="J52" s="3069">
        <v>0.375</v>
      </c>
      <c r="K52" s="3071">
        <v>0.28813559322033899</v>
      </c>
      <c r="L52" s="3071">
        <v>0.28570000000000001</v>
      </c>
      <c r="M52" s="3071">
        <v>0.24399999999999999</v>
      </c>
      <c r="N52" s="3071">
        <v>0.39300000000000002</v>
      </c>
      <c r="O52" s="3071">
        <v>0.214</v>
      </c>
      <c r="P52" s="3071">
        <v>7.0000000000000001E-3</v>
      </c>
    </row>
    <row r="53" spans="2:16" ht="15" customHeight="1">
      <c r="B53" s="3116" t="s">
        <v>109</v>
      </c>
      <c r="C53" s="3078">
        <v>0.43103448275862066</v>
      </c>
      <c r="D53" s="2515">
        <v>0.312</v>
      </c>
      <c r="E53" s="2518">
        <v>0.39743589743589741</v>
      </c>
      <c r="F53" s="2515">
        <v>0.36809815950920244</v>
      </c>
      <c r="G53" s="3078">
        <v>0.38604651162790699</v>
      </c>
      <c r="H53" s="3078">
        <v>0.30555555555555558</v>
      </c>
      <c r="I53" s="3078">
        <v>0.32835820895522388</v>
      </c>
      <c r="J53" s="3078">
        <v>0.34306569343065696</v>
      </c>
      <c r="K53" s="3079">
        <v>0.33333333333333331</v>
      </c>
      <c r="L53" s="3079">
        <v>0.39190000000000003</v>
      </c>
      <c r="M53" s="3079">
        <v>0.28000000000000003</v>
      </c>
      <c r="N53" s="3079">
        <v>0.28199999999999997</v>
      </c>
      <c r="O53" s="3079">
        <v>0.23400000000000001</v>
      </c>
      <c r="P53" s="3079">
        <v>2.5000000000000001E-2</v>
      </c>
    </row>
    <row r="54" spans="2:16" ht="15" customHeight="1">
      <c r="B54" s="3130" t="s">
        <v>320</v>
      </c>
      <c r="C54" s="2486"/>
      <c r="D54" s="2487"/>
      <c r="E54" s="2479"/>
      <c r="F54" s="2488"/>
      <c r="G54" s="2484"/>
      <c r="H54" s="2484"/>
      <c r="I54" s="2484"/>
      <c r="J54" s="2484"/>
      <c r="K54" s="2485"/>
      <c r="L54" s="2485"/>
      <c r="M54" s="2482">
        <v>0</v>
      </c>
      <c r="N54" s="2482"/>
      <c r="O54" s="2482"/>
      <c r="P54" s="2482"/>
    </row>
    <row r="55" spans="2:16" ht="15" customHeight="1">
      <c r="B55" s="3131" t="s">
        <v>41</v>
      </c>
      <c r="C55" s="2494"/>
      <c r="D55" s="2495"/>
      <c r="E55" s="2496"/>
      <c r="F55" s="2497"/>
      <c r="G55" s="2498"/>
      <c r="H55" s="2498"/>
      <c r="I55" s="2498"/>
      <c r="J55" s="2498"/>
      <c r="K55" s="2499"/>
      <c r="L55" s="2499"/>
      <c r="M55" s="2499"/>
      <c r="N55" s="2499"/>
      <c r="O55" s="2499"/>
      <c r="P55" s="2499"/>
    </row>
    <row r="56" spans="2:16" ht="15" customHeight="1">
      <c r="B56" s="2411" t="s">
        <v>1017</v>
      </c>
      <c r="C56" s="2120"/>
      <c r="D56" s="2121"/>
      <c r="E56" s="2122"/>
      <c r="F56" s="2123"/>
      <c r="G56" s="2124"/>
      <c r="H56" s="2124"/>
      <c r="I56" s="2124"/>
      <c r="J56" s="2124"/>
      <c r="K56" s="2125"/>
      <c r="L56" s="2125"/>
      <c r="M56" s="2125">
        <v>0</v>
      </c>
      <c r="N56" s="2125"/>
      <c r="O56" s="2125"/>
      <c r="P56" s="6584">
        <v>0</v>
      </c>
    </row>
    <row r="57" spans="2:16" ht="15" customHeight="1">
      <c r="B57" s="3123" t="s">
        <v>143</v>
      </c>
      <c r="C57" s="3124"/>
      <c r="D57" s="3118">
        <v>0.3</v>
      </c>
      <c r="E57" s="2511">
        <v>7.6923076923076927E-2</v>
      </c>
      <c r="F57" s="3125">
        <v>0.21739130434782608</v>
      </c>
      <c r="G57" s="3126"/>
      <c r="H57" s="3082">
        <v>0.34693877551020408</v>
      </c>
      <c r="I57" s="3082"/>
      <c r="J57" s="3082">
        <v>0.25925925925925924</v>
      </c>
      <c r="K57" s="3083"/>
      <c r="L57" s="3083">
        <v>0.29409999999999997</v>
      </c>
      <c r="M57" s="3083"/>
      <c r="N57" s="3083">
        <v>0.25</v>
      </c>
      <c r="O57" s="3083"/>
      <c r="P57" s="3083"/>
    </row>
    <row r="58" spans="2:16" ht="15" customHeight="1">
      <c r="B58" s="3109" t="s">
        <v>110</v>
      </c>
      <c r="C58" s="2489"/>
      <c r="D58" s="3111">
        <v>5.8823529411764705E-2</v>
      </c>
      <c r="E58" s="3069"/>
      <c r="F58" s="3111">
        <v>7.1428571428571425E-2</v>
      </c>
      <c r="G58" s="3069"/>
      <c r="H58" s="3065">
        <v>0.17391304347826086</v>
      </c>
      <c r="I58" s="3065"/>
      <c r="J58" s="3065">
        <v>0.29411764705882354</v>
      </c>
      <c r="K58" s="3067"/>
      <c r="L58" s="3067">
        <v>0.45829999999999999</v>
      </c>
      <c r="M58" s="3067"/>
      <c r="N58" s="3067">
        <v>4.5454545454545456E-2</v>
      </c>
      <c r="O58" s="3067"/>
      <c r="P58" s="3067"/>
    </row>
    <row r="59" spans="2:16" ht="15" customHeight="1">
      <c r="B59" s="3109" t="s">
        <v>127</v>
      </c>
      <c r="C59" s="2489">
        <v>0</v>
      </c>
      <c r="D59" s="3111"/>
      <c r="E59" s="2481">
        <v>0</v>
      </c>
      <c r="F59" s="3111">
        <v>1</v>
      </c>
      <c r="G59" s="3069"/>
      <c r="H59" s="3069"/>
      <c r="I59" s="3069"/>
      <c r="J59" s="3069"/>
      <c r="K59" s="3067">
        <v>0.22222222222222221</v>
      </c>
      <c r="L59" s="3067">
        <v>1</v>
      </c>
      <c r="M59" s="3067"/>
      <c r="N59" s="3067">
        <v>0.5</v>
      </c>
      <c r="O59" s="3067"/>
      <c r="P59" s="3067"/>
    </row>
    <row r="60" spans="2:16" ht="15" customHeight="1">
      <c r="B60" s="3109" t="s">
        <v>2058</v>
      </c>
      <c r="C60" s="2489"/>
      <c r="D60" s="3111"/>
      <c r="E60" s="2481"/>
      <c r="F60" s="3111"/>
      <c r="G60" s="3069"/>
      <c r="H60" s="3069"/>
      <c r="I60" s="3069"/>
      <c r="J60" s="3069"/>
      <c r="K60" s="3067"/>
      <c r="L60" s="3067"/>
      <c r="M60" s="3067"/>
      <c r="N60" s="3067">
        <v>0</v>
      </c>
      <c r="O60" s="3067">
        <v>0.33300000000000002</v>
      </c>
      <c r="P60" s="3067"/>
    </row>
    <row r="61" spans="2:16" ht="15" customHeight="1">
      <c r="B61" s="3109" t="s">
        <v>279</v>
      </c>
      <c r="C61" s="2489"/>
      <c r="D61" s="3111"/>
      <c r="E61" s="2481"/>
      <c r="F61" s="3111"/>
      <c r="G61" s="3069"/>
      <c r="H61" s="3069"/>
      <c r="I61" s="3069"/>
      <c r="J61" s="3069"/>
      <c r="K61" s="3067"/>
      <c r="L61" s="3067"/>
      <c r="M61" s="3067"/>
      <c r="N61" s="3067">
        <v>0.2</v>
      </c>
      <c r="O61" s="3067"/>
      <c r="P61" s="3067"/>
    </row>
    <row r="62" spans="2:16" ht="15" customHeight="1">
      <c r="B62" s="6120" t="s">
        <v>2149</v>
      </c>
      <c r="C62" s="2489"/>
      <c r="D62" s="3111"/>
      <c r="E62" s="2481"/>
      <c r="F62" s="3111"/>
      <c r="G62" s="3069"/>
      <c r="H62" s="3069"/>
      <c r="I62" s="3069"/>
      <c r="J62" s="3069"/>
      <c r="K62" s="3067"/>
      <c r="L62" s="3067"/>
      <c r="M62" s="3067"/>
      <c r="N62" s="3067"/>
      <c r="O62" s="3067">
        <v>0.33300000000000002</v>
      </c>
      <c r="P62" s="3067"/>
    </row>
    <row r="63" spans="2:16" ht="15" customHeight="1">
      <c r="B63" s="3127" t="s">
        <v>483</v>
      </c>
      <c r="C63" s="3069">
        <v>0</v>
      </c>
      <c r="D63" s="2487">
        <v>0.25773195876288657</v>
      </c>
      <c r="E63" s="2484">
        <v>6.6666666666666666E-2</v>
      </c>
      <c r="F63" s="2487">
        <v>0.20967741935483872</v>
      </c>
      <c r="G63" s="3069"/>
      <c r="H63" s="3069">
        <v>0.29166666666666669</v>
      </c>
      <c r="I63" s="3069"/>
      <c r="J63" s="3069">
        <v>0.26760563380281688</v>
      </c>
      <c r="K63" s="3071">
        <v>0.22222222222222221</v>
      </c>
      <c r="L63" s="3071">
        <v>0.37180000000000002</v>
      </c>
      <c r="M63" s="3071"/>
      <c r="N63" s="3071">
        <v>0.2</v>
      </c>
      <c r="O63" s="3071">
        <v>0.33300000000000002</v>
      </c>
      <c r="P63" s="3071"/>
    </row>
    <row r="64" spans="2:16" ht="15" customHeight="1">
      <c r="B64" s="3115" t="s">
        <v>144</v>
      </c>
      <c r="C64" s="2489">
        <v>0.2</v>
      </c>
      <c r="D64" s="3111">
        <v>0.16666666666666666</v>
      </c>
      <c r="E64" s="3069"/>
      <c r="F64" s="3111">
        <v>0.23076923076923078</v>
      </c>
      <c r="G64" s="3065">
        <v>0.30769230769230771</v>
      </c>
      <c r="H64" s="3065"/>
      <c r="I64" s="3065">
        <v>0.15384615384615385</v>
      </c>
      <c r="J64" s="3065"/>
      <c r="K64" s="3067">
        <v>0.6428571428571429</v>
      </c>
      <c r="L64" s="3067"/>
      <c r="M64" s="3067">
        <v>0.25</v>
      </c>
      <c r="N64" s="3067"/>
      <c r="O64" s="3067">
        <v>0.2</v>
      </c>
      <c r="P64" s="3067"/>
    </row>
    <row r="65" spans="1:16" ht="15" customHeight="1">
      <c r="B65" s="3115" t="s">
        <v>320</v>
      </c>
      <c r="C65" s="2489">
        <v>0</v>
      </c>
      <c r="D65" s="3111">
        <v>0.5</v>
      </c>
      <c r="E65" s="2481">
        <v>0.5</v>
      </c>
      <c r="F65" s="3111">
        <v>0.23076923076923078</v>
      </c>
      <c r="G65" s="3065">
        <v>0.54545454545454541</v>
      </c>
      <c r="H65" s="3065">
        <v>0.35294117647058826</v>
      </c>
      <c r="I65" s="3065">
        <v>0.42857142857142855</v>
      </c>
      <c r="J65" s="3065">
        <v>0.41666666666666669</v>
      </c>
      <c r="K65" s="3067">
        <v>0.38461538461538464</v>
      </c>
      <c r="L65" s="3067">
        <v>0.375</v>
      </c>
      <c r="M65" s="3067">
        <v>0.27777777777777779</v>
      </c>
      <c r="N65" s="3067">
        <v>0.36399999999999999</v>
      </c>
      <c r="O65" s="3067">
        <v>3.1E-2</v>
      </c>
      <c r="P65" s="3067">
        <v>1.7999999999999999E-2</v>
      </c>
    </row>
    <row r="66" spans="1:16" ht="15" customHeight="1">
      <c r="B66" s="3113" t="s">
        <v>728</v>
      </c>
      <c r="C66" s="2489">
        <v>1</v>
      </c>
      <c r="D66" s="3111">
        <v>1</v>
      </c>
      <c r="E66" s="2481"/>
      <c r="F66" s="3111"/>
      <c r="G66" s="3065"/>
      <c r="H66" s="3065"/>
      <c r="I66" s="3065"/>
      <c r="J66" s="3065"/>
      <c r="K66" s="3067"/>
      <c r="L66" s="3067"/>
      <c r="M66" s="3067"/>
      <c r="N66" s="3067"/>
      <c r="O66" s="3067"/>
      <c r="P66" s="3067"/>
    </row>
    <row r="67" spans="1:16" ht="15" customHeight="1">
      <c r="B67" s="3113" t="s">
        <v>1743</v>
      </c>
      <c r="C67" s="2489"/>
      <c r="D67" s="3111"/>
      <c r="E67" s="2481"/>
      <c r="F67" s="3111"/>
      <c r="G67" s="3065"/>
      <c r="H67" s="3065"/>
      <c r="I67" s="3065"/>
      <c r="J67" s="3065">
        <v>0.33333333333333331</v>
      </c>
      <c r="K67" s="3067">
        <v>0.14285714285714285</v>
      </c>
      <c r="L67" s="3067">
        <v>0.6</v>
      </c>
      <c r="M67" s="3067">
        <v>0.8</v>
      </c>
      <c r="N67" s="3067">
        <v>0.8</v>
      </c>
      <c r="O67" s="3067">
        <v>0.66700000000000004</v>
      </c>
      <c r="P67" s="3067"/>
    </row>
    <row r="68" spans="1:16" ht="15" customHeight="1">
      <c r="B68" s="6583" t="s">
        <v>3369</v>
      </c>
      <c r="C68" s="2489"/>
      <c r="D68" s="3111"/>
      <c r="E68" s="2481"/>
      <c r="F68" s="3111"/>
      <c r="G68" s="3065"/>
      <c r="H68" s="3065"/>
      <c r="I68" s="3065"/>
      <c r="J68" s="3065"/>
      <c r="K68" s="3067"/>
      <c r="L68" s="3067"/>
      <c r="M68" s="3067"/>
      <c r="N68" s="3067"/>
      <c r="O68" s="3067"/>
      <c r="P68" s="3067"/>
    </row>
    <row r="69" spans="1:16" ht="15" customHeight="1">
      <c r="B69" s="3112" t="s">
        <v>485</v>
      </c>
      <c r="C69" s="3069">
        <v>0.32</v>
      </c>
      <c r="D69" s="2487">
        <v>0.40740740740740738</v>
      </c>
      <c r="E69" s="2484">
        <v>0.5</v>
      </c>
      <c r="F69" s="3114">
        <v>0.23076923076923078</v>
      </c>
      <c r="G69" s="3069">
        <v>0.41666666666666669</v>
      </c>
      <c r="H69" s="3069">
        <v>0.35294117647058826</v>
      </c>
      <c r="I69" s="3069">
        <v>0.29629629629629628</v>
      </c>
      <c r="J69" s="3069">
        <v>0.38095238095238093</v>
      </c>
      <c r="K69" s="3071">
        <v>0.44117647058823528</v>
      </c>
      <c r="L69" s="3071">
        <v>0.42859999999999998</v>
      </c>
      <c r="M69" s="3071">
        <v>0.33300000000000002</v>
      </c>
      <c r="N69" s="3071">
        <v>0.375</v>
      </c>
      <c r="O69" s="3071">
        <v>0.27800000000000002</v>
      </c>
      <c r="P69" s="3071">
        <v>8.9999999999999993E-3</v>
      </c>
    </row>
    <row r="70" spans="1:16" ht="15" customHeight="1">
      <c r="B70" s="3115" t="s">
        <v>145</v>
      </c>
      <c r="C70" s="2489">
        <v>0.1875</v>
      </c>
      <c r="D70" s="3111">
        <v>0</v>
      </c>
      <c r="E70" s="2481">
        <v>0.27272727272727271</v>
      </c>
      <c r="F70" s="3111">
        <v>0.1</v>
      </c>
      <c r="G70" s="3065">
        <v>0.27272727272727271</v>
      </c>
      <c r="H70" s="3065">
        <v>0.5</v>
      </c>
      <c r="I70" s="3065">
        <v>0.2</v>
      </c>
      <c r="J70" s="3065">
        <v>0.25</v>
      </c>
      <c r="K70" s="3067">
        <v>0.42857142857142855</v>
      </c>
      <c r="L70" s="3067">
        <v>0</v>
      </c>
      <c r="M70" s="3067">
        <v>0</v>
      </c>
      <c r="N70" s="3067">
        <v>0</v>
      </c>
      <c r="O70" s="3067">
        <v>0</v>
      </c>
      <c r="P70" s="3067"/>
    </row>
    <row r="71" spans="1:16" ht="15" customHeight="1">
      <c r="B71" s="3112" t="s">
        <v>484</v>
      </c>
      <c r="C71" s="3069">
        <v>0.1875</v>
      </c>
      <c r="D71" s="2487">
        <v>0</v>
      </c>
      <c r="E71" s="2484">
        <v>0.27272727272727271</v>
      </c>
      <c r="F71" s="2487">
        <v>0.1</v>
      </c>
      <c r="G71" s="3069">
        <v>0.27272727272727271</v>
      </c>
      <c r="H71" s="3069">
        <v>0.5</v>
      </c>
      <c r="I71" s="3069">
        <v>0.2</v>
      </c>
      <c r="J71" s="3069">
        <v>0.25</v>
      </c>
      <c r="K71" s="3071">
        <v>0.42857142857142855</v>
      </c>
      <c r="L71" s="3071">
        <v>0</v>
      </c>
      <c r="M71" s="3071">
        <v>0</v>
      </c>
      <c r="N71" s="3071">
        <v>0</v>
      </c>
      <c r="O71" s="3071">
        <v>0</v>
      </c>
      <c r="P71" s="3071"/>
    </row>
    <row r="72" spans="1:16" ht="15" customHeight="1">
      <c r="B72" s="3116" t="s">
        <v>412</v>
      </c>
      <c r="C72" s="3078">
        <v>0.2558139534883721</v>
      </c>
      <c r="D72" s="2515">
        <v>0.27692307692307694</v>
      </c>
      <c r="E72" s="2518">
        <v>0.26315789473684209</v>
      </c>
      <c r="F72" s="2515">
        <v>0.20408163265306123</v>
      </c>
      <c r="G72" s="3078">
        <v>0.37142857142857144</v>
      </c>
      <c r="H72" s="3078">
        <v>0.31958762886597936</v>
      </c>
      <c r="I72" s="3078">
        <v>0.27027027027027029</v>
      </c>
      <c r="J72" s="3078">
        <v>0.28999999999999998</v>
      </c>
      <c r="K72" s="3079">
        <v>0.4</v>
      </c>
      <c r="L72" s="3079">
        <v>0.35510000000000003</v>
      </c>
      <c r="M72" s="3079">
        <v>0.255</v>
      </c>
      <c r="N72" s="3079">
        <v>0.20499999999999999</v>
      </c>
      <c r="O72" s="3079">
        <v>0.216</v>
      </c>
      <c r="P72" s="3079">
        <v>3.0000000000000001E-3</v>
      </c>
    </row>
    <row r="73" spans="1:16" s="935" customFormat="1" ht="15" customHeight="1">
      <c r="A73" s="26"/>
    </row>
    <row r="74" spans="1:16" ht="15" customHeight="1">
      <c r="B74" s="3132" t="s">
        <v>724</v>
      </c>
      <c r="C74" s="3104">
        <v>0.38857142857142857</v>
      </c>
      <c r="D74" s="3104">
        <v>0.28990228013029318</v>
      </c>
      <c r="E74" s="3104">
        <v>0.34389140271493213</v>
      </c>
      <c r="F74" s="3104">
        <v>0.29655172413793102</v>
      </c>
      <c r="G74" s="3104">
        <v>0.36688311688311687</v>
      </c>
      <c r="H74" s="3104">
        <v>0.30967741935483872</v>
      </c>
      <c r="I74" s="3104">
        <v>0.32881355932203388</v>
      </c>
      <c r="J74" s="3104">
        <v>0.33214285714285713</v>
      </c>
      <c r="K74" s="3105">
        <v>0.31871345029239767</v>
      </c>
      <c r="L74" s="3105">
        <v>0.34620000000000001</v>
      </c>
      <c r="M74" s="3105">
        <v>0.23699999999999999</v>
      </c>
      <c r="N74" s="3105">
        <v>0.22600000000000001</v>
      </c>
      <c r="O74" s="3105">
        <v>0.17599999999999999</v>
      </c>
      <c r="P74" s="3105">
        <v>1.4999999999999999E-2</v>
      </c>
    </row>
    <row r="75" spans="1:16" ht="13.95" customHeight="1">
      <c r="B75" s="7003" t="s">
        <v>3370</v>
      </c>
      <c r="L75" s="4619"/>
      <c r="M75" s="4619"/>
      <c r="N75" s="4913"/>
      <c r="P75" s="6580" t="s">
        <v>3366</v>
      </c>
    </row>
    <row r="76" spans="1:16" ht="14.4">
      <c r="B76" s="7003"/>
      <c r="L76" s="4620"/>
      <c r="M76" s="4620"/>
      <c r="O76" s="6118"/>
    </row>
  </sheetData>
  <mergeCells count="2">
    <mergeCell ref="L1:P1"/>
    <mergeCell ref="B75:B76"/>
  </mergeCells>
  <printOptions horizontalCentered="1" verticalCentered="1"/>
  <pageMargins left="0.70866141732283472" right="0.70866141732283472" top="0.74803149606299213" bottom="0.74803149606299213" header="0.31496062992125984" footer="0.31496062992125984"/>
  <pageSetup scale="65" firstPageNumber="10" orientation="landscape" useFirstPageNumber="1" r:id="rId1"/>
  <headerFooter scaleWithDoc="0" alignWithMargins="0">
    <oddFooter>&amp;R&amp;P</oddFooter>
  </headerFooter>
  <rowBreaks count="1" manualBreakCount="1">
    <brk id="39" min="11" max="1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9"/>
  <sheetViews>
    <sheetView showGridLines="0" topLeftCell="A10" zoomScaleNormal="100" workbookViewId="0">
      <selection activeCell="O42" sqref="O42"/>
    </sheetView>
  </sheetViews>
  <sheetFormatPr baseColWidth="10" defaultRowHeight="13.8"/>
  <cols>
    <col min="1" max="1" width="2.6640625" style="26" customWidth="1"/>
    <col min="2" max="2" width="49.5546875" style="26" bestFit="1" customWidth="1"/>
    <col min="3" max="7" width="11.44140625" style="26"/>
    <col min="8" max="8" width="11.33203125" style="26" customWidth="1"/>
    <col min="9" max="241" width="11.44140625" style="26"/>
    <col min="242" max="242" width="4.33203125" style="26" customWidth="1"/>
    <col min="243" max="243" width="14.6640625" style="26" customWidth="1"/>
    <col min="244" max="244" width="11.44140625" style="26"/>
    <col min="245" max="245" width="43.6640625" style="26" bestFit="1" customWidth="1"/>
    <col min="246" max="246" width="11.44140625" style="26"/>
    <col min="247" max="247" width="19.5546875" style="26" customWidth="1"/>
    <col min="248" max="248" width="15.44140625" style="26" customWidth="1"/>
    <col min="249" max="497" width="11.44140625" style="26"/>
    <col min="498" max="498" width="4.33203125" style="26" customWidth="1"/>
    <col min="499" max="499" width="14.6640625" style="26" customWidth="1"/>
    <col min="500" max="500" width="11.44140625" style="26"/>
    <col min="501" max="501" width="43.6640625" style="26" bestFit="1" customWidth="1"/>
    <col min="502" max="502" width="11.44140625" style="26"/>
    <col min="503" max="503" width="19.5546875" style="26" customWidth="1"/>
    <col min="504" max="504" width="15.44140625" style="26" customWidth="1"/>
    <col min="505" max="753" width="11.44140625" style="26"/>
    <col min="754" max="754" width="4.33203125" style="26" customWidth="1"/>
    <col min="755" max="755" width="14.6640625" style="26" customWidth="1"/>
    <col min="756" max="756" width="11.44140625" style="26"/>
    <col min="757" max="757" width="43.6640625" style="26" bestFit="1" customWidth="1"/>
    <col min="758" max="758" width="11.44140625" style="26"/>
    <col min="759" max="759" width="19.5546875" style="26" customWidth="1"/>
    <col min="760" max="760" width="15.44140625" style="26" customWidth="1"/>
    <col min="761" max="1009" width="11.44140625" style="26"/>
    <col min="1010" max="1010" width="4.33203125" style="26" customWidth="1"/>
    <col min="1011" max="1011" width="14.6640625" style="26" customWidth="1"/>
    <col min="1012" max="1012" width="11.44140625" style="26"/>
    <col min="1013" max="1013" width="43.6640625" style="26" bestFit="1" customWidth="1"/>
    <col min="1014" max="1014" width="11.44140625" style="26"/>
    <col min="1015" max="1015" width="19.5546875" style="26" customWidth="1"/>
    <col min="1016" max="1016" width="15.44140625" style="26" customWidth="1"/>
    <col min="1017" max="1265" width="11.44140625" style="26"/>
    <col min="1266" max="1266" width="4.33203125" style="26" customWidth="1"/>
    <col min="1267" max="1267" width="14.6640625" style="26" customWidth="1"/>
    <col min="1268" max="1268" width="11.44140625" style="26"/>
    <col min="1269" max="1269" width="43.6640625" style="26" bestFit="1" customWidth="1"/>
    <col min="1270" max="1270" width="11.44140625" style="26"/>
    <col min="1271" max="1271" width="19.5546875" style="26" customWidth="1"/>
    <col min="1272" max="1272" width="15.44140625" style="26" customWidth="1"/>
    <col min="1273" max="1521" width="11.44140625" style="26"/>
    <col min="1522" max="1522" width="4.33203125" style="26" customWidth="1"/>
    <col min="1523" max="1523" width="14.6640625" style="26" customWidth="1"/>
    <col min="1524" max="1524" width="11.44140625" style="26"/>
    <col min="1525" max="1525" width="43.6640625" style="26" bestFit="1" customWidth="1"/>
    <col min="1526" max="1526" width="11.44140625" style="26"/>
    <col min="1527" max="1527" width="19.5546875" style="26" customWidth="1"/>
    <col min="1528" max="1528" width="15.44140625" style="26" customWidth="1"/>
    <col min="1529" max="1777" width="11.44140625" style="26"/>
    <col min="1778" max="1778" width="4.33203125" style="26" customWidth="1"/>
    <col min="1779" max="1779" width="14.6640625" style="26" customWidth="1"/>
    <col min="1780" max="1780" width="11.44140625" style="26"/>
    <col min="1781" max="1781" width="43.6640625" style="26" bestFit="1" customWidth="1"/>
    <col min="1782" max="1782" width="11.44140625" style="26"/>
    <col min="1783" max="1783" width="19.5546875" style="26" customWidth="1"/>
    <col min="1784" max="1784" width="15.44140625" style="26" customWidth="1"/>
    <col min="1785" max="2033" width="11.44140625" style="26"/>
    <col min="2034" max="2034" width="4.33203125" style="26" customWidth="1"/>
    <col min="2035" max="2035" width="14.6640625" style="26" customWidth="1"/>
    <col min="2036" max="2036" width="11.44140625" style="26"/>
    <col min="2037" max="2037" width="43.6640625" style="26" bestFit="1" customWidth="1"/>
    <col min="2038" max="2038" width="11.44140625" style="26"/>
    <col min="2039" max="2039" width="19.5546875" style="26" customWidth="1"/>
    <col min="2040" max="2040" width="15.44140625" style="26" customWidth="1"/>
    <col min="2041" max="2289" width="11.44140625" style="26"/>
    <col min="2290" max="2290" width="4.33203125" style="26" customWidth="1"/>
    <col min="2291" max="2291" width="14.6640625" style="26" customWidth="1"/>
    <col min="2292" max="2292" width="11.44140625" style="26"/>
    <col min="2293" max="2293" width="43.6640625" style="26" bestFit="1" customWidth="1"/>
    <col min="2294" max="2294" width="11.44140625" style="26"/>
    <col min="2295" max="2295" width="19.5546875" style="26" customWidth="1"/>
    <col min="2296" max="2296" width="15.44140625" style="26" customWidth="1"/>
    <col min="2297" max="2545" width="11.44140625" style="26"/>
    <col min="2546" max="2546" width="4.33203125" style="26" customWidth="1"/>
    <col min="2547" max="2547" width="14.6640625" style="26" customWidth="1"/>
    <col min="2548" max="2548" width="11.44140625" style="26"/>
    <col min="2549" max="2549" width="43.6640625" style="26" bestFit="1" customWidth="1"/>
    <col min="2550" max="2550" width="11.44140625" style="26"/>
    <col min="2551" max="2551" width="19.5546875" style="26" customWidth="1"/>
    <col min="2552" max="2552" width="15.44140625" style="26" customWidth="1"/>
    <col min="2553" max="2801" width="11.44140625" style="26"/>
    <col min="2802" max="2802" width="4.33203125" style="26" customWidth="1"/>
    <col min="2803" max="2803" width="14.6640625" style="26" customWidth="1"/>
    <col min="2804" max="2804" width="11.44140625" style="26"/>
    <col min="2805" max="2805" width="43.6640625" style="26" bestFit="1" customWidth="1"/>
    <col min="2806" max="2806" width="11.44140625" style="26"/>
    <col min="2807" max="2807" width="19.5546875" style="26" customWidth="1"/>
    <col min="2808" max="2808" width="15.44140625" style="26" customWidth="1"/>
    <col min="2809" max="3057" width="11.44140625" style="26"/>
    <col min="3058" max="3058" width="4.33203125" style="26" customWidth="1"/>
    <col min="3059" max="3059" width="14.6640625" style="26" customWidth="1"/>
    <col min="3060" max="3060" width="11.44140625" style="26"/>
    <col min="3061" max="3061" width="43.6640625" style="26" bestFit="1" customWidth="1"/>
    <col min="3062" max="3062" width="11.44140625" style="26"/>
    <col min="3063" max="3063" width="19.5546875" style="26" customWidth="1"/>
    <col min="3064" max="3064" width="15.44140625" style="26" customWidth="1"/>
    <col min="3065" max="3313" width="11.44140625" style="26"/>
    <col min="3314" max="3314" width="4.33203125" style="26" customWidth="1"/>
    <col min="3315" max="3315" width="14.6640625" style="26" customWidth="1"/>
    <col min="3316" max="3316" width="11.44140625" style="26"/>
    <col min="3317" max="3317" width="43.6640625" style="26" bestFit="1" customWidth="1"/>
    <col min="3318" max="3318" width="11.44140625" style="26"/>
    <col min="3319" max="3319" width="19.5546875" style="26" customWidth="1"/>
    <col min="3320" max="3320" width="15.44140625" style="26" customWidth="1"/>
    <col min="3321" max="3569" width="11.44140625" style="26"/>
    <col min="3570" max="3570" width="4.33203125" style="26" customWidth="1"/>
    <col min="3571" max="3571" width="14.6640625" style="26" customWidth="1"/>
    <col min="3572" max="3572" width="11.44140625" style="26"/>
    <col min="3573" max="3573" width="43.6640625" style="26" bestFit="1" customWidth="1"/>
    <col min="3574" max="3574" width="11.44140625" style="26"/>
    <col min="3575" max="3575" width="19.5546875" style="26" customWidth="1"/>
    <col min="3576" max="3576" width="15.44140625" style="26" customWidth="1"/>
    <col min="3577" max="3825" width="11.44140625" style="26"/>
    <col min="3826" max="3826" width="4.33203125" style="26" customWidth="1"/>
    <col min="3827" max="3827" width="14.6640625" style="26" customWidth="1"/>
    <col min="3828" max="3828" width="11.44140625" style="26"/>
    <col min="3829" max="3829" width="43.6640625" style="26" bestFit="1" customWidth="1"/>
    <col min="3830" max="3830" width="11.44140625" style="26"/>
    <col min="3831" max="3831" width="19.5546875" style="26" customWidth="1"/>
    <col min="3832" max="3832" width="15.44140625" style="26" customWidth="1"/>
    <col min="3833" max="4081" width="11.44140625" style="26"/>
    <col min="4082" max="4082" width="4.33203125" style="26" customWidth="1"/>
    <col min="4083" max="4083" width="14.6640625" style="26" customWidth="1"/>
    <col min="4084" max="4084" width="11.44140625" style="26"/>
    <col min="4085" max="4085" width="43.6640625" style="26" bestFit="1" customWidth="1"/>
    <col min="4086" max="4086" width="11.44140625" style="26"/>
    <col min="4087" max="4087" width="19.5546875" style="26" customWidth="1"/>
    <col min="4088" max="4088" width="15.44140625" style="26" customWidth="1"/>
    <col min="4089" max="4337" width="11.44140625" style="26"/>
    <col min="4338" max="4338" width="4.33203125" style="26" customWidth="1"/>
    <col min="4339" max="4339" width="14.6640625" style="26" customWidth="1"/>
    <col min="4340" max="4340" width="11.44140625" style="26"/>
    <col min="4341" max="4341" width="43.6640625" style="26" bestFit="1" customWidth="1"/>
    <col min="4342" max="4342" width="11.44140625" style="26"/>
    <col min="4343" max="4343" width="19.5546875" style="26" customWidth="1"/>
    <col min="4344" max="4344" width="15.44140625" style="26" customWidth="1"/>
    <col min="4345" max="4593" width="11.44140625" style="26"/>
    <col min="4594" max="4594" width="4.33203125" style="26" customWidth="1"/>
    <col min="4595" max="4595" width="14.6640625" style="26" customWidth="1"/>
    <col min="4596" max="4596" width="11.44140625" style="26"/>
    <col min="4597" max="4597" width="43.6640625" style="26" bestFit="1" customWidth="1"/>
    <col min="4598" max="4598" width="11.44140625" style="26"/>
    <col min="4599" max="4599" width="19.5546875" style="26" customWidth="1"/>
    <col min="4600" max="4600" width="15.44140625" style="26" customWidth="1"/>
    <col min="4601" max="4849" width="11.44140625" style="26"/>
    <col min="4850" max="4850" width="4.33203125" style="26" customWidth="1"/>
    <col min="4851" max="4851" width="14.6640625" style="26" customWidth="1"/>
    <col min="4852" max="4852" width="11.44140625" style="26"/>
    <col min="4853" max="4853" width="43.6640625" style="26" bestFit="1" customWidth="1"/>
    <col min="4854" max="4854" width="11.44140625" style="26"/>
    <col min="4855" max="4855" width="19.5546875" style="26" customWidth="1"/>
    <col min="4856" max="4856" width="15.44140625" style="26" customWidth="1"/>
    <col min="4857" max="5105" width="11.44140625" style="26"/>
    <col min="5106" max="5106" width="4.33203125" style="26" customWidth="1"/>
    <col min="5107" max="5107" width="14.6640625" style="26" customWidth="1"/>
    <col min="5108" max="5108" width="11.44140625" style="26"/>
    <col min="5109" max="5109" width="43.6640625" style="26" bestFit="1" customWidth="1"/>
    <col min="5110" max="5110" width="11.44140625" style="26"/>
    <col min="5111" max="5111" width="19.5546875" style="26" customWidth="1"/>
    <col min="5112" max="5112" width="15.44140625" style="26" customWidth="1"/>
    <col min="5113" max="5361" width="11.44140625" style="26"/>
    <col min="5362" max="5362" width="4.33203125" style="26" customWidth="1"/>
    <col min="5363" max="5363" width="14.6640625" style="26" customWidth="1"/>
    <col min="5364" max="5364" width="11.44140625" style="26"/>
    <col min="5365" max="5365" width="43.6640625" style="26" bestFit="1" customWidth="1"/>
    <col min="5366" max="5366" width="11.44140625" style="26"/>
    <col min="5367" max="5367" width="19.5546875" style="26" customWidth="1"/>
    <col min="5368" max="5368" width="15.44140625" style="26" customWidth="1"/>
    <col min="5369" max="5617" width="11.44140625" style="26"/>
    <col min="5618" max="5618" width="4.33203125" style="26" customWidth="1"/>
    <col min="5619" max="5619" width="14.6640625" style="26" customWidth="1"/>
    <col min="5620" max="5620" width="11.44140625" style="26"/>
    <col min="5621" max="5621" width="43.6640625" style="26" bestFit="1" customWidth="1"/>
    <col min="5622" max="5622" width="11.44140625" style="26"/>
    <col min="5623" max="5623" width="19.5546875" style="26" customWidth="1"/>
    <col min="5624" max="5624" width="15.44140625" style="26" customWidth="1"/>
    <col min="5625" max="5873" width="11.44140625" style="26"/>
    <col min="5874" max="5874" width="4.33203125" style="26" customWidth="1"/>
    <col min="5875" max="5875" width="14.6640625" style="26" customWidth="1"/>
    <col min="5876" max="5876" width="11.44140625" style="26"/>
    <col min="5877" max="5877" width="43.6640625" style="26" bestFit="1" customWidth="1"/>
    <col min="5878" max="5878" width="11.44140625" style="26"/>
    <col min="5879" max="5879" width="19.5546875" style="26" customWidth="1"/>
    <col min="5880" max="5880" width="15.44140625" style="26" customWidth="1"/>
    <col min="5881" max="6129" width="11.44140625" style="26"/>
    <col min="6130" max="6130" width="4.33203125" style="26" customWidth="1"/>
    <col min="6131" max="6131" width="14.6640625" style="26" customWidth="1"/>
    <col min="6132" max="6132" width="11.44140625" style="26"/>
    <col min="6133" max="6133" width="43.6640625" style="26" bestFit="1" customWidth="1"/>
    <col min="6134" max="6134" width="11.44140625" style="26"/>
    <col min="6135" max="6135" width="19.5546875" style="26" customWidth="1"/>
    <col min="6136" max="6136" width="15.44140625" style="26" customWidth="1"/>
    <col min="6137" max="6385" width="11.44140625" style="26"/>
    <col min="6386" max="6386" width="4.33203125" style="26" customWidth="1"/>
    <col min="6387" max="6387" width="14.6640625" style="26" customWidth="1"/>
    <col min="6388" max="6388" width="11.44140625" style="26"/>
    <col min="6389" max="6389" width="43.6640625" style="26" bestFit="1" customWidth="1"/>
    <col min="6390" max="6390" width="11.44140625" style="26"/>
    <col min="6391" max="6391" width="19.5546875" style="26" customWidth="1"/>
    <col min="6392" max="6392" width="15.44140625" style="26" customWidth="1"/>
    <col min="6393" max="6641" width="11.44140625" style="26"/>
    <col min="6642" max="6642" width="4.33203125" style="26" customWidth="1"/>
    <col min="6643" max="6643" width="14.6640625" style="26" customWidth="1"/>
    <col min="6644" max="6644" width="11.44140625" style="26"/>
    <col min="6645" max="6645" width="43.6640625" style="26" bestFit="1" customWidth="1"/>
    <col min="6646" max="6646" width="11.44140625" style="26"/>
    <col min="6647" max="6647" width="19.5546875" style="26" customWidth="1"/>
    <col min="6648" max="6648" width="15.44140625" style="26" customWidth="1"/>
    <col min="6649" max="6897" width="11.44140625" style="26"/>
    <col min="6898" max="6898" width="4.33203125" style="26" customWidth="1"/>
    <col min="6899" max="6899" width="14.6640625" style="26" customWidth="1"/>
    <col min="6900" max="6900" width="11.44140625" style="26"/>
    <col min="6901" max="6901" width="43.6640625" style="26" bestFit="1" customWidth="1"/>
    <col min="6902" max="6902" width="11.44140625" style="26"/>
    <col min="6903" max="6903" width="19.5546875" style="26" customWidth="1"/>
    <col min="6904" max="6904" width="15.44140625" style="26" customWidth="1"/>
    <col min="6905" max="7153" width="11.44140625" style="26"/>
    <col min="7154" max="7154" width="4.33203125" style="26" customWidth="1"/>
    <col min="7155" max="7155" width="14.6640625" style="26" customWidth="1"/>
    <col min="7156" max="7156" width="11.44140625" style="26"/>
    <col min="7157" max="7157" width="43.6640625" style="26" bestFit="1" customWidth="1"/>
    <col min="7158" max="7158" width="11.44140625" style="26"/>
    <col min="7159" max="7159" width="19.5546875" style="26" customWidth="1"/>
    <col min="7160" max="7160" width="15.44140625" style="26" customWidth="1"/>
    <col min="7161" max="7409" width="11.44140625" style="26"/>
    <col min="7410" max="7410" width="4.33203125" style="26" customWidth="1"/>
    <col min="7411" max="7411" width="14.6640625" style="26" customWidth="1"/>
    <col min="7412" max="7412" width="11.44140625" style="26"/>
    <col min="7413" max="7413" width="43.6640625" style="26" bestFit="1" customWidth="1"/>
    <col min="7414" max="7414" width="11.44140625" style="26"/>
    <col min="7415" max="7415" width="19.5546875" style="26" customWidth="1"/>
    <col min="7416" max="7416" width="15.44140625" style="26" customWidth="1"/>
    <col min="7417" max="7665" width="11.44140625" style="26"/>
    <col min="7666" max="7666" width="4.33203125" style="26" customWidth="1"/>
    <col min="7667" max="7667" width="14.6640625" style="26" customWidth="1"/>
    <col min="7668" max="7668" width="11.44140625" style="26"/>
    <col min="7669" max="7669" width="43.6640625" style="26" bestFit="1" customWidth="1"/>
    <col min="7670" max="7670" width="11.44140625" style="26"/>
    <col min="7671" max="7671" width="19.5546875" style="26" customWidth="1"/>
    <col min="7672" max="7672" width="15.44140625" style="26" customWidth="1"/>
    <col min="7673" max="7921" width="11.44140625" style="26"/>
    <col min="7922" max="7922" width="4.33203125" style="26" customWidth="1"/>
    <col min="7923" max="7923" width="14.6640625" style="26" customWidth="1"/>
    <col min="7924" max="7924" width="11.44140625" style="26"/>
    <col min="7925" max="7925" width="43.6640625" style="26" bestFit="1" customWidth="1"/>
    <col min="7926" max="7926" width="11.44140625" style="26"/>
    <col min="7927" max="7927" width="19.5546875" style="26" customWidth="1"/>
    <col min="7928" max="7928" width="15.44140625" style="26" customWidth="1"/>
    <col min="7929" max="8177" width="11.44140625" style="26"/>
    <col min="8178" max="8178" width="4.33203125" style="26" customWidth="1"/>
    <col min="8179" max="8179" width="14.6640625" style="26" customWidth="1"/>
    <col min="8180" max="8180" width="11.44140625" style="26"/>
    <col min="8181" max="8181" width="43.6640625" style="26" bestFit="1" customWidth="1"/>
    <col min="8182" max="8182" width="11.44140625" style="26"/>
    <col min="8183" max="8183" width="19.5546875" style="26" customWidth="1"/>
    <col min="8184" max="8184" width="15.44140625" style="26" customWidth="1"/>
    <col min="8185" max="8433" width="11.44140625" style="26"/>
    <col min="8434" max="8434" width="4.33203125" style="26" customWidth="1"/>
    <col min="8435" max="8435" width="14.6640625" style="26" customWidth="1"/>
    <col min="8436" max="8436" width="11.44140625" style="26"/>
    <col min="8437" max="8437" width="43.6640625" style="26" bestFit="1" customWidth="1"/>
    <col min="8438" max="8438" width="11.44140625" style="26"/>
    <col min="8439" max="8439" width="19.5546875" style="26" customWidth="1"/>
    <col min="8440" max="8440" width="15.44140625" style="26" customWidth="1"/>
    <col min="8441" max="8689" width="11.44140625" style="26"/>
    <col min="8690" max="8690" width="4.33203125" style="26" customWidth="1"/>
    <col min="8691" max="8691" width="14.6640625" style="26" customWidth="1"/>
    <col min="8692" max="8692" width="11.44140625" style="26"/>
    <col min="8693" max="8693" width="43.6640625" style="26" bestFit="1" customWidth="1"/>
    <col min="8694" max="8694" width="11.44140625" style="26"/>
    <col min="8695" max="8695" width="19.5546875" style="26" customWidth="1"/>
    <col min="8696" max="8696" width="15.44140625" style="26" customWidth="1"/>
    <col min="8697" max="8945" width="11.44140625" style="26"/>
    <col min="8946" max="8946" width="4.33203125" style="26" customWidth="1"/>
    <col min="8947" max="8947" width="14.6640625" style="26" customWidth="1"/>
    <col min="8948" max="8948" width="11.44140625" style="26"/>
    <col min="8949" max="8949" width="43.6640625" style="26" bestFit="1" customWidth="1"/>
    <col min="8950" max="8950" width="11.44140625" style="26"/>
    <col min="8951" max="8951" width="19.5546875" style="26" customWidth="1"/>
    <col min="8952" max="8952" width="15.44140625" style="26" customWidth="1"/>
    <col min="8953" max="9201" width="11.44140625" style="26"/>
    <col min="9202" max="9202" width="4.33203125" style="26" customWidth="1"/>
    <col min="9203" max="9203" width="14.6640625" style="26" customWidth="1"/>
    <col min="9204" max="9204" width="11.44140625" style="26"/>
    <col min="9205" max="9205" width="43.6640625" style="26" bestFit="1" customWidth="1"/>
    <col min="9206" max="9206" width="11.44140625" style="26"/>
    <col min="9207" max="9207" width="19.5546875" style="26" customWidth="1"/>
    <col min="9208" max="9208" width="15.44140625" style="26" customWidth="1"/>
    <col min="9209" max="9457" width="11.44140625" style="26"/>
    <col min="9458" max="9458" width="4.33203125" style="26" customWidth="1"/>
    <col min="9459" max="9459" width="14.6640625" style="26" customWidth="1"/>
    <col min="9460" max="9460" width="11.44140625" style="26"/>
    <col min="9461" max="9461" width="43.6640625" style="26" bestFit="1" customWidth="1"/>
    <col min="9462" max="9462" width="11.44140625" style="26"/>
    <col min="9463" max="9463" width="19.5546875" style="26" customWidth="1"/>
    <col min="9464" max="9464" width="15.44140625" style="26" customWidth="1"/>
    <col min="9465" max="9713" width="11.44140625" style="26"/>
    <col min="9714" max="9714" width="4.33203125" style="26" customWidth="1"/>
    <col min="9715" max="9715" width="14.6640625" style="26" customWidth="1"/>
    <col min="9716" max="9716" width="11.44140625" style="26"/>
    <col min="9717" max="9717" width="43.6640625" style="26" bestFit="1" customWidth="1"/>
    <col min="9718" max="9718" width="11.44140625" style="26"/>
    <col min="9719" max="9719" width="19.5546875" style="26" customWidth="1"/>
    <col min="9720" max="9720" width="15.44140625" style="26" customWidth="1"/>
    <col min="9721" max="9969" width="11.44140625" style="26"/>
    <col min="9970" max="9970" width="4.33203125" style="26" customWidth="1"/>
    <col min="9971" max="9971" width="14.6640625" style="26" customWidth="1"/>
    <col min="9972" max="9972" width="11.44140625" style="26"/>
    <col min="9973" max="9973" width="43.6640625" style="26" bestFit="1" customWidth="1"/>
    <col min="9974" max="9974" width="11.44140625" style="26"/>
    <col min="9975" max="9975" width="19.5546875" style="26" customWidth="1"/>
    <col min="9976" max="9976" width="15.44140625" style="26" customWidth="1"/>
    <col min="9977" max="10225" width="11.44140625" style="26"/>
    <col min="10226" max="10226" width="4.33203125" style="26" customWidth="1"/>
    <col min="10227" max="10227" width="14.6640625" style="26" customWidth="1"/>
    <col min="10228" max="10228" width="11.44140625" style="26"/>
    <col min="10229" max="10229" width="43.6640625" style="26" bestFit="1" customWidth="1"/>
    <col min="10230" max="10230" width="11.44140625" style="26"/>
    <col min="10231" max="10231" width="19.5546875" style="26" customWidth="1"/>
    <col min="10232" max="10232" width="15.44140625" style="26" customWidth="1"/>
    <col min="10233" max="10481" width="11.44140625" style="26"/>
    <col min="10482" max="10482" width="4.33203125" style="26" customWidth="1"/>
    <col min="10483" max="10483" width="14.6640625" style="26" customWidth="1"/>
    <col min="10484" max="10484" width="11.44140625" style="26"/>
    <col min="10485" max="10485" width="43.6640625" style="26" bestFit="1" customWidth="1"/>
    <col min="10486" max="10486" width="11.44140625" style="26"/>
    <col min="10487" max="10487" width="19.5546875" style="26" customWidth="1"/>
    <col min="10488" max="10488" width="15.44140625" style="26" customWidth="1"/>
    <col min="10489" max="10737" width="11.44140625" style="26"/>
    <col min="10738" max="10738" width="4.33203125" style="26" customWidth="1"/>
    <col min="10739" max="10739" width="14.6640625" style="26" customWidth="1"/>
    <col min="10740" max="10740" width="11.44140625" style="26"/>
    <col min="10741" max="10741" width="43.6640625" style="26" bestFit="1" customWidth="1"/>
    <col min="10742" max="10742" width="11.44140625" style="26"/>
    <col min="10743" max="10743" width="19.5546875" style="26" customWidth="1"/>
    <col min="10744" max="10744" width="15.44140625" style="26" customWidth="1"/>
    <col min="10745" max="10993" width="11.44140625" style="26"/>
    <col min="10994" max="10994" width="4.33203125" style="26" customWidth="1"/>
    <col min="10995" max="10995" width="14.6640625" style="26" customWidth="1"/>
    <col min="10996" max="10996" width="11.44140625" style="26"/>
    <col min="10997" max="10997" width="43.6640625" style="26" bestFit="1" customWidth="1"/>
    <col min="10998" max="10998" width="11.44140625" style="26"/>
    <col min="10999" max="10999" width="19.5546875" style="26" customWidth="1"/>
    <col min="11000" max="11000" width="15.44140625" style="26" customWidth="1"/>
    <col min="11001" max="11249" width="11.44140625" style="26"/>
    <col min="11250" max="11250" width="4.33203125" style="26" customWidth="1"/>
    <col min="11251" max="11251" width="14.6640625" style="26" customWidth="1"/>
    <col min="11252" max="11252" width="11.44140625" style="26"/>
    <col min="11253" max="11253" width="43.6640625" style="26" bestFit="1" customWidth="1"/>
    <col min="11254" max="11254" width="11.44140625" style="26"/>
    <col min="11255" max="11255" width="19.5546875" style="26" customWidth="1"/>
    <col min="11256" max="11256" width="15.44140625" style="26" customWidth="1"/>
    <col min="11257" max="11505" width="11.44140625" style="26"/>
    <col min="11506" max="11506" width="4.33203125" style="26" customWidth="1"/>
    <col min="11507" max="11507" width="14.6640625" style="26" customWidth="1"/>
    <col min="11508" max="11508" width="11.44140625" style="26"/>
    <col min="11509" max="11509" width="43.6640625" style="26" bestFit="1" customWidth="1"/>
    <col min="11510" max="11510" width="11.44140625" style="26"/>
    <col min="11511" max="11511" width="19.5546875" style="26" customWidth="1"/>
    <col min="11512" max="11512" width="15.44140625" style="26" customWidth="1"/>
    <col min="11513" max="11761" width="11.44140625" style="26"/>
    <col min="11762" max="11762" width="4.33203125" style="26" customWidth="1"/>
    <col min="11763" max="11763" width="14.6640625" style="26" customWidth="1"/>
    <col min="11764" max="11764" width="11.44140625" style="26"/>
    <col min="11765" max="11765" width="43.6640625" style="26" bestFit="1" customWidth="1"/>
    <col min="11766" max="11766" width="11.44140625" style="26"/>
    <col min="11767" max="11767" width="19.5546875" style="26" customWidth="1"/>
    <col min="11768" max="11768" width="15.44140625" style="26" customWidth="1"/>
    <col min="11769" max="12017" width="11.44140625" style="26"/>
    <col min="12018" max="12018" width="4.33203125" style="26" customWidth="1"/>
    <col min="12019" max="12019" width="14.6640625" style="26" customWidth="1"/>
    <col min="12020" max="12020" width="11.44140625" style="26"/>
    <col min="12021" max="12021" width="43.6640625" style="26" bestFit="1" customWidth="1"/>
    <col min="12022" max="12022" width="11.44140625" style="26"/>
    <col min="12023" max="12023" width="19.5546875" style="26" customWidth="1"/>
    <col min="12024" max="12024" width="15.44140625" style="26" customWidth="1"/>
    <col min="12025" max="12273" width="11.44140625" style="26"/>
    <col min="12274" max="12274" width="4.33203125" style="26" customWidth="1"/>
    <col min="12275" max="12275" width="14.6640625" style="26" customWidth="1"/>
    <col min="12276" max="12276" width="11.44140625" style="26"/>
    <col min="12277" max="12277" width="43.6640625" style="26" bestFit="1" customWidth="1"/>
    <col min="12278" max="12278" width="11.44140625" style="26"/>
    <col min="12279" max="12279" width="19.5546875" style="26" customWidth="1"/>
    <col min="12280" max="12280" width="15.44140625" style="26" customWidth="1"/>
    <col min="12281" max="12529" width="11.44140625" style="26"/>
    <col min="12530" max="12530" width="4.33203125" style="26" customWidth="1"/>
    <col min="12531" max="12531" width="14.6640625" style="26" customWidth="1"/>
    <col min="12532" max="12532" width="11.44140625" style="26"/>
    <col min="12533" max="12533" width="43.6640625" style="26" bestFit="1" customWidth="1"/>
    <col min="12534" max="12534" width="11.44140625" style="26"/>
    <col min="12535" max="12535" width="19.5546875" style="26" customWidth="1"/>
    <col min="12536" max="12536" width="15.44140625" style="26" customWidth="1"/>
    <col min="12537" max="12785" width="11.44140625" style="26"/>
    <col min="12786" max="12786" width="4.33203125" style="26" customWidth="1"/>
    <col min="12787" max="12787" width="14.6640625" style="26" customWidth="1"/>
    <col min="12788" max="12788" width="11.44140625" style="26"/>
    <col min="12789" max="12789" width="43.6640625" style="26" bestFit="1" customWidth="1"/>
    <col min="12790" max="12790" width="11.44140625" style="26"/>
    <col min="12791" max="12791" width="19.5546875" style="26" customWidth="1"/>
    <col min="12792" max="12792" width="15.44140625" style="26" customWidth="1"/>
    <col min="12793" max="13041" width="11.44140625" style="26"/>
    <col min="13042" max="13042" width="4.33203125" style="26" customWidth="1"/>
    <col min="13043" max="13043" width="14.6640625" style="26" customWidth="1"/>
    <col min="13044" max="13044" width="11.44140625" style="26"/>
    <col min="13045" max="13045" width="43.6640625" style="26" bestFit="1" customWidth="1"/>
    <col min="13046" max="13046" width="11.44140625" style="26"/>
    <col min="13047" max="13047" width="19.5546875" style="26" customWidth="1"/>
    <col min="13048" max="13048" width="15.44140625" style="26" customWidth="1"/>
    <col min="13049" max="13297" width="11.44140625" style="26"/>
    <col min="13298" max="13298" width="4.33203125" style="26" customWidth="1"/>
    <col min="13299" max="13299" width="14.6640625" style="26" customWidth="1"/>
    <col min="13300" max="13300" width="11.44140625" style="26"/>
    <col min="13301" max="13301" width="43.6640625" style="26" bestFit="1" customWidth="1"/>
    <col min="13302" max="13302" width="11.44140625" style="26"/>
    <col min="13303" max="13303" width="19.5546875" style="26" customWidth="1"/>
    <col min="13304" max="13304" width="15.44140625" style="26" customWidth="1"/>
    <col min="13305" max="13553" width="11.44140625" style="26"/>
    <col min="13554" max="13554" width="4.33203125" style="26" customWidth="1"/>
    <col min="13555" max="13555" width="14.6640625" style="26" customWidth="1"/>
    <col min="13556" max="13556" width="11.44140625" style="26"/>
    <col min="13557" max="13557" width="43.6640625" style="26" bestFit="1" customWidth="1"/>
    <col min="13558" max="13558" width="11.44140625" style="26"/>
    <col min="13559" max="13559" width="19.5546875" style="26" customWidth="1"/>
    <col min="13560" max="13560" width="15.44140625" style="26" customWidth="1"/>
    <col min="13561" max="13809" width="11.44140625" style="26"/>
    <col min="13810" max="13810" width="4.33203125" style="26" customWidth="1"/>
    <col min="13811" max="13811" width="14.6640625" style="26" customWidth="1"/>
    <col min="13812" max="13812" width="11.44140625" style="26"/>
    <col min="13813" max="13813" width="43.6640625" style="26" bestFit="1" customWidth="1"/>
    <col min="13814" max="13814" width="11.44140625" style="26"/>
    <col min="13815" max="13815" width="19.5546875" style="26" customWidth="1"/>
    <col min="13816" max="13816" width="15.44140625" style="26" customWidth="1"/>
    <col min="13817" max="14065" width="11.44140625" style="26"/>
    <col min="14066" max="14066" width="4.33203125" style="26" customWidth="1"/>
    <col min="14067" max="14067" width="14.6640625" style="26" customWidth="1"/>
    <col min="14068" max="14068" width="11.44140625" style="26"/>
    <col min="14069" max="14069" width="43.6640625" style="26" bestFit="1" customWidth="1"/>
    <col min="14070" max="14070" width="11.44140625" style="26"/>
    <col min="14071" max="14071" width="19.5546875" style="26" customWidth="1"/>
    <col min="14072" max="14072" width="15.44140625" style="26" customWidth="1"/>
    <col min="14073" max="14321" width="11.44140625" style="26"/>
    <col min="14322" max="14322" width="4.33203125" style="26" customWidth="1"/>
    <col min="14323" max="14323" width="14.6640625" style="26" customWidth="1"/>
    <col min="14324" max="14324" width="11.44140625" style="26"/>
    <col min="14325" max="14325" width="43.6640625" style="26" bestFit="1" customWidth="1"/>
    <col min="14326" max="14326" width="11.44140625" style="26"/>
    <col min="14327" max="14327" width="19.5546875" style="26" customWidth="1"/>
    <col min="14328" max="14328" width="15.44140625" style="26" customWidth="1"/>
    <col min="14329" max="14577" width="11.44140625" style="26"/>
    <col min="14578" max="14578" width="4.33203125" style="26" customWidth="1"/>
    <col min="14579" max="14579" width="14.6640625" style="26" customWidth="1"/>
    <col min="14580" max="14580" width="11.44140625" style="26"/>
    <col min="14581" max="14581" width="43.6640625" style="26" bestFit="1" customWidth="1"/>
    <col min="14582" max="14582" width="11.44140625" style="26"/>
    <col min="14583" max="14583" width="19.5546875" style="26" customWidth="1"/>
    <col min="14584" max="14584" width="15.44140625" style="26" customWidth="1"/>
    <col min="14585" max="14833" width="11.44140625" style="26"/>
    <col min="14834" max="14834" width="4.33203125" style="26" customWidth="1"/>
    <col min="14835" max="14835" width="14.6640625" style="26" customWidth="1"/>
    <col min="14836" max="14836" width="11.44140625" style="26"/>
    <col min="14837" max="14837" width="43.6640625" style="26" bestFit="1" customWidth="1"/>
    <col min="14838" max="14838" width="11.44140625" style="26"/>
    <col min="14839" max="14839" width="19.5546875" style="26" customWidth="1"/>
    <col min="14840" max="14840" width="15.44140625" style="26" customWidth="1"/>
    <col min="14841" max="15089" width="11.44140625" style="26"/>
    <col min="15090" max="15090" width="4.33203125" style="26" customWidth="1"/>
    <col min="15091" max="15091" width="14.6640625" style="26" customWidth="1"/>
    <col min="15092" max="15092" width="11.44140625" style="26"/>
    <col min="15093" max="15093" width="43.6640625" style="26" bestFit="1" customWidth="1"/>
    <col min="15094" max="15094" width="11.44140625" style="26"/>
    <col min="15095" max="15095" width="19.5546875" style="26" customWidth="1"/>
    <col min="15096" max="15096" width="15.44140625" style="26" customWidth="1"/>
    <col min="15097" max="15345" width="11.44140625" style="26"/>
    <col min="15346" max="15346" width="4.33203125" style="26" customWidth="1"/>
    <col min="15347" max="15347" width="14.6640625" style="26" customWidth="1"/>
    <col min="15348" max="15348" width="11.44140625" style="26"/>
    <col min="15349" max="15349" width="43.6640625" style="26" bestFit="1" customWidth="1"/>
    <col min="15350" max="15350" width="11.44140625" style="26"/>
    <col min="15351" max="15351" width="19.5546875" style="26" customWidth="1"/>
    <col min="15352" max="15352" width="15.44140625" style="26" customWidth="1"/>
    <col min="15353" max="15601" width="11.44140625" style="26"/>
    <col min="15602" max="15602" width="4.33203125" style="26" customWidth="1"/>
    <col min="15603" max="15603" width="14.6640625" style="26" customWidth="1"/>
    <col min="15604" max="15604" width="11.44140625" style="26"/>
    <col min="15605" max="15605" width="43.6640625" style="26" bestFit="1" customWidth="1"/>
    <col min="15606" max="15606" width="11.44140625" style="26"/>
    <col min="15607" max="15607" width="19.5546875" style="26" customWidth="1"/>
    <col min="15608" max="15608" width="15.44140625" style="26" customWidth="1"/>
    <col min="15609" max="15857" width="11.44140625" style="26"/>
    <col min="15858" max="15858" width="4.33203125" style="26" customWidth="1"/>
    <col min="15859" max="15859" width="14.6640625" style="26" customWidth="1"/>
    <col min="15860" max="15860" width="11.44140625" style="26"/>
    <col min="15861" max="15861" width="43.6640625" style="26" bestFit="1" customWidth="1"/>
    <col min="15862" max="15862" width="11.44140625" style="26"/>
    <col min="15863" max="15863" width="19.5546875" style="26" customWidth="1"/>
    <col min="15864" max="15864" width="15.44140625" style="26" customWidth="1"/>
    <col min="15865" max="16113" width="11.44140625" style="26"/>
    <col min="16114" max="16114" width="4.33203125" style="26" customWidth="1"/>
    <col min="16115" max="16115" width="14.6640625" style="26" customWidth="1"/>
    <col min="16116" max="16116" width="11.44140625" style="26"/>
    <col min="16117" max="16117" width="43.6640625" style="26" bestFit="1" customWidth="1"/>
    <col min="16118" max="16118" width="11.44140625" style="26"/>
    <col min="16119" max="16119" width="19.5546875" style="26" customWidth="1"/>
    <col min="16120" max="16120" width="15.44140625" style="26" customWidth="1"/>
    <col min="16121" max="16384" width="11.44140625" style="26"/>
  </cols>
  <sheetData>
    <row r="1" spans="1:16" ht="54" customHeight="1">
      <c r="C1" s="939"/>
      <c r="D1" s="939"/>
      <c r="E1" s="939"/>
      <c r="F1" s="939"/>
      <c r="G1" s="939"/>
      <c r="L1" s="7002" t="s">
        <v>3310</v>
      </c>
      <c r="M1" s="7002"/>
      <c r="N1" s="7002"/>
      <c r="O1" s="7002"/>
      <c r="P1" s="7002"/>
    </row>
    <row r="2" spans="1:16">
      <c r="B2" s="940"/>
      <c r="C2" s="940"/>
      <c r="D2" s="940"/>
      <c r="E2" s="940"/>
      <c r="F2" s="940"/>
      <c r="G2" s="940"/>
    </row>
    <row r="3" spans="1:16" ht="15" thickBot="1">
      <c r="B3" s="2118" t="s">
        <v>2439</v>
      </c>
      <c r="C3" s="3133">
        <v>2010</v>
      </c>
      <c r="D3" s="3133">
        <v>2011</v>
      </c>
      <c r="E3" s="3133">
        <v>2012</v>
      </c>
      <c r="F3" s="3133">
        <v>2013</v>
      </c>
      <c r="G3" s="3133">
        <v>2014</v>
      </c>
      <c r="H3" s="3133">
        <v>2015</v>
      </c>
      <c r="I3" s="3133">
        <v>2016</v>
      </c>
      <c r="J3" s="3133">
        <v>2017</v>
      </c>
      <c r="K3" s="3133">
        <v>2018</v>
      </c>
      <c r="L3" s="2114">
        <v>2019</v>
      </c>
      <c r="M3" s="2114">
        <v>2020</v>
      </c>
      <c r="N3" s="3270">
        <v>2021</v>
      </c>
      <c r="O3" s="3270">
        <v>2022</v>
      </c>
      <c r="P3" s="3270">
        <v>2023</v>
      </c>
    </row>
    <row r="4" spans="1:16" s="935" customFormat="1" ht="15" customHeight="1">
      <c r="A4" s="26"/>
      <c r="B4" s="3134" t="s">
        <v>102</v>
      </c>
      <c r="C4" s="3135">
        <v>0</v>
      </c>
      <c r="D4" s="3136">
        <v>0.66666666666666607</v>
      </c>
      <c r="E4" s="3137">
        <v>0</v>
      </c>
      <c r="F4" s="3138">
        <v>0</v>
      </c>
      <c r="G4" s="3139">
        <v>0</v>
      </c>
      <c r="H4" s="3140">
        <v>0.13333333333333375</v>
      </c>
      <c r="I4" s="3140">
        <v>0.10000000000000009</v>
      </c>
      <c r="J4" s="3140">
        <v>0.1</v>
      </c>
      <c r="K4" s="3141">
        <v>4.9999999999999822E-2</v>
      </c>
      <c r="L4" s="3199">
        <v>0</v>
      </c>
      <c r="M4" s="3199">
        <v>0</v>
      </c>
      <c r="N4" s="3199">
        <v>0</v>
      </c>
      <c r="O4" s="3199">
        <v>0.2</v>
      </c>
      <c r="P4" s="3199">
        <v>0.3</v>
      </c>
    </row>
    <row r="5" spans="1:16" s="935" customFormat="1" ht="15" customHeight="1">
      <c r="A5" s="26"/>
      <c r="B5" s="3142" t="s">
        <v>387</v>
      </c>
      <c r="C5" s="3143"/>
      <c r="D5" s="3144">
        <v>0</v>
      </c>
      <c r="E5" s="3145">
        <v>0.33333333333333348</v>
      </c>
      <c r="F5" s="3146">
        <v>0</v>
      </c>
      <c r="G5" s="3147">
        <v>0.20000000000000018</v>
      </c>
      <c r="H5" s="3148"/>
      <c r="I5" s="3147">
        <v>0</v>
      </c>
      <c r="J5" s="3147"/>
      <c r="K5" s="3149"/>
      <c r="L5" s="3149"/>
      <c r="M5" s="3149">
        <v>0</v>
      </c>
      <c r="N5" s="3149"/>
      <c r="O5" s="3149"/>
      <c r="P5" s="3149"/>
    </row>
    <row r="6" spans="1:16" s="935" customFormat="1" ht="15" customHeight="1">
      <c r="A6" s="26"/>
      <c r="B6" s="6585" t="s">
        <v>2861</v>
      </c>
      <c r="C6" s="3143"/>
      <c r="D6" s="3144"/>
      <c r="E6" s="3145"/>
      <c r="F6" s="3146"/>
      <c r="G6" s="3147"/>
      <c r="H6" s="3148"/>
      <c r="I6" s="4175"/>
      <c r="J6" s="4175"/>
      <c r="K6" s="3176"/>
      <c r="L6" s="3149"/>
      <c r="M6" s="3149"/>
      <c r="N6" s="3149"/>
      <c r="O6" s="3149"/>
      <c r="P6" s="3149">
        <v>0</v>
      </c>
    </row>
    <row r="7" spans="1:16" s="935" customFormat="1" ht="15" customHeight="1">
      <c r="A7" s="26"/>
      <c r="B7" s="2026" t="s">
        <v>2670</v>
      </c>
      <c r="C7" s="3143"/>
      <c r="D7" s="3144"/>
      <c r="E7" s="3145"/>
      <c r="F7" s="3146"/>
      <c r="G7" s="3147"/>
      <c r="H7" s="3148"/>
      <c r="I7" s="4175"/>
      <c r="J7" s="4175"/>
      <c r="K7" s="3176"/>
      <c r="L7" s="3149"/>
      <c r="M7" s="3149">
        <v>0</v>
      </c>
      <c r="N7" s="3149">
        <v>0</v>
      </c>
      <c r="O7" s="3149">
        <v>1</v>
      </c>
      <c r="P7" s="3149">
        <v>0</v>
      </c>
    </row>
    <row r="8" spans="1:16" s="935" customFormat="1" ht="15" customHeight="1">
      <c r="A8" s="26"/>
      <c r="B8" s="3150" t="s">
        <v>483</v>
      </c>
      <c r="C8" s="3151">
        <v>0</v>
      </c>
      <c r="D8" s="3152">
        <v>0.42105263157894701</v>
      </c>
      <c r="E8" s="3153">
        <v>0.12500000000000006</v>
      </c>
      <c r="F8" s="3154">
        <v>0</v>
      </c>
      <c r="G8" s="3155">
        <v>4.5454545454545497E-2</v>
      </c>
      <c r="H8" s="2440">
        <v>0.13333333333333375</v>
      </c>
      <c r="I8" s="2440">
        <v>8.0000000000000071E-2</v>
      </c>
      <c r="J8" s="2440"/>
      <c r="K8" s="2449">
        <v>4.9999999999999822E-2</v>
      </c>
      <c r="L8" s="3055">
        <v>0</v>
      </c>
      <c r="M8" s="3055">
        <v>0</v>
      </c>
      <c r="N8" s="3055">
        <v>0</v>
      </c>
      <c r="O8" s="3055">
        <v>0.3</v>
      </c>
      <c r="P8" s="3055">
        <v>0.15</v>
      </c>
    </row>
    <row r="9" spans="1:16" s="935" customFormat="1" ht="15" customHeight="1">
      <c r="A9" s="26"/>
      <c r="B9" s="3142" t="s">
        <v>104</v>
      </c>
      <c r="C9" s="3143">
        <v>3.6153846153846132</v>
      </c>
      <c r="D9" s="3144">
        <v>1.1818181818181825</v>
      </c>
      <c r="E9" s="3145">
        <v>2.666666666666667</v>
      </c>
      <c r="F9" s="3146">
        <v>0.30303030303030409</v>
      </c>
      <c r="G9" s="3147">
        <v>3</v>
      </c>
      <c r="H9" s="3148"/>
      <c r="I9" s="3148"/>
      <c r="J9" s="3156">
        <v>5</v>
      </c>
      <c r="K9" s="3157"/>
      <c r="L9" s="3200"/>
      <c r="M9" s="3200"/>
      <c r="N9" s="3200"/>
      <c r="O9" s="3200"/>
      <c r="P9" s="3200"/>
    </row>
    <row r="10" spans="1:16" s="935" customFormat="1" ht="15" customHeight="1">
      <c r="A10" s="26"/>
      <c r="B10" s="3113" t="s">
        <v>729</v>
      </c>
      <c r="C10" s="3143"/>
      <c r="D10" s="3144">
        <v>7</v>
      </c>
      <c r="E10" s="3145"/>
      <c r="F10" s="3146"/>
      <c r="G10" s="3147"/>
      <c r="H10" s="3148"/>
      <c r="I10" s="3148"/>
      <c r="J10" s="3156"/>
      <c r="K10" s="3157">
        <v>0</v>
      </c>
      <c r="L10" s="3200">
        <v>0</v>
      </c>
      <c r="M10" s="3200"/>
      <c r="N10" s="3200">
        <v>0</v>
      </c>
      <c r="O10" s="3200">
        <v>0</v>
      </c>
      <c r="P10" s="3200">
        <v>0.15</v>
      </c>
    </row>
    <row r="11" spans="1:16" s="935" customFormat="1" ht="28.8">
      <c r="A11" s="26"/>
      <c r="B11" s="3158" t="s">
        <v>1454</v>
      </c>
      <c r="C11" s="3143"/>
      <c r="D11" s="3144"/>
      <c r="E11" s="3145"/>
      <c r="F11" s="3146"/>
      <c r="G11" s="3147"/>
      <c r="H11" s="3148"/>
      <c r="I11" s="3148"/>
      <c r="J11" s="3156">
        <v>0.88</v>
      </c>
      <c r="K11" s="3157"/>
      <c r="L11" s="3200"/>
      <c r="M11" s="3200">
        <v>0</v>
      </c>
      <c r="N11" s="3200"/>
      <c r="O11" s="3200">
        <v>0</v>
      </c>
      <c r="P11" s="3200">
        <v>0.92</v>
      </c>
    </row>
    <row r="12" spans="1:16" s="935" customFormat="1" ht="15" customHeight="1">
      <c r="A12" s="26"/>
      <c r="B12" s="3150" t="s">
        <v>484</v>
      </c>
      <c r="C12" s="3151">
        <v>3.6153846153846132</v>
      </c>
      <c r="D12" s="3152">
        <v>1.3529411764705888</v>
      </c>
      <c r="E12" s="3153">
        <v>2.666666666666667</v>
      </c>
      <c r="F12" s="3154">
        <v>0.30303030303030409</v>
      </c>
      <c r="G12" s="3155">
        <v>3</v>
      </c>
      <c r="H12" s="3148"/>
      <c r="I12" s="3148"/>
      <c r="J12" s="3156">
        <v>1.34</v>
      </c>
      <c r="K12" s="3157">
        <v>0</v>
      </c>
      <c r="L12" s="3200">
        <v>0</v>
      </c>
      <c r="M12" s="3200">
        <v>0</v>
      </c>
      <c r="N12" s="3200">
        <v>0</v>
      </c>
      <c r="O12" s="3200">
        <v>0</v>
      </c>
      <c r="P12" s="3200">
        <v>0.54</v>
      </c>
    </row>
    <row r="13" spans="1:16" s="935" customFormat="1" ht="15" customHeight="1">
      <c r="A13" s="26"/>
      <c r="B13" s="3159" t="s">
        <v>105</v>
      </c>
      <c r="C13" s="3160">
        <v>2.8484848484848468</v>
      </c>
      <c r="D13" s="3161">
        <v>1.0188679245283021</v>
      </c>
      <c r="E13" s="3162">
        <v>0.6333333333333333</v>
      </c>
      <c r="F13" s="3163">
        <v>0.22727272727272807</v>
      </c>
      <c r="G13" s="3164">
        <v>0.17391304347826092</v>
      </c>
      <c r="H13" s="2454">
        <v>0.13333333333333375</v>
      </c>
      <c r="I13" s="2454">
        <v>8.0000000000000071E-2</v>
      </c>
      <c r="J13" s="2454">
        <v>0.48</v>
      </c>
      <c r="K13" s="2455">
        <v>4.5238095238095077E-2</v>
      </c>
      <c r="L13" s="3057">
        <v>0</v>
      </c>
      <c r="M13" s="3057">
        <v>0</v>
      </c>
      <c r="N13" s="3057">
        <v>0</v>
      </c>
      <c r="O13" s="3057">
        <v>0</v>
      </c>
      <c r="P13" s="3057">
        <v>0.37</v>
      </c>
    </row>
    <row r="14" spans="1:16" s="935" customFormat="1" ht="15" customHeight="1">
      <c r="A14" s="26"/>
      <c r="B14" s="3165" t="s">
        <v>609</v>
      </c>
      <c r="C14" s="3180"/>
      <c r="D14" s="3181"/>
      <c r="E14" s="3170"/>
      <c r="F14" s="3169">
        <v>0</v>
      </c>
      <c r="G14" s="3170">
        <v>0</v>
      </c>
      <c r="H14" s="3171">
        <v>0</v>
      </c>
      <c r="I14" s="3171">
        <v>0</v>
      </c>
      <c r="J14" s="3171">
        <v>0</v>
      </c>
      <c r="K14" s="3172">
        <v>0</v>
      </c>
      <c r="L14" s="3201"/>
      <c r="M14" s="3201"/>
      <c r="N14" s="3201"/>
      <c r="O14" s="3201"/>
      <c r="P14" s="3201">
        <v>2</v>
      </c>
    </row>
    <row r="15" spans="1:16" s="935" customFormat="1" ht="15" customHeight="1">
      <c r="A15" s="26"/>
      <c r="B15" s="3182" t="s">
        <v>487</v>
      </c>
      <c r="C15" s="3183"/>
      <c r="D15" s="3184"/>
      <c r="E15" s="3185"/>
      <c r="F15" s="3186">
        <v>0</v>
      </c>
      <c r="G15" s="3185">
        <v>0</v>
      </c>
      <c r="H15" s="3187">
        <v>0</v>
      </c>
      <c r="I15" s="3187">
        <v>0</v>
      </c>
      <c r="J15" s="3187">
        <v>0</v>
      </c>
      <c r="K15" s="3188">
        <v>0</v>
      </c>
      <c r="L15" s="3202"/>
      <c r="M15" s="3202"/>
      <c r="N15" s="3202"/>
      <c r="O15" s="3202"/>
      <c r="P15" s="3202">
        <v>2</v>
      </c>
    </row>
    <row r="16" spans="1:16" s="935" customFormat="1" ht="15" customHeight="1">
      <c r="A16" s="26"/>
      <c r="B16" s="3189" t="s">
        <v>256</v>
      </c>
      <c r="C16" s="3190"/>
      <c r="D16" s="3191"/>
      <c r="E16" s="3192"/>
      <c r="F16" s="3193">
        <v>0</v>
      </c>
      <c r="G16" s="3192">
        <v>0</v>
      </c>
      <c r="H16" s="2115">
        <v>0</v>
      </c>
      <c r="I16" s="2115">
        <v>0</v>
      </c>
      <c r="J16" s="2115">
        <v>0</v>
      </c>
      <c r="K16" s="3194">
        <v>0</v>
      </c>
      <c r="L16" s="3203"/>
      <c r="M16" s="3203"/>
      <c r="N16" s="3203"/>
      <c r="O16" s="3203"/>
      <c r="P16" s="3203">
        <v>2</v>
      </c>
    </row>
    <row r="17" spans="1:16" s="935" customFormat="1" ht="15" customHeight="1">
      <c r="A17" s="26"/>
      <c r="B17" s="3165" t="s">
        <v>2265</v>
      </c>
      <c r="C17" s="3166"/>
      <c r="D17" s="3167"/>
      <c r="E17" s="3168"/>
      <c r="F17" s="3169"/>
      <c r="G17" s="3170"/>
      <c r="H17" s="3171"/>
      <c r="I17" s="3171"/>
      <c r="J17" s="3171"/>
      <c r="K17" s="3172"/>
      <c r="L17" s="3201">
        <v>0.3</v>
      </c>
      <c r="M17" s="3201">
        <v>2</v>
      </c>
      <c r="N17" s="3201"/>
      <c r="O17" s="3201">
        <v>4</v>
      </c>
      <c r="P17" s="3201">
        <v>4</v>
      </c>
    </row>
    <row r="18" spans="1:16" s="935" customFormat="1" ht="15" customHeight="1">
      <c r="A18" s="26"/>
      <c r="B18" s="3150" t="s">
        <v>482</v>
      </c>
      <c r="C18" s="3151"/>
      <c r="D18" s="3152"/>
      <c r="E18" s="3153"/>
      <c r="F18" s="3154"/>
      <c r="G18" s="3155"/>
      <c r="H18" s="2440"/>
      <c r="I18" s="2440"/>
      <c r="J18" s="2440"/>
      <c r="K18" s="2449"/>
      <c r="L18" s="3055">
        <v>0.3</v>
      </c>
      <c r="M18" s="3055">
        <v>2</v>
      </c>
      <c r="N18" s="3055"/>
      <c r="O18" s="3055">
        <v>4</v>
      </c>
      <c r="P18" s="3055">
        <v>4</v>
      </c>
    </row>
    <row r="19" spans="1:16" s="935" customFormat="1" ht="15" customHeight="1">
      <c r="A19" s="26"/>
      <c r="B19" s="3165" t="s">
        <v>106</v>
      </c>
      <c r="C19" s="3166">
        <v>0.53333333333333321</v>
      </c>
      <c r="D19" s="3167">
        <v>0.37962962962963021</v>
      </c>
      <c r="E19" s="3168">
        <v>0.65000000000000169</v>
      </c>
      <c r="F19" s="3169">
        <v>6.25E-2</v>
      </c>
      <c r="G19" s="3170">
        <v>0</v>
      </c>
      <c r="H19" s="3171">
        <v>0</v>
      </c>
      <c r="I19" s="3171">
        <v>0</v>
      </c>
      <c r="J19" s="3171">
        <v>0.14000000000000001</v>
      </c>
      <c r="K19" s="3172">
        <v>0.12999999999999989</v>
      </c>
      <c r="L19" s="3201">
        <v>0</v>
      </c>
      <c r="M19" s="3201">
        <v>0.5</v>
      </c>
      <c r="N19" s="3201">
        <v>0</v>
      </c>
      <c r="O19" s="3201">
        <v>0</v>
      </c>
      <c r="P19" s="3201">
        <v>0</v>
      </c>
    </row>
    <row r="20" spans="1:16" s="935" customFormat="1" ht="15" customHeight="1">
      <c r="A20" s="26"/>
      <c r="B20" s="3150" t="s">
        <v>483</v>
      </c>
      <c r="C20" s="3151">
        <v>0.53333333333333321</v>
      </c>
      <c r="D20" s="3152">
        <v>0.37962962962963021</v>
      </c>
      <c r="E20" s="3153">
        <v>0.65000000000000169</v>
      </c>
      <c r="F20" s="3154">
        <v>6.25E-2</v>
      </c>
      <c r="G20" s="3155">
        <v>0</v>
      </c>
      <c r="H20" s="2440">
        <v>0</v>
      </c>
      <c r="I20" s="2440">
        <v>0</v>
      </c>
      <c r="J20" s="2440">
        <v>0.14000000000000001</v>
      </c>
      <c r="K20" s="2449">
        <v>0.12999999999999989</v>
      </c>
      <c r="L20" s="3055">
        <v>0</v>
      </c>
      <c r="M20" s="3055">
        <v>0.5</v>
      </c>
      <c r="N20" s="3055">
        <v>0</v>
      </c>
      <c r="O20" s="3055">
        <v>0</v>
      </c>
      <c r="P20" s="3055">
        <v>0</v>
      </c>
    </row>
    <row r="21" spans="1:16" s="935" customFormat="1" ht="15" customHeight="1">
      <c r="A21" s="26"/>
      <c r="B21" s="3142" t="s">
        <v>107</v>
      </c>
      <c r="C21" s="3143">
        <v>0.66666666666666652</v>
      </c>
      <c r="D21" s="3144">
        <v>1.1000000000000014</v>
      </c>
      <c r="E21" s="3145">
        <v>0.39999999999999991</v>
      </c>
      <c r="F21" s="3146">
        <v>0.61538461538461542</v>
      </c>
      <c r="G21" s="3147">
        <v>0.66666666666666652</v>
      </c>
      <c r="H21" s="3156">
        <v>0.38461538461538503</v>
      </c>
      <c r="I21" s="3156">
        <v>1.1399999999999997</v>
      </c>
      <c r="J21" s="3156">
        <v>1.21</v>
      </c>
      <c r="K21" s="3157">
        <v>1.7800000000000002</v>
      </c>
      <c r="L21" s="3200">
        <v>1</v>
      </c>
      <c r="M21" s="3200">
        <v>1.75</v>
      </c>
      <c r="N21" s="3200">
        <v>2.7</v>
      </c>
      <c r="O21" s="3200">
        <v>1.6</v>
      </c>
      <c r="P21" s="3200">
        <v>0.33</v>
      </c>
    </row>
    <row r="22" spans="1:16" s="935" customFormat="1" ht="15" customHeight="1">
      <c r="A22" s="26"/>
      <c r="B22" s="3142" t="s">
        <v>528</v>
      </c>
      <c r="C22" s="3143">
        <v>1.75</v>
      </c>
      <c r="D22" s="3144">
        <v>3</v>
      </c>
      <c r="E22" s="3145">
        <v>0</v>
      </c>
      <c r="F22" s="3146">
        <v>1.666666666666667</v>
      </c>
      <c r="G22" s="3147">
        <v>4</v>
      </c>
      <c r="H22" s="3156">
        <v>3.5714285714285712</v>
      </c>
      <c r="I22" s="3156">
        <v>3.2899999999999991</v>
      </c>
      <c r="J22" s="3156">
        <v>4</v>
      </c>
      <c r="K22" s="3157">
        <v>2.33</v>
      </c>
      <c r="L22" s="3200"/>
      <c r="M22" s="3200"/>
      <c r="N22" s="3200"/>
      <c r="O22" s="3200">
        <v>4</v>
      </c>
      <c r="P22" s="3200">
        <v>4.5</v>
      </c>
    </row>
    <row r="23" spans="1:16" s="935" customFormat="1" ht="15" customHeight="1">
      <c r="A23" s="26"/>
      <c r="B23" s="3150" t="s">
        <v>485</v>
      </c>
      <c r="C23" s="3151">
        <v>1.2083333333333333</v>
      </c>
      <c r="D23" s="3152">
        <v>1.272727272727274</v>
      </c>
      <c r="E23" s="3173">
        <v>0.35294117647058815</v>
      </c>
      <c r="F23" s="3174">
        <v>0.72413793103448276</v>
      </c>
      <c r="G23" s="3155">
        <v>2.3333333333333335</v>
      </c>
      <c r="H23" s="2440">
        <v>1.5000000000000004</v>
      </c>
      <c r="I23" s="2440">
        <v>1.856666666666666</v>
      </c>
      <c r="J23" s="2440">
        <v>1.78</v>
      </c>
      <c r="K23" s="2449">
        <v>3.3333333333333339</v>
      </c>
      <c r="L23" s="3055">
        <v>1</v>
      </c>
      <c r="M23" s="3055">
        <v>1.75</v>
      </c>
      <c r="N23" s="3055">
        <v>2.7</v>
      </c>
      <c r="O23" s="3055">
        <v>2.8</v>
      </c>
      <c r="P23" s="3055">
        <v>2</v>
      </c>
    </row>
    <row r="24" spans="1:16" s="935" customFormat="1" ht="15" customHeight="1">
      <c r="A24" s="26"/>
      <c r="B24" s="3159" t="s">
        <v>109</v>
      </c>
      <c r="C24" s="3160">
        <v>0.98333333333333328</v>
      </c>
      <c r="D24" s="3161">
        <v>0.53076923076923144</v>
      </c>
      <c r="E24" s="3162">
        <v>0.60683760683760835</v>
      </c>
      <c r="F24" s="3163">
        <v>0.48888888888888887</v>
      </c>
      <c r="G24" s="3164">
        <v>0.77777777777777779</v>
      </c>
      <c r="H24" s="2454">
        <v>0.85714285714285732</v>
      </c>
      <c r="I24" s="2454">
        <v>0.57338235294117634</v>
      </c>
      <c r="J24" s="2454">
        <v>0.96</v>
      </c>
      <c r="K24" s="2455">
        <v>0.60262295081967221</v>
      </c>
      <c r="L24" s="3057">
        <v>0.09</v>
      </c>
      <c r="M24" s="3057">
        <v>0.7</v>
      </c>
      <c r="N24" s="3057">
        <v>0.1</v>
      </c>
      <c r="O24" s="3057">
        <v>2.7</v>
      </c>
      <c r="P24" s="3057">
        <v>0.35</v>
      </c>
    </row>
    <row r="25" spans="1:16" s="935" customFormat="1" ht="15" customHeight="1">
      <c r="A25" s="26"/>
      <c r="B25" s="3165" t="s">
        <v>110</v>
      </c>
      <c r="C25" s="3166">
        <v>1.0999999999999996</v>
      </c>
      <c r="D25" s="3167">
        <v>-2</v>
      </c>
      <c r="E25" s="3170"/>
      <c r="F25" s="3169">
        <v>3</v>
      </c>
      <c r="G25" s="3170">
        <v>0.96428571428571441</v>
      </c>
      <c r="H25" s="3171">
        <v>3</v>
      </c>
      <c r="I25" s="3171">
        <v>3</v>
      </c>
      <c r="J25" s="3171">
        <v>2</v>
      </c>
      <c r="K25" s="3172">
        <v>1</v>
      </c>
      <c r="L25" s="3201">
        <v>3</v>
      </c>
      <c r="M25" s="3201">
        <v>3</v>
      </c>
      <c r="N25" s="3201">
        <v>3</v>
      </c>
      <c r="O25" s="3201">
        <v>1.2</v>
      </c>
      <c r="P25" s="3201">
        <v>1.57</v>
      </c>
    </row>
    <row r="26" spans="1:16" s="935" customFormat="1" ht="15" customHeight="1">
      <c r="A26" s="26"/>
      <c r="B26" s="3175" t="s">
        <v>133</v>
      </c>
      <c r="C26" s="3143"/>
      <c r="D26" s="3144">
        <v>1.4117647058823533</v>
      </c>
      <c r="E26" s="3145">
        <v>4</v>
      </c>
      <c r="F26" s="3174"/>
      <c r="G26" s="3155"/>
      <c r="H26" s="3148"/>
      <c r="I26" s="3148"/>
      <c r="J26" s="3156"/>
      <c r="K26" s="3157"/>
      <c r="L26" s="3200"/>
      <c r="M26" s="3200"/>
      <c r="N26" s="3200"/>
      <c r="O26" s="3200"/>
      <c r="P26" s="3200"/>
    </row>
    <row r="27" spans="1:16" s="935" customFormat="1" ht="15" customHeight="1">
      <c r="A27" s="26"/>
      <c r="B27" s="3150" t="s">
        <v>732</v>
      </c>
      <c r="C27" s="3151">
        <v>1.0999999999999996</v>
      </c>
      <c r="D27" s="3152">
        <v>1.0526315789473688</v>
      </c>
      <c r="E27" s="3153">
        <v>4</v>
      </c>
      <c r="F27" s="3154">
        <v>3</v>
      </c>
      <c r="G27" s="3155">
        <v>0.96428571428571441</v>
      </c>
      <c r="H27" s="2440">
        <v>3</v>
      </c>
      <c r="I27" s="2440">
        <v>3</v>
      </c>
      <c r="J27" s="2440">
        <v>2</v>
      </c>
      <c r="K27" s="2449">
        <v>1</v>
      </c>
      <c r="L27" s="3055">
        <v>3</v>
      </c>
      <c r="M27" s="3055">
        <v>3</v>
      </c>
      <c r="N27" s="3055">
        <v>3</v>
      </c>
      <c r="O27" s="3055">
        <v>1.2</v>
      </c>
      <c r="P27" s="3055">
        <v>1.57</v>
      </c>
    </row>
    <row r="28" spans="1:16" s="935" customFormat="1" ht="15" customHeight="1">
      <c r="A28" s="26"/>
      <c r="B28" s="3142" t="s">
        <v>137</v>
      </c>
      <c r="C28" s="3143"/>
      <c r="D28" s="3144">
        <v>3</v>
      </c>
      <c r="E28" s="3147"/>
      <c r="F28" s="3176"/>
      <c r="G28" s="3147">
        <v>3</v>
      </c>
      <c r="H28" s="3156">
        <v>2.5</v>
      </c>
      <c r="I28" s="3156">
        <v>1</v>
      </c>
      <c r="J28" s="3156">
        <v>3</v>
      </c>
      <c r="K28" s="3157">
        <v>4</v>
      </c>
      <c r="L28" s="3200"/>
      <c r="M28" s="3200"/>
      <c r="N28" s="3200"/>
      <c r="O28" s="3200"/>
      <c r="P28" s="3200"/>
    </row>
    <row r="29" spans="1:16" s="935" customFormat="1" ht="15" customHeight="1">
      <c r="A29" s="26"/>
      <c r="B29" s="3142" t="s">
        <v>111</v>
      </c>
      <c r="C29" s="3143">
        <v>0.66666666666666652</v>
      </c>
      <c r="D29" s="3144">
        <v>0</v>
      </c>
      <c r="E29" s="3145">
        <v>1.1428571428571432</v>
      </c>
      <c r="F29" s="3176"/>
      <c r="G29" s="3147">
        <v>0.88888888888888884</v>
      </c>
      <c r="H29" s="3148"/>
      <c r="I29" s="3148"/>
      <c r="J29" s="3156"/>
      <c r="K29" s="3157"/>
      <c r="L29" s="3200"/>
      <c r="M29" s="3200"/>
      <c r="N29" s="3200"/>
      <c r="O29" s="3200"/>
      <c r="P29" s="3200"/>
    </row>
    <row r="30" spans="1:16" s="935" customFormat="1" ht="15" customHeight="1">
      <c r="A30" s="26"/>
      <c r="B30" s="3150" t="s">
        <v>485</v>
      </c>
      <c r="C30" s="3151">
        <v>0.66666666666666652</v>
      </c>
      <c r="D30" s="3152">
        <v>2</v>
      </c>
      <c r="E30" s="3177">
        <v>1.1428571428571432</v>
      </c>
      <c r="F30" s="3178"/>
      <c r="G30" s="3155">
        <v>1.1000000000000001</v>
      </c>
      <c r="H30" s="2440">
        <v>2.5</v>
      </c>
      <c r="I30" s="2440">
        <v>1</v>
      </c>
      <c r="J30" s="2440">
        <v>3</v>
      </c>
      <c r="K30" s="2449">
        <v>4</v>
      </c>
      <c r="L30" s="3055"/>
      <c r="M30" s="3055"/>
      <c r="N30" s="3055"/>
      <c r="O30" s="3055"/>
      <c r="P30" s="3055"/>
    </row>
    <row r="31" spans="1:16" s="935" customFormat="1" ht="15" customHeight="1">
      <c r="A31" s="26"/>
      <c r="B31" s="3159" t="s">
        <v>412</v>
      </c>
      <c r="C31" s="3160">
        <v>1.0434782608695654</v>
      </c>
      <c r="D31" s="3161">
        <v>1.1818181818181821</v>
      </c>
      <c r="E31" s="3179">
        <v>1.5000000000000004</v>
      </c>
      <c r="F31" s="3163">
        <v>3</v>
      </c>
      <c r="G31" s="3164">
        <v>1</v>
      </c>
      <c r="H31" s="2454">
        <v>2.5714285714285716</v>
      </c>
      <c r="I31" s="2454">
        <v>1.5</v>
      </c>
      <c r="J31" s="2454">
        <v>2.8</v>
      </c>
      <c r="K31" s="2455">
        <v>1.1304347826086956</v>
      </c>
      <c r="L31" s="3057">
        <v>3</v>
      </c>
      <c r="M31" s="3057">
        <v>3</v>
      </c>
      <c r="N31" s="3057">
        <v>3</v>
      </c>
      <c r="O31" s="3057">
        <v>1.2</v>
      </c>
      <c r="P31" s="3057">
        <v>1.57</v>
      </c>
    </row>
    <row r="32" spans="1:16" s="935" customFormat="1" ht="15" customHeight="1">
      <c r="A32" s="26"/>
    </row>
    <row r="33" spans="1:16" s="935" customFormat="1" ht="15" customHeight="1">
      <c r="A33" s="26"/>
      <c r="B33" s="3189" t="s">
        <v>724</v>
      </c>
      <c r="C33" s="3195">
        <v>1.6250988142292486</v>
      </c>
      <c r="D33" s="3194">
        <v>0.72682926829268346</v>
      </c>
      <c r="E33" s="3196">
        <v>0.65806451612903338</v>
      </c>
      <c r="F33" s="3197">
        <v>0.38043478260869606</v>
      </c>
      <c r="G33" s="3198">
        <v>0.70707070707070707</v>
      </c>
      <c r="H33" s="2115">
        <v>0.84745762711864436</v>
      </c>
      <c r="I33" s="2115">
        <v>0.47464646464646459</v>
      </c>
      <c r="J33" s="2115">
        <v>0.87</v>
      </c>
      <c r="K33" s="2115">
        <v>0.59542056074766347</v>
      </c>
      <c r="L33" s="3203">
        <v>0.15</v>
      </c>
      <c r="M33" s="3203">
        <v>0.43968253968253967</v>
      </c>
      <c r="N33" s="3203">
        <v>0.4</v>
      </c>
      <c r="O33" s="3203">
        <v>0.97</v>
      </c>
      <c r="P33" s="3203">
        <v>0.45</v>
      </c>
    </row>
    <row r="34" spans="1:16" ht="43.5" customHeight="1">
      <c r="B34" s="3327" t="s">
        <v>2689</v>
      </c>
      <c r="L34" s="4559"/>
      <c r="M34" s="4559"/>
      <c r="N34" s="4913"/>
      <c r="P34" s="6581" t="s">
        <v>3366</v>
      </c>
    </row>
    <row r="35" spans="1:16" ht="14.4">
      <c r="B35" s="7003" t="s">
        <v>3370</v>
      </c>
      <c r="L35" s="4560"/>
      <c r="M35" s="4560"/>
      <c r="O35" s="6118"/>
    </row>
    <row r="36" spans="1:16">
      <c r="B36" s="7003"/>
    </row>
    <row r="38" spans="1:16" ht="31.5" customHeight="1"/>
    <row r="47" spans="1:16" ht="32.25" customHeight="1"/>
    <row r="49" ht="33.75" customHeight="1"/>
  </sheetData>
  <mergeCells count="2">
    <mergeCell ref="L1:P1"/>
    <mergeCell ref="B35:B36"/>
  </mergeCells>
  <printOptions horizontalCentered="1" verticalCentered="1"/>
  <pageMargins left="0.70866141732283472" right="0.70866141732283472" top="0.74803149606299213" bottom="0.74803149606299213" header="0.31496062992125984" footer="0.31496062992125984"/>
  <pageSetup scale="65" firstPageNumber="12" orientation="landscape" useFirstPageNumber="1" r:id="rId1"/>
  <headerFooter scaleWithDoc="0" alignWithMargins="0">
    <oddFooter>&amp;R&amp;P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47"/>
  <sheetViews>
    <sheetView workbookViewId="0">
      <selection activeCell="H28" sqref="H28"/>
    </sheetView>
  </sheetViews>
  <sheetFormatPr baseColWidth="10" defaultRowHeight="14.4"/>
  <cols>
    <col min="1" max="1" width="7.5546875" style="5317" customWidth="1"/>
    <col min="2" max="2" width="6.6640625" style="5317" bestFit="1" customWidth="1"/>
    <col min="3" max="3" width="42.6640625" style="5317" customWidth="1"/>
    <col min="4" max="4" width="6.88671875" style="5317" customWidth="1"/>
    <col min="5" max="5" width="4.5546875" style="5317" customWidth="1"/>
    <col min="6" max="6" width="8.33203125" style="5317" bestFit="1" customWidth="1"/>
    <col min="7" max="8" width="11.44140625" style="5317"/>
    <col min="9" max="9" width="6.6640625" style="4886" customWidth="1"/>
    <col min="10" max="10" width="6.6640625" style="4886" bestFit="1" customWidth="1"/>
    <col min="11" max="11" width="50.6640625" style="4886" customWidth="1"/>
    <col min="12" max="12" width="6.109375" style="4886" customWidth="1"/>
    <col min="13" max="13" width="5.33203125" style="4886" customWidth="1"/>
    <col min="14" max="14" width="8.33203125" style="4886" bestFit="1" customWidth="1"/>
    <col min="15" max="16" width="11.44140625" style="4886"/>
    <col min="17" max="17" width="10.6640625" style="4078" customWidth="1"/>
    <col min="18" max="18" width="6.5546875" style="4078" bestFit="1" customWidth="1"/>
    <col min="19" max="19" width="50.44140625" style="4078" bestFit="1" customWidth="1"/>
    <col min="20" max="20" width="13.33203125" style="4078" bestFit="1" customWidth="1"/>
    <col min="21" max="21" width="3.6640625" style="4078" customWidth="1"/>
    <col min="22" max="22" width="7.88671875" style="4078" bestFit="1" customWidth="1"/>
    <col min="23" max="23" width="11.44140625" style="4078" customWidth="1"/>
    <col min="24" max="24" width="11.5546875" style="4384"/>
    <col min="25" max="26" width="8" style="36" customWidth="1"/>
    <col min="27" max="27" width="50.44140625" style="36" bestFit="1" customWidth="1"/>
    <col min="28" max="31" width="8" style="36" customWidth="1"/>
    <col min="32" max="32" width="11.6640625" style="4172" customWidth="1"/>
    <col min="33" max="33" width="10.6640625" style="3797"/>
    <col min="34" max="34" width="7.33203125" style="3797" bestFit="1" customWidth="1"/>
    <col min="35" max="35" width="32.6640625" style="3797" bestFit="1" customWidth="1"/>
    <col min="36" max="39" width="10.6640625" style="3797"/>
    <col min="40" max="40" width="11.44140625" style="3695"/>
    <col min="41" max="41" width="9.33203125" style="32" customWidth="1"/>
    <col min="42" max="42" width="5.5546875" style="32" bestFit="1" customWidth="1"/>
    <col min="43" max="43" width="25.5546875" style="32" bestFit="1" customWidth="1"/>
    <col min="44" max="44" width="8.33203125" style="32" bestFit="1" customWidth="1"/>
    <col min="45" max="45" width="2.33203125" style="32" bestFit="1" customWidth="1"/>
    <col min="46" max="46" width="6.6640625" style="32" bestFit="1" customWidth="1"/>
    <col min="47" max="47" width="10" style="32" bestFit="1" customWidth="1"/>
    <col min="48" max="48" width="11.44140625" style="3695"/>
    <col min="49" max="49" width="13.44140625" style="2042" customWidth="1"/>
    <col min="50" max="50" width="11.44140625" style="2042"/>
    <col min="51" max="51" width="40.33203125" style="2042" bestFit="1" customWidth="1"/>
    <col min="52" max="53" width="11.44140625" style="2042"/>
    <col min="54" max="54" width="8.6640625" style="2042" bestFit="1" customWidth="1"/>
    <col min="55" max="55" width="13" style="2042" customWidth="1"/>
    <col min="56" max="56" width="11.44140625" style="2042"/>
    <col min="58" max="58" width="7" bestFit="1" customWidth="1"/>
    <col min="59" max="59" width="59.44140625" bestFit="1" customWidth="1"/>
    <col min="60" max="60" width="9.6640625" bestFit="1" customWidth="1"/>
    <col min="61" max="61" width="5.33203125" bestFit="1" customWidth="1"/>
    <col min="62" max="62" width="8.33203125" bestFit="1" customWidth="1"/>
    <col min="65" max="65" width="6.6640625" bestFit="1" customWidth="1"/>
    <col min="66" max="66" width="37.33203125" bestFit="1" customWidth="1"/>
    <col min="67" max="67" width="8.33203125" bestFit="1" customWidth="1"/>
    <col min="68" max="68" width="6.33203125" customWidth="1"/>
    <col min="69" max="69" width="8.33203125" bestFit="1" customWidth="1"/>
    <col min="72" max="72" width="8.6640625" customWidth="1"/>
    <col min="73" max="73" width="36.33203125" bestFit="1" customWidth="1"/>
    <col min="80" max="80" width="37.33203125" bestFit="1" customWidth="1"/>
    <col min="87" max="87" width="7.33203125" bestFit="1" customWidth="1"/>
    <col min="88" max="88" width="44.6640625" bestFit="1" customWidth="1"/>
    <col min="89" max="90" width="11.5546875" customWidth="1"/>
    <col min="93" max="93" width="4.33203125" customWidth="1"/>
    <col min="94" max="94" width="10.5546875" customWidth="1"/>
    <col min="95" max="95" width="8.6640625" customWidth="1"/>
    <col min="96" max="96" width="34.6640625" bestFit="1" customWidth="1"/>
    <col min="97" max="98" width="8.6640625" hidden="1" customWidth="1"/>
    <col min="99" max="102" width="8.6640625" customWidth="1"/>
    <col min="103" max="103" width="12.33203125" style="119" customWidth="1"/>
    <col min="104" max="104" width="7" style="119" bestFit="1" customWidth="1"/>
    <col min="105" max="105" width="35.6640625" customWidth="1"/>
    <col min="106" max="106" width="5.6640625" customWidth="1"/>
    <col min="107" max="107" width="17.5546875" bestFit="1" customWidth="1"/>
    <col min="108" max="108" width="13" bestFit="1" customWidth="1"/>
    <col min="109" max="109" width="8.6640625" bestFit="1" customWidth="1"/>
    <col min="110" max="110" width="0" hidden="1" customWidth="1"/>
    <col min="112" max="112" width="11.6640625" customWidth="1"/>
    <col min="114" max="114" width="36.6640625" bestFit="1" customWidth="1"/>
    <col min="358" max="358" width="4.33203125" customWidth="1"/>
    <col min="359" max="359" width="14.6640625" customWidth="1"/>
    <col min="361" max="361" width="43.6640625" bestFit="1" customWidth="1"/>
    <col min="363" max="363" width="19.5546875" customWidth="1"/>
    <col min="364" max="364" width="15.44140625" customWidth="1"/>
    <col min="614" max="614" width="4.33203125" customWidth="1"/>
    <col min="615" max="615" width="14.6640625" customWidth="1"/>
    <col min="617" max="617" width="43.6640625" bestFit="1" customWidth="1"/>
    <col min="619" max="619" width="19.5546875" customWidth="1"/>
    <col min="620" max="620" width="15.44140625" customWidth="1"/>
    <col min="870" max="870" width="4.33203125" customWidth="1"/>
    <col min="871" max="871" width="14.6640625" customWidth="1"/>
    <col min="873" max="873" width="43.6640625" bestFit="1" customWidth="1"/>
    <col min="875" max="875" width="19.5546875" customWidth="1"/>
    <col min="876" max="876" width="15.44140625" customWidth="1"/>
    <col min="1126" max="1126" width="4.33203125" customWidth="1"/>
    <col min="1127" max="1127" width="14.6640625" customWidth="1"/>
    <col min="1129" max="1129" width="43.6640625" bestFit="1" customWidth="1"/>
    <col min="1131" max="1131" width="19.5546875" customWidth="1"/>
    <col min="1132" max="1132" width="15.44140625" customWidth="1"/>
    <col min="1382" max="1382" width="4.33203125" customWidth="1"/>
    <col min="1383" max="1383" width="14.6640625" customWidth="1"/>
    <col min="1385" max="1385" width="43.6640625" bestFit="1" customWidth="1"/>
    <col min="1387" max="1387" width="19.5546875" customWidth="1"/>
    <col min="1388" max="1388" width="15.44140625" customWidth="1"/>
    <col min="1638" max="1638" width="4.33203125" customWidth="1"/>
    <col min="1639" max="1639" width="14.6640625" customWidth="1"/>
    <col min="1641" max="1641" width="43.6640625" bestFit="1" customWidth="1"/>
    <col min="1643" max="1643" width="19.5546875" customWidth="1"/>
    <col min="1644" max="1644" width="15.44140625" customWidth="1"/>
    <col min="1894" max="1894" width="4.33203125" customWidth="1"/>
    <col min="1895" max="1895" width="14.6640625" customWidth="1"/>
    <col min="1897" max="1897" width="43.6640625" bestFit="1" customWidth="1"/>
    <col min="1899" max="1899" width="19.5546875" customWidth="1"/>
    <col min="1900" max="1900" width="15.44140625" customWidth="1"/>
    <col min="2150" max="2150" width="4.33203125" customWidth="1"/>
    <col min="2151" max="2151" width="14.6640625" customWidth="1"/>
    <col min="2153" max="2153" width="43.6640625" bestFit="1" customWidth="1"/>
    <col min="2155" max="2155" width="19.5546875" customWidth="1"/>
    <col min="2156" max="2156" width="15.44140625" customWidth="1"/>
    <col min="2406" max="2406" width="4.33203125" customWidth="1"/>
    <col min="2407" max="2407" width="14.6640625" customWidth="1"/>
    <col min="2409" max="2409" width="43.6640625" bestFit="1" customWidth="1"/>
    <col min="2411" max="2411" width="19.5546875" customWidth="1"/>
    <col min="2412" max="2412" width="15.44140625" customWidth="1"/>
    <col min="2662" max="2662" width="4.33203125" customWidth="1"/>
    <col min="2663" max="2663" width="14.6640625" customWidth="1"/>
    <col min="2665" max="2665" width="43.6640625" bestFit="1" customWidth="1"/>
    <col min="2667" max="2667" width="19.5546875" customWidth="1"/>
    <col min="2668" max="2668" width="15.44140625" customWidth="1"/>
    <col min="2918" max="2918" width="4.33203125" customWidth="1"/>
    <col min="2919" max="2919" width="14.6640625" customWidth="1"/>
    <col min="2921" max="2921" width="43.6640625" bestFit="1" customWidth="1"/>
    <col min="2923" max="2923" width="19.5546875" customWidth="1"/>
    <col min="2924" max="2924" width="15.44140625" customWidth="1"/>
    <col min="3174" max="3174" width="4.33203125" customWidth="1"/>
    <col min="3175" max="3175" width="14.6640625" customWidth="1"/>
    <col min="3177" max="3177" width="43.6640625" bestFit="1" customWidth="1"/>
    <col min="3179" max="3179" width="19.5546875" customWidth="1"/>
    <col min="3180" max="3180" width="15.44140625" customWidth="1"/>
    <col min="3430" max="3430" width="4.33203125" customWidth="1"/>
    <col min="3431" max="3431" width="14.6640625" customWidth="1"/>
    <col min="3433" max="3433" width="43.6640625" bestFit="1" customWidth="1"/>
    <col min="3435" max="3435" width="19.5546875" customWidth="1"/>
    <col min="3436" max="3436" width="15.44140625" customWidth="1"/>
    <col min="3686" max="3686" width="4.33203125" customWidth="1"/>
    <col min="3687" max="3687" width="14.6640625" customWidth="1"/>
    <col min="3689" max="3689" width="43.6640625" bestFit="1" customWidth="1"/>
    <col min="3691" max="3691" width="19.5546875" customWidth="1"/>
    <col min="3692" max="3692" width="15.44140625" customWidth="1"/>
    <col min="3942" max="3942" width="4.33203125" customWidth="1"/>
    <col min="3943" max="3943" width="14.6640625" customWidth="1"/>
    <col min="3945" max="3945" width="43.6640625" bestFit="1" customWidth="1"/>
    <col min="3947" max="3947" width="19.5546875" customWidth="1"/>
    <col min="3948" max="3948" width="15.44140625" customWidth="1"/>
    <col min="4198" max="4198" width="4.33203125" customWidth="1"/>
    <col min="4199" max="4199" width="14.6640625" customWidth="1"/>
    <col min="4201" max="4201" width="43.6640625" bestFit="1" customWidth="1"/>
    <col min="4203" max="4203" width="19.5546875" customWidth="1"/>
    <col min="4204" max="4204" width="15.44140625" customWidth="1"/>
    <col min="4454" max="4454" width="4.33203125" customWidth="1"/>
    <col min="4455" max="4455" width="14.6640625" customWidth="1"/>
    <col min="4457" max="4457" width="43.6640625" bestFit="1" customWidth="1"/>
    <col min="4459" max="4459" width="19.5546875" customWidth="1"/>
    <col min="4460" max="4460" width="15.44140625" customWidth="1"/>
    <col min="4710" max="4710" width="4.33203125" customWidth="1"/>
    <col min="4711" max="4711" width="14.6640625" customWidth="1"/>
    <col min="4713" max="4713" width="43.6640625" bestFit="1" customWidth="1"/>
    <col min="4715" max="4715" width="19.5546875" customWidth="1"/>
    <col min="4716" max="4716" width="15.44140625" customWidth="1"/>
    <col min="4966" max="4966" width="4.33203125" customWidth="1"/>
    <col min="4967" max="4967" width="14.6640625" customWidth="1"/>
    <col min="4969" max="4969" width="43.6640625" bestFit="1" customWidth="1"/>
    <col min="4971" max="4971" width="19.5546875" customWidth="1"/>
    <col min="4972" max="4972" width="15.44140625" customWidth="1"/>
    <col min="5222" max="5222" width="4.33203125" customWidth="1"/>
    <col min="5223" max="5223" width="14.6640625" customWidth="1"/>
    <col min="5225" max="5225" width="43.6640625" bestFit="1" customWidth="1"/>
    <col min="5227" max="5227" width="19.5546875" customWidth="1"/>
    <col min="5228" max="5228" width="15.44140625" customWidth="1"/>
    <col min="5478" max="5478" width="4.33203125" customWidth="1"/>
    <col min="5479" max="5479" width="14.6640625" customWidth="1"/>
    <col min="5481" max="5481" width="43.6640625" bestFit="1" customWidth="1"/>
    <col min="5483" max="5483" width="19.5546875" customWidth="1"/>
    <col min="5484" max="5484" width="15.44140625" customWidth="1"/>
    <col min="5734" max="5734" width="4.33203125" customWidth="1"/>
    <col min="5735" max="5735" width="14.6640625" customWidth="1"/>
    <col min="5737" max="5737" width="43.6640625" bestFit="1" customWidth="1"/>
    <col min="5739" max="5739" width="19.5546875" customWidth="1"/>
    <col min="5740" max="5740" width="15.44140625" customWidth="1"/>
    <col min="5990" max="5990" width="4.33203125" customWidth="1"/>
    <col min="5991" max="5991" width="14.6640625" customWidth="1"/>
    <col min="5993" max="5993" width="43.6640625" bestFit="1" customWidth="1"/>
    <col min="5995" max="5995" width="19.5546875" customWidth="1"/>
    <col min="5996" max="5996" width="15.44140625" customWidth="1"/>
    <col min="6246" max="6246" width="4.33203125" customWidth="1"/>
    <col min="6247" max="6247" width="14.6640625" customWidth="1"/>
    <col min="6249" max="6249" width="43.6640625" bestFit="1" customWidth="1"/>
    <col min="6251" max="6251" width="19.5546875" customWidth="1"/>
    <col min="6252" max="6252" width="15.44140625" customWidth="1"/>
    <col min="6502" max="6502" width="4.33203125" customWidth="1"/>
    <col min="6503" max="6503" width="14.6640625" customWidth="1"/>
    <col min="6505" max="6505" width="43.6640625" bestFit="1" customWidth="1"/>
    <col min="6507" max="6507" width="19.5546875" customWidth="1"/>
    <col min="6508" max="6508" width="15.44140625" customWidth="1"/>
    <col min="6758" max="6758" width="4.33203125" customWidth="1"/>
    <col min="6759" max="6759" width="14.6640625" customWidth="1"/>
    <col min="6761" max="6761" width="43.6640625" bestFit="1" customWidth="1"/>
    <col min="6763" max="6763" width="19.5546875" customWidth="1"/>
    <col min="6764" max="6764" width="15.44140625" customWidth="1"/>
    <col min="7014" max="7014" width="4.33203125" customWidth="1"/>
    <col min="7015" max="7015" width="14.6640625" customWidth="1"/>
    <col min="7017" max="7017" width="43.6640625" bestFit="1" customWidth="1"/>
    <col min="7019" max="7019" width="19.5546875" customWidth="1"/>
    <col min="7020" max="7020" width="15.44140625" customWidth="1"/>
    <col min="7270" max="7270" width="4.33203125" customWidth="1"/>
    <col min="7271" max="7271" width="14.6640625" customWidth="1"/>
    <col min="7273" max="7273" width="43.6640625" bestFit="1" customWidth="1"/>
    <col min="7275" max="7275" width="19.5546875" customWidth="1"/>
    <col min="7276" max="7276" width="15.44140625" customWidth="1"/>
    <col min="7526" max="7526" width="4.33203125" customWidth="1"/>
    <col min="7527" max="7527" width="14.6640625" customWidth="1"/>
    <col min="7529" max="7529" width="43.6640625" bestFit="1" customWidth="1"/>
    <col min="7531" max="7531" width="19.5546875" customWidth="1"/>
    <col min="7532" max="7532" width="15.44140625" customWidth="1"/>
    <col min="7782" max="7782" width="4.33203125" customWidth="1"/>
    <col min="7783" max="7783" width="14.6640625" customWidth="1"/>
    <col min="7785" max="7785" width="43.6640625" bestFit="1" customWidth="1"/>
    <col min="7787" max="7787" width="19.5546875" customWidth="1"/>
    <col min="7788" max="7788" width="15.44140625" customWidth="1"/>
    <col min="8038" max="8038" width="4.33203125" customWidth="1"/>
    <col min="8039" max="8039" width="14.6640625" customWidth="1"/>
    <col min="8041" max="8041" width="43.6640625" bestFit="1" customWidth="1"/>
    <col min="8043" max="8043" width="19.5546875" customWidth="1"/>
    <col min="8044" max="8044" width="15.44140625" customWidth="1"/>
    <col min="8294" max="8294" width="4.33203125" customWidth="1"/>
    <col min="8295" max="8295" width="14.6640625" customWidth="1"/>
    <col min="8297" max="8297" width="43.6640625" bestFit="1" customWidth="1"/>
    <col min="8299" max="8299" width="19.5546875" customWidth="1"/>
    <col min="8300" max="8300" width="15.44140625" customWidth="1"/>
    <col min="8550" max="8550" width="4.33203125" customWidth="1"/>
    <col min="8551" max="8551" width="14.6640625" customWidth="1"/>
    <col min="8553" max="8553" width="43.6640625" bestFit="1" customWidth="1"/>
    <col min="8555" max="8555" width="19.5546875" customWidth="1"/>
    <col min="8556" max="8556" width="15.44140625" customWidth="1"/>
    <col min="8806" max="8806" width="4.33203125" customWidth="1"/>
    <col min="8807" max="8807" width="14.6640625" customWidth="1"/>
    <col min="8809" max="8809" width="43.6640625" bestFit="1" customWidth="1"/>
    <col min="8811" max="8811" width="19.5546875" customWidth="1"/>
    <col min="8812" max="8812" width="15.44140625" customWidth="1"/>
    <col min="9062" max="9062" width="4.33203125" customWidth="1"/>
    <col min="9063" max="9063" width="14.6640625" customWidth="1"/>
    <col min="9065" max="9065" width="43.6640625" bestFit="1" customWidth="1"/>
    <col min="9067" max="9067" width="19.5546875" customWidth="1"/>
    <col min="9068" max="9068" width="15.44140625" customWidth="1"/>
    <col min="9318" max="9318" width="4.33203125" customWidth="1"/>
    <col min="9319" max="9319" width="14.6640625" customWidth="1"/>
    <col min="9321" max="9321" width="43.6640625" bestFit="1" customWidth="1"/>
    <col min="9323" max="9323" width="19.5546875" customWidth="1"/>
    <col min="9324" max="9324" width="15.44140625" customWidth="1"/>
    <col min="9574" max="9574" width="4.33203125" customWidth="1"/>
    <col min="9575" max="9575" width="14.6640625" customWidth="1"/>
    <col min="9577" max="9577" width="43.6640625" bestFit="1" customWidth="1"/>
    <col min="9579" max="9579" width="19.5546875" customWidth="1"/>
    <col min="9580" max="9580" width="15.44140625" customWidth="1"/>
    <col min="9830" max="9830" width="4.33203125" customWidth="1"/>
    <col min="9831" max="9831" width="14.6640625" customWidth="1"/>
    <col min="9833" max="9833" width="43.6640625" bestFit="1" customWidth="1"/>
    <col min="9835" max="9835" width="19.5546875" customWidth="1"/>
    <col min="9836" max="9836" width="15.44140625" customWidth="1"/>
    <col min="10086" max="10086" width="4.33203125" customWidth="1"/>
    <col min="10087" max="10087" width="14.6640625" customWidth="1"/>
    <col min="10089" max="10089" width="43.6640625" bestFit="1" customWidth="1"/>
    <col min="10091" max="10091" width="19.5546875" customWidth="1"/>
    <col min="10092" max="10092" width="15.44140625" customWidth="1"/>
    <col min="10342" max="10342" width="4.33203125" customWidth="1"/>
    <col min="10343" max="10343" width="14.6640625" customWidth="1"/>
    <col min="10345" max="10345" width="43.6640625" bestFit="1" customWidth="1"/>
    <col min="10347" max="10347" width="19.5546875" customWidth="1"/>
    <col min="10348" max="10348" width="15.44140625" customWidth="1"/>
    <col min="10598" max="10598" width="4.33203125" customWidth="1"/>
    <col min="10599" max="10599" width="14.6640625" customWidth="1"/>
    <col min="10601" max="10601" width="43.6640625" bestFit="1" customWidth="1"/>
    <col min="10603" max="10603" width="19.5546875" customWidth="1"/>
    <col min="10604" max="10604" width="15.44140625" customWidth="1"/>
    <col min="10854" max="10854" width="4.33203125" customWidth="1"/>
    <col min="10855" max="10855" width="14.6640625" customWidth="1"/>
    <col min="10857" max="10857" width="43.6640625" bestFit="1" customWidth="1"/>
    <col min="10859" max="10859" width="19.5546875" customWidth="1"/>
    <col min="10860" max="10860" width="15.44140625" customWidth="1"/>
    <col min="11110" max="11110" width="4.33203125" customWidth="1"/>
    <col min="11111" max="11111" width="14.6640625" customWidth="1"/>
    <col min="11113" max="11113" width="43.6640625" bestFit="1" customWidth="1"/>
    <col min="11115" max="11115" width="19.5546875" customWidth="1"/>
    <col min="11116" max="11116" width="15.44140625" customWidth="1"/>
    <col min="11366" max="11366" width="4.33203125" customWidth="1"/>
    <col min="11367" max="11367" width="14.6640625" customWidth="1"/>
    <col min="11369" max="11369" width="43.6640625" bestFit="1" customWidth="1"/>
    <col min="11371" max="11371" width="19.5546875" customWidth="1"/>
    <col min="11372" max="11372" width="15.44140625" customWidth="1"/>
    <col min="11622" max="11622" width="4.33203125" customWidth="1"/>
    <col min="11623" max="11623" width="14.6640625" customWidth="1"/>
    <col min="11625" max="11625" width="43.6640625" bestFit="1" customWidth="1"/>
    <col min="11627" max="11627" width="19.5546875" customWidth="1"/>
    <col min="11628" max="11628" width="15.44140625" customWidth="1"/>
    <col min="11878" max="11878" width="4.33203125" customWidth="1"/>
    <col min="11879" max="11879" width="14.6640625" customWidth="1"/>
    <col min="11881" max="11881" width="43.6640625" bestFit="1" customWidth="1"/>
    <col min="11883" max="11883" width="19.5546875" customWidth="1"/>
    <col min="11884" max="11884" width="15.44140625" customWidth="1"/>
    <col min="12134" max="12134" width="4.33203125" customWidth="1"/>
    <col min="12135" max="12135" width="14.6640625" customWidth="1"/>
    <col min="12137" max="12137" width="43.6640625" bestFit="1" customWidth="1"/>
    <col min="12139" max="12139" width="19.5546875" customWidth="1"/>
    <col min="12140" max="12140" width="15.44140625" customWidth="1"/>
    <col min="12390" max="12390" width="4.33203125" customWidth="1"/>
    <col min="12391" max="12391" width="14.6640625" customWidth="1"/>
    <col min="12393" max="12393" width="43.6640625" bestFit="1" customWidth="1"/>
    <col min="12395" max="12395" width="19.5546875" customWidth="1"/>
    <col min="12396" max="12396" width="15.44140625" customWidth="1"/>
    <col min="12646" max="12646" width="4.33203125" customWidth="1"/>
    <col min="12647" max="12647" width="14.6640625" customWidth="1"/>
    <col min="12649" max="12649" width="43.6640625" bestFit="1" customWidth="1"/>
    <col min="12651" max="12651" width="19.5546875" customWidth="1"/>
    <col min="12652" max="12652" width="15.44140625" customWidth="1"/>
    <col min="12902" max="12902" width="4.33203125" customWidth="1"/>
    <col min="12903" max="12903" width="14.6640625" customWidth="1"/>
    <col min="12905" max="12905" width="43.6640625" bestFit="1" customWidth="1"/>
    <col min="12907" max="12907" width="19.5546875" customWidth="1"/>
    <col min="12908" max="12908" width="15.44140625" customWidth="1"/>
    <col min="13158" max="13158" width="4.33203125" customWidth="1"/>
    <col min="13159" max="13159" width="14.6640625" customWidth="1"/>
    <col min="13161" max="13161" width="43.6640625" bestFit="1" customWidth="1"/>
    <col min="13163" max="13163" width="19.5546875" customWidth="1"/>
    <col min="13164" max="13164" width="15.44140625" customWidth="1"/>
    <col min="13414" max="13414" width="4.33203125" customWidth="1"/>
    <col min="13415" max="13415" width="14.6640625" customWidth="1"/>
    <col min="13417" max="13417" width="43.6640625" bestFit="1" customWidth="1"/>
    <col min="13419" max="13419" width="19.5546875" customWidth="1"/>
    <col min="13420" max="13420" width="15.44140625" customWidth="1"/>
    <col min="13670" max="13670" width="4.33203125" customWidth="1"/>
    <col min="13671" max="13671" width="14.6640625" customWidth="1"/>
    <col min="13673" max="13673" width="43.6640625" bestFit="1" customWidth="1"/>
    <col min="13675" max="13675" width="19.5546875" customWidth="1"/>
    <col min="13676" max="13676" width="15.44140625" customWidth="1"/>
    <col min="13926" max="13926" width="4.33203125" customWidth="1"/>
    <col min="13927" max="13927" width="14.6640625" customWidth="1"/>
    <col min="13929" max="13929" width="43.6640625" bestFit="1" customWidth="1"/>
    <col min="13931" max="13931" width="19.5546875" customWidth="1"/>
    <col min="13932" max="13932" width="15.44140625" customWidth="1"/>
    <col min="14182" max="14182" width="4.33203125" customWidth="1"/>
    <col min="14183" max="14183" width="14.6640625" customWidth="1"/>
    <col min="14185" max="14185" width="43.6640625" bestFit="1" customWidth="1"/>
    <col min="14187" max="14187" width="19.5546875" customWidth="1"/>
    <col min="14188" max="14188" width="15.44140625" customWidth="1"/>
    <col min="14438" max="14438" width="4.33203125" customWidth="1"/>
    <col min="14439" max="14439" width="14.6640625" customWidth="1"/>
    <col min="14441" max="14441" width="43.6640625" bestFit="1" customWidth="1"/>
    <col min="14443" max="14443" width="19.5546875" customWidth="1"/>
    <col min="14444" max="14444" width="15.44140625" customWidth="1"/>
    <col min="14694" max="14694" width="4.33203125" customWidth="1"/>
    <col min="14695" max="14695" width="14.6640625" customWidth="1"/>
    <col min="14697" max="14697" width="43.6640625" bestFit="1" customWidth="1"/>
    <col min="14699" max="14699" width="19.5546875" customWidth="1"/>
    <col min="14700" max="14700" width="15.44140625" customWidth="1"/>
    <col min="14950" max="14950" width="4.33203125" customWidth="1"/>
    <col min="14951" max="14951" width="14.6640625" customWidth="1"/>
    <col min="14953" max="14953" width="43.6640625" bestFit="1" customWidth="1"/>
    <col min="14955" max="14955" width="19.5546875" customWidth="1"/>
    <col min="14956" max="14956" width="15.44140625" customWidth="1"/>
    <col min="15206" max="15206" width="4.33203125" customWidth="1"/>
    <col min="15207" max="15207" width="14.6640625" customWidth="1"/>
    <col min="15209" max="15209" width="43.6640625" bestFit="1" customWidth="1"/>
    <col min="15211" max="15211" width="19.5546875" customWidth="1"/>
    <col min="15212" max="15212" width="15.44140625" customWidth="1"/>
    <col min="15462" max="15462" width="4.33203125" customWidth="1"/>
    <col min="15463" max="15463" width="14.6640625" customWidth="1"/>
    <col min="15465" max="15465" width="43.6640625" bestFit="1" customWidth="1"/>
    <col min="15467" max="15467" width="19.5546875" customWidth="1"/>
    <col min="15468" max="15468" width="15.44140625" customWidth="1"/>
    <col min="15718" max="15718" width="4.33203125" customWidth="1"/>
    <col min="15719" max="15719" width="14.6640625" customWidth="1"/>
    <col min="15721" max="15721" width="43.6640625" bestFit="1" customWidth="1"/>
    <col min="15723" max="15723" width="19.5546875" customWidth="1"/>
    <col min="15724" max="15724" width="15.44140625" customWidth="1"/>
    <col min="15974" max="15974" width="4.33203125" customWidth="1"/>
    <col min="15975" max="15975" width="14.6640625" customWidth="1"/>
    <col min="15977" max="15977" width="43.6640625" bestFit="1" customWidth="1"/>
    <col min="15979" max="15979" width="19.5546875" customWidth="1"/>
    <col min="15980" max="15980" width="15.44140625" customWidth="1"/>
    <col min="16230" max="16230" width="4.33203125" customWidth="1"/>
    <col min="16231" max="16231" width="14.6640625" customWidth="1"/>
    <col min="16233" max="16233" width="43.6640625" bestFit="1" customWidth="1"/>
    <col min="16235" max="16235" width="19.5546875" customWidth="1"/>
    <col min="16236" max="16236" width="15.44140625" customWidth="1"/>
  </cols>
  <sheetData>
    <row r="1" spans="1:118">
      <c r="A1" s="4404" t="s">
        <v>2902</v>
      </c>
      <c r="I1" s="4404" t="s">
        <v>2902</v>
      </c>
      <c r="Q1" s="4404" t="s">
        <v>2720</v>
      </c>
      <c r="Y1" s="4236"/>
      <c r="Z1" s="4236"/>
      <c r="AA1" s="4236"/>
      <c r="AB1" s="4236"/>
      <c r="AC1" s="4236"/>
      <c r="AD1" s="4236"/>
      <c r="AE1" s="4236"/>
      <c r="BE1" s="6978" t="s">
        <v>2280</v>
      </c>
      <c r="BF1" s="6978"/>
      <c r="BG1" s="6978"/>
      <c r="BH1" s="6978"/>
      <c r="BI1" s="6978"/>
      <c r="BL1" s="6978" t="s">
        <v>1736</v>
      </c>
      <c r="BM1" s="6978"/>
      <c r="BN1" s="6978"/>
      <c r="BO1" s="6978"/>
      <c r="BP1" s="6978"/>
      <c r="BS1" s="6978" t="s">
        <v>1672</v>
      </c>
      <c r="BT1" s="6978"/>
      <c r="BU1" s="6978"/>
      <c r="BV1" s="6978"/>
      <c r="BW1" s="6978"/>
      <c r="BX1" s="6978"/>
      <c r="BZ1" s="6978" t="s">
        <v>1179</v>
      </c>
      <c r="CA1" s="6978"/>
      <c r="CB1" s="6978"/>
      <c r="CC1" s="6978"/>
      <c r="CD1" s="6978"/>
      <c r="CE1" s="6978"/>
      <c r="CG1" s="27" t="s">
        <v>1176</v>
      </c>
      <c r="CP1" s="669" t="s">
        <v>1177</v>
      </c>
      <c r="CQ1" s="594"/>
      <c r="CR1" s="594"/>
      <c r="CS1" s="594"/>
      <c r="CT1" s="594"/>
      <c r="CU1" s="594"/>
      <c r="CY1" s="414" t="s">
        <v>1178</v>
      </c>
      <c r="CZ1" s="217"/>
      <c r="DA1" s="217"/>
      <c r="DB1" s="217"/>
      <c r="DC1" s="217"/>
      <c r="DD1" s="217"/>
      <c r="DE1" s="217"/>
    </row>
    <row r="2" spans="1:118" s="1" customFormat="1" ht="15.6" customHeight="1">
      <c r="A2" s="27" t="s">
        <v>3037</v>
      </c>
      <c r="I2" s="27" t="s">
        <v>2903</v>
      </c>
      <c r="Q2" s="27" t="s">
        <v>2721</v>
      </c>
      <c r="R2" s="4087"/>
      <c r="S2" s="4405"/>
      <c r="T2" s="4405"/>
      <c r="U2" s="4405"/>
      <c r="V2" s="4405"/>
      <c r="W2" s="4405"/>
      <c r="Y2" s="4216" t="s">
        <v>2676</v>
      </c>
      <c r="Z2" s="4230"/>
      <c r="AA2" s="4388"/>
      <c r="AB2" s="4388"/>
      <c r="AC2" s="4388"/>
      <c r="AD2" s="4388"/>
      <c r="AE2" s="4388"/>
      <c r="AG2" s="7040" t="s">
        <v>2544</v>
      </c>
      <c r="AH2" s="7040"/>
      <c r="AI2" s="7040"/>
      <c r="AJ2" s="7040"/>
      <c r="AK2" s="7040"/>
      <c r="AL2" s="7040"/>
      <c r="AM2" s="7040"/>
      <c r="AO2" s="7041" t="s">
        <v>2544</v>
      </c>
      <c r="AP2" s="7041"/>
      <c r="AQ2" s="7041"/>
      <c r="AR2" s="7041"/>
      <c r="AS2" s="7041"/>
      <c r="AT2" s="7041"/>
      <c r="AU2" s="7041"/>
      <c r="AW2" s="7040" t="s">
        <v>2420</v>
      </c>
      <c r="AX2" s="7040"/>
      <c r="AY2" s="7040"/>
      <c r="AZ2" s="7040"/>
      <c r="BA2" s="7040"/>
      <c r="BB2" s="3694"/>
      <c r="BE2" s="6978"/>
      <c r="BF2" s="6978"/>
      <c r="BG2" s="6978"/>
      <c r="BH2" s="6978"/>
      <c r="BI2" s="6978"/>
      <c r="BJ2" s="3694"/>
      <c r="BL2" s="6978"/>
      <c r="BM2" s="6978"/>
      <c r="BN2" s="6978"/>
      <c r="BO2" s="6978"/>
      <c r="BP2" s="6978"/>
      <c r="BS2" s="6978"/>
      <c r="BT2" s="6978"/>
      <c r="BU2" s="6978"/>
      <c r="BV2" s="6978"/>
      <c r="BW2" s="6978"/>
      <c r="BX2" s="6978"/>
      <c r="BY2" s="3743"/>
      <c r="BZ2" s="6978"/>
      <c r="CA2" s="6978"/>
      <c r="CB2" s="6978"/>
      <c r="CC2" s="6978"/>
      <c r="CD2" s="6978"/>
      <c r="CE2" s="6978"/>
      <c r="CG2" s="670" t="s">
        <v>1180</v>
      </c>
      <c r="CP2" s="1324" t="s">
        <v>1181</v>
      </c>
      <c r="CQ2" s="3476"/>
      <c r="CR2" s="3744"/>
      <c r="CS2" s="3744"/>
      <c r="CT2" s="3744"/>
      <c r="CU2" s="3744"/>
      <c r="CY2" s="3745" t="s">
        <v>1182</v>
      </c>
      <c r="CZ2" s="351"/>
      <c r="DA2" s="351"/>
      <c r="DB2" s="351"/>
      <c r="DC2" s="351"/>
      <c r="DD2" s="351"/>
      <c r="DE2" s="351"/>
      <c r="DH2" s="1303"/>
    </row>
    <row r="3" spans="1:118" ht="15.6">
      <c r="A3" s="2026" t="s">
        <v>2904</v>
      </c>
      <c r="F3" s="7036" t="s">
        <v>3030</v>
      </c>
      <c r="G3" s="7036"/>
      <c r="I3" s="2026" t="s">
        <v>2904</v>
      </c>
      <c r="N3" s="7017" t="s">
        <v>2887</v>
      </c>
      <c r="O3" s="7017"/>
      <c r="Q3" s="37" t="s">
        <v>2762</v>
      </c>
      <c r="R3" s="4245"/>
      <c r="S3" s="27"/>
      <c r="T3" s="4245"/>
      <c r="U3" s="4245"/>
      <c r="V3" s="4406"/>
      <c r="W3" s="4245"/>
      <c r="Y3" s="5010" t="s">
        <v>2677</v>
      </c>
      <c r="Z3" s="5011"/>
      <c r="AA3" s="4236"/>
      <c r="AB3" s="4236"/>
      <c r="AC3" s="4236"/>
      <c r="AD3" s="4236"/>
      <c r="AE3" s="4236"/>
      <c r="AG3" s="513" t="s">
        <v>2565</v>
      </c>
      <c r="AH3" s="8"/>
      <c r="AI3" s="8"/>
      <c r="AJ3" s="8"/>
      <c r="AK3" s="8"/>
      <c r="AL3" s="8"/>
      <c r="AM3" s="8"/>
      <c r="AO3" s="1520" t="s">
        <v>2545</v>
      </c>
      <c r="AW3" s="27" t="s">
        <v>2421</v>
      </c>
      <c r="BE3" s="2026" t="s">
        <v>2276</v>
      </c>
      <c r="BF3" s="37"/>
      <c r="BG3" s="37"/>
      <c r="BH3" s="37"/>
      <c r="BI3" s="37"/>
      <c r="BJ3" s="37"/>
      <c r="BL3" s="61" t="s">
        <v>1737</v>
      </c>
      <c r="BS3" s="1270" t="s">
        <v>1669</v>
      </c>
      <c r="BZ3" s="672" t="s">
        <v>1183</v>
      </c>
      <c r="CA3" s="673"/>
      <c r="CB3" s="673"/>
      <c r="CC3" s="673"/>
      <c r="CD3" s="673"/>
      <c r="CE3" s="673"/>
      <c r="CG3" s="671" t="s">
        <v>1184</v>
      </c>
      <c r="CY3" s="674"/>
      <c r="CZ3" s="674"/>
      <c r="DA3" s="674"/>
      <c r="DB3" s="674"/>
      <c r="DC3" s="674"/>
      <c r="DD3" s="674"/>
      <c r="DE3" s="61"/>
      <c r="DH3" s="61"/>
    </row>
    <row r="4" spans="1:118" ht="16.2" thickBot="1">
      <c r="Q4" s="4245"/>
      <c r="R4" s="4245"/>
      <c r="T4" s="4245"/>
      <c r="U4" s="4245"/>
      <c r="V4" s="4245"/>
      <c r="W4" s="4245"/>
      <c r="Y4" s="4236"/>
      <c r="Z4" s="4236"/>
      <c r="AA4" s="4236"/>
      <c r="AB4" s="4236"/>
      <c r="AC4" s="4236"/>
      <c r="AD4" s="4236"/>
      <c r="AE4" s="4236"/>
      <c r="AG4" s="2053"/>
      <c r="AH4" s="2053"/>
      <c r="AI4" s="2053"/>
      <c r="AJ4" s="2053"/>
      <c r="AK4" s="2053"/>
      <c r="AL4" s="2053"/>
      <c r="AM4" s="2053"/>
      <c r="AO4" s="3802"/>
      <c r="AP4" s="3802"/>
      <c r="AQ4" s="3802"/>
      <c r="AR4" s="3802"/>
      <c r="AS4" s="3802"/>
      <c r="AT4" s="3802"/>
      <c r="AU4" s="3802"/>
      <c r="BE4" s="37" t="s">
        <v>2277</v>
      </c>
      <c r="BF4" s="37"/>
      <c r="BG4" s="37"/>
      <c r="BH4" s="37"/>
      <c r="BI4" s="37"/>
      <c r="BJ4" s="37"/>
      <c r="BL4" s="935"/>
      <c r="BM4" s="935"/>
      <c r="BN4" s="935"/>
      <c r="BO4" s="7035">
        <v>2016</v>
      </c>
      <c r="BP4" s="7035"/>
      <c r="BQ4" s="7035"/>
      <c r="BV4" s="7035">
        <v>2015</v>
      </c>
      <c r="BW4" s="7035"/>
      <c r="BX4" s="7035"/>
      <c r="CC4" s="7038">
        <v>2014</v>
      </c>
      <c r="CD4" s="7038"/>
      <c r="CE4" s="7038"/>
      <c r="CG4" s="675"/>
      <c r="CH4" s="675"/>
      <c r="CI4" s="675"/>
      <c r="CJ4" s="675"/>
      <c r="CK4" s="7039">
        <v>2013</v>
      </c>
      <c r="CL4" s="7039"/>
      <c r="CM4" s="7039"/>
      <c r="CN4" s="7039"/>
      <c r="CP4" s="577"/>
      <c r="CQ4" s="577"/>
      <c r="CR4" s="577"/>
      <c r="CS4" s="7032">
        <v>2012</v>
      </c>
      <c r="CT4" s="7032"/>
      <c r="CU4" s="7032"/>
      <c r="CV4" s="7032"/>
      <c r="CW4" s="7032"/>
      <c r="CY4" s="63"/>
      <c r="CZ4" s="63"/>
      <c r="DA4" s="37"/>
      <c r="DB4" s="7032">
        <v>2011</v>
      </c>
      <c r="DC4" s="7032"/>
      <c r="DD4" s="7032"/>
      <c r="DE4" s="7032"/>
      <c r="DK4" s="7032">
        <v>2010</v>
      </c>
      <c r="DL4" s="7032"/>
      <c r="DM4" s="7032"/>
      <c r="DN4" s="7032"/>
    </row>
    <row r="5" spans="1:118" ht="30.75" customHeight="1" thickBot="1">
      <c r="A5" s="4354" t="s">
        <v>0</v>
      </c>
      <c r="B5" s="4354" t="s">
        <v>1</v>
      </c>
      <c r="C5" s="4354" t="s">
        <v>2</v>
      </c>
      <c r="D5" s="4407" t="s">
        <v>2726</v>
      </c>
      <c r="E5" s="4354" t="s">
        <v>1185</v>
      </c>
      <c r="F5" s="5012" t="s">
        <v>1122</v>
      </c>
      <c r="G5" s="4407" t="s">
        <v>1190</v>
      </c>
      <c r="I5" s="4354" t="s">
        <v>0</v>
      </c>
      <c r="J5" s="4354" t="s">
        <v>1</v>
      </c>
      <c r="K5" s="4354" t="s">
        <v>2</v>
      </c>
      <c r="L5" s="4407" t="s">
        <v>2726</v>
      </c>
      <c r="M5" s="4354" t="s">
        <v>1185</v>
      </c>
      <c r="N5" s="5012" t="s">
        <v>1122</v>
      </c>
      <c r="O5" s="4407" t="s">
        <v>1190</v>
      </c>
      <c r="Q5" s="4247" t="s">
        <v>0</v>
      </c>
      <c r="R5" s="4247" t="s">
        <v>1</v>
      </c>
      <c r="S5" s="4247" t="s">
        <v>2</v>
      </c>
      <c r="T5" s="4407" t="s">
        <v>2726</v>
      </c>
      <c r="U5" s="4354" t="s">
        <v>1185</v>
      </c>
      <c r="V5" s="4408" t="s">
        <v>1122</v>
      </c>
      <c r="W5" s="4409" t="s">
        <v>1190</v>
      </c>
      <c r="Y5" s="4233" t="s">
        <v>0</v>
      </c>
      <c r="Z5" s="4233" t="s">
        <v>1</v>
      </c>
      <c r="AA5" s="4233" t="s">
        <v>2</v>
      </c>
      <c r="AB5" s="4234" t="s">
        <v>1187</v>
      </c>
      <c r="AC5" s="4242" t="s">
        <v>1185</v>
      </c>
      <c r="AD5" s="4389" t="s">
        <v>1122</v>
      </c>
      <c r="AE5" s="4291" t="s">
        <v>1190</v>
      </c>
      <c r="AG5" s="474" t="s">
        <v>0</v>
      </c>
      <c r="AH5" s="474" t="s">
        <v>1</v>
      </c>
      <c r="AI5" s="474" t="s">
        <v>2</v>
      </c>
      <c r="AJ5" s="423" t="s">
        <v>2546</v>
      </c>
      <c r="AK5" s="423" t="s">
        <v>1185</v>
      </c>
      <c r="AL5" s="2051" t="s">
        <v>1122</v>
      </c>
      <c r="AM5" s="3824" t="s">
        <v>1190</v>
      </c>
      <c r="AO5" s="3804" t="s">
        <v>0</v>
      </c>
      <c r="AP5" s="3804" t="s">
        <v>1</v>
      </c>
      <c r="AQ5" s="3804" t="s">
        <v>2</v>
      </c>
      <c r="AR5" s="3803" t="s">
        <v>2546</v>
      </c>
      <c r="AS5" s="3803" t="s">
        <v>1185</v>
      </c>
      <c r="AT5" s="3823" t="s">
        <v>1122</v>
      </c>
      <c r="AU5" s="3824" t="s">
        <v>1190</v>
      </c>
      <c r="AW5" s="423" t="s">
        <v>0</v>
      </c>
      <c r="AX5" s="423" t="s">
        <v>1</v>
      </c>
      <c r="AY5" s="423" t="s">
        <v>2</v>
      </c>
      <c r="AZ5" s="423" t="s">
        <v>1014</v>
      </c>
      <c r="BA5" s="423" t="s">
        <v>1185</v>
      </c>
      <c r="BB5" s="2051" t="s">
        <v>1122</v>
      </c>
      <c r="BC5" s="47" t="s">
        <v>1190</v>
      </c>
      <c r="BD5" s="47"/>
      <c r="BE5" s="423" t="s">
        <v>0</v>
      </c>
      <c r="BF5" s="423" t="s">
        <v>1</v>
      </c>
      <c r="BG5" s="423" t="s">
        <v>2</v>
      </c>
      <c r="BH5" s="423" t="s">
        <v>2278</v>
      </c>
      <c r="BI5" s="490" t="s">
        <v>2256</v>
      </c>
      <c r="BJ5" s="678" t="s">
        <v>1122</v>
      </c>
      <c r="BL5" s="398" t="s">
        <v>0</v>
      </c>
      <c r="BM5" s="398" t="s">
        <v>1</v>
      </c>
      <c r="BN5" s="398" t="s">
        <v>2</v>
      </c>
      <c r="BO5" s="398" t="s">
        <v>1738</v>
      </c>
      <c r="BP5" s="398" t="s">
        <v>1185</v>
      </c>
      <c r="BQ5" s="678" t="s">
        <v>1122</v>
      </c>
      <c r="BS5" s="863" t="s">
        <v>0</v>
      </c>
      <c r="BT5" s="863" t="s">
        <v>1</v>
      </c>
      <c r="BU5" s="863" t="s">
        <v>2</v>
      </c>
      <c r="BV5" s="863" t="s">
        <v>1670</v>
      </c>
      <c r="BW5" s="863" t="s">
        <v>1185</v>
      </c>
      <c r="BX5" s="678" t="s">
        <v>1122</v>
      </c>
      <c r="BZ5" s="676" t="s">
        <v>0</v>
      </c>
      <c r="CA5" s="676" t="s">
        <v>1</v>
      </c>
      <c r="CB5" s="676" t="s">
        <v>2</v>
      </c>
      <c r="CC5" s="677" t="s">
        <v>1014</v>
      </c>
      <c r="CD5" s="677" t="s">
        <v>1185</v>
      </c>
      <c r="CE5" s="678" t="s">
        <v>1122</v>
      </c>
      <c r="CG5" s="597" t="s">
        <v>878</v>
      </c>
      <c r="CH5" s="597" t="s">
        <v>0</v>
      </c>
      <c r="CI5" s="597" t="s">
        <v>1</v>
      </c>
      <c r="CJ5" s="597" t="s">
        <v>2</v>
      </c>
      <c r="CK5" s="597" t="s">
        <v>1014</v>
      </c>
      <c r="CL5" s="597" t="s">
        <v>1185</v>
      </c>
      <c r="CM5" s="597" t="s">
        <v>1186</v>
      </c>
      <c r="CN5" s="678" t="s">
        <v>1122</v>
      </c>
      <c r="CP5" s="575" t="s">
        <v>0</v>
      </c>
      <c r="CQ5" s="575" t="s">
        <v>1</v>
      </c>
      <c r="CR5" s="575" t="s">
        <v>2</v>
      </c>
      <c r="CS5" s="679" t="s">
        <v>1187</v>
      </c>
      <c r="CT5" s="679" t="s">
        <v>1122</v>
      </c>
      <c r="CU5" s="679" t="s">
        <v>1185</v>
      </c>
      <c r="CV5" s="679" t="s">
        <v>1188</v>
      </c>
      <c r="CW5" s="680" t="s">
        <v>1122</v>
      </c>
      <c r="CY5" s="423" t="s">
        <v>0</v>
      </c>
      <c r="CZ5" s="423" t="s">
        <v>1</v>
      </c>
      <c r="DA5" s="423" t="s">
        <v>2</v>
      </c>
      <c r="DB5" s="681" t="s">
        <v>1185</v>
      </c>
      <c r="DC5" s="47" t="s">
        <v>1189</v>
      </c>
      <c r="DD5" s="47" t="s">
        <v>1190</v>
      </c>
      <c r="DE5" s="682" t="s">
        <v>1122</v>
      </c>
      <c r="DH5" s="683" t="s">
        <v>0</v>
      </c>
      <c r="DI5" s="683" t="s">
        <v>1</v>
      </c>
      <c r="DJ5" s="683" t="s">
        <v>2</v>
      </c>
      <c r="DK5" s="683" t="s">
        <v>1014</v>
      </c>
      <c r="DL5" s="683" t="s">
        <v>1121</v>
      </c>
      <c r="DM5" s="684" t="s">
        <v>1123</v>
      </c>
      <c r="DN5" s="685" t="s">
        <v>1124</v>
      </c>
    </row>
    <row r="6" spans="1:118">
      <c r="A6" s="5777">
        <v>1</v>
      </c>
      <c r="B6" s="5777">
        <v>2</v>
      </c>
      <c r="C6" s="5778" t="s">
        <v>2366</v>
      </c>
      <c r="D6" s="5776">
        <v>3</v>
      </c>
      <c r="E6" s="5777">
        <v>2</v>
      </c>
      <c r="F6" s="4410">
        <f>D6-G6</f>
        <v>0</v>
      </c>
      <c r="G6" s="97">
        <v>3</v>
      </c>
      <c r="I6" s="5020" t="s">
        <v>1144</v>
      </c>
      <c r="J6" s="5020" t="s">
        <v>16</v>
      </c>
      <c r="K6" s="5015" t="s">
        <v>2366</v>
      </c>
      <c r="L6" s="5026">
        <v>3</v>
      </c>
      <c r="M6" s="5016">
        <v>2</v>
      </c>
      <c r="N6" s="4410">
        <f>L6-O6</f>
        <v>0</v>
      </c>
      <c r="O6" s="97">
        <v>3</v>
      </c>
      <c r="Q6" s="4245" t="s">
        <v>3</v>
      </c>
      <c r="R6" s="4245" t="s">
        <v>16</v>
      </c>
      <c r="S6" s="4422" t="s">
        <v>2366</v>
      </c>
      <c r="T6" s="4428">
        <v>3</v>
      </c>
      <c r="U6" s="4429">
        <v>4</v>
      </c>
      <c r="V6" s="4410">
        <f>T6-W6</f>
        <v>0</v>
      </c>
      <c r="W6" s="4326">
        <v>3</v>
      </c>
      <c r="Y6" s="4236" t="s">
        <v>3</v>
      </c>
      <c r="Z6" s="4236" t="s">
        <v>16</v>
      </c>
      <c r="AA6" s="4236" t="s">
        <v>387</v>
      </c>
      <c r="AB6" s="4237">
        <v>3</v>
      </c>
      <c r="AC6" s="4237">
        <v>6</v>
      </c>
      <c r="AD6" s="4390">
        <f>AB6-AE6</f>
        <v>0</v>
      </c>
      <c r="AE6" s="4237">
        <v>3</v>
      </c>
      <c r="AG6" s="37" t="s">
        <v>3</v>
      </c>
      <c r="AH6" s="37" t="s">
        <v>16</v>
      </c>
      <c r="AI6" s="37" t="s">
        <v>102</v>
      </c>
      <c r="AJ6" s="63">
        <v>3</v>
      </c>
      <c r="AK6" s="63">
        <v>13</v>
      </c>
      <c r="AL6" s="3839">
        <f>AJ6-AM6</f>
        <v>0</v>
      </c>
      <c r="AM6" s="63">
        <v>3</v>
      </c>
      <c r="AO6" s="32" t="s">
        <v>3</v>
      </c>
      <c r="AP6" s="32" t="s">
        <v>16</v>
      </c>
      <c r="AQ6" s="32" t="s">
        <v>102</v>
      </c>
      <c r="AR6" s="1518">
        <v>3</v>
      </c>
      <c r="AS6" s="1518">
        <v>13</v>
      </c>
      <c r="AT6" s="3825">
        <f>AR6-AU6</f>
        <v>0</v>
      </c>
      <c r="AU6" s="1518">
        <v>3</v>
      </c>
      <c r="AW6" s="37" t="s">
        <v>3</v>
      </c>
      <c r="AX6" s="37" t="s">
        <v>16</v>
      </c>
      <c r="AY6" s="37" t="s">
        <v>102</v>
      </c>
      <c r="AZ6" s="694">
        <v>3.05</v>
      </c>
      <c r="BA6" s="63">
        <v>19</v>
      </c>
      <c r="BB6" s="1243">
        <f>AZ6-BC6</f>
        <v>4.9999999999999822E-2</v>
      </c>
      <c r="BC6" s="63">
        <v>3</v>
      </c>
      <c r="BD6" s="63"/>
      <c r="BE6" s="51" t="s">
        <v>3</v>
      </c>
      <c r="BF6" s="85" t="s">
        <v>16</v>
      </c>
      <c r="BG6" s="51" t="s">
        <v>102</v>
      </c>
      <c r="BH6" s="837">
        <v>3.1</v>
      </c>
      <c r="BI6" s="85">
        <v>20</v>
      </c>
      <c r="BJ6" s="1243">
        <f>BH6-3</f>
        <v>0.10000000000000009</v>
      </c>
      <c r="BL6" s="97" t="s">
        <v>3</v>
      </c>
      <c r="BM6" s="97" t="s">
        <v>16</v>
      </c>
      <c r="BN6" s="42" t="s">
        <v>102</v>
      </c>
      <c r="BO6" s="134">
        <v>3.1</v>
      </c>
      <c r="BP6" s="1701">
        <v>20</v>
      </c>
      <c r="BQ6" s="1243">
        <f>BO6-3</f>
        <v>0.10000000000000009</v>
      </c>
      <c r="BS6" s="742" t="s">
        <v>3</v>
      </c>
      <c r="BT6" s="742" t="s">
        <v>16</v>
      </c>
      <c r="BU6" s="981" t="s">
        <v>102</v>
      </c>
      <c r="BV6" s="1241">
        <v>3.1333333333333337</v>
      </c>
      <c r="BW6" s="1242">
        <v>15</v>
      </c>
      <c r="BX6" s="1243">
        <f>BV6-3</f>
        <v>0.13333333333333375</v>
      </c>
      <c r="BZ6" s="686" t="s">
        <v>3</v>
      </c>
      <c r="CA6" s="686" t="s">
        <v>16</v>
      </c>
      <c r="CB6" s="687" t="s">
        <v>102</v>
      </c>
      <c r="CC6" s="688">
        <v>3</v>
      </c>
      <c r="CD6" s="689">
        <v>17</v>
      </c>
      <c r="CE6" s="688">
        <f>CC6-3</f>
        <v>0</v>
      </c>
      <c r="CG6" s="614" t="s">
        <v>645</v>
      </c>
      <c r="CH6" s="613" t="s">
        <v>3</v>
      </c>
      <c r="CI6" s="613" t="s">
        <v>16</v>
      </c>
      <c r="CJ6" s="389" t="s">
        <v>102</v>
      </c>
      <c r="CK6" s="391">
        <v>3</v>
      </c>
      <c r="CL6" s="390">
        <v>11</v>
      </c>
      <c r="CM6" s="690">
        <v>0</v>
      </c>
      <c r="CN6" s="391">
        <f>CK6-3</f>
        <v>0</v>
      </c>
      <c r="CP6" s="540" t="s">
        <v>3</v>
      </c>
      <c r="CQ6" s="540" t="s">
        <v>16</v>
      </c>
      <c r="CR6" s="541" t="s">
        <v>102</v>
      </c>
      <c r="CS6" s="691">
        <v>3</v>
      </c>
      <c r="CT6" s="691">
        <f>CS6-3</f>
        <v>0</v>
      </c>
      <c r="CU6" s="543">
        <v>15</v>
      </c>
      <c r="CV6" s="692">
        <v>3</v>
      </c>
      <c r="CW6" s="693">
        <f>CV6-3</f>
        <v>0</v>
      </c>
      <c r="CY6" s="63" t="s">
        <v>3</v>
      </c>
      <c r="CZ6" s="63" t="s">
        <v>16</v>
      </c>
      <c r="DA6" s="37" t="s">
        <v>102</v>
      </c>
      <c r="DB6" s="63">
        <v>12</v>
      </c>
      <c r="DC6" s="694">
        <v>3.6666666666666661</v>
      </c>
      <c r="DD6" s="63">
        <v>3</v>
      </c>
      <c r="DE6" s="694">
        <f>+DC6-DD6</f>
        <v>0.66666666666666607</v>
      </c>
      <c r="DH6" s="695" t="s">
        <v>3</v>
      </c>
      <c r="DI6" s="696" t="s">
        <v>16</v>
      </c>
      <c r="DJ6" s="695" t="s">
        <v>102</v>
      </c>
      <c r="DK6" s="697">
        <v>3</v>
      </c>
      <c r="DL6" s="696">
        <v>7</v>
      </c>
      <c r="DM6" s="698">
        <v>3</v>
      </c>
      <c r="DN6" s="699">
        <f>DK6-3</f>
        <v>0</v>
      </c>
    </row>
    <row r="7" spans="1:118">
      <c r="A7" s="5777">
        <v>1</v>
      </c>
      <c r="B7" s="5777">
        <v>2</v>
      </c>
      <c r="C7" s="5778" t="s">
        <v>2066</v>
      </c>
      <c r="D7" s="5776">
        <v>3</v>
      </c>
      <c r="E7" s="5777">
        <v>9</v>
      </c>
      <c r="F7" s="4410">
        <f t="shared" ref="F7:F17" si="0">D7-G7</f>
        <v>0</v>
      </c>
      <c r="G7" s="97">
        <v>3</v>
      </c>
      <c r="I7" s="5020"/>
      <c r="J7" s="5020"/>
      <c r="K7" s="5015" t="s">
        <v>2066</v>
      </c>
      <c r="L7" s="5026">
        <v>3</v>
      </c>
      <c r="M7" s="5016">
        <v>8</v>
      </c>
      <c r="N7" s="4410">
        <f t="shared" ref="N7:N17" si="1">L7-O7</f>
        <v>0</v>
      </c>
      <c r="O7" s="97">
        <v>3</v>
      </c>
      <c r="Q7" s="4245"/>
      <c r="R7" s="4245"/>
      <c r="S7" s="4422" t="s">
        <v>2066</v>
      </c>
      <c r="T7" s="4428">
        <v>3</v>
      </c>
      <c r="U7" s="4429">
        <v>12</v>
      </c>
      <c r="V7" s="4410">
        <f>T7-W7</f>
        <v>0</v>
      </c>
      <c r="W7" s="4326">
        <v>3</v>
      </c>
      <c r="Y7" s="4236"/>
      <c r="Z7" s="4236"/>
      <c r="AA7" s="4236" t="s">
        <v>2670</v>
      </c>
      <c r="AB7" s="4237">
        <v>3</v>
      </c>
      <c r="AC7" s="4237">
        <v>2</v>
      </c>
      <c r="AD7" s="4390">
        <f>AB7-AE7</f>
        <v>0</v>
      </c>
      <c r="AE7" s="4237">
        <v>3</v>
      </c>
      <c r="AG7" s="37"/>
      <c r="AH7" s="37"/>
      <c r="AI7" s="416" t="s">
        <v>15</v>
      </c>
      <c r="AJ7" s="3795">
        <v>3</v>
      </c>
      <c r="AK7" s="3795">
        <v>13</v>
      </c>
      <c r="AL7" s="3839">
        <f>AJ7-AM7</f>
        <v>0</v>
      </c>
      <c r="AM7" s="63">
        <v>3</v>
      </c>
      <c r="AQ7" s="1520" t="s">
        <v>483</v>
      </c>
      <c r="AR7" s="3806">
        <v>3</v>
      </c>
      <c r="AS7" s="3806">
        <v>13</v>
      </c>
      <c r="AT7" s="3825">
        <f>AR7-AU7</f>
        <v>0</v>
      </c>
      <c r="AU7" s="1518">
        <v>3</v>
      </c>
      <c r="AW7" s="37"/>
      <c r="AX7" s="37"/>
      <c r="AY7" s="416" t="s">
        <v>483</v>
      </c>
      <c r="AZ7" s="707">
        <v>3.05</v>
      </c>
      <c r="BA7" s="2040">
        <v>19</v>
      </c>
      <c r="BB7" s="1247">
        <f t="shared" ref="BB7:BB25" si="2">AZ7-BC7</f>
        <v>4.9999999999999822E-2</v>
      </c>
      <c r="BC7" s="63">
        <v>3</v>
      </c>
      <c r="BD7" s="63"/>
      <c r="BE7" s="51"/>
      <c r="BF7" s="85"/>
      <c r="BG7" s="1689" t="s">
        <v>483</v>
      </c>
      <c r="BH7" s="1690">
        <v>3.1</v>
      </c>
      <c r="BI7" s="1691">
        <v>20</v>
      </c>
      <c r="BJ7" s="1247">
        <f>BH7-3</f>
        <v>0.10000000000000009</v>
      </c>
      <c r="BL7" s="97"/>
      <c r="BM7" s="97"/>
      <c r="BN7" s="42" t="s">
        <v>387</v>
      </c>
      <c r="BO7" s="134">
        <v>3</v>
      </c>
      <c r="BP7" s="1701">
        <v>5</v>
      </c>
      <c r="BQ7" s="1243">
        <f t="shared" ref="BQ7:BQ26" si="3">BO7-3</f>
        <v>0</v>
      </c>
      <c r="BS7" s="742"/>
      <c r="BT7" s="742"/>
      <c r="BU7" s="981"/>
      <c r="BV7" s="1241"/>
      <c r="BW7" s="1242"/>
      <c r="BX7" s="1243"/>
      <c r="BZ7" s="686"/>
      <c r="CA7" s="686"/>
      <c r="CB7" s="687" t="s">
        <v>387</v>
      </c>
      <c r="CC7" s="688">
        <v>3.2</v>
      </c>
      <c r="CD7" s="689">
        <v>5</v>
      </c>
      <c r="CE7" s="688">
        <f t="shared" ref="CE7:CE26" si="4">CC7-3</f>
        <v>0.20000000000000018</v>
      </c>
      <c r="CG7" s="613"/>
      <c r="CH7" s="613"/>
      <c r="CI7" s="613"/>
      <c r="CJ7" s="389"/>
      <c r="CK7" s="391"/>
      <c r="CL7" s="390"/>
      <c r="CM7" s="690"/>
      <c r="CN7" s="391"/>
      <c r="CP7" s="540"/>
      <c r="CQ7" s="540"/>
      <c r="CR7" s="541" t="s">
        <v>387</v>
      </c>
      <c r="CS7" s="691">
        <v>3</v>
      </c>
      <c r="CT7" s="691">
        <f t="shared" ref="CT7:CT14" si="5">CS7-3</f>
        <v>0</v>
      </c>
      <c r="CU7" s="543">
        <v>9</v>
      </c>
      <c r="CV7" s="692">
        <v>3.3333333333333335</v>
      </c>
      <c r="CW7" s="693">
        <f t="shared" ref="CW7:CW14" si="6">CV7-3</f>
        <v>0.33333333333333348</v>
      </c>
      <c r="CY7" s="63"/>
      <c r="CZ7" s="63"/>
      <c r="DA7" s="37" t="s">
        <v>387</v>
      </c>
      <c r="DB7" s="63">
        <v>7</v>
      </c>
      <c r="DC7" s="694">
        <v>3</v>
      </c>
      <c r="DD7" s="63">
        <v>3</v>
      </c>
      <c r="DE7" s="694">
        <f t="shared" ref="DE7:DE21" si="7">+DC7-DD7</f>
        <v>0</v>
      </c>
      <c r="DH7" s="695"/>
      <c r="DI7" s="696"/>
      <c r="DJ7" s="695"/>
      <c r="DK7" s="697"/>
      <c r="DL7" s="696"/>
      <c r="DM7" s="698"/>
      <c r="DN7" s="699"/>
    </row>
    <row r="8" spans="1:118">
      <c r="A8" s="5777"/>
      <c r="B8" s="5777"/>
      <c r="C8" s="5779" t="s">
        <v>16</v>
      </c>
      <c r="D8" s="5776"/>
      <c r="E8" s="5779">
        <f>SUM(E6:E7)</f>
        <v>11</v>
      </c>
      <c r="F8" s="4411">
        <f t="shared" si="0"/>
        <v>0</v>
      </c>
      <c r="G8" s="97"/>
      <c r="I8" s="5020"/>
      <c r="J8" s="5020"/>
      <c r="K8" s="4246" t="s">
        <v>483</v>
      </c>
      <c r="L8" s="5026"/>
      <c r="M8" s="5024">
        <f>SUM(M6:M7)</f>
        <v>10</v>
      </c>
      <c r="N8" s="4411">
        <f>+(M6*N6+M7*N7)/M8</f>
        <v>0</v>
      </c>
      <c r="O8" s="97"/>
      <c r="Q8" s="4245"/>
      <c r="R8" s="4245"/>
      <c r="S8" s="4550" t="s">
        <v>329</v>
      </c>
      <c r="T8" s="4551">
        <v>3</v>
      </c>
      <c r="U8" s="4552">
        <v>6</v>
      </c>
      <c r="V8" s="4410">
        <f>T8-W8</f>
        <v>0</v>
      </c>
      <c r="W8" s="4326">
        <v>3</v>
      </c>
      <c r="Y8" s="4236"/>
      <c r="Z8" s="4236"/>
      <c r="AA8" s="4214" t="s">
        <v>483</v>
      </c>
      <c r="AB8" s="4239">
        <v>3</v>
      </c>
      <c r="AC8" s="4239">
        <v>8</v>
      </c>
      <c r="AD8" s="4390">
        <f>AB8-AE8</f>
        <v>0</v>
      </c>
      <c r="AE8" s="4237">
        <v>3</v>
      </c>
      <c r="AG8" s="37"/>
      <c r="AH8" s="37" t="s">
        <v>21</v>
      </c>
      <c r="AI8" s="37" t="s">
        <v>729</v>
      </c>
      <c r="AJ8" s="63">
        <v>3</v>
      </c>
      <c r="AK8" s="63">
        <v>4</v>
      </c>
      <c r="AL8" s="3839">
        <f>AJ8-AM8</f>
        <v>0</v>
      </c>
      <c r="AM8" s="63">
        <v>3</v>
      </c>
      <c r="AP8" s="32" t="s">
        <v>21</v>
      </c>
      <c r="AQ8" s="32" t="s">
        <v>729</v>
      </c>
      <c r="AR8" s="1518">
        <v>3</v>
      </c>
      <c r="AS8" s="1518">
        <v>4</v>
      </c>
      <c r="AT8" s="3825">
        <f>AR8-AU8</f>
        <v>0</v>
      </c>
      <c r="AU8" s="1518">
        <v>3</v>
      </c>
      <c r="AW8" s="37"/>
      <c r="AX8" s="37" t="s">
        <v>21</v>
      </c>
      <c r="AY8" s="37" t="s">
        <v>729</v>
      </c>
      <c r="AZ8" s="694">
        <v>3</v>
      </c>
      <c r="BA8" s="63">
        <v>2</v>
      </c>
      <c r="BB8" s="1243">
        <f t="shared" si="2"/>
        <v>0</v>
      </c>
      <c r="BC8" s="63">
        <v>3</v>
      </c>
      <c r="BD8" s="2040"/>
      <c r="BE8" s="51"/>
      <c r="BF8" s="85" t="s">
        <v>21</v>
      </c>
      <c r="BG8" s="51" t="s">
        <v>104</v>
      </c>
      <c r="BH8" s="837">
        <v>8</v>
      </c>
      <c r="BI8" s="85">
        <v>1</v>
      </c>
      <c r="BJ8" s="1243">
        <f>BH8-3</f>
        <v>5</v>
      </c>
      <c r="BL8" s="97"/>
      <c r="BM8" s="97"/>
      <c r="BN8" s="893" t="s">
        <v>483</v>
      </c>
      <c r="BO8" s="894">
        <v>3.08</v>
      </c>
      <c r="BP8" s="1702">
        <v>25</v>
      </c>
      <c r="BQ8" s="701">
        <f>+(BP6*BQ6+BP7*BQ7)/BP8</f>
        <v>8.0000000000000071E-2</v>
      </c>
      <c r="BS8" s="742"/>
      <c r="BT8" s="742"/>
      <c r="BU8" s="1244" t="s">
        <v>483</v>
      </c>
      <c r="BV8" s="1245">
        <v>3.1333333333333337</v>
      </c>
      <c r="BW8" s="1246">
        <v>15</v>
      </c>
      <c r="BX8" s="1247">
        <f t="shared" ref="BX8:BX26" si="8">BV8-3</f>
        <v>0.13333333333333375</v>
      </c>
      <c r="BZ8" s="686"/>
      <c r="CA8" s="686"/>
      <c r="CB8" s="700" t="s">
        <v>483</v>
      </c>
      <c r="CC8" s="701">
        <v>3.0454545454545454</v>
      </c>
      <c r="CD8" s="702">
        <v>22</v>
      </c>
      <c r="CE8" s="701">
        <f>+(CD6*CE6+CD7*CE7)/CD8</f>
        <v>4.5454545454545497E-2</v>
      </c>
      <c r="CG8" s="613"/>
      <c r="CH8" s="613"/>
      <c r="CI8" s="613" t="s">
        <v>103</v>
      </c>
      <c r="CJ8" s="389" t="s">
        <v>104</v>
      </c>
      <c r="CK8" s="391">
        <v>3.3030303030303041</v>
      </c>
      <c r="CL8" s="390">
        <v>33</v>
      </c>
      <c r="CM8" s="690">
        <v>1.1587937824751349</v>
      </c>
      <c r="CN8" s="391">
        <f t="shared" ref="CN8:CN17" si="9">CK8-3</f>
        <v>0.30303030303030409</v>
      </c>
      <c r="CP8" s="540"/>
      <c r="CQ8" s="540"/>
      <c r="CR8" s="703" t="s">
        <v>483</v>
      </c>
      <c r="CS8" s="704">
        <v>3</v>
      </c>
      <c r="CT8" s="704">
        <f t="shared" si="5"/>
        <v>0</v>
      </c>
      <c r="CU8" s="552">
        <v>24</v>
      </c>
      <c r="CV8" s="705">
        <v>3.1249999999999996</v>
      </c>
      <c r="CW8" s="706">
        <f>+(CU6*CW6+CU7*CW7)/CU8</f>
        <v>0.12500000000000006</v>
      </c>
      <c r="CY8" s="63"/>
      <c r="CZ8" s="63"/>
      <c r="DA8" s="416" t="s">
        <v>15</v>
      </c>
      <c r="DB8" s="386">
        <v>19</v>
      </c>
      <c r="DC8" s="707">
        <v>3.4210526315789473</v>
      </c>
      <c r="DD8" s="386"/>
      <c r="DE8" s="707">
        <f>+(DB6*DE6+DB7*DE7)/DB8</f>
        <v>0.42105263157894701</v>
      </c>
      <c r="DF8" s="708">
        <f>AVERAGE(DE6:DE7)</f>
        <v>0.33333333333333304</v>
      </c>
      <c r="DH8" s="695"/>
      <c r="DI8" s="696"/>
      <c r="DJ8" s="695"/>
      <c r="DK8" s="697"/>
      <c r="DL8" s="696"/>
      <c r="DM8" s="698"/>
      <c r="DN8" s="699"/>
    </row>
    <row r="9" spans="1:118">
      <c r="A9" s="5777">
        <v>1</v>
      </c>
      <c r="B9" s="5777">
        <v>4</v>
      </c>
      <c r="C9" s="5778" t="s">
        <v>2059</v>
      </c>
      <c r="D9" s="5776">
        <v>3</v>
      </c>
      <c r="E9" s="5777">
        <v>6</v>
      </c>
      <c r="F9" s="4410">
        <f t="shared" si="0"/>
        <v>0</v>
      </c>
      <c r="G9" s="97">
        <v>3</v>
      </c>
      <c r="I9" s="5020"/>
      <c r="J9" s="5020" t="s">
        <v>21</v>
      </c>
      <c r="K9" s="5015" t="s">
        <v>2059</v>
      </c>
      <c r="L9" s="5026">
        <v>3</v>
      </c>
      <c r="M9" s="5016">
        <v>6</v>
      </c>
      <c r="N9" s="4410">
        <f t="shared" si="1"/>
        <v>0</v>
      </c>
      <c r="O9" s="97">
        <v>3</v>
      </c>
      <c r="Q9" s="4245"/>
      <c r="R9" s="4245"/>
      <c r="S9" s="4246" t="s">
        <v>483</v>
      </c>
      <c r="T9" s="4553">
        <f>AVERAGE(T6:T8)</f>
        <v>3</v>
      </c>
      <c r="U9" s="4424">
        <f>SUM(U6:U8)</f>
        <v>22</v>
      </c>
      <c r="V9" s="4411">
        <f>+(U6*V6+U7*V7)/U9</f>
        <v>0</v>
      </c>
      <c r="W9" s="4353"/>
      <c r="Y9" s="4236"/>
      <c r="Z9" s="4236" t="s">
        <v>21</v>
      </c>
      <c r="AA9" s="4236" t="s">
        <v>1454</v>
      </c>
      <c r="AB9" s="4237">
        <v>3</v>
      </c>
      <c r="AC9" s="4237">
        <v>7</v>
      </c>
      <c r="AD9" s="4390">
        <f>AB9-AE9</f>
        <v>0</v>
      </c>
      <c r="AE9" s="4237">
        <v>3</v>
      </c>
      <c r="AG9" s="37"/>
      <c r="AH9" s="37"/>
      <c r="AI9" s="37" t="s">
        <v>1454</v>
      </c>
      <c r="AJ9" s="63">
        <v>3</v>
      </c>
      <c r="AK9" s="63">
        <v>7</v>
      </c>
      <c r="AL9" s="3839">
        <f>AJ9-AM9</f>
        <v>0</v>
      </c>
      <c r="AM9" s="63">
        <v>3</v>
      </c>
      <c r="AR9" s="1518"/>
      <c r="AS9" s="1518"/>
      <c r="AT9" s="3825"/>
      <c r="AU9" s="3806"/>
      <c r="AW9" s="37"/>
      <c r="AX9" s="37"/>
      <c r="AY9" s="37"/>
      <c r="AZ9" s="694"/>
      <c r="BA9" s="63"/>
      <c r="BB9" s="1243">
        <f t="shared" si="2"/>
        <v>0</v>
      </c>
      <c r="BC9" s="2040"/>
      <c r="BD9" s="63"/>
      <c r="BE9" s="51"/>
      <c r="BF9" s="85"/>
      <c r="BG9" s="51" t="s">
        <v>1454</v>
      </c>
      <c r="BH9" s="837">
        <v>3.88</v>
      </c>
      <c r="BI9" s="85">
        <v>8</v>
      </c>
      <c r="BJ9" s="1243">
        <f>BH9-3</f>
        <v>0.87999999999999989</v>
      </c>
      <c r="BL9" s="97"/>
      <c r="BM9" s="97"/>
      <c r="BN9" s="1"/>
      <c r="BO9" s="1"/>
      <c r="BP9" s="1"/>
      <c r="BQ9" s="1"/>
      <c r="BS9" s="742"/>
      <c r="BT9" s="742"/>
      <c r="BU9" s="1244"/>
      <c r="BV9" s="1245"/>
      <c r="BW9" s="1246"/>
      <c r="BX9" s="1243"/>
      <c r="BZ9" s="686"/>
      <c r="CA9" s="686" t="s">
        <v>103</v>
      </c>
      <c r="CB9" s="687" t="s">
        <v>104</v>
      </c>
      <c r="CC9" s="688">
        <v>6</v>
      </c>
      <c r="CD9" s="689">
        <v>1</v>
      </c>
      <c r="CE9" s="688">
        <f t="shared" si="4"/>
        <v>3</v>
      </c>
      <c r="CG9" s="613"/>
      <c r="CH9" s="613"/>
      <c r="CI9" s="613"/>
      <c r="CJ9" s="709" t="s">
        <v>105</v>
      </c>
      <c r="CK9" s="394">
        <v>3.227272727272728</v>
      </c>
      <c r="CL9" s="395">
        <v>44</v>
      </c>
      <c r="CM9" s="710">
        <v>1.0084212013037512</v>
      </c>
      <c r="CN9" s="704">
        <f>+(CL6*CN6+CL8*CN8)/CL9</f>
        <v>0.22727272727272807</v>
      </c>
      <c r="CP9" s="540"/>
      <c r="CQ9" s="540" t="s">
        <v>21</v>
      </c>
      <c r="CR9" s="541" t="s">
        <v>104</v>
      </c>
      <c r="CS9" s="691">
        <v>4.666666666666667</v>
      </c>
      <c r="CT9" s="691">
        <f t="shared" si="5"/>
        <v>1.666666666666667</v>
      </c>
      <c r="CU9" s="543">
        <v>6</v>
      </c>
      <c r="CV9" s="692">
        <v>5.666666666666667</v>
      </c>
      <c r="CW9" s="693">
        <f t="shared" si="6"/>
        <v>2.666666666666667</v>
      </c>
      <c r="CY9" s="63"/>
      <c r="CZ9" s="63" t="s">
        <v>103</v>
      </c>
      <c r="DA9" s="37" t="s">
        <v>729</v>
      </c>
      <c r="DB9" s="63">
        <v>1</v>
      </c>
      <c r="DC9" s="694">
        <v>10</v>
      </c>
      <c r="DD9" s="63">
        <v>3</v>
      </c>
      <c r="DE9" s="694">
        <f t="shared" si="7"/>
        <v>7</v>
      </c>
      <c r="DH9" s="695"/>
      <c r="DI9" s="696" t="s">
        <v>103</v>
      </c>
      <c r="DJ9" s="695" t="s">
        <v>104</v>
      </c>
      <c r="DK9" s="697">
        <v>6.6153846153846132</v>
      </c>
      <c r="DL9" s="696">
        <v>26</v>
      </c>
      <c r="DM9" s="698">
        <v>3</v>
      </c>
      <c r="DN9" s="699">
        <f>DK9-3</f>
        <v>3.6153846153846132</v>
      </c>
    </row>
    <row r="10" spans="1:118" ht="15.75" customHeight="1">
      <c r="A10" s="5777"/>
      <c r="B10" s="5777"/>
      <c r="C10" s="5779" t="s">
        <v>21</v>
      </c>
      <c r="D10" s="5776"/>
      <c r="E10" s="5779">
        <f>SUM(E9)</f>
        <v>6</v>
      </c>
      <c r="F10" s="4411">
        <f t="shared" si="0"/>
        <v>0</v>
      </c>
      <c r="G10" s="97"/>
      <c r="I10" s="5020"/>
      <c r="J10" s="5020"/>
      <c r="K10" s="4246" t="s">
        <v>484</v>
      </c>
      <c r="L10" s="5026"/>
      <c r="M10" s="5024">
        <f>SUM(M9)</f>
        <v>6</v>
      </c>
      <c r="N10" s="4411">
        <v>0</v>
      </c>
      <c r="O10" s="97"/>
      <c r="Q10" s="4245"/>
      <c r="R10" s="4245" t="s">
        <v>21</v>
      </c>
      <c r="S10" s="5014" t="s">
        <v>1454</v>
      </c>
      <c r="T10" s="4551">
        <v>3</v>
      </c>
      <c r="U10" s="4429">
        <v>7</v>
      </c>
      <c r="V10" s="4410">
        <f>T10-W10</f>
        <v>0</v>
      </c>
      <c r="W10" s="4326">
        <v>3</v>
      </c>
      <c r="Y10" s="4236"/>
      <c r="Z10" s="4236"/>
      <c r="AA10" s="4214" t="s">
        <v>484</v>
      </c>
      <c r="AB10" s="4239">
        <v>3</v>
      </c>
      <c r="AC10" s="4239">
        <v>7</v>
      </c>
      <c r="AD10" s="4391">
        <f>AB10-AE10</f>
        <v>0</v>
      </c>
      <c r="AE10" s="4392">
        <v>3</v>
      </c>
      <c r="AG10" s="37"/>
      <c r="AH10" s="37"/>
      <c r="AI10" s="416" t="s">
        <v>15</v>
      </c>
      <c r="AJ10" s="3795">
        <v>3</v>
      </c>
      <c r="AK10" s="3795">
        <v>11</v>
      </c>
      <c r="AL10" s="3840">
        <f>AJ10-AM10</f>
        <v>0</v>
      </c>
      <c r="AM10" s="2048">
        <v>3</v>
      </c>
      <c r="AQ10" s="1520" t="s">
        <v>484</v>
      </c>
      <c r="AR10" s="3806">
        <v>3</v>
      </c>
      <c r="AS10" s="3806">
        <v>4</v>
      </c>
      <c r="AT10" s="3825">
        <f>AR10-AU10</f>
        <v>0</v>
      </c>
      <c r="AU10" s="3826">
        <v>3</v>
      </c>
      <c r="AW10" s="2055"/>
      <c r="AX10" s="2055"/>
      <c r="AY10" s="2053" t="s">
        <v>484</v>
      </c>
      <c r="AZ10" s="2054">
        <v>3</v>
      </c>
      <c r="BA10" s="2048">
        <v>2</v>
      </c>
      <c r="BB10" s="2056">
        <f t="shared" si="2"/>
        <v>0</v>
      </c>
      <c r="BC10" s="2057">
        <v>3</v>
      </c>
      <c r="BD10" s="63"/>
      <c r="BE10" s="51"/>
      <c r="BF10" s="85"/>
      <c r="BG10" s="1689" t="s">
        <v>484</v>
      </c>
      <c r="BH10" s="1690">
        <v>4.33</v>
      </c>
      <c r="BI10" s="1691">
        <v>9</v>
      </c>
      <c r="BJ10" s="701">
        <f>+(BI8*BJ8+BI9*BJ9)/BI10</f>
        <v>1.3377777777777777</v>
      </c>
      <c r="BL10" s="97"/>
      <c r="BM10" s="97"/>
      <c r="BN10" s="893"/>
      <c r="BO10" s="894"/>
      <c r="BP10" s="1702"/>
      <c r="BQ10" s="1247"/>
      <c r="BS10" s="742"/>
      <c r="BT10" s="742"/>
      <c r="BU10" s="1244"/>
      <c r="BV10" s="1245"/>
      <c r="BW10" s="1246"/>
      <c r="BX10" s="1243"/>
      <c r="BZ10" s="686"/>
      <c r="CA10" s="686"/>
      <c r="CB10" s="700" t="s">
        <v>726</v>
      </c>
      <c r="CC10" s="701">
        <v>6</v>
      </c>
      <c r="CD10" s="702">
        <v>1</v>
      </c>
      <c r="CE10" s="701">
        <f t="shared" si="4"/>
        <v>3</v>
      </c>
      <c r="CG10" s="613"/>
      <c r="CH10" s="613" t="s">
        <v>25</v>
      </c>
      <c r="CI10" s="613" t="s">
        <v>16</v>
      </c>
      <c r="CJ10" s="389" t="s">
        <v>106</v>
      </c>
      <c r="CK10" s="391">
        <v>3.0625</v>
      </c>
      <c r="CL10" s="390">
        <v>16</v>
      </c>
      <c r="CM10" s="690">
        <v>0.25</v>
      </c>
      <c r="CN10" s="391">
        <f t="shared" si="9"/>
        <v>6.25E-2</v>
      </c>
      <c r="CP10" s="540"/>
      <c r="CQ10" s="540"/>
      <c r="CR10" s="703" t="s">
        <v>726</v>
      </c>
      <c r="CS10" s="704">
        <v>4.666666666666667</v>
      </c>
      <c r="CT10" s="704">
        <f t="shared" si="5"/>
        <v>1.666666666666667</v>
      </c>
      <c r="CU10" s="552">
        <v>6</v>
      </c>
      <c r="CV10" s="705">
        <v>5.666666666666667</v>
      </c>
      <c r="CW10" s="706">
        <f t="shared" si="6"/>
        <v>2.666666666666667</v>
      </c>
      <c r="CY10" s="63"/>
      <c r="CZ10" s="63"/>
      <c r="DA10" s="37" t="s">
        <v>104</v>
      </c>
      <c r="DB10" s="63">
        <v>33</v>
      </c>
      <c r="DC10" s="694">
        <v>4.1818181818181825</v>
      </c>
      <c r="DD10" s="63">
        <v>3</v>
      </c>
      <c r="DE10" s="694">
        <f t="shared" si="7"/>
        <v>1.1818181818181825</v>
      </c>
      <c r="DH10" s="695"/>
      <c r="DI10" s="696"/>
      <c r="DJ10" s="711" t="s">
        <v>105</v>
      </c>
      <c r="DK10" s="712">
        <v>5.8484848484848468</v>
      </c>
      <c r="DL10" s="713">
        <v>33</v>
      </c>
      <c r="DM10" s="698"/>
      <c r="DN10" s="714">
        <f>DK10-3</f>
        <v>2.8484848484848468</v>
      </c>
    </row>
    <row r="11" spans="1:118">
      <c r="A11" s="5788"/>
      <c r="B11" s="5788"/>
      <c r="C11" s="5783" t="s">
        <v>70</v>
      </c>
      <c r="D11" s="5789"/>
      <c r="E11" s="5783">
        <f>SUM(E10,E8)</f>
        <v>17</v>
      </c>
      <c r="F11" s="4558">
        <f t="shared" si="0"/>
        <v>0</v>
      </c>
      <c r="G11" s="5790"/>
      <c r="I11" s="5021"/>
      <c r="J11" s="5021"/>
      <c r="K11" s="4253" t="s">
        <v>105</v>
      </c>
      <c r="L11" s="5027"/>
      <c r="M11" s="5025">
        <f>SUM(M10,M8)</f>
        <v>16</v>
      </c>
      <c r="N11" s="4558">
        <f>+(M8*N8+M10*N10)/M11</f>
        <v>0</v>
      </c>
      <c r="O11" s="4381"/>
      <c r="Q11" s="4245"/>
      <c r="R11" s="4245"/>
      <c r="S11" s="4246" t="s">
        <v>484</v>
      </c>
      <c r="T11" s="4553">
        <v>3</v>
      </c>
      <c r="U11" s="4424">
        <f>SUM(U10:U10)</f>
        <v>7</v>
      </c>
      <c r="V11" s="4411">
        <v>0</v>
      </c>
      <c r="W11" s="4412"/>
      <c r="Y11" s="4393"/>
      <c r="Z11" s="4393"/>
      <c r="AA11" s="4297" t="s">
        <v>105</v>
      </c>
      <c r="AB11" s="4383">
        <v>3</v>
      </c>
      <c r="AC11" s="4383">
        <v>15</v>
      </c>
      <c r="AD11" s="4394">
        <f>+(AC7*AD7+AC10*AD10)/AC11</f>
        <v>0</v>
      </c>
      <c r="AE11" s="4395">
        <v>3</v>
      </c>
      <c r="AG11" s="3835"/>
      <c r="AH11" s="3835"/>
      <c r="AI11" s="3836" t="s">
        <v>105</v>
      </c>
      <c r="AJ11" s="3837">
        <v>3</v>
      </c>
      <c r="AK11" s="3837">
        <f>SUM(AK7,AK10)</f>
        <v>24</v>
      </c>
      <c r="AL11" s="3841">
        <f>+(AK7*AL7+AK10*AL10)/AK11</f>
        <v>0</v>
      </c>
      <c r="AM11" s="2061"/>
      <c r="AO11" s="3827"/>
      <c r="AP11" s="3827"/>
      <c r="AQ11" s="3828" t="s">
        <v>105</v>
      </c>
      <c r="AR11" s="3829">
        <v>3</v>
      </c>
      <c r="AS11" s="3829">
        <v>17</v>
      </c>
      <c r="AT11" s="3830">
        <f>+(AS7*AT7+AS10*AT10)/AS11</f>
        <v>0</v>
      </c>
      <c r="AU11" s="3831"/>
      <c r="AW11" s="2058"/>
      <c r="AX11" s="2058"/>
      <c r="AY11" s="2059" t="s">
        <v>105</v>
      </c>
      <c r="AZ11" s="2060">
        <v>3.05</v>
      </c>
      <c r="BA11" s="2061">
        <v>21</v>
      </c>
      <c r="BB11" s="716">
        <f>+(BA7*BB7+BA10*BB10)/BA11</f>
        <v>4.5238095238095077E-2</v>
      </c>
      <c r="BC11" s="2063">
        <v>3</v>
      </c>
      <c r="BD11" s="2040"/>
      <c r="BE11" s="1692"/>
      <c r="BF11" s="1688"/>
      <c r="BG11" s="1693" t="s">
        <v>105</v>
      </c>
      <c r="BH11" s="1694">
        <v>3.48</v>
      </c>
      <c r="BI11" s="1695">
        <v>29</v>
      </c>
      <c r="BJ11" s="716">
        <f>+(BI7*BJ7+BI10*BJ10)/BI11</f>
        <v>0.48413793103448277</v>
      </c>
      <c r="BL11" s="1501"/>
      <c r="BM11" s="1501"/>
      <c r="BN11" s="1498" t="s">
        <v>105</v>
      </c>
      <c r="BO11" s="1499">
        <v>3.08</v>
      </c>
      <c r="BP11" s="1703">
        <v>25</v>
      </c>
      <c r="BQ11" s="1497">
        <f>+(BP8*BQ8)/BP11</f>
        <v>8.0000000000000071E-2</v>
      </c>
      <c r="BS11" s="1248"/>
      <c r="BT11" s="1248"/>
      <c r="BU11" s="1249" t="s">
        <v>105</v>
      </c>
      <c r="BV11" s="1250">
        <v>3.1333333333333337</v>
      </c>
      <c r="BW11" s="1251">
        <v>15</v>
      </c>
      <c r="BX11" s="1252">
        <f t="shared" si="8"/>
        <v>0.13333333333333375</v>
      </c>
      <c r="BZ11" s="686"/>
      <c r="CA11" s="686"/>
      <c r="CB11" s="715" t="s">
        <v>105</v>
      </c>
      <c r="CC11" s="716">
        <v>3.1739130434782616</v>
      </c>
      <c r="CD11" s="717">
        <v>23</v>
      </c>
      <c r="CE11" s="716">
        <f>+(CD8*CE8+CD10*CE10)/CD11</f>
        <v>0.17391304347826092</v>
      </c>
      <c r="CG11" s="613"/>
      <c r="CH11" s="613"/>
      <c r="CI11" s="613" t="s">
        <v>41</v>
      </c>
      <c r="CJ11" s="389" t="s">
        <v>107</v>
      </c>
      <c r="CK11" s="391">
        <v>3.6153846153846154</v>
      </c>
      <c r="CL11" s="390">
        <v>26</v>
      </c>
      <c r="CM11" s="690">
        <v>0.80383695246850051</v>
      </c>
      <c r="CN11" s="391">
        <f t="shared" si="9"/>
        <v>0.61538461538461542</v>
      </c>
      <c r="CP11" s="540"/>
      <c r="CQ11" s="540"/>
      <c r="CY11" s="63"/>
      <c r="CZ11" s="63"/>
      <c r="DA11" s="416" t="s">
        <v>15</v>
      </c>
      <c r="DB11" s="386">
        <v>34</v>
      </c>
      <c r="DC11" s="707">
        <v>4.3529411764705879</v>
      </c>
      <c r="DD11" s="386"/>
      <c r="DE11" s="707">
        <f>+(DB9*DE9+DB10*DE10)/DB11</f>
        <v>1.3529411764705888</v>
      </c>
      <c r="DF11" s="708">
        <f>AVERAGE(DE9:DE10)</f>
        <v>4.0909090909090917</v>
      </c>
      <c r="DH11" s="695"/>
      <c r="DI11" s="696"/>
    </row>
    <row r="12" spans="1:118" ht="24">
      <c r="A12" s="5785">
        <v>2</v>
      </c>
      <c r="B12" s="5785">
        <v>2</v>
      </c>
      <c r="C12" s="5786" t="s">
        <v>2725</v>
      </c>
      <c r="D12" s="5787">
        <v>2.9916666666666667</v>
      </c>
      <c r="E12" s="5785">
        <v>61</v>
      </c>
      <c r="F12" s="4410">
        <f t="shared" si="0"/>
        <v>-8.3333333333333037E-3</v>
      </c>
      <c r="G12" s="97">
        <v>3</v>
      </c>
      <c r="I12" s="5022" t="s">
        <v>1145</v>
      </c>
      <c r="J12" s="5022" t="s">
        <v>16</v>
      </c>
      <c r="K12" s="5015" t="s">
        <v>2725</v>
      </c>
      <c r="L12" s="5028">
        <v>2.99</v>
      </c>
      <c r="M12" s="5017">
        <v>61</v>
      </c>
      <c r="N12" s="4410">
        <f t="shared" si="1"/>
        <v>-9.9999999999997868E-3</v>
      </c>
      <c r="O12" s="97">
        <v>3</v>
      </c>
      <c r="Q12" s="4413"/>
      <c r="R12" s="4413"/>
      <c r="S12" s="4253" t="s">
        <v>105</v>
      </c>
      <c r="T12" s="4555">
        <f>AVERAGE(T9:T11)</f>
        <v>3</v>
      </c>
      <c r="U12" s="4425">
        <f>SUM(U9,U11)</f>
        <v>29</v>
      </c>
      <c r="V12" s="4558">
        <f>+(U9*V9+U11*V11)/U12</f>
        <v>0</v>
      </c>
      <c r="W12" s="4415"/>
      <c r="Y12" s="4236" t="s">
        <v>25</v>
      </c>
      <c r="Z12" s="4236" t="s">
        <v>4</v>
      </c>
      <c r="AA12" s="4396" t="s">
        <v>2671</v>
      </c>
      <c r="AB12" s="4397">
        <v>7</v>
      </c>
      <c r="AC12" s="4397">
        <v>1</v>
      </c>
      <c r="AD12" s="4390">
        <f>AB12-AE12</f>
        <v>1</v>
      </c>
      <c r="AE12" s="4237">
        <v>6</v>
      </c>
      <c r="AG12" s="37" t="s">
        <v>25</v>
      </c>
      <c r="AH12" s="37" t="s">
        <v>4</v>
      </c>
      <c r="AI12" s="37" t="s">
        <v>2265</v>
      </c>
      <c r="AJ12" s="63">
        <v>6.3</v>
      </c>
      <c r="AK12" s="63">
        <v>3</v>
      </c>
      <c r="AL12" s="3839">
        <f>AJ12-AM12</f>
        <v>0.29999999999999982</v>
      </c>
      <c r="AM12" s="63">
        <v>6</v>
      </c>
      <c r="AO12" s="32" t="s">
        <v>25</v>
      </c>
      <c r="AP12" s="32" t="s">
        <v>4</v>
      </c>
      <c r="AQ12" s="32" t="s">
        <v>2265</v>
      </c>
      <c r="AR12" s="1518">
        <v>6</v>
      </c>
      <c r="AS12" s="1518">
        <v>2</v>
      </c>
      <c r="AT12" s="3825">
        <f>AR12-AU12</f>
        <v>0</v>
      </c>
      <c r="AU12" s="1518">
        <v>6</v>
      </c>
      <c r="AW12" s="37" t="s">
        <v>25</v>
      </c>
      <c r="AX12" s="37" t="s">
        <v>16</v>
      </c>
      <c r="AY12" s="37" t="s">
        <v>106</v>
      </c>
      <c r="AZ12" s="694">
        <v>3.13</v>
      </c>
      <c r="BA12" s="63">
        <v>52</v>
      </c>
      <c r="BB12" s="1243">
        <f t="shared" si="2"/>
        <v>0.12999999999999989</v>
      </c>
      <c r="BC12" s="2040">
        <v>3</v>
      </c>
      <c r="BD12" s="63"/>
      <c r="BE12" s="51" t="s">
        <v>25</v>
      </c>
      <c r="BF12" s="85" t="s">
        <v>16</v>
      </c>
      <c r="BG12" s="51" t="s">
        <v>106</v>
      </c>
      <c r="BH12" s="837">
        <v>3.14</v>
      </c>
      <c r="BI12" s="85">
        <v>14</v>
      </c>
      <c r="BJ12" s="1243">
        <f>BH12-3</f>
        <v>0.14000000000000012</v>
      </c>
      <c r="BL12" s="97" t="s">
        <v>25</v>
      </c>
      <c r="BM12" s="97" t="s">
        <v>16</v>
      </c>
      <c r="BN12" s="42" t="s">
        <v>106</v>
      </c>
      <c r="BO12" s="134">
        <v>3</v>
      </c>
      <c r="BP12" s="1701">
        <v>47</v>
      </c>
      <c r="BQ12" s="1243">
        <f t="shared" si="3"/>
        <v>0</v>
      </c>
      <c r="BS12" s="742" t="s">
        <v>25</v>
      </c>
      <c r="BT12" s="742" t="s">
        <v>16</v>
      </c>
      <c r="BU12" s="981" t="s">
        <v>106</v>
      </c>
      <c r="BV12" s="1241">
        <v>3</v>
      </c>
      <c r="BW12" s="1242">
        <v>15</v>
      </c>
      <c r="BX12" s="1243">
        <f t="shared" si="8"/>
        <v>0</v>
      </c>
      <c r="BZ12" s="686" t="s">
        <v>25</v>
      </c>
      <c r="CA12" s="686" t="s">
        <v>16</v>
      </c>
      <c r="CB12" s="687" t="s">
        <v>106</v>
      </c>
      <c r="CC12" s="688">
        <v>3</v>
      </c>
      <c r="CD12" s="689">
        <v>24</v>
      </c>
      <c r="CE12" s="688">
        <f t="shared" si="4"/>
        <v>0</v>
      </c>
      <c r="CG12" s="613"/>
      <c r="CH12" s="613"/>
      <c r="CI12" s="613"/>
      <c r="CJ12" s="389" t="s">
        <v>108</v>
      </c>
      <c r="CK12" s="391">
        <v>7.666666666666667</v>
      </c>
      <c r="CL12" s="390">
        <v>3</v>
      </c>
      <c r="CM12" s="690">
        <v>0.57735026918962573</v>
      </c>
      <c r="CN12" s="391">
        <f>CK12-6</f>
        <v>1.666666666666667</v>
      </c>
      <c r="CP12" s="540" t="s">
        <v>25</v>
      </c>
      <c r="CQ12" s="540" t="s">
        <v>16</v>
      </c>
      <c r="CR12" s="541" t="s">
        <v>106</v>
      </c>
      <c r="CS12" s="691">
        <v>3.01</v>
      </c>
      <c r="CT12" s="691">
        <f t="shared" si="5"/>
        <v>9.9999999999997868E-3</v>
      </c>
      <c r="CU12" s="543">
        <v>100</v>
      </c>
      <c r="CV12" s="692">
        <v>3.6500000000000017</v>
      </c>
      <c r="CW12" s="693">
        <f t="shared" si="6"/>
        <v>0.65000000000000169</v>
      </c>
      <c r="CY12" s="63" t="s">
        <v>25</v>
      </c>
      <c r="CZ12" s="63" t="s">
        <v>16</v>
      </c>
      <c r="DA12" s="37" t="s">
        <v>106</v>
      </c>
      <c r="DB12" s="63">
        <v>108</v>
      </c>
      <c r="DC12" s="694">
        <v>3.3796296296296302</v>
      </c>
      <c r="DD12" s="63">
        <v>3</v>
      </c>
      <c r="DE12" s="694">
        <f t="shared" si="7"/>
        <v>0.37962962962963021</v>
      </c>
      <c r="DH12" s="695" t="s">
        <v>25</v>
      </c>
      <c r="DI12" s="696" t="s">
        <v>16</v>
      </c>
      <c r="DJ12" s="695" t="s">
        <v>106</v>
      </c>
      <c r="DK12" s="697">
        <v>3.5333333333333332</v>
      </c>
      <c r="DL12" s="696">
        <v>15</v>
      </c>
      <c r="DM12" s="698">
        <v>3</v>
      </c>
      <c r="DN12" s="699">
        <f>DK12-3</f>
        <v>0.53333333333333321</v>
      </c>
    </row>
    <row r="13" spans="1:118">
      <c r="A13" s="5777"/>
      <c r="B13" s="5777"/>
      <c r="C13" s="5779" t="s">
        <v>16</v>
      </c>
      <c r="D13" s="5776"/>
      <c r="E13" s="5779">
        <f>SUM(E12)</f>
        <v>61</v>
      </c>
      <c r="F13" s="4411">
        <f t="shared" si="0"/>
        <v>0</v>
      </c>
      <c r="G13" s="97"/>
      <c r="I13" s="5020"/>
      <c r="J13" s="5020"/>
      <c r="K13" s="4246" t="s">
        <v>483</v>
      </c>
      <c r="L13" s="5026"/>
      <c r="M13" s="5024">
        <f>SUM(M12)</f>
        <v>61</v>
      </c>
      <c r="N13" s="4411">
        <v>0</v>
      </c>
      <c r="O13" s="97"/>
      <c r="Q13" s="4245" t="s">
        <v>25</v>
      </c>
      <c r="R13" s="4245" t="s">
        <v>4</v>
      </c>
      <c r="S13" s="4422" t="s">
        <v>1617</v>
      </c>
      <c r="T13" s="4554">
        <v>8</v>
      </c>
      <c r="U13" s="4429">
        <v>2</v>
      </c>
      <c r="V13" s="4410">
        <f>T13-W13</f>
        <v>2</v>
      </c>
      <c r="W13" s="4326">
        <v>6</v>
      </c>
      <c r="Y13" s="4236"/>
      <c r="Z13" s="4236"/>
      <c r="AA13" s="4398" t="s">
        <v>482</v>
      </c>
      <c r="AB13" s="4399">
        <v>7</v>
      </c>
      <c r="AC13" s="4399">
        <v>1</v>
      </c>
      <c r="AD13" s="4390">
        <f>+(AC12*AD12)/AC13</f>
        <v>1</v>
      </c>
      <c r="AE13" s="4237">
        <v>6</v>
      </c>
      <c r="AG13" s="37"/>
      <c r="AH13" s="37"/>
      <c r="AI13" s="416" t="s">
        <v>482</v>
      </c>
      <c r="AJ13" s="3795">
        <v>6</v>
      </c>
      <c r="AK13" s="3795">
        <v>3</v>
      </c>
      <c r="AL13" s="3839">
        <f>+(AK12*AL12)/AK13</f>
        <v>0.29999999999999982</v>
      </c>
      <c r="AM13" s="3795"/>
      <c r="AQ13" s="1520" t="s">
        <v>482</v>
      </c>
      <c r="AR13" s="3806">
        <v>6</v>
      </c>
      <c r="AS13" s="3806">
        <v>2</v>
      </c>
      <c r="AT13" s="3825">
        <f>+(AS12*AT12)/AS13</f>
        <v>0</v>
      </c>
      <c r="AU13" s="3806"/>
      <c r="AW13" s="37"/>
      <c r="AX13" s="37"/>
      <c r="AY13" s="416" t="s">
        <v>483</v>
      </c>
      <c r="AZ13" s="707">
        <v>3.13</v>
      </c>
      <c r="BA13" s="2040">
        <v>52</v>
      </c>
      <c r="BB13" s="1247">
        <f t="shared" si="2"/>
        <v>0.12999999999999989</v>
      </c>
      <c r="BC13" s="63">
        <v>3</v>
      </c>
      <c r="BD13" s="2040"/>
      <c r="BE13" s="51"/>
      <c r="BF13" s="85"/>
      <c r="BG13" s="1689" t="s">
        <v>483</v>
      </c>
      <c r="BH13" s="1690">
        <v>3.14</v>
      </c>
      <c r="BI13" s="1691">
        <v>14</v>
      </c>
      <c r="BJ13" s="1247">
        <f>BH13-3</f>
        <v>0.14000000000000012</v>
      </c>
      <c r="BL13" s="97"/>
      <c r="BM13" s="97"/>
      <c r="BN13" s="893" t="s">
        <v>483</v>
      </c>
      <c r="BO13" s="894">
        <v>3</v>
      </c>
      <c r="BP13" s="1702">
        <v>47</v>
      </c>
      <c r="BQ13" s="1247">
        <f t="shared" si="3"/>
        <v>0</v>
      </c>
      <c r="BS13" s="742"/>
      <c r="BT13" s="742"/>
      <c r="BU13" s="1244" t="s">
        <v>483</v>
      </c>
      <c r="BV13" s="1245">
        <v>3</v>
      </c>
      <c r="BW13" s="1246">
        <v>15</v>
      </c>
      <c r="BX13" s="1247">
        <f t="shared" si="8"/>
        <v>0</v>
      </c>
      <c r="BZ13" s="686"/>
      <c r="CA13" s="686"/>
      <c r="CB13" s="700" t="s">
        <v>483</v>
      </c>
      <c r="CC13" s="701">
        <v>3</v>
      </c>
      <c r="CD13" s="702">
        <v>24</v>
      </c>
      <c r="CE13" s="701">
        <f t="shared" si="4"/>
        <v>0</v>
      </c>
      <c r="CG13" s="613"/>
      <c r="CH13" s="613"/>
      <c r="CI13" s="613"/>
      <c r="CJ13" s="709" t="s">
        <v>485</v>
      </c>
      <c r="CK13" s="394">
        <v>4.0344827586206895</v>
      </c>
      <c r="CL13" s="395">
        <v>29</v>
      </c>
      <c r="CM13" s="710">
        <v>1.4755812080254451</v>
      </c>
      <c r="CN13" s="704">
        <f>+(CL11*CN11+CL12*CN12)/CL13</f>
        <v>0.72413793103448276</v>
      </c>
      <c r="CP13" s="540"/>
      <c r="CQ13" s="540"/>
      <c r="CR13" s="703" t="s">
        <v>483</v>
      </c>
      <c r="CS13" s="704">
        <v>3.01</v>
      </c>
      <c r="CT13" s="704">
        <f t="shared" si="5"/>
        <v>9.9999999999997868E-3</v>
      </c>
      <c r="CU13" s="552">
        <v>100</v>
      </c>
      <c r="CV13" s="705">
        <v>3.6500000000000017</v>
      </c>
      <c r="CW13" s="706">
        <f t="shared" si="6"/>
        <v>0.65000000000000169</v>
      </c>
      <c r="CY13" s="63"/>
      <c r="CZ13" s="63"/>
      <c r="DA13" s="416" t="s">
        <v>15</v>
      </c>
      <c r="DB13" s="386">
        <v>108</v>
      </c>
      <c r="DC13" s="707">
        <v>3.3796296296296302</v>
      </c>
      <c r="DD13" s="386"/>
      <c r="DE13" s="707">
        <f>+DE12</f>
        <v>0.37962962962963021</v>
      </c>
      <c r="DF13" s="708">
        <f>+DE13</f>
        <v>0.37962962962963021</v>
      </c>
      <c r="DH13" s="695"/>
      <c r="DI13" s="696" t="s">
        <v>41</v>
      </c>
      <c r="DJ13" s="695" t="s">
        <v>107</v>
      </c>
      <c r="DK13" s="697">
        <v>3.6666666666666665</v>
      </c>
      <c r="DL13" s="696">
        <v>18</v>
      </c>
      <c r="DM13" s="698">
        <v>3</v>
      </c>
      <c r="DN13" s="699">
        <f>DK13-3</f>
        <v>0.66666666666666652</v>
      </c>
    </row>
    <row r="14" spans="1:118">
      <c r="A14" s="5777">
        <v>2</v>
      </c>
      <c r="B14" s="5777">
        <v>3</v>
      </c>
      <c r="C14" s="5778" t="s">
        <v>283</v>
      </c>
      <c r="D14" s="5776">
        <v>5.666666666666667</v>
      </c>
      <c r="E14" s="5777">
        <v>3</v>
      </c>
      <c r="F14" s="4410">
        <f t="shared" si="0"/>
        <v>2.666666666666667</v>
      </c>
      <c r="G14" s="97">
        <v>3</v>
      </c>
      <c r="I14" s="5020"/>
      <c r="J14" s="5020" t="s">
        <v>41</v>
      </c>
      <c r="K14" s="5015" t="s">
        <v>283</v>
      </c>
      <c r="L14" s="5026">
        <v>5.666666666666667</v>
      </c>
      <c r="M14" s="5016">
        <v>3</v>
      </c>
      <c r="N14" s="4410">
        <f t="shared" si="1"/>
        <v>2.666666666666667</v>
      </c>
      <c r="O14" s="97">
        <v>3</v>
      </c>
      <c r="Q14" s="4245"/>
      <c r="R14" s="4245"/>
      <c r="S14" s="4431" t="s">
        <v>482</v>
      </c>
      <c r="T14" s="4556">
        <v>8</v>
      </c>
      <c r="U14" s="4430">
        <f>SUM(U13)</f>
        <v>2</v>
      </c>
      <c r="V14" s="4432">
        <f>+(U13*V13)/U14</f>
        <v>2</v>
      </c>
      <c r="W14" s="4326"/>
      <c r="Y14" s="4236"/>
      <c r="Z14" s="4236" t="s">
        <v>16</v>
      </c>
      <c r="AA14" s="4236" t="s">
        <v>106</v>
      </c>
      <c r="AB14" s="4237">
        <v>3.04</v>
      </c>
      <c r="AC14" s="4237">
        <v>26</v>
      </c>
      <c r="AD14" s="4390">
        <f>AB14-AE14</f>
        <v>4.0000000000000036E-2</v>
      </c>
      <c r="AE14" s="4311">
        <v>3</v>
      </c>
      <c r="AG14" s="37"/>
      <c r="AH14" s="37" t="s">
        <v>16</v>
      </c>
      <c r="AI14" s="37" t="s">
        <v>106</v>
      </c>
      <c r="AJ14" s="63">
        <v>3</v>
      </c>
      <c r="AK14" s="63">
        <v>40</v>
      </c>
      <c r="AL14" s="3839">
        <f>AJ14-AM14</f>
        <v>0</v>
      </c>
      <c r="AM14" s="2057">
        <v>3</v>
      </c>
      <c r="AP14" s="32" t="s">
        <v>16</v>
      </c>
      <c r="AQ14" s="32" t="s">
        <v>106</v>
      </c>
      <c r="AR14" s="1518">
        <v>3</v>
      </c>
      <c r="AS14" s="1518">
        <v>40</v>
      </c>
      <c r="AT14" s="3825">
        <f t="shared" ref="AT14:AT19" si="10">AR14-AU14</f>
        <v>0</v>
      </c>
      <c r="AU14" s="3826">
        <v>3</v>
      </c>
      <c r="AW14" s="37"/>
      <c r="AX14" s="37" t="s">
        <v>41</v>
      </c>
      <c r="AY14" s="37" t="s">
        <v>107</v>
      </c>
      <c r="AZ14" s="694">
        <v>4.78</v>
      </c>
      <c r="BA14" s="63">
        <v>9</v>
      </c>
      <c r="BB14" s="1243">
        <f t="shared" si="2"/>
        <v>1.7800000000000002</v>
      </c>
      <c r="BC14" s="63">
        <v>3</v>
      </c>
      <c r="BD14" s="63"/>
      <c r="BE14" s="51"/>
      <c r="BF14" s="85" t="s">
        <v>41</v>
      </c>
      <c r="BG14" s="51" t="s">
        <v>107</v>
      </c>
      <c r="BH14" s="837">
        <v>4.21</v>
      </c>
      <c r="BI14" s="85">
        <v>14</v>
      </c>
      <c r="BJ14" s="1243">
        <f>BH14-3</f>
        <v>1.21</v>
      </c>
      <c r="BL14" s="97"/>
      <c r="BM14" s="97" t="s">
        <v>41</v>
      </c>
      <c r="BN14" s="42" t="s">
        <v>107</v>
      </c>
      <c r="BO14" s="134">
        <v>4.1399999999999997</v>
      </c>
      <c r="BP14" s="1701">
        <v>14</v>
      </c>
      <c r="BQ14" s="1243">
        <f t="shared" si="3"/>
        <v>1.1399999999999997</v>
      </c>
      <c r="BS14" s="742"/>
      <c r="BT14" s="742" t="s">
        <v>41</v>
      </c>
      <c r="BU14" s="981" t="s">
        <v>107</v>
      </c>
      <c r="BV14" s="1241">
        <v>3.384615384615385</v>
      </c>
      <c r="BW14" s="1242">
        <v>13</v>
      </c>
      <c r="BX14" s="1243">
        <f t="shared" si="8"/>
        <v>0.38461538461538503</v>
      </c>
      <c r="BZ14" s="686"/>
      <c r="CA14" s="686" t="s">
        <v>41</v>
      </c>
      <c r="CB14" s="687" t="s">
        <v>107</v>
      </c>
      <c r="CC14" s="688">
        <v>3.6666666666666665</v>
      </c>
      <c r="CD14" s="689">
        <v>6</v>
      </c>
      <c r="CE14" s="688">
        <f t="shared" si="4"/>
        <v>0.66666666666666652</v>
      </c>
      <c r="CG14" s="613"/>
      <c r="CH14" s="613"/>
      <c r="CI14" s="613"/>
      <c r="CJ14" s="709" t="s">
        <v>109</v>
      </c>
      <c r="CK14" s="394">
        <v>3.68888888888889</v>
      </c>
      <c r="CL14" s="395">
        <v>45</v>
      </c>
      <c r="CM14" s="710">
        <v>1.2760418599257743</v>
      </c>
      <c r="CN14" s="704">
        <f>+(CL10*CN10+CL13*CN13)/CL14</f>
        <v>0.48888888888888887</v>
      </c>
      <c r="CP14" s="540"/>
      <c r="CQ14" s="540" t="s">
        <v>41</v>
      </c>
      <c r="CR14" s="541" t="s">
        <v>107</v>
      </c>
      <c r="CS14" s="691">
        <v>3.4</v>
      </c>
      <c r="CT14" s="691">
        <f t="shared" si="5"/>
        <v>0.39999999999999991</v>
      </c>
      <c r="CU14" s="543">
        <v>15</v>
      </c>
      <c r="CV14" s="692">
        <v>3.4</v>
      </c>
      <c r="CW14" s="693">
        <f t="shared" si="6"/>
        <v>0.39999999999999991</v>
      </c>
      <c r="CY14" s="63"/>
      <c r="CZ14" s="63" t="s">
        <v>41</v>
      </c>
      <c r="DA14" s="37" t="s">
        <v>107</v>
      </c>
      <c r="DB14" s="63">
        <v>20</v>
      </c>
      <c r="DC14" s="694">
        <v>4.1000000000000014</v>
      </c>
      <c r="DD14" s="63">
        <v>3</v>
      </c>
      <c r="DE14" s="694">
        <f t="shared" si="7"/>
        <v>1.1000000000000014</v>
      </c>
      <c r="DH14" s="695"/>
      <c r="DI14" s="696"/>
      <c r="DJ14" s="695" t="s">
        <v>108</v>
      </c>
      <c r="DK14" s="697">
        <v>7.75</v>
      </c>
      <c r="DL14" s="696">
        <v>4</v>
      </c>
      <c r="DM14" s="698">
        <v>6</v>
      </c>
      <c r="DN14" s="699">
        <f>DK14-6</f>
        <v>1.75</v>
      </c>
    </row>
    <row r="15" spans="1:118">
      <c r="A15" s="5777"/>
      <c r="B15" s="5777"/>
      <c r="C15" s="5779" t="s">
        <v>41</v>
      </c>
      <c r="D15" s="5776"/>
      <c r="E15" s="5779">
        <f>SUM(E14)</f>
        <v>3</v>
      </c>
      <c r="F15" s="4411">
        <f>+(E14*F14)/E15</f>
        <v>2.6666666666666665</v>
      </c>
      <c r="G15" s="97"/>
      <c r="I15" s="5020"/>
      <c r="J15" s="5020"/>
      <c r="K15" s="4246" t="s">
        <v>485</v>
      </c>
      <c r="L15" s="5026"/>
      <c r="M15" s="5024">
        <f t="shared" ref="M15" si="11">SUM(M14)</f>
        <v>3</v>
      </c>
      <c r="N15" s="4411">
        <f>+(M14*N14)/M15</f>
        <v>2.6666666666666665</v>
      </c>
      <c r="O15" s="97"/>
      <c r="Q15" s="4245"/>
      <c r="R15" s="4245" t="s">
        <v>16</v>
      </c>
      <c r="S15" s="4422" t="s">
        <v>2725</v>
      </c>
      <c r="T15" s="4428">
        <v>3.5</v>
      </c>
      <c r="U15" s="4429">
        <v>27</v>
      </c>
      <c r="V15" s="4410">
        <f>T15-W15</f>
        <v>0.5</v>
      </c>
      <c r="W15" s="4416">
        <v>3</v>
      </c>
      <c r="Y15" s="4236"/>
      <c r="Z15" s="4236"/>
      <c r="AA15" s="4214" t="s">
        <v>483</v>
      </c>
      <c r="AB15" s="4239">
        <v>3.04</v>
      </c>
      <c r="AC15" s="4239">
        <v>26</v>
      </c>
      <c r="AD15" s="4391">
        <f>+(AC14*AD14)/AC15</f>
        <v>4.0000000000000036E-2</v>
      </c>
      <c r="AE15" s="4311">
        <v>3</v>
      </c>
      <c r="AG15" s="37"/>
      <c r="AH15" s="37"/>
      <c r="AI15" s="416" t="s">
        <v>483</v>
      </c>
      <c r="AJ15" s="3795">
        <v>3</v>
      </c>
      <c r="AK15" s="3795">
        <v>40</v>
      </c>
      <c r="AL15" s="3839">
        <f>+(AK14*AL14)/AK15</f>
        <v>0</v>
      </c>
      <c r="AM15" s="2057"/>
      <c r="AQ15" s="1520" t="s">
        <v>483</v>
      </c>
      <c r="AR15" s="3806">
        <v>3</v>
      </c>
      <c r="AS15" s="3806">
        <v>40</v>
      </c>
      <c r="AT15" s="3825">
        <f>+(AS14*AT14)/AS15</f>
        <v>0</v>
      </c>
      <c r="AU15" s="3826"/>
      <c r="AW15" s="37"/>
      <c r="AX15" s="37"/>
      <c r="AY15" s="123" t="s">
        <v>528</v>
      </c>
      <c r="AZ15" s="2052">
        <v>8.33</v>
      </c>
      <c r="BA15" s="2052">
        <v>6</v>
      </c>
      <c r="BB15" s="1243">
        <f t="shared" si="2"/>
        <v>2.33</v>
      </c>
      <c r="BC15" s="63">
        <v>6</v>
      </c>
      <c r="BD15" s="63"/>
      <c r="BE15" s="51"/>
      <c r="BF15" s="85"/>
      <c r="BG15" s="1696" t="s">
        <v>108</v>
      </c>
      <c r="BH15" s="1697">
        <v>10</v>
      </c>
      <c r="BI15" s="1698">
        <v>2</v>
      </c>
      <c r="BJ15" s="1243">
        <f>BH15-6</f>
        <v>4</v>
      </c>
      <c r="BL15" s="97"/>
      <c r="BM15" s="97"/>
      <c r="BN15" s="42" t="s">
        <v>1739</v>
      </c>
      <c r="BO15" s="134">
        <v>9.2899999999999991</v>
      </c>
      <c r="BP15" s="1701">
        <v>7</v>
      </c>
      <c r="BQ15" s="1243">
        <f>BO15-6</f>
        <v>3.2899999999999991</v>
      </c>
      <c r="BS15" s="742"/>
      <c r="BT15" s="742"/>
      <c r="BU15" s="981" t="s">
        <v>528</v>
      </c>
      <c r="BV15" s="1241">
        <v>9.5714285714285712</v>
      </c>
      <c r="BW15" s="1242">
        <v>7</v>
      </c>
      <c r="BX15" s="1243">
        <f>BV15-6</f>
        <v>3.5714285714285712</v>
      </c>
      <c r="BZ15" s="686"/>
      <c r="CA15" s="686"/>
      <c r="CB15" s="687" t="s">
        <v>108</v>
      </c>
      <c r="CC15" s="688">
        <v>7</v>
      </c>
      <c r="CD15" s="689">
        <v>6</v>
      </c>
      <c r="CE15" s="688">
        <f t="shared" si="4"/>
        <v>4</v>
      </c>
      <c r="CG15" s="613"/>
      <c r="CH15" s="613" t="s">
        <v>48</v>
      </c>
      <c r="CI15" s="613" t="s">
        <v>16</v>
      </c>
      <c r="CJ15" s="389" t="s">
        <v>110</v>
      </c>
      <c r="CK15" s="391">
        <v>6</v>
      </c>
      <c r="CL15" s="390">
        <v>1</v>
      </c>
      <c r="CM15" s="690"/>
      <c r="CN15" s="391">
        <f t="shared" si="9"/>
        <v>3</v>
      </c>
      <c r="CP15" s="540"/>
      <c r="CQ15" s="540"/>
      <c r="CR15" s="541" t="s">
        <v>528</v>
      </c>
      <c r="CS15" s="691">
        <v>6</v>
      </c>
      <c r="CT15" s="691">
        <f>CS15-6</f>
        <v>0</v>
      </c>
      <c r="CU15" s="543">
        <v>2</v>
      </c>
      <c r="CV15" s="692">
        <v>6</v>
      </c>
      <c r="CW15" s="693">
        <f>CV15-6</f>
        <v>0</v>
      </c>
      <c r="CY15" s="63"/>
      <c r="CZ15" s="63"/>
      <c r="DA15" s="37" t="s">
        <v>108</v>
      </c>
      <c r="DB15" s="63">
        <v>2</v>
      </c>
      <c r="DC15" s="694">
        <v>9</v>
      </c>
      <c r="DD15" s="63">
        <v>6</v>
      </c>
      <c r="DE15" s="694">
        <f t="shared" si="7"/>
        <v>3</v>
      </c>
      <c r="DH15" s="695"/>
      <c r="DI15" s="696"/>
      <c r="DJ15" s="696" t="s">
        <v>15</v>
      </c>
      <c r="DK15" s="697">
        <v>4.4090909090909092</v>
      </c>
      <c r="DL15" s="696">
        <v>22</v>
      </c>
      <c r="DM15" s="698"/>
      <c r="DN15" s="699">
        <f>AVERAGE(DN13:DN14)</f>
        <v>1.2083333333333333</v>
      </c>
    </row>
    <row r="16" spans="1:118">
      <c r="A16" s="5788"/>
      <c r="B16" s="5788"/>
      <c r="C16" s="5783" t="s">
        <v>73</v>
      </c>
      <c r="D16" s="5789"/>
      <c r="E16" s="5783">
        <f>SUM(E15,E13)</f>
        <v>64</v>
      </c>
      <c r="F16" s="4558">
        <f>+(E13*F13+E15*F15)/E16</f>
        <v>0.125</v>
      </c>
      <c r="G16" s="5790"/>
      <c r="I16" s="5021"/>
      <c r="J16" s="5021"/>
      <c r="K16" s="4253" t="s">
        <v>109</v>
      </c>
      <c r="L16" s="5027"/>
      <c r="M16" s="5025">
        <f>SUM(M15,M13)</f>
        <v>64</v>
      </c>
      <c r="N16" s="4558">
        <f>+(M13*N13+M15*N15)/M16</f>
        <v>0.125</v>
      </c>
      <c r="O16" s="4381"/>
      <c r="Q16" s="4245"/>
      <c r="R16" s="4245"/>
      <c r="S16" s="4246" t="s">
        <v>483</v>
      </c>
      <c r="T16" s="4424">
        <v>3.5</v>
      </c>
      <c r="U16" s="4424">
        <f>SUM(U15)</f>
        <v>27</v>
      </c>
      <c r="V16" s="4411">
        <f>+(U15*V15)/U16</f>
        <v>0.5</v>
      </c>
      <c r="W16" s="4416"/>
      <c r="Y16" s="4236"/>
      <c r="Z16" s="4236" t="s">
        <v>41</v>
      </c>
      <c r="AA16" s="4236" t="s">
        <v>107</v>
      </c>
      <c r="AB16" s="4237">
        <v>4.75</v>
      </c>
      <c r="AC16" s="4237">
        <v>4</v>
      </c>
      <c r="AD16" s="4390">
        <f>AB16-AE16</f>
        <v>1.75</v>
      </c>
      <c r="AE16" s="4311">
        <v>3</v>
      </c>
      <c r="AG16" s="37"/>
      <c r="AH16" s="37" t="s">
        <v>41</v>
      </c>
      <c r="AI16" s="37" t="s">
        <v>107</v>
      </c>
      <c r="AJ16" s="63">
        <v>4</v>
      </c>
      <c r="AK16" s="63">
        <v>4</v>
      </c>
      <c r="AL16" s="3839">
        <f>AJ16-AM16</f>
        <v>1</v>
      </c>
      <c r="AM16" s="2057">
        <v>3</v>
      </c>
      <c r="AP16" s="32" t="s">
        <v>41</v>
      </c>
      <c r="AQ16" s="32" t="s">
        <v>107</v>
      </c>
      <c r="AR16" s="1518">
        <v>4</v>
      </c>
      <c r="AS16" s="1518">
        <v>4</v>
      </c>
      <c r="AT16" s="3825">
        <f t="shared" si="10"/>
        <v>1</v>
      </c>
      <c r="AU16" s="3826">
        <v>3</v>
      </c>
      <c r="AW16" s="37"/>
      <c r="AX16" s="37"/>
      <c r="AY16" s="416" t="s">
        <v>485</v>
      </c>
      <c r="AZ16" s="707">
        <v>4.78</v>
      </c>
      <c r="BA16" s="2040">
        <v>9</v>
      </c>
      <c r="BB16" s="701">
        <f>+(BA14*BB14+BA15*BB15)/BA16</f>
        <v>3.3333333333333339</v>
      </c>
      <c r="BC16" s="63">
        <v>6</v>
      </c>
      <c r="BD16" s="707"/>
      <c r="BE16" s="51"/>
      <c r="BF16" s="85"/>
      <c r="BG16" s="1689" t="s">
        <v>485</v>
      </c>
      <c r="BH16" s="1690">
        <v>4.21</v>
      </c>
      <c r="BI16" s="1691">
        <v>14</v>
      </c>
      <c r="BJ16" s="701">
        <f>+(BI14*BJ14+BI15*BJ15)/BI16</f>
        <v>1.7814285714285714</v>
      </c>
      <c r="BL16" s="97"/>
      <c r="BM16" s="97"/>
      <c r="BN16" s="893" t="s">
        <v>485</v>
      </c>
      <c r="BO16" s="894">
        <v>5.86</v>
      </c>
      <c r="BP16" s="1702">
        <v>21</v>
      </c>
      <c r="BQ16" s="701">
        <f>+(BP14*BQ14+BP15*BQ15)/BP16</f>
        <v>1.856666666666666</v>
      </c>
      <c r="BS16" s="742"/>
      <c r="BT16" s="742"/>
      <c r="BU16" s="1244" t="s">
        <v>485</v>
      </c>
      <c r="BV16" s="1245">
        <v>5.55</v>
      </c>
      <c r="BW16" s="1246">
        <v>20</v>
      </c>
      <c r="BX16" s="701">
        <f>+(BW14*BX14+BW15*BX15)/BW16</f>
        <v>1.5000000000000004</v>
      </c>
      <c r="BZ16" s="686"/>
      <c r="CA16" s="686"/>
      <c r="CB16" s="700" t="s">
        <v>485</v>
      </c>
      <c r="CC16" s="701">
        <v>5.3333333333333339</v>
      </c>
      <c r="CD16" s="702">
        <v>12</v>
      </c>
      <c r="CE16" s="701">
        <f>+(CD14*CE14+CD15*CE15)/CD16</f>
        <v>2.3333333333333335</v>
      </c>
      <c r="CG16" s="613"/>
      <c r="CH16" s="613"/>
      <c r="CI16" s="613"/>
      <c r="CJ16" s="709" t="s">
        <v>412</v>
      </c>
      <c r="CK16" s="394">
        <v>6</v>
      </c>
      <c r="CL16" s="395">
        <v>1</v>
      </c>
      <c r="CM16" s="710"/>
      <c r="CN16" s="704">
        <f>+(CL15*CN15)/CL16</f>
        <v>3</v>
      </c>
      <c r="CP16" s="540"/>
      <c r="CQ16" s="540"/>
      <c r="CR16" s="703" t="s">
        <v>485</v>
      </c>
      <c r="CS16" s="704">
        <v>3.7058823529411766</v>
      </c>
      <c r="CT16" s="704">
        <f>+(CU14*CT14+CU15*CT15)/CU16</f>
        <v>0.35294117647058815</v>
      </c>
      <c r="CU16" s="552">
        <v>17</v>
      </c>
      <c r="CV16" s="705">
        <v>3.7058823529411766</v>
      </c>
      <c r="CW16" s="718">
        <f>+(CU14*CW14+CU15*CW15)/CU16</f>
        <v>0.35294117647058815</v>
      </c>
      <c r="CY16" s="63"/>
      <c r="CZ16" s="63"/>
      <c r="DA16" s="416" t="s">
        <v>15</v>
      </c>
      <c r="DB16" s="386">
        <v>22</v>
      </c>
      <c r="DC16" s="707">
        <v>4.5454545454545459</v>
      </c>
      <c r="DD16" s="707"/>
      <c r="DE16" s="707">
        <f>+(DB14*DE14+DB15*DE15)/DB16</f>
        <v>1.272727272727274</v>
      </c>
      <c r="DF16" s="708">
        <f>AVERAGE(DE14:DE15)</f>
        <v>2.0500000000000007</v>
      </c>
      <c r="DH16" s="695"/>
      <c r="DI16" s="696"/>
      <c r="DJ16" s="711" t="s">
        <v>109</v>
      </c>
      <c r="DK16" s="712">
        <v>4.0540540540540553</v>
      </c>
      <c r="DL16" s="713">
        <v>37</v>
      </c>
      <c r="DM16" s="698"/>
      <c r="DN16" s="714">
        <f>AVERAGE(DN12:DN14)</f>
        <v>0.98333333333333328</v>
      </c>
    </row>
    <row r="17" spans="1:118">
      <c r="A17" s="5785">
        <v>3</v>
      </c>
      <c r="B17" s="5785">
        <v>2</v>
      </c>
      <c r="C17" s="5786" t="s">
        <v>2738</v>
      </c>
      <c r="D17" s="5787">
        <v>6</v>
      </c>
      <c r="E17" s="5785">
        <v>10</v>
      </c>
      <c r="F17" s="4410">
        <f t="shared" si="0"/>
        <v>3</v>
      </c>
      <c r="G17" s="97">
        <v>3</v>
      </c>
      <c r="I17" s="5022" t="s">
        <v>2905</v>
      </c>
      <c r="J17" s="5022" t="s">
        <v>16</v>
      </c>
      <c r="K17" s="5015" t="s">
        <v>2738</v>
      </c>
      <c r="L17" s="5028">
        <v>6</v>
      </c>
      <c r="M17" s="5017">
        <v>10</v>
      </c>
      <c r="N17" s="4410">
        <f t="shared" si="1"/>
        <v>3</v>
      </c>
      <c r="O17" s="97">
        <v>3</v>
      </c>
      <c r="Q17" s="4245"/>
      <c r="R17" s="4245" t="s">
        <v>41</v>
      </c>
      <c r="S17" s="4422" t="s">
        <v>283</v>
      </c>
      <c r="T17" s="4428">
        <v>4.8</v>
      </c>
      <c r="U17" s="4429">
        <v>4</v>
      </c>
      <c r="V17" s="4410">
        <f>T17-W17</f>
        <v>1.7999999999999998</v>
      </c>
      <c r="W17" s="4416">
        <v>3</v>
      </c>
      <c r="Y17" s="4236"/>
      <c r="Z17" s="4236"/>
      <c r="AA17" s="4214" t="s">
        <v>485</v>
      </c>
      <c r="AB17" s="4239">
        <v>4.75</v>
      </c>
      <c r="AC17" s="4239">
        <v>4</v>
      </c>
      <c r="AD17" s="4390">
        <f>+(AC16*AD16)/AC17</f>
        <v>1.75</v>
      </c>
      <c r="AE17" s="4311">
        <v>3</v>
      </c>
      <c r="AG17" s="37"/>
      <c r="AH17" s="37"/>
      <c r="AI17" s="416" t="s">
        <v>485</v>
      </c>
      <c r="AJ17" s="3795">
        <v>4</v>
      </c>
      <c r="AK17" s="3795">
        <v>4</v>
      </c>
      <c r="AL17" s="3839">
        <f>+(AK16*AL16)/AK17</f>
        <v>1</v>
      </c>
      <c r="AM17" s="2057"/>
      <c r="AQ17" s="1520" t="s">
        <v>485</v>
      </c>
      <c r="AR17" s="3806">
        <v>4</v>
      </c>
      <c r="AS17" s="3806">
        <v>4</v>
      </c>
      <c r="AT17" s="3825">
        <f>+(AS16*AT16)/AS17</f>
        <v>1</v>
      </c>
      <c r="AU17" s="3826"/>
      <c r="AW17" s="2058"/>
      <c r="AX17" s="2058"/>
      <c r="AY17" s="2059" t="s">
        <v>109</v>
      </c>
      <c r="AZ17" s="2060">
        <v>3.38</v>
      </c>
      <c r="BA17" s="2061">
        <v>61</v>
      </c>
      <c r="BB17" s="716">
        <f>+(BA13*BB13+BA16*BB16)/BA17</f>
        <v>0.60262295081967221</v>
      </c>
      <c r="BC17" s="2063">
        <v>3</v>
      </c>
      <c r="BD17" s="63"/>
      <c r="BE17" s="1692"/>
      <c r="BF17" s="1688"/>
      <c r="BG17" s="1693" t="s">
        <v>109</v>
      </c>
      <c r="BH17" s="1694">
        <v>3.68</v>
      </c>
      <c r="BI17" s="1695">
        <v>28</v>
      </c>
      <c r="BJ17" s="716">
        <f>+(BI13*BJ13+BI16*BJ16)/BI17</f>
        <v>0.96071428571428563</v>
      </c>
      <c r="BL17" s="1501"/>
      <c r="BM17" s="1501"/>
      <c r="BN17" s="1498" t="s">
        <v>109</v>
      </c>
      <c r="BO17" s="1499">
        <v>3.88</v>
      </c>
      <c r="BP17" s="1703">
        <v>68</v>
      </c>
      <c r="BQ17" s="1497">
        <f>+(BP13*BQ13+BP16*BQ16)/BP17</f>
        <v>0.57338235294117634</v>
      </c>
      <c r="BS17" s="1248"/>
      <c r="BT17" s="1248"/>
      <c r="BU17" s="1249" t="s">
        <v>109</v>
      </c>
      <c r="BV17" s="1250">
        <v>4.4571428571428555</v>
      </c>
      <c r="BW17" s="1251">
        <v>35</v>
      </c>
      <c r="BX17" s="1253">
        <f>+(BW13*BX13+BW16*BX16)/BW17</f>
        <v>0.85714285714285732</v>
      </c>
      <c r="BZ17" s="686"/>
      <c r="CA17" s="686"/>
      <c r="CB17" s="715" t="s">
        <v>109</v>
      </c>
      <c r="CC17" s="716">
        <v>3.777777777777779</v>
      </c>
      <c r="CD17" s="717">
        <v>36</v>
      </c>
      <c r="CE17" s="716">
        <f>+(CD13*CE13+CD16*CE16)/CD17</f>
        <v>0.77777777777777779</v>
      </c>
      <c r="CG17" s="613"/>
      <c r="CH17" s="613" t="s">
        <v>59</v>
      </c>
      <c r="CI17" s="613" t="s">
        <v>64</v>
      </c>
      <c r="CJ17" s="389" t="s">
        <v>609</v>
      </c>
      <c r="CK17" s="391">
        <v>3</v>
      </c>
      <c r="CL17" s="390">
        <v>2</v>
      </c>
      <c r="CM17" s="690">
        <v>0</v>
      </c>
      <c r="CN17" s="391">
        <f t="shared" si="9"/>
        <v>0</v>
      </c>
      <c r="CP17" s="540" t="s">
        <v>48</v>
      </c>
      <c r="CQ17" s="540" t="s">
        <v>16</v>
      </c>
      <c r="CR17" s="541" t="s">
        <v>133</v>
      </c>
      <c r="CS17" s="691">
        <v>6</v>
      </c>
      <c r="CT17" s="691">
        <f>CS17-3</f>
        <v>3</v>
      </c>
      <c r="CU17" s="543">
        <v>1</v>
      </c>
      <c r="CV17" s="692">
        <v>7</v>
      </c>
      <c r="CW17" s="693">
        <f>CV17-3</f>
        <v>4</v>
      </c>
      <c r="CY17" s="63" t="s">
        <v>48</v>
      </c>
      <c r="CZ17" s="63" t="s">
        <v>16</v>
      </c>
      <c r="DA17" s="37" t="s">
        <v>133</v>
      </c>
      <c r="DB17" s="63">
        <v>17</v>
      </c>
      <c r="DC17" s="694">
        <v>4.4117647058823533</v>
      </c>
      <c r="DD17" s="63">
        <v>3</v>
      </c>
      <c r="DE17" s="694">
        <f t="shared" si="7"/>
        <v>1.4117647058823533</v>
      </c>
      <c r="DH17" s="695" t="s">
        <v>48</v>
      </c>
      <c r="DI17" s="696" t="s">
        <v>16</v>
      </c>
      <c r="DJ17" s="695" t="s">
        <v>110</v>
      </c>
      <c r="DK17" s="697">
        <v>4.0999999999999996</v>
      </c>
      <c r="DL17" s="696">
        <v>40</v>
      </c>
      <c r="DM17" s="698">
        <v>3</v>
      </c>
      <c r="DN17" s="699">
        <f>DK17-3</f>
        <v>1.0999999999999996</v>
      </c>
    </row>
    <row r="18" spans="1:118">
      <c r="A18" s="5774"/>
      <c r="B18" s="5774"/>
      <c r="C18" s="5779" t="s">
        <v>16</v>
      </c>
      <c r="D18" s="5775"/>
      <c r="E18" s="5779">
        <f>SUM(E17)</f>
        <v>10</v>
      </c>
      <c r="F18" s="4411">
        <f>+(E17*F17)/E18</f>
        <v>3</v>
      </c>
      <c r="I18" s="5020" t="s">
        <v>2613</v>
      </c>
      <c r="J18" s="5020" t="s">
        <v>2613</v>
      </c>
      <c r="K18" s="4256" t="s">
        <v>483</v>
      </c>
      <c r="L18" s="5020"/>
      <c r="M18" s="135">
        <f>SUM(M17)</f>
        <v>10</v>
      </c>
      <c r="N18" s="4411">
        <f>+(M17*N17)/M18</f>
        <v>3</v>
      </c>
      <c r="O18" s="42"/>
      <c r="Q18" s="4245"/>
      <c r="R18" s="4245"/>
      <c r="S18" s="4246" t="s">
        <v>485</v>
      </c>
      <c r="T18" s="4424">
        <v>4.8</v>
      </c>
      <c r="U18" s="4424">
        <f>SUM(U17:U17)</f>
        <v>4</v>
      </c>
      <c r="V18" s="4411">
        <v>1.8</v>
      </c>
      <c r="W18" s="4416"/>
      <c r="Y18" s="4393"/>
      <c r="Z18" s="4393"/>
      <c r="AA18" s="4297" t="s">
        <v>109</v>
      </c>
      <c r="AB18" s="4383">
        <v>3.39</v>
      </c>
      <c r="AC18" s="4383">
        <v>31</v>
      </c>
      <c r="AD18" s="4394">
        <f>+(AC13*AD13+AC15*AD15+AC17*AD17)/AC18</f>
        <v>0.29161290322580646</v>
      </c>
      <c r="AE18" s="4383">
        <v>3</v>
      </c>
      <c r="AG18" s="3835"/>
      <c r="AH18" s="3835"/>
      <c r="AI18" s="3836" t="s">
        <v>109</v>
      </c>
      <c r="AJ18" s="3837">
        <v>3.22</v>
      </c>
      <c r="AK18" s="3837">
        <f>SUM(AK13,AK15,AK17)</f>
        <v>47</v>
      </c>
      <c r="AL18" s="3841">
        <f>+(AK13*AL13+AK15*AL15+AK17*AL17)/AK18</f>
        <v>0.10425531914893615</v>
      </c>
      <c r="AM18" s="3838"/>
      <c r="AO18" s="3827"/>
      <c r="AP18" s="3827"/>
      <c r="AQ18" s="3828" t="s">
        <v>109</v>
      </c>
      <c r="AR18" s="3829">
        <v>3.22</v>
      </c>
      <c r="AS18" s="3829">
        <v>46</v>
      </c>
      <c r="AT18" s="3830">
        <f>+(AS13*AT13+AS15*AT15+AS17*AT17)/AS18</f>
        <v>8.6956521739130432E-2</v>
      </c>
      <c r="AU18" s="3832"/>
      <c r="AW18" s="37" t="s">
        <v>48</v>
      </c>
      <c r="AX18" s="37" t="s">
        <v>16</v>
      </c>
      <c r="AY18" s="37" t="s">
        <v>110</v>
      </c>
      <c r="AZ18" s="694">
        <v>4</v>
      </c>
      <c r="BA18" s="63">
        <v>22</v>
      </c>
      <c r="BB18" s="1243">
        <f t="shared" si="2"/>
        <v>1</v>
      </c>
      <c r="BC18" s="63">
        <v>3</v>
      </c>
      <c r="BD18" s="63"/>
      <c r="BE18" s="51" t="s">
        <v>48</v>
      </c>
      <c r="BF18" s="85" t="s">
        <v>16</v>
      </c>
      <c r="BG18" s="51" t="s">
        <v>110</v>
      </c>
      <c r="BH18" s="837">
        <v>5</v>
      </c>
      <c r="BI18" s="85">
        <v>1</v>
      </c>
      <c r="BJ18" s="1243">
        <f>BH18-3</f>
        <v>2</v>
      </c>
      <c r="BL18" s="97" t="s">
        <v>48</v>
      </c>
      <c r="BM18" s="97" t="s">
        <v>16</v>
      </c>
      <c r="BN18" s="42" t="s">
        <v>110</v>
      </c>
      <c r="BO18" s="134">
        <v>6</v>
      </c>
      <c r="BP18" s="1701">
        <v>1</v>
      </c>
      <c r="BQ18" s="1243">
        <f t="shared" si="3"/>
        <v>3</v>
      </c>
      <c r="BS18" s="742" t="s">
        <v>48</v>
      </c>
      <c r="BT18" s="742" t="s">
        <v>16</v>
      </c>
      <c r="BU18" s="981" t="s">
        <v>110</v>
      </c>
      <c r="BV18" s="1241">
        <v>6</v>
      </c>
      <c r="BW18" s="1242">
        <v>1</v>
      </c>
      <c r="BX18" s="1243">
        <f t="shared" si="8"/>
        <v>3</v>
      </c>
      <c r="BZ18" s="686" t="s">
        <v>48</v>
      </c>
      <c r="CA18" s="686" t="s">
        <v>16</v>
      </c>
      <c r="CB18" s="687" t="s">
        <v>110</v>
      </c>
      <c r="CC18" s="688">
        <v>3.9642857142857144</v>
      </c>
      <c r="CD18" s="689">
        <v>28</v>
      </c>
      <c r="CE18" s="688">
        <f t="shared" si="4"/>
        <v>0.96428571428571441</v>
      </c>
      <c r="CG18" s="613"/>
      <c r="CH18" s="613"/>
      <c r="CI18" s="613"/>
      <c r="CJ18" s="709" t="s">
        <v>1191</v>
      </c>
      <c r="CK18" s="394">
        <v>3</v>
      </c>
      <c r="CL18" s="395">
        <v>2</v>
      </c>
      <c r="CM18" s="710">
        <v>0</v>
      </c>
      <c r="CN18" s="704">
        <f>+(CL17*CN17)/CL18</f>
        <v>0</v>
      </c>
      <c r="CP18" s="540"/>
      <c r="CQ18" s="540"/>
      <c r="CR18" s="703" t="s">
        <v>483</v>
      </c>
      <c r="CS18" s="704">
        <v>6</v>
      </c>
      <c r="CT18" s="704">
        <f>CS18-3</f>
        <v>3</v>
      </c>
      <c r="CU18" s="552">
        <v>1</v>
      </c>
      <c r="CV18" s="705">
        <v>7</v>
      </c>
      <c r="CW18" s="706">
        <f>CV18-3</f>
        <v>4</v>
      </c>
      <c r="CY18" s="63"/>
      <c r="CZ18" s="63"/>
      <c r="DA18" s="37" t="s">
        <v>110</v>
      </c>
      <c r="DB18" s="63">
        <v>2</v>
      </c>
      <c r="DC18" s="694">
        <v>1</v>
      </c>
      <c r="DD18" s="63">
        <v>3</v>
      </c>
      <c r="DE18" s="694">
        <f t="shared" si="7"/>
        <v>-2</v>
      </c>
      <c r="DH18" s="695"/>
      <c r="DI18" s="696"/>
      <c r="DJ18" s="695"/>
      <c r="DK18" s="697"/>
      <c r="DL18" s="696"/>
      <c r="DM18" s="698"/>
      <c r="DN18" s="699"/>
    </row>
    <row r="19" spans="1:118" ht="15" thickBot="1">
      <c r="A19" s="5782"/>
      <c r="B19" s="5782"/>
      <c r="C19" s="5783" t="s">
        <v>74</v>
      </c>
      <c r="D19" s="5784"/>
      <c r="E19" s="5783">
        <f>SUM(E18)</f>
        <v>10</v>
      </c>
      <c r="F19" s="4558">
        <f>+(E18*F18)/E19</f>
        <v>3</v>
      </c>
      <c r="G19" s="5654"/>
      <c r="I19" s="5023"/>
      <c r="J19" s="5023"/>
      <c r="K19" s="4256" t="s">
        <v>412</v>
      </c>
      <c r="L19" s="4381"/>
      <c r="M19" s="4911">
        <f>SUM(M18)</f>
        <v>10</v>
      </c>
      <c r="N19" s="4558">
        <f>+(M18*N18)/M19</f>
        <v>3</v>
      </c>
      <c r="O19" s="5018"/>
      <c r="Q19" s="4413"/>
      <c r="R19" s="4413"/>
      <c r="S19" s="4253" t="s">
        <v>109</v>
      </c>
      <c r="T19" s="4425">
        <v>5.4</v>
      </c>
      <c r="U19" s="4425">
        <f>SUM(U14,U16,U18)</f>
        <v>33</v>
      </c>
      <c r="V19" s="4558">
        <f>+(U14*V14+ U16*V16+U18*V18)/U19</f>
        <v>0.74848484848484842</v>
      </c>
      <c r="W19" s="4414">
        <v>3</v>
      </c>
      <c r="Y19" s="4236" t="s">
        <v>48</v>
      </c>
      <c r="Z19" s="4236" t="s">
        <v>16</v>
      </c>
      <c r="AA19" s="4236" t="s">
        <v>110</v>
      </c>
      <c r="AB19" s="4237">
        <v>6</v>
      </c>
      <c r="AC19" s="4237">
        <v>1</v>
      </c>
      <c r="AD19" s="4390">
        <f>AB19-AE19</f>
        <v>3</v>
      </c>
      <c r="AE19" s="4311">
        <v>3</v>
      </c>
      <c r="AG19" s="37" t="s">
        <v>48</v>
      </c>
      <c r="AH19" s="37" t="s">
        <v>16</v>
      </c>
      <c r="AI19" s="37" t="s">
        <v>110</v>
      </c>
      <c r="AJ19" s="63">
        <v>6</v>
      </c>
      <c r="AK19" s="63">
        <v>4</v>
      </c>
      <c r="AL19" s="3839">
        <f>AJ19-AM19</f>
        <v>3</v>
      </c>
      <c r="AM19" s="2048">
        <v>3</v>
      </c>
      <c r="AO19" s="32" t="s">
        <v>48</v>
      </c>
      <c r="AP19" s="32" t="s">
        <v>16</v>
      </c>
      <c r="AQ19" s="32" t="s">
        <v>110</v>
      </c>
      <c r="AR19" s="1518">
        <v>6</v>
      </c>
      <c r="AS19" s="1518">
        <v>2</v>
      </c>
      <c r="AT19" s="3825">
        <f t="shared" si="10"/>
        <v>3</v>
      </c>
      <c r="AU19" s="3808">
        <v>3</v>
      </c>
      <c r="AW19" s="37"/>
      <c r="AX19" s="37"/>
      <c r="AY19" s="416" t="s">
        <v>483</v>
      </c>
      <c r="AZ19" s="707">
        <v>4</v>
      </c>
      <c r="BA19" s="2040">
        <v>22</v>
      </c>
      <c r="BB19" s="1247">
        <f t="shared" si="2"/>
        <v>1</v>
      </c>
      <c r="BC19" s="2040">
        <v>3</v>
      </c>
      <c r="BD19" s="2040"/>
      <c r="BE19" s="51"/>
      <c r="BF19" s="85"/>
      <c r="BG19" s="1689" t="s">
        <v>483</v>
      </c>
      <c r="BH19" s="1690">
        <v>5</v>
      </c>
      <c r="BI19" s="1691">
        <v>1</v>
      </c>
      <c r="BJ19" s="1247">
        <f t="shared" ref="BJ19:BJ25" si="12">BH19-3</f>
        <v>2</v>
      </c>
      <c r="BL19" s="97"/>
      <c r="BM19" s="97"/>
      <c r="BN19" s="893" t="s">
        <v>483</v>
      </c>
      <c r="BO19" s="894">
        <v>6</v>
      </c>
      <c r="BP19" s="1702">
        <v>1</v>
      </c>
      <c r="BQ19" s="1247">
        <f t="shared" si="3"/>
        <v>3</v>
      </c>
      <c r="BS19" s="742"/>
      <c r="BT19" s="742"/>
      <c r="BU19" s="1244" t="s">
        <v>483</v>
      </c>
      <c r="BV19" s="1245">
        <v>6</v>
      </c>
      <c r="BW19" s="1246">
        <v>1</v>
      </c>
      <c r="BX19" s="1247">
        <f t="shared" si="8"/>
        <v>3</v>
      </c>
      <c r="BZ19" s="686"/>
      <c r="CA19" s="686"/>
      <c r="CB19" s="700" t="s">
        <v>732</v>
      </c>
      <c r="CC19" s="701">
        <v>3.9642857142857144</v>
      </c>
      <c r="CD19" s="702">
        <v>28</v>
      </c>
      <c r="CE19" s="701">
        <f t="shared" si="4"/>
        <v>0.96428571428571441</v>
      </c>
      <c r="CG19" s="637"/>
      <c r="CH19" s="637"/>
      <c r="CI19" s="637"/>
      <c r="CJ19" s="719" t="s">
        <v>112</v>
      </c>
      <c r="CK19" s="400">
        <v>3.478260869565216</v>
      </c>
      <c r="CL19" s="399">
        <v>92</v>
      </c>
      <c r="CM19" s="720">
        <v>1.1811547792384858</v>
      </c>
      <c r="CN19" s="721">
        <f>+(CL9*CN9+CL14*CN14+CL16*CN16+CL18*CN18)/CL19</f>
        <v>0.38043478260869606</v>
      </c>
      <c r="CP19" s="540"/>
      <c r="CQ19" s="540" t="s">
        <v>41</v>
      </c>
      <c r="CR19" s="541" t="s">
        <v>111</v>
      </c>
      <c r="CS19" s="691">
        <v>4.1428571428571432</v>
      </c>
      <c r="CT19" s="691">
        <f>CS19-3</f>
        <v>1.1428571428571432</v>
      </c>
      <c r="CU19" s="543">
        <v>7</v>
      </c>
      <c r="CV19" s="692">
        <v>4.1428571428571432</v>
      </c>
      <c r="CW19" s="693">
        <f>CV19-3</f>
        <v>1.1428571428571432</v>
      </c>
      <c r="CY19" s="63"/>
      <c r="CZ19" s="63"/>
      <c r="DA19" s="416" t="s">
        <v>15</v>
      </c>
      <c r="DB19" s="386">
        <v>19</v>
      </c>
      <c r="DC19" s="707">
        <v>4.0526315789473681</v>
      </c>
      <c r="DD19" s="386"/>
      <c r="DE19" s="707">
        <f>+(DB17*DE17+DB18*DE18)/DB19</f>
        <v>1.0526315789473688</v>
      </c>
      <c r="DF19" s="708">
        <f>AVERAGE(DE17:DE18)</f>
        <v>-0.29411764705882337</v>
      </c>
      <c r="DH19" s="695"/>
      <c r="DI19" s="696"/>
      <c r="DJ19" s="695"/>
      <c r="DK19" s="697"/>
      <c r="DL19" s="696"/>
      <c r="DM19" s="698"/>
      <c r="DN19" s="699"/>
    </row>
    <row r="20" spans="1:118" ht="15" thickBot="1">
      <c r="A20" s="5780"/>
      <c r="B20" s="5780"/>
      <c r="C20" s="5792" t="s">
        <v>75</v>
      </c>
      <c r="D20" s="5793"/>
      <c r="E20" s="5795">
        <f>SUM(E19,E16,E11)</f>
        <v>91</v>
      </c>
      <c r="F20" s="4419">
        <f>+(E11*F11+E16*F16+E19*F19)/E20</f>
        <v>0.4175824175824176</v>
      </c>
      <c r="G20" s="5794"/>
      <c r="I20" s="42"/>
      <c r="J20" s="42"/>
      <c r="K20" s="4418" t="s">
        <v>112</v>
      </c>
      <c r="L20" s="5029"/>
      <c r="M20" s="5030">
        <f>SUM(M19,M16,M11)</f>
        <v>90</v>
      </c>
      <c r="N20" s="4419">
        <f>+(M11*N11+M16*N16+M19*N19)/M20</f>
        <v>0.42222222222222222</v>
      </c>
      <c r="O20" s="5019"/>
      <c r="Q20" s="4245" t="s">
        <v>48</v>
      </c>
      <c r="R20" s="4245" t="s">
        <v>16</v>
      </c>
      <c r="S20" s="4422" t="s">
        <v>2738</v>
      </c>
      <c r="T20" s="4428">
        <v>6</v>
      </c>
      <c r="U20" s="4429">
        <v>1</v>
      </c>
      <c r="V20" s="4410">
        <f>T20-W20</f>
        <v>3</v>
      </c>
      <c r="W20" s="4416">
        <v>3</v>
      </c>
      <c r="Y20" s="4236"/>
      <c r="Z20" s="4236"/>
      <c r="AA20" s="4232" t="s">
        <v>483</v>
      </c>
      <c r="AB20" s="4392">
        <v>6</v>
      </c>
      <c r="AC20" s="4392">
        <v>1</v>
      </c>
      <c r="AD20" s="4391">
        <f>+(AC19*AD19)/AC20</f>
        <v>3</v>
      </c>
      <c r="AE20" s="4311">
        <v>3</v>
      </c>
      <c r="AG20" s="3835"/>
      <c r="AH20" s="3835"/>
      <c r="AI20" s="3836" t="s">
        <v>483</v>
      </c>
      <c r="AJ20" s="3837">
        <v>6</v>
      </c>
      <c r="AK20" s="3837">
        <v>4</v>
      </c>
      <c r="AL20" s="3839">
        <f>+(AK19*AL19)/AK20</f>
        <v>3</v>
      </c>
      <c r="AM20" s="3837"/>
      <c r="AO20" s="3827"/>
      <c r="AP20" s="3827"/>
      <c r="AQ20" s="3828" t="s">
        <v>483</v>
      </c>
      <c r="AR20" s="3829">
        <v>6</v>
      </c>
      <c r="AS20" s="3829">
        <v>2</v>
      </c>
      <c r="AT20" s="3825">
        <f>+(AS19*AT19)/AS20</f>
        <v>3</v>
      </c>
      <c r="AU20" s="3829"/>
      <c r="AW20" s="37"/>
      <c r="AX20" s="37" t="s">
        <v>41</v>
      </c>
      <c r="AY20" s="37" t="s">
        <v>137</v>
      </c>
      <c r="AZ20" s="694">
        <v>7</v>
      </c>
      <c r="BA20" s="63">
        <v>1</v>
      </c>
      <c r="BB20" s="1243">
        <f t="shared" si="2"/>
        <v>4</v>
      </c>
      <c r="BC20" s="2040">
        <v>3</v>
      </c>
      <c r="BD20" s="63"/>
      <c r="BE20" s="51"/>
      <c r="BF20" s="85" t="s">
        <v>41</v>
      </c>
      <c r="BG20" s="51" t="s">
        <v>137</v>
      </c>
      <c r="BH20" s="837">
        <v>6</v>
      </c>
      <c r="BI20" s="85">
        <v>4</v>
      </c>
      <c r="BJ20" s="1243">
        <f t="shared" si="12"/>
        <v>3</v>
      </c>
      <c r="BL20" s="97"/>
      <c r="BM20" s="97" t="s">
        <v>41</v>
      </c>
      <c r="BN20" s="42" t="s">
        <v>137</v>
      </c>
      <c r="BO20" s="134">
        <v>4</v>
      </c>
      <c r="BP20" s="1701">
        <v>3</v>
      </c>
      <c r="BQ20" s="1243">
        <f t="shared" si="3"/>
        <v>1</v>
      </c>
      <c r="BS20" s="742"/>
      <c r="BT20" s="742" t="s">
        <v>41</v>
      </c>
      <c r="BU20" s="981" t="s">
        <v>137</v>
      </c>
      <c r="BV20" s="1241">
        <v>5.5</v>
      </c>
      <c r="BW20" s="1242">
        <v>6</v>
      </c>
      <c r="BX20" s="1243">
        <f t="shared" si="8"/>
        <v>2.5</v>
      </c>
      <c r="BZ20" s="686"/>
      <c r="CA20" s="686" t="s">
        <v>41</v>
      </c>
      <c r="CB20" s="687" t="s">
        <v>137</v>
      </c>
      <c r="CC20" s="688">
        <v>6</v>
      </c>
      <c r="CD20" s="689">
        <v>1</v>
      </c>
      <c r="CE20" s="688">
        <f t="shared" si="4"/>
        <v>3</v>
      </c>
      <c r="CG20" s="613"/>
      <c r="CH20" s="613"/>
      <c r="CI20" s="613"/>
      <c r="CJ20" s="389"/>
      <c r="CK20" s="722"/>
      <c r="CL20" s="723"/>
      <c r="CM20" s="724"/>
      <c r="CN20" s="724"/>
      <c r="CP20" s="563"/>
      <c r="CQ20" s="563"/>
      <c r="CR20" s="725" t="s">
        <v>485</v>
      </c>
      <c r="CS20" s="721">
        <v>4.1428571428571432</v>
      </c>
      <c r="CT20" s="721">
        <f>CS20-3</f>
        <v>1.1428571428571432</v>
      </c>
      <c r="CU20" s="566">
        <v>7</v>
      </c>
      <c r="CV20" s="726">
        <v>4.1428571428571432</v>
      </c>
      <c r="CW20" s="727">
        <f>CV20-3</f>
        <v>1.1428571428571432</v>
      </c>
      <c r="CY20" s="63"/>
      <c r="CZ20" s="63" t="s">
        <v>41</v>
      </c>
      <c r="DA20" s="37" t="s">
        <v>137</v>
      </c>
      <c r="DB20" s="63">
        <v>2</v>
      </c>
      <c r="DC20" s="694">
        <v>6</v>
      </c>
      <c r="DD20" s="63">
        <v>3</v>
      </c>
      <c r="DE20" s="694">
        <f t="shared" si="7"/>
        <v>3</v>
      </c>
      <c r="DH20" s="695"/>
      <c r="DI20" s="696" t="s">
        <v>41</v>
      </c>
      <c r="DJ20" s="695" t="s">
        <v>111</v>
      </c>
      <c r="DK20" s="697">
        <v>3.6666666666666665</v>
      </c>
      <c r="DL20" s="696">
        <v>6</v>
      </c>
      <c r="DM20" s="698">
        <v>3</v>
      </c>
      <c r="DN20" s="699">
        <f>DK20-3</f>
        <v>0.66666666666666652</v>
      </c>
    </row>
    <row r="21" spans="1:118" ht="15" thickBot="1">
      <c r="A21" s="5774"/>
      <c r="B21" s="5774"/>
      <c r="C21" s="5791"/>
      <c r="D21" s="5781"/>
      <c r="E21" s="5780"/>
      <c r="I21" s="42"/>
      <c r="J21" s="42"/>
      <c r="K21" s="42"/>
      <c r="L21" s="42"/>
      <c r="M21" s="42"/>
      <c r="N21" s="42"/>
      <c r="O21" s="42"/>
      <c r="Q21" s="4245"/>
      <c r="R21" s="4245"/>
      <c r="S21" s="4256" t="s">
        <v>485</v>
      </c>
      <c r="T21" s="4557">
        <v>6</v>
      </c>
      <c r="U21" s="4426">
        <f>SUM(U20)</f>
        <v>1</v>
      </c>
      <c r="V21" s="4411">
        <f>+(U20*V20)/U21</f>
        <v>3</v>
      </c>
      <c r="W21" s="4416"/>
      <c r="Y21" s="4236"/>
      <c r="Z21" s="4236"/>
      <c r="AA21" s="4232" t="s">
        <v>412</v>
      </c>
      <c r="AB21" s="4392">
        <v>6</v>
      </c>
      <c r="AC21" s="4392">
        <v>1</v>
      </c>
      <c r="AD21" s="4391">
        <f>+(AC20*AD20)/AC21</f>
        <v>3</v>
      </c>
      <c r="AE21" s="4311">
        <v>3</v>
      </c>
      <c r="AG21" s="473"/>
      <c r="AH21" s="473"/>
      <c r="AI21" s="474" t="s">
        <v>112</v>
      </c>
      <c r="AJ21" s="423">
        <v>3.4</v>
      </c>
      <c r="AK21" s="423">
        <f>SUM(AK11,AK18,AK20)</f>
        <v>75</v>
      </c>
      <c r="AL21" s="3842">
        <f>+(AK11*AL11+AK18*AL18+AK20*AL20)/AK21</f>
        <v>0.2253333333333333</v>
      </c>
      <c r="AM21" s="423"/>
      <c r="AO21" s="3833"/>
      <c r="AP21" s="3833"/>
      <c r="AQ21" s="3804" t="s">
        <v>112</v>
      </c>
      <c r="AR21" s="3803">
        <v>3.25</v>
      </c>
      <c r="AS21" s="3803">
        <v>65</v>
      </c>
      <c r="AT21" s="3834">
        <f>+(AS11*AT11+AS18*AT18+AS20*AT20)/AS21</f>
        <v>0.15384615384615385</v>
      </c>
      <c r="AU21" s="3803"/>
      <c r="AW21" s="37"/>
      <c r="AX21" s="37"/>
      <c r="AY21" s="416" t="s">
        <v>485</v>
      </c>
      <c r="AZ21" s="707">
        <v>7</v>
      </c>
      <c r="BA21" s="2040">
        <v>1</v>
      </c>
      <c r="BB21" s="1247">
        <f t="shared" si="2"/>
        <v>4</v>
      </c>
      <c r="BC21" s="2040">
        <v>3</v>
      </c>
      <c r="BD21" s="63"/>
      <c r="BE21" s="51"/>
      <c r="BF21" s="85"/>
      <c r="BG21" s="1689" t="s">
        <v>485</v>
      </c>
      <c r="BH21" s="1690">
        <v>6</v>
      </c>
      <c r="BI21" s="1691">
        <v>4</v>
      </c>
      <c r="BJ21" s="1247">
        <f t="shared" si="12"/>
        <v>3</v>
      </c>
      <c r="BL21" s="97"/>
      <c r="BM21" s="97"/>
      <c r="BN21" s="42"/>
      <c r="BO21" s="134"/>
      <c r="BP21" s="1701"/>
      <c r="BQ21" s="1243"/>
      <c r="BS21" s="742"/>
      <c r="BT21" s="742"/>
      <c r="BU21" s="981"/>
      <c r="BV21" s="1241"/>
      <c r="BW21" s="1242"/>
      <c r="BX21" s="1243"/>
      <c r="BZ21" s="686"/>
      <c r="CA21" s="686"/>
      <c r="CB21" s="687" t="s">
        <v>111</v>
      </c>
      <c r="CC21" s="688">
        <v>3.8888888888888888</v>
      </c>
      <c r="CD21" s="689">
        <v>9</v>
      </c>
      <c r="CE21" s="688">
        <f t="shared" si="4"/>
        <v>0.88888888888888884</v>
      </c>
      <c r="CG21" s="613"/>
      <c r="CH21" s="613"/>
      <c r="CI21" s="613"/>
      <c r="CJ21" s="389"/>
      <c r="CK21" s="722"/>
      <c r="CL21" s="723"/>
      <c r="CM21" s="724"/>
      <c r="CN21" s="724"/>
      <c r="CR21" s="728" t="s">
        <v>1192</v>
      </c>
      <c r="CY21" s="63"/>
      <c r="CZ21" s="63"/>
      <c r="DA21" s="37" t="s">
        <v>111</v>
      </c>
      <c r="DB21" s="63">
        <v>1</v>
      </c>
      <c r="DC21" s="694">
        <v>3</v>
      </c>
      <c r="DD21" s="63">
        <v>3</v>
      </c>
      <c r="DE21" s="694">
        <f t="shared" si="7"/>
        <v>0</v>
      </c>
      <c r="DH21" s="695"/>
      <c r="DI21" s="696"/>
      <c r="DJ21" s="711" t="s">
        <v>412</v>
      </c>
      <c r="DK21" s="712">
        <v>4.0434782608695654</v>
      </c>
      <c r="DL21" s="713">
        <v>46</v>
      </c>
      <c r="DM21" s="698"/>
      <c r="DN21" s="714">
        <f>DK21-3</f>
        <v>1.0434782608695654</v>
      </c>
    </row>
    <row r="22" spans="1:118" ht="15" thickBot="1">
      <c r="I22" s="36"/>
      <c r="J22" s="36"/>
      <c r="K22" s="36"/>
      <c r="L22" s="36"/>
      <c r="M22" s="36"/>
      <c r="N22" s="36"/>
      <c r="O22" s="36"/>
      <c r="Q22" s="4245"/>
      <c r="R22" s="4245"/>
      <c r="S22" s="4256" t="s">
        <v>412</v>
      </c>
      <c r="T22" s="4557">
        <v>6</v>
      </c>
      <c r="U22" s="4426">
        <f>SUM(U21)</f>
        <v>1</v>
      </c>
      <c r="V22" s="4411">
        <f>+(U21*V21)/U22</f>
        <v>3</v>
      </c>
      <c r="W22" s="4416"/>
      <c r="Y22" s="4241"/>
      <c r="Z22" s="4241"/>
      <c r="AA22" s="4400" t="s">
        <v>112</v>
      </c>
      <c r="AB22" s="4401">
        <v>3.32</v>
      </c>
      <c r="AC22" s="4401">
        <v>47</v>
      </c>
      <c r="AD22" s="4402">
        <f>+(AC11*AD11+AC18*AD18+AC21*AD21)/AC22</f>
        <v>0.25617021276595747</v>
      </c>
      <c r="AE22" s="4401">
        <v>3</v>
      </c>
      <c r="AG22" s="416" t="s">
        <v>2547</v>
      </c>
      <c r="AH22" s="37"/>
      <c r="AI22" s="416"/>
      <c r="AJ22" s="3795"/>
      <c r="AK22" s="3795"/>
      <c r="AL22" s="3795"/>
      <c r="AM22" s="2048"/>
      <c r="AO22" s="1520" t="s">
        <v>2547</v>
      </c>
      <c r="AQ22" s="1520"/>
      <c r="AR22" s="3806"/>
      <c r="AS22" s="3806"/>
      <c r="AT22" s="3806"/>
      <c r="AU22" s="3808"/>
      <c r="AW22" s="2058"/>
      <c r="AX22" s="2058"/>
      <c r="AY22" s="2059" t="s">
        <v>412</v>
      </c>
      <c r="AZ22" s="2060">
        <v>4.13</v>
      </c>
      <c r="BA22" s="2061">
        <v>23</v>
      </c>
      <c r="BB22" s="2068">
        <f>+(BA19*BB19+BA21*BB21)/BA22</f>
        <v>1.1304347826086956</v>
      </c>
      <c r="BC22" s="2061">
        <v>3</v>
      </c>
      <c r="BD22" s="2048"/>
      <c r="BE22" s="1692"/>
      <c r="BF22" s="1688"/>
      <c r="BG22" s="1693" t="s">
        <v>412</v>
      </c>
      <c r="BH22" s="1694">
        <v>5.8</v>
      </c>
      <c r="BI22" s="1695">
        <v>5</v>
      </c>
      <c r="BJ22" s="716">
        <f>+(BI19*BJ19+BI21*BJ21)/BI22</f>
        <v>2.8</v>
      </c>
      <c r="BL22" s="97"/>
      <c r="BM22" s="97"/>
      <c r="BN22" s="893" t="s">
        <v>485</v>
      </c>
      <c r="BO22" s="894">
        <v>4</v>
      </c>
      <c r="BP22" s="1702">
        <v>3</v>
      </c>
      <c r="BQ22" s="1247">
        <f t="shared" si="3"/>
        <v>1</v>
      </c>
      <c r="BS22" s="742"/>
      <c r="BT22" s="742"/>
      <c r="BU22" s="1244" t="s">
        <v>485</v>
      </c>
      <c r="BV22" s="1245">
        <v>5.5</v>
      </c>
      <c r="BW22" s="1246">
        <v>6</v>
      </c>
      <c r="BX22" s="1247">
        <f t="shared" si="8"/>
        <v>2.5</v>
      </c>
      <c r="BZ22" s="686"/>
      <c r="CA22" s="686"/>
      <c r="CB22" s="700" t="s">
        <v>485</v>
      </c>
      <c r="CC22" s="701">
        <v>4.1000000000000005</v>
      </c>
      <c r="CD22" s="702">
        <v>10</v>
      </c>
      <c r="CE22" s="701">
        <f>+(CD20*CE20+CD21*CE21)/CD22</f>
        <v>1.1000000000000001</v>
      </c>
      <c r="CG22" s="613"/>
      <c r="CH22" s="613"/>
      <c r="CI22" s="613"/>
      <c r="CJ22" s="389"/>
      <c r="CK22" s="722"/>
      <c r="CL22" s="723"/>
      <c r="CM22" s="724"/>
      <c r="CN22" s="724"/>
      <c r="CY22" s="472"/>
      <c r="CZ22" s="472"/>
      <c r="DA22" s="474" t="s">
        <v>15</v>
      </c>
      <c r="DB22" s="423">
        <v>3</v>
      </c>
      <c r="DC22" s="729">
        <v>5</v>
      </c>
      <c r="DD22" s="423"/>
      <c r="DE22" s="729">
        <f>+(DB20*DE20+DB21*DE21)/DB22</f>
        <v>2</v>
      </c>
      <c r="DF22" s="708">
        <f>AVERAGE(DE20:DE21)</f>
        <v>1.5</v>
      </c>
      <c r="DH22" s="730"/>
      <c r="DI22" s="731"/>
      <c r="DJ22" s="732" t="s">
        <v>112</v>
      </c>
      <c r="DK22" s="733">
        <v>4.5603448275862055</v>
      </c>
      <c r="DL22" s="683">
        <v>116</v>
      </c>
      <c r="DM22" s="734"/>
      <c r="DN22" s="735">
        <f>AVERAGE(DN10,DN16,DN21)</f>
        <v>1.6250988142292486</v>
      </c>
    </row>
    <row r="23" spans="1:118" ht="15" thickBot="1">
      <c r="I23" s="36"/>
      <c r="J23" s="36"/>
      <c r="K23" s="36"/>
      <c r="L23" s="36"/>
      <c r="M23" s="36"/>
      <c r="N23" s="36"/>
      <c r="O23" s="36"/>
      <c r="Q23" s="4417"/>
      <c r="R23" s="4417"/>
      <c r="S23" s="4418" t="s">
        <v>112</v>
      </c>
      <c r="T23" s="4427">
        <v>4.8</v>
      </c>
      <c r="U23" s="4427">
        <f>SUM(U12,U19,U22)</f>
        <v>63</v>
      </c>
      <c r="V23" s="4419">
        <f>+(U12*V12+U19*V19+U22*V22)/U23</f>
        <v>0.43968253968253967</v>
      </c>
      <c r="W23" s="4427"/>
      <c r="Y23" s="4236"/>
      <c r="Z23" s="4236"/>
      <c r="AA23" s="4236"/>
      <c r="AB23" s="4237"/>
      <c r="AC23" s="4237"/>
      <c r="AD23" s="4236"/>
      <c r="AE23" s="4236"/>
      <c r="AG23" s="37"/>
      <c r="AH23" s="37"/>
      <c r="AI23" s="37"/>
      <c r="AJ23" s="37"/>
      <c r="AK23" s="37"/>
      <c r="AL23" s="37"/>
      <c r="AM23" s="37"/>
      <c r="AW23" s="37" t="s">
        <v>59</v>
      </c>
      <c r="AX23" s="37" t="s">
        <v>64</v>
      </c>
      <c r="AY23" s="37" t="s">
        <v>609</v>
      </c>
      <c r="AZ23" s="694">
        <v>3</v>
      </c>
      <c r="BA23" s="63">
        <v>2</v>
      </c>
      <c r="BB23" s="1243">
        <f t="shared" si="2"/>
        <v>0</v>
      </c>
      <c r="BC23" s="2040">
        <v>3</v>
      </c>
      <c r="BE23" s="51" t="s">
        <v>59</v>
      </c>
      <c r="BF23" s="85" t="s">
        <v>64</v>
      </c>
      <c r="BG23" s="51" t="s">
        <v>609</v>
      </c>
      <c r="BH23" s="837">
        <v>3</v>
      </c>
      <c r="BI23" s="85">
        <v>1</v>
      </c>
      <c r="BJ23" s="1243">
        <f t="shared" si="12"/>
        <v>0</v>
      </c>
      <c r="BL23" s="1501"/>
      <c r="BM23" s="1501"/>
      <c r="BN23" s="1498" t="s">
        <v>412</v>
      </c>
      <c r="BO23" s="1499">
        <v>4.5</v>
      </c>
      <c r="BP23" s="1703">
        <v>4</v>
      </c>
      <c r="BQ23" s="1497">
        <f>+(BP19*BQ19+BP22*BQ22)/BP23</f>
        <v>1.5</v>
      </c>
      <c r="BS23" s="742"/>
      <c r="BT23" s="742"/>
      <c r="BU23" s="1244" t="s">
        <v>412</v>
      </c>
      <c r="BV23" s="1245">
        <v>5.5714285714285712</v>
      </c>
      <c r="BW23" s="1246">
        <v>7</v>
      </c>
      <c r="BX23" s="1253">
        <f>+(BW19*BX19+BW22*BX22)/BW23</f>
        <v>2.5714285714285716</v>
      </c>
      <c r="BZ23" s="686"/>
      <c r="CA23" s="686"/>
      <c r="CB23" s="715" t="s">
        <v>412</v>
      </c>
      <c r="CC23" s="716">
        <v>4</v>
      </c>
      <c r="CD23" s="717">
        <v>38</v>
      </c>
      <c r="CE23" s="716">
        <f>+(CD19*CE19+CD22*CE22)/CD23</f>
        <v>1</v>
      </c>
      <c r="CG23" s="613"/>
      <c r="CH23" s="613"/>
      <c r="CI23" s="613"/>
      <c r="CJ23" s="389"/>
      <c r="CK23" s="722"/>
      <c r="CL23" s="723"/>
      <c r="CM23" s="724"/>
      <c r="CN23" s="724"/>
      <c r="CP23" s="540"/>
      <c r="CQ23" s="540"/>
      <c r="CS23" s="704"/>
      <c r="CT23" s="704"/>
      <c r="CU23" s="552"/>
      <c r="CV23" s="552"/>
      <c r="CW23" s="552"/>
      <c r="CY23" s="63"/>
      <c r="CZ23" s="63"/>
      <c r="DA23" s="37"/>
      <c r="DB23" s="63"/>
      <c r="DC23" s="694"/>
      <c r="DD23" s="37"/>
      <c r="DE23" s="37"/>
      <c r="DH23" s="736" t="s">
        <v>1193</v>
      </c>
      <c r="DI23" s="737"/>
      <c r="DJ23" s="736"/>
      <c r="DK23" s="736"/>
      <c r="DL23" s="737"/>
      <c r="DM23" s="737"/>
      <c r="DN23" s="736"/>
    </row>
    <row r="24" spans="1:118">
      <c r="D24" s="5779"/>
      <c r="I24" s="36"/>
      <c r="J24" s="36"/>
      <c r="K24" s="36"/>
      <c r="L24" s="36"/>
      <c r="M24" s="36"/>
      <c r="N24" s="36"/>
      <c r="O24" s="36"/>
      <c r="Q24" s="4245"/>
      <c r="R24" s="4245"/>
      <c r="S24" s="4245"/>
      <c r="T24" s="4326"/>
      <c r="U24" s="4326"/>
      <c r="V24" s="4245"/>
      <c r="W24" s="4245"/>
      <c r="Y24" s="4236"/>
      <c r="Z24" s="4236"/>
      <c r="AA24" s="4236"/>
      <c r="AB24" s="4237"/>
      <c r="AC24" s="4237"/>
      <c r="AD24" s="4236"/>
      <c r="AE24" s="4236"/>
      <c r="AG24" s="37"/>
      <c r="AH24" s="37"/>
      <c r="AI24" s="37"/>
      <c r="AJ24" s="37"/>
      <c r="AK24" s="37"/>
      <c r="AL24" s="37"/>
      <c r="AM24" s="37"/>
      <c r="AW24" s="37"/>
      <c r="AX24" s="37"/>
      <c r="AY24" s="2053" t="s">
        <v>487</v>
      </c>
      <c r="AZ24" s="2054">
        <v>3</v>
      </c>
      <c r="BA24" s="2048">
        <v>2</v>
      </c>
      <c r="BB24" s="1247">
        <f t="shared" si="2"/>
        <v>0</v>
      </c>
      <c r="BC24" s="63">
        <v>3</v>
      </c>
      <c r="BE24" s="51"/>
      <c r="BF24" s="51"/>
      <c r="BG24" s="1689" t="s">
        <v>487</v>
      </c>
      <c r="BH24" s="1690">
        <v>3</v>
      </c>
      <c r="BI24" s="1691">
        <v>1</v>
      </c>
      <c r="BJ24" s="1247">
        <f t="shared" si="12"/>
        <v>0</v>
      </c>
      <c r="BL24" s="97" t="s">
        <v>59</v>
      </c>
      <c r="BM24" s="97" t="s">
        <v>64</v>
      </c>
      <c r="BN24" s="42" t="s">
        <v>609</v>
      </c>
      <c r="BO24" s="134">
        <v>3</v>
      </c>
      <c r="BP24" s="1701">
        <v>2</v>
      </c>
      <c r="BQ24" s="1243">
        <f t="shared" si="3"/>
        <v>0</v>
      </c>
      <c r="BS24" s="1254" t="s">
        <v>59</v>
      </c>
      <c r="BT24" s="1254" t="s">
        <v>64</v>
      </c>
      <c r="BU24" s="1255" t="s">
        <v>609</v>
      </c>
      <c r="BV24" s="1256">
        <v>3</v>
      </c>
      <c r="BW24" s="1257">
        <v>2</v>
      </c>
      <c r="BX24" s="1258">
        <f t="shared" si="8"/>
        <v>0</v>
      </c>
      <c r="BZ24" s="686" t="s">
        <v>59</v>
      </c>
      <c r="CA24" s="686" t="s">
        <v>64</v>
      </c>
      <c r="CB24" s="687" t="s">
        <v>609</v>
      </c>
      <c r="CC24" s="688">
        <v>3</v>
      </c>
      <c r="CD24" s="689">
        <v>2</v>
      </c>
      <c r="CE24" s="688">
        <f t="shared" si="4"/>
        <v>0</v>
      </c>
      <c r="CG24" s="613"/>
      <c r="CH24" s="613"/>
      <c r="CI24" s="613"/>
      <c r="CJ24" s="389"/>
      <c r="CK24" s="722"/>
      <c r="CL24" s="723"/>
      <c r="CM24" s="724"/>
      <c r="CN24" s="724"/>
      <c r="CP24" s="577"/>
      <c r="CQ24" s="577"/>
      <c r="CR24" s="577"/>
      <c r="CS24" s="7033" t="s">
        <v>1194</v>
      </c>
      <c r="CT24" s="7034"/>
      <c r="CU24" s="577"/>
      <c r="CV24" s="738"/>
      <c r="CW24" s="738"/>
      <c r="CY24" s="63"/>
      <c r="CZ24" s="63"/>
      <c r="DA24" s="37"/>
      <c r="DB24" s="63"/>
      <c r="DC24" s="694"/>
      <c r="DD24" s="37"/>
      <c r="DE24" s="37"/>
      <c r="DI24" s="737"/>
      <c r="DJ24" s="736"/>
      <c r="DK24" s="736"/>
      <c r="DL24" s="737"/>
      <c r="DM24" s="737"/>
      <c r="DN24" s="736"/>
    </row>
    <row r="25" spans="1:118" ht="42" thickBot="1">
      <c r="I25" s="36"/>
      <c r="J25" s="36"/>
      <c r="K25" s="36"/>
      <c r="L25" s="36"/>
      <c r="M25" s="36"/>
      <c r="N25" s="36"/>
      <c r="O25" s="36"/>
      <c r="Q25" s="4245"/>
      <c r="R25" s="4245"/>
      <c r="S25" s="4245"/>
      <c r="T25" s="4326"/>
      <c r="U25" s="4326"/>
      <c r="V25" s="4245"/>
      <c r="W25" s="4245"/>
      <c r="Y25" s="4236"/>
      <c r="Z25" s="4232"/>
      <c r="AA25" s="4290" t="s">
        <v>1</v>
      </c>
      <c r="AB25" s="4290" t="s">
        <v>2546</v>
      </c>
      <c r="AC25" s="4290" t="s">
        <v>1185</v>
      </c>
      <c r="AD25" s="4236"/>
      <c r="AE25" s="4236"/>
      <c r="AG25" s="37"/>
      <c r="AH25" s="37"/>
      <c r="AI25" s="681" t="s">
        <v>1</v>
      </c>
      <c r="AJ25" s="681" t="s">
        <v>2546</v>
      </c>
      <c r="AK25" s="681" t="s">
        <v>1185</v>
      </c>
      <c r="AL25" s="37"/>
      <c r="AM25" s="37"/>
      <c r="AW25" s="2058"/>
      <c r="AX25" s="2058"/>
      <c r="AY25" s="2059" t="s">
        <v>256</v>
      </c>
      <c r="AZ25" s="2060">
        <v>3</v>
      </c>
      <c r="BA25" s="2061">
        <v>2</v>
      </c>
      <c r="BB25" s="2062">
        <f t="shared" si="2"/>
        <v>0</v>
      </c>
      <c r="BC25" s="2063">
        <v>3</v>
      </c>
      <c r="BE25" s="51"/>
      <c r="BF25" s="51"/>
      <c r="BG25" s="1693" t="s">
        <v>256</v>
      </c>
      <c r="BH25" s="1694">
        <v>3</v>
      </c>
      <c r="BI25" s="1695">
        <v>1</v>
      </c>
      <c r="BJ25" s="1496">
        <f t="shared" si="12"/>
        <v>0</v>
      </c>
      <c r="BL25" s="97"/>
      <c r="BM25" s="97"/>
      <c r="BN25" s="893" t="s">
        <v>487</v>
      </c>
      <c r="BO25" s="894">
        <v>3</v>
      </c>
      <c r="BP25" s="1702">
        <v>2</v>
      </c>
      <c r="BQ25" s="1247">
        <f t="shared" si="3"/>
        <v>0</v>
      </c>
      <c r="BS25" s="742"/>
      <c r="BT25" s="742"/>
      <c r="BU25" s="1244" t="s">
        <v>487</v>
      </c>
      <c r="BV25" s="1245">
        <v>3</v>
      </c>
      <c r="BW25" s="1246">
        <v>2</v>
      </c>
      <c r="BX25" s="1243">
        <f t="shared" si="8"/>
        <v>0</v>
      </c>
      <c r="BZ25" s="686"/>
      <c r="CA25" s="686"/>
      <c r="CB25" s="700" t="s">
        <v>487</v>
      </c>
      <c r="CC25" s="701">
        <v>3</v>
      </c>
      <c r="CD25" s="702">
        <v>2</v>
      </c>
      <c r="CE25" s="701">
        <f t="shared" si="4"/>
        <v>0</v>
      </c>
      <c r="CG25" s="597" t="s">
        <v>878</v>
      </c>
      <c r="CH25" s="739"/>
      <c r="CI25" s="739"/>
      <c r="CJ25" s="597" t="s">
        <v>1</v>
      </c>
      <c r="CK25" s="597" t="s">
        <v>1014</v>
      </c>
      <c r="CL25" s="597" t="s">
        <v>1185</v>
      </c>
      <c r="CM25" s="740" t="s">
        <v>1186</v>
      </c>
      <c r="CN25" s="597" t="s">
        <v>1122</v>
      </c>
      <c r="CP25" s="741"/>
      <c r="CR25" s="525" t="s">
        <v>1</v>
      </c>
      <c r="CS25" s="679" t="s">
        <v>1187</v>
      </c>
      <c r="CT25" s="679" t="s">
        <v>1122</v>
      </c>
      <c r="CU25" s="679" t="s">
        <v>1185</v>
      </c>
      <c r="CV25" s="679" t="s">
        <v>1188</v>
      </c>
      <c r="CW25" s="679" t="s">
        <v>1122</v>
      </c>
      <c r="CY25" s="63"/>
      <c r="CZ25" s="63"/>
      <c r="DA25" s="423" t="s">
        <v>1</v>
      </c>
      <c r="DB25" s="681" t="s">
        <v>1185</v>
      </c>
      <c r="DC25" s="47" t="s">
        <v>1189</v>
      </c>
      <c r="DD25" s="47" t="s">
        <v>1190</v>
      </c>
      <c r="DE25" s="682" t="s">
        <v>1122</v>
      </c>
    </row>
    <row r="26" spans="1:118" ht="15" thickBot="1">
      <c r="Q26" s="4245"/>
      <c r="R26" s="4256"/>
      <c r="S26" s="4245"/>
      <c r="T26" s="4326"/>
      <c r="U26" s="4326"/>
      <c r="V26" s="4245"/>
      <c r="W26" s="4245"/>
      <c r="Y26" s="4236"/>
      <c r="Z26" s="4236"/>
      <c r="AA26" s="4403" t="s">
        <v>4</v>
      </c>
      <c r="AB26" s="4311">
        <v>7</v>
      </c>
      <c r="AC26" s="4311">
        <v>1</v>
      </c>
      <c r="AD26" s="4236"/>
      <c r="AE26" s="4236"/>
      <c r="AG26" s="37"/>
      <c r="AH26" s="37"/>
      <c r="AI26" s="37" t="s">
        <v>4</v>
      </c>
      <c r="AJ26" s="63">
        <v>6</v>
      </c>
      <c r="AK26" s="63">
        <v>2</v>
      </c>
      <c r="AL26" s="37"/>
      <c r="AM26" s="37"/>
      <c r="AW26" s="473"/>
      <c r="AX26" s="473"/>
      <c r="AY26" s="474" t="s">
        <v>112</v>
      </c>
      <c r="AZ26" s="729">
        <v>3.47</v>
      </c>
      <c r="BA26" s="423">
        <v>107</v>
      </c>
      <c r="BB26" s="1705">
        <f>+(BA11*BB11+BA17*BB17+BA22*BB22+BA25*BB25)/BA26</f>
        <v>0.59542056074766347</v>
      </c>
      <c r="BC26" s="423">
        <v>3</v>
      </c>
      <c r="BE26" s="1699"/>
      <c r="BF26" s="1699"/>
      <c r="BG26" s="1700" t="s">
        <v>112</v>
      </c>
      <c r="BH26" s="826">
        <v>3.75</v>
      </c>
      <c r="BI26" s="681">
        <v>63</v>
      </c>
      <c r="BJ26" s="1705">
        <f>+(BI11*BJ11+BI17*BJ17+BI22*BJ22+BI25*BJ25)/BI26</f>
        <v>0.87206349206349199</v>
      </c>
      <c r="BL26" s="97"/>
      <c r="BM26" s="97"/>
      <c r="BN26" s="1498" t="s">
        <v>256</v>
      </c>
      <c r="BO26" s="1499">
        <v>3</v>
      </c>
      <c r="BP26" s="1703">
        <v>2</v>
      </c>
      <c r="BQ26" s="1496">
        <f t="shared" si="3"/>
        <v>0</v>
      </c>
      <c r="BS26" s="742"/>
      <c r="BT26" s="742"/>
      <c r="BU26" s="1249" t="s">
        <v>256</v>
      </c>
      <c r="BV26" s="1250">
        <v>3</v>
      </c>
      <c r="BW26" s="1251">
        <v>2</v>
      </c>
      <c r="BX26" s="1259">
        <f t="shared" si="8"/>
        <v>0</v>
      </c>
      <c r="BZ26" s="686"/>
      <c r="CA26" s="686"/>
      <c r="CB26" s="715" t="s">
        <v>256</v>
      </c>
      <c r="CC26" s="716">
        <v>3</v>
      </c>
      <c r="CD26" s="717">
        <v>2</v>
      </c>
      <c r="CE26" s="716">
        <f t="shared" si="4"/>
        <v>0</v>
      </c>
      <c r="CG26" s="742" t="s">
        <v>645</v>
      </c>
      <c r="CH26" s="613"/>
      <c r="CI26" s="36"/>
      <c r="CJ26" s="613" t="s">
        <v>16</v>
      </c>
      <c r="CK26" s="391">
        <v>3.1428571428571432</v>
      </c>
      <c r="CL26" s="390">
        <v>28</v>
      </c>
      <c r="CM26" s="690">
        <v>0.59093684028527882</v>
      </c>
      <c r="CN26" s="691">
        <f>+(CL6*CN6+CL10*CN10+CL15*CN15)/CL26</f>
        <v>0.14285714285714285</v>
      </c>
      <c r="CP26" s="540"/>
      <c r="CR26" s="743" t="s">
        <v>16</v>
      </c>
      <c r="CS26" s="704">
        <v>3.0320000000000005</v>
      </c>
      <c r="CT26" s="704">
        <f>+(CU8*CT8+CU13*CT13+CU18*CT18)/CU26</f>
        <v>3.1999999999999827E-2</v>
      </c>
      <c r="CU26" s="552">
        <v>125</v>
      </c>
      <c r="CV26" s="705">
        <v>3.5760000000000001</v>
      </c>
      <c r="CW26" s="744">
        <f>+(CU8*CW8+CU13*CW13+CU18*CW18)/CU26</f>
        <v>0.5760000000000014</v>
      </c>
      <c r="CY26" s="63"/>
      <c r="CZ26" s="63"/>
      <c r="DA26" s="63" t="s">
        <v>16</v>
      </c>
      <c r="DB26" s="63">
        <v>146</v>
      </c>
      <c r="DC26" s="694">
        <v>3.4726027397260264</v>
      </c>
      <c r="DD26" s="37"/>
      <c r="DE26" s="694">
        <f>+(DB8*DE8+DB13*DE13+DB19*DE19)/DB26</f>
        <v>0.47260273972602779</v>
      </c>
      <c r="DF26" s="708">
        <f>AVERAGE(DE8,DE13,DE19)</f>
        <v>0.61777128005198201</v>
      </c>
    </row>
    <row r="27" spans="1:118" ht="15" thickBot="1">
      <c r="Q27" s="4245"/>
      <c r="R27" s="4245"/>
      <c r="S27" s="4245"/>
      <c r="T27" s="4326"/>
      <c r="U27" s="4326"/>
      <c r="V27" s="4245"/>
      <c r="W27" s="4245"/>
      <c r="Y27" s="4236"/>
      <c r="Z27" s="4236"/>
      <c r="AA27" s="4403" t="s">
        <v>16</v>
      </c>
      <c r="AB27" s="4311">
        <v>3.11</v>
      </c>
      <c r="AC27" s="4311">
        <v>35</v>
      </c>
      <c r="AD27" s="4236"/>
      <c r="AE27" s="4236"/>
      <c r="AG27" s="37"/>
      <c r="AH27" s="37"/>
      <c r="AI27" s="37" t="s">
        <v>16</v>
      </c>
      <c r="AJ27" s="63">
        <v>3.11</v>
      </c>
      <c r="AK27" s="63">
        <v>55</v>
      </c>
      <c r="AL27" s="37"/>
      <c r="AM27" s="37"/>
      <c r="AQ27" s="3804" t="s">
        <v>1</v>
      </c>
      <c r="AR27" s="3803" t="s">
        <v>2546</v>
      </c>
      <c r="AS27" s="3803" t="s">
        <v>1185</v>
      </c>
      <c r="AW27" s="37"/>
      <c r="AX27" s="37"/>
      <c r="AY27" s="37"/>
      <c r="AZ27" s="37"/>
      <c r="BA27" s="37"/>
      <c r="BB27" s="37"/>
      <c r="BE27" s="37"/>
      <c r="BF27" s="37"/>
      <c r="BG27" s="37"/>
      <c r="BH27" s="37"/>
      <c r="BI27" s="37"/>
      <c r="BJ27" s="37"/>
      <c r="BL27" s="1015"/>
      <c r="BM27" s="1015"/>
      <c r="BN27" s="866" t="s">
        <v>112</v>
      </c>
      <c r="BO27" s="917">
        <v>3.69</v>
      </c>
      <c r="BP27" s="1704">
        <v>99</v>
      </c>
      <c r="BQ27" s="749">
        <f>+(BP11*BQ11+BP17*BQ17+BP23*BQ23+BP26*BQ26)/BP27</f>
        <v>0.47464646464646459</v>
      </c>
      <c r="BS27" s="1011"/>
      <c r="BT27" s="1011"/>
      <c r="BU27" s="1260" t="s">
        <v>112</v>
      </c>
      <c r="BV27" s="1261">
        <v>4.2033898305084749</v>
      </c>
      <c r="BW27" s="1262">
        <v>59</v>
      </c>
      <c r="BX27" s="749">
        <f>+(BW11*BX11+BW17*BX17+BW23*BX23+BW26*BX26)/BW27</f>
        <v>0.84745762711864436</v>
      </c>
      <c r="BZ27" s="745"/>
      <c r="CA27" s="745"/>
      <c r="CB27" s="746" t="s">
        <v>112</v>
      </c>
      <c r="CC27" s="747">
        <v>3.7070707070707072</v>
      </c>
      <c r="CD27" s="748">
        <v>99</v>
      </c>
      <c r="CE27" s="749">
        <f>+(CD11*CE11+CD17*CE17+CD23*CE23+CD26*CE26)/CD27</f>
        <v>0.70707070707070707</v>
      </c>
      <c r="CG27" s="613"/>
      <c r="CH27" s="613"/>
      <c r="CI27" s="36"/>
      <c r="CJ27" s="613" t="s">
        <v>41</v>
      </c>
      <c r="CK27" s="391">
        <v>4.0344827586206895</v>
      </c>
      <c r="CL27" s="390">
        <v>29</v>
      </c>
      <c r="CM27" s="690">
        <v>1.4755812080254451</v>
      </c>
      <c r="CN27" s="691">
        <f>+(CL13*CN13)/CL27</f>
        <v>0.72413793103448276</v>
      </c>
      <c r="CP27" s="540"/>
      <c r="CR27" s="743" t="s">
        <v>41</v>
      </c>
      <c r="CS27" s="704">
        <v>3.833333333333333</v>
      </c>
      <c r="CT27" s="704">
        <f>+(CU16*CT16+CU20*CT20)/CU27</f>
        <v>0.58333333333333337</v>
      </c>
      <c r="CU27" s="552">
        <v>24</v>
      </c>
      <c r="CV27" s="705">
        <v>3.833333333333333</v>
      </c>
      <c r="CW27" s="744">
        <f>+(CU16*CW16+CU20*CW20)/CU27</f>
        <v>0.58333333333333337</v>
      </c>
      <c r="CY27" s="63"/>
      <c r="CZ27" s="63"/>
      <c r="DA27" s="63" t="s">
        <v>41</v>
      </c>
      <c r="DB27" s="63">
        <v>25</v>
      </c>
      <c r="DC27" s="694">
        <v>4.5999999999999996</v>
      </c>
      <c r="DD27" s="37"/>
      <c r="DE27" s="694">
        <f>+(DB16*DE16+DB22*DE22)/DB27</f>
        <v>1.3600000000000012</v>
      </c>
      <c r="DF27" s="708">
        <f>AVERAGE(DE16,DE22)</f>
        <v>1.6363636363636371</v>
      </c>
    </row>
    <row r="28" spans="1:118">
      <c r="Q28" s="4245"/>
      <c r="R28" s="4245"/>
      <c r="S28" s="4245"/>
      <c r="T28" s="4326"/>
      <c r="U28" s="4326"/>
      <c r="V28" s="4245"/>
      <c r="W28" s="4245"/>
      <c r="Y28" s="4236"/>
      <c r="Z28" s="4236"/>
      <c r="AA28" s="4403" t="s">
        <v>41</v>
      </c>
      <c r="AB28" s="4311">
        <v>4.75</v>
      </c>
      <c r="AC28" s="4311">
        <v>4</v>
      </c>
      <c r="AD28" s="4236"/>
      <c r="AE28" s="4236"/>
      <c r="AG28" s="37"/>
      <c r="AH28" s="37"/>
      <c r="AI28" s="37" t="s">
        <v>41</v>
      </c>
      <c r="AJ28" s="63">
        <v>4</v>
      </c>
      <c r="AK28" s="63">
        <v>4</v>
      </c>
      <c r="AL28" s="37"/>
      <c r="AM28" s="37"/>
      <c r="AQ28" s="32" t="s">
        <v>4</v>
      </c>
      <c r="AR28" s="1518">
        <v>6</v>
      </c>
      <c r="AS28" s="1518">
        <v>2</v>
      </c>
      <c r="AX28" s="37"/>
      <c r="AY28" s="37"/>
      <c r="AZ28" s="37"/>
      <c r="BA28" s="37"/>
      <c r="BE28" s="7043" t="s">
        <v>2279</v>
      </c>
      <c r="BF28" s="7043"/>
      <c r="BG28" s="7043"/>
      <c r="BH28" s="7043"/>
      <c r="BI28" s="7043"/>
      <c r="BJ28" s="1683"/>
      <c r="BM28" s="36"/>
      <c r="BN28" s="1495" t="s">
        <v>1740</v>
      </c>
      <c r="BO28" s="1360"/>
      <c r="BP28" s="1493"/>
      <c r="BS28" s="742"/>
      <c r="BT28" s="742"/>
      <c r="BU28" s="981" t="s">
        <v>1671</v>
      </c>
      <c r="BV28" s="1241"/>
      <c r="BW28" s="1242"/>
      <c r="BX28" s="1243"/>
      <c r="CG28" s="613"/>
      <c r="CH28" s="613"/>
      <c r="CI28" s="36"/>
      <c r="CJ28" s="613" t="s">
        <v>103</v>
      </c>
      <c r="CK28" s="391">
        <v>3.3030303030303041</v>
      </c>
      <c r="CL28" s="390">
        <v>33</v>
      </c>
      <c r="CM28" s="690">
        <v>1.1587937824751349</v>
      </c>
      <c r="CN28" s="391">
        <f>CK28-3</f>
        <v>0.30303030303030409</v>
      </c>
      <c r="CP28" s="540"/>
      <c r="CR28" s="743" t="s">
        <v>21</v>
      </c>
      <c r="CS28" s="704">
        <v>4.666666666666667</v>
      </c>
      <c r="CT28" s="704">
        <f>+(CU10*CT10)/CU28</f>
        <v>1.666666666666667</v>
      </c>
      <c r="CU28" s="552">
        <v>6</v>
      </c>
      <c r="CV28" s="705">
        <v>5.666666666666667</v>
      </c>
      <c r="CW28" s="744">
        <f>+(CU10*CW10)/CU28</f>
        <v>2.6666666666666665</v>
      </c>
      <c r="CY28" s="63"/>
      <c r="CZ28" s="63"/>
      <c r="DA28" s="63" t="s">
        <v>103</v>
      </c>
      <c r="DB28" s="63">
        <v>34</v>
      </c>
      <c r="DC28" s="694">
        <v>4.3529411764705879</v>
      </c>
      <c r="DD28" s="37"/>
      <c r="DE28" s="694">
        <f>+DE11</f>
        <v>1.3529411764705888</v>
      </c>
      <c r="DF28" s="708">
        <f>+DE10</f>
        <v>1.1818181818181825</v>
      </c>
    </row>
    <row r="29" spans="1:118">
      <c r="Q29" s="4245"/>
      <c r="R29" s="4245"/>
      <c r="S29" s="4245"/>
      <c r="T29" s="4326"/>
      <c r="U29" s="4326"/>
      <c r="V29" s="4245"/>
      <c r="W29" s="4245"/>
      <c r="Y29" s="4236"/>
      <c r="Z29" s="4236"/>
      <c r="AA29" s="4403" t="s">
        <v>21</v>
      </c>
      <c r="AB29" s="4311">
        <v>3</v>
      </c>
      <c r="AC29" s="4311">
        <v>7</v>
      </c>
      <c r="AD29" s="4236"/>
      <c r="AE29" s="4236"/>
      <c r="AG29" s="37"/>
      <c r="AH29" s="37"/>
      <c r="AI29" s="37" t="s">
        <v>21</v>
      </c>
      <c r="AJ29" s="63">
        <v>3</v>
      </c>
      <c r="AK29" s="63">
        <v>4</v>
      </c>
      <c r="AL29" s="37"/>
      <c r="AM29" s="37"/>
      <c r="AQ29" s="32" t="s">
        <v>16</v>
      </c>
      <c r="AR29" s="1518">
        <v>3.11</v>
      </c>
      <c r="AS29" s="1518">
        <v>55</v>
      </c>
      <c r="AW29" s="7042" t="s">
        <v>2301</v>
      </c>
      <c r="AX29" s="7042"/>
      <c r="AY29" s="7042"/>
      <c r="AZ29" s="7042"/>
      <c r="BA29" s="7042"/>
      <c r="BE29" s="7043"/>
      <c r="BF29" s="7043"/>
      <c r="BG29" s="7043"/>
      <c r="BH29" s="7043"/>
      <c r="BI29" s="7043"/>
      <c r="BJ29" s="1683"/>
      <c r="BM29" s="36"/>
      <c r="BN29" s="1495"/>
      <c r="BO29" s="1360"/>
      <c r="BP29" s="1493"/>
      <c r="BS29" s="89"/>
      <c r="BT29" s="742"/>
      <c r="BU29" s="742"/>
      <c r="BV29" s="1241"/>
      <c r="BW29" s="1242"/>
      <c r="BX29" s="1243"/>
      <c r="CG29" s="613"/>
      <c r="CH29" s="613"/>
      <c r="CI29" s="36"/>
      <c r="CJ29" s="613" t="s">
        <v>64</v>
      </c>
      <c r="CK29" s="391">
        <v>3</v>
      </c>
      <c r="CL29" s="390">
        <v>2</v>
      </c>
      <c r="CM29" s="690">
        <v>0</v>
      </c>
      <c r="CN29" s="391">
        <f>CK29-3</f>
        <v>0</v>
      </c>
      <c r="CP29" s="540"/>
      <c r="CR29" s="750"/>
      <c r="CS29" s="704"/>
      <c r="CT29" s="704"/>
      <c r="CU29" s="552"/>
      <c r="CV29" s="552"/>
      <c r="CW29" s="718"/>
      <c r="CY29" s="63"/>
      <c r="CZ29" s="63"/>
      <c r="DA29" s="386"/>
      <c r="DB29" s="386"/>
      <c r="DC29" s="707"/>
      <c r="DD29" s="37"/>
      <c r="DE29" s="694"/>
      <c r="DF29" s="708"/>
    </row>
    <row r="30" spans="1:118" ht="15" thickBot="1">
      <c r="Q30" s="4245"/>
      <c r="R30" s="4245"/>
      <c r="S30" s="4245"/>
      <c r="T30" s="4326"/>
      <c r="U30" s="4326"/>
      <c r="V30" s="4245"/>
      <c r="W30" s="4245"/>
      <c r="Y30" s="4236"/>
      <c r="Z30" s="4236"/>
      <c r="AA30" s="4233" t="s">
        <v>75</v>
      </c>
      <c r="AB30" s="4242">
        <v>3.32</v>
      </c>
      <c r="AC30" s="4242">
        <v>47</v>
      </c>
      <c r="AD30" s="4236"/>
      <c r="AE30" s="4236"/>
      <c r="AG30" s="37"/>
      <c r="AH30" s="37"/>
      <c r="AI30" s="474" t="s">
        <v>112</v>
      </c>
      <c r="AJ30" s="423">
        <v>3.25</v>
      </c>
      <c r="AK30" s="423">
        <v>65</v>
      </c>
      <c r="AL30" s="37"/>
      <c r="AM30" s="37"/>
      <c r="AQ30" s="32" t="s">
        <v>41</v>
      </c>
      <c r="AR30" s="1518">
        <v>4</v>
      </c>
      <c r="AS30" s="1518">
        <v>4</v>
      </c>
      <c r="AW30" s="7042"/>
      <c r="AX30" s="7042"/>
      <c r="AY30" s="7042"/>
      <c r="AZ30" s="7042"/>
      <c r="BA30" s="7042"/>
      <c r="BL30" s="36"/>
      <c r="BM30" s="36"/>
      <c r="BN30" s="393"/>
      <c r="BO30" s="1360"/>
      <c r="BP30" s="1493"/>
      <c r="BS30" s="742"/>
      <c r="BT30" s="742"/>
      <c r="BU30" s="742"/>
      <c r="BV30" s="1241"/>
      <c r="BW30" s="1242"/>
      <c r="BX30" s="1243"/>
      <c r="CG30" s="637"/>
      <c r="CH30" s="637"/>
      <c r="CI30" s="637"/>
      <c r="CJ30" s="719" t="s">
        <v>112</v>
      </c>
      <c r="CK30" s="400">
        <v>3.478260869565216</v>
      </c>
      <c r="CL30" s="399">
        <v>92</v>
      </c>
      <c r="CM30" s="720">
        <v>1.1811547792384858</v>
      </c>
      <c r="CN30" s="751">
        <f>+(CL9*CN9+CL14*CN14+CL16*CN16+CL18*CN18)/CL30</f>
        <v>0.38043478260869606</v>
      </c>
      <c r="CP30" s="540"/>
      <c r="CR30" s="525" t="s">
        <v>75</v>
      </c>
      <c r="CS30" s="721">
        <v>3.219354838709676</v>
      </c>
      <c r="CT30" s="752">
        <f>+(CU34*CT34+CU35*CT35+CU36*CT36)/CU30</f>
        <v>0.18064516129032246</v>
      </c>
      <c r="CU30" s="566">
        <v>155</v>
      </c>
      <c r="CV30" s="726">
        <v>3.696774193548388</v>
      </c>
      <c r="CW30" s="752">
        <f>+(CU34*CW34+CU35*CW35+CU36*CW36)/CU30</f>
        <v>0.65806451612903338</v>
      </c>
      <c r="CY30" s="63"/>
      <c r="CZ30" s="63"/>
      <c r="DA30" s="423" t="s">
        <v>112</v>
      </c>
      <c r="DB30" s="423">
        <v>205</v>
      </c>
      <c r="DC30" s="729">
        <v>3.7560975609756087</v>
      </c>
      <c r="DD30" s="473"/>
      <c r="DE30" s="729">
        <f>+(DB26*DE26+DB27*DE27+DB28*DE28)/DB30</f>
        <v>0.72682926829268346</v>
      </c>
      <c r="DF30" s="708">
        <f>AVERAGE(DE26:DE28)</f>
        <v>1.0618479720655392</v>
      </c>
    </row>
    <row r="31" spans="1:118" ht="15" thickBot="1">
      <c r="Q31" s="4245"/>
      <c r="R31" s="4245"/>
      <c r="S31" s="4245"/>
      <c r="T31" s="4326"/>
      <c r="U31" s="4326"/>
      <c r="V31" s="4245"/>
      <c r="W31" s="4245"/>
      <c r="AG31" s="37"/>
      <c r="AH31" s="37"/>
      <c r="AL31" s="63"/>
      <c r="AM31" s="2048"/>
      <c r="AQ31" s="32" t="s">
        <v>21</v>
      </c>
      <c r="AR31" s="1518">
        <v>3</v>
      </c>
      <c r="AS31" s="1518">
        <v>4</v>
      </c>
      <c r="AT31" s="1518"/>
      <c r="AU31" s="3808"/>
      <c r="BL31" s="36"/>
      <c r="BM31" s="36"/>
      <c r="BN31" s="398" t="s">
        <v>1</v>
      </c>
      <c r="BO31" s="1391" t="s">
        <v>1738</v>
      </c>
      <c r="BP31" s="1494" t="s">
        <v>1185</v>
      </c>
      <c r="BQ31" s="678" t="s">
        <v>1122</v>
      </c>
      <c r="BS31" s="742"/>
      <c r="BT31" s="742"/>
      <c r="BU31" s="863" t="s">
        <v>1</v>
      </c>
      <c r="BV31" s="863" t="s">
        <v>1670</v>
      </c>
      <c r="BW31" s="863" t="s">
        <v>1185</v>
      </c>
      <c r="BX31" s="678" t="s">
        <v>1122</v>
      </c>
      <c r="CG31" s="675"/>
      <c r="CH31" s="675"/>
      <c r="CI31" s="675"/>
      <c r="CJ31" s="753"/>
      <c r="CK31" s="754"/>
      <c r="CL31" s="755"/>
      <c r="CM31" s="756"/>
      <c r="CN31" s="756"/>
      <c r="CY31" s="63"/>
      <c r="CZ31" s="63"/>
      <c r="DA31" s="63"/>
      <c r="DB31" s="37"/>
      <c r="DC31" s="37"/>
      <c r="DD31" s="37"/>
      <c r="DE31" s="37"/>
    </row>
    <row r="32" spans="1:118" ht="15" thickBot="1">
      <c r="S32" s="4245"/>
      <c r="T32" s="4326"/>
      <c r="U32" s="4326"/>
      <c r="AG32" s="37"/>
      <c r="AH32" s="37"/>
      <c r="AL32" s="2048"/>
      <c r="AM32" s="2048"/>
      <c r="AQ32" s="3804" t="s">
        <v>112</v>
      </c>
      <c r="AR32" s="3803">
        <v>3.25</v>
      </c>
      <c r="AS32" s="3803">
        <v>65</v>
      </c>
      <c r="AT32" s="3808"/>
      <c r="AU32" s="3808"/>
      <c r="BL32" s="36"/>
      <c r="BM32" s="36"/>
      <c r="BN32" s="95" t="s">
        <v>16</v>
      </c>
      <c r="BO32" s="1360">
        <v>3.07</v>
      </c>
      <c r="BP32" s="1493">
        <v>73</v>
      </c>
      <c r="BQ32" s="1267">
        <f>+(BP7*BQ7+BP12*BQ12+BP18*BQ18)/BP32</f>
        <v>4.1095890410958902E-2</v>
      </c>
      <c r="BS32" s="742"/>
      <c r="BT32" s="1263"/>
      <c r="BU32" s="1264" t="s">
        <v>16</v>
      </c>
      <c r="BV32" s="1265">
        <v>3.1612903225806455</v>
      </c>
      <c r="BW32" s="1266">
        <v>31</v>
      </c>
      <c r="BX32" s="1267">
        <f>+(BW8*BX8+BW13*BX13+BW19*BX19)/BW32</f>
        <v>0.16129032258064535</v>
      </c>
      <c r="CG32" s="675"/>
      <c r="CH32" s="675"/>
      <c r="CI32" s="675"/>
      <c r="CJ32" s="753"/>
      <c r="CK32" s="754"/>
      <c r="CL32" s="755"/>
      <c r="CM32" s="756"/>
      <c r="CN32" s="756"/>
      <c r="CY32" s="63"/>
      <c r="CZ32" s="63"/>
      <c r="DA32" s="63"/>
      <c r="DB32" s="37"/>
      <c r="DC32" s="37"/>
      <c r="DD32" s="37"/>
      <c r="DE32" s="37"/>
    </row>
    <row r="33" spans="17:110" ht="31.5" customHeight="1" thickBot="1">
      <c r="BL33" s="36"/>
      <c r="BM33" s="36"/>
      <c r="BN33" s="95" t="s">
        <v>41</v>
      </c>
      <c r="BO33" s="1360">
        <v>5.63</v>
      </c>
      <c r="BP33" s="1493">
        <v>24</v>
      </c>
      <c r="BQ33" s="1268">
        <f>+(BP13*BQ13+BP14*BQ14+BP19*BQ19)/BP33</f>
        <v>0.7899999999999997</v>
      </c>
      <c r="BS33" s="742"/>
      <c r="BT33" s="1263"/>
      <c r="BU33" s="742" t="s">
        <v>41</v>
      </c>
      <c r="BV33" s="1241">
        <v>5.5384615384615374</v>
      </c>
      <c r="BW33" s="1242">
        <v>26</v>
      </c>
      <c r="BX33" s="1268">
        <f>+(BW14*BX14+BW15*BX15+BW20*BX20)/BW33</f>
        <v>1.7307692307692311</v>
      </c>
      <c r="CG33" s="675"/>
      <c r="CH33" s="675"/>
      <c r="CI33" s="675"/>
      <c r="CJ33" s="753"/>
      <c r="CK33" s="754"/>
      <c r="CL33" s="755"/>
      <c r="CM33" s="756"/>
      <c r="CN33" s="756"/>
      <c r="CR33" s="575" t="s">
        <v>0</v>
      </c>
      <c r="CS33" s="679" t="s">
        <v>1187</v>
      </c>
      <c r="CT33" s="679" t="s">
        <v>1122</v>
      </c>
      <c r="CU33" s="679" t="s">
        <v>1185</v>
      </c>
      <c r="CV33" s="679" t="s">
        <v>1188</v>
      </c>
      <c r="CW33" s="679" t="s">
        <v>1122</v>
      </c>
      <c r="CY33" s="63"/>
      <c r="CZ33" s="63"/>
      <c r="DA33" s="423" t="s">
        <v>0</v>
      </c>
      <c r="DB33" s="681" t="s">
        <v>1185</v>
      </c>
      <c r="DC33" s="47" t="s">
        <v>1189</v>
      </c>
      <c r="DD33" s="47" t="s">
        <v>1190</v>
      </c>
      <c r="DE33" s="682" t="s">
        <v>1122</v>
      </c>
    </row>
    <row r="34" spans="17:110">
      <c r="Q34" s="4420" t="s">
        <v>2698</v>
      </c>
      <c r="R34" s="4420" t="s">
        <v>2699</v>
      </c>
      <c r="S34" s="4420" t="s">
        <v>2722</v>
      </c>
      <c r="T34" s="4420" t="s">
        <v>2723</v>
      </c>
      <c r="U34" s="4420" t="s">
        <v>1185</v>
      </c>
      <c r="AJ34" s="4522"/>
      <c r="AK34" s="4522"/>
      <c r="AL34" s="4522"/>
      <c r="BL34" s="36"/>
      <c r="BM34" s="36"/>
      <c r="BN34" s="95" t="s">
        <v>64</v>
      </c>
      <c r="BO34" s="1360">
        <v>3</v>
      </c>
      <c r="BP34" s="1493">
        <v>2</v>
      </c>
      <c r="BQ34" s="1268">
        <f>+(BP23*BQ23)/BP34</f>
        <v>3</v>
      </c>
      <c r="BS34" s="742"/>
      <c r="BT34" s="1263"/>
      <c r="BU34" s="1264" t="s">
        <v>64</v>
      </c>
      <c r="BV34" s="1265">
        <v>3</v>
      </c>
      <c r="BW34" s="1266">
        <v>2</v>
      </c>
      <c r="BX34" s="1268">
        <f>+(BW24*BX24)/BW34</f>
        <v>0</v>
      </c>
      <c r="CG34" s="675"/>
      <c r="CH34" s="675"/>
      <c r="CI34" s="675"/>
      <c r="CJ34" s="753"/>
      <c r="CK34" s="754"/>
      <c r="CL34" s="755"/>
      <c r="CM34" s="756"/>
      <c r="CN34" s="756"/>
      <c r="CR34" s="63" t="s">
        <v>105</v>
      </c>
      <c r="CS34" s="63">
        <v>3.3333333333333344</v>
      </c>
      <c r="CT34" s="694">
        <f>+(CU8*CT8+CU10*CT10)/CU34</f>
        <v>0.33333333333333337</v>
      </c>
      <c r="CU34" s="37">
        <v>30</v>
      </c>
      <c r="CV34" s="757">
        <v>3.6333333333333337</v>
      </c>
      <c r="CW34" s="757">
        <f>+(CU8*CW8+CU10*CW10)/CU34</f>
        <v>0.6333333333333333</v>
      </c>
      <c r="CY34" s="63"/>
      <c r="CZ34" s="63"/>
      <c r="DA34" s="63" t="s">
        <v>3</v>
      </c>
      <c r="DB34" s="63">
        <v>53</v>
      </c>
      <c r="DC34" s="694">
        <v>4.0188679245283039</v>
      </c>
      <c r="DD34" s="37"/>
      <c r="DE34" s="694">
        <f>+(DB8*DE8+DB11*DE11)/DB34</f>
        <v>1.0188679245283021</v>
      </c>
      <c r="DF34" s="708">
        <f>AVERAGE(DE8,DE11)</f>
        <v>0.88699690402476783</v>
      </c>
    </row>
    <row r="35" spans="17:110" ht="15" thickBot="1">
      <c r="Q35" s="4421">
        <v>1</v>
      </c>
      <c r="R35" s="4421">
        <v>2</v>
      </c>
      <c r="S35" s="4422" t="s">
        <v>2066</v>
      </c>
      <c r="T35" s="4423">
        <v>3</v>
      </c>
      <c r="U35" s="4421">
        <v>1</v>
      </c>
      <c r="AJ35" s="4522"/>
      <c r="AK35" s="4522"/>
      <c r="AL35" s="4522"/>
      <c r="BL35" s="36"/>
      <c r="BM35" s="36"/>
      <c r="BN35" s="398" t="s">
        <v>75</v>
      </c>
      <c r="BO35" s="1391">
        <v>3.69</v>
      </c>
      <c r="BP35" s="1494">
        <v>99</v>
      </c>
      <c r="BQ35" s="749">
        <v>0.47464646464646459</v>
      </c>
      <c r="BS35" s="742"/>
      <c r="BT35" s="742"/>
      <c r="BU35" s="597" t="s">
        <v>112</v>
      </c>
      <c r="BV35" s="836">
        <v>4.2033898305084749</v>
      </c>
      <c r="BW35" s="1269">
        <v>59</v>
      </c>
      <c r="BX35" s="749">
        <v>0.84745762711864436</v>
      </c>
      <c r="CG35" s="675"/>
      <c r="CH35" s="675"/>
      <c r="CI35" s="675"/>
      <c r="CJ35" s="753"/>
      <c r="CK35" s="754"/>
      <c r="CL35" s="755"/>
      <c r="CM35" s="756"/>
      <c r="CN35" s="756"/>
      <c r="CR35" s="63" t="s">
        <v>109</v>
      </c>
      <c r="CS35" s="63">
        <v>3.111111111111112</v>
      </c>
      <c r="CT35" s="694">
        <f>+(CU13*CT13+CU16*CT16)/CU35</f>
        <v>5.982905982905963E-2</v>
      </c>
      <c r="CU35" s="37">
        <v>117</v>
      </c>
      <c r="CV35" s="757">
        <v>3.6581196581196584</v>
      </c>
      <c r="CW35" s="757">
        <f>+(CU13*CW13+CU16*CW16)/CU35</f>
        <v>0.60683760683760835</v>
      </c>
      <c r="CY35" s="63"/>
      <c r="CZ35" s="63"/>
      <c r="DA35" s="63" t="s">
        <v>25</v>
      </c>
      <c r="DB35" s="63">
        <v>130</v>
      </c>
      <c r="DC35" s="694">
        <v>3.5769230769230775</v>
      </c>
      <c r="DD35" s="37"/>
      <c r="DE35" s="694">
        <f>+(DB13*DE13+DB16*DE16)/DB35</f>
        <v>0.53076923076923144</v>
      </c>
      <c r="DF35" s="708">
        <f>AVERAGE(DE13,DE16)</f>
        <v>0.82617845117845212</v>
      </c>
    </row>
    <row r="36" spans="17:110">
      <c r="Q36" s="4421">
        <v>1</v>
      </c>
      <c r="R36" s="4421">
        <v>2</v>
      </c>
      <c r="S36" s="4422" t="s">
        <v>2066</v>
      </c>
      <c r="T36" s="4423">
        <v>3</v>
      </c>
      <c r="U36" s="4421">
        <v>11</v>
      </c>
      <c r="AJ36" s="4522"/>
      <c r="AK36" s="4522"/>
      <c r="AL36" s="4522"/>
      <c r="CG36" s="675"/>
      <c r="CH36" s="675"/>
      <c r="CI36" s="675"/>
      <c r="CJ36" s="753"/>
      <c r="CK36" s="754"/>
      <c r="CL36" s="755"/>
      <c r="CM36" s="756"/>
      <c r="CN36" s="756"/>
      <c r="CR36" s="63" t="s">
        <v>412</v>
      </c>
      <c r="CS36" s="63">
        <v>4.375</v>
      </c>
      <c r="CT36" s="694">
        <f>+(CU18*CT18+CU20*CT20)/CU36</f>
        <v>1.3750000000000004</v>
      </c>
      <c r="CU36" s="37">
        <v>8</v>
      </c>
      <c r="CV36" s="757">
        <v>4.5</v>
      </c>
      <c r="CW36" s="757">
        <f>+(CU18*CW18+CU20*CW20)/CU36</f>
        <v>1.5000000000000004</v>
      </c>
      <c r="CY36" s="63"/>
      <c r="CZ36" s="63"/>
      <c r="DA36" s="63" t="s">
        <v>48</v>
      </c>
      <c r="DB36" s="63">
        <v>22</v>
      </c>
      <c r="DC36" s="694">
        <v>4.1818181818181817</v>
      </c>
      <c r="DD36" s="37"/>
      <c r="DE36" s="694">
        <f>+(DB19*DE19+DB22*DE22)/DB36</f>
        <v>1.1818181818181821</v>
      </c>
      <c r="DF36" s="708">
        <f>AVERAGE(DE19,DE22)</f>
        <v>1.5263157894736845</v>
      </c>
    </row>
    <row r="37" spans="17:110">
      <c r="Q37" s="4421">
        <v>1</v>
      </c>
      <c r="R37" s="4421">
        <v>2</v>
      </c>
      <c r="S37" s="4422" t="s">
        <v>329</v>
      </c>
      <c r="T37" s="4423">
        <v>3</v>
      </c>
      <c r="U37" s="4421">
        <v>6</v>
      </c>
      <c r="AJ37" s="4522"/>
      <c r="AK37" s="4522"/>
      <c r="AL37" s="4522"/>
      <c r="CG37" s="675"/>
      <c r="CH37" s="675"/>
      <c r="CI37" s="675"/>
      <c r="CJ37" s="753"/>
      <c r="CK37" s="754"/>
      <c r="CL37" s="755"/>
      <c r="CM37" s="756"/>
      <c r="CN37" s="756"/>
      <c r="CY37" s="63"/>
      <c r="CZ37" s="63"/>
      <c r="DA37" s="63"/>
      <c r="DB37" s="37"/>
      <c r="DC37" s="37"/>
      <c r="DD37" s="37"/>
      <c r="DE37" s="63"/>
    </row>
    <row r="38" spans="17:110" ht="15" thickBot="1">
      <c r="Q38" s="4421">
        <v>1</v>
      </c>
      <c r="R38" s="4421">
        <v>2</v>
      </c>
      <c r="S38" s="4422" t="s">
        <v>2366</v>
      </c>
      <c r="T38" s="4423">
        <v>3</v>
      </c>
      <c r="U38" s="4421">
        <v>4</v>
      </c>
      <c r="AJ38" s="4522"/>
      <c r="AK38" s="4522"/>
      <c r="AL38" s="4522"/>
      <c r="CG38" s="675"/>
      <c r="CH38" s="675"/>
      <c r="CI38" s="675"/>
      <c r="CJ38" s="753"/>
      <c r="CK38" s="754"/>
      <c r="CL38" s="755"/>
      <c r="CM38" s="756"/>
      <c r="CN38" s="756"/>
      <c r="CR38" s="525" t="s">
        <v>75</v>
      </c>
      <c r="CS38" s="721">
        <v>3.219354838709676</v>
      </c>
      <c r="CT38" s="752">
        <f>+(CU42*CT42+CU43*CT43+CU44*CT44)/CU38</f>
        <v>0</v>
      </c>
      <c r="CU38" s="566">
        <v>155</v>
      </c>
      <c r="CV38" s="726">
        <v>3.696774193548388</v>
      </c>
      <c r="CW38" s="752">
        <f>+(CU34*CW34+CU35*CW35+CU36*CW36)/CU30</f>
        <v>0.65806451612903338</v>
      </c>
      <c r="CY38" s="63"/>
      <c r="CZ38" s="63"/>
      <c r="DA38" s="423" t="s">
        <v>112</v>
      </c>
      <c r="DB38" s="423">
        <v>205</v>
      </c>
      <c r="DC38" s="729">
        <v>3.7560975609756087</v>
      </c>
      <c r="DD38" s="473"/>
      <c r="DE38" s="758">
        <f>+(DB34*DE34+DB35*DE35+DB36*DE36)/DB38</f>
        <v>0.72682926829268346</v>
      </c>
      <c r="DF38" s="708">
        <f>AVERAGE(DE34:DE36)</f>
        <v>0.91048511237190521</v>
      </c>
    </row>
    <row r="39" spans="17:110">
      <c r="Q39" s="4421">
        <v>1</v>
      </c>
      <c r="R39" s="4421">
        <v>4</v>
      </c>
      <c r="S39" s="4422" t="s">
        <v>1454</v>
      </c>
      <c r="T39" s="4423">
        <v>3</v>
      </c>
      <c r="U39" s="4421">
        <v>1</v>
      </c>
      <c r="AJ39" s="4522"/>
      <c r="AK39" s="4522"/>
      <c r="AL39" s="4522"/>
      <c r="CG39" s="675"/>
      <c r="CH39" s="675"/>
      <c r="CI39" s="675"/>
      <c r="CJ39" s="753"/>
      <c r="CK39" s="754"/>
      <c r="CL39" s="755"/>
      <c r="CM39" s="756"/>
      <c r="CN39" s="756"/>
      <c r="CY39" s="63"/>
      <c r="CZ39" s="63"/>
      <c r="DA39" s="759" t="s">
        <v>1154</v>
      </c>
      <c r="DB39" s="37"/>
      <c r="DC39" s="37"/>
      <c r="DD39" s="37"/>
      <c r="DE39" s="37"/>
    </row>
    <row r="40" spans="17:110">
      <c r="Q40" s="4421">
        <v>1</v>
      </c>
      <c r="R40" s="4421">
        <v>4</v>
      </c>
      <c r="S40" s="4422" t="s">
        <v>1454</v>
      </c>
      <c r="T40" s="4423">
        <v>3</v>
      </c>
      <c r="U40" s="4421">
        <v>3</v>
      </c>
      <c r="AJ40" s="4522"/>
      <c r="AK40" s="4522"/>
      <c r="AL40" s="4522"/>
      <c r="CG40" s="675"/>
      <c r="CH40" s="675"/>
      <c r="CI40" s="675"/>
      <c r="CJ40" s="753"/>
      <c r="CK40" s="754"/>
      <c r="CL40" s="755"/>
      <c r="CM40" s="756"/>
      <c r="CN40" s="756"/>
      <c r="CY40" s="63"/>
      <c r="CZ40" s="63"/>
      <c r="DA40" s="37"/>
      <c r="DB40" s="37"/>
      <c r="DC40" s="37"/>
      <c r="DD40" s="37"/>
      <c r="DE40" s="37"/>
    </row>
    <row r="41" spans="17:110">
      <c r="Q41" s="4421">
        <v>1</v>
      </c>
      <c r="R41" s="4421">
        <v>4</v>
      </c>
      <c r="S41" s="4422" t="s">
        <v>1454</v>
      </c>
      <c r="T41" s="4423">
        <v>3</v>
      </c>
      <c r="U41" s="4421">
        <v>3</v>
      </c>
      <c r="AJ41" s="4522"/>
      <c r="AK41" s="4522"/>
      <c r="AL41" s="4522"/>
      <c r="CG41" s="675"/>
      <c r="CH41" s="675"/>
      <c r="CI41" s="675"/>
      <c r="CJ41" s="753"/>
      <c r="CK41" s="754"/>
      <c r="CL41" s="755"/>
      <c r="CM41" s="756"/>
      <c r="CN41" s="756"/>
      <c r="CY41" s="63"/>
      <c r="CZ41" s="63"/>
      <c r="DA41" s="37"/>
      <c r="DB41" s="37"/>
      <c r="DC41" s="37"/>
      <c r="DD41" s="37"/>
      <c r="DE41" s="37"/>
    </row>
    <row r="42" spans="17:110" ht="32.25" customHeight="1">
      <c r="Q42" s="4421">
        <v>2</v>
      </c>
      <c r="R42" s="4421">
        <v>1</v>
      </c>
      <c r="S42" s="4422" t="s">
        <v>1617</v>
      </c>
      <c r="T42" s="4423">
        <v>9</v>
      </c>
      <c r="U42" s="4421">
        <v>1</v>
      </c>
      <c r="AJ42" s="4522"/>
      <c r="AK42" s="4522"/>
      <c r="AL42" s="4522"/>
      <c r="CG42" s="675"/>
      <c r="CH42" s="675"/>
      <c r="CI42" s="675"/>
      <c r="CJ42" s="753"/>
      <c r="CK42" s="754"/>
      <c r="CL42" s="755"/>
      <c r="CM42" s="756"/>
      <c r="CN42" s="756"/>
      <c r="CY42" s="7037" t="s">
        <v>1195</v>
      </c>
      <c r="CZ42" s="7037"/>
      <c r="DA42" s="7037"/>
      <c r="DB42" s="7037"/>
      <c r="DC42" s="7037"/>
      <c r="DD42" s="7037"/>
      <c r="DE42" s="7037"/>
    </row>
    <row r="43" spans="17:110">
      <c r="Q43" s="4421">
        <v>2</v>
      </c>
      <c r="R43" s="4421">
        <v>1</v>
      </c>
      <c r="S43" s="4422" t="s">
        <v>1617</v>
      </c>
      <c r="T43" s="4423">
        <v>7</v>
      </c>
      <c r="U43" s="4421">
        <v>1</v>
      </c>
      <c r="AJ43" s="4522"/>
      <c r="AK43" s="4522"/>
      <c r="AL43" s="4522"/>
      <c r="CG43" s="675"/>
      <c r="CH43" s="675"/>
      <c r="CI43" s="675"/>
      <c r="CJ43" s="753"/>
      <c r="CK43" s="754"/>
      <c r="CL43" s="755"/>
      <c r="CM43" s="756"/>
      <c r="CN43" s="756"/>
      <c r="CY43" s="63"/>
      <c r="CZ43" s="63"/>
      <c r="DA43" s="37"/>
      <c r="DB43" s="37"/>
      <c r="DC43" s="37"/>
      <c r="DD43" s="37"/>
      <c r="DE43" s="37"/>
    </row>
    <row r="44" spans="17:110" ht="33.75" customHeight="1">
      <c r="Q44" s="4421">
        <v>2</v>
      </c>
      <c r="R44" s="4421">
        <v>2</v>
      </c>
      <c r="S44" s="4422" t="s">
        <v>2725</v>
      </c>
      <c r="T44" s="4423">
        <v>3.0384615384615383</v>
      </c>
      <c r="U44" s="4421">
        <v>26</v>
      </c>
      <c r="AJ44" s="4522"/>
      <c r="AK44" s="4522"/>
      <c r="AL44" s="4522"/>
      <c r="CG44" s="675"/>
      <c r="CH44" s="675"/>
      <c r="CI44" s="675"/>
      <c r="CJ44" s="753"/>
      <c r="CK44" s="754"/>
      <c r="CL44" s="755"/>
      <c r="CM44" s="756"/>
      <c r="CN44" s="756"/>
      <c r="CY44" s="7037" t="s">
        <v>1196</v>
      </c>
      <c r="CZ44" s="7037"/>
      <c r="DA44" s="7037"/>
      <c r="DB44" s="7037"/>
      <c r="DC44" s="7037"/>
      <c r="DD44" s="7037"/>
      <c r="DE44" s="7037"/>
    </row>
    <row r="45" spans="17:110">
      <c r="Q45" s="4421">
        <v>2</v>
      </c>
      <c r="R45" s="4421">
        <v>2</v>
      </c>
      <c r="S45" s="4422" t="s">
        <v>2725</v>
      </c>
      <c r="T45" s="4423">
        <v>4</v>
      </c>
      <c r="U45" s="4421">
        <v>1</v>
      </c>
      <c r="CG45" s="675"/>
      <c r="CH45" s="675"/>
      <c r="CI45" s="675"/>
      <c r="CJ45" s="753"/>
      <c r="CK45" s="754"/>
      <c r="CL45" s="755"/>
      <c r="CM45" s="756"/>
      <c r="CN45" s="756"/>
    </row>
    <row r="46" spans="17:110">
      <c r="Q46" s="4421">
        <v>2</v>
      </c>
      <c r="R46" s="4421">
        <v>3</v>
      </c>
      <c r="S46" s="4422" t="s">
        <v>283</v>
      </c>
      <c r="T46" s="4423">
        <v>4.75</v>
      </c>
      <c r="U46" s="4421">
        <v>4</v>
      </c>
      <c r="CG46" s="675"/>
      <c r="CH46" s="675"/>
      <c r="CI46" s="675"/>
      <c r="CJ46" s="753"/>
      <c r="CK46" s="754"/>
      <c r="CL46" s="755"/>
      <c r="CM46" s="756"/>
      <c r="CN46" s="756"/>
    </row>
    <row r="47" spans="17:110">
      <c r="Q47" s="4421">
        <v>3</v>
      </c>
      <c r="R47" s="4421">
        <v>2</v>
      </c>
      <c r="S47" s="4422" t="s">
        <v>2738</v>
      </c>
      <c r="T47" s="4423">
        <v>6</v>
      </c>
      <c r="U47" s="4421">
        <v>1</v>
      </c>
      <c r="CG47" s="675"/>
      <c r="CH47" s="675"/>
      <c r="CI47" s="675"/>
      <c r="CJ47" s="753"/>
      <c r="CK47" s="754"/>
      <c r="CL47" s="755"/>
      <c r="CM47" s="756"/>
      <c r="CN47" s="756"/>
    </row>
    <row r="48" spans="17:110">
      <c r="Q48" s="4421" t="s">
        <v>2613</v>
      </c>
      <c r="R48" s="4421" t="s">
        <v>2613</v>
      </c>
      <c r="S48" s="4421" t="s">
        <v>2613</v>
      </c>
      <c r="T48" s="4423">
        <v>4.2</v>
      </c>
      <c r="U48" s="4421" t="s">
        <v>2763</v>
      </c>
      <c r="CG48" s="675"/>
      <c r="CH48" s="675"/>
      <c r="CI48" s="675"/>
      <c r="CJ48" s="753"/>
      <c r="CK48" s="754"/>
      <c r="CL48" s="755"/>
      <c r="CM48" s="756"/>
      <c r="CN48" s="756"/>
    </row>
    <row r="49" spans="9:92">
      <c r="X49" s="4522"/>
      <c r="CG49" s="675"/>
      <c r="CH49" s="675"/>
      <c r="CI49" s="675"/>
      <c r="CJ49" s="753"/>
      <c r="CK49" s="754"/>
      <c r="CL49" s="755"/>
      <c r="CM49" s="756"/>
      <c r="CN49" s="756"/>
    </row>
    <row r="50" spans="9:92">
      <c r="X50" s="4522"/>
      <c r="CG50" s="675"/>
      <c r="CH50" s="675"/>
      <c r="CI50" s="675"/>
      <c r="CJ50" s="753"/>
      <c r="CK50" s="754"/>
      <c r="CL50" s="755"/>
      <c r="CM50" s="756"/>
      <c r="CN50" s="756"/>
    </row>
    <row r="51" spans="9:92">
      <c r="X51" s="4522"/>
      <c r="CG51" s="675"/>
      <c r="CH51" s="675"/>
      <c r="CI51" s="675"/>
      <c r="CJ51" s="753"/>
      <c r="CK51" s="754"/>
      <c r="CL51" s="755"/>
      <c r="CM51" s="756"/>
      <c r="CN51" s="756"/>
    </row>
    <row r="52" spans="9:92">
      <c r="X52" s="4522"/>
      <c r="CG52" s="675"/>
      <c r="CH52" s="675"/>
      <c r="CI52" s="675"/>
      <c r="CJ52" s="753"/>
      <c r="CK52" s="754"/>
      <c r="CL52" s="755"/>
      <c r="CM52" s="756"/>
      <c r="CN52" s="756"/>
    </row>
    <row r="53" spans="9:92">
      <c r="X53" s="4522"/>
      <c r="CG53" s="675"/>
      <c r="CH53" s="675"/>
      <c r="CI53" s="675"/>
      <c r="CJ53" s="753"/>
      <c r="CK53" s="754"/>
      <c r="CL53" s="755"/>
      <c r="CM53" s="756"/>
      <c r="CN53" s="756"/>
    </row>
    <row r="54" spans="9:92">
      <c r="X54" s="4522"/>
      <c r="CG54" s="675"/>
      <c r="CH54" s="675"/>
      <c r="CI54" s="675"/>
      <c r="CJ54" s="753"/>
      <c r="CK54" s="754"/>
      <c r="CL54" s="755"/>
      <c r="CM54" s="756"/>
      <c r="CN54" s="756"/>
    </row>
    <row r="55" spans="9:92">
      <c r="X55" s="4522"/>
      <c r="CG55" s="675"/>
      <c r="CH55" s="675"/>
      <c r="CI55" s="675"/>
      <c r="CJ55" s="753"/>
      <c r="CK55" s="754"/>
      <c r="CL55" s="755"/>
      <c r="CM55" s="756"/>
      <c r="CN55" s="756"/>
    </row>
    <row r="56" spans="9:92">
      <c r="I56" s="5013" t="s">
        <v>2698</v>
      </c>
      <c r="J56" s="5013" t="s">
        <v>2699</v>
      </c>
      <c r="K56" s="5013" t="s">
        <v>2722</v>
      </c>
      <c r="L56" s="5013" t="s">
        <v>2714</v>
      </c>
      <c r="X56" s="4522"/>
      <c r="CG56" s="675"/>
      <c r="CH56" s="675"/>
      <c r="CI56" s="675"/>
      <c r="CJ56" s="753"/>
      <c r="CK56" s="754"/>
      <c r="CL56" s="755"/>
      <c r="CM56" s="756"/>
      <c r="CN56" s="756"/>
    </row>
    <row r="57" spans="9:92">
      <c r="X57" s="4522"/>
      <c r="CG57" s="675"/>
      <c r="CH57" s="675"/>
      <c r="CI57" s="675"/>
      <c r="CJ57" s="753"/>
      <c r="CK57" s="754"/>
      <c r="CL57" s="755"/>
      <c r="CM57" s="756"/>
      <c r="CN57" s="756"/>
    </row>
    <row r="58" spans="9:92">
      <c r="X58" s="4522"/>
      <c r="CG58" s="675"/>
      <c r="CH58" s="675"/>
      <c r="CI58" s="675"/>
      <c r="CJ58" s="753"/>
      <c r="CK58" s="754"/>
      <c r="CL58" s="755"/>
      <c r="CM58" s="756"/>
      <c r="CN58" s="756"/>
    </row>
    <row r="59" spans="9:92">
      <c r="X59" s="4522"/>
      <c r="CG59" s="675"/>
      <c r="CH59" s="675"/>
      <c r="CI59" s="675"/>
      <c r="CJ59" s="753"/>
      <c r="CK59" s="754"/>
      <c r="CL59" s="755"/>
      <c r="CM59" s="756"/>
      <c r="CN59" s="756"/>
    </row>
    <row r="60" spans="9:92">
      <c r="X60" s="4522"/>
      <c r="CG60" s="675"/>
      <c r="CH60" s="675"/>
      <c r="CI60" s="675"/>
      <c r="CJ60" s="753"/>
      <c r="CK60" s="754"/>
      <c r="CL60" s="755"/>
      <c r="CM60" s="756"/>
      <c r="CN60" s="756"/>
    </row>
    <row r="61" spans="9:92">
      <c r="X61" s="4522"/>
      <c r="CG61" s="675"/>
      <c r="CH61" s="675"/>
      <c r="CI61" s="675"/>
      <c r="CJ61" s="753"/>
      <c r="CK61" s="754"/>
      <c r="CL61" s="755"/>
      <c r="CM61" s="756"/>
      <c r="CN61" s="756"/>
    </row>
    <row r="62" spans="9:92">
      <c r="X62" s="4522"/>
      <c r="CG62" s="675"/>
      <c r="CH62" s="675"/>
      <c r="CI62" s="675"/>
      <c r="CJ62" s="753"/>
      <c r="CK62" s="754"/>
      <c r="CL62" s="755"/>
      <c r="CM62" s="756"/>
      <c r="CN62" s="756"/>
    </row>
    <row r="63" spans="9:92">
      <c r="X63" s="4522"/>
      <c r="CG63" s="675"/>
      <c r="CH63" s="675"/>
      <c r="CI63" s="675"/>
      <c r="CJ63" s="753"/>
      <c r="CK63" s="754"/>
      <c r="CL63" s="755"/>
      <c r="CM63" s="756"/>
      <c r="CN63" s="756"/>
    </row>
    <row r="64" spans="9:92">
      <c r="X64" s="4522"/>
      <c r="CG64" s="675"/>
      <c r="CH64" s="675"/>
      <c r="CI64" s="675"/>
      <c r="CJ64" s="753"/>
      <c r="CK64" s="754"/>
      <c r="CL64" s="755"/>
      <c r="CM64" s="756"/>
      <c r="CN64" s="756"/>
    </row>
    <row r="65" spans="85:92">
      <c r="CG65" s="675"/>
      <c r="CH65" s="675"/>
      <c r="CI65" s="675"/>
      <c r="CJ65" s="753"/>
      <c r="CK65" s="754"/>
      <c r="CL65" s="755"/>
      <c r="CM65" s="756"/>
      <c r="CN65" s="756"/>
    </row>
    <row r="66" spans="85:92">
      <c r="CG66" s="675"/>
      <c r="CH66" s="675"/>
      <c r="CI66" s="675"/>
      <c r="CJ66" s="753"/>
      <c r="CK66" s="754"/>
      <c r="CL66" s="755"/>
      <c r="CM66" s="756"/>
      <c r="CN66" s="756"/>
    </row>
    <row r="67" spans="85:92">
      <c r="CG67" s="675"/>
      <c r="CH67" s="675"/>
      <c r="CI67" s="675"/>
      <c r="CJ67" s="753"/>
      <c r="CK67" s="754"/>
      <c r="CL67" s="755"/>
      <c r="CM67" s="756"/>
      <c r="CN67" s="756"/>
    </row>
    <row r="68" spans="85:92">
      <c r="CG68" s="675"/>
      <c r="CH68" s="675"/>
      <c r="CI68" s="675"/>
      <c r="CJ68" s="753"/>
      <c r="CK68" s="754"/>
      <c r="CL68" s="755"/>
      <c r="CM68" s="756"/>
      <c r="CN68" s="756"/>
    </row>
    <row r="69" spans="85:92">
      <c r="CG69" s="675"/>
      <c r="CH69" s="675"/>
      <c r="CI69" s="675"/>
      <c r="CJ69" s="753"/>
      <c r="CK69" s="754"/>
      <c r="CL69" s="755"/>
      <c r="CM69" s="756"/>
      <c r="CN69" s="756"/>
    </row>
    <row r="70" spans="85:92">
      <c r="CG70" s="675"/>
      <c r="CH70" s="675"/>
      <c r="CI70" s="675"/>
      <c r="CJ70" s="753"/>
      <c r="CK70" s="754"/>
      <c r="CL70" s="755"/>
      <c r="CM70" s="756"/>
      <c r="CN70" s="756"/>
    </row>
    <row r="71" spans="85:92">
      <c r="CG71" s="675"/>
      <c r="CH71" s="675"/>
      <c r="CI71" s="675"/>
      <c r="CJ71" s="753"/>
      <c r="CK71" s="754"/>
      <c r="CL71" s="755"/>
      <c r="CM71" s="756"/>
      <c r="CN71" s="756"/>
    </row>
    <row r="72" spans="85:92">
      <c r="CG72" s="675"/>
      <c r="CH72" s="675"/>
      <c r="CI72" s="675"/>
      <c r="CJ72" s="753"/>
      <c r="CK72" s="754"/>
      <c r="CL72" s="755"/>
      <c r="CM72" s="756"/>
      <c r="CN72" s="756"/>
    </row>
    <row r="73" spans="85:92">
      <c r="CG73" s="675"/>
      <c r="CH73" s="675"/>
      <c r="CI73" s="675"/>
      <c r="CJ73" s="753"/>
      <c r="CK73" s="754"/>
      <c r="CL73" s="755"/>
      <c r="CM73" s="756"/>
      <c r="CN73" s="756"/>
    </row>
    <row r="74" spans="85:92">
      <c r="CG74" s="675"/>
      <c r="CH74" s="675"/>
      <c r="CI74" s="675"/>
      <c r="CJ74" s="753"/>
      <c r="CK74" s="754"/>
      <c r="CL74" s="755"/>
      <c r="CM74" s="756"/>
      <c r="CN74" s="756"/>
    </row>
    <row r="75" spans="85:92">
      <c r="CG75" s="675"/>
      <c r="CH75" s="675"/>
      <c r="CI75" s="675"/>
      <c r="CJ75" s="753"/>
      <c r="CK75" s="754"/>
      <c r="CL75" s="755"/>
      <c r="CM75" s="756"/>
      <c r="CN75" s="756"/>
    </row>
    <row r="76" spans="85:92">
      <c r="CG76" s="675"/>
      <c r="CH76" s="675"/>
      <c r="CI76" s="675"/>
      <c r="CJ76" s="753"/>
      <c r="CK76" s="754"/>
      <c r="CL76" s="755"/>
      <c r="CM76" s="756"/>
      <c r="CN76" s="756"/>
    </row>
    <row r="77" spans="85:92">
      <c r="CG77" s="675"/>
      <c r="CH77" s="675"/>
      <c r="CI77" s="675"/>
      <c r="CJ77" s="753"/>
      <c r="CK77" s="754"/>
      <c r="CL77" s="755"/>
      <c r="CM77" s="756"/>
      <c r="CN77" s="756"/>
    </row>
    <row r="78" spans="85:92">
      <c r="CG78" s="675"/>
      <c r="CH78" s="675"/>
      <c r="CI78" s="675"/>
      <c r="CJ78" s="753"/>
      <c r="CK78" s="754"/>
      <c r="CL78" s="755"/>
      <c r="CM78" s="756"/>
      <c r="CN78" s="756"/>
    </row>
    <row r="79" spans="85:92">
      <c r="CG79" s="675"/>
      <c r="CH79" s="675"/>
      <c r="CI79" s="675"/>
      <c r="CJ79" s="753"/>
      <c r="CK79" s="754"/>
      <c r="CL79" s="755"/>
      <c r="CM79" s="756"/>
      <c r="CN79" s="756"/>
    </row>
    <row r="80" spans="85:92">
      <c r="CG80" s="675"/>
      <c r="CH80" s="675"/>
      <c r="CI80" s="675"/>
      <c r="CJ80" s="753"/>
      <c r="CK80" s="754"/>
      <c r="CL80" s="755"/>
      <c r="CM80" s="756"/>
      <c r="CN80" s="756"/>
    </row>
    <row r="81" spans="85:92">
      <c r="CG81" s="675"/>
      <c r="CH81" s="675"/>
      <c r="CI81" s="675"/>
      <c r="CJ81" s="753"/>
      <c r="CK81" s="754"/>
      <c r="CL81" s="755"/>
      <c r="CM81" s="756"/>
      <c r="CN81" s="756"/>
    </row>
    <row r="82" spans="85:92">
      <c r="CG82" s="675"/>
      <c r="CH82" s="675"/>
      <c r="CI82" s="675"/>
      <c r="CJ82" s="753"/>
      <c r="CK82" s="754"/>
      <c r="CL82" s="755"/>
      <c r="CM82" s="756"/>
      <c r="CN82" s="756"/>
    </row>
    <row r="83" spans="85:92">
      <c r="CG83" s="675"/>
      <c r="CH83" s="675"/>
      <c r="CI83" s="675"/>
      <c r="CJ83" s="753"/>
      <c r="CK83" s="754"/>
      <c r="CL83" s="755"/>
      <c r="CM83" s="756"/>
      <c r="CN83" s="756"/>
    </row>
    <row r="84" spans="85:92">
      <c r="CG84" s="675"/>
      <c r="CH84" s="675"/>
      <c r="CI84" s="675"/>
      <c r="CJ84" s="753"/>
      <c r="CK84" s="754"/>
      <c r="CL84" s="755"/>
      <c r="CM84" s="756"/>
      <c r="CN84" s="756"/>
    </row>
    <row r="85" spans="85:92">
      <c r="CG85" s="675"/>
      <c r="CH85" s="675"/>
      <c r="CI85" s="675"/>
      <c r="CJ85" s="753"/>
      <c r="CK85" s="754"/>
      <c r="CL85" s="755"/>
      <c r="CM85" s="756"/>
      <c r="CN85" s="756"/>
    </row>
    <row r="86" spans="85:92">
      <c r="CG86" s="675"/>
      <c r="CH86" s="675"/>
      <c r="CI86" s="675"/>
      <c r="CJ86" s="753"/>
      <c r="CK86" s="754"/>
      <c r="CL86" s="755"/>
      <c r="CM86" s="756"/>
      <c r="CN86" s="756"/>
    </row>
    <row r="87" spans="85:92">
      <c r="CG87" s="675"/>
      <c r="CH87" s="675"/>
      <c r="CI87" s="675"/>
      <c r="CJ87" s="753"/>
      <c r="CK87" s="754"/>
      <c r="CL87" s="755"/>
      <c r="CM87" s="756"/>
      <c r="CN87" s="756"/>
    </row>
    <row r="88" spans="85:92">
      <c r="CG88" s="675"/>
      <c r="CH88" s="675"/>
      <c r="CI88" s="675"/>
      <c r="CJ88" s="753"/>
      <c r="CK88" s="754"/>
      <c r="CL88" s="755"/>
      <c r="CM88" s="756"/>
      <c r="CN88" s="756"/>
    </row>
    <row r="89" spans="85:92">
      <c r="CG89" s="675"/>
      <c r="CH89" s="675"/>
      <c r="CI89" s="675"/>
      <c r="CJ89" s="753"/>
      <c r="CK89" s="754"/>
      <c r="CL89" s="755"/>
      <c r="CM89" s="756"/>
      <c r="CN89" s="756"/>
    </row>
    <row r="90" spans="85:92">
      <c r="CG90" s="675"/>
      <c r="CH90" s="675"/>
      <c r="CI90" s="675"/>
      <c r="CJ90" s="753"/>
      <c r="CK90" s="754"/>
      <c r="CL90" s="755"/>
      <c r="CM90" s="756"/>
      <c r="CN90" s="756"/>
    </row>
    <row r="91" spans="85:92">
      <c r="CG91" s="675"/>
      <c r="CH91" s="675"/>
      <c r="CI91" s="675"/>
      <c r="CJ91" s="753"/>
      <c r="CK91" s="754"/>
      <c r="CL91" s="755"/>
      <c r="CM91" s="756"/>
      <c r="CN91" s="756"/>
    </row>
    <row r="92" spans="85:92">
      <c r="CG92" s="675"/>
      <c r="CH92" s="675"/>
      <c r="CI92" s="675"/>
      <c r="CJ92" s="753"/>
      <c r="CK92" s="754"/>
      <c r="CL92" s="755"/>
      <c r="CM92" s="756"/>
      <c r="CN92" s="756"/>
    </row>
    <row r="93" spans="85:92">
      <c r="CG93" s="675"/>
      <c r="CH93" s="675"/>
      <c r="CI93" s="675"/>
      <c r="CJ93" s="753"/>
      <c r="CK93" s="754"/>
      <c r="CL93" s="755"/>
      <c r="CM93" s="756"/>
      <c r="CN93" s="756"/>
    </row>
    <row r="94" spans="85:92">
      <c r="CG94" s="675"/>
      <c r="CH94" s="675"/>
      <c r="CI94" s="675"/>
      <c r="CJ94" s="753"/>
      <c r="CK94" s="754"/>
      <c r="CL94" s="755"/>
      <c r="CM94" s="756"/>
      <c r="CN94" s="756"/>
    </row>
    <row r="95" spans="85:92">
      <c r="CG95" s="675"/>
      <c r="CH95" s="675"/>
      <c r="CI95" s="675"/>
      <c r="CJ95" s="753"/>
      <c r="CK95" s="754"/>
      <c r="CL95" s="755"/>
      <c r="CM95" s="756"/>
      <c r="CN95" s="756"/>
    </row>
    <row r="96" spans="85:92">
      <c r="CG96" s="675"/>
      <c r="CH96" s="675"/>
      <c r="CI96" s="675"/>
      <c r="CJ96" s="753"/>
      <c r="CK96" s="754"/>
      <c r="CL96" s="755"/>
      <c r="CM96" s="756"/>
      <c r="CN96" s="756"/>
    </row>
    <row r="97" spans="85:92">
      <c r="CG97" s="675"/>
      <c r="CH97" s="675"/>
      <c r="CI97" s="675"/>
      <c r="CJ97" s="753"/>
      <c r="CK97" s="754"/>
      <c r="CL97" s="755"/>
      <c r="CM97" s="756"/>
      <c r="CN97" s="756"/>
    </row>
    <row r="98" spans="85:92">
      <c r="CG98" s="675"/>
      <c r="CH98" s="675"/>
      <c r="CI98" s="675"/>
      <c r="CJ98" s="753"/>
      <c r="CK98" s="754"/>
      <c r="CL98" s="755"/>
      <c r="CM98" s="756"/>
      <c r="CN98" s="756"/>
    </row>
    <row r="99" spans="85:92">
      <c r="CG99" s="675"/>
      <c r="CH99" s="675"/>
      <c r="CI99" s="675"/>
      <c r="CJ99" s="753"/>
      <c r="CK99" s="754"/>
      <c r="CL99" s="755"/>
      <c r="CM99" s="756"/>
      <c r="CN99" s="756"/>
    </row>
    <row r="100" spans="85:92">
      <c r="CG100" s="675"/>
      <c r="CH100" s="675"/>
      <c r="CI100" s="675"/>
      <c r="CJ100" s="753"/>
      <c r="CK100" s="754"/>
      <c r="CL100" s="755"/>
      <c r="CM100" s="756"/>
      <c r="CN100" s="756"/>
    </row>
    <row r="101" spans="85:92">
      <c r="CG101" s="675"/>
      <c r="CH101" s="675"/>
      <c r="CI101" s="675"/>
      <c r="CJ101" s="753"/>
      <c r="CK101" s="754"/>
      <c r="CL101" s="755"/>
      <c r="CM101" s="756"/>
      <c r="CN101" s="756"/>
    </row>
    <row r="102" spans="85:92">
      <c r="CG102" s="675"/>
      <c r="CH102" s="675"/>
      <c r="CI102" s="675"/>
      <c r="CJ102" s="753"/>
      <c r="CK102" s="754"/>
      <c r="CL102" s="755"/>
      <c r="CM102" s="756"/>
      <c r="CN102" s="756"/>
    </row>
    <row r="103" spans="85:92">
      <c r="CG103" s="675"/>
      <c r="CH103" s="675"/>
      <c r="CI103" s="675"/>
      <c r="CJ103" s="753"/>
      <c r="CK103" s="754"/>
      <c r="CL103" s="755"/>
      <c r="CM103" s="756"/>
      <c r="CN103" s="756"/>
    </row>
    <row r="104" spans="85:92">
      <c r="CG104" s="675"/>
      <c r="CH104" s="675"/>
      <c r="CI104" s="675"/>
      <c r="CJ104" s="753"/>
      <c r="CK104" s="754"/>
      <c r="CL104" s="755"/>
      <c r="CM104" s="756"/>
      <c r="CN104" s="756"/>
    </row>
    <row r="105" spans="85:92">
      <c r="CG105" s="675"/>
      <c r="CH105" s="675"/>
      <c r="CI105" s="675"/>
      <c r="CJ105" s="753"/>
      <c r="CK105" s="754"/>
      <c r="CL105" s="755"/>
      <c r="CM105" s="756"/>
      <c r="CN105" s="756"/>
    </row>
    <row r="106" spans="85:92">
      <c r="CG106" s="675"/>
      <c r="CH106" s="675"/>
      <c r="CI106" s="675"/>
      <c r="CJ106" s="753"/>
      <c r="CK106" s="754"/>
      <c r="CL106" s="755"/>
      <c r="CM106" s="756"/>
      <c r="CN106" s="756"/>
    </row>
    <row r="107" spans="85:92">
      <c r="CG107" s="675"/>
      <c r="CH107" s="675"/>
      <c r="CI107" s="675"/>
      <c r="CJ107" s="753"/>
      <c r="CK107" s="754"/>
      <c r="CL107" s="755"/>
      <c r="CM107" s="756"/>
      <c r="CN107" s="756"/>
    </row>
    <row r="108" spans="85:92">
      <c r="CG108" s="675"/>
      <c r="CH108" s="675"/>
      <c r="CI108" s="675"/>
      <c r="CJ108" s="753"/>
      <c r="CK108" s="754"/>
      <c r="CL108" s="755"/>
      <c r="CM108" s="756"/>
      <c r="CN108" s="756"/>
    </row>
    <row r="109" spans="85:92">
      <c r="CG109" s="675"/>
      <c r="CH109" s="675"/>
      <c r="CI109" s="675"/>
      <c r="CJ109" s="753"/>
      <c r="CK109" s="754"/>
      <c r="CL109" s="755"/>
      <c r="CM109" s="756"/>
      <c r="CN109" s="756"/>
    </row>
    <row r="110" spans="85:92">
      <c r="CG110" s="675"/>
      <c r="CH110" s="675"/>
      <c r="CI110" s="675"/>
      <c r="CJ110" s="753"/>
      <c r="CK110" s="754"/>
      <c r="CL110" s="755"/>
      <c r="CM110" s="756"/>
      <c r="CN110" s="756"/>
    </row>
    <row r="111" spans="85:92">
      <c r="CG111" s="675"/>
      <c r="CH111" s="675"/>
      <c r="CI111" s="675"/>
      <c r="CJ111" s="753"/>
      <c r="CK111" s="754"/>
      <c r="CL111" s="755"/>
      <c r="CM111" s="756"/>
      <c r="CN111" s="756"/>
    </row>
    <row r="112" spans="85:92">
      <c r="CG112" s="675"/>
      <c r="CH112" s="675"/>
      <c r="CI112" s="675"/>
      <c r="CJ112" s="753"/>
      <c r="CK112" s="754"/>
      <c r="CL112" s="755"/>
      <c r="CM112" s="756"/>
      <c r="CN112" s="756"/>
    </row>
    <row r="113" spans="85:92">
      <c r="CG113" s="675"/>
      <c r="CH113" s="675"/>
      <c r="CI113" s="675"/>
      <c r="CJ113" s="753"/>
      <c r="CK113" s="754"/>
      <c r="CL113" s="755"/>
      <c r="CM113" s="756"/>
      <c r="CN113" s="756"/>
    </row>
    <row r="114" spans="85:92">
      <c r="CG114" s="675"/>
      <c r="CH114" s="675"/>
      <c r="CI114" s="675"/>
      <c r="CJ114" s="753"/>
      <c r="CK114" s="754"/>
      <c r="CL114" s="755"/>
      <c r="CM114" s="756"/>
      <c r="CN114" s="756"/>
    </row>
    <row r="115" spans="85:92">
      <c r="CG115" s="675"/>
      <c r="CH115" s="675"/>
      <c r="CI115" s="675"/>
      <c r="CJ115" s="753"/>
      <c r="CK115" s="754"/>
      <c r="CL115" s="755"/>
      <c r="CM115" s="756"/>
      <c r="CN115" s="756"/>
    </row>
    <row r="116" spans="85:92">
      <c r="CG116" s="675"/>
      <c r="CH116" s="675"/>
      <c r="CI116" s="675"/>
      <c r="CJ116" s="753"/>
      <c r="CK116" s="754"/>
      <c r="CL116" s="755"/>
      <c r="CM116" s="756"/>
      <c r="CN116" s="756"/>
    </row>
    <row r="117" spans="85:92">
      <c r="CG117" s="675"/>
      <c r="CH117" s="675"/>
      <c r="CI117" s="675"/>
      <c r="CJ117" s="753"/>
      <c r="CK117" s="754"/>
      <c r="CL117" s="755"/>
      <c r="CM117" s="756"/>
      <c r="CN117" s="756"/>
    </row>
    <row r="118" spans="85:92">
      <c r="CG118" s="675"/>
      <c r="CH118" s="675"/>
      <c r="CI118" s="675"/>
      <c r="CJ118" s="753"/>
      <c r="CK118" s="754"/>
      <c r="CL118" s="755"/>
      <c r="CM118" s="756"/>
      <c r="CN118" s="756"/>
    </row>
    <row r="119" spans="85:92">
      <c r="CG119" s="675"/>
      <c r="CH119" s="675"/>
      <c r="CI119" s="675"/>
      <c r="CJ119" s="753"/>
      <c r="CK119" s="754"/>
      <c r="CL119" s="755"/>
      <c r="CM119" s="756"/>
      <c r="CN119" s="756"/>
    </row>
    <row r="120" spans="85:92">
      <c r="CG120" s="675"/>
      <c r="CH120" s="675"/>
      <c r="CI120" s="675"/>
      <c r="CJ120" s="753"/>
      <c r="CK120" s="754"/>
      <c r="CL120" s="755"/>
      <c r="CM120" s="756"/>
      <c r="CN120" s="756"/>
    </row>
    <row r="121" spans="85:92">
      <c r="CG121" s="675"/>
      <c r="CH121" s="675"/>
      <c r="CI121" s="675"/>
      <c r="CJ121" s="753"/>
      <c r="CK121" s="754"/>
      <c r="CL121" s="755"/>
      <c r="CM121" s="756"/>
      <c r="CN121" s="756"/>
    </row>
    <row r="122" spans="85:92">
      <c r="CG122" s="675"/>
      <c r="CH122" s="675"/>
      <c r="CI122" s="675"/>
      <c r="CJ122" s="753"/>
      <c r="CK122" s="754"/>
      <c r="CL122" s="755"/>
      <c r="CM122" s="756"/>
      <c r="CN122" s="756"/>
    </row>
    <row r="123" spans="85:92">
      <c r="CG123" s="675"/>
      <c r="CH123" s="675"/>
      <c r="CI123" s="675"/>
      <c r="CJ123" s="753"/>
      <c r="CK123" s="754"/>
      <c r="CL123" s="755"/>
      <c r="CM123" s="756"/>
      <c r="CN123" s="756"/>
    </row>
    <row r="124" spans="85:92">
      <c r="CG124" s="675"/>
      <c r="CH124" s="675"/>
      <c r="CI124" s="675"/>
      <c r="CJ124" s="753"/>
      <c r="CK124" s="754"/>
      <c r="CL124" s="755"/>
      <c r="CM124" s="756"/>
      <c r="CN124" s="756"/>
    </row>
    <row r="125" spans="85:92">
      <c r="CG125" s="675"/>
      <c r="CH125" s="675"/>
      <c r="CI125" s="675"/>
      <c r="CJ125" s="753"/>
      <c r="CK125" s="754"/>
      <c r="CL125" s="755"/>
      <c r="CM125" s="756"/>
      <c r="CN125" s="756"/>
    </row>
    <row r="126" spans="85:92">
      <c r="CG126" s="675"/>
      <c r="CH126" s="675"/>
      <c r="CI126" s="675"/>
      <c r="CJ126" s="753"/>
      <c r="CK126" s="754"/>
      <c r="CL126" s="755"/>
      <c r="CM126" s="756"/>
      <c r="CN126" s="756"/>
    </row>
    <row r="127" spans="85:92">
      <c r="CG127" s="675"/>
      <c r="CH127" s="675"/>
      <c r="CI127" s="675"/>
      <c r="CJ127" s="753"/>
      <c r="CK127" s="754"/>
      <c r="CL127" s="755"/>
      <c r="CM127" s="756"/>
      <c r="CN127" s="756"/>
    </row>
    <row r="128" spans="85:92">
      <c r="CG128" s="675"/>
      <c r="CH128" s="675"/>
      <c r="CI128" s="675"/>
      <c r="CJ128" s="753"/>
      <c r="CK128" s="754"/>
      <c r="CL128" s="755"/>
      <c r="CM128" s="756"/>
      <c r="CN128" s="756"/>
    </row>
    <row r="129" spans="85:92">
      <c r="CG129" s="675"/>
      <c r="CH129" s="675"/>
      <c r="CI129" s="675"/>
      <c r="CJ129" s="753"/>
      <c r="CK129" s="754"/>
      <c r="CL129" s="755"/>
      <c r="CM129" s="756"/>
      <c r="CN129" s="756"/>
    </row>
    <row r="130" spans="85:92">
      <c r="CG130" s="675"/>
      <c r="CH130" s="675"/>
      <c r="CI130" s="675"/>
      <c r="CJ130" s="753"/>
      <c r="CK130" s="754"/>
      <c r="CL130" s="755"/>
      <c r="CM130" s="756"/>
      <c r="CN130" s="756"/>
    </row>
    <row r="131" spans="85:92">
      <c r="CG131" s="675"/>
      <c r="CH131" s="675"/>
      <c r="CI131" s="675"/>
      <c r="CJ131" s="753"/>
      <c r="CK131" s="754"/>
      <c r="CL131" s="755"/>
      <c r="CM131" s="756"/>
      <c r="CN131" s="756"/>
    </row>
    <row r="132" spans="85:92">
      <c r="CG132" s="675"/>
      <c r="CH132" s="675"/>
      <c r="CI132" s="675"/>
      <c r="CJ132" s="753"/>
      <c r="CK132" s="754"/>
      <c r="CL132" s="755"/>
      <c r="CM132" s="756"/>
      <c r="CN132" s="756"/>
    </row>
    <row r="133" spans="85:92">
      <c r="CG133" s="675"/>
      <c r="CH133" s="675"/>
      <c r="CI133" s="675"/>
      <c r="CJ133" s="753"/>
      <c r="CK133" s="754"/>
      <c r="CL133" s="755"/>
      <c r="CM133" s="756"/>
      <c r="CN133" s="756"/>
    </row>
    <row r="134" spans="85:92">
      <c r="CG134" s="675"/>
      <c r="CH134" s="675"/>
      <c r="CI134" s="675"/>
      <c r="CJ134" s="753"/>
      <c r="CK134" s="754"/>
      <c r="CL134" s="755"/>
      <c r="CM134" s="756"/>
      <c r="CN134" s="756"/>
    </row>
    <row r="135" spans="85:92">
      <c r="CG135" s="675"/>
      <c r="CH135" s="675"/>
      <c r="CI135" s="675"/>
      <c r="CJ135" s="753"/>
      <c r="CK135" s="754"/>
      <c r="CL135" s="755"/>
      <c r="CM135" s="756"/>
      <c r="CN135" s="756"/>
    </row>
    <row r="136" spans="85:92">
      <c r="CG136" s="675"/>
      <c r="CH136" s="675"/>
      <c r="CI136" s="675"/>
      <c r="CJ136" s="753"/>
      <c r="CK136" s="754"/>
      <c r="CL136" s="755"/>
      <c r="CM136" s="756"/>
      <c r="CN136" s="756"/>
    </row>
    <row r="137" spans="85:92">
      <c r="CG137" s="675"/>
      <c r="CH137" s="675"/>
      <c r="CI137" s="675"/>
      <c r="CJ137" s="753"/>
      <c r="CK137" s="754"/>
      <c r="CL137" s="755"/>
      <c r="CM137" s="756"/>
      <c r="CN137" s="756"/>
    </row>
    <row r="138" spans="85:92">
      <c r="CG138" s="675"/>
      <c r="CH138" s="675"/>
      <c r="CI138" s="675"/>
      <c r="CJ138" s="753"/>
      <c r="CK138" s="754"/>
      <c r="CL138" s="755"/>
      <c r="CM138" s="756"/>
      <c r="CN138" s="756"/>
    </row>
    <row r="139" spans="85:92">
      <c r="CG139" s="675"/>
      <c r="CH139" s="675"/>
      <c r="CI139" s="675"/>
      <c r="CJ139" s="753"/>
      <c r="CK139" s="754"/>
      <c r="CL139" s="755"/>
      <c r="CM139" s="756"/>
      <c r="CN139" s="756"/>
    </row>
    <row r="140" spans="85:92">
      <c r="CG140" s="675"/>
      <c r="CH140" s="675"/>
      <c r="CI140" s="675"/>
      <c r="CJ140" s="753"/>
      <c r="CK140" s="754"/>
      <c r="CL140" s="755"/>
      <c r="CM140" s="756"/>
      <c r="CN140" s="756"/>
    </row>
    <row r="141" spans="85:92">
      <c r="CG141" s="675"/>
      <c r="CH141" s="675"/>
      <c r="CI141" s="675"/>
      <c r="CJ141" s="753"/>
      <c r="CK141" s="754"/>
      <c r="CL141" s="755"/>
      <c r="CM141" s="756"/>
      <c r="CN141" s="756"/>
    </row>
    <row r="142" spans="85:92">
      <c r="CG142" s="675"/>
      <c r="CH142" s="675"/>
      <c r="CI142" s="675"/>
      <c r="CJ142" s="753"/>
      <c r="CK142" s="754"/>
      <c r="CL142" s="755"/>
      <c r="CM142" s="756"/>
      <c r="CN142" s="756"/>
    </row>
    <row r="143" spans="85:92">
      <c r="CG143" s="675"/>
      <c r="CH143" s="675"/>
      <c r="CI143" s="675"/>
      <c r="CJ143" s="753"/>
      <c r="CK143" s="754"/>
      <c r="CL143" s="755"/>
      <c r="CM143" s="756"/>
      <c r="CN143" s="756"/>
    </row>
    <row r="144" spans="85:92">
      <c r="CG144" s="675"/>
      <c r="CH144" s="675"/>
      <c r="CI144" s="675"/>
      <c r="CJ144" s="753"/>
      <c r="CK144" s="754"/>
      <c r="CL144" s="755"/>
      <c r="CM144" s="756"/>
      <c r="CN144" s="756"/>
    </row>
    <row r="145" spans="85:92">
      <c r="CG145" s="675"/>
      <c r="CH145" s="675"/>
      <c r="CJ145" s="675"/>
      <c r="CK145" s="760"/>
      <c r="CL145" s="761"/>
      <c r="CM145" s="762"/>
      <c r="CN145" s="762"/>
    </row>
    <row r="146" spans="85:92">
      <c r="CG146" s="675"/>
      <c r="CH146" s="675"/>
      <c r="CJ146" s="675"/>
      <c r="CK146" s="760"/>
      <c r="CL146" s="761"/>
      <c r="CM146" s="762"/>
      <c r="CN146" s="762"/>
    </row>
    <row r="147" spans="85:92">
      <c r="CG147" s="675"/>
      <c r="CH147" s="675"/>
      <c r="CJ147" s="675"/>
      <c r="CK147" s="760"/>
      <c r="CL147" s="761"/>
      <c r="CM147" s="762"/>
      <c r="CN147" s="762"/>
    </row>
  </sheetData>
  <mergeCells count="21">
    <mergeCell ref="AG2:AM2"/>
    <mergeCell ref="AO2:AU2"/>
    <mergeCell ref="AW2:BA2"/>
    <mergeCell ref="AW29:BA30"/>
    <mergeCell ref="BE28:BI29"/>
    <mergeCell ref="BE1:BI2"/>
    <mergeCell ref="F3:G3"/>
    <mergeCell ref="N3:O3"/>
    <mergeCell ref="CY44:DE44"/>
    <mergeCell ref="CC4:CE4"/>
    <mergeCell ref="CK4:CN4"/>
    <mergeCell ref="CS4:CW4"/>
    <mergeCell ref="DB4:DE4"/>
    <mergeCell ref="CY42:DE42"/>
    <mergeCell ref="DK4:DN4"/>
    <mergeCell ref="CS24:CT24"/>
    <mergeCell ref="BO4:BQ4"/>
    <mergeCell ref="BV4:BX4"/>
    <mergeCell ref="BL1:BP2"/>
    <mergeCell ref="BS1:BX2"/>
    <mergeCell ref="BZ1:CE2"/>
  </mergeCells>
  <pageMargins left="0.7" right="0.7" top="0.75" bottom="0.75" header="0.3" footer="0.3"/>
  <pageSetup paperSize="9" orientation="portrait" r:id="rId1"/>
  <ignoredErrors>
    <ignoredError sqref="BQ23 BB11:BB16 BB18:BB22 AT11:AT12 AT14 AT16 AL12:AL15 AD12:AD16 V14:V16 V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P105"/>
  <sheetViews>
    <sheetView showGridLines="0" zoomScaleNormal="100" workbookViewId="0">
      <pane xSplit="2" ySplit="3" topLeftCell="C64" activePane="bottomRight" state="frozen"/>
      <selection activeCell="C65" sqref="C65:C67"/>
      <selection pane="topRight" activeCell="C65" sqref="C65:C67"/>
      <selection pane="bottomLeft" activeCell="C65" sqref="C65:C67"/>
      <selection pane="bottomRight" activeCell="I94" sqref="I94"/>
    </sheetView>
  </sheetViews>
  <sheetFormatPr baseColWidth="10" defaultRowHeight="14.4"/>
  <cols>
    <col min="1" max="1" width="2.6640625" customWidth="1"/>
    <col min="2" max="2" width="72.5546875" bestFit="1" customWidth="1"/>
  </cols>
  <sheetData>
    <row r="1" spans="2:16" ht="53.25" customHeight="1">
      <c r="L1" s="7002" t="s">
        <v>3311</v>
      </c>
      <c r="M1" s="7002"/>
      <c r="N1" s="7002"/>
      <c r="O1" s="7002"/>
      <c r="P1" s="7002"/>
    </row>
    <row r="3" spans="2:16" ht="15" thickBot="1">
      <c r="B3" s="2118" t="s">
        <v>2439</v>
      </c>
      <c r="C3" s="3133">
        <v>2010</v>
      </c>
      <c r="D3" s="3133">
        <v>2011</v>
      </c>
      <c r="E3" s="3133">
        <v>2012</v>
      </c>
      <c r="F3" s="3133">
        <v>2013</v>
      </c>
      <c r="G3" s="3133">
        <v>2014</v>
      </c>
      <c r="H3" s="3133">
        <v>2015</v>
      </c>
      <c r="I3" s="3133">
        <v>2016</v>
      </c>
      <c r="J3" s="3133">
        <v>2017</v>
      </c>
      <c r="K3" s="3133">
        <v>2018</v>
      </c>
      <c r="L3" s="2114">
        <v>2019</v>
      </c>
      <c r="M3" s="2114">
        <v>2020</v>
      </c>
      <c r="N3" s="3270">
        <v>2021</v>
      </c>
      <c r="O3" s="3270">
        <v>2022</v>
      </c>
      <c r="P3" s="3270">
        <v>2023</v>
      </c>
    </row>
    <row r="4" spans="2:16">
      <c r="B4" s="3206" t="s">
        <v>113</v>
      </c>
      <c r="C4" s="3207">
        <v>6</v>
      </c>
      <c r="D4" s="3208"/>
      <c r="E4" s="3209">
        <v>3</v>
      </c>
      <c r="F4" s="3138">
        <v>3</v>
      </c>
      <c r="G4" s="3210">
        <v>5.6666666666666661</v>
      </c>
      <c r="H4" s="3141"/>
      <c r="I4" s="3210"/>
      <c r="J4" s="3210">
        <v>-0.66999999999999993</v>
      </c>
      <c r="K4" s="3199">
        <v>1</v>
      </c>
      <c r="L4" s="3199">
        <v>2.33</v>
      </c>
      <c r="M4" s="3199"/>
      <c r="N4" s="3199">
        <v>-5</v>
      </c>
      <c r="O4" s="3199">
        <v>2</v>
      </c>
      <c r="P4" s="3199">
        <v>4.3</v>
      </c>
    </row>
    <row r="5" spans="2:16" s="5317" customFormat="1">
      <c r="B5" s="3211" t="s">
        <v>2660</v>
      </c>
      <c r="C5" s="3204"/>
      <c r="D5" s="1590"/>
      <c r="E5" s="3204"/>
      <c r="F5" s="1590"/>
      <c r="G5" s="3204"/>
      <c r="H5" s="1590"/>
      <c r="I5" s="3204"/>
      <c r="J5" s="3143"/>
      <c r="K5" s="3205"/>
      <c r="L5" s="3205"/>
      <c r="M5" s="3205">
        <v>0</v>
      </c>
      <c r="N5" s="3205">
        <v>0.5</v>
      </c>
      <c r="O5" s="3205">
        <v>3</v>
      </c>
      <c r="P5" s="3205">
        <v>3</v>
      </c>
    </row>
    <row r="6" spans="2:16" s="5317" customFormat="1">
      <c r="B6" s="3211" t="s">
        <v>115</v>
      </c>
      <c r="C6" s="3143">
        <v>2.125</v>
      </c>
      <c r="D6" s="3144">
        <v>3.4444444444444446</v>
      </c>
      <c r="E6" s="3143">
        <v>1.1666666666666661</v>
      </c>
      <c r="F6" s="3214">
        <v>2.25</v>
      </c>
      <c r="G6" s="3213">
        <v>1</v>
      </c>
      <c r="H6" s="3157">
        <v>1</v>
      </c>
      <c r="I6" s="3213">
        <v>1.38</v>
      </c>
      <c r="J6" s="3213">
        <v>0.5</v>
      </c>
      <c r="K6" s="3200">
        <v>0.37999999999999989</v>
      </c>
      <c r="L6" s="3200">
        <v>1</v>
      </c>
      <c r="M6" s="3200">
        <v>0.4</v>
      </c>
      <c r="N6" s="3200">
        <v>1.0999999999999996</v>
      </c>
      <c r="O6" s="3200">
        <v>1.166666666666667</v>
      </c>
      <c r="P6" s="3200">
        <v>0.6</v>
      </c>
    </row>
    <row r="7" spans="2:16" s="5317" customFormat="1">
      <c r="B7" s="3211" t="s">
        <v>2270</v>
      </c>
      <c r="C7" s="3204"/>
      <c r="D7" s="1590"/>
      <c r="E7" s="3204"/>
      <c r="F7" s="1590"/>
      <c r="G7" s="3204"/>
      <c r="H7" s="1590"/>
      <c r="I7" s="3204"/>
      <c r="J7" s="3143">
        <v>1.7300000000000004</v>
      </c>
      <c r="K7" s="3205">
        <v>1.58</v>
      </c>
      <c r="L7" s="3205">
        <v>0.7</v>
      </c>
      <c r="M7" s="3205">
        <v>0.5</v>
      </c>
      <c r="N7" s="3205">
        <v>2.1428571428571423</v>
      </c>
      <c r="O7" s="3205">
        <v>2.5</v>
      </c>
      <c r="P7" s="3205">
        <v>3.8</v>
      </c>
    </row>
    <row r="8" spans="2:16" s="5317" customFormat="1">
      <c r="B8" s="3211" t="s">
        <v>607</v>
      </c>
      <c r="C8" s="3143"/>
      <c r="D8" s="3144"/>
      <c r="E8" s="3212"/>
      <c r="F8" s="3214"/>
      <c r="G8" s="3213">
        <v>1.5999999999999996</v>
      </c>
      <c r="H8" s="3157">
        <v>1.4000000000000004</v>
      </c>
      <c r="I8" s="3213">
        <v>1.67</v>
      </c>
      <c r="J8" s="3213">
        <v>1.75</v>
      </c>
      <c r="K8" s="3200">
        <v>1.5</v>
      </c>
      <c r="L8" s="3200">
        <v>2.2999999999999998</v>
      </c>
      <c r="M8" s="3200">
        <v>2.2999999999999998</v>
      </c>
      <c r="N8" s="3200">
        <v>2.4166666666666679</v>
      </c>
      <c r="O8" s="3200">
        <v>2.1999999999999993</v>
      </c>
      <c r="P8" s="3200">
        <v>1.5</v>
      </c>
    </row>
    <row r="9" spans="2:16" s="5317" customFormat="1">
      <c r="B9" s="3211" t="s">
        <v>606</v>
      </c>
      <c r="C9" s="3212"/>
      <c r="D9" s="3214"/>
      <c r="E9" s="3212"/>
      <c r="F9" s="3214"/>
      <c r="G9" s="3213">
        <v>1</v>
      </c>
      <c r="H9" s="3157">
        <v>2.3333333333333339</v>
      </c>
      <c r="I9" s="3213">
        <v>2</v>
      </c>
      <c r="J9" s="3213">
        <v>1.67</v>
      </c>
      <c r="K9" s="3200">
        <v>2</v>
      </c>
      <c r="L9" s="3200"/>
      <c r="M9" s="3200">
        <v>2.7</v>
      </c>
      <c r="N9" s="3200">
        <v>3</v>
      </c>
      <c r="O9" s="3200">
        <v>6.5</v>
      </c>
      <c r="P9" s="3200"/>
    </row>
    <row r="10" spans="2:16">
      <c r="B10" s="3211" t="s">
        <v>114</v>
      </c>
      <c r="C10" s="3143">
        <v>5.5</v>
      </c>
      <c r="D10" s="3144">
        <v>7.6111111111111072</v>
      </c>
      <c r="E10" s="3212">
        <v>3.8461538461538485</v>
      </c>
      <c r="F10" s="3146">
        <v>2.2857142857142883</v>
      </c>
      <c r="G10" s="3213">
        <v>1.5294117647058805</v>
      </c>
      <c r="H10" s="3157">
        <v>1.5294117647058814</v>
      </c>
      <c r="I10" s="3213">
        <v>1.1900000000000004</v>
      </c>
      <c r="J10" s="3213">
        <v>1.1299999999999999</v>
      </c>
      <c r="K10" s="3200"/>
      <c r="L10" s="3200"/>
      <c r="M10" s="3200"/>
      <c r="N10" s="3200"/>
      <c r="O10" s="3200"/>
      <c r="P10" s="3200"/>
    </row>
    <row r="11" spans="2:16">
      <c r="B11" s="3215" t="s">
        <v>482</v>
      </c>
      <c r="C11" s="3216">
        <v>4.541666666666667</v>
      </c>
      <c r="D11" s="3152">
        <v>9.6774193548387082</v>
      </c>
      <c r="E11" s="3217">
        <v>3.0000000000000013</v>
      </c>
      <c r="F11" s="3218">
        <v>2.3043478260869579</v>
      </c>
      <c r="G11" s="2445">
        <v>1.6842105263157887</v>
      </c>
      <c r="H11" s="2449">
        <v>1.4411764705882348</v>
      </c>
      <c r="I11" s="2445">
        <v>1.4</v>
      </c>
      <c r="J11" s="2445">
        <v>1.1696923076923078</v>
      </c>
      <c r="K11" s="3055">
        <v>1.4317857142857144</v>
      </c>
      <c r="L11" s="3055">
        <v>1.3</v>
      </c>
      <c r="M11" s="3055">
        <v>0.9</v>
      </c>
      <c r="N11" s="3055">
        <v>1.6</v>
      </c>
      <c r="O11" s="3055">
        <v>2.65</v>
      </c>
      <c r="P11" s="3055">
        <v>2.7</v>
      </c>
    </row>
    <row r="12" spans="2:16" s="5317" customFormat="1">
      <c r="B12" s="2026" t="s">
        <v>2057</v>
      </c>
      <c r="C12" s="3219"/>
      <c r="D12" s="3144"/>
      <c r="E12" s="3212"/>
      <c r="F12" s="3146"/>
      <c r="G12" s="3213"/>
      <c r="H12" s="3157"/>
      <c r="I12" s="3213"/>
      <c r="J12" s="3213"/>
      <c r="K12" s="3200"/>
      <c r="L12" s="3200"/>
      <c r="M12" s="3200">
        <v>3</v>
      </c>
      <c r="N12" s="3200">
        <v>0.5</v>
      </c>
      <c r="O12" s="3200">
        <v>1.3</v>
      </c>
      <c r="P12" s="3200">
        <v>0.7</v>
      </c>
    </row>
    <row r="13" spans="2:16" s="5317" customFormat="1">
      <c r="B13" s="3211" t="s">
        <v>238</v>
      </c>
      <c r="C13" s="3143"/>
      <c r="D13" s="3144">
        <v>0</v>
      </c>
      <c r="E13" s="3212"/>
      <c r="F13" s="3146">
        <v>0</v>
      </c>
      <c r="G13" s="3213">
        <v>0</v>
      </c>
      <c r="H13" s="3157">
        <v>0</v>
      </c>
      <c r="I13" s="3213">
        <v>0</v>
      </c>
      <c r="J13" s="3213">
        <v>0</v>
      </c>
      <c r="K13" s="3200">
        <v>0.29000000000000004</v>
      </c>
      <c r="L13" s="3200">
        <v>0</v>
      </c>
      <c r="M13" s="3200">
        <v>0.6</v>
      </c>
      <c r="N13" s="3200"/>
      <c r="O13" s="3200">
        <v>0.7</v>
      </c>
      <c r="P13" s="3200"/>
    </row>
    <row r="14" spans="2:16" s="5317" customFormat="1">
      <c r="B14" s="3211" t="s">
        <v>460</v>
      </c>
      <c r="C14" s="3143"/>
      <c r="D14" s="3144"/>
      <c r="E14" s="3143"/>
      <c r="F14" s="3214"/>
      <c r="G14" s="3213">
        <v>0.20000000000000018</v>
      </c>
      <c r="H14" s="3157">
        <v>0.5</v>
      </c>
      <c r="I14" s="3213">
        <v>0.26999999999999957</v>
      </c>
      <c r="J14" s="3213">
        <v>0.25</v>
      </c>
      <c r="K14" s="3200">
        <v>0.16999999999999993</v>
      </c>
      <c r="L14" s="3200">
        <v>0</v>
      </c>
      <c r="M14" s="3200">
        <v>1.5</v>
      </c>
      <c r="N14" s="3200">
        <v>0</v>
      </c>
      <c r="O14" s="3200">
        <v>0.7</v>
      </c>
      <c r="P14" s="3200">
        <v>0</v>
      </c>
    </row>
    <row r="15" spans="2:16">
      <c r="B15" s="3211" t="s">
        <v>116</v>
      </c>
      <c r="C15" s="3219">
        <v>0.59999999999999964</v>
      </c>
      <c r="D15" s="3144">
        <v>1.333333333333333</v>
      </c>
      <c r="E15" s="3220">
        <v>1.5</v>
      </c>
      <c r="F15" s="3146">
        <v>1.25</v>
      </c>
      <c r="G15" s="3213">
        <v>0.5</v>
      </c>
      <c r="H15" s="3157">
        <v>0.7</v>
      </c>
      <c r="I15" s="3213">
        <v>0.88999999999999968</v>
      </c>
      <c r="J15" s="3213">
        <v>1.5</v>
      </c>
      <c r="K15" s="3200">
        <v>0.66999999999999993</v>
      </c>
      <c r="L15" s="3200">
        <v>0.66999999999999993</v>
      </c>
      <c r="M15" s="3200">
        <v>0.4</v>
      </c>
      <c r="N15" s="3200">
        <v>0</v>
      </c>
      <c r="O15" s="3200">
        <v>0</v>
      </c>
      <c r="P15" s="3200">
        <v>0</v>
      </c>
    </row>
    <row r="16" spans="2:16">
      <c r="B16" s="3211" t="s">
        <v>117</v>
      </c>
      <c r="C16" s="3219">
        <v>0.41666666666666607</v>
      </c>
      <c r="D16" s="3144">
        <v>0.66666666666666607</v>
      </c>
      <c r="E16" s="3220">
        <v>1.3999999999999995</v>
      </c>
      <c r="F16" s="3214"/>
      <c r="G16" s="3213">
        <v>0.69999999999999929</v>
      </c>
      <c r="H16" s="3157">
        <v>2</v>
      </c>
      <c r="I16" s="3213">
        <v>1.0700000000000003</v>
      </c>
      <c r="J16" s="3213">
        <v>1</v>
      </c>
      <c r="K16" s="3200">
        <v>3.7799999999999994</v>
      </c>
      <c r="L16" s="3200">
        <v>2</v>
      </c>
      <c r="M16" s="3200">
        <v>1.1000000000000001</v>
      </c>
      <c r="N16" s="3200">
        <v>2</v>
      </c>
      <c r="O16" s="3200">
        <v>1.8</v>
      </c>
      <c r="P16" s="3200">
        <v>4.4000000000000004</v>
      </c>
    </row>
    <row r="17" spans="2:16">
      <c r="B17" s="3211" t="s">
        <v>118</v>
      </c>
      <c r="C17" s="3219">
        <v>3.3333333333333339</v>
      </c>
      <c r="D17" s="3144">
        <v>2.25</v>
      </c>
      <c r="E17" s="3220">
        <v>0</v>
      </c>
      <c r="F17" s="3146">
        <v>0</v>
      </c>
      <c r="G17" s="3213">
        <v>4.6666666666666661</v>
      </c>
      <c r="H17" s="3157">
        <v>0</v>
      </c>
      <c r="I17" s="3213">
        <v>2</v>
      </c>
      <c r="J17" s="3213">
        <v>1.2000000000000002</v>
      </c>
      <c r="K17" s="3200">
        <v>4.67</v>
      </c>
      <c r="L17" s="3200">
        <v>0</v>
      </c>
      <c r="M17" s="3200">
        <v>0</v>
      </c>
      <c r="N17" s="3200">
        <v>1</v>
      </c>
      <c r="O17" s="3200">
        <v>0.8</v>
      </c>
      <c r="P17" s="3200">
        <v>0</v>
      </c>
    </row>
    <row r="18" spans="2:16" s="2042" customFormat="1">
      <c r="B18" s="3211" t="s">
        <v>2058</v>
      </c>
      <c r="C18" s="3143"/>
      <c r="D18" s="3144"/>
      <c r="E18" s="3143"/>
      <c r="F18" s="3214"/>
      <c r="G18" s="3213"/>
      <c r="H18" s="3157"/>
      <c r="I18" s="3213"/>
      <c r="J18" s="3213"/>
      <c r="K18" s="3200">
        <v>0</v>
      </c>
      <c r="L18" s="3200">
        <v>0.33000000000000007</v>
      </c>
      <c r="M18" s="3200"/>
      <c r="N18" s="3200"/>
      <c r="O18" s="3200">
        <v>3</v>
      </c>
      <c r="P18" s="3200">
        <v>2</v>
      </c>
    </row>
    <row r="19" spans="2:16">
      <c r="B19" s="1590" t="s">
        <v>730</v>
      </c>
      <c r="C19" s="3219">
        <v>0</v>
      </c>
      <c r="D19" s="3144">
        <v>14.333333333333332</v>
      </c>
      <c r="E19" s="3212"/>
      <c r="F19" s="3146"/>
      <c r="G19" s="3213"/>
      <c r="H19" s="3157"/>
      <c r="I19" s="3213"/>
      <c r="J19" s="3213"/>
      <c r="K19" s="3200"/>
      <c r="L19" s="3200"/>
      <c r="M19" s="3200"/>
      <c r="N19" s="3200"/>
      <c r="O19" s="3200"/>
      <c r="P19" s="3200"/>
    </row>
    <row r="20" spans="2:16" s="5317" customFormat="1">
      <c r="B20" s="6395" t="s">
        <v>268</v>
      </c>
      <c r="C20" s="3219"/>
      <c r="D20" s="3144"/>
      <c r="E20" s="3212"/>
      <c r="F20" s="3146"/>
      <c r="G20" s="3213"/>
      <c r="H20" s="3157"/>
      <c r="I20" s="3213"/>
      <c r="J20" s="3213"/>
      <c r="K20" s="3200"/>
      <c r="L20" s="3200"/>
      <c r="M20" s="3200"/>
      <c r="N20" s="3200"/>
      <c r="O20" s="3200">
        <v>0</v>
      </c>
      <c r="P20" s="3200">
        <v>0</v>
      </c>
    </row>
    <row r="21" spans="2:16">
      <c r="B21" s="3215" t="s">
        <v>483</v>
      </c>
      <c r="C21" s="3216">
        <v>1.0874999999999999</v>
      </c>
      <c r="D21" s="3152">
        <v>2.3076923076923075</v>
      </c>
      <c r="E21" s="3217">
        <v>2.0624999999999996</v>
      </c>
      <c r="F21" s="3218">
        <v>0.25</v>
      </c>
      <c r="G21" s="2445">
        <v>0.91999999999999971</v>
      </c>
      <c r="H21" s="2449">
        <v>0.64</v>
      </c>
      <c r="I21" s="2445">
        <v>0.84</v>
      </c>
      <c r="J21" s="2445">
        <v>1</v>
      </c>
      <c r="K21" s="3055">
        <v>1.5478787878787879</v>
      </c>
      <c r="L21" s="3055">
        <v>0.3</v>
      </c>
      <c r="M21" s="3055">
        <v>0.8</v>
      </c>
      <c r="N21" s="3055">
        <v>0.3</v>
      </c>
      <c r="O21" s="3055">
        <v>1</v>
      </c>
      <c r="P21" s="3055">
        <v>1.4</v>
      </c>
    </row>
    <row r="22" spans="2:16">
      <c r="B22" s="3211" t="s">
        <v>104</v>
      </c>
      <c r="C22" s="3219">
        <v>5.8947368421052637</v>
      </c>
      <c r="D22" s="3144">
        <v>2</v>
      </c>
      <c r="E22" s="3220">
        <v>1.0454545454545441</v>
      </c>
      <c r="F22" s="3146">
        <v>2.243243243243243</v>
      </c>
      <c r="G22" s="3213">
        <v>1.2307692307692317</v>
      </c>
      <c r="H22" s="3157">
        <v>2.5999999999999996</v>
      </c>
      <c r="I22" s="3213"/>
      <c r="J22" s="3213">
        <v>0</v>
      </c>
      <c r="K22" s="3200"/>
      <c r="L22" s="3200"/>
      <c r="M22" s="3200"/>
      <c r="N22" s="3200"/>
      <c r="O22" s="3200"/>
      <c r="P22" s="3200"/>
    </row>
    <row r="23" spans="2:16">
      <c r="B23" s="3211" t="s">
        <v>1455</v>
      </c>
      <c r="C23" s="3219"/>
      <c r="D23" s="3144"/>
      <c r="E23" s="3220"/>
      <c r="F23" s="3146"/>
      <c r="G23" s="3213"/>
      <c r="H23" s="3157">
        <v>1</v>
      </c>
      <c r="I23" s="3213">
        <v>4.67</v>
      </c>
      <c r="J23" s="3213">
        <v>-0.12000000000000011</v>
      </c>
      <c r="K23" s="3200">
        <v>0.66999999999999993</v>
      </c>
      <c r="L23" s="3200">
        <v>2</v>
      </c>
      <c r="M23" s="3200">
        <v>0.5</v>
      </c>
      <c r="N23" s="3200"/>
      <c r="O23" s="3200">
        <v>6</v>
      </c>
      <c r="P23" s="3200">
        <v>3.3</v>
      </c>
    </row>
    <row r="24" spans="2:16">
      <c r="B24" s="3211" t="s">
        <v>1456</v>
      </c>
      <c r="C24" s="3219"/>
      <c r="D24" s="3144"/>
      <c r="E24" s="3220"/>
      <c r="F24" s="3146"/>
      <c r="G24" s="3213"/>
      <c r="H24" s="3157"/>
      <c r="I24" s="3213">
        <v>5</v>
      </c>
      <c r="J24" s="3213">
        <v>3.5</v>
      </c>
      <c r="K24" s="3200">
        <v>2.67</v>
      </c>
      <c r="L24" s="3200"/>
      <c r="M24" s="3200">
        <v>8</v>
      </c>
      <c r="N24" s="3200"/>
      <c r="O24" s="3200">
        <v>5</v>
      </c>
      <c r="P24" s="3200">
        <v>3</v>
      </c>
    </row>
    <row r="25" spans="2:16">
      <c r="B25" s="3211" t="s">
        <v>1457</v>
      </c>
      <c r="C25" s="3219"/>
      <c r="D25" s="3144"/>
      <c r="E25" s="3220"/>
      <c r="F25" s="3146"/>
      <c r="G25" s="3213"/>
      <c r="H25" s="3157"/>
      <c r="I25" s="3213">
        <v>0.5</v>
      </c>
      <c r="J25" s="3213">
        <v>-0.66999999999999993</v>
      </c>
      <c r="K25" s="3200">
        <v>3.75</v>
      </c>
      <c r="L25" s="3200">
        <v>2.5</v>
      </c>
      <c r="M25" s="3200">
        <v>2</v>
      </c>
      <c r="N25" s="3200">
        <v>2</v>
      </c>
      <c r="O25" s="3200">
        <v>3</v>
      </c>
      <c r="P25" s="3200">
        <v>1</v>
      </c>
    </row>
    <row r="26" spans="2:16">
      <c r="B26" s="3221" t="s">
        <v>1454</v>
      </c>
      <c r="C26" s="3219"/>
      <c r="D26" s="3144"/>
      <c r="E26" s="3220"/>
      <c r="F26" s="3146"/>
      <c r="G26" s="3213"/>
      <c r="H26" s="3157">
        <v>1.5</v>
      </c>
      <c r="I26" s="3213">
        <v>-1.33</v>
      </c>
      <c r="J26" s="3213">
        <v>4.5</v>
      </c>
      <c r="K26" s="3200"/>
      <c r="L26" s="3200">
        <v>3</v>
      </c>
      <c r="M26" s="3200"/>
      <c r="N26" s="3200">
        <v>1</v>
      </c>
      <c r="O26" s="3200">
        <v>5</v>
      </c>
      <c r="P26" s="3200">
        <v>4</v>
      </c>
    </row>
    <row r="27" spans="2:16">
      <c r="B27" s="3221" t="s">
        <v>1458</v>
      </c>
      <c r="C27" s="3219"/>
      <c r="D27" s="3144"/>
      <c r="E27" s="3220"/>
      <c r="F27" s="3146"/>
      <c r="G27" s="3213"/>
      <c r="H27" s="3157"/>
      <c r="I27" s="3213">
        <v>0</v>
      </c>
      <c r="J27" s="3213">
        <v>4</v>
      </c>
      <c r="K27" s="3200">
        <v>1.5999999999999996</v>
      </c>
      <c r="L27" s="3200"/>
      <c r="M27" s="3200"/>
      <c r="N27" s="3200"/>
      <c r="O27" s="3200">
        <v>8</v>
      </c>
      <c r="P27" s="3200">
        <v>3</v>
      </c>
    </row>
    <row r="28" spans="2:16" s="2042" customFormat="1" ht="28.8">
      <c r="B28" s="3221" t="s">
        <v>2271</v>
      </c>
      <c r="C28" s="3219"/>
      <c r="D28" s="3144"/>
      <c r="E28" s="3220"/>
      <c r="F28" s="3146"/>
      <c r="G28" s="3213"/>
      <c r="H28" s="3157"/>
      <c r="I28" s="3213"/>
      <c r="J28" s="3213"/>
      <c r="K28" s="3200">
        <v>3.33</v>
      </c>
      <c r="L28" s="3200">
        <v>6</v>
      </c>
      <c r="M28" s="3200"/>
      <c r="N28" s="3200">
        <v>3</v>
      </c>
      <c r="O28" s="3200">
        <v>4.4285714285714288</v>
      </c>
      <c r="P28" s="3200"/>
    </row>
    <row r="29" spans="2:16">
      <c r="B29" s="3215" t="s">
        <v>484</v>
      </c>
      <c r="C29" s="3216">
        <v>8.8947368421052637</v>
      </c>
      <c r="D29" s="3152">
        <v>2</v>
      </c>
      <c r="E29" s="3217">
        <v>1.0454545454545441</v>
      </c>
      <c r="F29" s="3218">
        <v>2.243243243243243</v>
      </c>
      <c r="G29" s="2445">
        <v>1.2307692307692317</v>
      </c>
      <c r="H29" s="2449">
        <v>2.3888888888888884</v>
      </c>
      <c r="I29" s="2445">
        <v>2.3099999999999996</v>
      </c>
      <c r="J29" s="2445">
        <v>1.1747826086956521</v>
      </c>
      <c r="K29" s="3055">
        <v>4.9561904761904758</v>
      </c>
      <c r="L29" s="3055">
        <v>3.2</v>
      </c>
      <c r="M29" s="3055">
        <v>4.4000000000000004</v>
      </c>
      <c r="N29" s="3055">
        <v>2.2999999999999998</v>
      </c>
      <c r="O29" s="3055">
        <v>5.2</v>
      </c>
      <c r="P29" s="3055">
        <v>3.1</v>
      </c>
    </row>
    <row r="30" spans="2:16">
      <c r="B30" s="3222" t="s">
        <v>105</v>
      </c>
      <c r="C30" s="3223">
        <v>2.1746345029239755</v>
      </c>
      <c r="D30" s="3160">
        <v>5.0370370370370363</v>
      </c>
      <c r="E30" s="3224">
        <v>2.2467532467532472</v>
      </c>
      <c r="F30" s="3225">
        <v>1.7625</v>
      </c>
      <c r="G30" s="2451">
        <v>1.3370786516853932</v>
      </c>
      <c r="H30" s="2451">
        <v>1.432432432432432</v>
      </c>
      <c r="I30" s="2451">
        <v>1.2594444444444446</v>
      </c>
      <c r="J30" s="2451">
        <v>1.1393518518518517</v>
      </c>
      <c r="K30" s="3057">
        <v>1.675090909090909</v>
      </c>
      <c r="L30" s="3057">
        <v>1.1000000000000001</v>
      </c>
      <c r="M30" s="3057">
        <v>1.1000000000000001</v>
      </c>
      <c r="N30" s="3057">
        <v>1.1000000000000001</v>
      </c>
      <c r="O30" s="3057">
        <v>2.2999999999999998</v>
      </c>
      <c r="P30" s="3057">
        <v>2.2999999999999998</v>
      </c>
    </row>
    <row r="31" spans="2:16" s="5317" customFormat="1">
      <c r="B31" s="3226" t="s">
        <v>608</v>
      </c>
      <c r="C31" s="3228"/>
      <c r="D31" s="3228"/>
      <c r="E31" s="3228"/>
      <c r="F31" s="3229">
        <v>0.30000000000000071</v>
      </c>
      <c r="G31" s="3230">
        <v>0.33333333333333393</v>
      </c>
      <c r="H31" s="3230">
        <v>0</v>
      </c>
      <c r="I31" s="3230">
        <v>0</v>
      </c>
      <c r="J31" s="3230">
        <v>0.75</v>
      </c>
      <c r="K31" s="3201">
        <v>0.66999999999999993</v>
      </c>
      <c r="L31" s="3201">
        <v>0.91999999999999993</v>
      </c>
      <c r="M31" s="3201">
        <v>0.7</v>
      </c>
      <c r="N31" s="3201">
        <v>0</v>
      </c>
      <c r="O31" s="3201">
        <v>2.2000000000000002</v>
      </c>
      <c r="P31" s="3201">
        <v>3.6</v>
      </c>
    </row>
    <row r="32" spans="2:16" s="5317" customFormat="1">
      <c r="B32" s="3233" t="s">
        <v>483</v>
      </c>
      <c r="C32" s="3238"/>
      <c r="D32" s="3238"/>
      <c r="E32" s="3238"/>
      <c r="F32" s="3217">
        <v>0.30000000000000071</v>
      </c>
      <c r="G32" s="2445">
        <v>0.33333333333333393</v>
      </c>
      <c r="H32" s="2445">
        <v>0</v>
      </c>
      <c r="I32" s="2445">
        <v>0</v>
      </c>
      <c r="J32" s="2445">
        <v>0.75</v>
      </c>
      <c r="K32" s="3055">
        <v>0.66999999999999993</v>
      </c>
      <c r="L32" s="3055">
        <v>0.91999999999999993</v>
      </c>
      <c r="M32" s="3055">
        <v>0.7</v>
      </c>
      <c r="N32" s="3055">
        <v>0</v>
      </c>
      <c r="O32" s="3055">
        <v>2.2000000000000002</v>
      </c>
      <c r="P32" s="3055">
        <v>3.6</v>
      </c>
    </row>
    <row r="33" spans="2:16" s="5317" customFormat="1">
      <c r="B33" s="3231" t="s">
        <v>711</v>
      </c>
      <c r="C33" s="3212"/>
      <c r="D33" s="3212"/>
      <c r="E33" s="3212"/>
      <c r="F33" s="3212"/>
      <c r="G33" s="3213">
        <v>0</v>
      </c>
      <c r="H33" s="3213">
        <v>0.27272727272727249</v>
      </c>
      <c r="I33" s="3213">
        <v>0.83000000000000007</v>
      </c>
      <c r="J33" s="3213">
        <v>1</v>
      </c>
      <c r="K33" s="3200"/>
      <c r="L33" s="3200">
        <v>1.1299999999999999</v>
      </c>
      <c r="M33" s="3200">
        <v>0.5</v>
      </c>
      <c r="N33" s="3200">
        <v>0.7</v>
      </c>
      <c r="O33" s="3200">
        <v>1.8</v>
      </c>
      <c r="P33" s="3200">
        <v>1.3</v>
      </c>
    </row>
    <row r="34" spans="2:16" s="5317" customFormat="1">
      <c r="B34" s="3233" t="s">
        <v>486</v>
      </c>
      <c r="C34" s="3238"/>
      <c r="D34" s="3238"/>
      <c r="E34" s="3238"/>
      <c r="F34" s="3238"/>
      <c r="G34" s="2445">
        <v>0</v>
      </c>
      <c r="H34" s="2445">
        <v>0.27272727272727249</v>
      </c>
      <c r="I34" s="2445">
        <v>0.83000000000000007</v>
      </c>
      <c r="J34" s="2445">
        <v>1</v>
      </c>
      <c r="K34" s="3055"/>
      <c r="L34" s="3055">
        <v>1.1299999999999999</v>
      </c>
      <c r="M34" s="3055">
        <v>0.5</v>
      </c>
      <c r="N34" s="3055">
        <v>0.7</v>
      </c>
      <c r="O34" s="3055">
        <v>0.7</v>
      </c>
      <c r="P34" s="3055">
        <v>1.3</v>
      </c>
    </row>
    <row r="35" spans="2:16" s="5317" customFormat="1">
      <c r="B35" s="3231" t="s">
        <v>609</v>
      </c>
      <c r="C35" s="3212"/>
      <c r="D35" s="3212"/>
      <c r="E35" s="3212"/>
      <c r="F35" s="3212"/>
      <c r="G35" s="3213">
        <v>1</v>
      </c>
      <c r="H35" s="3213">
        <v>0.33333333333333393</v>
      </c>
      <c r="I35" s="3213">
        <v>1</v>
      </c>
      <c r="J35" s="3213">
        <v>0.86000000000000032</v>
      </c>
      <c r="K35" s="3200">
        <v>1.67</v>
      </c>
      <c r="L35" s="3200">
        <v>2.2699999999999996</v>
      </c>
      <c r="M35" s="3200">
        <v>0.5</v>
      </c>
      <c r="N35" s="3200">
        <v>1.5</v>
      </c>
      <c r="O35" s="3200">
        <v>1.5</v>
      </c>
      <c r="P35" s="3200">
        <v>3.8</v>
      </c>
    </row>
    <row r="36" spans="2:16" s="5317" customFormat="1">
      <c r="B36" s="3233" t="s">
        <v>487</v>
      </c>
      <c r="C36" s="3238"/>
      <c r="D36" s="3238"/>
      <c r="E36" s="3238"/>
      <c r="F36" s="3238"/>
      <c r="G36" s="2445">
        <v>1</v>
      </c>
      <c r="H36" s="2445">
        <v>0.33333333333333393</v>
      </c>
      <c r="I36" s="2445">
        <v>1</v>
      </c>
      <c r="J36" s="2445">
        <v>0.86000000000000032</v>
      </c>
      <c r="K36" s="3055">
        <v>1.67</v>
      </c>
      <c r="L36" s="3055">
        <v>2.2699999999999996</v>
      </c>
      <c r="M36" s="3055">
        <v>0.5</v>
      </c>
      <c r="N36" s="3055">
        <v>1.5</v>
      </c>
      <c r="O36" s="3055">
        <v>1.5</v>
      </c>
      <c r="P36" s="3055">
        <v>3.8</v>
      </c>
    </row>
    <row r="37" spans="2:16" s="5317" customFormat="1">
      <c r="B37" s="3222" t="s">
        <v>256</v>
      </c>
      <c r="C37" s="3239"/>
      <c r="D37" s="3239"/>
      <c r="E37" s="3239"/>
      <c r="F37" s="3225">
        <v>0.30000000000000071</v>
      </c>
      <c r="G37" s="2451">
        <v>0.20000000000000018</v>
      </c>
      <c r="H37" s="2451">
        <v>0.19230769230769235</v>
      </c>
      <c r="I37" s="2451">
        <v>0.70411764705882351</v>
      </c>
      <c r="J37" s="2451">
        <v>0.846923076923077</v>
      </c>
      <c r="K37" s="3057">
        <v>1.0699999999999998</v>
      </c>
      <c r="L37" s="3057">
        <v>1.3815384615384614</v>
      </c>
      <c r="M37" s="3057">
        <v>0.6</v>
      </c>
      <c r="N37" s="3057">
        <v>0.8</v>
      </c>
      <c r="O37" s="3057">
        <v>1.5</v>
      </c>
      <c r="P37" s="3057">
        <v>2.7</v>
      </c>
    </row>
    <row r="38" spans="2:16">
      <c r="B38" s="3226" t="s">
        <v>119</v>
      </c>
      <c r="C38" s="3227">
        <v>2.25</v>
      </c>
      <c r="D38" s="3166">
        <v>3.6666666666666661</v>
      </c>
      <c r="E38" s="3228"/>
      <c r="F38" s="3229">
        <v>3.7777777777777786</v>
      </c>
      <c r="G38" s="3230">
        <v>3.75</v>
      </c>
      <c r="H38" s="3230">
        <v>2.2857142857142865</v>
      </c>
      <c r="I38" s="3230">
        <v>2.33</v>
      </c>
      <c r="J38" s="3230">
        <v>3</v>
      </c>
      <c r="K38" s="3201">
        <v>3.5700000000000003</v>
      </c>
      <c r="L38" s="3201">
        <v>3.6199999999999992</v>
      </c>
      <c r="M38" s="3201">
        <v>3</v>
      </c>
      <c r="N38" s="3201">
        <v>3.0500000000000007</v>
      </c>
      <c r="O38" s="3201">
        <v>4.5999999999999996</v>
      </c>
      <c r="P38" s="3201">
        <v>5.9</v>
      </c>
    </row>
    <row r="39" spans="2:16">
      <c r="B39" s="3231" t="s">
        <v>120</v>
      </c>
      <c r="C39" s="3219">
        <v>3.5</v>
      </c>
      <c r="D39" s="3143">
        <v>5</v>
      </c>
      <c r="E39" s="3220">
        <v>5.5555555555555554</v>
      </c>
      <c r="F39" s="3232">
        <v>2</v>
      </c>
      <c r="G39" s="3213">
        <v>3.5</v>
      </c>
      <c r="H39" s="3213">
        <v>3.57</v>
      </c>
      <c r="I39" s="3213">
        <v>2.8499999999999996</v>
      </c>
      <c r="J39" s="3213">
        <v>2.5199999999999996</v>
      </c>
      <c r="K39" s="3200">
        <v>2.5999999999999996</v>
      </c>
      <c r="L39" s="3200">
        <v>2.9399999999999995</v>
      </c>
      <c r="M39" s="3200">
        <v>2.4</v>
      </c>
      <c r="N39" s="3200">
        <v>3.5</v>
      </c>
      <c r="O39" s="3200">
        <v>2.2999999999999998</v>
      </c>
      <c r="P39" s="3200">
        <v>2.7</v>
      </c>
    </row>
    <row r="40" spans="2:16">
      <c r="B40" s="3231" t="s">
        <v>121</v>
      </c>
      <c r="C40" s="3219">
        <v>2.8000000000000007</v>
      </c>
      <c r="D40" s="3143">
        <v>3</v>
      </c>
      <c r="E40" s="3220">
        <v>0.5</v>
      </c>
      <c r="F40" s="3232">
        <v>0</v>
      </c>
      <c r="G40" s="3213">
        <v>1.9000000000000012</v>
      </c>
      <c r="H40" s="3213">
        <v>1</v>
      </c>
      <c r="I40" s="3213">
        <v>3</v>
      </c>
      <c r="J40" s="3213">
        <v>0.5</v>
      </c>
      <c r="K40" s="3200">
        <v>0.55999999999999961</v>
      </c>
      <c r="L40" s="3200">
        <v>0.66999999999999993</v>
      </c>
      <c r="M40" s="3200">
        <v>1</v>
      </c>
      <c r="N40" s="3200">
        <v>2.4910000000000001</v>
      </c>
      <c r="O40" s="3200">
        <v>2</v>
      </c>
      <c r="P40" s="3200">
        <v>2</v>
      </c>
    </row>
    <row r="41" spans="2:16">
      <c r="B41" s="3231" t="s">
        <v>122</v>
      </c>
      <c r="C41" s="3219">
        <v>4.0999999999999996</v>
      </c>
      <c r="D41" s="3143">
        <v>2.8571428571428577</v>
      </c>
      <c r="E41" s="3220">
        <v>2.7857142857142847</v>
      </c>
      <c r="F41" s="3232">
        <v>2.7000000000000011</v>
      </c>
      <c r="G41" s="3213">
        <v>1.333333333333333</v>
      </c>
      <c r="H41" s="3213">
        <v>2</v>
      </c>
      <c r="I41" s="3213">
        <v>2.5</v>
      </c>
      <c r="J41" s="3213">
        <v>1.9100000000000001</v>
      </c>
      <c r="K41" s="3200">
        <v>1.7300000000000004</v>
      </c>
      <c r="L41" s="3200">
        <v>1.33</v>
      </c>
      <c r="M41" s="3200">
        <v>4.3</v>
      </c>
      <c r="N41" s="3200">
        <v>2.4000000000000004</v>
      </c>
      <c r="O41" s="3200">
        <v>2.4</v>
      </c>
      <c r="P41" s="3200">
        <v>4.7</v>
      </c>
    </row>
    <row r="42" spans="2:16">
      <c r="B42" s="3231" t="s">
        <v>123</v>
      </c>
      <c r="C42" s="3219">
        <v>4.235294117647058</v>
      </c>
      <c r="D42" s="3143">
        <v>7.75</v>
      </c>
      <c r="E42" s="3220">
        <v>5</v>
      </c>
      <c r="F42" s="3232">
        <v>2.7333333333333325</v>
      </c>
      <c r="G42" s="3213">
        <v>2.7000000000000011</v>
      </c>
      <c r="H42" s="3213">
        <v>2.88</v>
      </c>
      <c r="I42" s="3213">
        <v>4.1999999999999993</v>
      </c>
      <c r="J42" s="3213">
        <v>4.25</v>
      </c>
      <c r="K42" s="3200">
        <v>0.33000000000000007</v>
      </c>
      <c r="L42" s="3200">
        <v>3.67</v>
      </c>
      <c r="M42" s="3200">
        <v>5.5</v>
      </c>
      <c r="N42" s="3200">
        <v>4</v>
      </c>
      <c r="O42" s="3200">
        <v>5</v>
      </c>
      <c r="P42" s="3200">
        <v>4.7</v>
      </c>
    </row>
    <row r="43" spans="2:16">
      <c r="B43" s="3231" t="s">
        <v>388</v>
      </c>
      <c r="C43" s="3219">
        <v>2.25</v>
      </c>
      <c r="D43" s="3143">
        <v>1.1428571428571423</v>
      </c>
      <c r="E43" s="3220">
        <v>2.2857142857142865</v>
      </c>
      <c r="F43" s="3232">
        <v>1.7692307692307692</v>
      </c>
      <c r="G43" s="3213">
        <v>2.1999999999999993</v>
      </c>
      <c r="H43" s="3213">
        <v>1.67</v>
      </c>
      <c r="I43" s="3213">
        <v>3</v>
      </c>
      <c r="J43" s="3213">
        <v>2</v>
      </c>
      <c r="K43" s="3200">
        <v>3.4399999999999995</v>
      </c>
      <c r="L43" s="3200">
        <v>1.75</v>
      </c>
      <c r="M43" s="3200">
        <v>1.3</v>
      </c>
      <c r="N43" s="3200">
        <v>1.4000000000000004</v>
      </c>
      <c r="O43" s="3200">
        <v>2</v>
      </c>
      <c r="P43" s="3200">
        <v>2.4</v>
      </c>
    </row>
    <row r="44" spans="2:16">
      <c r="B44" s="3231" t="s">
        <v>681</v>
      </c>
      <c r="C44" s="3219"/>
      <c r="D44" s="3143"/>
      <c r="E44" s="3212"/>
      <c r="F44" s="3232"/>
      <c r="G44" s="3213"/>
      <c r="H44" s="3213">
        <v>2</v>
      </c>
      <c r="I44" s="3213">
        <v>3.17</v>
      </c>
      <c r="J44" s="3213">
        <v>2.5999999999999996</v>
      </c>
      <c r="K44" s="3200">
        <v>2.3000000000000007</v>
      </c>
      <c r="L44" s="3200">
        <v>3.91</v>
      </c>
      <c r="M44" s="3200">
        <v>3.1</v>
      </c>
      <c r="N44" s="3200">
        <v>2.5384615384615383</v>
      </c>
      <c r="O44" s="3200">
        <v>5.4</v>
      </c>
      <c r="P44" s="3200">
        <v>3</v>
      </c>
    </row>
    <row r="45" spans="2:16">
      <c r="B45" s="3233" t="s">
        <v>482</v>
      </c>
      <c r="C45" s="3216">
        <v>3.1892156862745096</v>
      </c>
      <c r="D45" s="3151">
        <v>3.8367346938775508</v>
      </c>
      <c r="E45" s="3217">
        <v>3.8163265306122449</v>
      </c>
      <c r="F45" s="3217">
        <v>2.359375</v>
      </c>
      <c r="G45" s="2445">
        <v>2.6527777777777786</v>
      </c>
      <c r="H45" s="2445">
        <v>2.4237288135593227</v>
      </c>
      <c r="I45" s="2445">
        <v>2.9049206349206349</v>
      </c>
      <c r="J45" s="2445">
        <v>2.1942682926829269</v>
      </c>
      <c r="K45" s="3055">
        <v>2.1398924731182798</v>
      </c>
      <c r="L45" s="3055">
        <v>2.7774626865671639</v>
      </c>
      <c r="M45" s="3055">
        <v>3.3</v>
      </c>
      <c r="N45" s="3055">
        <v>2.4910000000000001</v>
      </c>
      <c r="O45" s="3055">
        <v>3.7</v>
      </c>
      <c r="P45" s="3055">
        <v>3.5</v>
      </c>
    </row>
    <row r="46" spans="2:16">
      <c r="B46" s="3231" t="s">
        <v>106</v>
      </c>
      <c r="C46" s="3219">
        <v>15.5</v>
      </c>
      <c r="D46" s="3143">
        <v>0.1333333333333302</v>
      </c>
      <c r="E46" s="3220">
        <v>-3</v>
      </c>
      <c r="F46" s="3212"/>
      <c r="G46" s="3213">
        <v>0.33333333333333348</v>
      </c>
      <c r="H46" s="3213"/>
      <c r="I46" s="3213">
        <v>-3</v>
      </c>
      <c r="J46" s="3213">
        <v>-2</v>
      </c>
      <c r="K46" s="3213">
        <v>0</v>
      </c>
      <c r="M46" s="3200">
        <v>0.1</v>
      </c>
      <c r="N46" s="3200">
        <v>1</v>
      </c>
      <c r="O46" s="3200">
        <v>0.3</v>
      </c>
      <c r="P46" s="3200">
        <v>0</v>
      </c>
    </row>
    <row r="47" spans="2:16">
      <c r="B47" s="3231" t="s">
        <v>124</v>
      </c>
      <c r="C47" s="3219">
        <v>0.29411764705882426</v>
      </c>
      <c r="D47" s="3143">
        <v>1.8888888888888893</v>
      </c>
      <c r="E47" s="3220">
        <v>7.5</v>
      </c>
      <c r="F47" s="3232">
        <v>3.3333333333333339</v>
      </c>
      <c r="G47" s="3213">
        <v>2.9333333333333336</v>
      </c>
      <c r="H47" s="3213">
        <v>5.5</v>
      </c>
      <c r="I47" s="3213">
        <v>0</v>
      </c>
      <c r="J47" s="3213">
        <v>0.45999999999999996</v>
      </c>
      <c r="K47" s="3200">
        <v>4</v>
      </c>
      <c r="L47" s="3200">
        <v>0.19000000000000039</v>
      </c>
      <c r="M47" s="3200">
        <v>0.8</v>
      </c>
      <c r="N47" s="3200"/>
      <c r="O47" s="3200">
        <v>1.1000000000000001</v>
      </c>
      <c r="P47" s="3200">
        <v>-2.5</v>
      </c>
    </row>
    <row r="48" spans="2:16">
      <c r="B48" s="3231" t="s">
        <v>125</v>
      </c>
      <c r="C48" s="3219">
        <v>8</v>
      </c>
      <c r="D48" s="3143">
        <v>3.4999999999999964</v>
      </c>
      <c r="E48" s="3220">
        <v>2.1818181818181817</v>
      </c>
      <c r="F48" s="3232">
        <v>1.9024390243902456</v>
      </c>
      <c r="G48" s="3213">
        <v>1.8409090909090944</v>
      </c>
      <c r="H48" s="3213">
        <v>2.08</v>
      </c>
      <c r="I48" s="3213">
        <v>1.3399999999999999</v>
      </c>
      <c r="J48" s="3213">
        <v>2.5</v>
      </c>
      <c r="K48" s="3200">
        <v>1.1399999999999997</v>
      </c>
      <c r="L48" s="3200">
        <v>2.1099999999999994</v>
      </c>
      <c r="M48" s="3200">
        <v>0.8</v>
      </c>
      <c r="N48" s="3200">
        <v>1.9</v>
      </c>
      <c r="O48" s="3200">
        <v>4.0999999999999996</v>
      </c>
      <c r="P48" s="3200">
        <v>2.1</v>
      </c>
    </row>
    <row r="49" spans="2:16">
      <c r="B49" s="3231" t="s">
        <v>126</v>
      </c>
      <c r="C49" s="3219">
        <v>0.375</v>
      </c>
      <c r="D49" s="3143">
        <v>1.333333333333333</v>
      </c>
      <c r="E49" s="3220">
        <v>0.61538461538461497</v>
      </c>
      <c r="F49" s="3232">
        <v>0.59999999999999964</v>
      </c>
      <c r="G49" s="3213">
        <v>0.26086956521739157</v>
      </c>
      <c r="H49" s="3213">
        <v>2.25</v>
      </c>
      <c r="I49" s="3213">
        <v>0.19000000000000039</v>
      </c>
      <c r="J49" s="3213">
        <v>0.40000000000000036</v>
      </c>
      <c r="K49" s="3200">
        <v>0.19000000000000039</v>
      </c>
      <c r="L49" s="3200">
        <v>1.5</v>
      </c>
      <c r="M49" s="3200">
        <v>0</v>
      </c>
      <c r="N49" s="3200">
        <v>1</v>
      </c>
      <c r="O49" s="3200">
        <v>1</v>
      </c>
      <c r="P49" s="3200">
        <v>0.9</v>
      </c>
    </row>
    <row r="50" spans="2:16">
      <c r="B50" s="3231" t="s">
        <v>127</v>
      </c>
      <c r="C50" s="3219">
        <v>1</v>
      </c>
      <c r="D50" s="3143">
        <v>1.666666666666667</v>
      </c>
      <c r="E50" s="3220">
        <v>1</v>
      </c>
      <c r="F50" s="3232">
        <v>1.8750000000000018</v>
      </c>
      <c r="G50" s="3213">
        <v>5.8823529411764497E-2</v>
      </c>
      <c r="H50" s="3213">
        <v>0.67</v>
      </c>
      <c r="I50" s="3213">
        <v>0.44000000000000039</v>
      </c>
      <c r="J50" s="3213">
        <v>0</v>
      </c>
      <c r="K50" s="3200">
        <v>0.33000000000000007</v>
      </c>
      <c r="L50" s="3200">
        <v>0</v>
      </c>
      <c r="M50" s="3200">
        <v>3</v>
      </c>
      <c r="N50" s="3200">
        <v>0</v>
      </c>
      <c r="O50" s="3200"/>
      <c r="P50" s="3200"/>
    </row>
    <row r="51" spans="2:16" s="3695" customFormat="1">
      <c r="B51" s="3231" t="s">
        <v>2058</v>
      </c>
      <c r="C51" s="3219"/>
      <c r="D51" s="3143"/>
      <c r="E51" s="3220"/>
      <c r="F51" s="3232"/>
      <c r="G51" s="3213"/>
      <c r="H51" s="3213"/>
      <c r="I51" s="3213"/>
      <c r="J51" s="3213"/>
      <c r="K51" s="3200"/>
      <c r="L51" s="3200">
        <v>1.33</v>
      </c>
      <c r="M51" s="3200">
        <v>5</v>
      </c>
      <c r="N51" s="3200">
        <v>1.7</v>
      </c>
      <c r="O51" s="3200">
        <v>3</v>
      </c>
      <c r="P51" s="3200">
        <v>0.3</v>
      </c>
    </row>
    <row r="52" spans="2:16" s="3695" customFormat="1">
      <c r="B52" s="3231" t="s">
        <v>2549</v>
      </c>
      <c r="C52" s="3219"/>
      <c r="D52" s="3143"/>
      <c r="E52" s="3220"/>
      <c r="F52" s="3232"/>
      <c r="G52" s="3213"/>
      <c r="H52" s="3213"/>
      <c r="I52" s="3213"/>
      <c r="J52" s="3213"/>
      <c r="K52" s="3200"/>
      <c r="L52" s="3200">
        <v>0.11000000000000032</v>
      </c>
      <c r="M52" s="3200"/>
      <c r="N52" s="3200">
        <v>0</v>
      </c>
      <c r="O52" s="3200">
        <v>1</v>
      </c>
      <c r="P52" s="3200">
        <v>3</v>
      </c>
    </row>
    <row r="53" spans="2:16">
      <c r="B53" s="3233" t="s">
        <v>483</v>
      </c>
      <c r="C53" s="3216">
        <v>6.361519607843138</v>
      </c>
      <c r="D53" s="3151">
        <v>2.8265306122448957</v>
      </c>
      <c r="E53" s="3217">
        <v>2.258297258297258</v>
      </c>
      <c r="F53" s="3217">
        <v>1.8615384615384631</v>
      </c>
      <c r="G53" s="2445">
        <v>1.2017543859649138</v>
      </c>
      <c r="H53" s="2445">
        <v>1.89</v>
      </c>
      <c r="I53" s="2445">
        <v>0.38023809523809532</v>
      </c>
      <c r="J53" s="2445">
        <v>0.73142857142857143</v>
      </c>
      <c r="K53" s="3055">
        <v>0.69543478260869573</v>
      </c>
      <c r="L53" s="3055">
        <v>0.92964285714285722</v>
      </c>
      <c r="M53" s="3055">
        <v>0.6</v>
      </c>
      <c r="N53" s="3055">
        <v>1.4</v>
      </c>
      <c r="O53" s="3055">
        <v>1</v>
      </c>
      <c r="P53" s="3055">
        <v>1.2</v>
      </c>
    </row>
    <row r="54" spans="2:16" s="5317" customFormat="1">
      <c r="B54" s="3231" t="s">
        <v>130</v>
      </c>
      <c r="C54" s="3219">
        <v>3.4000000000000004</v>
      </c>
      <c r="D54" s="3143">
        <v>3.615384615384615</v>
      </c>
      <c r="E54" s="3220">
        <v>5.4285714285714288</v>
      </c>
      <c r="F54" s="3232">
        <v>2.6666666666666661</v>
      </c>
      <c r="G54" s="3213">
        <v>3.0000000000000018</v>
      </c>
      <c r="H54" s="3213">
        <v>2.5555555555555554</v>
      </c>
      <c r="I54" s="3213">
        <v>3.4600000000000009</v>
      </c>
      <c r="J54" s="3213">
        <v>2.5700000000000003</v>
      </c>
      <c r="K54" s="3200">
        <v>3</v>
      </c>
      <c r="L54" s="3200">
        <v>1.67</v>
      </c>
      <c r="M54" s="3200">
        <v>2.8</v>
      </c>
      <c r="N54" s="3200">
        <v>5</v>
      </c>
      <c r="O54" s="3200">
        <v>3.625</v>
      </c>
      <c r="P54" s="3200">
        <v>2.6</v>
      </c>
    </row>
    <row r="55" spans="2:16">
      <c r="B55" s="3231" t="s">
        <v>413</v>
      </c>
      <c r="C55" s="3219">
        <v>3</v>
      </c>
      <c r="D55" s="3212"/>
      <c r="E55" s="3212"/>
      <c r="F55" s="3212"/>
      <c r="G55" s="3213">
        <v>1.5</v>
      </c>
      <c r="H55" s="3213">
        <v>2.3333333333333321</v>
      </c>
      <c r="I55" s="3213">
        <v>1.46</v>
      </c>
      <c r="J55" s="3213">
        <v>1.5</v>
      </c>
      <c r="K55" s="3200">
        <v>1.71</v>
      </c>
      <c r="L55" s="3200">
        <v>1.3099999999999996</v>
      </c>
      <c r="M55" s="3200">
        <v>0.6</v>
      </c>
      <c r="N55" s="3200">
        <v>2</v>
      </c>
      <c r="O55" s="3200">
        <v>2</v>
      </c>
      <c r="P55" s="3200">
        <v>2.2999999999999998</v>
      </c>
    </row>
    <row r="56" spans="2:16">
      <c r="B56" s="3231" t="s">
        <v>129</v>
      </c>
      <c r="C56" s="3219">
        <v>5.3846153846153868</v>
      </c>
      <c r="D56" s="3143">
        <v>1.6111111111111116</v>
      </c>
      <c r="E56" s="3220">
        <v>2.3913043478260896</v>
      </c>
      <c r="F56" s="3232">
        <v>2.3333333333333339</v>
      </c>
      <c r="G56" s="3213">
        <v>1.1052631578947381</v>
      </c>
      <c r="H56" s="3213">
        <v>1.07</v>
      </c>
      <c r="I56" s="3213">
        <v>0.80999999999999961</v>
      </c>
      <c r="J56" s="3213">
        <v>1.0999999999999996</v>
      </c>
      <c r="K56" s="3200">
        <v>1.3899999999999997</v>
      </c>
      <c r="L56" s="3200">
        <v>0.91000000000000014</v>
      </c>
      <c r="M56" s="3200">
        <v>0.1</v>
      </c>
      <c r="N56" s="3200">
        <v>1.083333333333333</v>
      </c>
      <c r="O56" s="3200">
        <v>1.416666666666667</v>
      </c>
      <c r="P56" s="3200">
        <v>1.6</v>
      </c>
    </row>
    <row r="57" spans="2:16">
      <c r="B57" s="3231" t="s">
        <v>128</v>
      </c>
      <c r="C57" s="3219">
        <v>4.3333333333333321</v>
      </c>
      <c r="D57" s="3143">
        <v>0.875</v>
      </c>
      <c r="E57" s="3220">
        <v>2.8000000000000007</v>
      </c>
      <c r="F57" s="3232">
        <v>1.3181818181818201</v>
      </c>
      <c r="G57" s="3213">
        <v>1.0000000000000009</v>
      </c>
      <c r="H57" s="3213">
        <v>0.75</v>
      </c>
      <c r="I57" s="3213">
        <v>1.2999999999999998</v>
      </c>
      <c r="J57" s="3213">
        <v>0.71</v>
      </c>
      <c r="K57" s="3200">
        <v>1</v>
      </c>
      <c r="L57" s="3200">
        <v>0.59999999999999964</v>
      </c>
      <c r="M57" s="3200">
        <v>1.2</v>
      </c>
      <c r="N57" s="3200">
        <v>1.1818181818181817</v>
      </c>
      <c r="O57" s="3200">
        <v>2.3333333333333339</v>
      </c>
      <c r="P57" s="3200">
        <v>1.7</v>
      </c>
    </row>
    <row r="58" spans="2:16">
      <c r="B58" s="3233" t="s">
        <v>485</v>
      </c>
      <c r="C58" s="3216">
        <v>4.0294871794871803</v>
      </c>
      <c r="D58" s="3151">
        <v>1.9148936170212767</v>
      </c>
      <c r="E58" s="3217">
        <v>3.0000000000000013</v>
      </c>
      <c r="F58" s="3217">
        <v>1.9807692307692319</v>
      </c>
      <c r="G58" s="2445">
        <v>1.7301587301587302</v>
      </c>
      <c r="H58" s="2445">
        <v>1.551724137931034</v>
      </c>
      <c r="I58" s="2445">
        <v>1.931232876712329</v>
      </c>
      <c r="J58" s="2445">
        <v>1.4983333333333333</v>
      </c>
      <c r="K58" s="3055">
        <v>1.7620338983050847</v>
      </c>
      <c r="L58" s="3055">
        <v>1.0784313725490193</v>
      </c>
      <c r="M58" s="3055">
        <v>1.1000000000000001</v>
      </c>
      <c r="N58" s="3055">
        <v>1.7714285714285714</v>
      </c>
      <c r="O58" s="3055">
        <v>2.2400000000000002</v>
      </c>
      <c r="P58" s="3055">
        <v>2.2000000000000002</v>
      </c>
    </row>
    <row r="59" spans="2:16">
      <c r="B59" s="3222" t="s">
        <v>109</v>
      </c>
      <c r="C59" s="3223">
        <v>4.5267408245349428</v>
      </c>
      <c r="D59" s="3160">
        <v>2.86082474226804</v>
      </c>
      <c r="E59" s="3225">
        <v>2.9571511291256516</v>
      </c>
      <c r="F59" s="3225">
        <v>2.0718232044198905</v>
      </c>
      <c r="G59" s="2451">
        <v>1.7550200803212861</v>
      </c>
      <c r="H59" s="2451">
        <v>1.7152777777777777</v>
      </c>
      <c r="I59" s="2451">
        <v>1.6178636363636365</v>
      </c>
      <c r="J59" s="2451">
        <v>1.574247311827957</v>
      </c>
      <c r="K59" s="3057">
        <v>1.691717171717172</v>
      </c>
      <c r="L59" s="3057">
        <v>1.6847701149425287</v>
      </c>
      <c r="M59" s="3057">
        <v>1.7</v>
      </c>
      <c r="N59" s="3057">
        <v>1.9740740740740741</v>
      </c>
      <c r="O59" s="3057">
        <v>2.2400000000000002</v>
      </c>
      <c r="P59" s="3057">
        <v>2.4</v>
      </c>
    </row>
    <row r="60" spans="2:16" s="5317" customFormat="1">
      <c r="B60" s="3231" t="s">
        <v>529</v>
      </c>
      <c r="C60" s="3143"/>
      <c r="D60" s="3212"/>
      <c r="E60" s="3220">
        <v>-3</v>
      </c>
      <c r="F60" s="3232">
        <v>-3</v>
      </c>
      <c r="G60" s="3213">
        <v>2.4545454545454541</v>
      </c>
      <c r="H60" s="3213">
        <v>0</v>
      </c>
      <c r="I60" s="3213">
        <v>-0.20000000000000018</v>
      </c>
      <c r="J60" s="3213">
        <v>8.9999999999999858E-2</v>
      </c>
      <c r="K60" s="3200">
        <v>0</v>
      </c>
      <c r="L60" s="3200">
        <v>0</v>
      </c>
      <c r="M60" s="3200">
        <v>0</v>
      </c>
      <c r="N60" s="3200"/>
      <c r="O60" s="3200">
        <v>0.6</v>
      </c>
      <c r="P60" s="3200"/>
    </row>
    <row r="61" spans="2:16" s="5317" customFormat="1">
      <c r="B61" s="3231" t="s">
        <v>110</v>
      </c>
      <c r="C61" s="3219">
        <v>0.14285714285714413</v>
      </c>
      <c r="D61" s="3143">
        <v>2.378378378378379</v>
      </c>
      <c r="E61" s="3220">
        <v>0.1</v>
      </c>
      <c r="F61" s="3232">
        <v>9.0999999999999998E-2</v>
      </c>
      <c r="G61" s="3213">
        <v>0.67</v>
      </c>
      <c r="H61" s="3213">
        <v>0.79</v>
      </c>
      <c r="I61" s="3213">
        <v>-2.92</v>
      </c>
      <c r="J61" s="3213">
        <v>-0.54</v>
      </c>
      <c r="K61" s="3200">
        <v>-1.1500000000000004</v>
      </c>
      <c r="L61" s="3200">
        <v>-3</v>
      </c>
      <c r="M61" s="3200">
        <v>-2.6</v>
      </c>
      <c r="N61" s="3200">
        <v>-1.75</v>
      </c>
      <c r="O61" s="3200">
        <v>-3</v>
      </c>
      <c r="P61" s="3200">
        <v>-1.3</v>
      </c>
    </row>
    <row r="62" spans="2:16" s="5317" customFormat="1">
      <c r="B62" s="3231" t="s">
        <v>136</v>
      </c>
      <c r="C62" s="3219">
        <v>1.7272727272727275</v>
      </c>
      <c r="D62" s="3143">
        <v>3.2222222222222214</v>
      </c>
      <c r="E62" s="3220">
        <v>1</v>
      </c>
      <c r="F62" s="3232">
        <v>1.5714285714285712</v>
      </c>
      <c r="G62" s="3213">
        <v>0.5</v>
      </c>
      <c r="H62" s="3213">
        <v>1.83</v>
      </c>
      <c r="I62" s="3213">
        <v>0</v>
      </c>
      <c r="J62" s="3213">
        <v>0</v>
      </c>
      <c r="K62" s="3200">
        <v>0.66999999999999993</v>
      </c>
      <c r="L62" s="3200">
        <v>1.33</v>
      </c>
      <c r="M62" s="3200">
        <v>0</v>
      </c>
      <c r="N62" s="3200">
        <v>0.25</v>
      </c>
      <c r="O62" s="3200"/>
      <c r="P62" s="3200">
        <v>1.7</v>
      </c>
    </row>
    <row r="63" spans="2:16" s="5317" customFormat="1">
      <c r="B63" s="3226" t="s">
        <v>131</v>
      </c>
      <c r="C63" s="3227">
        <v>8.9166666666666643</v>
      </c>
      <c r="D63" s="3166">
        <v>5.7777777777777786</v>
      </c>
      <c r="E63" s="3234">
        <v>3.5</v>
      </c>
      <c r="F63" s="3229">
        <v>1.75</v>
      </c>
      <c r="G63" s="3230">
        <v>2</v>
      </c>
      <c r="H63" s="3230">
        <v>1.38</v>
      </c>
      <c r="I63" s="3230">
        <v>1.0599999999999996</v>
      </c>
      <c r="J63" s="3230">
        <v>0.20000000000000018</v>
      </c>
      <c r="K63" s="3201">
        <v>1.2699999999999996</v>
      </c>
      <c r="L63" s="3201">
        <v>0.12999999999999989</v>
      </c>
      <c r="M63" s="3201">
        <v>0</v>
      </c>
      <c r="N63" s="3201">
        <v>0</v>
      </c>
      <c r="O63" s="3201">
        <v>0</v>
      </c>
      <c r="P63" s="3201">
        <v>0</v>
      </c>
    </row>
    <row r="64" spans="2:16" s="5317" customFormat="1">
      <c r="B64" s="3231" t="s">
        <v>1731</v>
      </c>
      <c r="C64" s="3219">
        <v>0.30769230769230749</v>
      </c>
      <c r="D64" s="3143">
        <v>4.5999999999999996</v>
      </c>
      <c r="E64" s="3220">
        <v>0</v>
      </c>
      <c r="F64" s="3232">
        <v>0</v>
      </c>
      <c r="G64" s="3213">
        <v>0.625</v>
      </c>
      <c r="H64" s="3213">
        <v>0.29999999999999982</v>
      </c>
      <c r="I64" s="3213">
        <v>0.59999999999999964</v>
      </c>
      <c r="J64" s="3213">
        <v>0</v>
      </c>
      <c r="K64" s="3200">
        <v>0.24000000000000021</v>
      </c>
      <c r="L64" s="3200">
        <v>0</v>
      </c>
      <c r="M64" s="3200">
        <v>0.9</v>
      </c>
      <c r="N64" s="3200">
        <v>0.875</v>
      </c>
      <c r="O64" s="3200">
        <v>0.2</v>
      </c>
      <c r="P64" s="3200">
        <v>0</v>
      </c>
    </row>
    <row r="65" spans="2:16" s="5317" customFormat="1">
      <c r="B65" s="3235" t="s">
        <v>133</v>
      </c>
      <c r="C65" s="3219">
        <v>0.20000000000000018</v>
      </c>
      <c r="D65" s="3143">
        <v>-2.3846153846153846</v>
      </c>
      <c r="E65" s="3220">
        <v>-3</v>
      </c>
      <c r="F65" s="3232">
        <v>0</v>
      </c>
      <c r="G65" s="3213"/>
      <c r="H65" s="3213"/>
      <c r="I65" s="3204"/>
      <c r="J65" s="3204"/>
      <c r="K65" s="3200"/>
      <c r="L65" s="3200"/>
      <c r="M65" s="3200"/>
      <c r="N65" s="3200">
        <v>0.20000000000000018</v>
      </c>
      <c r="O65" s="3200">
        <v>0.6</v>
      </c>
      <c r="P65" s="3200">
        <v>2</v>
      </c>
    </row>
    <row r="66" spans="2:16">
      <c r="B66" s="3231" t="s">
        <v>135</v>
      </c>
      <c r="C66" s="3219">
        <v>0</v>
      </c>
      <c r="D66" s="3143">
        <v>1.0909090909090899</v>
      </c>
      <c r="E66" s="3220">
        <v>2.125</v>
      </c>
      <c r="F66" s="3232">
        <v>0.125</v>
      </c>
      <c r="G66" s="3213">
        <v>4</v>
      </c>
      <c r="H66" s="3213">
        <v>0</v>
      </c>
      <c r="I66" s="3213">
        <v>0</v>
      </c>
      <c r="J66" s="3213">
        <v>0</v>
      </c>
      <c r="K66" s="3200">
        <v>0.59999999999999964</v>
      </c>
      <c r="L66" s="3200">
        <v>0.5</v>
      </c>
      <c r="M66" s="3200"/>
      <c r="N66" s="3200">
        <v>0</v>
      </c>
      <c r="O66" s="3200">
        <v>2</v>
      </c>
      <c r="P66" s="3200">
        <v>1</v>
      </c>
    </row>
    <row r="67" spans="2:16">
      <c r="B67" s="3231" t="s">
        <v>134</v>
      </c>
      <c r="C67" s="3219">
        <v>0.5</v>
      </c>
      <c r="D67" s="3143">
        <v>3</v>
      </c>
      <c r="E67" s="3220">
        <v>0.29999999999999982</v>
      </c>
      <c r="F67" s="3232">
        <v>1.8181818181818192</v>
      </c>
      <c r="G67" s="3213">
        <v>1.1666666666666661</v>
      </c>
      <c r="H67" s="3213">
        <v>0.375</v>
      </c>
      <c r="I67" s="3213">
        <v>1.1399999999999997</v>
      </c>
      <c r="J67" s="3213">
        <v>0.37999999999999989</v>
      </c>
      <c r="K67" s="3200">
        <v>0.87999999999999989</v>
      </c>
      <c r="L67" s="3200">
        <v>0.16999999999999993</v>
      </c>
      <c r="M67" s="3200"/>
      <c r="N67" s="3200">
        <v>0.83333333333333393</v>
      </c>
      <c r="O67" s="3200">
        <v>1.4</v>
      </c>
      <c r="P67" s="3200">
        <v>2.6</v>
      </c>
    </row>
    <row r="68" spans="2:16">
      <c r="B68" s="3231" t="s">
        <v>461</v>
      </c>
      <c r="C68" s="3143"/>
      <c r="D68" s="3143"/>
      <c r="E68" s="3143"/>
      <c r="F68" s="3212"/>
      <c r="G68" s="3213">
        <v>0</v>
      </c>
      <c r="H68" s="3213">
        <v>0</v>
      </c>
      <c r="I68" s="3213">
        <v>0.5</v>
      </c>
      <c r="J68" s="3213"/>
      <c r="K68" s="3200">
        <v>0.57000000000000028</v>
      </c>
      <c r="L68" s="3200">
        <v>0</v>
      </c>
      <c r="M68" s="3200">
        <v>1.3</v>
      </c>
      <c r="N68" s="3200">
        <v>6</v>
      </c>
      <c r="O68" s="3200">
        <v>2.5</v>
      </c>
      <c r="P68" s="3200">
        <v>1.8</v>
      </c>
    </row>
    <row r="69" spans="2:16">
      <c r="B69" s="3231" t="s">
        <v>2061</v>
      </c>
      <c r="C69" s="3219"/>
      <c r="D69" s="3143"/>
      <c r="E69" s="3220"/>
      <c r="F69" s="3232"/>
      <c r="G69" s="3213"/>
      <c r="H69" s="3213"/>
      <c r="I69" s="3213"/>
      <c r="J69" s="3213"/>
      <c r="K69" s="3200"/>
      <c r="L69" s="3200">
        <v>0</v>
      </c>
      <c r="M69" s="3200">
        <v>0</v>
      </c>
      <c r="N69" s="3200">
        <v>0</v>
      </c>
      <c r="O69" s="3200">
        <v>0.2</v>
      </c>
      <c r="P69" s="3200">
        <v>0.6</v>
      </c>
    </row>
    <row r="70" spans="2:16" s="2042" customFormat="1">
      <c r="B70" s="3231" t="s">
        <v>127</v>
      </c>
      <c r="C70" s="3219"/>
      <c r="D70" s="3143"/>
      <c r="E70" s="3220"/>
      <c r="F70" s="3232"/>
      <c r="G70" s="3213"/>
      <c r="H70" s="3213"/>
      <c r="I70" s="3213"/>
      <c r="J70" s="3213"/>
      <c r="K70" s="3200">
        <v>0</v>
      </c>
      <c r="L70" s="2849"/>
      <c r="M70" s="3200">
        <v>2.2999999999999998</v>
      </c>
      <c r="N70" s="3200">
        <v>0</v>
      </c>
      <c r="O70" s="3200">
        <v>0</v>
      </c>
      <c r="P70" s="3200"/>
    </row>
    <row r="71" spans="2:16">
      <c r="B71" s="3231" t="s">
        <v>2058</v>
      </c>
      <c r="C71" s="3219"/>
      <c r="D71" s="3143"/>
      <c r="E71" s="3220"/>
      <c r="F71" s="3232"/>
      <c r="G71" s="3213"/>
      <c r="H71" s="3213"/>
      <c r="I71" s="3213"/>
      <c r="J71" s="3213"/>
      <c r="K71" s="3200">
        <v>0</v>
      </c>
      <c r="L71" s="3200">
        <v>1</v>
      </c>
      <c r="M71" s="3200"/>
      <c r="N71" s="3200">
        <v>2</v>
      </c>
      <c r="O71" s="3200">
        <v>5</v>
      </c>
      <c r="P71" s="3200">
        <v>6</v>
      </c>
    </row>
    <row r="72" spans="2:16">
      <c r="B72" s="3233" t="s">
        <v>483</v>
      </c>
      <c r="C72" s="3216">
        <v>1.68492697778412</v>
      </c>
      <c r="D72" s="3151">
        <v>2.2448979591836733</v>
      </c>
      <c r="E72" s="3217">
        <v>0.50793650793650802</v>
      </c>
      <c r="F72" s="3217">
        <v>0.1911764705882355</v>
      </c>
      <c r="G72" s="2445">
        <v>0.42187499999999994</v>
      </c>
      <c r="H72" s="2445">
        <v>0.66197183098591561</v>
      </c>
      <c r="I72" s="2445">
        <v>-3.922077922077942E-2</v>
      </c>
      <c r="J72" s="2445">
        <v>-0.11169014084507047</v>
      </c>
      <c r="K72" s="3055">
        <v>0.30836734693877543</v>
      </c>
      <c r="L72" s="3055">
        <v>-0.24763157894736842</v>
      </c>
      <c r="M72" s="3055">
        <v>-0.5</v>
      </c>
      <c r="N72" s="3055">
        <v>0.3513157894736843</v>
      </c>
      <c r="O72" s="3055">
        <v>-0.1</v>
      </c>
      <c r="P72" s="3055">
        <v>1.2</v>
      </c>
    </row>
    <row r="73" spans="2:16" s="5317" customFormat="1">
      <c r="B73" s="3235" t="s">
        <v>2672</v>
      </c>
      <c r="C73" s="3219">
        <v>3</v>
      </c>
      <c r="D73" s="3143">
        <v>1.1578947368421053</v>
      </c>
      <c r="E73" s="3220">
        <v>2.2000000000000011</v>
      </c>
      <c r="F73" s="3232">
        <v>0.5</v>
      </c>
      <c r="G73" s="3213">
        <v>1.2666666666666675</v>
      </c>
      <c r="H73" s="3213">
        <v>1.92</v>
      </c>
      <c r="I73" s="3213">
        <v>0.91999999999999993</v>
      </c>
      <c r="J73" s="3213">
        <v>0.66999999999999993</v>
      </c>
      <c r="K73" s="3200">
        <v>0.78000000000000025</v>
      </c>
      <c r="L73" s="3200">
        <v>1.42</v>
      </c>
      <c r="M73" s="3200">
        <v>1.5</v>
      </c>
      <c r="N73" s="3200">
        <v>2</v>
      </c>
      <c r="O73" s="3200">
        <v>3.2</v>
      </c>
      <c r="P73" s="3200">
        <v>2.5</v>
      </c>
    </row>
    <row r="74" spans="2:16" s="5317" customFormat="1">
      <c r="B74" s="3235" t="s">
        <v>141</v>
      </c>
      <c r="C74" s="3219">
        <v>-0.42857142857142794</v>
      </c>
      <c r="D74" s="3143">
        <v>-0.92857142857142883</v>
      </c>
      <c r="E74" s="3220">
        <v>2.5</v>
      </c>
      <c r="F74" s="3232">
        <v>0.92857142857142883</v>
      </c>
      <c r="G74" s="3213">
        <v>0.72727272727272751</v>
      </c>
      <c r="H74" s="3213">
        <v>1.3</v>
      </c>
      <c r="I74" s="3213">
        <v>0.53000000000000025</v>
      </c>
      <c r="J74" s="3213">
        <v>0.41000000000000014</v>
      </c>
      <c r="K74" s="3200">
        <v>1.3099999999999996</v>
      </c>
      <c r="L74" s="3200">
        <v>0.87000000000000011</v>
      </c>
      <c r="M74" s="3200">
        <v>0.7</v>
      </c>
      <c r="N74" s="3200">
        <v>3.0428571428571445</v>
      </c>
      <c r="O74" s="3200">
        <v>1.8</v>
      </c>
      <c r="P74" s="3200">
        <v>1.6</v>
      </c>
    </row>
    <row r="75" spans="2:16" s="5317" customFormat="1">
      <c r="B75" s="3231" t="s">
        <v>2532</v>
      </c>
      <c r="C75" s="3219">
        <v>1.2727272727272725</v>
      </c>
      <c r="D75" s="3143">
        <v>0.5</v>
      </c>
      <c r="E75" s="3220">
        <v>2.2000000000000002</v>
      </c>
      <c r="F75" s="3232">
        <v>0.44444444444444464</v>
      </c>
      <c r="G75" s="3213">
        <v>0.66666666666666696</v>
      </c>
      <c r="H75" s="3213">
        <v>-0.625</v>
      </c>
      <c r="I75" s="3213"/>
      <c r="J75" s="3213">
        <v>-0.30999999999999961</v>
      </c>
      <c r="K75" s="3200">
        <v>0.20000000000000018</v>
      </c>
      <c r="L75" s="3200">
        <v>0</v>
      </c>
      <c r="M75" s="3200">
        <v>-0.8</v>
      </c>
      <c r="N75" s="3200">
        <v>-0.75</v>
      </c>
      <c r="O75" s="3200">
        <v>-0.9</v>
      </c>
      <c r="P75" s="3200">
        <v>-0.7</v>
      </c>
    </row>
    <row r="76" spans="2:16" s="5317" customFormat="1">
      <c r="B76" s="3235" t="s">
        <v>2661</v>
      </c>
      <c r="C76" s="3219"/>
      <c r="D76" s="3143"/>
      <c r="E76" s="3220"/>
      <c r="F76" s="3232"/>
      <c r="G76" s="3213"/>
      <c r="H76" s="3213"/>
      <c r="I76" s="3213"/>
      <c r="J76" s="3213"/>
      <c r="K76" s="3200"/>
      <c r="L76" s="3200"/>
      <c r="M76" s="3200">
        <v>0</v>
      </c>
      <c r="N76" s="3200">
        <v>0</v>
      </c>
      <c r="O76" s="3200">
        <v>0</v>
      </c>
      <c r="P76" s="3200">
        <v>0</v>
      </c>
    </row>
    <row r="77" spans="2:16" s="5317" customFormat="1">
      <c r="B77" s="3231" t="s">
        <v>137</v>
      </c>
      <c r="C77" s="3219">
        <v>12.2</v>
      </c>
      <c r="D77" s="3212"/>
      <c r="E77" s="3220">
        <v>0</v>
      </c>
      <c r="F77" s="3232">
        <v>1</v>
      </c>
      <c r="G77" s="3213">
        <v>-1.5</v>
      </c>
      <c r="H77" s="3213">
        <v>-1.5714285714285712</v>
      </c>
      <c r="I77" s="3213">
        <v>-0.88999999999999968</v>
      </c>
      <c r="J77" s="3213">
        <v>0.33000000000000007</v>
      </c>
      <c r="K77" s="3200"/>
      <c r="L77" s="3200"/>
      <c r="M77" s="3200">
        <v>0.5</v>
      </c>
      <c r="N77" s="3200">
        <v>0</v>
      </c>
      <c r="O77" s="3200"/>
      <c r="P77" s="3200">
        <v>0</v>
      </c>
    </row>
    <row r="78" spans="2:16">
      <c r="B78" s="3235" t="s">
        <v>709</v>
      </c>
      <c r="C78" s="3219"/>
      <c r="D78" s="3143">
        <v>0.8</v>
      </c>
      <c r="E78" s="3220"/>
      <c r="F78" s="3232">
        <v>0.7</v>
      </c>
      <c r="G78" s="3213"/>
      <c r="H78" s="3213">
        <v>-2</v>
      </c>
      <c r="I78" s="3213">
        <v>-2</v>
      </c>
      <c r="J78" s="3213">
        <v>0</v>
      </c>
      <c r="K78" s="3200">
        <v>0</v>
      </c>
      <c r="L78" s="3200">
        <v>0.20000000000000018</v>
      </c>
      <c r="M78" s="3200">
        <v>0</v>
      </c>
      <c r="N78" s="3200">
        <v>0</v>
      </c>
      <c r="O78" s="3200"/>
      <c r="P78" s="3200">
        <v>0.3</v>
      </c>
    </row>
    <row r="79" spans="2:16">
      <c r="B79" s="3231" t="s">
        <v>138</v>
      </c>
      <c r="C79" s="3219">
        <v>-0.83333333333333304</v>
      </c>
      <c r="D79" s="3143">
        <v>0.47619047619047716</v>
      </c>
      <c r="E79" s="3220">
        <v>-0.59999999999999964</v>
      </c>
      <c r="F79" s="3232">
        <v>-0.10526315789473539</v>
      </c>
      <c r="G79" s="3213">
        <v>-0.25</v>
      </c>
      <c r="H79" s="3213">
        <v>0.5</v>
      </c>
      <c r="I79" s="3213">
        <v>0.59999999999999964</v>
      </c>
      <c r="J79" s="3213">
        <v>0.23000000000000043</v>
      </c>
      <c r="K79" s="3200">
        <v>0.66999999999999993</v>
      </c>
      <c r="L79" s="3200">
        <v>0.26999999999999957</v>
      </c>
      <c r="M79" s="3200">
        <v>0.3</v>
      </c>
      <c r="N79" s="3200">
        <v>0.90000000000000036</v>
      </c>
      <c r="O79" s="3200">
        <v>1</v>
      </c>
      <c r="P79" s="3200">
        <v>1</v>
      </c>
    </row>
    <row r="80" spans="2:16">
      <c r="B80" s="3231" t="s">
        <v>414</v>
      </c>
      <c r="C80" s="3219">
        <v>2</v>
      </c>
      <c r="D80" s="3143"/>
      <c r="E80" s="3220">
        <v>0</v>
      </c>
      <c r="F80" s="3212"/>
      <c r="G80" s="3213">
        <v>1.2000000000000002</v>
      </c>
      <c r="H80" s="3213"/>
      <c r="I80" s="3213">
        <v>0</v>
      </c>
      <c r="J80" s="3213">
        <v>0</v>
      </c>
      <c r="K80" s="3200"/>
      <c r="L80" s="3200"/>
      <c r="M80" s="3200">
        <v>1</v>
      </c>
      <c r="N80" s="3200"/>
      <c r="O80" s="3200">
        <v>0</v>
      </c>
      <c r="P80" s="3200">
        <v>0</v>
      </c>
    </row>
    <row r="81" spans="2:16">
      <c r="B81" s="3235" t="s">
        <v>1732</v>
      </c>
      <c r="C81" s="3219"/>
      <c r="D81" s="3143"/>
      <c r="E81" s="3220"/>
      <c r="F81" s="3232"/>
      <c r="G81" s="3213"/>
      <c r="H81" s="3213"/>
      <c r="I81" s="3213">
        <v>0</v>
      </c>
      <c r="J81" s="3213">
        <v>0</v>
      </c>
      <c r="K81" s="3200">
        <v>0</v>
      </c>
      <c r="L81" s="3200">
        <v>0.29000000000000004</v>
      </c>
      <c r="M81" s="3200">
        <v>2.2999999999999998</v>
      </c>
      <c r="N81" s="3200"/>
      <c r="O81" s="3200">
        <v>1.8</v>
      </c>
      <c r="P81" s="3200">
        <v>1.3</v>
      </c>
    </row>
    <row r="82" spans="2:16">
      <c r="B82" s="3236" t="s">
        <v>2272</v>
      </c>
      <c r="C82" s="3219"/>
      <c r="D82" s="3143"/>
      <c r="E82" s="3220"/>
      <c r="F82" s="3232"/>
      <c r="G82" s="3213"/>
      <c r="H82" s="3213"/>
      <c r="I82" s="3213"/>
      <c r="J82" s="3213">
        <v>1</v>
      </c>
      <c r="K82" s="3200">
        <v>-1.17</v>
      </c>
      <c r="L82" s="3200">
        <v>1.5700000000000003</v>
      </c>
      <c r="M82" s="3200"/>
      <c r="N82" s="3200"/>
      <c r="O82" s="3200">
        <v>0</v>
      </c>
      <c r="P82" s="3200"/>
    </row>
    <row r="83" spans="2:16">
      <c r="B83" s="3237" t="s">
        <v>485</v>
      </c>
      <c r="C83" s="3216">
        <v>2.8684704184704191</v>
      </c>
      <c r="D83" s="3151">
        <v>0.38709677419354865</v>
      </c>
      <c r="E83" s="3217">
        <v>1.2727272727272732</v>
      </c>
      <c r="F83" s="3217">
        <v>0.44262295081967268</v>
      </c>
      <c r="G83" s="2445">
        <v>0.76470588235294157</v>
      </c>
      <c r="H83" s="2445">
        <v>0.45161290322580644</v>
      </c>
      <c r="I83" s="2445">
        <v>0.26000000000000006</v>
      </c>
      <c r="J83" s="2445">
        <v>0.2</v>
      </c>
      <c r="K83" s="3055">
        <v>0.53999999999999992</v>
      </c>
      <c r="L83" s="3055">
        <v>0.78787234042553189</v>
      </c>
      <c r="M83" s="3055">
        <v>0.5</v>
      </c>
      <c r="N83" s="3055">
        <v>1.5</v>
      </c>
      <c r="O83" s="3055">
        <v>1.1299999999999999</v>
      </c>
      <c r="P83" s="3055">
        <v>1.1000000000000001</v>
      </c>
    </row>
    <row r="84" spans="2:16">
      <c r="B84" s="3231" t="s">
        <v>142</v>
      </c>
      <c r="C84" s="3219">
        <v>0.375</v>
      </c>
      <c r="D84" s="3143">
        <v>5.8823529411764497E-2</v>
      </c>
      <c r="E84" s="3220">
        <v>0</v>
      </c>
      <c r="F84" s="3232">
        <v>0</v>
      </c>
      <c r="G84" s="3213">
        <v>0</v>
      </c>
      <c r="H84" s="3213">
        <v>5.2631578947368141E-2</v>
      </c>
      <c r="I84" s="3213">
        <v>0</v>
      </c>
      <c r="J84" s="3213">
        <v>7.0000000000000284E-2</v>
      </c>
      <c r="K84" s="3200">
        <v>4.0000000000000036E-2</v>
      </c>
      <c r="L84" s="3200">
        <v>0.15000000000000036</v>
      </c>
      <c r="M84" s="3200">
        <v>0.2</v>
      </c>
      <c r="N84" s="3200">
        <v>0.29166666666666607</v>
      </c>
      <c r="O84" s="3200">
        <v>5.5555555555555358E-2</v>
      </c>
      <c r="P84" s="3200">
        <v>0.1</v>
      </c>
    </row>
    <row r="85" spans="2:16" s="5317" customFormat="1">
      <c r="B85" s="3231" t="s">
        <v>390</v>
      </c>
      <c r="C85" s="3143"/>
      <c r="D85" s="3143"/>
      <c r="E85" s="3220">
        <v>0</v>
      </c>
      <c r="F85" s="3232">
        <v>0.18518518518518512</v>
      </c>
      <c r="G85" s="3213">
        <v>0</v>
      </c>
      <c r="H85" s="3213">
        <v>0</v>
      </c>
      <c r="I85" s="3213">
        <v>0</v>
      </c>
      <c r="J85" s="3213">
        <v>0.55999999999999961</v>
      </c>
      <c r="K85" s="3200"/>
      <c r="L85" s="3200">
        <v>0</v>
      </c>
      <c r="M85" s="3200"/>
      <c r="N85" s="3200">
        <v>-0.20000000000000018</v>
      </c>
      <c r="O85" s="3200">
        <v>0</v>
      </c>
      <c r="P85" s="3200">
        <v>0</v>
      </c>
    </row>
    <row r="86" spans="2:16">
      <c r="B86" s="3231" t="s">
        <v>389</v>
      </c>
      <c r="C86" s="3143"/>
      <c r="D86" s="3143">
        <v>0.53846153846153832</v>
      </c>
      <c r="E86" s="3143"/>
      <c r="F86" s="3232">
        <v>0.77777777777777768</v>
      </c>
      <c r="G86" s="3213">
        <v>1</v>
      </c>
      <c r="H86" s="3213">
        <v>0.17647058823529438</v>
      </c>
      <c r="I86" s="3213"/>
      <c r="J86" s="3213">
        <v>0</v>
      </c>
      <c r="K86" s="3200">
        <v>0</v>
      </c>
      <c r="L86" s="3200">
        <v>0</v>
      </c>
      <c r="M86" s="3200">
        <v>0.5</v>
      </c>
      <c r="N86" s="3200">
        <v>0</v>
      </c>
      <c r="O86" s="3200">
        <v>0.14285714285714324</v>
      </c>
      <c r="P86" s="3200"/>
    </row>
    <row r="87" spans="2:16">
      <c r="B87" s="3233" t="s">
        <v>484</v>
      </c>
      <c r="C87" s="3216">
        <v>0.375</v>
      </c>
      <c r="D87" s="3151">
        <v>0.2666666666666665</v>
      </c>
      <c r="E87" s="3217">
        <v>0</v>
      </c>
      <c r="F87" s="3217">
        <v>0.23529411764705876</v>
      </c>
      <c r="G87" s="2445">
        <v>4.3478260869564522E-2</v>
      </c>
      <c r="H87" s="2445">
        <v>7.8431372549019593E-2</v>
      </c>
      <c r="I87" s="2445">
        <v>0</v>
      </c>
      <c r="J87" s="2445">
        <v>0.15842105263157896</v>
      </c>
      <c r="K87" s="3055">
        <v>3.7241379310344859E-2</v>
      </c>
      <c r="L87" s="3055">
        <v>9.090909090909112E-2</v>
      </c>
      <c r="M87" s="3055">
        <v>0.3</v>
      </c>
      <c r="N87" s="3055">
        <v>6.9298245614034706E-2</v>
      </c>
      <c r="O87" s="3055">
        <v>7.0000000000000007E-2</v>
      </c>
      <c r="P87" s="3055">
        <v>0.1</v>
      </c>
    </row>
    <row r="88" spans="2:16">
      <c r="B88" s="3222" t="s">
        <v>412</v>
      </c>
      <c r="C88" s="3223">
        <v>1.6427991320848463</v>
      </c>
      <c r="D88" s="3160">
        <v>1.3263157894736841</v>
      </c>
      <c r="E88" s="3225">
        <v>0.67272727272727295</v>
      </c>
      <c r="F88" s="3225">
        <v>0.28888888888888914</v>
      </c>
      <c r="G88" s="2451">
        <v>0.48550724637681159</v>
      </c>
      <c r="H88" s="2451">
        <v>0.42934782608695654</v>
      </c>
      <c r="I88" s="2451">
        <v>6.9746835443037891E-2</v>
      </c>
      <c r="J88" s="2451">
        <v>7.4973262032085611E-2</v>
      </c>
      <c r="K88" s="3057">
        <v>0.34583333333333327</v>
      </c>
      <c r="L88" s="3057">
        <v>0.1838823529411765</v>
      </c>
      <c r="M88" s="3057">
        <v>0</v>
      </c>
      <c r="N88" s="3057">
        <v>0.7</v>
      </c>
      <c r="O88" s="3057">
        <v>0.55000000000000004</v>
      </c>
      <c r="P88" s="3057">
        <v>1</v>
      </c>
    </row>
    <row r="90" spans="2:16">
      <c r="B90" s="3240" t="s">
        <v>724</v>
      </c>
      <c r="C90" s="3241">
        <v>2.7813914865145883</v>
      </c>
      <c r="D90" s="2028">
        <v>2.6129032258064511</v>
      </c>
      <c r="E90" s="2028">
        <v>2.0676532769556029</v>
      </c>
      <c r="F90" s="2028">
        <v>1.266075388026608</v>
      </c>
      <c r="G90" s="2028">
        <v>1.2749490835030555</v>
      </c>
      <c r="H90" s="3242">
        <v>1.0210280373831775</v>
      </c>
      <c r="I90" s="5810">
        <v>0.9862884615384615</v>
      </c>
      <c r="J90" s="5810">
        <v>0.89132149901380664</v>
      </c>
      <c r="K90" s="3243">
        <v>1.1682912621359223</v>
      </c>
      <c r="L90" s="3859">
        <v>1</v>
      </c>
      <c r="M90" s="3859">
        <v>0.9</v>
      </c>
      <c r="N90" s="3859">
        <v>1.3</v>
      </c>
      <c r="O90" s="3859">
        <v>1.6</v>
      </c>
      <c r="P90" s="3859">
        <v>1.9</v>
      </c>
    </row>
    <row r="91" spans="2:16" ht="14.4" customHeight="1">
      <c r="B91" s="7003" t="s">
        <v>3370</v>
      </c>
      <c r="L91" s="4559"/>
      <c r="M91" s="4559"/>
      <c r="N91" s="4913"/>
      <c r="P91" s="6581" t="s">
        <v>3366</v>
      </c>
    </row>
    <row r="92" spans="2:16" ht="15" customHeight="1">
      <c r="B92" s="7003"/>
      <c r="L92" s="6975" t="s">
        <v>3304</v>
      </c>
      <c r="M92" s="6975"/>
      <c r="N92" s="6975"/>
      <c r="O92" s="6975"/>
      <c r="P92" s="6975"/>
    </row>
    <row r="93" spans="2:16">
      <c r="C93" s="4814"/>
      <c r="L93" s="6975"/>
      <c r="M93" s="6975"/>
      <c r="N93" s="6975"/>
      <c r="O93" s="6975"/>
      <c r="P93" s="6975"/>
    </row>
    <row r="94" spans="2:16">
      <c r="C94" s="4814"/>
    </row>
    <row r="95" spans="2:16">
      <c r="C95" s="4814"/>
    </row>
    <row r="96" spans="2:16">
      <c r="C96" s="4814"/>
    </row>
    <row r="97" spans="3:3">
      <c r="C97" s="4814"/>
    </row>
    <row r="98" spans="3:3">
      <c r="C98" s="4814"/>
    </row>
    <row r="99" spans="3:3">
      <c r="C99" s="4814"/>
    </row>
    <row r="100" spans="3:3">
      <c r="C100" s="4814"/>
    </row>
    <row r="101" spans="3:3">
      <c r="C101" s="4814"/>
    </row>
    <row r="102" spans="3:3">
      <c r="C102" s="4814"/>
    </row>
    <row r="103" spans="3:3">
      <c r="C103" s="4814"/>
    </row>
    <row r="104" spans="3:3">
      <c r="C104" s="4814"/>
    </row>
    <row r="105" spans="3:3">
      <c r="C105" s="4814"/>
    </row>
  </sheetData>
  <mergeCells count="3">
    <mergeCell ref="L1:P1"/>
    <mergeCell ref="L92:P93"/>
    <mergeCell ref="B91:B92"/>
  </mergeCells>
  <printOptions horizontalCentered="1" verticalCentered="1"/>
  <pageMargins left="0.70866141732283472" right="0.70866141732283472" top="0.74803149606299213" bottom="0.74803149606299213" header="0.31496062992125984" footer="0.31496062992125984"/>
  <pageSetup scale="60" firstPageNumber="13" orientation="landscape" useFirstPageNumber="1" r:id="rId1"/>
  <headerFooter scaleWithDoc="0" alignWithMargins="0">
    <oddFooter>&amp;R&amp;P</oddFooter>
  </headerFooter>
  <rowBreaks count="1" manualBreakCount="1">
    <brk id="45" min="11" max="1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91"/>
  <sheetViews>
    <sheetView workbookViewId="0">
      <selection activeCell="H78" sqref="H78"/>
    </sheetView>
  </sheetViews>
  <sheetFormatPr baseColWidth="10" defaultRowHeight="14.4"/>
  <cols>
    <col min="1" max="1" width="5.88671875" style="5317" customWidth="1"/>
    <col min="2" max="2" width="6.6640625" style="5317" bestFit="1" customWidth="1"/>
    <col min="3" max="3" width="48.109375" style="5317" customWidth="1"/>
    <col min="4" max="4" width="6.33203125" style="5317" customWidth="1"/>
    <col min="5" max="5" width="5.44140625" style="5317" customWidth="1"/>
    <col min="6" max="6" width="8.33203125" style="5317" bestFit="1" customWidth="1"/>
    <col min="7" max="8" width="11.44140625" style="5317"/>
    <col min="9" max="9" width="6.44140625" style="4886" customWidth="1"/>
    <col min="10" max="10" width="6.6640625" style="4886" bestFit="1" customWidth="1"/>
    <col min="11" max="11" width="50.6640625" style="4886" customWidth="1"/>
    <col min="12" max="12" width="8.109375" style="4886" customWidth="1"/>
    <col min="13" max="13" width="5.109375" style="4886" customWidth="1"/>
    <col min="14" max="14" width="8.33203125" style="4886" bestFit="1" customWidth="1"/>
    <col min="15" max="16" width="11.44140625" style="4886"/>
    <col min="17" max="17" width="6.5546875" style="4522" customWidth="1"/>
    <col min="18" max="18" width="6.33203125" style="4522" bestFit="1" customWidth="1"/>
    <col min="19" max="19" width="45.44140625" style="4522" customWidth="1"/>
    <col min="20" max="20" width="9" style="157" bestFit="1" customWidth="1"/>
    <col min="21" max="21" width="4.6640625" style="157" customWidth="1"/>
    <col min="22" max="22" width="7.88671875" style="157" bestFit="1" customWidth="1"/>
    <col min="23" max="23" width="10.88671875" style="97" bestFit="1" customWidth="1"/>
    <col min="24" max="24" width="11.5546875" style="4522"/>
    <col min="25" max="25" width="9.6640625" style="4172" bestFit="1" customWidth="1"/>
    <col min="26" max="26" width="6.33203125" style="4172" bestFit="1" customWidth="1"/>
    <col min="27" max="27" width="44.6640625" style="4172" bestFit="1" customWidth="1"/>
    <col min="28" max="28" width="9.33203125" style="2110" bestFit="1" customWidth="1"/>
    <col min="29" max="29" width="5.6640625" style="2110" customWidth="1"/>
    <col min="30" max="30" width="7.88671875" style="4172" bestFit="1" customWidth="1"/>
    <col min="31" max="32" width="11.5546875" style="4172"/>
    <col min="33" max="33" width="10.6640625" style="3797"/>
    <col min="34" max="34" width="6.33203125" style="157" bestFit="1" customWidth="1"/>
    <col min="35" max="35" width="48.5546875" style="3797" bestFit="1" customWidth="1"/>
    <col min="36" max="36" width="8.5546875" style="3797" bestFit="1" customWidth="1"/>
    <col min="37" max="37" width="7.5546875" style="3797" bestFit="1" customWidth="1"/>
    <col min="38" max="38" width="7.6640625" style="3797" bestFit="1" customWidth="1"/>
    <col min="39" max="39" width="11.33203125" style="3797" bestFit="1" customWidth="1"/>
    <col min="40" max="40" width="10.6640625" style="3797"/>
    <col min="41" max="42" width="8.6640625" style="39" customWidth="1"/>
    <col min="43" max="43" width="60.33203125" style="39" bestFit="1" customWidth="1"/>
    <col min="44" max="47" width="8.6640625" style="39" customWidth="1"/>
    <col min="48" max="48" width="11.44140625" style="3695"/>
    <col min="49" max="50" width="11.44140625" style="2042"/>
    <col min="51" max="51" width="82" style="2042" bestFit="1" customWidth="1"/>
    <col min="52" max="53" width="8.33203125" style="2042" customWidth="1"/>
    <col min="54" max="54" width="9.33203125" style="2042" customWidth="1"/>
    <col min="55" max="55" width="13" style="2042" bestFit="1" customWidth="1"/>
    <col min="56" max="56" width="11.44140625" style="2042"/>
    <col min="58" max="58" width="7" bestFit="1" customWidth="1"/>
    <col min="59" max="59" width="59.44140625" bestFit="1" customWidth="1"/>
    <col min="60" max="60" width="9.6640625" bestFit="1" customWidth="1"/>
    <col min="61" max="61" width="5.33203125" bestFit="1" customWidth="1"/>
    <col min="62" max="62" width="8.33203125" bestFit="1" customWidth="1"/>
    <col min="64" max="64" width="11.6640625" customWidth="1"/>
    <col min="65" max="65" width="6.6640625" bestFit="1" customWidth="1"/>
    <col min="66" max="66" width="58.33203125" bestFit="1" customWidth="1"/>
    <col min="67" max="67" width="8.33203125" bestFit="1" customWidth="1"/>
    <col min="68" max="68" width="7.44140625" customWidth="1"/>
    <col min="69" max="69" width="8.33203125" bestFit="1" customWidth="1"/>
    <col min="71" max="71" width="12" customWidth="1"/>
    <col min="72" max="72" width="8.6640625" customWidth="1"/>
    <col min="73" max="73" width="58.33203125" bestFit="1" customWidth="1"/>
    <col min="74" max="76" width="8.6640625" customWidth="1"/>
    <col min="77" max="77" width="4.33203125" customWidth="1"/>
    <col min="78" max="78" width="11.6640625" customWidth="1"/>
    <col min="79" max="79" width="7.33203125" bestFit="1" customWidth="1"/>
    <col min="80" max="80" width="44.6640625" bestFit="1" customWidth="1"/>
    <col min="81" max="82" width="8.6640625" customWidth="1"/>
    <col min="83" max="83" width="12.6640625" customWidth="1"/>
    <col min="84" max="84" width="4.33203125" customWidth="1"/>
    <col min="85" max="87" width="8.6640625" customWidth="1"/>
    <col min="88" max="88" width="43.5546875" bestFit="1" customWidth="1"/>
    <col min="89" max="93" width="8.6640625" customWidth="1"/>
    <col min="94" max="94" width="11" bestFit="1" customWidth="1"/>
    <col min="95" max="95" width="8.6640625" customWidth="1"/>
    <col min="96" max="96" width="43.5546875" bestFit="1" customWidth="1"/>
    <col min="97" max="98" width="8.6640625" hidden="1" customWidth="1"/>
    <col min="99" max="102" width="8.6640625" customWidth="1"/>
    <col min="103" max="103" width="11.33203125" style="119" bestFit="1" customWidth="1"/>
    <col min="104" max="104" width="7" style="119" bestFit="1" customWidth="1"/>
    <col min="105" max="105" width="44.44140625" customWidth="1"/>
    <col min="106" max="106" width="5.6640625" customWidth="1"/>
    <col min="107" max="107" width="17.6640625" customWidth="1"/>
    <col min="108" max="108" width="13" bestFit="1" customWidth="1"/>
    <col min="109" max="109" width="8.6640625" bestFit="1" customWidth="1"/>
    <col min="110" max="110" width="0" hidden="1" customWidth="1"/>
    <col min="112" max="112" width="11.33203125" bestFit="1" customWidth="1"/>
    <col min="113" max="113" width="8.6640625" customWidth="1"/>
    <col min="114" max="114" width="43.33203125" bestFit="1" customWidth="1"/>
    <col min="115" max="115" width="6.44140625" bestFit="1" customWidth="1"/>
    <col min="116" max="116" width="9.33203125" bestFit="1" customWidth="1"/>
    <col min="117" max="118" width="10" bestFit="1" customWidth="1"/>
    <col min="358" max="358" width="4.33203125" customWidth="1"/>
    <col min="359" max="359" width="14.44140625" customWidth="1"/>
    <col min="361" max="361" width="54.5546875" bestFit="1" customWidth="1"/>
    <col min="363" max="363" width="20.33203125" customWidth="1"/>
    <col min="364" max="364" width="14.44140625" customWidth="1"/>
    <col min="614" max="614" width="4.33203125" customWidth="1"/>
    <col min="615" max="615" width="14.44140625" customWidth="1"/>
    <col min="617" max="617" width="54.5546875" bestFit="1" customWidth="1"/>
    <col min="619" max="619" width="20.33203125" customWidth="1"/>
    <col min="620" max="620" width="14.44140625" customWidth="1"/>
    <col min="870" max="870" width="4.33203125" customWidth="1"/>
    <col min="871" max="871" width="14.44140625" customWidth="1"/>
    <col min="873" max="873" width="54.5546875" bestFit="1" customWidth="1"/>
    <col min="875" max="875" width="20.33203125" customWidth="1"/>
    <col min="876" max="876" width="14.44140625" customWidth="1"/>
    <col min="1126" max="1126" width="4.33203125" customWidth="1"/>
    <col min="1127" max="1127" width="14.44140625" customWidth="1"/>
    <col min="1129" max="1129" width="54.5546875" bestFit="1" customWidth="1"/>
    <col min="1131" max="1131" width="20.33203125" customWidth="1"/>
    <col min="1132" max="1132" width="14.44140625" customWidth="1"/>
    <col min="1382" max="1382" width="4.33203125" customWidth="1"/>
    <col min="1383" max="1383" width="14.44140625" customWidth="1"/>
    <col min="1385" max="1385" width="54.5546875" bestFit="1" customWidth="1"/>
    <col min="1387" max="1387" width="20.33203125" customWidth="1"/>
    <col min="1388" max="1388" width="14.44140625" customWidth="1"/>
    <col min="1638" max="1638" width="4.33203125" customWidth="1"/>
    <col min="1639" max="1639" width="14.44140625" customWidth="1"/>
    <col min="1641" max="1641" width="54.5546875" bestFit="1" customWidth="1"/>
    <col min="1643" max="1643" width="20.33203125" customWidth="1"/>
    <col min="1644" max="1644" width="14.44140625" customWidth="1"/>
    <col min="1894" max="1894" width="4.33203125" customWidth="1"/>
    <col min="1895" max="1895" width="14.44140625" customWidth="1"/>
    <col min="1897" max="1897" width="54.5546875" bestFit="1" customWidth="1"/>
    <col min="1899" max="1899" width="20.33203125" customWidth="1"/>
    <col min="1900" max="1900" width="14.44140625" customWidth="1"/>
    <col min="2150" max="2150" width="4.33203125" customWidth="1"/>
    <col min="2151" max="2151" width="14.44140625" customWidth="1"/>
    <col min="2153" max="2153" width="54.5546875" bestFit="1" customWidth="1"/>
    <col min="2155" max="2155" width="20.33203125" customWidth="1"/>
    <col min="2156" max="2156" width="14.44140625" customWidth="1"/>
    <col min="2406" max="2406" width="4.33203125" customWidth="1"/>
    <col min="2407" max="2407" width="14.44140625" customWidth="1"/>
    <col min="2409" max="2409" width="54.5546875" bestFit="1" customWidth="1"/>
    <col min="2411" max="2411" width="20.33203125" customWidth="1"/>
    <col min="2412" max="2412" width="14.44140625" customWidth="1"/>
    <col min="2662" max="2662" width="4.33203125" customWidth="1"/>
    <col min="2663" max="2663" width="14.44140625" customWidth="1"/>
    <col min="2665" max="2665" width="54.5546875" bestFit="1" customWidth="1"/>
    <col min="2667" max="2667" width="20.33203125" customWidth="1"/>
    <col min="2668" max="2668" width="14.44140625" customWidth="1"/>
    <col min="2918" max="2918" width="4.33203125" customWidth="1"/>
    <col min="2919" max="2919" width="14.44140625" customWidth="1"/>
    <col min="2921" max="2921" width="54.5546875" bestFit="1" customWidth="1"/>
    <col min="2923" max="2923" width="20.33203125" customWidth="1"/>
    <col min="2924" max="2924" width="14.44140625" customWidth="1"/>
    <col min="3174" max="3174" width="4.33203125" customWidth="1"/>
    <col min="3175" max="3175" width="14.44140625" customWidth="1"/>
    <col min="3177" max="3177" width="54.5546875" bestFit="1" customWidth="1"/>
    <col min="3179" max="3179" width="20.33203125" customWidth="1"/>
    <col min="3180" max="3180" width="14.44140625" customWidth="1"/>
    <col min="3430" max="3430" width="4.33203125" customWidth="1"/>
    <col min="3431" max="3431" width="14.44140625" customWidth="1"/>
    <col min="3433" max="3433" width="54.5546875" bestFit="1" customWidth="1"/>
    <col min="3435" max="3435" width="20.33203125" customWidth="1"/>
    <col min="3436" max="3436" width="14.44140625" customWidth="1"/>
    <col min="3686" max="3686" width="4.33203125" customWidth="1"/>
    <col min="3687" max="3687" width="14.44140625" customWidth="1"/>
    <col min="3689" max="3689" width="54.5546875" bestFit="1" customWidth="1"/>
    <col min="3691" max="3691" width="20.33203125" customWidth="1"/>
    <col min="3692" max="3692" width="14.44140625" customWidth="1"/>
    <col min="3942" max="3942" width="4.33203125" customWidth="1"/>
    <col min="3943" max="3943" width="14.44140625" customWidth="1"/>
    <col min="3945" max="3945" width="54.5546875" bestFit="1" customWidth="1"/>
    <col min="3947" max="3947" width="20.33203125" customWidth="1"/>
    <col min="3948" max="3948" width="14.44140625" customWidth="1"/>
    <col min="4198" max="4198" width="4.33203125" customWidth="1"/>
    <col min="4199" max="4199" width="14.44140625" customWidth="1"/>
    <col min="4201" max="4201" width="54.5546875" bestFit="1" customWidth="1"/>
    <col min="4203" max="4203" width="20.33203125" customWidth="1"/>
    <col min="4204" max="4204" width="14.44140625" customWidth="1"/>
    <col min="4454" max="4454" width="4.33203125" customWidth="1"/>
    <col min="4455" max="4455" width="14.44140625" customWidth="1"/>
    <col min="4457" max="4457" width="54.5546875" bestFit="1" customWidth="1"/>
    <col min="4459" max="4459" width="20.33203125" customWidth="1"/>
    <col min="4460" max="4460" width="14.44140625" customWidth="1"/>
    <col min="4710" max="4710" width="4.33203125" customWidth="1"/>
    <col min="4711" max="4711" width="14.44140625" customWidth="1"/>
    <col min="4713" max="4713" width="54.5546875" bestFit="1" customWidth="1"/>
    <col min="4715" max="4715" width="20.33203125" customWidth="1"/>
    <col min="4716" max="4716" width="14.44140625" customWidth="1"/>
    <col min="4966" max="4966" width="4.33203125" customWidth="1"/>
    <col min="4967" max="4967" width="14.44140625" customWidth="1"/>
    <col min="4969" max="4969" width="54.5546875" bestFit="1" customWidth="1"/>
    <col min="4971" max="4971" width="20.33203125" customWidth="1"/>
    <col min="4972" max="4972" width="14.44140625" customWidth="1"/>
    <col min="5222" max="5222" width="4.33203125" customWidth="1"/>
    <col min="5223" max="5223" width="14.44140625" customWidth="1"/>
    <col min="5225" max="5225" width="54.5546875" bestFit="1" customWidth="1"/>
    <col min="5227" max="5227" width="20.33203125" customWidth="1"/>
    <col min="5228" max="5228" width="14.44140625" customWidth="1"/>
    <col min="5478" max="5478" width="4.33203125" customWidth="1"/>
    <col min="5479" max="5479" width="14.44140625" customWidth="1"/>
    <col min="5481" max="5481" width="54.5546875" bestFit="1" customWidth="1"/>
    <col min="5483" max="5483" width="20.33203125" customWidth="1"/>
    <col min="5484" max="5484" width="14.44140625" customWidth="1"/>
    <col min="5734" max="5734" width="4.33203125" customWidth="1"/>
    <col min="5735" max="5735" width="14.44140625" customWidth="1"/>
    <col min="5737" max="5737" width="54.5546875" bestFit="1" customWidth="1"/>
    <col min="5739" max="5739" width="20.33203125" customWidth="1"/>
    <col min="5740" max="5740" width="14.44140625" customWidth="1"/>
    <col min="5990" max="5990" width="4.33203125" customWidth="1"/>
    <col min="5991" max="5991" width="14.44140625" customWidth="1"/>
    <col min="5993" max="5993" width="54.5546875" bestFit="1" customWidth="1"/>
    <col min="5995" max="5995" width="20.33203125" customWidth="1"/>
    <col min="5996" max="5996" width="14.44140625" customWidth="1"/>
    <col min="6246" max="6246" width="4.33203125" customWidth="1"/>
    <col min="6247" max="6247" width="14.44140625" customWidth="1"/>
    <col min="6249" max="6249" width="54.5546875" bestFit="1" customWidth="1"/>
    <col min="6251" max="6251" width="20.33203125" customWidth="1"/>
    <col min="6252" max="6252" width="14.44140625" customWidth="1"/>
    <col min="6502" max="6502" width="4.33203125" customWidth="1"/>
    <col min="6503" max="6503" width="14.44140625" customWidth="1"/>
    <col min="6505" max="6505" width="54.5546875" bestFit="1" customWidth="1"/>
    <col min="6507" max="6507" width="20.33203125" customWidth="1"/>
    <col min="6508" max="6508" width="14.44140625" customWidth="1"/>
    <col min="6758" max="6758" width="4.33203125" customWidth="1"/>
    <col min="6759" max="6759" width="14.44140625" customWidth="1"/>
    <col min="6761" max="6761" width="54.5546875" bestFit="1" customWidth="1"/>
    <col min="6763" max="6763" width="20.33203125" customWidth="1"/>
    <col min="6764" max="6764" width="14.44140625" customWidth="1"/>
    <col min="7014" max="7014" width="4.33203125" customWidth="1"/>
    <col min="7015" max="7015" width="14.44140625" customWidth="1"/>
    <col min="7017" max="7017" width="54.5546875" bestFit="1" customWidth="1"/>
    <col min="7019" max="7019" width="20.33203125" customWidth="1"/>
    <col min="7020" max="7020" width="14.44140625" customWidth="1"/>
    <col min="7270" max="7270" width="4.33203125" customWidth="1"/>
    <col min="7271" max="7271" width="14.44140625" customWidth="1"/>
    <col min="7273" max="7273" width="54.5546875" bestFit="1" customWidth="1"/>
    <col min="7275" max="7275" width="20.33203125" customWidth="1"/>
    <col min="7276" max="7276" width="14.44140625" customWidth="1"/>
    <col min="7526" max="7526" width="4.33203125" customWidth="1"/>
    <col min="7527" max="7527" width="14.44140625" customWidth="1"/>
    <col min="7529" max="7529" width="54.5546875" bestFit="1" customWidth="1"/>
    <col min="7531" max="7531" width="20.33203125" customWidth="1"/>
    <col min="7532" max="7532" width="14.44140625" customWidth="1"/>
    <col min="7782" max="7782" width="4.33203125" customWidth="1"/>
    <col min="7783" max="7783" width="14.44140625" customWidth="1"/>
    <col min="7785" max="7785" width="54.5546875" bestFit="1" customWidth="1"/>
    <col min="7787" max="7787" width="20.33203125" customWidth="1"/>
    <col min="7788" max="7788" width="14.44140625" customWidth="1"/>
    <col min="8038" max="8038" width="4.33203125" customWidth="1"/>
    <col min="8039" max="8039" width="14.44140625" customWidth="1"/>
    <col min="8041" max="8041" width="54.5546875" bestFit="1" customWidth="1"/>
    <col min="8043" max="8043" width="20.33203125" customWidth="1"/>
    <col min="8044" max="8044" width="14.44140625" customWidth="1"/>
    <col min="8294" max="8294" width="4.33203125" customWidth="1"/>
    <col min="8295" max="8295" width="14.44140625" customWidth="1"/>
    <col min="8297" max="8297" width="54.5546875" bestFit="1" customWidth="1"/>
    <col min="8299" max="8299" width="20.33203125" customWidth="1"/>
    <col min="8300" max="8300" width="14.44140625" customWidth="1"/>
    <col min="8550" max="8550" width="4.33203125" customWidth="1"/>
    <col min="8551" max="8551" width="14.44140625" customWidth="1"/>
    <col min="8553" max="8553" width="54.5546875" bestFit="1" customWidth="1"/>
    <col min="8555" max="8555" width="20.33203125" customWidth="1"/>
    <col min="8556" max="8556" width="14.44140625" customWidth="1"/>
    <col min="8806" max="8806" width="4.33203125" customWidth="1"/>
    <col min="8807" max="8807" width="14.44140625" customWidth="1"/>
    <col min="8809" max="8809" width="54.5546875" bestFit="1" customWidth="1"/>
    <col min="8811" max="8811" width="20.33203125" customWidth="1"/>
    <col min="8812" max="8812" width="14.44140625" customWidth="1"/>
    <col min="9062" max="9062" width="4.33203125" customWidth="1"/>
    <col min="9063" max="9063" width="14.44140625" customWidth="1"/>
    <col min="9065" max="9065" width="54.5546875" bestFit="1" customWidth="1"/>
    <col min="9067" max="9067" width="20.33203125" customWidth="1"/>
    <col min="9068" max="9068" width="14.44140625" customWidth="1"/>
    <col min="9318" max="9318" width="4.33203125" customWidth="1"/>
    <col min="9319" max="9319" width="14.44140625" customWidth="1"/>
    <col min="9321" max="9321" width="54.5546875" bestFit="1" customWidth="1"/>
    <col min="9323" max="9323" width="20.33203125" customWidth="1"/>
    <col min="9324" max="9324" width="14.44140625" customWidth="1"/>
    <col min="9574" max="9574" width="4.33203125" customWidth="1"/>
    <col min="9575" max="9575" width="14.44140625" customWidth="1"/>
    <col min="9577" max="9577" width="54.5546875" bestFit="1" customWidth="1"/>
    <col min="9579" max="9579" width="20.33203125" customWidth="1"/>
    <col min="9580" max="9580" width="14.44140625" customWidth="1"/>
    <col min="9830" max="9830" width="4.33203125" customWidth="1"/>
    <col min="9831" max="9831" width="14.44140625" customWidth="1"/>
    <col min="9833" max="9833" width="54.5546875" bestFit="1" customWidth="1"/>
    <col min="9835" max="9835" width="20.33203125" customWidth="1"/>
    <col min="9836" max="9836" width="14.44140625" customWidth="1"/>
    <col min="10086" max="10086" width="4.33203125" customWidth="1"/>
    <col min="10087" max="10087" width="14.44140625" customWidth="1"/>
    <col min="10089" max="10089" width="54.5546875" bestFit="1" customWidth="1"/>
    <col min="10091" max="10091" width="20.33203125" customWidth="1"/>
    <col min="10092" max="10092" width="14.44140625" customWidth="1"/>
    <col min="10342" max="10342" width="4.33203125" customWidth="1"/>
    <col min="10343" max="10343" width="14.44140625" customWidth="1"/>
    <col min="10345" max="10345" width="54.5546875" bestFit="1" customWidth="1"/>
    <col min="10347" max="10347" width="20.33203125" customWidth="1"/>
    <col min="10348" max="10348" width="14.44140625" customWidth="1"/>
    <col min="10598" max="10598" width="4.33203125" customWidth="1"/>
    <col min="10599" max="10599" width="14.44140625" customWidth="1"/>
    <col min="10601" max="10601" width="54.5546875" bestFit="1" customWidth="1"/>
    <col min="10603" max="10603" width="20.33203125" customWidth="1"/>
    <col min="10604" max="10604" width="14.44140625" customWidth="1"/>
    <col min="10854" max="10854" width="4.33203125" customWidth="1"/>
    <col min="10855" max="10855" width="14.44140625" customWidth="1"/>
    <col min="10857" max="10857" width="54.5546875" bestFit="1" customWidth="1"/>
    <col min="10859" max="10859" width="20.33203125" customWidth="1"/>
    <col min="10860" max="10860" width="14.44140625" customWidth="1"/>
    <col min="11110" max="11110" width="4.33203125" customWidth="1"/>
    <col min="11111" max="11111" width="14.44140625" customWidth="1"/>
    <col min="11113" max="11113" width="54.5546875" bestFit="1" customWidth="1"/>
    <col min="11115" max="11115" width="20.33203125" customWidth="1"/>
    <col min="11116" max="11116" width="14.44140625" customWidth="1"/>
    <col min="11366" max="11366" width="4.33203125" customWidth="1"/>
    <col min="11367" max="11367" width="14.44140625" customWidth="1"/>
    <col min="11369" max="11369" width="54.5546875" bestFit="1" customWidth="1"/>
    <col min="11371" max="11371" width="20.33203125" customWidth="1"/>
    <col min="11372" max="11372" width="14.44140625" customWidth="1"/>
    <col min="11622" max="11622" width="4.33203125" customWidth="1"/>
    <col min="11623" max="11623" width="14.44140625" customWidth="1"/>
    <col min="11625" max="11625" width="54.5546875" bestFit="1" customWidth="1"/>
    <col min="11627" max="11627" width="20.33203125" customWidth="1"/>
    <col min="11628" max="11628" width="14.44140625" customWidth="1"/>
    <col min="11878" max="11878" width="4.33203125" customWidth="1"/>
    <col min="11879" max="11879" width="14.44140625" customWidth="1"/>
    <col min="11881" max="11881" width="54.5546875" bestFit="1" customWidth="1"/>
    <col min="11883" max="11883" width="20.33203125" customWidth="1"/>
    <col min="11884" max="11884" width="14.44140625" customWidth="1"/>
    <col min="12134" max="12134" width="4.33203125" customWidth="1"/>
    <col min="12135" max="12135" width="14.44140625" customWidth="1"/>
    <col min="12137" max="12137" width="54.5546875" bestFit="1" customWidth="1"/>
    <col min="12139" max="12139" width="20.33203125" customWidth="1"/>
    <col min="12140" max="12140" width="14.44140625" customWidth="1"/>
    <col min="12390" max="12390" width="4.33203125" customWidth="1"/>
    <col min="12391" max="12391" width="14.44140625" customWidth="1"/>
    <col min="12393" max="12393" width="54.5546875" bestFit="1" customWidth="1"/>
    <col min="12395" max="12395" width="20.33203125" customWidth="1"/>
    <col min="12396" max="12396" width="14.44140625" customWidth="1"/>
    <col min="12646" max="12646" width="4.33203125" customWidth="1"/>
    <col min="12647" max="12647" width="14.44140625" customWidth="1"/>
    <col min="12649" max="12649" width="54.5546875" bestFit="1" customWidth="1"/>
    <col min="12651" max="12651" width="20.33203125" customWidth="1"/>
    <col min="12652" max="12652" width="14.44140625" customWidth="1"/>
    <col min="12902" max="12902" width="4.33203125" customWidth="1"/>
    <col min="12903" max="12903" width="14.44140625" customWidth="1"/>
    <col min="12905" max="12905" width="54.5546875" bestFit="1" customWidth="1"/>
    <col min="12907" max="12907" width="20.33203125" customWidth="1"/>
    <col min="12908" max="12908" width="14.44140625" customWidth="1"/>
    <col min="13158" max="13158" width="4.33203125" customWidth="1"/>
    <col min="13159" max="13159" width="14.44140625" customWidth="1"/>
    <col min="13161" max="13161" width="54.5546875" bestFit="1" customWidth="1"/>
    <col min="13163" max="13163" width="20.33203125" customWidth="1"/>
    <col min="13164" max="13164" width="14.44140625" customWidth="1"/>
    <col min="13414" max="13414" width="4.33203125" customWidth="1"/>
    <col min="13415" max="13415" width="14.44140625" customWidth="1"/>
    <col min="13417" max="13417" width="54.5546875" bestFit="1" customWidth="1"/>
    <col min="13419" max="13419" width="20.33203125" customWidth="1"/>
    <col min="13420" max="13420" width="14.44140625" customWidth="1"/>
    <col min="13670" max="13670" width="4.33203125" customWidth="1"/>
    <col min="13671" max="13671" width="14.44140625" customWidth="1"/>
    <col min="13673" max="13673" width="54.5546875" bestFit="1" customWidth="1"/>
    <col min="13675" max="13675" width="20.33203125" customWidth="1"/>
    <col min="13676" max="13676" width="14.44140625" customWidth="1"/>
    <col min="13926" max="13926" width="4.33203125" customWidth="1"/>
    <col min="13927" max="13927" width="14.44140625" customWidth="1"/>
    <col min="13929" max="13929" width="54.5546875" bestFit="1" customWidth="1"/>
    <col min="13931" max="13931" width="20.33203125" customWidth="1"/>
    <col min="13932" max="13932" width="14.44140625" customWidth="1"/>
    <col min="14182" max="14182" width="4.33203125" customWidth="1"/>
    <col min="14183" max="14183" width="14.44140625" customWidth="1"/>
    <col min="14185" max="14185" width="54.5546875" bestFit="1" customWidth="1"/>
    <col min="14187" max="14187" width="20.33203125" customWidth="1"/>
    <col min="14188" max="14188" width="14.44140625" customWidth="1"/>
    <col min="14438" max="14438" width="4.33203125" customWidth="1"/>
    <col min="14439" max="14439" width="14.44140625" customWidth="1"/>
    <col min="14441" max="14441" width="54.5546875" bestFit="1" customWidth="1"/>
    <col min="14443" max="14443" width="20.33203125" customWidth="1"/>
    <col min="14444" max="14444" width="14.44140625" customWidth="1"/>
    <col min="14694" max="14694" width="4.33203125" customWidth="1"/>
    <col min="14695" max="14695" width="14.44140625" customWidth="1"/>
    <col min="14697" max="14697" width="54.5546875" bestFit="1" customWidth="1"/>
    <col min="14699" max="14699" width="20.33203125" customWidth="1"/>
    <col min="14700" max="14700" width="14.44140625" customWidth="1"/>
    <col min="14950" max="14950" width="4.33203125" customWidth="1"/>
    <col min="14951" max="14951" width="14.44140625" customWidth="1"/>
    <col min="14953" max="14953" width="54.5546875" bestFit="1" customWidth="1"/>
    <col min="14955" max="14955" width="20.33203125" customWidth="1"/>
    <col min="14956" max="14956" width="14.44140625" customWidth="1"/>
    <col min="15206" max="15206" width="4.33203125" customWidth="1"/>
    <col min="15207" max="15207" width="14.44140625" customWidth="1"/>
    <col min="15209" max="15209" width="54.5546875" bestFit="1" customWidth="1"/>
    <col min="15211" max="15211" width="20.33203125" customWidth="1"/>
    <col min="15212" max="15212" width="14.44140625" customWidth="1"/>
    <col min="15462" max="15462" width="4.33203125" customWidth="1"/>
    <col min="15463" max="15463" width="14.44140625" customWidth="1"/>
    <col min="15465" max="15465" width="54.5546875" bestFit="1" customWidth="1"/>
    <col min="15467" max="15467" width="20.33203125" customWidth="1"/>
    <col min="15468" max="15468" width="14.44140625" customWidth="1"/>
    <col min="15718" max="15718" width="4.33203125" customWidth="1"/>
    <col min="15719" max="15719" width="14.44140625" customWidth="1"/>
    <col min="15721" max="15721" width="54.5546875" bestFit="1" customWidth="1"/>
    <col min="15723" max="15723" width="20.33203125" customWidth="1"/>
    <col min="15724" max="15724" width="14.44140625" customWidth="1"/>
    <col min="15974" max="15974" width="4.33203125" customWidth="1"/>
    <col min="15975" max="15975" width="14.44140625" customWidth="1"/>
    <col min="15977" max="15977" width="54.5546875" bestFit="1" customWidth="1"/>
    <col min="15979" max="15979" width="20.33203125" customWidth="1"/>
    <col min="15980" max="15980" width="14.44140625" customWidth="1"/>
    <col min="16230" max="16230" width="4.33203125" customWidth="1"/>
    <col min="16231" max="16231" width="14.44140625" customWidth="1"/>
    <col min="16233" max="16233" width="54.5546875" bestFit="1" customWidth="1"/>
    <col min="16235" max="16235" width="20.33203125" customWidth="1"/>
    <col min="16236" max="16236" width="14.44140625" customWidth="1"/>
  </cols>
  <sheetData>
    <row r="1" spans="1:118">
      <c r="CG1" s="27"/>
      <c r="CH1" s="675"/>
      <c r="CI1" s="675"/>
      <c r="CJ1" s="753"/>
      <c r="CK1" s="754"/>
      <c r="CL1" s="755"/>
      <c r="CM1" s="756"/>
      <c r="CN1" s="756"/>
      <c r="CP1" s="669"/>
      <c r="CQ1" s="669"/>
      <c r="CR1" s="669"/>
      <c r="CS1" s="669"/>
      <c r="CT1" s="669"/>
      <c r="CY1" s="669"/>
      <c r="CZ1" s="669"/>
      <c r="DA1" s="669"/>
      <c r="DB1" s="669"/>
      <c r="DC1" s="669"/>
      <c r="DD1" s="669"/>
      <c r="DE1" s="669"/>
    </row>
    <row r="2" spans="1:118" ht="15.6">
      <c r="A2" s="7045" t="s">
        <v>2906</v>
      </c>
      <c r="B2" s="7045"/>
      <c r="C2" s="7045"/>
      <c r="D2" s="7045"/>
      <c r="E2" s="7045"/>
      <c r="F2" s="7045"/>
      <c r="G2" s="7045"/>
      <c r="I2" s="4605" t="s">
        <v>2906</v>
      </c>
      <c r="J2" s="4605"/>
      <c r="K2" s="4605"/>
      <c r="L2" s="4605"/>
      <c r="M2" s="4605"/>
      <c r="N2" s="4605"/>
      <c r="O2" s="97"/>
      <c r="P2" s="97"/>
      <c r="Q2" s="7046" t="s">
        <v>2764</v>
      </c>
      <c r="R2" s="7046"/>
      <c r="S2" s="7046"/>
      <c r="T2" s="7046"/>
      <c r="U2" s="7046"/>
      <c r="V2" s="7046"/>
      <c r="Y2" s="671" t="s">
        <v>2673</v>
      </c>
      <c r="AG2" s="7040" t="s">
        <v>2567</v>
      </c>
      <c r="AH2" s="7040"/>
      <c r="AI2" s="7040"/>
      <c r="AJ2" s="7040"/>
      <c r="AK2" s="7040"/>
      <c r="AL2" s="7040"/>
      <c r="AM2" s="7040"/>
      <c r="AO2" s="3814" t="s">
        <v>2548</v>
      </c>
      <c r="AW2" s="7040" t="s">
        <v>2422</v>
      </c>
      <c r="AX2" s="7040"/>
      <c r="AY2" s="7040"/>
      <c r="AZ2" s="2064"/>
      <c r="BA2" s="2064"/>
      <c r="BB2" s="2064"/>
      <c r="BC2" s="2064"/>
      <c r="BE2" s="6978" t="s">
        <v>2282</v>
      </c>
      <c r="BF2" s="6978"/>
      <c r="BG2" s="6978"/>
      <c r="BH2" s="6978"/>
      <c r="BI2" s="6978"/>
      <c r="BJ2" s="6978"/>
      <c r="BL2" s="179" t="s">
        <v>1741</v>
      </c>
      <c r="BM2" s="36"/>
      <c r="BN2" s="36"/>
      <c r="BO2" s="36"/>
      <c r="BP2" s="36"/>
      <c r="BQ2" s="36"/>
      <c r="BS2" s="179" t="s">
        <v>1673</v>
      </c>
      <c r="BT2" s="179"/>
      <c r="BU2" s="179"/>
      <c r="BV2" s="179"/>
      <c r="BW2" s="179"/>
      <c r="BX2" s="179"/>
      <c r="BZ2" s="6978" t="s">
        <v>1197</v>
      </c>
      <c r="CA2" s="6978"/>
      <c r="CB2" s="6978"/>
      <c r="CC2" s="6978"/>
      <c r="CD2" s="6978"/>
      <c r="CE2" s="6978"/>
      <c r="CG2" s="670" t="s">
        <v>2285</v>
      </c>
      <c r="CH2" s="675"/>
      <c r="CI2" s="675"/>
      <c r="CJ2" s="753"/>
      <c r="CK2" s="754"/>
      <c r="CL2" s="755"/>
      <c r="CM2" s="756"/>
      <c r="CN2" s="756"/>
      <c r="CP2" s="1706" t="s">
        <v>2284</v>
      </c>
      <c r="CQ2" s="669"/>
      <c r="CR2" s="669"/>
      <c r="CS2" s="669"/>
      <c r="CT2" s="669"/>
      <c r="CY2" s="7046" t="s">
        <v>2283</v>
      </c>
      <c r="CZ2" s="7046"/>
      <c r="DA2" s="7046"/>
      <c r="DB2" s="7046"/>
      <c r="DC2" s="7046"/>
      <c r="DD2" s="7046"/>
      <c r="DE2" s="7046"/>
      <c r="DH2" s="61"/>
    </row>
    <row r="3" spans="1:118">
      <c r="A3" s="27" t="s">
        <v>3026</v>
      </c>
      <c r="D3" s="157"/>
      <c r="E3" s="157"/>
      <c r="F3" s="7044" t="s">
        <v>3030</v>
      </c>
      <c r="G3" s="7044"/>
      <c r="I3" s="27" t="s">
        <v>2879</v>
      </c>
      <c r="L3" s="157"/>
      <c r="M3" s="157"/>
      <c r="N3" s="7018" t="s">
        <v>2887</v>
      </c>
      <c r="O3" s="7018"/>
      <c r="P3" s="97"/>
      <c r="Q3" s="4522" t="s">
        <v>2718</v>
      </c>
      <c r="Y3" s="5010" t="s">
        <v>2677</v>
      </c>
      <c r="Z3" s="5031"/>
      <c r="AO3" s="3814" t="s">
        <v>2566</v>
      </c>
      <c r="AW3" s="179"/>
      <c r="BE3" t="s">
        <v>2276</v>
      </c>
      <c r="BL3" s="672" t="s">
        <v>1737</v>
      </c>
      <c r="BM3" s="36"/>
      <c r="BN3" s="36"/>
      <c r="BO3" s="36"/>
      <c r="BP3" s="36"/>
      <c r="BQ3" s="36"/>
      <c r="BS3" s="1270" t="s">
        <v>1669</v>
      </c>
      <c r="BZ3" s="1303" t="s">
        <v>1183</v>
      </c>
      <c r="CA3" s="763"/>
      <c r="CB3" s="763"/>
      <c r="CC3" s="763"/>
      <c r="CD3" s="763"/>
      <c r="CE3" s="36"/>
      <c r="CG3" s="27" t="s">
        <v>1184</v>
      </c>
      <c r="CH3" s="675"/>
      <c r="CI3" s="675"/>
      <c r="CJ3" s="753"/>
      <c r="CK3" s="754"/>
      <c r="CL3" s="755"/>
      <c r="CM3" s="756"/>
      <c r="CN3" s="756"/>
      <c r="CY3" s="764"/>
      <c r="CZ3" s="764"/>
      <c r="DA3" s="764"/>
      <c r="DB3" s="764"/>
      <c r="DC3" s="764"/>
      <c r="DD3" s="764"/>
      <c r="DE3" s="61"/>
      <c r="DH3" s="61"/>
    </row>
    <row r="4" spans="1:118" ht="15.6">
      <c r="A4" s="2026" t="s">
        <v>2907</v>
      </c>
      <c r="D4" s="157"/>
      <c r="E4" s="157"/>
      <c r="F4" s="157"/>
      <c r="G4" s="97"/>
      <c r="I4" s="5033" t="s">
        <v>2907</v>
      </c>
      <c r="L4" s="157"/>
      <c r="M4" s="157"/>
      <c r="N4" s="157"/>
      <c r="O4" s="97"/>
      <c r="P4" s="97"/>
      <c r="Q4" s="37" t="s">
        <v>2761</v>
      </c>
      <c r="BE4" s="37" t="s">
        <v>2281</v>
      </c>
      <c r="BL4" s="36"/>
      <c r="BM4" s="36"/>
      <c r="BN4" s="36"/>
      <c r="BO4" s="7047">
        <v>2016</v>
      </c>
      <c r="BP4" s="7047"/>
      <c r="BQ4" s="7047"/>
      <c r="BV4" s="7048">
        <v>2015</v>
      </c>
      <c r="BW4" s="7048"/>
      <c r="BX4" s="7048"/>
      <c r="BZ4" s="42"/>
      <c r="CA4" s="765"/>
      <c r="CB4" s="765"/>
      <c r="CC4" s="7047">
        <v>2014</v>
      </c>
      <c r="CD4" s="7047"/>
      <c r="CE4" s="7047"/>
      <c r="CG4" s="675"/>
      <c r="CH4" s="675"/>
      <c r="CI4" s="675"/>
      <c r="CJ4" s="753"/>
      <c r="CK4" s="7047">
        <v>2013</v>
      </c>
      <c r="CL4" s="7047"/>
      <c r="CM4" s="7047"/>
      <c r="CN4" s="7047"/>
      <c r="CP4" s="766"/>
      <c r="CQ4" s="766"/>
      <c r="CR4" s="766"/>
      <c r="CS4" s="7047">
        <v>2012</v>
      </c>
      <c r="CT4" s="7047"/>
      <c r="CU4" s="7047"/>
      <c r="CV4" s="7047"/>
      <c r="CW4" s="7047"/>
      <c r="CY4" s="63"/>
      <c r="CZ4" s="63"/>
      <c r="DA4" s="37"/>
      <c r="DB4" s="7047">
        <v>2011</v>
      </c>
      <c r="DC4" s="7047"/>
      <c r="DD4" s="7047"/>
      <c r="DE4" s="7047"/>
      <c r="DF4" s="37"/>
      <c r="DG4" s="37"/>
      <c r="DH4" s="37"/>
      <c r="DI4" s="37"/>
      <c r="DJ4" s="37"/>
      <c r="DK4" s="7047">
        <v>2010</v>
      </c>
      <c r="DL4" s="7047"/>
      <c r="DM4" s="7047"/>
      <c r="DN4" s="7047"/>
    </row>
    <row r="5" spans="1:118" ht="42" thickBot="1">
      <c r="A5" s="4354" t="s">
        <v>0</v>
      </c>
      <c r="B5" s="4354" t="s">
        <v>1</v>
      </c>
      <c r="C5" s="4354" t="s">
        <v>2</v>
      </c>
      <c r="D5" s="4407" t="s">
        <v>2726</v>
      </c>
      <c r="E5" s="4354" t="s">
        <v>1185</v>
      </c>
      <c r="F5" s="5032" t="s">
        <v>1122</v>
      </c>
      <c r="G5" s="4407" t="s">
        <v>1190</v>
      </c>
      <c r="I5" s="4354" t="s">
        <v>0</v>
      </c>
      <c r="J5" s="4354" t="s">
        <v>1</v>
      </c>
      <c r="K5" s="4354" t="s">
        <v>2</v>
      </c>
      <c r="L5" s="4407" t="s">
        <v>2726</v>
      </c>
      <c r="M5" s="4354" t="s">
        <v>1185</v>
      </c>
      <c r="N5" s="5032" t="s">
        <v>1122</v>
      </c>
      <c r="O5" s="4407" t="s">
        <v>1190</v>
      </c>
      <c r="P5" s="97"/>
      <c r="Q5" s="4247" t="s">
        <v>0</v>
      </c>
      <c r="R5" s="4247" t="s">
        <v>1</v>
      </c>
      <c r="S5" s="4247" t="s">
        <v>2</v>
      </c>
      <c r="T5" s="4409" t="s">
        <v>2726</v>
      </c>
      <c r="U5" s="4315" t="s">
        <v>1185</v>
      </c>
      <c r="V5" s="678" t="s">
        <v>1122</v>
      </c>
      <c r="W5" s="4409" t="s">
        <v>1190</v>
      </c>
      <c r="Y5" s="398" t="s">
        <v>0</v>
      </c>
      <c r="Z5" s="398" t="s">
        <v>1</v>
      </c>
      <c r="AA5" s="398" t="s">
        <v>2</v>
      </c>
      <c r="AB5" s="398" t="s">
        <v>1187</v>
      </c>
      <c r="AC5" s="398" t="s">
        <v>1185</v>
      </c>
      <c r="AD5" s="768" t="s">
        <v>1122</v>
      </c>
      <c r="AE5" s="653" t="s">
        <v>1190</v>
      </c>
      <c r="AG5" s="398" t="s">
        <v>0</v>
      </c>
      <c r="AH5" s="398" t="s">
        <v>1</v>
      </c>
      <c r="AI5" s="398" t="s">
        <v>2</v>
      </c>
      <c r="AJ5" s="398" t="s">
        <v>2278</v>
      </c>
      <c r="AK5" s="1469" t="s">
        <v>1121</v>
      </c>
      <c r="AL5" s="768" t="s">
        <v>1122</v>
      </c>
      <c r="AM5" s="653" t="s">
        <v>1190</v>
      </c>
      <c r="AO5" s="3819" t="s">
        <v>0</v>
      </c>
      <c r="AP5" s="3819" t="s">
        <v>1</v>
      </c>
      <c r="AQ5" s="3819" t="s">
        <v>2</v>
      </c>
      <c r="AR5" s="3815" t="s">
        <v>2546</v>
      </c>
      <c r="AS5" s="3815" t="s">
        <v>1185</v>
      </c>
      <c r="AT5" s="3843" t="s">
        <v>1122</v>
      </c>
      <c r="AU5" s="3824" t="s">
        <v>1190</v>
      </c>
      <c r="AW5" s="423" t="s">
        <v>0</v>
      </c>
      <c r="AX5" s="423" t="s">
        <v>1</v>
      </c>
      <c r="AY5" s="423" t="s">
        <v>2</v>
      </c>
      <c r="AZ5" s="423" t="s">
        <v>1014</v>
      </c>
      <c r="BA5" s="423" t="s">
        <v>1185</v>
      </c>
      <c r="BB5" s="768" t="s">
        <v>1122</v>
      </c>
      <c r="BC5" s="47" t="s">
        <v>1190</v>
      </c>
      <c r="BE5" s="423" t="s">
        <v>0</v>
      </c>
      <c r="BF5" s="423" t="s">
        <v>1</v>
      </c>
      <c r="BG5" s="423" t="s">
        <v>2</v>
      </c>
      <c r="BH5" s="423" t="s">
        <v>2278</v>
      </c>
      <c r="BI5" s="490" t="s">
        <v>1121</v>
      </c>
      <c r="BJ5" s="768" t="s">
        <v>1122</v>
      </c>
      <c r="BL5" s="388" t="s">
        <v>0</v>
      </c>
      <c r="BM5" s="388" t="s">
        <v>1</v>
      </c>
      <c r="BN5" s="388" t="s">
        <v>2</v>
      </c>
      <c r="BO5" s="388" t="s">
        <v>1738</v>
      </c>
      <c r="BP5" s="388" t="s">
        <v>1185</v>
      </c>
      <c r="BQ5" s="768" t="s">
        <v>1122</v>
      </c>
      <c r="BR5" s="1"/>
      <c r="BS5" s="1271" t="s">
        <v>0</v>
      </c>
      <c r="BT5" s="1271" t="s">
        <v>1</v>
      </c>
      <c r="BU5" s="1272" t="s">
        <v>2</v>
      </c>
      <c r="BV5" s="1273" t="s">
        <v>1670</v>
      </c>
      <c r="BW5" s="1273" t="s">
        <v>1185</v>
      </c>
      <c r="BX5" s="768" t="s">
        <v>1122</v>
      </c>
      <c r="BZ5" s="767" t="s">
        <v>0</v>
      </c>
      <c r="CA5" s="767" t="s">
        <v>1</v>
      </c>
      <c r="CB5" s="767" t="s">
        <v>2</v>
      </c>
      <c r="CC5" s="767" t="s">
        <v>1014</v>
      </c>
      <c r="CD5" s="767" t="s">
        <v>1185</v>
      </c>
      <c r="CE5" s="768" t="s">
        <v>1122</v>
      </c>
      <c r="CG5" s="769" t="s">
        <v>878</v>
      </c>
      <c r="CH5" s="769" t="s">
        <v>0</v>
      </c>
      <c r="CI5" s="597" t="s">
        <v>1</v>
      </c>
      <c r="CJ5" s="597" t="s">
        <v>2</v>
      </c>
      <c r="CK5" s="597" t="s">
        <v>1014</v>
      </c>
      <c r="CL5" s="597" t="s">
        <v>1185</v>
      </c>
      <c r="CM5" s="597" t="s">
        <v>1186</v>
      </c>
      <c r="CN5" s="768" t="s">
        <v>1122</v>
      </c>
      <c r="CP5" s="770" t="s">
        <v>0</v>
      </c>
      <c r="CQ5" s="770" t="s">
        <v>1</v>
      </c>
      <c r="CR5" s="770" t="s">
        <v>2</v>
      </c>
      <c r="CS5" s="679" t="s">
        <v>1187</v>
      </c>
      <c r="CT5" s="679" t="s">
        <v>1122</v>
      </c>
      <c r="CU5" s="770" t="s">
        <v>1185</v>
      </c>
      <c r="CV5" s="679" t="s">
        <v>1188</v>
      </c>
      <c r="CW5" s="679" t="s">
        <v>1122</v>
      </c>
      <c r="CY5" s="423" t="s">
        <v>0</v>
      </c>
      <c r="CZ5" s="423" t="s">
        <v>1</v>
      </c>
      <c r="DA5" s="423" t="s">
        <v>2</v>
      </c>
      <c r="DB5" s="681" t="s">
        <v>1185</v>
      </c>
      <c r="DC5" s="47" t="s">
        <v>1189</v>
      </c>
      <c r="DD5" s="47" t="s">
        <v>1190</v>
      </c>
      <c r="DE5" s="682" t="s">
        <v>1122</v>
      </c>
      <c r="DF5" s="37"/>
      <c r="DG5" s="37"/>
      <c r="DH5" s="771" t="s">
        <v>0</v>
      </c>
      <c r="DI5" s="771" t="s">
        <v>1</v>
      </c>
      <c r="DJ5" s="771" t="s">
        <v>2</v>
      </c>
      <c r="DK5" s="771" t="s">
        <v>1014</v>
      </c>
      <c r="DL5" s="771" t="s">
        <v>1121</v>
      </c>
      <c r="DM5" s="772" t="s">
        <v>1123</v>
      </c>
      <c r="DN5" s="773" t="s">
        <v>1124</v>
      </c>
    </row>
    <row r="6" spans="1:118">
      <c r="A6" s="5797">
        <v>1</v>
      </c>
      <c r="B6" s="5797">
        <v>1</v>
      </c>
      <c r="C6" s="5796" t="s">
        <v>265</v>
      </c>
      <c r="D6" s="5798">
        <v>1</v>
      </c>
      <c r="E6" s="5797">
        <v>1</v>
      </c>
      <c r="F6" s="1281">
        <f>D6-G6</f>
        <v>-5</v>
      </c>
      <c r="G6" s="4565">
        <v>6</v>
      </c>
      <c r="I6" s="5034">
        <v>1</v>
      </c>
      <c r="J6" s="5034">
        <v>1</v>
      </c>
      <c r="K6" s="5035" t="s">
        <v>265</v>
      </c>
      <c r="L6" s="5036">
        <v>2</v>
      </c>
      <c r="M6" s="5034">
        <v>2</v>
      </c>
      <c r="N6" s="1281">
        <f>L6-O6</f>
        <v>-4</v>
      </c>
      <c r="O6" s="4565">
        <v>6</v>
      </c>
      <c r="P6" s="97"/>
      <c r="Q6" s="4561">
        <v>1</v>
      </c>
      <c r="R6" s="4561">
        <v>1</v>
      </c>
      <c r="S6" s="4562" t="s">
        <v>2310</v>
      </c>
      <c r="T6" s="4563">
        <v>6</v>
      </c>
      <c r="U6" s="4564">
        <v>1</v>
      </c>
      <c r="V6" s="1281">
        <f>T6-W6</f>
        <v>0</v>
      </c>
      <c r="W6" s="4565">
        <v>6</v>
      </c>
      <c r="Y6" s="36" t="s">
        <v>3</v>
      </c>
      <c r="Z6" s="36" t="s">
        <v>4</v>
      </c>
      <c r="AA6" s="36" t="s">
        <v>113</v>
      </c>
      <c r="AB6" s="1346">
        <v>6.33</v>
      </c>
      <c r="AC6" s="95">
        <v>3</v>
      </c>
      <c r="AD6" s="1281">
        <f t="shared" ref="AD6:AD11" si="0">AB6-6</f>
        <v>0.33000000000000007</v>
      </c>
      <c r="AE6" s="97">
        <v>6</v>
      </c>
      <c r="AF6" s="4522"/>
      <c r="AG6" s="36" t="s">
        <v>3</v>
      </c>
      <c r="AH6" s="97" t="s">
        <v>4</v>
      </c>
      <c r="AI6" s="36" t="s">
        <v>113</v>
      </c>
      <c r="AJ6" s="1346">
        <v>8.33</v>
      </c>
      <c r="AK6" s="95">
        <v>3</v>
      </c>
      <c r="AL6" s="1281">
        <f>AJ6-6</f>
        <v>2.33</v>
      </c>
      <c r="AM6" s="97">
        <v>6</v>
      </c>
      <c r="AO6" s="39" t="s">
        <v>3</v>
      </c>
      <c r="AP6" s="39" t="s">
        <v>4</v>
      </c>
      <c r="AQ6" s="39" t="s">
        <v>113</v>
      </c>
      <c r="AR6" s="3518">
        <v>8.33</v>
      </c>
      <c r="AS6" s="3518">
        <v>3</v>
      </c>
      <c r="AT6" s="3820">
        <f>AR6-AU6</f>
        <v>2.33</v>
      </c>
      <c r="AU6" s="3518">
        <v>6</v>
      </c>
      <c r="AW6" s="37" t="s">
        <v>3</v>
      </c>
      <c r="AX6" s="37" t="s">
        <v>4</v>
      </c>
      <c r="AY6" s="37" t="s">
        <v>113</v>
      </c>
      <c r="AZ6" s="694">
        <v>7</v>
      </c>
      <c r="BA6" s="63">
        <v>1</v>
      </c>
      <c r="BB6" s="837">
        <f>AZ6-BC6</f>
        <v>1</v>
      </c>
      <c r="BC6" s="2043">
        <v>6</v>
      </c>
      <c r="BE6" s="37" t="s">
        <v>3</v>
      </c>
      <c r="BF6" s="37" t="s">
        <v>4</v>
      </c>
      <c r="BG6" s="37" t="s">
        <v>113</v>
      </c>
      <c r="BH6" s="694">
        <v>5.33</v>
      </c>
      <c r="BI6" s="63">
        <v>3</v>
      </c>
      <c r="BJ6" s="134">
        <f>BH6-6</f>
        <v>-0.66999999999999993</v>
      </c>
      <c r="BL6" s="97" t="s">
        <v>3</v>
      </c>
      <c r="BM6" s="97" t="s">
        <v>4</v>
      </c>
      <c r="BN6" s="42" t="s">
        <v>114</v>
      </c>
      <c r="BO6" s="134">
        <v>7.19</v>
      </c>
      <c r="BP6" s="97">
        <v>31</v>
      </c>
      <c r="BQ6" s="134">
        <f>BO6-6</f>
        <v>1.1900000000000004</v>
      </c>
      <c r="BR6" s="1"/>
      <c r="BS6" s="1274" t="s">
        <v>3</v>
      </c>
      <c r="BT6" s="1274" t="s">
        <v>4</v>
      </c>
      <c r="BU6" s="1275" t="s">
        <v>114</v>
      </c>
      <c r="BV6" s="1276">
        <v>7.5294117647058814</v>
      </c>
      <c r="BW6" s="1277">
        <v>17</v>
      </c>
      <c r="BX6" s="134">
        <f>BV6-6</f>
        <v>1.5294117647058814</v>
      </c>
      <c r="BZ6" s="774" t="s">
        <v>3</v>
      </c>
      <c r="CA6" s="774" t="s">
        <v>4</v>
      </c>
      <c r="CB6" s="775" t="s">
        <v>113</v>
      </c>
      <c r="CC6" s="776">
        <v>11.666666666666666</v>
      </c>
      <c r="CD6" s="777">
        <v>3</v>
      </c>
      <c r="CE6" s="778">
        <f>CC6-6</f>
        <v>5.6666666666666661</v>
      </c>
      <c r="CG6" s="613" t="s">
        <v>646</v>
      </c>
      <c r="CH6" s="613" t="s">
        <v>3</v>
      </c>
      <c r="CI6" s="613" t="s">
        <v>4</v>
      </c>
      <c r="CJ6" s="389" t="s">
        <v>113</v>
      </c>
      <c r="CK6" s="391">
        <v>9</v>
      </c>
      <c r="CL6" s="390">
        <v>1</v>
      </c>
      <c r="CM6" s="614"/>
      <c r="CN6" s="779">
        <f>CK6-6</f>
        <v>3</v>
      </c>
      <c r="CP6" s="780" t="s">
        <v>3</v>
      </c>
      <c r="CQ6" s="780" t="s">
        <v>4</v>
      </c>
      <c r="CR6" s="781" t="s">
        <v>113</v>
      </c>
      <c r="CS6" s="782">
        <v>9</v>
      </c>
      <c r="CT6" s="782">
        <f>CS6-DD6</f>
        <v>3</v>
      </c>
      <c r="CU6" s="783">
        <v>1</v>
      </c>
      <c r="CV6" s="782">
        <v>9</v>
      </c>
      <c r="CW6" s="782">
        <f>CV6-DD6</f>
        <v>3</v>
      </c>
      <c r="CY6" s="63" t="s">
        <v>3</v>
      </c>
      <c r="CZ6" s="63" t="s">
        <v>4</v>
      </c>
      <c r="DA6" s="37" t="s">
        <v>113</v>
      </c>
      <c r="DB6" s="63">
        <v>4</v>
      </c>
      <c r="DC6" s="694">
        <v>39</v>
      </c>
      <c r="DD6" s="63">
        <v>6</v>
      </c>
      <c r="DE6" s="694">
        <f>+DC6-DD6</f>
        <v>33</v>
      </c>
      <c r="DF6" s="37"/>
      <c r="DG6" s="37"/>
      <c r="DH6" s="784" t="s">
        <v>3</v>
      </c>
      <c r="DI6" s="785" t="s">
        <v>4</v>
      </c>
      <c r="DJ6" s="784" t="s">
        <v>113</v>
      </c>
      <c r="DK6" s="786">
        <v>12</v>
      </c>
      <c r="DL6" s="785">
        <v>1</v>
      </c>
      <c r="DM6" s="787">
        <v>6</v>
      </c>
      <c r="DN6" s="786">
        <f>DK6-6</f>
        <v>6</v>
      </c>
    </row>
    <row r="7" spans="1:118">
      <c r="A7" s="5797">
        <v>1</v>
      </c>
      <c r="B7" s="5797">
        <v>1</v>
      </c>
      <c r="C7" s="5796" t="s">
        <v>2310</v>
      </c>
      <c r="D7" s="5798">
        <v>6.5</v>
      </c>
      <c r="E7" s="5797">
        <v>3</v>
      </c>
      <c r="F7" s="1281">
        <f t="shared" ref="F7:F11" si="1">D7-G7</f>
        <v>0.5</v>
      </c>
      <c r="G7" s="4565">
        <v>6</v>
      </c>
      <c r="I7" s="5034">
        <v>1</v>
      </c>
      <c r="J7" s="5034">
        <v>1</v>
      </c>
      <c r="K7" s="5035" t="s">
        <v>2310</v>
      </c>
      <c r="L7" s="5036">
        <v>6.5</v>
      </c>
      <c r="M7" s="5034">
        <v>3</v>
      </c>
      <c r="N7" s="1281">
        <f t="shared" ref="N7:N72" si="2">L7-O7</f>
        <v>0.5</v>
      </c>
      <c r="O7" s="4565">
        <v>6</v>
      </c>
      <c r="P7" s="97"/>
      <c r="Q7" s="4561">
        <v>1</v>
      </c>
      <c r="R7" s="4561">
        <v>1</v>
      </c>
      <c r="S7" s="4562" t="s">
        <v>2733</v>
      </c>
      <c r="T7" s="4563">
        <v>6.35</v>
      </c>
      <c r="U7" s="4564">
        <v>11</v>
      </c>
      <c r="V7" s="1281">
        <f t="shared" ref="V7:V70" si="3">T7-W7</f>
        <v>0.34999999999999964</v>
      </c>
      <c r="W7" s="4565">
        <v>6</v>
      </c>
      <c r="Y7" s="36"/>
      <c r="Z7" s="36"/>
      <c r="AA7" s="36" t="s">
        <v>115</v>
      </c>
      <c r="AB7" s="1346">
        <v>6.29</v>
      </c>
      <c r="AC7" s="95">
        <v>14</v>
      </c>
      <c r="AD7" s="1281">
        <f t="shared" si="0"/>
        <v>0.29000000000000004</v>
      </c>
      <c r="AE7" s="97">
        <v>6</v>
      </c>
      <c r="AF7" s="4522"/>
      <c r="AG7" s="36"/>
      <c r="AH7" s="97"/>
      <c r="AI7" s="36"/>
      <c r="AJ7" s="1346"/>
      <c r="AK7" s="95"/>
      <c r="AL7" s="1281"/>
      <c r="AM7" s="97"/>
      <c r="AR7" s="3518"/>
      <c r="AS7" s="3518"/>
      <c r="AT7" s="3820">
        <f>AR7-AU7</f>
        <v>0</v>
      </c>
      <c r="AU7" s="3518"/>
      <c r="AW7" s="37"/>
      <c r="AX7" s="37"/>
      <c r="AY7" s="37"/>
      <c r="AZ7" s="694"/>
      <c r="BA7" s="63"/>
      <c r="BB7" s="837"/>
      <c r="BC7" s="2043"/>
      <c r="BE7" s="37"/>
      <c r="BF7" s="37"/>
      <c r="BG7" s="37" t="s">
        <v>114</v>
      </c>
      <c r="BH7" s="694">
        <v>7.13</v>
      </c>
      <c r="BI7" s="63">
        <v>16</v>
      </c>
      <c r="BJ7" s="134">
        <f t="shared" ref="BJ7:BJ70" si="4">BH7-6</f>
        <v>1.1299999999999999</v>
      </c>
      <c r="BL7" s="97"/>
      <c r="BM7" s="97"/>
      <c r="BN7" s="42" t="s">
        <v>115</v>
      </c>
      <c r="BO7" s="134">
        <v>6.38</v>
      </c>
      <c r="BP7" s="97">
        <v>8</v>
      </c>
      <c r="BQ7" s="134">
        <f>BO7-5</f>
        <v>1.38</v>
      </c>
      <c r="BR7" s="1"/>
      <c r="BS7" s="1274"/>
      <c r="BT7" s="1274"/>
      <c r="BU7" s="1275" t="s">
        <v>115</v>
      </c>
      <c r="BV7" s="1276">
        <v>6</v>
      </c>
      <c r="BW7" s="1277">
        <v>9</v>
      </c>
      <c r="BX7" s="134">
        <f>BV7-5</f>
        <v>1</v>
      </c>
      <c r="BZ7" s="774"/>
      <c r="CA7" s="774"/>
      <c r="CB7" s="775" t="s">
        <v>114</v>
      </c>
      <c r="CC7" s="776">
        <v>7.5294117647058805</v>
      </c>
      <c r="CD7" s="777">
        <v>17</v>
      </c>
      <c r="CE7" s="778">
        <f>CC7-6</f>
        <v>1.5294117647058805</v>
      </c>
      <c r="CG7" s="613"/>
      <c r="CH7" s="613"/>
      <c r="CI7" s="613"/>
      <c r="CJ7" s="389" t="s">
        <v>114</v>
      </c>
      <c r="CK7" s="391">
        <v>8.2857142857142883</v>
      </c>
      <c r="CL7" s="390">
        <v>14</v>
      </c>
      <c r="CM7" s="690">
        <v>2.7576068618270453</v>
      </c>
      <c r="CN7" s="779">
        <f>CK7-6</f>
        <v>2.2857142857142883</v>
      </c>
      <c r="CP7" s="780"/>
      <c r="CQ7" s="780"/>
      <c r="CR7" s="781" t="s">
        <v>114</v>
      </c>
      <c r="CS7" s="782">
        <v>8.1538461538461533</v>
      </c>
      <c r="CT7" s="782">
        <f t="shared" ref="CT7:CT16" si="5">CS7-DD7</f>
        <v>2.1538461538461533</v>
      </c>
      <c r="CU7" s="783">
        <v>26</v>
      </c>
      <c r="CV7" s="782">
        <v>9.8461538461538485</v>
      </c>
      <c r="CW7" s="782">
        <f>CV7-DD7</f>
        <v>3.8461538461538485</v>
      </c>
      <c r="CY7" s="63"/>
      <c r="CZ7" s="63"/>
      <c r="DA7" s="37" t="s">
        <v>114</v>
      </c>
      <c r="DB7" s="63">
        <v>18</v>
      </c>
      <c r="DC7" s="694">
        <v>13.611111111111107</v>
      </c>
      <c r="DD7" s="63">
        <v>6</v>
      </c>
      <c r="DE7" s="694">
        <f t="shared" ref="DE7:DE58" si="6">+DC7-DD7</f>
        <v>7.6111111111111072</v>
      </c>
      <c r="DF7" s="37"/>
      <c r="DG7" s="37"/>
      <c r="DH7" s="784"/>
      <c r="DI7" s="785"/>
      <c r="DJ7" s="784" t="s">
        <v>114</v>
      </c>
      <c r="DK7" s="786">
        <v>11.5</v>
      </c>
      <c r="DL7" s="785">
        <v>10</v>
      </c>
      <c r="DM7" s="787">
        <v>6</v>
      </c>
      <c r="DN7" s="786">
        <f>DK7-6</f>
        <v>5.5</v>
      </c>
    </row>
    <row r="8" spans="1:118">
      <c r="A8" s="5797">
        <v>1</v>
      </c>
      <c r="B8" s="5797">
        <v>1</v>
      </c>
      <c r="C8" s="5796" t="s">
        <v>2733</v>
      </c>
      <c r="D8" s="5798">
        <v>7.1</v>
      </c>
      <c r="E8" s="5797">
        <v>6</v>
      </c>
      <c r="F8" s="1281">
        <f t="shared" si="1"/>
        <v>1.0999999999999996</v>
      </c>
      <c r="G8" s="4565">
        <v>6</v>
      </c>
      <c r="I8" s="5034">
        <v>1</v>
      </c>
      <c r="J8" s="5034">
        <v>1</v>
      </c>
      <c r="K8" s="5035" t="s">
        <v>2733</v>
      </c>
      <c r="L8" s="5036">
        <v>7.1</v>
      </c>
      <c r="M8" s="5034">
        <v>6</v>
      </c>
      <c r="N8" s="1281">
        <f t="shared" si="2"/>
        <v>1.0999999999999996</v>
      </c>
      <c r="O8" s="4565">
        <v>6</v>
      </c>
      <c r="P8" s="97"/>
      <c r="Q8" s="4561">
        <v>1</v>
      </c>
      <c r="R8" s="4561">
        <v>1</v>
      </c>
      <c r="S8" s="4562" t="s">
        <v>2734</v>
      </c>
      <c r="T8" s="4563">
        <v>6.5303030303030303</v>
      </c>
      <c r="U8" s="4564">
        <v>14</v>
      </c>
      <c r="V8" s="1281">
        <f t="shared" si="3"/>
        <v>0.53030303030303028</v>
      </c>
      <c r="W8" s="4565">
        <v>6</v>
      </c>
      <c r="Y8" s="36"/>
      <c r="Z8" s="36"/>
      <c r="AA8" s="36" t="s">
        <v>607</v>
      </c>
      <c r="AB8" s="1346">
        <v>9</v>
      </c>
      <c r="AC8" s="95">
        <v>2</v>
      </c>
      <c r="AD8" s="1281">
        <f t="shared" si="0"/>
        <v>3</v>
      </c>
      <c r="AE8" s="97">
        <v>6</v>
      </c>
      <c r="AF8" s="4522"/>
      <c r="AG8" s="36"/>
      <c r="AH8" s="97"/>
      <c r="AI8" s="36" t="s">
        <v>115</v>
      </c>
      <c r="AJ8" s="1346">
        <v>7</v>
      </c>
      <c r="AK8" s="95">
        <v>13</v>
      </c>
      <c r="AL8" s="1281">
        <f>AJ8-6</f>
        <v>1</v>
      </c>
      <c r="AM8" s="97">
        <v>6</v>
      </c>
      <c r="AQ8" s="39" t="s">
        <v>115</v>
      </c>
      <c r="AR8" s="3518">
        <v>7.3</v>
      </c>
      <c r="AS8" s="3518">
        <v>10</v>
      </c>
      <c r="AT8" s="3820">
        <f>AR8-AU8</f>
        <v>1.2999999999999998</v>
      </c>
      <c r="AU8" s="3518">
        <v>6</v>
      </c>
      <c r="AW8" s="37"/>
      <c r="AX8" s="37"/>
      <c r="AY8" s="37" t="s">
        <v>115</v>
      </c>
      <c r="AZ8" s="694">
        <v>6.38</v>
      </c>
      <c r="BA8" s="63">
        <v>8</v>
      </c>
      <c r="BB8" s="837">
        <f t="shared" ref="BB8:BB70" si="7">AZ8-BC8</f>
        <v>0.37999999999999989</v>
      </c>
      <c r="BC8" s="2043">
        <v>6</v>
      </c>
      <c r="BE8" s="37"/>
      <c r="BF8" s="37"/>
      <c r="BG8" s="37" t="s">
        <v>115</v>
      </c>
      <c r="BH8" s="694">
        <v>6.5</v>
      </c>
      <c r="BI8" s="63">
        <v>16</v>
      </c>
      <c r="BJ8" s="134">
        <f t="shared" si="4"/>
        <v>0.5</v>
      </c>
      <c r="BL8" s="97"/>
      <c r="BM8" s="97"/>
      <c r="BN8" s="42" t="s">
        <v>607</v>
      </c>
      <c r="BO8" s="134">
        <v>7.67</v>
      </c>
      <c r="BP8" s="97">
        <v>9</v>
      </c>
      <c r="BQ8" s="134">
        <f t="shared" ref="BQ8:BQ70" si="8">BO8-6</f>
        <v>1.67</v>
      </c>
      <c r="BR8" s="1"/>
      <c r="BS8" s="1274"/>
      <c r="BT8" s="1274"/>
      <c r="BU8" s="1275" t="s">
        <v>607</v>
      </c>
      <c r="BV8" s="1276">
        <v>7.4</v>
      </c>
      <c r="BW8" s="1277">
        <v>5</v>
      </c>
      <c r="BX8" s="134">
        <f t="shared" ref="BX8:BX68" si="9">BV8-6</f>
        <v>1.4000000000000004</v>
      </c>
      <c r="BZ8" s="774"/>
      <c r="CA8" s="774"/>
      <c r="CB8" s="775" t="s">
        <v>115</v>
      </c>
      <c r="CC8" s="776">
        <v>6</v>
      </c>
      <c r="CD8" s="777">
        <v>12</v>
      </c>
      <c r="CE8" s="778">
        <f>CC8-5</f>
        <v>1</v>
      </c>
      <c r="CG8" s="613"/>
      <c r="CH8" s="613"/>
      <c r="CI8" s="613"/>
      <c r="CJ8" s="389" t="s">
        <v>115</v>
      </c>
      <c r="CK8" s="391">
        <v>7.25</v>
      </c>
      <c r="CL8" s="390">
        <v>8</v>
      </c>
      <c r="CM8" s="690">
        <v>1.8322507626258087</v>
      </c>
      <c r="CN8" s="779">
        <f>CK8-5</f>
        <v>2.25</v>
      </c>
      <c r="CP8" s="780"/>
      <c r="CQ8" s="780"/>
      <c r="CR8" s="781" t="s">
        <v>115</v>
      </c>
      <c r="CS8" s="782">
        <v>5.8333333333333339</v>
      </c>
      <c r="CT8" s="782">
        <f t="shared" si="5"/>
        <v>0.83333333333333393</v>
      </c>
      <c r="CU8" s="783">
        <v>12</v>
      </c>
      <c r="CV8" s="782">
        <v>6.1666666666666661</v>
      </c>
      <c r="CW8" s="782">
        <f>CV8-DD8</f>
        <v>1.1666666666666661</v>
      </c>
      <c r="CY8" s="63"/>
      <c r="CZ8" s="63"/>
      <c r="DA8" s="37" t="s">
        <v>115</v>
      </c>
      <c r="DB8" s="63">
        <v>9</v>
      </c>
      <c r="DC8" s="694">
        <v>8.4444444444444446</v>
      </c>
      <c r="DD8" s="63">
        <v>5</v>
      </c>
      <c r="DE8" s="694">
        <f t="shared" si="6"/>
        <v>3.4444444444444446</v>
      </c>
      <c r="DF8" s="37"/>
      <c r="DG8" s="37"/>
      <c r="DH8" s="784"/>
      <c r="DI8" s="785"/>
      <c r="DJ8" s="784" t="s">
        <v>115</v>
      </c>
      <c r="DK8" s="786">
        <v>7.125</v>
      </c>
      <c r="DL8" s="785">
        <v>8</v>
      </c>
      <c r="DM8" s="787">
        <v>5</v>
      </c>
      <c r="DN8" s="786">
        <f>DK8-5</f>
        <v>2.125</v>
      </c>
    </row>
    <row r="9" spans="1:118">
      <c r="A9" s="5797">
        <v>1</v>
      </c>
      <c r="B9" s="5797">
        <v>1</v>
      </c>
      <c r="C9" s="5796" t="s">
        <v>2734</v>
      </c>
      <c r="D9" s="5798">
        <v>8.1428571428571423</v>
      </c>
      <c r="E9" s="5797">
        <v>9</v>
      </c>
      <c r="F9" s="1281">
        <f t="shared" si="1"/>
        <v>2.1428571428571423</v>
      </c>
      <c r="G9" s="4565">
        <v>6</v>
      </c>
      <c r="I9" s="5034">
        <v>1</v>
      </c>
      <c r="J9" s="5034">
        <v>1</v>
      </c>
      <c r="K9" s="5035" t="s">
        <v>2734</v>
      </c>
      <c r="L9" s="5036">
        <v>8.1666666666666679</v>
      </c>
      <c r="M9" s="5034">
        <v>9</v>
      </c>
      <c r="N9" s="1281">
        <f t="shared" si="2"/>
        <v>2.1666666666666679</v>
      </c>
      <c r="O9" s="4565">
        <v>6</v>
      </c>
      <c r="P9" s="97"/>
      <c r="Q9" s="4561">
        <v>1</v>
      </c>
      <c r="R9" s="4561">
        <v>1</v>
      </c>
      <c r="S9" s="4562" t="s">
        <v>607</v>
      </c>
      <c r="T9" s="4563">
        <v>8.3333333333333339</v>
      </c>
      <c r="U9" s="4564">
        <v>3</v>
      </c>
      <c r="V9" s="1281">
        <f t="shared" si="3"/>
        <v>2.3333333333333339</v>
      </c>
      <c r="W9" s="4565">
        <v>6</v>
      </c>
      <c r="Y9" s="36"/>
      <c r="Z9" s="36"/>
      <c r="AA9" s="36" t="s">
        <v>606</v>
      </c>
      <c r="AB9" s="1346">
        <v>9</v>
      </c>
      <c r="AC9" s="95">
        <v>2</v>
      </c>
      <c r="AD9" s="1281">
        <f t="shared" si="0"/>
        <v>3</v>
      </c>
      <c r="AE9" s="97">
        <v>6</v>
      </c>
      <c r="AF9" s="4522"/>
      <c r="AG9" s="36"/>
      <c r="AH9" s="97"/>
      <c r="AI9" s="36" t="s">
        <v>607</v>
      </c>
      <c r="AJ9" s="1346">
        <v>8.33</v>
      </c>
      <c r="AK9" s="95">
        <v>9</v>
      </c>
      <c r="AL9" s="1281">
        <f>AJ9-6</f>
        <v>2.33</v>
      </c>
      <c r="AM9" s="97">
        <v>6</v>
      </c>
      <c r="AQ9" s="39" t="s">
        <v>607</v>
      </c>
      <c r="AR9" s="3518">
        <v>8</v>
      </c>
      <c r="AS9" s="3518">
        <v>8</v>
      </c>
      <c r="AT9" s="3820">
        <f>AR9-AU9</f>
        <v>2</v>
      </c>
      <c r="AU9" s="3518">
        <v>6</v>
      </c>
      <c r="AW9" s="37"/>
      <c r="AX9" s="37"/>
      <c r="AY9" s="37" t="s">
        <v>607</v>
      </c>
      <c r="AZ9" s="694">
        <v>7.5</v>
      </c>
      <c r="BA9" s="63">
        <v>8</v>
      </c>
      <c r="BB9" s="837">
        <f t="shared" si="7"/>
        <v>1.5</v>
      </c>
      <c r="BC9" s="2043">
        <v>6</v>
      </c>
      <c r="BE9" s="37"/>
      <c r="BF9" s="37"/>
      <c r="BG9" s="37" t="s">
        <v>607</v>
      </c>
      <c r="BH9" s="694">
        <v>7.75</v>
      </c>
      <c r="BI9" s="63">
        <v>12</v>
      </c>
      <c r="BJ9" s="134">
        <f t="shared" si="4"/>
        <v>1.75</v>
      </c>
      <c r="BL9" s="97"/>
      <c r="BM9" s="97"/>
      <c r="BN9" s="42" t="s">
        <v>606</v>
      </c>
      <c r="BO9" s="134">
        <v>8</v>
      </c>
      <c r="BP9" s="97">
        <v>3</v>
      </c>
      <c r="BQ9" s="134">
        <f t="shared" si="8"/>
        <v>2</v>
      </c>
      <c r="BR9" s="1"/>
      <c r="BS9" s="1274"/>
      <c r="BT9" s="1274"/>
      <c r="BU9" s="1275" t="s">
        <v>606</v>
      </c>
      <c r="BV9" s="1276">
        <v>8.3333333333333339</v>
      </c>
      <c r="BW9" s="1277">
        <v>3</v>
      </c>
      <c r="BX9" s="134">
        <f t="shared" si="9"/>
        <v>2.3333333333333339</v>
      </c>
      <c r="BZ9" s="774"/>
      <c r="CA9" s="774"/>
      <c r="CB9" s="775" t="s">
        <v>607</v>
      </c>
      <c r="CC9" s="776">
        <v>7.6</v>
      </c>
      <c r="CD9" s="777">
        <v>5</v>
      </c>
      <c r="CE9" s="778">
        <f>CC9-6</f>
        <v>1.5999999999999996</v>
      </c>
      <c r="CG9" s="613"/>
      <c r="CH9" s="613"/>
      <c r="CI9" s="613"/>
      <c r="CJ9" s="709" t="s">
        <v>482</v>
      </c>
      <c r="CK9" s="394">
        <v>7.9565217391304337</v>
      </c>
      <c r="CL9" s="395">
        <v>23</v>
      </c>
      <c r="CM9" s="710">
        <v>2.4210865492690226</v>
      </c>
      <c r="CN9" s="788">
        <f>+(CL6*CN6+CL7*CN7+CL8*CN8)/CL9</f>
        <v>2.3043478260869579</v>
      </c>
      <c r="CP9" s="780"/>
      <c r="CQ9" s="780"/>
      <c r="CR9" s="789" t="s">
        <v>482</v>
      </c>
      <c r="CS9" s="788">
        <v>7.4615384615384626</v>
      </c>
      <c r="CT9" s="788">
        <f>+(CU6*CT6+CU7*CT7+CU8*CT8)/CU9</f>
        <v>1.7692307692307692</v>
      </c>
      <c r="CU9" s="790">
        <v>39</v>
      </c>
      <c r="CV9" s="788">
        <v>8.6923076923076952</v>
      </c>
      <c r="CW9" s="788">
        <f>+(CU6*CW6+CU7*CW7+CU8*CW8)/CU9</f>
        <v>3.0000000000000013</v>
      </c>
      <c r="CY9" s="63"/>
      <c r="CZ9" s="63"/>
      <c r="DA9" s="416" t="s">
        <v>15</v>
      </c>
      <c r="DB9" s="386">
        <v>31</v>
      </c>
      <c r="DC9" s="707">
        <v>15.38709677419355</v>
      </c>
      <c r="DD9" s="791"/>
      <c r="DE9" s="707">
        <f>+(DB6*DE6+DB7*DE7+DB8*DE8)/DB9</f>
        <v>9.6774193548387082</v>
      </c>
      <c r="DF9" s="792">
        <f>AVERAGE(DE6:DE8)</f>
        <v>14.685185185185183</v>
      </c>
      <c r="DG9" s="37"/>
      <c r="DH9" s="784"/>
      <c r="DI9" s="785"/>
      <c r="DJ9" s="785" t="s">
        <v>15</v>
      </c>
      <c r="DK9" s="786">
        <v>9.6842105263157876</v>
      </c>
      <c r="DL9" s="785">
        <v>19</v>
      </c>
      <c r="DM9" s="793"/>
      <c r="DN9" s="794">
        <f>AVERAGE(DN6:DN8)</f>
        <v>4.541666666666667</v>
      </c>
    </row>
    <row r="10" spans="1:118">
      <c r="A10" s="5797">
        <v>1</v>
      </c>
      <c r="B10" s="5797">
        <v>1</v>
      </c>
      <c r="C10" s="5796" t="s">
        <v>607</v>
      </c>
      <c r="D10" s="5798">
        <v>8.4166666666666679</v>
      </c>
      <c r="E10" s="5797">
        <v>8</v>
      </c>
      <c r="F10" s="1281">
        <f t="shared" si="1"/>
        <v>2.4166666666666679</v>
      </c>
      <c r="G10" s="4565">
        <v>6</v>
      </c>
      <c r="I10" s="5034">
        <v>1</v>
      </c>
      <c r="J10" s="5034">
        <v>1</v>
      </c>
      <c r="K10" s="5035" t="s">
        <v>607</v>
      </c>
      <c r="L10" s="5036">
        <v>8.7666666666666657</v>
      </c>
      <c r="M10" s="5034">
        <v>8</v>
      </c>
      <c r="N10" s="1281">
        <f t="shared" si="2"/>
        <v>2.7666666666666657</v>
      </c>
      <c r="O10" s="4565">
        <v>6</v>
      </c>
      <c r="P10" s="97"/>
      <c r="Q10" s="4561">
        <v>1</v>
      </c>
      <c r="R10" s="4561">
        <v>1</v>
      </c>
      <c r="S10" s="4562" t="s">
        <v>606</v>
      </c>
      <c r="T10" s="4563">
        <v>8.6666666666666679</v>
      </c>
      <c r="U10" s="4564">
        <v>4</v>
      </c>
      <c r="V10" s="1281">
        <f t="shared" si="3"/>
        <v>2.6666666666666679</v>
      </c>
      <c r="W10" s="4565">
        <v>6</v>
      </c>
      <c r="Y10" s="36"/>
      <c r="Z10" s="36"/>
      <c r="AA10" s="36" t="s">
        <v>2270</v>
      </c>
      <c r="AB10" s="1346">
        <v>6.75</v>
      </c>
      <c r="AC10" s="95">
        <v>16</v>
      </c>
      <c r="AD10" s="1281">
        <f t="shared" si="0"/>
        <v>0.75</v>
      </c>
      <c r="AE10" s="97">
        <v>6</v>
      </c>
      <c r="AF10" s="4522"/>
      <c r="AG10" s="36"/>
      <c r="AH10" s="97"/>
      <c r="AI10" s="36"/>
      <c r="AJ10" s="1346"/>
      <c r="AK10" s="95"/>
      <c r="AL10" s="1281"/>
      <c r="AM10" s="97"/>
      <c r="AQ10" s="39" t="s">
        <v>2270</v>
      </c>
      <c r="AR10" s="3518">
        <v>7</v>
      </c>
      <c r="AS10" s="3518">
        <v>8</v>
      </c>
      <c r="AT10" s="3820">
        <f>AR10-AU10</f>
        <v>1</v>
      </c>
      <c r="AU10" s="3518">
        <v>6</v>
      </c>
      <c r="AW10" s="37"/>
      <c r="AX10" s="37"/>
      <c r="AY10" s="37" t="s">
        <v>606</v>
      </c>
      <c r="AZ10" s="694">
        <v>8</v>
      </c>
      <c r="BA10" s="63">
        <v>6</v>
      </c>
      <c r="BB10" s="837">
        <f t="shared" si="7"/>
        <v>2</v>
      </c>
      <c r="BC10" s="2043">
        <v>6</v>
      </c>
      <c r="BE10" s="37"/>
      <c r="BF10" s="37"/>
      <c r="BG10" s="37" t="s">
        <v>606</v>
      </c>
      <c r="BH10" s="694">
        <v>7.67</v>
      </c>
      <c r="BI10" s="63">
        <v>3</v>
      </c>
      <c r="BJ10" s="134">
        <f t="shared" si="4"/>
        <v>1.67</v>
      </c>
      <c r="BL10" s="97"/>
      <c r="BM10" s="97"/>
      <c r="BN10" s="893" t="s">
        <v>482</v>
      </c>
      <c r="BO10" s="894">
        <v>7.2</v>
      </c>
      <c r="BP10" s="135">
        <v>51</v>
      </c>
      <c r="BQ10" s="800">
        <f>+(BP6*BQ6+BP7*BQ7+BP8*BQ8+BP9*BQ9)/BP10</f>
        <v>1.3521568627450982</v>
      </c>
      <c r="BR10" s="1"/>
      <c r="BS10" s="1274"/>
      <c r="BT10" s="1274"/>
      <c r="BU10" s="1275"/>
      <c r="BV10" s="1276"/>
      <c r="BW10" s="1277"/>
      <c r="BX10" s="134"/>
      <c r="BZ10" s="774"/>
      <c r="CA10" s="774"/>
      <c r="CB10" s="775" t="s">
        <v>606</v>
      </c>
      <c r="CC10" s="776">
        <v>7</v>
      </c>
      <c r="CD10" s="777">
        <v>1</v>
      </c>
      <c r="CE10" s="778">
        <f t="shared" ref="CE10:CE67" si="10">CC10-6</f>
        <v>1</v>
      </c>
      <c r="CG10" s="613"/>
      <c r="CH10" s="613"/>
      <c r="CI10" s="613" t="s">
        <v>16</v>
      </c>
      <c r="CJ10" s="389" t="s">
        <v>116</v>
      </c>
      <c r="CK10" s="391">
        <v>7.25</v>
      </c>
      <c r="CL10" s="390">
        <v>4</v>
      </c>
      <c r="CM10" s="795">
        <v>0.49999999999999994</v>
      </c>
      <c r="CN10" s="796">
        <f>CK10-6</f>
        <v>1.25</v>
      </c>
      <c r="CP10" s="780"/>
      <c r="CQ10" s="780" t="s">
        <v>16</v>
      </c>
      <c r="CR10" s="781" t="s">
        <v>116</v>
      </c>
      <c r="CS10" s="782">
        <v>7.5</v>
      </c>
      <c r="CT10" s="782">
        <f t="shared" si="5"/>
        <v>1.5</v>
      </c>
      <c r="CU10" s="783">
        <v>2</v>
      </c>
      <c r="CV10" s="782">
        <v>7.5</v>
      </c>
      <c r="CW10" s="782">
        <f>CV10-DD10</f>
        <v>1.5</v>
      </c>
      <c r="CY10" s="63"/>
      <c r="CZ10" s="63" t="s">
        <v>16</v>
      </c>
      <c r="DA10" s="37" t="s">
        <v>116</v>
      </c>
      <c r="DB10" s="63">
        <v>3</v>
      </c>
      <c r="DC10" s="694">
        <v>7.333333333333333</v>
      </c>
      <c r="DD10" s="63">
        <v>6</v>
      </c>
      <c r="DE10" s="694">
        <f t="shared" si="6"/>
        <v>1.333333333333333</v>
      </c>
      <c r="DF10" s="37"/>
      <c r="DG10" s="37"/>
      <c r="DH10" s="784"/>
      <c r="DI10" s="785" t="s">
        <v>16</v>
      </c>
      <c r="DJ10" s="784" t="s">
        <v>116</v>
      </c>
      <c r="DK10" s="786">
        <v>6.6</v>
      </c>
      <c r="DL10" s="785">
        <v>5</v>
      </c>
      <c r="DM10" s="787">
        <v>6</v>
      </c>
      <c r="DN10" s="786">
        <f>DK10-6</f>
        <v>0.59999999999999964</v>
      </c>
    </row>
    <row r="11" spans="1:118">
      <c r="A11" s="5797">
        <v>1</v>
      </c>
      <c r="B11" s="5797">
        <v>1</v>
      </c>
      <c r="C11" s="5796" t="s">
        <v>606</v>
      </c>
      <c r="D11" s="5798">
        <v>9</v>
      </c>
      <c r="E11" s="5797">
        <v>1</v>
      </c>
      <c r="F11" s="1281">
        <f t="shared" si="1"/>
        <v>3</v>
      </c>
      <c r="G11" s="97">
        <v>6</v>
      </c>
      <c r="I11" s="5034">
        <v>1</v>
      </c>
      <c r="J11" s="5034">
        <v>1</v>
      </c>
      <c r="K11" s="5035" t="s">
        <v>606</v>
      </c>
      <c r="L11" s="5036">
        <v>9</v>
      </c>
      <c r="M11" s="5034">
        <v>1</v>
      </c>
      <c r="N11" s="1281">
        <f t="shared" si="2"/>
        <v>3</v>
      </c>
      <c r="O11" s="97">
        <v>6</v>
      </c>
      <c r="P11" s="97"/>
      <c r="Q11" s="4561"/>
      <c r="R11" s="4561"/>
      <c r="S11" s="4520" t="s">
        <v>482</v>
      </c>
      <c r="T11" s="4569"/>
      <c r="U11" s="4568">
        <f>SUM(U6:U10)</f>
        <v>33</v>
      </c>
      <c r="V11" s="1675">
        <f>+(U6*V6+U7*V7+U8*V8+U9*V9+U10*V10)/U11</f>
        <v>0.87699724517906352</v>
      </c>
      <c r="Y11" s="36"/>
      <c r="Z11" s="36"/>
      <c r="AA11" s="36" t="s">
        <v>2660</v>
      </c>
      <c r="AB11" s="1346">
        <v>6</v>
      </c>
      <c r="AC11" s="95">
        <v>1</v>
      </c>
      <c r="AD11" s="1281">
        <f t="shared" si="0"/>
        <v>0</v>
      </c>
      <c r="AE11" s="97">
        <v>6</v>
      </c>
      <c r="AF11" s="4522"/>
      <c r="AG11" s="36"/>
      <c r="AH11" s="97"/>
      <c r="AI11" s="36" t="s">
        <v>2270</v>
      </c>
      <c r="AJ11" s="1346">
        <v>6.73</v>
      </c>
      <c r="AK11" s="95">
        <v>15</v>
      </c>
      <c r="AL11" s="1281">
        <f>AJ11-6</f>
        <v>0.73000000000000043</v>
      </c>
      <c r="AM11" s="97">
        <v>6</v>
      </c>
      <c r="AQ11" s="3814" t="s">
        <v>482</v>
      </c>
      <c r="AR11" s="3816">
        <v>7.52</v>
      </c>
      <c r="AS11" s="3816">
        <v>29</v>
      </c>
      <c r="AT11" s="3844">
        <f>+(AS6*AT6+AS8*AT8+AS9*AT9+AS10*AT10)/AS11</f>
        <v>1.5168965517241377</v>
      </c>
      <c r="AU11" s="3518"/>
      <c r="AW11" s="37"/>
      <c r="AX11" s="37"/>
      <c r="AY11" s="37" t="s">
        <v>2270</v>
      </c>
      <c r="AZ11" s="694">
        <v>7.58</v>
      </c>
      <c r="BA11" s="63">
        <v>33</v>
      </c>
      <c r="BB11" s="837">
        <f t="shared" si="7"/>
        <v>1.58</v>
      </c>
      <c r="BC11" s="2043">
        <v>6</v>
      </c>
      <c r="BE11" s="37"/>
      <c r="BF11" s="37"/>
      <c r="BG11" s="37" t="s">
        <v>2270</v>
      </c>
      <c r="BH11" s="694">
        <v>7.73</v>
      </c>
      <c r="BI11" s="63">
        <v>15</v>
      </c>
      <c r="BJ11" s="134">
        <f t="shared" si="4"/>
        <v>1.7300000000000004</v>
      </c>
      <c r="BL11" s="97"/>
      <c r="BM11" s="97" t="s">
        <v>16</v>
      </c>
      <c r="BN11" s="42" t="s">
        <v>116</v>
      </c>
      <c r="BO11" s="134">
        <v>6.89</v>
      </c>
      <c r="BP11" s="97">
        <v>9</v>
      </c>
      <c r="BQ11" s="134">
        <f>BO11-6</f>
        <v>0.88999999999999968</v>
      </c>
      <c r="BR11" s="1"/>
      <c r="BS11" s="1274"/>
      <c r="BT11" s="1274"/>
      <c r="BU11" s="1278" t="s">
        <v>482</v>
      </c>
      <c r="BV11" s="1279">
        <v>7.1764705882352944</v>
      </c>
      <c r="BW11" s="1280">
        <v>34</v>
      </c>
      <c r="BX11" s="800">
        <f>+(BW6*BX6+BW7*BX7+BW8*BX8+BW9*BX9+BW10*BX10)/BW11</f>
        <v>1.4411764705882348</v>
      </c>
      <c r="BZ11" s="774"/>
      <c r="CA11" s="774"/>
      <c r="CB11" s="797" t="s">
        <v>482</v>
      </c>
      <c r="CC11" s="798">
        <v>7.3684210526315805</v>
      </c>
      <c r="CD11" s="799">
        <v>38</v>
      </c>
      <c r="CE11" s="800">
        <f>+(CD6*CE6+CD7*CE7+CD8*CE8+CD9*CE9+CD10*CE10)/CD11</f>
        <v>1.6842105263157887</v>
      </c>
      <c r="CG11" s="613"/>
      <c r="CH11" s="613"/>
      <c r="CI11" s="613"/>
      <c r="CJ11" s="389" t="s">
        <v>238</v>
      </c>
      <c r="CK11" s="391">
        <v>6</v>
      </c>
      <c r="CL11" s="390">
        <v>15</v>
      </c>
      <c r="CM11" s="690">
        <v>0</v>
      </c>
      <c r="CN11" s="796">
        <f>CK11-6</f>
        <v>0</v>
      </c>
      <c r="CP11" s="780"/>
      <c r="CQ11" s="780"/>
      <c r="CR11" s="781"/>
      <c r="CS11" s="782"/>
      <c r="CT11" s="782"/>
      <c r="CU11" s="783"/>
      <c r="CV11" s="782"/>
      <c r="CW11" s="782"/>
      <c r="CY11" s="63"/>
      <c r="CZ11" s="63"/>
      <c r="DA11" s="37" t="s">
        <v>238</v>
      </c>
      <c r="DB11" s="63">
        <v>10</v>
      </c>
      <c r="DC11" s="694">
        <v>6</v>
      </c>
      <c r="DD11" s="63">
        <v>6</v>
      </c>
      <c r="DE11" s="694">
        <f t="shared" si="6"/>
        <v>0</v>
      </c>
      <c r="DF11" s="37"/>
      <c r="DG11" s="37"/>
      <c r="DH11" s="784"/>
      <c r="DI11" s="785"/>
      <c r="DJ11" s="801" t="s">
        <v>730</v>
      </c>
      <c r="DK11" s="786">
        <v>6</v>
      </c>
      <c r="DL11" s="785">
        <v>2</v>
      </c>
      <c r="DM11" s="787">
        <v>6</v>
      </c>
      <c r="DN11" s="786">
        <f>DK11-6</f>
        <v>0</v>
      </c>
    </row>
    <row r="12" spans="1:118">
      <c r="A12" s="5797"/>
      <c r="B12" s="5797"/>
      <c r="C12" s="5799" t="s">
        <v>4</v>
      </c>
      <c r="D12" s="5798"/>
      <c r="E12" s="5799">
        <f>SUM(E6:E11)</f>
        <v>28</v>
      </c>
      <c r="F12" s="1675">
        <f>+(E6*F6+E7*F7+E8*F8+E9*F9+E10*F10+E11*F11)/E12</f>
        <v>1.597108843537415</v>
      </c>
      <c r="I12" s="5034"/>
      <c r="J12" s="5034"/>
      <c r="K12" s="4884" t="s">
        <v>482</v>
      </c>
      <c r="L12" s="5036"/>
      <c r="M12" s="5037">
        <f>SUM(M6:M11)</f>
        <v>29</v>
      </c>
      <c r="N12" s="1675">
        <f>+(M6*N6+M7*N7+M8*N8+M9*N9+M10*N10+M11*N11)/M12</f>
        <v>1.542528735632184</v>
      </c>
      <c r="O12" s="4566"/>
      <c r="Q12" s="4561">
        <v>1</v>
      </c>
      <c r="R12" s="4561">
        <v>2</v>
      </c>
      <c r="S12" s="4562" t="s">
        <v>2068</v>
      </c>
      <c r="T12" s="4563">
        <v>9</v>
      </c>
      <c r="U12" s="4564">
        <v>1</v>
      </c>
      <c r="V12" s="1281">
        <f t="shared" si="3"/>
        <v>3</v>
      </c>
      <c r="W12" s="4566">
        <v>6</v>
      </c>
      <c r="Y12" s="36"/>
      <c r="Z12" s="36"/>
      <c r="AA12" s="393" t="s">
        <v>482</v>
      </c>
      <c r="AB12" s="1361">
        <v>6.76</v>
      </c>
      <c r="AC12" s="4520">
        <v>38</v>
      </c>
      <c r="AD12" s="1675">
        <f>+(AC6*AD6+AC7*AD7+AC8*AD8+AC9*AD9+AC10*AD10+AC11*AD11)/AC12</f>
        <v>0.76447368421052631</v>
      </c>
      <c r="AE12" s="97">
        <v>6</v>
      </c>
      <c r="AF12" s="4522"/>
      <c r="AG12" s="36"/>
      <c r="AH12" s="97"/>
      <c r="AI12" s="393" t="s">
        <v>482</v>
      </c>
      <c r="AJ12" s="1361">
        <v>7.3</v>
      </c>
      <c r="AK12" s="3794">
        <v>40</v>
      </c>
      <c r="AL12" s="1675">
        <f>+(AK6*AL6+AK8*AL8+AK9*AL9+AK11*AL11)/AK12</f>
        <v>1.2977500000000002</v>
      </c>
      <c r="AM12" s="97"/>
      <c r="AP12" s="39" t="s">
        <v>16</v>
      </c>
      <c r="AQ12" s="39" t="s">
        <v>116</v>
      </c>
      <c r="AR12" s="3518">
        <v>7.33</v>
      </c>
      <c r="AS12" s="3518">
        <v>3</v>
      </c>
      <c r="AT12" s="3820">
        <f t="shared" ref="AT12:AT17" si="11">AR12-AU12</f>
        <v>7.33</v>
      </c>
      <c r="AU12" s="3518"/>
      <c r="AW12" s="37"/>
      <c r="AX12" s="37"/>
      <c r="AY12" s="416" t="s">
        <v>482</v>
      </c>
      <c r="AZ12" s="707">
        <v>7.43</v>
      </c>
      <c r="BA12" s="2040">
        <v>56</v>
      </c>
      <c r="BB12" s="800">
        <f>+(BA6*BB6+BA7*BB7+BA8*BB8+BA9*BB9+BA10*BB10+BA11*BB11)/BA12</f>
        <v>1.4317857142857144</v>
      </c>
      <c r="BC12" s="2043"/>
      <c r="BE12" s="37"/>
      <c r="BF12" s="37"/>
      <c r="BG12" s="416" t="s">
        <v>482</v>
      </c>
      <c r="BH12" s="707">
        <v>7.17</v>
      </c>
      <c r="BI12" s="386">
        <v>65</v>
      </c>
      <c r="BJ12" s="800">
        <f>+(BI6*BJ6+BI7*BJ7+BI8*BJ8+BI9*BJ9+BI10*BJ10+BI11*BJ11)/BI12</f>
        <v>1.1696923076923078</v>
      </c>
      <c r="BL12" s="97"/>
      <c r="BM12" s="97"/>
      <c r="BN12" s="42" t="s">
        <v>238</v>
      </c>
      <c r="BO12" s="134">
        <v>6</v>
      </c>
      <c r="BP12" s="97">
        <v>4</v>
      </c>
      <c r="BQ12" s="134">
        <f>BO12-6</f>
        <v>0</v>
      </c>
      <c r="BR12" s="1"/>
      <c r="BS12" s="1274"/>
      <c r="BT12" s="1274" t="s">
        <v>16</v>
      </c>
      <c r="BU12" s="1275" t="s">
        <v>116</v>
      </c>
      <c r="BV12" s="1276">
        <v>6.7</v>
      </c>
      <c r="BW12" s="1277">
        <v>10</v>
      </c>
      <c r="BX12" s="134">
        <f t="shared" si="9"/>
        <v>0.70000000000000018</v>
      </c>
      <c r="BZ12" s="774"/>
      <c r="CA12" s="774" t="s">
        <v>16</v>
      </c>
      <c r="CB12" s="775" t="s">
        <v>116</v>
      </c>
      <c r="CC12" s="776">
        <v>6.5</v>
      </c>
      <c r="CD12" s="777">
        <v>2</v>
      </c>
      <c r="CE12" s="778">
        <f t="shared" si="10"/>
        <v>0.5</v>
      </c>
      <c r="CG12" s="613"/>
      <c r="CH12" s="613"/>
      <c r="CI12" s="613"/>
      <c r="CJ12" s="389" t="s">
        <v>118</v>
      </c>
      <c r="CK12" s="391">
        <v>6</v>
      </c>
      <c r="CL12" s="390">
        <v>1</v>
      </c>
      <c r="CM12" s="614"/>
      <c r="CN12" s="796">
        <f>CK12-6</f>
        <v>0</v>
      </c>
      <c r="CP12" s="780"/>
      <c r="CQ12" s="780"/>
      <c r="CR12" s="781" t="s">
        <v>730</v>
      </c>
      <c r="CS12" s="782">
        <v>6</v>
      </c>
      <c r="CT12" s="782">
        <f t="shared" si="5"/>
        <v>0</v>
      </c>
      <c r="CU12" s="783">
        <v>1</v>
      </c>
      <c r="CV12" s="782">
        <v>25</v>
      </c>
      <c r="CW12" s="782">
        <f>CV12-DD12</f>
        <v>19</v>
      </c>
      <c r="CY12" s="63"/>
      <c r="CZ12" s="63"/>
      <c r="DA12" s="37" t="s">
        <v>730</v>
      </c>
      <c r="DB12" s="63">
        <v>3</v>
      </c>
      <c r="DC12" s="694">
        <v>20.333333333333332</v>
      </c>
      <c r="DD12" s="63">
        <v>6</v>
      </c>
      <c r="DE12" s="694">
        <f t="shared" si="6"/>
        <v>14.333333333333332</v>
      </c>
      <c r="DF12" s="37"/>
      <c r="DG12" s="37"/>
      <c r="DH12" s="784"/>
      <c r="DI12" s="785"/>
      <c r="DJ12" s="784" t="s">
        <v>117</v>
      </c>
      <c r="DK12" s="786">
        <v>6.4166666666666661</v>
      </c>
      <c r="DL12" s="785">
        <v>12</v>
      </c>
      <c r="DM12" s="787">
        <v>6</v>
      </c>
      <c r="DN12" s="786">
        <f>DK12-6</f>
        <v>0.41666666666666607</v>
      </c>
    </row>
    <row r="13" spans="1:118">
      <c r="A13" s="5797">
        <v>1</v>
      </c>
      <c r="B13" s="5797">
        <v>2</v>
      </c>
      <c r="C13" s="5796" t="s">
        <v>2068</v>
      </c>
      <c r="D13" s="5798">
        <v>6.5</v>
      </c>
      <c r="E13" s="5797">
        <v>4</v>
      </c>
      <c r="F13" s="1281">
        <f t="shared" ref="F13:F21" si="12">D13-G13</f>
        <v>0.5</v>
      </c>
      <c r="G13" s="97">
        <v>6</v>
      </c>
      <c r="I13" s="5034">
        <v>1</v>
      </c>
      <c r="J13" s="5034">
        <v>2</v>
      </c>
      <c r="K13" s="5035" t="s">
        <v>2068</v>
      </c>
      <c r="L13" s="5036">
        <v>6.5</v>
      </c>
      <c r="M13" s="5034">
        <v>3</v>
      </c>
      <c r="N13" s="1281">
        <f t="shared" si="2"/>
        <v>0.5</v>
      </c>
      <c r="O13" s="4566">
        <v>6</v>
      </c>
      <c r="Q13" s="4561">
        <v>1</v>
      </c>
      <c r="R13" s="4561">
        <v>2</v>
      </c>
      <c r="S13" s="4562" t="s">
        <v>269</v>
      </c>
      <c r="T13" s="4563">
        <v>6.6</v>
      </c>
      <c r="U13" s="4564">
        <v>6</v>
      </c>
      <c r="V13" s="1281">
        <f t="shared" si="3"/>
        <v>0.59999999999999964</v>
      </c>
      <c r="W13" s="4566">
        <v>6</v>
      </c>
      <c r="Y13" s="36"/>
      <c r="Z13" s="36" t="s">
        <v>16</v>
      </c>
      <c r="AA13" s="36" t="s">
        <v>116</v>
      </c>
      <c r="AB13" s="1346">
        <v>6.29</v>
      </c>
      <c r="AC13" s="95">
        <v>7</v>
      </c>
      <c r="AD13" s="1281">
        <f t="shared" ref="AD13:AD18" si="13">AB13-6</f>
        <v>0.29000000000000004</v>
      </c>
      <c r="AE13" s="97">
        <v>6</v>
      </c>
      <c r="AF13" s="4522"/>
      <c r="AG13" s="36"/>
      <c r="AH13" s="97" t="s">
        <v>16</v>
      </c>
      <c r="AI13" s="36" t="s">
        <v>116</v>
      </c>
      <c r="AJ13" s="1346">
        <v>6.67</v>
      </c>
      <c r="AK13" s="95">
        <v>6</v>
      </c>
      <c r="AL13" s="1281">
        <f t="shared" ref="AL13:AL18" si="14">AJ13-6</f>
        <v>0.66999999999999993</v>
      </c>
      <c r="AM13" s="97">
        <v>6</v>
      </c>
      <c r="AQ13" s="39" t="s">
        <v>238</v>
      </c>
      <c r="AR13" s="3518">
        <v>6</v>
      </c>
      <c r="AS13" s="3518">
        <v>1</v>
      </c>
      <c r="AT13" s="3820">
        <f t="shared" si="11"/>
        <v>0</v>
      </c>
      <c r="AU13" s="3518">
        <v>6</v>
      </c>
      <c r="AW13" s="37"/>
      <c r="AX13" s="37" t="s">
        <v>16</v>
      </c>
      <c r="AY13" s="37" t="s">
        <v>116</v>
      </c>
      <c r="AZ13" s="694">
        <v>6.67</v>
      </c>
      <c r="BA13" s="63">
        <v>6</v>
      </c>
      <c r="BB13" s="837">
        <f t="shared" si="7"/>
        <v>0.66999999999999993</v>
      </c>
      <c r="BC13" s="2043">
        <v>6</v>
      </c>
      <c r="BE13" s="37"/>
      <c r="BF13" s="37" t="s">
        <v>16</v>
      </c>
      <c r="BG13" s="37" t="s">
        <v>116</v>
      </c>
      <c r="BH13" s="694">
        <v>7.5</v>
      </c>
      <c r="BI13" s="63">
        <v>8</v>
      </c>
      <c r="BJ13" s="134">
        <f t="shared" si="4"/>
        <v>1.5</v>
      </c>
      <c r="BL13" s="97"/>
      <c r="BM13" s="97"/>
      <c r="BN13" s="42" t="s">
        <v>117</v>
      </c>
      <c r="BO13" s="134">
        <v>7.07</v>
      </c>
      <c r="BP13" s="97">
        <v>15</v>
      </c>
      <c r="BQ13" s="134">
        <f>BO13-6</f>
        <v>1.0700000000000003</v>
      </c>
      <c r="BR13" s="1"/>
      <c r="BS13" s="1274"/>
      <c r="BT13" s="1274"/>
      <c r="BU13" s="1275" t="s">
        <v>238</v>
      </c>
      <c r="BV13" s="1276">
        <v>6</v>
      </c>
      <c r="BW13" s="1277">
        <v>6</v>
      </c>
      <c r="BX13" s="134">
        <f t="shared" si="9"/>
        <v>0</v>
      </c>
      <c r="BZ13" s="774"/>
      <c r="CA13" s="774"/>
      <c r="CB13" s="775" t="s">
        <v>238</v>
      </c>
      <c r="CC13" s="776">
        <v>6</v>
      </c>
      <c r="CD13" s="777">
        <v>5</v>
      </c>
      <c r="CE13" s="778">
        <f t="shared" si="10"/>
        <v>0</v>
      </c>
      <c r="CG13" s="613"/>
      <c r="CH13" s="613"/>
      <c r="CI13" s="613"/>
      <c r="CJ13" s="709" t="s">
        <v>483</v>
      </c>
      <c r="CK13" s="394">
        <v>6.2499999999999991</v>
      </c>
      <c r="CL13" s="395">
        <v>20</v>
      </c>
      <c r="CM13" s="802">
        <v>0.5501196042201808</v>
      </c>
      <c r="CN13" s="788">
        <f>+(CL10*CN10+CL11*CN11+CL12*CN12)/CL13</f>
        <v>0.25</v>
      </c>
      <c r="CP13" s="780"/>
      <c r="CQ13" s="780"/>
      <c r="CR13" s="781" t="s">
        <v>117</v>
      </c>
      <c r="CS13" s="782">
        <v>6.5</v>
      </c>
      <c r="CT13" s="782">
        <f t="shared" si="5"/>
        <v>0.5</v>
      </c>
      <c r="CU13" s="783">
        <v>10</v>
      </c>
      <c r="CV13" s="782">
        <v>7.3999999999999995</v>
      </c>
      <c r="CW13" s="782">
        <f>CV13-DD13</f>
        <v>1.3999999999999995</v>
      </c>
      <c r="CY13" s="63"/>
      <c r="CZ13" s="63"/>
      <c r="DA13" s="37" t="s">
        <v>117</v>
      </c>
      <c r="DB13" s="63">
        <v>6</v>
      </c>
      <c r="DC13" s="694">
        <v>6.6666666666666661</v>
      </c>
      <c r="DD13" s="63">
        <v>6</v>
      </c>
      <c r="DE13" s="694">
        <f t="shared" si="6"/>
        <v>0.66666666666666607</v>
      </c>
      <c r="DF13" s="37"/>
      <c r="DG13" s="37"/>
      <c r="DH13" s="784"/>
      <c r="DI13" s="785"/>
      <c r="DJ13" s="784" t="s">
        <v>118</v>
      </c>
      <c r="DK13" s="786">
        <v>9.3333333333333339</v>
      </c>
      <c r="DL13" s="785">
        <v>3</v>
      </c>
      <c r="DM13" s="787">
        <v>6</v>
      </c>
      <c r="DN13" s="786">
        <f>DK13-6</f>
        <v>3.3333333333333339</v>
      </c>
    </row>
    <row r="14" spans="1:118">
      <c r="A14" s="5797">
        <v>1</v>
      </c>
      <c r="B14" s="5797">
        <v>2</v>
      </c>
      <c r="C14" s="5796" t="s">
        <v>1706</v>
      </c>
      <c r="D14" s="5798">
        <v>6</v>
      </c>
      <c r="E14" s="5797">
        <v>11</v>
      </c>
      <c r="F14" s="1281">
        <f t="shared" si="12"/>
        <v>0</v>
      </c>
      <c r="G14" s="97">
        <v>6</v>
      </c>
      <c r="I14" s="5034">
        <v>1</v>
      </c>
      <c r="J14" s="5034">
        <v>2</v>
      </c>
      <c r="K14" s="5035" t="s">
        <v>269</v>
      </c>
      <c r="L14" s="5036">
        <v>10</v>
      </c>
      <c r="M14" s="5034">
        <v>1</v>
      </c>
      <c r="N14" s="1281">
        <f t="shared" si="2"/>
        <v>4</v>
      </c>
      <c r="O14" s="4566">
        <v>6</v>
      </c>
      <c r="Q14" s="4561">
        <v>1</v>
      </c>
      <c r="R14" s="4561">
        <v>2</v>
      </c>
      <c r="S14" s="4562" t="s">
        <v>1706</v>
      </c>
      <c r="T14" s="4563">
        <v>7.5</v>
      </c>
      <c r="U14" s="4564">
        <v>2</v>
      </c>
      <c r="V14" s="1281">
        <f t="shared" si="3"/>
        <v>1.5</v>
      </c>
      <c r="W14" s="4566">
        <v>6</v>
      </c>
      <c r="Y14" s="36"/>
      <c r="Z14" s="36"/>
      <c r="AA14" s="36" t="s">
        <v>238</v>
      </c>
      <c r="AB14" s="1346">
        <v>6.67</v>
      </c>
      <c r="AC14" s="95">
        <v>6</v>
      </c>
      <c r="AD14" s="1281">
        <f t="shared" si="13"/>
        <v>0.66999999999999993</v>
      </c>
      <c r="AE14" s="97">
        <v>6</v>
      </c>
      <c r="AF14" s="4522"/>
      <c r="AG14" s="36"/>
      <c r="AH14" s="97"/>
      <c r="AI14" s="36" t="s">
        <v>238</v>
      </c>
      <c r="AJ14" s="1346">
        <v>6</v>
      </c>
      <c r="AK14" s="95">
        <v>1</v>
      </c>
      <c r="AL14" s="1281">
        <f t="shared" si="14"/>
        <v>0</v>
      </c>
      <c r="AM14" s="97">
        <v>6</v>
      </c>
      <c r="AQ14" s="39" t="s">
        <v>117</v>
      </c>
      <c r="AR14" s="3518">
        <v>8</v>
      </c>
      <c r="AS14" s="3518">
        <v>1</v>
      </c>
      <c r="AT14" s="3820">
        <f t="shared" si="11"/>
        <v>2</v>
      </c>
      <c r="AU14" s="3518">
        <v>6</v>
      </c>
      <c r="AW14" s="37"/>
      <c r="AX14" s="37"/>
      <c r="AY14" s="37" t="s">
        <v>238</v>
      </c>
      <c r="AZ14" s="694">
        <v>6.29</v>
      </c>
      <c r="BA14" s="63">
        <v>7</v>
      </c>
      <c r="BB14" s="837">
        <f t="shared" si="7"/>
        <v>0.29000000000000004</v>
      </c>
      <c r="BC14" s="2043">
        <v>6</v>
      </c>
      <c r="BE14" s="37"/>
      <c r="BF14" s="37"/>
      <c r="BG14" s="37" t="s">
        <v>238</v>
      </c>
      <c r="BH14" s="694">
        <v>6</v>
      </c>
      <c r="BI14" s="63">
        <v>2</v>
      </c>
      <c r="BJ14" s="134">
        <f t="shared" si="4"/>
        <v>0</v>
      </c>
      <c r="BL14" s="97"/>
      <c r="BM14" s="97"/>
      <c r="BN14" s="42" t="s">
        <v>118</v>
      </c>
      <c r="BO14" s="134">
        <v>8</v>
      </c>
      <c r="BP14" s="97">
        <v>5</v>
      </c>
      <c r="BQ14" s="134">
        <f>BO14-6</f>
        <v>2</v>
      </c>
      <c r="BR14" s="1"/>
      <c r="BS14" s="1274"/>
      <c r="BT14" s="1274"/>
      <c r="BU14" s="1275" t="s">
        <v>117</v>
      </c>
      <c r="BV14" s="1276">
        <v>8</v>
      </c>
      <c r="BW14" s="1277">
        <v>3</v>
      </c>
      <c r="BX14" s="134">
        <f t="shared" si="9"/>
        <v>2</v>
      </c>
      <c r="BZ14" s="774"/>
      <c r="CA14" s="774"/>
      <c r="CB14" s="775" t="s">
        <v>117</v>
      </c>
      <c r="CC14" s="776">
        <v>6.6999999999999993</v>
      </c>
      <c r="CD14" s="777">
        <v>10</v>
      </c>
      <c r="CE14" s="778">
        <f t="shared" si="10"/>
        <v>0.69999999999999929</v>
      </c>
      <c r="CG14" s="613"/>
      <c r="CH14" s="613"/>
      <c r="CI14" s="613" t="s">
        <v>103</v>
      </c>
      <c r="CJ14" s="389" t="s">
        <v>104</v>
      </c>
      <c r="CK14" s="391">
        <v>5.243243243243243</v>
      </c>
      <c r="CL14" s="390">
        <v>37</v>
      </c>
      <c r="CM14" s="690">
        <v>1.9494358928419011</v>
      </c>
      <c r="CN14" s="391">
        <f>CK14-3</f>
        <v>2.243243243243243</v>
      </c>
      <c r="CP14" s="780"/>
      <c r="CQ14" s="780"/>
      <c r="CR14" s="781" t="s">
        <v>118</v>
      </c>
      <c r="CS14" s="782">
        <v>6</v>
      </c>
      <c r="CT14" s="782">
        <f t="shared" si="5"/>
        <v>0</v>
      </c>
      <c r="CU14" s="783">
        <v>3</v>
      </c>
      <c r="CV14" s="782">
        <v>6</v>
      </c>
      <c r="CW14" s="782">
        <f>CV14-DD14</f>
        <v>0</v>
      </c>
      <c r="CY14" s="63"/>
      <c r="CZ14" s="63"/>
      <c r="DA14" s="37" t="s">
        <v>118</v>
      </c>
      <c r="DB14" s="63">
        <v>4</v>
      </c>
      <c r="DC14" s="694">
        <v>8.25</v>
      </c>
      <c r="DD14" s="63">
        <v>6</v>
      </c>
      <c r="DE14" s="694">
        <f t="shared" si="6"/>
        <v>2.25</v>
      </c>
      <c r="DF14" s="37"/>
      <c r="DG14" s="37"/>
      <c r="DH14" s="784"/>
      <c r="DI14" s="785"/>
      <c r="DJ14" s="785" t="s">
        <v>15</v>
      </c>
      <c r="DK14" s="786">
        <v>6.8181818181818183</v>
      </c>
      <c r="DL14" s="785">
        <v>22</v>
      </c>
      <c r="DM14" s="787"/>
      <c r="DN14" s="794">
        <f>AVERAGE(DN10:DN13)</f>
        <v>1.0874999999999999</v>
      </c>
    </row>
    <row r="15" spans="1:118">
      <c r="A15" s="5797">
        <v>1</v>
      </c>
      <c r="B15" s="5797">
        <v>2</v>
      </c>
      <c r="C15" s="5796" t="s">
        <v>270</v>
      </c>
      <c r="D15" s="5798">
        <v>6</v>
      </c>
      <c r="E15" s="5797">
        <v>3</v>
      </c>
      <c r="F15" s="1281">
        <f t="shared" si="12"/>
        <v>0</v>
      </c>
      <c r="G15" s="97">
        <v>6</v>
      </c>
      <c r="I15" s="5034">
        <v>1</v>
      </c>
      <c r="J15" s="5034">
        <v>2</v>
      </c>
      <c r="K15" s="5035" t="s">
        <v>1706</v>
      </c>
      <c r="L15" s="5036">
        <v>6</v>
      </c>
      <c r="M15" s="5034">
        <v>11</v>
      </c>
      <c r="N15" s="1281">
        <f t="shared" si="2"/>
        <v>0</v>
      </c>
      <c r="O15" s="4566">
        <v>6</v>
      </c>
      <c r="Q15" s="4561">
        <v>1</v>
      </c>
      <c r="R15" s="4561">
        <v>2</v>
      </c>
      <c r="S15" s="4562" t="s">
        <v>270</v>
      </c>
      <c r="T15" s="4563">
        <v>6.4166666666666661</v>
      </c>
      <c r="U15" s="4564">
        <v>7</v>
      </c>
      <c r="V15" s="1281">
        <f t="shared" si="3"/>
        <v>0.41666666666666607</v>
      </c>
      <c r="W15" s="4566">
        <v>6</v>
      </c>
      <c r="Y15" s="36"/>
      <c r="Z15" s="36"/>
      <c r="AA15" s="36" t="s">
        <v>117</v>
      </c>
      <c r="AB15" s="1346">
        <v>7</v>
      </c>
      <c r="AC15" s="95">
        <v>5</v>
      </c>
      <c r="AD15" s="1281">
        <f t="shared" si="13"/>
        <v>1</v>
      </c>
      <c r="AE15" s="97">
        <v>6</v>
      </c>
      <c r="AF15" s="4522"/>
      <c r="AG15" s="36"/>
      <c r="AH15" s="97"/>
      <c r="AI15" s="36" t="s">
        <v>117</v>
      </c>
      <c r="AJ15" s="1346">
        <v>8</v>
      </c>
      <c r="AK15" s="95">
        <v>1</v>
      </c>
      <c r="AL15" s="1281">
        <f t="shared" si="14"/>
        <v>2</v>
      </c>
      <c r="AM15" s="97">
        <v>6</v>
      </c>
      <c r="AQ15" s="39" t="s">
        <v>118</v>
      </c>
      <c r="AR15" s="3518">
        <v>6</v>
      </c>
      <c r="AS15" s="3518">
        <v>2</v>
      </c>
      <c r="AT15" s="3820">
        <f t="shared" si="11"/>
        <v>0</v>
      </c>
      <c r="AU15" s="3518">
        <v>6</v>
      </c>
      <c r="AW15" s="37"/>
      <c r="AX15" s="37"/>
      <c r="AY15" s="37" t="s">
        <v>117</v>
      </c>
      <c r="AZ15" s="694">
        <v>9.7799999999999994</v>
      </c>
      <c r="BA15" s="63">
        <v>9</v>
      </c>
      <c r="BB15" s="837">
        <f t="shared" si="7"/>
        <v>3.7799999999999994</v>
      </c>
      <c r="BC15" s="2043">
        <v>6</v>
      </c>
      <c r="BE15" s="37"/>
      <c r="BF15" s="37"/>
      <c r="BG15" s="37" t="s">
        <v>117</v>
      </c>
      <c r="BH15" s="694">
        <v>7</v>
      </c>
      <c r="BI15" s="63">
        <v>1</v>
      </c>
      <c r="BJ15" s="134">
        <f t="shared" si="4"/>
        <v>1</v>
      </c>
      <c r="BL15" s="97"/>
      <c r="BM15" s="97"/>
      <c r="BN15" s="42" t="s">
        <v>460</v>
      </c>
      <c r="BO15" s="134">
        <v>6.27</v>
      </c>
      <c r="BP15" s="97">
        <v>11</v>
      </c>
      <c r="BQ15" s="134">
        <f>BO15-6</f>
        <v>0.26999999999999957</v>
      </c>
      <c r="BR15" s="1"/>
      <c r="BS15" s="1274"/>
      <c r="BT15" s="1274"/>
      <c r="BU15" s="1275" t="s">
        <v>118</v>
      </c>
      <c r="BV15" s="1276">
        <v>6</v>
      </c>
      <c r="BW15" s="1277">
        <v>1</v>
      </c>
      <c r="BX15" s="134">
        <f t="shared" si="9"/>
        <v>0</v>
      </c>
      <c r="BZ15" s="774"/>
      <c r="CA15" s="774"/>
      <c r="CB15" s="775" t="s">
        <v>118</v>
      </c>
      <c r="CC15" s="776">
        <v>10.666666666666666</v>
      </c>
      <c r="CD15" s="777">
        <v>3</v>
      </c>
      <c r="CE15" s="778">
        <f t="shared" si="10"/>
        <v>4.6666666666666661</v>
      </c>
      <c r="CG15" s="613"/>
      <c r="CH15" s="613"/>
      <c r="CI15" s="613"/>
      <c r="CJ15" s="709" t="s">
        <v>726</v>
      </c>
      <c r="CK15" s="394">
        <v>5.243243243243243</v>
      </c>
      <c r="CL15" s="395">
        <v>37</v>
      </c>
      <c r="CM15" s="710">
        <v>1.9494358928419011</v>
      </c>
      <c r="CN15" s="788">
        <f>+(CL14*CN14)/CL15</f>
        <v>2.243243243243243</v>
      </c>
      <c r="CP15" s="780"/>
      <c r="CQ15" s="780"/>
      <c r="CR15" s="789" t="s">
        <v>483</v>
      </c>
      <c r="CS15" s="788">
        <v>6.5000000000000009</v>
      </c>
      <c r="CT15" s="788">
        <f>+(CU12*CT12+CU13*CT13+CU14*CT14)/CU15</f>
        <v>0.3125</v>
      </c>
      <c r="CU15" s="790">
        <v>16</v>
      </c>
      <c r="CV15" s="788">
        <v>8.25</v>
      </c>
      <c r="CW15" s="788">
        <f>+(CU12*CW12+CU13*CW13+CU14*CW14)/CU15</f>
        <v>2.0624999999999996</v>
      </c>
      <c r="CY15" s="63"/>
      <c r="CZ15" s="63"/>
      <c r="DA15" s="416" t="s">
        <v>15</v>
      </c>
      <c r="DB15" s="386">
        <v>26</v>
      </c>
      <c r="DC15" s="707">
        <v>8.3076923076923084</v>
      </c>
      <c r="DD15" s="386"/>
      <c r="DE15" s="707">
        <f>+(DB10*DE10+DB11*DE11+DB12*DE12+DB13*DE13+DB14*DE14)/DB15</f>
        <v>2.3076923076923075</v>
      </c>
      <c r="DF15" s="792">
        <f>AVERAGE(DE10:DE14)</f>
        <v>3.7166666666666659</v>
      </c>
      <c r="DG15" s="37"/>
      <c r="DH15" s="784"/>
      <c r="DI15" s="785"/>
      <c r="DJ15" s="785"/>
      <c r="DK15" s="786"/>
      <c r="DL15" s="785"/>
      <c r="DM15" s="787"/>
      <c r="DN15" s="794"/>
    </row>
    <row r="16" spans="1:118">
      <c r="A16" s="5797">
        <v>1</v>
      </c>
      <c r="B16" s="5797">
        <v>2</v>
      </c>
      <c r="C16" s="5796" t="s">
        <v>2748</v>
      </c>
      <c r="D16" s="5798">
        <v>8</v>
      </c>
      <c r="E16" s="5797">
        <v>1</v>
      </c>
      <c r="F16" s="1281">
        <f t="shared" si="12"/>
        <v>2</v>
      </c>
      <c r="G16" s="97">
        <v>6</v>
      </c>
      <c r="I16" s="5034">
        <v>1</v>
      </c>
      <c r="J16" s="5034">
        <v>2</v>
      </c>
      <c r="K16" s="5035" t="s">
        <v>270</v>
      </c>
      <c r="L16" s="5036">
        <v>6</v>
      </c>
      <c r="M16" s="5034">
        <v>4</v>
      </c>
      <c r="N16" s="1281">
        <f t="shared" si="2"/>
        <v>0</v>
      </c>
      <c r="O16" s="4566">
        <v>6</v>
      </c>
      <c r="Q16" s="4561">
        <v>1</v>
      </c>
      <c r="R16" s="4561">
        <v>2</v>
      </c>
      <c r="S16" s="4562" t="s">
        <v>2748</v>
      </c>
      <c r="T16" s="4563">
        <v>7.0714285714285712</v>
      </c>
      <c r="U16" s="4564">
        <v>8</v>
      </c>
      <c r="V16" s="1281">
        <f t="shared" si="3"/>
        <v>1.0714285714285712</v>
      </c>
      <c r="W16" s="4566">
        <v>6</v>
      </c>
      <c r="Y16" s="36"/>
      <c r="Z16" s="36"/>
      <c r="AA16" s="36" t="s">
        <v>118</v>
      </c>
      <c r="AB16" s="1346">
        <v>6</v>
      </c>
      <c r="AC16" s="95">
        <v>3</v>
      </c>
      <c r="AD16" s="1281">
        <f t="shared" si="13"/>
        <v>0</v>
      </c>
      <c r="AE16" s="97">
        <v>6</v>
      </c>
      <c r="AF16" s="4522"/>
      <c r="AG16" s="36"/>
      <c r="AH16" s="97"/>
      <c r="AI16" s="36" t="s">
        <v>118</v>
      </c>
      <c r="AJ16" s="1346">
        <v>6</v>
      </c>
      <c r="AK16" s="95">
        <v>4</v>
      </c>
      <c r="AL16" s="1281">
        <f t="shared" si="14"/>
        <v>0</v>
      </c>
      <c r="AM16" s="97">
        <v>6</v>
      </c>
      <c r="AQ16" s="39" t="s">
        <v>460</v>
      </c>
      <c r="AR16" s="3518">
        <v>6</v>
      </c>
      <c r="AS16" s="3518">
        <v>7</v>
      </c>
      <c r="AT16" s="3820">
        <f t="shared" si="11"/>
        <v>0</v>
      </c>
      <c r="AU16" s="3518">
        <v>6</v>
      </c>
      <c r="AW16" s="37"/>
      <c r="AX16" s="37"/>
      <c r="AY16" s="37" t="s">
        <v>118</v>
      </c>
      <c r="AZ16" s="694">
        <v>10.67</v>
      </c>
      <c r="BA16" s="63">
        <v>3</v>
      </c>
      <c r="BB16" s="837">
        <f t="shared" si="7"/>
        <v>4.67</v>
      </c>
      <c r="BC16" s="2043">
        <v>6</v>
      </c>
      <c r="BE16" s="37"/>
      <c r="BF16" s="37"/>
      <c r="BG16" s="37" t="s">
        <v>118</v>
      </c>
      <c r="BH16" s="694">
        <v>7.2</v>
      </c>
      <c r="BI16" s="63">
        <v>5</v>
      </c>
      <c r="BJ16" s="134">
        <f t="shared" si="4"/>
        <v>1.2000000000000002</v>
      </c>
      <c r="BL16" s="97"/>
      <c r="BM16" s="97"/>
      <c r="BN16" s="893" t="s">
        <v>483</v>
      </c>
      <c r="BO16" s="894">
        <v>6.84</v>
      </c>
      <c r="BP16" s="135">
        <v>44</v>
      </c>
      <c r="BQ16" s="800">
        <f>+(BP11*BQ11+BP12*BQ12+BP13*BQ13+BP14*BQ14+BP15*BQ15)/BP16</f>
        <v>0.84159090909090917</v>
      </c>
      <c r="BR16" s="1"/>
      <c r="BS16" s="1274"/>
      <c r="BT16" s="1274"/>
      <c r="BU16" s="1275" t="s">
        <v>460</v>
      </c>
      <c r="BV16" s="1276">
        <v>6.5</v>
      </c>
      <c r="BW16" s="1277">
        <v>2</v>
      </c>
      <c r="BX16" s="134">
        <f t="shared" si="9"/>
        <v>0.5</v>
      </c>
      <c r="BZ16" s="774"/>
      <c r="CA16" s="774"/>
      <c r="CB16" s="775" t="s">
        <v>460</v>
      </c>
      <c r="CC16" s="776">
        <v>6.2</v>
      </c>
      <c r="CD16" s="777">
        <v>5</v>
      </c>
      <c r="CE16" s="778">
        <f t="shared" si="10"/>
        <v>0.20000000000000018</v>
      </c>
      <c r="CG16" s="613"/>
      <c r="CH16" s="613"/>
      <c r="CI16" s="613"/>
      <c r="CJ16" s="803" t="s">
        <v>105</v>
      </c>
      <c r="CK16" s="804">
        <v>6.2749999999999977</v>
      </c>
      <c r="CL16" s="805">
        <v>80</v>
      </c>
      <c r="CM16" s="806">
        <v>2.1814813222885205</v>
      </c>
      <c r="CN16" s="807">
        <f>+(CL9*CN9+CL13*CN13+CL15*CN15)/CL16</f>
        <v>1.7625</v>
      </c>
      <c r="CP16" s="780"/>
      <c r="CQ16" s="780" t="s">
        <v>103</v>
      </c>
      <c r="CR16" s="781" t="s">
        <v>104</v>
      </c>
      <c r="CS16" s="782">
        <v>4.1363636363636367</v>
      </c>
      <c r="CT16" s="782">
        <f t="shared" si="5"/>
        <v>-1.8636363636363633</v>
      </c>
      <c r="CU16" s="783">
        <v>22</v>
      </c>
      <c r="CV16" s="782">
        <v>7.0454545454545441</v>
      </c>
      <c r="CW16" s="782">
        <f>CV16-DD16</f>
        <v>1.0454545454545441</v>
      </c>
      <c r="CY16" s="63"/>
      <c r="CZ16" s="63" t="s">
        <v>103</v>
      </c>
      <c r="DA16" s="37" t="s">
        <v>104</v>
      </c>
      <c r="DB16" s="63">
        <v>24</v>
      </c>
      <c r="DC16" s="694">
        <f>5+3</f>
        <v>8</v>
      </c>
      <c r="DD16" s="63">
        <v>6</v>
      </c>
      <c r="DE16" s="694">
        <f t="shared" si="6"/>
        <v>2</v>
      </c>
      <c r="DF16" s="37"/>
      <c r="DG16" s="37"/>
      <c r="DH16" s="784"/>
      <c r="DI16" s="785" t="s">
        <v>103</v>
      </c>
      <c r="DJ16" s="784" t="s">
        <v>104</v>
      </c>
      <c r="DK16" s="786">
        <v>11.894736842105264</v>
      </c>
      <c r="DL16" s="785">
        <v>19</v>
      </c>
      <c r="DM16" s="787">
        <v>6</v>
      </c>
      <c r="DN16" s="786">
        <f>DK16-6</f>
        <v>5.8947368421052637</v>
      </c>
    </row>
    <row r="17" spans="1:118">
      <c r="A17" s="5797">
        <v>1</v>
      </c>
      <c r="B17" s="5797">
        <v>2</v>
      </c>
      <c r="C17" s="5796" t="s">
        <v>2058</v>
      </c>
      <c r="D17" s="5798">
        <v>7</v>
      </c>
      <c r="E17" s="5797">
        <v>2</v>
      </c>
      <c r="F17" s="1281">
        <f t="shared" si="12"/>
        <v>1</v>
      </c>
      <c r="G17" s="97">
        <v>6</v>
      </c>
      <c r="I17" s="5034">
        <v>1</v>
      </c>
      <c r="J17" s="5034">
        <v>2</v>
      </c>
      <c r="K17" s="5035" t="s">
        <v>2748</v>
      </c>
      <c r="L17" s="5036">
        <v>8</v>
      </c>
      <c r="M17" s="5034">
        <v>1</v>
      </c>
      <c r="N17" s="1281">
        <f t="shared" si="2"/>
        <v>2</v>
      </c>
      <c r="O17" s="4566">
        <v>6</v>
      </c>
      <c r="Q17" s="4561">
        <v>1</v>
      </c>
      <c r="R17" s="4561">
        <v>2</v>
      </c>
      <c r="S17" s="4562" t="s">
        <v>118</v>
      </c>
      <c r="T17" s="4563">
        <v>6</v>
      </c>
      <c r="U17" s="4564">
        <v>2</v>
      </c>
      <c r="V17" s="1281">
        <f t="shared" si="3"/>
        <v>0</v>
      </c>
      <c r="W17" s="4566">
        <v>6</v>
      </c>
      <c r="Y17" s="36"/>
      <c r="Z17" s="36"/>
      <c r="AA17" s="36" t="s">
        <v>460</v>
      </c>
      <c r="AB17" s="1346">
        <v>7.5</v>
      </c>
      <c r="AC17" s="95">
        <v>2</v>
      </c>
      <c r="AD17" s="1281">
        <f t="shared" si="13"/>
        <v>1.5</v>
      </c>
      <c r="AE17" s="97">
        <v>6</v>
      </c>
      <c r="AF17" s="4522"/>
      <c r="AG17" s="36"/>
      <c r="AH17" s="97"/>
      <c r="AI17" s="36" t="s">
        <v>460</v>
      </c>
      <c r="AJ17" s="1346">
        <v>6</v>
      </c>
      <c r="AK17" s="95">
        <v>7</v>
      </c>
      <c r="AL17" s="1281">
        <f t="shared" si="14"/>
        <v>0</v>
      </c>
      <c r="AM17" s="97">
        <v>6</v>
      </c>
      <c r="AQ17" s="39" t="s">
        <v>2058</v>
      </c>
      <c r="AR17" s="3518">
        <v>6.33</v>
      </c>
      <c r="AS17" s="3518">
        <v>3</v>
      </c>
      <c r="AT17" s="3820">
        <f t="shared" si="11"/>
        <v>0.33000000000000007</v>
      </c>
      <c r="AU17" s="3518">
        <v>6</v>
      </c>
      <c r="AW17" s="37"/>
      <c r="AX17" s="37"/>
      <c r="AY17" s="37" t="s">
        <v>460</v>
      </c>
      <c r="AZ17" s="694">
        <v>6.17</v>
      </c>
      <c r="BA17" s="63">
        <v>6</v>
      </c>
      <c r="BB17" s="837">
        <f t="shared" si="7"/>
        <v>0.16999999999999993</v>
      </c>
      <c r="BC17" s="2043">
        <v>6</v>
      </c>
      <c r="BE17" s="37"/>
      <c r="BF17" s="37"/>
      <c r="BG17" s="37" t="s">
        <v>460</v>
      </c>
      <c r="BH17" s="694">
        <v>6.25</v>
      </c>
      <c r="BI17" s="63">
        <v>4</v>
      </c>
      <c r="BJ17" s="134">
        <f t="shared" si="4"/>
        <v>0.25</v>
      </c>
      <c r="BL17" s="97"/>
      <c r="BM17" s="97" t="s">
        <v>103</v>
      </c>
      <c r="BN17" s="42" t="s">
        <v>1455</v>
      </c>
      <c r="BO17" s="134">
        <v>7.67</v>
      </c>
      <c r="BP17" s="97">
        <v>6</v>
      </c>
      <c r="BQ17" s="1281">
        <f>BO17-3</f>
        <v>4.67</v>
      </c>
      <c r="BR17" s="1"/>
      <c r="BS17" s="1274"/>
      <c r="BT17" s="1274"/>
      <c r="BU17" s="1278" t="s">
        <v>483</v>
      </c>
      <c r="BV17" s="1279">
        <v>6.6363636363636358</v>
      </c>
      <c r="BW17" s="1280">
        <v>22</v>
      </c>
      <c r="BX17" s="800">
        <f>+(BW12*BX12+BW13*BX13+BW14*BX14+BW15*BX15+BW16*BX16)/BW17</f>
        <v>0.63636363636363646</v>
      </c>
      <c r="BZ17" s="774"/>
      <c r="CA17" s="774"/>
      <c r="CB17" s="797" t="s">
        <v>483</v>
      </c>
      <c r="CC17" s="798">
        <v>6.9200000000000008</v>
      </c>
      <c r="CD17" s="799">
        <v>25</v>
      </c>
      <c r="CE17" s="800">
        <f>+(CD12*CE12+CD13*CE13+CD14*CE14+CD15*CE15+CD16*CE16)/CD17</f>
        <v>0.91999999999999971</v>
      </c>
      <c r="CG17" s="613"/>
      <c r="CH17" s="613" t="s">
        <v>25</v>
      </c>
      <c r="CI17" s="613" t="s">
        <v>4</v>
      </c>
      <c r="CJ17" s="389" t="s">
        <v>119</v>
      </c>
      <c r="CK17" s="391">
        <v>9.7777777777777786</v>
      </c>
      <c r="CL17" s="390">
        <v>9</v>
      </c>
      <c r="CM17" s="690">
        <v>2.7738861628488727</v>
      </c>
      <c r="CN17" s="391">
        <f>CK17-6</f>
        <v>3.7777777777777786</v>
      </c>
      <c r="CP17" s="808"/>
      <c r="CQ17" s="808"/>
      <c r="CR17" s="809" t="s">
        <v>726</v>
      </c>
      <c r="CS17" s="807">
        <v>4.1363636363636367</v>
      </c>
      <c r="CT17" s="807">
        <f>+(CU16*CT16)/CU17</f>
        <v>-1.8636363636363633</v>
      </c>
      <c r="CU17" s="810">
        <v>22</v>
      </c>
      <c r="CV17" s="807">
        <v>7.0454545454545441</v>
      </c>
      <c r="CW17" s="807">
        <f>+(CU16*CW16)/CU17</f>
        <v>1.0454545454545441</v>
      </c>
      <c r="CY17" s="811"/>
      <c r="CZ17" s="811"/>
      <c r="DA17" s="812" t="s">
        <v>15</v>
      </c>
      <c r="DB17" s="813">
        <v>24</v>
      </c>
      <c r="DC17" s="814">
        <f>+DC16</f>
        <v>8</v>
      </c>
      <c r="DD17" s="813"/>
      <c r="DE17" s="814">
        <f>+DE16</f>
        <v>2</v>
      </c>
      <c r="DF17" s="792">
        <f>+DE17</f>
        <v>2</v>
      </c>
      <c r="DG17" s="37"/>
      <c r="DH17" s="784"/>
      <c r="DI17" s="785"/>
      <c r="DJ17" s="785" t="s">
        <v>15</v>
      </c>
      <c r="DK17" s="786">
        <v>11.894736842105264</v>
      </c>
      <c r="DL17" s="785">
        <v>19</v>
      </c>
      <c r="DM17" s="787"/>
      <c r="DN17" s="794">
        <f>DK17-3</f>
        <v>8.8947368421052637</v>
      </c>
    </row>
    <row r="18" spans="1:118">
      <c r="A18" s="5797"/>
      <c r="B18" s="5797"/>
      <c r="C18" s="5799" t="s">
        <v>16</v>
      </c>
      <c r="D18" s="5798"/>
      <c r="E18" s="5799">
        <f>SUM(E13:E17)</f>
        <v>21</v>
      </c>
      <c r="F18" s="1675">
        <f>+(E13*F13+E14*F14+E15*F15+E16*F16+E17*F17)/E18</f>
        <v>0.2857142857142857</v>
      </c>
      <c r="G18" s="97"/>
      <c r="I18" s="5034">
        <v>1</v>
      </c>
      <c r="J18" s="5034">
        <v>2</v>
      </c>
      <c r="K18" s="5035" t="s">
        <v>2058</v>
      </c>
      <c r="L18" s="5036">
        <v>7</v>
      </c>
      <c r="M18" s="5034">
        <v>3</v>
      </c>
      <c r="N18" s="1281">
        <f t="shared" si="2"/>
        <v>1</v>
      </c>
      <c r="O18" s="4566">
        <v>6</v>
      </c>
      <c r="Q18" s="4561"/>
      <c r="R18" s="4561"/>
      <c r="S18" s="4520" t="s">
        <v>483</v>
      </c>
      <c r="T18" s="4569"/>
      <c r="U18" s="4568">
        <f>SUM(U12:U17)</f>
        <v>26</v>
      </c>
      <c r="V18" s="1675">
        <f>+(U12*V12+U13*V13+U14*V14+U15*V15+U16*V16+U17*V17)/U18</f>
        <v>0.81108058608058564</v>
      </c>
      <c r="Y18" s="36"/>
      <c r="Z18" s="36"/>
      <c r="AA18" s="36" t="s">
        <v>2057</v>
      </c>
      <c r="AB18" s="1346">
        <v>9</v>
      </c>
      <c r="AC18" s="95">
        <v>1</v>
      </c>
      <c r="AD18" s="1281">
        <f t="shared" si="13"/>
        <v>3</v>
      </c>
      <c r="AE18" s="97">
        <v>6</v>
      </c>
      <c r="AF18" s="4522"/>
      <c r="AG18" s="36"/>
      <c r="AH18" s="97"/>
      <c r="AI18" s="36" t="s">
        <v>2058</v>
      </c>
      <c r="AJ18" s="1346">
        <v>6.33</v>
      </c>
      <c r="AK18" s="95">
        <v>3</v>
      </c>
      <c r="AL18" s="1281">
        <f t="shared" si="14"/>
        <v>0.33000000000000007</v>
      </c>
      <c r="AM18" s="97">
        <v>6</v>
      </c>
      <c r="AQ18" s="3814" t="s">
        <v>483</v>
      </c>
      <c r="AR18" s="3816">
        <v>6.41</v>
      </c>
      <c r="AS18" s="3816">
        <v>17</v>
      </c>
      <c r="AT18" s="3844">
        <f>+(AS13*AT13+AS14*AT14+AS15*AT15+AS16*AT16+AS17*AT17)/AS18</f>
        <v>0.17588235294117649</v>
      </c>
      <c r="AU18" s="3518"/>
      <c r="AW18" s="37"/>
      <c r="AX18" s="37"/>
      <c r="AY18" s="37" t="s">
        <v>2058</v>
      </c>
      <c r="AZ18" s="694">
        <v>6</v>
      </c>
      <c r="BA18" s="63">
        <v>2</v>
      </c>
      <c r="BB18" s="837">
        <f t="shared" si="7"/>
        <v>0</v>
      </c>
      <c r="BC18" s="2043">
        <v>6</v>
      </c>
      <c r="BE18" s="37"/>
      <c r="BF18" s="37"/>
      <c r="BG18" s="416" t="s">
        <v>483</v>
      </c>
      <c r="BH18" s="707">
        <v>7</v>
      </c>
      <c r="BI18" s="386">
        <v>20</v>
      </c>
      <c r="BJ18" s="800">
        <f>+(BI13*BJ13+BI14*BJ14+BI15*BJ15+BI16*BJ16+BI17*BJ17)/BI18</f>
        <v>1</v>
      </c>
      <c r="BL18" s="97"/>
      <c r="BM18" s="97"/>
      <c r="BN18" s="42" t="s">
        <v>1456</v>
      </c>
      <c r="BO18" s="134">
        <v>8</v>
      </c>
      <c r="BP18" s="97">
        <v>1</v>
      </c>
      <c r="BQ18" s="1281">
        <f>BO18-3</f>
        <v>5</v>
      </c>
      <c r="BR18" s="1"/>
      <c r="BS18" s="1274"/>
      <c r="BT18" s="1274" t="s">
        <v>103</v>
      </c>
      <c r="BU18" s="1275" t="s">
        <v>104</v>
      </c>
      <c r="BV18" s="1276">
        <v>5.6</v>
      </c>
      <c r="BW18" s="1277">
        <v>15</v>
      </c>
      <c r="BX18" s="1281">
        <f>BV18-3</f>
        <v>2.5999999999999996</v>
      </c>
      <c r="BZ18" s="774"/>
      <c r="CA18" s="774" t="s">
        <v>103</v>
      </c>
      <c r="CB18" s="775" t="s">
        <v>104</v>
      </c>
      <c r="CC18" s="776">
        <v>4.2307692307692317</v>
      </c>
      <c r="CD18" s="777">
        <v>26</v>
      </c>
      <c r="CE18" s="778">
        <f>CC18-3</f>
        <v>1.2307692307692317</v>
      </c>
      <c r="CG18" s="613"/>
      <c r="CH18" s="613"/>
      <c r="CI18" s="613"/>
      <c r="CJ18" s="389" t="s">
        <v>120</v>
      </c>
      <c r="CK18" s="391">
        <v>8</v>
      </c>
      <c r="CL18" s="390">
        <v>13</v>
      </c>
      <c r="CM18" s="690">
        <v>1.4719601443879742</v>
      </c>
      <c r="CN18" s="391">
        <f t="shared" ref="CN18:CN31" si="15">CK18-6</f>
        <v>2</v>
      </c>
      <c r="CY18" s="63"/>
      <c r="CZ18" s="63"/>
      <c r="DA18" s="416"/>
      <c r="DB18" s="386"/>
      <c r="DC18" s="707"/>
      <c r="DD18" s="386"/>
      <c r="DE18" s="707"/>
      <c r="DF18" s="37"/>
      <c r="DG18" s="37"/>
      <c r="DH18" s="815"/>
      <c r="DI18" s="816"/>
      <c r="DJ18" s="817" t="s">
        <v>105</v>
      </c>
      <c r="DK18" s="818">
        <v>9.3333333333333321</v>
      </c>
      <c r="DL18" s="819">
        <v>60</v>
      </c>
      <c r="DM18" s="820"/>
      <c r="DN18" s="818">
        <f>DK18-12+AVERAGE(DN9,DN14,DN17)</f>
        <v>2.1746345029239755</v>
      </c>
    </row>
    <row r="19" spans="1:118" ht="24">
      <c r="A19" s="5797">
        <v>1</v>
      </c>
      <c r="B19" s="5797">
        <v>4</v>
      </c>
      <c r="C19" s="5796" t="s">
        <v>1527</v>
      </c>
      <c r="D19" s="5798">
        <v>9</v>
      </c>
      <c r="E19" s="5797">
        <v>2</v>
      </c>
      <c r="F19" s="1281">
        <f t="shared" si="12"/>
        <v>3</v>
      </c>
      <c r="G19" s="97">
        <v>6</v>
      </c>
      <c r="I19" s="5034"/>
      <c r="J19" s="5034"/>
      <c r="K19" s="4884" t="s">
        <v>483</v>
      </c>
      <c r="L19" s="5036"/>
      <c r="M19" s="5037">
        <f>SUM(M13:M18)</f>
        <v>23</v>
      </c>
      <c r="N19" s="1675">
        <f>+(M13*N13+M14*N14+M15*N15+M16*N16+M17*N17+M18*N18)/M19</f>
        <v>0.45652173913043476</v>
      </c>
      <c r="O19" s="4566"/>
      <c r="Q19" s="4561">
        <v>1</v>
      </c>
      <c r="R19" s="4561">
        <v>4</v>
      </c>
      <c r="S19" s="4562" t="s">
        <v>2724</v>
      </c>
      <c r="T19" s="4563">
        <v>11</v>
      </c>
      <c r="U19" s="4564">
        <v>2</v>
      </c>
      <c r="V19" s="1281">
        <f t="shared" si="3"/>
        <v>5</v>
      </c>
      <c r="W19" s="97">
        <v>6</v>
      </c>
      <c r="Y19" s="36"/>
      <c r="Z19" s="36"/>
      <c r="AA19" s="393" t="s">
        <v>483</v>
      </c>
      <c r="AB19" s="1361">
        <v>6.71</v>
      </c>
      <c r="AC19" s="4520">
        <v>24</v>
      </c>
      <c r="AD19" s="1675">
        <f>+(AC13*AD13+AC14*AD14+AC15*AD15+AC16*AD16+AC17*AD17+AC18*AD18)/AC19</f>
        <v>0.7104166666666667</v>
      </c>
      <c r="AE19" s="97">
        <v>6</v>
      </c>
      <c r="AF19" s="4522"/>
      <c r="AG19" s="36"/>
      <c r="AH19" s="97"/>
      <c r="AI19" s="393" t="s">
        <v>483</v>
      </c>
      <c r="AJ19" s="1361">
        <v>6.32</v>
      </c>
      <c r="AK19" s="3794">
        <v>22</v>
      </c>
      <c r="AL19" s="1675">
        <f>+(AK13*AL13+AK14*AL14+AK15*AL15+AK16*AL16+AK17*AL17+AK18*AL18)/AK19</f>
        <v>0.31863636363636361</v>
      </c>
      <c r="AM19" s="97"/>
      <c r="AQ19" s="3814"/>
      <c r="AR19" s="3816"/>
      <c r="AS19" s="3816"/>
      <c r="AT19" s="3820"/>
      <c r="AU19" s="3518"/>
      <c r="AW19" s="37"/>
      <c r="AX19" s="37"/>
      <c r="AY19" s="416" t="s">
        <v>483</v>
      </c>
      <c r="AZ19" s="707">
        <v>7.67</v>
      </c>
      <c r="BA19" s="2040">
        <v>33</v>
      </c>
      <c r="BB19" s="800">
        <f>+(BA14*BB14+BA15*BB15+BA16*BB16+BA17*BB17+BA18*BB18)/BA19</f>
        <v>1.5478787878787879</v>
      </c>
      <c r="BC19" s="2043"/>
      <c r="BE19" s="37"/>
      <c r="BF19" s="37" t="s">
        <v>21</v>
      </c>
      <c r="BG19" s="37" t="s">
        <v>104</v>
      </c>
      <c r="BH19" s="694">
        <v>6</v>
      </c>
      <c r="BI19" s="63">
        <v>1</v>
      </c>
      <c r="BJ19" s="134">
        <f t="shared" si="4"/>
        <v>0</v>
      </c>
      <c r="BL19" s="97"/>
      <c r="BM19" s="97"/>
      <c r="BN19" s="42" t="s">
        <v>1457</v>
      </c>
      <c r="BO19" s="134">
        <v>6.5</v>
      </c>
      <c r="BP19" s="97">
        <v>2</v>
      </c>
      <c r="BQ19" s="134">
        <f t="shared" si="8"/>
        <v>0.5</v>
      </c>
      <c r="BR19" s="1"/>
      <c r="BS19" s="1274"/>
      <c r="BT19" s="1274"/>
      <c r="BU19" s="1275" t="s">
        <v>1455</v>
      </c>
      <c r="BV19" s="1276">
        <v>7</v>
      </c>
      <c r="BW19" s="1277">
        <v>1</v>
      </c>
      <c r="BX19" s="134">
        <f t="shared" si="9"/>
        <v>1</v>
      </c>
      <c r="BZ19" s="774"/>
      <c r="CA19" s="774"/>
      <c r="CB19" s="797" t="s">
        <v>726</v>
      </c>
      <c r="CC19" s="798">
        <v>4.2307692307692317</v>
      </c>
      <c r="CD19" s="799">
        <v>26</v>
      </c>
      <c r="CE19" s="800">
        <f>CC19-3</f>
        <v>1.2307692307692317</v>
      </c>
      <c r="CG19" s="613"/>
      <c r="CH19" s="613"/>
      <c r="CI19" s="613"/>
      <c r="CJ19" s="389" t="s">
        <v>121</v>
      </c>
      <c r="CK19" s="391">
        <v>6</v>
      </c>
      <c r="CL19" s="390">
        <v>4</v>
      </c>
      <c r="CM19" s="690">
        <v>0</v>
      </c>
      <c r="CN19" s="391">
        <f t="shared" si="15"/>
        <v>0</v>
      </c>
      <c r="CP19" s="780" t="s">
        <v>25</v>
      </c>
      <c r="CQ19" s="780" t="s">
        <v>4</v>
      </c>
      <c r="CY19" s="63" t="s">
        <v>25</v>
      </c>
      <c r="CZ19" s="63" t="s">
        <v>4</v>
      </c>
      <c r="DA19" s="37" t="s">
        <v>119</v>
      </c>
      <c r="DB19" s="63">
        <v>3</v>
      </c>
      <c r="DC19" s="694">
        <v>9.6666666666666661</v>
      </c>
      <c r="DD19" s="63">
        <v>6</v>
      </c>
      <c r="DE19" s="694">
        <f t="shared" si="6"/>
        <v>3.6666666666666661</v>
      </c>
      <c r="DF19" s="37"/>
      <c r="DG19" s="37"/>
      <c r="DH19" s="784" t="s">
        <v>25</v>
      </c>
      <c r="DI19" s="785" t="s">
        <v>4</v>
      </c>
      <c r="DJ19" s="784" t="s">
        <v>119</v>
      </c>
      <c r="DK19" s="786">
        <v>8.25</v>
      </c>
      <c r="DL19" s="785">
        <v>4</v>
      </c>
      <c r="DM19" s="787">
        <v>6</v>
      </c>
      <c r="DN19" s="786">
        <f t="shared" ref="DN19:DN24" si="16">DK19-6</f>
        <v>2.25</v>
      </c>
    </row>
    <row r="20" spans="1:118" ht="24">
      <c r="A20" s="5797">
        <v>1</v>
      </c>
      <c r="B20" s="5797">
        <v>4</v>
      </c>
      <c r="C20" s="5796" t="s">
        <v>1456</v>
      </c>
      <c r="D20" s="5798">
        <v>8</v>
      </c>
      <c r="E20" s="5797">
        <v>1</v>
      </c>
      <c r="F20" s="1281">
        <f t="shared" si="12"/>
        <v>2</v>
      </c>
      <c r="G20" s="97">
        <v>6</v>
      </c>
      <c r="I20" s="5034">
        <v>1</v>
      </c>
      <c r="J20" s="5034">
        <v>4</v>
      </c>
      <c r="K20" s="5035" t="s">
        <v>1527</v>
      </c>
      <c r="L20" s="5036">
        <v>9</v>
      </c>
      <c r="M20" s="5034">
        <v>2</v>
      </c>
      <c r="N20" s="1281">
        <f t="shared" si="2"/>
        <v>3</v>
      </c>
      <c r="O20" s="4566">
        <v>6</v>
      </c>
      <c r="Q20" s="4561">
        <v>1</v>
      </c>
      <c r="R20" s="4561">
        <v>4</v>
      </c>
      <c r="S20" s="4562" t="s">
        <v>1456</v>
      </c>
      <c r="T20" s="4563">
        <v>14</v>
      </c>
      <c r="U20" s="4564">
        <v>1</v>
      </c>
      <c r="V20" s="1281">
        <f t="shared" si="3"/>
        <v>8</v>
      </c>
      <c r="W20" s="97">
        <v>6</v>
      </c>
      <c r="Y20" s="36"/>
      <c r="Z20" s="36" t="s">
        <v>21</v>
      </c>
      <c r="AA20" s="36" t="s">
        <v>1455</v>
      </c>
      <c r="AB20" s="1346">
        <v>8</v>
      </c>
      <c r="AC20" s="95">
        <v>1</v>
      </c>
      <c r="AD20" s="1281">
        <f>AB20-6</f>
        <v>2</v>
      </c>
      <c r="AE20" s="97">
        <v>6</v>
      </c>
      <c r="AF20" s="4522"/>
      <c r="AG20" s="36"/>
      <c r="AH20" s="97" t="s">
        <v>21</v>
      </c>
      <c r="AI20" s="36"/>
      <c r="AJ20" s="1346"/>
      <c r="AK20" s="95"/>
      <c r="AL20" s="1281"/>
      <c r="AM20" s="97"/>
      <c r="AQ20" s="3814"/>
      <c r="AR20" s="3816"/>
      <c r="AS20" s="3816"/>
      <c r="AT20" s="3820"/>
      <c r="AU20" s="3518"/>
      <c r="AW20" s="37"/>
      <c r="AX20" s="37" t="s">
        <v>21</v>
      </c>
      <c r="AY20" s="37" t="s">
        <v>1455</v>
      </c>
      <c r="AZ20" s="694">
        <v>6.67</v>
      </c>
      <c r="BA20" s="63">
        <v>3</v>
      </c>
      <c r="BB20" s="837">
        <f t="shared" si="7"/>
        <v>0.66999999999999993</v>
      </c>
      <c r="BC20" s="2043">
        <v>6</v>
      </c>
      <c r="BE20" s="37"/>
      <c r="BF20" s="37"/>
      <c r="BG20" s="37" t="s">
        <v>1455</v>
      </c>
      <c r="BH20" s="694">
        <v>5.88</v>
      </c>
      <c r="BI20" s="63">
        <v>8</v>
      </c>
      <c r="BJ20" s="134">
        <f t="shared" si="4"/>
        <v>-0.12000000000000011</v>
      </c>
      <c r="BL20" s="97"/>
      <c r="BM20" s="97"/>
      <c r="BN20" s="42" t="s">
        <v>1454</v>
      </c>
      <c r="BO20" s="134">
        <v>4.67</v>
      </c>
      <c r="BP20" s="97">
        <v>3</v>
      </c>
      <c r="BQ20" s="134">
        <f t="shared" si="8"/>
        <v>-1.33</v>
      </c>
      <c r="BR20" s="1"/>
      <c r="BS20" s="1274"/>
      <c r="BT20" s="1274"/>
      <c r="BU20" s="1275" t="s">
        <v>1454</v>
      </c>
      <c r="BV20" s="1276">
        <v>7.5</v>
      </c>
      <c r="BW20" s="1277">
        <v>2</v>
      </c>
      <c r="BX20" s="134">
        <f t="shared" si="9"/>
        <v>1.5</v>
      </c>
      <c r="BZ20" s="774"/>
      <c r="CA20" s="774"/>
      <c r="CB20" s="821" t="s">
        <v>105</v>
      </c>
      <c r="CC20" s="822">
        <v>6.3258426966292127</v>
      </c>
      <c r="CD20" s="823">
        <v>89</v>
      </c>
      <c r="CE20" s="824">
        <f>+(CD11*CE11+CD17*CE17+CD19*CE19)/CD20</f>
        <v>1.3370786516853932</v>
      </c>
      <c r="CG20" s="613"/>
      <c r="CH20" s="613"/>
      <c r="CI20" s="613"/>
      <c r="CJ20" s="389" t="s">
        <v>122</v>
      </c>
      <c r="CK20" s="391">
        <v>8.7000000000000011</v>
      </c>
      <c r="CL20" s="390">
        <v>10</v>
      </c>
      <c r="CM20" s="690">
        <v>2.4517567397911053</v>
      </c>
      <c r="CN20" s="391">
        <f t="shared" si="15"/>
        <v>2.7000000000000011</v>
      </c>
      <c r="CR20" s="781" t="s">
        <v>120</v>
      </c>
      <c r="CS20" s="782">
        <v>9.7777777777777786</v>
      </c>
      <c r="CT20" s="782">
        <f>CS20-DD19</f>
        <v>3.7777777777777786</v>
      </c>
      <c r="CU20" s="783">
        <v>18</v>
      </c>
      <c r="CV20" s="782">
        <v>11.555555555555555</v>
      </c>
      <c r="CW20" s="782">
        <f>CV20-DD20</f>
        <v>5.5555555555555554</v>
      </c>
      <c r="CY20" s="63"/>
      <c r="CZ20" s="63"/>
      <c r="DA20" s="37" t="s">
        <v>120</v>
      </c>
      <c r="DB20" s="63">
        <v>14</v>
      </c>
      <c r="DC20" s="694">
        <v>11</v>
      </c>
      <c r="DD20" s="63">
        <v>6</v>
      </c>
      <c r="DE20" s="694">
        <f t="shared" si="6"/>
        <v>5</v>
      </c>
      <c r="DF20" s="37"/>
      <c r="DG20" s="37"/>
      <c r="DH20" s="784"/>
      <c r="DI20" s="785"/>
      <c r="DJ20" s="784" t="s">
        <v>120</v>
      </c>
      <c r="DK20" s="786">
        <v>9.5</v>
      </c>
      <c r="DL20" s="785">
        <v>18</v>
      </c>
      <c r="DM20" s="787">
        <v>6</v>
      </c>
      <c r="DN20" s="786">
        <f t="shared" si="16"/>
        <v>3.5</v>
      </c>
    </row>
    <row r="21" spans="1:118" ht="24">
      <c r="A21" s="5797">
        <v>1</v>
      </c>
      <c r="B21" s="5797">
        <v>4</v>
      </c>
      <c r="C21" s="5796" t="s">
        <v>1454</v>
      </c>
      <c r="D21" s="5798">
        <v>7</v>
      </c>
      <c r="E21" s="5797">
        <v>1</v>
      </c>
      <c r="F21" s="1281">
        <f t="shared" si="12"/>
        <v>1</v>
      </c>
      <c r="G21" s="97">
        <v>6</v>
      </c>
      <c r="I21" s="5034">
        <v>1</v>
      </c>
      <c r="J21" s="5034">
        <v>4</v>
      </c>
      <c r="K21" s="5035" t="s">
        <v>1456</v>
      </c>
      <c r="L21" s="5036">
        <v>8</v>
      </c>
      <c r="M21" s="5034">
        <v>1</v>
      </c>
      <c r="N21" s="1281">
        <f t="shared" si="2"/>
        <v>2</v>
      </c>
      <c r="O21" s="4566">
        <v>6</v>
      </c>
      <c r="Q21" s="4561">
        <v>1</v>
      </c>
      <c r="R21" s="4561">
        <v>4</v>
      </c>
      <c r="S21" s="4562" t="s">
        <v>1457</v>
      </c>
      <c r="T21" s="4563">
        <v>8</v>
      </c>
      <c r="U21" s="4564">
        <v>2</v>
      </c>
      <c r="V21" s="1281">
        <f t="shared" si="3"/>
        <v>2</v>
      </c>
      <c r="W21" s="97">
        <v>6</v>
      </c>
      <c r="Y21" s="36"/>
      <c r="Z21" s="36"/>
      <c r="AA21" s="36" t="s">
        <v>1456</v>
      </c>
      <c r="AB21" s="1346">
        <v>14</v>
      </c>
      <c r="AC21" s="95">
        <v>1</v>
      </c>
      <c r="AD21" s="1281">
        <f>AB21-6</f>
        <v>8</v>
      </c>
      <c r="AE21" s="97">
        <v>6</v>
      </c>
      <c r="AF21" s="4522"/>
      <c r="AG21" s="36"/>
      <c r="AH21" s="97"/>
      <c r="AI21" s="36" t="s">
        <v>1455</v>
      </c>
      <c r="AJ21" s="1346">
        <v>8</v>
      </c>
      <c r="AK21" s="95">
        <v>1</v>
      </c>
      <c r="AL21" s="1281">
        <f>AJ21-6</f>
        <v>2</v>
      </c>
      <c r="AM21" s="97">
        <v>6</v>
      </c>
      <c r="AQ21" s="3814"/>
      <c r="AR21" s="3816"/>
      <c r="AS21" s="3816"/>
      <c r="AT21" s="3820"/>
      <c r="AU21" s="3518"/>
      <c r="AW21" s="37"/>
      <c r="AX21" s="37"/>
      <c r="AY21" s="37" t="s">
        <v>1456</v>
      </c>
      <c r="AZ21" s="694">
        <v>8.67</v>
      </c>
      <c r="BA21" s="63">
        <v>3</v>
      </c>
      <c r="BB21" s="837">
        <f t="shared" si="7"/>
        <v>2.67</v>
      </c>
      <c r="BC21" s="2043">
        <v>6</v>
      </c>
      <c r="BE21" s="37"/>
      <c r="BF21" s="37"/>
      <c r="BG21" s="37" t="s">
        <v>1456</v>
      </c>
      <c r="BH21" s="694">
        <v>9.5</v>
      </c>
      <c r="BI21" s="63">
        <v>2</v>
      </c>
      <c r="BJ21" s="134">
        <f t="shared" si="4"/>
        <v>3.5</v>
      </c>
      <c r="BL21" s="97"/>
      <c r="BM21" s="97"/>
      <c r="BN21" s="42" t="s">
        <v>1458</v>
      </c>
      <c r="BO21" s="134">
        <v>6</v>
      </c>
      <c r="BP21" s="97">
        <v>1</v>
      </c>
      <c r="BQ21" s="134">
        <f t="shared" si="8"/>
        <v>0</v>
      </c>
      <c r="BR21" s="1"/>
      <c r="BS21" s="1274"/>
      <c r="BT21" s="1274"/>
      <c r="BU21" s="1278" t="s">
        <v>726</v>
      </c>
      <c r="BV21" s="1279">
        <v>5.8888888888888893</v>
      </c>
      <c r="BW21" s="1280">
        <v>18</v>
      </c>
      <c r="BX21" s="800">
        <f>+(BW18*BX18+BW19*BX19+BW20*BX20)/BW21</f>
        <v>2.3888888888888884</v>
      </c>
      <c r="BZ21" s="774" t="s">
        <v>25</v>
      </c>
      <c r="CA21" s="774" t="s">
        <v>4</v>
      </c>
      <c r="CB21" s="775" t="s">
        <v>119</v>
      </c>
      <c r="CC21" s="776">
        <v>9.75</v>
      </c>
      <c r="CD21" s="777">
        <v>8</v>
      </c>
      <c r="CE21" s="778">
        <f t="shared" si="10"/>
        <v>3.75</v>
      </c>
      <c r="CG21" s="613"/>
      <c r="CH21" s="613"/>
      <c r="CI21" s="613"/>
      <c r="CJ21" s="389" t="s">
        <v>123</v>
      </c>
      <c r="CK21" s="391">
        <v>8.7333333333333325</v>
      </c>
      <c r="CL21" s="390">
        <v>15</v>
      </c>
      <c r="CM21" s="690">
        <v>2.1201976547572383</v>
      </c>
      <c r="CN21" s="391">
        <f t="shared" si="15"/>
        <v>2.7333333333333325</v>
      </c>
      <c r="CP21" s="780"/>
      <c r="CQ21" s="780"/>
      <c r="CR21" s="781" t="s">
        <v>121</v>
      </c>
      <c r="CS21" s="782">
        <v>6.5</v>
      </c>
      <c r="CT21" s="782">
        <f>CS21-DD20</f>
        <v>0.5</v>
      </c>
      <c r="CU21" s="783">
        <v>4</v>
      </c>
      <c r="CV21" s="782">
        <v>6.5</v>
      </c>
      <c r="CW21" s="782">
        <f>CV21-DD21</f>
        <v>0.5</v>
      </c>
      <c r="CY21" s="63"/>
      <c r="CZ21" s="63"/>
      <c r="DA21" s="37" t="s">
        <v>121</v>
      </c>
      <c r="DB21" s="63">
        <v>3</v>
      </c>
      <c r="DC21" s="694">
        <v>9</v>
      </c>
      <c r="DD21" s="63">
        <v>6</v>
      </c>
      <c r="DE21" s="694">
        <f t="shared" si="6"/>
        <v>3</v>
      </c>
      <c r="DF21" s="37"/>
      <c r="DG21" s="37"/>
      <c r="DH21" s="784"/>
      <c r="DI21" s="785"/>
      <c r="DJ21" s="784" t="s">
        <v>121</v>
      </c>
      <c r="DK21" s="786">
        <v>8.8000000000000007</v>
      </c>
      <c r="DL21" s="785">
        <v>5</v>
      </c>
      <c r="DM21" s="787">
        <v>6</v>
      </c>
      <c r="DN21" s="786">
        <f t="shared" si="16"/>
        <v>2.8000000000000007</v>
      </c>
    </row>
    <row r="22" spans="1:118">
      <c r="A22" s="5797"/>
      <c r="B22" s="5797"/>
      <c r="C22" s="5799" t="s">
        <v>21</v>
      </c>
      <c r="D22" s="5798"/>
      <c r="E22" s="5799">
        <f>SUM(E19:E21)</f>
        <v>4</v>
      </c>
      <c r="F22" s="1675">
        <f>+(E19*F19+E20*F20+E21*F21)/E22</f>
        <v>2.25</v>
      </c>
      <c r="G22" s="97"/>
      <c r="I22" s="5034">
        <v>1</v>
      </c>
      <c r="J22" s="5034">
        <v>4</v>
      </c>
      <c r="K22" s="5035" t="s">
        <v>1454</v>
      </c>
      <c r="L22" s="5036">
        <v>7</v>
      </c>
      <c r="M22" s="5034">
        <v>1</v>
      </c>
      <c r="N22" s="1281">
        <f t="shared" si="2"/>
        <v>1</v>
      </c>
      <c r="O22" s="4566">
        <v>6</v>
      </c>
      <c r="Q22" s="4561"/>
      <c r="R22" s="4561"/>
      <c r="S22" s="4520" t="s">
        <v>484</v>
      </c>
      <c r="T22" s="4569"/>
      <c r="U22" s="4568">
        <f>SUM(U19:U21)</f>
        <v>5</v>
      </c>
      <c r="V22" s="1675">
        <f>+(U19*V19+U20*V20+U21*V21)/U22</f>
        <v>4.4000000000000004</v>
      </c>
      <c r="Y22" s="36"/>
      <c r="Z22" s="36"/>
      <c r="AA22" s="36" t="s">
        <v>1457</v>
      </c>
      <c r="AB22" s="1346">
        <v>8</v>
      </c>
      <c r="AC22" s="95">
        <v>2</v>
      </c>
      <c r="AD22" s="1281">
        <f>AB22-6</f>
        <v>2</v>
      </c>
      <c r="AE22" s="97">
        <v>6</v>
      </c>
      <c r="AF22" s="4522"/>
      <c r="AG22" s="36"/>
      <c r="AH22" s="97"/>
      <c r="AI22" s="36"/>
      <c r="AJ22" s="1346"/>
      <c r="AK22" s="95"/>
      <c r="AL22" s="1281"/>
      <c r="AM22" s="97"/>
      <c r="AP22" s="39" t="s">
        <v>21</v>
      </c>
      <c r="AQ22" s="39" t="s">
        <v>1457</v>
      </c>
      <c r="AR22" s="3518">
        <v>8.5</v>
      </c>
      <c r="AS22" s="3518">
        <v>2</v>
      </c>
      <c r="AT22" s="3820">
        <f>AR22-AU22</f>
        <v>2.5</v>
      </c>
      <c r="AU22" s="3518">
        <v>6</v>
      </c>
      <c r="AW22" s="37"/>
      <c r="AX22" s="37"/>
      <c r="AY22" s="37" t="s">
        <v>1457</v>
      </c>
      <c r="AZ22" s="694">
        <v>9.75</v>
      </c>
      <c r="BA22" s="63">
        <v>4</v>
      </c>
      <c r="BB22" s="837">
        <f t="shared" si="7"/>
        <v>3.75</v>
      </c>
      <c r="BC22" s="2043">
        <v>6</v>
      </c>
      <c r="BE22" s="37"/>
      <c r="BF22" s="37"/>
      <c r="BG22" s="37" t="s">
        <v>1457</v>
      </c>
      <c r="BH22" s="694">
        <v>5.33</v>
      </c>
      <c r="BI22" s="63">
        <v>6</v>
      </c>
      <c r="BJ22" s="134">
        <f t="shared" si="4"/>
        <v>-0.66999999999999993</v>
      </c>
      <c r="BL22" s="97"/>
      <c r="BM22" s="97"/>
      <c r="BN22" s="893" t="s">
        <v>484</v>
      </c>
      <c r="BO22" s="894">
        <v>6.69</v>
      </c>
      <c r="BP22" s="135">
        <v>13</v>
      </c>
      <c r="BQ22" s="800">
        <f>+(BP17*BQ17+BP18*BQ18+BP19*BQ19+BP20*BQ20+BP21*BQ21)/BP22</f>
        <v>2.3099999999999996</v>
      </c>
      <c r="BR22" s="1"/>
      <c r="BS22" s="1274"/>
      <c r="BT22" s="1274"/>
      <c r="BU22" s="1278" t="s">
        <v>105</v>
      </c>
      <c r="BV22" s="1279">
        <v>6.7027027027027035</v>
      </c>
      <c r="BW22" s="1280">
        <v>74</v>
      </c>
      <c r="BX22" s="800">
        <f>+(BW11*BX11+BW17*BX17+BW21*BX21)/BW22</f>
        <v>1.432432432432432</v>
      </c>
      <c r="BZ22" s="774"/>
      <c r="CA22" s="774"/>
      <c r="CB22" s="775" t="s">
        <v>120</v>
      </c>
      <c r="CC22" s="776">
        <v>9.5</v>
      </c>
      <c r="CD22" s="777">
        <v>22</v>
      </c>
      <c r="CE22" s="778">
        <f t="shared" si="10"/>
        <v>3.5</v>
      </c>
      <c r="CG22" s="613"/>
      <c r="CH22" s="613"/>
      <c r="CI22" s="613"/>
      <c r="CJ22" s="389" t="s">
        <v>388</v>
      </c>
      <c r="CK22" s="391">
        <v>7.7692307692307692</v>
      </c>
      <c r="CL22" s="390">
        <v>13</v>
      </c>
      <c r="CM22" s="795">
        <v>0.92680869599629834</v>
      </c>
      <c r="CN22" s="391">
        <f t="shared" si="15"/>
        <v>1.7692307692307692</v>
      </c>
      <c r="CP22" s="780"/>
      <c r="CQ22" s="780"/>
      <c r="CR22" s="781" t="s">
        <v>122</v>
      </c>
      <c r="CS22" s="782">
        <v>8.571428571428573</v>
      </c>
      <c r="CT22" s="782">
        <f>CS22-DD21</f>
        <v>2.571428571428573</v>
      </c>
      <c r="CU22" s="783">
        <v>14</v>
      </c>
      <c r="CV22" s="782">
        <v>8.7857142857142847</v>
      </c>
      <c r="CW22" s="782">
        <f>CV22-DD22</f>
        <v>2.7857142857142847</v>
      </c>
      <c r="CY22" s="63"/>
      <c r="CZ22" s="63"/>
      <c r="DA22" s="37" t="s">
        <v>122</v>
      </c>
      <c r="DB22" s="63">
        <v>7</v>
      </c>
      <c r="DC22" s="694">
        <v>8.8571428571428577</v>
      </c>
      <c r="DD22" s="63">
        <v>6</v>
      </c>
      <c r="DE22" s="694">
        <f t="shared" si="6"/>
        <v>2.8571428571428577</v>
      </c>
      <c r="DF22" s="37"/>
      <c r="DG22" s="37"/>
      <c r="DH22" s="784"/>
      <c r="DI22" s="785"/>
      <c r="DJ22" s="784" t="s">
        <v>122</v>
      </c>
      <c r="DK22" s="786">
        <v>10.1</v>
      </c>
      <c r="DL22" s="785">
        <v>10</v>
      </c>
      <c r="DM22" s="787">
        <v>6</v>
      </c>
      <c r="DN22" s="786">
        <f t="shared" si="16"/>
        <v>4.0999999999999996</v>
      </c>
    </row>
    <row r="23" spans="1:118">
      <c r="A23" s="5803"/>
      <c r="B23" s="5803"/>
      <c r="C23" s="5804" t="s">
        <v>70</v>
      </c>
      <c r="D23" s="5805"/>
      <c r="E23" s="5804">
        <f>SUM(E22,E18,E12)</f>
        <v>53</v>
      </c>
      <c r="F23" s="4168">
        <f>+(E12*F12+E18*F18+E22*F22)/E23</f>
        <v>1.1267744833782569</v>
      </c>
      <c r="G23" s="5790"/>
      <c r="I23" s="5034"/>
      <c r="J23" s="5034"/>
      <c r="K23" s="4884" t="s">
        <v>484</v>
      </c>
      <c r="L23" s="5036"/>
      <c r="M23" s="5037">
        <f>SUM(M20:M22)</f>
        <v>4</v>
      </c>
      <c r="N23" s="1675">
        <f>+(M20*N20+M21*N21+M22*N22)/M23</f>
        <v>2.25</v>
      </c>
      <c r="O23" s="4566"/>
      <c r="Q23" s="4574"/>
      <c r="R23" s="4574"/>
      <c r="S23" s="4575" t="s">
        <v>105</v>
      </c>
      <c r="T23" s="4576"/>
      <c r="U23" s="4577">
        <f>SUM(U22,U18,U11)</f>
        <v>64</v>
      </c>
      <c r="V23" s="4168">
        <f>+(U11*V11+U18*V18+U22*V22)/U23</f>
        <v>1.1254531926406925</v>
      </c>
      <c r="W23" s="4381"/>
      <c r="Y23" s="36"/>
      <c r="Z23" s="36"/>
      <c r="AA23" s="393" t="s">
        <v>484</v>
      </c>
      <c r="AB23" s="1361">
        <v>9.5</v>
      </c>
      <c r="AC23" s="4520">
        <v>4</v>
      </c>
      <c r="AD23" s="1675">
        <f>AB23-6</f>
        <v>3.5</v>
      </c>
      <c r="AE23" s="97">
        <v>6</v>
      </c>
      <c r="AF23" s="4522"/>
      <c r="AG23" s="36"/>
      <c r="AH23" s="97"/>
      <c r="AI23" s="36" t="s">
        <v>1457</v>
      </c>
      <c r="AJ23" s="1346">
        <v>8.5</v>
      </c>
      <c r="AK23" s="95">
        <v>2</v>
      </c>
      <c r="AL23" s="1281">
        <f>AJ23-6</f>
        <v>2.5</v>
      </c>
      <c r="AM23" s="97">
        <v>6</v>
      </c>
      <c r="AQ23" s="39" t="s">
        <v>1454</v>
      </c>
      <c r="AR23" s="3518">
        <v>9</v>
      </c>
      <c r="AS23" s="3518">
        <v>2</v>
      </c>
      <c r="AT23" s="3820">
        <f>AR23-AU23</f>
        <v>3</v>
      </c>
      <c r="AU23" s="3518">
        <v>6</v>
      </c>
      <c r="AW23" s="37"/>
      <c r="AX23" s="37"/>
      <c r="AY23" s="37" t="s">
        <v>1458</v>
      </c>
      <c r="AZ23" s="694">
        <v>7.6</v>
      </c>
      <c r="BA23" s="63">
        <v>5</v>
      </c>
      <c r="BB23" s="837">
        <f t="shared" si="7"/>
        <v>1.5999999999999996</v>
      </c>
      <c r="BC23" s="2043">
        <v>6</v>
      </c>
      <c r="BE23" s="37"/>
      <c r="BF23" s="37"/>
      <c r="BG23" s="37" t="s">
        <v>1454</v>
      </c>
      <c r="BH23" s="694">
        <v>10.5</v>
      </c>
      <c r="BI23" s="63">
        <v>2</v>
      </c>
      <c r="BJ23" s="134">
        <f t="shared" si="4"/>
        <v>4.5</v>
      </c>
      <c r="BL23" s="1501"/>
      <c r="BM23" s="1501"/>
      <c r="BN23" s="1498" t="s">
        <v>105</v>
      </c>
      <c r="BO23" s="1499">
        <v>6.99</v>
      </c>
      <c r="BP23" s="1500">
        <v>108</v>
      </c>
      <c r="BQ23" s="1502">
        <f>+(BP10*BQ10+BP16*BQ16+BP22*BQ22)/BP23</f>
        <v>1.2594444444444446</v>
      </c>
      <c r="BR23" s="1"/>
      <c r="BS23" s="1282" t="s">
        <v>25</v>
      </c>
      <c r="BT23" s="1282" t="s">
        <v>4</v>
      </c>
      <c r="BU23" s="1283" t="s">
        <v>119</v>
      </c>
      <c r="BV23" s="1284">
        <v>8.2857142857142865</v>
      </c>
      <c r="BW23" s="1285">
        <v>7</v>
      </c>
      <c r="BX23" s="1286">
        <f t="shared" si="9"/>
        <v>2.2857142857142865</v>
      </c>
      <c r="BZ23" s="774"/>
      <c r="CA23" s="774"/>
      <c r="CB23" s="775" t="s">
        <v>121</v>
      </c>
      <c r="CC23" s="776">
        <v>7.9000000000000012</v>
      </c>
      <c r="CD23" s="777">
        <v>10</v>
      </c>
      <c r="CE23" s="778">
        <f t="shared" si="10"/>
        <v>1.9000000000000012</v>
      </c>
      <c r="CG23" s="613"/>
      <c r="CH23" s="613"/>
      <c r="CI23" s="613"/>
      <c r="CJ23" s="709" t="s">
        <v>482</v>
      </c>
      <c r="CK23" s="394">
        <v>8.359375</v>
      </c>
      <c r="CL23" s="395">
        <v>64</v>
      </c>
      <c r="CM23" s="710">
        <v>2.049910470363995</v>
      </c>
      <c r="CN23" s="788">
        <f>+(CL17*CN17+CL18*CN18+CL19*CN19+CL20*CN20+CL21*CN21+CL22*CN22)/CL23</f>
        <v>2.359375</v>
      </c>
      <c r="CP23" s="780"/>
      <c r="CQ23" s="780"/>
      <c r="CR23" s="781" t="s">
        <v>123</v>
      </c>
      <c r="CS23" s="782">
        <v>9.5</v>
      </c>
      <c r="CT23" s="782">
        <f>CS23-DD22</f>
        <v>3.5</v>
      </c>
      <c r="CU23" s="783">
        <v>6</v>
      </c>
      <c r="CV23" s="782">
        <v>11</v>
      </c>
      <c r="CW23" s="782">
        <f>CV23-DD23</f>
        <v>5</v>
      </c>
      <c r="CY23" s="63"/>
      <c r="CZ23" s="63"/>
      <c r="DA23" s="37" t="s">
        <v>123</v>
      </c>
      <c r="DB23" s="63">
        <v>8</v>
      </c>
      <c r="DC23" s="694">
        <v>13.75</v>
      </c>
      <c r="DD23" s="63">
        <v>6</v>
      </c>
      <c r="DE23" s="694">
        <f t="shared" si="6"/>
        <v>7.75</v>
      </c>
      <c r="DF23" s="37"/>
      <c r="DG23" s="37"/>
      <c r="DH23" s="784"/>
      <c r="DI23" s="785"/>
      <c r="DJ23" s="784" t="s">
        <v>123</v>
      </c>
      <c r="DK23" s="786">
        <v>10.235294117647058</v>
      </c>
      <c r="DL23" s="785">
        <v>17</v>
      </c>
      <c r="DM23" s="787">
        <v>6</v>
      </c>
      <c r="DN23" s="786">
        <f t="shared" si="16"/>
        <v>4.235294117647058</v>
      </c>
    </row>
    <row r="24" spans="1:118">
      <c r="A24" s="5800">
        <v>2</v>
      </c>
      <c r="B24" s="5800">
        <v>1</v>
      </c>
      <c r="C24" s="5801" t="s">
        <v>388</v>
      </c>
      <c r="D24" s="5802">
        <v>7.4</v>
      </c>
      <c r="E24" s="5800">
        <v>5</v>
      </c>
      <c r="F24" s="1281">
        <f t="shared" ref="F24:F72" si="17">D24-G24</f>
        <v>1.4000000000000004</v>
      </c>
      <c r="G24" s="97">
        <v>6</v>
      </c>
      <c r="I24" s="5040"/>
      <c r="J24" s="5040"/>
      <c r="K24" s="4575" t="s">
        <v>105</v>
      </c>
      <c r="L24" s="5039"/>
      <c r="M24" s="5042">
        <f>SUM(M23,M19,M12)</f>
        <v>56</v>
      </c>
      <c r="N24" s="4168">
        <f>+(M12*N12+M19*N19+M23*N23)/M24</f>
        <v>1.1470238095238094</v>
      </c>
      <c r="O24" s="5041"/>
      <c r="Q24" s="4570">
        <v>2</v>
      </c>
      <c r="R24" s="4570">
        <v>1</v>
      </c>
      <c r="S24" s="4571" t="s">
        <v>388</v>
      </c>
      <c r="T24" s="4572">
        <v>7.25</v>
      </c>
      <c r="U24" s="4573">
        <v>4</v>
      </c>
      <c r="V24" s="1281">
        <f t="shared" si="3"/>
        <v>1.25</v>
      </c>
      <c r="W24" s="97">
        <v>6</v>
      </c>
      <c r="Y24" s="4177"/>
      <c r="Z24" s="4177"/>
      <c r="AA24" s="4166" t="s">
        <v>105</v>
      </c>
      <c r="AB24" s="4178">
        <v>6.91</v>
      </c>
      <c r="AC24" s="4167">
        <v>66</v>
      </c>
      <c r="AD24" s="4168">
        <f>+(AC12*AD12+AC19*AD19+AC23*AD23)/AC24</f>
        <v>0.91060606060606064</v>
      </c>
      <c r="AE24" s="4179">
        <v>6</v>
      </c>
      <c r="AF24" s="4522"/>
      <c r="AG24" s="36"/>
      <c r="AH24" s="97"/>
      <c r="AI24" s="36" t="s">
        <v>1454</v>
      </c>
      <c r="AJ24" s="1346">
        <v>9</v>
      </c>
      <c r="AK24" s="95">
        <v>2</v>
      </c>
      <c r="AL24" s="1281">
        <f>AJ24-6</f>
        <v>3</v>
      </c>
      <c r="AM24" s="97">
        <v>6</v>
      </c>
      <c r="AQ24" s="39" t="s">
        <v>2271</v>
      </c>
      <c r="AR24" s="3518">
        <v>12</v>
      </c>
      <c r="AS24" s="3518">
        <v>1</v>
      </c>
      <c r="AT24" s="3820">
        <f>AR24-AU24</f>
        <v>6</v>
      </c>
      <c r="AU24" s="3518">
        <v>6</v>
      </c>
      <c r="AW24" s="37"/>
      <c r="AX24" s="37"/>
      <c r="AY24" s="37" t="s">
        <v>2271</v>
      </c>
      <c r="AZ24" s="694">
        <v>9.33</v>
      </c>
      <c r="BA24" s="63">
        <v>6</v>
      </c>
      <c r="BB24" s="837">
        <f t="shared" si="7"/>
        <v>3.33</v>
      </c>
      <c r="BC24" s="2043">
        <v>6</v>
      </c>
      <c r="BE24" s="37"/>
      <c r="BF24" s="37"/>
      <c r="BG24" s="37" t="s">
        <v>1458</v>
      </c>
      <c r="BH24" s="694">
        <v>10</v>
      </c>
      <c r="BI24" s="63">
        <v>4</v>
      </c>
      <c r="BJ24" s="134">
        <f t="shared" si="4"/>
        <v>4</v>
      </c>
      <c r="BL24" s="97" t="s">
        <v>25</v>
      </c>
      <c r="BM24" s="97" t="s">
        <v>4</v>
      </c>
      <c r="BN24" s="42" t="s">
        <v>119</v>
      </c>
      <c r="BO24" s="134">
        <v>8.33</v>
      </c>
      <c r="BP24" s="97">
        <v>3</v>
      </c>
      <c r="BQ24" s="134">
        <f t="shared" si="8"/>
        <v>2.33</v>
      </c>
      <c r="BR24" s="1"/>
      <c r="BS24" s="1274"/>
      <c r="BT24" s="1274"/>
      <c r="BU24" s="1275" t="s">
        <v>120</v>
      </c>
      <c r="BV24" s="1276">
        <v>9.571428571428573</v>
      </c>
      <c r="BW24" s="1277">
        <v>14</v>
      </c>
      <c r="BX24" s="134">
        <f t="shared" si="9"/>
        <v>3.571428571428573</v>
      </c>
      <c r="BZ24" s="774"/>
      <c r="CA24" s="774"/>
      <c r="CB24" s="775" t="s">
        <v>122</v>
      </c>
      <c r="CC24" s="776">
        <v>7.333333333333333</v>
      </c>
      <c r="CD24" s="777">
        <v>12</v>
      </c>
      <c r="CE24" s="778">
        <f t="shared" si="10"/>
        <v>1.333333333333333</v>
      </c>
      <c r="CG24" s="613"/>
      <c r="CH24" s="613"/>
      <c r="CI24" s="613" t="s">
        <v>16</v>
      </c>
      <c r="CJ24" s="389" t="s">
        <v>124</v>
      </c>
      <c r="CK24" s="391">
        <v>9.3333333333333339</v>
      </c>
      <c r="CL24" s="390">
        <v>3</v>
      </c>
      <c r="CM24" s="690">
        <v>2.5166114784235831</v>
      </c>
      <c r="CN24" s="391">
        <f t="shared" si="15"/>
        <v>3.3333333333333339</v>
      </c>
      <c r="CP24" s="780"/>
      <c r="CQ24" s="780"/>
      <c r="CR24" s="781" t="s">
        <v>388</v>
      </c>
      <c r="CS24" s="782">
        <v>8.1428571428571423</v>
      </c>
      <c r="CT24" s="782">
        <f>CS24-DD23</f>
        <v>2.1428571428571423</v>
      </c>
      <c r="CU24" s="783">
        <v>7</v>
      </c>
      <c r="CV24" s="782">
        <v>8.2857142857142865</v>
      </c>
      <c r="CW24" s="782">
        <f>CV24-DD24</f>
        <v>2.2857142857142865</v>
      </c>
      <c r="CY24" s="63"/>
      <c r="CZ24" s="63"/>
      <c r="DA24" s="37" t="s">
        <v>388</v>
      </c>
      <c r="DB24" s="63">
        <v>14</v>
      </c>
      <c r="DC24" s="694">
        <v>7.1428571428571423</v>
      </c>
      <c r="DD24" s="63">
        <v>6</v>
      </c>
      <c r="DE24" s="694">
        <f t="shared" si="6"/>
        <v>1.1428571428571423</v>
      </c>
      <c r="DF24" s="792">
        <f>AVERAGE(DE19:DE24)</f>
        <v>3.9027777777777781</v>
      </c>
      <c r="DG24" s="37"/>
      <c r="DH24" s="784"/>
      <c r="DI24" s="785"/>
      <c r="DJ24" s="784" t="s">
        <v>1164</v>
      </c>
      <c r="DK24" s="786">
        <v>8.25</v>
      </c>
      <c r="DL24" s="785">
        <v>4</v>
      </c>
      <c r="DM24" s="787">
        <v>6</v>
      </c>
      <c r="DN24" s="786">
        <f t="shared" si="16"/>
        <v>2.25</v>
      </c>
    </row>
    <row r="25" spans="1:118">
      <c r="A25" s="5797">
        <v>2</v>
      </c>
      <c r="B25" s="5797">
        <v>1</v>
      </c>
      <c r="C25" s="5796" t="s">
        <v>681</v>
      </c>
      <c r="D25" s="5798">
        <v>8.5384615384615383</v>
      </c>
      <c r="E25" s="5797">
        <v>13</v>
      </c>
      <c r="F25" s="1281">
        <f t="shared" si="17"/>
        <v>2.5384615384615383</v>
      </c>
      <c r="G25" s="97">
        <v>6</v>
      </c>
      <c r="I25" s="5038">
        <v>2</v>
      </c>
      <c r="J25" s="5038">
        <v>1</v>
      </c>
      <c r="K25" s="5035" t="s">
        <v>388</v>
      </c>
      <c r="L25" s="4572">
        <v>7.4</v>
      </c>
      <c r="M25" s="5038">
        <v>5</v>
      </c>
      <c r="N25" s="1281">
        <f t="shared" si="2"/>
        <v>1.4000000000000004</v>
      </c>
      <c r="O25" s="4566">
        <v>6</v>
      </c>
      <c r="Q25" s="4561">
        <v>2</v>
      </c>
      <c r="R25" s="4561">
        <v>1</v>
      </c>
      <c r="S25" s="4562" t="s">
        <v>681</v>
      </c>
      <c r="T25" s="4563">
        <v>9.0500000000000007</v>
      </c>
      <c r="U25" s="4564">
        <v>7</v>
      </c>
      <c r="V25" s="1281">
        <f t="shared" si="3"/>
        <v>3.0500000000000007</v>
      </c>
      <c r="W25" s="97">
        <v>6</v>
      </c>
      <c r="Y25" s="36" t="s">
        <v>25</v>
      </c>
      <c r="Z25" s="36" t="s">
        <v>4</v>
      </c>
      <c r="AA25" s="36" t="s">
        <v>119</v>
      </c>
      <c r="AB25" s="1346">
        <v>9.14</v>
      </c>
      <c r="AC25" s="95">
        <v>7</v>
      </c>
      <c r="AD25" s="1281">
        <f t="shared" ref="AD25:AD31" si="18">AB25-6</f>
        <v>3.1400000000000006</v>
      </c>
      <c r="AE25" s="97">
        <v>6</v>
      </c>
      <c r="AF25" s="4522"/>
      <c r="AG25" s="36"/>
      <c r="AH25" s="97"/>
      <c r="AI25" s="36" t="s">
        <v>2271</v>
      </c>
      <c r="AJ25" s="1346">
        <v>12</v>
      </c>
      <c r="AK25" s="95">
        <v>1</v>
      </c>
      <c r="AL25" s="1281">
        <f>AJ25-6</f>
        <v>6</v>
      </c>
      <c r="AM25" s="97">
        <v>6</v>
      </c>
      <c r="AQ25" s="3814" t="s">
        <v>484</v>
      </c>
      <c r="AR25" s="3816">
        <v>9.4</v>
      </c>
      <c r="AS25" s="3816">
        <v>5</v>
      </c>
      <c r="AT25" s="3845">
        <f>+(AS22*AT22+AS23*AT23+AS24*AT24)/AS25</f>
        <v>3.4</v>
      </c>
      <c r="AU25" s="3518"/>
      <c r="AW25" s="37"/>
      <c r="AX25" s="37"/>
      <c r="AY25" s="416" t="s">
        <v>484</v>
      </c>
      <c r="AZ25" s="707">
        <v>8.52</v>
      </c>
      <c r="BA25" s="2040">
        <v>21</v>
      </c>
      <c r="BB25" s="800">
        <f>+(BA19*BB19+BA20*BB20+BA21*BB21+BA22*BB22+BA23*BB23+BA24*BB24)/BA25</f>
        <v>4.9561904761904758</v>
      </c>
      <c r="BC25" s="2043"/>
      <c r="BE25" s="37"/>
      <c r="BF25" s="37"/>
      <c r="BG25" s="416" t="s">
        <v>484</v>
      </c>
      <c r="BH25" s="707">
        <v>7.17</v>
      </c>
      <c r="BI25" s="386">
        <v>23</v>
      </c>
      <c r="BJ25" s="800">
        <f>+(BI19*BJ19+BI20*BJ20+BI21*BJ21+BI22*BJ22+BI23*BJ23+BI24*BJ24)/BI25</f>
        <v>1.1747826086956521</v>
      </c>
      <c r="BL25" s="97"/>
      <c r="BM25" s="97"/>
      <c r="BN25" s="42" t="s">
        <v>120</v>
      </c>
      <c r="BO25" s="134">
        <v>8.85</v>
      </c>
      <c r="BP25" s="97">
        <v>20</v>
      </c>
      <c r="BQ25" s="134">
        <f t="shared" si="8"/>
        <v>2.8499999999999996</v>
      </c>
      <c r="BR25" s="1"/>
      <c r="BS25" s="1274"/>
      <c r="BT25" s="1274"/>
      <c r="BU25" s="1275" t="s">
        <v>121</v>
      </c>
      <c r="BV25" s="1276">
        <v>7</v>
      </c>
      <c r="BW25" s="1277">
        <v>4</v>
      </c>
      <c r="BX25" s="134">
        <f t="shared" si="9"/>
        <v>1</v>
      </c>
      <c r="BZ25" s="774"/>
      <c r="CA25" s="774"/>
      <c r="CB25" s="775" t="s">
        <v>123</v>
      </c>
      <c r="CC25" s="776">
        <v>8.7000000000000011</v>
      </c>
      <c r="CD25" s="777">
        <v>10</v>
      </c>
      <c r="CE25" s="778">
        <f t="shared" si="10"/>
        <v>2.7000000000000011</v>
      </c>
      <c r="CG25" s="613"/>
      <c r="CH25" s="613"/>
      <c r="CI25" s="613"/>
      <c r="CJ25" s="389" t="s">
        <v>125</v>
      </c>
      <c r="CK25" s="391">
        <v>7.9024390243902456</v>
      </c>
      <c r="CL25" s="390">
        <v>41</v>
      </c>
      <c r="CM25" s="795">
        <v>0.9435273723846197</v>
      </c>
      <c r="CN25" s="391">
        <f t="shared" si="15"/>
        <v>1.9024390243902456</v>
      </c>
      <c r="CP25" s="780"/>
      <c r="CQ25" s="780"/>
      <c r="CR25" s="789" t="s">
        <v>482</v>
      </c>
      <c r="CS25" s="788">
        <v>8.8979591836734713</v>
      </c>
      <c r="CT25" s="788">
        <f>+(CU20*CT20+CU21*CT21+CU22*CT22+CU23*CT23+CU24*CT24)/CU25</f>
        <v>2.8979591836734699</v>
      </c>
      <c r="CU25" s="790">
        <v>49</v>
      </c>
      <c r="CV25" s="788">
        <v>9.816326530612244</v>
      </c>
      <c r="CW25" s="788">
        <f>+(CU20*CW20+CU21*CW21+CU22*CW22+CU23*CW23+CU24*CW24)/CU25</f>
        <v>3.8163265306122449</v>
      </c>
      <c r="CY25" s="63"/>
      <c r="CZ25" s="63"/>
      <c r="DA25" s="416" t="s">
        <v>15</v>
      </c>
      <c r="DB25" s="386">
        <v>49</v>
      </c>
      <c r="DC25" s="707">
        <v>9.8367346938775526</v>
      </c>
      <c r="DD25" s="386"/>
      <c r="DE25" s="707">
        <f>+(DB19*DE19+DB20*DE20+DB21*DE21+DB22*DE22+DB23*DE23+DB24*DE24)/DB25</f>
        <v>3.8367346938775508</v>
      </c>
      <c r="DF25" s="37"/>
      <c r="DG25" s="37"/>
      <c r="DH25" s="784"/>
      <c r="DI25" s="785"/>
      <c r="DJ25" s="785" t="s">
        <v>15</v>
      </c>
      <c r="DK25" s="786">
        <v>9.5862068965517224</v>
      </c>
      <c r="DL25" s="785">
        <v>58</v>
      </c>
      <c r="DM25" s="787"/>
      <c r="DN25" s="794">
        <f>AVERAGE(DN19:DN24)</f>
        <v>3.1892156862745096</v>
      </c>
    </row>
    <row r="26" spans="1:118">
      <c r="A26" s="5797">
        <v>2</v>
      </c>
      <c r="B26" s="5797">
        <v>1</v>
      </c>
      <c r="C26" s="5796" t="s">
        <v>119</v>
      </c>
      <c r="D26" s="5798">
        <v>9.0500000000000007</v>
      </c>
      <c r="E26" s="5797">
        <v>11</v>
      </c>
      <c r="F26" s="1281">
        <f t="shared" si="17"/>
        <v>3.0500000000000007</v>
      </c>
      <c r="G26" s="97">
        <v>6</v>
      </c>
      <c r="I26" s="5034">
        <v>2</v>
      </c>
      <c r="J26" s="5034">
        <v>1</v>
      </c>
      <c r="K26" s="5035" t="s">
        <v>681</v>
      </c>
      <c r="L26" s="5036">
        <v>8.6875</v>
      </c>
      <c r="M26" s="5034">
        <v>16</v>
      </c>
      <c r="N26" s="1281">
        <f t="shared" si="2"/>
        <v>2.6875</v>
      </c>
      <c r="O26" s="4566">
        <v>6</v>
      </c>
      <c r="Q26" s="4561">
        <v>2</v>
      </c>
      <c r="R26" s="4561">
        <v>1</v>
      </c>
      <c r="S26" s="4562" t="s">
        <v>119</v>
      </c>
      <c r="T26" s="4563">
        <v>9</v>
      </c>
      <c r="U26" s="4564">
        <v>5</v>
      </c>
      <c r="V26" s="1281">
        <f t="shared" si="3"/>
        <v>3</v>
      </c>
      <c r="W26" s="97">
        <v>6</v>
      </c>
      <c r="Y26" s="36"/>
      <c r="Z26" s="36"/>
      <c r="AA26" s="36" t="s">
        <v>120</v>
      </c>
      <c r="AB26" s="1346">
        <v>7.92</v>
      </c>
      <c r="AC26" s="95">
        <v>13</v>
      </c>
      <c r="AD26" s="1281">
        <f t="shared" si="18"/>
        <v>1.92</v>
      </c>
      <c r="AE26" s="97">
        <v>6</v>
      </c>
      <c r="AF26" s="4522"/>
      <c r="AG26" s="36"/>
      <c r="AH26" s="97"/>
      <c r="AI26" s="393" t="s">
        <v>484</v>
      </c>
      <c r="AJ26" s="1361">
        <v>9.17</v>
      </c>
      <c r="AK26" s="3794">
        <v>6</v>
      </c>
      <c r="AL26" s="1675">
        <f>+(AK21*AL21+AK23*AL23+AK24*AL24+AK25*AL25)/AK26</f>
        <v>3.1666666666666665</v>
      </c>
      <c r="AM26" s="97"/>
      <c r="AO26" s="3846"/>
      <c r="AP26" s="3846"/>
      <c r="AQ26" s="3847" t="s">
        <v>105</v>
      </c>
      <c r="AR26" s="3848">
        <v>7.33</v>
      </c>
      <c r="AS26" s="3848">
        <v>51</v>
      </c>
      <c r="AT26" s="3849">
        <f>+(AS11*AT11+AS18*AT18+AS25*AT25)/AS26</f>
        <v>1.2545098039215685</v>
      </c>
      <c r="AU26" s="3850"/>
      <c r="AW26" s="2058"/>
      <c r="AX26" s="2058"/>
      <c r="AY26" s="2059" t="s">
        <v>105</v>
      </c>
      <c r="AZ26" s="2060">
        <v>7.71</v>
      </c>
      <c r="BA26" s="2061">
        <v>110</v>
      </c>
      <c r="BB26" s="1502">
        <f>+(BA12*BB12+BA18*BB18+BA25*BB25)/BA26</f>
        <v>1.675090909090909</v>
      </c>
      <c r="BC26" s="2043"/>
      <c r="BE26" s="1684"/>
      <c r="BF26" s="1684"/>
      <c r="BG26" s="1685" t="s">
        <v>105</v>
      </c>
      <c r="BH26" s="1686">
        <v>7.14</v>
      </c>
      <c r="BI26" s="1687">
        <v>108</v>
      </c>
      <c r="BJ26" s="1502">
        <f>+(BI12*BJ12+BI18*BJ18+BI25*BJ25)/BI26</f>
        <v>1.1393518518518517</v>
      </c>
      <c r="BL26" s="97"/>
      <c r="BM26" s="97"/>
      <c r="BN26" s="42" t="s">
        <v>121</v>
      </c>
      <c r="BO26" s="134">
        <v>9</v>
      </c>
      <c r="BP26" s="97">
        <v>7</v>
      </c>
      <c r="BQ26" s="134">
        <f t="shared" si="8"/>
        <v>3</v>
      </c>
      <c r="BR26" s="1"/>
      <c r="BS26" s="1274"/>
      <c r="BT26" s="1274"/>
      <c r="BU26" s="1275" t="s">
        <v>122</v>
      </c>
      <c r="BV26" s="1276">
        <v>8</v>
      </c>
      <c r="BW26" s="1277">
        <v>13</v>
      </c>
      <c r="BX26" s="134">
        <f t="shared" si="9"/>
        <v>2</v>
      </c>
      <c r="BZ26" s="774"/>
      <c r="CA26" s="774"/>
      <c r="CB26" s="775" t="s">
        <v>388</v>
      </c>
      <c r="CC26" s="776">
        <v>8.1999999999999993</v>
      </c>
      <c r="CD26" s="777">
        <v>10</v>
      </c>
      <c r="CE26" s="778">
        <f t="shared" si="10"/>
        <v>2.1999999999999993</v>
      </c>
      <c r="CG26" s="613"/>
      <c r="CH26" s="613"/>
      <c r="CI26" s="613"/>
      <c r="CJ26" s="389" t="s">
        <v>126</v>
      </c>
      <c r="CK26" s="391">
        <v>6.6</v>
      </c>
      <c r="CL26" s="390">
        <v>5</v>
      </c>
      <c r="CM26" s="795">
        <v>0.54772255750516619</v>
      </c>
      <c r="CN26" s="391">
        <f t="shared" si="15"/>
        <v>0.59999999999999964</v>
      </c>
      <c r="CP26" s="780"/>
      <c r="CQ26" s="780" t="s">
        <v>16</v>
      </c>
      <c r="CY26" s="63"/>
      <c r="CZ26" s="63" t="s">
        <v>16</v>
      </c>
      <c r="DA26" s="37" t="s">
        <v>1198</v>
      </c>
      <c r="DB26" s="63">
        <v>1</v>
      </c>
      <c r="DC26" s="694">
        <v>51</v>
      </c>
      <c r="DD26" s="63">
        <v>6</v>
      </c>
      <c r="DE26" s="694">
        <f t="shared" si="6"/>
        <v>45</v>
      </c>
      <c r="DF26" s="37"/>
      <c r="DG26" s="37"/>
      <c r="DH26" s="784"/>
      <c r="DI26" s="785" t="s">
        <v>16</v>
      </c>
      <c r="DJ26" s="784" t="s">
        <v>1199</v>
      </c>
      <c r="DK26" s="786">
        <v>19</v>
      </c>
      <c r="DL26" s="785">
        <v>3</v>
      </c>
      <c r="DM26" s="787">
        <v>6</v>
      </c>
      <c r="DN26" s="786">
        <f>DK26-6</f>
        <v>13</v>
      </c>
    </row>
    <row r="27" spans="1:118">
      <c r="A27" s="5797">
        <v>2</v>
      </c>
      <c r="B27" s="5797">
        <v>1</v>
      </c>
      <c r="C27" s="5796" t="s">
        <v>123</v>
      </c>
      <c r="D27" s="5798">
        <v>10</v>
      </c>
      <c r="E27" s="5797">
        <v>2</v>
      </c>
      <c r="F27" s="1281">
        <f t="shared" si="17"/>
        <v>4</v>
      </c>
      <c r="G27" s="97">
        <v>6</v>
      </c>
      <c r="I27" s="5034">
        <v>2</v>
      </c>
      <c r="J27" s="5034">
        <v>1</v>
      </c>
      <c r="K27" s="5035" t="s">
        <v>119</v>
      </c>
      <c r="L27" s="5036">
        <v>9.1111111111111107</v>
      </c>
      <c r="M27" s="5034">
        <v>11</v>
      </c>
      <c r="N27" s="1281">
        <f t="shared" si="2"/>
        <v>3.1111111111111107</v>
      </c>
      <c r="O27" s="4566">
        <v>6</v>
      </c>
      <c r="Q27" s="4561">
        <v>2</v>
      </c>
      <c r="R27" s="4561">
        <v>1</v>
      </c>
      <c r="S27" s="4562" t="s">
        <v>123</v>
      </c>
      <c r="T27" s="4563">
        <v>11.5</v>
      </c>
      <c r="U27" s="4564">
        <v>6</v>
      </c>
      <c r="V27" s="1281">
        <f t="shared" si="3"/>
        <v>5.5</v>
      </c>
      <c r="W27" s="97">
        <v>6</v>
      </c>
      <c r="Y27" s="36"/>
      <c r="Z27" s="36"/>
      <c r="AA27" s="36" t="s">
        <v>121</v>
      </c>
      <c r="AB27" s="1346">
        <v>6.56</v>
      </c>
      <c r="AC27" s="95">
        <v>9</v>
      </c>
      <c r="AD27" s="1281">
        <f t="shared" si="18"/>
        <v>0.55999999999999961</v>
      </c>
      <c r="AE27" s="97">
        <v>6</v>
      </c>
      <c r="AF27" s="4522"/>
      <c r="AG27" s="2378"/>
      <c r="AH27" s="1501"/>
      <c r="AI27" s="1477" t="s">
        <v>105</v>
      </c>
      <c r="AJ27" s="3857">
        <v>7.15</v>
      </c>
      <c r="AK27" s="3796">
        <v>68</v>
      </c>
      <c r="AL27" s="1676">
        <f>+(AK12*AL12+AK19*AL19+AK26*AL26)/AK27</f>
        <v>1.1458823529411768</v>
      </c>
      <c r="AM27" s="3749"/>
      <c r="AO27" s="39" t="s">
        <v>25</v>
      </c>
      <c r="AP27" s="39" t="s">
        <v>4</v>
      </c>
      <c r="AQ27" s="39" t="s">
        <v>119</v>
      </c>
      <c r="AR27" s="3518">
        <v>9.4499999999999993</v>
      </c>
      <c r="AS27" s="3518">
        <v>11</v>
      </c>
      <c r="AT27" s="3851">
        <f>AR27-AU27</f>
        <v>3.4499999999999993</v>
      </c>
      <c r="AU27" s="3852">
        <v>6</v>
      </c>
      <c r="AW27" s="37" t="s">
        <v>25</v>
      </c>
      <c r="AX27" s="37" t="s">
        <v>4</v>
      </c>
      <c r="AY27" s="37" t="s">
        <v>119</v>
      </c>
      <c r="AZ27" s="694">
        <v>9.57</v>
      </c>
      <c r="BA27" s="63">
        <v>14</v>
      </c>
      <c r="BB27" s="837">
        <f t="shared" si="7"/>
        <v>3.5700000000000003</v>
      </c>
      <c r="BC27" s="2043">
        <v>6</v>
      </c>
      <c r="BE27" s="37" t="s">
        <v>25</v>
      </c>
      <c r="BF27" s="37" t="s">
        <v>4</v>
      </c>
      <c r="BG27" s="37" t="s">
        <v>119</v>
      </c>
      <c r="BH27" s="694">
        <v>9</v>
      </c>
      <c r="BI27" s="63">
        <v>12</v>
      </c>
      <c r="BJ27" s="134">
        <f t="shared" si="4"/>
        <v>3</v>
      </c>
      <c r="BL27" s="97"/>
      <c r="BM27" s="97"/>
      <c r="BN27" s="42" t="s">
        <v>122</v>
      </c>
      <c r="BO27" s="134">
        <v>8.5</v>
      </c>
      <c r="BP27" s="97">
        <v>16</v>
      </c>
      <c r="BQ27" s="134">
        <f t="shared" si="8"/>
        <v>2.5</v>
      </c>
      <c r="BR27" s="1"/>
      <c r="BS27" s="1274"/>
      <c r="BT27" s="1274"/>
      <c r="BU27" s="1275" t="s">
        <v>123</v>
      </c>
      <c r="BV27" s="1276">
        <v>8.875</v>
      </c>
      <c r="BW27" s="1277">
        <v>8</v>
      </c>
      <c r="BX27" s="134">
        <f t="shared" si="9"/>
        <v>2.875</v>
      </c>
      <c r="BZ27" s="774"/>
      <c r="CA27" s="774"/>
      <c r="CB27" s="797" t="s">
        <v>482</v>
      </c>
      <c r="CC27" s="798">
        <v>8.6527777777777786</v>
      </c>
      <c r="CD27" s="799">
        <v>72</v>
      </c>
      <c r="CE27" s="800">
        <f t="shared" si="10"/>
        <v>2.6527777777777786</v>
      </c>
      <c r="CG27" s="613"/>
      <c r="CH27" s="613"/>
      <c r="CI27" s="613"/>
      <c r="CJ27" s="389" t="s">
        <v>127</v>
      </c>
      <c r="CK27" s="391">
        <v>7.8750000000000018</v>
      </c>
      <c r="CL27" s="390">
        <v>16</v>
      </c>
      <c r="CM27" s="690">
        <v>1.0878112581387152</v>
      </c>
      <c r="CN27" s="391">
        <f t="shared" si="15"/>
        <v>1.8750000000000018</v>
      </c>
      <c r="CP27" s="780"/>
      <c r="CR27" s="781" t="s">
        <v>106</v>
      </c>
      <c r="CS27" s="782">
        <v>3</v>
      </c>
      <c r="CT27" s="782">
        <f>CS27-DD26</f>
        <v>-3</v>
      </c>
      <c r="CU27" s="783">
        <v>1</v>
      </c>
      <c r="CV27" s="782">
        <v>3</v>
      </c>
      <c r="CW27" s="782">
        <f>CV27-DD27</f>
        <v>-3</v>
      </c>
      <c r="CY27" s="63"/>
      <c r="CZ27" s="63"/>
      <c r="DA27" s="37" t="s">
        <v>106</v>
      </c>
      <c r="DB27" s="63">
        <v>15</v>
      </c>
      <c r="DC27" s="694">
        <f>3.13333333333333+3</f>
        <v>6.1333333333333302</v>
      </c>
      <c r="DD27" s="63">
        <v>6</v>
      </c>
      <c r="DE27" s="694">
        <f t="shared" si="6"/>
        <v>0.1333333333333302</v>
      </c>
      <c r="DF27" s="37"/>
      <c r="DG27" s="37"/>
      <c r="DH27" s="784"/>
      <c r="DI27" s="785"/>
      <c r="DJ27" s="784" t="s">
        <v>106</v>
      </c>
      <c r="DK27" s="786">
        <v>18.5</v>
      </c>
      <c r="DL27" s="785">
        <v>2</v>
      </c>
      <c r="DM27" s="787">
        <v>6</v>
      </c>
      <c r="DN27" s="786">
        <f>DK27-3</f>
        <v>15.5</v>
      </c>
    </row>
    <row r="28" spans="1:118">
      <c r="A28" s="5797">
        <v>2</v>
      </c>
      <c r="B28" s="5797">
        <v>1</v>
      </c>
      <c r="C28" s="5796" t="s">
        <v>122</v>
      </c>
      <c r="D28" s="5798">
        <v>8.4</v>
      </c>
      <c r="E28" s="5797">
        <v>5</v>
      </c>
      <c r="F28" s="1281">
        <f t="shared" si="17"/>
        <v>2.4000000000000004</v>
      </c>
      <c r="G28" s="97">
        <v>6</v>
      </c>
      <c r="I28" s="5034">
        <v>2</v>
      </c>
      <c r="J28" s="5034">
        <v>1</v>
      </c>
      <c r="K28" s="5035" t="s">
        <v>123</v>
      </c>
      <c r="L28" s="5036">
        <v>10</v>
      </c>
      <c r="M28" s="5034">
        <v>2</v>
      </c>
      <c r="N28" s="1281">
        <f t="shared" si="2"/>
        <v>4</v>
      </c>
      <c r="O28" s="4566">
        <v>6</v>
      </c>
      <c r="Q28" s="4561">
        <v>2</v>
      </c>
      <c r="R28" s="4561">
        <v>1</v>
      </c>
      <c r="S28" s="4562" t="s">
        <v>122</v>
      </c>
      <c r="T28" s="4563">
        <v>10.3</v>
      </c>
      <c r="U28" s="4564">
        <v>6</v>
      </c>
      <c r="V28" s="1281">
        <f t="shared" si="3"/>
        <v>4.3000000000000007</v>
      </c>
      <c r="W28" s="97">
        <v>6</v>
      </c>
      <c r="Y28" s="36"/>
      <c r="Z28" s="36"/>
      <c r="AA28" s="36" t="s">
        <v>122</v>
      </c>
      <c r="AB28" s="1346">
        <v>7.33</v>
      </c>
      <c r="AC28" s="95">
        <v>6</v>
      </c>
      <c r="AD28" s="1281">
        <f t="shared" si="18"/>
        <v>1.33</v>
      </c>
      <c r="AE28" s="97">
        <v>6</v>
      </c>
      <c r="AF28" s="4522"/>
      <c r="AG28" s="36" t="s">
        <v>25</v>
      </c>
      <c r="AH28" s="97" t="s">
        <v>4</v>
      </c>
      <c r="AI28" s="36" t="s">
        <v>119</v>
      </c>
      <c r="AJ28" s="1346">
        <v>9.6199999999999992</v>
      </c>
      <c r="AK28" s="95">
        <v>13</v>
      </c>
      <c r="AL28" s="1281">
        <f t="shared" ref="AL28:AL34" si="19">AJ28-6</f>
        <v>3.6199999999999992</v>
      </c>
      <c r="AM28" s="3750">
        <v>6</v>
      </c>
      <c r="AQ28" s="39" t="s">
        <v>120</v>
      </c>
      <c r="AR28" s="3518">
        <v>9.1</v>
      </c>
      <c r="AS28" s="3518">
        <v>10</v>
      </c>
      <c r="AT28" s="3851">
        <f t="shared" ref="AT28:AT45" si="20">AR28-AU28</f>
        <v>3.0999999999999996</v>
      </c>
      <c r="AU28" s="3518">
        <v>6</v>
      </c>
      <c r="AW28" s="37"/>
      <c r="AX28" s="37"/>
      <c r="AY28" s="37" t="s">
        <v>120</v>
      </c>
      <c r="AZ28" s="694">
        <v>8.6</v>
      </c>
      <c r="BA28" s="63">
        <v>10</v>
      </c>
      <c r="BB28" s="837">
        <f t="shared" si="7"/>
        <v>2.5999999999999996</v>
      </c>
      <c r="BC28" s="2043">
        <v>6</v>
      </c>
      <c r="BE28" s="37"/>
      <c r="BF28" s="37"/>
      <c r="BG28" s="37" t="s">
        <v>120</v>
      </c>
      <c r="BH28" s="694">
        <v>8.52</v>
      </c>
      <c r="BI28" s="63">
        <v>21</v>
      </c>
      <c r="BJ28" s="134">
        <f t="shared" si="4"/>
        <v>2.5199999999999996</v>
      </c>
      <c r="BL28" s="97"/>
      <c r="BM28" s="97"/>
      <c r="BN28" s="42" t="s">
        <v>123</v>
      </c>
      <c r="BO28" s="134">
        <v>10.199999999999999</v>
      </c>
      <c r="BP28" s="97">
        <v>5</v>
      </c>
      <c r="BQ28" s="134">
        <f t="shared" si="8"/>
        <v>4.1999999999999993</v>
      </c>
      <c r="BR28" s="1"/>
      <c r="BS28" s="1274"/>
      <c r="BT28" s="1274"/>
      <c r="BU28" s="1275" t="s">
        <v>388</v>
      </c>
      <c r="BV28" s="1276">
        <v>7.666666666666667</v>
      </c>
      <c r="BW28" s="1277">
        <v>6</v>
      </c>
      <c r="BX28" s="134">
        <f t="shared" si="9"/>
        <v>1.666666666666667</v>
      </c>
      <c r="BZ28" s="774"/>
      <c r="CA28" s="774" t="s">
        <v>16</v>
      </c>
      <c r="CB28" s="775" t="s">
        <v>106</v>
      </c>
      <c r="CC28" s="776">
        <v>3.3333333333333335</v>
      </c>
      <c r="CD28" s="777">
        <v>15</v>
      </c>
      <c r="CE28" s="778">
        <f>CC28-3</f>
        <v>0.33333333333333348</v>
      </c>
      <c r="CG28" s="613"/>
      <c r="CH28" s="613"/>
      <c r="CI28" s="613"/>
      <c r="CJ28" s="709" t="s">
        <v>483</v>
      </c>
      <c r="CK28" s="394">
        <v>7.8615384615384594</v>
      </c>
      <c r="CL28" s="395">
        <v>65</v>
      </c>
      <c r="CM28" s="710">
        <v>1.1302229187880797</v>
      </c>
      <c r="CN28" s="788">
        <f>+(CL24*CN24+CL25*CN25+CL26*CN26+CL27*CN27)/CL28</f>
        <v>1.8615384615384631</v>
      </c>
      <c r="CP28" s="780"/>
      <c r="CQ28" s="780"/>
      <c r="CR28" s="781" t="s">
        <v>124</v>
      </c>
      <c r="CS28" s="782">
        <v>11.125</v>
      </c>
      <c r="CT28" s="782">
        <f>CS28-DD27</f>
        <v>5.125</v>
      </c>
      <c r="CU28" s="783">
        <v>8</v>
      </c>
      <c r="CV28" s="782">
        <v>13.5</v>
      </c>
      <c r="CW28" s="782">
        <f>CV28-DD28</f>
        <v>7.5</v>
      </c>
      <c r="CY28" s="63"/>
      <c r="CZ28" s="63"/>
      <c r="DA28" s="37" t="s">
        <v>124</v>
      </c>
      <c r="DB28" s="63">
        <v>9</v>
      </c>
      <c r="DC28" s="694">
        <v>7.8888888888888893</v>
      </c>
      <c r="DD28" s="63">
        <v>6</v>
      </c>
      <c r="DE28" s="694">
        <f t="shared" si="6"/>
        <v>1.8888888888888893</v>
      </c>
      <c r="DF28" s="37"/>
      <c r="DG28" s="37"/>
      <c r="DH28" s="784"/>
      <c r="DI28" s="785"/>
      <c r="DJ28" s="784" t="s">
        <v>124</v>
      </c>
      <c r="DK28" s="786">
        <v>6.2941176470588243</v>
      </c>
      <c r="DL28" s="785">
        <v>3</v>
      </c>
      <c r="DM28" s="787">
        <v>6</v>
      </c>
      <c r="DN28" s="786">
        <f>DK28-6</f>
        <v>0.29411764705882426</v>
      </c>
    </row>
    <row r="29" spans="1:118">
      <c r="A29" s="5797">
        <v>2</v>
      </c>
      <c r="B29" s="5797">
        <v>1</v>
      </c>
      <c r="C29" s="5796" t="s">
        <v>120</v>
      </c>
      <c r="D29" s="5798">
        <v>7.7</v>
      </c>
      <c r="E29" s="5797">
        <v>10</v>
      </c>
      <c r="F29" s="1281">
        <f t="shared" si="17"/>
        <v>1.7000000000000002</v>
      </c>
      <c r="G29" s="97">
        <v>6</v>
      </c>
      <c r="I29" s="5034">
        <v>2</v>
      </c>
      <c r="J29" s="5034">
        <v>1</v>
      </c>
      <c r="K29" s="5035" t="s">
        <v>122</v>
      </c>
      <c r="L29" s="5036">
        <v>8.25</v>
      </c>
      <c r="M29" s="5034">
        <v>4</v>
      </c>
      <c r="N29" s="1281">
        <f t="shared" si="2"/>
        <v>2.25</v>
      </c>
      <c r="O29" s="4566">
        <v>6</v>
      </c>
      <c r="Q29" s="4561">
        <v>2</v>
      </c>
      <c r="R29" s="4561">
        <v>1</v>
      </c>
      <c r="S29" s="4562" t="s">
        <v>120</v>
      </c>
      <c r="T29" s="4563">
        <v>8.4285714285714288</v>
      </c>
      <c r="U29" s="4564">
        <v>7</v>
      </c>
      <c r="V29" s="1281">
        <f t="shared" si="3"/>
        <v>2.4285714285714288</v>
      </c>
      <c r="W29" s="97">
        <v>6</v>
      </c>
      <c r="Y29" s="36"/>
      <c r="Z29" s="36"/>
      <c r="AA29" s="36" t="s">
        <v>123</v>
      </c>
      <c r="AB29" s="1346">
        <v>9.5</v>
      </c>
      <c r="AC29" s="95">
        <v>8</v>
      </c>
      <c r="AD29" s="1281">
        <f t="shared" si="18"/>
        <v>3.5</v>
      </c>
      <c r="AE29" s="97">
        <v>6</v>
      </c>
      <c r="AF29" s="4522"/>
      <c r="AG29" s="36"/>
      <c r="AH29" s="97"/>
      <c r="AI29" s="36" t="s">
        <v>120</v>
      </c>
      <c r="AJ29" s="1346">
        <v>8.94</v>
      </c>
      <c r="AK29" s="95">
        <v>17</v>
      </c>
      <c r="AL29" s="1281">
        <f t="shared" si="19"/>
        <v>2.9399999999999995</v>
      </c>
      <c r="AM29" s="97">
        <v>6</v>
      </c>
      <c r="AQ29" s="39" t="s">
        <v>121</v>
      </c>
      <c r="AR29" s="3518">
        <v>6.75</v>
      </c>
      <c r="AS29" s="3518">
        <v>4</v>
      </c>
      <c r="AT29" s="3851">
        <f t="shared" si="20"/>
        <v>0.75</v>
      </c>
      <c r="AU29" s="3518">
        <v>6</v>
      </c>
      <c r="AW29" s="37"/>
      <c r="AX29" s="37"/>
      <c r="AY29" s="37" t="s">
        <v>121</v>
      </c>
      <c r="AZ29" s="694">
        <v>6.56</v>
      </c>
      <c r="BA29" s="63">
        <v>16</v>
      </c>
      <c r="BB29" s="837">
        <f t="shared" si="7"/>
        <v>0.55999999999999961</v>
      </c>
      <c r="BC29" s="2043">
        <v>6</v>
      </c>
      <c r="BE29" s="37"/>
      <c r="BF29" s="37"/>
      <c r="BG29" s="37" t="s">
        <v>121</v>
      </c>
      <c r="BH29" s="694">
        <v>6.5</v>
      </c>
      <c r="BI29" s="63">
        <v>14</v>
      </c>
      <c r="BJ29" s="134">
        <f t="shared" si="4"/>
        <v>0.5</v>
      </c>
      <c r="BL29" s="97"/>
      <c r="BM29" s="97"/>
      <c r="BN29" s="42" t="s">
        <v>388</v>
      </c>
      <c r="BO29" s="134">
        <v>9</v>
      </c>
      <c r="BP29" s="97">
        <v>6</v>
      </c>
      <c r="BQ29" s="134">
        <f t="shared" si="8"/>
        <v>3</v>
      </c>
      <c r="BR29" s="1"/>
      <c r="BS29" s="1274"/>
      <c r="BT29" s="1274"/>
      <c r="BU29" s="1275" t="s">
        <v>681</v>
      </c>
      <c r="BV29" s="1276">
        <v>8</v>
      </c>
      <c r="BW29" s="1277">
        <v>7</v>
      </c>
      <c r="BX29" s="134">
        <f t="shared" si="9"/>
        <v>2</v>
      </c>
      <c r="BZ29" s="774"/>
      <c r="CA29" s="774"/>
      <c r="CB29" s="775" t="s">
        <v>124</v>
      </c>
      <c r="CC29" s="776">
        <v>8.9333333333333336</v>
      </c>
      <c r="CD29" s="777">
        <v>15</v>
      </c>
      <c r="CE29" s="778">
        <f t="shared" si="10"/>
        <v>2.9333333333333336</v>
      </c>
      <c r="CG29" s="613"/>
      <c r="CH29" s="613"/>
      <c r="CI29" s="613" t="s">
        <v>41</v>
      </c>
      <c r="CJ29" s="389" t="s">
        <v>128</v>
      </c>
      <c r="CK29" s="391">
        <v>7.3181818181818201</v>
      </c>
      <c r="CL29" s="390">
        <v>22</v>
      </c>
      <c r="CM29" s="690">
        <v>2.1018441706627349</v>
      </c>
      <c r="CN29" s="391">
        <f t="shared" si="15"/>
        <v>1.3181818181818201</v>
      </c>
      <c r="CP29" s="780"/>
      <c r="CQ29" s="780"/>
      <c r="CR29" s="781" t="s">
        <v>125</v>
      </c>
      <c r="CS29" s="782">
        <v>7.8636363636363642</v>
      </c>
      <c r="CT29" s="782">
        <f>CS29-DD28</f>
        <v>1.8636363636363642</v>
      </c>
      <c r="CU29" s="783">
        <v>22</v>
      </c>
      <c r="CV29" s="782">
        <v>8.1818181818181817</v>
      </c>
      <c r="CW29" s="782">
        <f>CV29-DD29</f>
        <v>2.1818181818181817</v>
      </c>
      <c r="CY29" s="63"/>
      <c r="CZ29" s="63"/>
      <c r="DA29" s="37" t="s">
        <v>125</v>
      </c>
      <c r="DB29" s="63">
        <v>52</v>
      </c>
      <c r="DC29" s="694">
        <v>9.4999999999999964</v>
      </c>
      <c r="DD29" s="63">
        <v>6</v>
      </c>
      <c r="DE29" s="694">
        <f t="shared" si="6"/>
        <v>3.4999999999999964</v>
      </c>
      <c r="DF29" s="37"/>
      <c r="DG29" s="37"/>
      <c r="DH29" s="784"/>
      <c r="DI29" s="785"/>
      <c r="DJ29" s="784" t="s">
        <v>125</v>
      </c>
      <c r="DK29" s="786">
        <v>14</v>
      </c>
      <c r="DL29" s="785">
        <v>26</v>
      </c>
      <c r="DM29" s="787">
        <v>6</v>
      </c>
      <c r="DN29" s="786">
        <f>DK29-6</f>
        <v>8</v>
      </c>
    </row>
    <row r="30" spans="1:118">
      <c r="A30" s="5797">
        <v>2</v>
      </c>
      <c r="B30" s="5797">
        <v>1</v>
      </c>
      <c r="C30" s="5796" t="s">
        <v>121</v>
      </c>
      <c r="D30" s="5798">
        <v>9.5</v>
      </c>
      <c r="E30" s="5797">
        <v>4</v>
      </c>
      <c r="F30" s="1281">
        <f t="shared" si="17"/>
        <v>3.5</v>
      </c>
      <c r="G30" s="97">
        <v>6</v>
      </c>
      <c r="I30" s="5034">
        <v>2</v>
      </c>
      <c r="J30" s="5034">
        <v>1</v>
      </c>
      <c r="K30" s="5035" t="s">
        <v>120</v>
      </c>
      <c r="L30" s="5036">
        <v>7.583333333333333</v>
      </c>
      <c r="M30" s="5034">
        <v>12</v>
      </c>
      <c r="N30" s="1281">
        <f t="shared" si="2"/>
        <v>1.583333333333333</v>
      </c>
      <c r="O30" s="4566">
        <v>6</v>
      </c>
      <c r="Q30" s="4561">
        <v>2</v>
      </c>
      <c r="R30" s="4561">
        <v>1</v>
      </c>
      <c r="S30" s="4562" t="s">
        <v>121</v>
      </c>
      <c r="T30" s="4563">
        <v>7</v>
      </c>
      <c r="U30" s="4564">
        <v>1</v>
      </c>
      <c r="V30" s="1281">
        <f t="shared" si="3"/>
        <v>1</v>
      </c>
      <c r="W30" s="97">
        <v>6</v>
      </c>
      <c r="Y30" s="36"/>
      <c r="Z30" s="36"/>
      <c r="AA30" s="36" t="s">
        <v>388</v>
      </c>
      <c r="AB30" s="1346">
        <v>8</v>
      </c>
      <c r="AC30" s="95">
        <v>4</v>
      </c>
      <c r="AD30" s="1281">
        <f t="shared" si="18"/>
        <v>2</v>
      </c>
      <c r="AE30" s="97">
        <v>6</v>
      </c>
      <c r="AF30" s="4522"/>
      <c r="AG30" s="36"/>
      <c r="AH30" s="97"/>
      <c r="AI30" s="36" t="s">
        <v>121</v>
      </c>
      <c r="AJ30" s="1346">
        <v>6.67</v>
      </c>
      <c r="AK30" s="95">
        <v>9</v>
      </c>
      <c r="AL30" s="1281">
        <f t="shared" si="19"/>
        <v>0.66999999999999993</v>
      </c>
      <c r="AM30" s="97">
        <v>6</v>
      </c>
      <c r="AQ30" s="39" t="s">
        <v>122</v>
      </c>
      <c r="AR30" s="3518">
        <v>8</v>
      </c>
      <c r="AS30" s="3518">
        <v>1</v>
      </c>
      <c r="AT30" s="3851">
        <f t="shared" si="20"/>
        <v>2</v>
      </c>
      <c r="AU30" s="3518">
        <v>6</v>
      </c>
      <c r="AW30" s="37"/>
      <c r="AX30" s="37"/>
      <c r="AY30" s="37" t="s">
        <v>122</v>
      </c>
      <c r="AZ30" s="694">
        <v>7.73</v>
      </c>
      <c r="BA30" s="63">
        <v>11</v>
      </c>
      <c r="BB30" s="837">
        <f t="shared" si="7"/>
        <v>1.7300000000000004</v>
      </c>
      <c r="BC30" s="2043">
        <v>6</v>
      </c>
      <c r="BE30" s="37"/>
      <c r="BF30" s="37"/>
      <c r="BG30" s="37" t="s">
        <v>122</v>
      </c>
      <c r="BH30" s="694">
        <v>7.91</v>
      </c>
      <c r="BI30" s="63">
        <v>11</v>
      </c>
      <c r="BJ30" s="134">
        <f t="shared" si="4"/>
        <v>1.9100000000000001</v>
      </c>
      <c r="BL30" s="97"/>
      <c r="BM30" s="97"/>
      <c r="BN30" s="42" t="s">
        <v>681</v>
      </c>
      <c r="BO30" s="134">
        <v>9.17</v>
      </c>
      <c r="BP30" s="97">
        <v>6</v>
      </c>
      <c r="BQ30" s="134">
        <f t="shared" si="8"/>
        <v>3.17</v>
      </c>
      <c r="BR30" s="1"/>
      <c r="BS30" s="1274"/>
      <c r="BT30" s="1274"/>
      <c r="BU30" s="1278" t="s">
        <v>482</v>
      </c>
      <c r="BV30" s="1279">
        <v>8.4237288135593218</v>
      </c>
      <c r="BW30" s="1280">
        <v>59</v>
      </c>
      <c r="BX30" s="800">
        <f>+(BW23*BX23+BW24*BX24+BW25*BX25+BW26*BX26+BW27*BX27+BW28*BX28+BW29*BX29)/BW30</f>
        <v>2.4237288135593227</v>
      </c>
      <c r="BZ30" s="774"/>
      <c r="CA30" s="774"/>
      <c r="CB30" s="775" t="s">
        <v>125</v>
      </c>
      <c r="CC30" s="776">
        <v>7.8409090909090944</v>
      </c>
      <c r="CD30" s="777">
        <v>44</v>
      </c>
      <c r="CE30" s="778">
        <f t="shared" si="10"/>
        <v>1.8409090909090944</v>
      </c>
      <c r="CG30" s="613"/>
      <c r="CH30" s="613"/>
      <c r="CI30" s="613"/>
      <c r="CJ30" s="389" t="s">
        <v>129</v>
      </c>
      <c r="CK30" s="391">
        <v>8.3333333333333339</v>
      </c>
      <c r="CL30" s="390">
        <v>18</v>
      </c>
      <c r="CM30" s="690">
        <v>2.1420166418862494</v>
      </c>
      <c r="CN30" s="391">
        <f t="shared" si="15"/>
        <v>2.3333333333333339</v>
      </c>
      <c r="CP30" s="780"/>
      <c r="CQ30" s="780"/>
      <c r="CR30" s="781" t="s">
        <v>126</v>
      </c>
      <c r="CS30" s="782">
        <v>6.615384615384615</v>
      </c>
      <c r="CT30" s="782">
        <f>CS30-DD29</f>
        <v>0.61538461538461497</v>
      </c>
      <c r="CU30" s="783">
        <v>26</v>
      </c>
      <c r="CV30" s="782">
        <v>6.615384615384615</v>
      </c>
      <c r="CW30" s="782">
        <f>CV30-DD30</f>
        <v>0.61538461538461497</v>
      </c>
      <c r="CY30" s="63"/>
      <c r="CZ30" s="63"/>
      <c r="DA30" s="37" t="s">
        <v>126</v>
      </c>
      <c r="DB30" s="63">
        <v>12</v>
      </c>
      <c r="DC30" s="694">
        <v>7.333333333333333</v>
      </c>
      <c r="DD30" s="63">
        <v>6</v>
      </c>
      <c r="DE30" s="694">
        <f t="shared" si="6"/>
        <v>1.333333333333333</v>
      </c>
      <c r="DF30" s="37"/>
      <c r="DG30" s="37"/>
      <c r="DH30" s="784"/>
      <c r="DI30" s="785"/>
      <c r="DJ30" s="784" t="s">
        <v>126</v>
      </c>
      <c r="DK30" s="786">
        <v>6.375</v>
      </c>
      <c r="DL30" s="785">
        <v>24</v>
      </c>
      <c r="DM30" s="787">
        <v>6</v>
      </c>
      <c r="DN30" s="786">
        <f>DK30-6</f>
        <v>0.375</v>
      </c>
    </row>
    <row r="31" spans="1:118">
      <c r="A31" s="5797"/>
      <c r="B31" s="5797"/>
      <c r="C31" s="5799" t="s">
        <v>4</v>
      </c>
      <c r="D31" s="5798"/>
      <c r="E31" s="5799">
        <f>SUM(E24:E30)</f>
        <v>50</v>
      </c>
      <c r="F31" s="1675">
        <f>+(E24*F24+E25*F25+E26*F26+E27*F27+E28*F28+E29*F29+E30*F30)/E31</f>
        <v>2.4910000000000001</v>
      </c>
      <c r="G31" s="97"/>
      <c r="I31" s="5034">
        <v>2</v>
      </c>
      <c r="J31" s="5034">
        <v>1</v>
      </c>
      <c r="K31" s="5035" t="s">
        <v>121</v>
      </c>
      <c r="L31" s="5036">
        <v>9</v>
      </c>
      <c r="M31" s="5034">
        <v>5</v>
      </c>
      <c r="N31" s="1281">
        <f t="shared" si="2"/>
        <v>3</v>
      </c>
      <c r="O31" s="4566">
        <v>6</v>
      </c>
      <c r="Q31" s="4561"/>
      <c r="R31" s="4561"/>
      <c r="S31" s="4520" t="s">
        <v>482</v>
      </c>
      <c r="T31" s="4563"/>
      <c r="U31" s="4568">
        <f>SUM(U24:U30)</f>
        <v>36</v>
      </c>
      <c r="V31" s="1675">
        <f>+(U24*V24+U25*V25+U26*V26+U27*V27+U28*V28+U29*V29+U30*V30)/U31</f>
        <v>3.2819444444444446</v>
      </c>
      <c r="Y31" s="36"/>
      <c r="Z31" s="36"/>
      <c r="AA31" s="36" t="s">
        <v>681</v>
      </c>
      <c r="AB31" s="1346">
        <v>8.33</v>
      </c>
      <c r="AC31" s="95">
        <v>6</v>
      </c>
      <c r="AD31" s="1281">
        <f t="shared" si="18"/>
        <v>2.33</v>
      </c>
      <c r="AE31" s="97">
        <v>6</v>
      </c>
      <c r="AF31" s="4522"/>
      <c r="AG31" s="36"/>
      <c r="AH31" s="97"/>
      <c r="AI31" s="36" t="s">
        <v>122</v>
      </c>
      <c r="AJ31" s="1346">
        <v>7.33</v>
      </c>
      <c r="AK31" s="95">
        <v>3</v>
      </c>
      <c r="AL31" s="1281">
        <f t="shared" si="19"/>
        <v>1.33</v>
      </c>
      <c r="AM31" s="97">
        <v>6</v>
      </c>
      <c r="AQ31" s="39" t="s">
        <v>123</v>
      </c>
      <c r="AR31" s="3518">
        <v>9.33</v>
      </c>
      <c r="AS31" s="3518">
        <v>3</v>
      </c>
      <c r="AT31" s="3851">
        <f t="shared" si="20"/>
        <v>3.33</v>
      </c>
      <c r="AU31" s="3518">
        <v>6</v>
      </c>
      <c r="AW31" s="37"/>
      <c r="AX31" s="37"/>
      <c r="AY31" s="37" t="s">
        <v>123</v>
      </c>
      <c r="AZ31" s="694">
        <v>6.33</v>
      </c>
      <c r="BA31" s="63">
        <v>6</v>
      </c>
      <c r="BB31" s="837">
        <f t="shared" si="7"/>
        <v>0.33000000000000007</v>
      </c>
      <c r="BC31" s="2043">
        <v>6</v>
      </c>
      <c r="BE31" s="37"/>
      <c r="BF31" s="37"/>
      <c r="BG31" s="37" t="s">
        <v>123</v>
      </c>
      <c r="BH31" s="694">
        <v>10.25</v>
      </c>
      <c r="BI31" s="63">
        <v>4</v>
      </c>
      <c r="BJ31" s="134">
        <f t="shared" si="4"/>
        <v>4.25</v>
      </c>
      <c r="BL31" s="97"/>
      <c r="BM31" s="97"/>
      <c r="BN31" s="893" t="s">
        <v>482</v>
      </c>
      <c r="BO31" s="894">
        <v>8.9</v>
      </c>
      <c r="BP31" s="135">
        <v>63</v>
      </c>
      <c r="BQ31" s="800">
        <f>+(BP24*BQ24+BP25*BQ25+BP26*BQ26+BP27*BQ27+BP28*BQ28+BP29*BQ29+BP30*BQ30)/BP31</f>
        <v>2.9049206349206349</v>
      </c>
      <c r="BR31" s="1"/>
      <c r="BS31" s="1274"/>
      <c r="BT31" s="1274" t="s">
        <v>16</v>
      </c>
      <c r="BU31" s="1275" t="s">
        <v>124</v>
      </c>
      <c r="BV31" s="1276">
        <v>11.5</v>
      </c>
      <c r="BW31" s="1277">
        <v>2</v>
      </c>
      <c r="BX31" s="134">
        <f t="shared" si="9"/>
        <v>5.5</v>
      </c>
      <c r="BZ31" s="774"/>
      <c r="CA31" s="774"/>
      <c r="CB31" s="775" t="s">
        <v>126</v>
      </c>
      <c r="CC31" s="776">
        <v>6.2608695652173916</v>
      </c>
      <c r="CD31" s="777">
        <v>23</v>
      </c>
      <c r="CE31" s="778">
        <f t="shared" si="10"/>
        <v>0.26086956521739157</v>
      </c>
      <c r="CG31" s="613"/>
      <c r="CH31" s="613"/>
      <c r="CI31" s="613"/>
      <c r="CJ31" s="389" t="s">
        <v>130</v>
      </c>
      <c r="CK31" s="391">
        <v>8.6666666666666661</v>
      </c>
      <c r="CL31" s="390">
        <v>12</v>
      </c>
      <c r="CM31" s="690">
        <v>1.9694638556693229</v>
      </c>
      <c r="CN31" s="391">
        <f t="shared" si="15"/>
        <v>2.6666666666666661</v>
      </c>
      <c r="CP31" s="780"/>
      <c r="CQ31" s="780"/>
      <c r="CR31" s="781" t="s">
        <v>127</v>
      </c>
      <c r="CS31" s="782">
        <v>7</v>
      </c>
      <c r="CT31" s="782">
        <f>CS31-DD30</f>
        <v>1</v>
      </c>
      <c r="CU31" s="783">
        <v>6</v>
      </c>
      <c r="CV31" s="782">
        <v>7</v>
      </c>
      <c r="CW31" s="782">
        <f>CV31-DD31</f>
        <v>1</v>
      </c>
      <c r="CY31" s="63"/>
      <c r="CZ31" s="63"/>
      <c r="DA31" s="37" t="s">
        <v>127</v>
      </c>
      <c r="DB31" s="63">
        <v>9</v>
      </c>
      <c r="DC31" s="694">
        <v>7.666666666666667</v>
      </c>
      <c r="DD31" s="63">
        <v>6</v>
      </c>
      <c r="DE31" s="694">
        <f t="shared" si="6"/>
        <v>1.666666666666667</v>
      </c>
      <c r="DF31" s="792">
        <f>AVERAGE(DE26:DE31)</f>
        <v>8.9203703703703709</v>
      </c>
      <c r="DG31" s="37"/>
      <c r="DH31" s="784"/>
      <c r="DI31" s="785"/>
      <c r="DJ31" s="784" t="s">
        <v>127</v>
      </c>
      <c r="DK31" s="786">
        <v>7</v>
      </c>
      <c r="DL31" s="785">
        <v>13</v>
      </c>
      <c r="DM31" s="787">
        <v>6</v>
      </c>
      <c r="DN31" s="786">
        <f>DK31-6</f>
        <v>1</v>
      </c>
    </row>
    <row r="32" spans="1:118">
      <c r="A32" s="5797">
        <v>2</v>
      </c>
      <c r="B32" s="5797">
        <v>2</v>
      </c>
      <c r="C32" s="5796" t="s">
        <v>2725</v>
      </c>
      <c r="D32" s="5798">
        <v>4</v>
      </c>
      <c r="E32" s="5797">
        <v>2</v>
      </c>
      <c r="F32" s="1281">
        <f t="shared" si="17"/>
        <v>1</v>
      </c>
      <c r="G32" s="97">
        <v>3</v>
      </c>
      <c r="I32" s="5034"/>
      <c r="J32" s="5034"/>
      <c r="K32" s="5035"/>
      <c r="L32" s="5036"/>
      <c r="M32" s="5037">
        <f>SUM(M25:M31)</f>
        <v>55</v>
      </c>
      <c r="N32" s="1675">
        <f>+(M25*N25+M26*N26+M27*N27+M28*N28+M29*N29+M30*N30+M31*N31)/M32</f>
        <v>2.4585858585858587</v>
      </c>
      <c r="O32" s="4566"/>
      <c r="Q32" s="4561">
        <v>2</v>
      </c>
      <c r="R32" s="4561">
        <v>2</v>
      </c>
      <c r="S32" s="4562" t="s">
        <v>2725</v>
      </c>
      <c r="T32" s="4563">
        <v>3.1111111111111112</v>
      </c>
      <c r="U32" s="4564">
        <v>9</v>
      </c>
      <c r="V32" s="1281">
        <f t="shared" si="3"/>
        <v>0.11111111111111116</v>
      </c>
      <c r="W32" s="97">
        <v>3</v>
      </c>
      <c r="Y32" s="36"/>
      <c r="Z32" s="36"/>
      <c r="AA32" s="393" t="s">
        <v>482</v>
      </c>
      <c r="AB32" s="1361">
        <v>8.08</v>
      </c>
      <c r="AC32" s="4520">
        <v>53</v>
      </c>
      <c r="AD32" s="1675">
        <f>+(AC25*AD25+AC26*AD26+AC27*AD27+AC28*AD28+AC29*AD29+AC30*AD30+AC31*AD31)/AC32</f>
        <v>2.0743396226415096</v>
      </c>
      <c r="AE32" s="97">
        <v>6</v>
      </c>
      <c r="AF32" s="4522"/>
      <c r="AG32" s="36"/>
      <c r="AH32" s="97"/>
      <c r="AI32" s="36" t="s">
        <v>123</v>
      </c>
      <c r="AJ32" s="1346">
        <v>9.67</v>
      </c>
      <c r="AK32" s="95">
        <v>6</v>
      </c>
      <c r="AL32" s="1281">
        <f t="shared" si="19"/>
        <v>3.67</v>
      </c>
      <c r="AM32" s="97">
        <v>6</v>
      </c>
      <c r="AQ32" s="39" t="s">
        <v>388</v>
      </c>
      <c r="AR32" s="3518">
        <v>7.5</v>
      </c>
      <c r="AS32" s="3518">
        <v>6</v>
      </c>
      <c r="AT32" s="3851">
        <f t="shared" si="20"/>
        <v>1.5</v>
      </c>
      <c r="AU32" s="3518">
        <v>6</v>
      </c>
      <c r="AW32" s="37"/>
      <c r="AX32" s="37"/>
      <c r="AY32" s="37" t="s">
        <v>388</v>
      </c>
      <c r="AZ32" s="694">
        <v>9.44</v>
      </c>
      <c r="BA32" s="63">
        <v>9</v>
      </c>
      <c r="BB32" s="837">
        <f t="shared" si="7"/>
        <v>3.4399999999999995</v>
      </c>
      <c r="BC32" s="2043">
        <v>6</v>
      </c>
      <c r="BE32" s="37"/>
      <c r="BF32" s="37"/>
      <c r="BG32" s="37" t="s">
        <v>388</v>
      </c>
      <c r="BH32" s="694">
        <v>8</v>
      </c>
      <c r="BI32" s="63">
        <v>10</v>
      </c>
      <c r="BJ32" s="134">
        <f t="shared" si="4"/>
        <v>2</v>
      </c>
      <c r="BL32" s="97"/>
      <c r="BM32" s="97" t="s">
        <v>16</v>
      </c>
      <c r="BN32" s="42" t="s">
        <v>106</v>
      </c>
      <c r="BO32" s="134">
        <v>3</v>
      </c>
      <c r="BP32" s="97">
        <v>10</v>
      </c>
      <c r="BQ32" s="134">
        <f t="shared" si="8"/>
        <v>-3</v>
      </c>
      <c r="BR32" s="1"/>
      <c r="BS32" s="1274"/>
      <c r="BT32" s="1274"/>
      <c r="BU32" s="1275" t="s">
        <v>125</v>
      </c>
      <c r="BV32" s="1276">
        <v>8.0833333333333321</v>
      </c>
      <c r="BW32" s="1277">
        <v>12</v>
      </c>
      <c r="BX32" s="134">
        <f t="shared" si="9"/>
        <v>2.0833333333333321</v>
      </c>
      <c r="BZ32" s="774"/>
      <c r="CA32" s="774"/>
      <c r="CB32" s="775" t="s">
        <v>127</v>
      </c>
      <c r="CC32" s="776">
        <v>6.0588235294117645</v>
      </c>
      <c r="CD32" s="777">
        <v>17</v>
      </c>
      <c r="CE32" s="778">
        <f t="shared" si="10"/>
        <v>5.8823529411764497E-2</v>
      </c>
      <c r="CG32" s="613"/>
      <c r="CH32" s="613"/>
      <c r="CI32" s="613"/>
      <c r="CJ32" s="709" t="s">
        <v>485</v>
      </c>
      <c r="CK32" s="394">
        <v>7.9807692307692326</v>
      </c>
      <c r="CL32" s="395">
        <v>52</v>
      </c>
      <c r="CM32" s="710">
        <v>2.128152882384017</v>
      </c>
      <c r="CN32" s="788">
        <f>+(CL29*CN29+CL30*CN30+CL31*CN31)/CL32</f>
        <v>1.9807692307692319</v>
      </c>
      <c r="CQ32" s="780"/>
      <c r="CR32" s="789" t="s">
        <v>483</v>
      </c>
      <c r="CS32" s="788">
        <v>7.6031746031746037</v>
      </c>
      <c r="CT32" s="788">
        <f>+(CU27*CT27+CU28*CT28+CU29*CT29+CU30*CT30+CU31*CT31)/CU32</f>
        <v>1.6031746031746033</v>
      </c>
      <c r="CU32" s="790">
        <v>63</v>
      </c>
      <c r="CV32" s="788">
        <v>8.0158730158730176</v>
      </c>
      <c r="CW32" s="788">
        <f>+(CU27*CW27+CU28*CW28+29*CW29+CU30*CW30+CU31*CW31)/CU32</f>
        <v>2.258297258297258</v>
      </c>
      <c r="CY32" s="63"/>
      <c r="CZ32" s="63"/>
      <c r="DA32" s="416" t="s">
        <v>15</v>
      </c>
      <c r="DB32" s="386">
        <v>98</v>
      </c>
      <c r="DC32" s="707">
        <v>8.8265306122448948</v>
      </c>
      <c r="DD32" s="386"/>
      <c r="DE32" s="707">
        <f>+(DB26*DE26+DB27*DE27+DB28*DE28+DB29*DE29+DB30*DE30+DB31*DE31)/DB32</f>
        <v>2.8265306122448957</v>
      </c>
      <c r="DF32" s="37"/>
      <c r="DG32" s="37"/>
      <c r="DH32" s="784"/>
      <c r="DI32" s="785"/>
      <c r="DJ32" s="785" t="s">
        <v>15</v>
      </c>
      <c r="DK32" s="786">
        <v>9.5176470588235329</v>
      </c>
      <c r="DL32" s="785">
        <v>85</v>
      </c>
      <c r="DM32" s="787"/>
      <c r="DN32" s="794">
        <f>AVERAGE(DN26:DN31)</f>
        <v>6.361519607843138</v>
      </c>
    </row>
    <row r="33" spans="1:118">
      <c r="A33" s="5797">
        <v>2</v>
      </c>
      <c r="B33" s="5797">
        <v>2</v>
      </c>
      <c r="C33" s="5796" t="s">
        <v>2340</v>
      </c>
      <c r="D33" s="5798">
        <v>6</v>
      </c>
      <c r="E33" s="5797">
        <v>5</v>
      </c>
      <c r="F33" s="1281">
        <f t="shared" si="17"/>
        <v>0</v>
      </c>
      <c r="G33" s="97">
        <v>6</v>
      </c>
      <c r="I33" s="5034">
        <v>2</v>
      </c>
      <c r="J33" s="5034">
        <v>2</v>
      </c>
      <c r="K33" s="5035" t="s">
        <v>2725</v>
      </c>
      <c r="L33" s="5036">
        <v>4</v>
      </c>
      <c r="M33" s="5034">
        <v>2</v>
      </c>
      <c r="N33" s="1281">
        <f t="shared" si="2"/>
        <v>1</v>
      </c>
      <c r="O33" s="97">
        <v>3</v>
      </c>
      <c r="Q33" s="4561">
        <v>2</v>
      </c>
      <c r="R33" s="4561">
        <v>2</v>
      </c>
      <c r="S33" s="4562" t="s">
        <v>2340</v>
      </c>
      <c r="T33" s="4563">
        <v>7</v>
      </c>
      <c r="U33" s="4564">
        <v>1</v>
      </c>
      <c r="V33" s="1281">
        <f t="shared" si="3"/>
        <v>1</v>
      </c>
      <c r="W33" s="97">
        <v>6</v>
      </c>
      <c r="Y33" s="36"/>
      <c r="Z33" s="36" t="s">
        <v>16</v>
      </c>
      <c r="AA33" s="36" t="s">
        <v>106</v>
      </c>
      <c r="AB33" s="1346">
        <v>3.11</v>
      </c>
      <c r="AC33" s="95">
        <v>9</v>
      </c>
      <c r="AD33" s="134">
        <f>AB33-AE33</f>
        <v>0.10999999999999988</v>
      </c>
      <c r="AE33" s="97">
        <v>3</v>
      </c>
      <c r="AF33" s="4522"/>
      <c r="AG33" s="36"/>
      <c r="AH33" s="97"/>
      <c r="AI33" s="36" t="s">
        <v>388</v>
      </c>
      <c r="AJ33" s="1346">
        <v>7.75</v>
      </c>
      <c r="AK33" s="95">
        <v>8</v>
      </c>
      <c r="AL33" s="1281">
        <f t="shared" si="19"/>
        <v>1.75</v>
      </c>
      <c r="AM33" s="97">
        <v>6</v>
      </c>
      <c r="AQ33" s="39" t="s">
        <v>681</v>
      </c>
      <c r="AR33" s="3518">
        <v>9.89</v>
      </c>
      <c r="AS33" s="3518">
        <v>9</v>
      </c>
      <c r="AT33" s="3851">
        <f t="shared" si="20"/>
        <v>3.8900000000000006</v>
      </c>
      <c r="AU33" s="3518">
        <v>6</v>
      </c>
      <c r="AW33" s="37"/>
      <c r="AX33" s="37"/>
      <c r="AY33" s="37" t="s">
        <v>681</v>
      </c>
      <c r="AZ33" s="694">
        <v>8.3000000000000007</v>
      </c>
      <c r="BA33" s="63">
        <v>27</v>
      </c>
      <c r="BB33" s="837">
        <f t="shared" si="7"/>
        <v>2.3000000000000007</v>
      </c>
      <c r="BC33" s="2043">
        <v>6</v>
      </c>
      <c r="BE33" s="37"/>
      <c r="BF33" s="37"/>
      <c r="BG33" s="37" t="s">
        <v>681</v>
      </c>
      <c r="BH33" s="694">
        <v>8.6</v>
      </c>
      <c r="BI33" s="63">
        <v>10</v>
      </c>
      <c r="BJ33" s="134">
        <f t="shared" si="4"/>
        <v>2.5999999999999996</v>
      </c>
      <c r="BL33" s="97"/>
      <c r="BM33" s="97"/>
      <c r="BN33" s="42" t="s">
        <v>124</v>
      </c>
      <c r="BO33" s="134">
        <v>6</v>
      </c>
      <c r="BP33" s="97">
        <v>8</v>
      </c>
      <c r="BQ33" s="134">
        <f t="shared" si="8"/>
        <v>0</v>
      </c>
      <c r="BR33" s="1"/>
      <c r="BS33" s="1274"/>
      <c r="BT33" s="1274"/>
      <c r="BU33" s="1275" t="s">
        <v>126</v>
      </c>
      <c r="BV33" s="1276">
        <v>8.25</v>
      </c>
      <c r="BW33" s="1277">
        <v>4</v>
      </c>
      <c r="BX33" s="134">
        <f t="shared" si="9"/>
        <v>2.25</v>
      </c>
      <c r="BZ33" s="774"/>
      <c r="CA33" s="774"/>
      <c r="CB33" s="797" t="s">
        <v>483</v>
      </c>
      <c r="CC33" s="798">
        <v>6.8070175438596472</v>
      </c>
      <c r="CD33" s="799">
        <v>114</v>
      </c>
      <c r="CE33" s="800">
        <f>+(CD28*CE28+CD29*CE29+CD30*CE30+CD31*CE31+CD32*CE32)/CD33</f>
        <v>1.2017543859649138</v>
      </c>
      <c r="CG33" s="613"/>
      <c r="CH33" s="613"/>
      <c r="CI33" s="613"/>
      <c r="CJ33" s="803" t="s">
        <v>109</v>
      </c>
      <c r="CK33" s="804">
        <v>8.0718232044198892</v>
      </c>
      <c r="CL33" s="805">
        <v>181</v>
      </c>
      <c r="CM33" s="806">
        <v>1.8044178783421485</v>
      </c>
      <c r="CN33" s="807">
        <f>+(CL23*CN23+CL28*CN28+CL32*CN32)/CL33</f>
        <v>2.0718232044198905</v>
      </c>
      <c r="CP33" s="780"/>
      <c r="CQ33" s="780" t="s">
        <v>41</v>
      </c>
      <c r="CR33" s="781" t="s">
        <v>128</v>
      </c>
      <c r="CS33" s="782">
        <v>8.0666666666666682</v>
      </c>
      <c r="CT33" s="782">
        <f>CS33-DD32</f>
        <v>8.0666666666666682</v>
      </c>
      <c r="CU33" s="783">
        <v>15</v>
      </c>
      <c r="CV33" s="782">
        <v>8.8000000000000007</v>
      </c>
      <c r="CW33" s="782">
        <f>CV33-DD33</f>
        <v>2.8000000000000007</v>
      </c>
      <c r="CY33" s="63"/>
      <c r="CZ33" s="63" t="s">
        <v>41</v>
      </c>
      <c r="DA33" s="37" t="s">
        <v>128</v>
      </c>
      <c r="DB33" s="63">
        <v>16</v>
      </c>
      <c r="DC33" s="694">
        <v>6.875</v>
      </c>
      <c r="DD33" s="63">
        <v>6</v>
      </c>
      <c r="DE33" s="694">
        <f t="shared" si="6"/>
        <v>0.875</v>
      </c>
      <c r="DF33" s="37"/>
      <c r="DG33" s="37"/>
      <c r="DH33" s="784"/>
      <c r="DI33" s="785" t="s">
        <v>41</v>
      </c>
      <c r="DJ33" s="784" t="s">
        <v>413</v>
      </c>
      <c r="DK33" s="786">
        <v>9</v>
      </c>
      <c r="DL33" s="785">
        <v>2</v>
      </c>
      <c r="DM33" s="787">
        <v>6</v>
      </c>
      <c r="DN33" s="786">
        <f>DK33-6</f>
        <v>3</v>
      </c>
    </row>
    <row r="34" spans="1:118">
      <c r="A34" s="5797">
        <v>2</v>
      </c>
      <c r="B34" s="5797">
        <v>2</v>
      </c>
      <c r="C34" s="5796" t="s">
        <v>2737</v>
      </c>
      <c r="D34" s="5798">
        <v>6</v>
      </c>
      <c r="E34" s="5797">
        <v>2</v>
      </c>
      <c r="F34" s="1281">
        <f t="shared" si="17"/>
        <v>0</v>
      </c>
      <c r="G34" s="97">
        <v>6</v>
      </c>
      <c r="I34" s="5034">
        <v>2</v>
      </c>
      <c r="J34" s="5034">
        <v>2</v>
      </c>
      <c r="K34" s="5035" t="s">
        <v>2340</v>
      </c>
      <c r="L34" s="5036">
        <v>6</v>
      </c>
      <c r="M34" s="5034">
        <v>5</v>
      </c>
      <c r="N34" s="1281">
        <f t="shared" si="2"/>
        <v>6</v>
      </c>
      <c r="O34" s="97"/>
      <c r="Q34" s="4561">
        <v>2</v>
      </c>
      <c r="R34" s="4561">
        <v>2</v>
      </c>
      <c r="S34" s="4562" t="s">
        <v>2737</v>
      </c>
      <c r="T34" s="4563">
        <v>9</v>
      </c>
      <c r="U34" s="4564">
        <v>2</v>
      </c>
      <c r="V34" s="1281">
        <f t="shared" si="3"/>
        <v>3</v>
      </c>
      <c r="W34" s="97">
        <v>6</v>
      </c>
      <c r="Y34" s="36"/>
      <c r="Z34" s="36"/>
      <c r="AA34" s="36" t="s">
        <v>124</v>
      </c>
      <c r="AB34" s="1346">
        <v>6.8</v>
      </c>
      <c r="AC34" s="95">
        <v>5</v>
      </c>
      <c r="AD34" s="1281">
        <f>AB34-6</f>
        <v>0.79999999999999982</v>
      </c>
      <c r="AE34" s="97">
        <v>6</v>
      </c>
      <c r="AF34" s="4522"/>
      <c r="AG34" s="36"/>
      <c r="AH34" s="97"/>
      <c r="AI34" s="36" t="s">
        <v>681</v>
      </c>
      <c r="AJ34" s="1346">
        <v>9.91</v>
      </c>
      <c r="AK34" s="95">
        <v>11</v>
      </c>
      <c r="AL34" s="1281">
        <f t="shared" si="19"/>
        <v>3.91</v>
      </c>
      <c r="AM34" s="97">
        <v>6</v>
      </c>
      <c r="AQ34" s="3814" t="s">
        <v>482</v>
      </c>
      <c r="AR34" s="3816">
        <v>8.91</v>
      </c>
      <c r="AS34" s="3816">
        <v>44</v>
      </c>
      <c r="AT34" s="3844">
        <f>+(AS27*AT27+AS28*AT28+AS29*AT29+AS30*AT30+AS31*AT31+AS32*AT32+AS33*AT33)/AS34</f>
        <v>2.9079545454545452</v>
      </c>
      <c r="AU34" s="3518"/>
      <c r="AW34" s="37"/>
      <c r="AX34" s="37"/>
      <c r="AY34" s="416" t="s">
        <v>482</v>
      </c>
      <c r="AZ34" s="707">
        <v>8.14</v>
      </c>
      <c r="BA34" s="2040">
        <v>93</v>
      </c>
      <c r="BB34" s="800">
        <f>+(BA27*BB27+BA28*BB28+BA29*BB29+BA30*BB30+BA31*BB31+BA32*BB32+BA33*BB33)/BA34</f>
        <v>2.1398924731182798</v>
      </c>
      <c r="BC34" s="2043"/>
      <c r="BE34" s="37"/>
      <c r="BF34" s="37"/>
      <c r="BG34" s="416" t="s">
        <v>482</v>
      </c>
      <c r="BH34" s="707">
        <v>8.1999999999999993</v>
      </c>
      <c r="BI34" s="386">
        <v>82</v>
      </c>
      <c r="BJ34" s="800">
        <f>+(BI27*BJ27+BI28*BJ28+BI29*BJ29+BI30*BJ30+BI31*BJ31+BI32*BJ32+BI33*BJ33)/BI34</f>
        <v>2.1942682926829269</v>
      </c>
      <c r="BL34" s="97"/>
      <c r="BM34" s="97"/>
      <c r="BN34" s="42" t="s">
        <v>125</v>
      </c>
      <c r="BO34" s="134">
        <v>7.34</v>
      </c>
      <c r="BP34" s="97">
        <v>41</v>
      </c>
      <c r="BQ34" s="134">
        <f t="shared" si="8"/>
        <v>1.3399999999999999</v>
      </c>
      <c r="BR34" s="1"/>
      <c r="BS34" s="1274"/>
      <c r="BT34" s="1274"/>
      <c r="BU34" s="1275" t="s">
        <v>127</v>
      </c>
      <c r="BV34" s="1276">
        <v>6.666666666666667</v>
      </c>
      <c r="BW34" s="1277">
        <v>9</v>
      </c>
      <c r="BX34" s="134">
        <f t="shared" si="9"/>
        <v>0.66666666666666696</v>
      </c>
      <c r="BZ34" s="774"/>
      <c r="CA34" s="774" t="s">
        <v>41</v>
      </c>
      <c r="CB34" s="775" t="s">
        <v>413</v>
      </c>
      <c r="CC34" s="776">
        <v>7.5</v>
      </c>
      <c r="CD34" s="777">
        <v>12</v>
      </c>
      <c r="CE34" s="778">
        <f t="shared" si="10"/>
        <v>1.5</v>
      </c>
      <c r="CG34" s="613"/>
      <c r="CH34" s="613" t="s">
        <v>48</v>
      </c>
      <c r="CI34" s="613" t="s">
        <v>16</v>
      </c>
      <c r="CJ34" s="389" t="s">
        <v>131</v>
      </c>
      <c r="CK34" s="391">
        <v>7.75</v>
      </c>
      <c r="CL34" s="390">
        <v>16</v>
      </c>
      <c r="CM34" s="690">
        <v>2.2360679774997894</v>
      </c>
      <c r="CN34" s="391">
        <f>CK34-6</f>
        <v>1.75</v>
      </c>
      <c r="CP34" s="780"/>
      <c r="CQ34" s="780"/>
      <c r="CR34" s="781" t="s">
        <v>129</v>
      </c>
      <c r="CS34" s="782">
        <v>8.3913043478260896</v>
      </c>
      <c r="CT34" s="782">
        <f>CS34-DD33</f>
        <v>2.3913043478260896</v>
      </c>
      <c r="CU34" s="783">
        <v>23</v>
      </c>
      <c r="CV34" s="782">
        <v>8.3913043478260896</v>
      </c>
      <c r="CW34" s="782">
        <f>CV34-DD34</f>
        <v>2.3913043478260896</v>
      </c>
      <c r="CY34" s="63"/>
      <c r="CZ34" s="63"/>
      <c r="DA34" s="37" t="s">
        <v>129</v>
      </c>
      <c r="DB34" s="63">
        <v>18</v>
      </c>
      <c r="DC34" s="694">
        <v>7.6111111111111116</v>
      </c>
      <c r="DD34" s="63">
        <v>6</v>
      </c>
      <c r="DE34" s="694">
        <f t="shared" si="6"/>
        <v>1.6111111111111116</v>
      </c>
      <c r="DF34" s="37"/>
      <c r="DG34" s="37"/>
      <c r="DH34" s="784"/>
      <c r="DI34" s="785"/>
      <c r="DJ34" s="784" t="s">
        <v>128</v>
      </c>
      <c r="DK34" s="786">
        <v>10.333333333333332</v>
      </c>
      <c r="DL34" s="785">
        <v>27</v>
      </c>
      <c r="DM34" s="787">
        <v>6</v>
      </c>
      <c r="DN34" s="786">
        <f>DK34-6</f>
        <v>4.3333333333333321</v>
      </c>
    </row>
    <row r="35" spans="1:118">
      <c r="A35" s="5797">
        <v>2</v>
      </c>
      <c r="B35" s="5797">
        <v>2</v>
      </c>
      <c r="C35" s="5796" t="s">
        <v>2736</v>
      </c>
      <c r="D35" s="5798">
        <v>7</v>
      </c>
      <c r="E35" s="5797">
        <v>1</v>
      </c>
      <c r="F35" s="1281">
        <f t="shared" si="17"/>
        <v>1</v>
      </c>
      <c r="G35" s="97">
        <v>6</v>
      </c>
      <c r="I35" s="5034">
        <v>2</v>
      </c>
      <c r="J35" s="5034">
        <v>2</v>
      </c>
      <c r="K35" s="5035" t="s">
        <v>2737</v>
      </c>
      <c r="L35" s="5036">
        <v>6.333333333333333</v>
      </c>
      <c r="M35" s="5034">
        <v>3</v>
      </c>
      <c r="N35" s="1281">
        <f t="shared" si="2"/>
        <v>0.33333333333333304</v>
      </c>
      <c r="O35" s="97">
        <v>6</v>
      </c>
      <c r="Q35" s="4561">
        <v>2</v>
      </c>
      <c r="R35" s="4561">
        <v>2</v>
      </c>
      <c r="S35" s="4562" t="s">
        <v>2749</v>
      </c>
      <c r="T35" s="4563">
        <v>6.75</v>
      </c>
      <c r="U35" s="4564">
        <v>4</v>
      </c>
      <c r="V35" s="1281">
        <f t="shared" si="3"/>
        <v>0.75</v>
      </c>
      <c r="W35" s="97">
        <v>6</v>
      </c>
      <c r="Y35" s="36"/>
      <c r="Z35" s="36"/>
      <c r="AA35" s="36" t="s">
        <v>125</v>
      </c>
      <c r="AB35" s="1346">
        <v>6</v>
      </c>
      <c r="AC35" s="95">
        <v>1</v>
      </c>
      <c r="AD35" s="1281">
        <f>AB35-6</f>
        <v>0</v>
      </c>
      <c r="AE35" s="97">
        <v>6</v>
      </c>
      <c r="AF35" s="4522"/>
      <c r="AG35" s="36"/>
      <c r="AH35" s="97"/>
      <c r="AI35" s="393" t="s">
        <v>482</v>
      </c>
      <c r="AJ35" s="1361">
        <v>8.7799999999999994</v>
      </c>
      <c r="AK35" s="3794">
        <v>67</v>
      </c>
      <c r="AL35" s="1675">
        <f>+(AK28*AL28+AK29*AL29+AK30*AL30+AK31*AL31+AK32*AL32+AK33*AL33+AK34*AL34)/AK35</f>
        <v>2.7774626865671639</v>
      </c>
      <c r="AM35" s="97"/>
      <c r="AP35" s="39" t="s">
        <v>16</v>
      </c>
      <c r="AQ35" s="39" t="s">
        <v>124</v>
      </c>
      <c r="AR35" s="3518">
        <v>6</v>
      </c>
      <c r="AS35" s="3518">
        <v>16</v>
      </c>
      <c r="AT35" s="3851">
        <f t="shared" si="20"/>
        <v>0</v>
      </c>
      <c r="AU35" s="3518">
        <v>6</v>
      </c>
      <c r="AW35" s="37"/>
      <c r="AX35" s="37" t="s">
        <v>16</v>
      </c>
      <c r="AY35" s="37" t="s">
        <v>106</v>
      </c>
      <c r="AZ35" s="694">
        <v>3</v>
      </c>
      <c r="BA35" s="63">
        <v>10</v>
      </c>
      <c r="BB35" s="837">
        <f t="shared" si="7"/>
        <v>0</v>
      </c>
      <c r="BC35" s="2043">
        <v>3</v>
      </c>
      <c r="BE35" s="37"/>
      <c r="BF35" s="37" t="s">
        <v>16</v>
      </c>
      <c r="BG35" s="37" t="s">
        <v>106</v>
      </c>
      <c r="BH35" s="694">
        <v>4</v>
      </c>
      <c r="BI35" s="63">
        <v>4</v>
      </c>
      <c r="BJ35" s="134">
        <f t="shared" si="4"/>
        <v>-2</v>
      </c>
      <c r="BL35" s="97"/>
      <c r="BM35" s="97"/>
      <c r="BN35" s="42" t="s">
        <v>126</v>
      </c>
      <c r="BO35" s="134">
        <v>6.19</v>
      </c>
      <c r="BP35" s="97">
        <v>16</v>
      </c>
      <c r="BQ35" s="134">
        <f t="shared" si="8"/>
        <v>0.19000000000000039</v>
      </c>
      <c r="BR35" s="1"/>
      <c r="BS35" s="1274"/>
      <c r="BT35" s="1274"/>
      <c r="BU35" s="1278" t="s">
        <v>483</v>
      </c>
      <c r="BV35" s="1279">
        <v>7.8888888888888902</v>
      </c>
      <c r="BW35" s="1280">
        <v>27</v>
      </c>
      <c r="BX35" s="800">
        <f>+(BW31*BX31+BW32*BX32+BW33*BX33+BW34*BX34)/BW35</f>
        <v>1.8888888888888884</v>
      </c>
      <c r="BZ35" s="774"/>
      <c r="CA35" s="774"/>
      <c r="CB35" s="775" t="s">
        <v>128</v>
      </c>
      <c r="CC35" s="776">
        <v>7.0000000000000009</v>
      </c>
      <c r="CD35" s="777">
        <v>13</v>
      </c>
      <c r="CE35" s="778">
        <f t="shared" si="10"/>
        <v>1.0000000000000009</v>
      </c>
      <c r="CG35" s="613"/>
      <c r="CH35" s="613"/>
      <c r="CI35" s="613"/>
      <c r="CJ35" s="389" t="s">
        <v>132</v>
      </c>
      <c r="CK35" s="391">
        <v>6</v>
      </c>
      <c r="CL35" s="390">
        <v>6</v>
      </c>
      <c r="CM35" s="690">
        <v>0</v>
      </c>
      <c r="CN35" s="391">
        <f t="shared" ref="CN35:CN55" si="21">CK35-6</f>
        <v>0</v>
      </c>
      <c r="CP35" s="780"/>
      <c r="CQ35" s="780"/>
      <c r="CR35" s="781" t="s">
        <v>130</v>
      </c>
      <c r="CS35" s="782">
        <v>11.428571428571429</v>
      </c>
      <c r="CT35" s="782">
        <f>CS35-DD34</f>
        <v>5.4285714285714288</v>
      </c>
      <c r="CU35" s="783">
        <v>7</v>
      </c>
      <c r="CV35" s="782">
        <v>11.428571428571429</v>
      </c>
      <c r="CW35" s="782">
        <f>CV35-DD35</f>
        <v>5.4285714285714288</v>
      </c>
      <c r="CY35" s="63"/>
      <c r="CZ35" s="63"/>
      <c r="DA35" s="37" t="s">
        <v>130</v>
      </c>
      <c r="DB35" s="63">
        <v>13</v>
      </c>
      <c r="DC35" s="694">
        <v>9.615384615384615</v>
      </c>
      <c r="DD35" s="63">
        <v>6</v>
      </c>
      <c r="DE35" s="694">
        <f t="shared" si="6"/>
        <v>3.615384615384615</v>
      </c>
      <c r="DF35" s="792">
        <f>AVERAGE(DE33:DE35)</f>
        <v>2.033831908831909</v>
      </c>
      <c r="DG35" s="37"/>
      <c r="DH35" s="784"/>
      <c r="DI35" s="785"/>
      <c r="DJ35" s="784" t="s">
        <v>129</v>
      </c>
      <c r="DK35" s="786">
        <v>11.384615384615387</v>
      </c>
      <c r="DL35" s="785">
        <v>13</v>
      </c>
      <c r="DM35" s="787">
        <v>6</v>
      </c>
      <c r="DN35" s="786">
        <f>DK35-6</f>
        <v>5.3846153846153868</v>
      </c>
    </row>
    <row r="36" spans="1:118">
      <c r="A36" s="5797">
        <v>2</v>
      </c>
      <c r="B36" s="5797">
        <v>2</v>
      </c>
      <c r="C36" s="5796" t="s">
        <v>2735</v>
      </c>
      <c r="D36" s="5798">
        <v>7.9166666666666661</v>
      </c>
      <c r="E36" s="5797">
        <v>19</v>
      </c>
      <c r="F36" s="1281">
        <f t="shared" si="17"/>
        <v>1.9166666666666661</v>
      </c>
      <c r="G36" s="97">
        <v>6</v>
      </c>
      <c r="I36" s="5034">
        <v>2</v>
      </c>
      <c r="J36" s="5034">
        <v>2</v>
      </c>
      <c r="K36" s="5035" t="s">
        <v>2736</v>
      </c>
      <c r="L36" s="5036">
        <v>7</v>
      </c>
      <c r="M36" s="5034">
        <v>1</v>
      </c>
      <c r="N36" s="1281">
        <f t="shared" si="2"/>
        <v>1</v>
      </c>
      <c r="O36" s="97">
        <v>6</v>
      </c>
      <c r="Q36" s="4561">
        <v>2</v>
      </c>
      <c r="R36" s="4561">
        <v>2</v>
      </c>
      <c r="S36" s="4562" t="s">
        <v>2736</v>
      </c>
      <c r="T36" s="4563">
        <v>6.0384615384615383</v>
      </c>
      <c r="U36" s="4564">
        <v>14</v>
      </c>
      <c r="V36" s="1281">
        <f t="shared" si="3"/>
        <v>3.8461538461538325E-2</v>
      </c>
      <c r="W36" s="97">
        <v>6</v>
      </c>
      <c r="Y36" s="36"/>
      <c r="Z36" s="36"/>
      <c r="AA36" s="36" t="s">
        <v>126</v>
      </c>
      <c r="AB36" s="1346">
        <v>6</v>
      </c>
      <c r="AC36" s="95">
        <v>13</v>
      </c>
      <c r="AD36" s="1281">
        <f>AB36-6</f>
        <v>0</v>
      </c>
      <c r="AE36" s="97">
        <v>6</v>
      </c>
      <c r="AF36" s="4522"/>
      <c r="AG36" s="36"/>
      <c r="AH36" s="97" t="s">
        <v>16</v>
      </c>
      <c r="AI36" s="36" t="s">
        <v>124</v>
      </c>
      <c r="AJ36" s="1346">
        <v>6.19</v>
      </c>
      <c r="AK36" s="95">
        <v>21</v>
      </c>
      <c r="AL36" s="1281">
        <f t="shared" ref="AL36:AL41" si="22">AJ36-6</f>
        <v>0.19000000000000039</v>
      </c>
      <c r="AM36" s="97">
        <v>6</v>
      </c>
      <c r="AQ36" s="39" t="s">
        <v>125</v>
      </c>
      <c r="AR36" s="3518">
        <v>8.11</v>
      </c>
      <c r="AS36" s="3518">
        <v>19</v>
      </c>
      <c r="AT36" s="3851">
        <f t="shared" si="20"/>
        <v>2.1099999999999994</v>
      </c>
      <c r="AU36" s="3518">
        <v>6</v>
      </c>
      <c r="AW36" s="37"/>
      <c r="AX36" s="37"/>
      <c r="AY36" s="37" t="s">
        <v>124</v>
      </c>
      <c r="AZ36" s="694">
        <v>10</v>
      </c>
      <c r="BA36" s="63">
        <v>3</v>
      </c>
      <c r="BB36" s="837">
        <f t="shared" si="7"/>
        <v>4</v>
      </c>
      <c r="BC36" s="2043">
        <v>6</v>
      </c>
      <c r="BE36" s="37"/>
      <c r="BF36" s="37"/>
      <c r="BG36" s="37" t="s">
        <v>124</v>
      </c>
      <c r="BH36" s="694">
        <v>6.46</v>
      </c>
      <c r="BI36" s="63">
        <v>26</v>
      </c>
      <c r="BJ36" s="134">
        <f t="shared" si="4"/>
        <v>0.45999999999999996</v>
      </c>
      <c r="BL36" s="97"/>
      <c r="BM36" s="97"/>
      <c r="BN36" s="42" t="s">
        <v>127</v>
      </c>
      <c r="BO36" s="134">
        <v>6.44</v>
      </c>
      <c r="BP36" s="97">
        <v>9</v>
      </c>
      <c r="BQ36" s="134">
        <f t="shared" si="8"/>
        <v>0.44000000000000039</v>
      </c>
      <c r="BR36" s="1"/>
      <c r="BS36" s="1274"/>
      <c r="BT36" s="1274" t="s">
        <v>41</v>
      </c>
      <c r="BU36" s="1275" t="s">
        <v>413</v>
      </c>
      <c r="BV36" s="1276">
        <v>8.3333333333333321</v>
      </c>
      <c r="BW36" s="1277">
        <v>6</v>
      </c>
      <c r="BX36" s="134">
        <f t="shared" si="9"/>
        <v>2.3333333333333321</v>
      </c>
      <c r="BZ36" s="774"/>
      <c r="CA36" s="774"/>
      <c r="CB36" s="775" t="s">
        <v>129</v>
      </c>
      <c r="CC36" s="776">
        <v>7.1052631578947381</v>
      </c>
      <c r="CD36" s="777">
        <v>19</v>
      </c>
      <c r="CE36" s="778">
        <f t="shared" si="10"/>
        <v>1.1052631578947381</v>
      </c>
      <c r="CG36" s="613"/>
      <c r="CH36" s="613"/>
      <c r="CI36" s="613"/>
      <c r="CJ36" s="389" t="s">
        <v>133</v>
      </c>
      <c r="CK36" s="391">
        <v>3</v>
      </c>
      <c r="CL36" s="390">
        <v>1</v>
      </c>
      <c r="CM36" s="614"/>
      <c r="CN36" s="391">
        <f>CK36-3</f>
        <v>0</v>
      </c>
      <c r="CP36" s="780"/>
      <c r="CQ36" s="780"/>
      <c r="CR36" s="789" t="s">
        <v>485</v>
      </c>
      <c r="CS36" s="788">
        <v>8.7555555555555529</v>
      </c>
      <c r="CT36" s="788">
        <f>+(CU33*CT33+CU34*CT34+CU35*CT35)/CU36</f>
        <v>4.7555555555555573</v>
      </c>
      <c r="CU36" s="790">
        <v>45</v>
      </c>
      <c r="CV36" s="788">
        <v>8.9999999999999982</v>
      </c>
      <c r="CW36" s="788">
        <f>+(CU33*CW33+CU34*CW34+CU35*CW35)/CU36</f>
        <v>3.0000000000000013</v>
      </c>
      <c r="CY36" s="63"/>
      <c r="CZ36" s="63"/>
      <c r="DA36" s="416" t="s">
        <v>15</v>
      </c>
      <c r="DB36" s="386">
        <v>47</v>
      </c>
      <c r="DC36" s="707">
        <v>7.9148936170212769</v>
      </c>
      <c r="DD36" s="386"/>
      <c r="DE36" s="707">
        <f>+(DB33*DE33+DB34*DE34+DB35*DE35)/DB36</f>
        <v>1.9148936170212767</v>
      </c>
      <c r="DF36" s="37"/>
      <c r="DG36" s="37"/>
      <c r="DH36" s="784"/>
      <c r="DI36" s="785"/>
      <c r="DJ36" s="784" t="s">
        <v>130</v>
      </c>
      <c r="DK36" s="786">
        <v>9.4</v>
      </c>
      <c r="DL36" s="785">
        <v>10</v>
      </c>
      <c r="DM36" s="787">
        <v>6</v>
      </c>
      <c r="DN36" s="786">
        <f>DK36-6</f>
        <v>3.4000000000000004</v>
      </c>
    </row>
    <row r="37" spans="1:118">
      <c r="A37" s="5797">
        <v>2</v>
      </c>
      <c r="B37" s="5797">
        <v>2</v>
      </c>
      <c r="C37" s="5796" t="s">
        <v>2058</v>
      </c>
      <c r="D37" s="5798">
        <v>7.666666666666667</v>
      </c>
      <c r="E37" s="5797">
        <v>3</v>
      </c>
      <c r="F37" s="1281">
        <f t="shared" si="17"/>
        <v>1.666666666666667</v>
      </c>
      <c r="G37" s="97">
        <v>6</v>
      </c>
      <c r="I37" s="5034">
        <v>2</v>
      </c>
      <c r="J37" s="5034">
        <v>2</v>
      </c>
      <c r="K37" s="5035" t="s">
        <v>2735</v>
      </c>
      <c r="L37" s="5036">
        <v>7.9166666666666661</v>
      </c>
      <c r="M37" s="5034">
        <v>19</v>
      </c>
      <c r="N37" s="1281">
        <f t="shared" si="2"/>
        <v>1.9166666666666661</v>
      </c>
      <c r="O37" s="97">
        <v>6</v>
      </c>
      <c r="Q37" s="4561">
        <v>2</v>
      </c>
      <c r="R37" s="4561">
        <v>2</v>
      </c>
      <c r="S37" s="4562" t="s">
        <v>2735</v>
      </c>
      <c r="T37" s="4563">
        <v>6.833333333333333</v>
      </c>
      <c r="U37" s="4564">
        <v>6</v>
      </c>
      <c r="V37" s="1281">
        <f t="shared" si="3"/>
        <v>0.83333333333333304</v>
      </c>
      <c r="W37" s="97">
        <v>6</v>
      </c>
      <c r="Y37" s="36"/>
      <c r="Z37" s="36"/>
      <c r="AA37" s="36" t="s">
        <v>2058</v>
      </c>
      <c r="AB37" s="1346">
        <v>8</v>
      </c>
      <c r="AC37" s="95">
        <v>1</v>
      </c>
      <c r="AD37" s="1281">
        <f>AB37-6</f>
        <v>2</v>
      </c>
      <c r="AE37" s="97">
        <v>6</v>
      </c>
      <c r="AF37" s="4522"/>
      <c r="AG37" s="36"/>
      <c r="AH37" s="97"/>
      <c r="AI37" s="36" t="s">
        <v>125</v>
      </c>
      <c r="AJ37" s="1346">
        <v>8.11</v>
      </c>
      <c r="AK37" s="95">
        <v>19</v>
      </c>
      <c r="AL37" s="1281">
        <f t="shared" si="22"/>
        <v>2.1099999999999994</v>
      </c>
      <c r="AM37" s="97">
        <v>6</v>
      </c>
      <c r="AQ37" s="39" t="s">
        <v>126</v>
      </c>
      <c r="AR37" s="3518">
        <v>7.5</v>
      </c>
      <c r="AS37" s="3518">
        <v>2</v>
      </c>
      <c r="AT37" s="3851">
        <f t="shared" si="20"/>
        <v>1.5</v>
      </c>
      <c r="AU37" s="3518">
        <v>6</v>
      </c>
      <c r="AW37" s="37"/>
      <c r="AX37" s="37"/>
      <c r="AY37" s="37" t="s">
        <v>125</v>
      </c>
      <c r="AZ37" s="694">
        <v>7.14</v>
      </c>
      <c r="BA37" s="63">
        <v>14</v>
      </c>
      <c r="BB37" s="837">
        <f t="shared" si="7"/>
        <v>1.1399999999999997</v>
      </c>
      <c r="BC37" s="2043">
        <v>6</v>
      </c>
      <c r="BE37" s="37"/>
      <c r="BF37" s="37"/>
      <c r="BG37" s="37" t="s">
        <v>125</v>
      </c>
      <c r="BH37" s="694">
        <v>8.5</v>
      </c>
      <c r="BI37" s="63">
        <v>14</v>
      </c>
      <c r="BJ37" s="134">
        <f t="shared" si="4"/>
        <v>2.5</v>
      </c>
      <c r="BL37" s="97"/>
      <c r="BM37" s="97"/>
      <c r="BN37" s="893" t="s">
        <v>483</v>
      </c>
      <c r="BO37" s="894">
        <v>6.38</v>
      </c>
      <c r="BP37" s="135">
        <v>84</v>
      </c>
      <c r="BQ37" s="800">
        <f>+(BP32*BQ32+BP33*BQ33+BP34*BQ34+BP35*BQ35+BP36*BQ36)/BP37</f>
        <v>0.38023809523809532</v>
      </c>
      <c r="BR37" s="1"/>
      <c r="BS37" s="1274"/>
      <c r="BT37" s="1274"/>
      <c r="BU37" s="1275" t="s">
        <v>128</v>
      </c>
      <c r="BV37" s="1276">
        <v>6.75</v>
      </c>
      <c r="BW37" s="1277">
        <v>20</v>
      </c>
      <c r="BX37" s="134">
        <f t="shared" si="9"/>
        <v>0.75</v>
      </c>
      <c r="BZ37" s="774"/>
      <c r="CA37" s="774"/>
      <c r="CB37" s="775" t="s">
        <v>130</v>
      </c>
      <c r="CC37" s="776">
        <v>9.0000000000000018</v>
      </c>
      <c r="CD37" s="777">
        <v>19</v>
      </c>
      <c r="CE37" s="778">
        <f t="shared" si="10"/>
        <v>3.0000000000000018</v>
      </c>
      <c r="CG37" s="613"/>
      <c r="CH37" s="613"/>
      <c r="CI37" s="613"/>
      <c r="CJ37" s="389" t="s">
        <v>134</v>
      </c>
      <c r="CK37" s="391">
        <v>7.8181818181818192</v>
      </c>
      <c r="CL37" s="390">
        <v>11</v>
      </c>
      <c r="CM37" s="690">
        <v>1.8877596148970777</v>
      </c>
      <c r="CN37" s="391">
        <f t="shared" si="21"/>
        <v>1.8181818181818192</v>
      </c>
      <c r="CP37" s="780"/>
      <c r="CQ37" s="780"/>
      <c r="CY37" s="63"/>
      <c r="CZ37" s="63"/>
      <c r="DA37" s="416"/>
      <c r="DB37" s="386"/>
      <c r="DC37" s="707"/>
      <c r="DD37" s="386"/>
      <c r="DE37" s="707"/>
      <c r="DF37" s="37"/>
      <c r="DG37" s="37"/>
      <c r="DH37" s="784"/>
      <c r="DI37" s="785"/>
      <c r="DJ37" s="785" t="s">
        <v>15</v>
      </c>
      <c r="DK37" s="786">
        <v>10.365384615384613</v>
      </c>
      <c r="DL37" s="785">
        <v>52</v>
      </c>
      <c r="DM37" s="787"/>
      <c r="DN37" s="794">
        <f>AVERAGE(DN33:DN36)</f>
        <v>4.0294871794871803</v>
      </c>
    </row>
    <row r="38" spans="1:118">
      <c r="A38" s="5797"/>
      <c r="B38" s="5797"/>
      <c r="C38" s="5799" t="s">
        <v>16</v>
      </c>
      <c r="D38" s="5798"/>
      <c r="E38" s="5799">
        <f>SUM(E32:E37)</f>
        <v>32</v>
      </c>
      <c r="F38" s="1675">
        <f>+(E32*F32+E33*F33+E34*F34+E35*F35+E36*F36+E37*F37)/E38</f>
        <v>1.388020833333333</v>
      </c>
      <c r="G38" s="97"/>
      <c r="I38" s="5034">
        <v>2</v>
      </c>
      <c r="J38" s="5034">
        <v>2</v>
      </c>
      <c r="K38" s="5035" t="s">
        <v>2058</v>
      </c>
      <c r="L38" s="5036">
        <v>7.666666666666667</v>
      </c>
      <c r="M38" s="5034">
        <v>3</v>
      </c>
      <c r="N38" s="1281">
        <f t="shared" si="2"/>
        <v>1.666666666666667</v>
      </c>
      <c r="O38" s="97">
        <v>6</v>
      </c>
      <c r="Q38" s="4561">
        <v>2</v>
      </c>
      <c r="R38" s="4561">
        <v>2</v>
      </c>
      <c r="S38" s="4562" t="s">
        <v>2058</v>
      </c>
      <c r="T38" s="4563">
        <v>11</v>
      </c>
      <c r="U38" s="4564">
        <v>1</v>
      </c>
      <c r="V38" s="1281">
        <f t="shared" si="3"/>
        <v>5</v>
      </c>
      <c r="W38" s="97">
        <v>6</v>
      </c>
      <c r="Y38" s="36"/>
      <c r="Z38" s="36"/>
      <c r="AA38" s="36" t="s">
        <v>2549</v>
      </c>
      <c r="AB38" s="1346">
        <v>7</v>
      </c>
      <c r="AC38" s="95">
        <v>1</v>
      </c>
      <c r="AD38" s="1281">
        <f>AB38-6</f>
        <v>1</v>
      </c>
      <c r="AE38" s="97">
        <v>6</v>
      </c>
      <c r="AF38" s="4522"/>
      <c r="AG38" s="36"/>
      <c r="AH38" s="97"/>
      <c r="AI38" s="36" t="s">
        <v>126</v>
      </c>
      <c r="AJ38" s="1346">
        <v>7.5</v>
      </c>
      <c r="AK38" s="95">
        <v>2</v>
      </c>
      <c r="AL38" s="1281">
        <f t="shared" si="22"/>
        <v>1.5</v>
      </c>
      <c r="AM38" s="97">
        <v>6</v>
      </c>
      <c r="AQ38" s="39" t="s">
        <v>127</v>
      </c>
      <c r="AR38" s="3518">
        <v>6</v>
      </c>
      <c r="AS38" s="3518">
        <v>2</v>
      </c>
      <c r="AT38" s="3851">
        <f t="shared" si="20"/>
        <v>0</v>
      </c>
      <c r="AU38" s="3518">
        <v>6</v>
      </c>
      <c r="AW38" s="37"/>
      <c r="AX38" s="37"/>
      <c r="AY38" s="37" t="s">
        <v>126</v>
      </c>
      <c r="AZ38" s="694">
        <v>6.19</v>
      </c>
      <c r="BA38" s="63">
        <v>16</v>
      </c>
      <c r="BB38" s="837">
        <f t="shared" si="7"/>
        <v>0.19000000000000039</v>
      </c>
      <c r="BC38" s="2043">
        <v>6</v>
      </c>
      <c r="BE38" s="37"/>
      <c r="BF38" s="37"/>
      <c r="BG38" s="37" t="s">
        <v>126</v>
      </c>
      <c r="BH38" s="694">
        <v>6.4</v>
      </c>
      <c r="BI38" s="63">
        <v>5</v>
      </c>
      <c r="BJ38" s="134">
        <f t="shared" si="4"/>
        <v>0.40000000000000036</v>
      </c>
      <c r="BL38" s="97"/>
      <c r="BM38" s="97" t="s">
        <v>41</v>
      </c>
      <c r="BN38" s="42" t="s">
        <v>413</v>
      </c>
      <c r="BO38" s="134">
        <v>7.46</v>
      </c>
      <c r="BP38" s="97">
        <v>13</v>
      </c>
      <c r="BQ38" s="134">
        <f t="shared" si="8"/>
        <v>1.46</v>
      </c>
      <c r="BR38" s="1"/>
      <c r="BS38" s="1274"/>
      <c r="BT38" s="1274"/>
      <c r="BU38" s="1275" t="s">
        <v>129</v>
      </c>
      <c r="BV38" s="1276">
        <v>7.0714285714285703</v>
      </c>
      <c r="BW38" s="1277">
        <v>14</v>
      </c>
      <c r="BX38" s="134">
        <f t="shared" si="9"/>
        <v>1.0714285714285703</v>
      </c>
      <c r="BZ38" s="774"/>
      <c r="CA38" s="774"/>
      <c r="CB38" s="797" t="s">
        <v>485</v>
      </c>
      <c r="CC38" s="798">
        <v>7.7301587301587302</v>
      </c>
      <c r="CD38" s="799">
        <v>63</v>
      </c>
      <c r="CE38" s="800">
        <f t="shared" si="10"/>
        <v>1.7301587301587302</v>
      </c>
      <c r="CF38" s="45"/>
      <c r="CG38" s="613"/>
      <c r="CH38" s="613"/>
      <c r="CI38" s="613"/>
      <c r="CJ38" s="389" t="s">
        <v>135</v>
      </c>
      <c r="CK38" s="391">
        <v>6.125</v>
      </c>
      <c r="CL38" s="390">
        <v>8</v>
      </c>
      <c r="CM38" s="795">
        <v>0.35355339059327379</v>
      </c>
      <c r="CN38" s="391">
        <f t="shared" si="21"/>
        <v>0.125</v>
      </c>
      <c r="CP38" s="808"/>
      <c r="CQ38" s="808"/>
      <c r="CR38" s="809"/>
      <c r="CS38" s="807"/>
      <c r="CT38" s="807"/>
      <c r="CU38" s="810"/>
      <c r="CV38" s="807"/>
      <c r="CW38" s="807"/>
      <c r="CY38" s="811"/>
      <c r="CZ38" s="811"/>
      <c r="DA38" s="812"/>
      <c r="DB38" s="813"/>
      <c r="DC38" s="814"/>
      <c r="DD38" s="813"/>
      <c r="DE38" s="814"/>
      <c r="DF38" s="37"/>
      <c r="DG38" s="37"/>
      <c r="DH38" s="815"/>
      <c r="DI38" s="816"/>
      <c r="DJ38" s="817" t="s">
        <v>109</v>
      </c>
      <c r="DK38" s="818">
        <v>9.7641025641025614</v>
      </c>
      <c r="DL38" s="819">
        <v>195</v>
      </c>
      <c r="DM38" s="820"/>
      <c r="DN38" s="818">
        <f>AVERAGE(DN25,DN32,DN37)</f>
        <v>4.5267408245349428</v>
      </c>
    </row>
    <row r="39" spans="1:118">
      <c r="A39" s="5797">
        <v>2</v>
      </c>
      <c r="B39" s="5797">
        <v>3</v>
      </c>
      <c r="C39" s="5796" t="s">
        <v>286</v>
      </c>
      <c r="D39" s="5798">
        <v>11</v>
      </c>
      <c r="E39" s="5797">
        <v>4</v>
      </c>
      <c r="F39" s="1281">
        <f t="shared" si="17"/>
        <v>5</v>
      </c>
      <c r="G39" s="97">
        <v>6</v>
      </c>
      <c r="I39" s="5034"/>
      <c r="J39" s="5034"/>
      <c r="K39" s="4884" t="s">
        <v>483</v>
      </c>
      <c r="L39" s="5036"/>
      <c r="M39" s="5037">
        <f>SUM(M33:M38)</f>
        <v>33</v>
      </c>
      <c r="N39" s="1675">
        <f>+(M33*N33+M34*N34+M35*N35+M36*N36+M37*N37+M38*N38)/M39</f>
        <v>2.285353535353535</v>
      </c>
      <c r="O39" s="97"/>
      <c r="Q39" s="4561"/>
      <c r="R39" s="4561"/>
      <c r="S39" s="4520" t="s">
        <v>483</v>
      </c>
      <c r="T39" s="4563"/>
      <c r="U39" s="4568">
        <f>SUM(U32:U38)</f>
        <v>37</v>
      </c>
      <c r="V39" s="1675">
        <f>+(U32*V32+U33*V33+U34*V34+U35*V35+U36*V36+U37*V37+U38*V38)/U39</f>
        <v>0.58212058212058193</v>
      </c>
      <c r="Y39" s="36"/>
      <c r="Z39" s="36"/>
      <c r="AA39" s="393" t="s">
        <v>483</v>
      </c>
      <c r="AB39" s="1361">
        <v>5.37</v>
      </c>
      <c r="AC39" s="4520">
        <v>30</v>
      </c>
      <c r="AD39" s="1675">
        <f>+(AC33*AD33+AC34*AD34+AC35*AD35+AC36*AD36+AC37*AD37+AC38*AD38)/AC39</f>
        <v>0.26633333333333326</v>
      </c>
      <c r="AE39" s="97"/>
      <c r="AF39" s="4522"/>
      <c r="AG39" s="36"/>
      <c r="AH39" s="97"/>
      <c r="AI39" s="36" t="s">
        <v>127</v>
      </c>
      <c r="AJ39" s="1346">
        <v>6</v>
      </c>
      <c r="AK39" s="95">
        <v>2</v>
      </c>
      <c r="AL39" s="1281">
        <f t="shared" si="22"/>
        <v>0</v>
      </c>
      <c r="AM39" s="97">
        <v>6</v>
      </c>
      <c r="AQ39" s="39" t="s">
        <v>2058</v>
      </c>
      <c r="AR39" s="3518">
        <v>7</v>
      </c>
      <c r="AS39" s="3518">
        <v>2</v>
      </c>
      <c r="AT39" s="3851">
        <f t="shared" si="20"/>
        <v>1</v>
      </c>
      <c r="AU39" s="3518">
        <v>6</v>
      </c>
      <c r="AW39" s="37"/>
      <c r="AX39" s="37"/>
      <c r="AY39" s="37" t="s">
        <v>127</v>
      </c>
      <c r="AZ39" s="694">
        <v>6.33</v>
      </c>
      <c r="BA39" s="63">
        <v>3</v>
      </c>
      <c r="BB39" s="837">
        <f t="shared" si="7"/>
        <v>0.33000000000000007</v>
      </c>
      <c r="BC39" s="2043">
        <v>6</v>
      </c>
      <c r="BE39" s="37"/>
      <c r="BF39" s="37"/>
      <c r="BG39" s="37" t="s">
        <v>127</v>
      </c>
      <c r="BH39" s="694">
        <v>6</v>
      </c>
      <c r="BI39" s="63">
        <v>7</v>
      </c>
      <c r="BJ39" s="134">
        <f t="shared" si="4"/>
        <v>0</v>
      </c>
      <c r="BL39" s="97"/>
      <c r="BM39" s="97"/>
      <c r="BN39" s="42" t="s">
        <v>128</v>
      </c>
      <c r="BO39" s="134">
        <v>7.3</v>
      </c>
      <c r="BP39" s="97">
        <v>20</v>
      </c>
      <c r="BQ39" s="134">
        <f t="shared" si="8"/>
        <v>1.2999999999999998</v>
      </c>
      <c r="BR39" s="1"/>
      <c r="BS39" s="1274"/>
      <c r="BT39" s="1274"/>
      <c r="BU39" s="1275" t="s">
        <v>130</v>
      </c>
      <c r="BV39" s="1276">
        <v>8.5555555555555554</v>
      </c>
      <c r="BW39" s="1277">
        <v>18</v>
      </c>
      <c r="BX39" s="134">
        <f t="shared" si="9"/>
        <v>2.5555555555555554</v>
      </c>
      <c r="BZ39" s="774"/>
      <c r="CA39" s="774"/>
      <c r="CB39" s="821" t="s">
        <v>109</v>
      </c>
      <c r="CC39" s="822">
        <v>7.5742971887550237</v>
      </c>
      <c r="CD39" s="823">
        <v>249</v>
      </c>
      <c r="CE39" s="824">
        <f>+(CD27*CE27+CD33*CE33+CD38*CE38)/CD39</f>
        <v>1.7550200803212861</v>
      </c>
      <c r="CF39" s="45"/>
      <c r="CG39" s="613"/>
      <c r="CH39" s="613"/>
      <c r="CI39" s="613"/>
      <c r="CJ39" s="389" t="s">
        <v>136</v>
      </c>
      <c r="CK39" s="391">
        <v>7.5714285714285712</v>
      </c>
      <c r="CL39" s="390">
        <v>7</v>
      </c>
      <c r="CM39" s="795">
        <v>0.7867957924694432</v>
      </c>
      <c r="CN39" s="391">
        <f t="shared" si="21"/>
        <v>1.5714285714285712</v>
      </c>
      <c r="CP39" s="780" t="s">
        <v>48</v>
      </c>
      <c r="CQ39" s="780" t="s">
        <v>16</v>
      </c>
      <c r="CY39" s="63" t="s">
        <v>48</v>
      </c>
      <c r="CZ39" s="63" t="s">
        <v>16</v>
      </c>
      <c r="DA39" s="37" t="s">
        <v>1165</v>
      </c>
      <c r="DB39" s="63">
        <v>1</v>
      </c>
      <c r="DC39" s="694">
        <f>1+5</f>
        <v>6</v>
      </c>
      <c r="DD39" s="63">
        <v>6</v>
      </c>
      <c r="DE39" s="694">
        <f t="shared" si="6"/>
        <v>0</v>
      </c>
      <c r="DF39" s="37"/>
      <c r="DG39" s="37"/>
      <c r="DH39" s="784" t="s">
        <v>48</v>
      </c>
      <c r="DI39" s="785" t="s">
        <v>16</v>
      </c>
      <c r="DJ39" s="784" t="s">
        <v>131</v>
      </c>
      <c r="DK39" s="786">
        <v>14.916666666666664</v>
      </c>
      <c r="DL39" s="785">
        <v>12</v>
      </c>
      <c r="DM39" s="787">
        <v>6</v>
      </c>
      <c r="DN39" s="786">
        <f>DK39-6</f>
        <v>8.9166666666666643</v>
      </c>
    </row>
    <row r="40" spans="1:118">
      <c r="A40" s="5797">
        <v>2</v>
      </c>
      <c r="B40" s="5797">
        <v>3</v>
      </c>
      <c r="C40" s="5796" t="s">
        <v>440</v>
      </c>
      <c r="D40" s="5798">
        <v>8</v>
      </c>
      <c r="E40" s="5797">
        <v>8</v>
      </c>
      <c r="F40" s="1281">
        <f t="shared" si="17"/>
        <v>2</v>
      </c>
      <c r="G40" s="97">
        <v>6</v>
      </c>
      <c r="I40" s="5034">
        <v>2</v>
      </c>
      <c r="J40" s="5034">
        <v>3</v>
      </c>
      <c r="K40" s="5035" t="s">
        <v>286</v>
      </c>
      <c r="L40" s="5036">
        <v>10.4</v>
      </c>
      <c r="M40" s="5034">
        <v>5</v>
      </c>
      <c r="N40" s="1281">
        <f t="shared" si="2"/>
        <v>4.4000000000000004</v>
      </c>
      <c r="O40" s="97">
        <v>6</v>
      </c>
      <c r="Q40" s="4561">
        <v>2</v>
      </c>
      <c r="R40" s="4561">
        <v>3</v>
      </c>
      <c r="S40" s="4562" t="s">
        <v>286</v>
      </c>
      <c r="T40" s="4563">
        <v>8.75</v>
      </c>
      <c r="U40" s="4564">
        <v>8</v>
      </c>
      <c r="V40" s="1281">
        <f t="shared" si="3"/>
        <v>2.75</v>
      </c>
      <c r="W40" s="97">
        <v>6</v>
      </c>
      <c r="Y40" s="36"/>
      <c r="Z40" s="36" t="s">
        <v>41</v>
      </c>
      <c r="AA40" s="36" t="s">
        <v>413</v>
      </c>
      <c r="AB40" s="1346">
        <v>7</v>
      </c>
      <c r="AC40" s="95">
        <v>10</v>
      </c>
      <c r="AD40" s="1281">
        <f>AB40-6</f>
        <v>1</v>
      </c>
      <c r="AE40" s="97">
        <v>6</v>
      </c>
      <c r="AF40" s="4522"/>
      <c r="AG40" s="36"/>
      <c r="AH40" s="97"/>
      <c r="AI40" s="36" t="s">
        <v>2058</v>
      </c>
      <c r="AJ40" s="1346">
        <v>7.33</v>
      </c>
      <c r="AK40" s="95">
        <v>3</v>
      </c>
      <c r="AL40" s="1281">
        <f t="shared" si="22"/>
        <v>1.33</v>
      </c>
      <c r="AM40" s="97">
        <v>6</v>
      </c>
      <c r="AQ40" s="39" t="s">
        <v>2549</v>
      </c>
      <c r="AR40" s="3518">
        <v>6</v>
      </c>
      <c r="AS40" s="3518">
        <v>8</v>
      </c>
      <c r="AT40" s="3851">
        <f t="shared" si="20"/>
        <v>0</v>
      </c>
      <c r="AU40" s="3518">
        <v>6</v>
      </c>
      <c r="AW40" s="37"/>
      <c r="AX40" s="37"/>
      <c r="AY40" s="416" t="s">
        <v>483</v>
      </c>
      <c r="AZ40" s="707">
        <v>6.04</v>
      </c>
      <c r="BA40" s="2040">
        <v>46</v>
      </c>
      <c r="BB40" s="800">
        <f>+(BA35*BB35+BA36*BB36+BA37*BB37+BA38*BB38+BA39*BB39)/BA40</f>
        <v>0.69543478260869573</v>
      </c>
      <c r="BC40" s="2043"/>
      <c r="BE40" s="37"/>
      <c r="BF40" s="37"/>
      <c r="BG40" s="416" t="s">
        <v>483</v>
      </c>
      <c r="BH40" s="707">
        <v>6.73</v>
      </c>
      <c r="BI40" s="386">
        <v>56</v>
      </c>
      <c r="BJ40" s="800">
        <f>+(BI35*BJ35+BI36*BJ36+BI37*BJ37+BI38*BJ38+BI39*BJ39)/BI40</f>
        <v>0.73142857142857143</v>
      </c>
      <c r="BL40" s="97"/>
      <c r="BM40" s="97"/>
      <c r="BN40" s="42" t="s">
        <v>129</v>
      </c>
      <c r="BO40" s="134">
        <v>6.81</v>
      </c>
      <c r="BP40" s="97">
        <v>16</v>
      </c>
      <c r="BQ40" s="134">
        <f t="shared" si="8"/>
        <v>0.80999999999999961</v>
      </c>
      <c r="BR40" s="1"/>
      <c r="BS40" s="1274"/>
      <c r="BT40" s="1274"/>
      <c r="BU40" s="1278" t="s">
        <v>485</v>
      </c>
      <c r="BV40" s="1279">
        <v>7.5517241379310338</v>
      </c>
      <c r="BW40" s="1280">
        <v>58</v>
      </c>
      <c r="BX40" s="800">
        <f>+(BW36*BX36+BW37*BX37+BW38*BX38+BW39*BX39)/BW40</f>
        <v>1.551724137931034</v>
      </c>
      <c r="BZ40" s="774" t="s">
        <v>48</v>
      </c>
      <c r="CA40" s="774" t="s">
        <v>16</v>
      </c>
      <c r="CB40" s="775" t="s">
        <v>131</v>
      </c>
      <c r="CC40" s="776">
        <v>8</v>
      </c>
      <c r="CD40" s="777">
        <v>5</v>
      </c>
      <c r="CE40" s="778">
        <f t="shared" si="10"/>
        <v>2</v>
      </c>
      <c r="CG40" s="613"/>
      <c r="CH40" s="613"/>
      <c r="CI40" s="613"/>
      <c r="CJ40" s="389" t="s">
        <v>110</v>
      </c>
      <c r="CK40" s="391">
        <v>3.9090909090909087</v>
      </c>
      <c r="CL40" s="390">
        <v>11</v>
      </c>
      <c r="CM40" s="690">
        <v>1.3751033019046572</v>
      </c>
      <c r="CN40" s="391">
        <f>CK40-6</f>
        <v>-2.0909090909090913</v>
      </c>
      <c r="CP40" s="780"/>
      <c r="CQ40" s="780"/>
      <c r="CR40" s="781" t="s">
        <v>131</v>
      </c>
      <c r="CS40" s="782">
        <v>8.4285714285714288</v>
      </c>
      <c r="CT40" s="782">
        <f t="shared" ref="CT40:CT47" si="23">CS40-DD40</f>
        <v>2.4285714285714288</v>
      </c>
      <c r="CU40" s="783">
        <v>14</v>
      </c>
      <c r="CV40" s="782">
        <v>9.5</v>
      </c>
      <c r="CW40" s="782">
        <f t="shared" ref="CW40:CW46" si="24">CV40-DD40</f>
        <v>3.5</v>
      </c>
      <c r="CY40" s="63"/>
      <c r="CZ40" s="63"/>
      <c r="DA40" s="37" t="s">
        <v>131</v>
      </c>
      <c r="DB40" s="63">
        <v>9</v>
      </c>
      <c r="DC40" s="694">
        <v>11.777777777777779</v>
      </c>
      <c r="DD40" s="63">
        <v>6</v>
      </c>
      <c r="DE40" s="694">
        <f t="shared" si="6"/>
        <v>5.7777777777777786</v>
      </c>
      <c r="DF40" s="37"/>
      <c r="DG40" s="37"/>
      <c r="DH40" s="784"/>
      <c r="DI40" s="785"/>
      <c r="DJ40" s="784" t="s">
        <v>132</v>
      </c>
      <c r="DK40" s="786">
        <v>6.3076923076923075</v>
      </c>
      <c r="DL40" s="785">
        <v>13</v>
      </c>
      <c r="DM40" s="787">
        <v>6</v>
      </c>
      <c r="DN40" s="786">
        <f>DK40-6</f>
        <v>0.30769230769230749</v>
      </c>
    </row>
    <row r="41" spans="1:118">
      <c r="A41" s="5797">
        <v>2</v>
      </c>
      <c r="B41" s="5797">
        <v>3</v>
      </c>
      <c r="C41" s="5796" t="s">
        <v>129</v>
      </c>
      <c r="D41" s="5798">
        <v>7.083333333333333</v>
      </c>
      <c r="E41" s="5797">
        <v>12</v>
      </c>
      <c r="F41" s="1281">
        <f t="shared" si="17"/>
        <v>1.083333333333333</v>
      </c>
      <c r="G41" s="97">
        <v>6</v>
      </c>
      <c r="I41" s="5034">
        <v>2</v>
      </c>
      <c r="J41" s="5034">
        <v>3</v>
      </c>
      <c r="K41" s="5035" t="s">
        <v>440</v>
      </c>
      <c r="L41" s="5036">
        <v>8</v>
      </c>
      <c r="M41" s="5034">
        <v>8</v>
      </c>
      <c r="N41" s="1281">
        <f t="shared" si="2"/>
        <v>2</v>
      </c>
      <c r="O41" s="97">
        <v>6</v>
      </c>
      <c r="Q41" s="4561">
        <v>2</v>
      </c>
      <c r="R41" s="4561">
        <v>3</v>
      </c>
      <c r="S41" s="4562" t="s">
        <v>440</v>
      </c>
      <c r="T41" s="4563">
        <v>6.5714285714285712</v>
      </c>
      <c r="U41" s="4564">
        <v>10</v>
      </c>
      <c r="V41" s="1281">
        <f t="shared" si="3"/>
        <v>0.57142857142857117</v>
      </c>
      <c r="W41" s="97">
        <v>6</v>
      </c>
      <c r="Y41" s="36"/>
      <c r="Z41" s="36"/>
      <c r="AA41" s="36" t="s">
        <v>128</v>
      </c>
      <c r="AB41" s="1346">
        <v>6.38</v>
      </c>
      <c r="AC41" s="95">
        <v>8</v>
      </c>
      <c r="AD41" s="1281">
        <f>AB41-6</f>
        <v>0.37999999999999989</v>
      </c>
      <c r="AE41" s="97">
        <v>6</v>
      </c>
      <c r="AF41" s="4522"/>
      <c r="AG41" s="36"/>
      <c r="AH41" s="97"/>
      <c r="AI41" s="36" t="s">
        <v>2549</v>
      </c>
      <c r="AJ41" s="1346">
        <v>6.11</v>
      </c>
      <c r="AK41" s="95">
        <v>9</v>
      </c>
      <c r="AL41" s="1281">
        <f t="shared" si="22"/>
        <v>0.11000000000000032</v>
      </c>
      <c r="AM41" s="97">
        <v>6</v>
      </c>
      <c r="AQ41" s="3814" t="s">
        <v>483</v>
      </c>
      <c r="AR41" s="3816">
        <v>6.92</v>
      </c>
      <c r="AS41" s="3816">
        <v>49</v>
      </c>
      <c r="AT41" s="3844">
        <f>+(AS35*AT35+AS36*AT36+AS37*AT37+AS38*AT38+AS39*AT39+AS40*AT40)/AS41</f>
        <v>0.92020408163265288</v>
      </c>
      <c r="AU41" s="3518"/>
      <c r="AW41" s="37"/>
      <c r="AX41" s="37" t="s">
        <v>41</v>
      </c>
      <c r="AY41" s="37" t="s">
        <v>413</v>
      </c>
      <c r="AZ41" s="694">
        <v>7.71</v>
      </c>
      <c r="BA41" s="63">
        <v>14</v>
      </c>
      <c r="BB41" s="837">
        <f t="shared" si="7"/>
        <v>1.71</v>
      </c>
      <c r="BC41" s="2043">
        <v>6</v>
      </c>
      <c r="BE41" s="37"/>
      <c r="BF41" s="37" t="s">
        <v>41</v>
      </c>
      <c r="BG41" s="37" t="s">
        <v>413</v>
      </c>
      <c r="BH41" s="694">
        <v>7.5</v>
      </c>
      <c r="BI41" s="63">
        <v>10</v>
      </c>
      <c r="BJ41" s="134">
        <f t="shared" si="4"/>
        <v>1.5</v>
      </c>
      <c r="BL41" s="97"/>
      <c r="BM41" s="97"/>
      <c r="BN41" s="42" t="s">
        <v>130</v>
      </c>
      <c r="BO41" s="134">
        <v>9.4600000000000009</v>
      </c>
      <c r="BP41" s="97">
        <v>24</v>
      </c>
      <c r="BQ41" s="134">
        <f t="shared" si="8"/>
        <v>3.4600000000000009</v>
      </c>
      <c r="BR41" s="1"/>
      <c r="BS41" s="1274"/>
      <c r="BT41" s="1274"/>
      <c r="BU41" s="1278" t="s">
        <v>109</v>
      </c>
      <c r="BV41" s="1279">
        <v>7.9722222222222276</v>
      </c>
      <c r="BW41" s="1280">
        <v>144</v>
      </c>
      <c r="BX41" s="1287">
        <f>+(BW30*BX30+BW36*BX36+BW40*BX40)/BW41</f>
        <v>1.7152777777777777</v>
      </c>
      <c r="BZ41" s="774"/>
      <c r="CA41" s="774"/>
      <c r="CB41" s="775" t="s">
        <v>132</v>
      </c>
      <c r="CC41" s="776">
        <v>6.625</v>
      </c>
      <c r="CD41" s="777">
        <v>8</v>
      </c>
      <c r="CE41" s="778">
        <f t="shared" si="10"/>
        <v>0.625</v>
      </c>
      <c r="CG41" s="613"/>
      <c r="CH41" s="613"/>
      <c r="CI41" s="613"/>
      <c r="CJ41" s="389" t="s">
        <v>529</v>
      </c>
      <c r="CK41" s="391">
        <v>3</v>
      </c>
      <c r="CL41" s="390">
        <v>8</v>
      </c>
      <c r="CM41" s="690">
        <v>0</v>
      </c>
      <c r="CN41" s="391">
        <f t="shared" si="21"/>
        <v>-3</v>
      </c>
      <c r="CP41" s="780"/>
      <c r="CQ41" s="780"/>
      <c r="CR41" s="781" t="s">
        <v>132</v>
      </c>
      <c r="CS41" s="782">
        <v>6</v>
      </c>
      <c r="CT41" s="782">
        <f t="shared" si="23"/>
        <v>0</v>
      </c>
      <c r="CU41" s="783">
        <v>9</v>
      </c>
      <c r="CV41" s="782">
        <v>6</v>
      </c>
      <c r="CW41" s="782">
        <f t="shared" si="24"/>
        <v>0</v>
      </c>
      <c r="CY41" s="63"/>
      <c r="CZ41" s="63"/>
      <c r="DA41" s="37" t="s">
        <v>132</v>
      </c>
      <c r="DB41" s="63">
        <v>10</v>
      </c>
      <c r="DC41" s="694">
        <v>10.6</v>
      </c>
      <c r="DD41" s="63">
        <v>6</v>
      </c>
      <c r="DE41" s="694">
        <f t="shared" si="6"/>
        <v>4.5999999999999996</v>
      </c>
      <c r="DF41" s="37"/>
      <c r="DG41" s="37"/>
      <c r="DH41" s="784"/>
      <c r="DI41" s="785"/>
      <c r="DJ41" s="784" t="s">
        <v>133</v>
      </c>
      <c r="DK41" s="786">
        <v>3.2</v>
      </c>
      <c r="DL41" s="785">
        <v>20</v>
      </c>
      <c r="DM41" s="787">
        <v>3</v>
      </c>
      <c r="DN41" s="786">
        <f>DK41-3</f>
        <v>0.20000000000000018</v>
      </c>
    </row>
    <row r="42" spans="1:118">
      <c r="A42" s="5797">
        <v>2</v>
      </c>
      <c r="B42" s="5797">
        <v>3</v>
      </c>
      <c r="C42" s="5796" t="s">
        <v>128</v>
      </c>
      <c r="D42" s="5798">
        <v>7.1818181818181817</v>
      </c>
      <c r="E42" s="5797">
        <v>11</v>
      </c>
      <c r="F42" s="1281">
        <f t="shared" si="17"/>
        <v>1.1818181818181817</v>
      </c>
      <c r="G42" s="97">
        <v>6</v>
      </c>
      <c r="I42" s="5034">
        <v>2</v>
      </c>
      <c r="J42" s="5034">
        <v>3</v>
      </c>
      <c r="K42" s="5035" t="s">
        <v>129</v>
      </c>
      <c r="L42" s="5036">
        <v>7.166666666666667</v>
      </c>
      <c r="M42" s="5034">
        <v>12</v>
      </c>
      <c r="N42" s="1281">
        <f t="shared" si="2"/>
        <v>1.166666666666667</v>
      </c>
      <c r="O42" s="97">
        <v>6</v>
      </c>
      <c r="Q42" s="4561">
        <v>2</v>
      </c>
      <c r="R42" s="4561">
        <v>3</v>
      </c>
      <c r="S42" s="4562" t="s">
        <v>129</v>
      </c>
      <c r="T42" s="4563">
        <v>6.125</v>
      </c>
      <c r="U42" s="4564">
        <v>8</v>
      </c>
      <c r="V42" s="1281">
        <f t="shared" si="3"/>
        <v>0.125</v>
      </c>
      <c r="W42" s="97">
        <v>6</v>
      </c>
      <c r="Y42" s="36"/>
      <c r="Z42" s="36"/>
      <c r="AA42" s="36" t="s">
        <v>129</v>
      </c>
      <c r="AB42" s="1346">
        <v>6.5</v>
      </c>
      <c r="AC42" s="95">
        <v>6</v>
      </c>
      <c r="AD42" s="1281">
        <f>AB42-6</f>
        <v>0.5</v>
      </c>
      <c r="AE42" s="97">
        <v>6</v>
      </c>
      <c r="AF42" s="4522"/>
      <c r="AG42" s="36"/>
      <c r="AH42" s="97" t="s">
        <v>41</v>
      </c>
      <c r="AI42" s="393" t="s">
        <v>15</v>
      </c>
      <c r="AJ42" s="1361">
        <v>6.93</v>
      </c>
      <c r="AK42" s="3794">
        <v>56</v>
      </c>
      <c r="AL42" s="1675">
        <f>+(AK36*AL36+AK37*AL37+AK38*AL38+AK39*AL39+AK40*AL40+AK41*AL41)/AK42</f>
        <v>0.92964285714285722</v>
      </c>
      <c r="AM42" s="97"/>
      <c r="AP42" s="39" t="s">
        <v>41</v>
      </c>
      <c r="AQ42" s="39" t="s">
        <v>413</v>
      </c>
      <c r="AR42" s="3518">
        <v>7.71</v>
      </c>
      <c r="AS42" s="3518">
        <v>7</v>
      </c>
      <c r="AT42" s="3851">
        <f t="shared" si="20"/>
        <v>1.71</v>
      </c>
      <c r="AU42" s="3518">
        <v>6</v>
      </c>
      <c r="AW42" s="37"/>
      <c r="AX42" s="37"/>
      <c r="AY42" s="37" t="s">
        <v>128</v>
      </c>
      <c r="AZ42" s="694">
        <v>7</v>
      </c>
      <c r="BA42" s="63">
        <v>13</v>
      </c>
      <c r="BB42" s="837">
        <f t="shared" si="7"/>
        <v>1</v>
      </c>
      <c r="BC42" s="2043">
        <v>6</v>
      </c>
      <c r="BE42" s="37"/>
      <c r="BF42" s="37"/>
      <c r="BG42" s="37" t="s">
        <v>128</v>
      </c>
      <c r="BH42" s="694">
        <v>6.71</v>
      </c>
      <c r="BI42" s="63">
        <v>14</v>
      </c>
      <c r="BJ42" s="134">
        <f t="shared" si="4"/>
        <v>0.71</v>
      </c>
      <c r="BL42" s="97"/>
      <c r="BM42" s="97"/>
      <c r="BN42" s="893" t="s">
        <v>485</v>
      </c>
      <c r="BO42" s="894">
        <v>7.93</v>
      </c>
      <c r="BP42" s="135">
        <v>73</v>
      </c>
      <c r="BQ42" s="800">
        <f>+(BP38*BQ38+BP39*BQ39+BP40*BQ40+BP41*BQ41)/BP42</f>
        <v>1.931232876712329</v>
      </c>
      <c r="BR42" s="1"/>
      <c r="BS42" s="1282" t="s">
        <v>48</v>
      </c>
      <c r="BT42" s="1282" t="s">
        <v>16</v>
      </c>
      <c r="BU42" s="1283" t="s">
        <v>131</v>
      </c>
      <c r="BV42" s="1284">
        <v>7.375</v>
      </c>
      <c r="BW42" s="1285">
        <v>8</v>
      </c>
      <c r="BX42" s="1286">
        <f t="shared" si="9"/>
        <v>1.375</v>
      </c>
      <c r="BZ42" s="774"/>
      <c r="CA42" s="774"/>
      <c r="CB42" s="775" t="s">
        <v>134</v>
      </c>
      <c r="CC42" s="776">
        <v>7.1666666666666661</v>
      </c>
      <c r="CD42" s="777">
        <v>12</v>
      </c>
      <c r="CE42" s="778">
        <f t="shared" si="10"/>
        <v>1.1666666666666661</v>
      </c>
      <c r="CG42" s="613"/>
      <c r="CH42" s="613"/>
      <c r="CI42" s="613"/>
      <c r="CJ42" s="709" t="s">
        <v>483</v>
      </c>
      <c r="CK42" s="394">
        <v>6.1470588235294095</v>
      </c>
      <c r="CL42" s="395">
        <v>68</v>
      </c>
      <c r="CM42" s="710">
        <v>2.3325388504857663</v>
      </c>
      <c r="CN42" s="788">
        <f>+(CL34*CN34+CL35*CN35+CL36*CN36+CL37*CN37+CL38*CN38+CL39*CN39+CL40*CN40+CL41*CN41)/CL42</f>
        <v>0.1911764705882355</v>
      </c>
      <c r="CP42" s="780"/>
      <c r="CQ42" s="780"/>
      <c r="CR42" s="781" t="s">
        <v>133</v>
      </c>
      <c r="CS42" s="782">
        <v>3</v>
      </c>
      <c r="CT42" s="782">
        <f t="shared" si="23"/>
        <v>-3</v>
      </c>
      <c r="CU42" s="783">
        <v>1</v>
      </c>
      <c r="CV42" s="782">
        <v>3</v>
      </c>
      <c r="CW42" s="782">
        <f t="shared" si="24"/>
        <v>-3</v>
      </c>
      <c r="CY42" s="63"/>
      <c r="CZ42" s="63"/>
      <c r="DA42" s="37" t="s">
        <v>133</v>
      </c>
      <c r="DB42" s="63">
        <v>13</v>
      </c>
      <c r="DC42" s="694">
        <v>3.6153846153846154</v>
      </c>
      <c r="DD42" s="63">
        <v>6</v>
      </c>
      <c r="DE42" s="694">
        <f t="shared" si="6"/>
        <v>-2.3846153846153846</v>
      </c>
      <c r="DF42" s="37"/>
      <c r="DG42" s="37"/>
      <c r="DH42" s="784"/>
      <c r="DI42" s="785"/>
      <c r="DJ42" s="784" t="s">
        <v>134</v>
      </c>
      <c r="DK42" s="786">
        <v>6.5</v>
      </c>
      <c r="DL42" s="785">
        <v>18</v>
      </c>
      <c r="DM42" s="787">
        <v>6</v>
      </c>
      <c r="DN42" s="786">
        <f>DK42-6</f>
        <v>0.5</v>
      </c>
    </row>
    <row r="43" spans="1:118">
      <c r="A43" s="5797"/>
      <c r="B43" s="5797"/>
      <c r="C43" s="5799" t="s">
        <v>41</v>
      </c>
      <c r="D43" s="5798"/>
      <c r="E43" s="5799">
        <f>SUM(E39:E42)</f>
        <v>35</v>
      </c>
      <c r="F43" s="1675">
        <f>+(E39*F39+E40*F40+E41*F41+E42*F42)/E43</f>
        <v>1.7714285714285714</v>
      </c>
      <c r="G43" s="97"/>
      <c r="I43" s="5034">
        <v>2</v>
      </c>
      <c r="J43" s="5034">
        <v>3</v>
      </c>
      <c r="K43" s="5035" t="s">
        <v>128</v>
      </c>
      <c r="L43" s="5036">
        <v>7.1818181818181817</v>
      </c>
      <c r="M43" s="5034">
        <v>11</v>
      </c>
      <c r="N43" s="1281">
        <f t="shared" si="2"/>
        <v>1.1818181818181817</v>
      </c>
      <c r="O43" s="97">
        <v>6</v>
      </c>
      <c r="Q43" s="4561">
        <v>2</v>
      </c>
      <c r="R43" s="4561">
        <v>3</v>
      </c>
      <c r="S43" s="4562" t="s">
        <v>128</v>
      </c>
      <c r="T43" s="4563">
        <v>7.2222222222222223</v>
      </c>
      <c r="U43" s="4564">
        <v>9</v>
      </c>
      <c r="V43" s="1281">
        <f t="shared" si="3"/>
        <v>1.2222222222222223</v>
      </c>
      <c r="W43" s="97">
        <v>6</v>
      </c>
      <c r="Y43" s="36"/>
      <c r="Z43" s="36"/>
      <c r="AA43" s="36" t="s">
        <v>130</v>
      </c>
      <c r="AB43" s="1346">
        <v>7</v>
      </c>
      <c r="AC43" s="95">
        <v>2</v>
      </c>
      <c r="AD43" s="1281">
        <f>AB43-6</f>
        <v>1</v>
      </c>
      <c r="AE43" s="97">
        <v>6</v>
      </c>
      <c r="AF43" s="4522"/>
      <c r="AG43" s="36"/>
      <c r="AH43" s="97"/>
      <c r="AI43" s="36" t="s">
        <v>413</v>
      </c>
      <c r="AJ43" s="1346">
        <v>7.31</v>
      </c>
      <c r="AK43" s="95">
        <v>16</v>
      </c>
      <c r="AL43" s="1281">
        <f>AJ43-6</f>
        <v>1.3099999999999996</v>
      </c>
      <c r="AM43" s="97">
        <v>6</v>
      </c>
      <c r="AQ43" s="39" t="s">
        <v>128</v>
      </c>
      <c r="AR43" s="3518">
        <v>6.57</v>
      </c>
      <c r="AS43" s="3518">
        <v>14</v>
      </c>
      <c r="AT43" s="3851">
        <f t="shared" si="20"/>
        <v>0.57000000000000028</v>
      </c>
      <c r="AU43" s="3518">
        <v>6</v>
      </c>
      <c r="AW43" s="37"/>
      <c r="AX43" s="37"/>
      <c r="AY43" s="37" t="s">
        <v>129</v>
      </c>
      <c r="AZ43" s="694">
        <v>7.39</v>
      </c>
      <c r="BA43" s="63">
        <v>18</v>
      </c>
      <c r="BB43" s="837">
        <f t="shared" si="7"/>
        <v>1.3899999999999997</v>
      </c>
      <c r="BC43" s="2043">
        <v>6</v>
      </c>
      <c r="BE43" s="37"/>
      <c r="BF43" s="37"/>
      <c r="BG43" s="37" t="s">
        <v>129</v>
      </c>
      <c r="BH43" s="694">
        <v>7.1</v>
      </c>
      <c r="BI43" s="63">
        <v>10</v>
      </c>
      <c r="BJ43" s="134">
        <f t="shared" si="4"/>
        <v>1.0999999999999996</v>
      </c>
      <c r="BL43" s="1501"/>
      <c r="BM43" s="1501"/>
      <c r="BN43" s="1498" t="s">
        <v>109</v>
      </c>
      <c r="BO43" s="1499">
        <v>7.62</v>
      </c>
      <c r="BP43" s="1500">
        <v>220</v>
      </c>
      <c r="BQ43" s="1502">
        <f>+(BP31*BQ31+BP37*BQ37+BP42*BQ42)/BP43</f>
        <v>1.6178636363636365</v>
      </c>
      <c r="BR43" s="1"/>
      <c r="BS43" s="1274"/>
      <c r="BT43" s="1274"/>
      <c r="BU43" s="1275" t="s">
        <v>132</v>
      </c>
      <c r="BV43" s="1276">
        <v>6.3</v>
      </c>
      <c r="BW43" s="1277">
        <v>10</v>
      </c>
      <c r="BX43" s="134">
        <f t="shared" si="9"/>
        <v>0.29999999999999982</v>
      </c>
      <c r="BZ43" s="774"/>
      <c r="CA43" s="774"/>
      <c r="CB43" s="775" t="s">
        <v>135</v>
      </c>
      <c r="CC43" s="776">
        <v>10</v>
      </c>
      <c r="CD43" s="777">
        <v>1</v>
      </c>
      <c r="CE43" s="778">
        <f t="shared" si="10"/>
        <v>4</v>
      </c>
      <c r="CG43" s="613"/>
      <c r="CH43" s="613"/>
      <c r="CI43" s="613" t="s">
        <v>41</v>
      </c>
      <c r="CJ43" s="389" t="s">
        <v>137</v>
      </c>
      <c r="CK43" s="391">
        <v>7</v>
      </c>
      <c r="CL43" s="390">
        <v>3</v>
      </c>
      <c r="CM43" s="690">
        <v>2.6457513110645907</v>
      </c>
      <c r="CN43" s="391">
        <f t="shared" si="21"/>
        <v>1</v>
      </c>
      <c r="CP43" s="780"/>
      <c r="CQ43" s="780"/>
      <c r="CR43" s="781" t="s">
        <v>134</v>
      </c>
      <c r="CS43" s="782">
        <v>6.3</v>
      </c>
      <c r="CT43" s="782">
        <f t="shared" si="23"/>
        <v>0.29999999999999982</v>
      </c>
      <c r="CU43" s="783">
        <v>10</v>
      </c>
      <c r="CV43" s="782">
        <v>6.3</v>
      </c>
      <c r="CW43" s="782">
        <f t="shared" si="24"/>
        <v>0.29999999999999982</v>
      </c>
      <c r="CY43" s="63"/>
      <c r="CZ43" s="63"/>
      <c r="DA43" s="37" t="s">
        <v>134</v>
      </c>
      <c r="DB43" s="63">
        <v>8</v>
      </c>
      <c r="DC43" s="694">
        <v>9</v>
      </c>
      <c r="DD43" s="63">
        <v>6</v>
      </c>
      <c r="DE43" s="694">
        <f t="shared" si="6"/>
        <v>3</v>
      </c>
      <c r="DF43" s="37"/>
      <c r="DG43" s="37"/>
      <c r="DH43" s="784"/>
      <c r="DI43" s="785"/>
      <c r="DJ43" s="784" t="s">
        <v>135</v>
      </c>
      <c r="DK43" s="786">
        <v>6</v>
      </c>
      <c r="DL43" s="785">
        <v>14</v>
      </c>
      <c r="DM43" s="787">
        <v>6</v>
      </c>
      <c r="DN43" s="786">
        <f>DK43-6</f>
        <v>0</v>
      </c>
    </row>
    <row r="44" spans="1:118">
      <c r="A44" s="5803"/>
      <c r="B44" s="5803"/>
      <c r="C44" s="5804" t="s">
        <v>73</v>
      </c>
      <c r="D44" s="5805"/>
      <c r="E44" s="5804">
        <f>SUM(E43,E38,E31)</f>
        <v>117</v>
      </c>
      <c r="F44" s="4168">
        <f>+(E31*F31+E38*F38+E43*F43)/E44</f>
        <v>1.9740740740740741</v>
      </c>
      <c r="G44" s="5790"/>
      <c r="I44" s="5034"/>
      <c r="J44" s="5034"/>
      <c r="K44" s="4884" t="s">
        <v>485</v>
      </c>
      <c r="L44" s="5036"/>
      <c r="M44" s="5037">
        <f>SUM(M40:M43)</f>
        <v>36</v>
      </c>
      <c r="N44" s="1675">
        <f>+(M40*N40+M41*N41+M42*N42+M43*N43)/M44</f>
        <v>1.8055555555555556</v>
      </c>
      <c r="O44" s="97"/>
      <c r="Q44" s="4561"/>
      <c r="R44" s="4561"/>
      <c r="S44" s="4520" t="s">
        <v>485</v>
      </c>
      <c r="T44" s="4563"/>
      <c r="U44" s="4568">
        <f>SUM(U40:U43)</f>
        <v>35</v>
      </c>
      <c r="V44" s="1675">
        <f>+(U40*V40+U41*V41+U42*V42+U43*V43)/U44</f>
        <v>1.1346938775510202</v>
      </c>
      <c r="Y44" s="36"/>
      <c r="Z44" s="36"/>
      <c r="AA44" s="393" t="s">
        <v>485</v>
      </c>
      <c r="AB44" s="1361">
        <v>6.69</v>
      </c>
      <c r="AC44" s="4520">
        <v>26</v>
      </c>
      <c r="AD44" s="1675">
        <f>+(AC40*AD40+AC41*AD41+AC42*AD42+AC43*AD43)/AC44</f>
        <v>0.69384615384615378</v>
      </c>
      <c r="AE44" s="97">
        <v>6</v>
      </c>
      <c r="AF44" s="4522"/>
      <c r="AG44" s="36"/>
      <c r="AH44" s="97"/>
      <c r="AI44" s="36" t="s">
        <v>128</v>
      </c>
      <c r="AJ44" s="1346">
        <v>6.6</v>
      </c>
      <c r="AK44" s="95">
        <v>15</v>
      </c>
      <c r="AL44" s="1281">
        <f>AJ44-6</f>
        <v>0.59999999999999964</v>
      </c>
      <c r="AM44" s="97">
        <v>6</v>
      </c>
      <c r="AQ44" s="39" t="s">
        <v>129</v>
      </c>
      <c r="AR44" s="3518">
        <v>6.89</v>
      </c>
      <c r="AS44" s="3518">
        <v>9</v>
      </c>
      <c r="AT44" s="3851">
        <f t="shared" si="20"/>
        <v>0.88999999999999968</v>
      </c>
      <c r="AU44" s="3518">
        <v>6</v>
      </c>
      <c r="AW44" s="37"/>
      <c r="AX44" s="37"/>
      <c r="AY44" s="37" t="s">
        <v>130</v>
      </c>
      <c r="AZ44" s="694">
        <v>9</v>
      </c>
      <c r="BA44" s="63">
        <v>14</v>
      </c>
      <c r="BB44" s="837">
        <f t="shared" si="7"/>
        <v>3</v>
      </c>
      <c r="BC44" s="2043">
        <v>6</v>
      </c>
      <c r="BE44" s="37"/>
      <c r="BF44" s="37"/>
      <c r="BG44" s="37" t="s">
        <v>130</v>
      </c>
      <c r="BH44" s="694">
        <v>8.57</v>
      </c>
      <c r="BI44" s="63">
        <v>14</v>
      </c>
      <c r="BJ44" s="134">
        <f t="shared" si="4"/>
        <v>2.5700000000000003</v>
      </c>
      <c r="BL44" s="97" t="s">
        <v>48</v>
      </c>
      <c r="BM44" s="97" t="s">
        <v>16</v>
      </c>
      <c r="BN44" s="42" t="s">
        <v>131</v>
      </c>
      <c r="BO44" s="134">
        <v>7.06</v>
      </c>
      <c r="BP44" s="97">
        <v>16</v>
      </c>
      <c r="BQ44" s="134">
        <f t="shared" si="8"/>
        <v>1.0599999999999996</v>
      </c>
      <c r="BR44" s="1"/>
      <c r="BS44" s="1274"/>
      <c r="BT44" s="1274"/>
      <c r="BU44" s="1275" t="s">
        <v>134</v>
      </c>
      <c r="BV44" s="1276">
        <v>6.375</v>
      </c>
      <c r="BW44" s="1277">
        <v>8</v>
      </c>
      <c r="BX44" s="134">
        <f t="shared" si="9"/>
        <v>0.375</v>
      </c>
      <c r="BZ44" s="774"/>
      <c r="CA44" s="774"/>
      <c r="CB44" s="775" t="s">
        <v>136</v>
      </c>
      <c r="CC44" s="776">
        <v>6.5</v>
      </c>
      <c r="CD44" s="777">
        <v>4</v>
      </c>
      <c r="CE44" s="778">
        <f t="shared" si="10"/>
        <v>0.5</v>
      </c>
      <c r="CG44" s="613"/>
      <c r="CH44" s="613"/>
      <c r="CI44" s="613"/>
      <c r="CJ44" s="389" t="s">
        <v>138</v>
      </c>
      <c r="CK44" s="391">
        <v>6.8947368421052646</v>
      </c>
      <c r="CL44" s="390">
        <v>19</v>
      </c>
      <c r="CM44" s="795">
        <v>0.87526103040466141</v>
      </c>
      <c r="CN44" s="391">
        <f>CK44-7</f>
        <v>-0.10526315789473539</v>
      </c>
      <c r="CP44" s="780"/>
      <c r="CQ44" s="780"/>
      <c r="CR44" s="781" t="s">
        <v>135</v>
      </c>
      <c r="CS44" s="782">
        <v>6.75</v>
      </c>
      <c r="CT44" s="782">
        <f t="shared" si="23"/>
        <v>0.75</v>
      </c>
      <c r="CU44" s="783">
        <v>8</v>
      </c>
      <c r="CV44" s="782">
        <v>8.125</v>
      </c>
      <c r="CW44" s="782">
        <f t="shared" si="24"/>
        <v>2.125</v>
      </c>
      <c r="CY44" s="63"/>
      <c r="CZ44" s="63"/>
      <c r="DA44" s="37" t="s">
        <v>135</v>
      </c>
      <c r="DB44" s="63">
        <v>11</v>
      </c>
      <c r="DC44" s="694">
        <v>7.0909090909090899</v>
      </c>
      <c r="DD44" s="63">
        <v>6</v>
      </c>
      <c r="DE44" s="694">
        <f t="shared" si="6"/>
        <v>1.0909090909090899</v>
      </c>
      <c r="DF44" s="792">
        <f>AVERAGE(DE39:DE46)</f>
        <v>2.2105840105840104</v>
      </c>
      <c r="DG44" s="37"/>
      <c r="DH44" s="784"/>
      <c r="DI44" s="785"/>
      <c r="DJ44" s="784" t="s">
        <v>136</v>
      </c>
      <c r="DK44" s="786">
        <v>7.7272727272727275</v>
      </c>
      <c r="DL44" s="785">
        <v>11</v>
      </c>
      <c r="DM44" s="787">
        <v>6</v>
      </c>
      <c r="DN44" s="786">
        <f>DK44-6</f>
        <v>1.7272727272727275</v>
      </c>
    </row>
    <row r="45" spans="1:118">
      <c r="A45" s="5800">
        <v>3</v>
      </c>
      <c r="B45" s="5800">
        <v>2</v>
      </c>
      <c r="C45" s="5801" t="s">
        <v>2738</v>
      </c>
      <c r="D45" s="5802">
        <v>4.25</v>
      </c>
      <c r="E45" s="5800">
        <v>5</v>
      </c>
      <c r="F45" s="1281">
        <f t="shared" si="17"/>
        <v>-1.75</v>
      </c>
      <c r="G45" s="97">
        <v>6</v>
      </c>
      <c r="I45" s="5040"/>
      <c r="J45" s="5040"/>
      <c r="K45" s="4575" t="s">
        <v>109</v>
      </c>
      <c r="L45" s="5039"/>
      <c r="M45" s="5042">
        <f>SUM(M44,M39,M32)</f>
        <v>124</v>
      </c>
      <c r="N45" s="4168">
        <f>+(M32*N32+M39*N39+M44*N44)/M45</f>
        <v>2.2228942652329753</v>
      </c>
      <c r="O45" s="4381"/>
      <c r="Q45" s="4574"/>
      <c r="R45" s="4574"/>
      <c r="S45" s="4575" t="s">
        <v>109</v>
      </c>
      <c r="T45" s="4578"/>
      <c r="U45" s="4577">
        <f>SUM(U44,U39,U31)</f>
        <v>108</v>
      </c>
      <c r="V45" s="4168">
        <f>+(U31*V31+U39*V39+U44*V44)/U45</f>
        <v>1.6611365486365486</v>
      </c>
      <c r="W45" s="4381"/>
      <c r="Y45" s="4177"/>
      <c r="Z45" s="4177"/>
      <c r="AA45" s="4166" t="s">
        <v>109</v>
      </c>
      <c r="AB45" s="4178">
        <v>7</v>
      </c>
      <c r="AC45" s="4167">
        <v>109</v>
      </c>
      <c r="AD45" s="4168">
        <f>+(AC32*AD32+AC39*AD39+AC44*AD44)/AC45</f>
        <v>1.2474311926605504</v>
      </c>
      <c r="AE45" s="4179"/>
      <c r="AF45" s="4522"/>
      <c r="AG45" s="36"/>
      <c r="AH45" s="97"/>
      <c r="AI45" s="36" t="s">
        <v>129</v>
      </c>
      <c r="AJ45" s="1346">
        <v>6.91</v>
      </c>
      <c r="AK45" s="95">
        <v>11</v>
      </c>
      <c r="AL45" s="1281">
        <f>AJ45-6</f>
        <v>0.91000000000000014</v>
      </c>
      <c r="AM45" s="97">
        <v>6</v>
      </c>
      <c r="AQ45" s="39" t="s">
        <v>130</v>
      </c>
      <c r="AR45" s="3518">
        <v>7.86</v>
      </c>
      <c r="AS45" s="3518">
        <v>7</v>
      </c>
      <c r="AT45" s="3851">
        <f t="shared" si="20"/>
        <v>1.8600000000000003</v>
      </c>
      <c r="AU45" s="3518">
        <v>6</v>
      </c>
      <c r="AW45" s="37"/>
      <c r="AX45" s="37"/>
      <c r="AY45" s="416" t="s">
        <v>485</v>
      </c>
      <c r="AZ45" s="707">
        <v>7.76</v>
      </c>
      <c r="BA45" s="2040">
        <v>59</v>
      </c>
      <c r="BB45" s="800">
        <f>+(BA41*BB41+BA42*BB42+BA43*BB43+BA44*BB44)/BA45</f>
        <v>1.7620338983050847</v>
      </c>
      <c r="BC45" s="2043"/>
      <c r="BE45" s="37"/>
      <c r="BF45" s="37"/>
      <c r="BG45" s="416" t="s">
        <v>485</v>
      </c>
      <c r="BH45" s="707">
        <v>7.5</v>
      </c>
      <c r="BI45" s="386">
        <v>48</v>
      </c>
      <c r="BJ45" s="800">
        <f>+(BI41*BJ41+BI42*BJ42+BI43*BJ43+BI44*BJ44)/BI45</f>
        <v>1.4983333333333333</v>
      </c>
      <c r="BL45" s="97"/>
      <c r="BM45" s="97"/>
      <c r="BN45" s="42" t="s">
        <v>134</v>
      </c>
      <c r="BO45" s="134">
        <v>7.14</v>
      </c>
      <c r="BP45" s="97">
        <v>7</v>
      </c>
      <c r="BQ45" s="134">
        <f t="shared" si="8"/>
        <v>1.1399999999999997</v>
      </c>
      <c r="BR45" s="1"/>
      <c r="BS45" s="1274"/>
      <c r="BT45" s="1274"/>
      <c r="BU45" s="1275" t="s">
        <v>135</v>
      </c>
      <c r="BV45" s="1276">
        <v>6</v>
      </c>
      <c r="BW45" s="1277">
        <v>6</v>
      </c>
      <c r="BX45" s="134">
        <f t="shared" si="9"/>
        <v>0</v>
      </c>
      <c r="BZ45" s="774"/>
      <c r="CA45" s="774"/>
      <c r="CB45" s="775" t="s">
        <v>110</v>
      </c>
      <c r="CC45" s="776">
        <v>3.666666666666667</v>
      </c>
      <c r="CD45" s="777">
        <v>15</v>
      </c>
      <c r="CE45" s="778">
        <f t="shared" si="10"/>
        <v>-2.333333333333333</v>
      </c>
      <c r="CG45" s="613"/>
      <c r="CH45" s="613"/>
      <c r="CI45" s="613"/>
      <c r="CJ45" s="389" t="s">
        <v>139</v>
      </c>
      <c r="CK45" s="391">
        <v>5.4444444444444446</v>
      </c>
      <c r="CL45" s="390">
        <v>9</v>
      </c>
      <c r="CM45" s="795">
        <v>0.5270462766947297</v>
      </c>
      <c r="CN45" s="391">
        <f>CK45-5</f>
        <v>0.44444444444444464</v>
      </c>
      <c r="CP45" s="780"/>
      <c r="CQ45" s="780"/>
      <c r="CR45" s="781" t="s">
        <v>136</v>
      </c>
      <c r="CS45" s="782">
        <v>7</v>
      </c>
      <c r="CT45" s="782">
        <f t="shared" si="23"/>
        <v>1</v>
      </c>
      <c r="CU45" s="783">
        <v>7</v>
      </c>
      <c r="CV45" s="782">
        <v>7</v>
      </c>
      <c r="CW45" s="782">
        <f t="shared" si="24"/>
        <v>1</v>
      </c>
      <c r="CY45" s="63"/>
      <c r="CZ45" s="63"/>
      <c r="DA45" s="37" t="s">
        <v>136</v>
      </c>
      <c r="DB45" s="63">
        <v>9</v>
      </c>
      <c r="DC45" s="694">
        <v>9.2222222222222214</v>
      </c>
      <c r="DD45" s="63">
        <v>6</v>
      </c>
      <c r="DE45" s="694">
        <f t="shared" si="6"/>
        <v>3.2222222222222214</v>
      </c>
      <c r="DF45" s="37"/>
      <c r="DG45" s="37"/>
      <c r="DH45" s="784"/>
      <c r="DI45" s="785"/>
      <c r="DJ45" s="784" t="s">
        <v>110</v>
      </c>
      <c r="DK45" s="786">
        <v>6.1428571428571441</v>
      </c>
      <c r="DL45" s="785">
        <v>28</v>
      </c>
      <c r="DM45" s="787">
        <v>6</v>
      </c>
      <c r="DN45" s="786">
        <f>DK45-6</f>
        <v>0.14285714285714413</v>
      </c>
    </row>
    <row r="46" spans="1:118">
      <c r="A46" s="5797">
        <v>3</v>
      </c>
      <c r="B46" s="5797">
        <v>2</v>
      </c>
      <c r="C46" s="5796" t="s">
        <v>443</v>
      </c>
      <c r="D46" s="5798">
        <v>6.25</v>
      </c>
      <c r="E46" s="5797">
        <v>5</v>
      </c>
      <c r="F46" s="1281">
        <f t="shared" si="17"/>
        <v>0.25</v>
      </c>
      <c r="G46" s="97">
        <v>6</v>
      </c>
      <c r="I46" s="5038">
        <v>3</v>
      </c>
      <c r="J46" s="5038">
        <v>2</v>
      </c>
      <c r="K46" s="5044" t="s">
        <v>2738</v>
      </c>
      <c r="L46" s="4572">
        <v>4.25</v>
      </c>
      <c r="M46" s="5038">
        <v>5</v>
      </c>
      <c r="N46" s="1281">
        <f t="shared" si="2"/>
        <v>-1.75</v>
      </c>
      <c r="O46" s="97">
        <v>6</v>
      </c>
      <c r="Q46" s="4570">
        <v>3</v>
      </c>
      <c r="R46" s="4570">
        <v>2</v>
      </c>
      <c r="S46" s="4571" t="s">
        <v>2738</v>
      </c>
      <c r="T46" s="4572">
        <v>3.4285714285714288</v>
      </c>
      <c r="U46" s="4573">
        <v>21</v>
      </c>
      <c r="V46" s="1281">
        <f t="shared" si="3"/>
        <v>-2.5714285714285712</v>
      </c>
      <c r="W46" s="97">
        <v>6</v>
      </c>
      <c r="Y46" s="36" t="s">
        <v>48</v>
      </c>
      <c r="Z46" s="36" t="s">
        <v>16</v>
      </c>
      <c r="AA46" s="36" t="s">
        <v>131</v>
      </c>
      <c r="AB46" s="1346">
        <v>7</v>
      </c>
      <c r="AC46" s="95">
        <v>3</v>
      </c>
      <c r="AD46" s="1281">
        <f t="shared" ref="AD46:AD51" si="25">AB46-6</f>
        <v>1</v>
      </c>
      <c r="AE46" s="97">
        <v>6</v>
      </c>
      <c r="AF46" s="4522"/>
      <c r="AG46" s="36"/>
      <c r="AH46" s="97"/>
      <c r="AI46" s="36" t="s">
        <v>130</v>
      </c>
      <c r="AJ46" s="1346">
        <v>7.67</v>
      </c>
      <c r="AK46" s="95">
        <v>9</v>
      </c>
      <c r="AL46" s="1281">
        <f>AJ46-6</f>
        <v>1.67</v>
      </c>
      <c r="AM46" s="97">
        <v>6</v>
      </c>
      <c r="AQ46" s="3814" t="s">
        <v>485</v>
      </c>
      <c r="AR46" s="3816">
        <v>7.11</v>
      </c>
      <c r="AS46" s="3816">
        <v>37</v>
      </c>
      <c r="AT46" s="3844">
        <f>+(AS42*AT42+AS43*AT43+AS44*AT44+AS45*AT45)/AS46</f>
        <v>1.1075675675675676</v>
      </c>
      <c r="AU46" s="3518"/>
      <c r="AW46" s="2058"/>
      <c r="AX46" s="2058"/>
      <c r="AY46" s="2059" t="s">
        <v>109</v>
      </c>
      <c r="AZ46" s="2060">
        <v>7.54</v>
      </c>
      <c r="BA46" s="2061">
        <v>198</v>
      </c>
      <c r="BB46" s="1502">
        <f>+(BA34*BB34+BA40*BB40+BA45*BB45)/BA46</f>
        <v>1.691717171717172</v>
      </c>
      <c r="BC46" s="2043"/>
      <c r="BE46" s="1684"/>
      <c r="BF46" s="1684"/>
      <c r="BG46" s="1685" t="s">
        <v>109</v>
      </c>
      <c r="BH46" s="1686">
        <v>7.58</v>
      </c>
      <c r="BI46" s="1687">
        <v>186</v>
      </c>
      <c r="BJ46" s="1502">
        <f>+(BI34*BJ34+BI40*BJ40+BI45*BJ45)/BI46</f>
        <v>1.574247311827957</v>
      </c>
      <c r="BL46" s="97"/>
      <c r="BM46" s="97"/>
      <c r="BN46" s="42" t="s">
        <v>135</v>
      </c>
      <c r="BO46" s="134">
        <v>6</v>
      </c>
      <c r="BP46" s="97">
        <v>3</v>
      </c>
      <c r="BQ46" s="134">
        <f t="shared" si="8"/>
        <v>0</v>
      </c>
      <c r="BR46" s="1"/>
      <c r="BS46" s="1274"/>
      <c r="BT46" s="1274"/>
      <c r="BU46" s="1275" t="s">
        <v>136</v>
      </c>
      <c r="BV46" s="1276">
        <v>7.833333333333333</v>
      </c>
      <c r="BW46" s="1277">
        <v>6</v>
      </c>
      <c r="BX46" s="134">
        <f t="shared" si="9"/>
        <v>1.833333333333333</v>
      </c>
      <c r="BZ46" s="774"/>
      <c r="CA46" s="774"/>
      <c r="CB46" s="775" t="s">
        <v>461</v>
      </c>
      <c r="CC46" s="776">
        <v>6</v>
      </c>
      <c r="CD46" s="777">
        <v>8</v>
      </c>
      <c r="CE46" s="778">
        <f t="shared" si="10"/>
        <v>0</v>
      </c>
      <c r="CG46" s="613"/>
      <c r="CH46" s="613"/>
      <c r="CI46" s="613"/>
      <c r="CJ46" s="389" t="s">
        <v>140</v>
      </c>
      <c r="CK46" s="391">
        <v>6.5</v>
      </c>
      <c r="CL46" s="390">
        <v>10</v>
      </c>
      <c r="CM46" s="795">
        <v>0.70710678118654735</v>
      </c>
      <c r="CN46" s="391">
        <f t="shared" si="21"/>
        <v>0.5</v>
      </c>
      <c r="CP46" s="780"/>
      <c r="CQ46" s="780"/>
      <c r="CR46" s="781" t="s">
        <v>110</v>
      </c>
      <c r="CS46" s="782">
        <v>3.1000000000000005</v>
      </c>
      <c r="CT46" s="782">
        <f t="shared" si="23"/>
        <v>-2.8999999999999995</v>
      </c>
      <c r="CU46" s="783">
        <v>10</v>
      </c>
      <c r="CV46" s="782">
        <v>3.1000000000000005</v>
      </c>
      <c r="CW46" s="782">
        <f t="shared" si="24"/>
        <v>-2.8999999999999995</v>
      </c>
      <c r="CY46" s="63"/>
      <c r="CZ46" s="63"/>
      <c r="DA46" s="37" t="s">
        <v>110</v>
      </c>
      <c r="DB46" s="63">
        <v>37</v>
      </c>
      <c r="DC46" s="694">
        <f>5.37837837837838+3</f>
        <v>8.378378378378379</v>
      </c>
      <c r="DD46" s="63">
        <v>6</v>
      </c>
      <c r="DE46" s="694">
        <f t="shared" si="6"/>
        <v>2.378378378378379</v>
      </c>
      <c r="DF46" s="37"/>
      <c r="DG46" s="37"/>
      <c r="DH46" s="784"/>
      <c r="DI46" s="785"/>
      <c r="DJ46" s="785" t="s">
        <v>15</v>
      </c>
      <c r="DK46" s="786">
        <v>6.75</v>
      </c>
      <c r="DL46" s="785">
        <v>116</v>
      </c>
      <c r="DM46" s="787"/>
      <c r="DN46" s="794">
        <f>AVERAGE(DN39:DN45)</f>
        <v>1.68492697778412</v>
      </c>
    </row>
    <row r="47" spans="1:118">
      <c r="A47" s="5797">
        <v>3</v>
      </c>
      <c r="B47" s="5797">
        <v>2</v>
      </c>
      <c r="C47" s="5796" t="s">
        <v>382</v>
      </c>
      <c r="D47" s="5798">
        <v>6</v>
      </c>
      <c r="E47" s="5797">
        <v>9</v>
      </c>
      <c r="F47" s="1281">
        <f t="shared" si="17"/>
        <v>0</v>
      </c>
      <c r="G47" s="97">
        <v>6</v>
      </c>
      <c r="I47" s="5034">
        <v>3</v>
      </c>
      <c r="J47" s="5034">
        <v>2</v>
      </c>
      <c r="K47" s="5035" t="s">
        <v>443</v>
      </c>
      <c r="L47" s="5036">
        <v>6.2</v>
      </c>
      <c r="M47" s="5034">
        <v>5</v>
      </c>
      <c r="N47" s="1281">
        <f t="shared" si="2"/>
        <v>0.20000000000000018</v>
      </c>
      <c r="O47" s="97">
        <v>6</v>
      </c>
      <c r="Q47" s="4561">
        <v>3</v>
      </c>
      <c r="R47" s="4561">
        <v>2</v>
      </c>
      <c r="S47" s="4562" t="s">
        <v>443</v>
      </c>
      <c r="T47" s="4563">
        <v>6</v>
      </c>
      <c r="U47" s="4564">
        <v>2</v>
      </c>
      <c r="V47" s="1281">
        <f t="shared" si="3"/>
        <v>0</v>
      </c>
      <c r="W47" s="97">
        <v>6</v>
      </c>
      <c r="Y47" s="36"/>
      <c r="Z47" s="36"/>
      <c r="AA47" s="36" t="s">
        <v>127</v>
      </c>
      <c r="AB47" s="1346">
        <v>6</v>
      </c>
      <c r="AC47" s="95">
        <v>1</v>
      </c>
      <c r="AD47" s="1281">
        <f t="shared" si="25"/>
        <v>0</v>
      </c>
      <c r="AE47" s="97">
        <v>6</v>
      </c>
      <c r="AF47" s="4522"/>
      <c r="AG47" s="36"/>
      <c r="AH47" s="97"/>
      <c r="AI47" s="393" t="s">
        <v>485</v>
      </c>
      <c r="AJ47" s="1361">
        <v>7.08</v>
      </c>
      <c r="AK47" s="3794">
        <v>51</v>
      </c>
      <c r="AL47" s="1675">
        <f>+(AK43*AL43+AK44*AL44+AK45*AL45+AK46*AL46)/AK47</f>
        <v>1.0784313725490193</v>
      </c>
      <c r="AM47" s="97"/>
      <c r="AO47" s="3846"/>
      <c r="AP47" s="3846"/>
      <c r="AQ47" s="3847" t="s">
        <v>109</v>
      </c>
      <c r="AR47" s="3848">
        <v>7.65</v>
      </c>
      <c r="AS47" s="3848">
        <v>130</v>
      </c>
      <c r="AT47" s="3849">
        <f>+(AS34*AT34+AS41*AT41+AS46*AT46)/AS47</f>
        <v>1.6463076923076922</v>
      </c>
      <c r="AU47" s="3850"/>
      <c r="AW47" s="37" t="s">
        <v>48</v>
      </c>
      <c r="AX47" s="37" t="s">
        <v>16</v>
      </c>
      <c r="AY47" s="37" t="s">
        <v>131</v>
      </c>
      <c r="AZ47" s="694">
        <v>7.27</v>
      </c>
      <c r="BA47" s="63">
        <v>15</v>
      </c>
      <c r="BB47" s="837">
        <f t="shared" si="7"/>
        <v>1.2699999999999996</v>
      </c>
      <c r="BC47" s="2043">
        <v>6</v>
      </c>
      <c r="BE47" s="37" t="s">
        <v>48</v>
      </c>
      <c r="BF47" s="37" t="s">
        <v>16</v>
      </c>
      <c r="BG47" s="37" t="s">
        <v>131</v>
      </c>
      <c r="BH47" s="694">
        <v>6.2</v>
      </c>
      <c r="BI47" s="63">
        <v>5</v>
      </c>
      <c r="BJ47" s="134">
        <f t="shared" si="4"/>
        <v>0.20000000000000018</v>
      </c>
      <c r="BL47" s="97"/>
      <c r="BM47" s="97"/>
      <c r="BN47" s="42" t="s">
        <v>136</v>
      </c>
      <c r="BO47" s="134">
        <v>6</v>
      </c>
      <c r="BP47" s="97">
        <v>6</v>
      </c>
      <c r="BQ47" s="134">
        <f t="shared" si="8"/>
        <v>0</v>
      </c>
      <c r="BR47" s="1"/>
      <c r="BS47" s="1274"/>
      <c r="BT47" s="1274"/>
      <c r="BU47" s="1275" t="s">
        <v>110</v>
      </c>
      <c r="BV47" s="1276">
        <v>3.791666666666667</v>
      </c>
      <c r="BW47" s="1277">
        <v>24</v>
      </c>
      <c r="BX47" s="134">
        <f t="shared" si="9"/>
        <v>-2.208333333333333</v>
      </c>
      <c r="BZ47" s="774"/>
      <c r="CA47" s="774"/>
      <c r="CB47" s="775" t="s">
        <v>529</v>
      </c>
      <c r="CC47" s="776">
        <v>5.4545454545454541</v>
      </c>
      <c r="CD47" s="777">
        <v>11</v>
      </c>
      <c r="CE47" s="778">
        <f>CC47-3</f>
        <v>2.4545454545454541</v>
      </c>
      <c r="CG47" s="613"/>
      <c r="CH47" s="613"/>
      <c r="CI47" s="613"/>
      <c r="CJ47" s="389" t="s">
        <v>141</v>
      </c>
      <c r="CK47" s="391">
        <v>6.9285714285714288</v>
      </c>
      <c r="CL47" s="390">
        <v>14</v>
      </c>
      <c r="CM47" s="795">
        <v>0.99724896315087452</v>
      </c>
      <c r="CN47" s="391">
        <f>CK47-6</f>
        <v>0.92857142857142883</v>
      </c>
      <c r="CP47" s="780"/>
      <c r="CQ47" s="780"/>
      <c r="CR47" s="781" t="s">
        <v>529</v>
      </c>
      <c r="CS47" s="782">
        <v>3</v>
      </c>
      <c r="CT47" s="782">
        <f t="shared" si="23"/>
        <v>3</v>
      </c>
      <c r="CU47" s="783">
        <v>4</v>
      </c>
      <c r="CV47" s="782">
        <v>3</v>
      </c>
      <c r="CW47" s="782">
        <f>CV47-6</f>
        <v>-3</v>
      </c>
      <c r="CY47" s="63"/>
      <c r="CZ47" s="63"/>
      <c r="DA47" s="416" t="s">
        <v>15</v>
      </c>
      <c r="DB47" s="386">
        <v>98</v>
      </c>
      <c r="DC47" s="707">
        <v>8.2448979591836729</v>
      </c>
      <c r="DD47" s="386"/>
      <c r="DE47" s="707">
        <f>+(DB39*DE39+DB40*DE40+DB41*DE41+DB42*DE42+DB43*DE43+DB44*DE44+DB45*DE45+DB46*DE46)/DB47</f>
        <v>2.2448979591836733</v>
      </c>
      <c r="DF47" s="37"/>
      <c r="DG47" s="37"/>
      <c r="DH47" s="784"/>
      <c r="DI47" s="785"/>
      <c r="DJ47" s="785"/>
      <c r="DK47" s="786"/>
      <c r="DL47" s="785"/>
      <c r="DM47" s="787"/>
      <c r="DN47" s="794"/>
    </row>
    <row r="48" spans="1:118">
      <c r="A48" s="5797">
        <v>3</v>
      </c>
      <c r="B48" s="5797">
        <v>2</v>
      </c>
      <c r="C48" s="5796" t="s">
        <v>2739</v>
      </c>
      <c r="D48" s="5798">
        <v>6.875</v>
      </c>
      <c r="E48" s="5797">
        <v>7</v>
      </c>
      <c r="F48" s="1281">
        <f t="shared" si="17"/>
        <v>0.875</v>
      </c>
      <c r="G48" s="97">
        <v>6</v>
      </c>
      <c r="I48" s="5034">
        <v>3</v>
      </c>
      <c r="J48" s="5034">
        <v>2</v>
      </c>
      <c r="K48" s="5035" t="s">
        <v>382</v>
      </c>
      <c r="L48" s="5036">
        <v>6</v>
      </c>
      <c r="M48" s="5034">
        <v>9</v>
      </c>
      <c r="N48" s="1281">
        <f t="shared" si="2"/>
        <v>0</v>
      </c>
      <c r="O48" s="97">
        <v>6</v>
      </c>
      <c r="Q48" s="4561">
        <v>3</v>
      </c>
      <c r="R48" s="4561">
        <v>2</v>
      </c>
      <c r="S48" s="4562" t="s">
        <v>382</v>
      </c>
      <c r="T48" s="4563">
        <v>6</v>
      </c>
      <c r="U48" s="4564">
        <v>1</v>
      </c>
      <c r="V48" s="1281">
        <f t="shared" si="3"/>
        <v>0</v>
      </c>
      <c r="W48" s="97">
        <v>6</v>
      </c>
      <c r="Y48" s="36"/>
      <c r="Z48" s="36"/>
      <c r="AA48" s="36" t="s">
        <v>110</v>
      </c>
      <c r="AB48" s="1346">
        <v>3.48</v>
      </c>
      <c r="AC48" s="95">
        <v>21</v>
      </c>
      <c r="AD48" s="1281">
        <f t="shared" si="25"/>
        <v>-2.52</v>
      </c>
      <c r="AE48" s="97">
        <v>6</v>
      </c>
      <c r="AF48" s="4522"/>
      <c r="AG48" s="2378"/>
      <c r="AH48" s="1501"/>
      <c r="AI48" s="1477" t="s">
        <v>109</v>
      </c>
      <c r="AJ48" s="3857">
        <v>7.68</v>
      </c>
      <c r="AK48" s="3796">
        <v>174</v>
      </c>
      <c r="AL48" s="1676">
        <f>+(AK35*AL35+AK42*AL42+AK47*AL47)/AK48</f>
        <v>1.6847701149425287</v>
      </c>
      <c r="AM48" s="3749"/>
      <c r="AO48" s="39" t="s">
        <v>48</v>
      </c>
      <c r="AP48" s="39" t="s">
        <v>16</v>
      </c>
      <c r="AQ48" s="39" t="s">
        <v>131</v>
      </c>
      <c r="AR48" s="3518">
        <v>6.13</v>
      </c>
      <c r="AS48" s="3518">
        <v>8</v>
      </c>
      <c r="AT48" s="3853">
        <f>AR48-AU48</f>
        <v>0.12999999999999989</v>
      </c>
      <c r="AU48" s="3518">
        <v>6</v>
      </c>
      <c r="AW48" s="37"/>
      <c r="AX48" s="37"/>
      <c r="AY48" s="37" t="s">
        <v>134</v>
      </c>
      <c r="AZ48" s="694">
        <v>6.88</v>
      </c>
      <c r="BA48" s="63">
        <v>8</v>
      </c>
      <c r="BB48" s="837">
        <f t="shared" si="7"/>
        <v>0.87999999999999989</v>
      </c>
      <c r="BC48" s="2043">
        <v>6</v>
      </c>
      <c r="BE48" s="37"/>
      <c r="BF48" s="37"/>
      <c r="BG48" s="37" t="s">
        <v>134</v>
      </c>
      <c r="BH48" s="694">
        <v>6.38</v>
      </c>
      <c r="BI48" s="63">
        <v>8</v>
      </c>
      <c r="BJ48" s="134">
        <f t="shared" si="4"/>
        <v>0.37999999999999989</v>
      </c>
      <c r="BL48" s="97"/>
      <c r="BM48" s="97"/>
      <c r="BN48" s="42" t="s">
        <v>110</v>
      </c>
      <c r="BO48" s="134">
        <v>3.08</v>
      </c>
      <c r="BP48" s="97">
        <v>13</v>
      </c>
      <c r="BQ48" s="134">
        <f t="shared" si="8"/>
        <v>-2.92</v>
      </c>
      <c r="BR48" s="1"/>
      <c r="BS48" s="1274"/>
      <c r="BT48" s="1274"/>
      <c r="BU48" s="1275" t="s">
        <v>461</v>
      </c>
      <c r="BV48" s="1276">
        <v>6</v>
      </c>
      <c r="BW48" s="1277">
        <v>1</v>
      </c>
      <c r="BX48" s="134">
        <f t="shared" si="9"/>
        <v>0</v>
      </c>
      <c r="BZ48" s="774"/>
      <c r="CA48" s="774"/>
      <c r="CB48" s="797" t="s">
        <v>483</v>
      </c>
      <c r="CC48" s="798">
        <v>5.9062499999999982</v>
      </c>
      <c r="CD48" s="799">
        <v>64</v>
      </c>
      <c r="CE48" s="800">
        <f>+(CD40*CE40+CD41*CE41+CD42*CE42+CD43*CE43+CD44*CE44+CD45*CE45+CD46*CE46+CD47*CE47)/CD48</f>
        <v>0.42187499999999994</v>
      </c>
      <c r="CG48" s="613"/>
      <c r="CH48" s="613"/>
      <c r="CI48" s="613"/>
      <c r="CJ48" s="389" t="s">
        <v>111</v>
      </c>
      <c r="CK48" s="391">
        <v>3.6666666666666665</v>
      </c>
      <c r="CL48" s="390">
        <v>6</v>
      </c>
      <c r="CM48" s="795">
        <v>0.5163977794943222</v>
      </c>
      <c r="CN48" s="391">
        <f>CK48-3</f>
        <v>0.66666666666666652</v>
      </c>
      <c r="CR48" s="789" t="s">
        <v>483</v>
      </c>
      <c r="CS48" s="788">
        <v>6.0952380952380931</v>
      </c>
      <c r="CT48" s="788">
        <f>+(CU40*CT40+CU41*CT41+CU42*CT42+CU43*CT43+CU44*CT44+CU45*CT45+CU46*CT46+CU47*CT47)/CU48</f>
        <v>0.47619047619047633</v>
      </c>
      <c r="CU48" s="790">
        <v>63</v>
      </c>
      <c r="CV48" s="788">
        <v>6.5079365079365088</v>
      </c>
      <c r="CW48" s="788">
        <f>+(CU40*CW40+CU41*CW41+CU42*CW42+CU43*CW43+CU44*CW44+CU45*CW45+CU46*CW46+CU47*CW47)/CU48</f>
        <v>0.50793650793650802</v>
      </c>
      <c r="CY48" s="63"/>
      <c r="CZ48" s="63"/>
      <c r="DA48" s="416"/>
      <c r="DB48" s="386"/>
      <c r="DC48" s="707"/>
      <c r="DD48" s="386"/>
      <c r="DE48" s="707"/>
      <c r="DF48" s="37"/>
      <c r="DG48" s="37"/>
      <c r="DH48" s="784"/>
      <c r="DI48" s="785"/>
      <c r="DJ48" s="785"/>
      <c r="DK48" s="786"/>
      <c r="DL48" s="785"/>
      <c r="DM48" s="787"/>
      <c r="DN48" s="794"/>
    </row>
    <row r="49" spans="1:118">
      <c r="A49" s="5797">
        <v>3</v>
      </c>
      <c r="B49" s="5797">
        <v>2</v>
      </c>
      <c r="C49" s="5796" t="s">
        <v>290</v>
      </c>
      <c r="D49" s="5798">
        <v>6.2</v>
      </c>
      <c r="E49" s="5797">
        <v>12</v>
      </c>
      <c r="F49" s="1281">
        <f t="shared" si="17"/>
        <v>0.20000000000000018</v>
      </c>
      <c r="G49" s="97">
        <v>6</v>
      </c>
      <c r="I49" s="5034">
        <v>3</v>
      </c>
      <c r="J49" s="5034">
        <v>2</v>
      </c>
      <c r="K49" s="5035" t="s">
        <v>2739</v>
      </c>
      <c r="L49" s="5036">
        <v>6.875</v>
      </c>
      <c r="M49" s="5034">
        <v>7</v>
      </c>
      <c r="N49" s="1281">
        <f t="shared" si="2"/>
        <v>0.875</v>
      </c>
      <c r="O49" s="97">
        <v>6</v>
      </c>
      <c r="Q49" s="4561">
        <v>3</v>
      </c>
      <c r="R49" s="4561">
        <v>2</v>
      </c>
      <c r="S49" s="4562" t="s">
        <v>2739</v>
      </c>
      <c r="T49" s="4563">
        <v>6.9166666666666661</v>
      </c>
      <c r="U49" s="4564">
        <v>8</v>
      </c>
      <c r="V49" s="1281">
        <f t="shared" si="3"/>
        <v>0.91666666666666607</v>
      </c>
      <c r="W49" s="97">
        <v>6</v>
      </c>
      <c r="Y49" s="36"/>
      <c r="Z49" s="36"/>
      <c r="AA49" s="36" t="s">
        <v>461</v>
      </c>
      <c r="AB49" s="1346">
        <v>7.3</v>
      </c>
      <c r="AC49" s="95">
        <v>10</v>
      </c>
      <c r="AD49" s="1281">
        <f t="shared" si="25"/>
        <v>1.2999999999999998</v>
      </c>
      <c r="AE49" s="97">
        <v>6</v>
      </c>
      <c r="AF49" s="4522"/>
      <c r="AG49" s="36" t="s">
        <v>48</v>
      </c>
      <c r="AH49" s="97" t="s">
        <v>16</v>
      </c>
      <c r="AI49" s="36" t="s">
        <v>131</v>
      </c>
      <c r="AJ49" s="1346">
        <v>6.11</v>
      </c>
      <c r="AK49" s="95">
        <v>9</v>
      </c>
      <c r="AL49" s="1281">
        <v>0.12999999999999989</v>
      </c>
      <c r="AM49" s="97">
        <v>6</v>
      </c>
      <c r="AQ49" s="39" t="s">
        <v>134</v>
      </c>
      <c r="AR49" s="3518">
        <v>6.17</v>
      </c>
      <c r="AS49" s="3518">
        <v>12</v>
      </c>
      <c r="AT49" s="3853">
        <f t="shared" ref="AT49:AT69" si="26">AR49-AU49</f>
        <v>0.16999999999999993</v>
      </c>
      <c r="AU49" s="3518">
        <v>6</v>
      </c>
      <c r="AW49" s="37"/>
      <c r="AX49" s="37"/>
      <c r="AY49" s="37" t="s">
        <v>135</v>
      </c>
      <c r="AZ49" s="694">
        <v>6.6</v>
      </c>
      <c r="BA49" s="63">
        <v>5</v>
      </c>
      <c r="BB49" s="837">
        <f t="shared" si="7"/>
        <v>0.59999999999999964</v>
      </c>
      <c r="BC49" s="2043">
        <v>6</v>
      </c>
      <c r="BE49" s="37"/>
      <c r="BF49" s="37"/>
      <c r="BG49" s="37" t="s">
        <v>135</v>
      </c>
      <c r="BH49" s="694">
        <v>6</v>
      </c>
      <c r="BI49" s="63">
        <v>10</v>
      </c>
      <c r="BJ49" s="134">
        <f t="shared" si="4"/>
        <v>0</v>
      </c>
      <c r="BL49" s="97"/>
      <c r="BM49" s="97"/>
      <c r="BN49" s="42" t="s">
        <v>461</v>
      </c>
      <c r="BO49" s="134">
        <v>6.5</v>
      </c>
      <c r="BP49" s="97">
        <v>12</v>
      </c>
      <c r="BQ49" s="134">
        <f t="shared" si="8"/>
        <v>0.5</v>
      </c>
      <c r="BR49" s="1"/>
      <c r="BS49" s="1274"/>
      <c r="BT49" s="1274"/>
      <c r="BU49" s="1275" t="s">
        <v>529</v>
      </c>
      <c r="BV49" s="1276">
        <v>6</v>
      </c>
      <c r="BW49" s="1277">
        <v>8</v>
      </c>
      <c r="BX49" s="134">
        <f t="shared" si="9"/>
        <v>0</v>
      </c>
      <c r="BZ49" s="774"/>
      <c r="CA49" s="774" t="s">
        <v>41</v>
      </c>
      <c r="CB49" s="775" t="s">
        <v>137</v>
      </c>
      <c r="CC49" s="776">
        <v>4.5</v>
      </c>
      <c r="CD49" s="777">
        <v>2</v>
      </c>
      <c r="CE49" s="778">
        <f t="shared" si="10"/>
        <v>-1.5</v>
      </c>
      <c r="CG49" s="613"/>
      <c r="CH49" s="613"/>
      <c r="CI49" s="613"/>
      <c r="CJ49" s="709" t="s">
        <v>485</v>
      </c>
      <c r="CK49" s="394">
        <v>6.3114754098360653</v>
      </c>
      <c r="CL49" s="395">
        <v>61</v>
      </c>
      <c r="CM49" s="710">
        <v>1.3606491539770931</v>
      </c>
      <c r="CN49" s="788">
        <f>+(CL43*CN43+CL44*CN44+CL45*CN45+CL46*CN46+CL47*CN47+CL48*CN48)/CL49</f>
        <v>0.44262295081967268</v>
      </c>
      <c r="CP49" s="780"/>
      <c r="CQ49" s="780" t="s">
        <v>41</v>
      </c>
      <c r="CR49" s="781" t="s">
        <v>137</v>
      </c>
      <c r="CS49" s="782">
        <v>6</v>
      </c>
      <c r="CT49" s="782">
        <f t="shared" ref="CT49:CT54" si="27">CS49-DD49</f>
        <v>6</v>
      </c>
      <c r="CU49" s="783">
        <v>1</v>
      </c>
      <c r="CV49" s="782">
        <v>6</v>
      </c>
      <c r="CW49" s="782">
        <f>CV49-6</f>
        <v>0</v>
      </c>
      <c r="CY49" s="63"/>
      <c r="CZ49" s="63"/>
      <c r="DA49" s="416"/>
      <c r="DB49" s="386"/>
      <c r="DC49" s="707"/>
      <c r="DD49" s="386"/>
      <c r="DE49" s="707"/>
      <c r="DF49" s="37"/>
      <c r="DG49" s="37"/>
      <c r="DH49" s="784"/>
      <c r="DI49" s="785" t="s">
        <v>41</v>
      </c>
      <c r="DJ49" s="784" t="s">
        <v>137</v>
      </c>
      <c r="DK49" s="786">
        <v>18.2</v>
      </c>
      <c r="DL49" s="785">
        <v>10</v>
      </c>
      <c r="DM49" s="787">
        <v>6</v>
      </c>
      <c r="DN49" s="786">
        <f>DK49-6</f>
        <v>12.2</v>
      </c>
    </row>
    <row r="50" spans="1:118">
      <c r="A50" s="5797">
        <v>3</v>
      </c>
      <c r="B50" s="5797">
        <v>2</v>
      </c>
      <c r="C50" s="5796" t="s">
        <v>289</v>
      </c>
      <c r="D50" s="5798">
        <v>6</v>
      </c>
      <c r="E50" s="5797">
        <v>5</v>
      </c>
      <c r="F50" s="1281">
        <f t="shared" si="17"/>
        <v>0</v>
      </c>
      <c r="G50" s="97">
        <v>6</v>
      </c>
      <c r="I50" s="5034">
        <v>3</v>
      </c>
      <c r="J50" s="5034">
        <v>2</v>
      </c>
      <c r="K50" s="5035" t="s">
        <v>290</v>
      </c>
      <c r="L50" s="5036">
        <v>6.25</v>
      </c>
      <c r="M50" s="5034">
        <v>12</v>
      </c>
      <c r="N50" s="1281">
        <f t="shared" si="2"/>
        <v>0.25</v>
      </c>
      <c r="O50" s="97">
        <v>6</v>
      </c>
      <c r="Q50" s="4561">
        <v>3</v>
      </c>
      <c r="R50" s="4561">
        <v>2</v>
      </c>
      <c r="S50" s="4562" t="s">
        <v>290</v>
      </c>
      <c r="T50" s="4563">
        <v>6</v>
      </c>
      <c r="U50" s="4564">
        <v>4</v>
      </c>
      <c r="V50" s="1281">
        <f t="shared" si="3"/>
        <v>0</v>
      </c>
      <c r="W50" s="97">
        <v>6</v>
      </c>
      <c r="Y50" s="36"/>
      <c r="Z50" s="36"/>
      <c r="AA50" s="36" t="s">
        <v>529</v>
      </c>
      <c r="AB50" s="1346">
        <v>6</v>
      </c>
      <c r="AC50" s="95">
        <v>4</v>
      </c>
      <c r="AD50" s="1281">
        <f t="shared" si="25"/>
        <v>0</v>
      </c>
      <c r="AE50" s="97">
        <v>6</v>
      </c>
      <c r="AF50" s="4522"/>
      <c r="AG50" s="36"/>
      <c r="AH50" s="97"/>
      <c r="AI50" s="36" t="s">
        <v>134</v>
      </c>
      <c r="AJ50" s="1346">
        <v>6.17</v>
      </c>
      <c r="AK50" s="95">
        <v>12</v>
      </c>
      <c r="AL50" s="1281">
        <v>0.16999999999999993</v>
      </c>
      <c r="AM50" s="97">
        <v>6</v>
      </c>
      <c r="AQ50" s="39" t="s">
        <v>135</v>
      </c>
      <c r="AR50" s="3518">
        <v>6.5</v>
      </c>
      <c r="AS50" s="3518">
        <v>12</v>
      </c>
      <c r="AT50" s="3853">
        <f t="shared" si="26"/>
        <v>0.5</v>
      </c>
      <c r="AU50" s="3518">
        <v>6</v>
      </c>
      <c r="AW50" s="37"/>
      <c r="AX50" s="37"/>
      <c r="AY50" s="37" t="s">
        <v>136</v>
      </c>
      <c r="AZ50" s="694">
        <v>6.67</v>
      </c>
      <c r="BA50" s="63">
        <v>6</v>
      </c>
      <c r="BB50" s="837">
        <f t="shared" si="7"/>
        <v>0.66999999999999993</v>
      </c>
      <c r="BC50" s="2043">
        <v>6</v>
      </c>
      <c r="BE50" s="37"/>
      <c r="BF50" s="37"/>
      <c r="BG50" s="37" t="s">
        <v>136</v>
      </c>
      <c r="BH50" s="694">
        <v>6</v>
      </c>
      <c r="BI50" s="63">
        <v>8</v>
      </c>
      <c r="BJ50" s="134">
        <f t="shared" si="4"/>
        <v>0</v>
      </c>
      <c r="BL50" s="97"/>
      <c r="BM50" s="97"/>
      <c r="BN50" s="42" t="s">
        <v>529</v>
      </c>
      <c r="BO50" s="134">
        <v>5.8</v>
      </c>
      <c r="BP50" s="97">
        <v>10</v>
      </c>
      <c r="BQ50" s="134">
        <f t="shared" si="8"/>
        <v>-0.20000000000000018</v>
      </c>
      <c r="BR50" s="1"/>
      <c r="BS50" s="1274"/>
      <c r="BT50" s="1274"/>
      <c r="BU50" s="1278" t="s">
        <v>483</v>
      </c>
      <c r="BV50" s="1279">
        <v>5.6478873239436629</v>
      </c>
      <c r="BW50" s="1280">
        <v>71</v>
      </c>
      <c r="BX50" s="800">
        <f>+(BW42*BX42+BW43*BX43+BW44*BX44+BW45*BX45+BW46*BX46+BW47*BX47+BW48*BX48+BW49*BX49)/BW50</f>
        <v>-0.35211267605633795</v>
      </c>
      <c r="BZ50" s="774"/>
      <c r="CA50" s="774"/>
      <c r="CB50" s="775" t="s">
        <v>138</v>
      </c>
      <c r="CC50" s="776">
        <v>6.75</v>
      </c>
      <c r="CD50" s="777">
        <v>4</v>
      </c>
      <c r="CE50" s="778">
        <f>CC50-7</f>
        <v>-0.25</v>
      </c>
      <c r="CG50" s="613"/>
      <c r="CH50" s="613"/>
      <c r="CI50" s="613" t="s">
        <v>103</v>
      </c>
      <c r="CJ50" s="389" t="s">
        <v>142</v>
      </c>
      <c r="CK50" s="391">
        <v>6</v>
      </c>
      <c r="CL50" s="390">
        <v>15</v>
      </c>
      <c r="CM50" s="690">
        <v>0</v>
      </c>
      <c r="CN50" s="391">
        <f t="shared" si="21"/>
        <v>0</v>
      </c>
      <c r="CP50" s="780"/>
      <c r="CQ50" s="780"/>
      <c r="CR50" s="781" t="s">
        <v>138</v>
      </c>
      <c r="CS50" s="782">
        <v>6.4</v>
      </c>
      <c r="CT50" s="782">
        <f t="shared" si="27"/>
        <v>-0.59999999999999964</v>
      </c>
      <c r="CU50" s="783">
        <v>10</v>
      </c>
      <c r="CV50" s="782">
        <v>6.4</v>
      </c>
      <c r="CW50" s="782">
        <f>CV50-DD50</f>
        <v>-0.59999999999999964</v>
      </c>
      <c r="CY50" s="63"/>
      <c r="CZ50" s="63" t="s">
        <v>41</v>
      </c>
      <c r="DA50" s="37" t="s">
        <v>138</v>
      </c>
      <c r="DB50" s="63">
        <v>21</v>
      </c>
      <c r="DC50" s="694">
        <v>7.4761904761904772</v>
      </c>
      <c r="DD50" s="63">
        <v>7</v>
      </c>
      <c r="DE50" s="694">
        <f t="shared" si="6"/>
        <v>0.47619047619047716</v>
      </c>
      <c r="DF50" s="37"/>
      <c r="DG50" s="37"/>
      <c r="DH50" s="784"/>
      <c r="DI50" s="785"/>
      <c r="DJ50" s="784" t="s">
        <v>138</v>
      </c>
      <c r="DK50" s="786">
        <v>6.166666666666667</v>
      </c>
      <c r="DL50" s="785">
        <v>12</v>
      </c>
      <c r="DM50" s="787">
        <v>7</v>
      </c>
      <c r="DN50" s="786">
        <f>DK50-7</f>
        <v>-0.83333333333333304</v>
      </c>
    </row>
    <row r="51" spans="1:118">
      <c r="A51" s="5797">
        <v>3</v>
      </c>
      <c r="B51" s="5797">
        <v>2</v>
      </c>
      <c r="C51" s="5796" t="s">
        <v>288</v>
      </c>
      <c r="D51" s="5798">
        <v>6.8333333333333339</v>
      </c>
      <c r="E51" s="5797">
        <v>6</v>
      </c>
      <c r="F51" s="1281">
        <f t="shared" si="17"/>
        <v>0.83333333333333393</v>
      </c>
      <c r="G51" s="97">
        <v>6</v>
      </c>
      <c r="I51" s="5034">
        <v>3</v>
      </c>
      <c r="J51" s="5034">
        <v>2</v>
      </c>
      <c r="K51" s="5035" t="s">
        <v>289</v>
      </c>
      <c r="L51" s="5036">
        <v>6</v>
      </c>
      <c r="M51" s="5034">
        <v>5</v>
      </c>
      <c r="N51" s="1281">
        <f t="shared" si="2"/>
        <v>0</v>
      </c>
      <c r="O51" s="97">
        <v>6</v>
      </c>
      <c r="Q51" s="4561">
        <v>3</v>
      </c>
      <c r="R51" s="4561">
        <v>2</v>
      </c>
      <c r="S51" s="4562" t="s">
        <v>2082</v>
      </c>
      <c r="T51" s="4563">
        <v>7.2857142857142856</v>
      </c>
      <c r="U51" s="4564">
        <v>7</v>
      </c>
      <c r="V51" s="1281">
        <f t="shared" si="3"/>
        <v>1.2857142857142856</v>
      </c>
      <c r="W51" s="97">
        <v>6</v>
      </c>
      <c r="Y51" s="36"/>
      <c r="Z51" s="36"/>
      <c r="AA51" s="36" t="s">
        <v>2061</v>
      </c>
      <c r="AB51" s="1346">
        <v>6</v>
      </c>
      <c r="AC51" s="95">
        <v>4</v>
      </c>
      <c r="AD51" s="1281">
        <f t="shared" si="25"/>
        <v>0</v>
      </c>
      <c r="AE51" s="97">
        <v>6</v>
      </c>
      <c r="AF51" s="4522"/>
      <c r="AG51" s="36"/>
      <c r="AH51" s="97"/>
      <c r="AI51" s="36" t="s">
        <v>135</v>
      </c>
      <c r="AJ51" s="1346">
        <v>6.5</v>
      </c>
      <c r="AK51" s="95">
        <v>12</v>
      </c>
      <c r="AL51" s="1281">
        <v>0.5</v>
      </c>
      <c r="AM51" s="97">
        <v>6</v>
      </c>
      <c r="AQ51" s="39" t="s">
        <v>136</v>
      </c>
      <c r="AR51" s="3518">
        <v>7.33</v>
      </c>
      <c r="AS51" s="3518">
        <v>9</v>
      </c>
      <c r="AT51" s="3853">
        <f t="shared" si="26"/>
        <v>1.33</v>
      </c>
      <c r="AU51" s="3518">
        <v>6</v>
      </c>
      <c r="AW51" s="37"/>
      <c r="AX51" s="37"/>
      <c r="AY51" s="37" t="s">
        <v>127</v>
      </c>
      <c r="AZ51" s="694">
        <v>6</v>
      </c>
      <c r="BA51" s="63">
        <v>10</v>
      </c>
      <c r="BB51" s="837">
        <f t="shared" si="7"/>
        <v>0</v>
      </c>
      <c r="BC51" s="2043">
        <v>6</v>
      </c>
      <c r="BE51" s="37"/>
      <c r="BF51" s="37"/>
      <c r="BG51" s="37" t="s">
        <v>110</v>
      </c>
      <c r="BH51" s="694">
        <v>5.46</v>
      </c>
      <c r="BI51" s="63">
        <v>24</v>
      </c>
      <c r="BJ51" s="134">
        <f t="shared" si="4"/>
        <v>-0.54</v>
      </c>
      <c r="BL51" s="97"/>
      <c r="BM51" s="97"/>
      <c r="BN51" s="42" t="s">
        <v>1731</v>
      </c>
      <c r="BO51" s="134">
        <v>6.6</v>
      </c>
      <c r="BP51" s="97">
        <v>10</v>
      </c>
      <c r="BQ51" s="134">
        <f t="shared" si="8"/>
        <v>0.59999999999999964</v>
      </c>
      <c r="BR51" s="1"/>
      <c r="BS51" s="1274"/>
      <c r="BT51" s="1274" t="s">
        <v>41</v>
      </c>
      <c r="BU51" s="1275" t="s">
        <v>137</v>
      </c>
      <c r="BV51" s="1276">
        <v>4.4285714285714288</v>
      </c>
      <c r="BW51" s="1277">
        <v>7</v>
      </c>
      <c r="BX51" s="134">
        <f t="shared" si="9"/>
        <v>-1.5714285714285712</v>
      </c>
      <c r="BZ51" s="774"/>
      <c r="CA51" s="774"/>
      <c r="CB51" s="775" t="s">
        <v>139</v>
      </c>
      <c r="CC51" s="776">
        <v>5.666666666666667</v>
      </c>
      <c r="CD51" s="777">
        <v>3</v>
      </c>
      <c r="CE51" s="778">
        <f>CC51-5</f>
        <v>0.66666666666666696</v>
      </c>
      <c r="CG51" s="613"/>
      <c r="CH51" s="613"/>
      <c r="CI51" s="613"/>
      <c r="CJ51" s="389" t="s">
        <v>389</v>
      </c>
      <c r="CK51" s="391">
        <v>6.7777777777777777</v>
      </c>
      <c r="CL51" s="390">
        <v>9</v>
      </c>
      <c r="CM51" s="795">
        <v>0.83333333333333326</v>
      </c>
      <c r="CN51" s="391">
        <f t="shared" si="21"/>
        <v>0.77777777777777768</v>
      </c>
      <c r="CP51" s="780"/>
      <c r="CQ51" s="780"/>
      <c r="CR51" s="781" t="s">
        <v>139</v>
      </c>
      <c r="CS51" s="782">
        <v>6</v>
      </c>
      <c r="CT51" s="782">
        <f t="shared" si="27"/>
        <v>1</v>
      </c>
      <c r="CU51" s="783">
        <v>5</v>
      </c>
      <c r="CV51" s="782">
        <v>7.2</v>
      </c>
      <c r="CW51" s="782">
        <f>CV51-DD51</f>
        <v>2.2000000000000002</v>
      </c>
      <c r="CY51" s="63"/>
      <c r="CZ51" s="63"/>
      <c r="DA51" s="37" t="s">
        <v>139</v>
      </c>
      <c r="DB51" s="63">
        <v>4</v>
      </c>
      <c r="DC51" s="694">
        <v>5.5</v>
      </c>
      <c r="DD51" s="63">
        <v>5</v>
      </c>
      <c r="DE51" s="694">
        <f t="shared" si="6"/>
        <v>0.5</v>
      </c>
      <c r="DF51" s="37"/>
      <c r="DG51" s="37"/>
      <c r="DH51" s="784"/>
      <c r="DI51" s="785"/>
      <c r="DJ51" s="784" t="s">
        <v>139</v>
      </c>
      <c r="DK51" s="786">
        <v>6.2727272727272725</v>
      </c>
      <c r="DL51" s="785">
        <v>11</v>
      </c>
      <c r="DM51" s="787">
        <v>5</v>
      </c>
      <c r="DN51" s="786">
        <f>DK51-5</f>
        <v>1.2727272727272725</v>
      </c>
    </row>
    <row r="52" spans="1:118">
      <c r="A52" s="5797">
        <v>3</v>
      </c>
      <c r="B52" s="5797">
        <v>2</v>
      </c>
      <c r="C52" s="5796" t="s">
        <v>2082</v>
      </c>
      <c r="D52" s="5798">
        <v>12</v>
      </c>
      <c r="E52" s="5797">
        <v>2</v>
      </c>
      <c r="F52" s="1281">
        <f t="shared" si="17"/>
        <v>6</v>
      </c>
      <c r="G52" s="97">
        <v>6</v>
      </c>
      <c r="I52" s="5034">
        <v>3</v>
      </c>
      <c r="J52" s="5034">
        <v>2</v>
      </c>
      <c r="K52" s="5035" t="s">
        <v>288</v>
      </c>
      <c r="L52" s="5036">
        <v>6.875</v>
      </c>
      <c r="M52" s="5034">
        <v>6</v>
      </c>
      <c r="N52" s="1281">
        <f t="shared" si="2"/>
        <v>0.875</v>
      </c>
      <c r="O52" s="97">
        <v>6</v>
      </c>
      <c r="Q52" s="4561">
        <v>3</v>
      </c>
      <c r="R52" s="4561">
        <v>2</v>
      </c>
      <c r="S52" s="4562" t="s">
        <v>2083</v>
      </c>
      <c r="T52" s="4563">
        <v>6</v>
      </c>
      <c r="U52" s="4564">
        <v>4</v>
      </c>
      <c r="V52" s="1281">
        <f t="shared" si="3"/>
        <v>0</v>
      </c>
      <c r="W52" s="97">
        <v>6</v>
      </c>
      <c r="Y52" s="36"/>
      <c r="Z52" s="36"/>
      <c r="AA52" s="393" t="s">
        <v>483</v>
      </c>
      <c r="AB52" s="1361">
        <v>5.14</v>
      </c>
      <c r="AC52" s="4520">
        <v>43</v>
      </c>
      <c r="AD52" s="1675">
        <f>+(AC46*AD46+AC47*AD47+AC48*AD48+AC49*AD49+AC50*AD50+AC51*AD51)/AC52</f>
        <v>-0.85860465116279072</v>
      </c>
      <c r="AE52" s="97">
        <v>6</v>
      </c>
      <c r="AF52" s="4522"/>
      <c r="AG52" s="36"/>
      <c r="AH52" s="97"/>
      <c r="AI52" s="36" t="s">
        <v>136</v>
      </c>
      <c r="AJ52" s="1346">
        <v>7.33</v>
      </c>
      <c r="AK52" s="95">
        <v>9</v>
      </c>
      <c r="AL52" s="1281">
        <v>1.33</v>
      </c>
      <c r="AM52" s="97">
        <v>6</v>
      </c>
      <c r="AQ52" s="39" t="s">
        <v>110</v>
      </c>
      <c r="AR52" s="3518">
        <v>3</v>
      </c>
      <c r="AS52" s="3518">
        <v>2</v>
      </c>
      <c r="AT52" s="3853">
        <f t="shared" si="26"/>
        <v>-3</v>
      </c>
      <c r="AU52" s="3518">
        <v>6</v>
      </c>
      <c r="AW52" s="37"/>
      <c r="AX52" s="37"/>
      <c r="AY52" s="37" t="s">
        <v>110</v>
      </c>
      <c r="AZ52" s="694">
        <v>4.8499999999999996</v>
      </c>
      <c r="BA52" s="63">
        <v>13</v>
      </c>
      <c r="BB52" s="837">
        <f t="shared" si="7"/>
        <v>-1.1500000000000004</v>
      </c>
      <c r="BC52" s="2043">
        <v>6</v>
      </c>
      <c r="BE52" s="37"/>
      <c r="BF52" s="37"/>
      <c r="BG52" s="37" t="s">
        <v>529</v>
      </c>
      <c r="BH52" s="694">
        <v>6.09</v>
      </c>
      <c r="BI52" s="63">
        <v>11</v>
      </c>
      <c r="BJ52" s="134">
        <f t="shared" si="4"/>
        <v>8.9999999999999858E-2</v>
      </c>
      <c r="BL52" s="97"/>
      <c r="BM52" s="97"/>
      <c r="BN52" s="893" t="s">
        <v>483</v>
      </c>
      <c r="BO52" s="894">
        <v>5.96</v>
      </c>
      <c r="BP52" s="135">
        <v>77</v>
      </c>
      <c r="BQ52" s="800">
        <f>+(BP44*BQ44+BP45*BQ45+BP46*BQ46+BP47*BQ47+BP48*BQ48+BP49*BQ49+BP50*BQ50+BP51*BQ51)/BP52</f>
        <v>-3.922077922077942E-2</v>
      </c>
      <c r="BR52" s="1"/>
      <c r="BS52" s="1274"/>
      <c r="BT52" s="1274"/>
      <c r="BU52" s="1275" t="s">
        <v>138</v>
      </c>
      <c r="BV52" s="1276">
        <v>6.5</v>
      </c>
      <c r="BW52" s="1277">
        <v>10</v>
      </c>
      <c r="BX52" s="134">
        <f t="shared" si="9"/>
        <v>0.5</v>
      </c>
      <c r="BZ52" s="774"/>
      <c r="CA52" s="774"/>
      <c r="CB52" s="775" t="s">
        <v>414</v>
      </c>
      <c r="CC52" s="776">
        <v>7.2</v>
      </c>
      <c r="CD52" s="777">
        <v>5</v>
      </c>
      <c r="CE52" s="778">
        <f t="shared" si="10"/>
        <v>1.2000000000000002</v>
      </c>
      <c r="CG52" s="613"/>
      <c r="CH52" s="613"/>
      <c r="CI52" s="613"/>
      <c r="CJ52" s="389" t="s">
        <v>390</v>
      </c>
      <c r="CK52" s="391">
        <v>6.1851851851851851</v>
      </c>
      <c r="CL52" s="390">
        <v>27</v>
      </c>
      <c r="CM52" s="795">
        <v>0.48334070138798968</v>
      </c>
      <c r="CN52" s="391">
        <f t="shared" si="21"/>
        <v>0.18518518518518512</v>
      </c>
      <c r="CP52" s="780"/>
      <c r="CQ52" s="780"/>
      <c r="CR52" s="781" t="s">
        <v>414</v>
      </c>
      <c r="CS52" s="782">
        <v>6</v>
      </c>
      <c r="CT52" s="782">
        <f t="shared" si="27"/>
        <v>0</v>
      </c>
      <c r="CU52" s="783">
        <v>1</v>
      </c>
      <c r="CV52" s="782">
        <v>6</v>
      </c>
      <c r="CW52" s="782">
        <f>CV52-6</f>
        <v>0</v>
      </c>
      <c r="CY52" s="63"/>
      <c r="CZ52" s="63"/>
      <c r="DA52" s="37" t="s">
        <v>140</v>
      </c>
      <c r="DB52" s="63">
        <v>19</v>
      </c>
      <c r="DC52" s="694">
        <v>7.1578947368421053</v>
      </c>
      <c r="DD52" s="63">
        <v>6</v>
      </c>
      <c r="DE52" s="694">
        <f t="shared" si="6"/>
        <v>1.1578947368421053</v>
      </c>
      <c r="DF52" s="792">
        <f>AVERAGE(DE50:DE54)</f>
        <v>0.39110275689223073</v>
      </c>
      <c r="DG52" s="37"/>
      <c r="DH52" s="784"/>
      <c r="DI52" s="785"/>
      <c r="DJ52" s="784" t="s">
        <v>414</v>
      </c>
      <c r="DK52" s="786">
        <v>8</v>
      </c>
      <c r="DL52" s="785">
        <v>2</v>
      </c>
      <c r="DM52" s="787">
        <v>6</v>
      </c>
      <c r="DN52" s="786">
        <f>DK52-6</f>
        <v>2</v>
      </c>
    </row>
    <row r="53" spans="1:118">
      <c r="A53" s="5797">
        <v>3</v>
      </c>
      <c r="B53" s="5797">
        <v>2</v>
      </c>
      <c r="C53" s="5796" t="s">
        <v>2083</v>
      </c>
      <c r="D53" s="5798">
        <v>6</v>
      </c>
      <c r="E53" s="5797">
        <v>3</v>
      </c>
      <c r="F53" s="1281">
        <f t="shared" si="17"/>
        <v>0</v>
      </c>
      <c r="G53" s="97">
        <v>6</v>
      </c>
      <c r="I53" s="5034">
        <v>3</v>
      </c>
      <c r="J53" s="5034">
        <v>2</v>
      </c>
      <c r="K53" s="5035" t="s">
        <v>2082</v>
      </c>
      <c r="L53" s="5036">
        <v>10</v>
      </c>
      <c r="M53" s="5034">
        <v>1</v>
      </c>
      <c r="N53" s="1281">
        <f t="shared" si="2"/>
        <v>4</v>
      </c>
      <c r="O53" s="97">
        <v>6</v>
      </c>
      <c r="Q53" s="4561">
        <v>3</v>
      </c>
      <c r="R53" s="4561">
        <v>2</v>
      </c>
      <c r="S53" s="4562" t="s">
        <v>2737</v>
      </c>
      <c r="T53" s="4563">
        <v>8.25</v>
      </c>
      <c r="U53" s="4564">
        <v>5</v>
      </c>
      <c r="V53" s="1281">
        <f t="shared" si="3"/>
        <v>2.25</v>
      </c>
      <c r="W53" s="97">
        <v>6</v>
      </c>
      <c r="Y53" s="36"/>
      <c r="Z53" s="36" t="s">
        <v>41</v>
      </c>
      <c r="AA53" s="36" t="s">
        <v>138</v>
      </c>
      <c r="AB53" s="1346">
        <v>6.27</v>
      </c>
      <c r="AC53" s="95">
        <v>11</v>
      </c>
      <c r="AD53" s="1281">
        <f t="shared" ref="AD53:AD64" si="28">AB53-6</f>
        <v>0.26999999999999957</v>
      </c>
      <c r="AE53" s="97">
        <v>6</v>
      </c>
      <c r="AF53" s="4522"/>
      <c r="AG53" s="36"/>
      <c r="AH53" s="97"/>
      <c r="AI53" s="36" t="s">
        <v>110</v>
      </c>
      <c r="AJ53" s="1346">
        <v>3.14</v>
      </c>
      <c r="AK53" s="95">
        <v>14</v>
      </c>
      <c r="AL53" s="1281">
        <v>-3</v>
      </c>
      <c r="AM53" s="97">
        <v>6</v>
      </c>
      <c r="AQ53" s="39" t="s">
        <v>461</v>
      </c>
      <c r="AR53" s="3518">
        <v>6</v>
      </c>
      <c r="AS53" s="3518">
        <v>1</v>
      </c>
      <c r="AT53" s="3853">
        <f t="shared" si="26"/>
        <v>0</v>
      </c>
      <c r="AU53" s="3518">
        <v>6</v>
      </c>
      <c r="AW53" s="37"/>
      <c r="AX53" s="37"/>
      <c r="AY53" s="37" t="s">
        <v>461</v>
      </c>
      <c r="AZ53" s="694">
        <v>6.57</v>
      </c>
      <c r="BA53" s="63">
        <v>14</v>
      </c>
      <c r="BB53" s="837">
        <f t="shared" si="7"/>
        <v>0.57000000000000028</v>
      </c>
      <c r="BC53" s="2043">
        <v>6</v>
      </c>
      <c r="BE53" s="37"/>
      <c r="BF53" s="37"/>
      <c r="BG53" s="37" t="s">
        <v>1731</v>
      </c>
      <c r="BH53" s="694">
        <v>6</v>
      </c>
      <c r="BI53" s="63">
        <v>5</v>
      </c>
      <c r="BJ53" s="134">
        <f t="shared" si="4"/>
        <v>0</v>
      </c>
      <c r="BL53" s="97"/>
      <c r="BM53" s="97" t="s">
        <v>41</v>
      </c>
      <c r="BN53" s="42" t="s">
        <v>137</v>
      </c>
      <c r="BO53" s="134">
        <v>5.1100000000000003</v>
      </c>
      <c r="BP53" s="97">
        <v>9</v>
      </c>
      <c r="BQ53" s="134">
        <f t="shared" si="8"/>
        <v>-0.88999999999999968</v>
      </c>
      <c r="BR53" s="1"/>
      <c r="BS53" s="1274"/>
      <c r="BT53" s="1274"/>
      <c r="BU53" s="1275" t="s">
        <v>139</v>
      </c>
      <c r="BV53" s="1276">
        <v>5.375</v>
      </c>
      <c r="BW53" s="1277">
        <v>8</v>
      </c>
      <c r="BX53" s="134">
        <f t="shared" si="9"/>
        <v>-0.625</v>
      </c>
      <c r="BZ53" s="774"/>
      <c r="CA53" s="774"/>
      <c r="CB53" s="775" t="s">
        <v>140</v>
      </c>
      <c r="CC53" s="776">
        <v>7.2666666666666675</v>
      </c>
      <c r="CD53" s="777">
        <v>15</v>
      </c>
      <c r="CE53" s="778">
        <f t="shared" si="10"/>
        <v>1.2666666666666675</v>
      </c>
      <c r="CG53" s="613"/>
      <c r="CH53" s="613"/>
      <c r="CI53" s="613"/>
      <c r="CJ53" s="709" t="s">
        <v>726</v>
      </c>
      <c r="CK53" s="394">
        <v>6.2352941176470589</v>
      </c>
      <c r="CL53" s="395">
        <v>51</v>
      </c>
      <c r="CM53" s="802">
        <v>0.55093503406908673</v>
      </c>
      <c r="CN53" s="788">
        <f>+(CL50*CN50+CL51*CN51+CL52*CN52)/CL53</f>
        <v>0.23529411764705876</v>
      </c>
      <c r="CP53" s="780"/>
      <c r="CQ53" s="780"/>
      <c r="CR53" s="781" t="s">
        <v>140</v>
      </c>
      <c r="CS53" s="782">
        <v>8.2000000000000011</v>
      </c>
      <c r="CT53" s="782">
        <f t="shared" si="27"/>
        <v>1.2000000000000011</v>
      </c>
      <c r="CU53" s="783">
        <v>10</v>
      </c>
      <c r="CV53" s="782">
        <v>8.2000000000000011</v>
      </c>
      <c r="CW53" s="782">
        <f>CV53-DD52</f>
        <v>2.2000000000000011</v>
      </c>
      <c r="CY53" s="63"/>
      <c r="CZ53" s="63"/>
      <c r="DA53" s="37" t="s">
        <v>141</v>
      </c>
      <c r="DB53" s="63">
        <v>14</v>
      </c>
      <c r="DC53" s="694">
        <v>6.0714285714285712</v>
      </c>
      <c r="DD53" s="63">
        <v>7</v>
      </c>
      <c r="DE53" s="694">
        <f t="shared" si="6"/>
        <v>-0.92857142857142883</v>
      </c>
      <c r="DF53" s="37"/>
      <c r="DG53" s="37"/>
      <c r="DH53" s="784"/>
      <c r="DI53" s="785"/>
      <c r="DJ53" s="784" t="s">
        <v>140</v>
      </c>
      <c r="DK53" s="786">
        <v>9</v>
      </c>
      <c r="DL53" s="785">
        <v>9</v>
      </c>
      <c r="DM53" s="787">
        <v>6</v>
      </c>
      <c r="DN53" s="786">
        <f>DK53-6</f>
        <v>3</v>
      </c>
    </row>
    <row r="54" spans="1:118">
      <c r="A54" s="5797">
        <v>3</v>
      </c>
      <c r="B54" s="5797">
        <v>2</v>
      </c>
      <c r="C54" s="5796" t="s">
        <v>2737</v>
      </c>
      <c r="D54" s="5798">
        <v>6</v>
      </c>
      <c r="E54" s="5797">
        <v>2</v>
      </c>
      <c r="F54" s="1281">
        <f t="shared" si="17"/>
        <v>0</v>
      </c>
      <c r="G54" s="97">
        <v>6</v>
      </c>
      <c r="I54" s="5034">
        <v>3</v>
      </c>
      <c r="J54" s="5034">
        <v>2</v>
      </c>
      <c r="K54" s="5035" t="s">
        <v>2083</v>
      </c>
      <c r="L54" s="5036">
        <v>6</v>
      </c>
      <c r="M54" s="5034">
        <v>3</v>
      </c>
      <c r="N54" s="1281">
        <f t="shared" si="2"/>
        <v>0</v>
      </c>
      <c r="O54" s="97">
        <v>6</v>
      </c>
      <c r="Q54" s="4561"/>
      <c r="R54" s="4561"/>
      <c r="S54" s="4520" t="s">
        <v>483</v>
      </c>
      <c r="T54" s="4563"/>
      <c r="U54" s="4568">
        <f>SUM(U46:U53)</f>
        <v>52</v>
      </c>
      <c r="V54" s="1675">
        <f>+(U46*V46+U47*V47+U48*V48+U49*V49+U50*V50+U51*V51+U52*V52+U53*V53)/U54</f>
        <v>-0.50801282051282048</v>
      </c>
      <c r="Y54" s="36"/>
      <c r="Z54" s="36"/>
      <c r="AA54" s="36" t="s">
        <v>2532</v>
      </c>
      <c r="AB54" s="1346">
        <v>5.33</v>
      </c>
      <c r="AC54" s="95">
        <v>3</v>
      </c>
      <c r="AD54" s="1281">
        <f t="shared" si="28"/>
        <v>-0.66999999999999993</v>
      </c>
      <c r="AE54" s="97">
        <v>6</v>
      </c>
      <c r="AF54" s="4522"/>
      <c r="AG54" s="36"/>
      <c r="AH54" s="97"/>
      <c r="AI54" s="36" t="s">
        <v>461</v>
      </c>
      <c r="AJ54" s="1346">
        <v>6.5</v>
      </c>
      <c r="AK54" s="95">
        <v>2</v>
      </c>
      <c r="AL54" s="1281">
        <v>0</v>
      </c>
      <c r="AM54" s="97">
        <v>6</v>
      </c>
      <c r="AQ54" s="39" t="s">
        <v>529</v>
      </c>
      <c r="AR54" s="3518">
        <v>6</v>
      </c>
      <c r="AS54" s="3518">
        <v>4</v>
      </c>
      <c r="AT54" s="3853">
        <f t="shared" si="26"/>
        <v>0</v>
      </c>
      <c r="AU54" s="3518">
        <v>6</v>
      </c>
      <c r="AW54" s="37"/>
      <c r="AX54" s="37"/>
      <c r="AY54" s="37" t="s">
        <v>529</v>
      </c>
      <c r="AZ54" s="694">
        <v>6</v>
      </c>
      <c r="BA54" s="63">
        <v>9</v>
      </c>
      <c r="BB54" s="837">
        <f t="shared" si="7"/>
        <v>0</v>
      </c>
      <c r="BC54" s="2043">
        <v>6</v>
      </c>
      <c r="BE54" s="37"/>
      <c r="BF54" s="37"/>
      <c r="BG54" s="416" t="s">
        <v>483</v>
      </c>
      <c r="BH54" s="707">
        <v>5.89</v>
      </c>
      <c r="BI54" s="386">
        <v>71</v>
      </c>
      <c r="BJ54" s="800">
        <f>+(BI47*BJ47+BI48*BJ48+BI49*BJ49+BI50*BJ50+BI51*BJ51+BI52*BJ52+BI53*BJ53)/BI54</f>
        <v>-0.11169014084507047</v>
      </c>
      <c r="BL54" s="97"/>
      <c r="BM54" s="97"/>
      <c r="BN54" s="42" t="s">
        <v>138</v>
      </c>
      <c r="BO54" s="134">
        <v>6.6</v>
      </c>
      <c r="BP54" s="97">
        <v>10</v>
      </c>
      <c r="BQ54" s="134">
        <f t="shared" si="8"/>
        <v>0.59999999999999964</v>
      </c>
      <c r="BR54" s="1"/>
      <c r="BS54" s="1274"/>
      <c r="BT54" s="1274"/>
      <c r="BU54" s="1275" t="s">
        <v>140</v>
      </c>
      <c r="BV54" s="1276">
        <v>7.916666666666667</v>
      </c>
      <c r="BW54" s="1277">
        <v>12</v>
      </c>
      <c r="BX54" s="134">
        <f t="shared" si="9"/>
        <v>1.916666666666667</v>
      </c>
      <c r="BZ54" s="774"/>
      <c r="CA54" s="774"/>
      <c r="CB54" s="775" t="s">
        <v>141</v>
      </c>
      <c r="CC54" s="776">
        <v>6.7272727272727275</v>
      </c>
      <c r="CD54" s="777">
        <v>22</v>
      </c>
      <c r="CE54" s="778">
        <f t="shared" si="10"/>
        <v>0.72727272727272751</v>
      </c>
      <c r="CG54" s="613"/>
      <c r="CH54" s="613"/>
      <c r="CI54" s="613"/>
      <c r="CJ54" s="803" t="s">
        <v>412</v>
      </c>
      <c r="CK54" s="804">
        <v>6.2277777777777779</v>
      </c>
      <c r="CL54" s="805">
        <v>180</v>
      </c>
      <c r="CM54" s="806">
        <v>1.6573201615678153</v>
      </c>
      <c r="CN54" s="807">
        <f>+(CL42*CN42+CL49*CN49+CL53*CN53)/CL54</f>
        <v>0.28888888888888914</v>
      </c>
      <c r="CP54" s="780"/>
      <c r="CQ54" s="780"/>
      <c r="CR54" s="781" t="s">
        <v>141</v>
      </c>
      <c r="CS54" s="782">
        <v>7.166666666666667</v>
      </c>
      <c r="CT54" s="782">
        <f t="shared" si="27"/>
        <v>1.166666666666667</v>
      </c>
      <c r="CU54" s="783">
        <v>6</v>
      </c>
      <c r="CV54" s="782">
        <v>9.5</v>
      </c>
      <c r="CW54" s="782">
        <f>CV54-DD53</f>
        <v>2.5</v>
      </c>
      <c r="CY54" s="63"/>
      <c r="CZ54" s="63"/>
      <c r="DA54" s="37" t="s">
        <v>111</v>
      </c>
      <c r="DB54" s="63">
        <v>4</v>
      </c>
      <c r="DC54" s="694">
        <f>3.75+3</f>
        <v>6.75</v>
      </c>
      <c r="DD54" s="63">
        <v>6</v>
      </c>
      <c r="DE54" s="694">
        <f t="shared" si="6"/>
        <v>0.75</v>
      </c>
      <c r="DF54" s="37"/>
      <c r="DG54" s="37"/>
      <c r="DH54" s="784"/>
      <c r="DI54" s="785"/>
      <c r="DJ54" s="784" t="s">
        <v>141</v>
      </c>
      <c r="DK54" s="786">
        <v>6.5714285714285721</v>
      </c>
      <c r="DL54" s="785">
        <v>14</v>
      </c>
      <c r="DM54" s="787">
        <v>7</v>
      </c>
      <c r="DN54" s="786">
        <f>DK54-7</f>
        <v>-0.42857142857142794</v>
      </c>
    </row>
    <row r="55" spans="1:118">
      <c r="A55" s="5797">
        <v>3</v>
      </c>
      <c r="B55" s="5797">
        <v>2</v>
      </c>
      <c r="C55" s="5796" t="s">
        <v>2058</v>
      </c>
      <c r="D55" s="5798">
        <v>8</v>
      </c>
      <c r="E55" s="5797">
        <v>1</v>
      </c>
      <c r="F55" s="1281">
        <f t="shared" si="17"/>
        <v>2</v>
      </c>
      <c r="G55" s="97">
        <v>6</v>
      </c>
      <c r="I55" s="5034">
        <v>3</v>
      </c>
      <c r="J55" s="5034">
        <v>2</v>
      </c>
      <c r="K55" s="5035" t="s">
        <v>2737</v>
      </c>
      <c r="L55" s="5036">
        <v>6</v>
      </c>
      <c r="M55" s="5034">
        <v>2</v>
      </c>
      <c r="N55" s="1281">
        <f t="shared" si="2"/>
        <v>0</v>
      </c>
      <c r="O55" s="97">
        <v>6</v>
      </c>
      <c r="Q55" s="4561">
        <v>3</v>
      </c>
      <c r="R55" s="4561">
        <v>3</v>
      </c>
      <c r="S55" s="4562" t="s">
        <v>2740</v>
      </c>
      <c r="T55" s="4563">
        <v>7.5</v>
      </c>
      <c r="U55" s="4564">
        <v>2</v>
      </c>
      <c r="V55" s="1281">
        <f t="shared" si="3"/>
        <v>1.5</v>
      </c>
      <c r="W55" s="97">
        <v>6</v>
      </c>
      <c r="Y55" s="36"/>
      <c r="Z55" s="36"/>
      <c r="AA55" s="36" t="s">
        <v>140</v>
      </c>
      <c r="AB55" s="1346">
        <v>7</v>
      </c>
      <c r="AC55" s="95">
        <v>2</v>
      </c>
      <c r="AD55" s="1281">
        <f t="shared" si="28"/>
        <v>1</v>
      </c>
      <c r="AE55" s="97">
        <v>6</v>
      </c>
      <c r="AF55" s="4522"/>
      <c r="AG55" s="36"/>
      <c r="AH55" s="97"/>
      <c r="AI55" s="36" t="s">
        <v>529</v>
      </c>
      <c r="AJ55" s="1346">
        <v>6</v>
      </c>
      <c r="AK55" s="95">
        <v>5</v>
      </c>
      <c r="AL55" s="1281">
        <v>0</v>
      </c>
      <c r="AM55" s="97">
        <v>6</v>
      </c>
      <c r="AQ55" s="39" t="s">
        <v>1731</v>
      </c>
      <c r="AR55" s="3518">
        <v>6</v>
      </c>
      <c r="AS55" s="3518">
        <v>3</v>
      </c>
      <c r="AT55" s="3853">
        <f t="shared" si="26"/>
        <v>0</v>
      </c>
      <c r="AU55" s="3518">
        <v>6</v>
      </c>
      <c r="AW55" s="37"/>
      <c r="AX55" s="37"/>
      <c r="AY55" s="37" t="s">
        <v>1731</v>
      </c>
      <c r="AZ55" s="694">
        <v>6.24</v>
      </c>
      <c r="BA55" s="63">
        <v>17</v>
      </c>
      <c r="BB55" s="837">
        <f t="shared" si="7"/>
        <v>0.24000000000000021</v>
      </c>
      <c r="BC55" s="2043">
        <v>6</v>
      </c>
      <c r="BE55" s="37"/>
      <c r="BF55" s="37" t="s">
        <v>41</v>
      </c>
      <c r="BG55" s="37" t="s">
        <v>137</v>
      </c>
      <c r="BH55" s="694">
        <v>6.33</v>
      </c>
      <c r="BI55" s="63">
        <v>9</v>
      </c>
      <c r="BJ55" s="134">
        <f t="shared" si="4"/>
        <v>0.33000000000000007</v>
      </c>
      <c r="BL55" s="97"/>
      <c r="BM55" s="97"/>
      <c r="BN55" s="42" t="s">
        <v>414</v>
      </c>
      <c r="BO55" s="134">
        <v>6</v>
      </c>
      <c r="BP55" s="97">
        <v>1</v>
      </c>
      <c r="BQ55" s="134">
        <f t="shared" si="8"/>
        <v>0</v>
      </c>
      <c r="BR55" s="1"/>
      <c r="BS55" s="1274"/>
      <c r="BT55" s="1274"/>
      <c r="BU55" s="1275" t="s">
        <v>141</v>
      </c>
      <c r="BV55" s="1276">
        <v>7.3</v>
      </c>
      <c r="BW55" s="1277">
        <v>20</v>
      </c>
      <c r="BX55" s="134">
        <f t="shared" si="9"/>
        <v>1.2999999999999998</v>
      </c>
      <c r="BZ55" s="774"/>
      <c r="CA55" s="774"/>
      <c r="CB55" s="797" t="s">
        <v>485</v>
      </c>
      <c r="CC55" s="798">
        <v>6.784313725490196</v>
      </c>
      <c r="CD55" s="799">
        <v>51</v>
      </c>
      <c r="CE55" s="800">
        <f>+(CD49*CE49+CD50*CE50+CD51*CE51+CD52*CE52+CD53*CE53+CD54*CE54)/CD55</f>
        <v>0.76470588235294157</v>
      </c>
      <c r="CG55" s="613"/>
      <c r="CH55" s="613" t="s">
        <v>59</v>
      </c>
      <c r="CI55" s="613" t="s">
        <v>16</v>
      </c>
      <c r="CJ55" s="389" t="s">
        <v>608</v>
      </c>
      <c r="CK55" s="391">
        <v>6.3000000000000007</v>
      </c>
      <c r="CL55" s="390">
        <v>10</v>
      </c>
      <c r="CM55" s="795">
        <v>0.48304589153964789</v>
      </c>
      <c r="CN55" s="391">
        <f t="shared" si="21"/>
        <v>0.30000000000000071</v>
      </c>
      <c r="CP55" s="780"/>
      <c r="CQ55" s="780"/>
      <c r="CR55" s="789" t="s">
        <v>485</v>
      </c>
      <c r="CS55" s="788">
        <v>7</v>
      </c>
      <c r="CT55" s="788">
        <f>+(CU49*CT49+CU50*CT50+CU51*CT51+CU52*CT52+CU53*CT53+CU54*CT54)/CU55</f>
        <v>0.72727272727272774</v>
      </c>
      <c r="CU55" s="790">
        <v>33</v>
      </c>
      <c r="CV55" s="788">
        <v>7.6060606060606064</v>
      </c>
      <c r="CW55" s="788">
        <f>+(CU49*CW49+CU50*CW50+CU51*CW51+CU52*CW52+CU53*CW53+CU54*CW54)/CU55</f>
        <v>1.2727272727272732</v>
      </c>
      <c r="CY55" s="63"/>
      <c r="CZ55" s="63"/>
      <c r="DA55" s="416" t="s">
        <v>15</v>
      </c>
      <c r="DB55" s="386">
        <v>62</v>
      </c>
      <c r="DC55" s="707">
        <v>6.887096774193548</v>
      </c>
      <c r="DD55" s="386"/>
      <c r="DE55" s="707">
        <f>+(DB50*DE50+DB51*DE51+DB52*DE52+DB53*DE53+DB54*DE54)/DB55</f>
        <v>0.38709677419354865</v>
      </c>
      <c r="DF55" s="792">
        <f>AVERAGE(DE57:DE58)</f>
        <v>0.29864253393665141</v>
      </c>
      <c r="DG55" s="37"/>
      <c r="DH55" s="784"/>
      <c r="DI55" s="785"/>
      <c r="DJ55" s="785" t="s">
        <v>15</v>
      </c>
      <c r="DK55" s="786">
        <v>8.8620689655172384</v>
      </c>
      <c r="DL55" s="785">
        <v>58</v>
      </c>
      <c r="DM55" s="787"/>
      <c r="DN55" s="794">
        <f>AVERAGE(DN49:DN54)</f>
        <v>2.8684704184704191</v>
      </c>
    </row>
    <row r="56" spans="1:118">
      <c r="A56" s="5797"/>
      <c r="B56" s="5797"/>
      <c r="C56" s="5799" t="s">
        <v>16</v>
      </c>
      <c r="D56" s="5798"/>
      <c r="E56" s="5799">
        <f>SUM(E45:E55)</f>
        <v>57</v>
      </c>
      <c r="F56" s="1675">
        <f>+(E45*F45+E46*F46+E47*F47+E48*F48+E49*F49+E50*F50+E51*F51+E52*F52+E53*F53+E54*F54+E55*F55)/E56</f>
        <v>0.3513157894736843</v>
      </c>
      <c r="G56" s="97"/>
      <c r="I56" s="5034">
        <v>3</v>
      </c>
      <c r="J56" s="5034">
        <v>2</v>
      </c>
      <c r="K56" s="5035" t="s">
        <v>2058</v>
      </c>
      <c r="L56" s="5036">
        <v>8</v>
      </c>
      <c r="M56" s="5034">
        <v>1</v>
      </c>
      <c r="N56" s="1281">
        <f t="shared" si="2"/>
        <v>2</v>
      </c>
      <c r="O56" s="97">
        <v>6</v>
      </c>
      <c r="Q56" s="4561">
        <v>3</v>
      </c>
      <c r="R56" s="4561">
        <v>3</v>
      </c>
      <c r="S56" s="4562" t="s">
        <v>292</v>
      </c>
      <c r="T56" s="4563">
        <v>6.6875</v>
      </c>
      <c r="U56" s="4564">
        <v>9</v>
      </c>
      <c r="V56" s="1281">
        <f t="shared" si="3"/>
        <v>0.6875</v>
      </c>
      <c r="W56" s="97">
        <v>6</v>
      </c>
      <c r="Y56" s="36"/>
      <c r="Z56" s="36"/>
      <c r="AA56" s="36" t="s">
        <v>141</v>
      </c>
      <c r="AB56" s="1346">
        <v>6.67</v>
      </c>
      <c r="AC56" s="95">
        <v>6</v>
      </c>
      <c r="AD56" s="1281">
        <f t="shared" si="28"/>
        <v>0.66999999999999993</v>
      </c>
      <c r="AE56" s="97">
        <v>6</v>
      </c>
      <c r="AF56" s="4522"/>
      <c r="AG56" s="36"/>
      <c r="AH56" s="97"/>
      <c r="AI56" s="36" t="s">
        <v>1731</v>
      </c>
      <c r="AJ56" s="1346">
        <v>6</v>
      </c>
      <c r="AK56" s="95">
        <v>3</v>
      </c>
      <c r="AL56" s="1281">
        <f>AJ56-6</f>
        <v>0</v>
      </c>
      <c r="AM56" s="97">
        <v>6</v>
      </c>
      <c r="AQ56" s="39" t="s">
        <v>2058</v>
      </c>
      <c r="AR56" s="3518">
        <v>7</v>
      </c>
      <c r="AS56" s="3518">
        <v>2</v>
      </c>
      <c r="AT56" s="3853">
        <f t="shared" si="26"/>
        <v>1</v>
      </c>
      <c r="AU56" s="3518">
        <v>6</v>
      </c>
      <c r="AW56" s="37"/>
      <c r="AX56" s="37"/>
      <c r="AY56" s="37" t="s">
        <v>2058</v>
      </c>
      <c r="AZ56" s="694">
        <v>6</v>
      </c>
      <c r="BA56" s="63">
        <v>1</v>
      </c>
      <c r="BB56" s="837">
        <f t="shared" si="7"/>
        <v>0</v>
      </c>
      <c r="BC56" s="2043">
        <v>6</v>
      </c>
      <c r="BE56" s="37"/>
      <c r="BF56" s="37"/>
      <c r="BG56" s="37" t="s">
        <v>138</v>
      </c>
      <c r="BH56" s="694">
        <v>6.23</v>
      </c>
      <c r="BI56" s="63">
        <v>13</v>
      </c>
      <c r="BJ56" s="134">
        <f t="shared" si="4"/>
        <v>0.23000000000000043</v>
      </c>
      <c r="BL56" s="97"/>
      <c r="BM56" s="97"/>
      <c r="BN56" s="42" t="s">
        <v>140</v>
      </c>
      <c r="BO56" s="134">
        <v>6.92</v>
      </c>
      <c r="BP56" s="97">
        <v>12</v>
      </c>
      <c r="BQ56" s="134">
        <f t="shared" si="8"/>
        <v>0.91999999999999993</v>
      </c>
      <c r="BR56" s="1"/>
      <c r="BS56" s="1274"/>
      <c r="BT56" s="1274"/>
      <c r="BU56" s="1275" t="s">
        <v>709</v>
      </c>
      <c r="BV56" s="1276">
        <v>4</v>
      </c>
      <c r="BW56" s="1277">
        <v>5</v>
      </c>
      <c r="BX56" s="134">
        <f t="shared" si="9"/>
        <v>-2</v>
      </c>
      <c r="BZ56" s="774"/>
      <c r="CA56" s="774" t="s">
        <v>103</v>
      </c>
      <c r="CB56" s="775" t="s">
        <v>142</v>
      </c>
      <c r="CC56" s="776">
        <v>6</v>
      </c>
      <c r="CD56" s="777">
        <v>19</v>
      </c>
      <c r="CE56" s="778">
        <f t="shared" si="10"/>
        <v>0</v>
      </c>
      <c r="CG56" s="613"/>
      <c r="CH56" s="613"/>
      <c r="CI56" s="613"/>
      <c r="CJ56" s="709" t="s">
        <v>483</v>
      </c>
      <c r="CK56" s="394">
        <v>6.3000000000000007</v>
      </c>
      <c r="CL56" s="395">
        <v>10</v>
      </c>
      <c r="CM56" s="802">
        <v>0.48304589153964789</v>
      </c>
      <c r="CN56" s="788">
        <f>+(CL55*CN55)/CL56</f>
        <v>0.30000000000000071</v>
      </c>
      <c r="CP56" s="780"/>
      <c r="CY56" s="63"/>
      <c r="CZ56" s="63"/>
      <c r="DA56" s="37"/>
      <c r="DB56" s="37"/>
      <c r="DC56" s="37"/>
      <c r="DD56" s="37"/>
      <c r="DE56" s="37"/>
      <c r="DF56" s="37"/>
      <c r="DG56" s="37"/>
      <c r="DH56" s="784"/>
      <c r="DI56" s="785" t="s">
        <v>103</v>
      </c>
      <c r="DJ56" s="784" t="s">
        <v>142</v>
      </c>
      <c r="DK56" s="786">
        <v>6.375</v>
      </c>
      <c r="DL56" s="785">
        <v>16</v>
      </c>
      <c r="DM56" s="787">
        <v>6</v>
      </c>
      <c r="DN56" s="786">
        <f>DK56-6</f>
        <v>0.375</v>
      </c>
    </row>
    <row r="57" spans="1:118">
      <c r="A57" s="5797">
        <v>3</v>
      </c>
      <c r="B57" s="5797">
        <v>3</v>
      </c>
      <c r="C57" s="5796" t="s">
        <v>2740</v>
      </c>
      <c r="D57" s="5798">
        <v>8</v>
      </c>
      <c r="E57" s="5797">
        <v>8</v>
      </c>
      <c r="F57" s="1281">
        <f t="shared" si="17"/>
        <v>2</v>
      </c>
      <c r="G57" s="97">
        <v>6</v>
      </c>
      <c r="I57" s="5034"/>
      <c r="J57" s="5034"/>
      <c r="K57" s="4884" t="s">
        <v>483</v>
      </c>
      <c r="L57" s="5036"/>
      <c r="M57" s="5037">
        <f>SUM(M46:M56)</f>
        <v>56</v>
      </c>
      <c r="N57" s="1675">
        <f>+(M46*N46+M47*N47+M48*N48+M49*N49+M50*N50+M51*N51+M52*N52+M53*N53+M54*N54+M55*N55+M56*N56)/M57</f>
        <v>0.22544642857142858</v>
      </c>
      <c r="O57" s="97"/>
      <c r="Q57" s="4561">
        <v>3</v>
      </c>
      <c r="R57" s="4561">
        <v>3</v>
      </c>
      <c r="S57" s="4562" t="s">
        <v>446</v>
      </c>
      <c r="T57" s="4563">
        <v>5.25</v>
      </c>
      <c r="U57" s="4564">
        <v>5</v>
      </c>
      <c r="V57" s="1281">
        <f t="shared" si="3"/>
        <v>-0.75</v>
      </c>
      <c r="W57" s="97">
        <v>6</v>
      </c>
      <c r="Y57" s="36"/>
      <c r="Z57" s="36"/>
      <c r="AA57" s="36" t="s">
        <v>1732</v>
      </c>
      <c r="AB57" s="1346">
        <v>7.67</v>
      </c>
      <c r="AC57" s="95">
        <v>3</v>
      </c>
      <c r="AD57" s="1281">
        <f t="shared" si="28"/>
        <v>1.67</v>
      </c>
      <c r="AE57" s="97">
        <v>6</v>
      </c>
      <c r="AF57" s="4522"/>
      <c r="AG57" s="36"/>
      <c r="AH57" s="97"/>
      <c r="AI57" s="36" t="s">
        <v>2058</v>
      </c>
      <c r="AJ57" s="1346">
        <v>7</v>
      </c>
      <c r="AK57" s="95">
        <v>2</v>
      </c>
      <c r="AL57" s="1281">
        <f>AJ57-6</f>
        <v>1</v>
      </c>
      <c r="AM57" s="97">
        <v>6</v>
      </c>
      <c r="AQ57" s="39" t="s">
        <v>2061</v>
      </c>
      <c r="AR57" s="3518">
        <v>6</v>
      </c>
      <c r="AS57" s="3518">
        <v>7</v>
      </c>
      <c r="AT57" s="3853">
        <f t="shared" si="26"/>
        <v>0</v>
      </c>
      <c r="AU57" s="3518">
        <v>6</v>
      </c>
      <c r="AW57" s="37"/>
      <c r="AX57" s="37"/>
      <c r="AY57" s="416" t="s">
        <v>483</v>
      </c>
      <c r="AZ57" s="707">
        <v>6.31</v>
      </c>
      <c r="BA57" s="2040">
        <v>98</v>
      </c>
      <c r="BB57" s="800">
        <f>+(BA47*BB47+BA48*BB48+BA49*BB49+BA50*BB50+BA51*BB51+BA52*BB52+BA53*BB53+BA54*BB54+BA55*BB55+BA56*BB56)/BA57</f>
        <v>0.30836734693877543</v>
      </c>
      <c r="BC57" s="2043"/>
      <c r="BE57" s="37"/>
      <c r="BF57" s="37"/>
      <c r="BG57" s="37" t="s">
        <v>139</v>
      </c>
      <c r="BH57" s="694">
        <v>5.69</v>
      </c>
      <c r="BI57" s="63">
        <v>13</v>
      </c>
      <c r="BJ57" s="134">
        <f t="shared" si="4"/>
        <v>-0.30999999999999961</v>
      </c>
      <c r="BL57" s="97"/>
      <c r="BM57" s="97"/>
      <c r="BN57" s="42" t="s">
        <v>141</v>
      </c>
      <c r="BO57" s="134">
        <v>6.53</v>
      </c>
      <c r="BP57" s="97">
        <v>17</v>
      </c>
      <c r="BQ57" s="134">
        <f t="shared" si="8"/>
        <v>0.53000000000000025</v>
      </c>
      <c r="BR57" s="1"/>
      <c r="BS57" s="1274"/>
      <c r="BT57" s="1274"/>
      <c r="BU57" s="1278" t="s">
        <v>485</v>
      </c>
      <c r="BV57" s="1279">
        <v>6.4516129032258061</v>
      </c>
      <c r="BW57" s="1280">
        <v>62</v>
      </c>
      <c r="BX57" s="800">
        <f>+(BW51*BX51+BW52*BX52+BW53*BX53+BW54*BX54+BW55*BX55+BW56*BX56)/BW57</f>
        <v>0.45161290322580644</v>
      </c>
      <c r="BZ57" s="774"/>
      <c r="CA57" s="774"/>
      <c r="CB57" s="775" t="s">
        <v>389</v>
      </c>
      <c r="CC57" s="776">
        <v>7</v>
      </c>
      <c r="CD57" s="777">
        <v>1</v>
      </c>
      <c r="CE57" s="778">
        <f t="shared" si="10"/>
        <v>1</v>
      </c>
      <c r="CG57" s="613"/>
      <c r="CH57" s="613"/>
      <c r="CI57" s="613"/>
      <c r="CJ57" s="803" t="s">
        <v>256</v>
      </c>
      <c r="CK57" s="804">
        <v>6.3000000000000007</v>
      </c>
      <c r="CL57" s="805">
        <v>10</v>
      </c>
      <c r="CM57" s="825">
        <v>0.48304589153964789</v>
      </c>
      <c r="CN57" s="807">
        <f>+(CL56*CN56)/CL57</f>
        <v>0.30000000000000071</v>
      </c>
      <c r="CP57" s="780"/>
      <c r="CQ57" s="780" t="s">
        <v>103</v>
      </c>
      <c r="CR57" s="781" t="s">
        <v>142</v>
      </c>
      <c r="CS57" s="782">
        <v>6</v>
      </c>
      <c r="CT57" s="782">
        <f>CS57-DD57</f>
        <v>0</v>
      </c>
      <c r="CU57" s="783">
        <v>12</v>
      </c>
      <c r="CV57" s="782">
        <v>6</v>
      </c>
      <c r="CW57" s="782">
        <f>CV57-DD57</f>
        <v>0</v>
      </c>
      <c r="CY57" s="63"/>
      <c r="CZ57" s="63" t="s">
        <v>103</v>
      </c>
      <c r="DA57" s="37" t="s">
        <v>142</v>
      </c>
      <c r="DB57" s="63">
        <v>17</v>
      </c>
      <c r="DC57" s="694">
        <v>6.0588235294117645</v>
      </c>
      <c r="DD57" s="63">
        <v>6</v>
      </c>
      <c r="DE57" s="694">
        <f t="shared" si="6"/>
        <v>5.8823529411764497E-2</v>
      </c>
      <c r="DF57" s="37"/>
      <c r="DG57" s="37"/>
      <c r="DH57" s="784"/>
      <c r="DI57" s="785"/>
      <c r="DJ57" s="785" t="s">
        <v>15</v>
      </c>
      <c r="DK57" s="786">
        <v>6.375</v>
      </c>
      <c r="DL57" s="785">
        <v>16</v>
      </c>
      <c r="DM57" s="787"/>
      <c r="DN57" s="794">
        <f>DK57-6</f>
        <v>0.375</v>
      </c>
    </row>
    <row r="58" spans="1:118" ht="15" thickBot="1">
      <c r="A58" s="5797">
        <v>3</v>
      </c>
      <c r="B58" s="5797">
        <v>3</v>
      </c>
      <c r="C58" s="5796" t="s">
        <v>292</v>
      </c>
      <c r="D58" s="5798">
        <v>9.0428571428571445</v>
      </c>
      <c r="E58" s="5797">
        <v>12</v>
      </c>
      <c r="F58" s="1281">
        <f t="shared" si="17"/>
        <v>3.0428571428571445</v>
      </c>
      <c r="G58" s="97">
        <v>6</v>
      </c>
      <c r="I58" s="5034">
        <v>3</v>
      </c>
      <c r="J58" s="5034">
        <v>3</v>
      </c>
      <c r="K58" s="5035" t="s">
        <v>2740</v>
      </c>
      <c r="L58" s="5036">
        <v>8</v>
      </c>
      <c r="M58" s="5034">
        <v>8</v>
      </c>
      <c r="N58" s="1281">
        <f t="shared" si="2"/>
        <v>2</v>
      </c>
      <c r="O58" s="97">
        <v>6</v>
      </c>
      <c r="Q58" s="4561">
        <v>3</v>
      </c>
      <c r="R58" s="4561">
        <v>3</v>
      </c>
      <c r="S58" s="4562" t="s">
        <v>295</v>
      </c>
      <c r="T58" s="4563">
        <v>7</v>
      </c>
      <c r="U58" s="4564">
        <v>2</v>
      </c>
      <c r="V58" s="1281">
        <f t="shared" si="3"/>
        <v>1</v>
      </c>
      <c r="W58" s="97">
        <v>6</v>
      </c>
      <c r="Y58" s="36"/>
      <c r="Z58" s="36"/>
      <c r="AA58" s="36" t="s">
        <v>709</v>
      </c>
      <c r="AB58" s="1346">
        <v>6</v>
      </c>
      <c r="AC58" s="95">
        <v>4</v>
      </c>
      <c r="AD58" s="1281">
        <f t="shared" si="28"/>
        <v>0</v>
      </c>
      <c r="AE58" s="97">
        <v>6</v>
      </c>
      <c r="AF58" s="4522"/>
      <c r="AG58" s="36"/>
      <c r="AH58" s="97"/>
      <c r="AI58" s="36" t="s">
        <v>2061</v>
      </c>
      <c r="AJ58" s="1346">
        <v>6</v>
      </c>
      <c r="AK58" s="95">
        <v>8</v>
      </c>
      <c r="AL58" s="1281">
        <f>AJ58-6</f>
        <v>0</v>
      </c>
      <c r="AM58" s="97">
        <v>6</v>
      </c>
      <c r="AQ58" s="3814" t="s">
        <v>483</v>
      </c>
      <c r="AR58" s="3816">
        <v>6.28</v>
      </c>
      <c r="AS58" s="3816">
        <v>60</v>
      </c>
      <c r="AT58" s="3844">
        <f>+(AS48*AT48+AS49*AT49+AS50*AT50+AS51*AT51+AS52*AT52+AS53*AT53+AS54*AT54+AS55*AT55+AS56*AT56+AS57*AT57)/AS58</f>
        <v>0.28416666666666662</v>
      </c>
      <c r="AU58" s="3518"/>
      <c r="AW58" s="37"/>
      <c r="AX58" s="37" t="s">
        <v>41</v>
      </c>
      <c r="AY58" s="37" t="s">
        <v>138</v>
      </c>
      <c r="AZ58" s="694">
        <v>6.67</v>
      </c>
      <c r="BA58" s="63">
        <v>15</v>
      </c>
      <c r="BB58" s="837">
        <f t="shared" si="7"/>
        <v>-0.33000000000000007</v>
      </c>
      <c r="BC58" s="2043">
        <v>7</v>
      </c>
      <c r="BE58" s="37"/>
      <c r="BF58" s="37"/>
      <c r="BG58" s="37" t="s">
        <v>414</v>
      </c>
      <c r="BH58" s="694">
        <v>6</v>
      </c>
      <c r="BI58" s="63">
        <v>4</v>
      </c>
      <c r="BJ58" s="134">
        <f t="shared" si="4"/>
        <v>0</v>
      </c>
      <c r="BL58" s="97"/>
      <c r="BM58" s="97"/>
      <c r="BN58" s="42" t="s">
        <v>1732</v>
      </c>
      <c r="BO58" s="134">
        <v>6</v>
      </c>
      <c r="BP58" s="97">
        <v>3</v>
      </c>
      <c r="BQ58" s="134">
        <f t="shared" si="8"/>
        <v>0</v>
      </c>
      <c r="BR58" s="1"/>
      <c r="BS58" s="1274"/>
      <c r="BT58" s="1274" t="s">
        <v>103</v>
      </c>
      <c r="BU58" s="1275" t="s">
        <v>142</v>
      </c>
      <c r="BV58" s="1276">
        <v>6.0526315789473681</v>
      </c>
      <c r="BW58" s="1277">
        <v>19</v>
      </c>
      <c r="BX58" s="134">
        <f t="shared" si="9"/>
        <v>5.2631578947368141E-2</v>
      </c>
      <c r="BZ58" s="774"/>
      <c r="CA58" s="774"/>
      <c r="CB58" s="775" t="s">
        <v>390</v>
      </c>
      <c r="CC58" s="776">
        <v>6</v>
      </c>
      <c r="CD58" s="777">
        <v>3</v>
      </c>
      <c r="CE58" s="778">
        <f t="shared" si="10"/>
        <v>0</v>
      </c>
      <c r="CG58" s="637"/>
      <c r="CH58" s="637"/>
      <c r="CI58" s="637"/>
      <c r="CJ58" s="719" t="s">
        <v>112</v>
      </c>
      <c r="CK58" s="400">
        <v>6.9778270509977807</v>
      </c>
      <c r="CL58" s="399">
        <v>451</v>
      </c>
      <c r="CM58" s="720">
        <v>2.0098525487706675</v>
      </c>
      <c r="CN58" s="826">
        <f>+(CL16*CN16+CL33*CN33+CL54*CN54+CL57*CN57)/CL58</f>
        <v>1.266075388026608</v>
      </c>
      <c r="CP58" s="780"/>
      <c r="CQ58" s="780"/>
      <c r="CR58" s="781" t="s">
        <v>390</v>
      </c>
      <c r="CS58" s="782">
        <v>6</v>
      </c>
      <c r="CT58" s="782">
        <f>CS58-DD58</f>
        <v>0</v>
      </c>
      <c r="CU58" s="783">
        <v>2</v>
      </c>
      <c r="CV58" s="782">
        <v>6</v>
      </c>
      <c r="CW58" s="782">
        <f>CV58-DD58</f>
        <v>0</v>
      </c>
      <c r="CY58" s="63"/>
      <c r="CZ58" s="63"/>
      <c r="DA58" s="37" t="s">
        <v>389</v>
      </c>
      <c r="DB58" s="63">
        <v>13</v>
      </c>
      <c r="DC58" s="694">
        <v>6.5384615384615383</v>
      </c>
      <c r="DD58" s="63">
        <v>6</v>
      </c>
      <c r="DE58" s="694">
        <f t="shared" si="6"/>
        <v>0.53846153846153832</v>
      </c>
      <c r="DF58" s="37"/>
      <c r="DG58" s="37"/>
      <c r="DH58" s="784"/>
      <c r="DI58" s="785"/>
      <c r="DJ58" s="827" t="s">
        <v>412</v>
      </c>
      <c r="DK58" s="828">
        <v>7.3631578947368457</v>
      </c>
      <c r="DL58" s="829">
        <v>190</v>
      </c>
      <c r="DM58" s="787"/>
      <c r="DN58" s="828">
        <f>AVERAGE(DN46,DN55,DN57)</f>
        <v>1.6427991320848463</v>
      </c>
    </row>
    <row r="59" spans="1:118" ht="15" thickBot="1">
      <c r="A59" s="5797">
        <v>3</v>
      </c>
      <c r="B59" s="5797">
        <v>3</v>
      </c>
      <c r="C59" s="5796" t="s">
        <v>2086</v>
      </c>
      <c r="D59" s="5798">
        <v>5.25</v>
      </c>
      <c r="E59" s="5797">
        <v>4</v>
      </c>
      <c r="F59" s="1281">
        <f t="shared" si="17"/>
        <v>-0.75</v>
      </c>
      <c r="G59" s="97">
        <v>6</v>
      </c>
      <c r="I59" s="5034">
        <v>3</v>
      </c>
      <c r="J59" s="5034">
        <v>3</v>
      </c>
      <c r="K59" s="5035" t="s">
        <v>292</v>
      </c>
      <c r="L59" s="5036">
        <v>9</v>
      </c>
      <c r="M59" s="5034">
        <v>11</v>
      </c>
      <c r="N59" s="1281">
        <f t="shared" si="2"/>
        <v>3</v>
      </c>
      <c r="O59" s="97">
        <v>6</v>
      </c>
      <c r="Q59" s="4561">
        <v>3</v>
      </c>
      <c r="R59" s="4561">
        <v>3</v>
      </c>
      <c r="S59" s="4562" t="s">
        <v>2153</v>
      </c>
      <c r="T59" s="4563">
        <v>6</v>
      </c>
      <c r="U59" s="4564">
        <v>2</v>
      </c>
      <c r="V59" s="1281">
        <f t="shared" si="3"/>
        <v>0</v>
      </c>
      <c r="W59" s="97">
        <v>6</v>
      </c>
      <c r="Y59" s="36"/>
      <c r="Z59" s="36"/>
      <c r="AA59" s="36" t="s">
        <v>2272</v>
      </c>
      <c r="AB59" s="1346">
        <v>6.25</v>
      </c>
      <c r="AC59" s="95">
        <v>4</v>
      </c>
      <c r="AD59" s="1281">
        <f t="shared" si="28"/>
        <v>0.25</v>
      </c>
      <c r="AE59" s="97">
        <v>6</v>
      </c>
      <c r="AF59" s="4522"/>
      <c r="AG59" s="36"/>
      <c r="AH59" s="97"/>
      <c r="AI59" s="393" t="s">
        <v>483</v>
      </c>
      <c r="AJ59" s="1361">
        <v>5.79</v>
      </c>
      <c r="AK59" s="3794">
        <v>76</v>
      </c>
      <c r="AL59" s="1675">
        <f>+(AK49*AL49+AK50*AL50+AK51*AL51+AK52*AL52+AK53*AL53+AK54*AL54+AK55*AL55+AK56*AL56+AK57*AL57+AK58*AL58)/AK59</f>
        <v>-0.24763157894736842</v>
      </c>
      <c r="AM59" s="97"/>
      <c r="AP59" s="39" t="s">
        <v>41</v>
      </c>
      <c r="AQ59" s="39" t="s">
        <v>138</v>
      </c>
      <c r="AR59" s="3518">
        <v>6.38</v>
      </c>
      <c r="AS59" s="3518">
        <v>8</v>
      </c>
      <c r="AT59" s="3853">
        <f t="shared" si="26"/>
        <v>-0.62000000000000011</v>
      </c>
      <c r="AU59" s="3518">
        <v>7</v>
      </c>
      <c r="AW59" s="37"/>
      <c r="AX59" s="37"/>
      <c r="AY59" s="37" t="s">
        <v>139</v>
      </c>
      <c r="AZ59" s="694">
        <v>5.2</v>
      </c>
      <c r="BA59" s="63">
        <v>5</v>
      </c>
      <c r="BB59" s="837">
        <f t="shared" si="7"/>
        <v>0.20000000000000018</v>
      </c>
      <c r="BC59" s="2043">
        <v>5</v>
      </c>
      <c r="BE59" s="37"/>
      <c r="BF59" s="37"/>
      <c r="BG59" s="37" t="s">
        <v>140</v>
      </c>
      <c r="BH59" s="694">
        <v>6.67</v>
      </c>
      <c r="BI59" s="63">
        <v>9</v>
      </c>
      <c r="BJ59" s="134">
        <f t="shared" si="4"/>
        <v>0.66999999999999993</v>
      </c>
      <c r="BL59" s="97"/>
      <c r="BM59" s="97"/>
      <c r="BN59" s="42" t="s">
        <v>709</v>
      </c>
      <c r="BO59" s="134">
        <v>4</v>
      </c>
      <c r="BP59" s="97">
        <v>2</v>
      </c>
      <c r="BQ59" s="134">
        <f t="shared" si="8"/>
        <v>-2</v>
      </c>
      <c r="BR59" s="1"/>
      <c r="BS59" s="1274"/>
      <c r="BT59" s="1274"/>
      <c r="BU59" s="1275" t="s">
        <v>389</v>
      </c>
      <c r="BV59" s="1276">
        <v>6</v>
      </c>
      <c r="BW59" s="1277">
        <v>15</v>
      </c>
      <c r="BX59" s="134">
        <f t="shared" si="9"/>
        <v>0</v>
      </c>
      <c r="BZ59" s="774"/>
      <c r="CA59" s="774"/>
      <c r="CB59" s="797" t="s">
        <v>726</v>
      </c>
      <c r="CC59" s="798">
        <v>6.0434782608695645</v>
      </c>
      <c r="CD59" s="799">
        <v>23</v>
      </c>
      <c r="CE59" s="800">
        <f t="shared" si="10"/>
        <v>4.3478260869564522E-2</v>
      </c>
      <c r="CG59" s="613"/>
      <c r="CH59" s="613"/>
      <c r="CI59" s="613"/>
      <c r="CJ59" s="389"/>
      <c r="CK59" s="722"/>
      <c r="CL59" s="723"/>
      <c r="CM59" s="830"/>
      <c r="CN59" s="722"/>
      <c r="CP59" s="831"/>
      <c r="CQ59" s="831"/>
      <c r="CR59" s="832" t="s">
        <v>726</v>
      </c>
      <c r="CS59" s="833">
        <v>6</v>
      </c>
      <c r="CT59" s="833">
        <f>+(CU57*CT57+CU58*CT58)/CU59</f>
        <v>0</v>
      </c>
      <c r="CU59" s="834">
        <v>14</v>
      </c>
      <c r="CV59" s="833">
        <v>6</v>
      </c>
      <c r="CW59" s="833">
        <f>+(CU57*CW57+CU58*CW58)/CU59</f>
        <v>0</v>
      </c>
      <c r="CY59" s="472"/>
      <c r="CZ59" s="472"/>
      <c r="DA59" s="474" t="s">
        <v>15</v>
      </c>
      <c r="DB59" s="423">
        <v>30</v>
      </c>
      <c r="DC59" s="729">
        <v>6.2666666666666675</v>
      </c>
      <c r="DD59" s="423"/>
      <c r="DE59" s="729">
        <f>+(DB57*DE57+DB58*DE58)/DB59</f>
        <v>0.2666666666666665</v>
      </c>
      <c r="DF59" s="792">
        <f>AVERAGE(DE9,DE25)</f>
        <v>6.7570770243581295</v>
      </c>
      <c r="DG59" s="37"/>
      <c r="DH59" s="784"/>
      <c r="DI59" s="816"/>
      <c r="DJ59" s="817" t="s">
        <v>112</v>
      </c>
      <c r="DK59" s="818">
        <v>8.6808988764044948</v>
      </c>
      <c r="DL59" s="819">
        <v>445</v>
      </c>
      <c r="DM59" s="820"/>
      <c r="DN59" s="835">
        <f>AVERAGE(DN18,DN38,DN58)</f>
        <v>2.7813914865145883</v>
      </c>
    </row>
    <row r="60" spans="1:118">
      <c r="A60" s="5797">
        <v>3</v>
      </c>
      <c r="B60" s="5797">
        <v>3</v>
      </c>
      <c r="C60" s="5796" t="s">
        <v>2153</v>
      </c>
      <c r="D60" s="5798">
        <v>6</v>
      </c>
      <c r="E60" s="5797">
        <v>5</v>
      </c>
      <c r="F60" s="1281">
        <f t="shared" si="17"/>
        <v>0</v>
      </c>
      <c r="G60" s="97">
        <v>6</v>
      </c>
      <c r="I60" s="5034">
        <v>3</v>
      </c>
      <c r="J60" s="5034">
        <v>3</v>
      </c>
      <c r="K60" s="5035" t="s">
        <v>2086</v>
      </c>
      <c r="L60" s="5036">
        <v>5.25</v>
      </c>
      <c r="M60" s="5034">
        <v>4</v>
      </c>
      <c r="N60" s="1281">
        <f t="shared" si="2"/>
        <v>-0.75</v>
      </c>
      <c r="O60" s="97">
        <v>6</v>
      </c>
      <c r="Q60" s="4561">
        <v>3</v>
      </c>
      <c r="R60" s="4561">
        <v>3</v>
      </c>
      <c r="S60" s="4562" t="s">
        <v>610</v>
      </c>
      <c r="T60" s="4563">
        <v>8.3333333333333321</v>
      </c>
      <c r="U60" s="4564">
        <v>4</v>
      </c>
      <c r="V60" s="1281">
        <f t="shared" si="3"/>
        <v>2.3333333333333321</v>
      </c>
      <c r="W60" s="97">
        <v>6</v>
      </c>
      <c r="Y60" s="36"/>
      <c r="Z60" s="36"/>
      <c r="AA60" s="36" t="s">
        <v>2661</v>
      </c>
      <c r="AB60" s="1346">
        <v>6</v>
      </c>
      <c r="AC60" s="95">
        <v>1</v>
      </c>
      <c r="AD60" s="1281">
        <f t="shared" si="28"/>
        <v>0</v>
      </c>
      <c r="AE60" s="97">
        <v>6</v>
      </c>
      <c r="AF60" s="4522"/>
      <c r="AG60" s="36"/>
      <c r="AH60" s="97" t="s">
        <v>41</v>
      </c>
      <c r="AI60" s="36" t="s">
        <v>138</v>
      </c>
      <c r="AJ60" s="1346">
        <v>6.27</v>
      </c>
      <c r="AK60" s="95">
        <v>11</v>
      </c>
      <c r="AL60" s="1281">
        <f t="shared" ref="AL60:AL66" si="29">AJ60-6</f>
        <v>0.26999999999999957</v>
      </c>
      <c r="AM60" s="97">
        <v>7</v>
      </c>
      <c r="AQ60" s="39" t="s">
        <v>2532</v>
      </c>
      <c r="AR60" s="3518">
        <v>6</v>
      </c>
      <c r="AS60" s="3518">
        <v>3</v>
      </c>
      <c r="AT60" s="3853">
        <f t="shared" si="26"/>
        <v>1</v>
      </c>
      <c r="AU60" s="3518">
        <v>5</v>
      </c>
      <c r="AW60" s="37"/>
      <c r="AX60" s="37"/>
      <c r="AY60" s="37" t="s">
        <v>140</v>
      </c>
      <c r="AZ60" s="694">
        <v>6.78</v>
      </c>
      <c r="BA60" s="63">
        <v>18</v>
      </c>
      <c r="BB60" s="837">
        <f t="shared" si="7"/>
        <v>0.78000000000000025</v>
      </c>
      <c r="BC60" s="2043">
        <v>6</v>
      </c>
      <c r="BE60" s="37"/>
      <c r="BF60" s="37"/>
      <c r="BG60" s="37" t="s">
        <v>141</v>
      </c>
      <c r="BH60" s="694">
        <v>6.41</v>
      </c>
      <c r="BI60" s="63">
        <v>17</v>
      </c>
      <c r="BJ60" s="134">
        <f t="shared" si="4"/>
        <v>0.41000000000000014</v>
      </c>
      <c r="BL60" s="97"/>
      <c r="BM60" s="97"/>
      <c r="BN60" s="893" t="s">
        <v>485</v>
      </c>
      <c r="BO60" s="894">
        <v>6.26</v>
      </c>
      <c r="BP60" s="135">
        <v>54</v>
      </c>
      <c r="BQ60" s="800">
        <f>+(BP53*BQ53+BP54*BQ54+BP55*BQ55+BP56*BQ56+BP57*BQ57+BP58*BQ58+BP59*BQ59)/BP60</f>
        <v>0.26000000000000006</v>
      </c>
      <c r="BR60" s="1"/>
      <c r="BS60" s="1274"/>
      <c r="BT60" s="1274"/>
      <c r="BU60" s="1275" t="s">
        <v>390</v>
      </c>
      <c r="BV60" s="1276">
        <v>6.1764705882352944</v>
      </c>
      <c r="BW60" s="1277">
        <v>17</v>
      </c>
      <c r="BX60" s="134">
        <f t="shared" si="9"/>
        <v>0.17647058823529438</v>
      </c>
      <c r="BZ60" s="774"/>
      <c r="CA60" s="774"/>
      <c r="CB60" s="821" t="s">
        <v>412</v>
      </c>
      <c r="CC60" s="822">
        <v>6.2536231884057987</v>
      </c>
      <c r="CD60" s="823">
        <v>138</v>
      </c>
      <c r="CE60" s="824">
        <f>+(CD48*CE48+CD55*CE55+CD59*CE59)/CD60</f>
        <v>0.48550724637681159</v>
      </c>
      <c r="CG60" s="613"/>
      <c r="CH60" s="613"/>
      <c r="CI60" s="613"/>
      <c r="CJ60" s="389"/>
      <c r="CK60" s="722"/>
      <c r="CL60" s="723"/>
      <c r="CM60" s="830"/>
      <c r="CN60" s="722"/>
      <c r="CY60" s="63"/>
      <c r="CZ60" s="63"/>
      <c r="DA60" s="416"/>
      <c r="DB60" s="386"/>
      <c r="DC60" s="707"/>
      <c r="DD60" s="416"/>
      <c r="DE60" s="416"/>
      <c r="DF60" s="792">
        <f>AVERAGE(DE15,DE32,DE47)</f>
        <v>2.4597069597069585</v>
      </c>
      <c r="DG60" s="37"/>
      <c r="DH60" s="37"/>
      <c r="DI60" s="784" t="s">
        <v>1193</v>
      </c>
      <c r="DJ60" s="784"/>
      <c r="DK60" s="784"/>
      <c r="DL60" s="785"/>
      <c r="DM60" s="785"/>
      <c r="DN60" s="784"/>
    </row>
    <row r="61" spans="1:118">
      <c r="A61" s="5797">
        <v>3</v>
      </c>
      <c r="B61" s="5797">
        <v>3</v>
      </c>
      <c r="C61" s="5796" t="s">
        <v>294</v>
      </c>
      <c r="D61" s="5798">
        <v>6</v>
      </c>
      <c r="E61" s="5797">
        <v>1</v>
      </c>
      <c r="F61" s="1281">
        <f t="shared" si="17"/>
        <v>0</v>
      </c>
      <c r="G61" s="97">
        <v>6</v>
      </c>
      <c r="I61" s="5034">
        <v>3</v>
      </c>
      <c r="J61" s="5034">
        <v>3</v>
      </c>
      <c r="K61" s="5035" t="s">
        <v>2153</v>
      </c>
      <c r="L61" s="5036">
        <v>6</v>
      </c>
      <c r="M61" s="5034">
        <v>4</v>
      </c>
      <c r="N61" s="1281">
        <f t="shared" si="2"/>
        <v>0</v>
      </c>
      <c r="O61" s="97">
        <v>6</v>
      </c>
      <c r="Q61" s="4561">
        <v>3</v>
      </c>
      <c r="R61" s="4561">
        <v>3</v>
      </c>
      <c r="S61" s="4562" t="s">
        <v>294</v>
      </c>
      <c r="T61" s="4563">
        <v>6.5</v>
      </c>
      <c r="U61" s="4564">
        <v>3</v>
      </c>
      <c r="V61" s="1281">
        <f t="shared" si="3"/>
        <v>0.5</v>
      </c>
      <c r="W61" s="97">
        <v>6</v>
      </c>
      <c r="Y61" s="36"/>
      <c r="Z61" s="36"/>
      <c r="AA61" s="36" t="s">
        <v>2672</v>
      </c>
      <c r="AB61" s="1346">
        <v>7.5</v>
      </c>
      <c r="AC61" s="95">
        <v>2</v>
      </c>
      <c r="AD61" s="1281">
        <f t="shared" si="28"/>
        <v>1.5</v>
      </c>
      <c r="AE61" s="97">
        <v>6</v>
      </c>
      <c r="AF61" s="4522"/>
      <c r="AG61" s="36"/>
      <c r="AH61" s="97"/>
      <c r="AI61" s="36" t="s">
        <v>2532</v>
      </c>
      <c r="AJ61" s="1346">
        <v>6</v>
      </c>
      <c r="AK61" s="95">
        <v>4</v>
      </c>
      <c r="AL61" s="1281">
        <f t="shared" si="29"/>
        <v>0</v>
      </c>
      <c r="AM61" s="97">
        <v>5</v>
      </c>
      <c r="AQ61" s="39" t="s">
        <v>140</v>
      </c>
      <c r="AR61" s="3518">
        <v>7.5</v>
      </c>
      <c r="AS61" s="3518">
        <v>10</v>
      </c>
      <c r="AT61" s="3853">
        <f t="shared" si="26"/>
        <v>1.5</v>
      </c>
      <c r="AU61" s="3518">
        <v>6</v>
      </c>
      <c r="AW61" s="37"/>
      <c r="AX61" s="37"/>
      <c r="AY61" s="37" t="s">
        <v>141</v>
      </c>
      <c r="AZ61" s="694">
        <v>7.31</v>
      </c>
      <c r="BA61" s="63">
        <v>13</v>
      </c>
      <c r="BB61" s="837">
        <f t="shared" si="7"/>
        <v>1.3099999999999996</v>
      </c>
      <c r="BC61" s="2043">
        <v>6</v>
      </c>
      <c r="BE61" s="37"/>
      <c r="BF61" s="37"/>
      <c r="BG61" s="37" t="s">
        <v>1732</v>
      </c>
      <c r="BH61" s="694">
        <v>6</v>
      </c>
      <c r="BI61" s="63">
        <v>6</v>
      </c>
      <c r="BJ61" s="134">
        <f t="shared" si="4"/>
        <v>0</v>
      </c>
      <c r="BL61" s="97"/>
      <c r="BM61" s="97" t="s">
        <v>103</v>
      </c>
      <c r="BN61" s="42" t="s">
        <v>142</v>
      </c>
      <c r="BO61" s="134">
        <v>6</v>
      </c>
      <c r="BP61" s="97">
        <v>24</v>
      </c>
      <c r="BQ61" s="134">
        <f t="shared" si="8"/>
        <v>0</v>
      </c>
      <c r="BR61" s="1"/>
      <c r="BS61" s="1274"/>
      <c r="BT61" s="1274"/>
      <c r="BU61" s="1278" t="s">
        <v>726</v>
      </c>
      <c r="BV61" s="1279">
        <v>6.0784313725490184</v>
      </c>
      <c r="BW61" s="1280">
        <v>51</v>
      </c>
      <c r="BX61" s="800">
        <f>+(BW58*BX58+BW59*BX59+BW60*BX60)/BW61</f>
        <v>7.8431372549019593E-2</v>
      </c>
      <c r="BZ61" s="774" t="s">
        <v>59</v>
      </c>
      <c r="CA61" s="774" t="s">
        <v>16</v>
      </c>
      <c r="CB61" s="775" t="s">
        <v>608</v>
      </c>
      <c r="CC61" s="776">
        <v>6.3333333333333339</v>
      </c>
      <c r="CD61" s="777">
        <v>6</v>
      </c>
      <c r="CE61" s="778">
        <f t="shared" si="10"/>
        <v>0.33333333333333393</v>
      </c>
      <c r="CG61" s="613"/>
      <c r="CH61" s="613"/>
      <c r="CI61" s="613"/>
      <c r="CJ61" s="389"/>
      <c r="CK61" s="722"/>
      <c r="CL61" s="723"/>
      <c r="CM61" s="830"/>
      <c r="CN61" s="722"/>
      <c r="CP61" s="780"/>
      <c r="CQ61" s="780"/>
      <c r="CR61" s="781"/>
      <c r="CS61" s="782"/>
      <c r="CT61" s="782"/>
      <c r="CU61" s="783"/>
      <c r="CV61" s="783"/>
      <c r="CW61" s="782"/>
      <c r="CY61" s="63"/>
      <c r="CZ61" s="63"/>
      <c r="DA61" s="416"/>
      <c r="DB61" s="386"/>
      <c r="DC61" s="707"/>
      <c r="DD61" s="416"/>
      <c r="DE61" s="416"/>
      <c r="DF61" s="792">
        <f>AVERAGE(DE36,DE55)</f>
        <v>1.1509951956074127</v>
      </c>
      <c r="DG61" s="37"/>
      <c r="DH61" s="37"/>
      <c r="DI61" s="737"/>
      <c r="DJ61" s="736"/>
      <c r="DK61" s="736"/>
      <c r="DL61" s="737"/>
      <c r="DM61" s="737"/>
      <c r="DN61" s="736"/>
    </row>
    <row r="62" spans="1:118" s="1" customFormat="1" ht="42" thickBot="1">
      <c r="A62" s="5797">
        <v>3</v>
      </c>
      <c r="B62" s="5797">
        <v>3</v>
      </c>
      <c r="C62" s="5796" t="s">
        <v>2085</v>
      </c>
      <c r="D62" s="5798">
        <v>6</v>
      </c>
      <c r="E62" s="5797">
        <v>1</v>
      </c>
      <c r="F62" s="1281">
        <f t="shared" si="17"/>
        <v>0</v>
      </c>
      <c r="G62" s="97">
        <v>6</v>
      </c>
      <c r="I62" s="5034">
        <v>3</v>
      </c>
      <c r="J62" s="5034">
        <v>3</v>
      </c>
      <c r="K62" s="5035" t="s">
        <v>294</v>
      </c>
      <c r="L62" s="5036">
        <v>6</v>
      </c>
      <c r="M62" s="5034">
        <v>1</v>
      </c>
      <c r="N62" s="1281">
        <f t="shared" si="2"/>
        <v>0</v>
      </c>
      <c r="O62" s="97">
        <v>6</v>
      </c>
      <c r="Q62" s="4561">
        <v>3</v>
      </c>
      <c r="R62" s="4561">
        <v>3</v>
      </c>
      <c r="S62" s="4562" t="s">
        <v>2085</v>
      </c>
      <c r="T62" s="4563">
        <v>6</v>
      </c>
      <c r="U62" s="4564">
        <v>4</v>
      </c>
      <c r="V62" s="1281">
        <f t="shared" si="3"/>
        <v>0</v>
      </c>
      <c r="W62" s="97">
        <v>6</v>
      </c>
      <c r="Y62" s="42"/>
      <c r="Z62" s="42"/>
      <c r="AA62" s="893" t="s">
        <v>485</v>
      </c>
      <c r="AB62" s="1675">
        <v>6.44</v>
      </c>
      <c r="AC62" s="135">
        <v>36</v>
      </c>
      <c r="AD62" s="1675">
        <f>+(+AC53*AD53+AC54*AD54+AC55*AD55+AC56*AD56+AC57*AD57+AC58*AD58+AC59*AD59)/AC62</f>
        <v>0.36083333333333317</v>
      </c>
      <c r="AE62" s="97">
        <v>6</v>
      </c>
      <c r="AG62" s="42"/>
      <c r="AH62" s="97"/>
      <c r="AI62" s="42" t="s">
        <v>140</v>
      </c>
      <c r="AJ62" s="1281">
        <v>7.42</v>
      </c>
      <c r="AK62" s="97">
        <v>12</v>
      </c>
      <c r="AL62" s="1281">
        <f t="shared" si="29"/>
        <v>1.42</v>
      </c>
      <c r="AM62" s="97">
        <v>6</v>
      </c>
      <c r="AO62" s="39"/>
      <c r="AP62" s="39"/>
      <c r="AQ62" s="39" t="s">
        <v>141</v>
      </c>
      <c r="AR62" s="3518">
        <v>6.91</v>
      </c>
      <c r="AS62" s="3518">
        <v>11</v>
      </c>
      <c r="AT62" s="3853">
        <f t="shared" si="26"/>
        <v>0.91000000000000014</v>
      </c>
      <c r="AU62" s="3518">
        <v>6</v>
      </c>
      <c r="AW62" s="51"/>
      <c r="AX62" s="51"/>
      <c r="AY62" s="51" t="s">
        <v>1732</v>
      </c>
      <c r="AZ62" s="837">
        <v>6</v>
      </c>
      <c r="BA62" s="2043">
        <v>7</v>
      </c>
      <c r="BB62" s="837">
        <f t="shared" si="7"/>
        <v>0</v>
      </c>
      <c r="BC62" s="2043">
        <v>6</v>
      </c>
      <c r="BE62" s="51"/>
      <c r="BF62" s="51"/>
      <c r="BG62" s="51" t="s">
        <v>709</v>
      </c>
      <c r="BH62" s="837">
        <v>6</v>
      </c>
      <c r="BI62" s="2043">
        <v>6</v>
      </c>
      <c r="BJ62" s="134">
        <f t="shared" si="4"/>
        <v>0</v>
      </c>
      <c r="BL62" s="97"/>
      <c r="BM62" s="97"/>
      <c r="BN62" s="42" t="s">
        <v>390</v>
      </c>
      <c r="BO62" s="134">
        <v>6</v>
      </c>
      <c r="BP62" s="97">
        <v>3</v>
      </c>
      <c r="BQ62" s="134">
        <f t="shared" si="8"/>
        <v>0</v>
      </c>
      <c r="BS62" s="1274"/>
      <c r="BT62" s="1274"/>
      <c r="BU62" s="1288" t="s">
        <v>412</v>
      </c>
      <c r="BV62" s="1289">
        <v>6.0380434782608665</v>
      </c>
      <c r="BW62" s="1290">
        <v>184</v>
      </c>
      <c r="BX62" s="1287">
        <f>+(BW50*BX50+BW57*BX57+BW61*BX61)/BW62</f>
        <v>3.8043478260869602E-2</v>
      </c>
      <c r="BZ62" s="774"/>
      <c r="CA62" s="774"/>
      <c r="CB62" s="797" t="s">
        <v>483</v>
      </c>
      <c r="CC62" s="798">
        <v>6.3333333333333339</v>
      </c>
      <c r="CD62" s="799">
        <v>6</v>
      </c>
      <c r="CE62" s="800">
        <f t="shared" si="10"/>
        <v>0.33333333333333393</v>
      </c>
      <c r="CG62" s="1012" t="s">
        <v>878</v>
      </c>
      <c r="CH62" s="4180"/>
      <c r="CI62" s="4180"/>
      <c r="CJ62" s="863" t="s">
        <v>1</v>
      </c>
      <c r="CK62" s="863" t="s">
        <v>1014</v>
      </c>
      <c r="CL62" s="863" t="s">
        <v>1185</v>
      </c>
      <c r="CM62" s="863" t="s">
        <v>1186</v>
      </c>
      <c r="CN62" s="1261" t="s">
        <v>1122</v>
      </c>
      <c r="CP62" s="4181"/>
      <c r="CQ62" s="4181"/>
      <c r="CR62" s="679" t="s">
        <v>1</v>
      </c>
      <c r="CS62" s="679" t="s">
        <v>1187</v>
      </c>
      <c r="CT62" s="679" t="s">
        <v>1122</v>
      </c>
      <c r="CU62" s="770" t="s">
        <v>1185</v>
      </c>
      <c r="CV62" s="679" t="s">
        <v>1188</v>
      </c>
      <c r="CW62" s="679" t="s">
        <v>1122</v>
      </c>
      <c r="CY62" s="2043"/>
      <c r="CZ62" s="2043"/>
      <c r="DA62" s="681" t="s">
        <v>1</v>
      </c>
      <c r="DB62" s="681" t="s">
        <v>1185</v>
      </c>
      <c r="DC62" s="47" t="s">
        <v>1189</v>
      </c>
      <c r="DD62" s="47" t="s">
        <v>1190</v>
      </c>
      <c r="DE62" s="47" t="s">
        <v>1122</v>
      </c>
      <c r="DF62" s="4182">
        <f>AVERAGE(DE17,DE59)</f>
        <v>1.1333333333333333</v>
      </c>
      <c r="DG62" s="51"/>
      <c r="DH62" s="51"/>
      <c r="DI62" s="51"/>
      <c r="DJ62" s="51"/>
      <c r="DK62" s="51"/>
      <c r="DL62" s="51"/>
      <c r="DM62" s="51"/>
      <c r="DN62" s="51"/>
    </row>
    <row r="63" spans="1:118">
      <c r="A63" s="5797">
        <v>3</v>
      </c>
      <c r="B63" s="5797">
        <v>3</v>
      </c>
      <c r="C63" s="5796" t="s">
        <v>293</v>
      </c>
      <c r="D63" s="5798">
        <v>6.9</v>
      </c>
      <c r="E63" s="5797">
        <v>6</v>
      </c>
      <c r="F63" s="1281">
        <f t="shared" si="17"/>
        <v>0.90000000000000036</v>
      </c>
      <c r="G63" s="97">
        <v>6</v>
      </c>
      <c r="I63" s="5034">
        <v>3</v>
      </c>
      <c r="J63" s="5034">
        <v>3</v>
      </c>
      <c r="K63" s="5035" t="s">
        <v>2085</v>
      </c>
      <c r="L63" s="5036">
        <v>6</v>
      </c>
      <c r="M63" s="5034">
        <v>1</v>
      </c>
      <c r="N63" s="1281">
        <f t="shared" si="2"/>
        <v>0</v>
      </c>
      <c r="O63" s="97">
        <v>6</v>
      </c>
      <c r="Q63" s="4561">
        <v>3</v>
      </c>
      <c r="R63" s="4561">
        <v>3</v>
      </c>
      <c r="S63" s="4562" t="s">
        <v>293</v>
      </c>
      <c r="T63" s="4563">
        <v>6.2916666666666661</v>
      </c>
      <c r="U63" s="4564">
        <v>10</v>
      </c>
      <c r="V63" s="1281">
        <f t="shared" si="3"/>
        <v>0.29166666666666607</v>
      </c>
      <c r="W63" s="97">
        <v>6</v>
      </c>
      <c r="Y63" s="36"/>
      <c r="Z63" s="36" t="s">
        <v>21</v>
      </c>
      <c r="AA63" s="36" t="s">
        <v>142</v>
      </c>
      <c r="AB63" s="1346">
        <v>6.24</v>
      </c>
      <c r="AC63" s="95">
        <v>21</v>
      </c>
      <c r="AD63" s="1281">
        <f t="shared" si="28"/>
        <v>0.24000000000000021</v>
      </c>
      <c r="AE63" s="97">
        <v>6</v>
      </c>
      <c r="AF63" s="4522"/>
      <c r="AG63" s="36"/>
      <c r="AH63" s="97"/>
      <c r="AI63" s="36" t="s">
        <v>141</v>
      </c>
      <c r="AJ63" s="1346">
        <v>6.87</v>
      </c>
      <c r="AK63" s="95">
        <v>15</v>
      </c>
      <c r="AL63" s="1281">
        <f t="shared" si="29"/>
        <v>0.87000000000000011</v>
      </c>
      <c r="AM63" s="97">
        <v>6</v>
      </c>
      <c r="AQ63" s="39" t="s">
        <v>1732</v>
      </c>
      <c r="AR63" s="3518">
        <v>6.33</v>
      </c>
      <c r="AS63" s="3518">
        <v>6</v>
      </c>
      <c r="AT63" s="3853">
        <f t="shared" si="26"/>
        <v>0.33000000000000007</v>
      </c>
      <c r="AU63" s="3518">
        <v>6</v>
      </c>
      <c r="AW63" s="37"/>
      <c r="AX63" s="37"/>
      <c r="AY63" s="37" t="s">
        <v>709</v>
      </c>
      <c r="AZ63" s="694">
        <v>6</v>
      </c>
      <c r="BA63" s="63">
        <v>1</v>
      </c>
      <c r="BB63" s="837">
        <f t="shared" si="7"/>
        <v>0</v>
      </c>
      <c r="BC63" s="2043">
        <v>6</v>
      </c>
      <c r="BE63" s="37"/>
      <c r="BF63" s="37"/>
      <c r="BG63" s="37" t="s">
        <v>2272</v>
      </c>
      <c r="BH63" s="694">
        <v>7</v>
      </c>
      <c r="BI63" s="63">
        <v>1</v>
      </c>
      <c r="BJ63" s="134">
        <f t="shared" si="4"/>
        <v>1</v>
      </c>
      <c r="BL63" s="97"/>
      <c r="BM63" s="97"/>
      <c r="BN63" s="893" t="s">
        <v>484</v>
      </c>
      <c r="BO63" s="894">
        <v>6</v>
      </c>
      <c r="BP63" s="135">
        <v>27</v>
      </c>
      <c r="BQ63" s="800">
        <f>+(BP61*BQ61+BP62*BQ62)/BP63</f>
        <v>0</v>
      </c>
      <c r="BR63" s="1"/>
      <c r="BS63" s="1282" t="s">
        <v>59</v>
      </c>
      <c r="BT63" s="1282" t="s">
        <v>16</v>
      </c>
      <c r="BU63" s="1283" t="s">
        <v>608</v>
      </c>
      <c r="BV63" s="1284">
        <v>6</v>
      </c>
      <c r="BW63" s="1285">
        <v>9</v>
      </c>
      <c r="BX63" s="1286">
        <f t="shared" si="9"/>
        <v>0</v>
      </c>
      <c r="BZ63" s="774"/>
      <c r="CA63" s="774" t="s">
        <v>710</v>
      </c>
      <c r="CB63" s="775" t="s">
        <v>711</v>
      </c>
      <c r="CC63" s="776">
        <v>6</v>
      </c>
      <c r="CD63" s="777">
        <v>8</v>
      </c>
      <c r="CE63" s="778">
        <f t="shared" si="10"/>
        <v>0</v>
      </c>
      <c r="CG63" s="613" t="s">
        <v>646</v>
      </c>
      <c r="CH63" s="613"/>
      <c r="CI63" s="36"/>
      <c r="CJ63" s="613" t="s">
        <v>4</v>
      </c>
      <c r="CK63" s="391">
        <v>8.2528735632183903</v>
      </c>
      <c r="CL63" s="390">
        <v>87</v>
      </c>
      <c r="CM63" s="690">
        <v>2.1470281830268481</v>
      </c>
      <c r="CN63" s="837">
        <f>+(CL9*CN9+CL23*CN23)/CL63</f>
        <v>2.3448275862068968</v>
      </c>
      <c r="CP63" s="780"/>
      <c r="CQ63" s="780"/>
      <c r="CR63" s="838" t="s">
        <v>4</v>
      </c>
      <c r="CS63" s="839">
        <v>8.2613636363636349</v>
      </c>
      <c r="CT63" s="837">
        <f>+(CU9*CT9+CU25*CT25)/CU63</f>
        <v>2.3977272727272729</v>
      </c>
      <c r="CU63" s="840">
        <v>88</v>
      </c>
      <c r="CV63" s="839">
        <v>9.318181818181813</v>
      </c>
      <c r="CW63" s="837">
        <f>+(CU9*CW9+CU25*CW25)/CU63</f>
        <v>3.454545454545455</v>
      </c>
      <c r="CY63" s="63"/>
      <c r="CZ63" s="63"/>
      <c r="DA63" s="63" t="s">
        <v>4</v>
      </c>
      <c r="DB63" s="63">
        <v>80</v>
      </c>
      <c r="DC63" s="694">
        <v>11.987499999999999</v>
      </c>
      <c r="DD63" s="37"/>
      <c r="DE63" s="694">
        <f>+(DB9*DE9+DB25*DE25)/DB63</f>
        <v>6.1</v>
      </c>
      <c r="DF63" s="37"/>
      <c r="DG63" s="37"/>
      <c r="DH63" s="37"/>
      <c r="DI63" s="37"/>
      <c r="DJ63" s="37"/>
      <c r="DK63" s="37"/>
      <c r="DL63" s="37"/>
      <c r="DM63" s="37"/>
      <c r="DN63" s="37"/>
    </row>
    <row r="64" spans="1:118">
      <c r="A64" s="5797"/>
      <c r="B64" s="5797"/>
      <c r="C64" s="5799" t="s">
        <v>41</v>
      </c>
      <c r="D64" s="5798"/>
      <c r="E64" s="5799">
        <f>SUM(E57:E63)</f>
        <v>37</v>
      </c>
      <c r="F64" s="1675">
        <f>+(E57*F57+E58*F58+E59*F59+E60*F60+E61*F61+E62*F62+E63*F63)/E64</f>
        <v>1.4841698841698849</v>
      </c>
      <c r="G64" s="97"/>
      <c r="I64" s="5034">
        <v>3</v>
      </c>
      <c r="J64" s="5034">
        <v>3</v>
      </c>
      <c r="K64" s="5035" t="s">
        <v>293</v>
      </c>
      <c r="L64" s="5036">
        <v>6.8333333333333339</v>
      </c>
      <c r="M64" s="5034">
        <v>6</v>
      </c>
      <c r="N64" s="1281">
        <f t="shared" si="2"/>
        <v>0.83333333333333393</v>
      </c>
      <c r="O64" s="97">
        <v>6</v>
      </c>
      <c r="Q64" s="4561"/>
      <c r="R64" s="4561"/>
      <c r="S64" s="135" t="s">
        <v>485</v>
      </c>
      <c r="T64" s="4563"/>
      <c r="U64" s="4568">
        <f>SUM(U55:U63)</f>
        <v>41</v>
      </c>
      <c r="V64" s="1675">
        <f>+(+U55*V55+U56*V56+U57*V57+U58*V58+U59*V59+U60*V60+U61*V61+U62*V62+U63*V63)/U64</f>
        <v>0.51676829268292657</v>
      </c>
      <c r="Y64" s="36"/>
      <c r="Z64" s="36"/>
      <c r="AA64" s="36" t="s">
        <v>389</v>
      </c>
      <c r="AB64" s="1346">
        <v>6.4</v>
      </c>
      <c r="AC64" s="95">
        <v>5</v>
      </c>
      <c r="AD64" s="1281">
        <f t="shared" si="28"/>
        <v>0.40000000000000036</v>
      </c>
      <c r="AE64" s="97">
        <v>6</v>
      </c>
      <c r="AF64" s="4522"/>
      <c r="AG64" s="36"/>
      <c r="AH64" s="97"/>
      <c r="AI64" s="36" t="s">
        <v>1732</v>
      </c>
      <c r="AJ64" s="1346">
        <v>6.29</v>
      </c>
      <c r="AK64" s="95">
        <v>7</v>
      </c>
      <c r="AL64" s="1281">
        <f t="shared" si="29"/>
        <v>0.29000000000000004</v>
      </c>
      <c r="AM64" s="97">
        <v>6</v>
      </c>
      <c r="AQ64" s="39" t="s">
        <v>709</v>
      </c>
      <c r="AR64" s="3518">
        <v>6.2</v>
      </c>
      <c r="AS64" s="3518">
        <v>5</v>
      </c>
      <c r="AT64" s="3853">
        <f t="shared" si="26"/>
        <v>0.20000000000000018</v>
      </c>
      <c r="AU64" s="3518">
        <v>6</v>
      </c>
      <c r="AW64" s="37"/>
      <c r="AX64" s="37"/>
      <c r="AY64" s="37" t="s">
        <v>2272</v>
      </c>
      <c r="AZ64" s="694">
        <v>4.83</v>
      </c>
      <c r="BA64" s="63">
        <v>6</v>
      </c>
      <c r="BB64" s="837">
        <f t="shared" si="7"/>
        <v>-1.17</v>
      </c>
      <c r="BC64" s="2043">
        <v>6</v>
      </c>
      <c r="BE64" s="37"/>
      <c r="BF64" s="37"/>
      <c r="BG64" s="416" t="s">
        <v>485</v>
      </c>
      <c r="BH64" s="707">
        <v>6.21</v>
      </c>
      <c r="BI64" s="386">
        <v>78</v>
      </c>
      <c r="BJ64" s="800">
        <f>+(+BI55*BJ55+BI56*BJ56+BI57*BJ57+BI58*BJ58+BI59*BJ59+BI60*BJ60+BI61*BJ61+BI62*BJ62+BI63*BJ63)/BI64</f>
        <v>0.20423076923076941</v>
      </c>
      <c r="BL64" s="1501"/>
      <c r="BM64" s="1501"/>
      <c r="BN64" s="1498" t="s">
        <v>412</v>
      </c>
      <c r="BO64" s="1499">
        <v>6.07</v>
      </c>
      <c r="BP64" s="1500">
        <v>158</v>
      </c>
      <c r="BQ64" s="1502">
        <f>+(BP52*BQ52+BP60*BQ60+BP63*BQ63)/BP64</f>
        <v>6.9746835443037891E-2</v>
      </c>
      <c r="BR64" s="1"/>
      <c r="BS64" s="1274"/>
      <c r="BT64" s="1274"/>
      <c r="BU64" s="1278" t="s">
        <v>483</v>
      </c>
      <c r="BV64" s="1279">
        <v>6</v>
      </c>
      <c r="BW64" s="1280">
        <v>9</v>
      </c>
      <c r="BX64" s="894">
        <f t="shared" si="9"/>
        <v>0</v>
      </c>
      <c r="BZ64" s="774"/>
      <c r="CA64" s="774"/>
      <c r="CB64" s="797" t="s">
        <v>731</v>
      </c>
      <c r="CC64" s="798">
        <v>6</v>
      </c>
      <c r="CD64" s="799">
        <v>8</v>
      </c>
      <c r="CE64" s="800">
        <f t="shared" si="10"/>
        <v>0</v>
      </c>
      <c r="CG64" s="613"/>
      <c r="CH64" s="613"/>
      <c r="CI64" s="36"/>
      <c r="CJ64" s="613" t="s">
        <v>16</v>
      </c>
      <c r="CK64" s="391">
        <v>6.8527607361963181</v>
      </c>
      <c r="CL64" s="390">
        <v>163</v>
      </c>
      <c r="CM64" s="690">
        <v>1.86664394441976</v>
      </c>
      <c r="CN64" s="837">
        <f>+(CL13*CN13+CL28*CN28+CL42*CN42+CL56*CN56)/CL64</f>
        <v>0.87116564417177988</v>
      </c>
      <c r="CP64" s="780"/>
      <c r="CR64" s="838" t="s">
        <v>16</v>
      </c>
      <c r="CS64" s="839">
        <v>6.8098591549295771</v>
      </c>
      <c r="CT64" s="837">
        <f>+(CU15*CT15+CU32*CT32+CU48*CT48)/CU64</f>
        <v>0.95774647887323938</v>
      </c>
      <c r="CU64" s="840">
        <v>142</v>
      </c>
      <c r="CV64" s="839">
        <v>7.3732394366197145</v>
      </c>
      <c r="CW64" s="837">
        <f>+(CU15*CW15+CU32*CW32+CU48*CW48)/CU64</f>
        <v>1.4596670934699103</v>
      </c>
      <c r="CY64" s="63"/>
      <c r="CZ64" s="63"/>
      <c r="DA64" s="63" t="s">
        <v>16</v>
      </c>
      <c r="DB64" s="63">
        <v>222</v>
      </c>
      <c r="DC64" s="694">
        <v>8.5090090090090076</v>
      </c>
      <c r="DD64" s="37"/>
      <c r="DE64" s="694">
        <f>+(DB15*DE15+DB32*DE32+DB47*DE47)/DB64</f>
        <v>2.509009009009008</v>
      </c>
      <c r="DF64" s="792">
        <f>AVERAGE(DE63:DE66)</f>
        <v>2.6729794014197679</v>
      </c>
      <c r="DG64" s="37"/>
      <c r="DH64" s="37"/>
      <c r="DI64" s="37"/>
      <c r="DJ64" s="37"/>
      <c r="DK64" s="37"/>
      <c r="DL64" s="37"/>
      <c r="DM64" s="37"/>
      <c r="DN64" s="37"/>
    </row>
    <row r="65" spans="1:118">
      <c r="A65" s="5797">
        <v>3</v>
      </c>
      <c r="B65" s="5797">
        <v>4</v>
      </c>
      <c r="C65" s="5796" t="s">
        <v>297</v>
      </c>
      <c r="D65" s="5798">
        <v>6.2916666666666661</v>
      </c>
      <c r="E65" s="5797">
        <v>10</v>
      </c>
      <c r="F65" s="1281">
        <f t="shared" si="17"/>
        <v>0.29166666666666607</v>
      </c>
      <c r="G65" s="97">
        <v>6</v>
      </c>
      <c r="I65" s="5034"/>
      <c r="J65" s="5034"/>
      <c r="K65" s="135" t="s">
        <v>485</v>
      </c>
      <c r="L65" s="5036"/>
      <c r="M65" s="5037">
        <f>SUM(M58:M64)</f>
        <v>35</v>
      </c>
      <c r="N65" s="1675">
        <f>+(M58*N58+M59*N59+M60*N60+M61*N61+M62*N62+M63*N63+M64*N64)/M65</f>
        <v>1.4571428571428571</v>
      </c>
      <c r="O65" s="97"/>
      <c r="Q65" s="4561">
        <v>3</v>
      </c>
      <c r="R65" s="4561">
        <v>4</v>
      </c>
      <c r="S65" s="4562" t="s">
        <v>297</v>
      </c>
      <c r="T65" s="4563">
        <v>6.2083333333333339</v>
      </c>
      <c r="U65" s="4564">
        <v>14</v>
      </c>
      <c r="V65" s="1281">
        <f t="shared" si="3"/>
        <v>0.20833333333333393</v>
      </c>
      <c r="W65" s="97">
        <v>6</v>
      </c>
      <c r="Y65" s="36"/>
      <c r="Z65" s="36"/>
      <c r="AA65" s="393" t="s">
        <v>484</v>
      </c>
      <c r="AB65" s="1361">
        <v>6.27</v>
      </c>
      <c r="AC65" s="4520">
        <v>26</v>
      </c>
      <c r="AD65" s="1675">
        <f>+(AC63*AD63+AC64*AD64)/AC65</f>
        <v>0.27076923076923098</v>
      </c>
      <c r="AE65" s="97">
        <v>6</v>
      </c>
      <c r="AF65" s="4522"/>
      <c r="AG65" s="36"/>
      <c r="AH65" s="97"/>
      <c r="AI65" s="36" t="s">
        <v>709</v>
      </c>
      <c r="AJ65" s="1346">
        <v>6.2</v>
      </c>
      <c r="AK65" s="95">
        <v>5</v>
      </c>
      <c r="AL65" s="1281">
        <f t="shared" si="29"/>
        <v>0.20000000000000018</v>
      </c>
      <c r="AM65" s="97">
        <v>6</v>
      </c>
      <c r="AQ65" s="39" t="s">
        <v>2272</v>
      </c>
      <c r="AR65" s="3518">
        <v>8.75</v>
      </c>
      <c r="AS65" s="3518">
        <v>4</v>
      </c>
      <c r="AT65" s="3853">
        <f t="shared" si="26"/>
        <v>2.75</v>
      </c>
      <c r="AU65" s="3518">
        <v>6</v>
      </c>
      <c r="AW65" s="37"/>
      <c r="AX65" s="37"/>
      <c r="AY65" s="416" t="s">
        <v>485</v>
      </c>
      <c r="AZ65" s="707">
        <v>6.46</v>
      </c>
      <c r="BA65" s="2040">
        <v>65</v>
      </c>
      <c r="BB65" s="800">
        <f>+(BA58*BB58+BA59*BB59+BA60*BB60+BA61*BB61+BA62*BB62+BA63*BB63+BA64*BB64)/BA65</f>
        <v>0.3092307692307692</v>
      </c>
      <c r="BC65" s="2043"/>
      <c r="BE65" s="37"/>
      <c r="BF65" s="37" t="s">
        <v>21</v>
      </c>
      <c r="BG65" s="37" t="s">
        <v>142</v>
      </c>
      <c r="BH65" s="694">
        <v>6.07</v>
      </c>
      <c r="BI65" s="63">
        <v>14</v>
      </c>
      <c r="BJ65" s="134">
        <f t="shared" si="4"/>
        <v>7.0000000000000284E-2</v>
      </c>
      <c r="BL65" s="97" t="s">
        <v>59</v>
      </c>
      <c r="BM65" s="97" t="s">
        <v>16</v>
      </c>
      <c r="BN65" s="42" t="s">
        <v>608</v>
      </c>
      <c r="BO65" s="134">
        <v>6</v>
      </c>
      <c r="BP65" s="97">
        <v>7</v>
      </c>
      <c r="BQ65" s="134">
        <f t="shared" si="8"/>
        <v>0</v>
      </c>
      <c r="BR65" s="1"/>
      <c r="BS65" s="1274"/>
      <c r="BT65" s="1274" t="s">
        <v>710</v>
      </c>
      <c r="BU65" s="1275" t="s">
        <v>711</v>
      </c>
      <c r="BV65" s="1276">
        <v>6.2727272727272725</v>
      </c>
      <c r="BW65" s="1277">
        <v>11</v>
      </c>
      <c r="BX65" s="134">
        <f t="shared" si="9"/>
        <v>0.27272727272727249</v>
      </c>
      <c r="BZ65" s="774"/>
      <c r="CA65" s="774" t="s">
        <v>64</v>
      </c>
      <c r="CB65" s="775" t="s">
        <v>609</v>
      </c>
      <c r="CC65" s="776">
        <v>7</v>
      </c>
      <c r="CD65" s="777">
        <v>1</v>
      </c>
      <c r="CE65" s="778">
        <f t="shared" si="10"/>
        <v>1</v>
      </c>
      <c r="CG65" s="613"/>
      <c r="CH65" s="613"/>
      <c r="CI65" s="36"/>
      <c r="CJ65" s="613" t="s">
        <v>41</v>
      </c>
      <c r="CK65" s="391">
        <v>7.0796460176991109</v>
      </c>
      <c r="CL65" s="390">
        <v>113</v>
      </c>
      <c r="CM65" s="690">
        <v>1.9371444047892552</v>
      </c>
      <c r="CN65" s="837">
        <f>+(CL32*CN32+CL49*CN49)/CL65</f>
        <v>1.1504424778761069</v>
      </c>
      <c r="CP65" s="780"/>
      <c r="CR65" s="838" t="s">
        <v>41</v>
      </c>
      <c r="CS65" s="839">
        <v>8.0128205128205092</v>
      </c>
      <c r="CT65" s="837">
        <f>+(CU25*CT25+CU55*CT55)/CU65</f>
        <v>2.1282051282051291</v>
      </c>
      <c r="CU65" s="840">
        <v>78</v>
      </c>
      <c r="CV65" s="839">
        <v>8.4102564102564088</v>
      </c>
      <c r="CW65" s="837">
        <f>+(CU36*CW36+CU55*CW55)/CU65</f>
        <v>2.2692307692307701</v>
      </c>
      <c r="CY65" s="63"/>
      <c r="CZ65" s="63"/>
      <c r="DA65" s="63" t="s">
        <v>41</v>
      </c>
      <c r="DB65" s="63">
        <v>109</v>
      </c>
      <c r="DC65" s="694">
        <v>7.330275229357798</v>
      </c>
      <c r="DD65" s="37"/>
      <c r="DE65" s="694">
        <f>+(DB36*DE36+DB55*DE55)/DB65</f>
        <v>1.0458715596330277</v>
      </c>
      <c r="DF65" s="37"/>
      <c r="DG65" s="37"/>
      <c r="DH65" s="37"/>
      <c r="DI65" s="37"/>
      <c r="DJ65" s="37"/>
      <c r="DK65" s="37"/>
      <c r="DL65" s="37"/>
      <c r="DM65" s="37"/>
      <c r="DN65" s="37"/>
    </row>
    <row r="66" spans="1:118">
      <c r="A66" s="5797">
        <v>3</v>
      </c>
      <c r="B66" s="5797">
        <v>4</v>
      </c>
      <c r="C66" s="5796" t="s">
        <v>2088</v>
      </c>
      <c r="D66" s="5798">
        <v>5.8</v>
      </c>
      <c r="E66" s="5797">
        <v>8</v>
      </c>
      <c r="F66" s="1281">
        <f t="shared" si="17"/>
        <v>-0.20000000000000018</v>
      </c>
      <c r="G66" s="97">
        <v>6</v>
      </c>
      <c r="I66" s="5034">
        <v>3</v>
      </c>
      <c r="J66" s="5034">
        <v>4</v>
      </c>
      <c r="K66" s="5035" t="s">
        <v>297</v>
      </c>
      <c r="L66" s="5036">
        <v>6.3000000000000007</v>
      </c>
      <c r="M66" s="5034">
        <v>10</v>
      </c>
      <c r="N66" s="1281">
        <f t="shared" si="2"/>
        <v>0.30000000000000071</v>
      </c>
      <c r="O66" s="97">
        <v>6</v>
      </c>
      <c r="Q66" s="4561">
        <v>3</v>
      </c>
      <c r="R66" s="4561">
        <v>4</v>
      </c>
      <c r="S66" s="4562" t="s">
        <v>2087</v>
      </c>
      <c r="T66" s="4563">
        <v>6.5</v>
      </c>
      <c r="U66" s="4564">
        <v>4</v>
      </c>
      <c r="V66" s="1281">
        <f t="shared" si="3"/>
        <v>0.5</v>
      </c>
      <c r="W66" s="97">
        <v>6</v>
      </c>
      <c r="Y66" s="4177"/>
      <c r="Z66" s="4177"/>
      <c r="AA66" s="4166" t="s">
        <v>412</v>
      </c>
      <c r="AB66" s="4178">
        <v>5.87</v>
      </c>
      <c r="AC66" s="4167">
        <v>105</v>
      </c>
      <c r="AD66" s="1676">
        <f>+(AC52*AD52+AC62*AD62+AC65*AD65)/AC66</f>
        <v>-0.16085714285714287</v>
      </c>
      <c r="AE66" s="4179"/>
      <c r="AF66" s="4522"/>
      <c r="AG66" s="36"/>
      <c r="AH66" s="97"/>
      <c r="AI66" s="36" t="s">
        <v>2272</v>
      </c>
      <c r="AJ66" s="1346">
        <v>7.57</v>
      </c>
      <c r="AK66" s="95">
        <v>7</v>
      </c>
      <c r="AL66" s="1281">
        <f t="shared" si="29"/>
        <v>1.5700000000000003</v>
      </c>
      <c r="AM66" s="97">
        <v>6</v>
      </c>
      <c r="AQ66" s="3814" t="s">
        <v>485</v>
      </c>
      <c r="AR66" s="3816">
        <v>6.89</v>
      </c>
      <c r="AS66" s="3816">
        <v>47</v>
      </c>
      <c r="AT66" s="3844">
        <f>+(AS59*AT59+AS60*AT60+AS61*AT61+AS62*AT62+AS63*AT63+AS64*AT64+AS65*AT65)/AS66</f>
        <v>0.78787234042553189</v>
      </c>
      <c r="AU66" s="3518"/>
      <c r="AW66" s="37"/>
      <c r="AX66" s="37" t="s">
        <v>21</v>
      </c>
      <c r="AY66" s="37" t="s">
        <v>142</v>
      </c>
      <c r="AZ66" s="694">
        <v>6.04</v>
      </c>
      <c r="BA66" s="63">
        <v>27</v>
      </c>
      <c r="BB66" s="837">
        <f t="shared" si="7"/>
        <v>4.0000000000000036E-2</v>
      </c>
      <c r="BC66" s="2043">
        <v>6</v>
      </c>
      <c r="BE66" s="37"/>
      <c r="BF66" s="37"/>
      <c r="BG66" s="37" t="s">
        <v>389</v>
      </c>
      <c r="BH66" s="694">
        <v>6</v>
      </c>
      <c r="BI66" s="63">
        <v>15</v>
      </c>
      <c r="BJ66" s="134">
        <f t="shared" si="4"/>
        <v>0</v>
      </c>
      <c r="BL66" s="97"/>
      <c r="BM66" s="97"/>
      <c r="BN66" s="893" t="s">
        <v>483</v>
      </c>
      <c r="BO66" s="894">
        <v>6</v>
      </c>
      <c r="BP66" s="135">
        <v>7</v>
      </c>
      <c r="BQ66" s="894">
        <f t="shared" si="8"/>
        <v>0</v>
      </c>
      <c r="BR66" s="1"/>
      <c r="BS66" s="1274"/>
      <c r="BT66" s="1274"/>
      <c r="BU66" s="1278" t="s">
        <v>731</v>
      </c>
      <c r="BV66" s="1279">
        <v>6.2727272727272725</v>
      </c>
      <c r="BW66" s="1280">
        <v>11</v>
      </c>
      <c r="BX66" s="134">
        <f t="shared" si="9"/>
        <v>0.27272727272727249</v>
      </c>
      <c r="BZ66" s="774"/>
      <c r="CA66" s="774"/>
      <c r="CB66" s="797" t="s">
        <v>487</v>
      </c>
      <c r="CC66" s="798">
        <v>7</v>
      </c>
      <c r="CD66" s="799">
        <v>1</v>
      </c>
      <c r="CE66" s="800">
        <f t="shared" si="10"/>
        <v>1</v>
      </c>
      <c r="CG66" s="613"/>
      <c r="CH66" s="613"/>
      <c r="CI66" s="36"/>
      <c r="CJ66" s="613" t="s">
        <v>103</v>
      </c>
      <c r="CK66" s="391">
        <v>5.8181818181818192</v>
      </c>
      <c r="CL66" s="390">
        <v>88</v>
      </c>
      <c r="CM66" s="690">
        <v>1.4105143314429143</v>
      </c>
      <c r="CN66" s="837">
        <f>+(CL15*CN15+CL53*CN53)/CL66</f>
        <v>1.0795454545454544</v>
      </c>
      <c r="CP66" s="780"/>
      <c r="CR66" s="838" t="s">
        <v>103</v>
      </c>
      <c r="CS66" s="839">
        <v>4.8611111111111107</v>
      </c>
      <c r="CT66" s="837">
        <f>+(CU17*CT17+CU59*CT59)/CU66</f>
        <v>-1.1388888888888886</v>
      </c>
      <c r="CU66" s="840">
        <v>36</v>
      </c>
      <c r="CV66" s="839">
        <v>6.6388888888888902</v>
      </c>
      <c r="CW66" s="837">
        <f>+(CU17*CW17+CU59*CW59)/CU66</f>
        <v>0.63888888888888806</v>
      </c>
      <c r="CY66" s="63"/>
      <c r="CZ66" s="63"/>
      <c r="DA66" s="63" t="s">
        <v>103</v>
      </c>
      <c r="DB66" s="63">
        <v>54</v>
      </c>
      <c r="DC66" s="694">
        <v>7.0370370370370372</v>
      </c>
      <c r="DD66" s="37"/>
      <c r="DE66" s="694">
        <f>+(DB17*DE17+DB59*DE59)/DB66</f>
        <v>1.037037037037037</v>
      </c>
      <c r="DF66" s="37"/>
      <c r="DG66" s="37"/>
      <c r="DH66" s="37"/>
      <c r="DI66" s="37"/>
      <c r="DJ66" s="37"/>
      <c r="DK66" s="37"/>
      <c r="DL66" s="37"/>
      <c r="DM66" s="37"/>
      <c r="DN66" s="37"/>
    </row>
    <row r="67" spans="1:118" ht="15" thickBot="1">
      <c r="A67" s="5797">
        <v>3</v>
      </c>
      <c r="B67" s="5797">
        <v>4</v>
      </c>
      <c r="C67" s="5796" t="s">
        <v>2087</v>
      </c>
      <c r="D67" s="5798">
        <v>6</v>
      </c>
      <c r="E67" s="5797">
        <v>1</v>
      </c>
      <c r="F67" s="1281">
        <f t="shared" si="17"/>
        <v>0</v>
      </c>
      <c r="G67" s="97">
        <v>6</v>
      </c>
      <c r="I67" s="5034">
        <v>3</v>
      </c>
      <c r="J67" s="5034">
        <v>4</v>
      </c>
      <c r="K67" s="5035" t="s">
        <v>2088</v>
      </c>
      <c r="L67" s="5036">
        <v>5.8</v>
      </c>
      <c r="M67" s="5034">
        <v>8</v>
      </c>
      <c r="N67" s="1281">
        <f t="shared" si="2"/>
        <v>-0.20000000000000018</v>
      </c>
      <c r="O67" s="97">
        <v>6</v>
      </c>
      <c r="Q67" s="4561"/>
      <c r="R67" s="4561"/>
      <c r="S67" s="4520" t="s">
        <v>484</v>
      </c>
      <c r="T67" s="4563"/>
      <c r="U67" s="4568">
        <f>SUM(U65:U66)</f>
        <v>18</v>
      </c>
      <c r="V67" s="1675">
        <f>+(U65*V65+U66*V66)/U67</f>
        <v>0.27314814814814858</v>
      </c>
      <c r="Y67" s="36" t="s">
        <v>59</v>
      </c>
      <c r="Z67" s="36" t="s">
        <v>16</v>
      </c>
      <c r="AA67" s="36" t="s">
        <v>608</v>
      </c>
      <c r="AB67" s="1346">
        <v>6.29</v>
      </c>
      <c r="AC67" s="95">
        <v>7</v>
      </c>
      <c r="AD67" s="1281">
        <f t="shared" ref="AD67:AD72" si="30">AB67-6</f>
        <v>0.29000000000000004</v>
      </c>
      <c r="AE67" s="97">
        <v>6</v>
      </c>
      <c r="AF67" s="4522"/>
      <c r="AG67" s="36"/>
      <c r="AH67" s="97"/>
      <c r="AI67" s="36"/>
      <c r="AJ67" s="1346"/>
      <c r="AK67" s="95"/>
      <c r="AL67" s="1281"/>
      <c r="AM67" s="97"/>
      <c r="AP67" s="39" t="s">
        <v>21</v>
      </c>
      <c r="AQ67" s="39" t="s">
        <v>142</v>
      </c>
      <c r="AR67" s="3518">
        <v>6.33</v>
      </c>
      <c r="AS67" s="3518">
        <v>3</v>
      </c>
      <c r="AT67" s="3853">
        <f t="shared" si="26"/>
        <v>0.33000000000000007</v>
      </c>
      <c r="AU67" s="3518">
        <v>6</v>
      </c>
      <c r="AW67" s="37"/>
      <c r="AX67" s="37"/>
      <c r="AY67" s="37" t="s">
        <v>389</v>
      </c>
      <c r="AZ67" s="694">
        <v>6</v>
      </c>
      <c r="BA67" s="63">
        <v>2</v>
      </c>
      <c r="BB67" s="837">
        <f t="shared" si="7"/>
        <v>0</v>
      </c>
      <c r="BC67" s="2043">
        <v>6</v>
      </c>
      <c r="BE67" s="37"/>
      <c r="BF67" s="37"/>
      <c r="BG67" s="37" t="s">
        <v>390</v>
      </c>
      <c r="BH67" s="694">
        <v>6.56</v>
      </c>
      <c r="BI67" s="63">
        <v>9</v>
      </c>
      <c r="BJ67" s="134">
        <f t="shared" si="4"/>
        <v>0.55999999999999961</v>
      </c>
      <c r="BL67" s="97"/>
      <c r="BM67" s="97" t="s">
        <v>710</v>
      </c>
      <c r="BN67" s="42" t="s">
        <v>711</v>
      </c>
      <c r="BO67" s="134">
        <v>6.83</v>
      </c>
      <c r="BP67" s="97">
        <v>18</v>
      </c>
      <c r="BQ67" s="134">
        <f t="shared" si="8"/>
        <v>0.83000000000000007</v>
      </c>
      <c r="BR67" s="1"/>
      <c r="BS67" s="1274"/>
      <c r="BT67" s="1274" t="s">
        <v>64</v>
      </c>
      <c r="BU67" s="1275" t="s">
        <v>609</v>
      </c>
      <c r="BV67" s="1276">
        <v>6.3333333333333339</v>
      </c>
      <c r="BW67" s="1277">
        <v>6</v>
      </c>
      <c r="BX67" s="134">
        <f t="shared" si="9"/>
        <v>0.33333333333333393</v>
      </c>
      <c r="BZ67" s="774"/>
      <c r="CA67" s="774"/>
      <c r="CB67" s="821" t="s">
        <v>256</v>
      </c>
      <c r="CC67" s="822">
        <v>6.2</v>
      </c>
      <c r="CD67" s="823">
        <v>15</v>
      </c>
      <c r="CE67" s="824">
        <f t="shared" si="10"/>
        <v>0.20000000000000018</v>
      </c>
      <c r="CG67" s="638"/>
      <c r="CH67" s="638"/>
      <c r="CI67" s="638"/>
      <c r="CJ67" s="719" t="s">
        <v>112</v>
      </c>
      <c r="CK67" s="400">
        <v>6.9778270509977807</v>
      </c>
      <c r="CL67" s="399">
        <v>451</v>
      </c>
      <c r="CM67" s="720">
        <v>2.0098525487706675</v>
      </c>
      <c r="CN67" s="841">
        <f>+(CL63*CN63+CL64*CN64+CL65*CN65+CL66*CN66)/CL67</f>
        <v>1.266075388026608</v>
      </c>
      <c r="CP67" s="780"/>
      <c r="CR67" s="842" t="s">
        <v>75</v>
      </c>
      <c r="CS67" s="843">
        <v>7.2499999999999982</v>
      </c>
      <c r="CT67" s="844">
        <f>+(CU63*CT63+CU64*CT64+CU65*CT65+CU66*CT66)/CU67</f>
        <v>1.3720930232558139</v>
      </c>
      <c r="CU67" s="845">
        <v>344</v>
      </c>
      <c r="CV67" s="843">
        <v>8.0290697674418627</v>
      </c>
      <c r="CW67" s="844">
        <f>+(CU63*CW63+CU64*CW64+CU65*CW65+CU66*CW66)/CU67</f>
        <v>2.0676532769556029</v>
      </c>
      <c r="CY67" s="63"/>
      <c r="CZ67" s="63"/>
      <c r="DA67" s="423" t="s">
        <v>75</v>
      </c>
      <c r="DB67" s="423">
        <v>465</v>
      </c>
      <c r="DC67" s="729">
        <v>8.660215053763439</v>
      </c>
      <c r="DD67" s="474"/>
      <c r="DE67" s="729">
        <f>+(DB63*DE63+DB64*DE64+DB65*DE65+DB66*DE66)/DB67</f>
        <v>2.6129032258064511</v>
      </c>
      <c r="DF67" s="37"/>
      <c r="DG67" s="37"/>
      <c r="DH67" s="37"/>
      <c r="DI67" s="37"/>
      <c r="DJ67" s="37"/>
      <c r="DK67" s="37"/>
      <c r="DL67" s="37"/>
      <c r="DM67" s="37"/>
      <c r="DN67" s="37"/>
    </row>
    <row r="68" spans="1:118" ht="15" thickBot="1">
      <c r="A68" s="5797"/>
      <c r="B68" s="5797"/>
      <c r="C68" s="5799" t="s">
        <v>21</v>
      </c>
      <c r="D68" s="5798"/>
      <c r="E68" s="5799">
        <f>SUM(E65:E67)</f>
        <v>19</v>
      </c>
      <c r="F68" s="1675">
        <f>+(E65*F65+E66*F66+E67*F67)/E68</f>
        <v>6.9298245614034706E-2</v>
      </c>
      <c r="G68" s="97"/>
      <c r="I68" s="5034"/>
      <c r="J68" s="5034"/>
      <c r="K68" s="4884" t="s">
        <v>484</v>
      </c>
      <c r="L68" s="5036"/>
      <c r="M68" s="5037">
        <f>SUM(M66:M67)</f>
        <v>18</v>
      </c>
      <c r="N68" s="1675">
        <f>+(M66*N66+M67*N67)/M68</f>
        <v>7.7777777777778098E-2</v>
      </c>
      <c r="O68" s="97"/>
      <c r="Q68" s="4574"/>
      <c r="R68" s="4574"/>
      <c r="S68" s="4575" t="s">
        <v>412</v>
      </c>
      <c r="T68" s="4578"/>
      <c r="U68" s="4577">
        <f>SUM(U67,U64,U54)</f>
        <v>111</v>
      </c>
      <c r="V68" s="1676">
        <f>+(U54*V54+U64*V64+U67*V67)/U68</f>
        <v>-2.8153153153153152E-3</v>
      </c>
      <c r="W68" s="4381"/>
      <c r="Y68" s="36"/>
      <c r="Z68" s="36"/>
      <c r="AA68" s="393" t="s">
        <v>483</v>
      </c>
      <c r="AB68" s="1361">
        <v>6.29</v>
      </c>
      <c r="AC68" s="4520">
        <v>7</v>
      </c>
      <c r="AD68" s="1675">
        <f t="shared" si="30"/>
        <v>0.29000000000000004</v>
      </c>
      <c r="AE68" s="97">
        <v>6</v>
      </c>
      <c r="AF68" s="4522"/>
      <c r="AG68" s="36"/>
      <c r="AH68" s="97"/>
      <c r="AI68" s="36"/>
      <c r="AJ68" s="1346"/>
      <c r="AK68" s="95"/>
      <c r="AL68" s="1281"/>
      <c r="AM68" s="97"/>
      <c r="AQ68" s="39" t="s">
        <v>389</v>
      </c>
      <c r="AR68" s="3518">
        <v>6</v>
      </c>
      <c r="AS68" s="3518">
        <v>3</v>
      </c>
      <c r="AT68" s="3853">
        <f t="shared" si="26"/>
        <v>0</v>
      </c>
      <c r="AU68" s="3518">
        <v>6</v>
      </c>
      <c r="AW68" s="37"/>
      <c r="AX68" s="37"/>
      <c r="AY68" s="416" t="s">
        <v>484</v>
      </c>
      <c r="AZ68" s="707">
        <v>6.03</v>
      </c>
      <c r="BA68" s="2040">
        <v>29</v>
      </c>
      <c r="BB68" s="800">
        <f>+(BA66*BB66+BA67*BB67)/BA68</f>
        <v>3.7241379310344859E-2</v>
      </c>
      <c r="BC68" s="2043"/>
      <c r="BE68" s="37"/>
      <c r="BF68" s="37"/>
      <c r="BG68" s="416" t="s">
        <v>484</v>
      </c>
      <c r="BH68" s="707">
        <v>6.16</v>
      </c>
      <c r="BI68" s="386">
        <v>38</v>
      </c>
      <c r="BJ68" s="800">
        <f>+(BI65*BJ65+BI66*BJ66+BI67*BJ67)/BI68</f>
        <v>0.15842105263157896</v>
      </c>
      <c r="BL68" s="97"/>
      <c r="BM68" s="97"/>
      <c r="BN68" s="893" t="s">
        <v>486</v>
      </c>
      <c r="BO68" s="894">
        <v>6.83</v>
      </c>
      <c r="BP68" s="135">
        <v>18</v>
      </c>
      <c r="BQ68" s="894">
        <f t="shared" si="8"/>
        <v>0.83000000000000007</v>
      </c>
      <c r="BR68" s="1"/>
      <c r="BS68" s="1274"/>
      <c r="BT68" s="1274"/>
      <c r="BU68" s="1278" t="s">
        <v>487</v>
      </c>
      <c r="BV68" s="1279">
        <v>6.3333333333333339</v>
      </c>
      <c r="BW68" s="1280">
        <v>6</v>
      </c>
      <c r="BX68" s="894">
        <f t="shared" si="9"/>
        <v>0.33333333333333393</v>
      </c>
      <c r="BZ68" s="846"/>
      <c r="CA68" s="846"/>
      <c r="CB68" s="847" t="s">
        <v>112</v>
      </c>
      <c r="CC68" s="848">
        <v>6.9348268839103895</v>
      </c>
      <c r="CD68" s="849">
        <v>491</v>
      </c>
      <c r="CE68" s="850">
        <f>+(CD20*CE20+CD39*CE39+CD60*CE60+CD67*CE67)/CD68</f>
        <v>1.2749490835030555</v>
      </c>
      <c r="CP68" s="780"/>
      <c r="CY68" s="63"/>
      <c r="CZ68" s="63"/>
      <c r="DA68" s="63"/>
      <c r="DB68" s="37"/>
      <c r="DC68" s="37"/>
      <c r="DD68" s="37"/>
      <c r="DE68" s="37"/>
      <c r="DF68" s="792">
        <f>AVERAGE(DE9,DE15,DE17)</f>
        <v>4.6617038875103383</v>
      </c>
      <c r="DG68" s="37"/>
      <c r="DH68" s="37"/>
      <c r="DI68" s="37"/>
      <c r="DJ68" s="37"/>
      <c r="DK68" s="37"/>
      <c r="DL68" s="37"/>
      <c r="DM68" s="37"/>
      <c r="DN68" s="37"/>
    </row>
    <row r="69" spans="1:118">
      <c r="A69" s="5803"/>
      <c r="B69" s="5803"/>
      <c r="C69" s="5804" t="s">
        <v>74</v>
      </c>
      <c r="D69" s="5805"/>
      <c r="E69" s="5804">
        <f>SUM(E68,E64,E56)</f>
        <v>113</v>
      </c>
      <c r="F69" s="1676">
        <f>+(E56*F56+E64*F64+E68*F68)/E69</f>
        <v>0.67483143699957882</v>
      </c>
      <c r="G69" s="5790"/>
      <c r="I69" s="5040"/>
      <c r="J69" s="5040"/>
      <c r="K69" s="4575" t="s">
        <v>412</v>
      </c>
      <c r="L69" s="5039"/>
      <c r="M69" s="5042">
        <f>SUM(M68,M65,M57)</f>
        <v>109</v>
      </c>
      <c r="N69" s="1676">
        <f>+(M57*N57+M65*N65+M68*N68)/M69</f>
        <v>0.59655963302752302</v>
      </c>
      <c r="O69" s="4381"/>
      <c r="Q69" s="4570">
        <v>4</v>
      </c>
      <c r="R69" s="4580" t="s">
        <v>16</v>
      </c>
      <c r="S69" s="4571" t="s">
        <v>608</v>
      </c>
      <c r="T69" s="4572">
        <v>6.7142857142857144</v>
      </c>
      <c r="U69" s="4573">
        <v>9</v>
      </c>
      <c r="V69" s="1281">
        <f t="shared" si="3"/>
        <v>0.71428571428571441</v>
      </c>
      <c r="W69" s="97">
        <v>6</v>
      </c>
      <c r="Y69" s="36"/>
      <c r="Z69" s="36" t="s">
        <v>61</v>
      </c>
      <c r="AA69" s="36" t="s">
        <v>711</v>
      </c>
      <c r="AB69" s="1346">
        <v>6.5</v>
      </c>
      <c r="AC69" s="95">
        <v>12</v>
      </c>
      <c r="AD69" s="1281">
        <f t="shared" si="30"/>
        <v>0.5</v>
      </c>
      <c r="AE69" s="97">
        <v>6</v>
      </c>
      <c r="AF69" s="4522"/>
      <c r="AG69" s="36"/>
      <c r="AH69" s="97"/>
      <c r="AI69" s="393" t="s">
        <v>485</v>
      </c>
      <c r="AJ69" s="1361">
        <v>6.77</v>
      </c>
      <c r="AK69" s="3794">
        <v>61</v>
      </c>
      <c r="AL69" s="1675">
        <f>+(+AK60*AL60+AK61*AL61+AK62*AL62+AK63*AL63+AK64*AL64+AK65*AL65+AK66*AL66)/AK69</f>
        <v>0.77180327868852461</v>
      </c>
      <c r="AM69" s="97"/>
      <c r="AQ69" s="39" t="s">
        <v>390</v>
      </c>
      <c r="AR69" s="3518">
        <v>6</v>
      </c>
      <c r="AS69" s="3518">
        <v>6</v>
      </c>
      <c r="AT69" s="3853">
        <f t="shared" si="26"/>
        <v>0</v>
      </c>
      <c r="AU69" s="3518">
        <v>6</v>
      </c>
      <c r="AW69" s="2058"/>
      <c r="AX69" s="2058"/>
      <c r="AY69" s="2059" t="s">
        <v>412</v>
      </c>
      <c r="AZ69" s="2060">
        <v>6.32</v>
      </c>
      <c r="BA69" s="2061">
        <v>192</v>
      </c>
      <c r="BB69" s="1502">
        <f>+(BA57*BB57+BA65*BB65+BA68*BB68)/BA69</f>
        <v>0.26770833333333327</v>
      </c>
      <c r="BC69" s="2043"/>
      <c r="BE69" s="1684"/>
      <c r="BF69" s="1684"/>
      <c r="BG69" s="1685" t="s">
        <v>412</v>
      </c>
      <c r="BH69" s="1686">
        <v>6.07</v>
      </c>
      <c r="BI69" s="1687">
        <v>187</v>
      </c>
      <c r="BJ69" s="1502">
        <f>+(BI54*BJ54+BI64*BJ64+BI68*BJ68)/BI69</f>
        <v>7.4973262032085611E-2</v>
      </c>
      <c r="BL69" s="97"/>
      <c r="BM69" s="97" t="s">
        <v>64</v>
      </c>
      <c r="BN69" s="42" t="s">
        <v>609</v>
      </c>
      <c r="BO69" s="134">
        <v>7</v>
      </c>
      <c r="BP69" s="97">
        <v>9</v>
      </c>
      <c r="BQ69" s="134">
        <f t="shared" si="8"/>
        <v>1</v>
      </c>
      <c r="BR69" s="1"/>
      <c r="BS69" s="1274"/>
      <c r="BT69" s="1274"/>
      <c r="BU69" s="1278" t="s">
        <v>256</v>
      </c>
      <c r="BV69" s="1279">
        <v>6.1923076923076925</v>
      </c>
      <c r="BW69" s="1280">
        <v>26</v>
      </c>
      <c r="BX69" s="1287">
        <f>+(BW64*BX64+BW66*BX66+BW68*BX68)/BW69</f>
        <v>0.19230769230769235</v>
      </c>
      <c r="CP69" s="780"/>
      <c r="CY69" s="63"/>
      <c r="CZ69" s="63"/>
      <c r="DA69" s="63"/>
      <c r="DB69" s="37"/>
      <c r="DC69" s="37"/>
      <c r="DD69" s="37"/>
      <c r="DE69" s="37"/>
      <c r="DF69" s="792">
        <f>AVERAGE(DE25,DE32,DE36)</f>
        <v>2.8593863077145745</v>
      </c>
      <c r="DG69" s="37"/>
      <c r="DH69" s="37"/>
      <c r="DI69" s="37"/>
      <c r="DJ69" s="37"/>
      <c r="DK69" s="37"/>
      <c r="DL69" s="37"/>
      <c r="DM69" s="37"/>
      <c r="DN69" s="37"/>
    </row>
    <row r="70" spans="1:118" s="1" customFormat="1" ht="42" thickBot="1">
      <c r="A70" s="5800">
        <v>4</v>
      </c>
      <c r="B70" s="5800">
        <v>2</v>
      </c>
      <c r="C70" s="5801" t="s">
        <v>608</v>
      </c>
      <c r="D70" s="5802">
        <v>6</v>
      </c>
      <c r="E70" s="5800">
        <v>1</v>
      </c>
      <c r="F70" s="1281">
        <f t="shared" si="17"/>
        <v>0</v>
      </c>
      <c r="G70" s="97">
        <v>6</v>
      </c>
      <c r="I70" s="5038">
        <v>4</v>
      </c>
      <c r="J70" s="5038">
        <v>2</v>
      </c>
      <c r="K70" s="5044" t="s">
        <v>608</v>
      </c>
      <c r="L70" s="4572">
        <v>6</v>
      </c>
      <c r="M70" s="5038">
        <v>1</v>
      </c>
      <c r="N70" s="1281">
        <f t="shared" si="2"/>
        <v>0</v>
      </c>
      <c r="O70" s="97">
        <v>6</v>
      </c>
      <c r="Q70" s="4589">
        <v>4</v>
      </c>
      <c r="R70" s="4590" t="s">
        <v>61</v>
      </c>
      <c r="S70" s="4591" t="s">
        <v>383</v>
      </c>
      <c r="T70" s="4592">
        <v>6.5227272727272734</v>
      </c>
      <c r="U70" s="4593">
        <v>17</v>
      </c>
      <c r="V70" s="1281">
        <f t="shared" si="3"/>
        <v>0.52272727272727337</v>
      </c>
      <c r="W70" s="97">
        <v>6</v>
      </c>
      <c r="Y70" s="42"/>
      <c r="Z70" s="42"/>
      <c r="AA70" s="893" t="s">
        <v>486</v>
      </c>
      <c r="AB70" s="1675">
        <v>6.5</v>
      </c>
      <c r="AC70" s="135">
        <v>12</v>
      </c>
      <c r="AD70" s="1675">
        <f t="shared" si="30"/>
        <v>0.5</v>
      </c>
      <c r="AE70" s="97">
        <v>6</v>
      </c>
      <c r="AG70" s="42"/>
      <c r="AH70" s="97" t="s">
        <v>21</v>
      </c>
      <c r="AI70" s="42" t="s">
        <v>142</v>
      </c>
      <c r="AJ70" s="1281">
        <v>6.15</v>
      </c>
      <c r="AK70" s="97">
        <v>20</v>
      </c>
      <c r="AL70" s="1281">
        <f>AJ70-6</f>
        <v>0.15000000000000036</v>
      </c>
      <c r="AM70" s="97">
        <v>6</v>
      </c>
      <c r="AO70" s="39"/>
      <c r="AP70" s="39"/>
      <c r="AQ70" s="3814" t="s">
        <v>484</v>
      </c>
      <c r="AR70" s="3816">
        <v>6.08</v>
      </c>
      <c r="AS70" s="3816">
        <v>12</v>
      </c>
      <c r="AT70" s="3844">
        <f>+(AS67*AT67+AS68*AT68+AS69*AT69)/AS70</f>
        <v>8.2500000000000018E-2</v>
      </c>
      <c r="AU70" s="3816"/>
      <c r="AW70" s="51" t="s">
        <v>59</v>
      </c>
      <c r="AX70" s="51" t="s">
        <v>16</v>
      </c>
      <c r="AY70" s="51" t="s">
        <v>608</v>
      </c>
      <c r="AZ70" s="837">
        <v>6.67</v>
      </c>
      <c r="BA70" s="2043">
        <v>9</v>
      </c>
      <c r="BB70" s="837">
        <f t="shared" si="7"/>
        <v>0.66999999999999993</v>
      </c>
      <c r="BC70" s="2043">
        <v>6</v>
      </c>
      <c r="BE70" s="51" t="s">
        <v>59</v>
      </c>
      <c r="BF70" s="51" t="s">
        <v>16</v>
      </c>
      <c r="BG70" s="51" t="s">
        <v>608</v>
      </c>
      <c r="BH70" s="837">
        <v>6.75</v>
      </c>
      <c r="BI70" s="2043">
        <v>12</v>
      </c>
      <c r="BJ70" s="134">
        <f t="shared" si="4"/>
        <v>0.75</v>
      </c>
      <c r="BL70" s="97"/>
      <c r="BM70" s="97"/>
      <c r="BN70" s="893" t="s">
        <v>487</v>
      </c>
      <c r="BO70" s="894">
        <v>7</v>
      </c>
      <c r="BP70" s="135">
        <v>9</v>
      </c>
      <c r="BQ70" s="894">
        <f t="shared" si="8"/>
        <v>1</v>
      </c>
      <c r="BS70" s="1291"/>
      <c r="BT70" s="1291"/>
      <c r="BU70" s="1292" t="s">
        <v>112</v>
      </c>
      <c r="BV70" s="1293">
        <v>6.8130841121495243</v>
      </c>
      <c r="BW70" s="1294">
        <v>428</v>
      </c>
      <c r="BX70" s="850">
        <f>+(BW22*BX22+BW41*BX41+BW62*BX62+BW69*BX69)/BW70</f>
        <v>0.85280373831775702</v>
      </c>
      <c r="CP70" s="4181"/>
      <c r="CR70" s="679" t="s">
        <v>0</v>
      </c>
      <c r="CS70" s="679" t="s">
        <v>1187</v>
      </c>
      <c r="CT70" s="679" t="s">
        <v>1122</v>
      </c>
      <c r="CU70" s="770" t="s">
        <v>1185</v>
      </c>
      <c r="CV70" s="679" t="s">
        <v>1188</v>
      </c>
      <c r="CW70" s="679" t="s">
        <v>1122</v>
      </c>
      <c r="CY70" s="2043"/>
      <c r="CZ70" s="2043"/>
      <c r="DA70" s="681" t="s">
        <v>0</v>
      </c>
      <c r="DB70" s="681" t="s">
        <v>1185</v>
      </c>
      <c r="DC70" s="47" t="s">
        <v>1189</v>
      </c>
      <c r="DD70" s="47" t="s">
        <v>1190</v>
      </c>
      <c r="DE70" s="47" t="s">
        <v>1122</v>
      </c>
      <c r="DF70" s="4182">
        <f>AVERAGE(DE47,DE55,DE59)</f>
        <v>0.96622046668129613</v>
      </c>
      <c r="DG70" s="51"/>
      <c r="DH70" s="51"/>
      <c r="DI70" s="51"/>
      <c r="DJ70" s="51"/>
      <c r="DK70" s="51"/>
      <c r="DL70" s="51"/>
      <c r="DM70" s="51"/>
      <c r="DN70" s="51"/>
    </row>
    <row r="71" spans="1:118">
      <c r="A71" s="5797">
        <v>4</v>
      </c>
      <c r="B71" s="5797">
        <v>5</v>
      </c>
      <c r="C71" s="5796" t="s">
        <v>383</v>
      </c>
      <c r="D71" s="5798">
        <v>6.7142857142857144</v>
      </c>
      <c r="E71" s="5797">
        <v>14</v>
      </c>
      <c r="F71" s="1281">
        <f t="shared" si="17"/>
        <v>0.71428571428571441</v>
      </c>
      <c r="G71" s="97">
        <v>6</v>
      </c>
      <c r="I71" s="5034">
        <v>4</v>
      </c>
      <c r="J71" s="5034">
        <v>5</v>
      </c>
      <c r="K71" s="5035" t="s">
        <v>383</v>
      </c>
      <c r="L71" s="5036">
        <v>6.6875</v>
      </c>
      <c r="M71" s="5034">
        <v>14</v>
      </c>
      <c r="N71" s="1281">
        <f t="shared" si="2"/>
        <v>0.6875</v>
      </c>
      <c r="O71" s="97">
        <v>6</v>
      </c>
      <c r="Q71" s="4594">
        <v>4</v>
      </c>
      <c r="R71" s="4595" t="s">
        <v>64</v>
      </c>
      <c r="S71" s="4596" t="s">
        <v>609</v>
      </c>
      <c r="T71" s="4597">
        <v>6.5</v>
      </c>
      <c r="U71" s="4598">
        <v>6</v>
      </c>
      <c r="V71" s="4579">
        <f t="shared" ref="V71" si="31">T71-W71</f>
        <v>0.5</v>
      </c>
      <c r="W71" s="4381">
        <v>6</v>
      </c>
      <c r="Y71" s="36"/>
      <c r="Z71" s="36" t="s">
        <v>64</v>
      </c>
      <c r="AA71" s="36" t="s">
        <v>609</v>
      </c>
      <c r="AB71" s="1346">
        <v>6.6</v>
      </c>
      <c r="AC71" s="95">
        <v>5</v>
      </c>
      <c r="AD71" s="1281">
        <f t="shared" si="30"/>
        <v>0.59999999999999964</v>
      </c>
      <c r="AE71" s="97">
        <v>6</v>
      </c>
      <c r="AF71" s="4522"/>
      <c r="AG71" s="36"/>
      <c r="AH71" s="97"/>
      <c r="AI71" s="36" t="s">
        <v>389</v>
      </c>
      <c r="AJ71" s="1346">
        <v>6</v>
      </c>
      <c r="AK71" s="95">
        <v>7</v>
      </c>
      <c r="AL71" s="1281">
        <f>AJ71-6</f>
        <v>0</v>
      </c>
      <c r="AM71" s="97">
        <v>6</v>
      </c>
      <c r="AO71" s="3846"/>
      <c r="AP71" s="3846"/>
      <c r="AQ71" s="3847" t="s">
        <v>412</v>
      </c>
      <c r="AR71" s="3848">
        <v>6.5</v>
      </c>
      <c r="AS71" s="3848">
        <v>119</v>
      </c>
      <c r="AT71" s="3849">
        <f>+(AS58*AT58+AS66*AT66+AS70*AT70)/AS71</f>
        <v>0.46277310924369747</v>
      </c>
      <c r="AU71" s="3848"/>
      <c r="AW71" s="37"/>
      <c r="AX71" s="37"/>
      <c r="AY71" s="416" t="s">
        <v>483</v>
      </c>
      <c r="AZ71" s="707">
        <v>6.67</v>
      </c>
      <c r="BA71" s="2040">
        <v>9</v>
      </c>
      <c r="BB71" s="837">
        <f>AZ71-BC71</f>
        <v>0.66999999999999993</v>
      </c>
      <c r="BC71" s="2043">
        <v>6</v>
      </c>
      <c r="BE71" s="37"/>
      <c r="BF71" s="37"/>
      <c r="BG71" s="416" t="s">
        <v>483</v>
      </c>
      <c r="BH71" s="707">
        <v>6.75</v>
      </c>
      <c r="BI71" s="386">
        <v>12</v>
      </c>
      <c r="BJ71" s="134">
        <f>BH71-6</f>
        <v>0.75</v>
      </c>
      <c r="BL71" s="97"/>
      <c r="BM71" s="97"/>
      <c r="BN71" s="1498" t="s">
        <v>256</v>
      </c>
      <c r="BO71" s="1499">
        <v>6.71</v>
      </c>
      <c r="BP71" s="1500">
        <v>34</v>
      </c>
      <c r="BQ71" s="1287">
        <f>+(BP66*BQ66+BP68*BQ68+BP70*BQ70)/BP71</f>
        <v>0.70411764705882351</v>
      </c>
      <c r="BR71" s="1"/>
      <c r="BS71" s="1295"/>
      <c r="BT71" s="1295"/>
      <c r="BU71" s="1296"/>
      <c r="BV71" s="1297"/>
      <c r="BW71" s="1298"/>
      <c r="BX71" s="134"/>
      <c r="CP71" s="780"/>
      <c r="CR71" s="851" t="s">
        <v>105</v>
      </c>
      <c r="CS71" s="852">
        <v>6.3116883116883109</v>
      </c>
      <c r="CT71" s="852">
        <f>+(CU9*CT9+CU15*CT15+CU17*CT17)/CU71</f>
        <v>0.42857142857142866</v>
      </c>
      <c r="CU71" s="853">
        <v>77</v>
      </c>
      <c r="CV71" s="852">
        <v>8.1298701298701221</v>
      </c>
      <c r="CW71" s="852">
        <f>+(CU9*CW9+CU15*CW15+CU17*CW17)/CU71</f>
        <v>2.2467532467532472</v>
      </c>
      <c r="CY71" s="63"/>
      <c r="CZ71" s="63"/>
      <c r="DA71" s="63" t="s">
        <v>3</v>
      </c>
      <c r="DB71" s="63">
        <v>81</v>
      </c>
      <c r="DC71" s="694">
        <v>10.925925925925927</v>
      </c>
      <c r="DD71" s="416"/>
      <c r="DE71" s="694">
        <f>+(DB9*DE9+DB15*DE15+DB17*DE17)/DB71</f>
        <v>5.0370370370370363</v>
      </c>
      <c r="DF71" s="37"/>
      <c r="DG71" s="37"/>
      <c r="DH71" s="37"/>
      <c r="DI71" s="37"/>
      <c r="DJ71" s="37"/>
      <c r="DK71" s="37"/>
      <c r="DL71" s="37"/>
      <c r="DM71" s="37"/>
      <c r="DN71" s="37"/>
    </row>
    <row r="72" spans="1:118" ht="15" thickBot="1">
      <c r="A72" s="5797">
        <v>4</v>
      </c>
      <c r="B72" s="5797">
        <v>6</v>
      </c>
      <c r="C72" s="5796" t="s">
        <v>609</v>
      </c>
      <c r="D72" s="5798">
        <v>7.5</v>
      </c>
      <c r="E72" s="5797">
        <v>4</v>
      </c>
      <c r="F72" s="1281">
        <f t="shared" si="17"/>
        <v>1.5</v>
      </c>
      <c r="G72" s="97">
        <v>6</v>
      </c>
      <c r="I72" s="5034">
        <v>4</v>
      </c>
      <c r="J72" s="5034">
        <v>6</v>
      </c>
      <c r="K72" s="5035" t="s">
        <v>609</v>
      </c>
      <c r="L72" s="5036">
        <v>7.6666666666666661</v>
      </c>
      <c r="M72" s="5045">
        <v>4</v>
      </c>
      <c r="N72" s="1281">
        <f t="shared" si="2"/>
        <v>1.6666666666666661</v>
      </c>
      <c r="O72" s="97">
        <v>6</v>
      </c>
      <c r="Q72" s="4584"/>
      <c r="R72" s="4585"/>
      <c r="S72" s="4167" t="s">
        <v>256</v>
      </c>
      <c r="T72" s="4586"/>
      <c r="U72" s="4587">
        <f>SUM(U69:U71)</f>
        <v>32</v>
      </c>
      <c r="V72" s="4588">
        <f>+(U69*V69+U70*V70+U71*V71)/U72</f>
        <v>0.57234172077922119</v>
      </c>
      <c r="W72" s="4600"/>
      <c r="Y72" s="36"/>
      <c r="Z72" s="36"/>
      <c r="AA72" s="2019" t="s">
        <v>487</v>
      </c>
      <c r="AB72" s="4176">
        <v>6.6</v>
      </c>
      <c r="AC72" s="4521">
        <v>5</v>
      </c>
      <c r="AD72" s="1675">
        <f t="shared" si="30"/>
        <v>0.59999999999999964</v>
      </c>
      <c r="AE72" s="97">
        <v>6</v>
      </c>
      <c r="AF72" s="4522"/>
      <c r="AG72" s="36"/>
      <c r="AH72" s="97"/>
      <c r="AI72" s="36" t="s">
        <v>390</v>
      </c>
      <c r="AJ72" s="1346">
        <v>6</v>
      </c>
      <c r="AK72" s="95">
        <v>6</v>
      </c>
      <c r="AL72" s="1281">
        <f>AJ72-6</f>
        <v>0</v>
      </c>
      <c r="AM72" s="97">
        <v>6</v>
      </c>
      <c r="AO72" s="39" t="s">
        <v>59</v>
      </c>
      <c r="AP72" s="39" t="s">
        <v>16</v>
      </c>
      <c r="AQ72" s="39" t="s">
        <v>608</v>
      </c>
      <c r="AR72" s="3518">
        <v>6.91</v>
      </c>
      <c r="AS72" s="3518">
        <v>11</v>
      </c>
      <c r="AT72" s="3853">
        <f>AR72-AU72</f>
        <v>0.91000000000000014</v>
      </c>
      <c r="AU72" s="3518">
        <v>6</v>
      </c>
      <c r="AW72" s="37"/>
      <c r="AX72" s="37"/>
      <c r="AY72" s="416"/>
      <c r="AZ72" s="707"/>
      <c r="BA72" s="2040"/>
      <c r="BB72" s="837"/>
      <c r="BC72" s="2043"/>
      <c r="BE72" s="37"/>
      <c r="BF72" s="37" t="s">
        <v>61</v>
      </c>
      <c r="BG72" s="37" t="s">
        <v>711</v>
      </c>
      <c r="BH72" s="694">
        <v>7</v>
      </c>
      <c r="BI72" s="63">
        <v>7</v>
      </c>
      <c r="BJ72" s="134">
        <f>BH72-6</f>
        <v>1</v>
      </c>
      <c r="BL72" s="1015"/>
      <c r="BM72" s="1015"/>
      <c r="BN72" s="866" t="s">
        <v>112</v>
      </c>
      <c r="BO72" s="917">
        <v>6.96</v>
      </c>
      <c r="BP72" s="388">
        <v>520</v>
      </c>
      <c r="BQ72" s="850">
        <v>0.9862884615384615</v>
      </c>
      <c r="BR72" s="1"/>
      <c r="BS72" s="1295"/>
      <c r="BT72" s="1295"/>
      <c r="BU72" s="1296"/>
      <c r="BV72" s="1297"/>
      <c r="BW72" s="1298"/>
      <c r="BX72" s="134"/>
      <c r="CR72" s="781" t="s">
        <v>109</v>
      </c>
      <c r="CS72" s="782">
        <v>8.3375796178343879</v>
      </c>
      <c r="CT72" s="782">
        <f>+(CU25*CT25+CU32*CT32+CU36*CT36)/CU72</f>
        <v>2.9108280254777079</v>
      </c>
      <c r="CU72" s="783">
        <v>157</v>
      </c>
      <c r="CV72" s="782">
        <v>8.8598726114649704</v>
      </c>
      <c r="CW72" s="782">
        <f>+(CU25*CW25+CU32*CW32+CU36*CW36)/CU72</f>
        <v>2.9571511291256516</v>
      </c>
      <c r="CY72" s="63"/>
      <c r="CZ72" s="63"/>
      <c r="DA72" s="63" t="s">
        <v>25</v>
      </c>
      <c r="DB72" s="63">
        <v>194</v>
      </c>
      <c r="DC72" s="694">
        <v>8.86082474226804</v>
      </c>
      <c r="DD72" s="416"/>
      <c r="DE72" s="694">
        <f>+(DB25*DE25+DB32*DE32+DB36*DE36)/DB72</f>
        <v>2.86082474226804</v>
      </c>
      <c r="DF72" s="792">
        <f>AVERAGE(DE71:DE73)</f>
        <v>3.0747258562595867</v>
      </c>
      <c r="DG72" s="37"/>
      <c r="DH72" s="37"/>
      <c r="DI72" s="37"/>
      <c r="DJ72" s="37"/>
      <c r="DK72" s="37"/>
      <c r="DL72" s="37"/>
      <c r="DM72" s="37"/>
      <c r="DN72" s="37"/>
    </row>
    <row r="73" spans="1:118" ht="15" thickBot="1">
      <c r="A73" s="5654"/>
      <c r="B73" s="5654"/>
      <c r="C73" s="5804" t="s">
        <v>72</v>
      </c>
      <c r="D73" s="5805"/>
      <c r="E73" s="5804">
        <f>SUM(E70:E72)</f>
        <v>19</v>
      </c>
      <c r="F73" s="5043">
        <f>+(E70*F70+E71*F71+E72*F72)/E73</f>
        <v>0.84210526315789469</v>
      </c>
      <c r="G73" s="5806"/>
      <c r="I73" s="4381"/>
      <c r="J73" s="4381"/>
      <c r="K73" s="4575" t="s">
        <v>256</v>
      </c>
      <c r="L73" s="4381"/>
      <c r="M73" s="4911">
        <f>SUM(M70:M72)</f>
        <v>19</v>
      </c>
      <c r="N73" s="5043">
        <f>+(M70*N70+M71*N71+M72*N72)/M73</f>
        <v>0.85745614035087703</v>
      </c>
      <c r="O73" s="4381"/>
      <c r="Q73" s="4581"/>
      <c r="R73" s="4581"/>
      <c r="S73" s="4582" t="s">
        <v>112</v>
      </c>
      <c r="T73" s="4583"/>
      <c r="U73" s="4599">
        <f>SUM(U23,U45,U68,U72)</f>
        <v>315</v>
      </c>
      <c r="V73" s="1416">
        <f>+(U23*V23+U45*V45+U68*V68+U72*V72)/U73</f>
        <v>0.85534662427519581</v>
      </c>
      <c r="W73" s="4522"/>
      <c r="Y73" s="4177"/>
      <c r="Z73" s="4177"/>
      <c r="AA73" s="4166" t="s">
        <v>256</v>
      </c>
      <c r="AB73" s="4178">
        <v>6.46</v>
      </c>
      <c r="AC73" s="4167">
        <v>24</v>
      </c>
      <c r="AD73" s="4168">
        <f>+(AC68*AD68+AC70*AD70+AC72*AD72)/AC73</f>
        <v>0.45958333333333329</v>
      </c>
      <c r="AE73" s="4179">
        <v>6</v>
      </c>
      <c r="AF73" s="4522"/>
      <c r="AG73" s="36"/>
      <c r="AH73" s="97"/>
      <c r="AI73" s="393" t="s">
        <v>484</v>
      </c>
      <c r="AJ73" s="1361">
        <v>6.09</v>
      </c>
      <c r="AK73" s="3794">
        <v>33</v>
      </c>
      <c r="AL73" s="1675">
        <f>+(AK70*AL70+AK71*AL71+AK72*AL72)/AK73</f>
        <v>9.090909090909112E-2</v>
      </c>
      <c r="AM73" s="97"/>
      <c r="AQ73" s="3814" t="s">
        <v>483</v>
      </c>
      <c r="AR73" s="3816">
        <v>6.91</v>
      </c>
      <c r="AS73" s="3816">
        <v>11</v>
      </c>
      <c r="AT73" s="3844">
        <f>+(AS72*AT72)/AS73</f>
        <v>0.91000000000000014</v>
      </c>
      <c r="AU73" s="3518"/>
      <c r="AW73" s="37"/>
      <c r="AX73" s="37"/>
      <c r="AY73" s="416"/>
      <c r="AZ73" s="707"/>
      <c r="BA73" s="2040"/>
      <c r="BB73" s="837"/>
      <c r="BC73" s="2043"/>
      <c r="BE73" s="37"/>
      <c r="BF73" s="37"/>
      <c r="BG73" s="416" t="s">
        <v>486</v>
      </c>
      <c r="BH73" s="707">
        <v>7</v>
      </c>
      <c r="BI73" s="386">
        <v>7</v>
      </c>
      <c r="BJ73" s="134">
        <f>BH73-6</f>
        <v>1</v>
      </c>
      <c r="BL73" s="42"/>
      <c r="BM73" s="42"/>
      <c r="BN73" s="893"/>
      <c r="BO73" s="894"/>
      <c r="BP73" s="135"/>
      <c r="BQ73" s="134"/>
      <c r="BR73" s="1"/>
      <c r="BS73" s="1295"/>
      <c r="BT73" s="1295"/>
      <c r="BU73" s="1271" t="s">
        <v>1</v>
      </c>
      <c r="BV73" s="1271" t="s">
        <v>1670</v>
      </c>
      <c r="BW73" s="1271" t="s">
        <v>1185</v>
      </c>
      <c r="BX73" s="768" t="s">
        <v>1122</v>
      </c>
      <c r="CR73" s="781" t="s">
        <v>412</v>
      </c>
      <c r="CS73" s="782">
        <v>6.3545454545454554</v>
      </c>
      <c r="CT73" s="782">
        <f>+(CU48*CT48+CU55*CT55+CU59*CT59)/CU73</f>
        <v>0.49090909090909113</v>
      </c>
      <c r="CU73" s="783">
        <v>110</v>
      </c>
      <c r="CV73" s="782">
        <v>6.7727272727272725</v>
      </c>
      <c r="CW73" s="782">
        <f>+(CU48*CW48+CU55*CW55+CU59*CW59)/CU73</f>
        <v>0.67272727272727295</v>
      </c>
      <c r="CY73" s="63"/>
      <c r="CZ73" s="63"/>
      <c r="DA73" s="63" t="s">
        <v>48</v>
      </c>
      <c r="DB73" s="63">
        <v>190</v>
      </c>
      <c r="DC73" s="694">
        <v>7.4894736842105267</v>
      </c>
      <c r="DD73" s="416"/>
      <c r="DE73" s="694">
        <f>+(DB47*DE47+DB55*DE55+DB59*DE59)/DB73</f>
        <v>1.3263157894736841</v>
      </c>
      <c r="DF73" s="37"/>
      <c r="DG73" s="37"/>
      <c r="DH73" s="37"/>
      <c r="DI73" s="37"/>
      <c r="DJ73" s="37"/>
      <c r="DK73" s="37"/>
      <c r="DL73" s="37"/>
      <c r="DM73" s="37"/>
      <c r="DN73" s="37"/>
    </row>
    <row r="74" spans="1:118" ht="15" thickBot="1">
      <c r="A74" s="5794"/>
      <c r="B74" s="5794"/>
      <c r="C74" s="5807" t="s">
        <v>75</v>
      </c>
      <c r="D74" s="5808"/>
      <c r="E74" s="5807">
        <f>SUM(E73,E69,E44,E23)</f>
        <v>302</v>
      </c>
      <c r="F74" s="5809">
        <f>+(E23*F23+E44*F44+E69*F69+E73*F73)/E74</f>
        <v>1.2680187637969096</v>
      </c>
      <c r="G74" s="5794"/>
      <c r="I74" s="1"/>
      <c r="J74" s="1"/>
      <c r="K74" s="4582" t="s">
        <v>112</v>
      </c>
      <c r="L74" s="4583"/>
      <c r="M74" s="4599">
        <f>SUM(M24,M45,M69,M73)</f>
        <v>308</v>
      </c>
      <c r="N74" s="1416">
        <f>+(M24*N24+M45*N45+M69*N69+M73*N73)/M74</f>
        <v>1.3674963924963925</v>
      </c>
      <c r="O74" s="5029"/>
      <c r="Q74" s="393"/>
      <c r="R74" s="393"/>
      <c r="S74" s="393"/>
      <c r="T74" s="1675"/>
      <c r="Y74" s="401"/>
      <c r="Z74" s="401"/>
      <c r="AA74" s="397" t="s">
        <v>112</v>
      </c>
      <c r="AB74" s="1392">
        <v>6.55</v>
      </c>
      <c r="AC74" s="398">
        <v>304</v>
      </c>
      <c r="AD74" s="1416">
        <f>+(AC24*AD24+AC45*AD45+AC66*AD66+AC73*AD73)/AC74</f>
        <v>0.62569078947368428</v>
      </c>
      <c r="AE74" s="4522"/>
      <c r="AF74" s="4522"/>
      <c r="AG74" s="2378"/>
      <c r="AH74" s="1501"/>
      <c r="AI74" s="1477" t="s">
        <v>412</v>
      </c>
      <c r="AJ74" s="3857">
        <v>6.2</v>
      </c>
      <c r="AK74" s="3796">
        <v>170</v>
      </c>
      <c r="AL74" s="1676">
        <f>+(AK59*AL59+AK69*AL69+AK73*AL73)/AK74</f>
        <v>0.1838823529411765</v>
      </c>
      <c r="AM74" s="3751"/>
      <c r="AP74" s="39" t="s">
        <v>61</v>
      </c>
      <c r="AQ74" s="39" t="s">
        <v>711</v>
      </c>
      <c r="AR74" s="3518">
        <v>7.13</v>
      </c>
      <c r="AS74" s="3518">
        <v>15</v>
      </c>
      <c r="AT74" s="3853">
        <f>AR74-AU74</f>
        <v>1.1299999999999999</v>
      </c>
      <c r="AU74" s="3518">
        <v>6</v>
      </c>
      <c r="AW74" s="37"/>
      <c r="AX74" s="37" t="s">
        <v>64</v>
      </c>
      <c r="AY74" s="37" t="s">
        <v>609</v>
      </c>
      <c r="AZ74" s="694">
        <v>7.67</v>
      </c>
      <c r="BA74" s="63">
        <v>6</v>
      </c>
      <c r="BB74" s="837">
        <f>AZ74-BC74</f>
        <v>1.67</v>
      </c>
      <c r="BC74" s="2043">
        <v>6</v>
      </c>
      <c r="BE74" s="37"/>
      <c r="BF74" s="37" t="s">
        <v>64</v>
      </c>
      <c r="BG74" s="37" t="s">
        <v>609</v>
      </c>
      <c r="BH74" s="694">
        <v>6.86</v>
      </c>
      <c r="BI74" s="63">
        <v>7</v>
      </c>
      <c r="BJ74" s="134">
        <f>BH74-6</f>
        <v>0.86000000000000032</v>
      </c>
      <c r="BL74" s="42"/>
      <c r="BM74" s="42"/>
      <c r="BN74" s="893"/>
      <c r="BO74" s="894"/>
      <c r="BP74" s="135"/>
      <c r="BQ74" s="134"/>
      <c r="BR74" s="1"/>
      <c r="BS74" s="1295"/>
      <c r="BU74" s="1274" t="s">
        <v>4</v>
      </c>
      <c r="BV74" s="1299">
        <v>7.9677419354838692</v>
      </c>
      <c r="BW74" s="1300">
        <v>93</v>
      </c>
      <c r="BX74" s="837">
        <f>+(BW11*BX11+BW30*BX30)/BW74</f>
        <v>2.064516129032258</v>
      </c>
      <c r="CY74" s="63"/>
      <c r="CZ74" s="63"/>
      <c r="DA74" s="423" t="s">
        <v>75</v>
      </c>
      <c r="DB74" s="423">
        <v>465</v>
      </c>
      <c r="DC74" s="729">
        <v>8.6602150537634408</v>
      </c>
      <c r="DD74" s="474"/>
      <c r="DE74" s="758">
        <f>+(DB71*DE71+DB72*DE72+DB73*DE73)/DB74</f>
        <v>2.6129032258064511</v>
      </c>
      <c r="DF74" s="37"/>
      <c r="DG74" s="37"/>
      <c r="DH74" s="37"/>
      <c r="DI74" s="37"/>
      <c r="DJ74" s="37"/>
      <c r="DK74" s="37"/>
      <c r="DL74" s="37"/>
      <c r="DM74" s="37"/>
      <c r="DN74" s="37"/>
    </row>
    <row r="75" spans="1:118" ht="15" thickBot="1">
      <c r="O75" s="97"/>
      <c r="T75" s="4567"/>
      <c r="Y75" s="36"/>
      <c r="Z75" s="36"/>
      <c r="AA75" s="36"/>
      <c r="AB75" s="1346"/>
      <c r="AC75" s="95"/>
      <c r="AD75" s="4522"/>
      <c r="AE75" s="4522"/>
      <c r="AF75" s="4522"/>
      <c r="AG75" s="42" t="s">
        <v>59</v>
      </c>
      <c r="AH75" s="97" t="s">
        <v>16</v>
      </c>
      <c r="AI75" s="42" t="s">
        <v>608</v>
      </c>
      <c r="AJ75" s="1281">
        <v>6.92</v>
      </c>
      <c r="AK75" s="97">
        <v>13</v>
      </c>
      <c r="AL75" s="1281">
        <f t="shared" ref="AL75:AL80" si="32">AJ75-6</f>
        <v>0.91999999999999993</v>
      </c>
      <c r="AM75" s="97">
        <v>6</v>
      </c>
      <c r="AQ75" s="3814" t="s">
        <v>486</v>
      </c>
      <c r="AR75" s="3816">
        <v>7.13</v>
      </c>
      <c r="AS75" s="3816">
        <v>15</v>
      </c>
      <c r="AT75" s="3844">
        <f>+(AS74*AT74)/AS75</f>
        <v>1.1299999999999999</v>
      </c>
      <c r="AU75" s="3518"/>
      <c r="AW75" s="37"/>
      <c r="AX75" s="37"/>
      <c r="AY75" s="2053" t="s">
        <v>487</v>
      </c>
      <c r="AZ75" s="2054">
        <v>7.67</v>
      </c>
      <c r="BA75" s="2048">
        <v>6</v>
      </c>
      <c r="BB75" s="837">
        <f>AZ75-BC75</f>
        <v>1.67</v>
      </c>
      <c r="BC75" s="2043">
        <v>6</v>
      </c>
      <c r="BE75" s="37"/>
      <c r="BF75" s="37"/>
      <c r="BG75" s="416" t="s">
        <v>487</v>
      </c>
      <c r="BH75" s="707">
        <v>6.86</v>
      </c>
      <c r="BI75" s="386">
        <v>7</v>
      </c>
      <c r="BJ75" s="134">
        <f>BH75-6</f>
        <v>0.86000000000000032</v>
      </c>
      <c r="BL75" s="42"/>
      <c r="BM75" s="42"/>
      <c r="BN75" s="388" t="s">
        <v>1</v>
      </c>
      <c r="BO75" s="388" t="s">
        <v>1738</v>
      </c>
      <c r="BP75" s="388" t="s">
        <v>1185</v>
      </c>
      <c r="BQ75" s="768" t="s">
        <v>1122</v>
      </c>
      <c r="BR75" s="1"/>
      <c r="BS75" s="1295"/>
      <c r="BU75" s="1274" t="s">
        <v>16</v>
      </c>
      <c r="BV75" s="1299">
        <v>6.3100775193798411</v>
      </c>
      <c r="BW75" s="1300">
        <v>129</v>
      </c>
      <c r="BX75" s="837">
        <f>+(BW17*BX17+BW35*BX35+BW50*BX50+BW64*BX64)/BW75</f>
        <v>0.3100775193798449</v>
      </c>
      <c r="CR75" s="842" t="s">
        <v>75</v>
      </c>
      <c r="CS75" s="843">
        <v>7.2499999999999982</v>
      </c>
      <c r="CT75" s="844">
        <f>+(CU71*CT71+CU72*CT72+CU73*CT73+CU74*CT74)/CU75</f>
        <v>1.5813953488372099</v>
      </c>
      <c r="CU75" s="845">
        <v>344</v>
      </c>
      <c r="CV75" s="843">
        <v>8.0290697674418627</v>
      </c>
      <c r="CW75" s="844">
        <f>+(CU71*CW71+CU72*CW72+CU73*CW73)/CU75</f>
        <v>2.0676532769556029</v>
      </c>
      <c r="CY75" s="63"/>
      <c r="CZ75" s="63"/>
      <c r="DA75" s="854" t="s">
        <v>1154</v>
      </c>
      <c r="DB75" s="37"/>
      <c r="DC75" s="37"/>
      <c r="DD75" s="37"/>
      <c r="DE75" s="37"/>
      <c r="DF75" s="37"/>
      <c r="DG75" s="37"/>
      <c r="DH75" s="37"/>
      <c r="DI75" s="37"/>
      <c r="DJ75" s="37"/>
      <c r="DK75" s="37"/>
      <c r="DL75" s="37"/>
      <c r="DM75" s="37"/>
      <c r="DN75" s="37"/>
    </row>
    <row r="76" spans="1:118">
      <c r="O76" s="97"/>
      <c r="T76" s="4567"/>
      <c r="Y76" s="36"/>
      <c r="Z76" s="36"/>
      <c r="AA76" s="36"/>
      <c r="AB76" s="1346"/>
      <c r="AC76" s="95"/>
      <c r="AD76" s="4522"/>
      <c r="AE76" s="4522"/>
      <c r="AF76" s="4522"/>
      <c r="AG76" s="36"/>
      <c r="AH76" s="97"/>
      <c r="AI76" s="393" t="s">
        <v>483</v>
      </c>
      <c r="AJ76" s="1361">
        <v>6.92</v>
      </c>
      <c r="AK76" s="3794">
        <v>13</v>
      </c>
      <c r="AL76" s="1281">
        <f t="shared" si="32"/>
        <v>0.91999999999999993</v>
      </c>
      <c r="AM76" s="97"/>
      <c r="AP76" s="39" t="s">
        <v>64</v>
      </c>
      <c r="AQ76" s="39" t="s">
        <v>609</v>
      </c>
      <c r="AR76" s="3518">
        <v>9</v>
      </c>
      <c r="AS76" s="3518">
        <v>8</v>
      </c>
      <c r="AT76" s="3853">
        <f>AR76-AU76</f>
        <v>3</v>
      </c>
      <c r="AU76" s="3518">
        <v>6</v>
      </c>
      <c r="AW76" s="2058"/>
      <c r="AX76" s="2058"/>
      <c r="AY76" s="2059" t="s">
        <v>256</v>
      </c>
      <c r="AZ76" s="2060">
        <v>7.07</v>
      </c>
      <c r="BA76" s="2061">
        <v>15</v>
      </c>
      <c r="BB76" s="1287">
        <f>+(BA71*BB71+BA73*BB73+BA75*BB75)/BA76</f>
        <v>1.0699999999999998</v>
      </c>
      <c r="BC76" s="2043"/>
      <c r="BE76" s="1684"/>
      <c r="BF76" s="1684"/>
      <c r="BG76" s="1685" t="s">
        <v>256</v>
      </c>
      <c r="BH76" s="1686">
        <v>6.85</v>
      </c>
      <c r="BI76" s="1687">
        <v>26</v>
      </c>
      <c r="BJ76" s="1287">
        <f>+(BI71*BJ71+BI73*BJ73+BI75*BJ75)/BI76</f>
        <v>0.846923076923077</v>
      </c>
      <c r="BL76" s="42"/>
      <c r="BM76" s="42"/>
      <c r="BN76" s="97" t="s">
        <v>4</v>
      </c>
      <c r="BO76" s="134">
        <v>8.14</v>
      </c>
      <c r="BP76" s="97">
        <v>114</v>
      </c>
      <c r="BQ76" s="837">
        <f>+(BP10*BQ10+BP31*BQ31)/BP76</f>
        <v>2.2102631578947367</v>
      </c>
      <c r="BR76" s="1"/>
      <c r="BS76" s="1295"/>
      <c r="BU76" s="1274" t="s">
        <v>41</v>
      </c>
      <c r="BV76" s="1299">
        <v>6.9833333333333343</v>
      </c>
      <c r="BW76" s="1300">
        <v>120</v>
      </c>
      <c r="BX76" s="837">
        <f>+(BW40*BX40+BW57*BX57)/BW76</f>
        <v>0.98333333333333306</v>
      </c>
      <c r="CY76" s="63"/>
      <c r="CZ76" s="63"/>
      <c r="DA76" s="37"/>
      <c r="DB76" s="37"/>
      <c r="DC76" s="37"/>
      <c r="DD76" s="37"/>
      <c r="DE76" s="37"/>
      <c r="DF76" s="37"/>
      <c r="DG76" s="37"/>
      <c r="DH76" s="37"/>
      <c r="DI76" s="37"/>
      <c r="DJ76" s="37"/>
      <c r="DK76" s="37"/>
      <c r="DL76" s="37"/>
      <c r="DM76" s="37"/>
      <c r="DN76" s="37"/>
    </row>
    <row r="77" spans="1:118" ht="15" thickBot="1">
      <c r="O77" s="97"/>
      <c r="T77" s="4567"/>
      <c r="U77" s="4567"/>
      <c r="V77" s="4567"/>
      <c r="Y77" s="36"/>
      <c r="Z77" s="2019"/>
      <c r="AA77" s="2019" t="s">
        <v>15</v>
      </c>
      <c r="AB77" s="4176"/>
      <c r="AC77" s="4521"/>
      <c r="AD77" s="4522"/>
      <c r="AE77" s="4522"/>
      <c r="AF77" s="4522"/>
      <c r="AG77" s="36"/>
      <c r="AH77" s="97" t="s">
        <v>61</v>
      </c>
      <c r="AI77" s="36" t="s">
        <v>711</v>
      </c>
      <c r="AJ77" s="1346">
        <v>7.13</v>
      </c>
      <c r="AK77" s="95">
        <v>15</v>
      </c>
      <c r="AL77" s="1281">
        <f t="shared" si="32"/>
        <v>1.1299999999999999</v>
      </c>
      <c r="AM77" s="97">
        <v>6</v>
      </c>
      <c r="AQ77" s="3814" t="s">
        <v>487</v>
      </c>
      <c r="AR77" s="3816">
        <v>9</v>
      </c>
      <c r="AS77" s="3816">
        <v>8</v>
      </c>
      <c r="AT77" s="3844">
        <f>+(AS76*AT76)/AS77</f>
        <v>3</v>
      </c>
      <c r="AU77" s="3518"/>
      <c r="AW77" s="474"/>
      <c r="AX77" s="474"/>
      <c r="AY77" s="681" t="s">
        <v>112</v>
      </c>
      <c r="AZ77" s="826">
        <v>7.11</v>
      </c>
      <c r="BA77" s="681">
        <v>515</v>
      </c>
      <c r="BB77" s="1707">
        <f>+(BA26*BB26+BA46*BB46+BA69*BB69+BA76*BB76)/BA77</f>
        <v>1.1391650485436893</v>
      </c>
      <c r="BC77" s="2043"/>
      <c r="BE77" s="473"/>
      <c r="BF77" s="473"/>
      <c r="BG77" s="1700" t="s">
        <v>112</v>
      </c>
      <c r="BH77" s="826">
        <v>6.89</v>
      </c>
      <c r="BI77" s="681">
        <v>507</v>
      </c>
      <c r="BJ77" s="1707">
        <f>+(BI26*BJ26+BI46*BJ46+BI69*BJ69+BI76*BJ76)/BI77</f>
        <v>0.89132149901380664</v>
      </c>
      <c r="BL77" s="42"/>
      <c r="BM77" s="42"/>
      <c r="BN77" s="97" t="s">
        <v>16</v>
      </c>
      <c r="BO77" s="134">
        <v>6.31</v>
      </c>
      <c r="BP77" s="97">
        <v>212</v>
      </c>
      <c r="BQ77" s="837">
        <f>+(BP16*BQ16+BP37*BQ37+BP52*BQ52+BP66*BQ66)/BP77</f>
        <v>0.31108490566037739</v>
      </c>
      <c r="BR77" s="1"/>
      <c r="BS77" s="1295"/>
      <c r="BU77" s="1274" t="s">
        <v>103</v>
      </c>
      <c r="BV77" s="1299">
        <v>6.0289855072463769</v>
      </c>
      <c r="BW77" s="1300">
        <v>69</v>
      </c>
      <c r="BX77" s="837">
        <f>+(BW21*BX21+BW61*BX61)/BW77</f>
        <v>0.68115942028985499</v>
      </c>
      <c r="CY77" s="7037" t="s">
        <v>1195</v>
      </c>
      <c r="CZ77" s="7037"/>
      <c r="DA77" s="7037"/>
      <c r="DB77" s="7037"/>
      <c r="DC77" s="7037"/>
      <c r="DD77" s="7037"/>
      <c r="DE77" s="7037"/>
      <c r="DF77" s="37"/>
      <c r="DG77" s="37"/>
      <c r="DH77" s="37"/>
      <c r="DI77" s="37"/>
      <c r="DJ77" s="37"/>
      <c r="DK77" s="37"/>
      <c r="DL77" s="37"/>
      <c r="DM77" s="37"/>
      <c r="DN77" s="37"/>
    </row>
    <row r="78" spans="1:118">
      <c r="O78" s="97"/>
      <c r="T78" s="4567"/>
      <c r="Y78" s="36"/>
      <c r="Z78" s="2019" t="s">
        <v>4</v>
      </c>
      <c r="AA78" s="2019" t="s">
        <v>15</v>
      </c>
      <c r="AB78" s="4176">
        <v>7.53</v>
      </c>
      <c r="AC78" s="4521">
        <v>91</v>
      </c>
      <c r="AD78" s="4522"/>
      <c r="AE78" s="4522"/>
      <c r="AF78" s="4522"/>
      <c r="AG78" s="36"/>
      <c r="AH78" s="97"/>
      <c r="AI78" s="393" t="s">
        <v>486</v>
      </c>
      <c r="AJ78" s="1361">
        <v>7.13</v>
      </c>
      <c r="AK78" s="3794">
        <v>15</v>
      </c>
      <c r="AL78" s="1281">
        <f t="shared" si="32"/>
        <v>1.1299999999999999</v>
      </c>
      <c r="AM78" s="97"/>
      <c r="AQ78" s="3814" t="s">
        <v>256</v>
      </c>
      <c r="AR78" s="3816">
        <v>7.5</v>
      </c>
      <c r="AS78" s="3816">
        <v>34</v>
      </c>
      <c r="AT78" s="3845">
        <f>+(AS73*AT73+AS75*AT75+AS77*AT77)/AS78</f>
        <v>1.4988235294117647</v>
      </c>
      <c r="AU78" s="3518"/>
      <c r="BL78" s="42"/>
      <c r="BM78" s="42"/>
      <c r="BN78" s="97" t="s">
        <v>41</v>
      </c>
      <c r="BO78" s="134">
        <v>7.22</v>
      </c>
      <c r="BP78" s="97">
        <v>127</v>
      </c>
      <c r="BQ78" s="837">
        <f>+(BP42*BQ42+BP60*BQ60)/BP78</f>
        <v>1.2206299212598426</v>
      </c>
      <c r="BR78" s="1"/>
      <c r="BS78" s="1295"/>
      <c r="BU78" s="1274" t="s">
        <v>710</v>
      </c>
      <c r="BV78" s="1299">
        <v>6.2727272727272725</v>
      </c>
      <c r="BW78" s="1300">
        <v>11</v>
      </c>
      <c r="BX78" s="134">
        <f>BV78-6</f>
        <v>0.27272727272727249</v>
      </c>
      <c r="CY78" s="63"/>
      <c r="CZ78" s="63"/>
      <c r="DA78" s="37"/>
      <c r="DB78" s="37"/>
      <c r="DC78" s="37"/>
      <c r="DD78" s="37"/>
      <c r="DE78" s="37"/>
      <c r="DF78" s="37"/>
      <c r="DG78" s="37"/>
      <c r="DH78" s="37"/>
      <c r="DI78" s="37"/>
      <c r="DJ78" s="37"/>
      <c r="DK78" s="37"/>
      <c r="DL78" s="37"/>
      <c r="DM78" s="37"/>
      <c r="DN78" s="37"/>
    </row>
    <row r="79" spans="1:118" ht="15" thickBot="1">
      <c r="O79" s="97"/>
      <c r="T79" s="4567"/>
      <c r="Y79" s="36"/>
      <c r="Z79" s="2019" t="s">
        <v>16</v>
      </c>
      <c r="AA79" s="2019" t="s">
        <v>15</v>
      </c>
      <c r="AB79" s="4176">
        <v>5.64</v>
      </c>
      <c r="AC79" s="4521">
        <v>104</v>
      </c>
      <c r="AD79" s="4522"/>
      <c r="AE79" s="4522"/>
      <c r="AF79" s="4522"/>
      <c r="AG79" s="36"/>
      <c r="AH79" s="97" t="s">
        <v>64</v>
      </c>
      <c r="AI79" s="36" t="s">
        <v>609</v>
      </c>
      <c r="AJ79" s="1346">
        <v>8.27</v>
      </c>
      <c r="AK79" s="95">
        <v>11</v>
      </c>
      <c r="AL79" s="1281">
        <f t="shared" si="32"/>
        <v>2.2699999999999996</v>
      </c>
      <c r="AM79" s="97">
        <v>6</v>
      </c>
      <c r="AO79" s="3854"/>
      <c r="AP79" s="3854"/>
      <c r="AQ79" s="3819" t="s">
        <v>112</v>
      </c>
      <c r="AR79" s="3815">
        <v>7.18</v>
      </c>
      <c r="AS79" s="3815">
        <v>334</v>
      </c>
      <c r="AT79" s="3855">
        <f>+(AS26*AT26+AS47*AT47+AS71*AT71+AS78*AT78)/AS79</f>
        <v>1.1497904191616766</v>
      </c>
      <c r="AU79" s="3818"/>
      <c r="BL79" s="42"/>
      <c r="BM79" s="42"/>
      <c r="BN79" s="97" t="s">
        <v>21</v>
      </c>
      <c r="BO79" s="134">
        <v>6.23</v>
      </c>
      <c r="BP79" s="97">
        <v>40</v>
      </c>
      <c r="BQ79" s="837">
        <f>+(BP22*BQ22+BP63*BQ63)/BP79</f>
        <v>0.75074999999999981</v>
      </c>
      <c r="BR79" s="1"/>
      <c r="BS79" s="1295"/>
      <c r="BU79" s="1274" t="s">
        <v>64</v>
      </c>
      <c r="BV79" s="1299">
        <v>6.3333333333333339</v>
      </c>
      <c r="BW79" s="1300">
        <v>6</v>
      </c>
      <c r="BX79" s="894">
        <f>BV79-6</f>
        <v>0.33333333333333393</v>
      </c>
      <c r="CY79" s="7037" t="s">
        <v>1196</v>
      </c>
      <c r="CZ79" s="7037"/>
      <c r="DA79" s="7037"/>
      <c r="DB79" s="7037"/>
      <c r="DC79" s="7037"/>
      <c r="DD79" s="7037"/>
      <c r="DE79" s="7037"/>
      <c r="DF79" s="37"/>
      <c r="DG79" s="37"/>
      <c r="DH79" s="37"/>
      <c r="DI79" s="37"/>
      <c r="DJ79" s="37"/>
      <c r="DK79" s="37"/>
      <c r="DL79" s="37"/>
      <c r="DM79" s="37"/>
      <c r="DN79" s="37"/>
    </row>
    <row r="80" spans="1:118" ht="15" thickBot="1">
      <c r="A80" s="1"/>
      <c r="B80" s="1"/>
      <c r="C80" s="1"/>
      <c r="D80" s="1"/>
      <c r="E80" s="1"/>
      <c r="F80" s="1"/>
      <c r="O80" s="97"/>
      <c r="T80" s="4567"/>
      <c r="Y80" s="36"/>
      <c r="Z80" s="2019" t="s">
        <v>41</v>
      </c>
      <c r="AA80" s="2019" t="s">
        <v>15</v>
      </c>
      <c r="AB80" s="4176">
        <v>6.55</v>
      </c>
      <c r="AC80" s="4521">
        <v>62</v>
      </c>
      <c r="AD80" s="4522"/>
      <c r="AE80" s="4522"/>
      <c r="AF80" s="4522"/>
      <c r="AG80" s="36"/>
      <c r="AH80" s="97"/>
      <c r="AI80" s="393" t="s">
        <v>487</v>
      </c>
      <c r="AJ80" s="1361">
        <v>8.27</v>
      </c>
      <c r="AK80" s="3794">
        <v>11</v>
      </c>
      <c r="AL80" s="1281">
        <f t="shared" si="32"/>
        <v>2.2699999999999996</v>
      </c>
      <c r="AM80" s="97"/>
      <c r="AQ80" s="3814"/>
      <c r="AR80" s="3816"/>
      <c r="AS80" s="3816"/>
      <c r="AT80" s="3856"/>
      <c r="AU80" s="3518"/>
      <c r="BL80" s="42"/>
      <c r="BM80" s="42"/>
      <c r="BN80" s="97" t="s">
        <v>61</v>
      </c>
      <c r="BO80" s="134">
        <v>6.83</v>
      </c>
      <c r="BP80" s="97">
        <v>18</v>
      </c>
      <c r="BQ80" s="134">
        <f>BO80-6</f>
        <v>0.83000000000000007</v>
      </c>
      <c r="BR80" s="1"/>
      <c r="BS80" s="1295"/>
      <c r="BT80" s="1295"/>
      <c r="BU80" s="1271" t="s">
        <v>112</v>
      </c>
      <c r="BV80" s="1301">
        <v>6.8130841121495243</v>
      </c>
      <c r="BW80" s="1302">
        <v>428</v>
      </c>
      <c r="BX80" s="850">
        <v>0.85280373831775702</v>
      </c>
      <c r="DF80" s="37"/>
      <c r="DG80" s="37"/>
      <c r="DH80" s="37"/>
      <c r="DI80" s="37"/>
      <c r="DJ80" s="37"/>
      <c r="DK80" s="37"/>
      <c r="DL80" s="37"/>
      <c r="DM80" s="37"/>
      <c r="DN80" s="37"/>
    </row>
    <row r="81" spans="7:111">
      <c r="G81" s="1"/>
      <c r="O81" s="97"/>
      <c r="Q81" s="1"/>
      <c r="R81" s="1"/>
      <c r="S81" s="1"/>
      <c r="T81" s="4567"/>
      <c r="Y81" s="36"/>
      <c r="Z81" s="2019" t="s">
        <v>21</v>
      </c>
      <c r="AA81" s="2019" t="s">
        <v>15</v>
      </c>
      <c r="AB81" s="4176">
        <v>6.7</v>
      </c>
      <c r="AC81" s="4521">
        <v>30</v>
      </c>
      <c r="AD81" s="4522"/>
      <c r="AE81" s="4522"/>
      <c r="AF81" s="4522"/>
      <c r="AG81" s="2378"/>
      <c r="AH81" s="1501"/>
      <c r="AI81" s="1477" t="s">
        <v>256</v>
      </c>
      <c r="AJ81" s="3857">
        <v>7.38</v>
      </c>
      <c r="AK81" s="3796">
        <v>39</v>
      </c>
      <c r="AL81" s="3860">
        <f>+(AK76*AL76+AK78*AL78+AK80*AL80)/AK81</f>
        <v>1.3815384615384614</v>
      </c>
      <c r="AM81" s="97"/>
      <c r="AQ81" s="3814"/>
      <c r="AR81" s="3816"/>
      <c r="AS81" s="3816"/>
      <c r="AT81" s="3816"/>
      <c r="AU81" s="3816"/>
      <c r="BL81" s="42"/>
      <c r="BM81" s="42"/>
      <c r="BN81" s="97" t="s">
        <v>64</v>
      </c>
      <c r="BO81" s="134">
        <v>7</v>
      </c>
      <c r="BP81" s="97">
        <v>9</v>
      </c>
      <c r="BQ81" s="894">
        <f>BO81-6</f>
        <v>1</v>
      </c>
      <c r="BR81" s="1"/>
      <c r="DF81" s="37"/>
      <c r="DG81" s="37"/>
    </row>
    <row r="82" spans="7:111" ht="15" thickBot="1">
      <c r="I82" s="1"/>
      <c r="J82" s="1"/>
      <c r="K82" s="1"/>
      <c r="L82" s="1"/>
      <c r="M82" s="1"/>
      <c r="N82" s="1"/>
      <c r="O82" s="97"/>
      <c r="T82" s="4567"/>
      <c r="Y82" s="36"/>
      <c r="Z82" s="2019" t="s">
        <v>61</v>
      </c>
      <c r="AA82" s="2019" t="s">
        <v>15</v>
      </c>
      <c r="AB82" s="4176">
        <v>6.5</v>
      </c>
      <c r="AC82" s="4521">
        <v>12</v>
      </c>
      <c r="AD82" s="4522"/>
      <c r="AE82" s="4522"/>
      <c r="AF82" s="4522"/>
      <c r="AG82" s="4522"/>
      <c r="AJ82" s="3858"/>
      <c r="AL82" s="3858"/>
      <c r="AQ82" s="3814"/>
      <c r="AR82" s="3816"/>
      <c r="AS82" s="3816"/>
      <c r="AT82" s="3816"/>
      <c r="AU82" s="3816"/>
      <c r="BL82" s="42"/>
      <c r="BM82" s="42"/>
      <c r="BN82" s="388" t="s">
        <v>112</v>
      </c>
      <c r="BO82" s="917">
        <v>6.96</v>
      </c>
      <c r="BP82" s="388">
        <v>520</v>
      </c>
      <c r="BQ82" s="850">
        <v>0.9862884615384615</v>
      </c>
      <c r="BR82" s="1"/>
    </row>
    <row r="83" spans="7:111" ht="15" thickBot="1">
      <c r="O83" s="97"/>
      <c r="T83" s="4567"/>
      <c r="Y83" s="36"/>
      <c r="Z83" s="2019" t="s">
        <v>64</v>
      </c>
      <c r="AA83" s="2019" t="s">
        <v>15</v>
      </c>
      <c r="AB83" s="4176">
        <v>6.6</v>
      </c>
      <c r="AC83" s="4171">
        <v>5</v>
      </c>
      <c r="AG83" s="401"/>
      <c r="AH83" s="1015"/>
      <c r="AI83" s="866" t="s">
        <v>112</v>
      </c>
      <c r="AJ83" s="1674">
        <v>7.02</v>
      </c>
      <c r="AK83" s="388">
        <v>451</v>
      </c>
      <c r="AL83" s="3861">
        <f>+(AK27*AL27+AK48*AL48+AK74*AL74+AK81*AL81)/AK83</f>
        <v>1.0115521064301551</v>
      </c>
      <c r="AM83" s="1015"/>
      <c r="AQ83" s="3814"/>
      <c r="AR83" s="3816"/>
      <c r="AS83" s="3816"/>
      <c r="AT83" s="3817"/>
      <c r="AU83" s="3817"/>
    </row>
    <row r="84" spans="7:111" ht="15" thickBot="1">
      <c r="Y84" s="401"/>
      <c r="Z84" s="397" t="s">
        <v>75</v>
      </c>
      <c r="AA84" s="397" t="s">
        <v>15</v>
      </c>
      <c r="AB84" s="1392">
        <v>6.55</v>
      </c>
      <c r="AC84" s="398">
        <v>304</v>
      </c>
      <c r="AH84" s="3797"/>
      <c r="AQ84" s="3819" t="s">
        <v>1</v>
      </c>
      <c r="AR84" s="3815" t="s">
        <v>2546</v>
      </c>
      <c r="AS84" s="3815" t="s">
        <v>1185</v>
      </c>
      <c r="AT84" s="3518"/>
      <c r="AU84" s="3518"/>
    </row>
    <row r="85" spans="7:111">
      <c r="AH85" s="3797"/>
      <c r="AQ85" s="39" t="s">
        <v>4</v>
      </c>
      <c r="AR85" s="3518">
        <v>8.36</v>
      </c>
      <c r="AS85" s="3518">
        <v>73</v>
      </c>
      <c r="AT85" s="3518"/>
      <c r="AU85" s="3518"/>
    </row>
    <row r="86" spans="7:111">
      <c r="AQ86" s="39" t="s">
        <v>16</v>
      </c>
      <c r="AR86" s="3518">
        <v>6.58</v>
      </c>
      <c r="AS86" s="3518">
        <v>137</v>
      </c>
      <c r="AT86" s="3518"/>
      <c r="AU86" s="3518"/>
    </row>
    <row r="87" spans="7:111">
      <c r="AQ87" s="39" t="s">
        <v>41</v>
      </c>
      <c r="AR87" s="3518">
        <v>6.99</v>
      </c>
      <c r="AS87" s="3518">
        <v>84</v>
      </c>
      <c r="AT87" s="3518"/>
      <c r="AU87" s="3518"/>
    </row>
    <row r="88" spans="7:111">
      <c r="AQ88" s="39" t="s">
        <v>21</v>
      </c>
      <c r="AR88" s="3518">
        <v>7.06</v>
      </c>
      <c r="AS88" s="3518">
        <v>17</v>
      </c>
      <c r="AT88" s="3518"/>
      <c r="AU88" s="3518"/>
    </row>
    <row r="89" spans="7:111">
      <c r="AQ89" s="39" t="s">
        <v>61</v>
      </c>
      <c r="AR89" s="3518">
        <v>7.13</v>
      </c>
      <c r="AS89" s="3518">
        <v>15</v>
      </c>
      <c r="AT89" s="3518"/>
      <c r="AU89" s="3518"/>
    </row>
    <row r="90" spans="7:111">
      <c r="AQ90" s="39" t="s">
        <v>64</v>
      </c>
      <c r="AR90" s="3518">
        <v>9</v>
      </c>
      <c r="AS90" s="3518">
        <v>8</v>
      </c>
      <c r="AT90" s="3817"/>
      <c r="AU90" s="3817"/>
    </row>
    <row r="91" spans="7:111" ht="15" thickBot="1">
      <c r="AQ91" s="3819" t="s">
        <v>15</v>
      </c>
      <c r="AR91" s="3815">
        <v>7.18</v>
      </c>
      <c r="AS91" s="3815">
        <v>334</v>
      </c>
    </row>
  </sheetData>
  <mergeCells count="18">
    <mergeCell ref="CY77:DE77"/>
    <mergeCell ref="CY79:DE79"/>
    <mergeCell ref="CC4:CE4"/>
    <mergeCell ref="CK4:CN4"/>
    <mergeCell ref="CS4:CW4"/>
    <mergeCell ref="DB4:DE4"/>
    <mergeCell ref="F3:G3"/>
    <mergeCell ref="A2:G2"/>
    <mergeCell ref="N3:O3"/>
    <mergeCell ref="Q2:V2"/>
    <mergeCell ref="DK4:DN4"/>
    <mergeCell ref="AG2:AM2"/>
    <mergeCell ref="AW2:AY2"/>
    <mergeCell ref="BE2:BJ2"/>
    <mergeCell ref="CY2:DE2"/>
    <mergeCell ref="BO4:BQ4"/>
    <mergeCell ref="BV4:BX4"/>
    <mergeCell ref="BZ2:CE2"/>
  </mergeCells>
  <pageMargins left="0.7" right="0.7" top="0.75" bottom="0.75" header="0.3" footer="0.3"/>
  <pageSetup paperSize="9" orientation="portrait" r:id="rId1"/>
  <ignoredErrors>
    <ignoredError sqref="BQ52:BQ60 BQ7:BQ10 BQ31:BQ37 BJ12:BJ18 BJ25 BJ34:BJ40 BJ54:BJ64 BB12:BB19 BB34:BB40 BB57:BB65 AT11:AT75 AL12:AL19 AL59 AL35 AD12 AD19 AD24:AD32 AD34:AD39 AD52 AD62 V11 V18 V31:V39 V54:V64"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72"/>
  <sheetViews>
    <sheetView showGridLines="0" zoomScaleNormal="100" workbookViewId="0">
      <pane xSplit="2" ySplit="3" topLeftCell="C33" activePane="bottomRight" state="frozen"/>
      <selection activeCell="C65" sqref="C65:C67"/>
      <selection pane="topRight" activeCell="C65" sqref="C65:C67"/>
      <selection pane="bottomLeft" activeCell="C65" sqref="C65:C67"/>
      <selection pane="bottomRight" activeCell="N63" sqref="N63"/>
    </sheetView>
  </sheetViews>
  <sheetFormatPr baseColWidth="10" defaultColWidth="11.44140625" defaultRowHeight="13.8"/>
  <cols>
    <col min="1" max="1" width="2.6640625" style="26" customWidth="1"/>
    <col min="2" max="2" width="56.5546875" style="26" customWidth="1"/>
    <col min="3" max="16384" width="11.44140625" style="26"/>
  </cols>
  <sheetData>
    <row r="1" spans="1:16" ht="51" customHeight="1">
      <c r="C1" s="382"/>
      <c r="L1" s="7002" t="s">
        <v>3312</v>
      </c>
      <c r="M1" s="7002"/>
      <c r="N1" s="7002"/>
      <c r="O1" s="7002"/>
      <c r="P1" s="7002"/>
    </row>
    <row r="2" spans="1:16">
      <c r="A2" s="938"/>
      <c r="B2" s="381"/>
      <c r="C2" s="382"/>
    </row>
    <row r="3" spans="1:16" ht="15" thickBot="1">
      <c r="A3" s="938"/>
      <c r="B3" s="2118" t="s">
        <v>2439</v>
      </c>
      <c r="C3" s="2114">
        <v>2010</v>
      </c>
      <c r="D3" s="3133">
        <v>2011</v>
      </c>
      <c r="E3" s="3133">
        <v>2012</v>
      </c>
      <c r="F3" s="3133">
        <v>2013</v>
      </c>
      <c r="G3" s="3133">
        <v>2014</v>
      </c>
      <c r="H3" s="3133">
        <v>2015</v>
      </c>
      <c r="I3" s="3133">
        <v>2016</v>
      </c>
      <c r="J3" s="3133">
        <v>2017</v>
      </c>
      <c r="K3" s="3133">
        <v>2018</v>
      </c>
      <c r="L3" s="2114">
        <v>2019</v>
      </c>
      <c r="M3" s="2114">
        <v>2020</v>
      </c>
      <c r="N3" s="3270">
        <v>2021</v>
      </c>
      <c r="O3" s="3270">
        <v>2022</v>
      </c>
      <c r="P3" s="3270">
        <v>2023</v>
      </c>
    </row>
    <row r="4" spans="1:16" ht="15" customHeight="1">
      <c r="A4" s="938"/>
      <c r="B4" s="3244" t="s">
        <v>114</v>
      </c>
      <c r="C4" s="3245">
        <v>5</v>
      </c>
      <c r="D4" s="3210">
        <v>7.6</v>
      </c>
      <c r="E4" s="3246">
        <v>7</v>
      </c>
      <c r="F4" s="3247">
        <v>5.2727272727272716</v>
      </c>
      <c r="G4" s="3210">
        <v>3.1999999999999993</v>
      </c>
      <c r="H4" s="3210">
        <v>3.3333333333333339</v>
      </c>
      <c r="I4" s="3210">
        <v>5.57</v>
      </c>
      <c r="J4" s="3210">
        <v>0</v>
      </c>
      <c r="K4" s="3199"/>
      <c r="L4" s="3199"/>
      <c r="M4" s="3199"/>
      <c r="N4" s="3199"/>
      <c r="O4" s="3199"/>
      <c r="P4" s="3199"/>
    </row>
    <row r="5" spans="1:16" ht="15" customHeight="1">
      <c r="A5" s="938"/>
      <c r="B5" s="3235" t="s">
        <v>115</v>
      </c>
      <c r="C5" s="3248">
        <v>5</v>
      </c>
      <c r="D5" s="3213">
        <v>9</v>
      </c>
      <c r="E5" s="3249">
        <v>4</v>
      </c>
      <c r="F5" s="3232">
        <v>12.5</v>
      </c>
      <c r="G5" s="3213"/>
      <c r="H5" s="3213">
        <v>9</v>
      </c>
      <c r="I5" s="3213"/>
      <c r="J5" s="3213">
        <v>10</v>
      </c>
      <c r="K5" s="3200"/>
      <c r="L5" s="3200">
        <v>4.5</v>
      </c>
      <c r="M5" s="3200">
        <v>2.5</v>
      </c>
      <c r="N5" s="3200">
        <v>1</v>
      </c>
      <c r="O5" s="3200">
        <v>1</v>
      </c>
      <c r="P5" s="3200">
        <v>1</v>
      </c>
    </row>
    <row r="6" spans="1:16" ht="15" customHeight="1">
      <c r="A6" s="938"/>
      <c r="B6" s="3236" t="s">
        <v>2270</v>
      </c>
      <c r="C6" s="3248"/>
      <c r="D6" s="3213"/>
      <c r="E6" s="3249"/>
      <c r="F6" s="3232"/>
      <c r="G6" s="3213"/>
      <c r="H6" s="3213"/>
      <c r="I6" s="3213"/>
      <c r="J6" s="3213">
        <v>0.40000000000000036</v>
      </c>
      <c r="K6" s="3200">
        <v>-0.5</v>
      </c>
      <c r="L6" s="3200">
        <v>1</v>
      </c>
      <c r="M6" s="3200">
        <v>2</v>
      </c>
      <c r="N6" s="3200">
        <v>9</v>
      </c>
      <c r="O6" s="3200">
        <v>3.75</v>
      </c>
      <c r="P6" s="3200">
        <v>4.0999999999999996</v>
      </c>
    </row>
    <row r="7" spans="1:16" ht="15" customHeight="1">
      <c r="A7" s="938"/>
      <c r="B7" s="3236" t="s">
        <v>607</v>
      </c>
      <c r="C7" s="3248"/>
      <c r="D7" s="3213"/>
      <c r="E7" s="3249"/>
      <c r="F7" s="3232"/>
      <c r="G7" s="3213"/>
      <c r="H7" s="3213"/>
      <c r="I7" s="3213"/>
      <c r="J7" s="3213">
        <v>-3</v>
      </c>
      <c r="K7" s="3200">
        <v>-1</v>
      </c>
      <c r="L7" s="3200">
        <v>1</v>
      </c>
      <c r="M7" s="3200">
        <v>1</v>
      </c>
      <c r="N7" s="3200">
        <v>0</v>
      </c>
      <c r="O7" s="3200">
        <v>1.5999999999999996</v>
      </c>
      <c r="P7" s="3200">
        <v>8</v>
      </c>
    </row>
    <row r="8" spans="1:16" ht="15" customHeight="1">
      <c r="A8" s="938"/>
      <c r="B8" s="3236" t="s">
        <v>606</v>
      </c>
      <c r="C8" s="3248"/>
      <c r="D8" s="3213"/>
      <c r="E8" s="3249"/>
      <c r="F8" s="3232"/>
      <c r="G8" s="3213"/>
      <c r="H8" s="3213"/>
      <c r="I8" s="3213"/>
      <c r="J8" s="3213">
        <v>3</v>
      </c>
      <c r="K8" s="3200">
        <v>2</v>
      </c>
      <c r="L8" s="3200"/>
      <c r="M8" s="3200"/>
      <c r="N8" s="3200">
        <v>-1</v>
      </c>
      <c r="O8" s="3200"/>
      <c r="P8" s="3200"/>
    </row>
    <row r="9" spans="1:16" ht="15" customHeight="1">
      <c r="A9" s="938"/>
      <c r="B9" s="3250" t="s">
        <v>482</v>
      </c>
      <c r="C9" s="3251">
        <v>5</v>
      </c>
      <c r="D9" s="2445">
        <v>7.7272727272727275</v>
      </c>
      <c r="E9" s="3252">
        <v>6.5</v>
      </c>
      <c r="F9" s="3252">
        <v>6.3846153846153832</v>
      </c>
      <c r="G9" s="2445">
        <v>3.1999999999999993</v>
      </c>
      <c r="H9" s="2445">
        <v>4.75</v>
      </c>
      <c r="I9" s="2445"/>
      <c r="J9" s="2445">
        <v>1.5000000000000002</v>
      </c>
      <c r="K9" s="3055">
        <v>0</v>
      </c>
      <c r="L9" s="3055">
        <v>2</v>
      </c>
      <c r="M9" s="3055">
        <v>1.5</v>
      </c>
      <c r="N9" s="3055">
        <v>2.25</v>
      </c>
      <c r="O9" s="3055">
        <v>1.07</v>
      </c>
      <c r="P9" s="3055">
        <v>1.7</v>
      </c>
    </row>
    <row r="10" spans="1:16" ht="15" customHeight="1">
      <c r="A10" s="938"/>
      <c r="B10" s="3253" t="s">
        <v>127</v>
      </c>
      <c r="C10" s="3248">
        <v>-3</v>
      </c>
      <c r="D10" s="3213"/>
      <c r="E10" s="3249"/>
      <c r="F10" s="3213"/>
      <c r="G10" s="3213"/>
      <c r="H10" s="3213">
        <v>2</v>
      </c>
      <c r="I10" s="3213"/>
      <c r="J10" s="3213">
        <v>0</v>
      </c>
      <c r="K10" s="3200"/>
      <c r="L10" s="3200"/>
      <c r="M10" s="3200">
        <v>0</v>
      </c>
      <c r="N10" s="3200"/>
      <c r="O10" s="3200"/>
      <c r="P10" s="3200"/>
    </row>
    <row r="11" spans="1:16" ht="15" customHeight="1">
      <c r="A11" s="938"/>
      <c r="B11" s="3254" t="s">
        <v>117</v>
      </c>
      <c r="C11" s="3248">
        <v>0</v>
      </c>
      <c r="D11" s="3213">
        <v>0</v>
      </c>
      <c r="E11" s="3249">
        <v>1.5</v>
      </c>
      <c r="F11" s="3232">
        <v>0.74999999999999822</v>
      </c>
      <c r="G11" s="3213">
        <v>0.85714285714285765</v>
      </c>
      <c r="H11" s="3213">
        <v>2</v>
      </c>
      <c r="I11" s="3213">
        <v>3.8000000000000007</v>
      </c>
      <c r="J11" s="3213">
        <v>6</v>
      </c>
      <c r="K11" s="3200">
        <v>4.67</v>
      </c>
      <c r="L11" s="3200">
        <v>1.67</v>
      </c>
      <c r="M11" s="3200"/>
      <c r="N11" s="3200">
        <v>1.4</v>
      </c>
      <c r="O11" s="3200">
        <v>4.4000000000000004</v>
      </c>
      <c r="P11" s="3200">
        <v>3.6</v>
      </c>
    </row>
    <row r="12" spans="1:16" ht="15" customHeight="1">
      <c r="A12" s="938"/>
      <c r="B12" s="3254" t="s">
        <v>118</v>
      </c>
      <c r="C12" s="3213"/>
      <c r="D12" s="3213">
        <v>-0.19999999999999929</v>
      </c>
      <c r="E12" s="3249">
        <v>0</v>
      </c>
      <c r="F12" s="3213"/>
      <c r="G12" s="3213">
        <v>0.19999999999999929</v>
      </c>
      <c r="H12" s="3213">
        <v>2.75</v>
      </c>
      <c r="I12" s="3213">
        <v>1.33</v>
      </c>
      <c r="J12" s="3213">
        <v>2.5</v>
      </c>
      <c r="K12" s="3200">
        <v>4.67</v>
      </c>
      <c r="L12" s="3200">
        <v>0.25</v>
      </c>
      <c r="M12" s="3200">
        <v>-1.5</v>
      </c>
      <c r="N12" s="3200"/>
      <c r="O12" s="3200">
        <v>-0.5</v>
      </c>
      <c r="P12" s="3200">
        <v>3</v>
      </c>
    </row>
    <row r="13" spans="1:16" ht="15" customHeight="1">
      <c r="A13" s="938"/>
      <c r="B13" s="3250" t="s">
        <v>483</v>
      </c>
      <c r="C13" s="3251">
        <v>-1.5</v>
      </c>
      <c r="D13" s="2445">
        <v>-0.16666666666666607</v>
      </c>
      <c r="E13" s="3252">
        <v>1</v>
      </c>
      <c r="F13" s="3252">
        <v>0.74999999999999822</v>
      </c>
      <c r="G13" s="2445">
        <v>0.58333333333333337</v>
      </c>
      <c r="H13" s="2445">
        <v>2.4285714285714284</v>
      </c>
      <c r="I13" s="2445">
        <v>2.5</v>
      </c>
      <c r="J13" s="2445">
        <v>2.75</v>
      </c>
      <c r="K13" s="3055">
        <v>4.67</v>
      </c>
      <c r="L13" s="3055">
        <v>0.85857142857142854</v>
      </c>
      <c r="M13" s="3055">
        <v>-1.1000000000000001</v>
      </c>
      <c r="N13" s="3055">
        <v>1.4</v>
      </c>
      <c r="O13" s="3055">
        <v>2.2000000000000002</v>
      </c>
      <c r="P13" s="3055">
        <v>3.5</v>
      </c>
    </row>
    <row r="14" spans="1:16" ht="15" customHeight="1">
      <c r="A14" s="938"/>
      <c r="B14" s="3254" t="s">
        <v>104</v>
      </c>
      <c r="C14" s="3248">
        <v>2.4000000000000004</v>
      </c>
      <c r="D14" s="3213">
        <v>1.5714285714285712</v>
      </c>
      <c r="E14" s="3249">
        <v>0</v>
      </c>
      <c r="F14" s="3232">
        <v>2.3333333333333339</v>
      </c>
      <c r="G14" s="3213">
        <v>3.8888888888888893</v>
      </c>
      <c r="H14" s="3213">
        <v>4</v>
      </c>
      <c r="I14" s="3213"/>
      <c r="J14" s="3213"/>
      <c r="K14" s="3200"/>
      <c r="L14" s="3200"/>
      <c r="M14" s="3200"/>
      <c r="N14" s="3200"/>
      <c r="O14" s="3200"/>
      <c r="P14" s="3200"/>
    </row>
    <row r="15" spans="1:16" ht="15" customHeight="1">
      <c r="A15" s="938"/>
      <c r="B15" s="3254" t="s">
        <v>1455</v>
      </c>
      <c r="C15" s="3248"/>
      <c r="D15" s="3213"/>
      <c r="E15" s="3249"/>
      <c r="F15" s="3232"/>
      <c r="G15" s="3213"/>
      <c r="H15" s="3213">
        <v>0</v>
      </c>
      <c r="I15" s="3213"/>
      <c r="J15" s="3213"/>
      <c r="K15" s="3200">
        <v>-1</v>
      </c>
      <c r="L15" s="3200">
        <v>0</v>
      </c>
      <c r="M15" s="3200"/>
      <c r="N15" s="3200">
        <v>-3</v>
      </c>
      <c r="O15" s="3200">
        <v>2</v>
      </c>
      <c r="P15" s="3200">
        <v>2</v>
      </c>
    </row>
    <row r="16" spans="1:16" ht="15" customHeight="1">
      <c r="A16" s="938"/>
      <c r="B16" s="3254" t="s">
        <v>1456</v>
      </c>
      <c r="C16" s="3248"/>
      <c r="D16" s="3213"/>
      <c r="E16" s="3249"/>
      <c r="F16" s="3232"/>
      <c r="G16" s="3213"/>
      <c r="H16" s="3213">
        <v>0</v>
      </c>
      <c r="I16" s="3213"/>
      <c r="J16" s="3213">
        <v>-2</v>
      </c>
      <c r="K16" s="3200"/>
      <c r="L16" s="3200">
        <v>1</v>
      </c>
      <c r="M16" s="3200">
        <v>3</v>
      </c>
      <c r="N16" s="3200">
        <v>0</v>
      </c>
      <c r="O16" s="3200">
        <v>5</v>
      </c>
      <c r="P16" s="3200"/>
    </row>
    <row r="17" spans="1:16" ht="15" customHeight="1">
      <c r="A17" s="938"/>
      <c r="B17" s="3254" t="s">
        <v>1457</v>
      </c>
      <c r="C17" s="3248"/>
      <c r="D17" s="3213"/>
      <c r="E17" s="3249"/>
      <c r="F17" s="3232"/>
      <c r="G17" s="3213"/>
      <c r="H17" s="3213">
        <v>0</v>
      </c>
      <c r="I17" s="3213">
        <v>0</v>
      </c>
      <c r="J17" s="3213">
        <v>8</v>
      </c>
      <c r="K17" s="3200">
        <v>1.1999999999999993</v>
      </c>
      <c r="L17" s="3200">
        <v>1.8000000000000007</v>
      </c>
      <c r="M17" s="3200">
        <v>0.5</v>
      </c>
      <c r="N17" s="3200">
        <v>6.3333333333333339</v>
      </c>
      <c r="O17" s="3200">
        <v>7</v>
      </c>
      <c r="P17" s="3200">
        <v>10</v>
      </c>
    </row>
    <row r="18" spans="1:16" ht="15" customHeight="1">
      <c r="A18" s="938"/>
      <c r="B18" s="3254" t="s">
        <v>1458</v>
      </c>
      <c r="C18" s="3248"/>
      <c r="D18" s="3213"/>
      <c r="E18" s="3249"/>
      <c r="F18" s="3232"/>
      <c r="G18" s="3213"/>
      <c r="H18" s="3213"/>
      <c r="I18" s="3213">
        <v>0.5</v>
      </c>
      <c r="J18" s="3213">
        <v>1.33</v>
      </c>
      <c r="K18" s="3200">
        <v>0</v>
      </c>
      <c r="L18" s="3200">
        <v>1.33</v>
      </c>
      <c r="M18" s="3200">
        <v>0</v>
      </c>
      <c r="N18" s="3200">
        <v>5.5</v>
      </c>
      <c r="O18" s="3200">
        <v>5.3333333333333339</v>
      </c>
      <c r="P18" s="3200">
        <v>7.8</v>
      </c>
    </row>
    <row r="19" spans="1:16" ht="28.8">
      <c r="A19" s="938"/>
      <c r="B19" s="4209" t="s">
        <v>2271</v>
      </c>
      <c r="C19" s="3248"/>
      <c r="D19" s="3213"/>
      <c r="E19" s="3249"/>
      <c r="F19" s="3232"/>
      <c r="G19" s="3213"/>
      <c r="H19" s="3213"/>
      <c r="I19" s="3213"/>
      <c r="J19" s="3213"/>
      <c r="K19" s="3200"/>
      <c r="L19" s="3200"/>
      <c r="M19" s="3200">
        <v>1</v>
      </c>
      <c r="N19" s="3200"/>
      <c r="O19" s="3200">
        <v>3</v>
      </c>
      <c r="P19" s="3200"/>
    </row>
    <row r="20" spans="1:16" ht="15" customHeight="1">
      <c r="A20" s="938"/>
      <c r="B20" s="3250" t="s">
        <v>484</v>
      </c>
      <c r="C20" s="3251">
        <v>2.4000000000000004</v>
      </c>
      <c r="D20" s="2445">
        <v>1.5714285714285712</v>
      </c>
      <c r="E20" s="3252">
        <v>0</v>
      </c>
      <c r="F20" s="3252">
        <v>2.3333333333333339</v>
      </c>
      <c r="G20" s="2445">
        <v>3.8888888888888893</v>
      </c>
      <c r="H20" s="2445">
        <v>0</v>
      </c>
      <c r="I20" s="2445">
        <v>0.14285714285714285</v>
      </c>
      <c r="J20" s="2445">
        <v>1.998</v>
      </c>
      <c r="K20" s="3055">
        <v>0.55555555555555514</v>
      </c>
      <c r="L20" s="3055">
        <v>1.2718181818181822</v>
      </c>
      <c r="M20" s="3055">
        <v>1</v>
      </c>
      <c r="N20" s="3055">
        <v>3.9</v>
      </c>
      <c r="O20" s="3055">
        <v>2.33</v>
      </c>
      <c r="P20" s="3055">
        <v>7.3</v>
      </c>
    </row>
    <row r="21" spans="1:16" ht="15" customHeight="1">
      <c r="A21" s="938"/>
      <c r="B21" s="3255" t="s">
        <v>105</v>
      </c>
      <c r="C21" s="3256">
        <v>1.9666666666666668</v>
      </c>
      <c r="D21" s="2451">
        <v>3.9583333333333335</v>
      </c>
      <c r="E21" s="3257">
        <v>3.2142857142857144</v>
      </c>
      <c r="F21" s="3257">
        <v>3.6666666666666656</v>
      </c>
      <c r="G21" s="2451">
        <v>2.2307692307692308</v>
      </c>
      <c r="H21" s="2451">
        <v>2.25</v>
      </c>
      <c r="I21" s="2451">
        <v>2.6787999999999998</v>
      </c>
      <c r="J21" s="2451">
        <v>1.8942105263157896</v>
      </c>
      <c r="K21" s="3057">
        <v>1.7378947368421052</v>
      </c>
      <c r="L21" s="3057">
        <v>1.36</v>
      </c>
      <c r="M21" s="3057">
        <v>0.5</v>
      </c>
      <c r="N21" s="3057">
        <v>2.7</v>
      </c>
      <c r="O21" s="3057">
        <v>1.75</v>
      </c>
      <c r="P21" s="3057">
        <v>3</v>
      </c>
    </row>
    <row r="22" spans="1:16" ht="15" customHeight="1">
      <c r="A22" s="938"/>
      <c r="B22" s="3258" t="s">
        <v>608</v>
      </c>
      <c r="C22" s="3230"/>
      <c r="D22" s="3230"/>
      <c r="E22" s="3230"/>
      <c r="F22" s="3180"/>
      <c r="G22" s="3230">
        <v>0</v>
      </c>
      <c r="H22" s="3230">
        <v>0</v>
      </c>
      <c r="I22" s="3230">
        <v>0.19999999999999929</v>
      </c>
      <c r="J22" s="3230">
        <v>1</v>
      </c>
      <c r="K22" s="3201">
        <v>0.71000000000000085</v>
      </c>
      <c r="L22" s="3201">
        <v>-0.59999999999999964</v>
      </c>
      <c r="M22" s="3201">
        <v>2</v>
      </c>
      <c r="N22" s="3201">
        <v>0</v>
      </c>
      <c r="O22" s="3201">
        <v>2.6</v>
      </c>
      <c r="P22" s="3201">
        <v>7</v>
      </c>
    </row>
    <row r="23" spans="1:16" ht="15" customHeight="1">
      <c r="A23" s="938"/>
      <c r="B23" s="3250" t="s">
        <v>483</v>
      </c>
      <c r="C23" s="3213"/>
      <c r="D23" s="2445"/>
      <c r="E23" s="2445"/>
      <c r="F23" s="2445"/>
      <c r="G23" s="2445">
        <v>0</v>
      </c>
      <c r="H23" s="2445">
        <v>0</v>
      </c>
      <c r="I23" s="2445">
        <v>0.19999999999999929</v>
      </c>
      <c r="J23" s="2445">
        <v>1</v>
      </c>
      <c r="K23" s="3055">
        <v>0.71000000000000085</v>
      </c>
      <c r="L23" s="3055">
        <v>-0.59999999999999964</v>
      </c>
      <c r="M23" s="3055">
        <v>2</v>
      </c>
      <c r="N23" s="3055">
        <v>0</v>
      </c>
      <c r="O23" s="3055">
        <v>2.6</v>
      </c>
      <c r="P23" s="3055">
        <v>7</v>
      </c>
    </row>
    <row r="24" spans="1:16" ht="15" customHeight="1">
      <c r="A24" s="938"/>
      <c r="B24" s="3254" t="s">
        <v>609</v>
      </c>
      <c r="C24" s="3213"/>
      <c r="D24" s="2445"/>
      <c r="E24" s="2445"/>
      <c r="F24" s="2445"/>
      <c r="G24" s="2445"/>
      <c r="H24" s="2447">
        <v>1</v>
      </c>
      <c r="I24" s="2447"/>
      <c r="J24" s="2447">
        <v>1.5</v>
      </c>
      <c r="K24" s="3056">
        <v>1.75</v>
      </c>
      <c r="L24" s="3056">
        <v>3</v>
      </c>
      <c r="M24" s="3056">
        <v>1.8</v>
      </c>
      <c r="N24" s="3056">
        <v>7</v>
      </c>
      <c r="O24" s="3056">
        <v>5</v>
      </c>
      <c r="P24" s="3056">
        <v>1.7</v>
      </c>
    </row>
    <row r="25" spans="1:16" ht="15" customHeight="1">
      <c r="A25" s="938"/>
      <c r="B25" s="3254" t="s">
        <v>320</v>
      </c>
      <c r="C25" s="3213"/>
      <c r="D25" s="2445"/>
      <c r="E25" s="2445"/>
      <c r="F25" s="2445"/>
      <c r="G25" s="2445"/>
      <c r="H25" s="2447">
        <v>6</v>
      </c>
      <c r="I25" s="2445"/>
      <c r="J25" s="2445"/>
      <c r="K25" s="3055"/>
      <c r="L25" s="3055"/>
      <c r="M25" s="3055"/>
      <c r="N25" s="3055">
        <v>2</v>
      </c>
      <c r="O25" s="3055">
        <v>7</v>
      </c>
      <c r="P25" s="3055">
        <v>0</v>
      </c>
    </row>
    <row r="26" spans="1:16" ht="15" customHeight="1">
      <c r="A26" s="938"/>
      <c r="B26" s="3250" t="s">
        <v>487</v>
      </c>
      <c r="C26" s="3213"/>
      <c r="D26" s="2445"/>
      <c r="E26" s="2445"/>
      <c r="F26" s="2445"/>
      <c r="G26" s="2445"/>
      <c r="H26" s="2445">
        <v>3.5</v>
      </c>
      <c r="I26" s="2445"/>
      <c r="J26" s="2445">
        <v>1.5</v>
      </c>
      <c r="K26" s="3055">
        <v>1.75</v>
      </c>
      <c r="L26" s="3055">
        <v>3</v>
      </c>
      <c r="M26" s="3055">
        <v>1.8</v>
      </c>
      <c r="N26" s="3055">
        <v>3.6666666666666665</v>
      </c>
      <c r="O26" s="3055">
        <v>6</v>
      </c>
      <c r="P26" s="3055">
        <v>2.5</v>
      </c>
    </row>
    <row r="27" spans="1:16" ht="15" customHeight="1">
      <c r="A27" s="938"/>
      <c r="B27" s="3255" t="s">
        <v>256</v>
      </c>
      <c r="C27" s="3263"/>
      <c r="D27" s="2451"/>
      <c r="E27" s="2451"/>
      <c r="F27" s="2451"/>
      <c r="G27" s="2451">
        <v>0</v>
      </c>
      <c r="H27" s="2451">
        <v>2.3333333333333335</v>
      </c>
      <c r="I27" s="2451">
        <v>0.19999999999999929</v>
      </c>
      <c r="J27" s="2451">
        <v>1.0900000000000001</v>
      </c>
      <c r="K27" s="3057">
        <v>1.0881818181818188</v>
      </c>
      <c r="L27" s="3057">
        <v>1.3636363636363638</v>
      </c>
      <c r="M27" s="3057">
        <v>1.9</v>
      </c>
      <c r="N27" s="3057">
        <v>1.375</v>
      </c>
      <c r="O27" s="3057">
        <v>3.76</v>
      </c>
      <c r="P27" s="3057">
        <v>4.7</v>
      </c>
    </row>
    <row r="28" spans="1:16" ht="15" customHeight="1">
      <c r="A28" s="938"/>
      <c r="B28" s="3258" t="s">
        <v>119</v>
      </c>
      <c r="C28" s="3259">
        <v>2</v>
      </c>
      <c r="D28" s="3230">
        <v>2</v>
      </c>
      <c r="E28" s="3260">
        <v>12.5</v>
      </c>
      <c r="F28" s="3229">
        <v>3.3333333333333339</v>
      </c>
      <c r="G28" s="3230">
        <v>8.7142857142857117</v>
      </c>
      <c r="H28" s="3230">
        <v>8</v>
      </c>
      <c r="I28" s="3230">
        <v>5</v>
      </c>
      <c r="J28" s="3230"/>
      <c r="K28" s="3201">
        <v>1.25</v>
      </c>
      <c r="L28" s="3201">
        <v>3.8000000000000007</v>
      </c>
      <c r="M28" s="3201">
        <v>6</v>
      </c>
      <c r="N28" s="3201">
        <v>5</v>
      </c>
      <c r="O28" s="3201">
        <v>0</v>
      </c>
      <c r="P28" s="3201">
        <v>3</v>
      </c>
    </row>
    <row r="29" spans="1:16" ht="15" customHeight="1">
      <c r="A29" s="938"/>
      <c r="B29" s="3254" t="s">
        <v>120</v>
      </c>
      <c r="C29" s="3248">
        <v>4</v>
      </c>
      <c r="D29" s="3213">
        <v>5.5</v>
      </c>
      <c r="E29" s="3249">
        <v>4.3333333333333321</v>
      </c>
      <c r="F29" s="3232">
        <v>4.9999999999999964</v>
      </c>
      <c r="G29" s="3213">
        <v>5.1999999999999993</v>
      </c>
      <c r="H29" s="3213">
        <v>6</v>
      </c>
      <c r="I29" s="3213">
        <v>3.67</v>
      </c>
      <c r="J29" s="3213">
        <v>6.6700000000000017</v>
      </c>
      <c r="K29" s="3200">
        <v>3.8900000000000006</v>
      </c>
      <c r="L29" s="3200">
        <v>5.2899999999999991</v>
      </c>
      <c r="M29" s="3200">
        <v>13</v>
      </c>
      <c r="N29" s="3200">
        <v>4.1666666666666643</v>
      </c>
      <c r="O29" s="3200">
        <v>6</v>
      </c>
      <c r="P29" s="3200">
        <v>10.8</v>
      </c>
    </row>
    <row r="30" spans="1:16" ht="15" customHeight="1">
      <c r="A30" s="938"/>
      <c r="B30" s="3254" t="s">
        <v>121</v>
      </c>
      <c r="C30" s="3248">
        <v>5.25</v>
      </c>
      <c r="D30" s="3213">
        <v>7.6428571428571388</v>
      </c>
      <c r="E30" s="3249">
        <v>5.3333333333333357</v>
      </c>
      <c r="F30" s="3232">
        <v>2.2857142857142847</v>
      </c>
      <c r="G30" s="3213">
        <v>5.3125</v>
      </c>
      <c r="H30" s="3213">
        <v>6</v>
      </c>
      <c r="I30" s="3213">
        <v>3.5</v>
      </c>
      <c r="J30" s="3213">
        <v>4.3999999999999986</v>
      </c>
      <c r="K30" s="3200">
        <v>6.129999999999999</v>
      </c>
      <c r="L30" s="3200">
        <v>6.5599999999999987</v>
      </c>
      <c r="M30" s="3200">
        <v>10</v>
      </c>
      <c r="N30" s="3200">
        <v>4.25</v>
      </c>
      <c r="O30" s="3200">
        <v>4.3</v>
      </c>
      <c r="P30" s="3200">
        <v>4.3</v>
      </c>
    </row>
    <row r="31" spans="1:16" ht="15" customHeight="1">
      <c r="A31" s="938"/>
      <c r="B31" s="3254" t="s">
        <v>122</v>
      </c>
      <c r="C31" s="3248">
        <v>4.875</v>
      </c>
      <c r="D31" s="3213">
        <v>-1.6666666666666661</v>
      </c>
      <c r="E31" s="3249">
        <v>10.833333333333332</v>
      </c>
      <c r="F31" s="3232">
        <v>8.1666666666666679</v>
      </c>
      <c r="G31" s="3213">
        <v>3.1999999999999993</v>
      </c>
      <c r="H31" s="3213">
        <v>6</v>
      </c>
      <c r="I31" s="3213">
        <v>5.4400000000000013</v>
      </c>
      <c r="J31" s="3213">
        <v>2.25</v>
      </c>
      <c r="K31" s="3200">
        <v>5.3999999999999986</v>
      </c>
      <c r="L31" s="3200">
        <v>5.25</v>
      </c>
      <c r="M31" s="3200">
        <v>4.8</v>
      </c>
      <c r="N31" s="3200">
        <v>6.5</v>
      </c>
      <c r="O31" s="3200">
        <v>1</v>
      </c>
      <c r="P31" s="3200">
        <v>3.3</v>
      </c>
    </row>
    <row r="32" spans="1:16" ht="15" customHeight="1">
      <c r="A32" s="938"/>
      <c r="B32" s="3254" t="s">
        <v>123</v>
      </c>
      <c r="C32" s="3248">
        <v>2.3333333333333339</v>
      </c>
      <c r="D32" s="3213"/>
      <c r="E32" s="3249">
        <v>0</v>
      </c>
      <c r="F32" s="3232">
        <v>-3</v>
      </c>
      <c r="G32" s="3213">
        <v>2.25</v>
      </c>
      <c r="H32" s="3213">
        <v>4.3333333333333321</v>
      </c>
      <c r="I32" s="3213">
        <v>3</v>
      </c>
      <c r="J32" s="3213">
        <v>4.1700000000000017</v>
      </c>
      <c r="K32" s="3200">
        <v>9.3299999999999983</v>
      </c>
      <c r="L32" s="3200">
        <v>5.5</v>
      </c>
      <c r="M32" s="3200">
        <v>11</v>
      </c>
      <c r="N32" s="3200"/>
      <c r="O32" s="3200">
        <v>1</v>
      </c>
      <c r="P32" s="3200">
        <v>9.4</v>
      </c>
    </row>
    <row r="33" spans="1:16" ht="15" customHeight="1">
      <c r="A33" s="938"/>
      <c r="B33" s="3254" t="s">
        <v>388</v>
      </c>
      <c r="C33" s="3248"/>
      <c r="D33" s="3213"/>
      <c r="E33" s="3249"/>
      <c r="F33" s="3232"/>
      <c r="G33" s="3213"/>
      <c r="H33" s="3213"/>
      <c r="I33" s="3213">
        <v>1</v>
      </c>
      <c r="J33" s="3213">
        <v>3.1999999999999993</v>
      </c>
      <c r="K33" s="3200">
        <v>3</v>
      </c>
      <c r="L33" s="3200">
        <v>3.33</v>
      </c>
      <c r="M33" s="3200"/>
      <c r="N33" s="3200">
        <v>6.5</v>
      </c>
      <c r="O33" s="3200">
        <v>4.7</v>
      </c>
      <c r="P33" s="3200">
        <v>6.5</v>
      </c>
    </row>
    <row r="34" spans="1:16" ht="15" customHeight="1">
      <c r="A34" s="938"/>
      <c r="B34" s="3254" t="s">
        <v>681</v>
      </c>
      <c r="C34" s="3248"/>
      <c r="D34" s="3213"/>
      <c r="E34" s="3249"/>
      <c r="F34" s="3232"/>
      <c r="G34" s="3213"/>
      <c r="H34" s="3213"/>
      <c r="I34" s="3213"/>
      <c r="J34" s="3213"/>
      <c r="K34" s="3200">
        <v>3.5</v>
      </c>
      <c r="L34" s="3200">
        <v>0</v>
      </c>
      <c r="M34" s="3200">
        <v>7</v>
      </c>
      <c r="N34" s="3200">
        <v>3</v>
      </c>
      <c r="O34" s="3200"/>
      <c r="P34" s="3200">
        <v>8</v>
      </c>
    </row>
    <row r="35" spans="1:16" ht="15" customHeight="1">
      <c r="A35" s="938"/>
      <c r="B35" s="3250" t="s">
        <v>482</v>
      </c>
      <c r="C35" s="3251">
        <v>4.9854797979797985</v>
      </c>
      <c r="D35" s="2445">
        <v>5.2608695652173889</v>
      </c>
      <c r="E35" s="3252">
        <v>6.7272727272727275</v>
      </c>
      <c r="F35" s="3252">
        <v>4.4583333333333321</v>
      </c>
      <c r="G35" s="2445">
        <v>5.3243243243243228</v>
      </c>
      <c r="H35" s="2445">
        <v>5.4782608695652177</v>
      </c>
      <c r="I35" s="2445">
        <v>3.9719444444444445</v>
      </c>
      <c r="J35" s="2445">
        <v>4.3344444444444443</v>
      </c>
      <c r="K35" s="3055">
        <v>5.0263414634146342</v>
      </c>
      <c r="L35" s="3055">
        <v>4.9461111111111116</v>
      </c>
      <c r="M35" s="3055">
        <v>7.9</v>
      </c>
      <c r="N35" s="3055">
        <v>4.5999999999999996</v>
      </c>
      <c r="O35" s="3055">
        <v>3.5</v>
      </c>
      <c r="P35" s="3055">
        <v>7.1</v>
      </c>
    </row>
    <row r="36" spans="1:16" ht="15" customHeight="1">
      <c r="A36" s="938"/>
      <c r="B36" s="3254" t="s">
        <v>106</v>
      </c>
      <c r="C36" s="3248">
        <v>0.93333333333333357</v>
      </c>
      <c r="D36" s="3213">
        <v>2.5833333333333339</v>
      </c>
      <c r="E36" s="3249">
        <v>7.6923076923078426E-2</v>
      </c>
      <c r="F36" s="3232">
        <v>0.77777777777777857</v>
      </c>
      <c r="G36" s="3213">
        <v>2.5555555555555554</v>
      </c>
      <c r="H36" s="3213">
        <v>2.5555555555555554</v>
      </c>
      <c r="I36" s="3213">
        <v>3.58</v>
      </c>
      <c r="J36" s="3213">
        <v>2.83</v>
      </c>
      <c r="K36" s="3200">
        <v>2</v>
      </c>
      <c r="L36" s="3200">
        <v>2.6899999999999995</v>
      </c>
      <c r="M36" s="3200">
        <v>0</v>
      </c>
      <c r="N36" s="3200">
        <v>2.6999999999999993</v>
      </c>
      <c r="O36" s="3200">
        <v>3</v>
      </c>
      <c r="P36" s="3200">
        <v>2.2999999999999998</v>
      </c>
    </row>
    <row r="37" spans="1:16" ht="15" customHeight="1">
      <c r="A37" s="938"/>
      <c r="B37" s="3254" t="s">
        <v>127</v>
      </c>
      <c r="C37" s="3248">
        <v>0</v>
      </c>
      <c r="D37" s="3213">
        <v>-1</v>
      </c>
      <c r="E37" s="3249">
        <v>1</v>
      </c>
      <c r="F37" s="3232">
        <v>2.3333333333333339</v>
      </c>
      <c r="G37" s="3213">
        <v>2.3333333333333339</v>
      </c>
      <c r="H37" s="3213">
        <v>3</v>
      </c>
      <c r="I37" s="3213">
        <v>2.75</v>
      </c>
      <c r="J37" s="3213">
        <v>4.6700000000000017</v>
      </c>
      <c r="K37" s="3200">
        <v>0.33000000000000007</v>
      </c>
      <c r="L37" s="3200">
        <v>2.5</v>
      </c>
      <c r="M37" s="3200">
        <v>1.2</v>
      </c>
      <c r="N37" s="3200">
        <v>2.5</v>
      </c>
      <c r="O37" s="3200">
        <v>6</v>
      </c>
      <c r="P37" s="3200">
        <v>3.3</v>
      </c>
    </row>
    <row r="38" spans="1:16" ht="15" customHeight="1">
      <c r="A38" s="938"/>
      <c r="B38" s="3254" t="s">
        <v>124</v>
      </c>
      <c r="C38" s="3248">
        <v>1.125</v>
      </c>
      <c r="D38" s="3213">
        <v>1.1999999999999993</v>
      </c>
      <c r="E38" s="3249">
        <v>9</v>
      </c>
      <c r="F38" s="3232">
        <v>0.7272727272727284</v>
      </c>
      <c r="G38" s="3213">
        <v>1</v>
      </c>
      <c r="H38" s="3213">
        <v>3.33</v>
      </c>
      <c r="I38" s="3213">
        <v>1.6199999999999992</v>
      </c>
      <c r="J38" s="3213">
        <v>4.8000000000000007</v>
      </c>
      <c r="K38" s="3200">
        <v>-0.11999999999999922</v>
      </c>
      <c r="L38" s="3200">
        <v>1</v>
      </c>
      <c r="M38" s="3200">
        <v>0.8</v>
      </c>
      <c r="N38" s="3200">
        <v>1.5999999999999996</v>
      </c>
      <c r="O38" s="3200"/>
      <c r="P38" s="3200">
        <v>1</v>
      </c>
    </row>
    <row r="39" spans="1:16" ht="15" customHeight="1">
      <c r="A39" s="938"/>
      <c r="B39" s="3254" t="s">
        <v>126</v>
      </c>
      <c r="C39" s="3248">
        <v>-0.45454545454545503</v>
      </c>
      <c r="D39" s="3213">
        <v>-0.91666666666666607</v>
      </c>
      <c r="E39" s="3249">
        <v>-7.1428571428571175E-2</v>
      </c>
      <c r="F39" s="3232">
        <v>0.42857142857142883</v>
      </c>
      <c r="G39" s="3213">
        <v>0.90909090909090828</v>
      </c>
      <c r="H39" s="3213">
        <v>2.5</v>
      </c>
      <c r="I39" s="3213">
        <v>0.19999999999999929</v>
      </c>
      <c r="J39" s="3213">
        <v>0.85999999999999943</v>
      </c>
      <c r="K39" s="3200">
        <v>1.9399999999999995</v>
      </c>
      <c r="L39" s="3200">
        <v>2.2899999999999991</v>
      </c>
      <c r="M39" s="3200">
        <v>6.8</v>
      </c>
      <c r="N39" s="3200">
        <v>1</v>
      </c>
      <c r="O39" s="3200"/>
      <c r="P39" s="3200">
        <v>1</v>
      </c>
    </row>
    <row r="40" spans="1:16" ht="15" customHeight="1">
      <c r="A40" s="938"/>
      <c r="B40" s="3254" t="s">
        <v>125</v>
      </c>
      <c r="C40" s="3248">
        <v>4.3333333333333357</v>
      </c>
      <c r="D40" s="3213">
        <v>0.17647058823529349</v>
      </c>
      <c r="E40" s="3249">
        <v>-0.64705882352941302</v>
      </c>
      <c r="F40" s="3232">
        <v>-0.96428571428571175</v>
      </c>
      <c r="G40" s="3213">
        <v>-1.0399999999999991</v>
      </c>
      <c r="H40" s="3213">
        <v>3.4117647058823533</v>
      </c>
      <c r="I40" s="3213">
        <v>4.2200000000000006</v>
      </c>
      <c r="J40" s="3213">
        <v>1.9299999999999997</v>
      </c>
      <c r="K40" s="3200">
        <v>1.3599999999999994</v>
      </c>
      <c r="L40" s="3200">
        <v>1.3499999999999996</v>
      </c>
      <c r="M40" s="3200">
        <v>1.1000000000000001</v>
      </c>
      <c r="N40" s="3200">
        <v>2.2142857142857135</v>
      </c>
      <c r="O40" s="3200">
        <v>2.2999999999999998</v>
      </c>
      <c r="P40" s="3200">
        <v>2.8</v>
      </c>
    </row>
    <row r="41" spans="1:16" ht="15" customHeight="1">
      <c r="A41" s="938"/>
      <c r="B41" s="3254" t="s">
        <v>2058</v>
      </c>
      <c r="C41" s="3248"/>
      <c r="D41" s="3213"/>
      <c r="E41" s="3249"/>
      <c r="F41" s="3232"/>
      <c r="G41" s="3213"/>
      <c r="H41" s="3213"/>
      <c r="I41" s="3213"/>
      <c r="J41" s="3213"/>
      <c r="K41" s="3200"/>
      <c r="L41" s="3200"/>
      <c r="M41" s="3200"/>
      <c r="N41" s="3200">
        <v>13</v>
      </c>
      <c r="O41" s="3200">
        <v>2</v>
      </c>
      <c r="P41" s="3200">
        <v>1.5</v>
      </c>
    </row>
    <row r="42" spans="1:16" ht="15" customHeight="1">
      <c r="A42" s="938"/>
      <c r="B42" s="3254" t="s">
        <v>2340</v>
      </c>
      <c r="C42" s="3248"/>
      <c r="D42" s="3213"/>
      <c r="E42" s="3249"/>
      <c r="F42" s="3232"/>
      <c r="G42" s="3213"/>
      <c r="H42" s="3213"/>
      <c r="I42" s="3213"/>
      <c r="J42" s="3213"/>
      <c r="K42" s="3200"/>
      <c r="L42" s="3200"/>
      <c r="M42" s="3200"/>
      <c r="N42" s="3200"/>
      <c r="O42" s="3200">
        <v>0.7</v>
      </c>
      <c r="P42" s="3200"/>
    </row>
    <row r="43" spans="1:16" ht="15" customHeight="1">
      <c r="A43" s="938"/>
      <c r="B43" s="3250" t="s">
        <v>483</v>
      </c>
      <c r="C43" s="3251">
        <v>1.1874242424242429</v>
      </c>
      <c r="D43" s="2445">
        <v>0.61666666666666659</v>
      </c>
      <c r="E43" s="3252">
        <v>0.53061224489795922</v>
      </c>
      <c r="F43" s="3252">
        <v>-3.4482758620688031E-2</v>
      </c>
      <c r="G43" s="2445">
        <v>0.71428571428571352</v>
      </c>
      <c r="H43" s="2445">
        <v>3.1250000000000009</v>
      </c>
      <c r="I43" s="2445">
        <v>2.6131343283582087</v>
      </c>
      <c r="J43" s="2445">
        <v>2.9331111111111112</v>
      </c>
      <c r="K43" s="3055">
        <v>0.99926470588235294</v>
      </c>
      <c r="L43" s="3055">
        <v>1.9303571428571427</v>
      </c>
      <c r="M43" s="3055">
        <v>1.5</v>
      </c>
      <c r="N43" s="3055">
        <v>1.6217391304347826</v>
      </c>
      <c r="O43" s="3055">
        <v>2.57</v>
      </c>
      <c r="P43" s="3055">
        <v>1.7</v>
      </c>
    </row>
    <row r="44" spans="1:16" ht="15" customHeight="1">
      <c r="A44" s="938"/>
      <c r="B44" s="3254" t="s">
        <v>320</v>
      </c>
      <c r="C44" s="3248">
        <v>4</v>
      </c>
      <c r="D44" s="3213">
        <v>13.333333333333332</v>
      </c>
      <c r="E44" s="3249">
        <v>6.375</v>
      </c>
      <c r="F44" s="3232">
        <v>5</v>
      </c>
      <c r="G44" s="3213">
        <v>3.125</v>
      </c>
      <c r="H44" s="3213">
        <v>1.9166666666666679</v>
      </c>
      <c r="I44" s="3213">
        <v>2.5700000000000003</v>
      </c>
      <c r="J44" s="3213">
        <v>4</v>
      </c>
      <c r="K44" s="3200">
        <v>2.3000000000000007</v>
      </c>
      <c r="L44" s="3200">
        <v>3.5999999999999996</v>
      </c>
      <c r="M44" s="3200">
        <v>6.5</v>
      </c>
      <c r="N44" s="3200">
        <v>4.4666666666666686</v>
      </c>
      <c r="O44" s="3200">
        <v>4.8</v>
      </c>
      <c r="P44" s="3200">
        <v>7.9</v>
      </c>
    </row>
    <row r="45" spans="1:16" ht="15" customHeight="1">
      <c r="A45" s="938"/>
      <c r="B45" s="3254" t="s">
        <v>129</v>
      </c>
      <c r="C45" s="3248">
        <v>10</v>
      </c>
      <c r="D45" s="3213">
        <v>4.5</v>
      </c>
      <c r="E45" s="3249">
        <v>3.3333333333333339</v>
      </c>
      <c r="F45" s="3232">
        <v>4.4444444444444429</v>
      </c>
      <c r="G45" s="3213">
        <v>1</v>
      </c>
      <c r="H45" s="3213">
        <v>4.6428571428571423</v>
      </c>
      <c r="I45" s="3213">
        <v>1.33</v>
      </c>
      <c r="J45" s="3213">
        <v>4</v>
      </c>
      <c r="K45" s="3200">
        <v>1.75</v>
      </c>
      <c r="L45" s="3200">
        <v>1.5999999999999996</v>
      </c>
      <c r="M45" s="3200">
        <v>3.5</v>
      </c>
      <c r="N45" s="3200">
        <v>1.9000000000000004</v>
      </c>
      <c r="O45" s="3200">
        <v>2</v>
      </c>
      <c r="P45" s="3200">
        <v>2.8</v>
      </c>
    </row>
    <row r="46" spans="1:16" ht="15" customHeight="1">
      <c r="A46" s="938"/>
      <c r="B46" s="3254" t="s">
        <v>128</v>
      </c>
      <c r="C46" s="3248">
        <v>1.2631578947368443</v>
      </c>
      <c r="D46" s="3213">
        <v>3.5882352941176432</v>
      </c>
      <c r="E46" s="3249">
        <v>2.8666666666666689</v>
      </c>
      <c r="F46" s="3232">
        <v>2.7692307692307683</v>
      </c>
      <c r="G46" s="3213">
        <v>1.7727272727272734</v>
      </c>
      <c r="H46" s="3213">
        <v>1.71</v>
      </c>
      <c r="I46" s="3213">
        <v>2.5</v>
      </c>
      <c r="J46" s="3213">
        <v>4.07</v>
      </c>
      <c r="K46" s="3200">
        <v>2.5500000000000007</v>
      </c>
      <c r="L46" s="3200">
        <v>3.67</v>
      </c>
      <c r="M46" s="3200">
        <v>2.5</v>
      </c>
      <c r="N46" s="3200">
        <v>16.423076923076923</v>
      </c>
      <c r="O46" s="3200">
        <v>4</v>
      </c>
      <c r="P46" s="3200">
        <v>4.9000000000000004</v>
      </c>
    </row>
    <row r="47" spans="1:16" ht="15" customHeight="1">
      <c r="A47" s="938"/>
      <c r="B47" s="3261" t="s">
        <v>485</v>
      </c>
      <c r="C47" s="3251">
        <v>5.0877192982456148</v>
      </c>
      <c r="D47" s="2445">
        <v>6.6333333333333311</v>
      </c>
      <c r="E47" s="3252">
        <v>3.8750000000000013</v>
      </c>
      <c r="F47" s="3252">
        <v>3.9696969696969688</v>
      </c>
      <c r="G47" s="2445">
        <v>1.8947368421052637</v>
      </c>
      <c r="H47" s="2445">
        <v>2.8</v>
      </c>
      <c r="I47" s="2445">
        <v>2.0893939393939394</v>
      </c>
      <c r="J47" s="2445">
        <v>4.0296969696969702</v>
      </c>
      <c r="K47" s="3055">
        <v>2.3157894736842111</v>
      </c>
      <c r="L47" s="3055">
        <v>3.0821621621621618</v>
      </c>
      <c r="M47" s="3055">
        <v>4</v>
      </c>
      <c r="N47" s="3055">
        <v>7.8410256410256425</v>
      </c>
      <c r="O47" s="3055">
        <v>3.75</v>
      </c>
      <c r="P47" s="3055">
        <v>5.4</v>
      </c>
    </row>
    <row r="48" spans="1:16" ht="15" customHeight="1">
      <c r="A48" s="938"/>
      <c r="B48" s="3262" t="s">
        <v>109</v>
      </c>
      <c r="C48" s="3256">
        <v>3.753541112883219</v>
      </c>
      <c r="D48" s="2451">
        <v>3.159292035398229</v>
      </c>
      <c r="E48" s="3257">
        <v>2.8932038834951461</v>
      </c>
      <c r="F48" s="3257">
        <v>2.0521739130434788</v>
      </c>
      <c r="G48" s="2451">
        <v>2.1315789473684159</v>
      </c>
      <c r="H48" s="2451">
        <v>3.5242718446601948</v>
      </c>
      <c r="I48" s="2451">
        <v>2.845735294117647</v>
      </c>
      <c r="J48" s="2451">
        <v>3.6930701754385966</v>
      </c>
      <c r="K48" s="3057">
        <v>2.4627891156462587</v>
      </c>
      <c r="L48" s="3057">
        <v>3.1023255813953483</v>
      </c>
      <c r="M48" s="3057">
        <v>3.6</v>
      </c>
      <c r="N48" s="3057">
        <v>4.5922090729783047</v>
      </c>
      <c r="O48" s="3057">
        <v>3.4</v>
      </c>
      <c r="P48" s="3057">
        <v>3.6</v>
      </c>
    </row>
    <row r="49" spans="1:16" ht="15" customHeight="1">
      <c r="A49" s="938"/>
      <c r="B49" s="3258" t="s">
        <v>320</v>
      </c>
      <c r="C49" s="3230"/>
      <c r="D49" s="3230"/>
      <c r="E49" s="3230"/>
      <c r="F49" s="3180"/>
      <c r="G49" s="3230"/>
      <c r="H49" s="3230"/>
      <c r="I49" s="3230"/>
      <c r="J49" s="3230"/>
      <c r="K49" s="3201"/>
      <c r="L49" s="3201"/>
      <c r="M49" s="3201"/>
      <c r="N49" s="3201"/>
      <c r="O49" s="3201"/>
      <c r="P49" s="3201">
        <v>3</v>
      </c>
    </row>
    <row r="50" spans="1:16" ht="15" customHeight="1">
      <c r="A50" s="938"/>
      <c r="B50" s="3250" t="s">
        <v>41</v>
      </c>
      <c r="C50" s="3213"/>
      <c r="D50" s="2445"/>
      <c r="E50" s="2445"/>
      <c r="F50" s="2445"/>
      <c r="G50" s="2445"/>
      <c r="H50" s="2445"/>
      <c r="I50" s="2445"/>
      <c r="J50" s="2445"/>
      <c r="K50" s="3055"/>
      <c r="L50" s="3055"/>
      <c r="M50" s="3055"/>
      <c r="N50" s="3055"/>
      <c r="O50" s="3055"/>
      <c r="P50" s="3055">
        <v>3</v>
      </c>
    </row>
    <row r="51" spans="1:16" ht="15" customHeight="1">
      <c r="A51" s="938"/>
      <c r="B51" s="3262" t="s">
        <v>1017</v>
      </c>
      <c r="C51" s="3256"/>
      <c r="D51" s="2451"/>
      <c r="E51" s="3257"/>
      <c r="F51" s="3257"/>
      <c r="G51" s="2451"/>
      <c r="H51" s="2451"/>
      <c r="I51" s="2451"/>
      <c r="J51" s="2451"/>
      <c r="K51" s="3057"/>
      <c r="L51" s="3057"/>
      <c r="M51" s="3057"/>
      <c r="N51" s="3057"/>
      <c r="O51" s="3057"/>
      <c r="P51" s="3057">
        <v>3</v>
      </c>
    </row>
    <row r="52" spans="1:16" ht="15" customHeight="1">
      <c r="A52" s="938"/>
      <c r="B52" s="3258" t="s">
        <v>143</v>
      </c>
      <c r="C52" s="3259">
        <v>1.2564102564102555</v>
      </c>
      <c r="D52" s="3230">
        <v>1.1600000000000001</v>
      </c>
      <c r="E52" s="3260">
        <v>0.8125</v>
      </c>
      <c r="F52" s="3229">
        <v>1.1363636363636349</v>
      </c>
      <c r="G52" s="3230">
        <v>1.1111111111111125</v>
      </c>
      <c r="H52" s="3230"/>
      <c r="I52" s="3230">
        <v>0.14000000000000057</v>
      </c>
      <c r="J52" s="3230">
        <v>3.9600000000000009</v>
      </c>
      <c r="K52" s="3201">
        <v>4.33</v>
      </c>
      <c r="L52" s="3201">
        <v>1.17</v>
      </c>
      <c r="M52" s="3201">
        <v>3.1</v>
      </c>
      <c r="N52" s="3201">
        <v>0.69999999999999929</v>
      </c>
      <c r="O52" s="3201">
        <v>0.9</v>
      </c>
      <c r="P52" s="3201">
        <v>1.4</v>
      </c>
    </row>
    <row r="53" spans="1:16" ht="15" customHeight="1">
      <c r="A53" s="938"/>
      <c r="B53" s="3254" t="s">
        <v>110</v>
      </c>
      <c r="C53" s="3248">
        <v>-1.375</v>
      </c>
      <c r="D53" s="3213">
        <v>-1.1428571428571423</v>
      </c>
      <c r="E53" s="3249">
        <v>0.16666666666666607</v>
      </c>
      <c r="F53" s="3232">
        <v>-1</v>
      </c>
      <c r="G53" s="3213">
        <v>-0.16666666666666607</v>
      </c>
      <c r="H53" s="3213">
        <v>2.5555555555555554</v>
      </c>
      <c r="I53" s="3213">
        <v>2.75</v>
      </c>
      <c r="J53" s="3213">
        <v>2.25</v>
      </c>
      <c r="K53" s="3200">
        <v>3.75</v>
      </c>
      <c r="L53" s="3200">
        <v>-0.28999999999999915</v>
      </c>
      <c r="M53" s="3200">
        <v>-0.3</v>
      </c>
      <c r="N53" s="3200">
        <v>-0.875</v>
      </c>
      <c r="O53" s="3200">
        <v>-1.1000000000000001</v>
      </c>
      <c r="P53" s="3200"/>
    </row>
    <row r="54" spans="1:16" ht="15" customHeight="1">
      <c r="A54" s="938"/>
      <c r="B54" s="3254" t="s">
        <v>127</v>
      </c>
      <c r="C54" s="3213"/>
      <c r="D54" s="3213">
        <v>0</v>
      </c>
      <c r="E54" s="3249">
        <v>-2</v>
      </c>
      <c r="F54" s="3232">
        <v>1.75</v>
      </c>
      <c r="G54" s="3213">
        <v>0</v>
      </c>
      <c r="H54" s="3213">
        <v>0.77</v>
      </c>
      <c r="I54" s="3213"/>
      <c r="J54" s="3213"/>
      <c r="K54" s="3200">
        <v>1.75</v>
      </c>
      <c r="L54" s="3200">
        <v>4</v>
      </c>
      <c r="M54" s="3200">
        <v>8</v>
      </c>
      <c r="N54" s="3200">
        <v>1</v>
      </c>
      <c r="O54" s="3200">
        <v>4</v>
      </c>
      <c r="P54" s="3200">
        <v>2</v>
      </c>
    </row>
    <row r="55" spans="1:16" ht="15" customHeight="1">
      <c r="A55" s="938"/>
      <c r="B55" s="3254" t="s">
        <v>3180</v>
      </c>
      <c r="C55" s="3213"/>
      <c r="D55" s="3213"/>
      <c r="E55" s="3249"/>
      <c r="F55" s="3232"/>
      <c r="G55" s="3213"/>
      <c r="H55" s="3213"/>
      <c r="I55" s="3213"/>
      <c r="J55" s="3213"/>
      <c r="K55" s="3200"/>
      <c r="L55" s="3200"/>
      <c r="M55" s="3200"/>
      <c r="N55" s="3200"/>
      <c r="O55" s="3200">
        <v>1.3</v>
      </c>
      <c r="P55" s="3200"/>
    </row>
    <row r="56" spans="1:16" ht="15" customHeight="1">
      <c r="A56" s="938"/>
      <c r="B56" s="3254" t="s">
        <v>279</v>
      </c>
      <c r="C56" s="3213"/>
      <c r="D56" s="3213"/>
      <c r="E56" s="3249"/>
      <c r="F56" s="3232"/>
      <c r="G56" s="3213"/>
      <c r="H56" s="3213"/>
      <c r="I56" s="3213"/>
      <c r="J56" s="3213"/>
      <c r="K56" s="3200"/>
      <c r="L56" s="3200"/>
      <c r="M56" s="3200"/>
      <c r="N56" s="3200"/>
      <c r="O56" s="3200">
        <v>1.7</v>
      </c>
      <c r="P56" s="3200"/>
    </row>
    <row r="57" spans="1:16" ht="15" customHeight="1">
      <c r="A57" s="938"/>
      <c r="B57" s="3250" t="s">
        <v>483</v>
      </c>
      <c r="C57" s="3251">
        <v>-5.929487179487225E-2</v>
      </c>
      <c r="D57" s="2445">
        <v>0.63636363636363658</v>
      </c>
      <c r="E57" s="3252">
        <v>0.41666666666666652</v>
      </c>
      <c r="F57" s="3252">
        <v>0.93333333333333224</v>
      </c>
      <c r="G57" s="2445">
        <v>0.7307692307692264</v>
      </c>
      <c r="H57" s="2445">
        <v>1.2903225806451617</v>
      </c>
      <c r="I57" s="2445">
        <v>0.72000000000000042</v>
      </c>
      <c r="J57" s="2445">
        <v>3.52</v>
      </c>
      <c r="K57" s="3055">
        <v>3.8438461538461537</v>
      </c>
      <c r="L57" s="3055">
        <v>0.7352941176470591</v>
      </c>
      <c r="M57" s="3055">
        <v>1.3</v>
      </c>
      <c r="N57" s="3055">
        <v>0.14090909090909048</v>
      </c>
      <c r="O57" s="3055">
        <v>0.6</v>
      </c>
      <c r="P57" s="3055">
        <v>1.4</v>
      </c>
    </row>
    <row r="58" spans="1:16" ht="15" customHeight="1">
      <c r="A58" s="938"/>
      <c r="B58" s="3254" t="s">
        <v>1743</v>
      </c>
      <c r="C58" s="3248"/>
      <c r="D58" s="3213"/>
      <c r="E58" s="3249"/>
      <c r="F58" s="3232"/>
      <c r="G58" s="3213"/>
      <c r="H58" s="3213"/>
      <c r="I58" s="3213">
        <v>0</v>
      </c>
      <c r="J58" s="3213">
        <v>0.75</v>
      </c>
      <c r="K58" s="3200">
        <v>1.25</v>
      </c>
      <c r="L58" s="3200">
        <v>0.66999999999999993</v>
      </c>
      <c r="M58" s="3200">
        <v>-0.3</v>
      </c>
      <c r="N58" s="3200">
        <v>-0.16666666666666785</v>
      </c>
      <c r="O58" s="3200">
        <v>1.8</v>
      </c>
      <c r="P58" s="3200">
        <v>0</v>
      </c>
    </row>
    <row r="59" spans="1:16" ht="15" customHeight="1">
      <c r="A59" s="938"/>
      <c r="B59" s="3254" t="s">
        <v>320</v>
      </c>
      <c r="C59" s="3248">
        <v>3.4000000000000004</v>
      </c>
      <c r="D59" s="3213">
        <v>11</v>
      </c>
      <c r="E59" s="3249">
        <v>8.2666666666666622</v>
      </c>
      <c r="F59" s="3232">
        <v>4.7142857142857135</v>
      </c>
      <c r="G59" s="3213">
        <v>2.1428571428571423</v>
      </c>
      <c r="H59" s="3213">
        <v>0.92</v>
      </c>
      <c r="I59" s="3213">
        <v>0.82000000000000028</v>
      </c>
      <c r="J59" s="3213">
        <v>3.5600000000000005</v>
      </c>
      <c r="K59" s="3200">
        <v>2.1300000000000008</v>
      </c>
      <c r="L59" s="3200">
        <v>1.1300000000000008</v>
      </c>
      <c r="M59" s="3200">
        <v>2.2999999999999998</v>
      </c>
      <c r="N59" s="3200">
        <v>3.2444444444444436</v>
      </c>
      <c r="O59" s="3200">
        <v>4.5</v>
      </c>
      <c r="P59" s="3200">
        <v>1.3</v>
      </c>
    </row>
    <row r="60" spans="1:16" ht="15" customHeight="1">
      <c r="B60" s="3254" t="s">
        <v>144</v>
      </c>
      <c r="C60" s="3248">
        <v>2.6363636363636367</v>
      </c>
      <c r="D60" s="3213">
        <v>1.25</v>
      </c>
      <c r="E60" s="3249">
        <v>6.5</v>
      </c>
      <c r="F60" s="3232">
        <v>2.4000000000000004</v>
      </c>
      <c r="G60" s="3213">
        <v>3.5</v>
      </c>
      <c r="H60" s="3213">
        <v>1</v>
      </c>
      <c r="I60" s="3213">
        <v>2</v>
      </c>
      <c r="J60" s="3213">
        <v>1.25</v>
      </c>
      <c r="K60" s="3200">
        <v>2.8000000000000007</v>
      </c>
      <c r="L60" s="3200">
        <v>0.66999999999999993</v>
      </c>
      <c r="M60" s="3200">
        <v>0</v>
      </c>
      <c r="N60" s="3200">
        <v>0</v>
      </c>
      <c r="O60" s="3200">
        <v>1.8</v>
      </c>
      <c r="P60" s="3200">
        <v>1.7</v>
      </c>
    </row>
    <row r="61" spans="1:16" ht="15" customHeight="1">
      <c r="A61" s="938"/>
      <c r="B61" s="3250" t="s">
        <v>485</v>
      </c>
      <c r="C61" s="3251">
        <v>3.0181818181818185</v>
      </c>
      <c r="D61" s="2445">
        <v>8.8333333333333339</v>
      </c>
      <c r="E61" s="3252">
        <v>8.0588235294117609</v>
      </c>
      <c r="F61" s="3252">
        <v>3.7499999999999996</v>
      </c>
      <c r="G61" s="2445">
        <v>2.7692307692307692</v>
      </c>
      <c r="H61" s="2445">
        <v>0.92307692307692413</v>
      </c>
      <c r="I61" s="2445">
        <v>1.0637500000000002</v>
      </c>
      <c r="J61" s="2445">
        <v>2.355294117647059</v>
      </c>
      <c r="K61" s="3055">
        <v>2.3718518518518525</v>
      </c>
      <c r="L61" s="3055">
        <v>0.88647058823529445</v>
      </c>
      <c r="M61" s="3055">
        <v>1.3</v>
      </c>
      <c r="N61" s="3055">
        <v>2.5407407407407399</v>
      </c>
      <c r="O61" s="3055">
        <v>2.7</v>
      </c>
      <c r="P61" s="3055">
        <v>0.4</v>
      </c>
    </row>
    <row r="62" spans="1:16" ht="15" customHeight="1">
      <c r="A62" s="938"/>
      <c r="B62" s="3254" t="s">
        <v>145</v>
      </c>
      <c r="C62" s="3248">
        <v>4</v>
      </c>
      <c r="D62" s="3213">
        <v>5</v>
      </c>
      <c r="E62" s="3249">
        <v>7.5</v>
      </c>
      <c r="F62" s="3232">
        <v>6.5</v>
      </c>
      <c r="G62" s="3213">
        <v>4.1666666666666679</v>
      </c>
      <c r="H62" s="3213">
        <v>1.3333333333333339</v>
      </c>
      <c r="I62" s="3213">
        <v>3.1999999999999993</v>
      </c>
      <c r="J62" s="3213">
        <v>2</v>
      </c>
      <c r="K62" s="3200">
        <v>0.25</v>
      </c>
      <c r="L62" s="3200">
        <v>0</v>
      </c>
      <c r="M62" s="3200">
        <v>5</v>
      </c>
      <c r="N62" s="3200">
        <v>0.25</v>
      </c>
      <c r="O62" s="3200">
        <v>1</v>
      </c>
      <c r="P62" s="3200">
        <v>0</v>
      </c>
    </row>
    <row r="63" spans="1:16" ht="15" customHeight="1">
      <c r="A63" s="938"/>
      <c r="B63" s="3250" t="s">
        <v>484</v>
      </c>
      <c r="C63" s="3251">
        <v>4</v>
      </c>
      <c r="D63" s="2445">
        <v>5</v>
      </c>
      <c r="E63" s="3252">
        <v>7.5</v>
      </c>
      <c r="F63" s="3252">
        <v>6.5</v>
      </c>
      <c r="G63" s="2445">
        <v>4.1666666666666679</v>
      </c>
      <c r="H63" s="2445">
        <v>1.3333333333333339</v>
      </c>
      <c r="I63" s="2445">
        <v>3.1999999999999993</v>
      </c>
      <c r="J63" s="2445">
        <v>2</v>
      </c>
      <c r="K63" s="3055">
        <v>0.25</v>
      </c>
      <c r="L63" s="3055">
        <v>0</v>
      </c>
      <c r="M63" s="3055">
        <v>5</v>
      </c>
      <c r="N63" s="3055">
        <v>0.25</v>
      </c>
      <c r="O63" s="3055">
        <v>1</v>
      </c>
      <c r="P63" s="3055">
        <v>0</v>
      </c>
    </row>
    <row r="64" spans="1:16" ht="15" customHeight="1">
      <c r="A64" s="938"/>
      <c r="B64" s="3262" t="s">
        <v>412</v>
      </c>
      <c r="C64" s="3256">
        <v>2.3196289821289819</v>
      </c>
      <c r="D64" s="2451">
        <v>3.6111111111111112</v>
      </c>
      <c r="E64" s="3257">
        <v>4.0851063829787222</v>
      </c>
      <c r="F64" s="3257">
        <v>1.9545454545454535</v>
      </c>
      <c r="G64" s="2451">
        <v>1.7777777777777752</v>
      </c>
      <c r="H64" s="2451">
        <v>1.2000000000000006</v>
      </c>
      <c r="I64" s="2451">
        <v>1.0517948717948717</v>
      </c>
      <c r="J64" s="2451">
        <v>2.9658181818181819</v>
      </c>
      <c r="K64" s="3057">
        <v>2.894385964912281</v>
      </c>
      <c r="L64" s="3057">
        <v>0.74203703703703727</v>
      </c>
      <c r="M64" s="3057">
        <v>1.6</v>
      </c>
      <c r="N64" s="3057">
        <v>1.3230158730158725</v>
      </c>
      <c r="O64" s="3057">
        <v>1.3</v>
      </c>
      <c r="P64" s="3057">
        <v>1.1000000000000001</v>
      </c>
    </row>
    <row r="65" spans="1:16" ht="15" customHeight="1">
      <c r="A65" s="938"/>
    </row>
    <row r="66" spans="1:16" ht="15" customHeight="1">
      <c r="A66" s="938"/>
      <c r="B66" s="3264" t="s">
        <v>724</v>
      </c>
      <c r="C66" s="3241">
        <v>2.6799455872262894</v>
      </c>
      <c r="D66" s="2028">
        <v>3.3874345549738214</v>
      </c>
      <c r="E66" s="3265">
        <v>3.2621951219512195</v>
      </c>
      <c r="F66" s="3266">
        <v>2.2857142857142856</v>
      </c>
      <c r="G66" s="2028">
        <v>2.0533333333333292</v>
      </c>
      <c r="H66" s="2028">
        <v>2.7093023255813962</v>
      </c>
      <c r="I66" s="2028">
        <v>2.42</v>
      </c>
      <c r="J66" s="2028">
        <v>3.18</v>
      </c>
      <c r="K66" s="3267">
        <v>2.4444444444444446</v>
      </c>
      <c r="L66" s="3267">
        <v>2.2000000000000002</v>
      </c>
      <c r="M66" s="3267">
        <v>2.5</v>
      </c>
      <c r="N66" s="3267">
        <v>3.4</v>
      </c>
      <c r="O66" s="3267">
        <v>2.6</v>
      </c>
      <c r="P66" s="3267">
        <v>3</v>
      </c>
    </row>
    <row r="67" spans="1:16" ht="13.95" customHeight="1">
      <c r="A67" s="938"/>
      <c r="B67" s="7003" t="s">
        <v>3370</v>
      </c>
      <c r="L67" s="4619"/>
      <c r="M67" s="4619"/>
      <c r="N67" s="4913"/>
      <c r="P67" s="6581" t="s">
        <v>3366</v>
      </c>
    </row>
    <row r="68" spans="1:16" ht="15" customHeight="1">
      <c r="A68" s="938"/>
      <c r="B68" s="7003"/>
      <c r="L68" s="6975" t="s">
        <v>3304</v>
      </c>
      <c r="M68" s="6975"/>
      <c r="N68" s="6975"/>
      <c r="O68" s="6975"/>
      <c r="P68" s="6975"/>
    </row>
    <row r="69" spans="1:16">
      <c r="A69" s="938"/>
      <c r="L69" s="6975"/>
      <c r="M69" s="6975"/>
      <c r="N69" s="6975"/>
      <c r="O69" s="6975"/>
      <c r="P69" s="6975"/>
    </row>
    <row r="70" spans="1:16">
      <c r="A70" s="938"/>
    </row>
    <row r="71" spans="1:16">
      <c r="A71" s="938"/>
    </row>
    <row r="72" spans="1:16">
      <c r="A72" s="938"/>
    </row>
  </sheetData>
  <mergeCells count="3">
    <mergeCell ref="B67:B68"/>
    <mergeCell ref="L1:P1"/>
    <mergeCell ref="L68:P69"/>
  </mergeCells>
  <printOptions horizontalCentered="1" verticalCentered="1"/>
  <pageMargins left="0.70866141732283472" right="0.70866141732283472" top="0.74803149606299213" bottom="0.74803149606299213" header="0.31496062992125984" footer="0.31496062992125984"/>
  <pageSetup scale="70" firstPageNumber="15" orientation="landscape" useFirstPageNumber="1" r:id="rId1"/>
  <headerFooter scaleWithDoc="0" alignWithMargins="0">
    <oddFooter>&amp;R&amp;P</oddFooter>
  </headerFooter>
  <rowBreaks count="1" manualBreakCount="1">
    <brk id="35" min="11" max="15"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9999"/>
  </sheetPr>
  <dimension ref="A1:AA3574"/>
  <sheetViews>
    <sheetView showGridLines="0" topLeftCell="A31" zoomScale="90" zoomScaleNormal="90" zoomScaleSheetLayoutView="80" workbookViewId="0">
      <selection activeCell="D35" sqref="D35"/>
    </sheetView>
  </sheetViews>
  <sheetFormatPr baseColWidth="10" defaultColWidth="11.44140625" defaultRowHeight="15.6"/>
  <cols>
    <col min="1" max="1" width="1.6640625" style="8" customWidth="1"/>
    <col min="2" max="2" width="18.44140625" style="295" customWidth="1"/>
    <col min="3" max="3" width="22.6640625" style="295" customWidth="1"/>
    <col min="4" max="4" width="38.6640625" style="958" customWidth="1"/>
    <col min="5" max="5" width="46.33203125" style="295" customWidth="1"/>
    <col min="6" max="10" width="9.6640625" style="296" customWidth="1"/>
    <col min="11" max="11" width="9.5546875" style="295" customWidth="1"/>
    <col min="12" max="12" width="9.6640625" style="295" customWidth="1"/>
    <col min="13" max="13" width="9.44140625" style="295" customWidth="1"/>
    <col min="14" max="22" width="9.6640625" style="295" customWidth="1"/>
    <col min="23" max="23" width="14.109375" style="1240" customWidth="1"/>
    <col min="24" max="16384" width="11.44140625" style="8"/>
  </cols>
  <sheetData>
    <row r="1" spans="2:23" ht="20.100000000000001" customHeight="1">
      <c r="K1" s="296"/>
      <c r="L1" s="296"/>
      <c r="M1" s="296"/>
      <c r="N1" s="296"/>
      <c r="O1" s="296"/>
      <c r="P1" s="296"/>
      <c r="Q1" s="296"/>
      <c r="R1" s="296"/>
      <c r="S1" s="296"/>
      <c r="U1" s="296"/>
    </row>
    <row r="2" spans="2:23" ht="20.100000000000001" customHeight="1">
      <c r="K2" s="296"/>
      <c r="L2" s="296"/>
      <c r="M2" s="296"/>
      <c r="N2" s="296"/>
      <c r="O2" s="296"/>
      <c r="P2" s="296"/>
      <c r="Q2" s="296"/>
      <c r="R2" s="296"/>
      <c r="S2" s="296"/>
      <c r="U2" s="296"/>
    </row>
    <row r="3" spans="2:23" ht="27.6">
      <c r="D3" s="2416"/>
      <c r="F3" s="6542"/>
      <c r="G3" s="6542"/>
      <c r="H3" s="6542"/>
      <c r="I3" s="6541"/>
      <c r="J3" s="6541"/>
      <c r="K3" s="2416"/>
      <c r="L3" s="2416"/>
      <c r="M3" s="2416"/>
      <c r="N3" s="2416"/>
      <c r="O3" s="2416"/>
      <c r="P3" s="2416"/>
      <c r="Q3" s="2416"/>
      <c r="R3" s="2416"/>
      <c r="S3" s="2416"/>
      <c r="T3" s="296"/>
      <c r="U3" s="2416"/>
      <c r="V3" s="6560" t="s">
        <v>1103</v>
      </c>
    </row>
    <row r="4" spans="2:23" ht="20.100000000000001" customHeight="1">
      <c r="C4" s="355"/>
      <c r="D4" s="1736"/>
      <c r="E4" s="355"/>
      <c r="F4" s="6540"/>
      <c r="G4" s="6540"/>
      <c r="H4" s="6540"/>
      <c r="I4" s="6540"/>
      <c r="J4" s="6540"/>
      <c r="K4" s="6540"/>
      <c r="L4" s="6548"/>
      <c r="M4" s="6548"/>
      <c r="N4" s="6548"/>
      <c r="O4" s="6548"/>
      <c r="P4" s="6548"/>
      <c r="Q4" s="6548"/>
      <c r="R4" s="6548"/>
      <c r="S4" s="355"/>
      <c r="T4" s="355"/>
      <c r="U4" s="355"/>
      <c r="V4" s="355"/>
    </row>
    <row r="5" spans="2:23" ht="25.2" customHeight="1">
      <c r="B5" s="6930" t="s">
        <v>1087</v>
      </c>
      <c r="C5" s="6930"/>
      <c r="D5" s="6930"/>
      <c r="E5" s="6931"/>
      <c r="F5" s="6935" t="s">
        <v>1029</v>
      </c>
      <c r="G5" s="6936"/>
      <c r="H5" s="6936"/>
      <c r="I5" s="6936"/>
      <c r="J5" s="6936"/>
      <c r="K5" s="6936"/>
      <c r="L5" s="6936"/>
      <c r="M5" s="6936"/>
      <c r="N5" s="6936"/>
      <c r="O5" s="6936"/>
      <c r="P5" s="6936"/>
      <c r="Q5" s="6936"/>
      <c r="R5" s="6936"/>
      <c r="S5" s="6937"/>
      <c r="T5" s="6920" t="s">
        <v>1030</v>
      </c>
      <c r="U5" s="6921"/>
      <c r="V5" s="6922"/>
    </row>
    <row r="6" spans="2:23" ht="31.8" thickBot="1">
      <c r="B6" s="1900" t="s">
        <v>1031</v>
      </c>
      <c r="C6" s="1900" t="s">
        <v>1296</v>
      </c>
      <c r="D6" s="1900" t="s">
        <v>1032</v>
      </c>
      <c r="E6" s="1900" t="s">
        <v>1033</v>
      </c>
      <c r="F6" s="2386">
        <v>2010</v>
      </c>
      <c r="G6" s="2386">
        <v>2011</v>
      </c>
      <c r="H6" s="2386">
        <v>2012</v>
      </c>
      <c r="I6" s="2387">
        <v>2013</v>
      </c>
      <c r="J6" s="2387">
        <v>2014</v>
      </c>
      <c r="K6" s="2387">
        <v>2015</v>
      </c>
      <c r="L6" s="2387">
        <v>2016</v>
      </c>
      <c r="M6" s="2387">
        <v>2017</v>
      </c>
      <c r="N6" s="2387">
        <v>2018</v>
      </c>
      <c r="O6" s="2387">
        <v>2019</v>
      </c>
      <c r="P6" s="2387">
        <v>2020</v>
      </c>
      <c r="Q6" s="2387">
        <v>2021</v>
      </c>
      <c r="R6" s="2387">
        <v>2022</v>
      </c>
      <c r="S6" s="2387">
        <v>2023</v>
      </c>
      <c r="T6" s="1901">
        <v>2013</v>
      </c>
      <c r="U6" s="1898">
        <v>2017</v>
      </c>
      <c r="V6" s="1899">
        <v>2024</v>
      </c>
    </row>
    <row r="7" spans="2:23" ht="60" customHeight="1">
      <c r="B7" s="6934" t="s">
        <v>1462</v>
      </c>
      <c r="C7" s="2035" t="s">
        <v>1467</v>
      </c>
      <c r="D7" s="2007" t="s">
        <v>1307</v>
      </c>
      <c r="E7" s="2008"/>
      <c r="F7" s="6067">
        <v>0.13700000000000001</v>
      </c>
      <c r="G7" s="6067">
        <v>0.13759318423855166</v>
      </c>
      <c r="H7" s="6067">
        <v>0.15009451795841211</v>
      </c>
      <c r="I7" s="6068">
        <v>0.16693483507642801</v>
      </c>
      <c r="J7" s="6068">
        <v>0.15290687078549298</v>
      </c>
      <c r="K7" s="1897">
        <v>0.13881188118811882</v>
      </c>
      <c r="L7" s="1897">
        <v>0.15794499618029029</v>
      </c>
      <c r="M7" s="1897">
        <v>0.14981273408239701</v>
      </c>
      <c r="N7" s="6069">
        <v>0.16965678627145087</v>
      </c>
      <c r="O7" s="6070">
        <v>0.16753422016579911</v>
      </c>
      <c r="P7" s="6071">
        <v>0.15835876568328247</v>
      </c>
      <c r="Q7" s="6072">
        <v>0.15736310473152579</v>
      </c>
      <c r="R7" s="6434">
        <v>0.13400000000000001</v>
      </c>
      <c r="S7" s="6066">
        <f>+'D.1.'!AD108</f>
        <v>0.126699450390512</v>
      </c>
      <c r="T7" s="1895">
        <v>0.16</v>
      </c>
      <c r="U7" s="1896">
        <v>0.2</v>
      </c>
      <c r="V7" s="1897">
        <v>0.4</v>
      </c>
      <c r="W7" s="4132"/>
    </row>
    <row r="8" spans="2:23" ht="80.25" customHeight="1">
      <c r="B8" s="6927"/>
      <c r="C8" s="2036" t="s">
        <v>1469</v>
      </c>
      <c r="D8" s="2005" t="s">
        <v>1088</v>
      </c>
      <c r="E8" s="2006"/>
      <c r="F8" s="302">
        <v>0.41099999999999998</v>
      </c>
      <c r="G8" s="302">
        <v>0.41303269375410073</v>
      </c>
      <c r="H8" s="302">
        <v>0.41422026925953626</v>
      </c>
      <c r="I8" s="302">
        <v>0.42727580164171303</v>
      </c>
      <c r="J8" s="302">
        <v>0.42655201908792151</v>
      </c>
      <c r="K8" s="1128">
        <v>0.45300000000000001</v>
      </c>
      <c r="L8" s="1598">
        <v>0.45353666554417021</v>
      </c>
      <c r="M8" s="1742">
        <v>0.46158823343749011</v>
      </c>
      <c r="N8" s="2392">
        <v>0.49111951415148392</v>
      </c>
      <c r="O8" s="3881">
        <v>0.52046105899487882</v>
      </c>
      <c r="P8" s="4793">
        <v>0.47562512642569282</v>
      </c>
      <c r="Q8" s="5865">
        <v>0.47946951911565788</v>
      </c>
      <c r="R8" s="6435">
        <v>0.441</v>
      </c>
      <c r="S8" s="6404">
        <f>+'D.2.'!P109</f>
        <v>0.42199999999999999</v>
      </c>
      <c r="T8" s="1845">
        <v>0.42</v>
      </c>
      <c r="U8" s="1846">
        <v>0.5</v>
      </c>
      <c r="V8" s="368">
        <v>0.6</v>
      </c>
      <c r="W8" s="4159"/>
    </row>
    <row r="9" spans="2:23" ht="78.75" customHeight="1">
      <c r="B9" s="2003" t="s">
        <v>1463</v>
      </c>
      <c r="C9" s="2037" t="s">
        <v>1468</v>
      </c>
      <c r="D9" s="2005" t="s">
        <v>1089</v>
      </c>
      <c r="E9" s="2006"/>
      <c r="F9" s="307">
        <v>3.6275236918006364</v>
      </c>
      <c r="G9" s="307">
        <v>3.6483812949640946</v>
      </c>
      <c r="H9" s="307">
        <v>3.5697475395806606</v>
      </c>
      <c r="I9" s="308">
        <v>3.751781027371603</v>
      </c>
      <c r="J9" s="308">
        <v>3.8583843571006149</v>
      </c>
      <c r="K9" s="1126">
        <v>3.9487079852341136</v>
      </c>
      <c r="L9" s="1593">
        <v>3.8599999999999994</v>
      </c>
      <c r="M9" s="1741">
        <v>4.1099999999999994</v>
      </c>
      <c r="N9" s="2388">
        <v>3.93</v>
      </c>
      <c r="O9" s="3878">
        <v>3.9700000000000006</v>
      </c>
      <c r="P9" s="4790">
        <v>4.3000000000000007</v>
      </c>
      <c r="Q9" s="5860">
        <v>4.34</v>
      </c>
      <c r="R9" s="6436">
        <v>3.336785714285714</v>
      </c>
      <c r="S9" s="6407">
        <f>+'D.3.'!P107</f>
        <v>2.4500000000000002</v>
      </c>
      <c r="T9" s="1847">
        <v>3</v>
      </c>
      <c r="U9" s="1848">
        <v>3</v>
      </c>
      <c r="V9" s="361">
        <v>1.5</v>
      </c>
      <c r="W9" s="4159"/>
    </row>
    <row r="10" spans="2:23" ht="58.5" customHeight="1">
      <c r="B10" s="6926" t="s">
        <v>1464</v>
      </c>
      <c r="C10" s="2038" t="s">
        <v>1470</v>
      </c>
      <c r="D10" s="2009" t="s">
        <v>1251</v>
      </c>
      <c r="E10" s="2010"/>
      <c r="F10" s="326">
        <v>0.38007380073800739</v>
      </c>
      <c r="G10" s="326">
        <v>0.4788135593220339</v>
      </c>
      <c r="H10" s="326">
        <v>0.47783251231527096</v>
      </c>
      <c r="I10" s="356">
        <v>0.50340136054421769</v>
      </c>
      <c r="J10" s="356">
        <v>0.61643835616438358</v>
      </c>
      <c r="K10" s="1127">
        <v>0.51282051282051277</v>
      </c>
      <c r="L10" s="1595">
        <v>0.5</v>
      </c>
      <c r="M10" s="1740">
        <v>0.76271186440677963</v>
      </c>
      <c r="N10" s="2389">
        <v>0.70629370629370625</v>
      </c>
      <c r="O10" s="3877">
        <v>0.72043010752688175</v>
      </c>
      <c r="P10" s="4789">
        <v>0.58899999999999997</v>
      </c>
      <c r="Q10" s="5861">
        <v>0.73599999999999999</v>
      </c>
      <c r="R10" s="6437">
        <v>0.64100000000000001</v>
      </c>
      <c r="S10" s="6406">
        <f>+'D.4.'!P35</f>
        <v>0.14499999999999999</v>
      </c>
      <c r="T10" s="1845">
        <v>0.4</v>
      </c>
      <c r="U10" s="1849">
        <v>0.55000000000000004</v>
      </c>
      <c r="V10" s="357">
        <v>0.6</v>
      </c>
      <c r="W10" s="4159"/>
    </row>
    <row r="11" spans="2:23" ht="55.2" customHeight="1">
      <c r="B11" s="6927"/>
      <c r="C11" s="2036" t="s">
        <v>1471</v>
      </c>
      <c r="D11" s="2009" t="s">
        <v>1252</v>
      </c>
      <c r="E11" s="2010"/>
      <c r="F11" s="326">
        <v>0.32006920415224915</v>
      </c>
      <c r="G11" s="326">
        <v>0.33620689655172414</v>
      </c>
      <c r="H11" s="326">
        <v>0.33745583038869259</v>
      </c>
      <c r="I11" s="356">
        <v>0.33203125</v>
      </c>
      <c r="J11" s="356">
        <v>0.37235543018335682</v>
      </c>
      <c r="K11" s="1127">
        <v>0.34703947368421051</v>
      </c>
      <c r="L11" s="1595">
        <v>0.42040816326530611</v>
      </c>
      <c r="M11" s="1740">
        <v>0.36283185840707965</v>
      </c>
      <c r="N11" s="2389">
        <v>0.39586410635155095</v>
      </c>
      <c r="O11" s="3877">
        <v>0.316</v>
      </c>
      <c r="P11" s="4789">
        <v>0.35</v>
      </c>
      <c r="Q11" s="5861">
        <v>0.23400000000000001</v>
      </c>
      <c r="R11" s="6437">
        <v>0.25800000000000001</v>
      </c>
      <c r="S11" s="6406">
        <f>+'D.5.'!P97</f>
        <v>3.2000000000000001E-2</v>
      </c>
      <c r="T11" s="1845">
        <v>0.35</v>
      </c>
      <c r="U11" s="1849">
        <v>0.38</v>
      </c>
      <c r="V11" s="357">
        <v>0.6</v>
      </c>
      <c r="W11" s="4159"/>
    </row>
    <row r="12" spans="2:23" ht="55.2" customHeight="1">
      <c r="B12" s="6928"/>
      <c r="C12" s="2039" t="s">
        <v>1472</v>
      </c>
      <c r="D12" s="2009" t="s">
        <v>1253</v>
      </c>
      <c r="E12" s="2010"/>
      <c r="F12" s="326">
        <v>0.38857142857142857</v>
      </c>
      <c r="G12" s="326">
        <v>0.28990228013029318</v>
      </c>
      <c r="H12" s="326">
        <v>0.34389140271493213</v>
      </c>
      <c r="I12" s="356">
        <v>0.29655172413793102</v>
      </c>
      <c r="J12" s="356">
        <v>0.36688311688311687</v>
      </c>
      <c r="K12" s="1127">
        <v>0.30967741935483872</v>
      </c>
      <c r="L12" s="1595">
        <v>0.32881355932203388</v>
      </c>
      <c r="M12" s="1740">
        <v>0.33214285714285713</v>
      </c>
      <c r="N12" s="2389">
        <v>0.31871345029239767</v>
      </c>
      <c r="O12" s="3877">
        <v>0.34620000000000001</v>
      </c>
      <c r="P12" s="4789">
        <v>0.23699999999999999</v>
      </c>
      <c r="Q12" s="5861">
        <v>0.22600000000000001</v>
      </c>
      <c r="R12" s="6437">
        <v>0.17599999999999999</v>
      </c>
      <c r="S12" s="6406">
        <f>+'D.6.'!P74</f>
        <v>1.4999999999999999E-2</v>
      </c>
      <c r="T12" s="1845">
        <v>0.4</v>
      </c>
      <c r="U12" s="1849">
        <v>0.41599999999999998</v>
      </c>
      <c r="V12" s="357">
        <v>0.6</v>
      </c>
      <c r="W12" s="4159"/>
    </row>
    <row r="13" spans="2:23" ht="76.5" customHeight="1">
      <c r="B13" s="6926" t="s">
        <v>1465</v>
      </c>
      <c r="C13" s="2038" t="s">
        <v>1474</v>
      </c>
      <c r="D13" s="2009" t="s">
        <v>1308</v>
      </c>
      <c r="E13" s="2011"/>
      <c r="F13" s="307">
        <v>1.6250988142292486</v>
      </c>
      <c r="G13" s="307">
        <v>0.72682926829268346</v>
      </c>
      <c r="H13" s="307">
        <v>0.65806451612903338</v>
      </c>
      <c r="I13" s="308">
        <v>0.38043478260869606</v>
      </c>
      <c r="J13" s="308">
        <v>0.70707070707070707</v>
      </c>
      <c r="K13" s="1126">
        <v>0.84745762711864436</v>
      </c>
      <c r="L13" s="1593">
        <v>0.47464646464646459</v>
      </c>
      <c r="M13" s="1741">
        <v>0.87</v>
      </c>
      <c r="N13" s="2388">
        <v>0.59542056074766347</v>
      </c>
      <c r="O13" s="3878">
        <v>0.15</v>
      </c>
      <c r="P13" s="4790">
        <v>0.43968253968253967</v>
      </c>
      <c r="Q13" s="5860">
        <v>0.4</v>
      </c>
      <c r="R13" s="6436">
        <v>0.97</v>
      </c>
      <c r="S13" s="6874">
        <f>+'D.7.'!P33</f>
        <v>0.45</v>
      </c>
      <c r="T13" s="1847">
        <v>1</v>
      </c>
      <c r="U13" s="1848">
        <v>0.5</v>
      </c>
      <c r="V13" s="361">
        <v>0.5</v>
      </c>
      <c r="W13" s="4159"/>
    </row>
    <row r="14" spans="2:23" ht="62.25" customHeight="1">
      <c r="B14" s="6927"/>
      <c r="C14" s="2036" t="s">
        <v>1473</v>
      </c>
      <c r="D14" s="2009" t="s">
        <v>1309</v>
      </c>
      <c r="E14" s="2011"/>
      <c r="F14" s="307">
        <v>2.7813914865145883</v>
      </c>
      <c r="G14" s="307">
        <v>2.6129032258064511</v>
      </c>
      <c r="H14" s="307">
        <v>2.0676532769556029</v>
      </c>
      <c r="I14" s="308">
        <v>1.266075388026608</v>
      </c>
      <c r="J14" s="308">
        <v>1.2749490835030555</v>
      </c>
      <c r="K14" s="1126">
        <v>1.0210280373831775</v>
      </c>
      <c r="L14" s="1593">
        <v>0.9862884615384615</v>
      </c>
      <c r="M14" s="1741">
        <v>0.89132149901380664</v>
      </c>
      <c r="N14" s="2388">
        <v>1.1682912621359223</v>
      </c>
      <c r="O14" s="3878">
        <v>1</v>
      </c>
      <c r="P14" s="4790">
        <v>0.9</v>
      </c>
      <c r="Q14" s="5860">
        <v>1.3</v>
      </c>
      <c r="R14" s="6436">
        <v>1.6</v>
      </c>
      <c r="S14" s="6405">
        <f>+'D.8.'!P90</f>
        <v>1.9</v>
      </c>
      <c r="T14" s="1847">
        <v>2</v>
      </c>
      <c r="U14" s="1848">
        <v>0.7</v>
      </c>
      <c r="V14" s="361">
        <v>0.5</v>
      </c>
      <c r="W14" s="4159"/>
    </row>
    <row r="15" spans="2:23" ht="69" customHeight="1">
      <c r="B15" s="6928"/>
      <c r="C15" s="2036" t="s">
        <v>1475</v>
      </c>
      <c r="D15" s="2009" t="s">
        <v>1310</v>
      </c>
      <c r="E15" s="2011"/>
      <c r="F15" s="307">
        <v>2.6799455872262894</v>
      </c>
      <c r="G15" s="307">
        <v>3.3874345549738214</v>
      </c>
      <c r="H15" s="307">
        <v>3.2621951219512195</v>
      </c>
      <c r="I15" s="308">
        <v>2.2857142857142856</v>
      </c>
      <c r="J15" s="308">
        <v>2.0533333333333292</v>
      </c>
      <c r="K15" s="1126">
        <v>2.7093023255813962</v>
      </c>
      <c r="L15" s="1593">
        <v>2.42</v>
      </c>
      <c r="M15" s="1741">
        <v>3.18</v>
      </c>
      <c r="N15" s="2388">
        <v>2.4444444444444446</v>
      </c>
      <c r="O15" s="3878">
        <v>2.2000000000000002</v>
      </c>
      <c r="P15" s="4790">
        <v>2.5</v>
      </c>
      <c r="Q15" s="5860">
        <v>3.4</v>
      </c>
      <c r="R15" s="6436">
        <v>2.6</v>
      </c>
      <c r="S15" s="6405">
        <f>+'D.9.'!P66</f>
        <v>3</v>
      </c>
      <c r="T15" s="1847">
        <v>2</v>
      </c>
      <c r="U15" s="1848">
        <v>1.5</v>
      </c>
      <c r="V15" s="361">
        <v>1</v>
      </c>
      <c r="W15" s="4159"/>
    </row>
    <row r="16" spans="2:23" ht="40.5" customHeight="1">
      <c r="B16" s="6895" t="s">
        <v>1466</v>
      </c>
      <c r="C16" s="387" t="s">
        <v>1476</v>
      </c>
      <c r="D16" s="964" t="s">
        <v>1090</v>
      </c>
      <c r="E16" s="953" t="s">
        <v>1091</v>
      </c>
      <c r="F16" s="326">
        <v>0.78259999999999996</v>
      </c>
      <c r="G16" s="326">
        <v>0.75800000000000001</v>
      </c>
      <c r="H16" s="326">
        <v>0.73699999999999999</v>
      </c>
      <c r="I16" s="357">
        <v>0.73699999999999999</v>
      </c>
      <c r="J16" s="357">
        <v>0.73699999999999999</v>
      </c>
      <c r="K16" s="1127">
        <v>0.78610000000000002</v>
      </c>
      <c r="L16" s="1127">
        <v>0.74199999999999999</v>
      </c>
      <c r="M16" s="1740">
        <v>0.73499999999999999</v>
      </c>
      <c r="N16" s="2389">
        <v>0.71587819467101677</v>
      </c>
      <c r="O16" s="3877">
        <v>0.71699999999999997</v>
      </c>
      <c r="P16" s="4789">
        <v>0.7</v>
      </c>
      <c r="Q16" s="5861">
        <v>0.72443181818181823</v>
      </c>
      <c r="R16" s="6437">
        <v>0.72123650996890432</v>
      </c>
      <c r="S16" s="6408">
        <f>+'D.10.'!F10</f>
        <v>0.70895522388059706</v>
      </c>
      <c r="T16" s="1845">
        <v>0.82</v>
      </c>
      <c r="U16" s="1849">
        <v>0.82</v>
      </c>
      <c r="V16" s="357">
        <v>0.9</v>
      </c>
      <c r="W16" s="4160"/>
    </row>
    <row r="17" spans="1:23" ht="40.5" customHeight="1">
      <c r="B17" s="6897"/>
      <c r="C17" s="300" t="s">
        <v>1477</v>
      </c>
      <c r="D17" s="959" t="s">
        <v>1090</v>
      </c>
      <c r="E17" s="953" t="s">
        <v>1092</v>
      </c>
      <c r="F17" s="326">
        <v>0.88500000000000001</v>
      </c>
      <c r="G17" s="358">
        <v>0.86119999999999997</v>
      </c>
      <c r="H17" s="326">
        <v>0.85871453387376995</v>
      </c>
      <c r="I17" s="357">
        <v>0.82722126507506766</v>
      </c>
      <c r="J17" s="357">
        <v>0.83914331282752297</v>
      </c>
      <c r="K17" s="1127">
        <v>0.80300000000000005</v>
      </c>
      <c r="L17" s="1595">
        <v>0.8</v>
      </c>
      <c r="M17" s="1740">
        <v>0.78600000000000003</v>
      </c>
      <c r="N17" s="2389">
        <v>0.78470211793387168</v>
      </c>
      <c r="O17" s="3877">
        <v>0.78400000000000003</v>
      </c>
      <c r="P17" s="4789">
        <v>0.78004122711288959</v>
      </c>
      <c r="Q17" s="5861">
        <v>0.79</v>
      </c>
      <c r="R17" s="6437">
        <v>0.78633208756006412</v>
      </c>
      <c r="S17" s="6408">
        <f>+'D.11.'!E10</f>
        <v>0.78633208756006412</v>
      </c>
      <c r="T17" s="1845">
        <v>0.89</v>
      </c>
      <c r="U17" s="1849">
        <v>0.9</v>
      </c>
      <c r="V17" s="357">
        <v>0.9</v>
      </c>
      <c r="W17" s="4160"/>
    </row>
    <row r="18" spans="1:23" ht="60" customHeight="1">
      <c r="B18" s="6929" t="s">
        <v>2680</v>
      </c>
      <c r="C18" s="297" t="s">
        <v>1478</v>
      </c>
      <c r="D18" s="959" t="s">
        <v>1093</v>
      </c>
      <c r="E18" s="372"/>
      <c r="F18" s="326">
        <v>0.77</v>
      </c>
      <c r="G18" s="326">
        <v>0.80327868852459017</v>
      </c>
      <c r="H18" s="326">
        <v>0.81818181818181823</v>
      </c>
      <c r="I18" s="356">
        <v>0.78787878787878785</v>
      </c>
      <c r="J18" s="356">
        <v>0.76923076923076927</v>
      </c>
      <c r="K18" s="1127">
        <v>0.68571428571428572</v>
      </c>
      <c r="L18" s="1595">
        <v>0.45714285714285713</v>
      </c>
      <c r="M18" s="1740">
        <v>0.36</v>
      </c>
      <c r="N18" s="2389">
        <v>0.50666666666666671</v>
      </c>
      <c r="O18" s="3877">
        <v>0.53333333333333333</v>
      </c>
      <c r="P18" s="4789">
        <v>0.53333333333333333</v>
      </c>
      <c r="Q18" s="5861">
        <v>0.52</v>
      </c>
      <c r="R18" s="6437">
        <v>0.50649350649350644</v>
      </c>
      <c r="S18" s="6406">
        <f>+'D.12.'!I31</f>
        <v>0.48051948051948057</v>
      </c>
      <c r="T18" s="1850">
        <v>0.8</v>
      </c>
      <c r="U18" s="1846">
        <v>0.84699999999999998</v>
      </c>
      <c r="V18" s="303">
        <v>1</v>
      </c>
      <c r="W18" s="6172"/>
    </row>
    <row r="19" spans="1:23" ht="45" customHeight="1">
      <c r="B19" s="6896"/>
      <c r="C19" s="297" t="s">
        <v>1479</v>
      </c>
      <c r="D19" s="959" t="s">
        <v>1094</v>
      </c>
      <c r="E19" s="372"/>
      <c r="F19" s="326">
        <v>0.78100000000000003</v>
      </c>
      <c r="G19" s="326">
        <v>0.78666666666666663</v>
      </c>
      <c r="H19" s="326">
        <v>0.71264367816091956</v>
      </c>
      <c r="I19" s="356">
        <v>0.78888888888888886</v>
      </c>
      <c r="J19" s="356">
        <v>0.80219780219780223</v>
      </c>
      <c r="K19" s="1127">
        <v>0.74489795918367352</v>
      </c>
      <c r="L19" s="1595">
        <v>0.74747474747474751</v>
      </c>
      <c r="M19" s="1740">
        <v>0.68518518518518523</v>
      </c>
      <c r="N19" s="2389">
        <v>0.67272727272727273</v>
      </c>
      <c r="O19" s="3877">
        <v>0.73</v>
      </c>
      <c r="P19" s="4789">
        <v>0.7168141592920354</v>
      </c>
      <c r="Q19" s="5861">
        <v>0.72566371681415931</v>
      </c>
      <c r="R19" s="6437">
        <v>0.92173913043478262</v>
      </c>
      <c r="S19" s="6408">
        <f>+'D.13.'!J34</f>
        <v>0.82352941176470584</v>
      </c>
      <c r="T19" s="1845">
        <v>0.85</v>
      </c>
      <c r="U19" s="1849">
        <v>0.91200000000000003</v>
      </c>
      <c r="V19" s="303">
        <v>1</v>
      </c>
      <c r="W19" s="6172"/>
    </row>
    <row r="20" spans="1:23" ht="59.25" customHeight="1">
      <c r="B20" s="6895" t="s">
        <v>1518</v>
      </c>
      <c r="C20" s="300" t="s">
        <v>1519</v>
      </c>
      <c r="D20" s="1031" t="s">
        <v>1095</v>
      </c>
      <c r="E20" s="373"/>
      <c r="F20" s="326">
        <v>0.61111111111111116</v>
      </c>
      <c r="G20" s="326">
        <v>0.61333333333333329</v>
      </c>
      <c r="H20" s="326">
        <v>0.72368421052631582</v>
      </c>
      <c r="I20" s="356">
        <v>0.76315789473684215</v>
      </c>
      <c r="J20" s="356">
        <v>0.85526315789473684</v>
      </c>
      <c r="K20" s="1127">
        <v>0.82894736842105265</v>
      </c>
      <c r="L20" s="1595">
        <v>0.88311688311688308</v>
      </c>
      <c r="M20" s="1740">
        <v>0.60759493670886078</v>
      </c>
      <c r="N20" s="2389">
        <v>0.37804878048780488</v>
      </c>
      <c r="O20" s="3877">
        <v>0.35365853658536583</v>
      </c>
      <c r="P20" s="4789">
        <v>0.32926829268292684</v>
      </c>
      <c r="Q20" s="5861">
        <v>0.29268292682926828</v>
      </c>
      <c r="R20" s="6437">
        <v>0.21951219512195122</v>
      </c>
      <c r="S20" s="6406">
        <f>+'D.14.'!CD105</f>
        <v>0.2073170731707317</v>
      </c>
      <c r="T20" s="1845">
        <v>0.7</v>
      </c>
      <c r="U20" s="1849">
        <v>0.87</v>
      </c>
      <c r="V20" s="303">
        <v>1</v>
      </c>
      <c r="W20" s="6172"/>
    </row>
    <row r="21" spans="1:23" ht="56.25" customHeight="1">
      <c r="B21" s="6897"/>
      <c r="C21" s="300" t="s">
        <v>1520</v>
      </c>
      <c r="D21" s="959" t="s">
        <v>1096</v>
      </c>
      <c r="E21" s="372"/>
      <c r="F21" s="326">
        <v>0.57534246575342463</v>
      </c>
      <c r="G21" s="326">
        <v>0.70666666666666667</v>
      </c>
      <c r="H21" s="326">
        <v>0.67777777777777781</v>
      </c>
      <c r="I21" s="356">
        <v>0.65555555555555556</v>
      </c>
      <c r="J21" s="356">
        <v>0.72527472527472525</v>
      </c>
      <c r="K21" s="1127">
        <v>0.76530612244897955</v>
      </c>
      <c r="L21" s="1595">
        <v>0.86868686868686873</v>
      </c>
      <c r="M21" s="1740">
        <v>0.76851851851851849</v>
      </c>
      <c r="N21" s="2389">
        <v>0.73636363636363633</v>
      </c>
      <c r="O21" s="3877">
        <v>0.7589285714285714</v>
      </c>
      <c r="P21" s="4789">
        <v>0.56357142857142895</v>
      </c>
      <c r="Q21" s="5861">
        <v>0.4336283185840708</v>
      </c>
      <c r="R21" s="6437">
        <v>0.4336283185840708</v>
      </c>
      <c r="S21" s="6406">
        <f>+'D.15.'!CC152</f>
        <v>0.34453781512605042</v>
      </c>
      <c r="T21" s="1845">
        <v>0.6</v>
      </c>
      <c r="U21" s="1849">
        <v>0.8</v>
      </c>
      <c r="V21" s="303">
        <v>1</v>
      </c>
      <c r="W21" s="6172"/>
    </row>
    <row r="22" spans="1:23" ht="56.25" customHeight="1">
      <c r="B22" s="6929" t="s">
        <v>1521</v>
      </c>
      <c r="C22" s="1067" t="s">
        <v>1522</v>
      </c>
      <c r="D22" s="1068" t="s">
        <v>1097</v>
      </c>
      <c r="E22" s="1096"/>
      <c r="F22" s="326">
        <v>0.83499999999999996</v>
      </c>
      <c r="G22" s="326">
        <v>0.84139879901095016</v>
      </c>
      <c r="H22" s="356">
        <v>0.85473321858864026</v>
      </c>
      <c r="I22" s="356">
        <v>0.86848223181667217</v>
      </c>
      <c r="J22" s="356">
        <v>0.87089430894308939</v>
      </c>
      <c r="K22" s="1131">
        <v>0.87444231994901211</v>
      </c>
      <c r="L22" s="1596">
        <v>0.87828011381599747</v>
      </c>
      <c r="M22" s="1743">
        <v>0.86751302083333337</v>
      </c>
      <c r="N22" s="2390">
        <v>0.87564766839378239</v>
      </c>
      <c r="O22" s="3879">
        <v>0.88969377675337502</v>
      </c>
      <c r="P22" s="4791">
        <v>0.89357429718875503</v>
      </c>
      <c r="Q22" s="5863">
        <v>0.88945752302968273</v>
      </c>
      <c r="R22" s="6438">
        <v>0.89133473095737248</v>
      </c>
      <c r="S22" s="6409">
        <f>+'D.16. y 17'!BE32</f>
        <v>0.89771917320028516</v>
      </c>
      <c r="T22" s="1851">
        <v>0.85</v>
      </c>
      <c r="U22" s="1849">
        <v>0.9</v>
      </c>
      <c r="V22" s="303">
        <v>0.93</v>
      </c>
      <c r="W22" s="4161"/>
    </row>
    <row r="23" spans="1:23" ht="56.25" customHeight="1">
      <c r="B23" s="6901"/>
      <c r="C23" s="1069" t="s">
        <v>1523</v>
      </c>
      <c r="D23" s="1063" t="s">
        <v>1256</v>
      </c>
      <c r="E23" s="1096"/>
      <c r="F23" s="326">
        <v>0.496</v>
      </c>
      <c r="G23" s="326">
        <v>0.51819145178382198</v>
      </c>
      <c r="H23" s="356">
        <v>0.53769363166953532</v>
      </c>
      <c r="I23" s="356">
        <v>0.55861839920292267</v>
      </c>
      <c r="J23" s="356">
        <v>0.56195121951219518</v>
      </c>
      <c r="K23" s="1131">
        <v>0.56309751434034416</v>
      </c>
      <c r="L23" s="1596">
        <v>0.5722415428390768</v>
      </c>
      <c r="M23" s="1743">
        <v>0.56803385416666663</v>
      </c>
      <c r="N23" s="2390">
        <v>0.57707253886010368</v>
      </c>
      <c r="O23" s="3879">
        <v>0.60256832400395122</v>
      </c>
      <c r="P23" s="4791">
        <v>0.60742971887550201</v>
      </c>
      <c r="Q23" s="5863">
        <v>0.61821903787103383</v>
      </c>
      <c r="R23" s="6438">
        <v>0.62613556953179594</v>
      </c>
      <c r="S23" s="6409">
        <f>+'D.16. y 17'!BF32</f>
        <v>0.63542409123307197</v>
      </c>
      <c r="T23" s="1851">
        <v>0.52</v>
      </c>
      <c r="U23" s="1849">
        <v>0.57999999999999996</v>
      </c>
      <c r="V23" s="303">
        <v>0.7</v>
      </c>
      <c r="W23" s="4161"/>
    </row>
    <row r="24" spans="1:23" ht="43.2">
      <c r="B24" s="6895" t="s">
        <v>1524</v>
      </c>
      <c r="C24" s="359" t="s">
        <v>1525</v>
      </c>
      <c r="D24" s="964" t="s">
        <v>1254</v>
      </c>
      <c r="E24" s="328" t="s">
        <v>1098</v>
      </c>
      <c r="F24" s="360">
        <v>51922</v>
      </c>
      <c r="G24" s="360">
        <v>52888</v>
      </c>
      <c r="H24" s="360">
        <v>54364</v>
      </c>
      <c r="I24" s="360">
        <v>55967</v>
      </c>
      <c r="J24" s="360">
        <v>56606</v>
      </c>
      <c r="K24" s="1132">
        <v>57092</v>
      </c>
      <c r="L24" s="1597">
        <v>57742</v>
      </c>
      <c r="M24" s="1744">
        <v>57827</v>
      </c>
      <c r="N24" s="2391">
        <v>58623</v>
      </c>
      <c r="O24" s="3880">
        <v>59705</v>
      </c>
      <c r="P24" s="4792">
        <v>59709</v>
      </c>
      <c r="Q24" s="5864">
        <v>60865</v>
      </c>
      <c r="R24" s="6439">
        <v>61908</v>
      </c>
      <c r="S24" s="6410">
        <f>+'D.18 y 19'!AQ32</f>
        <v>61622</v>
      </c>
      <c r="T24" s="1852">
        <v>54000</v>
      </c>
      <c r="U24" s="1853">
        <v>60000</v>
      </c>
      <c r="V24" s="323">
        <v>66500</v>
      </c>
      <c r="W24" s="6172"/>
    </row>
    <row r="25" spans="1:23" ht="45">
      <c r="B25" s="6897"/>
      <c r="C25" s="952" t="s">
        <v>1526</v>
      </c>
      <c r="D25" s="964" t="s">
        <v>1099</v>
      </c>
      <c r="E25" s="374"/>
      <c r="F25" s="1606">
        <v>6.4000000000000001E-2</v>
      </c>
      <c r="G25" s="1606">
        <v>6.3908637119951595E-2</v>
      </c>
      <c r="H25" s="1606">
        <v>6.3203590611434032E-2</v>
      </c>
      <c r="I25" s="1606">
        <v>6.3E-2</v>
      </c>
      <c r="J25" s="1606">
        <v>6.5505423453344175E-2</v>
      </c>
      <c r="K25" s="1128">
        <v>6.5122959433896163E-2</v>
      </c>
      <c r="L25" s="1598">
        <v>6.6537355824183436E-2</v>
      </c>
      <c r="M25" s="1742">
        <v>6.6370380618050395E-2</v>
      </c>
      <c r="N25" s="2392">
        <v>6.5980928986916404E-2</v>
      </c>
      <c r="O25" s="3881">
        <v>6.5220668285738206E-2</v>
      </c>
      <c r="P25" s="4793">
        <v>6.5509118812234549E-2</v>
      </c>
      <c r="Q25" s="5865">
        <v>6.2921309070587822E-2</v>
      </c>
      <c r="R25" s="6435">
        <v>6.623953704660536E-2</v>
      </c>
      <c r="S25" s="6411">
        <f>+'D.18 y 19'!AR32</f>
        <v>6.7324846280419154E-2</v>
      </c>
      <c r="T25" s="1845">
        <v>7.0000000000000007E-2</v>
      </c>
      <c r="U25" s="1849">
        <v>0.08</v>
      </c>
      <c r="V25" s="303">
        <v>0.2</v>
      </c>
      <c r="W25" s="6172"/>
    </row>
    <row r="26" spans="1:23" ht="114" customHeight="1">
      <c r="B26" s="2012" t="s">
        <v>1528</v>
      </c>
      <c r="C26" s="2004" t="s">
        <v>1529</v>
      </c>
      <c r="D26" s="2005" t="s">
        <v>1255</v>
      </c>
      <c r="E26" s="2013"/>
      <c r="F26" s="361" t="s">
        <v>258</v>
      </c>
      <c r="G26" s="362">
        <v>0.1514174163978951</v>
      </c>
      <c r="H26" s="362">
        <v>0.19812646370023418</v>
      </c>
      <c r="I26" s="362">
        <v>0.308236403646652</v>
      </c>
      <c r="J26" s="362">
        <v>0.24493047508690613</v>
      </c>
      <c r="K26" s="1065">
        <v>0.33764329512130098</v>
      </c>
      <c r="L26" s="1594">
        <v>0.30200580295193641</v>
      </c>
      <c r="M26" s="1742">
        <v>0.1325287356321839</v>
      </c>
      <c r="N26" s="2393">
        <v>0.21487424111014744</v>
      </c>
      <c r="O26" s="3882">
        <v>0.1935039596005968</v>
      </c>
      <c r="P26" s="4794">
        <v>0.2278174936921783</v>
      </c>
      <c r="Q26" s="5862">
        <v>0.23831728332488597</v>
      </c>
      <c r="R26" s="6440">
        <v>0.2048601026236809</v>
      </c>
      <c r="S26" s="6760">
        <f>+'D.20.'!E52</f>
        <v>0.17553613979348689</v>
      </c>
      <c r="T26" s="1854">
        <v>0.1</v>
      </c>
      <c r="U26" s="1855">
        <v>0.37</v>
      </c>
      <c r="V26" s="357">
        <v>0.4</v>
      </c>
      <c r="W26" s="6752"/>
    </row>
    <row r="27" spans="1:23" ht="18">
      <c r="B27" s="8"/>
      <c r="C27" s="6751" t="s">
        <v>3411</v>
      </c>
      <c r="D27" s="8"/>
      <c r="E27" s="8"/>
      <c r="F27" s="8"/>
      <c r="G27" s="8"/>
      <c r="H27" s="8"/>
      <c r="I27" s="8"/>
      <c r="J27" s="8"/>
      <c r="K27" s="8"/>
      <c r="L27" s="8"/>
      <c r="M27" s="8"/>
      <c r="N27" s="8"/>
      <c r="O27" s="8"/>
      <c r="P27" s="8"/>
      <c r="Q27" s="8"/>
      <c r="R27" s="8"/>
      <c r="S27" s="8"/>
      <c r="T27" s="8"/>
      <c r="U27" s="8"/>
      <c r="V27" s="8"/>
      <c r="W27" s="6172"/>
    </row>
    <row r="28" spans="1:23" ht="18">
      <c r="F28" s="295"/>
      <c r="G28" s="295"/>
      <c r="H28" s="295"/>
      <c r="I28" s="295"/>
      <c r="J28" s="295"/>
      <c r="W28" s="6172"/>
    </row>
    <row r="29" spans="1:23" ht="25.2" customHeight="1">
      <c r="B29" s="6932" t="s">
        <v>1100</v>
      </c>
      <c r="C29" s="6932"/>
      <c r="D29" s="6932"/>
      <c r="E29" s="6933"/>
      <c r="F29" s="6938" t="s">
        <v>1029</v>
      </c>
      <c r="G29" s="6939"/>
      <c r="H29" s="6939"/>
      <c r="I29" s="6939"/>
      <c r="J29" s="6939"/>
      <c r="K29" s="6939"/>
      <c r="L29" s="6939"/>
      <c r="M29" s="6939"/>
      <c r="N29" s="6939"/>
      <c r="O29" s="6939"/>
      <c r="P29" s="6939"/>
      <c r="Q29" s="6939"/>
      <c r="R29" s="6939"/>
      <c r="S29" s="6940"/>
      <c r="T29" s="6923" t="s">
        <v>1030</v>
      </c>
      <c r="U29" s="6924"/>
      <c r="V29" s="6925"/>
      <c r="W29" s="6172"/>
    </row>
    <row r="30" spans="1:23" customFormat="1" ht="31.8" thickBot="1">
      <c r="A30" s="5317"/>
      <c r="B30" s="1900" t="s">
        <v>1031</v>
      </c>
      <c r="C30" s="1900" t="s">
        <v>1296</v>
      </c>
      <c r="D30" s="1900" t="s">
        <v>1032</v>
      </c>
      <c r="E30" s="1900" t="s">
        <v>1033</v>
      </c>
      <c r="F30" s="2386">
        <v>2010</v>
      </c>
      <c r="G30" s="2386">
        <v>2011</v>
      </c>
      <c r="H30" s="2386">
        <v>2012</v>
      </c>
      <c r="I30" s="2387">
        <v>2013</v>
      </c>
      <c r="J30" s="2387">
        <v>2014</v>
      </c>
      <c r="K30" s="2387">
        <v>2015</v>
      </c>
      <c r="L30" s="2387">
        <v>2016</v>
      </c>
      <c r="M30" s="2387">
        <v>2017</v>
      </c>
      <c r="N30" s="2387">
        <v>2018</v>
      </c>
      <c r="O30" s="2387">
        <v>2019</v>
      </c>
      <c r="P30" s="2387">
        <v>2020</v>
      </c>
      <c r="Q30" s="2387">
        <v>2021</v>
      </c>
      <c r="R30" s="2387">
        <v>2022</v>
      </c>
      <c r="S30" s="2387">
        <v>2023</v>
      </c>
      <c r="T30" s="1901">
        <v>2013</v>
      </c>
      <c r="U30" s="1898">
        <v>2017</v>
      </c>
      <c r="V30" s="1899">
        <v>2024</v>
      </c>
      <c r="W30" s="6172"/>
    </row>
    <row r="31" spans="1:23" ht="55.5" customHeight="1">
      <c r="B31" s="6895" t="s">
        <v>1530</v>
      </c>
      <c r="C31" s="327" t="s">
        <v>1536</v>
      </c>
      <c r="D31" s="959" t="s">
        <v>1295</v>
      </c>
      <c r="E31" s="300"/>
      <c r="F31" s="303">
        <v>0.35184466019417476</v>
      </c>
      <c r="G31" s="303">
        <v>0.34845596645062904</v>
      </c>
      <c r="H31" s="357">
        <v>0.35336087119789711</v>
      </c>
      <c r="I31" s="357">
        <v>0.3922365988909427</v>
      </c>
      <c r="J31" s="357">
        <v>0.39289597680318955</v>
      </c>
      <c r="K31" s="1064">
        <v>0.40466642362376959</v>
      </c>
      <c r="L31" s="1595">
        <v>0.42825768667642755</v>
      </c>
      <c r="M31" s="1740">
        <v>0.42229484386347133</v>
      </c>
      <c r="N31" s="2389">
        <v>0.40886167146974062</v>
      </c>
      <c r="O31" s="3877">
        <v>0.4214363835216916</v>
      </c>
      <c r="P31" s="4789">
        <v>0.42967884828349945</v>
      </c>
      <c r="Q31" s="5861">
        <v>0.44774436090225561</v>
      </c>
      <c r="R31" s="6437">
        <f>+'I.21.'!BB84</f>
        <v>0.4795254496747034</v>
      </c>
      <c r="S31" s="6875">
        <f>+'I.21.'!BF84</f>
        <v>0.48653846153846153</v>
      </c>
      <c r="T31" s="1845">
        <v>0.38</v>
      </c>
      <c r="U31" s="1849">
        <v>0.41</v>
      </c>
      <c r="V31" s="357">
        <v>0.46</v>
      </c>
      <c r="W31" s="4161"/>
    </row>
    <row r="32" spans="1:23" ht="61.2" customHeight="1">
      <c r="B32" s="6896"/>
      <c r="C32" s="327" t="s">
        <v>1537</v>
      </c>
      <c r="D32" s="959" t="s">
        <v>1236</v>
      </c>
      <c r="E32" s="300"/>
      <c r="F32" s="303">
        <v>0.66083150984682715</v>
      </c>
      <c r="G32" s="303">
        <v>0.62304021813224264</v>
      </c>
      <c r="H32" s="357">
        <v>0.60243277848911647</v>
      </c>
      <c r="I32" s="357">
        <v>0.63079667063020217</v>
      </c>
      <c r="J32" s="357">
        <v>0.62731481481481477</v>
      </c>
      <c r="K32" s="1064">
        <v>0.6281833616298812</v>
      </c>
      <c r="L32" s="1595">
        <v>0.64640883977900554</v>
      </c>
      <c r="M32" s="1740">
        <v>0.67</v>
      </c>
      <c r="N32" s="2389">
        <v>0.6369248035914703</v>
      </c>
      <c r="O32" s="3877">
        <v>0.63169398907103824</v>
      </c>
      <c r="P32" s="4789">
        <v>0.64132231404958673</v>
      </c>
      <c r="Q32" s="5861">
        <v>0.6572847682119205</v>
      </c>
      <c r="R32" s="6437">
        <f>+'I.22.'!Z84</f>
        <v>0.69921875</v>
      </c>
      <c r="S32" s="6875">
        <f>+'I.22.'!AD84</f>
        <v>0.70947840717891197</v>
      </c>
      <c r="T32" s="1841"/>
      <c r="U32" s="1849">
        <v>0.65</v>
      </c>
      <c r="V32" s="357">
        <v>0.7</v>
      </c>
      <c r="W32" s="4161"/>
    </row>
    <row r="33" spans="1:24" ht="65.400000000000006" customHeight="1">
      <c r="B33" s="6897"/>
      <c r="C33" s="327" t="s">
        <v>1538</v>
      </c>
      <c r="D33" s="1098" t="s">
        <v>1243</v>
      </c>
      <c r="E33" s="300"/>
      <c r="F33" s="303">
        <v>0.51</v>
      </c>
      <c r="G33" s="303">
        <v>0.49590834697217678</v>
      </c>
      <c r="H33" s="357">
        <v>0.47031250000000002</v>
      </c>
      <c r="I33" s="357">
        <v>0.44353741496598642</v>
      </c>
      <c r="J33" s="357">
        <v>0.4434087882822903</v>
      </c>
      <c r="K33" s="1127">
        <v>0.46825396825396826</v>
      </c>
      <c r="L33" s="1595">
        <v>0.45703611457036114</v>
      </c>
      <c r="M33" s="1740">
        <v>0.48531289910600256</v>
      </c>
      <c r="N33" s="2389">
        <v>0.49342105263157893</v>
      </c>
      <c r="O33" s="3877">
        <v>0.49161290322580647</v>
      </c>
      <c r="P33" s="4789">
        <v>0.48469387755102039</v>
      </c>
      <c r="Q33" s="5861">
        <v>0.48689138576779029</v>
      </c>
      <c r="R33" s="6437">
        <f>+'I.23.'!CP84</f>
        <v>0.47065727699530518</v>
      </c>
      <c r="S33" s="6412">
        <f>+'I.23.'!CW84</f>
        <v>0.50774731823599528</v>
      </c>
      <c r="T33" s="1841"/>
      <c r="U33" s="1849">
        <v>0.48</v>
      </c>
      <c r="V33" s="357">
        <v>0.52</v>
      </c>
      <c r="W33" s="4161"/>
    </row>
    <row r="34" spans="1:24" ht="45">
      <c r="B34" s="309" t="s">
        <v>1531</v>
      </c>
      <c r="C34" s="300" t="s">
        <v>1540</v>
      </c>
      <c r="D34" s="959" t="s">
        <v>1101</v>
      </c>
      <c r="E34" s="300"/>
      <c r="F34" s="309">
        <v>1.9</v>
      </c>
      <c r="G34" s="309">
        <v>3.9</v>
      </c>
      <c r="H34" s="365">
        <v>4.3672791821439141</v>
      </c>
      <c r="I34" s="366">
        <v>2.1</v>
      </c>
      <c r="J34" s="366">
        <v>2.1716292134831461</v>
      </c>
      <c r="K34" s="366">
        <v>2.69</v>
      </c>
      <c r="L34" s="1593">
        <v>3.541143950669785</v>
      </c>
      <c r="M34" s="1741">
        <v>3.9443327974276525</v>
      </c>
      <c r="N34" s="2388">
        <v>5.4109125117591725</v>
      </c>
      <c r="O34" s="3878">
        <v>6.5836330935251794</v>
      </c>
      <c r="P34" s="4790">
        <v>6.6157795652918026</v>
      </c>
      <c r="Q34" s="5860">
        <v>4.1887242377789136</v>
      </c>
      <c r="R34" s="6436">
        <f>+'I.24.'!H10</f>
        <v>7.2566853747111262</v>
      </c>
      <c r="S34" s="6874">
        <f>+'I.24.'!H4</f>
        <v>6.2803055463301227</v>
      </c>
      <c r="T34" s="1847">
        <v>2.2999999999999998</v>
      </c>
      <c r="U34" s="1848">
        <v>2.8</v>
      </c>
      <c r="V34" s="361">
        <v>3.1</v>
      </c>
      <c r="W34" s="4161"/>
      <c r="X34" s="1556"/>
    </row>
    <row r="35" spans="1:24" ht="80.25" customHeight="1">
      <c r="B35" s="309" t="s">
        <v>1535</v>
      </c>
      <c r="C35" s="300" t="s">
        <v>1539</v>
      </c>
      <c r="D35" s="959" t="s">
        <v>1237</v>
      </c>
      <c r="E35" s="300"/>
      <c r="F35" s="367">
        <v>4.5515541250479193E-2</v>
      </c>
      <c r="G35" s="367">
        <v>3.3728468433111856E-2</v>
      </c>
      <c r="H35" s="367">
        <v>3.2901193281015262E-2</v>
      </c>
      <c r="I35" s="368">
        <v>1.3883060691626665E-2</v>
      </c>
      <c r="J35" s="368">
        <v>3.1470644190112716E-2</v>
      </c>
      <c r="K35" s="1128">
        <v>4.0827540962266193E-2</v>
      </c>
      <c r="L35" s="1598">
        <v>3.2000000000000001E-2</v>
      </c>
      <c r="M35" s="1742">
        <v>1.3957390546569538E-2</v>
      </c>
      <c r="N35" s="2392">
        <v>1.1734772553631473E-2</v>
      </c>
      <c r="O35" s="3881">
        <v>1.3663274072001434E-2</v>
      </c>
      <c r="P35" s="4793">
        <v>7.4897482271440441E-3</v>
      </c>
      <c r="Q35" s="5865">
        <v>6.4054310063819649E-3</v>
      </c>
      <c r="R35" s="6435">
        <f>+I.25!I43</f>
        <v>4.790307394902887E-3</v>
      </c>
      <c r="S35" s="6411">
        <f>+I.25!E43</f>
        <v>1.2462793040267531E-3</v>
      </c>
      <c r="T35" s="1845">
        <v>0.06</v>
      </c>
      <c r="U35" s="1849">
        <v>0.06</v>
      </c>
      <c r="V35" s="357">
        <v>0.1</v>
      </c>
      <c r="W35" s="4161"/>
    </row>
    <row r="36" spans="1:24" ht="57.6">
      <c r="B36" s="6895" t="s">
        <v>1545</v>
      </c>
      <c r="C36" s="300" t="s">
        <v>1541</v>
      </c>
      <c r="D36" s="959" t="s">
        <v>1259</v>
      </c>
      <c r="E36" s="300"/>
      <c r="F36" s="1030">
        <v>1.5549514563106797</v>
      </c>
      <c r="G36" s="1030">
        <v>1.5549514563106797</v>
      </c>
      <c r="H36" s="1030">
        <v>1.5549514563106797</v>
      </c>
      <c r="I36" s="1030">
        <v>1.5549514563106797</v>
      </c>
      <c r="J36" s="1030">
        <v>1.5549514563106797</v>
      </c>
      <c r="K36" s="1030">
        <v>1.7</v>
      </c>
      <c r="L36" s="1599">
        <v>1.5051244509516837</v>
      </c>
      <c r="M36" s="1745">
        <v>1.565359477124183</v>
      </c>
      <c r="N36" s="2394">
        <v>1.6811959654178674</v>
      </c>
      <c r="O36" s="3883">
        <v>1.5092963908129784</v>
      </c>
      <c r="P36" s="4795">
        <v>1.1653746770025839</v>
      </c>
      <c r="Q36" s="5866">
        <v>1.762406015037594</v>
      </c>
      <c r="R36" s="6441">
        <f>+'I.26.'!BA84</f>
        <v>1.6008419441255262</v>
      </c>
      <c r="S36" s="6414">
        <f>+'I.26.'!BE84</f>
        <v>1.6153846153846154</v>
      </c>
      <c r="T36" s="1841"/>
      <c r="U36" s="1856">
        <v>1.8</v>
      </c>
      <c r="V36" s="1599">
        <v>2</v>
      </c>
      <c r="W36" s="4161"/>
    </row>
    <row r="37" spans="1:24" ht="57.6">
      <c r="B37" s="6896"/>
      <c r="C37" s="300" t="s">
        <v>1542</v>
      </c>
      <c r="D37" s="959" t="s">
        <v>1260</v>
      </c>
      <c r="E37" s="300"/>
      <c r="F37" s="1731">
        <v>0.33126213592233011</v>
      </c>
      <c r="G37" s="1731">
        <v>0.31681280975981702</v>
      </c>
      <c r="H37" s="1731">
        <v>0.40818625610214043</v>
      </c>
      <c r="I37" s="1731">
        <v>0.40184842883548982</v>
      </c>
      <c r="J37" s="1731">
        <v>0.41500543675244655</v>
      </c>
      <c r="K37" s="1731">
        <v>0.4</v>
      </c>
      <c r="L37" s="1732">
        <v>0.36456808199121521</v>
      </c>
      <c r="M37" s="1746">
        <v>0.41793754538852579</v>
      </c>
      <c r="N37" s="2390">
        <v>0.44236311239193082</v>
      </c>
      <c r="O37" s="3879">
        <v>0.45971563981042651</v>
      </c>
      <c r="P37" s="4791">
        <v>0.43189368770764119</v>
      </c>
      <c r="Q37" s="5863">
        <v>0.5725563909774436</v>
      </c>
      <c r="R37" s="6438">
        <f>+'I.27.'!$BB$84</f>
        <v>0.5648679678530425</v>
      </c>
      <c r="S37" s="6415">
        <f>+'I.27.'!BF84</f>
        <v>0.4957692307692308</v>
      </c>
      <c r="T37" s="1842"/>
      <c r="U37" s="1857">
        <v>0.5</v>
      </c>
      <c r="V37" s="1732">
        <v>1</v>
      </c>
      <c r="W37" s="4161"/>
    </row>
    <row r="38" spans="1:24" ht="57.6">
      <c r="B38" s="6897"/>
      <c r="C38" s="300" t="s">
        <v>1543</v>
      </c>
      <c r="D38" s="959" t="s">
        <v>1261</v>
      </c>
      <c r="E38" s="300"/>
      <c r="F38" s="303">
        <v>0.21303696303696304</v>
      </c>
      <c r="G38" s="303">
        <v>0.20057929036929761</v>
      </c>
      <c r="H38" s="303">
        <v>0.22689463955637709</v>
      </c>
      <c r="I38" s="357">
        <v>0.25011504832029452</v>
      </c>
      <c r="J38" s="357">
        <v>0.26419012459621599</v>
      </c>
      <c r="K38" s="1127">
        <v>0.24190763918860594</v>
      </c>
      <c r="L38" s="1595">
        <v>0.24221789883268482</v>
      </c>
      <c r="M38" s="1740">
        <v>0.26699141730456971</v>
      </c>
      <c r="N38" s="2389">
        <v>0.26312406256695953</v>
      </c>
      <c r="O38" s="3877">
        <v>0.30458937198067632</v>
      </c>
      <c r="P38" s="4789">
        <v>0.37060500475134622</v>
      </c>
      <c r="Q38" s="5861">
        <v>0.32487201365187712</v>
      </c>
      <c r="R38" s="6437">
        <f>+'I.28.'!BB84</f>
        <v>0.35285680133875208</v>
      </c>
      <c r="S38" s="6408">
        <f>+'I.28.'!BF84</f>
        <v>0.3069047619047619</v>
      </c>
      <c r="T38" s="1841"/>
      <c r="U38" s="1849">
        <v>0.28000000000000003</v>
      </c>
      <c r="V38" s="357">
        <v>0.35</v>
      </c>
      <c r="W38" s="4161"/>
    </row>
    <row r="39" spans="1:24" ht="90">
      <c r="B39" s="309" t="s">
        <v>1544</v>
      </c>
      <c r="C39" s="300" t="s">
        <v>1547</v>
      </c>
      <c r="D39" s="959" t="s">
        <v>1311</v>
      </c>
      <c r="E39" s="300"/>
      <c r="F39" s="367"/>
      <c r="G39" s="367"/>
      <c r="H39" s="367">
        <v>3.919174023216776E-2</v>
      </c>
      <c r="I39" s="368">
        <v>4.218210808189804E-2</v>
      </c>
      <c r="J39" s="368">
        <v>3.6985605384519227E-2</v>
      </c>
      <c r="K39" s="1128">
        <v>4.0750214699574849E-2</v>
      </c>
      <c r="L39" s="1598">
        <v>4.1361021968411738E-2</v>
      </c>
      <c r="M39" s="1742">
        <v>3.9389648606213967E-2</v>
      </c>
      <c r="N39" s="2392">
        <v>4.6102150566865729E-2</v>
      </c>
      <c r="O39" s="3884">
        <v>3.400452761870798E-2</v>
      </c>
      <c r="P39" s="4796">
        <v>1.9725337504375995E-2</v>
      </c>
      <c r="Q39" s="5867">
        <v>3.956012687749455E-2</v>
      </c>
      <c r="R39" s="6442">
        <f>+'I.29.'!AX87</f>
        <v>3.9272106849723487E-2</v>
      </c>
      <c r="S39" s="6416">
        <f>+'I.29.'!BB87</f>
        <v>3.6005964382839428E-2</v>
      </c>
      <c r="T39" s="1841"/>
      <c r="U39" s="1846">
        <v>4.4999999999999998E-2</v>
      </c>
      <c r="V39" s="368">
        <v>0.05</v>
      </c>
      <c r="W39" s="4161"/>
    </row>
    <row r="40" spans="1:24" ht="45">
      <c r="B40" s="309" t="s">
        <v>1546</v>
      </c>
      <c r="C40" s="300" t="s">
        <v>1550</v>
      </c>
      <c r="D40" s="959" t="s">
        <v>1313</v>
      </c>
      <c r="E40" s="328"/>
      <c r="F40" s="1033">
        <v>0.26353790613718414</v>
      </c>
      <c r="G40" s="1033">
        <v>0.25174825174825177</v>
      </c>
      <c r="H40" s="1033">
        <v>0.27972027972027974</v>
      </c>
      <c r="I40" s="1033">
        <v>0.28723404255319152</v>
      </c>
      <c r="J40" s="1033">
        <v>0.30324909747292417</v>
      </c>
      <c r="K40" s="1129">
        <v>0.31182795698924731</v>
      </c>
      <c r="L40" s="1596">
        <v>0.29602888086642598</v>
      </c>
      <c r="M40" s="1743">
        <v>0.30303030303030304</v>
      </c>
      <c r="N40" s="2390">
        <v>0.31203007518796994</v>
      </c>
      <c r="O40" s="3879">
        <v>0.31679389312977096</v>
      </c>
      <c r="P40" s="4791">
        <v>0.32046332046332049</v>
      </c>
      <c r="Q40" s="5863">
        <v>0.30278884462151395</v>
      </c>
      <c r="R40" s="6438">
        <f>+'I.30.'!CA37</f>
        <v>0.32599118942731276</v>
      </c>
      <c r="S40" s="6409">
        <f>+'I.30.'!CG37</f>
        <v>0.33488372093023255</v>
      </c>
      <c r="T40" s="1843"/>
      <c r="U40" s="1858">
        <v>0.33</v>
      </c>
      <c r="V40" s="1034">
        <v>0.4</v>
      </c>
      <c r="W40" s="6172"/>
    </row>
    <row r="41" spans="1:24" ht="18">
      <c r="C41" s="56"/>
      <c r="D41" s="960"/>
      <c r="E41" s="369"/>
      <c r="F41" s="370"/>
      <c r="G41" s="370"/>
      <c r="H41" s="370"/>
      <c r="I41" s="370"/>
      <c r="J41" s="370"/>
      <c r="K41" s="370"/>
      <c r="L41" s="370"/>
      <c r="M41" s="370"/>
      <c r="N41" s="370"/>
      <c r="O41" s="370"/>
      <c r="P41" s="370"/>
      <c r="Q41" s="370"/>
      <c r="R41" s="370"/>
      <c r="S41" s="370"/>
      <c r="T41" s="370"/>
      <c r="U41" s="370"/>
      <c r="V41" s="370"/>
      <c r="W41" s="6172"/>
    </row>
    <row r="42" spans="1:24" ht="18">
      <c r="F42" s="295"/>
      <c r="G42" s="295"/>
      <c r="H42" s="295"/>
      <c r="I42" s="295"/>
      <c r="J42" s="295"/>
      <c r="W42" s="1589"/>
    </row>
    <row r="43" spans="1:24" ht="25.2" customHeight="1">
      <c r="B43" s="6891" t="s">
        <v>1594</v>
      </c>
      <c r="C43" s="6891"/>
      <c r="D43" s="6891"/>
      <c r="E43" s="6892"/>
      <c r="F43" s="6914" t="s">
        <v>1029</v>
      </c>
      <c r="G43" s="6915"/>
      <c r="H43" s="6915"/>
      <c r="I43" s="6915"/>
      <c r="J43" s="6915"/>
      <c r="K43" s="6915"/>
      <c r="L43" s="6915"/>
      <c r="M43" s="6915"/>
      <c r="N43" s="6915"/>
      <c r="O43" s="6915"/>
      <c r="P43" s="6915"/>
      <c r="Q43" s="6915"/>
      <c r="R43" s="6915"/>
      <c r="S43" s="6916"/>
      <c r="T43" s="6908" t="s">
        <v>1030</v>
      </c>
      <c r="U43" s="6909"/>
      <c r="V43" s="6910"/>
      <c r="W43" s="6172"/>
    </row>
    <row r="44" spans="1:24" customFormat="1" ht="31.8" thickBot="1">
      <c r="A44" s="5317"/>
      <c r="B44" s="1900" t="s">
        <v>1031</v>
      </c>
      <c r="C44" s="1900" t="s">
        <v>1296</v>
      </c>
      <c r="D44" s="1900" t="s">
        <v>1032</v>
      </c>
      <c r="E44" s="1900" t="s">
        <v>1033</v>
      </c>
      <c r="F44" s="2386">
        <v>2010</v>
      </c>
      <c r="G44" s="2386">
        <v>2011</v>
      </c>
      <c r="H44" s="2386">
        <v>2012</v>
      </c>
      <c r="I44" s="2387">
        <v>2013</v>
      </c>
      <c r="J44" s="2387">
        <v>2014</v>
      </c>
      <c r="K44" s="2387">
        <v>2015</v>
      </c>
      <c r="L44" s="2387">
        <v>2016</v>
      </c>
      <c r="M44" s="2387">
        <v>2017</v>
      </c>
      <c r="N44" s="2387">
        <v>2018</v>
      </c>
      <c r="O44" s="2387">
        <v>2019</v>
      </c>
      <c r="P44" s="2387">
        <v>2020</v>
      </c>
      <c r="Q44" s="2387">
        <v>2021</v>
      </c>
      <c r="R44" s="2387">
        <v>2022</v>
      </c>
      <c r="S44" s="2387">
        <v>2023</v>
      </c>
      <c r="T44" s="1901">
        <v>2013</v>
      </c>
      <c r="U44" s="1898">
        <v>2017</v>
      </c>
      <c r="V44" s="1899">
        <v>2024</v>
      </c>
      <c r="W44" s="6172"/>
    </row>
    <row r="45" spans="1:24" ht="75" hidden="1">
      <c r="B45" s="309" t="s">
        <v>1548</v>
      </c>
      <c r="C45" s="315" t="s">
        <v>1551</v>
      </c>
      <c r="D45" s="959" t="s">
        <v>1102</v>
      </c>
      <c r="E45" s="373"/>
      <c r="F45" s="324" t="s">
        <v>258</v>
      </c>
      <c r="G45" s="363">
        <v>0.30952380952380953</v>
      </c>
      <c r="H45" s="363">
        <v>0.21</v>
      </c>
      <c r="I45" s="364">
        <v>0.20714285714285713</v>
      </c>
      <c r="J45" s="364">
        <v>0.33</v>
      </c>
      <c r="K45" s="1066">
        <v>0.3</v>
      </c>
      <c r="L45" s="1558"/>
      <c r="M45" s="1591"/>
      <c r="N45" s="1738"/>
      <c r="O45" s="2383"/>
      <c r="P45" s="3876"/>
      <c r="Q45" s="4786"/>
      <c r="R45" s="5857"/>
      <c r="S45" s="6417"/>
      <c r="T45" s="1859">
        <v>0.5</v>
      </c>
      <c r="U45" s="1860">
        <v>0.35</v>
      </c>
      <c r="V45" s="371">
        <v>0.5</v>
      </c>
      <c r="W45" s="6151" t="s">
        <v>2664</v>
      </c>
      <c r="X45" s="1556"/>
    </row>
    <row r="46" spans="1:24" ht="41.25" customHeight="1">
      <c r="B46" s="309" t="s">
        <v>1549</v>
      </c>
      <c r="C46" s="300" t="s">
        <v>1552</v>
      </c>
      <c r="D46" s="959" t="s">
        <v>1238</v>
      </c>
      <c r="E46" s="328" t="s">
        <v>1265</v>
      </c>
      <c r="F46" s="360">
        <v>225</v>
      </c>
      <c r="G46" s="360">
        <v>248</v>
      </c>
      <c r="H46" s="360">
        <v>240</v>
      </c>
      <c r="I46" s="360">
        <v>293</v>
      </c>
      <c r="J46" s="360">
        <v>287</v>
      </c>
      <c r="K46" s="1130">
        <v>301</v>
      </c>
      <c r="L46" s="1600">
        <v>262</v>
      </c>
      <c r="M46" s="1739">
        <v>290</v>
      </c>
      <c r="N46" s="2395">
        <v>338</v>
      </c>
      <c r="O46" s="3885">
        <v>284</v>
      </c>
      <c r="P46" s="4797">
        <v>284</v>
      </c>
      <c r="Q46" s="5868">
        <v>243</v>
      </c>
      <c r="R46" s="6443">
        <f>+'C.32.'!O32</f>
        <v>366</v>
      </c>
      <c r="S46" s="6418">
        <f>+'C.32.'!P32</f>
        <v>277</v>
      </c>
      <c r="T46" s="1847">
        <v>250</v>
      </c>
      <c r="U46" s="1861">
        <v>350</v>
      </c>
      <c r="V46" s="1607">
        <v>500</v>
      </c>
      <c r="W46" s="6752"/>
    </row>
    <row r="47" spans="1:24" ht="30">
      <c r="B47" s="309" t="s">
        <v>1595</v>
      </c>
      <c r="C47" s="300" t="s">
        <v>1602</v>
      </c>
      <c r="D47" s="959" t="s">
        <v>1239</v>
      </c>
      <c r="E47" s="375"/>
      <c r="F47" s="307"/>
      <c r="G47" s="304"/>
      <c r="H47" s="316">
        <v>0.15669642857142851</v>
      </c>
      <c r="I47" s="317">
        <v>3.0876109610189495E-3</v>
      </c>
      <c r="J47" s="317">
        <v>8.8495575221239076E-3</v>
      </c>
      <c r="K47" s="1892">
        <v>4.9580472921433305E-3</v>
      </c>
      <c r="L47" s="1893">
        <v>5.6925996204932883E-3</v>
      </c>
      <c r="M47" s="1894">
        <v>3.7735849056603765E-3</v>
      </c>
      <c r="N47" s="2396">
        <v>1.0150375939849576E-2</v>
      </c>
      <c r="O47" s="3884">
        <v>-0.26088574618533678</v>
      </c>
      <c r="P47" s="4796">
        <v>-5.2870090634441036E-2</v>
      </c>
      <c r="Q47" s="5865">
        <v>0.92238171185539608</v>
      </c>
      <c r="R47" s="6435">
        <f>+'C.33.'!C15</f>
        <v>6.941371681415931E-2</v>
      </c>
      <c r="S47" s="6419">
        <f>+'C.33.'!C16</f>
        <v>0.12179984484096207</v>
      </c>
      <c r="T47" s="1844"/>
      <c r="U47" s="1862">
        <v>0.01</v>
      </c>
      <c r="V47" s="1036">
        <v>0.02</v>
      </c>
      <c r="W47" s="4159"/>
    </row>
    <row r="48" spans="1:24" ht="20.399999999999999">
      <c r="C48" s="355"/>
      <c r="D48" s="355"/>
      <c r="E48" s="355"/>
      <c r="F48" s="355"/>
      <c r="G48" s="355"/>
      <c r="H48" s="355"/>
      <c r="I48" s="355"/>
      <c r="J48" s="355"/>
      <c r="K48" s="355"/>
      <c r="L48" s="355"/>
      <c r="M48" s="355"/>
      <c r="N48" s="355"/>
      <c r="O48" s="355"/>
      <c r="P48" s="355"/>
      <c r="Q48" s="355"/>
      <c r="R48" s="355"/>
      <c r="S48" s="355"/>
      <c r="T48" s="355"/>
      <c r="U48" s="355"/>
      <c r="V48" s="355"/>
      <c r="W48" s="6172"/>
    </row>
    <row r="49" spans="1:27" ht="18">
      <c r="F49" s="295"/>
      <c r="G49" s="295"/>
      <c r="H49" s="295"/>
      <c r="I49" s="295"/>
      <c r="J49" s="295"/>
      <c r="W49" s="6172"/>
    </row>
    <row r="50" spans="1:27" ht="25.2" customHeight="1">
      <c r="B50" s="6893" t="s">
        <v>1590</v>
      </c>
      <c r="C50" s="6893"/>
      <c r="D50" s="6893"/>
      <c r="E50" s="6894"/>
      <c r="F50" s="6917" t="s">
        <v>1029</v>
      </c>
      <c r="G50" s="6918"/>
      <c r="H50" s="6918"/>
      <c r="I50" s="6918"/>
      <c r="J50" s="6918"/>
      <c r="K50" s="6918"/>
      <c r="L50" s="6918"/>
      <c r="M50" s="6918"/>
      <c r="N50" s="6918"/>
      <c r="O50" s="6918"/>
      <c r="P50" s="6918"/>
      <c r="Q50" s="6918"/>
      <c r="R50" s="6918"/>
      <c r="S50" s="6919"/>
      <c r="T50" s="6911" t="s">
        <v>1030</v>
      </c>
      <c r="U50" s="6912"/>
      <c r="V50" s="6913"/>
      <c r="W50" s="6172"/>
    </row>
    <row r="51" spans="1:27" customFormat="1" ht="31.8" thickBot="1">
      <c r="A51" s="5317"/>
      <c r="B51" s="1900" t="s">
        <v>1031</v>
      </c>
      <c r="C51" s="1900" t="s">
        <v>1296</v>
      </c>
      <c r="D51" s="1900" t="s">
        <v>1032</v>
      </c>
      <c r="E51" s="1900" t="s">
        <v>1033</v>
      </c>
      <c r="F51" s="2386">
        <v>2010</v>
      </c>
      <c r="G51" s="2386">
        <v>2011</v>
      </c>
      <c r="H51" s="2386">
        <v>2012</v>
      </c>
      <c r="I51" s="2387">
        <v>2013</v>
      </c>
      <c r="J51" s="2387">
        <v>2014</v>
      </c>
      <c r="K51" s="2387">
        <v>2015</v>
      </c>
      <c r="L51" s="2387">
        <v>2016</v>
      </c>
      <c r="M51" s="2387">
        <v>2017</v>
      </c>
      <c r="N51" s="2387">
        <v>2018</v>
      </c>
      <c r="O51" s="2387">
        <v>2019</v>
      </c>
      <c r="P51" s="2387">
        <v>2020</v>
      </c>
      <c r="Q51" s="2387">
        <v>2021</v>
      </c>
      <c r="R51" s="2387">
        <v>2022</v>
      </c>
      <c r="S51" s="2387">
        <v>2023</v>
      </c>
      <c r="T51" s="1901">
        <v>2013</v>
      </c>
      <c r="U51" s="1898">
        <v>2017</v>
      </c>
      <c r="V51" s="1899">
        <v>2024</v>
      </c>
      <c r="W51" s="6172"/>
    </row>
    <row r="52" spans="1:27" ht="45.6" hidden="1">
      <c r="C52" s="298" t="s">
        <v>1034</v>
      </c>
      <c r="D52" s="961" t="s">
        <v>1035</v>
      </c>
      <c r="E52" s="376"/>
      <c r="F52" s="1727" t="s">
        <v>258</v>
      </c>
      <c r="G52" s="1727" t="s">
        <v>258</v>
      </c>
      <c r="H52" s="1727" t="s">
        <v>258</v>
      </c>
      <c r="I52" s="1728" t="s">
        <v>258</v>
      </c>
      <c r="J52" s="1729"/>
      <c r="K52" s="1592"/>
      <c r="L52" s="1592"/>
      <c r="M52" s="1592"/>
      <c r="N52" s="1592"/>
      <c r="O52" s="1592"/>
      <c r="P52" s="1592"/>
      <c r="Q52" s="1592"/>
      <c r="R52" s="1592"/>
      <c r="S52" s="1592"/>
      <c r="T52" s="1863"/>
      <c r="U52" s="1863"/>
      <c r="V52" s="299">
        <v>1</v>
      </c>
      <c r="W52" s="6172"/>
      <c r="X52"/>
      <c r="Z52" s="4134"/>
      <c r="AA52" s="4134"/>
    </row>
    <row r="53" spans="1:27" ht="45.75" customHeight="1">
      <c r="B53" s="6900" t="s">
        <v>1596</v>
      </c>
      <c r="C53" s="300" t="s">
        <v>1603</v>
      </c>
      <c r="D53" s="959" t="s">
        <v>1036</v>
      </c>
      <c r="E53" s="372"/>
      <c r="F53" s="1730">
        <v>-8.9737048015541804E-2</v>
      </c>
      <c r="G53" s="1730">
        <v>1.8097664104599884E-2</v>
      </c>
      <c r="H53" s="1730">
        <v>9.6817407578872972E-2</v>
      </c>
      <c r="I53" s="1730">
        <v>2.7702117437070857E-2</v>
      </c>
      <c r="J53" s="1730">
        <v>1.8808607166875595E-2</v>
      </c>
      <c r="K53" s="1730">
        <v>0.10199999999999999</v>
      </c>
      <c r="L53" s="1730">
        <v>-1.9E-2</v>
      </c>
      <c r="M53" s="1742">
        <v>-6.8000000000000005E-2</v>
      </c>
      <c r="N53" s="2392">
        <v>2.2828407348137559E-2</v>
      </c>
      <c r="O53" s="3881">
        <v>1.0023996698293194E-2</v>
      </c>
      <c r="P53" s="4793">
        <v>5.5135136399432644E-3</v>
      </c>
      <c r="Q53" s="5865">
        <v>-3.6647053259636554E-2</v>
      </c>
      <c r="R53" s="6435">
        <f>+'A.34.'!G22</f>
        <v>-4.3821365520276066E-2</v>
      </c>
      <c r="S53" s="6411">
        <f>+'A.34.'!G23</f>
        <v>1.6128889482554171E-2</v>
      </c>
      <c r="T53" s="1845">
        <v>0.03</v>
      </c>
      <c r="U53" s="1849">
        <v>0.03</v>
      </c>
      <c r="V53" s="303">
        <v>0.04</v>
      </c>
      <c r="W53" s="4161"/>
      <c r="X53"/>
      <c r="Z53" s="4134"/>
      <c r="AA53" s="4134"/>
    </row>
    <row r="54" spans="1:27" ht="45.75" customHeight="1">
      <c r="B54" s="6901"/>
      <c r="C54" s="300" t="s">
        <v>1604</v>
      </c>
      <c r="D54" s="959" t="s">
        <v>1037</v>
      </c>
      <c r="E54" s="372"/>
      <c r="F54" s="310">
        <v>7.5861911602785326E-2</v>
      </c>
      <c r="G54" s="301">
        <v>5.6252575174334907E-2</v>
      </c>
      <c r="H54" s="301">
        <v>9.5070184089154228E-2</v>
      </c>
      <c r="I54" s="302">
        <v>3.9169734690045845E-2</v>
      </c>
      <c r="J54" s="302">
        <v>4.6145653843722476E-2</v>
      </c>
      <c r="K54" s="1127">
        <v>5.1431446233375831E-2</v>
      </c>
      <c r="L54" s="1595">
        <v>4.4123820981219211E-2</v>
      </c>
      <c r="M54" s="1742">
        <v>3.4064175838582518E-2</v>
      </c>
      <c r="N54" s="2392">
        <v>2.6656320671037462E-2</v>
      </c>
      <c r="O54" s="3881">
        <v>2.0142732594260186E-2</v>
      </c>
      <c r="P54" s="4793">
        <v>1.4980689090445838E-2</v>
      </c>
      <c r="Q54" s="5865">
        <v>1.42936764874909E-2</v>
      </c>
      <c r="R54" s="6435">
        <f>+'A.35.'!N8</f>
        <v>1.1344783338502151E-2</v>
      </c>
      <c r="S54" s="6411">
        <f>+'A.35.'!O8</f>
        <v>1.153169795688245E-2</v>
      </c>
      <c r="T54" s="1845">
        <v>0.1</v>
      </c>
      <c r="U54" s="1849">
        <v>0.1</v>
      </c>
      <c r="V54" s="357">
        <v>0.15</v>
      </c>
      <c r="W54" s="4161"/>
      <c r="X54"/>
      <c r="Z54" s="4134"/>
      <c r="AA54" s="4134"/>
    </row>
    <row r="55" spans="1:27" ht="53.25" customHeight="1">
      <c r="B55" s="6895" t="s">
        <v>1597</v>
      </c>
      <c r="C55" s="300" t="s">
        <v>1605</v>
      </c>
      <c r="D55" s="959" t="s">
        <v>1038</v>
      </c>
      <c r="E55" s="328" t="s">
        <v>2382</v>
      </c>
      <c r="F55" s="322" t="s">
        <v>3414</v>
      </c>
      <c r="G55" s="305" t="s">
        <v>2425</v>
      </c>
      <c r="H55" s="305" t="s">
        <v>2425</v>
      </c>
      <c r="I55" s="306" t="s">
        <v>1039</v>
      </c>
      <c r="J55" s="306" t="s">
        <v>3413</v>
      </c>
      <c r="K55" s="1133" t="s">
        <v>2425</v>
      </c>
      <c r="L55" s="1601" t="s">
        <v>2426</v>
      </c>
      <c r="M55" s="1750" t="s">
        <v>2427</v>
      </c>
      <c r="N55" s="3344" t="s">
        <v>2474</v>
      </c>
      <c r="O55" s="3886" t="s">
        <v>1039</v>
      </c>
      <c r="P55" s="4798" t="s">
        <v>3412</v>
      </c>
      <c r="Q55" s="5870" t="s">
        <v>3188</v>
      </c>
      <c r="R55" s="6444" t="s">
        <v>2425</v>
      </c>
      <c r="S55" s="6750" t="s">
        <v>4116</v>
      </c>
      <c r="T55" s="1864" t="s">
        <v>1040</v>
      </c>
      <c r="U55" s="1864" t="s">
        <v>1040</v>
      </c>
      <c r="V55" s="1608" t="s">
        <v>1041</v>
      </c>
      <c r="W55" s="4159"/>
      <c r="X55"/>
      <c r="Z55" s="4134"/>
      <c r="AA55" s="4134"/>
    </row>
    <row r="56" spans="1:27" ht="57.6">
      <c r="B56" s="6897"/>
      <c r="C56" s="300" t="s">
        <v>1606</v>
      </c>
      <c r="D56" s="959" t="s">
        <v>1042</v>
      </c>
      <c r="E56" s="963"/>
      <c r="F56" s="943">
        <v>0.82164291072768192</v>
      </c>
      <c r="G56" s="307">
        <v>0.82164291072768192</v>
      </c>
      <c r="H56" s="308">
        <v>0.81961731376555824</v>
      </c>
      <c r="I56" s="308">
        <v>0.81926811053024651</v>
      </c>
      <c r="J56" s="308">
        <v>0.81277372262773717</v>
      </c>
      <c r="K56" s="1126">
        <v>0.81604552964934829</v>
      </c>
      <c r="L56" s="1593">
        <v>0.8058428597350753</v>
      </c>
      <c r="M56" s="1741">
        <v>0.80615046677649638</v>
      </c>
      <c r="N56" s="2388">
        <v>0.80589949016751639</v>
      </c>
      <c r="O56" s="3878">
        <v>0.7379850480598078</v>
      </c>
      <c r="P56" s="4790">
        <v>0.77876895628902765</v>
      </c>
      <c r="Q56" s="5860">
        <v>0.78869155491119969</v>
      </c>
      <c r="R56" s="6436">
        <f>+'A.37.'!L43</f>
        <v>0.77953605466642695</v>
      </c>
      <c r="S56" s="6407">
        <f>+'A.37.'!L21</f>
        <v>0.76774991169198159</v>
      </c>
      <c r="T56" s="1848">
        <v>0.9</v>
      </c>
      <c r="U56" s="1848">
        <v>0.9</v>
      </c>
      <c r="V56" s="361">
        <v>1.5</v>
      </c>
      <c r="W56" s="6172"/>
      <c r="X56"/>
      <c r="Z56" s="4134"/>
      <c r="AA56" s="4134"/>
    </row>
    <row r="57" spans="1:27" ht="65.25" customHeight="1">
      <c r="B57" s="6900" t="s">
        <v>1598</v>
      </c>
      <c r="C57" s="300" t="s">
        <v>1607</v>
      </c>
      <c r="D57" s="959" t="s">
        <v>1043</v>
      </c>
      <c r="E57" s="372"/>
      <c r="F57" s="310">
        <v>0.15843033424702199</v>
      </c>
      <c r="G57" s="301">
        <v>0.12510299866566413</v>
      </c>
      <c r="H57" s="301">
        <v>4.5715443236822341E-2</v>
      </c>
      <c r="I57" s="302">
        <v>0.15242109181624777</v>
      </c>
      <c r="J57" s="302">
        <v>8.5820714942343029E-2</v>
      </c>
      <c r="K57" s="1128">
        <v>0.10030650502895806</v>
      </c>
      <c r="L57" s="1598">
        <v>9.6000000000000002E-2</v>
      </c>
      <c r="M57" s="1742">
        <v>5.904304023129036E-2</v>
      </c>
      <c r="N57" s="2392">
        <v>6.2012911702644058E-2</v>
      </c>
      <c r="O57" s="3881">
        <v>0.11096106782425225</v>
      </c>
      <c r="P57" s="4793">
        <v>7.698138622004122E-2</v>
      </c>
      <c r="Q57" s="5865">
        <v>9.38744374560289E-2</v>
      </c>
      <c r="R57" s="6435">
        <f>+'A.38.'!J43</f>
        <v>6.4520144078309805E-2</v>
      </c>
      <c r="S57" s="6420">
        <f>+'A.38.'!F43</f>
        <v>6.3090008908838341E-2</v>
      </c>
      <c r="T57" s="1849">
        <v>0.1</v>
      </c>
      <c r="U57" s="1849">
        <v>0.08</v>
      </c>
      <c r="V57" s="357">
        <v>0.05</v>
      </c>
      <c r="W57" s="4161"/>
      <c r="X57"/>
      <c r="Z57" s="4134"/>
      <c r="AA57" s="4134"/>
    </row>
    <row r="58" spans="1:27" ht="60.75" customHeight="1">
      <c r="B58" s="6901"/>
      <c r="C58" s="300" t="s">
        <v>1608</v>
      </c>
      <c r="D58" s="959" t="s">
        <v>1044</v>
      </c>
      <c r="E58" s="372"/>
      <c r="F58" s="310">
        <v>5.7379000235996153E-2</v>
      </c>
      <c r="G58" s="301">
        <v>6.6680872634037838E-2</v>
      </c>
      <c r="H58" s="301">
        <v>6.8905772228962547E-2</v>
      </c>
      <c r="I58" s="302">
        <v>0.11209202449465978</v>
      </c>
      <c r="J58" s="302">
        <v>0.10640451614318684</v>
      </c>
      <c r="K58" s="1128">
        <v>0.12324832761795072</v>
      </c>
      <c r="L58" s="1598">
        <v>0.122</v>
      </c>
      <c r="M58" s="1742">
        <v>0.14411560011689206</v>
      </c>
      <c r="N58" s="2392">
        <v>8.6819191305660737E-2</v>
      </c>
      <c r="O58" s="3881">
        <v>8.0632231024745676E-2</v>
      </c>
      <c r="P58" s="4793">
        <v>0.12551524882309242</v>
      </c>
      <c r="Q58" s="5865">
        <v>8.760134149980911E-2</v>
      </c>
      <c r="R58" s="6435">
        <f>+'A.39.'!M43</f>
        <v>5.4565719188769818E-2</v>
      </c>
      <c r="S58" s="6755">
        <f>+'A.39.'!G43</f>
        <v>9.4299388921489535E-2</v>
      </c>
      <c r="T58" s="1849">
        <v>0.12</v>
      </c>
      <c r="U58" s="1849">
        <v>0.13</v>
      </c>
      <c r="V58" s="357">
        <v>0.15</v>
      </c>
      <c r="W58" s="4161"/>
      <c r="X58"/>
      <c r="Z58" s="4134"/>
      <c r="AA58" s="4134"/>
    </row>
    <row r="59" spans="1:27" ht="47.25" customHeight="1">
      <c r="B59" s="6895" t="s">
        <v>1599</v>
      </c>
      <c r="C59" s="300" t="s">
        <v>1609</v>
      </c>
      <c r="D59" s="964" t="s">
        <v>1045</v>
      </c>
      <c r="E59" s="374"/>
      <c r="F59" s="943">
        <v>13.168286755771568</v>
      </c>
      <c r="G59" s="307">
        <v>11.693290734824281</v>
      </c>
      <c r="H59" s="307">
        <v>9.9668068156671836</v>
      </c>
      <c r="I59" s="308">
        <v>9.2884156050955422</v>
      </c>
      <c r="J59" s="308">
        <v>9.2945660672400319</v>
      </c>
      <c r="K59" s="1126">
        <v>8.8084284136915709</v>
      </c>
      <c r="L59" s="1593">
        <v>10.659734513274337</v>
      </c>
      <c r="M59" s="1741">
        <v>10.73076070082058</v>
      </c>
      <c r="N59" s="2388">
        <v>10.70483239007401</v>
      </c>
      <c r="O59" s="3878">
        <v>9.7085771947527757</v>
      </c>
      <c r="P59" s="4790">
        <v>9.679626749611197</v>
      </c>
      <c r="Q59" s="5860">
        <v>9.5687030256311427</v>
      </c>
      <c r="R59" s="6436">
        <f>+'A.40.-42.'!BB29</f>
        <v>9.7181748466257662</v>
      </c>
      <c r="S59" s="6407">
        <f>+'A.40.-42.'!BE29</f>
        <v>9.5859284890426757</v>
      </c>
      <c r="T59" s="1848">
        <v>8</v>
      </c>
      <c r="U59" s="1848">
        <v>7</v>
      </c>
      <c r="V59" s="361">
        <v>5</v>
      </c>
      <c r="W59" s="6752"/>
      <c r="X59"/>
      <c r="Z59" s="4134"/>
      <c r="AA59" s="4134"/>
    </row>
    <row r="60" spans="1:27" ht="54" customHeight="1">
      <c r="B60" s="6896"/>
      <c r="C60" s="300" t="s">
        <v>1610</v>
      </c>
      <c r="D60" s="964" t="s">
        <v>1046</v>
      </c>
      <c r="E60" s="374"/>
      <c r="F60" s="943">
        <v>1.6409472880061116</v>
      </c>
      <c r="G60" s="307">
        <v>1.0245844064621867</v>
      </c>
      <c r="H60" s="307">
        <v>1.0557549653027041</v>
      </c>
      <c r="I60" s="308">
        <v>0.65402843601895733</v>
      </c>
      <c r="J60" s="308">
        <v>0.62882959198079913</v>
      </c>
      <c r="K60" s="1126">
        <v>0.87242394504416099</v>
      </c>
      <c r="L60" s="1593">
        <v>0.7773499037283389</v>
      </c>
      <c r="M60" s="1747">
        <v>0.70588235294117652</v>
      </c>
      <c r="N60" s="2397">
        <v>0.72976092333058529</v>
      </c>
      <c r="O60" s="3878">
        <v>0.65106783919597988</v>
      </c>
      <c r="P60" s="4790">
        <v>0.66896551724137931</v>
      </c>
      <c r="Q60" s="5860">
        <v>0.63672275054864669</v>
      </c>
      <c r="R60" s="6436">
        <f>+'A.40.-42.'!BB30</f>
        <v>0.51271437019515076</v>
      </c>
      <c r="S60" s="6413">
        <f>+'A.40.-42.'!BE30</f>
        <v>0.57461996034368801</v>
      </c>
      <c r="T60" s="1848">
        <v>1</v>
      </c>
      <c r="U60" s="1848">
        <v>1</v>
      </c>
      <c r="V60" s="361">
        <v>1</v>
      </c>
      <c r="W60" s="6752"/>
      <c r="X60"/>
      <c r="Z60" s="4134"/>
      <c r="AA60" s="4134"/>
    </row>
    <row r="61" spans="1:27" ht="50.25" customHeight="1">
      <c r="B61" s="6896"/>
      <c r="C61" s="300" t="s">
        <v>1611</v>
      </c>
      <c r="D61" s="959" t="s">
        <v>1047</v>
      </c>
      <c r="E61" s="372"/>
      <c r="F61" s="944">
        <v>3.0465253239104828</v>
      </c>
      <c r="G61" s="307">
        <v>2.039785768936496</v>
      </c>
      <c r="H61" s="311">
        <v>1.6759028642590286</v>
      </c>
      <c r="I61" s="312">
        <v>0.93325305350077414</v>
      </c>
      <c r="J61" s="312">
        <v>0.9263015551048005</v>
      </c>
      <c r="K61" s="1126">
        <v>1.4413866102143424</v>
      </c>
      <c r="L61" s="1593">
        <v>1.22876254180602</v>
      </c>
      <c r="M61" s="1741">
        <v>1.147689075630252</v>
      </c>
      <c r="N61" s="2388">
        <v>0.86162535299654852</v>
      </c>
      <c r="O61" s="3878">
        <v>1.117120699940346</v>
      </c>
      <c r="P61" s="4790">
        <v>1.0474677630349467</v>
      </c>
      <c r="Q61" s="5869">
        <v>0.93939393939393945</v>
      </c>
      <c r="R61" s="5869">
        <f>+'A.40.-42.'!BB31</f>
        <v>1.0109071077985821</v>
      </c>
      <c r="S61" s="6759">
        <f>+'A.40.-42.'!BE31</f>
        <v>0.97637523710984653</v>
      </c>
      <c r="T61" s="1865">
        <v>1</v>
      </c>
      <c r="U61" s="1865">
        <v>1</v>
      </c>
      <c r="V61" s="1609">
        <v>1</v>
      </c>
      <c r="W61" s="6752"/>
      <c r="X61"/>
      <c r="Z61" s="4134"/>
      <c r="AA61" s="4134"/>
    </row>
    <row r="62" spans="1:27" ht="30.75" customHeight="1">
      <c r="B62" s="6897"/>
      <c r="C62" s="359" t="s">
        <v>1612</v>
      </c>
      <c r="D62" s="964" t="s">
        <v>1048</v>
      </c>
      <c r="E62" s="328" t="s">
        <v>1049</v>
      </c>
      <c r="F62" s="945" t="s">
        <v>1050</v>
      </c>
      <c r="G62" s="313" t="s">
        <v>447</v>
      </c>
      <c r="H62" s="313" t="s">
        <v>1051</v>
      </c>
      <c r="I62" s="314" t="s">
        <v>1052</v>
      </c>
      <c r="J62" s="314" t="s">
        <v>1053</v>
      </c>
      <c r="K62" s="314" t="s">
        <v>1053</v>
      </c>
      <c r="L62" s="1602" t="s">
        <v>1619</v>
      </c>
      <c r="M62" s="1748" t="s">
        <v>1619</v>
      </c>
      <c r="N62" s="2392" t="s">
        <v>1619</v>
      </c>
      <c r="O62" s="3878" t="s">
        <v>1619</v>
      </c>
      <c r="P62" s="4790" t="s">
        <v>1619</v>
      </c>
      <c r="Q62" s="5860" t="s">
        <v>2978</v>
      </c>
      <c r="R62" s="6436" t="s">
        <v>3362</v>
      </c>
      <c r="S62" s="6405" t="s">
        <v>3362</v>
      </c>
      <c r="T62" s="1848" t="s">
        <v>1054</v>
      </c>
      <c r="U62" s="1848" t="s">
        <v>1591</v>
      </c>
      <c r="V62" s="361" t="s">
        <v>1055</v>
      </c>
      <c r="W62" s="4159"/>
      <c r="X62"/>
      <c r="Z62" s="4134"/>
      <c r="AA62" s="4134"/>
    </row>
    <row r="63" spans="1:27" ht="56.25" customHeight="1">
      <c r="B63" s="6895" t="s">
        <v>1600</v>
      </c>
      <c r="C63" s="315" t="s">
        <v>1613</v>
      </c>
      <c r="D63" s="965" t="s">
        <v>1056</v>
      </c>
      <c r="E63" s="377"/>
      <c r="F63" s="322" t="s">
        <v>258</v>
      </c>
      <c r="G63" s="316">
        <v>0.23600261976645739</v>
      </c>
      <c r="H63" s="316">
        <v>0.33510497358125907</v>
      </c>
      <c r="I63" s="317">
        <v>0.58133341449681175</v>
      </c>
      <c r="J63" s="317">
        <v>0.3513525698827773</v>
      </c>
      <c r="K63" s="1128">
        <v>0.59611250447868147</v>
      </c>
      <c r="L63" s="1598">
        <v>0.3126681846408611</v>
      </c>
      <c r="M63" s="1742">
        <v>0.76157414246462019</v>
      </c>
      <c r="N63" s="2392">
        <v>0.43623524605710451</v>
      </c>
      <c r="O63" s="3881">
        <v>0.34642790309346616</v>
      </c>
      <c r="P63" s="4793">
        <v>0.14277294828348314</v>
      </c>
      <c r="Q63" s="5865">
        <v>0.15088711387573336</v>
      </c>
      <c r="R63" s="6435">
        <f>+'A.44.'!E20</f>
        <v>0.81454915178695786</v>
      </c>
      <c r="S63" s="6755">
        <f>+'A.44.'!E10</f>
        <v>0.53372272754295225</v>
      </c>
      <c r="T63" s="1849">
        <v>0.37</v>
      </c>
      <c r="U63" s="1849">
        <v>0.65</v>
      </c>
      <c r="V63" s="357">
        <v>0.7</v>
      </c>
      <c r="W63" s="4159"/>
      <c r="X63"/>
      <c r="Z63" s="4134"/>
      <c r="AA63" s="4134"/>
    </row>
    <row r="64" spans="1:27" ht="51" customHeight="1">
      <c r="B64" s="6896"/>
      <c r="C64" s="6902" t="s">
        <v>1614</v>
      </c>
      <c r="D64" s="959" t="s">
        <v>1057</v>
      </c>
      <c r="E64" s="328" t="s">
        <v>1058</v>
      </c>
      <c r="F64" s="946">
        <v>83</v>
      </c>
      <c r="G64" s="318">
        <v>179</v>
      </c>
      <c r="H64" s="319">
        <v>151</v>
      </c>
      <c r="I64" s="320">
        <v>155</v>
      </c>
      <c r="J64" s="320">
        <v>115</v>
      </c>
      <c r="K64" s="1134">
        <v>129</v>
      </c>
      <c r="L64" s="1600">
        <v>155</v>
      </c>
      <c r="M64" s="1739">
        <v>188</v>
      </c>
      <c r="N64" s="2395">
        <v>213</v>
      </c>
      <c r="O64" s="3885">
        <v>143</v>
      </c>
      <c r="P64" s="4797">
        <v>35</v>
      </c>
      <c r="Q64" s="5868">
        <v>1</v>
      </c>
      <c r="R64" s="6443">
        <f>+'A.45.'!F48</f>
        <v>115</v>
      </c>
      <c r="S64" s="6418">
        <f>+'A.45.'!I20</f>
        <v>150</v>
      </c>
      <c r="T64" s="1848">
        <v>170</v>
      </c>
      <c r="U64" s="1848">
        <v>170</v>
      </c>
      <c r="V64" s="361">
        <v>200</v>
      </c>
      <c r="W64" s="4132"/>
      <c r="X64"/>
      <c r="Z64" s="4134"/>
      <c r="AA64" s="4134"/>
    </row>
    <row r="65" spans="2:27" ht="35.1" customHeight="1">
      <c r="B65" s="6897"/>
      <c r="C65" s="6899"/>
      <c r="D65" s="959" t="s">
        <v>1059</v>
      </c>
      <c r="E65" s="328" t="s">
        <v>1294</v>
      </c>
      <c r="F65" s="947">
        <v>165033</v>
      </c>
      <c r="G65" s="322">
        <v>205482</v>
      </c>
      <c r="H65" s="321">
        <v>256086</v>
      </c>
      <c r="I65" s="323">
        <v>308184</v>
      </c>
      <c r="J65" s="323">
        <v>384931</v>
      </c>
      <c r="K65" s="1134">
        <v>440904</v>
      </c>
      <c r="L65" s="1600">
        <v>225035</v>
      </c>
      <c r="M65" s="1739">
        <v>307894</v>
      </c>
      <c r="N65" s="2395">
        <v>356779</v>
      </c>
      <c r="O65" s="3885">
        <v>246054</v>
      </c>
      <c r="P65" s="4797">
        <v>101989</v>
      </c>
      <c r="Q65" s="5868">
        <v>471</v>
      </c>
      <c r="R65" s="6443">
        <f>+'A.45.'!B83</f>
        <v>132731</v>
      </c>
      <c r="S65" s="6421">
        <f>+'A.45.'!F32</f>
        <v>105235</v>
      </c>
      <c r="T65" s="1866">
        <v>400000</v>
      </c>
      <c r="U65" s="1866">
        <v>500000</v>
      </c>
      <c r="V65" s="323">
        <v>600000</v>
      </c>
      <c r="W65" s="4132"/>
      <c r="Z65" s="4134"/>
      <c r="AA65" s="4134"/>
    </row>
    <row r="66" spans="2:27" ht="25.2" customHeight="1">
      <c r="B66" s="6903" t="s">
        <v>1601</v>
      </c>
      <c r="C66" s="6906" t="s">
        <v>1592</v>
      </c>
      <c r="D66" s="959" t="s">
        <v>1060</v>
      </c>
      <c r="E66" s="328" t="s">
        <v>1288</v>
      </c>
      <c r="F66" s="948">
        <v>5</v>
      </c>
      <c r="G66" s="324">
        <v>5</v>
      </c>
      <c r="H66" s="324">
        <v>2</v>
      </c>
      <c r="I66" s="325">
        <v>2</v>
      </c>
      <c r="J66" s="325">
        <v>4</v>
      </c>
      <c r="K66" s="1130">
        <v>3</v>
      </c>
      <c r="L66" s="1603">
        <v>4</v>
      </c>
      <c r="M66" s="1749">
        <v>4</v>
      </c>
      <c r="N66" s="2398">
        <v>5</v>
      </c>
      <c r="O66" s="3887">
        <v>6</v>
      </c>
      <c r="P66" s="4799">
        <v>6</v>
      </c>
      <c r="Q66" s="5871">
        <v>6</v>
      </c>
      <c r="R66" s="6445">
        <v>15</v>
      </c>
      <c r="S66" s="6422">
        <v>6</v>
      </c>
      <c r="T66" s="1848">
        <v>2</v>
      </c>
      <c r="U66" s="1848">
        <v>2</v>
      </c>
      <c r="V66" s="361">
        <v>1</v>
      </c>
      <c r="W66" s="4133"/>
      <c r="Z66" s="4134"/>
      <c r="AA66" s="4134"/>
    </row>
    <row r="67" spans="2:27" ht="25.2" customHeight="1">
      <c r="B67" s="6904"/>
      <c r="C67" s="6906"/>
      <c r="D67" s="959" t="s">
        <v>1061</v>
      </c>
      <c r="E67" s="328" t="s">
        <v>1288</v>
      </c>
      <c r="F67" s="948">
        <v>22</v>
      </c>
      <c r="G67" s="313">
        <v>25</v>
      </c>
      <c r="H67" s="313">
        <v>21</v>
      </c>
      <c r="I67" s="314">
        <v>33</v>
      </c>
      <c r="J67" s="314">
        <v>35</v>
      </c>
      <c r="K67" s="1135">
        <v>36</v>
      </c>
      <c r="L67" s="1604">
        <v>30</v>
      </c>
      <c r="M67" s="1751">
        <v>32</v>
      </c>
      <c r="N67" s="2398">
        <v>29</v>
      </c>
      <c r="O67" s="3887">
        <v>28</v>
      </c>
      <c r="P67" s="4799">
        <v>27</v>
      </c>
      <c r="Q67" s="5871">
        <v>30</v>
      </c>
      <c r="R67" s="6445">
        <v>30</v>
      </c>
      <c r="S67" s="6422">
        <v>29</v>
      </c>
      <c r="T67" s="1867">
        <v>20</v>
      </c>
      <c r="U67" s="1867">
        <v>20</v>
      </c>
      <c r="V67" s="1610">
        <v>10</v>
      </c>
    </row>
    <row r="68" spans="2:27" ht="25.2" customHeight="1">
      <c r="B68" s="6905"/>
      <c r="C68" s="6906"/>
      <c r="D68" s="959" t="s">
        <v>1062</v>
      </c>
      <c r="E68" s="328" t="s">
        <v>1288</v>
      </c>
      <c r="F68" s="948">
        <v>4</v>
      </c>
      <c r="G68" s="324">
        <v>8</v>
      </c>
      <c r="H68" s="324">
        <v>8</v>
      </c>
      <c r="I68" s="325">
        <v>12</v>
      </c>
      <c r="J68" s="325">
        <v>12</v>
      </c>
      <c r="K68" s="1130">
        <v>12</v>
      </c>
      <c r="L68" s="1603">
        <v>10</v>
      </c>
      <c r="M68" s="1749">
        <v>7</v>
      </c>
      <c r="N68" s="2399">
        <v>7</v>
      </c>
      <c r="O68" s="3888">
        <v>12</v>
      </c>
      <c r="P68" s="4800">
        <v>11</v>
      </c>
      <c r="Q68" s="5872">
        <v>8</v>
      </c>
      <c r="R68" s="6446">
        <v>11</v>
      </c>
      <c r="S68" s="6423">
        <v>10</v>
      </c>
      <c r="T68" s="1848">
        <v>3</v>
      </c>
      <c r="U68" s="1848">
        <v>3</v>
      </c>
      <c r="V68" s="361">
        <v>2</v>
      </c>
    </row>
    <row r="69" spans="2:27" ht="47.25" hidden="1" customHeight="1">
      <c r="B69" s="3741"/>
      <c r="C69" s="6898" t="s">
        <v>1593</v>
      </c>
      <c r="D69" s="959" t="s">
        <v>1063</v>
      </c>
      <c r="E69" s="953"/>
      <c r="F69" s="310">
        <v>-1.8633540372670843E-2</v>
      </c>
      <c r="G69" s="301">
        <v>0.518987341772152</v>
      </c>
      <c r="H69" s="301">
        <v>8.3333333333333259E-2</v>
      </c>
      <c r="I69" s="302">
        <v>-0.2038461538461539</v>
      </c>
      <c r="J69" s="302">
        <v>-0.2560386473429952</v>
      </c>
      <c r="K69" s="1136">
        <v>-0.27922077922077926</v>
      </c>
      <c r="L69" s="1605"/>
      <c r="M69" s="1752"/>
      <c r="N69" s="2400"/>
      <c r="O69" s="2384"/>
      <c r="P69" s="2384"/>
      <c r="Q69" s="4787"/>
      <c r="R69" s="5858"/>
      <c r="S69" s="6424"/>
      <c r="T69" s="1848">
        <v>0</v>
      </c>
      <c r="U69" s="1848">
        <v>0</v>
      </c>
      <c r="V69" s="361">
        <v>0</v>
      </c>
      <c r="W69" s="6151" t="s">
        <v>2021</v>
      </c>
      <c r="X69" s="1556"/>
    </row>
    <row r="70" spans="2:27" ht="45" hidden="1" customHeight="1">
      <c r="B70" s="3742"/>
      <c r="C70" s="6899"/>
      <c r="D70" s="959" t="s">
        <v>1064</v>
      </c>
      <c r="E70" s="953"/>
      <c r="F70" s="949">
        <v>0.32</v>
      </c>
      <c r="G70" s="301">
        <v>0.34499999999999997</v>
      </c>
      <c r="H70" s="301">
        <v>-0.38998262541998396</v>
      </c>
      <c r="I70" s="302">
        <v>1.03594596620349</v>
      </c>
      <c r="J70" s="302">
        <v>0.36572638539379354</v>
      </c>
      <c r="K70" s="1128">
        <v>-0.30551019378894517</v>
      </c>
      <c r="L70" s="1598">
        <v>-0.16799616363643188</v>
      </c>
      <c r="M70" s="1742">
        <v>-0.19180013814919206</v>
      </c>
      <c r="N70" s="2392">
        <v>0.65640501407695395</v>
      </c>
      <c r="O70" s="2385"/>
      <c r="P70" s="2385"/>
      <c r="Q70" s="4788"/>
      <c r="R70" s="5859"/>
      <c r="S70" s="6425"/>
      <c r="T70" s="1849">
        <v>0.4</v>
      </c>
      <c r="U70" s="1849">
        <v>0.4</v>
      </c>
      <c r="V70" s="357">
        <v>0.5</v>
      </c>
    </row>
    <row r="71" spans="2:27" ht="15.75" customHeight="1">
      <c r="D71" s="962"/>
      <c r="E71" s="8"/>
      <c r="F71" s="8"/>
      <c r="G71" s="8"/>
      <c r="H71" s="8"/>
      <c r="I71" s="8"/>
      <c r="J71" s="8"/>
      <c r="K71" s="8"/>
      <c r="L71" s="8"/>
      <c r="M71" s="8"/>
      <c r="N71" s="8"/>
      <c r="O71" s="8"/>
      <c r="P71" s="8"/>
      <c r="Q71" s="8"/>
      <c r="R71" s="8"/>
      <c r="S71" s="8"/>
      <c r="U71" s="8"/>
      <c r="V71" s="8"/>
    </row>
    <row r="72" spans="2:27" ht="40.799999999999997">
      <c r="D72" s="962"/>
      <c r="E72" s="8"/>
      <c r="F72" s="8"/>
      <c r="G72" s="8"/>
      <c r="H72" s="8"/>
      <c r="I72" s="8"/>
      <c r="J72" s="8"/>
      <c r="K72" s="8"/>
      <c r="L72" s="8"/>
      <c r="M72" s="5852" t="s">
        <v>3043</v>
      </c>
      <c r="N72" s="5854" t="s">
        <v>3040</v>
      </c>
      <c r="O72" s="5855" t="s">
        <v>3041</v>
      </c>
      <c r="P72" s="6063" t="s">
        <v>3042</v>
      </c>
      <c r="Q72" s="8"/>
      <c r="R72" s="8"/>
      <c r="S72" s="8"/>
      <c r="T72" s="5853" t="s">
        <v>2804</v>
      </c>
      <c r="U72" s="8"/>
      <c r="V72" s="8"/>
    </row>
    <row r="73" spans="2:27">
      <c r="F73" s="8"/>
      <c r="G73" s="8"/>
      <c r="H73" s="8"/>
      <c r="I73" s="18"/>
      <c r="J73" s="8"/>
      <c r="K73" s="8"/>
      <c r="L73" s="8"/>
      <c r="M73" s="8"/>
      <c r="N73" s="8"/>
      <c r="O73" s="8"/>
      <c r="P73" s="8"/>
      <c r="Q73" s="8"/>
      <c r="R73" s="8"/>
      <c r="S73" s="8"/>
      <c r="T73" s="8"/>
      <c r="U73" s="8"/>
    </row>
    <row r="74" spans="2:27">
      <c r="F74" s="8"/>
      <c r="G74" s="8"/>
      <c r="H74" s="8"/>
      <c r="I74" s="18"/>
      <c r="J74" s="8"/>
      <c r="K74" s="8"/>
      <c r="L74" s="8"/>
      <c r="M74" s="8"/>
      <c r="N74" s="8"/>
      <c r="O74" s="8"/>
      <c r="P74" s="8"/>
      <c r="Q74" s="8"/>
      <c r="R74" s="8"/>
      <c r="S74" s="8"/>
      <c r="T74" s="8"/>
      <c r="U74" s="8"/>
    </row>
    <row r="75" spans="2:27">
      <c r="F75" s="8"/>
      <c r="G75" s="8"/>
      <c r="H75" s="8"/>
      <c r="I75" s="18"/>
      <c r="J75" s="8"/>
      <c r="K75" s="8"/>
      <c r="L75" s="8"/>
      <c r="M75" s="8"/>
      <c r="N75" s="8"/>
      <c r="O75" s="8"/>
      <c r="P75" s="8"/>
      <c r="Q75" s="8"/>
      <c r="R75" s="8"/>
      <c r="S75" s="8"/>
      <c r="T75" s="8"/>
      <c r="U75" s="8"/>
    </row>
    <row r="76" spans="2:27">
      <c r="F76" s="8"/>
      <c r="G76" s="8"/>
      <c r="H76" s="8"/>
      <c r="J76" s="8"/>
      <c r="K76" s="8"/>
      <c r="L76" s="8"/>
      <c r="Q76" s="8"/>
      <c r="R76" s="8"/>
      <c r="S76" s="8"/>
      <c r="T76" s="8"/>
      <c r="U76" s="8"/>
    </row>
    <row r="77" spans="2:27">
      <c r="J77" s="8"/>
      <c r="K77" s="8"/>
      <c r="L77" s="8"/>
      <c r="N77" s="8"/>
      <c r="O77" s="8"/>
      <c r="P77" s="8"/>
      <c r="Q77" s="8"/>
      <c r="R77" s="8"/>
      <c r="S77" s="8"/>
      <c r="T77" s="8"/>
      <c r="U77" s="8"/>
    </row>
    <row r="78" spans="2:27">
      <c r="E78" s="8"/>
      <c r="F78" s="6907"/>
      <c r="J78" s="8"/>
      <c r="K78" s="8"/>
      <c r="L78" s="8"/>
      <c r="N78" s="8"/>
      <c r="O78" s="8"/>
      <c r="P78" s="8"/>
      <c r="Q78" s="8"/>
      <c r="R78" s="8"/>
      <c r="S78" s="8"/>
      <c r="T78" s="8"/>
      <c r="U78" s="8"/>
    </row>
    <row r="79" spans="2:27">
      <c r="D79" s="50"/>
      <c r="E79" s="8"/>
      <c r="F79" s="6907"/>
      <c r="J79" s="8"/>
      <c r="K79" s="8"/>
      <c r="L79" s="8"/>
      <c r="N79" s="8"/>
      <c r="O79" s="8"/>
      <c r="P79" s="8"/>
      <c r="Q79" s="8"/>
      <c r="R79" s="8"/>
      <c r="S79" s="8"/>
      <c r="T79" s="8"/>
      <c r="U79" s="8"/>
    </row>
    <row r="80" spans="2:27">
      <c r="J80" s="8"/>
      <c r="K80" s="8"/>
      <c r="L80" s="8"/>
      <c r="M80" s="8"/>
      <c r="N80" s="8"/>
      <c r="O80" s="8"/>
      <c r="P80" s="8"/>
      <c r="Q80" s="8"/>
      <c r="R80" s="8"/>
      <c r="S80" s="8"/>
      <c r="T80" s="8"/>
      <c r="U80" s="8"/>
    </row>
    <row r="81" spans="10:21">
      <c r="J81" s="8"/>
      <c r="K81" s="8"/>
      <c r="L81" s="8"/>
      <c r="M81" s="8"/>
      <c r="N81" s="8"/>
      <c r="O81" s="8"/>
      <c r="P81" s="8"/>
      <c r="Q81" s="8"/>
      <c r="R81" s="8"/>
      <c r="S81" s="8"/>
      <c r="T81" s="8"/>
      <c r="U81" s="8"/>
    </row>
    <row r="82" spans="10:21">
      <c r="J82" s="8"/>
      <c r="K82" s="8"/>
      <c r="L82" s="8"/>
      <c r="M82" s="8"/>
      <c r="N82" s="8"/>
      <c r="O82" s="8"/>
      <c r="P82" s="8"/>
      <c r="Q82" s="8"/>
      <c r="R82" s="8"/>
      <c r="S82" s="8"/>
      <c r="T82" s="8"/>
      <c r="U82" s="8"/>
    </row>
    <row r="83" spans="10:21">
      <c r="J83" s="8"/>
      <c r="K83" s="8"/>
      <c r="L83" s="8"/>
      <c r="M83" s="8"/>
      <c r="N83" s="8"/>
      <c r="O83" s="8"/>
      <c r="P83" s="8"/>
      <c r="Q83" s="8"/>
      <c r="R83" s="8"/>
      <c r="S83" s="8"/>
      <c r="T83" s="8"/>
      <c r="U83" s="8"/>
    </row>
    <row r="84" spans="10:21">
      <c r="J84" s="8"/>
      <c r="K84" s="8"/>
      <c r="L84" s="8"/>
      <c r="M84" s="8"/>
      <c r="N84" s="8"/>
      <c r="O84" s="8"/>
      <c r="P84" s="8"/>
      <c r="Q84" s="8"/>
      <c r="R84" s="8"/>
      <c r="S84" s="8"/>
      <c r="T84" s="8"/>
      <c r="U84" s="8"/>
    </row>
    <row r="85" spans="10:21">
      <c r="J85" s="8"/>
      <c r="K85" s="8"/>
      <c r="L85" s="8"/>
      <c r="M85" s="8"/>
      <c r="N85" s="8"/>
      <c r="O85" s="8"/>
      <c r="P85" s="8"/>
      <c r="Q85" s="8"/>
      <c r="R85" s="8"/>
      <c r="S85" s="8"/>
      <c r="T85" s="8"/>
      <c r="U85" s="8"/>
    </row>
    <row r="86" spans="10:21">
      <c r="J86" s="8"/>
      <c r="K86" s="8"/>
      <c r="L86" s="8"/>
      <c r="M86" s="8"/>
      <c r="N86" s="8"/>
      <c r="O86" s="8"/>
      <c r="P86" s="8"/>
      <c r="Q86" s="8"/>
      <c r="R86" s="8"/>
      <c r="S86" s="8"/>
      <c r="T86" s="8"/>
      <c r="U86" s="8"/>
    </row>
    <row r="87" spans="10:21">
      <c r="J87" s="8"/>
      <c r="K87" s="8"/>
      <c r="L87" s="8"/>
      <c r="M87" s="8"/>
      <c r="N87" s="8"/>
      <c r="O87" s="8"/>
      <c r="P87" s="8"/>
      <c r="Q87" s="8"/>
      <c r="R87" s="8"/>
      <c r="S87" s="8"/>
      <c r="T87" s="8"/>
      <c r="U87" s="8"/>
    </row>
    <row r="88" spans="10:21">
      <c r="J88" s="8"/>
      <c r="K88" s="8"/>
      <c r="L88" s="8"/>
      <c r="M88" s="8"/>
      <c r="N88" s="8"/>
      <c r="O88" s="8"/>
      <c r="P88" s="8"/>
      <c r="Q88" s="8"/>
      <c r="R88" s="8"/>
      <c r="S88" s="8"/>
      <c r="T88" s="8"/>
      <c r="U88" s="8"/>
    </row>
    <row r="89" spans="10:21">
      <c r="J89" s="8"/>
      <c r="K89" s="8"/>
      <c r="L89" s="8"/>
      <c r="M89" s="8"/>
      <c r="N89" s="8"/>
      <c r="O89" s="8"/>
      <c r="P89" s="8"/>
      <c r="Q89" s="8"/>
      <c r="R89" s="8"/>
      <c r="S89" s="8"/>
      <c r="T89" s="8"/>
      <c r="U89" s="8"/>
    </row>
    <row r="90" spans="10:21">
      <c r="J90" s="8"/>
      <c r="K90" s="8"/>
      <c r="L90" s="8"/>
      <c r="M90" s="8"/>
      <c r="N90" s="8"/>
      <c r="O90" s="8"/>
      <c r="P90" s="8"/>
      <c r="Q90" s="8"/>
      <c r="R90" s="8"/>
      <c r="S90" s="8"/>
      <c r="T90" s="8"/>
      <c r="U90" s="8"/>
    </row>
    <row r="91" spans="10:21">
      <c r="J91" s="8"/>
      <c r="K91" s="8"/>
      <c r="L91" s="8"/>
      <c r="M91" s="8"/>
      <c r="N91" s="8"/>
      <c r="O91" s="8"/>
      <c r="P91" s="8"/>
      <c r="Q91" s="8"/>
      <c r="R91" s="8"/>
      <c r="S91" s="8"/>
      <c r="T91" s="8"/>
      <c r="U91" s="8"/>
    </row>
    <row r="92" spans="10:21">
      <c r="J92" s="8"/>
      <c r="K92" s="8"/>
      <c r="L92" s="8"/>
      <c r="M92" s="8"/>
      <c r="N92" s="8"/>
      <c r="O92" s="8"/>
      <c r="P92" s="8"/>
      <c r="Q92" s="8"/>
      <c r="R92" s="8"/>
      <c r="S92" s="8"/>
      <c r="T92" s="8"/>
      <c r="U92" s="8"/>
    </row>
    <row r="93" spans="10:21">
      <c r="J93" s="8"/>
      <c r="K93" s="8"/>
      <c r="L93" s="8"/>
      <c r="M93" s="8"/>
      <c r="N93" s="8"/>
      <c r="O93" s="8"/>
      <c r="P93" s="8"/>
      <c r="Q93" s="8"/>
      <c r="R93" s="8"/>
      <c r="S93" s="8"/>
      <c r="T93" s="8"/>
      <c r="U93" s="8"/>
    </row>
    <row r="94" spans="10:21">
      <c r="J94" s="8"/>
      <c r="K94" s="8"/>
      <c r="L94" s="8"/>
      <c r="M94" s="8"/>
      <c r="N94" s="8"/>
      <c r="O94" s="8"/>
      <c r="P94" s="8"/>
      <c r="Q94" s="8"/>
      <c r="R94" s="8"/>
      <c r="S94" s="8"/>
      <c r="T94" s="8"/>
      <c r="U94" s="8"/>
    </row>
    <row r="95" spans="10:21">
      <c r="J95" s="8"/>
      <c r="K95" s="8"/>
      <c r="L95" s="8"/>
      <c r="M95" s="8"/>
      <c r="N95" s="8"/>
      <c r="O95" s="8"/>
      <c r="P95" s="8"/>
      <c r="Q95" s="8"/>
      <c r="R95" s="8"/>
      <c r="S95" s="8"/>
      <c r="T95" s="8"/>
      <c r="U95" s="8"/>
    </row>
    <row r="96" spans="10:21">
      <c r="J96" s="8"/>
      <c r="K96" s="8"/>
      <c r="L96" s="8"/>
      <c r="M96" s="8"/>
      <c r="N96" s="8"/>
      <c r="O96" s="8"/>
      <c r="P96" s="8"/>
      <c r="Q96" s="8"/>
      <c r="R96" s="8"/>
      <c r="S96" s="8"/>
      <c r="T96" s="8"/>
      <c r="U96" s="8"/>
    </row>
    <row r="97" spans="10:21">
      <c r="J97" s="8"/>
      <c r="K97" s="8"/>
      <c r="L97" s="8"/>
      <c r="M97" s="8"/>
      <c r="N97" s="8"/>
      <c r="O97" s="8"/>
      <c r="P97" s="8"/>
      <c r="Q97" s="8"/>
      <c r="R97" s="8"/>
      <c r="S97" s="8"/>
      <c r="T97" s="8"/>
      <c r="U97" s="8"/>
    </row>
    <row r="98" spans="10:21">
      <c r="J98" s="8"/>
      <c r="K98" s="8"/>
      <c r="L98" s="8"/>
      <c r="M98" s="8"/>
      <c r="N98" s="8"/>
      <c r="O98" s="8"/>
      <c r="P98" s="8"/>
      <c r="Q98" s="8"/>
      <c r="R98" s="8"/>
      <c r="S98" s="8"/>
      <c r="T98" s="8"/>
      <c r="U98" s="8"/>
    </row>
    <row r="99" spans="10:21">
      <c r="J99" s="8"/>
      <c r="K99" s="8"/>
      <c r="L99" s="8"/>
      <c r="M99" s="8"/>
      <c r="N99" s="8"/>
      <c r="O99" s="8"/>
      <c r="P99" s="8"/>
      <c r="Q99" s="8"/>
      <c r="R99" s="8"/>
      <c r="S99" s="8"/>
      <c r="T99" s="8"/>
      <c r="U99" s="8"/>
    </row>
    <row r="100" spans="10:21">
      <c r="J100" s="8"/>
      <c r="K100" s="8"/>
      <c r="L100" s="8"/>
      <c r="M100" s="8"/>
      <c r="N100" s="8"/>
      <c r="O100" s="8"/>
      <c r="P100" s="8"/>
      <c r="Q100" s="8"/>
      <c r="R100" s="8"/>
      <c r="S100" s="8"/>
      <c r="T100" s="8"/>
      <c r="U100" s="8"/>
    </row>
    <row r="101" spans="10:21">
      <c r="J101" s="8"/>
      <c r="K101" s="8"/>
      <c r="L101" s="8"/>
      <c r="M101" s="8"/>
      <c r="N101" s="8"/>
      <c r="O101" s="8"/>
      <c r="P101" s="8"/>
      <c r="Q101" s="8"/>
      <c r="R101" s="8"/>
      <c r="S101" s="8"/>
      <c r="T101" s="8"/>
      <c r="U101" s="8"/>
    </row>
    <row r="102" spans="10:21">
      <c r="J102" s="8"/>
      <c r="K102" s="8"/>
      <c r="L102" s="8"/>
      <c r="M102" s="8"/>
      <c r="N102" s="8"/>
      <c r="O102" s="8"/>
      <c r="P102" s="8"/>
      <c r="Q102" s="8"/>
      <c r="R102" s="8"/>
      <c r="S102" s="8"/>
      <c r="T102" s="8"/>
      <c r="U102" s="8"/>
    </row>
    <row r="103" spans="10:21">
      <c r="J103" s="8"/>
      <c r="K103" s="8"/>
      <c r="L103" s="8"/>
      <c r="M103" s="8"/>
      <c r="N103" s="8"/>
      <c r="O103" s="8"/>
      <c r="P103" s="8"/>
      <c r="Q103" s="8"/>
      <c r="R103" s="8"/>
      <c r="S103" s="8"/>
      <c r="T103" s="8"/>
      <c r="U103" s="8"/>
    </row>
    <row r="104" spans="10:21">
      <c r="J104" s="8"/>
      <c r="K104" s="8"/>
      <c r="L104" s="8"/>
      <c r="M104" s="8"/>
      <c r="N104" s="8"/>
      <c r="O104" s="8"/>
      <c r="P104" s="8"/>
      <c r="Q104" s="8"/>
      <c r="R104" s="8"/>
      <c r="S104" s="8"/>
      <c r="T104" s="8"/>
      <c r="U104" s="8"/>
    </row>
    <row r="105" spans="10:21">
      <c r="J105" s="8"/>
      <c r="K105" s="8"/>
      <c r="L105" s="8"/>
      <c r="M105" s="8"/>
      <c r="N105" s="8"/>
      <c r="O105" s="8"/>
      <c r="P105" s="8"/>
      <c r="Q105" s="8"/>
      <c r="R105" s="8"/>
      <c r="S105" s="8"/>
      <c r="T105" s="8"/>
      <c r="U105" s="8"/>
    </row>
    <row r="106" spans="10:21">
      <c r="J106" s="8"/>
      <c r="K106" s="8"/>
      <c r="L106" s="8"/>
      <c r="M106" s="8"/>
      <c r="N106" s="8"/>
      <c r="O106" s="8"/>
      <c r="P106" s="8"/>
      <c r="Q106" s="8"/>
      <c r="R106" s="8"/>
      <c r="S106" s="8"/>
      <c r="T106" s="8"/>
      <c r="U106" s="8"/>
    </row>
    <row r="107" spans="10:21">
      <c r="J107" s="8"/>
      <c r="K107" s="8"/>
      <c r="L107" s="8"/>
      <c r="M107" s="8"/>
      <c r="N107" s="8"/>
      <c r="O107" s="8"/>
      <c r="P107" s="8"/>
      <c r="Q107" s="8"/>
      <c r="R107" s="8"/>
      <c r="S107" s="8"/>
      <c r="T107" s="8"/>
      <c r="U107" s="8"/>
    </row>
    <row r="108" spans="10:21">
      <c r="J108" s="8"/>
      <c r="K108" s="8"/>
      <c r="L108" s="8"/>
      <c r="M108" s="8"/>
      <c r="N108" s="8"/>
      <c r="O108" s="8"/>
      <c r="P108" s="8"/>
      <c r="Q108" s="8"/>
      <c r="R108" s="8"/>
      <c r="S108" s="8"/>
      <c r="T108" s="8"/>
      <c r="U108" s="8"/>
    </row>
    <row r="109" spans="10:21">
      <c r="J109" s="8"/>
      <c r="K109" s="8"/>
      <c r="L109" s="8"/>
      <c r="M109" s="8"/>
      <c r="N109" s="8"/>
      <c r="O109" s="8"/>
      <c r="P109" s="8"/>
      <c r="Q109" s="8"/>
      <c r="R109" s="8"/>
      <c r="S109" s="8"/>
      <c r="T109" s="8"/>
      <c r="U109" s="8"/>
    </row>
    <row r="110" spans="10:21">
      <c r="J110" s="8"/>
      <c r="K110" s="8"/>
      <c r="L110" s="8"/>
      <c r="M110" s="8"/>
      <c r="N110" s="8"/>
      <c r="O110" s="8"/>
      <c r="P110" s="8"/>
      <c r="Q110" s="8"/>
      <c r="R110" s="8"/>
      <c r="S110" s="8"/>
      <c r="T110" s="8"/>
      <c r="U110" s="8"/>
    </row>
    <row r="111" spans="10:21">
      <c r="J111" s="8"/>
      <c r="K111" s="8"/>
      <c r="L111" s="8"/>
      <c r="M111" s="8"/>
      <c r="N111" s="8"/>
      <c r="O111" s="8"/>
      <c r="P111" s="8"/>
      <c r="Q111" s="8"/>
      <c r="R111" s="8"/>
      <c r="S111" s="8"/>
      <c r="T111" s="8"/>
      <c r="U111" s="8"/>
    </row>
    <row r="112" spans="10:21">
      <c r="J112" s="8"/>
      <c r="K112" s="8"/>
      <c r="L112" s="8"/>
      <c r="M112" s="8"/>
      <c r="N112" s="8"/>
      <c r="O112" s="8"/>
      <c r="P112" s="8"/>
      <c r="Q112" s="8"/>
      <c r="R112" s="8"/>
      <c r="S112" s="8"/>
      <c r="T112" s="8"/>
      <c r="U112" s="8"/>
    </row>
    <row r="113" spans="10:21">
      <c r="J113" s="8"/>
      <c r="K113" s="8"/>
      <c r="L113" s="8"/>
      <c r="M113" s="8"/>
      <c r="N113" s="8"/>
      <c r="O113" s="8"/>
      <c r="P113" s="8"/>
      <c r="Q113" s="8"/>
      <c r="R113" s="8"/>
      <c r="S113" s="8"/>
      <c r="T113" s="8"/>
      <c r="U113" s="8"/>
    </row>
    <row r="114" spans="10:21">
      <c r="J114" s="8"/>
      <c r="K114" s="8"/>
      <c r="L114" s="8"/>
      <c r="M114" s="8"/>
      <c r="N114" s="8"/>
      <c r="O114" s="8"/>
      <c r="P114" s="8"/>
      <c r="Q114" s="8"/>
      <c r="R114" s="8"/>
      <c r="S114" s="8"/>
      <c r="T114" s="8"/>
      <c r="U114" s="8"/>
    </row>
    <row r="115" spans="10:21">
      <c r="J115" s="8"/>
      <c r="K115" s="8"/>
      <c r="L115" s="8"/>
      <c r="M115" s="8"/>
      <c r="N115" s="8"/>
      <c r="O115" s="8"/>
      <c r="P115" s="8"/>
      <c r="Q115" s="8"/>
      <c r="R115" s="8"/>
      <c r="S115" s="8"/>
      <c r="T115" s="8"/>
      <c r="U115" s="8"/>
    </row>
    <row r="116" spans="10:21">
      <c r="J116" s="8"/>
      <c r="K116" s="8"/>
      <c r="L116" s="8"/>
      <c r="M116" s="8"/>
      <c r="N116" s="8"/>
      <c r="O116" s="8"/>
      <c r="P116" s="8"/>
      <c r="Q116" s="8"/>
      <c r="R116" s="8"/>
      <c r="S116" s="8"/>
      <c r="T116" s="8"/>
      <c r="U116" s="8"/>
    </row>
    <row r="117" spans="10:21">
      <c r="J117" s="8"/>
      <c r="K117" s="8"/>
      <c r="L117" s="8"/>
      <c r="M117" s="8"/>
      <c r="N117" s="8"/>
      <c r="O117" s="8"/>
      <c r="P117" s="8"/>
      <c r="Q117" s="8"/>
      <c r="R117" s="8"/>
      <c r="S117" s="8"/>
      <c r="T117" s="8"/>
      <c r="U117" s="8"/>
    </row>
    <row r="118" spans="10:21">
      <c r="J118" s="8"/>
      <c r="K118" s="8"/>
      <c r="L118" s="8"/>
      <c r="M118" s="8"/>
      <c r="N118" s="8"/>
      <c r="O118" s="8"/>
      <c r="P118" s="8"/>
      <c r="Q118" s="8"/>
      <c r="R118" s="8"/>
      <c r="S118" s="8"/>
      <c r="T118" s="8"/>
      <c r="U118" s="8"/>
    </row>
    <row r="119" spans="10:21">
      <c r="J119" s="8"/>
      <c r="K119" s="8"/>
      <c r="L119" s="8"/>
      <c r="M119" s="8"/>
      <c r="N119" s="8"/>
      <c r="O119" s="8"/>
      <c r="P119" s="8"/>
      <c r="Q119" s="8"/>
      <c r="R119" s="8"/>
      <c r="S119" s="8"/>
      <c r="T119" s="8"/>
      <c r="U119" s="8"/>
    </row>
    <row r="120" spans="10:21">
      <c r="J120" s="8"/>
      <c r="K120" s="8"/>
      <c r="L120" s="8"/>
      <c r="M120" s="8"/>
      <c r="N120" s="8"/>
      <c r="O120" s="8"/>
      <c r="P120" s="8"/>
      <c r="Q120" s="8"/>
      <c r="R120" s="8"/>
      <c r="S120" s="8"/>
      <c r="T120" s="8"/>
      <c r="U120" s="8"/>
    </row>
    <row r="121" spans="10:21">
      <c r="J121" s="8"/>
      <c r="K121" s="8"/>
      <c r="L121" s="8"/>
      <c r="M121" s="8"/>
      <c r="N121" s="8"/>
      <c r="O121" s="8"/>
      <c r="P121" s="8"/>
      <c r="Q121" s="8"/>
      <c r="R121" s="8"/>
      <c r="S121" s="8"/>
      <c r="T121" s="8"/>
      <c r="U121" s="8"/>
    </row>
    <row r="122" spans="10:21">
      <c r="J122" s="8"/>
      <c r="K122" s="8"/>
      <c r="L122" s="8"/>
      <c r="M122" s="8"/>
      <c r="N122" s="8"/>
      <c r="O122" s="8"/>
      <c r="P122" s="8"/>
      <c r="Q122" s="8"/>
      <c r="R122" s="8"/>
      <c r="S122" s="8"/>
      <c r="T122" s="8"/>
      <c r="U122" s="8"/>
    </row>
    <row r="123" spans="10:21">
      <c r="J123" s="8"/>
      <c r="K123" s="8"/>
      <c r="L123" s="8"/>
      <c r="M123" s="8"/>
      <c r="N123" s="8"/>
      <c r="O123" s="8"/>
      <c r="P123" s="8"/>
      <c r="Q123" s="8"/>
      <c r="R123" s="8"/>
      <c r="S123" s="8"/>
      <c r="T123" s="8"/>
      <c r="U123" s="8"/>
    </row>
    <row r="124" spans="10:21">
      <c r="J124" s="8"/>
      <c r="K124" s="8"/>
      <c r="L124" s="8"/>
      <c r="M124" s="8"/>
      <c r="N124" s="8"/>
      <c r="O124" s="8"/>
      <c r="P124" s="8"/>
      <c r="Q124" s="8"/>
      <c r="R124" s="8"/>
      <c r="S124" s="8"/>
      <c r="T124" s="8"/>
      <c r="U124" s="8"/>
    </row>
    <row r="125" spans="10:21">
      <c r="J125" s="8"/>
      <c r="K125" s="8"/>
      <c r="L125" s="8"/>
      <c r="M125" s="8"/>
      <c r="N125" s="8"/>
      <c r="O125" s="8"/>
      <c r="P125" s="8"/>
      <c r="Q125" s="8"/>
      <c r="R125" s="8"/>
      <c r="S125" s="8"/>
      <c r="T125" s="8"/>
      <c r="U125" s="8"/>
    </row>
    <row r="126" spans="10:21">
      <c r="J126" s="8"/>
      <c r="K126" s="8"/>
      <c r="L126" s="8"/>
      <c r="M126" s="8"/>
      <c r="N126" s="8"/>
      <c r="O126" s="8"/>
      <c r="P126" s="8"/>
      <c r="Q126" s="8"/>
      <c r="R126" s="8"/>
      <c r="S126" s="8"/>
      <c r="T126" s="8"/>
      <c r="U126" s="8"/>
    </row>
    <row r="127" spans="10:21">
      <c r="J127" s="8"/>
      <c r="K127" s="8"/>
      <c r="L127" s="8"/>
      <c r="M127" s="8"/>
      <c r="N127" s="8"/>
      <c r="O127" s="8"/>
      <c r="P127" s="8"/>
      <c r="Q127" s="8"/>
      <c r="R127" s="8"/>
      <c r="S127" s="8"/>
      <c r="T127" s="8"/>
      <c r="U127" s="8"/>
    </row>
    <row r="128" spans="10:21">
      <c r="J128" s="8"/>
      <c r="K128" s="8"/>
      <c r="L128" s="8"/>
      <c r="M128" s="8"/>
      <c r="N128" s="8"/>
      <c r="O128" s="8"/>
      <c r="P128" s="8"/>
      <c r="Q128" s="8"/>
      <c r="R128" s="8"/>
      <c r="S128" s="8"/>
      <c r="T128" s="8"/>
      <c r="U128" s="8"/>
    </row>
    <row r="129" spans="10:21">
      <c r="J129" s="8"/>
      <c r="K129" s="8"/>
      <c r="L129" s="8"/>
      <c r="M129" s="8"/>
      <c r="N129" s="8"/>
      <c r="O129" s="8"/>
      <c r="P129" s="8"/>
      <c r="Q129" s="8"/>
      <c r="R129" s="8"/>
      <c r="S129" s="8"/>
      <c r="T129" s="8"/>
      <c r="U129" s="8"/>
    </row>
    <row r="130" spans="10:21">
      <c r="J130" s="8"/>
      <c r="K130" s="8"/>
      <c r="L130" s="8"/>
      <c r="M130" s="8"/>
      <c r="N130" s="8"/>
      <c r="O130" s="8"/>
      <c r="P130" s="8"/>
      <c r="Q130" s="8"/>
      <c r="R130" s="8"/>
      <c r="S130" s="8"/>
      <c r="T130" s="8"/>
      <c r="U130" s="8"/>
    </row>
    <row r="131" spans="10:21">
      <c r="J131" s="8"/>
      <c r="K131" s="8"/>
      <c r="L131" s="8"/>
      <c r="M131" s="8"/>
      <c r="N131" s="8"/>
      <c r="O131" s="8"/>
      <c r="P131" s="8"/>
      <c r="Q131" s="8"/>
      <c r="R131" s="8"/>
      <c r="S131" s="8"/>
      <c r="T131" s="8"/>
      <c r="U131" s="8"/>
    </row>
    <row r="132" spans="10:21">
      <c r="J132" s="8"/>
      <c r="K132" s="8"/>
      <c r="L132" s="8"/>
      <c r="M132" s="8"/>
      <c r="N132" s="8"/>
      <c r="O132" s="8"/>
      <c r="P132" s="8"/>
      <c r="Q132" s="8"/>
      <c r="R132" s="8"/>
      <c r="S132" s="8"/>
      <c r="T132" s="8"/>
      <c r="U132" s="8"/>
    </row>
    <row r="133" spans="10:21">
      <c r="J133" s="8"/>
      <c r="K133" s="8"/>
      <c r="L133" s="8"/>
      <c r="M133" s="8"/>
      <c r="N133" s="8"/>
      <c r="O133" s="8"/>
      <c r="P133" s="8"/>
      <c r="Q133" s="8"/>
      <c r="R133" s="8"/>
      <c r="S133" s="8"/>
      <c r="T133" s="8"/>
      <c r="U133" s="8"/>
    </row>
    <row r="134" spans="10:21">
      <c r="J134" s="8"/>
      <c r="K134" s="8"/>
      <c r="L134" s="8"/>
      <c r="M134" s="8"/>
      <c r="N134" s="8"/>
      <c r="O134" s="8"/>
      <c r="P134" s="8"/>
      <c r="Q134" s="8"/>
      <c r="R134" s="8"/>
      <c r="S134" s="8"/>
      <c r="T134" s="8"/>
      <c r="U134" s="8"/>
    </row>
    <row r="135" spans="10:21">
      <c r="J135" s="8"/>
      <c r="K135" s="8"/>
      <c r="L135" s="8"/>
      <c r="M135" s="8"/>
      <c r="N135" s="8"/>
      <c r="O135" s="8"/>
      <c r="P135" s="8"/>
      <c r="Q135" s="8"/>
      <c r="R135" s="8"/>
      <c r="S135" s="8"/>
      <c r="T135" s="8"/>
      <c r="U135" s="8"/>
    </row>
    <row r="136" spans="10:21">
      <c r="J136" s="8"/>
      <c r="K136" s="8"/>
      <c r="L136" s="8"/>
      <c r="M136" s="8"/>
      <c r="N136" s="8"/>
      <c r="O136" s="8"/>
      <c r="P136" s="8"/>
      <c r="Q136" s="8"/>
      <c r="R136" s="8"/>
      <c r="S136" s="8"/>
      <c r="T136" s="8"/>
      <c r="U136" s="8"/>
    </row>
    <row r="137" spans="10:21">
      <c r="J137" s="8"/>
      <c r="K137" s="8"/>
      <c r="L137" s="8"/>
      <c r="M137" s="8"/>
      <c r="N137" s="8"/>
      <c r="O137" s="8"/>
      <c r="P137" s="8"/>
      <c r="Q137" s="8"/>
      <c r="R137" s="8"/>
      <c r="S137" s="8"/>
      <c r="T137" s="8"/>
      <c r="U137" s="8"/>
    </row>
    <row r="138" spans="10:21">
      <c r="J138" s="8"/>
      <c r="K138" s="8"/>
      <c r="L138" s="8"/>
      <c r="M138" s="8"/>
      <c r="N138" s="8"/>
      <c r="O138" s="8"/>
      <c r="P138" s="8"/>
      <c r="Q138" s="8"/>
      <c r="R138" s="8"/>
      <c r="S138" s="8"/>
      <c r="T138" s="8"/>
      <c r="U138" s="8"/>
    </row>
    <row r="139" spans="10:21">
      <c r="J139" s="8"/>
      <c r="K139" s="8"/>
      <c r="L139" s="8"/>
      <c r="M139" s="8"/>
      <c r="N139" s="8"/>
      <c r="O139" s="8"/>
      <c r="P139" s="8"/>
      <c r="Q139" s="8"/>
      <c r="R139" s="8"/>
      <c r="S139" s="8"/>
      <c r="T139" s="8"/>
      <c r="U139" s="8"/>
    </row>
    <row r="140" spans="10:21">
      <c r="J140" s="8"/>
      <c r="K140" s="8"/>
      <c r="L140" s="8"/>
      <c r="M140" s="8"/>
      <c r="N140" s="8"/>
      <c r="O140" s="8"/>
      <c r="P140" s="8"/>
      <c r="Q140" s="8"/>
      <c r="R140" s="8"/>
      <c r="S140" s="8"/>
      <c r="T140" s="8"/>
      <c r="U140" s="8"/>
    </row>
    <row r="141" spans="10:21">
      <c r="J141" s="8"/>
      <c r="K141" s="8"/>
      <c r="L141" s="8"/>
      <c r="M141" s="8"/>
      <c r="N141" s="8"/>
      <c r="O141" s="8"/>
      <c r="P141" s="8"/>
      <c r="Q141" s="8"/>
      <c r="R141" s="8"/>
      <c r="S141" s="8"/>
      <c r="T141" s="8"/>
      <c r="U141" s="8"/>
    </row>
    <row r="142" spans="10:21">
      <c r="J142" s="8"/>
      <c r="K142" s="8"/>
      <c r="L142" s="8"/>
      <c r="M142" s="8"/>
      <c r="N142" s="8"/>
      <c r="O142" s="8"/>
      <c r="P142" s="8"/>
      <c r="Q142" s="8"/>
      <c r="R142" s="8"/>
      <c r="S142" s="8"/>
      <c r="T142" s="8"/>
      <c r="U142" s="8"/>
    </row>
    <row r="143" spans="10:21">
      <c r="J143" s="8"/>
      <c r="K143" s="8"/>
      <c r="L143" s="8"/>
      <c r="M143" s="8"/>
      <c r="N143" s="8"/>
      <c r="O143" s="8"/>
      <c r="P143" s="8"/>
      <c r="Q143" s="8"/>
      <c r="R143" s="8"/>
      <c r="S143" s="8"/>
      <c r="T143" s="8"/>
      <c r="U143" s="8"/>
    </row>
    <row r="144" spans="10:21">
      <c r="J144" s="8"/>
      <c r="K144" s="8"/>
      <c r="L144" s="8"/>
      <c r="M144" s="8"/>
      <c r="N144" s="8"/>
      <c r="O144" s="8"/>
      <c r="P144" s="8"/>
      <c r="Q144" s="8"/>
      <c r="R144" s="8"/>
      <c r="S144" s="8"/>
      <c r="T144" s="8"/>
      <c r="U144" s="8"/>
    </row>
    <row r="145" spans="10:21">
      <c r="J145" s="8"/>
      <c r="K145" s="8"/>
      <c r="L145" s="8"/>
      <c r="M145" s="8"/>
      <c r="N145" s="8"/>
      <c r="O145" s="8"/>
      <c r="P145" s="8"/>
      <c r="Q145" s="8"/>
      <c r="R145" s="8"/>
      <c r="S145" s="8"/>
      <c r="T145" s="8"/>
      <c r="U145" s="8"/>
    </row>
    <row r="146" spans="10:21">
      <c r="J146" s="8"/>
      <c r="K146" s="8"/>
      <c r="L146" s="8"/>
      <c r="M146" s="8"/>
      <c r="N146" s="8"/>
      <c r="O146" s="8"/>
      <c r="P146" s="8"/>
      <c r="Q146" s="8"/>
      <c r="R146" s="8"/>
      <c r="S146" s="8"/>
      <c r="T146" s="8"/>
      <c r="U146" s="8"/>
    </row>
    <row r="147" spans="10:21">
      <c r="J147" s="8"/>
      <c r="K147" s="8"/>
      <c r="L147" s="8"/>
      <c r="M147" s="8"/>
      <c r="N147" s="8"/>
      <c r="O147" s="8"/>
      <c r="P147" s="8"/>
      <c r="Q147" s="8"/>
      <c r="R147" s="8"/>
      <c r="S147" s="8"/>
      <c r="T147" s="8"/>
      <c r="U147" s="8"/>
    </row>
    <row r="148" spans="10:21">
      <c r="J148" s="8"/>
      <c r="K148" s="8"/>
      <c r="L148" s="8"/>
      <c r="M148" s="8"/>
      <c r="N148" s="8"/>
      <c r="O148" s="8"/>
      <c r="P148" s="8"/>
      <c r="Q148" s="8"/>
      <c r="R148" s="8"/>
      <c r="S148" s="8"/>
      <c r="T148" s="8"/>
      <c r="U148" s="8"/>
    </row>
    <row r="149" spans="10:21">
      <c r="J149" s="8"/>
      <c r="K149" s="8"/>
      <c r="L149" s="8"/>
      <c r="M149" s="8"/>
      <c r="N149" s="8"/>
      <c r="O149" s="8"/>
      <c r="P149" s="8"/>
      <c r="Q149" s="8"/>
      <c r="R149" s="8"/>
      <c r="S149" s="8"/>
      <c r="T149" s="8"/>
      <c r="U149" s="8"/>
    </row>
    <row r="150" spans="10:21">
      <c r="J150" s="8"/>
      <c r="K150" s="8"/>
      <c r="L150" s="8"/>
      <c r="M150" s="8"/>
      <c r="N150" s="8"/>
      <c r="O150" s="8"/>
      <c r="P150" s="8"/>
      <c r="Q150" s="8"/>
      <c r="R150" s="8"/>
      <c r="S150" s="8"/>
      <c r="T150" s="8"/>
      <c r="U150" s="8"/>
    </row>
    <row r="151" spans="10:21">
      <c r="J151" s="8"/>
      <c r="K151" s="8"/>
      <c r="L151" s="8"/>
      <c r="M151" s="8"/>
      <c r="N151" s="8"/>
      <c r="O151" s="8"/>
      <c r="P151" s="8"/>
      <c r="Q151" s="8"/>
      <c r="R151" s="8"/>
      <c r="S151" s="8"/>
      <c r="T151" s="8"/>
      <c r="U151" s="8"/>
    </row>
    <row r="152" spans="10:21">
      <c r="J152" s="8"/>
      <c r="K152" s="8"/>
      <c r="L152" s="8"/>
      <c r="M152" s="8"/>
      <c r="N152" s="8"/>
      <c r="O152" s="8"/>
      <c r="P152" s="8"/>
      <c r="Q152" s="8"/>
      <c r="R152" s="8"/>
      <c r="S152" s="8"/>
      <c r="T152" s="8"/>
      <c r="U152" s="8"/>
    </row>
    <row r="153" spans="10:21">
      <c r="J153" s="8"/>
      <c r="K153" s="8"/>
      <c r="L153" s="8"/>
      <c r="M153" s="8"/>
      <c r="N153" s="8"/>
      <c r="O153" s="8"/>
      <c r="P153" s="8"/>
      <c r="Q153" s="8"/>
      <c r="R153" s="8"/>
      <c r="S153" s="8"/>
      <c r="T153" s="8"/>
      <c r="U153" s="8"/>
    </row>
    <row r="154" spans="10:21">
      <c r="J154" s="8"/>
      <c r="K154" s="8"/>
      <c r="L154" s="8"/>
      <c r="M154" s="8"/>
      <c r="N154" s="8"/>
      <c r="O154" s="8"/>
      <c r="P154" s="8"/>
      <c r="Q154" s="8"/>
      <c r="R154" s="8"/>
      <c r="S154" s="8"/>
      <c r="T154" s="8"/>
      <c r="U154" s="8"/>
    </row>
    <row r="155" spans="10:21">
      <c r="J155" s="8"/>
      <c r="K155" s="8"/>
      <c r="L155" s="8"/>
      <c r="M155" s="8"/>
      <c r="N155" s="8"/>
      <c r="O155" s="8"/>
      <c r="P155" s="8"/>
      <c r="Q155" s="8"/>
      <c r="R155" s="8"/>
      <c r="S155" s="8"/>
      <c r="T155" s="8"/>
      <c r="U155" s="8"/>
    </row>
    <row r="156" spans="10:21">
      <c r="J156" s="8"/>
      <c r="K156" s="8"/>
      <c r="L156" s="8"/>
      <c r="M156" s="8"/>
      <c r="N156" s="8"/>
      <c r="O156" s="8"/>
      <c r="P156" s="8"/>
      <c r="Q156" s="8"/>
      <c r="R156" s="8"/>
      <c r="S156" s="8"/>
      <c r="T156" s="8"/>
      <c r="U156" s="8"/>
    </row>
    <row r="157" spans="10:21">
      <c r="J157" s="8"/>
      <c r="K157" s="8"/>
      <c r="L157" s="8"/>
      <c r="M157" s="8"/>
      <c r="N157" s="8"/>
      <c r="O157" s="8"/>
      <c r="P157" s="8"/>
      <c r="Q157" s="8"/>
      <c r="R157" s="8"/>
      <c r="S157" s="8"/>
      <c r="T157" s="8"/>
      <c r="U157" s="8"/>
    </row>
    <row r="158" spans="10:21">
      <c r="J158" s="8"/>
      <c r="K158" s="8"/>
      <c r="L158" s="8"/>
      <c r="M158" s="8"/>
      <c r="N158" s="8"/>
      <c r="O158" s="8"/>
      <c r="P158" s="8"/>
      <c r="Q158" s="8"/>
      <c r="R158" s="8"/>
      <c r="S158" s="8"/>
      <c r="T158" s="8"/>
      <c r="U158" s="8"/>
    </row>
    <row r="159" spans="10:21">
      <c r="J159" s="8"/>
      <c r="K159" s="8"/>
      <c r="L159" s="8"/>
      <c r="M159" s="8"/>
      <c r="N159" s="8"/>
      <c r="O159" s="8"/>
      <c r="P159" s="8"/>
      <c r="Q159" s="8"/>
      <c r="R159" s="8"/>
      <c r="S159" s="8"/>
      <c r="T159" s="8"/>
      <c r="U159" s="8"/>
    </row>
    <row r="160" spans="10:21">
      <c r="J160" s="8"/>
      <c r="K160" s="8"/>
      <c r="L160" s="8"/>
      <c r="M160" s="8"/>
      <c r="N160" s="8"/>
      <c r="O160" s="8"/>
      <c r="P160" s="8"/>
      <c r="Q160" s="8"/>
      <c r="R160" s="8"/>
      <c r="S160" s="8"/>
      <c r="T160" s="8"/>
      <c r="U160" s="8"/>
    </row>
    <row r="161" spans="10:21">
      <c r="J161" s="8"/>
      <c r="K161" s="8"/>
      <c r="L161" s="8"/>
      <c r="M161" s="8"/>
      <c r="N161" s="8"/>
      <c r="O161" s="8"/>
      <c r="P161" s="8"/>
      <c r="Q161" s="8"/>
      <c r="R161" s="8"/>
      <c r="S161" s="8"/>
      <c r="T161" s="8"/>
      <c r="U161" s="8"/>
    </row>
    <row r="162" spans="10:21">
      <c r="J162" s="8"/>
      <c r="K162" s="8"/>
      <c r="L162" s="8"/>
      <c r="M162" s="8"/>
      <c r="N162" s="8"/>
      <c r="O162" s="8"/>
      <c r="P162" s="8"/>
      <c r="Q162" s="8"/>
      <c r="R162" s="8"/>
      <c r="S162" s="8"/>
      <c r="T162" s="8"/>
      <c r="U162" s="8"/>
    </row>
    <row r="163" spans="10:21">
      <c r="J163" s="8"/>
      <c r="K163" s="8"/>
      <c r="L163" s="8"/>
      <c r="M163" s="8"/>
      <c r="N163" s="8"/>
      <c r="O163" s="8"/>
      <c r="P163" s="8"/>
      <c r="Q163" s="8"/>
      <c r="R163" s="8"/>
      <c r="S163" s="8"/>
      <c r="T163" s="8"/>
      <c r="U163" s="8"/>
    </row>
    <row r="164" spans="10:21">
      <c r="J164" s="8"/>
      <c r="K164" s="8"/>
      <c r="L164" s="8"/>
      <c r="M164" s="8"/>
      <c r="N164" s="8"/>
      <c r="O164" s="8"/>
      <c r="P164" s="8"/>
      <c r="Q164" s="8"/>
      <c r="R164" s="8"/>
      <c r="S164" s="8"/>
      <c r="T164" s="8"/>
      <c r="U164" s="8"/>
    </row>
    <row r="165" spans="10:21">
      <c r="J165" s="8"/>
      <c r="K165" s="8"/>
      <c r="L165" s="8"/>
      <c r="M165" s="8"/>
      <c r="N165" s="8"/>
      <c r="O165" s="8"/>
      <c r="P165" s="8"/>
      <c r="Q165" s="8"/>
      <c r="R165" s="8"/>
      <c r="S165" s="8"/>
      <c r="T165" s="8"/>
      <c r="U165" s="8"/>
    </row>
    <row r="166" spans="10:21">
      <c r="J166" s="8"/>
      <c r="K166" s="8"/>
      <c r="L166" s="8"/>
      <c r="M166" s="8"/>
      <c r="N166" s="8"/>
      <c r="O166" s="8"/>
      <c r="P166" s="8"/>
      <c r="Q166" s="8"/>
      <c r="R166" s="8"/>
      <c r="S166" s="8"/>
      <c r="T166" s="8"/>
      <c r="U166" s="8"/>
    </row>
    <row r="167" spans="10:21">
      <c r="J167" s="8"/>
      <c r="K167" s="8"/>
      <c r="L167" s="8"/>
      <c r="M167" s="8"/>
      <c r="N167" s="8"/>
      <c r="O167" s="8"/>
      <c r="P167" s="8"/>
      <c r="Q167" s="8"/>
      <c r="R167" s="8"/>
      <c r="S167" s="8"/>
      <c r="T167" s="8"/>
      <c r="U167" s="8"/>
    </row>
    <row r="168" spans="10:21">
      <c r="J168" s="8"/>
      <c r="K168" s="8"/>
      <c r="L168" s="8"/>
      <c r="M168" s="8"/>
      <c r="N168" s="8"/>
      <c r="O168" s="8"/>
      <c r="P168" s="8"/>
      <c r="Q168" s="8"/>
      <c r="R168" s="8"/>
      <c r="S168" s="8"/>
      <c r="T168" s="8"/>
      <c r="U168" s="8"/>
    </row>
    <row r="169" spans="10:21">
      <c r="J169" s="8"/>
      <c r="K169" s="8"/>
      <c r="L169" s="8"/>
      <c r="M169" s="8"/>
      <c r="N169" s="8"/>
      <c r="O169" s="8"/>
      <c r="P169" s="8"/>
      <c r="Q169" s="8"/>
      <c r="R169" s="8"/>
      <c r="S169" s="8"/>
      <c r="T169" s="8"/>
      <c r="U169" s="8"/>
    </row>
    <row r="170" spans="10:21">
      <c r="J170" s="8"/>
      <c r="K170" s="8"/>
      <c r="L170" s="8"/>
      <c r="M170" s="8"/>
      <c r="N170" s="8"/>
      <c r="O170" s="8"/>
      <c r="P170" s="8"/>
      <c r="Q170" s="8"/>
      <c r="R170" s="8"/>
      <c r="S170" s="8"/>
      <c r="T170" s="8"/>
      <c r="U170" s="8"/>
    </row>
    <row r="171" spans="10:21">
      <c r="J171" s="8"/>
      <c r="K171" s="8"/>
      <c r="L171" s="8"/>
      <c r="M171" s="8"/>
      <c r="N171" s="8"/>
      <c r="O171" s="8"/>
      <c r="P171" s="8"/>
      <c r="Q171" s="8"/>
      <c r="R171" s="8"/>
      <c r="S171" s="8"/>
      <c r="T171" s="8"/>
      <c r="U171" s="8"/>
    </row>
    <row r="172" spans="10:21">
      <c r="J172" s="8"/>
      <c r="K172" s="8"/>
      <c r="L172" s="8"/>
      <c r="M172" s="8"/>
      <c r="N172" s="8"/>
      <c r="O172" s="8"/>
      <c r="P172" s="8"/>
      <c r="Q172" s="8"/>
      <c r="R172" s="8"/>
      <c r="S172" s="8"/>
      <c r="T172" s="8"/>
      <c r="U172" s="8"/>
    </row>
    <row r="173" spans="10:21">
      <c r="J173" s="8"/>
      <c r="K173" s="8"/>
      <c r="L173" s="8"/>
      <c r="M173" s="8"/>
      <c r="N173" s="8"/>
      <c r="O173" s="8"/>
      <c r="P173" s="8"/>
      <c r="Q173" s="8"/>
      <c r="R173" s="8"/>
      <c r="S173" s="8"/>
      <c r="T173" s="8"/>
      <c r="U173" s="8"/>
    </row>
    <row r="174" spans="10:21">
      <c r="J174" s="8"/>
      <c r="K174" s="8"/>
      <c r="L174" s="8"/>
      <c r="M174" s="8"/>
      <c r="N174" s="8"/>
      <c r="O174" s="8"/>
      <c r="P174" s="8"/>
      <c r="Q174" s="8"/>
      <c r="R174" s="8"/>
      <c r="S174" s="8"/>
      <c r="T174" s="8"/>
      <c r="U174" s="8"/>
    </row>
    <row r="175" spans="10:21">
      <c r="J175" s="8"/>
      <c r="K175" s="8"/>
      <c r="L175" s="8"/>
      <c r="M175" s="8"/>
      <c r="N175" s="8"/>
      <c r="O175" s="8"/>
      <c r="P175" s="8"/>
      <c r="Q175" s="8"/>
      <c r="R175" s="8"/>
      <c r="S175" s="8"/>
      <c r="T175" s="8"/>
      <c r="U175" s="8"/>
    </row>
    <row r="176" spans="10:21">
      <c r="J176" s="8"/>
      <c r="K176" s="8"/>
      <c r="L176" s="8"/>
      <c r="M176" s="8"/>
      <c r="N176" s="8"/>
      <c r="O176" s="8"/>
      <c r="P176" s="8"/>
      <c r="Q176" s="8"/>
      <c r="R176" s="8"/>
      <c r="S176" s="8"/>
      <c r="T176" s="8"/>
      <c r="U176" s="8"/>
    </row>
    <row r="177" spans="10:21">
      <c r="J177" s="8"/>
      <c r="K177" s="8"/>
      <c r="L177" s="8"/>
      <c r="M177" s="8"/>
      <c r="N177" s="8"/>
      <c r="O177" s="8"/>
      <c r="P177" s="8"/>
      <c r="Q177" s="8"/>
      <c r="R177" s="8"/>
      <c r="S177" s="8"/>
      <c r="T177" s="8"/>
      <c r="U177" s="8"/>
    </row>
    <row r="178" spans="10:21">
      <c r="J178" s="8"/>
      <c r="K178" s="8"/>
      <c r="L178" s="8"/>
      <c r="M178" s="8"/>
      <c r="N178" s="8"/>
      <c r="O178" s="8"/>
      <c r="P178" s="8"/>
      <c r="Q178" s="8"/>
      <c r="R178" s="8"/>
      <c r="S178" s="8"/>
      <c r="T178" s="8"/>
      <c r="U178" s="8"/>
    </row>
    <row r="179" spans="10:21">
      <c r="J179" s="8"/>
      <c r="K179" s="8"/>
      <c r="L179" s="8"/>
      <c r="M179" s="8"/>
      <c r="N179" s="8"/>
      <c r="O179" s="8"/>
      <c r="P179" s="8"/>
      <c r="Q179" s="8"/>
      <c r="R179" s="8"/>
      <c r="S179" s="8"/>
      <c r="T179" s="8"/>
      <c r="U179" s="8"/>
    </row>
    <row r="180" spans="10:21">
      <c r="J180" s="8"/>
      <c r="K180" s="8"/>
      <c r="L180" s="8"/>
      <c r="M180" s="8"/>
      <c r="N180" s="8"/>
      <c r="O180" s="8"/>
      <c r="P180" s="8"/>
      <c r="Q180" s="8"/>
      <c r="R180" s="8"/>
      <c r="S180" s="8"/>
      <c r="T180" s="8"/>
      <c r="U180" s="8"/>
    </row>
    <row r="181" spans="10:21">
      <c r="J181" s="8"/>
      <c r="K181" s="8"/>
      <c r="L181" s="8"/>
      <c r="M181" s="8"/>
      <c r="N181" s="8"/>
      <c r="O181" s="8"/>
      <c r="P181" s="8"/>
      <c r="Q181" s="8"/>
      <c r="R181" s="8"/>
      <c r="S181" s="8"/>
      <c r="T181" s="8"/>
      <c r="U181" s="8"/>
    </row>
    <row r="182" spans="10:21">
      <c r="J182" s="8"/>
      <c r="K182" s="8"/>
      <c r="L182" s="8"/>
      <c r="M182" s="8"/>
      <c r="N182" s="8"/>
      <c r="O182" s="8"/>
      <c r="P182" s="8"/>
      <c r="Q182" s="8"/>
      <c r="R182" s="8"/>
      <c r="S182" s="8"/>
      <c r="T182" s="8"/>
      <c r="U182" s="8"/>
    </row>
    <row r="183" spans="10:21">
      <c r="J183" s="8"/>
      <c r="K183" s="8"/>
      <c r="L183" s="8"/>
      <c r="M183" s="8"/>
      <c r="N183" s="8"/>
      <c r="O183" s="8"/>
      <c r="P183" s="8"/>
      <c r="Q183" s="8"/>
      <c r="R183" s="8"/>
      <c r="S183" s="8"/>
      <c r="T183" s="8"/>
      <c r="U183" s="8"/>
    </row>
    <row r="184" spans="10:21">
      <c r="J184" s="8"/>
      <c r="K184" s="8"/>
      <c r="L184" s="8"/>
      <c r="M184" s="8"/>
      <c r="N184" s="8"/>
      <c r="O184" s="8"/>
      <c r="P184" s="8"/>
      <c r="Q184" s="8"/>
      <c r="R184" s="8"/>
      <c r="S184" s="8"/>
      <c r="T184" s="8"/>
      <c r="U184" s="8"/>
    </row>
    <row r="185" spans="10:21">
      <c r="J185" s="8"/>
      <c r="K185" s="8"/>
      <c r="L185" s="8"/>
      <c r="M185" s="8"/>
      <c r="N185" s="8"/>
      <c r="O185" s="8"/>
      <c r="P185" s="8"/>
      <c r="Q185" s="8"/>
      <c r="R185" s="8"/>
      <c r="S185" s="8"/>
      <c r="T185" s="8"/>
      <c r="U185" s="8"/>
    </row>
    <row r="186" spans="10:21">
      <c r="J186" s="8"/>
      <c r="K186" s="8"/>
      <c r="L186" s="8"/>
      <c r="M186" s="8"/>
      <c r="N186" s="8"/>
      <c r="O186" s="8"/>
      <c r="P186" s="8"/>
      <c r="Q186" s="8"/>
      <c r="R186" s="8"/>
      <c r="S186" s="8"/>
      <c r="T186" s="8"/>
      <c r="U186" s="8"/>
    </row>
    <row r="187" spans="10:21">
      <c r="J187" s="8"/>
      <c r="K187" s="8"/>
      <c r="L187" s="8"/>
      <c r="M187" s="8"/>
      <c r="N187" s="8"/>
      <c r="O187" s="8"/>
      <c r="P187" s="8"/>
      <c r="Q187" s="8"/>
      <c r="R187" s="8"/>
      <c r="S187" s="8"/>
      <c r="T187" s="8"/>
      <c r="U187" s="8"/>
    </row>
    <row r="188" spans="10:21">
      <c r="J188" s="8"/>
      <c r="K188" s="8"/>
      <c r="L188" s="8"/>
      <c r="M188" s="8"/>
      <c r="N188" s="8"/>
      <c r="O188" s="8"/>
      <c r="P188" s="8"/>
      <c r="Q188" s="8"/>
      <c r="R188" s="8"/>
      <c r="S188" s="8"/>
      <c r="T188" s="8"/>
      <c r="U188" s="8"/>
    </row>
    <row r="189" spans="10:21">
      <c r="J189" s="8"/>
      <c r="K189" s="8"/>
      <c r="L189" s="8"/>
      <c r="M189" s="8"/>
      <c r="N189" s="8"/>
      <c r="O189" s="8"/>
      <c r="P189" s="8"/>
      <c r="Q189" s="8"/>
      <c r="R189" s="8"/>
      <c r="S189" s="8"/>
      <c r="T189" s="8"/>
      <c r="U189" s="8"/>
    </row>
    <row r="190" spans="10:21">
      <c r="J190" s="8"/>
      <c r="K190" s="8"/>
      <c r="L190" s="8"/>
      <c r="M190" s="8"/>
      <c r="N190" s="8"/>
      <c r="O190" s="8"/>
      <c r="P190" s="8"/>
      <c r="Q190" s="8"/>
      <c r="R190" s="8"/>
      <c r="S190" s="8"/>
      <c r="T190" s="8"/>
      <c r="U190" s="8"/>
    </row>
    <row r="191" spans="10:21">
      <c r="J191" s="8"/>
      <c r="K191" s="8"/>
      <c r="L191" s="8"/>
      <c r="M191" s="8"/>
      <c r="N191" s="8"/>
      <c r="O191" s="8"/>
      <c r="P191" s="8"/>
      <c r="Q191" s="8"/>
      <c r="R191" s="8"/>
      <c r="S191" s="8"/>
      <c r="T191" s="8"/>
      <c r="U191" s="8"/>
    </row>
    <row r="192" spans="10:21">
      <c r="J192" s="8"/>
      <c r="K192" s="8"/>
      <c r="L192" s="8"/>
      <c r="M192" s="8"/>
      <c r="N192" s="8"/>
      <c r="O192" s="8"/>
      <c r="P192" s="8"/>
      <c r="Q192" s="8"/>
      <c r="R192" s="8"/>
      <c r="S192" s="8"/>
      <c r="T192" s="8"/>
      <c r="U192" s="8"/>
    </row>
    <row r="193" spans="10:21">
      <c r="J193" s="8"/>
      <c r="K193" s="8"/>
      <c r="L193" s="8"/>
      <c r="M193" s="8"/>
      <c r="N193" s="8"/>
      <c r="O193" s="8"/>
      <c r="P193" s="8"/>
      <c r="Q193" s="8"/>
      <c r="R193" s="8"/>
      <c r="S193" s="8"/>
      <c r="T193" s="8"/>
      <c r="U193" s="8"/>
    </row>
    <row r="194" spans="10:21">
      <c r="J194" s="8"/>
      <c r="K194" s="8"/>
      <c r="L194" s="8"/>
      <c r="M194" s="8"/>
      <c r="N194" s="8"/>
      <c r="O194" s="8"/>
      <c r="P194" s="8"/>
      <c r="Q194" s="8"/>
      <c r="R194" s="8"/>
      <c r="S194" s="8"/>
      <c r="T194" s="8"/>
      <c r="U194" s="8"/>
    </row>
    <row r="195" spans="10:21">
      <c r="J195" s="8"/>
      <c r="K195" s="8"/>
      <c r="L195" s="8"/>
      <c r="M195" s="8"/>
      <c r="N195" s="8"/>
      <c r="O195" s="8"/>
      <c r="P195" s="8"/>
      <c r="Q195" s="8"/>
      <c r="R195" s="8"/>
      <c r="S195" s="8"/>
      <c r="T195" s="8"/>
      <c r="U195" s="8"/>
    </row>
    <row r="196" spans="10:21">
      <c r="J196" s="8"/>
      <c r="K196" s="8"/>
      <c r="L196" s="8"/>
      <c r="M196" s="8"/>
      <c r="N196" s="8"/>
      <c r="O196" s="8"/>
      <c r="P196" s="8"/>
      <c r="Q196" s="8"/>
      <c r="R196" s="8"/>
      <c r="S196" s="8"/>
      <c r="T196" s="8"/>
      <c r="U196" s="8"/>
    </row>
    <row r="197" spans="10:21">
      <c r="J197" s="8"/>
      <c r="K197" s="8"/>
      <c r="L197" s="8"/>
      <c r="M197" s="8"/>
      <c r="N197" s="8"/>
      <c r="O197" s="8"/>
      <c r="P197" s="8"/>
      <c r="Q197" s="8"/>
      <c r="R197" s="8"/>
      <c r="S197" s="8"/>
      <c r="T197" s="8"/>
      <c r="U197" s="8"/>
    </row>
    <row r="198" spans="10:21">
      <c r="J198" s="8"/>
      <c r="K198" s="8"/>
      <c r="L198" s="8"/>
      <c r="M198" s="8"/>
      <c r="N198" s="8"/>
      <c r="O198" s="8"/>
      <c r="P198" s="8"/>
      <c r="Q198" s="8"/>
      <c r="R198" s="8"/>
      <c r="S198" s="8"/>
      <c r="T198" s="8"/>
      <c r="U198" s="8"/>
    </row>
    <row r="199" spans="10:21">
      <c r="J199" s="8"/>
      <c r="K199" s="8"/>
      <c r="L199" s="8"/>
      <c r="M199" s="8"/>
      <c r="N199" s="8"/>
      <c r="O199" s="8"/>
      <c r="P199" s="8"/>
      <c r="Q199" s="8"/>
      <c r="R199" s="8"/>
      <c r="S199" s="8"/>
      <c r="T199" s="8"/>
      <c r="U199" s="8"/>
    </row>
    <row r="200" spans="10:21">
      <c r="J200" s="8"/>
      <c r="K200" s="8"/>
      <c r="L200" s="8"/>
      <c r="M200" s="8"/>
      <c r="N200" s="8"/>
      <c r="O200" s="8"/>
      <c r="P200" s="8"/>
      <c r="Q200" s="8"/>
      <c r="R200" s="8"/>
      <c r="S200" s="8"/>
      <c r="T200" s="8"/>
      <c r="U200" s="8"/>
    </row>
    <row r="201" spans="10:21">
      <c r="J201" s="8"/>
      <c r="K201" s="8"/>
      <c r="L201" s="8"/>
      <c r="M201" s="8"/>
      <c r="N201" s="8"/>
      <c r="O201" s="8"/>
      <c r="P201" s="8"/>
      <c r="Q201" s="8"/>
      <c r="R201" s="8"/>
      <c r="S201" s="8"/>
      <c r="T201" s="8"/>
      <c r="U201" s="8"/>
    </row>
    <row r="202" spans="10:21">
      <c r="J202" s="8"/>
      <c r="K202" s="8"/>
      <c r="L202" s="8"/>
      <c r="M202" s="8"/>
      <c r="N202" s="8"/>
      <c r="O202" s="8"/>
      <c r="P202" s="8"/>
      <c r="Q202" s="8"/>
      <c r="R202" s="8"/>
      <c r="S202" s="8"/>
      <c r="T202" s="8"/>
      <c r="U202" s="8"/>
    </row>
    <row r="203" spans="10:21">
      <c r="J203" s="8"/>
      <c r="K203" s="8"/>
      <c r="L203" s="8"/>
      <c r="M203" s="8"/>
      <c r="N203" s="8"/>
      <c r="O203" s="8"/>
      <c r="P203" s="8"/>
      <c r="Q203" s="8"/>
      <c r="R203" s="8"/>
      <c r="S203" s="8"/>
      <c r="T203" s="8"/>
      <c r="U203" s="8"/>
    </row>
    <row r="204" spans="10:21">
      <c r="J204" s="8"/>
      <c r="K204" s="8"/>
      <c r="L204" s="8"/>
      <c r="M204" s="8"/>
      <c r="N204" s="8"/>
      <c r="O204" s="8"/>
      <c r="P204" s="8"/>
      <c r="Q204" s="8"/>
      <c r="R204" s="8"/>
      <c r="S204" s="8"/>
      <c r="T204" s="8"/>
      <c r="U204" s="8"/>
    </row>
    <row r="205" spans="10:21">
      <c r="J205" s="8"/>
      <c r="K205" s="8"/>
      <c r="L205" s="8"/>
      <c r="M205" s="8"/>
      <c r="N205" s="8"/>
      <c r="O205" s="8"/>
      <c r="P205" s="8"/>
      <c r="Q205" s="8"/>
      <c r="R205" s="8"/>
      <c r="S205" s="8"/>
      <c r="T205" s="8"/>
      <c r="U205" s="8"/>
    </row>
    <row r="206" spans="10:21">
      <c r="J206" s="8"/>
      <c r="K206" s="8"/>
      <c r="L206" s="8"/>
      <c r="M206" s="8"/>
      <c r="N206" s="8"/>
      <c r="O206" s="8"/>
      <c r="P206" s="8"/>
      <c r="Q206" s="8"/>
      <c r="R206" s="8"/>
      <c r="S206" s="8"/>
      <c r="T206" s="8"/>
      <c r="U206" s="8"/>
    </row>
    <row r="207" spans="10:21">
      <c r="J207" s="8"/>
      <c r="K207" s="8"/>
      <c r="L207" s="8"/>
      <c r="M207" s="8"/>
      <c r="N207" s="8"/>
      <c r="O207" s="8"/>
      <c r="P207" s="8"/>
      <c r="Q207" s="8"/>
      <c r="R207" s="8"/>
      <c r="S207" s="8"/>
      <c r="T207" s="8"/>
      <c r="U207" s="8"/>
    </row>
    <row r="208" spans="10:21">
      <c r="J208" s="8"/>
      <c r="K208" s="8"/>
      <c r="L208" s="8"/>
      <c r="M208" s="8"/>
      <c r="N208" s="8"/>
      <c r="O208" s="8"/>
      <c r="P208" s="8"/>
      <c r="Q208" s="8"/>
      <c r="R208" s="8"/>
      <c r="S208" s="8"/>
      <c r="T208" s="8"/>
      <c r="U208" s="8"/>
    </row>
    <row r="209" spans="10:21">
      <c r="J209" s="8"/>
      <c r="K209" s="8"/>
      <c r="L209" s="8"/>
      <c r="M209" s="8"/>
      <c r="N209" s="8"/>
      <c r="O209" s="8"/>
      <c r="P209" s="8"/>
      <c r="Q209" s="8"/>
      <c r="R209" s="8"/>
      <c r="S209" s="8"/>
      <c r="T209" s="8"/>
      <c r="U209" s="8"/>
    </row>
    <row r="210" spans="10:21">
      <c r="J210" s="8"/>
      <c r="K210" s="8"/>
      <c r="L210" s="8"/>
      <c r="M210" s="8"/>
      <c r="N210" s="8"/>
      <c r="O210" s="8"/>
      <c r="P210" s="8"/>
      <c r="Q210" s="8"/>
      <c r="R210" s="8"/>
      <c r="S210" s="8"/>
      <c r="T210" s="8"/>
      <c r="U210" s="8"/>
    </row>
    <row r="211" spans="10:21">
      <c r="J211" s="8"/>
      <c r="K211" s="8"/>
      <c r="L211" s="8"/>
      <c r="M211" s="8"/>
      <c r="N211" s="8"/>
      <c r="O211" s="8"/>
      <c r="P211" s="8"/>
      <c r="Q211" s="8"/>
      <c r="R211" s="8"/>
      <c r="S211" s="8"/>
      <c r="T211" s="8"/>
      <c r="U211" s="8"/>
    </row>
    <row r="212" spans="10:21">
      <c r="J212" s="8"/>
      <c r="K212" s="8"/>
      <c r="L212" s="8"/>
      <c r="M212" s="8"/>
      <c r="N212" s="8"/>
      <c r="O212" s="8"/>
      <c r="P212" s="8"/>
      <c r="Q212" s="8"/>
      <c r="R212" s="8"/>
      <c r="S212" s="8"/>
      <c r="T212" s="8"/>
      <c r="U212" s="8"/>
    </row>
    <row r="213" spans="10:21">
      <c r="J213" s="8"/>
      <c r="K213" s="8"/>
      <c r="L213" s="8"/>
      <c r="M213" s="8"/>
      <c r="N213" s="8"/>
      <c r="O213" s="8"/>
      <c r="P213" s="8"/>
      <c r="Q213" s="8"/>
      <c r="R213" s="8"/>
      <c r="S213" s="8"/>
      <c r="T213" s="8"/>
      <c r="U213" s="8"/>
    </row>
    <row r="214" spans="10:21">
      <c r="J214" s="8"/>
      <c r="K214" s="8"/>
      <c r="L214" s="8"/>
      <c r="M214" s="8"/>
      <c r="N214" s="8"/>
      <c r="O214" s="8"/>
      <c r="P214" s="8"/>
      <c r="Q214" s="8"/>
      <c r="R214" s="8"/>
      <c r="S214" s="8"/>
      <c r="T214" s="8"/>
      <c r="U214" s="8"/>
    </row>
    <row r="215" spans="10:21">
      <c r="J215" s="8"/>
      <c r="K215" s="8"/>
      <c r="L215" s="8"/>
      <c r="M215" s="8"/>
      <c r="N215" s="8"/>
      <c r="O215" s="8"/>
      <c r="P215" s="8"/>
      <c r="Q215" s="8"/>
      <c r="R215" s="8"/>
      <c r="S215" s="8"/>
      <c r="T215" s="8"/>
      <c r="U215" s="8"/>
    </row>
    <row r="216" spans="10:21">
      <c r="J216" s="8"/>
      <c r="K216" s="8"/>
      <c r="L216" s="8"/>
      <c r="M216" s="8"/>
      <c r="N216" s="8"/>
      <c r="O216" s="8"/>
      <c r="P216" s="8"/>
      <c r="Q216" s="8"/>
      <c r="R216" s="8"/>
      <c r="S216" s="8"/>
      <c r="T216" s="8"/>
      <c r="U216" s="8"/>
    </row>
    <row r="217" spans="10:21">
      <c r="J217" s="8"/>
      <c r="K217" s="8"/>
      <c r="L217" s="8"/>
      <c r="M217" s="8"/>
      <c r="N217" s="8"/>
      <c r="O217" s="8"/>
      <c r="P217" s="8"/>
      <c r="Q217" s="8"/>
      <c r="R217" s="8"/>
      <c r="S217" s="8"/>
      <c r="T217" s="8"/>
      <c r="U217" s="8"/>
    </row>
    <row r="218" spans="10:21">
      <c r="J218" s="8"/>
      <c r="K218" s="8"/>
      <c r="L218" s="8"/>
      <c r="M218" s="8"/>
      <c r="N218" s="8"/>
      <c r="O218" s="8"/>
      <c r="P218" s="8"/>
      <c r="Q218" s="8"/>
      <c r="R218" s="8"/>
      <c r="S218" s="8"/>
      <c r="T218" s="8"/>
      <c r="U218" s="8"/>
    </row>
    <row r="219" spans="10:21">
      <c r="J219" s="8"/>
      <c r="K219" s="8"/>
      <c r="L219" s="8"/>
      <c r="M219" s="8"/>
      <c r="N219" s="8"/>
      <c r="O219" s="8"/>
      <c r="P219" s="8"/>
      <c r="Q219" s="8"/>
      <c r="R219" s="8"/>
      <c r="S219" s="8"/>
      <c r="T219" s="8"/>
      <c r="U219" s="8"/>
    </row>
    <row r="220" spans="10:21">
      <c r="J220" s="8"/>
      <c r="K220" s="8"/>
      <c r="L220" s="8"/>
      <c r="M220" s="8"/>
      <c r="N220" s="8"/>
      <c r="O220" s="8"/>
      <c r="P220" s="8"/>
      <c r="Q220" s="8"/>
      <c r="R220" s="8"/>
      <c r="S220" s="8"/>
      <c r="T220" s="8"/>
      <c r="U220" s="8"/>
    </row>
    <row r="221" spans="10:21">
      <c r="J221" s="8"/>
      <c r="K221" s="8"/>
      <c r="L221" s="8"/>
      <c r="M221" s="8"/>
      <c r="N221" s="8"/>
      <c r="O221" s="8"/>
      <c r="P221" s="8"/>
      <c r="Q221" s="8"/>
      <c r="R221" s="8"/>
      <c r="S221" s="8"/>
      <c r="T221" s="8"/>
      <c r="U221" s="8"/>
    </row>
    <row r="222" spans="10:21">
      <c r="J222" s="8"/>
      <c r="K222" s="8"/>
      <c r="L222" s="8"/>
      <c r="M222" s="8"/>
      <c r="N222" s="8"/>
      <c r="O222" s="8"/>
      <c r="P222" s="8"/>
      <c r="Q222" s="8"/>
      <c r="R222" s="8"/>
      <c r="S222" s="8"/>
      <c r="T222" s="8"/>
      <c r="U222" s="8"/>
    </row>
    <row r="223" spans="10:21">
      <c r="J223" s="8"/>
      <c r="K223" s="8"/>
      <c r="L223" s="8"/>
      <c r="M223" s="8"/>
      <c r="N223" s="8"/>
      <c r="O223" s="8"/>
      <c r="P223" s="8"/>
      <c r="Q223" s="8"/>
      <c r="R223" s="8"/>
      <c r="S223" s="8"/>
      <c r="T223" s="8"/>
      <c r="U223" s="8"/>
    </row>
    <row r="224" spans="10:21">
      <c r="J224" s="8"/>
      <c r="K224" s="8"/>
      <c r="L224" s="8"/>
      <c r="M224" s="8"/>
      <c r="N224" s="8"/>
      <c r="O224" s="8"/>
      <c r="P224" s="8"/>
      <c r="Q224" s="8"/>
      <c r="R224" s="8"/>
      <c r="S224" s="8"/>
      <c r="T224" s="8"/>
      <c r="U224" s="8"/>
    </row>
    <row r="225" spans="10:21">
      <c r="J225" s="8"/>
      <c r="K225" s="8"/>
      <c r="L225" s="8"/>
      <c r="M225" s="8"/>
      <c r="N225" s="8"/>
      <c r="O225" s="8"/>
      <c r="P225" s="8"/>
      <c r="Q225" s="8"/>
      <c r="R225" s="8"/>
      <c r="S225" s="8"/>
      <c r="T225" s="8"/>
      <c r="U225" s="8"/>
    </row>
    <row r="226" spans="10:21">
      <c r="J226" s="8"/>
      <c r="K226" s="8"/>
      <c r="L226" s="8"/>
      <c r="M226" s="8"/>
      <c r="N226" s="8"/>
      <c r="O226" s="8"/>
      <c r="P226" s="8"/>
      <c r="Q226" s="8"/>
      <c r="R226" s="8"/>
      <c r="S226" s="8"/>
      <c r="T226" s="8"/>
      <c r="U226" s="8"/>
    </row>
    <row r="227" spans="10:21">
      <c r="J227" s="8"/>
      <c r="K227" s="8"/>
      <c r="L227" s="8"/>
      <c r="M227" s="8"/>
      <c r="N227" s="8"/>
      <c r="O227" s="8"/>
      <c r="P227" s="8"/>
      <c r="Q227" s="8"/>
      <c r="R227" s="8"/>
      <c r="S227" s="8"/>
      <c r="T227" s="8"/>
      <c r="U227" s="8"/>
    </row>
    <row r="228" spans="10:21">
      <c r="J228" s="8"/>
      <c r="K228" s="8"/>
      <c r="L228" s="8"/>
      <c r="M228" s="8"/>
      <c r="N228" s="8"/>
      <c r="O228" s="8"/>
      <c r="P228" s="8"/>
      <c r="Q228" s="8"/>
      <c r="R228" s="8"/>
      <c r="S228" s="8"/>
      <c r="T228" s="8"/>
      <c r="U228" s="8"/>
    </row>
    <row r="229" spans="10:21">
      <c r="J229" s="8"/>
      <c r="K229" s="8"/>
      <c r="L229" s="8"/>
      <c r="M229" s="8"/>
      <c r="N229" s="8"/>
      <c r="O229" s="8"/>
      <c r="P229" s="8"/>
      <c r="Q229" s="8"/>
      <c r="R229" s="8"/>
      <c r="S229" s="8"/>
      <c r="T229" s="8"/>
      <c r="U229" s="8"/>
    </row>
    <row r="230" spans="10:21">
      <c r="J230" s="8"/>
      <c r="K230" s="8"/>
      <c r="L230" s="8"/>
      <c r="M230" s="8"/>
      <c r="N230" s="8"/>
      <c r="O230" s="8"/>
      <c r="P230" s="8"/>
      <c r="Q230" s="8"/>
      <c r="R230" s="8"/>
      <c r="S230" s="8"/>
      <c r="T230" s="8"/>
      <c r="U230" s="8"/>
    </row>
    <row r="231" spans="10:21">
      <c r="J231" s="8"/>
      <c r="K231" s="8"/>
      <c r="L231" s="8"/>
      <c r="M231" s="8"/>
      <c r="N231" s="8"/>
      <c r="O231" s="8"/>
      <c r="P231" s="8"/>
      <c r="Q231" s="8"/>
      <c r="R231" s="8"/>
      <c r="S231" s="8"/>
      <c r="T231" s="8"/>
      <c r="U231" s="8"/>
    </row>
    <row r="232" spans="10:21">
      <c r="J232" s="8"/>
      <c r="K232" s="8"/>
      <c r="L232" s="8"/>
      <c r="M232" s="8"/>
      <c r="N232" s="8"/>
      <c r="O232" s="8"/>
      <c r="P232" s="8"/>
      <c r="Q232" s="8"/>
      <c r="R232" s="8"/>
      <c r="S232" s="8"/>
      <c r="T232" s="8"/>
      <c r="U232" s="8"/>
    </row>
    <row r="233" spans="10:21">
      <c r="J233" s="8"/>
      <c r="K233" s="8"/>
      <c r="L233" s="8"/>
      <c r="M233" s="8"/>
      <c r="N233" s="8"/>
      <c r="O233" s="8"/>
      <c r="P233" s="8"/>
      <c r="Q233" s="8"/>
      <c r="R233" s="8"/>
      <c r="S233" s="8"/>
      <c r="T233" s="8"/>
      <c r="U233" s="8"/>
    </row>
    <row r="234" spans="10:21">
      <c r="J234" s="8"/>
      <c r="K234" s="8"/>
      <c r="L234" s="8"/>
      <c r="M234" s="8"/>
      <c r="N234" s="8"/>
      <c r="O234" s="8"/>
      <c r="P234" s="8"/>
      <c r="Q234" s="8"/>
      <c r="R234" s="8"/>
      <c r="S234" s="8"/>
      <c r="T234" s="8"/>
      <c r="U234" s="8"/>
    </row>
    <row r="235" spans="10:21">
      <c r="J235" s="8"/>
      <c r="K235" s="8"/>
      <c r="L235" s="8"/>
      <c r="M235" s="8"/>
      <c r="N235" s="8"/>
      <c r="O235" s="8"/>
      <c r="P235" s="8"/>
      <c r="Q235" s="8"/>
      <c r="R235" s="8"/>
      <c r="S235" s="8"/>
      <c r="T235" s="8"/>
      <c r="U235" s="8"/>
    </row>
    <row r="236" spans="10:21">
      <c r="J236" s="8"/>
      <c r="K236" s="8"/>
      <c r="L236" s="8"/>
      <c r="M236" s="8"/>
      <c r="N236" s="8"/>
      <c r="O236" s="8"/>
      <c r="P236" s="8"/>
      <c r="Q236" s="8"/>
      <c r="R236" s="8"/>
      <c r="S236" s="8"/>
      <c r="T236" s="8"/>
      <c r="U236" s="8"/>
    </row>
    <row r="237" spans="10:21">
      <c r="J237" s="8"/>
      <c r="K237" s="8"/>
      <c r="L237" s="8"/>
      <c r="M237" s="8"/>
      <c r="N237" s="8"/>
      <c r="O237" s="8"/>
      <c r="P237" s="8"/>
      <c r="Q237" s="8"/>
      <c r="R237" s="8"/>
      <c r="S237" s="8"/>
      <c r="T237" s="8"/>
      <c r="U237" s="8"/>
    </row>
    <row r="238" spans="10:21">
      <c r="J238" s="8"/>
      <c r="K238" s="8"/>
      <c r="L238" s="8"/>
      <c r="M238" s="8"/>
      <c r="N238" s="8"/>
      <c r="O238" s="8"/>
      <c r="P238" s="8"/>
      <c r="Q238" s="8"/>
      <c r="R238" s="8"/>
      <c r="S238" s="8"/>
      <c r="T238" s="8"/>
      <c r="U238" s="8"/>
    </row>
    <row r="239" spans="10:21">
      <c r="J239" s="8"/>
      <c r="K239" s="8"/>
      <c r="L239" s="8"/>
      <c r="M239" s="8"/>
      <c r="N239" s="8"/>
      <c r="O239" s="8"/>
      <c r="P239" s="8"/>
      <c r="Q239" s="8"/>
      <c r="R239" s="8"/>
      <c r="S239" s="8"/>
      <c r="T239" s="8"/>
      <c r="U239" s="8"/>
    </row>
    <row r="240" spans="10:21">
      <c r="J240" s="8"/>
      <c r="K240" s="8"/>
      <c r="L240" s="8"/>
      <c r="M240" s="8"/>
      <c r="N240" s="8"/>
      <c r="O240" s="8"/>
      <c r="P240" s="8"/>
      <c r="Q240" s="8"/>
      <c r="R240" s="8"/>
      <c r="S240" s="8"/>
      <c r="T240" s="8"/>
      <c r="U240" s="8"/>
    </row>
    <row r="241" spans="10:21">
      <c r="J241" s="8"/>
      <c r="K241" s="8"/>
      <c r="L241" s="8"/>
      <c r="M241" s="8"/>
      <c r="N241" s="8"/>
      <c r="O241" s="8"/>
      <c r="P241" s="8"/>
      <c r="Q241" s="8"/>
      <c r="R241" s="8"/>
      <c r="S241" s="8"/>
      <c r="T241" s="8"/>
      <c r="U241" s="8"/>
    </row>
    <row r="242" spans="10:21">
      <c r="J242" s="8"/>
      <c r="K242" s="8"/>
      <c r="L242" s="8"/>
      <c r="M242" s="8"/>
      <c r="N242" s="8"/>
      <c r="O242" s="8"/>
      <c r="P242" s="8"/>
      <c r="Q242" s="8"/>
      <c r="R242" s="8"/>
      <c r="S242" s="8"/>
      <c r="T242" s="8"/>
      <c r="U242" s="8"/>
    </row>
    <row r="243" spans="10:21">
      <c r="J243" s="8"/>
      <c r="K243" s="8"/>
      <c r="L243" s="8"/>
      <c r="M243" s="8"/>
      <c r="N243" s="8"/>
      <c r="O243" s="8"/>
      <c r="P243" s="8"/>
      <c r="Q243" s="8"/>
      <c r="R243" s="8"/>
      <c r="S243" s="8"/>
      <c r="T243" s="8"/>
      <c r="U243" s="8"/>
    </row>
    <row r="244" spans="10:21">
      <c r="J244" s="8"/>
      <c r="K244" s="8"/>
      <c r="L244" s="8"/>
      <c r="M244" s="8"/>
      <c r="N244" s="8"/>
      <c r="O244" s="8"/>
      <c r="P244" s="8"/>
      <c r="Q244" s="8"/>
      <c r="R244" s="8"/>
      <c r="S244" s="8"/>
      <c r="T244" s="8"/>
      <c r="U244" s="8"/>
    </row>
    <row r="245" spans="10:21">
      <c r="J245" s="8"/>
      <c r="K245" s="8"/>
      <c r="L245" s="8"/>
      <c r="M245" s="8"/>
      <c r="N245" s="8"/>
      <c r="O245" s="8"/>
      <c r="P245" s="8"/>
      <c r="Q245" s="8"/>
      <c r="R245" s="8"/>
      <c r="S245" s="8"/>
      <c r="T245" s="8"/>
      <c r="U245" s="8"/>
    </row>
    <row r="246" spans="10:21">
      <c r="J246" s="8"/>
      <c r="K246" s="8"/>
      <c r="L246" s="8"/>
      <c r="M246" s="8"/>
      <c r="N246" s="8"/>
      <c r="O246" s="8"/>
      <c r="P246" s="8"/>
      <c r="Q246" s="8"/>
      <c r="R246" s="8"/>
      <c r="S246" s="8"/>
      <c r="T246" s="8"/>
      <c r="U246" s="8"/>
    </row>
    <row r="247" spans="10:21">
      <c r="J247" s="8"/>
      <c r="K247" s="8"/>
      <c r="L247" s="8"/>
      <c r="M247" s="8"/>
      <c r="N247" s="8"/>
      <c r="O247" s="8"/>
      <c r="P247" s="8"/>
      <c r="Q247" s="8"/>
      <c r="R247" s="8"/>
      <c r="S247" s="8"/>
      <c r="T247" s="8"/>
      <c r="U247" s="8"/>
    </row>
    <row r="248" spans="10:21">
      <c r="J248" s="8"/>
      <c r="K248" s="8"/>
      <c r="L248" s="8"/>
      <c r="M248" s="8"/>
      <c r="N248" s="8"/>
      <c r="O248" s="8"/>
      <c r="P248" s="8"/>
      <c r="Q248" s="8"/>
      <c r="R248" s="8"/>
      <c r="S248" s="8"/>
      <c r="T248" s="8"/>
      <c r="U248" s="8"/>
    </row>
    <row r="249" spans="10:21">
      <c r="J249" s="8"/>
      <c r="K249" s="8"/>
      <c r="L249" s="8"/>
      <c r="M249" s="8"/>
      <c r="N249" s="8"/>
      <c r="O249" s="8"/>
      <c r="P249" s="8"/>
      <c r="Q249" s="8"/>
      <c r="R249" s="8"/>
      <c r="S249" s="8"/>
      <c r="T249" s="8"/>
      <c r="U249" s="8"/>
    </row>
    <row r="250" spans="10:21">
      <c r="J250" s="8"/>
      <c r="K250" s="8"/>
      <c r="L250" s="8"/>
      <c r="M250" s="8"/>
      <c r="N250" s="8"/>
      <c r="O250" s="8"/>
      <c r="P250" s="8"/>
      <c r="Q250" s="8"/>
      <c r="R250" s="8"/>
      <c r="S250" s="8"/>
      <c r="T250" s="8"/>
      <c r="U250" s="8"/>
    </row>
    <row r="251" spans="10:21">
      <c r="J251" s="8"/>
      <c r="K251" s="8"/>
      <c r="L251" s="8"/>
      <c r="M251" s="8"/>
      <c r="N251" s="8"/>
      <c r="O251" s="8"/>
      <c r="P251" s="8"/>
      <c r="Q251" s="8"/>
      <c r="R251" s="8"/>
      <c r="S251" s="8"/>
      <c r="T251" s="8"/>
      <c r="U251" s="8"/>
    </row>
    <row r="252" spans="10:21">
      <c r="J252" s="8"/>
      <c r="K252" s="8"/>
      <c r="L252" s="8"/>
      <c r="M252" s="8"/>
      <c r="N252" s="8"/>
      <c r="O252" s="8"/>
      <c r="P252" s="8"/>
      <c r="Q252" s="8"/>
      <c r="R252" s="8"/>
      <c r="S252" s="8"/>
      <c r="T252" s="8"/>
      <c r="U252" s="8"/>
    </row>
    <row r="253" spans="10:21">
      <c r="J253" s="8"/>
      <c r="K253" s="8"/>
      <c r="L253" s="8"/>
      <c r="M253" s="8"/>
      <c r="N253" s="8"/>
      <c r="O253" s="8"/>
      <c r="P253" s="8"/>
      <c r="Q253" s="8"/>
      <c r="R253" s="8"/>
      <c r="S253" s="8"/>
      <c r="T253" s="8"/>
      <c r="U253" s="8"/>
    </row>
    <row r="254" spans="10:21">
      <c r="J254" s="8"/>
      <c r="K254" s="8"/>
      <c r="L254" s="8"/>
      <c r="M254" s="8"/>
      <c r="N254" s="8"/>
      <c r="O254" s="8"/>
      <c r="P254" s="8"/>
      <c r="Q254" s="8"/>
      <c r="R254" s="8"/>
      <c r="S254" s="8"/>
      <c r="T254" s="8"/>
      <c r="U254" s="8"/>
    </row>
    <row r="255" spans="10:21">
      <c r="J255" s="8"/>
      <c r="K255" s="8"/>
      <c r="L255" s="8"/>
      <c r="M255" s="8"/>
      <c r="N255" s="8"/>
      <c r="O255" s="8"/>
      <c r="P255" s="8"/>
      <c r="Q255" s="8"/>
      <c r="R255" s="8"/>
      <c r="S255" s="8"/>
      <c r="T255" s="8"/>
      <c r="U255" s="8"/>
    </row>
    <row r="256" spans="10:21">
      <c r="J256" s="8"/>
      <c r="K256" s="8"/>
      <c r="L256" s="8"/>
      <c r="M256" s="8"/>
      <c r="N256" s="8"/>
      <c r="O256" s="8"/>
      <c r="P256" s="8"/>
      <c r="Q256" s="8"/>
      <c r="R256" s="8"/>
      <c r="S256" s="8"/>
      <c r="T256" s="8"/>
      <c r="U256" s="8"/>
    </row>
    <row r="257" spans="10:21">
      <c r="J257" s="8"/>
      <c r="K257" s="8"/>
      <c r="L257" s="8"/>
      <c r="M257" s="8"/>
      <c r="N257" s="8"/>
      <c r="O257" s="8"/>
      <c r="P257" s="8"/>
      <c r="Q257" s="8"/>
      <c r="R257" s="8"/>
      <c r="S257" s="8"/>
      <c r="T257" s="8"/>
      <c r="U257" s="8"/>
    </row>
    <row r="258" spans="10:21">
      <c r="J258" s="8"/>
      <c r="K258" s="8"/>
      <c r="L258" s="8"/>
      <c r="M258" s="8"/>
      <c r="N258" s="8"/>
      <c r="O258" s="8"/>
      <c r="P258" s="8"/>
      <c r="Q258" s="8"/>
      <c r="R258" s="8"/>
      <c r="S258" s="8"/>
      <c r="T258" s="8"/>
      <c r="U258" s="8"/>
    </row>
    <row r="259" spans="10:21">
      <c r="J259" s="8"/>
      <c r="K259" s="8"/>
      <c r="L259" s="8"/>
      <c r="M259" s="8"/>
      <c r="N259" s="8"/>
      <c r="O259" s="8"/>
      <c r="P259" s="8"/>
      <c r="Q259" s="8"/>
      <c r="R259" s="8"/>
      <c r="S259" s="8"/>
      <c r="T259" s="8"/>
      <c r="U259" s="8"/>
    </row>
    <row r="260" spans="10:21">
      <c r="J260" s="8"/>
      <c r="K260" s="8"/>
      <c r="L260" s="8"/>
      <c r="M260" s="8"/>
      <c r="N260" s="8"/>
      <c r="O260" s="8"/>
      <c r="P260" s="8"/>
      <c r="Q260" s="8"/>
      <c r="R260" s="8"/>
      <c r="S260" s="8"/>
      <c r="T260" s="8"/>
      <c r="U260" s="8"/>
    </row>
    <row r="261" spans="10:21">
      <c r="J261" s="8"/>
      <c r="K261" s="8"/>
      <c r="L261" s="8"/>
      <c r="M261" s="8"/>
      <c r="N261" s="8"/>
      <c r="O261" s="8"/>
      <c r="P261" s="8"/>
      <c r="Q261" s="8"/>
      <c r="R261" s="8"/>
      <c r="S261" s="8"/>
      <c r="T261" s="8"/>
      <c r="U261" s="8"/>
    </row>
    <row r="262" spans="10:21">
      <c r="J262" s="8"/>
      <c r="K262" s="8"/>
      <c r="L262" s="8"/>
      <c r="M262" s="8"/>
      <c r="N262" s="8"/>
      <c r="O262" s="8"/>
      <c r="P262" s="8"/>
      <c r="Q262" s="8"/>
      <c r="R262" s="8"/>
      <c r="S262" s="8"/>
      <c r="T262" s="8"/>
      <c r="U262" s="8"/>
    </row>
    <row r="263" spans="10:21">
      <c r="J263" s="8"/>
      <c r="K263" s="8"/>
      <c r="L263" s="8"/>
      <c r="M263" s="8"/>
      <c r="N263" s="8"/>
      <c r="O263" s="8"/>
      <c r="P263" s="8"/>
      <c r="Q263" s="8"/>
      <c r="R263" s="8"/>
      <c r="S263" s="8"/>
      <c r="T263" s="8"/>
      <c r="U263" s="8"/>
    </row>
    <row r="264" spans="10:21">
      <c r="J264" s="8"/>
      <c r="K264" s="8"/>
      <c r="L264" s="8"/>
      <c r="M264" s="8"/>
      <c r="N264" s="8"/>
      <c r="O264" s="8"/>
      <c r="P264" s="8"/>
      <c r="Q264" s="8"/>
      <c r="R264" s="8"/>
      <c r="S264" s="8"/>
      <c r="T264" s="8"/>
      <c r="U264" s="8"/>
    </row>
    <row r="265" spans="10:21">
      <c r="J265" s="8"/>
      <c r="K265" s="8"/>
      <c r="L265" s="8"/>
      <c r="M265" s="8"/>
      <c r="N265" s="8"/>
      <c r="O265" s="8"/>
      <c r="P265" s="8"/>
      <c r="Q265" s="8"/>
      <c r="R265" s="8"/>
      <c r="S265" s="8"/>
      <c r="T265" s="8"/>
      <c r="U265" s="8"/>
    </row>
    <row r="266" spans="10:21">
      <c r="J266" s="8"/>
      <c r="K266" s="8"/>
      <c r="L266" s="8"/>
      <c r="M266" s="8"/>
      <c r="N266" s="8"/>
      <c r="O266" s="8"/>
      <c r="P266" s="8"/>
      <c r="Q266" s="8"/>
      <c r="R266" s="8"/>
      <c r="S266" s="8"/>
      <c r="T266" s="8"/>
      <c r="U266" s="8"/>
    </row>
    <row r="267" spans="10:21">
      <c r="J267" s="8"/>
      <c r="K267" s="8"/>
      <c r="L267" s="8"/>
      <c r="M267" s="8"/>
      <c r="N267" s="8"/>
      <c r="O267" s="8"/>
      <c r="P267" s="8"/>
      <c r="Q267" s="8"/>
      <c r="R267" s="8"/>
      <c r="S267" s="8"/>
      <c r="T267" s="8"/>
      <c r="U267" s="8"/>
    </row>
    <row r="268" spans="10:21">
      <c r="J268" s="8"/>
      <c r="K268" s="8"/>
      <c r="L268" s="8"/>
      <c r="M268" s="8"/>
      <c r="N268" s="8"/>
      <c r="O268" s="8"/>
      <c r="P268" s="8"/>
      <c r="Q268" s="8"/>
      <c r="R268" s="8"/>
      <c r="S268" s="8"/>
      <c r="T268" s="8"/>
      <c r="U268" s="8"/>
    </row>
    <row r="269" spans="10:21">
      <c r="J269" s="8"/>
      <c r="K269" s="8"/>
      <c r="L269" s="8"/>
      <c r="M269" s="8"/>
      <c r="N269" s="8"/>
      <c r="O269" s="8"/>
      <c r="P269" s="8"/>
      <c r="Q269" s="8"/>
      <c r="R269" s="8"/>
      <c r="S269" s="8"/>
      <c r="T269" s="8"/>
      <c r="U269" s="8"/>
    </row>
    <row r="270" spans="10:21">
      <c r="J270" s="8"/>
      <c r="K270" s="8"/>
      <c r="L270" s="8"/>
      <c r="M270" s="8"/>
      <c r="N270" s="8"/>
      <c r="O270" s="8"/>
      <c r="P270" s="8"/>
      <c r="Q270" s="8"/>
      <c r="R270" s="8"/>
      <c r="S270" s="8"/>
      <c r="T270" s="8"/>
      <c r="U270" s="8"/>
    </row>
    <row r="271" spans="10:21">
      <c r="J271" s="8"/>
      <c r="K271" s="8"/>
      <c r="L271" s="8"/>
      <c r="M271" s="8"/>
      <c r="N271" s="8"/>
      <c r="O271" s="8"/>
      <c r="P271" s="8"/>
      <c r="Q271" s="8"/>
      <c r="R271" s="8"/>
      <c r="S271" s="8"/>
      <c r="T271" s="8"/>
      <c r="U271" s="8"/>
    </row>
    <row r="272" spans="10:21">
      <c r="J272" s="8"/>
      <c r="K272" s="8"/>
      <c r="L272" s="8"/>
      <c r="M272" s="8"/>
      <c r="N272" s="8"/>
      <c r="O272" s="8"/>
      <c r="P272" s="8"/>
      <c r="Q272" s="8"/>
      <c r="R272" s="8"/>
      <c r="S272" s="8"/>
      <c r="T272" s="8"/>
      <c r="U272" s="8"/>
    </row>
    <row r="273" spans="10:21">
      <c r="J273" s="8"/>
      <c r="K273" s="8"/>
      <c r="L273" s="8"/>
      <c r="M273" s="8"/>
      <c r="N273" s="8"/>
      <c r="O273" s="8"/>
      <c r="P273" s="8"/>
      <c r="Q273" s="8"/>
      <c r="R273" s="8"/>
      <c r="S273" s="8"/>
      <c r="T273" s="8"/>
      <c r="U273" s="8"/>
    </row>
    <row r="274" spans="10:21">
      <c r="J274" s="8"/>
      <c r="K274" s="8"/>
      <c r="L274" s="8"/>
      <c r="M274" s="8"/>
      <c r="N274" s="8"/>
      <c r="O274" s="8"/>
      <c r="P274" s="8"/>
      <c r="Q274" s="8"/>
      <c r="R274" s="8"/>
      <c r="S274" s="8"/>
      <c r="T274" s="8"/>
      <c r="U274" s="8"/>
    </row>
    <row r="275" spans="10:21">
      <c r="J275" s="8"/>
      <c r="K275" s="8"/>
      <c r="L275" s="8"/>
      <c r="M275" s="8"/>
      <c r="N275" s="8"/>
      <c r="O275" s="8"/>
      <c r="P275" s="8"/>
      <c r="Q275" s="8"/>
      <c r="R275" s="8"/>
      <c r="S275" s="8"/>
      <c r="T275" s="8"/>
      <c r="U275" s="8"/>
    </row>
    <row r="276" spans="10:21">
      <c r="J276" s="8"/>
      <c r="K276" s="8"/>
      <c r="L276" s="8"/>
      <c r="M276" s="8"/>
      <c r="N276" s="8"/>
      <c r="O276" s="8"/>
      <c r="P276" s="8"/>
      <c r="Q276" s="8"/>
      <c r="R276" s="8"/>
      <c r="S276" s="8"/>
      <c r="T276" s="8"/>
      <c r="U276" s="8"/>
    </row>
    <row r="277" spans="10:21">
      <c r="J277" s="8"/>
      <c r="K277" s="8"/>
      <c r="L277" s="8"/>
      <c r="M277" s="8"/>
      <c r="N277" s="8"/>
      <c r="O277" s="8"/>
      <c r="P277" s="8"/>
      <c r="Q277" s="8"/>
      <c r="R277" s="8"/>
      <c r="S277" s="8"/>
      <c r="T277" s="8"/>
      <c r="U277" s="8"/>
    </row>
    <row r="278" spans="10:21">
      <c r="J278" s="8"/>
      <c r="K278" s="8"/>
      <c r="L278" s="8"/>
      <c r="M278" s="8"/>
      <c r="N278" s="8"/>
      <c r="O278" s="8"/>
      <c r="P278" s="8"/>
      <c r="Q278" s="8"/>
      <c r="R278" s="8"/>
      <c r="S278" s="8"/>
      <c r="T278" s="8"/>
      <c r="U278" s="8"/>
    </row>
    <row r="279" spans="10:21">
      <c r="J279" s="8"/>
      <c r="K279" s="8"/>
      <c r="L279" s="8"/>
      <c r="M279" s="8"/>
      <c r="N279" s="8"/>
      <c r="O279" s="8"/>
      <c r="P279" s="8"/>
      <c r="Q279" s="8"/>
      <c r="R279" s="8"/>
      <c r="S279" s="8"/>
      <c r="T279" s="8"/>
      <c r="U279" s="8"/>
    </row>
    <row r="280" spans="10:21">
      <c r="J280" s="8"/>
      <c r="K280" s="8"/>
      <c r="L280" s="8"/>
      <c r="M280" s="8"/>
      <c r="N280" s="8"/>
      <c r="O280" s="8"/>
      <c r="P280" s="8"/>
      <c r="Q280" s="8"/>
      <c r="R280" s="8"/>
      <c r="S280" s="8"/>
      <c r="T280" s="8"/>
      <c r="U280" s="8"/>
    </row>
    <row r="281" spans="10:21">
      <c r="J281" s="8"/>
      <c r="K281" s="8"/>
      <c r="L281" s="8"/>
      <c r="M281" s="8"/>
      <c r="N281" s="8"/>
      <c r="O281" s="8"/>
      <c r="P281" s="8"/>
      <c r="Q281" s="8"/>
      <c r="R281" s="8"/>
      <c r="S281" s="8"/>
      <c r="T281" s="8"/>
      <c r="U281" s="8"/>
    </row>
    <row r="282" spans="10:21">
      <c r="J282" s="8"/>
      <c r="K282" s="8"/>
      <c r="L282" s="8"/>
      <c r="M282" s="8"/>
      <c r="N282" s="8"/>
      <c r="O282" s="8"/>
      <c r="P282" s="8"/>
      <c r="Q282" s="8"/>
      <c r="R282" s="8"/>
      <c r="S282" s="8"/>
      <c r="T282" s="8"/>
      <c r="U282" s="8"/>
    </row>
    <row r="283" spans="10:21">
      <c r="J283" s="8"/>
      <c r="K283" s="8"/>
      <c r="L283" s="8"/>
      <c r="M283" s="8"/>
      <c r="N283" s="8"/>
      <c r="O283" s="8"/>
      <c r="P283" s="8"/>
      <c r="Q283" s="8"/>
      <c r="R283" s="8"/>
      <c r="S283" s="8"/>
      <c r="T283" s="8"/>
      <c r="U283" s="8"/>
    </row>
    <row r="284" spans="10:21">
      <c r="J284" s="8"/>
      <c r="K284" s="8"/>
      <c r="L284" s="8"/>
      <c r="M284" s="8"/>
      <c r="N284" s="8"/>
      <c r="O284" s="8"/>
      <c r="P284" s="8"/>
      <c r="Q284" s="8"/>
      <c r="R284" s="8"/>
      <c r="S284" s="8"/>
      <c r="T284" s="8"/>
      <c r="U284" s="8"/>
    </row>
    <row r="285" spans="10:21">
      <c r="J285" s="8"/>
      <c r="K285" s="8"/>
      <c r="L285" s="8"/>
      <c r="M285" s="8"/>
      <c r="N285" s="8"/>
      <c r="O285" s="8"/>
      <c r="P285" s="8"/>
      <c r="Q285" s="8"/>
      <c r="R285" s="8"/>
      <c r="S285" s="8"/>
      <c r="T285" s="8"/>
      <c r="U285" s="8"/>
    </row>
    <row r="286" spans="10:21">
      <c r="J286" s="8"/>
      <c r="K286" s="8"/>
      <c r="L286" s="8"/>
      <c r="M286" s="8"/>
      <c r="N286" s="8"/>
      <c r="O286" s="8"/>
      <c r="P286" s="8"/>
      <c r="Q286" s="8"/>
      <c r="R286" s="8"/>
      <c r="S286" s="8"/>
      <c r="T286" s="8"/>
      <c r="U286" s="8"/>
    </row>
    <row r="287" spans="10:21">
      <c r="J287" s="8"/>
      <c r="K287" s="8"/>
      <c r="L287" s="8"/>
      <c r="M287" s="8"/>
      <c r="N287" s="8"/>
      <c r="O287" s="8"/>
      <c r="P287" s="8"/>
      <c r="Q287" s="8"/>
      <c r="R287" s="8"/>
      <c r="S287" s="8"/>
      <c r="T287" s="8"/>
      <c r="U287" s="8"/>
    </row>
    <row r="288" spans="10:21">
      <c r="J288" s="8"/>
      <c r="K288" s="8"/>
      <c r="L288" s="8"/>
      <c r="M288" s="8"/>
      <c r="N288" s="8"/>
      <c r="O288" s="8"/>
      <c r="P288" s="8"/>
      <c r="Q288" s="8"/>
      <c r="R288" s="8"/>
      <c r="S288" s="8"/>
      <c r="T288" s="8"/>
      <c r="U288" s="8"/>
    </row>
    <row r="289" spans="10:21">
      <c r="J289" s="8"/>
      <c r="K289" s="8"/>
      <c r="L289" s="8"/>
      <c r="M289" s="8"/>
      <c r="N289" s="8"/>
      <c r="O289" s="8"/>
      <c r="P289" s="8"/>
      <c r="Q289" s="8"/>
      <c r="R289" s="8"/>
      <c r="S289" s="8"/>
      <c r="T289" s="8"/>
      <c r="U289" s="8"/>
    </row>
    <row r="290" spans="10:21">
      <c r="J290" s="8"/>
      <c r="K290" s="8"/>
      <c r="L290" s="8"/>
      <c r="M290" s="8"/>
      <c r="N290" s="8"/>
      <c r="O290" s="8"/>
      <c r="P290" s="8"/>
      <c r="Q290" s="8"/>
      <c r="R290" s="8"/>
      <c r="S290" s="8"/>
      <c r="T290" s="8"/>
      <c r="U290" s="8"/>
    </row>
    <row r="291" spans="10:21">
      <c r="J291" s="8"/>
      <c r="K291" s="8"/>
      <c r="L291" s="8"/>
      <c r="M291" s="8"/>
      <c r="N291" s="8"/>
      <c r="O291" s="8"/>
      <c r="P291" s="8"/>
      <c r="Q291" s="8"/>
      <c r="R291" s="8"/>
      <c r="S291" s="8"/>
      <c r="T291" s="8"/>
      <c r="U291" s="8"/>
    </row>
    <row r="292" spans="10:21">
      <c r="J292" s="8"/>
      <c r="K292" s="8"/>
      <c r="L292" s="8"/>
      <c r="M292" s="8"/>
      <c r="N292" s="8"/>
      <c r="O292" s="8"/>
      <c r="P292" s="8"/>
      <c r="Q292" s="8"/>
      <c r="R292" s="8"/>
      <c r="S292" s="8"/>
      <c r="T292" s="8"/>
      <c r="U292" s="8"/>
    </row>
    <row r="293" spans="10:21">
      <c r="J293" s="8"/>
      <c r="K293" s="8"/>
      <c r="L293" s="8"/>
      <c r="M293" s="8"/>
      <c r="N293" s="8"/>
      <c r="O293" s="8"/>
      <c r="P293" s="8"/>
      <c r="Q293" s="8"/>
      <c r="R293" s="8"/>
      <c r="S293" s="8"/>
      <c r="T293" s="8"/>
      <c r="U293" s="8"/>
    </row>
    <row r="294" spans="10:21">
      <c r="J294" s="8"/>
      <c r="K294" s="8"/>
      <c r="L294" s="8"/>
      <c r="M294" s="8"/>
      <c r="N294" s="8"/>
      <c r="O294" s="8"/>
      <c r="P294" s="8"/>
      <c r="Q294" s="8"/>
      <c r="R294" s="8"/>
      <c r="S294" s="8"/>
      <c r="T294" s="8"/>
      <c r="U294" s="8"/>
    </row>
    <row r="295" spans="10:21">
      <c r="J295" s="8"/>
      <c r="K295" s="8"/>
      <c r="L295" s="8"/>
      <c r="M295" s="8"/>
      <c r="N295" s="8"/>
      <c r="O295" s="8"/>
      <c r="P295" s="8"/>
      <c r="Q295" s="8"/>
      <c r="R295" s="8"/>
      <c r="S295" s="8"/>
      <c r="T295" s="8"/>
      <c r="U295" s="8"/>
    </row>
    <row r="296" spans="10:21">
      <c r="J296" s="8"/>
      <c r="K296" s="8"/>
      <c r="L296" s="8"/>
      <c r="M296" s="8"/>
      <c r="N296" s="8"/>
      <c r="O296" s="8"/>
      <c r="P296" s="8"/>
      <c r="Q296" s="8"/>
      <c r="R296" s="8"/>
      <c r="S296" s="8"/>
      <c r="T296" s="8"/>
      <c r="U296" s="8"/>
    </row>
    <row r="297" spans="10:21">
      <c r="J297" s="8"/>
      <c r="K297" s="8"/>
      <c r="L297" s="8"/>
      <c r="M297" s="8"/>
      <c r="N297" s="8"/>
      <c r="O297" s="8"/>
      <c r="P297" s="8"/>
      <c r="Q297" s="8"/>
      <c r="R297" s="8"/>
      <c r="S297" s="8"/>
      <c r="T297" s="8"/>
      <c r="U297" s="8"/>
    </row>
    <row r="298" spans="10:21">
      <c r="J298" s="8"/>
      <c r="K298" s="8"/>
      <c r="L298" s="8"/>
      <c r="M298" s="8"/>
      <c r="N298" s="8"/>
      <c r="O298" s="8"/>
      <c r="P298" s="8"/>
      <c r="Q298" s="8"/>
      <c r="R298" s="8"/>
      <c r="S298" s="8"/>
      <c r="T298" s="8"/>
      <c r="U298" s="8"/>
    </row>
    <row r="299" spans="10:21">
      <c r="J299" s="8"/>
      <c r="K299" s="8"/>
      <c r="L299" s="8"/>
      <c r="M299" s="8"/>
      <c r="N299" s="8"/>
      <c r="O299" s="8"/>
      <c r="P299" s="8"/>
      <c r="Q299" s="8"/>
      <c r="R299" s="8"/>
      <c r="S299" s="8"/>
      <c r="T299" s="8"/>
      <c r="U299" s="8"/>
    </row>
    <row r="300" spans="10:21">
      <c r="J300" s="8"/>
      <c r="K300" s="8"/>
      <c r="L300" s="8"/>
      <c r="M300" s="8"/>
      <c r="N300" s="8"/>
      <c r="O300" s="8"/>
      <c r="P300" s="8"/>
      <c r="Q300" s="8"/>
      <c r="R300" s="8"/>
      <c r="S300" s="8"/>
      <c r="T300" s="8"/>
      <c r="U300" s="8"/>
    </row>
    <row r="301" spans="10:21">
      <c r="J301" s="8"/>
      <c r="K301" s="8"/>
      <c r="L301" s="8"/>
      <c r="M301" s="8"/>
      <c r="N301" s="8"/>
      <c r="O301" s="8"/>
      <c r="P301" s="8"/>
      <c r="Q301" s="8"/>
      <c r="R301" s="8"/>
      <c r="S301" s="8"/>
      <c r="T301" s="8"/>
      <c r="U301" s="8"/>
    </row>
    <row r="302" spans="10:21">
      <c r="J302" s="8"/>
      <c r="K302" s="8"/>
      <c r="L302" s="8"/>
      <c r="M302" s="8"/>
      <c r="N302" s="8"/>
      <c r="O302" s="8"/>
      <c r="P302" s="8"/>
      <c r="Q302" s="8"/>
      <c r="R302" s="8"/>
      <c r="S302" s="8"/>
      <c r="T302" s="8"/>
      <c r="U302" s="8"/>
    </row>
    <row r="303" spans="10:21">
      <c r="J303" s="8"/>
      <c r="K303" s="8"/>
      <c r="L303" s="8"/>
      <c r="M303" s="8"/>
      <c r="N303" s="8"/>
      <c r="O303" s="8"/>
      <c r="P303" s="8"/>
      <c r="Q303" s="8"/>
      <c r="R303" s="8"/>
      <c r="S303" s="8"/>
      <c r="T303" s="8"/>
      <c r="U303" s="8"/>
    </row>
    <row r="304" spans="10:21">
      <c r="J304" s="8"/>
      <c r="K304" s="8"/>
      <c r="L304" s="8"/>
      <c r="M304" s="8"/>
      <c r="N304" s="8"/>
      <c r="O304" s="8"/>
      <c r="P304" s="8"/>
      <c r="Q304" s="8"/>
      <c r="R304" s="8"/>
      <c r="S304" s="8"/>
      <c r="T304" s="8"/>
      <c r="U304" s="8"/>
    </row>
    <row r="305" spans="10:21">
      <c r="J305" s="8"/>
      <c r="K305" s="8"/>
      <c r="L305" s="8"/>
      <c r="M305" s="8"/>
      <c r="N305" s="8"/>
      <c r="O305" s="8"/>
      <c r="P305" s="8"/>
      <c r="Q305" s="8"/>
      <c r="R305" s="8"/>
      <c r="S305" s="8"/>
      <c r="T305" s="8"/>
      <c r="U305" s="8"/>
    </row>
    <row r="306" spans="10:21">
      <c r="J306" s="8"/>
      <c r="K306" s="8"/>
      <c r="L306" s="8"/>
      <c r="M306" s="8"/>
      <c r="N306" s="8"/>
      <c r="O306" s="8"/>
      <c r="P306" s="8"/>
      <c r="Q306" s="8"/>
      <c r="R306" s="8"/>
      <c r="S306" s="8"/>
      <c r="T306" s="8"/>
      <c r="U306" s="8"/>
    </row>
    <row r="307" spans="10:21">
      <c r="J307" s="8"/>
      <c r="K307" s="8"/>
      <c r="L307" s="8"/>
      <c r="M307" s="8"/>
      <c r="N307" s="8"/>
      <c r="O307" s="8"/>
      <c r="P307" s="8"/>
      <c r="Q307" s="8"/>
      <c r="R307" s="8"/>
      <c r="S307" s="8"/>
      <c r="T307" s="8"/>
      <c r="U307" s="8"/>
    </row>
    <row r="308" spans="10:21">
      <c r="J308" s="8"/>
      <c r="K308" s="8"/>
      <c r="L308" s="8"/>
      <c r="M308" s="8"/>
      <c r="N308" s="8"/>
      <c r="O308" s="8"/>
      <c r="P308" s="8"/>
      <c r="Q308" s="8"/>
      <c r="R308" s="8"/>
      <c r="S308" s="8"/>
      <c r="T308" s="8"/>
      <c r="U308" s="8"/>
    </row>
    <row r="309" spans="10:21">
      <c r="J309" s="8"/>
      <c r="K309" s="8"/>
      <c r="L309" s="8"/>
      <c r="M309" s="8"/>
      <c r="N309" s="8"/>
      <c r="O309" s="8"/>
      <c r="P309" s="8"/>
      <c r="Q309" s="8"/>
      <c r="R309" s="8"/>
      <c r="S309" s="8"/>
      <c r="T309" s="8"/>
      <c r="U309" s="8"/>
    </row>
    <row r="310" spans="10:21">
      <c r="J310" s="8"/>
      <c r="K310" s="8"/>
      <c r="L310" s="8"/>
      <c r="M310" s="8"/>
      <c r="N310" s="8"/>
      <c r="O310" s="8"/>
      <c r="P310" s="8"/>
      <c r="Q310" s="8"/>
      <c r="R310" s="8"/>
      <c r="S310" s="8"/>
      <c r="T310" s="8"/>
      <c r="U310" s="8"/>
    </row>
    <row r="311" spans="10:21">
      <c r="J311" s="8"/>
      <c r="K311" s="8"/>
      <c r="L311" s="8"/>
      <c r="M311" s="8"/>
      <c r="N311" s="8"/>
      <c r="O311" s="8"/>
      <c r="P311" s="8"/>
      <c r="Q311" s="8"/>
      <c r="R311" s="8"/>
      <c r="S311" s="8"/>
      <c r="T311" s="8"/>
      <c r="U311" s="8"/>
    </row>
    <row r="312" spans="10:21">
      <c r="J312" s="8"/>
      <c r="K312" s="8"/>
      <c r="L312" s="8"/>
      <c r="M312" s="8"/>
      <c r="N312" s="8"/>
      <c r="O312" s="8"/>
      <c r="P312" s="8"/>
      <c r="Q312" s="8"/>
      <c r="R312" s="8"/>
      <c r="S312" s="8"/>
      <c r="T312" s="8"/>
      <c r="U312" s="8"/>
    </row>
    <row r="313" spans="10:21">
      <c r="J313" s="8"/>
      <c r="K313" s="8"/>
      <c r="L313" s="8"/>
      <c r="M313" s="8"/>
      <c r="N313" s="8"/>
      <c r="O313" s="8"/>
      <c r="P313" s="8"/>
      <c r="Q313" s="8"/>
      <c r="R313" s="8"/>
      <c r="S313" s="8"/>
      <c r="T313" s="8"/>
      <c r="U313" s="8"/>
    </row>
    <row r="314" spans="10:21">
      <c r="J314" s="8"/>
      <c r="K314" s="8"/>
      <c r="L314" s="8"/>
      <c r="M314" s="8"/>
      <c r="N314" s="8"/>
      <c r="O314" s="8"/>
      <c r="P314" s="8"/>
      <c r="Q314" s="8"/>
      <c r="R314" s="8"/>
      <c r="S314" s="8"/>
      <c r="T314" s="8"/>
      <c r="U314" s="8"/>
    </row>
    <row r="315" spans="10:21">
      <c r="J315" s="8"/>
      <c r="K315" s="8"/>
      <c r="L315" s="8"/>
      <c r="M315" s="8"/>
      <c r="N315" s="8"/>
      <c r="O315" s="8"/>
      <c r="P315" s="8"/>
      <c r="Q315" s="8"/>
      <c r="R315" s="8"/>
      <c r="S315" s="8"/>
      <c r="T315" s="8"/>
      <c r="U315" s="8"/>
    </row>
    <row r="316" spans="10:21">
      <c r="J316" s="8"/>
      <c r="K316" s="8"/>
      <c r="L316" s="8"/>
      <c r="M316" s="8"/>
      <c r="N316" s="8"/>
      <c r="O316" s="8"/>
      <c r="P316" s="8"/>
      <c r="Q316" s="8"/>
      <c r="R316" s="8"/>
      <c r="S316" s="8"/>
      <c r="T316" s="8"/>
      <c r="U316" s="8"/>
    </row>
    <row r="317" spans="10:21">
      <c r="J317" s="8"/>
      <c r="K317" s="8"/>
      <c r="L317" s="8"/>
      <c r="M317" s="8"/>
      <c r="N317" s="8"/>
      <c r="O317" s="8"/>
      <c r="P317" s="8"/>
      <c r="Q317" s="8"/>
      <c r="R317" s="8"/>
      <c r="S317" s="8"/>
      <c r="T317" s="8"/>
      <c r="U317" s="8"/>
    </row>
    <row r="318" spans="10:21">
      <c r="J318" s="8"/>
      <c r="K318" s="8"/>
      <c r="L318" s="8"/>
      <c r="M318" s="8"/>
      <c r="N318" s="8"/>
      <c r="O318" s="8"/>
      <c r="P318" s="8"/>
      <c r="Q318" s="8"/>
      <c r="R318" s="8"/>
      <c r="S318" s="8"/>
      <c r="T318" s="8"/>
      <c r="U318" s="8"/>
    </row>
    <row r="319" spans="10:21">
      <c r="J319" s="8"/>
      <c r="K319" s="8"/>
      <c r="L319" s="8"/>
      <c r="M319" s="8"/>
      <c r="N319" s="8"/>
      <c r="O319" s="8"/>
      <c r="P319" s="8"/>
      <c r="Q319" s="8"/>
      <c r="R319" s="8"/>
      <c r="S319" s="8"/>
      <c r="T319" s="8"/>
      <c r="U319" s="8"/>
    </row>
    <row r="320" spans="10:21">
      <c r="J320" s="8"/>
      <c r="K320" s="8"/>
      <c r="L320" s="8"/>
      <c r="M320" s="8"/>
      <c r="N320" s="8"/>
      <c r="O320" s="8"/>
      <c r="P320" s="8"/>
      <c r="Q320" s="8"/>
      <c r="R320" s="8"/>
      <c r="S320" s="8"/>
      <c r="T320" s="8"/>
      <c r="U320" s="8"/>
    </row>
    <row r="321" spans="10:21">
      <c r="J321" s="8"/>
      <c r="K321" s="8"/>
      <c r="L321" s="8"/>
      <c r="M321" s="8"/>
      <c r="N321" s="8"/>
      <c r="O321" s="8"/>
      <c r="P321" s="8"/>
      <c r="Q321" s="8"/>
      <c r="R321" s="8"/>
      <c r="S321" s="8"/>
      <c r="T321" s="8"/>
      <c r="U321" s="8"/>
    </row>
    <row r="322" spans="10:21">
      <c r="J322" s="8"/>
      <c r="K322" s="8"/>
      <c r="L322" s="8"/>
      <c r="M322" s="8"/>
      <c r="N322" s="8"/>
      <c r="O322" s="8"/>
      <c r="P322" s="8"/>
      <c r="Q322" s="8"/>
      <c r="R322" s="8"/>
      <c r="S322" s="8"/>
      <c r="T322" s="8"/>
      <c r="U322" s="8"/>
    </row>
    <row r="323" spans="10:21">
      <c r="J323" s="8"/>
      <c r="K323" s="8"/>
      <c r="L323" s="8"/>
      <c r="M323" s="8"/>
      <c r="N323" s="8"/>
      <c r="O323" s="8"/>
      <c r="P323" s="8"/>
      <c r="Q323" s="8"/>
      <c r="R323" s="8"/>
      <c r="S323" s="8"/>
      <c r="T323" s="8"/>
      <c r="U323" s="8"/>
    </row>
    <row r="324" spans="10:21">
      <c r="J324" s="8"/>
      <c r="K324" s="8"/>
      <c r="L324" s="8"/>
      <c r="M324" s="8"/>
      <c r="N324" s="8"/>
      <c r="O324" s="8"/>
      <c r="P324" s="8"/>
      <c r="Q324" s="8"/>
      <c r="R324" s="8"/>
      <c r="S324" s="8"/>
      <c r="T324" s="8"/>
      <c r="U324" s="8"/>
    </row>
    <row r="325" spans="10:21">
      <c r="J325" s="8"/>
      <c r="K325" s="8"/>
      <c r="L325" s="8"/>
      <c r="M325" s="8"/>
      <c r="N325" s="8"/>
      <c r="O325" s="8"/>
      <c r="P325" s="8"/>
      <c r="Q325" s="8"/>
      <c r="R325" s="8"/>
      <c r="S325" s="8"/>
      <c r="T325" s="8"/>
      <c r="U325" s="8"/>
    </row>
    <row r="326" spans="10:21">
      <c r="J326" s="8"/>
      <c r="K326" s="8"/>
      <c r="L326" s="8"/>
      <c r="M326" s="8"/>
      <c r="N326" s="8"/>
      <c r="O326" s="8"/>
      <c r="P326" s="8"/>
      <c r="Q326" s="8"/>
      <c r="R326" s="8"/>
      <c r="S326" s="8"/>
      <c r="T326" s="8"/>
      <c r="U326" s="8"/>
    </row>
    <row r="327" spans="10:21">
      <c r="J327" s="8"/>
      <c r="K327" s="8"/>
      <c r="L327" s="8"/>
      <c r="M327" s="8"/>
      <c r="N327" s="8"/>
      <c r="O327" s="8"/>
      <c r="P327" s="8"/>
      <c r="Q327" s="8"/>
      <c r="R327" s="8"/>
      <c r="S327" s="8"/>
      <c r="T327" s="8"/>
      <c r="U327" s="8"/>
    </row>
    <row r="328" spans="10:21">
      <c r="J328" s="8"/>
      <c r="K328" s="8"/>
      <c r="L328" s="8"/>
      <c r="M328" s="8"/>
      <c r="N328" s="8"/>
      <c r="O328" s="8"/>
      <c r="P328" s="8"/>
      <c r="Q328" s="8"/>
      <c r="R328" s="8"/>
      <c r="S328" s="8"/>
      <c r="T328" s="8"/>
      <c r="U328" s="8"/>
    </row>
    <row r="329" spans="10:21">
      <c r="J329" s="8"/>
      <c r="K329" s="8"/>
      <c r="L329" s="8"/>
      <c r="M329" s="8"/>
      <c r="N329" s="8"/>
      <c r="O329" s="8"/>
      <c r="P329" s="8"/>
      <c r="Q329" s="8"/>
      <c r="R329" s="8"/>
      <c r="S329" s="8"/>
      <c r="T329" s="8"/>
      <c r="U329" s="8"/>
    </row>
    <row r="330" spans="10:21">
      <c r="J330" s="8"/>
      <c r="K330" s="8"/>
      <c r="L330" s="8"/>
      <c r="M330" s="8"/>
      <c r="N330" s="8"/>
      <c r="O330" s="8"/>
      <c r="P330" s="8"/>
      <c r="Q330" s="8"/>
      <c r="R330" s="8"/>
      <c r="S330" s="8"/>
      <c r="T330" s="8"/>
      <c r="U330" s="8"/>
    </row>
    <row r="331" spans="10:21">
      <c r="J331" s="8"/>
      <c r="K331" s="8"/>
      <c r="L331" s="8"/>
      <c r="M331" s="8"/>
      <c r="N331" s="8"/>
      <c r="O331" s="8"/>
      <c r="P331" s="8"/>
      <c r="Q331" s="8"/>
      <c r="R331" s="8"/>
      <c r="S331" s="8"/>
      <c r="T331" s="8"/>
      <c r="U331" s="8"/>
    </row>
    <row r="332" spans="10:21">
      <c r="J332" s="8"/>
      <c r="K332" s="8"/>
      <c r="L332" s="8"/>
      <c r="M332" s="8"/>
      <c r="N332" s="8"/>
      <c r="O332" s="8"/>
      <c r="P332" s="8"/>
      <c r="Q332" s="8"/>
      <c r="R332" s="8"/>
      <c r="S332" s="8"/>
      <c r="T332" s="8"/>
      <c r="U332" s="8"/>
    </row>
    <row r="333" spans="10:21">
      <c r="J333" s="8"/>
      <c r="K333" s="8"/>
      <c r="L333" s="8"/>
      <c r="M333" s="8"/>
      <c r="N333" s="8"/>
      <c r="O333" s="8"/>
      <c r="P333" s="8"/>
      <c r="Q333" s="8"/>
      <c r="R333" s="8"/>
      <c r="S333" s="8"/>
      <c r="T333" s="8"/>
      <c r="U333" s="8"/>
    </row>
    <row r="334" spans="10:21">
      <c r="J334" s="8"/>
      <c r="K334" s="8"/>
      <c r="L334" s="8"/>
      <c r="M334" s="8"/>
      <c r="N334" s="8"/>
      <c r="O334" s="8"/>
      <c r="P334" s="8"/>
      <c r="Q334" s="8"/>
      <c r="R334" s="8"/>
      <c r="S334" s="8"/>
      <c r="T334" s="8"/>
      <c r="U334" s="8"/>
    </row>
    <row r="335" spans="10:21">
      <c r="J335" s="8"/>
      <c r="K335" s="8"/>
      <c r="L335" s="8"/>
      <c r="M335" s="8"/>
      <c r="N335" s="8"/>
      <c r="O335" s="8"/>
      <c r="P335" s="8"/>
      <c r="Q335" s="8"/>
      <c r="R335" s="8"/>
      <c r="S335" s="8"/>
      <c r="T335" s="8"/>
      <c r="U335" s="8"/>
    </row>
    <row r="336" spans="10:21">
      <c r="J336" s="8"/>
      <c r="K336" s="8"/>
      <c r="L336" s="8"/>
      <c r="M336" s="8"/>
      <c r="N336" s="8"/>
      <c r="O336" s="8"/>
      <c r="P336" s="8"/>
      <c r="Q336" s="8"/>
      <c r="R336" s="8"/>
      <c r="S336" s="8"/>
      <c r="T336" s="8"/>
      <c r="U336" s="8"/>
    </row>
    <row r="337" spans="10:21">
      <c r="J337" s="8"/>
      <c r="K337" s="8"/>
      <c r="L337" s="8"/>
      <c r="M337" s="8"/>
      <c r="N337" s="8"/>
      <c r="O337" s="8"/>
      <c r="P337" s="8"/>
      <c r="Q337" s="8"/>
      <c r="R337" s="8"/>
      <c r="S337" s="8"/>
      <c r="T337" s="8"/>
      <c r="U337" s="8"/>
    </row>
    <row r="338" spans="10:21">
      <c r="J338" s="8"/>
      <c r="K338" s="8"/>
      <c r="L338" s="8"/>
      <c r="M338" s="8"/>
      <c r="N338" s="8"/>
      <c r="O338" s="8"/>
      <c r="P338" s="8"/>
      <c r="Q338" s="8"/>
      <c r="R338" s="8"/>
      <c r="S338" s="8"/>
      <c r="T338" s="8"/>
      <c r="U338" s="8"/>
    </row>
    <row r="339" spans="10:21">
      <c r="J339" s="8"/>
      <c r="K339" s="8"/>
      <c r="L339" s="8"/>
      <c r="M339" s="8"/>
      <c r="N339" s="8"/>
      <c r="O339" s="8"/>
      <c r="P339" s="8"/>
      <c r="Q339" s="8"/>
      <c r="R339" s="8"/>
      <c r="S339" s="8"/>
      <c r="T339" s="8"/>
      <c r="U339" s="8"/>
    </row>
    <row r="340" spans="10:21">
      <c r="J340" s="8"/>
      <c r="K340" s="8"/>
      <c r="L340" s="8"/>
      <c r="M340" s="8"/>
      <c r="N340" s="8"/>
      <c r="O340" s="8"/>
      <c r="P340" s="8"/>
      <c r="Q340" s="8"/>
      <c r="R340" s="8"/>
      <c r="S340" s="8"/>
      <c r="T340" s="8"/>
      <c r="U340" s="8"/>
    </row>
    <row r="341" spans="10:21">
      <c r="J341" s="8"/>
      <c r="K341" s="8"/>
      <c r="L341" s="8"/>
      <c r="M341" s="8"/>
      <c r="N341" s="8"/>
      <c r="O341" s="8"/>
      <c r="P341" s="8"/>
      <c r="Q341" s="8"/>
      <c r="R341" s="8"/>
      <c r="S341" s="8"/>
      <c r="T341" s="8"/>
      <c r="U341" s="8"/>
    </row>
    <row r="342" spans="10:21">
      <c r="J342" s="8"/>
      <c r="K342" s="8"/>
      <c r="L342" s="8"/>
      <c r="M342" s="8"/>
      <c r="N342" s="8"/>
      <c r="O342" s="8"/>
      <c r="P342" s="8"/>
      <c r="Q342" s="8"/>
      <c r="R342" s="8"/>
      <c r="S342" s="8"/>
      <c r="T342" s="8"/>
      <c r="U342" s="8"/>
    </row>
    <row r="343" spans="10:21">
      <c r="J343" s="8"/>
      <c r="K343" s="8"/>
      <c r="L343" s="8"/>
      <c r="M343" s="8"/>
      <c r="N343" s="8"/>
      <c r="O343" s="8"/>
      <c r="P343" s="8"/>
      <c r="Q343" s="8"/>
      <c r="R343" s="8"/>
      <c r="S343" s="8"/>
      <c r="T343" s="8"/>
      <c r="U343" s="8"/>
    </row>
    <row r="344" spans="10:21">
      <c r="J344" s="8"/>
      <c r="K344" s="8"/>
      <c r="L344" s="8"/>
      <c r="M344" s="8"/>
      <c r="N344" s="8"/>
      <c r="O344" s="8"/>
      <c r="P344" s="8"/>
      <c r="Q344" s="8"/>
      <c r="R344" s="8"/>
      <c r="S344" s="8"/>
      <c r="T344" s="8"/>
      <c r="U344" s="8"/>
    </row>
    <row r="345" spans="10:21">
      <c r="J345" s="8"/>
      <c r="K345" s="8"/>
      <c r="L345" s="8"/>
      <c r="M345" s="8"/>
      <c r="N345" s="8"/>
      <c r="O345" s="8"/>
      <c r="P345" s="8"/>
      <c r="Q345" s="8"/>
      <c r="R345" s="8"/>
      <c r="S345" s="8"/>
      <c r="T345" s="8"/>
      <c r="U345" s="8"/>
    </row>
    <row r="346" spans="10:21">
      <c r="J346" s="8"/>
      <c r="K346" s="8"/>
      <c r="L346" s="8"/>
      <c r="M346" s="8"/>
      <c r="N346" s="8"/>
      <c r="O346" s="8"/>
      <c r="P346" s="8"/>
      <c r="Q346" s="8"/>
      <c r="R346" s="8"/>
      <c r="S346" s="8"/>
      <c r="T346" s="8"/>
      <c r="U346" s="8"/>
    </row>
    <row r="347" spans="10:21">
      <c r="J347" s="8"/>
      <c r="K347" s="8"/>
      <c r="L347" s="8"/>
      <c r="M347" s="8"/>
      <c r="N347" s="8"/>
      <c r="O347" s="8"/>
      <c r="P347" s="8"/>
      <c r="Q347" s="8"/>
      <c r="R347" s="8"/>
      <c r="S347" s="8"/>
      <c r="T347" s="8"/>
      <c r="U347" s="8"/>
    </row>
    <row r="348" spans="10:21">
      <c r="J348" s="8"/>
      <c r="K348" s="8"/>
      <c r="L348" s="8"/>
      <c r="M348" s="8"/>
      <c r="N348" s="8"/>
      <c r="O348" s="8"/>
      <c r="P348" s="8"/>
      <c r="Q348" s="8"/>
      <c r="R348" s="8"/>
      <c r="S348" s="8"/>
      <c r="T348" s="8"/>
      <c r="U348" s="8"/>
    </row>
    <row r="349" spans="10:21">
      <c r="J349" s="8"/>
      <c r="K349" s="8"/>
      <c r="L349" s="8"/>
      <c r="M349" s="8"/>
      <c r="N349" s="8"/>
      <c r="O349" s="8"/>
      <c r="P349" s="8"/>
      <c r="Q349" s="8"/>
      <c r="R349" s="8"/>
      <c r="S349" s="8"/>
      <c r="T349" s="8"/>
      <c r="U349" s="8"/>
    </row>
    <row r="350" spans="10:21">
      <c r="J350" s="8"/>
      <c r="K350" s="8"/>
      <c r="L350" s="8"/>
      <c r="M350" s="8"/>
      <c r="N350" s="8"/>
      <c r="O350" s="8"/>
      <c r="P350" s="8"/>
      <c r="Q350" s="8"/>
      <c r="R350" s="8"/>
      <c r="S350" s="8"/>
      <c r="T350" s="8"/>
      <c r="U350" s="8"/>
    </row>
    <row r="351" spans="10:21">
      <c r="J351" s="8"/>
      <c r="K351" s="8"/>
      <c r="L351" s="8"/>
      <c r="M351" s="8"/>
      <c r="N351" s="8"/>
      <c r="O351" s="8"/>
      <c r="P351" s="8"/>
      <c r="Q351" s="8"/>
      <c r="R351" s="8"/>
      <c r="S351" s="8"/>
      <c r="T351" s="8"/>
      <c r="U351" s="8"/>
    </row>
    <row r="352" spans="10:21">
      <c r="J352" s="8"/>
      <c r="K352" s="8"/>
      <c r="L352" s="8"/>
      <c r="M352" s="8"/>
      <c r="N352" s="8"/>
      <c r="O352" s="8"/>
      <c r="P352" s="8"/>
      <c r="Q352" s="8"/>
      <c r="R352" s="8"/>
      <c r="S352" s="8"/>
      <c r="T352" s="8"/>
      <c r="U352" s="8"/>
    </row>
    <row r="353" spans="10:21">
      <c r="J353" s="8"/>
      <c r="K353" s="8"/>
      <c r="L353" s="8"/>
      <c r="M353" s="8"/>
      <c r="N353" s="8"/>
      <c r="O353" s="8"/>
      <c r="P353" s="8"/>
      <c r="Q353" s="8"/>
      <c r="R353" s="8"/>
      <c r="S353" s="8"/>
      <c r="T353" s="8"/>
      <c r="U353" s="8"/>
    </row>
    <row r="354" spans="10:21">
      <c r="J354" s="8"/>
      <c r="K354" s="8"/>
      <c r="L354" s="8"/>
      <c r="M354" s="8"/>
      <c r="N354" s="8"/>
      <c r="O354" s="8"/>
      <c r="P354" s="8"/>
      <c r="Q354" s="8"/>
      <c r="R354" s="8"/>
      <c r="S354" s="8"/>
      <c r="T354" s="8"/>
      <c r="U354" s="8"/>
    </row>
    <row r="355" spans="10:21">
      <c r="J355" s="8"/>
      <c r="K355" s="8"/>
      <c r="L355" s="8"/>
      <c r="M355" s="8"/>
      <c r="N355" s="8"/>
      <c r="O355" s="8"/>
      <c r="P355" s="8"/>
      <c r="Q355" s="8"/>
      <c r="R355" s="8"/>
      <c r="S355" s="8"/>
      <c r="T355" s="8"/>
      <c r="U355" s="8"/>
    </row>
    <row r="356" spans="10:21">
      <c r="J356" s="8"/>
      <c r="K356" s="8"/>
      <c r="L356" s="8"/>
      <c r="M356" s="8"/>
      <c r="N356" s="8"/>
      <c r="O356" s="8"/>
      <c r="P356" s="8"/>
      <c r="Q356" s="8"/>
      <c r="R356" s="8"/>
      <c r="S356" s="8"/>
      <c r="T356" s="8"/>
      <c r="U356" s="8"/>
    </row>
    <row r="357" spans="10:21">
      <c r="J357" s="8"/>
      <c r="K357" s="8"/>
      <c r="L357" s="8"/>
      <c r="M357" s="8"/>
      <c r="N357" s="8"/>
      <c r="O357" s="8"/>
      <c r="P357" s="8"/>
      <c r="Q357" s="8"/>
      <c r="R357" s="8"/>
      <c r="S357" s="8"/>
      <c r="T357" s="8"/>
      <c r="U357" s="8"/>
    </row>
    <row r="358" spans="10:21">
      <c r="J358" s="8"/>
      <c r="K358" s="8"/>
      <c r="L358" s="8"/>
      <c r="M358" s="8"/>
      <c r="N358" s="8"/>
      <c r="O358" s="8"/>
      <c r="P358" s="8"/>
      <c r="Q358" s="8"/>
      <c r="R358" s="8"/>
      <c r="S358" s="8"/>
      <c r="T358" s="8"/>
      <c r="U358" s="8"/>
    </row>
    <row r="359" spans="10:21">
      <c r="J359" s="8"/>
      <c r="K359" s="8"/>
      <c r="L359" s="8"/>
      <c r="M359" s="8"/>
      <c r="N359" s="8"/>
      <c r="O359" s="8"/>
      <c r="P359" s="8"/>
      <c r="Q359" s="8"/>
      <c r="R359" s="8"/>
      <c r="S359" s="8"/>
      <c r="T359" s="8"/>
      <c r="U359" s="8"/>
    </row>
    <row r="360" spans="10:21">
      <c r="J360" s="8"/>
      <c r="K360" s="8"/>
      <c r="L360" s="8"/>
      <c r="M360" s="8"/>
      <c r="N360" s="8"/>
      <c r="O360" s="8"/>
      <c r="P360" s="8"/>
      <c r="Q360" s="8"/>
      <c r="R360" s="8"/>
      <c r="S360" s="8"/>
      <c r="T360" s="8"/>
      <c r="U360" s="8"/>
    </row>
    <row r="361" spans="10:21">
      <c r="J361" s="8"/>
      <c r="K361" s="8"/>
      <c r="L361" s="8"/>
      <c r="M361" s="8"/>
      <c r="N361" s="8"/>
      <c r="O361" s="8"/>
      <c r="P361" s="8"/>
      <c r="Q361" s="8"/>
      <c r="R361" s="8"/>
      <c r="S361" s="8"/>
      <c r="T361" s="8"/>
      <c r="U361" s="8"/>
    </row>
    <row r="362" spans="10:21">
      <c r="J362" s="8"/>
      <c r="K362" s="8"/>
      <c r="L362" s="8"/>
      <c r="M362" s="8"/>
      <c r="N362" s="8"/>
      <c r="O362" s="8"/>
      <c r="P362" s="8"/>
      <c r="Q362" s="8"/>
      <c r="R362" s="8"/>
      <c r="S362" s="8"/>
      <c r="T362" s="8"/>
      <c r="U362" s="8"/>
    </row>
    <row r="363" spans="10:21">
      <c r="J363" s="8"/>
      <c r="K363" s="8"/>
      <c r="L363" s="8"/>
      <c r="M363" s="8"/>
      <c r="N363" s="8"/>
      <c r="O363" s="8"/>
      <c r="P363" s="8"/>
      <c r="Q363" s="8"/>
      <c r="R363" s="8"/>
      <c r="S363" s="8"/>
      <c r="T363" s="8"/>
      <c r="U363" s="8"/>
    </row>
    <row r="364" spans="10:21">
      <c r="J364" s="8"/>
      <c r="K364" s="8"/>
      <c r="L364" s="8"/>
      <c r="M364" s="8"/>
      <c r="N364" s="8"/>
      <c r="O364" s="8"/>
      <c r="P364" s="8"/>
      <c r="Q364" s="8"/>
      <c r="R364" s="8"/>
      <c r="S364" s="8"/>
      <c r="T364" s="8"/>
      <c r="U364" s="8"/>
    </row>
    <row r="365" spans="10:21">
      <c r="J365" s="8"/>
      <c r="K365" s="8"/>
      <c r="L365" s="8"/>
      <c r="M365" s="8"/>
      <c r="N365" s="8"/>
      <c r="O365" s="8"/>
      <c r="P365" s="8"/>
      <c r="Q365" s="8"/>
      <c r="R365" s="8"/>
      <c r="S365" s="8"/>
      <c r="T365" s="8"/>
      <c r="U365" s="8"/>
    </row>
    <row r="366" spans="10:21">
      <c r="J366" s="8"/>
      <c r="K366" s="8"/>
      <c r="L366" s="8"/>
      <c r="M366" s="8"/>
      <c r="N366" s="8"/>
      <c r="O366" s="8"/>
      <c r="P366" s="8"/>
      <c r="Q366" s="8"/>
      <c r="R366" s="8"/>
      <c r="S366" s="8"/>
      <c r="T366" s="8"/>
      <c r="U366" s="8"/>
    </row>
    <row r="367" spans="10:21">
      <c r="J367" s="8"/>
      <c r="K367" s="8"/>
      <c r="L367" s="8"/>
      <c r="M367" s="8"/>
      <c r="N367" s="8"/>
      <c r="O367" s="8"/>
      <c r="P367" s="8"/>
      <c r="Q367" s="8"/>
      <c r="R367" s="8"/>
      <c r="S367" s="8"/>
      <c r="T367" s="8"/>
      <c r="U367" s="8"/>
    </row>
    <row r="368" spans="10:21">
      <c r="J368" s="8"/>
      <c r="K368" s="8"/>
      <c r="L368" s="8"/>
      <c r="M368" s="8"/>
      <c r="N368" s="8"/>
      <c r="O368" s="8"/>
      <c r="P368" s="8"/>
      <c r="Q368" s="8"/>
      <c r="R368" s="8"/>
      <c r="S368" s="8"/>
      <c r="T368" s="8"/>
      <c r="U368" s="8"/>
    </row>
    <row r="369" spans="10:21">
      <c r="J369" s="8"/>
      <c r="K369" s="8"/>
      <c r="L369" s="8"/>
      <c r="M369" s="8"/>
      <c r="N369" s="8"/>
      <c r="O369" s="8"/>
      <c r="P369" s="8"/>
      <c r="Q369" s="8"/>
      <c r="R369" s="8"/>
      <c r="S369" s="8"/>
      <c r="T369" s="8"/>
      <c r="U369" s="8"/>
    </row>
    <row r="370" spans="10:21">
      <c r="J370" s="8"/>
      <c r="K370" s="8"/>
      <c r="L370" s="8"/>
      <c r="M370" s="8"/>
      <c r="N370" s="8"/>
      <c r="O370" s="8"/>
      <c r="P370" s="8"/>
      <c r="Q370" s="8"/>
      <c r="R370" s="8"/>
      <c r="S370" s="8"/>
      <c r="T370" s="8"/>
      <c r="U370" s="8"/>
    </row>
    <row r="371" spans="10:21">
      <c r="J371" s="8"/>
      <c r="K371" s="8"/>
      <c r="L371" s="8"/>
      <c r="M371" s="8"/>
      <c r="N371" s="8"/>
      <c r="O371" s="8"/>
      <c r="P371" s="8"/>
      <c r="Q371" s="8"/>
      <c r="R371" s="8"/>
      <c r="S371" s="8"/>
      <c r="T371" s="8"/>
      <c r="U371" s="8"/>
    </row>
    <row r="372" spans="10:21">
      <c r="J372" s="8"/>
      <c r="K372" s="8"/>
      <c r="L372" s="8"/>
      <c r="M372" s="8"/>
      <c r="N372" s="8"/>
      <c r="O372" s="8"/>
      <c r="P372" s="8"/>
      <c r="Q372" s="8"/>
      <c r="R372" s="8"/>
      <c r="S372" s="8"/>
      <c r="T372" s="8"/>
      <c r="U372" s="8"/>
    </row>
    <row r="373" spans="10:21">
      <c r="J373" s="8"/>
      <c r="K373" s="8"/>
      <c r="L373" s="8"/>
      <c r="M373" s="8"/>
      <c r="N373" s="8"/>
      <c r="O373" s="8"/>
      <c r="P373" s="8"/>
      <c r="Q373" s="8"/>
      <c r="R373" s="8"/>
      <c r="S373" s="8"/>
      <c r="T373" s="8"/>
      <c r="U373" s="8"/>
    </row>
    <row r="374" spans="10:21">
      <c r="J374" s="8"/>
      <c r="K374" s="8"/>
      <c r="L374" s="8"/>
      <c r="M374" s="8"/>
      <c r="N374" s="8"/>
      <c r="O374" s="8"/>
      <c r="P374" s="8"/>
      <c r="Q374" s="8"/>
      <c r="R374" s="8"/>
      <c r="S374" s="8"/>
      <c r="T374" s="8"/>
      <c r="U374" s="8"/>
    </row>
    <row r="375" spans="10:21">
      <c r="J375" s="8"/>
      <c r="K375" s="8"/>
      <c r="L375" s="8"/>
      <c r="M375" s="8"/>
      <c r="N375" s="8"/>
      <c r="O375" s="8"/>
      <c r="P375" s="8"/>
      <c r="Q375" s="8"/>
      <c r="R375" s="8"/>
      <c r="S375" s="8"/>
      <c r="T375" s="8"/>
      <c r="U375" s="8"/>
    </row>
    <row r="376" spans="10:21">
      <c r="J376" s="8"/>
      <c r="K376" s="8"/>
      <c r="L376" s="8"/>
      <c r="M376" s="8"/>
      <c r="N376" s="8"/>
      <c r="O376" s="8"/>
      <c r="P376" s="8"/>
      <c r="Q376" s="8"/>
      <c r="R376" s="8"/>
      <c r="S376" s="8"/>
      <c r="T376" s="8"/>
      <c r="U376" s="8"/>
    </row>
    <row r="377" spans="10:21">
      <c r="J377" s="8"/>
      <c r="K377" s="8"/>
      <c r="L377" s="8"/>
      <c r="M377" s="8"/>
      <c r="N377" s="8"/>
      <c r="O377" s="8"/>
      <c r="P377" s="8"/>
      <c r="Q377" s="8"/>
      <c r="R377" s="8"/>
      <c r="S377" s="8"/>
      <c r="T377" s="8"/>
      <c r="U377" s="8"/>
    </row>
    <row r="378" spans="10:21">
      <c r="J378" s="8"/>
      <c r="K378" s="8"/>
      <c r="L378" s="8"/>
      <c r="M378" s="8"/>
      <c r="N378" s="8"/>
      <c r="O378" s="8"/>
      <c r="P378" s="8"/>
      <c r="Q378" s="8"/>
      <c r="R378" s="8"/>
      <c r="S378" s="8"/>
      <c r="T378" s="8"/>
      <c r="U378" s="8"/>
    </row>
    <row r="379" spans="10:21">
      <c r="J379" s="8"/>
      <c r="K379" s="8"/>
      <c r="L379" s="8"/>
      <c r="M379" s="8"/>
      <c r="N379" s="8"/>
      <c r="O379" s="8"/>
      <c r="P379" s="8"/>
      <c r="Q379" s="8"/>
      <c r="R379" s="8"/>
      <c r="S379" s="8"/>
      <c r="T379" s="8"/>
      <c r="U379" s="8"/>
    </row>
    <row r="380" spans="10:21">
      <c r="J380" s="8"/>
      <c r="K380" s="8"/>
      <c r="L380" s="8"/>
      <c r="M380" s="8"/>
      <c r="N380" s="8"/>
      <c r="O380" s="8"/>
      <c r="P380" s="8"/>
      <c r="Q380" s="8"/>
      <c r="R380" s="8"/>
      <c r="S380" s="8"/>
      <c r="T380" s="8"/>
      <c r="U380" s="8"/>
    </row>
    <row r="381" spans="10:21">
      <c r="J381" s="8"/>
      <c r="K381" s="8"/>
      <c r="L381" s="8"/>
      <c r="M381" s="8"/>
      <c r="N381" s="8"/>
      <c r="O381" s="8"/>
      <c r="P381" s="8"/>
      <c r="Q381" s="8"/>
      <c r="R381" s="8"/>
      <c r="S381" s="8"/>
      <c r="T381" s="8"/>
      <c r="U381" s="8"/>
    </row>
    <row r="382" spans="10:21">
      <c r="J382" s="8"/>
      <c r="K382" s="8"/>
      <c r="L382" s="8"/>
      <c r="M382" s="8"/>
      <c r="N382" s="8"/>
      <c r="O382" s="8"/>
      <c r="P382" s="8"/>
      <c r="Q382" s="8"/>
      <c r="R382" s="8"/>
      <c r="S382" s="8"/>
      <c r="T382" s="8"/>
      <c r="U382" s="8"/>
    </row>
    <row r="383" spans="10:21">
      <c r="J383" s="8"/>
      <c r="K383" s="8"/>
      <c r="L383" s="8"/>
      <c r="M383" s="8"/>
      <c r="N383" s="8"/>
      <c r="O383" s="8"/>
      <c r="P383" s="8"/>
      <c r="Q383" s="8"/>
      <c r="R383" s="8"/>
      <c r="S383" s="8"/>
      <c r="T383" s="8"/>
      <c r="U383" s="8"/>
    </row>
    <row r="384" spans="10:21">
      <c r="J384" s="8"/>
      <c r="K384" s="8"/>
      <c r="L384" s="8"/>
      <c r="M384" s="8"/>
      <c r="N384" s="8"/>
      <c r="O384" s="8"/>
      <c r="P384" s="8"/>
      <c r="Q384" s="8"/>
      <c r="R384" s="8"/>
      <c r="S384" s="8"/>
      <c r="T384" s="8"/>
      <c r="U384" s="8"/>
    </row>
    <row r="385" spans="10:21">
      <c r="J385" s="8"/>
      <c r="K385" s="8"/>
      <c r="L385" s="8"/>
      <c r="M385" s="8"/>
      <c r="N385" s="8"/>
      <c r="O385" s="8"/>
      <c r="P385" s="8"/>
      <c r="Q385" s="8"/>
      <c r="R385" s="8"/>
      <c r="S385" s="8"/>
      <c r="T385" s="8"/>
      <c r="U385" s="8"/>
    </row>
    <row r="386" spans="10:21">
      <c r="J386" s="8"/>
      <c r="K386" s="8"/>
      <c r="L386" s="8"/>
      <c r="M386" s="8"/>
      <c r="N386" s="8"/>
      <c r="O386" s="8"/>
      <c r="P386" s="8"/>
      <c r="Q386" s="8"/>
      <c r="R386" s="8"/>
      <c r="S386" s="8"/>
      <c r="T386" s="8"/>
      <c r="U386" s="8"/>
    </row>
    <row r="387" spans="10:21">
      <c r="J387" s="8"/>
      <c r="K387" s="8"/>
      <c r="L387" s="8"/>
      <c r="M387" s="8"/>
      <c r="N387" s="8"/>
      <c r="O387" s="8"/>
      <c r="P387" s="8"/>
      <c r="Q387" s="8"/>
      <c r="R387" s="8"/>
      <c r="S387" s="8"/>
      <c r="T387" s="8"/>
      <c r="U387" s="8"/>
    </row>
    <row r="388" spans="10:21">
      <c r="J388" s="8"/>
      <c r="K388" s="8"/>
      <c r="L388" s="8"/>
      <c r="M388" s="8"/>
      <c r="N388" s="8"/>
      <c r="O388" s="8"/>
      <c r="P388" s="8"/>
      <c r="Q388" s="8"/>
      <c r="R388" s="8"/>
      <c r="S388" s="8"/>
      <c r="T388" s="8"/>
      <c r="U388" s="8"/>
    </row>
    <row r="389" spans="10:21">
      <c r="J389" s="8"/>
      <c r="K389" s="8"/>
      <c r="L389" s="8"/>
      <c r="M389" s="8"/>
      <c r="N389" s="8"/>
      <c r="O389" s="8"/>
      <c r="P389" s="8"/>
      <c r="Q389" s="8"/>
      <c r="R389" s="8"/>
      <c r="S389" s="8"/>
      <c r="T389" s="8"/>
      <c r="U389" s="8"/>
    </row>
    <row r="390" spans="10:21">
      <c r="J390" s="8"/>
      <c r="K390" s="8"/>
      <c r="L390" s="8"/>
      <c r="M390" s="8"/>
      <c r="N390" s="8"/>
      <c r="O390" s="8"/>
      <c r="P390" s="8"/>
      <c r="Q390" s="8"/>
      <c r="R390" s="8"/>
      <c r="S390" s="8"/>
      <c r="T390" s="8"/>
      <c r="U390" s="8"/>
    </row>
    <row r="391" spans="10:21">
      <c r="J391" s="8"/>
      <c r="K391" s="8"/>
      <c r="L391" s="8"/>
      <c r="M391" s="8"/>
      <c r="N391" s="8"/>
      <c r="O391" s="8"/>
      <c r="P391" s="8"/>
      <c r="Q391" s="8"/>
      <c r="R391" s="8"/>
      <c r="S391" s="8"/>
      <c r="T391" s="8"/>
      <c r="U391" s="8"/>
    </row>
    <row r="392" spans="10:21">
      <c r="J392" s="8"/>
      <c r="K392" s="8"/>
      <c r="L392" s="8"/>
      <c r="M392" s="8"/>
      <c r="N392" s="8"/>
      <c r="O392" s="8"/>
      <c r="P392" s="8"/>
      <c r="Q392" s="8"/>
      <c r="R392" s="8"/>
      <c r="S392" s="8"/>
      <c r="T392" s="8"/>
      <c r="U392" s="8"/>
    </row>
    <row r="393" spans="10:21">
      <c r="J393" s="8"/>
      <c r="K393" s="8"/>
      <c r="L393" s="8"/>
      <c r="M393" s="8"/>
      <c r="N393" s="8"/>
      <c r="O393" s="8"/>
      <c r="P393" s="8"/>
      <c r="Q393" s="8"/>
      <c r="R393" s="8"/>
      <c r="S393" s="8"/>
      <c r="T393" s="8"/>
      <c r="U393" s="8"/>
    </row>
    <row r="394" spans="10:21">
      <c r="J394" s="8"/>
      <c r="K394" s="8"/>
      <c r="L394" s="8"/>
      <c r="M394" s="8"/>
      <c r="N394" s="8"/>
      <c r="O394" s="8"/>
      <c r="P394" s="8"/>
      <c r="Q394" s="8"/>
      <c r="R394" s="8"/>
      <c r="S394" s="8"/>
      <c r="T394" s="8"/>
      <c r="U394" s="8"/>
    </row>
    <row r="395" spans="10:21">
      <c r="J395" s="8"/>
      <c r="K395" s="8"/>
      <c r="L395" s="8"/>
      <c r="M395" s="8"/>
      <c r="N395" s="8"/>
      <c r="O395" s="8"/>
      <c r="P395" s="8"/>
      <c r="Q395" s="8"/>
      <c r="R395" s="8"/>
      <c r="S395" s="8"/>
      <c r="T395" s="8"/>
      <c r="U395" s="8"/>
    </row>
    <row r="396" spans="10:21">
      <c r="J396" s="8"/>
      <c r="K396" s="8"/>
      <c r="L396" s="8"/>
      <c r="M396" s="8"/>
      <c r="N396" s="8"/>
      <c r="O396" s="8"/>
      <c r="P396" s="8"/>
      <c r="Q396" s="8"/>
      <c r="R396" s="8"/>
      <c r="S396" s="8"/>
      <c r="T396" s="8"/>
      <c r="U396" s="8"/>
    </row>
    <row r="397" spans="10:21">
      <c r="J397" s="8"/>
      <c r="K397" s="8"/>
      <c r="L397" s="8"/>
      <c r="M397" s="8"/>
      <c r="N397" s="8"/>
      <c r="O397" s="8"/>
      <c r="P397" s="8"/>
      <c r="Q397" s="8"/>
      <c r="R397" s="8"/>
      <c r="S397" s="8"/>
      <c r="T397" s="8"/>
      <c r="U397" s="8"/>
    </row>
    <row r="398" spans="10:21">
      <c r="J398" s="8"/>
      <c r="K398" s="8"/>
      <c r="L398" s="8"/>
      <c r="M398" s="8"/>
      <c r="N398" s="8"/>
      <c r="O398" s="8"/>
      <c r="P398" s="8"/>
      <c r="Q398" s="8"/>
      <c r="R398" s="8"/>
      <c r="S398" s="8"/>
      <c r="T398" s="8"/>
      <c r="U398" s="8"/>
    </row>
    <row r="399" spans="10:21">
      <c r="J399" s="8"/>
      <c r="K399" s="8"/>
      <c r="L399" s="8"/>
      <c r="M399" s="8"/>
      <c r="N399" s="8"/>
      <c r="O399" s="8"/>
      <c r="P399" s="8"/>
      <c r="Q399" s="8"/>
      <c r="R399" s="8"/>
      <c r="S399" s="8"/>
      <c r="T399" s="8"/>
      <c r="U399" s="8"/>
    </row>
    <row r="400" spans="10:21">
      <c r="J400" s="8"/>
      <c r="K400" s="8"/>
      <c r="L400" s="8"/>
      <c r="M400" s="8"/>
      <c r="N400" s="8"/>
      <c r="O400" s="8"/>
      <c r="P400" s="8"/>
      <c r="Q400" s="8"/>
      <c r="R400" s="8"/>
      <c r="S400" s="8"/>
      <c r="T400" s="8"/>
      <c r="U400" s="8"/>
    </row>
    <row r="401" spans="10:21">
      <c r="J401" s="8"/>
      <c r="K401" s="8"/>
      <c r="L401" s="8"/>
      <c r="M401" s="8"/>
      <c r="N401" s="8"/>
      <c r="O401" s="8"/>
      <c r="P401" s="8"/>
      <c r="Q401" s="8"/>
      <c r="R401" s="8"/>
      <c r="S401" s="8"/>
      <c r="T401" s="8"/>
      <c r="U401" s="8"/>
    </row>
    <row r="402" spans="10:21">
      <c r="J402" s="8"/>
      <c r="K402" s="8"/>
      <c r="L402" s="8"/>
      <c r="M402" s="8"/>
      <c r="N402" s="8"/>
      <c r="O402" s="8"/>
      <c r="P402" s="8"/>
      <c r="Q402" s="8"/>
      <c r="R402" s="8"/>
      <c r="S402" s="8"/>
      <c r="T402" s="8"/>
      <c r="U402" s="8"/>
    </row>
    <row r="403" spans="10:21">
      <c r="J403" s="8"/>
      <c r="K403" s="8"/>
      <c r="L403" s="8"/>
      <c r="M403" s="8"/>
      <c r="N403" s="8"/>
      <c r="O403" s="8"/>
      <c r="P403" s="8"/>
      <c r="Q403" s="8"/>
      <c r="R403" s="8"/>
      <c r="S403" s="8"/>
      <c r="T403" s="8"/>
      <c r="U403" s="8"/>
    </row>
    <row r="404" spans="10:21">
      <c r="J404" s="8"/>
      <c r="K404" s="8"/>
      <c r="L404" s="8"/>
      <c r="M404" s="8"/>
      <c r="N404" s="8"/>
      <c r="O404" s="8"/>
      <c r="P404" s="8"/>
      <c r="Q404" s="8"/>
      <c r="R404" s="8"/>
      <c r="S404" s="8"/>
      <c r="T404" s="8"/>
      <c r="U404" s="8"/>
    </row>
    <row r="405" spans="10:21">
      <c r="J405" s="8"/>
      <c r="K405" s="8"/>
      <c r="L405" s="8"/>
      <c r="M405" s="8"/>
      <c r="N405" s="8"/>
      <c r="O405" s="8"/>
      <c r="P405" s="8"/>
      <c r="Q405" s="8"/>
      <c r="R405" s="8"/>
      <c r="S405" s="8"/>
      <c r="T405" s="8"/>
      <c r="U405" s="8"/>
    </row>
    <row r="406" spans="10:21">
      <c r="J406" s="8"/>
      <c r="K406" s="8"/>
      <c r="L406" s="8"/>
      <c r="M406" s="8"/>
      <c r="N406" s="8"/>
      <c r="O406" s="8"/>
      <c r="P406" s="8"/>
      <c r="Q406" s="8"/>
      <c r="R406" s="8"/>
      <c r="S406" s="8"/>
      <c r="T406" s="8"/>
      <c r="U406" s="8"/>
    </row>
    <row r="407" spans="10:21">
      <c r="J407" s="8"/>
      <c r="K407" s="8"/>
      <c r="L407" s="8"/>
      <c r="M407" s="8"/>
      <c r="N407" s="8"/>
      <c r="O407" s="8"/>
      <c r="P407" s="8"/>
      <c r="Q407" s="8"/>
      <c r="R407" s="8"/>
      <c r="S407" s="8"/>
      <c r="T407" s="8"/>
      <c r="U407" s="8"/>
    </row>
    <row r="408" spans="10:21">
      <c r="J408" s="8"/>
      <c r="K408" s="8"/>
      <c r="L408" s="8"/>
      <c r="M408" s="8"/>
      <c r="N408" s="8"/>
      <c r="O408" s="8"/>
      <c r="P408" s="8"/>
      <c r="Q408" s="8"/>
      <c r="R408" s="8"/>
      <c r="S408" s="8"/>
      <c r="T408" s="8"/>
      <c r="U408" s="8"/>
    </row>
    <row r="409" spans="10:21">
      <c r="J409" s="8"/>
      <c r="K409" s="8"/>
      <c r="L409" s="8"/>
      <c r="M409" s="8"/>
      <c r="N409" s="8"/>
      <c r="O409" s="8"/>
      <c r="P409" s="8"/>
      <c r="Q409" s="8"/>
      <c r="R409" s="8"/>
      <c r="S409" s="8"/>
      <c r="T409" s="8"/>
      <c r="U409" s="8"/>
    </row>
    <row r="410" spans="10:21">
      <c r="J410" s="8"/>
      <c r="K410" s="8"/>
      <c r="L410" s="8"/>
      <c r="M410" s="8"/>
      <c r="N410" s="8"/>
      <c r="O410" s="8"/>
      <c r="P410" s="8"/>
      <c r="Q410" s="8"/>
      <c r="R410" s="8"/>
      <c r="S410" s="8"/>
      <c r="T410" s="8"/>
      <c r="U410" s="8"/>
    </row>
    <row r="411" spans="10:21">
      <c r="J411" s="8"/>
      <c r="K411" s="8"/>
      <c r="L411" s="8"/>
      <c r="M411" s="8"/>
      <c r="N411" s="8"/>
      <c r="O411" s="8"/>
      <c r="P411" s="8"/>
      <c r="Q411" s="8"/>
      <c r="R411" s="8"/>
      <c r="S411" s="8"/>
      <c r="T411" s="8"/>
      <c r="U411" s="8"/>
    </row>
    <row r="412" spans="10:21">
      <c r="J412" s="8"/>
      <c r="K412" s="8"/>
      <c r="L412" s="8"/>
      <c r="M412" s="8"/>
      <c r="N412" s="8"/>
      <c r="O412" s="8"/>
      <c r="P412" s="8"/>
      <c r="Q412" s="8"/>
      <c r="R412" s="8"/>
      <c r="S412" s="8"/>
      <c r="T412" s="8"/>
      <c r="U412" s="8"/>
    </row>
    <row r="413" spans="10:21">
      <c r="J413" s="8"/>
      <c r="K413" s="8"/>
      <c r="L413" s="8"/>
      <c r="M413" s="8"/>
      <c r="N413" s="8"/>
      <c r="O413" s="8"/>
      <c r="P413" s="8"/>
      <c r="Q413" s="8"/>
      <c r="R413" s="8"/>
      <c r="S413" s="8"/>
      <c r="T413" s="8"/>
      <c r="U413" s="8"/>
    </row>
    <row r="414" spans="10:21">
      <c r="J414" s="8"/>
      <c r="K414" s="8"/>
      <c r="L414" s="8"/>
      <c r="M414" s="8"/>
      <c r="N414" s="8"/>
      <c r="O414" s="8"/>
      <c r="P414" s="8"/>
      <c r="Q414" s="8"/>
      <c r="R414" s="8"/>
      <c r="S414" s="8"/>
      <c r="T414" s="8"/>
      <c r="U414" s="8"/>
    </row>
    <row r="415" spans="10:21">
      <c r="J415" s="8"/>
      <c r="K415" s="8"/>
      <c r="L415" s="8"/>
      <c r="M415" s="8"/>
      <c r="N415" s="8"/>
      <c r="O415" s="8"/>
      <c r="P415" s="8"/>
      <c r="Q415" s="8"/>
      <c r="R415" s="8"/>
      <c r="S415" s="8"/>
      <c r="T415" s="8"/>
      <c r="U415" s="8"/>
    </row>
    <row r="416" spans="10:21">
      <c r="J416" s="8"/>
      <c r="K416" s="8"/>
      <c r="L416" s="8"/>
      <c r="M416" s="8"/>
      <c r="N416" s="8"/>
      <c r="O416" s="8"/>
      <c r="P416" s="8"/>
      <c r="Q416" s="8"/>
      <c r="R416" s="8"/>
      <c r="S416" s="8"/>
      <c r="T416" s="8"/>
      <c r="U416" s="8"/>
    </row>
    <row r="417" spans="10:21">
      <c r="J417" s="8"/>
      <c r="K417" s="8"/>
      <c r="L417" s="8"/>
      <c r="M417" s="8"/>
      <c r="N417" s="8"/>
      <c r="O417" s="8"/>
      <c r="P417" s="8"/>
      <c r="Q417" s="8"/>
      <c r="R417" s="8"/>
      <c r="S417" s="8"/>
      <c r="T417" s="8"/>
      <c r="U417" s="8"/>
    </row>
    <row r="418" spans="10:21">
      <c r="J418" s="8"/>
      <c r="K418" s="8"/>
      <c r="L418" s="8"/>
      <c r="M418" s="8"/>
      <c r="N418" s="8"/>
      <c r="O418" s="8"/>
      <c r="P418" s="8"/>
      <c r="Q418" s="8"/>
      <c r="R418" s="8"/>
      <c r="S418" s="8"/>
      <c r="T418" s="8"/>
      <c r="U418" s="8"/>
    </row>
    <row r="419" spans="10:21">
      <c r="J419" s="8"/>
      <c r="K419" s="8"/>
      <c r="L419" s="8"/>
      <c r="M419" s="8"/>
      <c r="N419" s="8"/>
      <c r="O419" s="8"/>
      <c r="P419" s="8"/>
      <c r="Q419" s="8"/>
      <c r="R419" s="8"/>
      <c r="S419" s="8"/>
      <c r="T419" s="8"/>
      <c r="U419" s="8"/>
    </row>
    <row r="420" spans="10:21">
      <c r="J420" s="8"/>
      <c r="K420" s="8"/>
      <c r="L420" s="8"/>
      <c r="M420" s="8"/>
      <c r="N420" s="8"/>
      <c r="O420" s="8"/>
      <c r="P420" s="8"/>
      <c r="Q420" s="8"/>
      <c r="R420" s="8"/>
      <c r="S420" s="8"/>
      <c r="T420" s="8"/>
      <c r="U420" s="8"/>
    </row>
    <row r="421" spans="10:21">
      <c r="J421" s="8"/>
      <c r="K421" s="8"/>
      <c r="L421" s="8"/>
      <c r="M421" s="8"/>
      <c r="N421" s="8"/>
      <c r="O421" s="8"/>
      <c r="P421" s="8"/>
      <c r="Q421" s="8"/>
      <c r="R421" s="8"/>
      <c r="S421" s="8"/>
      <c r="T421" s="8"/>
      <c r="U421" s="8"/>
    </row>
    <row r="422" spans="10:21">
      <c r="J422" s="8"/>
      <c r="K422" s="8"/>
      <c r="L422" s="8"/>
      <c r="M422" s="8"/>
      <c r="N422" s="8"/>
      <c r="O422" s="8"/>
      <c r="P422" s="8"/>
      <c r="Q422" s="8"/>
      <c r="R422" s="8"/>
      <c r="S422" s="8"/>
      <c r="T422" s="8"/>
      <c r="U422" s="8"/>
    </row>
    <row r="423" spans="10:21">
      <c r="J423" s="8"/>
      <c r="K423" s="8"/>
      <c r="L423" s="8"/>
      <c r="M423" s="8"/>
      <c r="N423" s="8"/>
      <c r="O423" s="8"/>
      <c r="P423" s="8"/>
      <c r="Q423" s="8"/>
      <c r="R423" s="8"/>
      <c r="S423" s="8"/>
      <c r="T423" s="8"/>
      <c r="U423" s="8"/>
    </row>
    <row r="424" spans="10:21">
      <c r="J424" s="8"/>
      <c r="K424" s="8"/>
      <c r="L424" s="8"/>
      <c r="M424" s="8"/>
      <c r="N424" s="8"/>
      <c r="O424" s="8"/>
      <c r="P424" s="8"/>
      <c r="Q424" s="8"/>
      <c r="R424" s="8"/>
      <c r="S424" s="8"/>
      <c r="T424" s="8"/>
      <c r="U424" s="8"/>
    </row>
    <row r="425" spans="10:21">
      <c r="J425" s="8"/>
      <c r="K425" s="8"/>
      <c r="L425" s="8"/>
      <c r="M425" s="8"/>
      <c r="N425" s="8"/>
      <c r="O425" s="8"/>
      <c r="P425" s="8"/>
      <c r="Q425" s="8"/>
      <c r="R425" s="8"/>
      <c r="S425" s="8"/>
      <c r="T425" s="8"/>
      <c r="U425" s="8"/>
    </row>
    <row r="426" spans="10:21">
      <c r="J426" s="8"/>
      <c r="K426" s="8"/>
      <c r="L426" s="8"/>
      <c r="M426" s="8"/>
      <c r="N426" s="8"/>
      <c r="O426" s="8"/>
      <c r="P426" s="8"/>
      <c r="Q426" s="8"/>
      <c r="R426" s="8"/>
      <c r="S426" s="8"/>
      <c r="T426" s="8"/>
      <c r="U426" s="8"/>
    </row>
    <row r="427" spans="10:21">
      <c r="J427" s="8"/>
      <c r="K427" s="8"/>
      <c r="L427" s="8"/>
      <c r="M427" s="8"/>
      <c r="N427" s="8"/>
      <c r="O427" s="8"/>
      <c r="P427" s="8"/>
      <c r="Q427" s="8"/>
      <c r="R427" s="8"/>
      <c r="S427" s="8"/>
      <c r="T427" s="8"/>
      <c r="U427" s="8"/>
    </row>
    <row r="428" spans="10:21">
      <c r="J428" s="8"/>
      <c r="K428" s="8"/>
      <c r="L428" s="8"/>
      <c r="M428" s="8"/>
      <c r="N428" s="8"/>
      <c r="O428" s="8"/>
      <c r="P428" s="8"/>
      <c r="Q428" s="8"/>
      <c r="R428" s="8"/>
      <c r="S428" s="8"/>
      <c r="T428" s="8"/>
      <c r="U428" s="8"/>
    </row>
    <row r="429" spans="10:21">
      <c r="J429" s="8"/>
      <c r="K429" s="8"/>
      <c r="L429" s="8"/>
      <c r="M429" s="8"/>
      <c r="N429" s="8"/>
      <c r="O429" s="8"/>
      <c r="P429" s="8"/>
      <c r="Q429" s="8"/>
      <c r="R429" s="8"/>
      <c r="S429" s="8"/>
      <c r="T429" s="8"/>
      <c r="U429" s="8"/>
    </row>
    <row r="430" spans="10:21">
      <c r="J430" s="8"/>
      <c r="K430" s="8"/>
      <c r="L430" s="8"/>
      <c r="M430" s="8"/>
      <c r="N430" s="8"/>
      <c r="O430" s="8"/>
      <c r="P430" s="8"/>
      <c r="Q430" s="8"/>
      <c r="R430" s="8"/>
      <c r="S430" s="8"/>
      <c r="T430" s="8"/>
      <c r="U430" s="8"/>
    </row>
    <row r="431" spans="10:21">
      <c r="J431" s="8"/>
      <c r="K431" s="8"/>
      <c r="L431" s="8"/>
      <c r="M431" s="8"/>
      <c r="N431" s="8"/>
      <c r="O431" s="8"/>
      <c r="P431" s="8"/>
      <c r="Q431" s="8"/>
      <c r="R431" s="8"/>
      <c r="S431" s="8"/>
      <c r="T431" s="8"/>
      <c r="U431" s="8"/>
    </row>
    <row r="432" spans="10:21">
      <c r="J432" s="8"/>
      <c r="K432" s="8"/>
      <c r="L432" s="8"/>
      <c r="M432" s="8"/>
      <c r="N432" s="8"/>
      <c r="O432" s="8"/>
      <c r="P432" s="8"/>
      <c r="Q432" s="8"/>
      <c r="R432" s="8"/>
      <c r="S432" s="8"/>
      <c r="T432" s="8"/>
      <c r="U432" s="8"/>
    </row>
    <row r="433" spans="10:21">
      <c r="J433" s="8"/>
      <c r="K433" s="8"/>
      <c r="L433" s="8"/>
      <c r="M433" s="8"/>
      <c r="N433" s="8"/>
      <c r="O433" s="8"/>
      <c r="P433" s="8"/>
      <c r="Q433" s="8"/>
      <c r="R433" s="8"/>
      <c r="S433" s="8"/>
      <c r="T433" s="8"/>
      <c r="U433" s="8"/>
    </row>
    <row r="434" spans="10:21">
      <c r="J434" s="8"/>
      <c r="K434" s="8"/>
      <c r="L434" s="8"/>
      <c r="M434" s="8"/>
      <c r="N434" s="8"/>
      <c r="O434" s="8"/>
      <c r="P434" s="8"/>
      <c r="Q434" s="8"/>
      <c r="R434" s="8"/>
      <c r="S434" s="8"/>
      <c r="T434" s="8"/>
      <c r="U434" s="8"/>
    </row>
    <row r="435" spans="10:21">
      <c r="J435" s="8"/>
      <c r="K435" s="8"/>
      <c r="L435" s="8"/>
      <c r="M435" s="8"/>
      <c r="N435" s="8"/>
      <c r="O435" s="8"/>
      <c r="P435" s="8"/>
      <c r="Q435" s="8"/>
      <c r="R435" s="8"/>
      <c r="S435" s="8"/>
      <c r="T435" s="8"/>
      <c r="U435" s="8"/>
    </row>
    <row r="436" spans="10:21">
      <c r="J436" s="8"/>
      <c r="K436" s="8"/>
      <c r="L436" s="8"/>
      <c r="M436" s="8"/>
      <c r="N436" s="8"/>
      <c r="O436" s="8"/>
      <c r="P436" s="8"/>
      <c r="Q436" s="8"/>
      <c r="R436" s="8"/>
      <c r="S436" s="8"/>
      <c r="T436" s="8"/>
      <c r="U436" s="8"/>
    </row>
    <row r="437" spans="10:21">
      <c r="J437" s="8"/>
      <c r="K437" s="8"/>
      <c r="L437" s="8"/>
      <c r="M437" s="8"/>
      <c r="N437" s="8"/>
      <c r="O437" s="8"/>
      <c r="P437" s="8"/>
      <c r="Q437" s="8"/>
      <c r="R437" s="8"/>
      <c r="S437" s="8"/>
      <c r="T437" s="8"/>
      <c r="U437" s="8"/>
    </row>
    <row r="438" spans="10:21">
      <c r="J438" s="8"/>
      <c r="K438" s="8"/>
      <c r="L438" s="8"/>
      <c r="M438" s="8"/>
      <c r="N438" s="8"/>
      <c r="O438" s="8"/>
      <c r="P438" s="8"/>
      <c r="Q438" s="8"/>
      <c r="R438" s="8"/>
      <c r="S438" s="8"/>
      <c r="T438" s="8"/>
      <c r="U438" s="8"/>
    </row>
    <row r="439" spans="10:21">
      <c r="J439" s="8"/>
      <c r="K439" s="8"/>
      <c r="L439" s="8"/>
      <c r="M439" s="8"/>
      <c r="N439" s="8"/>
      <c r="O439" s="8"/>
      <c r="P439" s="8"/>
      <c r="Q439" s="8"/>
      <c r="R439" s="8"/>
      <c r="S439" s="8"/>
      <c r="T439" s="8"/>
      <c r="U439" s="8"/>
    </row>
    <row r="440" spans="10:21">
      <c r="J440" s="8"/>
      <c r="K440" s="8"/>
      <c r="L440" s="8"/>
      <c r="M440" s="8"/>
      <c r="N440" s="8"/>
      <c r="O440" s="8"/>
      <c r="P440" s="8"/>
      <c r="Q440" s="8"/>
      <c r="R440" s="8"/>
      <c r="S440" s="8"/>
      <c r="T440" s="8"/>
      <c r="U440" s="8"/>
    </row>
    <row r="441" spans="10:21">
      <c r="J441" s="8"/>
      <c r="K441" s="8"/>
      <c r="L441" s="8"/>
      <c r="M441" s="8"/>
      <c r="N441" s="8"/>
      <c r="O441" s="8"/>
      <c r="P441" s="8"/>
      <c r="Q441" s="8"/>
      <c r="R441" s="8"/>
      <c r="S441" s="8"/>
      <c r="T441" s="8"/>
      <c r="U441" s="8"/>
    </row>
    <row r="442" spans="10:21">
      <c r="J442" s="8"/>
      <c r="K442" s="8"/>
      <c r="L442" s="8"/>
      <c r="M442" s="8"/>
      <c r="N442" s="8"/>
      <c r="O442" s="8"/>
      <c r="P442" s="8"/>
      <c r="Q442" s="8"/>
      <c r="R442" s="8"/>
      <c r="S442" s="8"/>
      <c r="T442" s="8"/>
      <c r="U442" s="8"/>
    </row>
    <row r="443" spans="10:21">
      <c r="J443" s="8"/>
      <c r="K443" s="8"/>
      <c r="L443" s="8"/>
      <c r="M443" s="8"/>
      <c r="N443" s="8"/>
      <c r="O443" s="8"/>
      <c r="P443" s="8"/>
      <c r="Q443" s="8"/>
      <c r="R443" s="8"/>
      <c r="S443" s="8"/>
      <c r="T443" s="8"/>
      <c r="U443" s="8"/>
    </row>
    <row r="444" spans="10:21">
      <c r="J444" s="8"/>
      <c r="K444" s="8"/>
      <c r="L444" s="8"/>
      <c r="M444" s="8"/>
      <c r="N444" s="8"/>
      <c r="O444" s="8"/>
      <c r="P444" s="8"/>
      <c r="Q444" s="8"/>
      <c r="R444" s="8"/>
      <c r="S444" s="8"/>
      <c r="T444" s="8"/>
      <c r="U444" s="8"/>
    </row>
    <row r="445" spans="10:21">
      <c r="J445" s="8"/>
      <c r="K445" s="8"/>
      <c r="L445" s="8"/>
      <c r="M445" s="8"/>
      <c r="N445" s="8"/>
      <c r="O445" s="8"/>
      <c r="P445" s="8"/>
      <c r="Q445" s="8"/>
      <c r="R445" s="8"/>
      <c r="S445" s="8"/>
      <c r="T445" s="8"/>
      <c r="U445" s="8"/>
    </row>
    <row r="446" spans="10:21">
      <c r="J446" s="8"/>
      <c r="K446" s="8"/>
      <c r="L446" s="8"/>
      <c r="M446" s="8"/>
      <c r="N446" s="8"/>
      <c r="O446" s="8"/>
      <c r="P446" s="8"/>
      <c r="Q446" s="8"/>
      <c r="R446" s="8"/>
      <c r="S446" s="8"/>
      <c r="T446" s="8"/>
      <c r="U446" s="8"/>
    </row>
    <row r="447" spans="10:21">
      <c r="J447" s="8"/>
      <c r="K447" s="8"/>
      <c r="L447" s="8"/>
      <c r="M447" s="8"/>
      <c r="N447" s="8"/>
      <c r="O447" s="8"/>
      <c r="P447" s="8"/>
      <c r="Q447" s="8"/>
      <c r="R447" s="8"/>
      <c r="S447" s="8"/>
      <c r="T447" s="8"/>
      <c r="U447" s="8"/>
    </row>
    <row r="448" spans="10:21">
      <c r="J448" s="8"/>
      <c r="K448" s="8"/>
      <c r="L448" s="8"/>
      <c r="M448" s="8"/>
      <c r="N448" s="8"/>
      <c r="O448" s="8"/>
      <c r="P448" s="8"/>
      <c r="Q448" s="8"/>
      <c r="R448" s="8"/>
      <c r="S448" s="8"/>
      <c r="T448" s="8"/>
      <c r="U448" s="8"/>
    </row>
    <row r="449" spans="10:21">
      <c r="J449" s="8"/>
      <c r="K449" s="8"/>
      <c r="L449" s="8"/>
      <c r="M449" s="8"/>
      <c r="N449" s="8"/>
      <c r="O449" s="8"/>
      <c r="P449" s="8"/>
      <c r="Q449" s="8"/>
      <c r="R449" s="8"/>
      <c r="S449" s="8"/>
      <c r="T449" s="8"/>
      <c r="U449" s="8"/>
    </row>
    <row r="450" spans="10:21">
      <c r="J450" s="8"/>
      <c r="K450" s="8"/>
      <c r="L450" s="8"/>
      <c r="M450" s="8"/>
      <c r="N450" s="8"/>
      <c r="O450" s="8"/>
      <c r="P450" s="8"/>
      <c r="Q450" s="8"/>
      <c r="R450" s="8"/>
      <c r="S450" s="8"/>
      <c r="T450" s="8"/>
      <c r="U450" s="8"/>
    </row>
    <row r="451" spans="10:21">
      <c r="J451" s="8"/>
      <c r="K451" s="8"/>
      <c r="L451" s="8"/>
      <c r="M451" s="8"/>
      <c r="N451" s="8"/>
      <c r="O451" s="8"/>
      <c r="P451" s="8"/>
      <c r="Q451" s="8"/>
      <c r="R451" s="8"/>
      <c r="S451" s="8"/>
      <c r="T451" s="8"/>
      <c r="U451" s="8"/>
    </row>
    <row r="452" spans="10:21">
      <c r="J452" s="8"/>
      <c r="K452" s="8"/>
      <c r="L452" s="8"/>
      <c r="M452" s="8"/>
      <c r="N452" s="8"/>
      <c r="O452" s="8"/>
      <c r="P452" s="8"/>
      <c r="Q452" s="8"/>
      <c r="R452" s="8"/>
      <c r="S452" s="8"/>
      <c r="T452" s="8"/>
      <c r="U452" s="8"/>
    </row>
    <row r="453" spans="10:21">
      <c r="J453" s="8"/>
      <c r="K453" s="8"/>
      <c r="L453" s="8"/>
      <c r="M453" s="8"/>
      <c r="N453" s="8"/>
      <c r="O453" s="8"/>
      <c r="P453" s="8"/>
      <c r="Q453" s="8"/>
      <c r="R453" s="8"/>
      <c r="S453" s="8"/>
      <c r="T453" s="8"/>
      <c r="U453" s="8"/>
    </row>
    <row r="454" spans="10:21">
      <c r="J454" s="8"/>
      <c r="K454" s="8"/>
      <c r="L454" s="8"/>
      <c r="M454" s="8"/>
      <c r="N454" s="8"/>
      <c r="O454" s="8"/>
      <c r="P454" s="8"/>
      <c r="Q454" s="8"/>
      <c r="R454" s="8"/>
      <c r="S454" s="8"/>
      <c r="T454" s="8"/>
      <c r="U454" s="8"/>
    </row>
    <row r="455" spans="10:21">
      <c r="J455" s="8"/>
      <c r="K455" s="8"/>
      <c r="L455" s="8"/>
      <c r="M455" s="8"/>
      <c r="N455" s="8"/>
      <c r="O455" s="8"/>
      <c r="P455" s="8"/>
      <c r="Q455" s="8"/>
      <c r="R455" s="8"/>
      <c r="S455" s="8"/>
      <c r="T455" s="8"/>
      <c r="U455" s="8"/>
    </row>
    <row r="456" spans="10:21">
      <c r="J456" s="8"/>
      <c r="K456" s="8"/>
      <c r="L456" s="8"/>
      <c r="M456" s="8"/>
      <c r="N456" s="8"/>
      <c r="O456" s="8"/>
      <c r="P456" s="8"/>
      <c r="Q456" s="8"/>
      <c r="R456" s="8"/>
      <c r="S456" s="8"/>
      <c r="T456" s="8"/>
      <c r="U456" s="8"/>
    </row>
    <row r="457" spans="10:21">
      <c r="J457" s="8"/>
      <c r="K457" s="8"/>
      <c r="L457" s="8"/>
      <c r="M457" s="8"/>
      <c r="N457" s="8"/>
      <c r="O457" s="8"/>
      <c r="P457" s="8"/>
      <c r="Q457" s="8"/>
      <c r="R457" s="8"/>
      <c r="S457" s="8"/>
      <c r="T457" s="8"/>
      <c r="U457" s="8"/>
    </row>
    <row r="458" spans="10:21">
      <c r="J458" s="8"/>
      <c r="K458" s="8"/>
      <c r="L458" s="8"/>
      <c r="M458" s="8"/>
      <c r="N458" s="8"/>
      <c r="O458" s="8"/>
      <c r="P458" s="8"/>
      <c r="Q458" s="8"/>
      <c r="R458" s="8"/>
      <c r="S458" s="8"/>
      <c r="T458" s="8"/>
      <c r="U458" s="8"/>
    </row>
    <row r="459" spans="10:21">
      <c r="J459" s="8"/>
      <c r="K459" s="8"/>
      <c r="L459" s="8"/>
      <c r="M459" s="8"/>
      <c r="N459" s="8"/>
      <c r="O459" s="8"/>
      <c r="P459" s="8"/>
      <c r="Q459" s="8"/>
      <c r="R459" s="8"/>
      <c r="S459" s="8"/>
      <c r="T459" s="8"/>
      <c r="U459" s="8"/>
    </row>
    <row r="460" spans="10:21">
      <c r="J460" s="8"/>
      <c r="K460" s="8"/>
      <c r="L460" s="8"/>
      <c r="M460" s="8"/>
      <c r="N460" s="8"/>
      <c r="O460" s="8"/>
      <c r="P460" s="8"/>
      <c r="Q460" s="8"/>
      <c r="R460" s="8"/>
      <c r="S460" s="8"/>
      <c r="T460" s="8"/>
      <c r="U460" s="8"/>
    </row>
    <row r="461" spans="10:21">
      <c r="J461" s="8"/>
      <c r="K461" s="8"/>
      <c r="L461" s="8"/>
      <c r="M461" s="8"/>
      <c r="N461" s="8"/>
      <c r="O461" s="8"/>
      <c r="P461" s="8"/>
      <c r="Q461" s="8"/>
      <c r="R461" s="8"/>
      <c r="S461" s="8"/>
      <c r="T461" s="8"/>
      <c r="U461" s="8"/>
    </row>
    <row r="462" spans="10:21">
      <c r="J462" s="8"/>
      <c r="K462" s="8"/>
      <c r="L462" s="8"/>
      <c r="M462" s="8"/>
      <c r="N462" s="8"/>
      <c r="O462" s="8"/>
      <c r="P462" s="8"/>
      <c r="Q462" s="8"/>
      <c r="R462" s="8"/>
      <c r="S462" s="8"/>
      <c r="T462" s="8"/>
      <c r="U462" s="8"/>
    </row>
    <row r="463" spans="10:21">
      <c r="J463" s="8"/>
      <c r="K463" s="8"/>
      <c r="L463" s="8"/>
      <c r="M463" s="8"/>
      <c r="N463" s="8"/>
      <c r="O463" s="8"/>
      <c r="P463" s="8"/>
      <c r="Q463" s="8"/>
      <c r="R463" s="8"/>
      <c r="S463" s="8"/>
      <c r="T463" s="8"/>
      <c r="U463" s="8"/>
    </row>
    <row r="464" spans="10:21">
      <c r="J464" s="8"/>
      <c r="K464" s="8"/>
      <c r="L464" s="8"/>
      <c r="M464" s="8"/>
      <c r="N464" s="8"/>
      <c r="O464" s="8"/>
      <c r="P464" s="8"/>
      <c r="Q464" s="8"/>
      <c r="R464" s="8"/>
      <c r="S464" s="8"/>
      <c r="T464" s="8"/>
      <c r="U464" s="8"/>
    </row>
    <row r="465" spans="10:21">
      <c r="J465" s="8"/>
      <c r="K465" s="8"/>
      <c r="L465" s="8"/>
      <c r="M465" s="8"/>
      <c r="N465" s="8"/>
      <c r="O465" s="8"/>
      <c r="P465" s="8"/>
      <c r="Q465" s="8"/>
      <c r="R465" s="8"/>
      <c r="S465" s="8"/>
      <c r="T465" s="8"/>
      <c r="U465" s="8"/>
    </row>
    <row r="466" spans="10:21">
      <c r="J466" s="8"/>
      <c r="K466" s="8"/>
      <c r="L466" s="8"/>
      <c r="M466" s="8"/>
      <c r="N466" s="8"/>
      <c r="O466" s="8"/>
      <c r="P466" s="8"/>
      <c r="Q466" s="8"/>
      <c r="R466" s="8"/>
      <c r="S466" s="8"/>
      <c r="T466" s="8"/>
      <c r="U466" s="8"/>
    </row>
    <row r="467" spans="10:21">
      <c r="J467" s="8"/>
      <c r="K467" s="8"/>
      <c r="L467" s="8"/>
      <c r="M467" s="8"/>
      <c r="N467" s="8"/>
      <c r="O467" s="8"/>
      <c r="P467" s="8"/>
      <c r="Q467" s="8"/>
      <c r="R467" s="8"/>
      <c r="S467" s="8"/>
      <c r="T467" s="8"/>
      <c r="U467" s="8"/>
    </row>
    <row r="468" spans="10:21">
      <c r="J468" s="8"/>
      <c r="K468" s="8"/>
      <c r="L468" s="8"/>
      <c r="M468" s="8"/>
      <c r="N468" s="8"/>
      <c r="O468" s="8"/>
      <c r="P468" s="8"/>
      <c r="Q468" s="8"/>
      <c r="R468" s="8"/>
      <c r="S468" s="8"/>
      <c r="T468" s="8"/>
      <c r="U468" s="8"/>
    </row>
    <row r="469" spans="10:21">
      <c r="J469" s="8"/>
      <c r="K469" s="8"/>
      <c r="L469" s="8"/>
      <c r="M469" s="8"/>
      <c r="N469" s="8"/>
      <c r="O469" s="8"/>
      <c r="P469" s="8"/>
      <c r="Q469" s="8"/>
      <c r="R469" s="8"/>
      <c r="S469" s="8"/>
      <c r="T469" s="8"/>
      <c r="U469" s="8"/>
    </row>
    <row r="470" spans="10:21">
      <c r="J470" s="8"/>
      <c r="K470" s="8"/>
      <c r="L470" s="8"/>
      <c r="M470" s="8"/>
      <c r="N470" s="8"/>
      <c r="O470" s="8"/>
      <c r="P470" s="8"/>
      <c r="Q470" s="8"/>
      <c r="R470" s="8"/>
      <c r="S470" s="8"/>
      <c r="T470" s="8"/>
      <c r="U470" s="8"/>
    </row>
    <row r="471" spans="10:21">
      <c r="J471" s="8"/>
      <c r="K471" s="8"/>
      <c r="L471" s="8"/>
      <c r="M471" s="8"/>
      <c r="N471" s="8"/>
      <c r="O471" s="8"/>
      <c r="P471" s="8"/>
      <c r="Q471" s="8"/>
      <c r="R471" s="8"/>
      <c r="S471" s="8"/>
      <c r="T471" s="8"/>
      <c r="U471" s="8"/>
    </row>
    <row r="472" spans="10:21">
      <c r="J472" s="8"/>
      <c r="K472" s="8"/>
      <c r="L472" s="8"/>
      <c r="M472" s="8"/>
      <c r="N472" s="8"/>
      <c r="O472" s="8"/>
      <c r="P472" s="8"/>
      <c r="Q472" s="8"/>
      <c r="R472" s="8"/>
      <c r="S472" s="8"/>
      <c r="T472" s="8"/>
      <c r="U472" s="8"/>
    </row>
    <row r="473" spans="10:21">
      <c r="J473" s="8"/>
      <c r="K473" s="8"/>
      <c r="L473" s="8"/>
      <c r="M473" s="8"/>
      <c r="N473" s="8"/>
      <c r="O473" s="8"/>
      <c r="P473" s="8"/>
      <c r="Q473" s="8"/>
      <c r="R473" s="8"/>
      <c r="S473" s="8"/>
      <c r="T473" s="8"/>
      <c r="U473" s="8"/>
    </row>
    <row r="474" spans="10:21">
      <c r="J474" s="8"/>
      <c r="K474" s="8"/>
      <c r="L474" s="8"/>
      <c r="M474" s="8"/>
      <c r="N474" s="8"/>
      <c r="O474" s="8"/>
      <c r="P474" s="8"/>
      <c r="Q474" s="8"/>
      <c r="R474" s="8"/>
      <c r="S474" s="8"/>
      <c r="T474" s="8"/>
      <c r="U474" s="8"/>
    </row>
    <row r="475" spans="10:21">
      <c r="J475" s="8"/>
      <c r="K475" s="8"/>
      <c r="L475" s="8"/>
      <c r="M475" s="8"/>
      <c r="N475" s="8"/>
      <c r="O475" s="8"/>
      <c r="P475" s="8"/>
      <c r="Q475" s="8"/>
      <c r="R475" s="8"/>
      <c r="S475" s="8"/>
      <c r="T475" s="8"/>
      <c r="U475" s="8"/>
    </row>
    <row r="476" spans="10:21">
      <c r="J476" s="8"/>
      <c r="K476" s="8"/>
      <c r="L476" s="8"/>
      <c r="M476" s="8"/>
      <c r="N476" s="8"/>
      <c r="O476" s="8"/>
      <c r="P476" s="8"/>
      <c r="Q476" s="8"/>
      <c r="R476" s="8"/>
      <c r="S476" s="8"/>
      <c r="T476" s="8"/>
      <c r="U476" s="8"/>
    </row>
    <row r="477" spans="10:21">
      <c r="J477" s="8"/>
      <c r="K477" s="8"/>
      <c r="L477" s="8"/>
      <c r="M477" s="8"/>
      <c r="N477" s="8"/>
      <c r="O477" s="8"/>
      <c r="P477" s="8"/>
      <c r="Q477" s="8"/>
      <c r="R477" s="8"/>
      <c r="S477" s="8"/>
      <c r="T477" s="8"/>
      <c r="U477" s="8"/>
    </row>
    <row r="478" spans="10:21">
      <c r="J478" s="8"/>
      <c r="K478" s="8"/>
      <c r="L478" s="8"/>
      <c r="M478" s="8"/>
      <c r="N478" s="8"/>
      <c r="O478" s="8"/>
      <c r="P478" s="8"/>
      <c r="Q478" s="8"/>
      <c r="R478" s="8"/>
      <c r="S478" s="8"/>
      <c r="T478" s="8"/>
      <c r="U478" s="8"/>
    </row>
    <row r="479" spans="10:21">
      <c r="J479" s="8"/>
      <c r="K479" s="8"/>
      <c r="L479" s="8"/>
      <c r="M479" s="8"/>
      <c r="N479" s="8"/>
      <c r="O479" s="8"/>
      <c r="P479" s="8"/>
      <c r="Q479" s="8"/>
      <c r="R479" s="8"/>
      <c r="S479" s="8"/>
      <c r="T479" s="8"/>
      <c r="U479" s="8"/>
    </row>
    <row r="480" spans="10:21">
      <c r="J480" s="8"/>
      <c r="K480" s="8"/>
      <c r="L480" s="8"/>
      <c r="M480" s="8"/>
      <c r="N480" s="8"/>
      <c r="O480" s="8"/>
      <c r="P480" s="8"/>
      <c r="Q480" s="8"/>
      <c r="R480" s="8"/>
      <c r="S480" s="8"/>
      <c r="T480" s="8"/>
      <c r="U480" s="8"/>
    </row>
    <row r="481" spans="10:21">
      <c r="J481" s="8"/>
      <c r="K481" s="8"/>
      <c r="L481" s="8"/>
      <c r="M481" s="8"/>
      <c r="N481" s="8"/>
      <c r="O481" s="8"/>
      <c r="P481" s="8"/>
      <c r="Q481" s="8"/>
      <c r="R481" s="8"/>
      <c r="S481" s="8"/>
      <c r="T481" s="8"/>
      <c r="U481" s="8"/>
    </row>
    <row r="482" spans="10:21">
      <c r="J482" s="8"/>
      <c r="K482" s="8"/>
      <c r="L482" s="8"/>
      <c r="M482" s="8"/>
      <c r="N482" s="8"/>
      <c r="O482" s="8"/>
      <c r="P482" s="8"/>
      <c r="Q482" s="8"/>
      <c r="R482" s="8"/>
      <c r="S482" s="8"/>
      <c r="T482" s="8"/>
      <c r="U482" s="8"/>
    </row>
    <row r="483" spans="10:21">
      <c r="J483" s="8"/>
      <c r="K483" s="8"/>
      <c r="L483" s="8"/>
      <c r="M483" s="8"/>
      <c r="N483" s="8"/>
      <c r="O483" s="8"/>
      <c r="P483" s="8"/>
      <c r="Q483" s="8"/>
      <c r="R483" s="8"/>
      <c r="S483" s="8"/>
      <c r="T483" s="8"/>
      <c r="U483" s="8"/>
    </row>
    <row r="484" spans="10:21">
      <c r="J484" s="8"/>
      <c r="K484" s="8"/>
      <c r="L484" s="8"/>
      <c r="M484" s="8"/>
      <c r="N484" s="8"/>
      <c r="O484" s="8"/>
      <c r="P484" s="8"/>
      <c r="Q484" s="8"/>
      <c r="R484" s="8"/>
      <c r="S484" s="8"/>
      <c r="T484" s="8"/>
      <c r="U484" s="8"/>
    </row>
    <row r="485" spans="10:21">
      <c r="J485" s="8"/>
      <c r="K485" s="8"/>
      <c r="L485" s="8"/>
      <c r="M485" s="8"/>
      <c r="N485" s="8"/>
      <c r="O485" s="8"/>
      <c r="P485" s="8"/>
      <c r="Q485" s="8"/>
      <c r="R485" s="8"/>
      <c r="S485" s="8"/>
      <c r="T485" s="8"/>
      <c r="U485" s="8"/>
    </row>
    <row r="486" spans="10:21">
      <c r="J486" s="8"/>
      <c r="K486" s="8"/>
      <c r="L486" s="8"/>
      <c r="M486" s="8"/>
      <c r="N486" s="8"/>
      <c r="O486" s="8"/>
      <c r="P486" s="8"/>
      <c r="Q486" s="8"/>
      <c r="R486" s="8"/>
      <c r="S486" s="8"/>
      <c r="T486" s="8"/>
      <c r="U486" s="8"/>
    </row>
    <row r="487" spans="10:21">
      <c r="J487" s="8"/>
      <c r="K487" s="8"/>
      <c r="L487" s="8"/>
      <c r="M487" s="8"/>
      <c r="N487" s="8"/>
      <c r="O487" s="8"/>
      <c r="P487" s="8"/>
      <c r="Q487" s="8"/>
      <c r="R487" s="8"/>
      <c r="S487" s="8"/>
      <c r="T487" s="8"/>
      <c r="U487" s="8"/>
    </row>
    <row r="488" spans="10:21">
      <c r="J488" s="8"/>
      <c r="K488" s="8"/>
      <c r="L488" s="8"/>
      <c r="M488" s="8"/>
      <c r="N488" s="8"/>
      <c r="O488" s="8"/>
      <c r="P488" s="8"/>
      <c r="Q488" s="8"/>
      <c r="R488" s="8"/>
      <c r="S488" s="8"/>
      <c r="T488" s="8"/>
      <c r="U488" s="8"/>
    </row>
    <row r="489" spans="10:21">
      <c r="J489" s="8"/>
      <c r="K489" s="8"/>
      <c r="L489" s="8"/>
      <c r="M489" s="8"/>
      <c r="N489" s="8"/>
      <c r="O489" s="8"/>
      <c r="P489" s="8"/>
      <c r="Q489" s="8"/>
      <c r="R489" s="8"/>
      <c r="S489" s="8"/>
      <c r="T489" s="8"/>
      <c r="U489" s="8"/>
    </row>
    <row r="490" spans="10:21">
      <c r="J490" s="8"/>
      <c r="K490" s="8"/>
      <c r="L490" s="8"/>
      <c r="M490" s="8"/>
      <c r="N490" s="8"/>
      <c r="O490" s="8"/>
      <c r="P490" s="8"/>
      <c r="Q490" s="8"/>
      <c r="R490" s="8"/>
      <c r="S490" s="8"/>
      <c r="T490" s="8"/>
      <c r="U490" s="8"/>
    </row>
    <row r="491" spans="10:21">
      <c r="J491" s="8"/>
      <c r="K491" s="8"/>
      <c r="L491" s="8"/>
      <c r="M491" s="8"/>
      <c r="N491" s="8"/>
      <c r="O491" s="8"/>
      <c r="P491" s="8"/>
      <c r="Q491" s="8"/>
      <c r="R491" s="8"/>
      <c r="S491" s="8"/>
      <c r="T491" s="8"/>
      <c r="U491" s="8"/>
    </row>
    <row r="492" spans="10:21">
      <c r="J492" s="8"/>
      <c r="K492" s="8"/>
      <c r="L492" s="8"/>
      <c r="M492" s="8"/>
      <c r="N492" s="8"/>
      <c r="O492" s="8"/>
      <c r="P492" s="8"/>
      <c r="Q492" s="8"/>
      <c r="R492" s="8"/>
      <c r="S492" s="8"/>
      <c r="T492" s="8"/>
      <c r="U492" s="8"/>
    </row>
    <row r="493" spans="10:21">
      <c r="J493" s="8"/>
      <c r="K493" s="8"/>
      <c r="L493" s="8"/>
      <c r="M493" s="8"/>
      <c r="N493" s="8"/>
      <c r="O493" s="8"/>
      <c r="P493" s="8"/>
      <c r="Q493" s="8"/>
      <c r="R493" s="8"/>
      <c r="S493" s="8"/>
      <c r="T493" s="8"/>
      <c r="U493" s="8"/>
    </row>
    <row r="494" spans="10:21">
      <c r="J494" s="8"/>
      <c r="K494" s="8"/>
      <c r="L494" s="8"/>
      <c r="M494" s="8"/>
      <c r="N494" s="8"/>
      <c r="O494" s="8"/>
      <c r="P494" s="8"/>
      <c r="Q494" s="8"/>
      <c r="R494" s="8"/>
      <c r="S494" s="8"/>
      <c r="T494" s="8"/>
      <c r="U494" s="8"/>
    </row>
    <row r="495" spans="10:21">
      <c r="J495" s="8"/>
      <c r="K495" s="8"/>
      <c r="L495" s="8"/>
      <c r="M495" s="8"/>
      <c r="N495" s="8"/>
      <c r="O495" s="8"/>
      <c r="P495" s="8"/>
      <c r="Q495" s="8"/>
      <c r="R495" s="8"/>
      <c r="S495" s="8"/>
      <c r="T495" s="8"/>
      <c r="U495" s="8"/>
    </row>
    <row r="496" spans="10:21">
      <c r="J496" s="8"/>
      <c r="K496" s="8"/>
      <c r="L496" s="8"/>
      <c r="M496" s="8"/>
      <c r="N496" s="8"/>
      <c r="O496" s="8"/>
      <c r="P496" s="8"/>
      <c r="Q496" s="8"/>
      <c r="R496" s="8"/>
      <c r="S496" s="8"/>
      <c r="T496" s="8"/>
      <c r="U496" s="8"/>
    </row>
    <row r="497" spans="10:21">
      <c r="J497" s="8"/>
      <c r="K497" s="8"/>
      <c r="L497" s="8"/>
      <c r="M497" s="8"/>
      <c r="N497" s="8"/>
      <c r="O497" s="8"/>
      <c r="P497" s="8"/>
      <c r="Q497" s="8"/>
      <c r="R497" s="8"/>
      <c r="S497" s="8"/>
      <c r="T497" s="8"/>
      <c r="U497" s="8"/>
    </row>
    <row r="498" spans="10:21">
      <c r="J498" s="8"/>
      <c r="K498" s="8"/>
      <c r="L498" s="8"/>
      <c r="M498" s="8"/>
      <c r="N498" s="8"/>
      <c r="O498" s="8"/>
      <c r="P498" s="8"/>
      <c r="Q498" s="8"/>
      <c r="R498" s="8"/>
      <c r="S498" s="8"/>
      <c r="T498" s="8"/>
      <c r="U498" s="8"/>
    </row>
    <row r="499" spans="10:21">
      <c r="J499" s="8"/>
      <c r="K499" s="8"/>
      <c r="L499" s="8"/>
      <c r="M499" s="8"/>
      <c r="N499" s="8"/>
      <c r="O499" s="8"/>
      <c r="P499" s="8"/>
      <c r="Q499" s="8"/>
      <c r="R499" s="8"/>
      <c r="S499" s="8"/>
      <c r="T499" s="8"/>
      <c r="U499" s="8"/>
    </row>
    <row r="500" spans="10:21">
      <c r="J500" s="8"/>
      <c r="K500" s="8"/>
      <c r="L500" s="8"/>
      <c r="M500" s="8"/>
      <c r="N500" s="8"/>
      <c r="O500" s="8"/>
      <c r="P500" s="8"/>
      <c r="Q500" s="8"/>
      <c r="R500" s="8"/>
      <c r="S500" s="8"/>
      <c r="T500" s="8"/>
      <c r="U500" s="8"/>
    </row>
    <row r="501" spans="10:21">
      <c r="J501" s="8"/>
      <c r="K501" s="8"/>
      <c r="L501" s="8"/>
      <c r="M501" s="8"/>
      <c r="N501" s="8"/>
      <c r="O501" s="8"/>
      <c r="P501" s="8"/>
      <c r="Q501" s="8"/>
      <c r="R501" s="8"/>
      <c r="S501" s="8"/>
      <c r="T501" s="8"/>
      <c r="U501" s="8"/>
    </row>
    <row r="502" spans="10:21">
      <c r="J502" s="8"/>
      <c r="K502" s="8"/>
      <c r="L502" s="8"/>
      <c r="M502" s="8"/>
      <c r="N502" s="8"/>
      <c r="O502" s="8"/>
      <c r="P502" s="8"/>
      <c r="Q502" s="8"/>
      <c r="R502" s="8"/>
      <c r="S502" s="8"/>
      <c r="T502" s="8"/>
      <c r="U502" s="8"/>
    </row>
    <row r="503" spans="10:21">
      <c r="J503" s="8"/>
      <c r="K503" s="8"/>
      <c r="L503" s="8"/>
      <c r="M503" s="8"/>
      <c r="N503" s="8"/>
      <c r="O503" s="8"/>
      <c r="P503" s="8"/>
      <c r="Q503" s="8"/>
      <c r="R503" s="8"/>
      <c r="S503" s="8"/>
      <c r="T503" s="8"/>
      <c r="U503" s="8"/>
    </row>
    <row r="504" spans="10:21">
      <c r="J504" s="8"/>
      <c r="K504" s="8"/>
      <c r="L504" s="8"/>
      <c r="M504" s="8"/>
      <c r="N504" s="8"/>
      <c r="O504" s="8"/>
      <c r="P504" s="8"/>
      <c r="Q504" s="8"/>
      <c r="R504" s="8"/>
      <c r="S504" s="8"/>
      <c r="T504" s="8"/>
      <c r="U504" s="8"/>
    </row>
    <row r="505" spans="10:21">
      <c r="J505" s="8"/>
      <c r="K505" s="8"/>
      <c r="L505" s="8"/>
      <c r="M505" s="8"/>
      <c r="N505" s="8"/>
      <c r="O505" s="8"/>
      <c r="P505" s="8"/>
      <c r="Q505" s="8"/>
      <c r="R505" s="8"/>
      <c r="S505" s="8"/>
      <c r="T505" s="8"/>
      <c r="U505" s="8"/>
    </row>
    <row r="506" spans="10:21">
      <c r="J506" s="8"/>
      <c r="K506" s="8"/>
      <c r="L506" s="8"/>
      <c r="M506" s="8"/>
      <c r="N506" s="8"/>
      <c r="O506" s="8"/>
      <c r="P506" s="8"/>
      <c r="Q506" s="8"/>
      <c r="R506" s="8"/>
      <c r="S506" s="8"/>
      <c r="T506" s="8"/>
      <c r="U506" s="8"/>
    </row>
    <row r="507" spans="10:21">
      <c r="J507" s="8"/>
      <c r="K507" s="8"/>
      <c r="L507" s="8"/>
      <c r="M507" s="8"/>
      <c r="N507" s="8"/>
      <c r="O507" s="8"/>
      <c r="P507" s="8"/>
      <c r="Q507" s="8"/>
      <c r="R507" s="8"/>
      <c r="S507" s="8"/>
      <c r="T507" s="8"/>
      <c r="U507" s="8"/>
    </row>
    <row r="508" spans="10:21">
      <c r="J508" s="8"/>
      <c r="K508" s="8"/>
      <c r="L508" s="8"/>
      <c r="M508" s="8"/>
      <c r="N508" s="8"/>
      <c r="O508" s="8"/>
      <c r="P508" s="8"/>
      <c r="Q508" s="8"/>
      <c r="R508" s="8"/>
      <c r="S508" s="8"/>
      <c r="T508" s="8"/>
      <c r="U508" s="8"/>
    </row>
    <row r="509" spans="10:21">
      <c r="J509" s="8"/>
      <c r="K509" s="8"/>
      <c r="L509" s="8"/>
      <c r="M509" s="8"/>
      <c r="N509" s="8"/>
      <c r="O509" s="8"/>
      <c r="P509" s="8"/>
      <c r="Q509" s="8"/>
      <c r="R509" s="8"/>
      <c r="S509" s="8"/>
      <c r="T509" s="8"/>
      <c r="U509" s="8"/>
    </row>
    <row r="510" spans="10:21">
      <c r="J510" s="8"/>
      <c r="K510" s="8"/>
      <c r="L510" s="8"/>
      <c r="M510" s="8"/>
      <c r="N510" s="8"/>
      <c r="O510" s="8"/>
      <c r="P510" s="8"/>
      <c r="Q510" s="8"/>
      <c r="R510" s="8"/>
      <c r="S510" s="8"/>
      <c r="T510" s="8"/>
      <c r="U510" s="8"/>
    </row>
    <row r="511" spans="10:21">
      <c r="J511" s="8"/>
      <c r="K511" s="8"/>
      <c r="L511" s="8"/>
      <c r="M511" s="8"/>
      <c r="N511" s="8"/>
      <c r="O511" s="8"/>
      <c r="P511" s="8"/>
      <c r="Q511" s="8"/>
      <c r="R511" s="8"/>
      <c r="S511" s="8"/>
      <c r="T511" s="8"/>
      <c r="U511" s="8"/>
    </row>
    <row r="512" spans="10:21">
      <c r="J512" s="8"/>
      <c r="K512" s="8"/>
      <c r="L512" s="8"/>
      <c r="M512" s="8"/>
      <c r="N512" s="8"/>
      <c r="O512" s="8"/>
      <c r="P512" s="8"/>
      <c r="Q512" s="8"/>
      <c r="R512" s="8"/>
      <c r="S512" s="8"/>
      <c r="T512" s="8"/>
      <c r="U512" s="8"/>
    </row>
    <row r="513" spans="10:21">
      <c r="J513" s="8"/>
      <c r="K513" s="8"/>
      <c r="L513" s="8"/>
      <c r="M513" s="8"/>
      <c r="N513" s="8"/>
      <c r="O513" s="8"/>
      <c r="P513" s="8"/>
      <c r="Q513" s="8"/>
      <c r="R513" s="8"/>
      <c r="S513" s="8"/>
      <c r="T513" s="8"/>
      <c r="U513" s="8"/>
    </row>
    <row r="514" spans="10:21">
      <c r="J514" s="8"/>
      <c r="K514" s="8"/>
      <c r="L514" s="8"/>
      <c r="M514" s="8"/>
      <c r="N514" s="8"/>
      <c r="O514" s="8"/>
      <c r="P514" s="8"/>
      <c r="Q514" s="8"/>
      <c r="R514" s="8"/>
      <c r="S514" s="8"/>
      <c r="T514" s="8"/>
      <c r="U514" s="8"/>
    </row>
    <row r="515" spans="10:21">
      <c r="J515" s="8"/>
      <c r="K515" s="8"/>
      <c r="L515" s="8"/>
      <c r="M515" s="8"/>
      <c r="N515" s="8"/>
      <c r="O515" s="8"/>
      <c r="P515" s="8"/>
      <c r="Q515" s="8"/>
      <c r="R515" s="8"/>
      <c r="S515" s="8"/>
      <c r="T515" s="8"/>
      <c r="U515" s="8"/>
    </row>
    <row r="516" spans="10:21">
      <c r="J516" s="8"/>
      <c r="K516" s="8"/>
      <c r="L516" s="8"/>
      <c r="M516" s="8"/>
      <c r="N516" s="8"/>
      <c r="O516" s="8"/>
      <c r="P516" s="8"/>
      <c r="Q516" s="8"/>
      <c r="R516" s="8"/>
      <c r="S516" s="8"/>
      <c r="T516" s="8"/>
      <c r="U516" s="8"/>
    </row>
    <row r="517" spans="10:21">
      <c r="J517" s="8"/>
      <c r="K517" s="8"/>
      <c r="L517" s="8"/>
      <c r="M517" s="8"/>
      <c r="N517" s="8"/>
      <c r="O517" s="8"/>
      <c r="P517" s="8"/>
      <c r="Q517" s="8"/>
      <c r="R517" s="8"/>
      <c r="S517" s="8"/>
      <c r="T517" s="8"/>
      <c r="U517" s="8"/>
    </row>
    <row r="518" spans="10:21">
      <c r="J518" s="8"/>
      <c r="K518" s="8"/>
      <c r="L518" s="8"/>
      <c r="M518" s="8"/>
      <c r="N518" s="8"/>
      <c r="O518" s="8"/>
      <c r="P518" s="8"/>
      <c r="Q518" s="8"/>
      <c r="R518" s="8"/>
      <c r="S518" s="8"/>
      <c r="T518" s="8"/>
      <c r="U518" s="8"/>
    </row>
    <row r="519" spans="10:21">
      <c r="J519" s="8"/>
      <c r="K519" s="8"/>
      <c r="L519" s="8"/>
      <c r="M519" s="8"/>
      <c r="N519" s="8"/>
      <c r="O519" s="8"/>
      <c r="P519" s="8"/>
      <c r="Q519" s="8"/>
      <c r="R519" s="8"/>
      <c r="S519" s="8"/>
      <c r="T519" s="8"/>
      <c r="U519" s="8"/>
    </row>
    <row r="520" spans="10:21">
      <c r="J520" s="8"/>
      <c r="K520" s="8"/>
      <c r="L520" s="8"/>
      <c r="M520" s="8"/>
      <c r="N520" s="8"/>
      <c r="O520" s="8"/>
      <c r="P520" s="8"/>
      <c r="Q520" s="8"/>
      <c r="R520" s="8"/>
      <c r="S520" s="8"/>
      <c r="T520" s="8"/>
      <c r="U520" s="8"/>
    </row>
    <row r="521" spans="10:21">
      <c r="J521" s="8"/>
      <c r="K521" s="8"/>
      <c r="L521" s="8"/>
      <c r="M521" s="8"/>
      <c r="N521" s="8"/>
      <c r="O521" s="8"/>
      <c r="P521" s="8"/>
      <c r="Q521" s="8"/>
      <c r="R521" s="8"/>
      <c r="S521" s="8"/>
      <c r="T521" s="8"/>
      <c r="U521" s="8"/>
    </row>
    <row r="522" spans="10:21">
      <c r="J522" s="8"/>
      <c r="K522" s="8"/>
      <c r="L522" s="8"/>
      <c r="M522" s="8"/>
      <c r="N522" s="8"/>
      <c r="O522" s="8"/>
      <c r="P522" s="8"/>
      <c r="Q522" s="8"/>
      <c r="R522" s="8"/>
      <c r="S522" s="8"/>
      <c r="T522" s="8"/>
      <c r="U522" s="8"/>
    </row>
    <row r="523" spans="10:21">
      <c r="J523" s="8"/>
      <c r="K523" s="8"/>
      <c r="L523" s="8"/>
      <c r="M523" s="8"/>
      <c r="N523" s="8"/>
      <c r="O523" s="8"/>
      <c r="P523" s="8"/>
      <c r="Q523" s="8"/>
      <c r="R523" s="8"/>
      <c r="S523" s="8"/>
      <c r="T523" s="8"/>
      <c r="U523" s="8"/>
    </row>
    <row r="524" spans="10:21">
      <c r="J524" s="8"/>
      <c r="K524" s="8"/>
      <c r="L524" s="8"/>
      <c r="M524" s="8"/>
      <c r="N524" s="8"/>
      <c r="O524" s="8"/>
      <c r="P524" s="8"/>
      <c r="Q524" s="8"/>
      <c r="R524" s="8"/>
      <c r="S524" s="8"/>
      <c r="T524" s="8"/>
      <c r="U524" s="8"/>
    </row>
    <row r="525" spans="10:21">
      <c r="J525" s="8"/>
      <c r="K525" s="8"/>
      <c r="L525" s="8"/>
      <c r="M525" s="8"/>
      <c r="N525" s="8"/>
      <c r="O525" s="8"/>
      <c r="P525" s="8"/>
      <c r="Q525" s="8"/>
      <c r="R525" s="8"/>
      <c r="S525" s="8"/>
      <c r="T525" s="8"/>
      <c r="U525" s="8"/>
    </row>
    <row r="526" spans="10:21">
      <c r="J526" s="8"/>
      <c r="K526" s="8"/>
      <c r="L526" s="8"/>
      <c r="M526" s="8"/>
      <c r="N526" s="8"/>
      <c r="O526" s="8"/>
      <c r="P526" s="8"/>
      <c r="Q526" s="8"/>
      <c r="R526" s="8"/>
      <c r="S526" s="8"/>
      <c r="T526" s="8"/>
      <c r="U526" s="8"/>
    </row>
    <row r="527" spans="10:21">
      <c r="J527" s="8"/>
      <c r="K527" s="8"/>
      <c r="L527" s="8"/>
      <c r="M527" s="8"/>
      <c r="N527" s="8"/>
      <c r="O527" s="8"/>
      <c r="P527" s="8"/>
      <c r="Q527" s="8"/>
      <c r="R527" s="8"/>
      <c r="S527" s="8"/>
      <c r="T527" s="8"/>
      <c r="U527" s="8"/>
    </row>
    <row r="528" spans="10:21">
      <c r="J528" s="8"/>
      <c r="K528" s="8"/>
      <c r="L528" s="8"/>
      <c r="M528" s="8"/>
      <c r="N528" s="8"/>
      <c r="O528" s="8"/>
      <c r="P528" s="8"/>
      <c r="Q528" s="8"/>
      <c r="R528" s="8"/>
      <c r="S528" s="8"/>
      <c r="T528" s="8"/>
      <c r="U528" s="8"/>
    </row>
    <row r="529" spans="10:21">
      <c r="J529" s="8"/>
      <c r="K529" s="8"/>
      <c r="L529" s="8"/>
      <c r="M529" s="8"/>
      <c r="N529" s="8"/>
      <c r="O529" s="8"/>
      <c r="P529" s="8"/>
      <c r="Q529" s="8"/>
      <c r="R529" s="8"/>
      <c r="S529" s="8"/>
      <c r="T529" s="8"/>
      <c r="U529" s="8"/>
    </row>
    <row r="530" spans="10:21">
      <c r="J530" s="8"/>
      <c r="K530" s="8"/>
      <c r="L530" s="8"/>
      <c r="M530" s="8"/>
      <c r="N530" s="8"/>
      <c r="O530" s="8"/>
      <c r="P530" s="8"/>
      <c r="Q530" s="8"/>
      <c r="R530" s="8"/>
      <c r="S530" s="8"/>
      <c r="T530" s="8"/>
      <c r="U530" s="8"/>
    </row>
    <row r="531" spans="10:21">
      <c r="J531" s="8"/>
      <c r="K531" s="8"/>
      <c r="L531" s="8"/>
      <c r="M531" s="8"/>
      <c r="N531" s="8"/>
      <c r="O531" s="8"/>
      <c r="P531" s="8"/>
      <c r="Q531" s="8"/>
      <c r="R531" s="8"/>
      <c r="S531" s="8"/>
      <c r="T531" s="8"/>
      <c r="U531" s="8"/>
    </row>
    <row r="532" spans="10:21">
      <c r="J532" s="8"/>
      <c r="K532" s="8"/>
      <c r="L532" s="8"/>
      <c r="M532" s="8"/>
      <c r="N532" s="8"/>
      <c r="O532" s="8"/>
      <c r="P532" s="8"/>
      <c r="Q532" s="8"/>
      <c r="R532" s="8"/>
      <c r="S532" s="8"/>
      <c r="T532" s="8"/>
      <c r="U532" s="8"/>
    </row>
    <row r="533" spans="10:21">
      <c r="J533" s="8"/>
      <c r="K533" s="8"/>
      <c r="L533" s="8"/>
      <c r="M533" s="8"/>
      <c r="N533" s="8"/>
      <c r="O533" s="8"/>
      <c r="P533" s="8"/>
      <c r="Q533" s="8"/>
      <c r="R533" s="8"/>
      <c r="S533" s="8"/>
      <c r="T533" s="8"/>
      <c r="U533" s="8"/>
    </row>
    <row r="534" spans="10:21">
      <c r="J534" s="8"/>
      <c r="K534" s="8"/>
      <c r="L534" s="8"/>
      <c r="M534" s="8"/>
      <c r="N534" s="8"/>
      <c r="O534" s="8"/>
      <c r="P534" s="8"/>
      <c r="Q534" s="8"/>
      <c r="R534" s="8"/>
      <c r="S534" s="8"/>
      <c r="T534" s="8"/>
      <c r="U534" s="8"/>
    </row>
    <row r="535" spans="10:21">
      <c r="J535" s="8"/>
      <c r="K535" s="8"/>
      <c r="L535" s="8"/>
      <c r="M535" s="8"/>
      <c r="N535" s="8"/>
      <c r="O535" s="8"/>
      <c r="P535" s="8"/>
      <c r="Q535" s="8"/>
      <c r="R535" s="8"/>
      <c r="S535" s="8"/>
      <c r="T535" s="8"/>
      <c r="U535" s="8"/>
    </row>
    <row r="536" spans="10:21">
      <c r="J536" s="8"/>
      <c r="K536" s="8"/>
      <c r="L536" s="8"/>
      <c r="M536" s="8"/>
      <c r="N536" s="8"/>
      <c r="O536" s="8"/>
      <c r="P536" s="8"/>
      <c r="Q536" s="8"/>
      <c r="R536" s="8"/>
      <c r="S536" s="8"/>
      <c r="T536" s="8"/>
      <c r="U536" s="8"/>
    </row>
    <row r="537" spans="10:21">
      <c r="J537" s="8"/>
      <c r="K537" s="8"/>
      <c r="L537" s="8"/>
      <c r="M537" s="8"/>
      <c r="N537" s="8"/>
      <c r="O537" s="8"/>
      <c r="P537" s="8"/>
      <c r="Q537" s="8"/>
      <c r="R537" s="8"/>
      <c r="S537" s="8"/>
      <c r="T537" s="8"/>
      <c r="U537" s="8"/>
    </row>
    <row r="538" spans="10:21">
      <c r="J538" s="8"/>
      <c r="K538" s="8"/>
      <c r="L538" s="8"/>
      <c r="M538" s="8"/>
      <c r="N538" s="8"/>
      <c r="O538" s="8"/>
      <c r="P538" s="8"/>
      <c r="Q538" s="8"/>
      <c r="R538" s="8"/>
      <c r="S538" s="8"/>
      <c r="T538" s="8"/>
      <c r="U538" s="8"/>
    </row>
    <row r="539" spans="10:21">
      <c r="J539" s="8"/>
      <c r="K539" s="8"/>
      <c r="L539" s="8"/>
      <c r="M539" s="8"/>
      <c r="N539" s="8"/>
      <c r="O539" s="8"/>
      <c r="P539" s="8"/>
      <c r="Q539" s="8"/>
      <c r="R539" s="8"/>
      <c r="S539" s="8"/>
      <c r="T539" s="8"/>
      <c r="U539" s="8"/>
    </row>
    <row r="540" spans="10:21">
      <c r="J540" s="8"/>
      <c r="K540" s="8"/>
      <c r="L540" s="8"/>
      <c r="M540" s="8"/>
      <c r="N540" s="8"/>
      <c r="O540" s="8"/>
      <c r="P540" s="8"/>
      <c r="Q540" s="8"/>
      <c r="R540" s="8"/>
      <c r="S540" s="8"/>
      <c r="T540" s="8"/>
      <c r="U540" s="8"/>
    </row>
    <row r="541" spans="10:21">
      <c r="J541" s="8"/>
      <c r="K541" s="8"/>
      <c r="L541" s="8"/>
      <c r="M541" s="8"/>
      <c r="N541" s="8"/>
      <c r="O541" s="8"/>
      <c r="P541" s="8"/>
      <c r="Q541" s="8"/>
      <c r="R541" s="8"/>
      <c r="S541" s="8"/>
      <c r="T541" s="8"/>
      <c r="U541" s="8"/>
    </row>
    <row r="542" spans="10:21">
      <c r="J542" s="8"/>
      <c r="K542" s="8"/>
      <c r="L542" s="8"/>
      <c r="M542" s="8"/>
      <c r="N542" s="8"/>
      <c r="O542" s="8"/>
      <c r="P542" s="8"/>
      <c r="Q542" s="8"/>
      <c r="R542" s="8"/>
      <c r="S542" s="8"/>
      <c r="T542" s="8"/>
      <c r="U542" s="8"/>
    </row>
    <row r="543" spans="10:21">
      <c r="J543" s="8"/>
      <c r="K543" s="8"/>
      <c r="L543" s="8"/>
      <c r="M543" s="8"/>
      <c r="N543" s="8"/>
      <c r="O543" s="8"/>
      <c r="P543" s="8"/>
      <c r="Q543" s="8"/>
      <c r="R543" s="8"/>
      <c r="S543" s="8"/>
      <c r="T543" s="8"/>
      <c r="U543" s="8"/>
    </row>
    <row r="544" spans="10:21">
      <c r="J544" s="8"/>
      <c r="K544" s="8"/>
      <c r="L544" s="8"/>
      <c r="M544" s="8"/>
      <c r="N544" s="8"/>
      <c r="O544" s="8"/>
      <c r="P544" s="8"/>
      <c r="Q544" s="8"/>
      <c r="R544" s="8"/>
      <c r="S544" s="8"/>
      <c r="T544" s="8"/>
      <c r="U544" s="8"/>
    </row>
    <row r="545" spans="10:21">
      <c r="J545" s="8"/>
      <c r="K545" s="8"/>
      <c r="L545" s="8"/>
      <c r="M545" s="8"/>
      <c r="N545" s="8"/>
      <c r="O545" s="8"/>
      <c r="P545" s="8"/>
      <c r="Q545" s="8"/>
      <c r="R545" s="8"/>
      <c r="S545" s="8"/>
      <c r="T545" s="8"/>
      <c r="U545" s="8"/>
    </row>
    <row r="546" spans="10:21">
      <c r="J546" s="8"/>
      <c r="K546" s="8"/>
      <c r="L546" s="8"/>
      <c r="M546" s="8"/>
      <c r="N546" s="8"/>
      <c r="O546" s="8"/>
      <c r="P546" s="8"/>
      <c r="Q546" s="8"/>
      <c r="R546" s="8"/>
      <c r="S546" s="8"/>
      <c r="T546" s="8"/>
      <c r="U546" s="8"/>
    </row>
    <row r="547" spans="10:21">
      <c r="J547" s="8"/>
      <c r="K547" s="8"/>
      <c r="L547" s="8"/>
      <c r="M547" s="8"/>
      <c r="N547" s="8"/>
      <c r="O547" s="8"/>
      <c r="P547" s="8"/>
      <c r="Q547" s="8"/>
      <c r="R547" s="8"/>
      <c r="S547" s="8"/>
      <c r="T547" s="8"/>
      <c r="U547" s="8"/>
    </row>
    <row r="548" spans="10:21">
      <c r="J548" s="8"/>
      <c r="K548" s="8"/>
      <c r="L548" s="8"/>
      <c r="M548" s="8"/>
      <c r="N548" s="8"/>
      <c r="O548" s="8"/>
      <c r="P548" s="8"/>
      <c r="Q548" s="8"/>
      <c r="R548" s="8"/>
      <c r="S548" s="8"/>
      <c r="T548" s="8"/>
      <c r="U548" s="8"/>
    </row>
    <row r="549" spans="10:21">
      <c r="J549" s="8"/>
      <c r="K549" s="8"/>
      <c r="L549" s="8"/>
      <c r="M549" s="8"/>
      <c r="N549" s="8"/>
      <c r="O549" s="8"/>
      <c r="P549" s="8"/>
      <c r="Q549" s="8"/>
      <c r="R549" s="8"/>
      <c r="S549" s="8"/>
      <c r="T549" s="8"/>
      <c r="U549" s="8"/>
    </row>
    <row r="550" spans="10:21">
      <c r="J550" s="8"/>
      <c r="K550" s="8"/>
      <c r="L550" s="8"/>
      <c r="M550" s="8"/>
      <c r="N550" s="8"/>
      <c r="O550" s="8"/>
      <c r="P550" s="8"/>
      <c r="Q550" s="8"/>
      <c r="R550" s="8"/>
      <c r="S550" s="8"/>
      <c r="T550" s="8"/>
      <c r="U550" s="8"/>
    </row>
    <row r="551" spans="10:21">
      <c r="J551" s="8"/>
      <c r="K551" s="8"/>
      <c r="L551" s="8"/>
      <c r="M551" s="8"/>
      <c r="N551" s="8"/>
      <c r="O551" s="8"/>
      <c r="P551" s="8"/>
      <c r="Q551" s="8"/>
      <c r="R551" s="8"/>
      <c r="S551" s="8"/>
      <c r="T551" s="8"/>
      <c r="U551" s="8"/>
    </row>
    <row r="552" spans="10:21">
      <c r="J552" s="8"/>
      <c r="K552" s="8"/>
      <c r="L552" s="8"/>
      <c r="M552" s="8"/>
      <c r="N552" s="8"/>
      <c r="O552" s="8"/>
      <c r="P552" s="8"/>
      <c r="Q552" s="8"/>
      <c r="R552" s="8"/>
      <c r="S552" s="8"/>
      <c r="T552" s="8"/>
      <c r="U552" s="8"/>
    </row>
    <row r="553" spans="10:21">
      <c r="J553" s="8"/>
      <c r="K553" s="8"/>
      <c r="L553" s="8"/>
      <c r="M553" s="8"/>
      <c r="N553" s="8"/>
      <c r="O553" s="8"/>
      <c r="P553" s="8"/>
      <c r="Q553" s="8"/>
      <c r="R553" s="8"/>
      <c r="S553" s="8"/>
      <c r="T553" s="8"/>
      <c r="U553" s="8"/>
    </row>
    <row r="554" spans="10:21">
      <c r="J554" s="8"/>
      <c r="K554" s="8"/>
      <c r="L554" s="8"/>
      <c r="M554" s="8"/>
      <c r="N554" s="8"/>
      <c r="O554" s="8"/>
      <c r="P554" s="8"/>
      <c r="Q554" s="8"/>
      <c r="R554" s="8"/>
      <c r="S554" s="8"/>
      <c r="T554" s="8"/>
      <c r="U554" s="8"/>
    </row>
    <row r="555" spans="10:21">
      <c r="J555" s="8"/>
      <c r="K555" s="8"/>
      <c r="L555" s="8"/>
      <c r="M555" s="8"/>
      <c r="N555" s="8"/>
      <c r="O555" s="8"/>
      <c r="P555" s="8"/>
      <c r="Q555" s="8"/>
      <c r="R555" s="8"/>
      <c r="S555" s="8"/>
      <c r="T555" s="8"/>
      <c r="U555" s="8"/>
    </row>
    <row r="556" spans="10:21">
      <c r="J556" s="8"/>
      <c r="K556" s="8"/>
      <c r="L556" s="8"/>
      <c r="M556" s="8"/>
      <c r="N556" s="8"/>
      <c r="O556" s="8"/>
      <c r="P556" s="8"/>
      <c r="Q556" s="8"/>
      <c r="R556" s="8"/>
      <c r="S556" s="8"/>
      <c r="T556" s="8"/>
      <c r="U556" s="8"/>
    </row>
    <row r="557" spans="10:21">
      <c r="J557" s="8"/>
      <c r="K557" s="8"/>
      <c r="L557" s="8"/>
      <c r="M557" s="8"/>
      <c r="N557" s="8"/>
      <c r="O557" s="8"/>
      <c r="P557" s="8"/>
      <c r="Q557" s="8"/>
      <c r="R557" s="8"/>
      <c r="S557" s="8"/>
      <c r="T557" s="8"/>
      <c r="U557" s="8"/>
    </row>
    <row r="558" spans="10:21">
      <c r="J558" s="8"/>
      <c r="K558" s="8"/>
      <c r="L558" s="8"/>
      <c r="M558" s="8"/>
      <c r="N558" s="8"/>
      <c r="O558" s="8"/>
      <c r="P558" s="8"/>
      <c r="Q558" s="8"/>
      <c r="R558" s="8"/>
      <c r="S558" s="8"/>
      <c r="T558" s="8"/>
      <c r="U558" s="8"/>
    </row>
    <row r="559" spans="10:21">
      <c r="J559" s="8"/>
      <c r="K559" s="8"/>
      <c r="L559" s="8"/>
      <c r="M559" s="8"/>
      <c r="N559" s="8"/>
      <c r="O559" s="8"/>
      <c r="P559" s="8"/>
      <c r="Q559" s="8"/>
      <c r="R559" s="8"/>
      <c r="S559" s="8"/>
      <c r="T559" s="8"/>
      <c r="U559" s="8"/>
    </row>
    <row r="560" spans="10:21">
      <c r="J560" s="8"/>
      <c r="K560" s="8"/>
      <c r="L560" s="8"/>
      <c r="M560" s="8"/>
      <c r="N560" s="8"/>
      <c r="O560" s="8"/>
      <c r="P560" s="8"/>
      <c r="Q560" s="8"/>
      <c r="R560" s="8"/>
      <c r="S560" s="8"/>
      <c r="T560" s="8"/>
      <c r="U560" s="8"/>
    </row>
    <row r="561" spans="10:21">
      <c r="J561" s="8"/>
      <c r="K561" s="8"/>
      <c r="L561" s="8"/>
      <c r="M561" s="8"/>
      <c r="N561" s="8"/>
      <c r="O561" s="8"/>
      <c r="P561" s="8"/>
      <c r="Q561" s="8"/>
      <c r="R561" s="8"/>
      <c r="S561" s="8"/>
      <c r="T561" s="8"/>
      <c r="U561" s="8"/>
    </row>
    <row r="562" spans="10:21">
      <c r="J562" s="8"/>
      <c r="K562" s="8"/>
      <c r="L562" s="8"/>
      <c r="M562" s="8"/>
      <c r="N562" s="8"/>
      <c r="O562" s="8"/>
      <c r="P562" s="8"/>
      <c r="Q562" s="8"/>
      <c r="R562" s="8"/>
      <c r="S562" s="8"/>
      <c r="T562" s="8"/>
      <c r="U562" s="8"/>
    </row>
    <row r="563" spans="10:21">
      <c r="J563" s="8"/>
      <c r="K563" s="8"/>
      <c r="L563" s="8"/>
      <c r="M563" s="8"/>
      <c r="N563" s="8"/>
      <c r="O563" s="8"/>
      <c r="P563" s="8"/>
      <c r="Q563" s="8"/>
      <c r="R563" s="8"/>
      <c r="S563" s="8"/>
      <c r="T563" s="8"/>
      <c r="U563" s="8"/>
    </row>
    <row r="564" spans="10:21">
      <c r="J564" s="8"/>
      <c r="K564" s="8"/>
      <c r="L564" s="8"/>
      <c r="M564" s="8"/>
      <c r="N564" s="8"/>
      <c r="O564" s="8"/>
      <c r="P564" s="8"/>
      <c r="Q564" s="8"/>
      <c r="R564" s="8"/>
      <c r="S564" s="8"/>
      <c r="T564" s="8"/>
      <c r="U564" s="8"/>
    </row>
    <row r="565" spans="10:21">
      <c r="J565" s="8"/>
      <c r="K565" s="8"/>
      <c r="L565" s="8"/>
      <c r="M565" s="8"/>
      <c r="N565" s="8"/>
      <c r="O565" s="8"/>
      <c r="P565" s="8"/>
      <c r="Q565" s="8"/>
      <c r="R565" s="8"/>
      <c r="S565" s="8"/>
      <c r="T565" s="8"/>
      <c r="U565" s="8"/>
    </row>
    <row r="566" spans="10:21">
      <c r="J566" s="8"/>
      <c r="K566" s="8"/>
      <c r="L566" s="8"/>
      <c r="M566" s="8"/>
      <c r="N566" s="8"/>
      <c r="O566" s="8"/>
      <c r="P566" s="8"/>
      <c r="Q566" s="8"/>
      <c r="R566" s="8"/>
      <c r="S566" s="8"/>
      <c r="T566" s="8"/>
      <c r="U566" s="8"/>
    </row>
    <row r="567" spans="10:21">
      <c r="J567" s="8"/>
      <c r="K567" s="8"/>
      <c r="L567" s="8"/>
      <c r="M567" s="8"/>
      <c r="N567" s="8"/>
      <c r="O567" s="8"/>
      <c r="P567" s="8"/>
      <c r="Q567" s="8"/>
      <c r="R567" s="8"/>
      <c r="S567" s="8"/>
      <c r="T567" s="8"/>
      <c r="U567" s="8"/>
    </row>
    <row r="568" spans="10:21">
      <c r="J568" s="8"/>
      <c r="K568" s="8"/>
      <c r="L568" s="8"/>
      <c r="M568" s="8"/>
      <c r="N568" s="8"/>
      <c r="O568" s="8"/>
      <c r="P568" s="8"/>
      <c r="Q568" s="8"/>
      <c r="R568" s="8"/>
      <c r="S568" s="8"/>
      <c r="T568" s="8"/>
      <c r="U568" s="8"/>
    </row>
    <row r="569" spans="10:21">
      <c r="J569" s="8"/>
      <c r="K569" s="8"/>
      <c r="L569" s="8"/>
      <c r="M569" s="8"/>
      <c r="N569" s="8"/>
      <c r="O569" s="8"/>
      <c r="P569" s="8"/>
      <c r="Q569" s="8"/>
      <c r="R569" s="8"/>
      <c r="S569" s="8"/>
      <c r="T569" s="8"/>
      <c r="U569" s="8"/>
    </row>
    <row r="570" spans="10:21">
      <c r="J570" s="8"/>
      <c r="K570" s="8"/>
      <c r="L570" s="8"/>
      <c r="M570" s="8"/>
      <c r="N570" s="8"/>
      <c r="O570" s="8"/>
      <c r="P570" s="8"/>
      <c r="Q570" s="8"/>
      <c r="R570" s="8"/>
      <c r="S570" s="8"/>
      <c r="T570" s="8"/>
      <c r="U570" s="8"/>
    </row>
    <row r="571" spans="10:21">
      <c r="J571" s="8"/>
      <c r="K571" s="8"/>
      <c r="L571" s="8"/>
      <c r="M571" s="8"/>
      <c r="N571" s="8"/>
      <c r="O571" s="8"/>
      <c r="P571" s="8"/>
      <c r="Q571" s="8"/>
      <c r="R571" s="8"/>
      <c r="S571" s="8"/>
      <c r="T571" s="8"/>
      <c r="U571" s="8"/>
    </row>
    <row r="572" spans="10:21">
      <c r="J572" s="8"/>
      <c r="K572" s="8"/>
      <c r="L572" s="8"/>
      <c r="M572" s="8"/>
      <c r="N572" s="8"/>
      <c r="O572" s="8"/>
      <c r="P572" s="8"/>
      <c r="Q572" s="8"/>
      <c r="R572" s="8"/>
      <c r="S572" s="8"/>
      <c r="T572" s="8"/>
      <c r="U572" s="8"/>
    </row>
    <row r="573" spans="10:21">
      <c r="J573" s="8"/>
      <c r="K573" s="8"/>
      <c r="L573" s="8"/>
      <c r="M573" s="8"/>
      <c r="N573" s="8"/>
      <c r="O573" s="8"/>
      <c r="P573" s="8"/>
      <c r="Q573" s="8"/>
      <c r="R573" s="8"/>
      <c r="S573" s="8"/>
      <c r="T573" s="8"/>
      <c r="U573" s="8"/>
    </row>
    <row r="574" spans="10:21">
      <c r="J574" s="8"/>
      <c r="K574" s="8"/>
      <c r="L574" s="8"/>
      <c r="M574" s="8"/>
      <c r="N574" s="8"/>
      <c r="O574" s="8"/>
      <c r="P574" s="8"/>
      <c r="Q574" s="8"/>
      <c r="R574" s="8"/>
      <c r="S574" s="8"/>
      <c r="T574" s="8"/>
      <c r="U574" s="8"/>
    </row>
    <row r="575" spans="10:21">
      <c r="J575" s="8"/>
      <c r="K575" s="8"/>
      <c r="L575" s="8"/>
      <c r="M575" s="8"/>
      <c r="N575" s="8"/>
      <c r="O575" s="8"/>
      <c r="P575" s="8"/>
      <c r="Q575" s="8"/>
      <c r="R575" s="8"/>
      <c r="S575" s="8"/>
      <c r="T575" s="8"/>
      <c r="U575" s="8"/>
    </row>
    <row r="576" spans="10:21">
      <c r="J576" s="8"/>
      <c r="K576" s="8"/>
      <c r="L576" s="8"/>
      <c r="M576" s="8"/>
      <c r="N576" s="8"/>
      <c r="O576" s="8"/>
      <c r="P576" s="8"/>
      <c r="Q576" s="8"/>
      <c r="R576" s="8"/>
      <c r="S576" s="8"/>
      <c r="T576" s="8"/>
      <c r="U576" s="8"/>
    </row>
    <row r="577" spans="10:21">
      <c r="J577" s="8"/>
      <c r="K577" s="8"/>
      <c r="L577" s="8"/>
      <c r="M577" s="8"/>
      <c r="N577" s="8"/>
      <c r="O577" s="8"/>
      <c r="P577" s="8"/>
      <c r="Q577" s="8"/>
      <c r="R577" s="8"/>
      <c r="S577" s="8"/>
      <c r="T577" s="8"/>
      <c r="U577" s="8"/>
    </row>
    <row r="578" spans="10:21">
      <c r="J578" s="8"/>
      <c r="K578" s="8"/>
      <c r="L578" s="8"/>
      <c r="M578" s="8"/>
      <c r="N578" s="8"/>
      <c r="O578" s="8"/>
      <c r="P578" s="8"/>
      <c r="Q578" s="8"/>
      <c r="R578" s="8"/>
      <c r="S578" s="8"/>
      <c r="T578" s="8"/>
      <c r="U578" s="8"/>
    </row>
    <row r="579" spans="10:21">
      <c r="J579" s="8"/>
      <c r="K579" s="8"/>
      <c r="L579" s="8"/>
      <c r="M579" s="8"/>
      <c r="N579" s="8"/>
      <c r="O579" s="8"/>
      <c r="P579" s="8"/>
      <c r="Q579" s="8"/>
      <c r="R579" s="8"/>
      <c r="S579" s="8"/>
      <c r="T579" s="8"/>
      <c r="U579" s="8"/>
    </row>
    <row r="580" spans="10:21">
      <c r="J580" s="8"/>
      <c r="K580" s="8"/>
      <c r="L580" s="8"/>
      <c r="M580" s="8"/>
      <c r="N580" s="8"/>
      <c r="O580" s="8"/>
      <c r="P580" s="8"/>
      <c r="Q580" s="8"/>
      <c r="R580" s="8"/>
      <c r="S580" s="8"/>
      <c r="T580" s="8"/>
      <c r="U580" s="8"/>
    </row>
    <row r="581" spans="10:21">
      <c r="J581" s="8"/>
      <c r="K581" s="8"/>
      <c r="L581" s="8"/>
      <c r="M581" s="8"/>
      <c r="N581" s="8"/>
      <c r="O581" s="8"/>
      <c r="P581" s="8"/>
      <c r="Q581" s="8"/>
      <c r="R581" s="8"/>
      <c r="S581" s="8"/>
      <c r="T581" s="8"/>
      <c r="U581" s="8"/>
    </row>
    <row r="582" spans="10:21">
      <c r="J582" s="8"/>
      <c r="K582" s="8"/>
      <c r="L582" s="8"/>
      <c r="M582" s="8"/>
      <c r="N582" s="8"/>
      <c r="O582" s="8"/>
      <c r="P582" s="8"/>
      <c r="Q582" s="8"/>
      <c r="R582" s="8"/>
      <c r="S582" s="8"/>
      <c r="T582" s="8"/>
      <c r="U582" s="8"/>
    </row>
    <row r="583" spans="10:21">
      <c r="J583" s="8"/>
      <c r="K583" s="8"/>
      <c r="L583" s="8"/>
      <c r="M583" s="8"/>
      <c r="N583" s="8"/>
      <c r="O583" s="8"/>
      <c r="P583" s="8"/>
      <c r="Q583" s="8"/>
      <c r="R583" s="8"/>
      <c r="S583" s="8"/>
      <c r="T583" s="8"/>
      <c r="U583" s="8"/>
    </row>
    <row r="584" spans="10:21">
      <c r="J584" s="8"/>
      <c r="K584" s="8"/>
      <c r="L584" s="8"/>
      <c r="M584" s="8"/>
      <c r="N584" s="8"/>
      <c r="O584" s="8"/>
      <c r="P584" s="8"/>
      <c r="Q584" s="8"/>
      <c r="R584" s="8"/>
      <c r="S584" s="8"/>
      <c r="T584" s="8"/>
      <c r="U584" s="8"/>
    </row>
    <row r="585" spans="10:21">
      <c r="J585" s="8"/>
      <c r="K585" s="8"/>
      <c r="L585" s="8"/>
      <c r="M585" s="8"/>
      <c r="N585" s="8"/>
      <c r="O585" s="8"/>
      <c r="P585" s="8"/>
      <c r="Q585" s="8"/>
      <c r="R585" s="8"/>
      <c r="S585" s="8"/>
      <c r="T585" s="8"/>
      <c r="U585" s="8"/>
    </row>
    <row r="586" spans="10:21">
      <c r="J586" s="8"/>
      <c r="K586" s="8"/>
      <c r="L586" s="8"/>
      <c r="M586" s="8"/>
      <c r="N586" s="8"/>
      <c r="O586" s="8"/>
      <c r="P586" s="8"/>
      <c r="Q586" s="8"/>
      <c r="R586" s="8"/>
      <c r="S586" s="8"/>
      <c r="T586" s="8"/>
      <c r="U586" s="8"/>
    </row>
    <row r="587" spans="10:21">
      <c r="J587" s="8"/>
      <c r="K587" s="8"/>
      <c r="L587" s="8"/>
      <c r="M587" s="8"/>
      <c r="N587" s="8"/>
      <c r="O587" s="8"/>
      <c r="P587" s="8"/>
      <c r="Q587" s="8"/>
      <c r="R587" s="8"/>
      <c r="S587" s="8"/>
      <c r="T587" s="8"/>
      <c r="U587" s="8"/>
    </row>
    <row r="588" spans="10:21">
      <c r="J588" s="8"/>
      <c r="K588" s="8"/>
      <c r="L588" s="8"/>
      <c r="M588" s="8"/>
      <c r="N588" s="8"/>
      <c r="O588" s="8"/>
      <c r="P588" s="8"/>
      <c r="Q588" s="8"/>
      <c r="R588" s="8"/>
      <c r="S588" s="8"/>
      <c r="T588" s="8"/>
      <c r="U588" s="8"/>
    </row>
    <row r="589" spans="10:21">
      <c r="J589" s="8"/>
      <c r="K589" s="8"/>
      <c r="L589" s="8"/>
      <c r="M589" s="8"/>
      <c r="N589" s="8"/>
      <c r="O589" s="8"/>
      <c r="P589" s="8"/>
      <c r="Q589" s="8"/>
      <c r="R589" s="8"/>
      <c r="S589" s="8"/>
      <c r="T589" s="8"/>
      <c r="U589" s="8"/>
    </row>
    <row r="590" spans="10:21">
      <c r="J590" s="8"/>
      <c r="K590" s="8"/>
      <c r="L590" s="8"/>
      <c r="M590" s="8"/>
      <c r="N590" s="8"/>
      <c r="O590" s="8"/>
      <c r="P590" s="8"/>
      <c r="Q590" s="8"/>
      <c r="R590" s="8"/>
      <c r="S590" s="8"/>
      <c r="T590" s="8"/>
      <c r="U590" s="8"/>
    </row>
    <row r="591" spans="10:21">
      <c r="J591" s="8"/>
      <c r="K591" s="8"/>
      <c r="L591" s="8"/>
      <c r="M591" s="8"/>
      <c r="N591" s="8"/>
      <c r="O591" s="8"/>
      <c r="P591" s="8"/>
      <c r="Q591" s="8"/>
      <c r="R591" s="8"/>
      <c r="S591" s="8"/>
      <c r="T591" s="8"/>
      <c r="U591" s="8"/>
    </row>
    <row r="592" spans="10:21">
      <c r="J592" s="8"/>
      <c r="K592" s="8"/>
      <c r="L592" s="8"/>
      <c r="M592" s="8"/>
      <c r="N592" s="8"/>
      <c r="O592" s="8"/>
      <c r="P592" s="8"/>
      <c r="Q592" s="8"/>
      <c r="R592" s="8"/>
      <c r="S592" s="8"/>
      <c r="T592" s="8"/>
      <c r="U592" s="8"/>
    </row>
    <row r="593" spans="10:21">
      <c r="J593" s="8"/>
      <c r="K593" s="8"/>
      <c r="L593" s="8"/>
      <c r="M593" s="8"/>
      <c r="N593" s="8"/>
      <c r="O593" s="8"/>
      <c r="P593" s="8"/>
      <c r="Q593" s="8"/>
      <c r="R593" s="8"/>
      <c r="S593" s="8"/>
      <c r="T593" s="8"/>
      <c r="U593" s="8"/>
    </row>
    <row r="594" spans="10:21">
      <c r="J594" s="8"/>
      <c r="K594" s="8"/>
      <c r="L594" s="8"/>
      <c r="M594" s="8"/>
      <c r="N594" s="8"/>
      <c r="O594" s="8"/>
      <c r="P594" s="8"/>
      <c r="Q594" s="8"/>
      <c r="R594" s="8"/>
      <c r="S594" s="8"/>
      <c r="T594" s="8"/>
      <c r="U594" s="8"/>
    </row>
    <row r="595" spans="10:21">
      <c r="J595" s="8"/>
      <c r="K595" s="8"/>
      <c r="L595" s="8"/>
      <c r="M595" s="8"/>
      <c r="N595" s="8"/>
      <c r="O595" s="8"/>
      <c r="P595" s="8"/>
      <c r="Q595" s="8"/>
      <c r="R595" s="8"/>
      <c r="S595" s="8"/>
      <c r="T595" s="8"/>
      <c r="U595" s="8"/>
    </row>
    <row r="596" spans="10:21">
      <c r="J596" s="8"/>
      <c r="K596" s="8"/>
      <c r="L596" s="8"/>
      <c r="M596" s="8"/>
      <c r="N596" s="8"/>
      <c r="O596" s="8"/>
      <c r="P596" s="8"/>
      <c r="Q596" s="8"/>
      <c r="R596" s="8"/>
      <c r="S596" s="8"/>
      <c r="T596" s="8"/>
      <c r="U596" s="8"/>
    </row>
    <row r="597" spans="10:21">
      <c r="J597" s="8"/>
      <c r="K597" s="8"/>
      <c r="L597" s="8"/>
      <c r="M597" s="8"/>
      <c r="N597" s="8"/>
      <c r="O597" s="8"/>
      <c r="P597" s="8"/>
      <c r="Q597" s="8"/>
      <c r="R597" s="8"/>
      <c r="S597" s="8"/>
      <c r="T597" s="8"/>
      <c r="U597" s="8"/>
    </row>
    <row r="598" spans="10:21">
      <c r="J598" s="8"/>
      <c r="K598" s="8"/>
      <c r="L598" s="8"/>
      <c r="M598" s="8"/>
      <c r="N598" s="8"/>
      <c r="O598" s="8"/>
      <c r="P598" s="8"/>
      <c r="Q598" s="8"/>
      <c r="R598" s="8"/>
      <c r="S598" s="8"/>
      <c r="T598" s="8"/>
      <c r="U598" s="8"/>
    </row>
    <row r="599" spans="10:21">
      <c r="J599" s="8"/>
      <c r="K599" s="8"/>
      <c r="L599" s="8"/>
      <c r="M599" s="8"/>
      <c r="N599" s="8"/>
      <c r="O599" s="8"/>
      <c r="P599" s="8"/>
      <c r="Q599" s="8"/>
      <c r="R599" s="8"/>
      <c r="S599" s="8"/>
      <c r="T599" s="8"/>
      <c r="U599" s="8"/>
    </row>
    <row r="600" spans="10:21">
      <c r="J600" s="8"/>
      <c r="K600" s="8"/>
      <c r="L600" s="8"/>
      <c r="M600" s="8"/>
      <c r="N600" s="8"/>
      <c r="O600" s="8"/>
      <c r="P600" s="8"/>
      <c r="Q600" s="8"/>
      <c r="R600" s="8"/>
      <c r="S600" s="8"/>
      <c r="T600" s="8"/>
      <c r="U600" s="8"/>
    </row>
    <row r="601" spans="10:21">
      <c r="J601" s="8"/>
      <c r="K601" s="8"/>
      <c r="L601" s="8"/>
      <c r="M601" s="8"/>
      <c r="N601" s="8"/>
      <c r="O601" s="8"/>
      <c r="P601" s="8"/>
      <c r="Q601" s="8"/>
      <c r="R601" s="8"/>
      <c r="S601" s="8"/>
      <c r="T601" s="8"/>
      <c r="U601" s="8"/>
    </row>
    <row r="602" spans="10:21">
      <c r="J602" s="8"/>
      <c r="K602" s="8"/>
      <c r="L602" s="8"/>
      <c r="M602" s="8"/>
      <c r="N602" s="8"/>
      <c r="O602" s="8"/>
      <c r="P602" s="8"/>
      <c r="Q602" s="8"/>
      <c r="R602" s="8"/>
      <c r="S602" s="8"/>
      <c r="T602" s="8"/>
      <c r="U602" s="8"/>
    </row>
    <row r="603" spans="10:21">
      <c r="J603" s="8"/>
      <c r="K603" s="8"/>
      <c r="L603" s="8"/>
      <c r="M603" s="8"/>
      <c r="N603" s="8"/>
      <c r="O603" s="8"/>
      <c r="P603" s="8"/>
      <c r="Q603" s="8"/>
      <c r="R603" s="8"/>
      <c r="S603" s="8"/>
      <c r="T603" s="8"/>
      <c r="U603" s="8"/>
    </row>
    <row r="604" spans="10:21">
      <c r="J604" s="8"/>
      <c r="K604" s="8"/>
      <c r="L604" s="8"/>
      <c r="M604" s="8"/>
      <c r="N604" s="8"/>
      <c r="O604" s="8"/>
      <c r="P604" s="8"/>
      <c r="Q604" s="8"/>
      <c r="R604" s="8"/>
      <c r="S604" s="8"/>
      <c r="T604" s="8"/>
      <c r="U604" s="8"/>
    </row>
    <row r="605" spans="10:21">
      <c r="J605" s="8"/>
      <c r="K605" s="8"/>
      <c r="L605" s="8"/>
      <c r="M605" s="8"/>
      <c r="N605" s="8"/>
      <c r="O605" s="8"/>
      <c r="P605" s="8"/>
      <c r="Q605" s="8"/>
      <c r="R605" s="8"/>
      <c r="S605" s="8"/>
      <c r="T605" s="8"/>
      <c r="U605" s="8"/>
    </row>
    <row r="606" spans="10:21">
      <c r="J606" s="8"/>
      <c r="K606" s="8"/>
      <c r="L606" s="8"/>
      <c r="M606" s="8"/>
      <c r="N606" s="8"/>
      <c r="O606" s="8"/>
      <c r="P606" s="8"/>
      <c r="Q606" s="8"/>
      <c r="R606" s="8"/>
      <c r="S606" s="8"/>
      <c r="T606" s="8"/>
      <c r="U606" s="8"/>
    </row>
    <row r="607" spans="10:21">
      <c r="J607" s="8"/>
      <c r="K607" s="8"/>
      <c r="L607" s="8"/>
      <c r="M607" s="8"/>
      <c r="N607" s="8"/>
      <c r="O607" s="8"/>
      <c r="P607" s="8"/>
      <c r="Q607" s="8"/>
      <c r="R607" s="8"/>
      <c r="S607" s="8"/>
      <c r="T607" s="8"/>
      <c r="U607" s="8"/>
    </row>
    <row r="608" spans="10:21">
      <c r="J608" s="8"/>
      <c r="K608" s="8"/>
      <c r="L608" s="8"/>
      <c r="M608" s="8"/>
      <c r="N608" s="8"/>
      <c r="O608" s="8"/>
      <c r="P608" s="8"/>
      <c r="Q608" s="8"/>
      <c r="R608" s="8"/>
      <c r="S608" s="8"/>
      <c r="T608" s="8"/>
      <c r="U608" s="8"/>
    </row>
    <row r="609" spans="10:21">
      <c r="J609" s="8"/>
      <c r="K609" s="8"/>
      <c r="L609" s="8"/>
      <c r="M609" s="8"/>
      <c r="N609" s="8"/>
      <c r="O609" s="8"/>
      <c r="P609" s="8"/>
      <c r="Q609" s="8"/>
      <c r="R609" s="8"/>
      <c r="S609" s="8"/>
      <c r="T609" s="8"/>
      <c r="U609" s="8"/>
    </row>
    <row r="610" spans="10:21">
      <c r="J610" s="8"/>
      <c r="K610" s="8"/>
      <c r="L610" s="8"/>
      <c r="M610" s="8"/>
      <c r="N610" s="8"/>
      <c r="O610" s="8"/>
      <c r="P610" s="8"/>
      <c r="Q610" s="8"/>
      <c r="R610" s="8"/>
      <c r="S610" s="8"/>
      <c r="T610" s="8"/>
      <c r="U610" s="8"/>
    </row>
    <row r="611" spans="10:21">
      <c r="J611" s="8"/>
      <c r="K611" s="8"/>
      <c r="L611" s="8"/>
      <c r="M611" s="8"/>
      <c r="N611" s="8"/>
      <c r="O611" s="8"/>
      <c r="P611" s="8"/>
      <c r="Q611" s="8"/>
      <c r="R611" s="8"/>
      <c r="S611" s="8"/>
      <c r="T611" s="8"/>
      <c r="U611" s="8"/>
    </row>
    <row r="612" spans="10:21">
      <c r="J612" s="8"/>
      <c r="K612" s="8"/>
      <c r="L612" s="8"/>
      <c r="M612" s="8"/>
      <c r="N612" s="8"/>
      <c r="O612" s="8"/>
      <c r="P612" s="8"/>
      <c r="Q612" s="8"/>
      <c r="R612" s="8"/>
      <c r="S612" s="8"/>
      <c r="T612" s="8"/>
      <c r="U612" s="8"/>
    </row>
    <row r="613" spans="10:21">
      <c r="J613" s="8"/>
      <c r="K613" s="8"/>
      <c r="L613" s="8"/>
      <c r="M613" s="8"/>
      <c r="N613" s="8"/>
      <c r="O613" s="8"/>
      <c r="P613" s="8"/>
      <c r="Q613" s="8"/>
      <c r="R613" s="8"/>
      <c r="S613" s="8"/>
      <c r="T613" s="8"/>
      <c r="U613" s="8"/>
    </row>
    <row r="614" spans="10:21">
      <c r="J614" s="8"/>
      <c r="K614" s="8"/>
      <c r="L614" s="8"/>
      <c r="M614" s="8"/>
      <c r="N614" s="8"/>
      <c r="O614" s="8"/>
      <c r="P614" s="8"/>
      <c r="Q614" s="8"/>
      <c r="R614" s="8"/>
      <c r="S614" s="8"/>
      <c r="T614" s="8"/>
      <c r="U614" s="8"/>
    </row>
    <row r="615" spans="10:21">
      <c r="J615" s="8"/>
      <c r="K615" s="8"/>
      <c r="L615" s="8"/>
      <c r="M615" s="8"/>
      <c r="N615" s="8"/>
      <c r="O615" s="8"/>
      <c r="P615" s="8"/>
      <c r="Q615" s="8"/>
      <c r="R615" s="8"/>
      <c r="S615" s="8"/>
      <c r="T615" s="8"/>
      <c r="U615" s="8"/>
    </row>
    <row r="616" spans="10:21">
      <c r="J616" s="8"/>
      <c r="K616" s="8"/>
      <c r="L616" s="8"/>
      <c r="M616" s="8"/>
      <c r="N616" s="8"/>
      <c r="O616" s="8"/>
      <c r="P616" s="8"/>
      <c r="Q616" s="8"/>
      <c r="R616" s="8"/>
      <c r="S616" s="8"/>
      <c r="T616" s="8"/>
      <c r="U616" s="8"/>
    </row>
    <row r="617" spans="10:21">
      <c r="J617" s="8"/>
      <c r="K617" s="8"/>
      <c r="L617" s="8"/>
      <c r="M617" s="8"/>
      <c r="N617" s="8"/>
      <c r="O617" s="8"/>
      <c r="P617" s="8"/>
      <c r="Q617" s="8"/>
      <c r="R617" s="8"/>
      <c r="S617" s="8"/>
      <c r="T617" s="8"/>
      <c r="U617" s="8"/>
    </row>
    <row r="618" spans="10:21">
      <c r="J618" s="8"/>
      <c r="K618" s="8"/>
      <c r="L618" s="8"/>
      <c r="M618" s="8"/>
      <c r="N618" s="8"/>
      <c r="O618" s="8"/>
      <c r="P618" s="8"/>
      <c r="Q618" s="8"/>
      <c r="R618" s="8"/>
      <c r="S618" s="8"/>
      <c r="T618" s="8"/>
      <c r="U618" s="8"/>
    </row>
    <row r="619" spans="10:21">
      <c r="J619" s="8"/>
      <c r="K619" s="8"/>
      <c r="L619" s="8"/>
      <c r="M619" s="8"/>
      <c r="N619" s="8"/>
      <c r="O619" s="8"/>
      <c r="P619" s="8"/>
      <c r="Q619" s="8"/>
      <c r="R619" s="8"/>
      <c r="S619" s="8"/>
      <c r="T619" s="8"/>
      <c r="U619" s="8"/>
    </row>
    <row r="620" spans="10:21">
      <c r="J620" s="8"/>
      <c r="K620" s="8"/>
      <c r="L620" s="8"/>
      <c r="M620" s="8"/>
      <c r="N620" s="8"/>
      <c r="O620" s="8"/>
      <c r="P620" s="8"/>
      <c r="Q620" s="8"/>
      <c r="R620" s="8"/>
      <c r="S620" s="8"/>
      <c r="T620" s="8"/>
      <c r="U620" s="8"/>
    </row>
    <row r="621" spans="10:21">
      <c r="J621" s="8"/>
      <c r="K621" s="8"/>
      <c r="L621" s="8"/>
      <c r="M621" s="8"/>
      <c r="N621" s="8"/>
      <c r="O621" s="8"/>
      <c r="P621" s="8"/>
      <c r="Q621" s="8"/>
      <c r="R621" s="8"/>
      <c r="S621" s="8"/>
      <c r="T621" s="8"/>
      <c r="U621" s="8"/>
    </row>
    <row r="622" spans="10:21">
      <c r="J622" s="8"/>
      <c r="K622" s="8"/>
      <c r="L622" s="8"/>
      <c r="M622" s="8"/>
      <c r="N622" s="8"/>
      <c r="O622" s="8"/>
      <c r="P622" s="8"/>
      <c r="Q622" s="8"/>
      <c r="R622" s="8"/>
      <c r="S622" s="8"/>
      <c r="T622" s="8"/>
      <c r="U622" s="8"/>
    </row>
    <row r="623" spans="10:21">
      <c r="J623" s="8"/>
      <c r="K623" s="8"/>
      <c r="L623" s="8"/>
      <c r="M623" s="8"/>
      <c r="N623" s="8"/>
      <c r="O623" s="8"/>
      <c r="P623" s="8"/>
      <c r="Q623" s="8"/>
      <c r="R623" s="8"/>
      <c r="S623" s="8"/>
      <c r="T623" s="8"/>
      <c r="U623" s="8"/>
    </row>
    <row r="624" spans="10:21">
      <c r="J624" s="8"/>
      <c r="K624" s="8"/>
      <c r="L624" s="8"/>
      <c r="M624" s="8"/>
      <c r="N624" s="8"/>
      <c r="O624" s="8"/>
      <c r="P624" s="8"/>
      <c r="Q624" s="8"/>
      <c r="R624" s="8"/>
      <c r="S624" s="8"/>
      <c r="T624" s="8"/>
      <c r="U624" s="8"/>
    </row>
    <row r="625" spans="10:21">
      <c r="J625" s="8"/>
      <c r="K625" s="8"/>
      <c r="L625" s="8"/>
      <c r="M625" s="8"/>
      <c r="N625" s="8"/>
      <c r="O625" s="8"/>
      <c r="P625" s="8"/>
      <c r="Q625" s="8"/>
      <c r="R625" s="8"/>
      <c r="S625" s="8"/>
      <c r="T625" s="8"/>
      <c r="U625" s="8"/>
    </row>
    <row r="626" spans="10:21">
      <c r="J626" s="8"/>
      <c r="K626" s="8"/>
      <c r="L626" s="8"/>
      <c r="M626" s="8"/>
      <c r="N626" s="8"/>
      <c r="O626" s="8"/>
      <c r="P626" s="8"/>
      <c r="Q626" s="8"/>
      <c r="R626" s="8"/>
      <c r="S626" s="8"/>
      <c r="T626" s="8"/>
      <c r="U626" s="8"/>
    </row>
    <row r="627" spans="10:21">
      <c r="J627" s="8"/>
      <c r="K627" s="8"/>
      <c r="L627" s="8"/>
      <c r="M627" s="8"/>
      <c r="N627" s="8"/>
      <c r="O627" s="8"/>
      <c r="P627" s="8"/>
      <c r="Q627" s="8"/>
      <c r="R627" s="8"/>
      <c r="S627" s="8"/>
      <c r="T627" s="8"/>
      <c r="U627" s="8"/>
    </row>
    <row r="628" spans="10:21">
      <c r="J628" s="8"/>
      <c r="K628" s="8"/>
      <c r="L628" s="8"/>
      <c r="M628" s="8"/>
      <c r="N628" s="8"/>
      <c r="O628" s="8"/>
      <c r="P628" s="8"/>
      <c r="Q628" s="8"/>
      <c r="R628" s="8"/>
      <c r="S628" s="8"/>
      <c r="T628" s="8"/>
      <c r="U628" s="8"/>
    </row>
    <row r="629" spans="10:21">
      <c r="J629" s="8"/>
      <c r="K629" s="8"/>
      <c r="L629" s="8"/>
      <c r="M629" s="8"/>
      <c r="N629" s="8"/>
      <c r="O629" s="8"/>
      <c r="P629" s="8"/>
      <c r="Q629" s="8"/>
      <c r="R629" s="8"/>
      <c r="S629" s="8"/>
      <c r="T629" s="8"/>
      <c r="U629" s="8"/>
    </row>
    <row r="630" spans="10:21">
      <c r="J630" s="8"/>
      <c r="K630" s="8"/>
      <c r="L630" s="8"/>
      <c r="M630" s="8"/>
      <c r="N630" s="8"/>
      <c r="O630" s="8"/>
      <c r="P630" s="8"/>
      <c r="Q630" s="8"/>
      <c r="R630" s="8"/>
      <c r="S630" s="8"/>
      <c r="T630" s="8"/>
      <c r="U630" s="8"/>
    </row>
    <row r="631" spans="10:21">
      <c r="J631" s="8"/>
      <c r="K631" s="8"/>
      <c r="L631" s="8"/>
      <c r="M631" s="8"/>
      <c r="N631" s="8"/>
      <c r="O631" s="8"/>
      <c r="P631" s="8"/>
      <c r="Q631" s="8"/>
      <c r="R631" s="8"/>
      <c r="S631" s="8"/>
      <c r="T631" s="8"/>
      <c r="U631" s="8"/>
    </row>
    <row r="632" spans="10:21">
      <c r="J632" s="8"/>
      <c r="K632" s="8"/>
      <c r="L632" s="8"/>
      <c r="M632" s="8"/>
      <c r="N632" s="8"/>
      <c r="O632" s="8"/>
      <c r="P632" s="8"/>
      <c r="Q632" s="8"/>
      <c r="R632" s="8"/>
      <c r="S632" s="8"/>
      <c r="T632" s="8"/>
      <c r="U632" s="8"/>
    </row>
    <row r="633" spans="10:21">
      <c r="J633" s="8"/>
      <c r="K633" s="8"/>
      <c r="L633" s="8"/>
      <c r="M633" s="8"/>
      <c r="N633" s="8"/>
      <c r="O633" s="8"/>
      <c r="P633" s="8"/>
      <c r="Q633" s="8"/>
      <c r="R633" s="8"/>
      <c r="S633" s="8"/>
      <c r="T633" s="8"/>
      <c r="U633" s="8"/>
    </row>
    <row r="634" spans="10:21">
      <c r="J634" s="8"/>
      <c r="K634" s="8"/>
      <c r="L634" s="8"/>
      <c r="M634" s="8"/>
      <c r="N634" s="8"/>
      <c r="O634" s="8"/>
      <c r="P634" s="8"/>
      <c r="Q634" s="8"/>
      <c r="R634" s="8"/>
      <c r="S634" s="8"/>
      <c r="T634" s="8"/>
      <c r="U634" s="8"/>
    </row>
    <row r="635" spans="10:21">
      <c r="J635" s="8"/>
      <c r="K635" s="8"/>
      <c r="L635" s="8"/>
      <c r="M635" s="8"/>
      <c r="N635" s="8"/>
      <c r="O635" s="8"/>
      <c r="P635" s="8"/>
      <c r="Q635" s="8"/>
      <c r="R635" s="8"/>
      <c r="S635" s="8"/>
      <c r="T635" s="8"/>
      <c r="U635" s="8"/>
    </row>
    <row r="636" spans="10:21">
      <c r="J636" s="8"/>
      <c r="K636" s="8"/>
      <c r="L636" s="8"/>
      <c r="M636" s="8"/>
      <c r="N636" s="8"/>
      <c r="O636" s="8"/>
      <c r="P636" s="8"/>
      <c r="Q636" s="8"/>
      <c r="R636" s="8"/>
      <c r="S636" s="8"/>
      <c r="T636" s="8"/>
      <c r="U636" s="8"/>
    </row>
    <row r="637" spans="10:21">
      <c r="J637" s="8"/>
      <c r="K637" s="8"/>
      <c r="L637" s="8"/>
      <c r="M637" s="8"/>
      <c r="N637" s="8"/>
      <c r="O637" s="8"/>
      <c r="P637" s="8"/>
      <c r="Q637" s="8"/>
      <c r="R637" s="8"/>
      <c r="S637" s="8"/>
      <c r="T637" s="8"/>
      <c r="U637" s="8"/>
    </row>
    <row r="638" spans="10:21">
      <c r="J638" s="8"/>
      <c r="K638" s="8"/>
      <c r="L638" s="8"/>
      <c r="M638" s="8"/>
      <c r="N638" s="8"/>
      <c r="O638" s="8"/>
      <c r="P638" s="8"/>
      <c r="Q638" s="8"/>
      <c r="R638" s="8"/>
      <c r="S638" s="8"/>
      <c r="T638" s="8"/>
      <c r="U638" s="8"/>
    </row>
    <row r="639" spans="10:21">
      <c r="J639" s="8"/>
      <c r="K639" s="8"/>
      <c r="L639" s="8"/>
      <c r="M639" s="8"/>
      <c r="N639" s="8"/>
      <c r="O639" s="8"/>
      <c r="P639" s="8"/>
      <c r="Q639" s="8"/>
      <c r="R639" s="8"/>
      <c r="S639" s="8"/>
      <c r="T639" s="8"/>
      <c r="U639" s="8"/>
    </row>
    <row r="640" spans="10:21">
      <c r="J640" s="8"/>
      <c r="K640" s="8"/>
      <c r="L640" s="8"/>
      <c r="M640" s="8"/>
      <c r="N640" s="8"/>
      <c r="O640" s="8"/>
      <c r="P640" s="8"/>
      <c r="Q640" s="8"/>
      <c r="R640" s="8"/>
      <c r="S640" s="8"/>
      <c r="T640" s="8"/>
      <c r="U640" s="8"/>
    </row>
    <row r="641" spans="10:21">
      <c r="J641" s="8"/>
      <c r="K641" s="8"/>
      <c r="L641" s="8"/>
      <c r="M641" s="8"/>
      <c r="N641" s="8"/>
      <c r="O641" s="8"/>
      <c r="P641" s="8"/>
      <c r="Q641" s="8"/>
      <c r="R641" s="8"/>
      <c r="S641" s="8"/>
      <c r="T641" s="8"/>
      <c r="U641" s="8"/>
    </row>
    <row r="642" spans="10:21">
      <c r="J642" s="8"/>
      <c r="K642" s="8"/>
      <c r="L642" s="8"/>
      <c r="M642" s="8"/>
      <c r="N642" s="8"/>
      <c r="O642" s="8"/>
      <c r="P642" s="8"/>
      <c r="Q642" s="8"/>
      <c r="R642" s="8"/>
      <c r="S642" s="8"/>
      <c r="T642" s="8"/>
      <c r="U642" s="8"/>
    </row>
    <row r="643" spans="10:21">
      <c r="J643" s="8"/>
      <c r="K643" s="8"/>
      <c r="L643" s="8"/>
      <c r="M643" s="8"/>
      <c r="N643" s="8"/>
      <c r="O643" s="8"/>
      <c r="P643" s="8"/>
      <c r="Q643" s="8"/>
      <c r="R643" s="8"/>
      <c r="S643" s="8"/>
      <c r="T643" s="8"/>
      <c r="U643" s="8"/>
    </row>
    <row r="644" spans="10:21">
      <c r="J644" s="8"/>
      <c r="K644" s="8"/>
      <c r="L644" s="8"/>
      <c r="M644" s="8"/>
      <c r="N644" s="8"/>
      <c r="O644" s="8"/>
      <c r="P644" s="8"/>
      <c r="Q644" s="8"/>
      <c r="R644" s="8"/>
      <c r="S644" s="8"/>
      <c r="T644" s="8"/>
      <c r="U644" s="8"/>
    </row>
    <row r="645" spans="10:21">
      <c r="J645" s="8"/>
      <c r="K645" s="8"/>
      <c r="L645" s="8"/>
      <c r="M645" s="8"/>
      <c r="N645" s="8"/>
      <c r="O645" s="8"/>
      <c r="P645" s="8"/>
      <c r="Q645" s="8"/>
      <c r="R645" s="8"/>
      <c r="S645" s="8"/>
      <c r="T645" s="8"/>
      <c r="U645" s="8"/>
    </row>
    <row r="646" spans="10:21">
      <c r="J646" s="8"/>
      <c r="K646" s="8"/>
      <c r="L646" s="8"/>
      <c r="M646" s="8"/>
      <c r="N646" s="8"/>
      <c r="O646" s="8"/>
      <c r="P646" s="8"/>
      <c r="Q646" s="8"/>
      <c r="R646" s="8"/>
      <c r="S646" s="8"/>
      <c r="T646" s="8"/>
      <c r="U646" s="8"/>
    </row>
    <row r="647" spans="10:21">
      <c r="J647" s="8"/>
      <c r="K647" s="8"/>
      <c r="L647" s="8"/>
      <c r="M647" s="8"/>
      <c r="N647" s="8"/>
      <c r="O647" s="8"/>
      <c r="P647" s="8"/>
      <c r="Q647" s="8"/>
      <c r="R647" s="8"/>
      <c r="S647" s="8"/>
      <c r="T647" s="8"/>
      <c r="U647" s="8"/>
    </row>
    <row r="648" spans="10:21">
      <c r="J648" s="8"/>
      <c r="K648" s="8"/>
      <c r="L648" s="8"/>
      <c r="M648" s="8"/>
      <c r="N648" s="8"/>
      <c r="O648" s="8"/>
      <c r="P648" s="8"/>
      <c r="Q648" s="8"/>
      <c r="R648" s="8"/>
      <c r="S648" s="8"/>
      <c r="T648" s="8"/>
      <c r="U648" s="8"/>
    </row>
    <row r="649" spans="10:21">
      <c r="J649" s="8"/>
      <c r="K649" s="8"/>
      <c r="L649" s="8"/>
      <c r="M649" s="8"/>
      <c r="N649" s="8"/>
      <c r="O649" s="8"/>
      <c r="P649" s="8"/>
      <c r="Q649" s="8"/>
      <c r="R649" s="8"/>
      <c r="S649" s="8"/>
      <c r="T649" s="8"/>
      <c r="U649" s="8"/>
    </row>
    <row r="650" spans="10:21">
      <c r="J650" s="8"/>
      <c r="K650" s="8"/>
      <c r="L650" s="8"/>
      <c r="M650" s="8"/>
      <c r="N650" s="8"/>
      <c r="O650" s="8"/>
      <c r="P650" s="8"/>
      <c r="Q650" s="8"/>
      <c r="R650" s="8"/>
      <c r="S650" s="8"/>
      <c r="T650" s="8"/>
      <c r="U650" s="8"/>
    </row>
    <row r="651" spans="10:21">
      <c r="J651" s="8"/>
      <c r="K651" s="8"/>
      <c r="L651" s="8"/>
      <c r="M651" s="8"/>
      <c r="N651" s="8"/>
      <c r="O651" s="8"/>
      <c r="P651" s="8"/>
      <c r="Q651" s="8"/>
      <c r="R651" s="8"/>
      <c r="S651" s="8"/>
      <c r="T651" s="8"/>
      <c r="U651" s="8"/>
    </row>
    <row r="652" spans="10:21">
      <c r="J652" s="8"/>
      <c r="K652" s="8"/>
      <c r="L652" s="8"/>
      <c r="M652" s="8"/>
      <c r="N652" s="8"/>
      <c r="O652" s="8"/>
      <c r="P652" s="8"/>
      <c r="Q652" s="8"/>
      <c r="R652" s="8"/>
      <c r="S652" s="8"/>
      <c r="T652" s="8"/>
      <c r="U652" s="8"/>
    </row>
    <row r="653" spans="10:21">
      <c r="J653" s="8"/>
      <c r="K653" s="8"/>
      <c r="L653" s="8"/>
      <c r="M653" s="8"/>
      <c r="N653" s="8"/>
      <c r="O653" s="8"/>
      <c r="P653" s="8"/>
      <c r="Q653" s="8"/>
      <c r="R653" s="8"/>
      <c r="S653" s="8"/>
      <c r="T653" s="8"/>
      <c r="U653" s="8"/>
    </row>
    <row r="654" spans="10:21">
      <c r="J654" s="8"/>
      <c r="K654" s="8"/>
      <c r="L654" s="8"/>
      <c r="M654" s="8"/>
      <c r="N654" s="8"/>
      <c r="O654" s="8"/>
      <c r="P654" s="8"/>
      <c r="Q654" s="8"/>
      <c r="R654" s="8"/>
      <c r="S654" s="8"/>
      <c r="T654" s="8"/>
      <c r="U654" s="8"/>
    </row>
    <row r="655" spans="10:21">
      <c r="J655" s="8"/>
      <c r="K655" s="8"/>
      <c r="L655" s="8"/>
      <c r="M655" s="8"/>
      <c r="N655" s="8"/>
      <c r="O655" s="8"/>
      <c r="P655" s="8"/>
      <c r="Q655" s="8"/>
      <c r="R655" s="8"/>
      <c r="S655" s="8"/>
      <c r="T655" s="8"/>
      <c r="U655" s="8"/>
    </row>
    <row r="656" spans="10:21">
      <c r="J656" s="8"/>
      <c r="K656" s="8"/>
      <c r="L656" s="8"/>
      <c r="M656" s="8"/>
      <c r="N656" s="8"/>
      <c r="O656" s="8"/>
      <c r="P656" s="8"/>
      <c r="Q656" s="8"/>
      <c r="R656" s="8"/>
      <c r="S656" s="8"/>
      <c r="T656" s="8"/>
      <c r="U656" s="8"/>
    </row>
    <row r="657" spans="10:21">
      <c r="J657" s="8"/>
      <c r="K657" s="8"/>
      <c r="L657" s="8"/>
      <c r="M657" s="8"/>
      <c r="N657" s="8"/>
      <c r="O657" s="8"/>
      <c r="P657" s="8"/>
      <c r="Q657" s="8"/>
      <c r="R657" s="8"/>
      <c r="S657" s="8"/>
      <c r="T657" s="8"/>
      <c r="U657" s="8"/>
    </row>
    <row r="658" spans="10:21">
      <c r="J658" s="8"/>
      <c r="K658" s="8"/>
      <c r="L658" s="8"/>
      <c r="M658" s="8"/>
      <c r="N658" s="8"/>
      <c r="O658" s="8"/>
      <c r="P658" s="8"/>
      <c r="Q658" s="8"/>
      <c r="R658" s="8"/>
      <c r="S658" s="8"/>
      <c r="T658" s="8"/>
      <c r="U658" s="8"/>
    </row>
    <row r="659" spans="10:21">
      <c r="J659" s="8"/>
      <c r="K659" s="8"/>
      <c r="L659" s="8"/>
      <c r="M659" s="8"/>
      <c r="N659" s="8"/>
      <c r="O659" s="8"/>
      <c r="P659" s="8"/>
      <c r="Q659" s="8"/>
      <c r="R659" s="8"/>
      <c r="S659" s="8"/>
      <c r="T659" s="8"/>
      <c r="U659" s="8"/>
    </row>
    <row r="660" spans="10:21">
      <c r="J660" s="8"/>
      <c r="K660" s="8"/>
      <c r="L660" s="8"/>
      <c r="M660" s="8"/>
      <c r="N660" s="8"/>
      <c r="O660" s="8"/>
      <c r="P660" s="8"/>
      <c r="Q660" s="8"/>
      <c r="R660" s="8"/>
      <c r="S660" s="8"/>
      <c r="T660" s="8"/>
      <c r="U660" s="8"/>
    </row>
    <row r="661" spans="10:21">
      <c r="J661" s="8"/>
      <c r="K661" s="8"/>
      <c r="L661" s="8"/>
      <c r="M661" s="8"/>
      <c r="N661" s="8"/>
      <c r="O661" s="8"/>
      <c r="P661" s="8"/>
      <c r="Q661" s="8"/>
      <c r="R661" s="8"/>
      <c r="S661" s="8"/>
      <c r="T661" s="8"/>
      <c r="U661" s="8"/>
    </row>
    <row r="662" spans="10:21">
      <c r="J662" s="8"/>
      <c r="K662" s="8"/>
      <c r="L662" s="8"/>
      <c r="M662" s="8"/>
      <c r="N662" s="8"/>
      <c r="O662" s="8"/>
      <c r="P662" s="8"/>
      <c r="Q662" s="8"/>
      <c r="R662" s="8"/>
      <c r="S662" s="8"/>
      <c r="T662" s="8"/>
      <c r="U662" s="8"/>
    </row>
    <row r="663" spans="10:21">
      <c r="J663" s="8"/>
      <c r="K663" s="8"/>
      <c r="L663" s="8"/>
      <c r="M663" s="8"/>
      <c r="N663" s="8"/>
      <c r="O663" s="8"/>
      <c r="P663" s="8"/>
      <c r="Q663" s="8"/>
      <c r="R663" s="8"/>
      <c r="S663" s="8"/>
      <c r="T663" s="8"/>
      <c r="U663" s="8"/>
    </row>
    <row r="664" spans="10:21">
      <c r="J664" s="8"/>
      <c r="K664" s="8"/>
      <c r="L664" s="8"/>
      <c r="M664" s="8"/>
      <c r="N664" s="8"/>
      <c r="O664" s="8"/>
      <c r="P664" s="8"/>
      <c r="Q664" s="8"/>
      <c r="R664" s="8"/>
      <c r="S664" s="8"/>
      <c r="T664" s="8"/>
      <c r="U664" s="8"/>
    </row>
    <row r="665" spans="10:21">
      <c r="J665" s="8"/>
      <c r="K665" s="8"/>
      <c r="L665" s="8"/>
      <c r="M665" s="8"/>
      <c r="N665" s="8"/>
      <c r="O665" s="8"/>
      <c r="P665" s="8"/>
      <c r="Q665" s="8"/>
      <c r="R665" s="8"/>
      <c r="S665" s="8"/>
      <c r="T665" s="8"/>
      <c r="U665" s="8"/>
    </row>
    <row r="666" spans="10:21">
      <c r="J666" s="8"/>
      <c r="K666" s="8"/>
      <c r="L666" s="8"/>
      <c r="M666" s="8"/>
      <c r="N666" s="8"/>
      <c r="O666" s="8"/>
      <c r="P666" s="8"/>
      <c r="Q666" s="8"/>
      <c r="R666" s="8"/>
      <c r="S666" s="8"/>
      <c r="T666" s="8"/>
      <c r="U666" s="8"/>
    </row>
    <row r="667" spans="10:21">
      <c r="J667" s="8"/>
      <c r="K667" s="8"/>
      <c r="L667" s="8"/>
      <c r="M667" s="8"/>
      <c r="N667" s="8"/>
      <c r="O667" s="8"/>
      <c r="P667" s="8"/>
      <c r="Q667" s="8"/>
      <c r="R667" s="8"/>
      <c r="S667" s="8"/>
      <c r="T667" s="8"/>
      <c r="U667" s="8"/>
    </row>
    <row r="668" spans="10:21">
      <c r="J668" s="8"/>
      <c r="K668" s="8"/>
      <c r="L668" s="8"/>
      <c r="M668" s="8"/>
      <c r="N668" s="8"/>
      <c r="O668" s="8"/>
      <c r="P668" s="8"/>
      <c r="Q668" s="8"/>
      <c r="R668" s="8"/>
      <c r="S668" s="8"/>
      <c r="T668" s="8"/>
      <c r="U668" s="8"/>
    </row>
    <row r="669" spans="10:21">
      <c r="J669" s="8"/>
      <c r="K669" s="8"/>
      <c r="L669" s="8"/>
      <c r="M669" s="8"/>
      <c r="N669" s="8"/>
      <c r="O669" s="8"/>
      <c r="P669" s="8"/>
      <c r="Q669" s="8"/>
      <c r="R669" s="8"/>
      <c r="S669" s="8"/>
      <c r="T669" s="8"/>
      <c r="U669" s="8"/>
    </row>
    <row r="670" spans="10:21">
      <c r="J670" s="8"/>
      <c r="K670" s="8"/>
      <c r="L670" s="8"/>
      <c r="M670" s="8"/>
      <c r="N670" s="8"/>
      <c r="O670" s="8"/>
      <c r="P670" s="8"/>
      <c r="Q670" s="8"/>
      <c r="R670" s="8"/>
      <c r="S670" s="8"/>
      <c r="T670" s="8"/>
      <c r="U670" s="8"/>
    </row>
    <row r="671" spans="10:21">
      <c r="J671" s="8"/>
      <c r="K671" s="8"/>
      <c r="L671" s="8"/>
      <c r="M671" s="8"/>
      <c r="N671" s="8"/>
      <c r="O671" s="8"/>
      <c r="P671" s="8"/>
      <c r="Q671" s="8"/>
      <c r="R671" s="8"/>
      <c r="S671" s="8"/>
      <c r="T671" s="8"/>
      <c r="U671" s="8"/>
    </row>
    <row r="672" spans="10:21">
      <c r="J672" s="8"/>
      <c r="K672" s="8"/>
      <c r="L672" s="8"/>
      <c r="M672" s="8"/>
      <c r="N672" s="8"/>
      <c r="O672" s="8"/>
      <c r="P672" s="8"/>
      <c r="Q672" s="8"/>
      <c r="R672" s="8"/>
      <c r="S672" s="8"/>
      <c r="T672" s="8"/>
      <c r="U672" s="8"/>
    </row>
    <row r="673" spans="10:21">
      <c r="J673" s="8"/>
      <c r="K673" s="8"/>
      <c r="L673" s="8"/>
      <c r="M673" s="8"/>
      <c r="N673" s="8"/>
      <c r="O673" s="8"/>
      <c r="P673" s="8"/>
      <c r="Q673" s="8"/>
      <c r="R673" s="8"/>
      <c r="S673" s="8"/>
      <c r="T673" s="8"/>
      <c r="U673" s="8"/>
    </row>
    <row r="674" spans="10:21">
      <c r="J674" s="8"/>
      <c r="K674" s="8"/>
      <c r="L674" s="8"/>
      <c r="M674" s="8"/>
      <c r="N674" s="8"/>
      <c r="O674" s="8"/>
      <c r="P674" s="8"/>
      <c r="Q674" s="8"/>
      <c r="R674" s="8"/>
      <c r="S674" s="8"/>
      <c r="T674" s="8"/>
      <c r="U674" s="8"/>
    </row>
    <row r="675" spans="10:21">
      <c r="J675" s="8"/>
      <c r="K675" s="8"/>
      <c r="L675" s="8"/>
      <c r="M675" s="8"/>
      <c r="N675" s="8"/>
      <c r="O675" s="8"/>
      <c r="P675" s="8"/>
      <c r="Q675" s="8"/>
      <c r="R675" s="8"/>
      <c r="S675" s="8"/>
      <c r="T675" s="8"/>
      <c r="U675" s="8"/>
    </row>
    <row r="676" spans="10:21">
      <c r="J676" s="8"/>
      <c r="K676" s="8"/>
      <c r="L676" s="8"/>
      <c r="M676" s="8"/>
      <c r="N676" s="8"/>
      <c r="O676" s="8"/>
      <c r="P676" s="8"/>
      <c r="Q676" s="8"/>
      <c r="R676" s="8"/>
      <c r="S676" s="8"/>
      <c r="T676" s="8"/>
      <c r="U676" s="8"/>
    </row>
    <row r="677" spans="10:21">
      <c r="J677" s="8"/>
      <c r="K677" s="8"/>
      <c r="L677" s="8"/>
      <c r="M677" s="8"/>
      <c r="N677" s="8"/>
      <c r="O677" s="8"/>
      <c r="P677" s="8"/>
      <c r="Q677" s="8"/>
      <c r="R677" s="8"/>
      <c r="S677" s="8"/>
      <c r="T677" s="8"/>
      <c r="U677" s="8"/>
    </row>
    <row r="678" spans="10:21">
      <c r="J678" s="8"/>
      <c r="K678" s="8"/>
      <c r="L678" s="8"/>
      <c r="M678" s="8"/>
      <c r="N678" s="8"/>
      <c r="O678" s="8"/>
      <c r="P678" s="8"/>
      <c r="Q678" s="8"/>
      <c r="R678" s="8"/>
      <c r="S678" s="8"/>
      <c r="T678" s="8"/>
      <c r="U678" s="8"/>
    </row>
    <row r="679" spans="10:21">
      <c r="J679" s="8"/>
      <c r="K679" s="8"/>
      <c r="L679" s="8"/>
      <c r="M679" s="8"/>
      <c r="N679" s="8"/>
      <c r="O679" s="8"/>
      <c r="P679" s="8"/>
      <c r="Q679" s="8"/>
      <c r="R679" s="8"/>
      <c r="S679" s="8"/>
      <c r="T679" s="8"/>
      <c r="U679" s="8"/>
    </row>
    <row r="680" spans="10:21">
      <c r="J680" s="8"/>
      <c r="K680" s="8"/>
      <c r="L680" s="8"/>
      <c r="M680" s="8"/>
      <c r="N680" s="8"/>
      <c r="O680" s="8"/>
      <c r="P680" s="8"/>
      <c r="Q680" s="8"/>
      <c r="R680" s="8"/>
      <c r="S680" s="8"/>
      <c r="T680" s="8"/>
      <c r="U680" s="8"/>
    </row>
    <row r="681" spans="10:21">
      <c r="J681" s="8"/>
      <c r="K681" s="8"/>
      <c r="L681" s="8"/>
      <c r="M681" s="8"/>
      <c r="N681" s="8"/>
      <c r="O681" s="8"/>
      <c r="P681" s="8"/>
      <c r="Q681" s="8"/>
      <c r="R681" s="8"/>
      <c r="S681" s="8"/>
      <c r="T681" s="8"/>
      <c r="U681" s="8"/>
    </row>
    <row r="682" spans="10:21">
      <c r="J682" s="8"/>
      <c r="K682" s="8"/>
      <c r="L682" s="8"/>
      <c r="M682" s="8"/>
      <c r="N682" s="8"/>
      <c r="O682" s="8"/>
      <c r="P682" s="8"/>
      <c r="Q682" s="8"/>
      <c r="R682" s="8"/>
      <c r="S682" s="8"/>
      <c r="T682" s="8"/>
      <c r="U682" s="8"/>
    </row>
    <row r="683" spans="10:21">
      <c r="J683" s="8"/>
      <c r="K683" s="8"/>
      <c r="L683" s="8"/>
      <c r="M683" s="8"/>
      <c r="N683" s="8"/>
      <c r="O683" s="8"/>
      <c r="P683" s="8"/>
      <c r="Q683" s="8"/>
      <c r="R683" s="8"/>
      <c r="S683" s="8"/>
      <c r="T683" s="8"/>
      <c r="U683" s="8"/>
    </row>
    <row r="684" spans="10:21">
      <c r="J684" s="8"/>
      <c r="K684" s="8"/>
      <c r="L684" s="8"/>
      <c r="M684" s="8"/>
      <c r="N684" s="8"/>
      <c r="O684" s="8"/>
      <c r="P684" s="8"/>
      <c r="Q684" s="8"/>
      <c r="R684" s="8"/>
      <c r="S684" s="8"/>
      <c r="T684" s="8"/>
      <c r="U684" s="8"/>
    </row>
    <row r="685" spans="10:21">
      <c r="J685" s="8"/>
      <c r="K685" s="8"/>
      <c r="L685" s="8"/>
      <c r="M685" s="8"/>
      <c r="N685" s="8"/>
      <c r="O685" s="8"/>
      <c r="P685" s="8"/>
      <c r="Q685" s="8"/>
      <c r="R685" s="8"/>
      <c r="S685" s="8"/>
      <c r="T685" s="8"/>
      <c r="U685" s="8"/>
    </row>
    <row r="686" spans="10:21">
      <c r="J686" s="8"/>
      <c r="K686" s="8"/>
      <c r="L686" s="8"/>
      <c r="M686" s="8"/>
      <c r="N686" s="8"/>
      <c r="O686" s="8"/>
      <c r="P686" s="8"/>
      <c r="Q686" s="8"/>
      <c r="R686" s="8"/>
      <c r="S686" s="8"/>
      <c r="T686" s="8"/>
      <c r="U686" s="8"/>
    </row>
    <row r="687" spans="10:21">
      <c r="J687" s="8"/>
      <c r="K687" s="8"/>
      <c r="L687" s="8"/>
      <c r="M687" s="8"/>
      <c r="N687" s="8"/>
      <c r="O687" s="8"/>
      <c r="P687" s="8"/>
      <c r="Q687" s="8"/>
      <c r="R687" s="8"/>
      <c r="S687" s="8"/>
      <c r="T687" s="8"/>
      <c r="U687" s="8"/>
    </row>
    <row r="688" spans="10:21">
      <c r="J688" s="8"/>
      <c r="K688" s="8"/>
      <c r="L688" s="8"/>
      <c r="M688" s="8"/>
      <c r="N688" s="8"/>
      <c r="O688" s="8"/>
      <c r="P688" s="8"/>
      <c r="Q688" s="8"/>
      <c r="R688" s="8"/>
      <c r="S688" s="8"/>
      <c r="T688" s="8"/>
      <c r="U688" s="8"/>
    </row>
    <row r="689" spans="10:21">
      <c r="J689" s="8"/>
      <c r="K689" s="8"/>
      <c r="L689" s="8"/>
      <c r="M689" s="8"/>
      <c r="N689" s="8"/>
      <c r="O689" s="8"/>
      <c r="P689" s="8"/>
      <c r="Q689" s="8"/>
      <c r="R689" s="8"/>
      <c r="S689" s="8"/>
      <c r="T689" s="8"/>
      <c r="U689" s="8"/>
    </row>
    <row r="690" spans="10:21">
      <c r="J690" s="8"/>
      <c r="K690" s="8"/>
      <c r="L690" s="8"/>
      <c r="M690" s="8"/>
      <c r="N690" s="8"/>
      <c r="O690" s="8"/>
      <c r="P690" s="8"/>
      <c r="Q690" s="8"/>
      <c r="R690" s="8"/>
      <c r="S690" s="8"/>
      <c r="T690" s="8"/>
      <c r="U690" s="8"/>
    </row>
    <row r="691" spans="10:21">
      <c r="J691" s="8"/>
      <c r="K691" s="8"/>
      <c r="L691" s="8"/>
      <c r="M691" s="8"/>
      <c r="N691" s="8"/>
      <c r="O691" s="8"/>
      <c r="P691" s="8"/>
      <c r="Q691" s="8"/>
      <c r="R691" s="8"/>
      <c r="S691" s="8"/>
      <c r="T691" s="8"/>
      <c r="U691" s="8"/>
    </row>
    <row r="692" spans="10:21">
      <c r="J692" s="8"/>
      <c r="K692" s="8"/>
      <c r="L692" s="8"/>
      <c r="M692" s="8"/>
      <c r="N692" s="8"/>
      <c r="O692" s="8"/>
      <c r="P692" s="8"/>
      <c r="Q692" s="8"/>
      <c r="R692" s="8"/>
      <c r="S692" s="8"/>
      <c r="T692" s="8"/>
      <c r="U692" s="8"/>
    </row>
    <row r="693" spans="10:21">
      <c r="J693" s="8"/>
      <c r="K693" s="8"/>
      <c r="L693" s="8"/>
      <c r="M693" s="8"/>
      <c r="N693" s="8"/>
      <c r="O693" s="8"/>
      <c r="P693" s="8"/>
      <c r="Q693" s="8"/>
      <c r="R693" s="8"/>
      <c r="S693" s="8"/>
      <c r="T693" s="8"/>
      <c r="U693" s="8"/>
    </row>
    <row r="694" spans="10:21">
      <c r="J694" s="8"/>
      <c r="K694" s="8"/>
      <c r="L694" s="8"/>
      <c r="M694" s="8"/>
      <c r="N694" s="8"/>
      <c r="O694" s="8"/>
      <c r="P694" s="8"/>
      <c r="Q694" s="8"/>
      <c r="R694" s="8"/>
      <c r="S694" s="8"/>
      <c r="T694" s="8"/>
      <c r="U694" s="8"/>
    </row>
    <row r="695" spans="10:21">
      <c r="J695" s="8"/>
      <c r="K695" s="8"/>
      <c r="L695" s="8"/>
      <c r="M695" s="8"/>
      <c r="N695" s="8"/>
      <c r="O695" s="8"/>
      <c r="P695" s="8"/>
      <c r="Q695" s="8"/>
      <c r="R695" s="8"/>
      <c r="S695" s="8"/>
      <c r="T695" s="8"/>
      <c r="U695" s="8"/>
    </row>
    <row r="696" spans="10:21">
      <c r="J696" s="8"/>
      <c r="K696" s="8"/>
      <c r="L696" s="8"/>
      <c r="M696" s="8"/>
      <c r="N696" s="8"/>
      <c r="O696" s="8"/>
      <c r="P696" s="8"/>
      <c r="Q696" s="8"/>
      <c r="R696" s="8"/>
      <c r="S696" s="8"/>
      <c r="T696" s="8"/>
      <c r="U696" s="8"/>
    </row>
    <row r="697" spans="10:21">
      <c r="J697" s="8"/>
      <c r="K697" s="8"/>
      <c r="L697" s="8"/>
      <c r="M697" s="8"/>
      <c r="N697" s="8"/>
      <c r="O697" s="8"/>
      <c r="P697" s="8"/>
      <c r="Q697" s="8"/>
      <c r="R697" s="8"/>
      <c r="S697" s="8"/>
      <c r="T697" s="8"/>
      <c r="U697" s="8"/>
    </row>
    <row r="698" spans="10:21">
      <c r="J698" s="8"/>
      <c r="K698" s="8"/>
      <c r="L698" s="8"/>
      <c r="M698" s="8"/>
      <c r="N698" s="8"/>
      <c r="O698" s="8"/>
      <c r="P698" s="8"/>
      <c r="Q698" s="8"/>
      <c r="R698" s="8"/>
      <c r="S698" s="8"/>
      <c r="T698" s="8"/>
      <c r="U698" s="8"/>
    </row>
    <row r="699" spans="10:21">
      <c r="J699" s="8"/>
      <c r="K699" s="8"/>
      <c r="L699" s="8"/>
      <c r="M699" s="8"/>
      <c r="N699" s="8"/>
      <c r="O699" s="8"/>
      <c r="P699" s="8"/>
      <c r="Q699" s="8"/>
      <c r="R699" s="8"/>
      <c r="S699" s="8"/>
      <c r="T699" s="8"/>
      <c r="U699" s="8"/>
    </row>
    <row r="700" spans="10:21">
      <c r="J700" s="8"/>
      <c r="K700" s="8"/>
      <c r="L700" s="8"/>
      <c r="M700" s="8"/>
      <c r="N700" s="8"/>
      <c r="O700" s="8"/>
      <c r="P700" s="8"/>
      <c r="Q700" s="8"/>
      <c r="R700" s="8"/>
      <c r="S700" s="8"/>
      <c r="T700" s="8"/>
      <c r="U700" s="8"/>
    </row>
    <row r="701" spans="10:21">
      <c r="J701" s="8"/>
      <c r="K701" s="8"/>
      <c r="L701" s="8"/>
      <c r="M701" s="8"/>
      <c r="N701" s="8"/>
      <c r="O701" s="8"/>
      <c r="P701" s="8"/>
      <c r="Q701" s="8"/>
      <c r="R701" s="8"/>
      <c r="S701" s="8"/>
      <c r="T701" s="8"/>
      <c r="U701" s="8"/>
    </row>
    <row r="702" spans="10:21">
      <c r="J702" s="8"/>
      <c r="K702" s="8"/>
      <c r="L702" s="8"/>
      <c r="M702" s="8"/>
      <c r="N702" s="8"/>
      <c r="O702" s="8"/>
      <c r="P702" s="8"/>
      <c r="Q702" s="8"/>
      <c r="R702" s="8"/>
      <c r="S702" s="8"/>
      <c r="T702" s="8"/>
      <c r="U702" s="8"/>
    </row>
    <row r="703" spans="10:21">
      <c r="J703" s="8"/>
      <c r="K703" s="8"/>
      <c r="L703" s="8"/>
      <c r="M703" s="8"/>
      <c r="N703" s="8"/>
      <c r="O703" s="8"/>
      <c r="P703" s="8"/>
      <c r="Q703" s="8"/>
      <c r="R703" s="8"/>
      <c r="S703" s="8"/>
      <c r="T703" s="8"/>
      <c r="U703" s="8"/>
    </row>
    <row r="704" spans="10:21">
      <c r="J704" s="8"/>
      <c r="K704" s="8"/>
      <c r="L704" s="8"/>
      <c r="M704" s="8"/>
      <c r="N704" s="8"/>
      <c r="O704" s="8"/>
      <c r="P704" s="8"/>
      <c r="Q704" s="8"/>
      <c r="R704" s="8"/>
      <c r="S704" s="8"/>
      <c r="T704" s="8"/>
      <c r="U704" s="8"/>
    </row>
    <row r="705" spans="10:21">
      <c r="J705" s="8"/>
      <c r="K705" s="8"/>
      <c r="L705" s="8"/>
      <c r="M705" s="8"/>
      <c r="N705" s="8"/>
      <c r="O705" s="8"/>
      <c r="P705" s="8"/>
      <c r="Q705" s="8"/>
      <c r="R705" s="8"/>
      <c r="S705" s="8"/>
      <c r="T705" s="8"/>
      <c r="U705" s="8"/>
    </row>
    <row r="706" spans="10:21">
      <c r="J706" s="8"/>
      <c r="K706" s="8"/>
      <c r="L706" s="8"/>
      <c r="M706" s="8"/>
      <c r="N706" s="8"/>
      <c r="O706" s="8"/>
      <c r="P706" s="8"/>
      <c r="Q706" s="8"/>
      <c r="R706" s="8"/>
      <c r="S706" s="8"/>
      <c r="T706" s="8"/>
      <c r="U706" s="8"/>
    </row>
    <row r="707" spans="10:21">
      <c r="J707" s="8"/>
      <c r="K707" s="8"/>
      <c r="L707" s="8"/>
      <c r="M707" s="8"/>
      <c r="N707" s="8"/>
      <c r="O707" s="8"/>
      <c r="P707" s="8"/>
      <c r="Q707" s="8"/>
      <c r="R707" s="8"/>
      <c r="S707" s="8"/>
      <c r="T707" s="8"/>
      <c r="U707" s="8"/>
    </row>
    <row r="708" spans="10:21">
      <c r="J708" s="8"/>
      <c r="K708" s="8"/>
      <c r="L708" s="8"/>
      <c r="M708" s="8"/>
      <c r="N708" s="8"/>
      <c r="O708" s="8"/>
      <c r="P708" s="8"/>
      <c r="Q708" s="8"/>
      <c r="R708" s="8"/>
      <c r="S708" s="8"/>
      <c r="T708" s="8"/>
      <c r="U708" s="8"/>
    </row>
    <row r="709" spans="10:21">
      <c r="J709" s="8"/>
      <c r="K709" s="8"/>
      <c r="L709" s="8"/>
      <c r="M709" s="8"/>
      <c r="N709" s="8"/>
      <c r="O709" s="8"/>
      <c r="P709" s="8"/>
      <c r="Q709" s="8"/>
      <c r="R709" s="8"/>
      <c r="S709" s="8"/>
      <c r="T709" s="8"/>
      <c r="U709" s="8"/>
    </row>
    <row r="710" spans="10:21">
      <c r="J710" s="8"/>
      <c r="K710" s="8"/>
      <c r="L710" s="8"/>
      <c r="M710" s="8"/>
      <c r="N710" s="8"/>
      <c r="O710" s="8"/>
      <c r="P710" s="8"/>
      <c r="Q710" s="8"/>
      <c r="R710" s="8"/>
      <c r="S710" s="8"/>
      <c r="T710" s="8"/>
      <c r="U710" s="8"/>
    </row>
    <row r="711" spans="10:21">
      <c r="J711" s="8"/>
      <c r="K711" s="8"/>
      <c r="L711" s="8"/>
      <c r="M711" s="8"/>
      <c r="N711" s="8"/>
      <c r="O711" s="8"/>
      <c r="P711" s="8"/>
      <c r="Q711" s="8"/>
      <c r="R711" s="8"/>
      <c r="S711" s="8"/>
      <c r="T711" s="8"/>
      <c r="U711" s="8"/>
    </row>
    <row r="712" spans="10:21">
      <c r="J712" s="8"/>
      <c r="K712" s="8"/>
      <c r="L712" s="8"/>
      <c r="M712" s="8"/>
      <c r="N712" s="8"/>
      <c r="O712" s="8"/>
      <c r="P712" s="8"/>
      <c r="Q712" s="8"/>
      <c r="R712" s="8"/>
      <c r="S712" s="8"/>
      <c r="T712" s="8"/>
      <c r="U712" s="8"/>
    </row>
    <row r="713" spans="10:21">
      <c r="J713" s="8"/>
      <c r="K713" s="8"/>
      <c r="L713" s="8"/>
      <c r="M713" s="8"/>
      <c r="N713" s="8"/>
      <c r="O713" s="8"/>
      <c r="P713" s="8"/>
      <c r="Q713" s="8"/>
      <c r="R713" s="8"/>
      <c r="S713" s="8"/>
      <c r="T713" s="8"/>
      <c r="U713" s="8"/>
    </row>
    <row r="714" spans="10:21">
      <c r="J714" s="8"/>
      <c r="K714" s="8"/>
      <c r="L714" s="8"/>
      <c r="M714" s="8"/>
      <c r="N714" s="8"/>
      <c r="O714" s="8"/>
      <c r="P714" s="8"/>
      <c r="Q714" s="8"/>
      <c r="R714" s="8"/>
      <c r="S714" s="8"/>
      <c r="T714" s="8"/>
      <c r="U714" s="8"/>
    </row>
    <row r="715" spans="10:21">
      <c r="J715" s="8"/>
      <c r="K715" s="8"/>
      <c r="L715" s="8"/>
      <c r="M715" s="8"/>
      <c r="N715" s="8"/>
      <c r="O715" s="8"/>
      <c r="P715" s="8"/>
      <c r="Q715" s="8"/>
      <c r="R715" s="8"/>
      <c r="S715" s="8"/>
      <c r="T715" s="8"/>
      <c r="U715" s="8"/>
    </row>
    <row r="716" spans="10:21">
      <c r="J716" s="8"/>
      <c r="K716" s="8"/>
      <c r="L716" s="8"/>
      <c r="M716" s="8"/>
      <c r="N716" s="8"/>
      <c r="O716" s="8"/>
      <c r="P716" s="8"/>
      <c r="Q716" s="8"/>
      <c r="R716" s="8"/>
      <c r="S716" s="8"/>
      <c r="T716" s="8"/>
      <c r="U716" s="8"/>
    </row>
    <row r="717" spans="10:21">
      <c r="J717" s="8"/>
      <c r="K717" s="8"/>
      <c r="L717" s="8"/>
      <c r="M717" s="8"/>
      <c r="N717" s="8"/>
      <c r="O717" s="8"/>
      <c r="P717" s="8"/>
      <c r="Q717" s="8"/>
      <c r="R717" s="8"/>
      <c r="S717" s="8"/>
      <c r="T717" s="8"/>
      <c r="U717" s="8"/>
    </row>
    <row r="718" spans="10:21">
      <c r="J718" s="8"/>
      <c r="K718" s="8"/>
      <c r="L718" s="8"/>
      <c r="M718" s="8"/>
      <c r="N718" s="8"/>
      <c r="O718" s="8"/>
      <c r="P718" s="8"/>
      <c r="Q718" s="8"/>
      <c r="R718" s="8"/>
      <c r="S718" s="8"/>
      <c r="T718" s="8"/>
      <c r="U718" s="8"/>
    </row>
    <row r="719" spans="10:21">
      <c r="J719" s="8"/>
      <c r="K719" s="8"/>
      <c r="L719" s="8"/>
      <c r="M719" s="8"/>
      <c r="N719" s="8"/>
      <c r="O719" s="8"/>
      <c r="P719" s="8"/>
      <c r="Q719" s="8"/>
      <c r="R719" s="8"/>
      <c r="S719" s="8"/>
      <c r="T719" s="8"/>
      <c r="U719" s="8"/>
    </row>
    <row r="720" spans="10:21">
      <c r="J720" s="8"/>
      <c r="K720" s="8"/>
      <c r="L720" s="8"/>
      <c r="M720" s="8"/>
      <c r="N720" s="8"/>
      <c r="O720" s="8"/>
      <c r="P720" s="8"/>
      <c r="Q720" s="8"/>
      <c r="R720" s="8"/>
      <c r="S720" s="8"/>
      <c r="T720" s="8"/>
      <c r="U720" s="8"/>
    </row>
    <row r="721" spans="10:21">
      <c r="J721" s="8"/>
      <c r="K721" s="8"/>
      <c r="L721" s="8"/>
      <c r="M721" s="8"/>
      <c r="N721" s="8"/>
      <c r="O721" s="8"/>
      <c r="P721" s="8"/>
      <c r="Q721" s="8"/>
      <c r="R721" s="8"/>
      <c r="S721" s="8"/>
      <c r="T721" s="8"/>
      <c r="U721" s="8"/>
    </row>
    <row r="722" spans="10:21">
      <c r="J722" s="8"/>
      <c r="K722" s="8"/>
      <c r="L722" s="8"/>
      <c r="M722" s="8"/>
      <c r="N722" s="8"/>
      <c r="O722" s="8"/>
      <c r="P722" s="8"/>
      <c r="Q722" s="8"/>
      <c r="R722" s="8"/>
      <c r="S722" s="8"/>
      <c r="T722" s="8"/>
      <c r="U722" s="8"/>
    </row>
    <row r="723" spans="10:21">
      <c r="J723" s="8"/>
      <c r="K723" s="8"/>
      <c r="L723" s="8"/>
      <c r="M723" s="8"/>
      <c r="N723" s="8"/>
      <c r="O723" s="8"/>
      <c r="P723" s="8"/>
      <c r="Q723" s="8"/>
      <c r="R723" s="8"/>
      <c r="S723" s="8"/>
      <c r="T723" s="8"/>
      <c r="U723" s="8"/>
    </row>
    <row r="724" spans="10:21">
      <c r="J724" s="8"/>
      <c r="K724" s="8"/>
      <c r="L724" s="8"/>
      <c r="M724" s="8"/>
      <c r="N724" s="8"/>
      <c r="O724" s="8"/>
      <c r="P724" s="8"/>
      <c r="Q724" s="8"/>
      <c r="R724" s="8"/>
      <c r="S724" s="8"/>
      <c r="T724" s="8"/>
      <c r="U724" s="8"/>
    </row>
    <row r="725" spans="10:21">
      <c r="J725" s="8"/>
      <c r="K725" s="8"/>
      <c r="L725" s="8"/>
      <c r="M725" s="8"/>
      <c r="N725" s="8"/>
      <c r="O725" s="8"/>
      <c r="P725" s="8"/>
      <c r="Q725" s="8"/>
      <c r="R725" s="8"/>
      <c r="S725" s="8"/>
      <c r="T725" s="8"/>
      <c r="U725" s="8"/>
    </row>
    <row r="726" spans="10:21">
      <c r="J726" s="8"/>
      <c r="K726" s="8"/>
      <c r="L726" s="8"/>
      <c r="M726" s="8"/>
      <c r="N726" s="8"/>
      <c r="O726" s="8"/>
      <c r="P726" s="8"/>
      <c r="Q726" s="8"/>
      <c r="R726" s="8"/>
      <c r="S726" s="8"/>
      <c r="T726" s="8"/>
      <c r="U726" s="8"/>
    </row>
    <row r="727" spans="10:21">
      <c r="J727" s="8"/>
      <c r="K727" s="8"/>
      <c r="L727" s="8"/>
      <c r="M727" s="8"/>
      <c r="N727" s="8"/>
      <c r="O727" s="8"/>
      <c r="P727" s="8"/>
      <c r="Q727" s="8"/>
      <c r="R727" s="8"/>
      <c r="S727" s="8"/>
      <c r="T727" s="8"/>
      <c r="U727" s="8"/>
    </row>
    <row r="728" spans="10:21">
      <c r="J728" s="8"/>
      <c r="K728" s="8"/>
      <c r="L728" s="8"/>
      <c r="M728" s="8"/>
      <c r="N728" s="8"/>
      <c r="O728" s="8"/>
      <c r="P728" s="8"/>
      <c r="Q728" s="8"/>
      <c r="R728" s="8"/>
      <c r="S728" s="8"/>
      <c r="T728" s="8"/>
      <c r="U728" s="8"/>
    </row>
    <row r="729" spans="10:21">
      <c r="J729" s="8"/>
      <c r="K729" s="8"/>
      <c r="L729" s="8"/>
      <c r="M729" s="8"/>
      <c r="N729" s="8"/>
      <c r="O729" s="8"/>
      <c r="P729" s="8"/>
      <c r="Q729" s="8"/>
      <c r="R729" s="8"/>
      <c r="S729" s="8"/>
      <c r="T729" s="8"/>
      <c r="U729" s="8"/>
    </row>
    <row r="730" spans="10:21">
      <c r="J730" s="8"/>
      <c r="K730" s="8"/>
      <c r="L730" s="8"/>
      <c r="M730" s="8"/>
      <c r="N730" s="8"/>
      <c r="O730" s="8"/>
      <c r="P730" s="8"/>
      <c r="Q730" s="8"/>
      <c r="R730" s="8"/>
      <c r="S730" s="8"/>
      <c r="T730" s="8"/>
      <c r="U730" s="8"/>
    </row>
    <row r="731" spans="10:21">
      <c r="J731" s="8"/>
      <c r="K731" s="8"/>
      <c r="L731" s="8"/>
      <c r="M731" s="8"/>
      <c r="N731" s="8"/>
      <c r="O731" s="8"/>
      <c r="P731" s="8"/>
      <c r="Q731" s="8"/>
      <c r="R731" s="8"/>
      <c r="S731" s="8"/>
      <c r="T731" s="8"/>
      <c r="U731" s="8"/>
    </row>
    <row r="732" spans="10:21">
      <c r="J732" s="8"/>
      <c r="K732" s="8"/>
      <c r="L732" s="8"/>
      <c r="M732" s="8"/>
      <c r="N732" s="8"/>
      <c r="O732" s="8"/>
      <c r="P732" s="8"/>
      <c r="Q732" s="8"/>
      <c r="R732" s="8"/>
      <c r="S732" s="8"/>
      <c r="T732" s="8"/>
      <c r="U732" s="8"/>
    </row>
    <row r="733" spans="10:21">
      <c r="J733" s="8"/>
      <c r="K733" s="8"/>
      <c r="L733" s="8"/>
      <c r="M733" s="8"/>
      <c r="N733" s="8"/>
      <c r="O733" s="8"/>
      <c r="P733" s="8"/>
      <c r="Q733" s="8"/>
      <c r="R733" s="8"/>
      <c r="S733" s="8"/>
      <c r="T733" s="8"/>
      <c r="U733" s="8"/>
    </row>
    <row r="734" spans="10:21">
      <c r="J734" s="8"/>
      <c r="K734" s="8"/>
      <c r="L734" s="8"/>
      <c r="M734" s="8"/>
      <c r="N734" s="8"/>
      <c r="O734" s="8"/>
      <c r="P734" s="8"/>
      <c r="Q734" s="8"/>
      <c r="R734" s="8"/>
      <c r="S734" s="8"/>
      <c r="T734" s="8"/>
      <c r="U734" s="8"/>
    </row>
    <row r="735" spans="10:21">
      <c r="J735" s="8"/>
      <c r="K735" s="8"/>
      <c r="L735" s="8"/>
      <c r="M735" s="8"/>
      <c r="N735" s="8"/>
      <c r="O735" s="8"/>
      <c r="P735" s="8"/>
      <c r="Q735" s="8"/>
      <c r="R735" s="8"/>
      <c r="S735" s="8"/>
      <c r="T735" s="8"/>
      <c r="U735" s="8"/>
    </row>
    <row r="736" spans="10:21">
      <c r="J736" s="8"/>
      <c r="K736" s="8"/>
      <c r="L736" s="8"/>
      <c r="M736" s="8"/>
      <c r="N736" s="8"/>
      <c r="O736" s="8"/>
      <c r="P736" s="8"/>
      <c r="Q736" s="8"/>
      <c r="R736" s="8"/>
      <c r="S736" s="8"/>
      <c r="T736" s="8"/>
      <c r="U736" s="8"/>
    </row>
    <row r="737" spans="10:21">
      <c r="J737" s="8"/>
      <c r="K737" s="8"/>
      <c r="L737" s="8"/>
      <c r="M737" s="8"/>
      <c r="N737" s="8"/>
      <c r="O737" s="8"/>
      <c r="P737" s="8"/>
      <c r="Q737" s="8"/>
      <c r="R737" s="8"/>
      <c r="S737" s="8"/>
      <c r="T737" s="8"/>
      <c r="U737" s="8"/>
    </row>
    <row r="738" spans="10:21">
      <c r="J738" s="8"/>
      <c r="K738" s="8"/>
      <c r="L738" s="8"/>
      <c r="M738" s="8"/>
      <c r="N738" s="8"/>
      <c r="O738" s="8"/>
      <c r="P738" s="8"/>
      <c r="Q738" s="8"/>
      <c r="R738" s="8"/>
      <c r="S738" s="8"/>
      <c r="T738" s="8"/>
      <c r="U738" s="8"/>
    </row>
    <row r="739" spans="10:21">
      <c r="J739" s="8"/>
      <c r="K739" s="8"/>
      <c r="L739" s="8"/>
      <c r="M739" s="8"/>
      <c r="N739" s="8"/>
      <c r="O739" s="8"/>
      <c r="P739" s="8"/>
      <c r="Q739" s="8"/>
      <c r="R739" s="8"/>
      <c r="S739" s="8"/>
      <c r="T739" s="8"/>
      <c r="U739" s="8"/>
    </row>
    <row r="740" spans="10:21">
      <c r="J740" s="8"/>
      <c r="K740" s="8"/>
      <c r="L740" s="8"/>
      <c r="M740" s="8"/>
      <c r="N740" s="8"/>
      <c r="O740" s="8"/>
      <c r="P740" s="8"/>
      <c r="Q740" s="8"/>
      <c r="R740" s="8"/>
      <c r="S740" s="8"/>
      <c r="T740" s="8"/>
      <c r="U740" s="8"/>
    </row>
    <row r="741" spans="10:21">
      <c r="J741" s="8"/>
      <c r="K741" s="8"/>
      <c r="L741" s="8"/>
      <c r="M741" s="8"/>
      <c r="N741" s="8"/>
      <c r="O741" s="8"/>
      <c r="P741" s="8"/>
      <c r="Q741" s="8"/>
      <c r="R741" s="8"/>
      <c r="S741" s="8"/>
      <c r="T741" s="8"/>
      <c r="U741" s="8"/>
    </row>
    <row r="742" spans="10:21">
      <c r="J742" s="8"/>
      <c r="K742" s="8"/>
      <c r="L742" s="8"/>
      <c r="M742" s="8"/>
      <c r="N742" s="8"/>
      <c r="O742" s="8"/>
      <c r="P742" s="8"/>
      <c r="Q742" s="8"/>
      <c r="R742" s="8"/>
      <c r="S742" s="8"/>
      <c r="T742" s="8"/>
      <c r="U742" s="8"/>
    </row>
    <row r="743" spans="10:21">
      <c r="J743" s="8"/>
      <c r="K743" s="8"/>
      <c r="L743" s="8"/>
      <c r="M743" s="8"/>
      <c r="N743" s="8"/>
      <c r="O743" s="8"/>
      <c r="P743" s="8"/>
      <c r="Q743" s="8"/>
      <c r="R743" s="8"/>
      <c r="S743" s="8"/>
      <c r="T743" s="8"/>
      <c r="U743" s="8"/>
    </row>
    <row r="744" spans="10:21">
      <c r="J744" s="8"/>
      <c r="K744" s="8"/>
      <c r="L744" s="8"/>
      <c r="M744" s="8"/>
      <c r="N744" s="8"/>
      <c r="O744" s="8"/>
      <c r="P744" s="8"/>
      <c r="Q744" s="8"/>
      <c r="R744" s="8"/>
      <c r="S744" s="8"/>
      <c r="T744" s="8"/>
      <c r="U744" s="8"/>
    </row>
    <row r="745" spans="10:21">
      <c r="J745" s="8"/>
      <c r="K745" s="8"/>
      <c r="L745" s="8"/>
      <c r="M745" s="8"/>
      <c r="N745" s="8"/>
      <c r="O745" s="8"/>
      <c r="P745" s="8"/>
      <c r="Q745" s="8"/>
      <c r="R745" s="8"/>
      <c r="S745" s="8"/>
      <c r="T745" s="8"/>
      <c r="U745" s="8"/>
    </row>
    <row r="746" spans="10:21">
      <c r="J746" s="8"/>
      <c r="K746" s="8"/>
      <c r="L746" s="8"/>
      <c r="M746" s="8"/>
      <c r="N746" s="8"/>
      <c r="O746" s="8"/>
      <c r="P746" s="8"/>
      <c r="Q746" s="8"/>
      <c r="R746" s="8"/>
      <c r="S746" s="8"/>
      <c r="T746" s="8"/>
      <c r="U746" s="8"/>
    </row>
    <row r="747" spans="10:21">
      <c r="J747" s="8"/>
      <c r="K747" s="8"/>
      <c r="L747" s="8"/>
      <c r="M747" s="8"/>
      <c r="N747" s="8"/>
      <c r="O747" s="8"/>
      <c r="P747" s="8"/>
      <c r="Q747" s="8"/>
      <c r="R747" s="8"/>
      <c r="S747" s="8"/>
      <c r="T747" s="8"/>
      <c r="U747" s="8"/>
    </row>
    <row r="748" spans="10:21">
      <c r="J748" s="8"/>
      <c r="K748" s="8"/>
      <c r="L748" s="8"/>
      <c r="M748" s="8"/>
      <c r="N748" s="8"/>
      <c r="O748" s="8"/>
      <c r="P748" s="8"/>
      <c r="Q748" s="8"/>
      <c r="R748" s="8"/>
      <c r="S748" s="8"/>
      <c r="T748" s="8"/>
      <c r="U748" s="8"/>
    </row>
    <row r="749" spans="10:21">
      <c r="J749" s="8"/>
      <c r="K749" s="8"/>
      <c r="L749" s="8"/>
      <c r="M749" s="8"/>
      <c r="N749" s="8"/>
      <c r="O749" s="8"/>
      <c r="P749" s="8"/>
      <c r="Q749" s="8"/>
      <c r="R749" s="8"/>
      <c r="S749" s="8"/>
      <c r="T749" s="8"/>
      <c r="U749" s="8"/>
    </row>
    <row r="750" spans="10:21">
      <c r="J750" s="8"/>
      <c r="K750" s="8"/>
      <c r="L750" s="8"/>
      <c r="M750" s="8"/>
      <c r="N750" s="8"/>
      <c r="O750" s="8"/>
      <c r="P750" s="8"/>
      <c r="Q750" s="8"/>
      <c r="R750" s="8"/>
      <c r="S750" s="8"/>
      <c r="T750" s="8"/>
      <c r="U750" s="8"/>
    </row>
    <row r="751" spans="10:21">
      <c r="J751" s="8"/>
      <c r="K751" s="8"/>
      <c r="L751" s="8"/>
      <c r="M751" s="8"/>
      <c r="N751" s="8"/>
      <c r="O751" s="8"/>
      <c r="P751" s="8"/>
      <c r="Q751" s="8"/>
      <c r="R751" s="8"/>
      <c r="S751" s="8"/>
      <c r="T751" s="8"/>
      <c r="U751" s="8"/>
    </row>
    <row r="752" spans="10:21">
      <c r="J752" s="8"/>
      <c r="K752" s="8"/>
      <c r="L752" s="8"/>
      <c r="M752" s="8"/>
      <c r="N752" s="8"/>
      <c r="O752" s="8"/>
      <c r="P752" s="8"/>
      <c r="Q752" s="8"/>
      <c r="R752" s="8"/>
      <c r="S752" s="8"/>
      <c r="T752" s="8"/>
      <c r="U752" s="8"/>
    </row>
    <row r="753" spans="10:21">
      <c r="J753" s="8"/>
      <c r="K753" s="8"/>
      <c r="L753" s="8"/>
      <c r="M753" s="8"/>
      <c r="N753" s="8"/>
      <c r="O753" s="8"/>
      <c r="P753" s="8"/>
      <c r="Q753" s="8"/>
      <c r="R753" s="8"/>
      <c r="S753" s="8"/>
      <c r="T753" s="8"/>
      <c r="U753" s="8"/>
    </row>
    <row r="754" spans="10:21">
      <c r="J754" s="8"/>
      <c r="K754" s="8"/>
      <c r="L754" s="8"/>
      <c r="M754" s="8"/>
      <c r="N754" s="8"/>
      <c r="O754" s="8"/>
      <c r="P754" s="8"/>
      <c r="Q754" s="8"/>
      <c r="R754" s="8"/>
      <c r="S754" s="8"/>
      <c r="T754" s="8"/>
      <c r="U754" s="8"/>
    </row>
    <row r="755" spans="10:21">
      <c r="J755" s="8"/>
      <c r="K755" s="8"/>
      <c r="L755" s="8"/>
      <c r="M755" s="8"/>
      <c r="N755" s="8"/>
      <c r="O755" s="8"/>
      <c r="P755" s="8"/>
      <c r="Q755" s="8"/>
      <c r="R755" s="8"/>
      <c r="S755" s="8"/>
      <c r="T755" s="8"/>
      <c r="U755" s="8"/>
    </row>
    <row r="756" spans="10:21">
      <c r="J756" s="8"/>
      <c r="K756" s="8"/>
      <c r="L756" s="8"/>
      <c r="M756" s="8"/>
      <c r="N756" s="8"/>
      <c r="O756" s="8"/>
      <c r="P756" s="8"/>
      <c r="Q756" s="8"/>
      <c r="R756" s="8"/>
      <c r="S756" s="8"/>
      <c r="T756" s="8"/>
      <c r="U756" s="8"/>
    </row>
    <row r="757" spans="10:21">
      <c r="J757" s="8"/>
      <c r="K757" s="8"/>
      <c r="L757" s="8"/>
      <c r="M757" s="8"/>
      <c r="N757" s="8"/>
      <c r="O757" s="8"/>
      <c r="P757" s="8"/>
      <c r="Q757" s="8"/>
      <c r="R757" s="8"/>
      <c r="S757" s="8"/>
      <c r="T757" s="8"/>
      <c r="U757" s="8"/>
    </row>
    <row r="758" spans="10:21">
      <c r="J758" s="8"/>
      <c r="K758" s="8"/>
      <c r="L758" s="8"/>
      <c r="M758" s="8"/>
      <c r="N758" s="8"/>
      <c r="O758" s="8"/>
      <c r="P758" s="8"/>
      <c r="Q758" s="8"/>
      <c r="R758" s="8"/>
      <c r="S758" s="8"/>
      <c r="T758" s="8"/>
      <c r="U758" s="8"/>
    </row>
    <row r="759" spans="10:21">
      <c r="J759" s="8"/>
      <c r="K759" s="8"/>
      <c r="L759" s="8"/>
      <c r="M759" s="8"/>
      <c r="N759" s="8"/>
      <c r="O759" s="8"/>
      <c r="P759" s="8"/>
      <c r="Q759" s="8"/>
      <c r="R759" s="8"/>
      <c r="S759" s="8"/>
      <c r="T759" s="8"/>
      <c r="U759" s="8"/>
    </row>
    <row r="760" spans="10:21">
      <c r="J760" s="8"/>
      <c r="K760" s="8"/>
      <c r="L760" s="8"/>
      <c r="M760" s="8"/>
      <c r="N760" s="8"/>
      <c r="O760" s="8"/>
      <c r="P760" s="8"/>
      <c r="Q760" s="8"/>
      <c r="R760" s="8"/>
      <c r="S760" s="8"/>
      <c r="T760" s="8"/>
      <c r="U760" s="8"/>
    </row>
    <row r="761" spans="10:21">
      <c r="J761" s="8"/>
      <c r="K761" s="8"/>
      <c r="L761" s="8"/>
      <c r="M761" s="8"/>
      <c r="N761" s="8"/>
      <c r="O761" s="8"/>
      <c r="P761" s="8"/>
      <c r="Q761" s="8"/>
      <c r="R761" s="8"/>
      <c r="S761" s="8"/>
      <c r="T761" s="8"/>
      <c r="U761" s="8"/>
    </row>
    <row r="762" spans="10:21">
      <c r="J762" s="8"/>
      <c r="K762" s="8"/>
      <c r="L762" s="8"/>
      <c r="M762" s="8"/>
      <c r="N762" s="8"/>
      <c r="O762" s="8"/>
      <c r="P762" s="8"/>
      <c r="Q762" s="8"/>
      <c r="R762" s="8"/>
      <c r="S762" s="8"/>
      <c r="T762" s="8"/>
      <c r="U762" s="8"/>
    </row>
    <row r="763" spans="10:21">
      <c r="J763" s="8"/>
      <c r="K763" s="8"/>
      <c r="L763" s="8"/>
      <c r="M763" s="8"/>
      <c r="N763" s="8"/>
      <c r="O763" s="8"/>
      <c r="P763" s="8"/>
      <c r="Q763" s="8"/>
      <c r="R763" s="8"/>
      <c r="S763" s="8"/>
      <c r="T763" s="8"/>
      <c r="U763" s="8"/>
    </row>
    <row r="764" spans="10:21">
      <c r="J764" s="8"/>
      <c r="K764" s="8"/>
      <c r="L764" s="8"/>
      <c r="M764" s="8"/>
      <c r="N764" s="8"/>
      <c r="O764" s="8"/>
      <c r="P764" s="8"/>
      <c r="Q764" s="8"/>
      <c r="R764" s="8"/>
      <c r="S764" s="8"/>
      <c r="T764" s="8"/>
      <c r="U764" s="8"/>
    </row>
    <row r="765" spans="10:21">
      <c r="J765" s="8"/>
      <c r="K765" s="8"/>
      <c r="L765" s="8"/>
      <c r="M765" s="8"/>
      <c r="N765" s="8"/>
      <c r="O765" s="8"/>
      <c r="P765" s="8"/>
      <c r="Q765" s="8"/>
      <c r="R765" s="8"/>
      <c r="S765" s="8"/>
      <c r="T765" s="8"/>
      <c r="U765" s="8"/>
    </row>
    <row r="766" spans="10:21">
      <c r="J766" s="8"/>
      <c r="K766" s="8"/>
      <c r="L766" s="8"/>
      <c r="M766" s="8"/>
      <c r="N766" s="8"/>
      <c r="O766" s="8"/>
      <c r="P766" s="8"/>
      <c r="Q766" s="8"/>
      <c r="R766" s="8"/>
      <c r="S766" s="8"/>
      <c r="T766" s="8"/>
      <c r="U766" s="8"/>
    </row>
    <row r="767" spans="10:21">
      <c r="J767" s="8"/>
      <c r="K767" s="8"/>
      <c r="L767" s="8"/>
      <c r="M767" s="8"/>
      <c r="N767" s="8"/>
      <c r="O767" s="8"/>
      <c r="P767" s="8"/>
      <c r="Q767" s="8"/>
      <c r="R767" s="8"/>
      <c r="S767" s="8"/>
      <c r="T767" s="8"/>
      <c r="U767" s="8"/>
    </row>
    <row r="768" spans="10:21">
      <c r="J768" s="8"/>
      <c r="K768" s="8"/>
      <c r="L768" s="8"/>
      <c r="M768" s="8"/>
      <c r="N768" s="8"/>
      <c r="O768" s="8"/>
      <c r="P768" s="8"/>
      <c r="Q768" s="8"/>
      <c r="R768" s="8"/>
      <c r="S768" s="8"/>
      <c r="T768" s="8"/>
      <c r="U768" s="8"/>
    </row>
    <row r="769" spans="10:21">
      <c r="J769" s="8"/>
      <c r="K769" s="8"/>
      <c r="L769" s="8"/>
      <c r="M769" s="8"/>
      <c r="N769" s="8"/>
      <c r="O769" s="8"/>
      <c r="P769" s="8"/>
      <c r="Q769" s="8"/>
      <c r="R769" s="8"/>
      <c r="S769" s="8"/>
      <c r="T769" s="8"/>
      <c r="U769" s="8"/>
    </row>
    <row r="770" spans="10:21">
      <c r="J770" s="8"/>
      <c r="K770" s="8"/>
      <c r="L770" s="8"/>
      <c r="M770" s="8"/>
      <c r="N770" s="8"/>
      <c r="O770" s="8"/>
      <c r="P770" s="8"/>
      <c r="Q770" s="8"/>
      <c r="R770" s="8"/>
      <c r="S770" s="8"/>
      <c r="T770" s="8"/>
      <c r="U770" s="8"/>
    </row>
    <row r="771" spans="10:21">
      <c r="J771" s="8"/>
      <c r="K771" s="8"/>
      <c r="L771" s="8"/>
      <c r="M771" s="8"/>
      <c r="N771" s="8"/>
      <c r="O771" s="8"/>
      <c r="P771" s="8"/>
      <c r="Q771" s="8"/>
      <c r="R771" s="8"/>
      <c r="S771" s="8"/>
      <c r="T771" s="8"/>
      <c r="U771" s="8"/>
    </row>
    <row r="772" spans="10:21">
      <c r="J772" s="8"/>
      <c r="K772" s="8"/>
      <c r="L772" s="8"/>
      <c r="M772" s="8"/>
      <c r="N772" s="8"/>
      <c r="O772" s="8"/>
      <c r="P772" s="8"/>
      <c r="Q772" s="8"/>
      <c r="R772" s="8"/>
      <c r="S772" s="8"/>
      <c r="T772" s="8"/>
      <c r="U772" s="8"/>
    </row>
    <row r="773" spans="10:21">
      <c r="J773" s="8"/>
      <c r="K773" s="8"/>
      <c r="L773" s="8"/>
      <c r="M773" s="8"/>
      <c r="N773" s="8"/>
      <c r="O773" s="8"/>
      <c r="P773" s="8"/>
      <c r="Q773" s="8"/>
      <c r="R773" s="8"/>
      <c r="S773" s="8"/>
      <c r="T773" s="8"/>
      <c r="U773" s="8"/>
    </row>
    <row r="774" spans="10:21">
      <c r="J774" s="8"/>
      <c r="K774" s="8"/>
      <c r="L774" s="8"/>
      <c r="M774" s="8"/>
      <c r="N774" s="8"/>
      <c r="O774" s="8"/>
      <c r="P774" s="8"/>
      <c r="Q774" s="8"/>
      <c r="R774" s="8"/>
      <c r="S774" s="8"/>
      <c r="T774" s="8"/>
      <c r="U774" s="8"/>
    </row>
    <row r="775" spans="10:21">
      <c r="J775" s="8"/>
      <c r="K775" s="8"/>
      <c r="L775" s="8"/>
      <c r="M775" s="8"/>
      <c r="N775" s="8"/>
      <c r="O775" s="8"/>
      <c r="P775" s="8"/>
      <c r="Q775" s="8"/>
      <c r="R775" s="8"/>
      <c r="S775" s="8"/>
      <c r="T775" s="8"/>
      <c r="U775" s="8"/>
    </row>
    <row r="776" spans="10:21">
      <c r="J776" s="8"/>
      <c r="K776" s="8"/>
      <c r="L776" s="8"/>
      <c r="M776" s="8"/>
      <c r="N776" s="8"/>
      <c r="O776" s="8"/>
      <c r="P776" s="8"/>
      <c r="Q776" s="8"/>
      <c r="R776" s="8"/>
      <c r="S776" s="8"/>
      <c r="T776" s="8"/>
      <c r="U776" s="8"/>
    </row>
    <row r="777" spans="10:21">
      <c r="J777" s="8"/>
      <c r="K777" s="8"/>
      <c r="L777" s="8"/>
      <c r="M777" s="8"/>
      <c r="N777" s="8"/>
      <c r="O777" s="8"/>
      <c r="P777" s="8"/>
      <c r="Q777" s="8"/>
      <c r="R777" s="8"/>
      <c r="S777" s="8"/>
      <c r="T777" s="8"/>
      <c r="U777" s="8"/>
    </row>
    <row r="778" spans="10:21">
      <c r="J778" s="8"/>
      <c r="K778" s="8"/>
      <c r="L778" s="8"/>
      <c r="M778" s="8"/>
      <c r="N778" s="8"/>
      <c r="O778" s="8"/>
      <c r="P778" s="8"/>
      <c r="Q778" s="8"/>
      <c r="R778" s="8"/>
      <c r="S778" s="8"/>
      <c r="T778" s="8"/>
      <c r="U778" s="8"/>
    </row>
    <row r="779" spans="10:21">
      <c r="J779" s="8"/>
      <c r="K779" s="8"/>
      <c r="L779" s="8"/>
      <c r="M779" s="8"/>
      <c r="N779" s="8"/>
      <c r="O779" s="8"/>
      <c r="P779" s="8"/>
      <c r="Q779" s="8"/>
      <c r="R779" s="8"/>
      <c r="S779" s="8"/>
      <c r="T779" s="8"/>
      <c r="U779" s="8"/>
    </row>
    <row r="780" spans="10:21">
      <c r="J780" s="8"/>
      <c r="K780" s="8"/>
      <c r="L780" s="8"/>
      <c r="M780" s="8"/>
      <c r="N780" s="8"/>
      <c r="O780" s="8"/>
      <c r="P780" s="8"/>
      <c r="Q780" s="8"/>
      <c r="R780" s="8"/>
      <c r="S780" s="8"/>
      <c r="T780" s="8"/>
      <c r="U780" s="8"/>
    </row>
    <row r="781" spans="10:21">
      <c r="J781" s="8"/>
      <c r="K781" s="8"/>
      <c r="L781" s="8"/>
      <c r="M781" s="8"/>
      <c r="N781" s="8"/>
      <c r="O781" s="8"/>
      <c r="P781" s="8"/>
      <c r="Q781" s="8"/>
      <c r="R781" s="8"/>
      <c r="S781" s="8"/>
      <c r="T781" s="8"/>
      <c r="U781" s="8"/>
    </row>
    <row r="782" spans="10:21">
      <c r="J782" s="8"/>
      <c r="K782" s="8"/>
      <c r="L782" s="8"/>
      <c r="M782" s="8"/>
      <c r="N782" s="8"/>
      <c r="O782" s="8"/>
      <c r="P782" s="8"/>
      <c r="Q782" s="8"/>
      <c r="R782" s="8"/>
      <c r="S782" s="8"/>
      <c r="T782" s="8"/>
      <c r="U782" s="8"/>
    </row>
    <row r="783" spans="10:21">
      <c r="J783" s="8"/>
      <c r="K783" s="8"/>
      <c r="L783" s="8"/>
      <c r="M783" s="8"/>
      <c r="N783" s="8"/>
      <c r="O783" s="8"/>
      <c r="P783" s="8"/>
      <c r="Q783" s="8"/>
      <c r="R783" s="8"/>
      <c r="S783" s="8"/>
      <c r="T783" s="8"/>
      <c r="U783" s="8"/>
    </row>
    <row r="784" spans="10:21">
      <c r="J784" s="8"/>
      <c r="K784" s="8"/>
      <c r="L784" s="8"/>
      <c r="M784" s="8"/>
      <c r="N784" s="8"/>
      <c r="O784" s="8"/>
      <c r="P784" s="8"/>
      <c r="Q784" s="8"/>
      <c r="R784" s="8"/>
      <c r="S784" s="8"/>
      <c r="T784" s="8"/>
      <c r="U784" s="8"/>
    </row>
    <row r="785" spans="10:21">
      <c r="J785" s="8"/>
      <c r="K785" s="8"/>
      <c r="L785" s="8"/>
      <c r="M785" s="8"/>
      <c r="N785" s="8"/>
      <c r="O785" s="8"/>
      <c r="P785" s="8"/>
      <c r="Q785" s="8"/>
      <c r="R785" s="8"/>
      <c r="S785" s="8"/>
      <c r="T785" s="8"/>
      <c r="U785" s="8"/>
    </row>
    <row r="786" spans="10:21">
      <c r="J786" s="8"/>
      <c r="K786" s="8"/>
      <c r="L786" s="8"/>
      <c r="M786" s="8"/>
      <c r="N786" s="8"/>
      <c r="O786" s="8"/>
      <c r="P786" s="8"/>
      <c r="Q786" s="8"/>
      <c r="R786" s="8"/>
      <c r="S786" s="8"/>
      <c r="T786" s="8"/>
      <c r="U786" s="8"/>
    </row>
    <row r="787" spans="10:21">
      <c r="J787" s="8"/>
      <c r="K787" s="8"/>
      <c r="L787" s="8"/>
      <c r="M787" s="8"/>
      <c r="N787" s="8"/>
      <c r="O787" s="8"/>
      <c r="P787" s="8"/>
      <c r="Q787" s="8"/>
      <c r="R787" s="8"/>
      <c r="S787" s="8"/>
      <c r="T787" s="8"/>
      <c r="U787" s="8"/>
    </row>
    <row r="788" spans="10:21">
      <c r="J788" s="8"/>
      <c r="K788" s="8"/>
      <c r="L788" s="8"/>
      <c r="M788" s="8"/>
      <c r="N788" s="8"/>
      <c r="O788" s="8"/>
      <c r="P788" s="8"/>
      <c r="Q788" s="8"/>
      <c r="R788" s="8"/>
      <c r="S788" s="8"/>
      <c r="T788" s="8"/>
      <c r="U788" s="8"/>
    </row>
    <row r="789" spans="10:21">
      <c r="J789" s="8"/>
      <c r="K789" s="8"/>
      <c r="L789" s="8"/>
      <c r="M789" s="8"/>
      <c r="N789" s="8"/>
      <c r="O789" s="8"/>
      <c r="P789" s="8"/>
      <c r="Q789" s="8"/>
      <c r="R789" s="8"/>
      <c r="S789" s="8"/>
      <c r="T789" s="8"/>
      <c r="U789" s="8"/>
    </row>
    <row r="790" spans="10:21">
      <c r="J790" s="8"/>
      <c r="K790" s="8"/>
      <c r="L790" s="8"/>
      <c r="M790" s="8"/>
      <c r="N790" s="8"/>
      <c r="O790" s="8"/>
      <c r="P790" s="8"/>
      <c r="Q790" s="8"/>
      <c r="R790" s="8"/>
      <c r="S790" s="8"/>
      <c r="T790" s="8"/>
      <c r="U790" s="8"/>
    </row>
    <row r="791" spans="10:21">
      <c r="J791" s="8"/>
      <c r="K791" s="8"/>
      <c r="L791" s="8"/>
      <c r="M791" s="8"/>
      <c r="N791" s="8"/>
      <c r="O791" s="8"/>
      <c r="P791" s="8"/>
      <c r="Q791" s="8"/>
      <c r="R791" s="8"/>
      <c r="S791" s="8"/>
      <c r="T791" s="8"/>
      <c r="U791" s="8"/>
    </row>
    <row r="792" spans="10:21">
      <c r="J792" s="8"/>
      <c r="K792" s="8"/>
      <c r="L792" s="8"/>
      <c r="M792" s="8"/>
      <c r="N792" s="8"/>
      <c r="O792" s="8"/>
      <c r="P792" s="8"/>
      <c r="Q792" s="8"/>
      <c r="R792" s="8"/>
      <c r="S792" s="8"/>
      <c r="T792" s="8"/>
      <c r="U792" s="8"/>
    </row>
    <row r="793" spans="10:21">
      <c r="J793" s="8"/>
      <c r="K793" s="8"/>
      <c r="L793" s="8"/>
      <c r="M793" s="8"/>
      <c r="N793" s="8"/>
      <c r="O793" s="8"/>
      <c r="P793" s="8"/>
      <c r="Q793" s="8"/>
      <c r="R793" s="8"/>
      <c r="S793" s="8"/>
      <c r="T793" s="8"/>
      <c r="U793" s="8"/>
    </row>
    <row r="794" spans="10:21">
      <c r="J794" s="8"/>
      <c r="K794" s="8"/>
      <c r="L794" s="8"/>
      <c r="M794" s="8"/>
      <c r="N794" s="8"/>
      <c r="O794" s="8"/>
      <c r="P794" s="8"/>
      <c r="Q794" s="8"/>
      <c r="R794" s="8"/>
      <c r="S794" s="8"/>
      <c r="T794" s="8"/>
      <c r="U794" s="8"/>
    </row>
    <row r="795" spans="10:21">
      <c r="J795" s="8"/>
      <c r="K795" s="8"/>
      <c r="L795" s="8"/>
      <c r="M795" s="8"/>
      <c r="N795" s="8"/>
      <c r="O795" s="8"/>
      <c r="P795" s="8"/>
      <c r="Q795" s="8"/>
      <c r="R795" s="8"/>
      <c r="S795" s="8"/>
      <c r="T795" s="8"/>
      <c r="U795" s="8"/>
    </row>
    <row r="796" spans="10:21">
      <c r="J796" s="8"/>
      <c r="K796" s="8"/>
      <c r="L796" s="8"/>
      <c r="M796" s="8"/>
      <c r="N796" s="8"/>
      <c r="O796" s="8"/>
      <c r="P796" s="8"/>
      <c r="Q796" s="8"/>
      <c r="R796" s="8"/>
      <c r="S796" s="8"/>
      <c r="T796" s="8"/>
      <c r="U796" s="8"/>
    </row>
    <row r="797" spans="10:21">
      <c r="J797" s="8"/>
      <c r="K797" s="8"/>
      <c r="L797" s="8"/>
      <c r="M797" s="8"/>
      <c r="N797" s="8"/>
      <c r="O797" s="8"/>
      <c r="P797" s="8"/>
      <c r="Q797" s="8"/>
      <c r="R797" s="8"/>
      <c r="S797" s="8"/>
      <c r="T797" s="8"/>
      <c r="U797" s="8"/>
    </row>
    <row r="798" spans="10:21">
      <c r="J798" s="8"/>
      <c r="K798" s="8"/>
      <c r="L798" s="8"/>
      <c r="M798" s="8"/>
      <c r="N798" s="8"/>
      <c r="O798" s="8"/>
      <c r="P798" s="8"/>
      <c r="Q798" s="8"/>
      <c r="R798" s="8"/>
      <c r="S798" s="8"/>
      <c r="T798" s="8"/>
      <c r="U798" s="8"/>
    </row>
    <row r="799" spans="10:21">
      <c r="J799" s="8"/>
      <c r="K799" s="8"/>
      <c r="L799" s="8"/>
      <c r="M799" s="8"/>
      <c r="N799" s="8"/>
      <c r="O799" s="8"/>
      <c r="P799" s="8"/>
      <c r="Q799" s="8"/>
      <c r="R799" s="8"/>
      <c r="S799" s="8"/>
      <c r="T799" s="8"/>
      <c r="U799" s="8"/>
    </row>
    <row r="800" spans="10:21">
      <c r="J800" s="8"/>
      <c r="K800" s="8"/>
      <c r="L800" s="8"/>
      <c r="M800" s="8"/>
      <c r="N800" s="8"/>
      <c r="O800" s="8"/>
      <c r="P800" s="8"/>
      <c r="Q800" s="8"/>
      <c r="R800" s="8"/>
      <c r="S800" s="8"/>
      <c r="T800" s="8"/>
      <c r="U800" s="8"/>
    </row>
    <row r="801" spans="10:21">
      <c r="J801" s="8"/>
      <c r="K801" s="8"/>
      <c r="L801" s="8"/>
      <c r="M801" s="8"/>
      <c r="N801" s="8"/>
      <c r="O801" s="8"/>
      <c r="P801" s="8"/>
      <c r="Q801" s="8"/>
      <c r="R801" s="8"/>
      <c r="S801" s="8"/>
      <c r="T801" s="8"/>
      <c r="U801" s="8"/>
    </row>
    <row r="802" spans="10:21">
      <c r="J802" s="8"/>
      <c r="K802" s="8"/>
      <c r="L802" s="8"/>
      <c r="M802" s="8"/>
      <c r="N802" s="8"/>
      <c r="O802" s="8"/>
      <c r="P802" s="8"/>
      <c r="Q802" s="8"/>
      <c r="R802" s="8"/>
      <c r="S802" s="8"/>
      <c r="T802" s="8"/>
      <c r="U802" s="8"/>
    </row>
    <row r="803" spans="10:21">
      <c r="J803" s="8"/>
      <c r="K803" s="8"/>
      <c r="L803" s="8"/>
      <c r="M803" s="8"/>
      <c r="N803" s="8"/>
      <c r="O803" s="8"/>
      <c r="P803" s="8"/>
      <c r="Q803" s="8"/>
      <c r="R803" s="8"/>
      <c r="S803" s="8"/>
      <c r="T803" s="8"/>
      <c r="U803" s="8"/>
    </row>
    <row r="804" spans="10:21">
      <c r="J804" s="8"/>
      <c r="K804" s="8"/>
      <c r="L804" s="8"/>
      <c r="M804" s="8"/>
      <c r="N804" s="8"/>
      <c r="O804" s="8"/>
      <c r="P804" s="8"/>
      <c r="Q804" s="8"/>
      <c r="R804" s="8"/>
      <c r="S804" s="8"/>
      <c r="T804" s="8"/>
      <c r="U804" s="8"/>
    </row>
    <row r="805" spans="10:21">
      <c r="J805" s="8"/>
      <c r="K805" s="8"/>
      <c r="L805" s="8"/>
      <c r="M805" s="8"/>
      <c r="N805" s="8"/>
      <c r="O805" s="8"/>
      <c r="P805" s="8"/>
      <c r="Q805" s="8"/>
      <c r="R805" s="8"/>
      <c r="S805" s="8"/>
      <c r="T805" s="8"/>
      <c r="U805" s="8"/>
    </row>
    <row r="806" spans="10:21">
      <c r="J806" s="8"/>
      <c r="K806" s="8"/>
      <c r="L806" s="8"/>
      <c r="M806" s="8"/>
      <c r="N806" s="8"/>
      <c r="O806" s="8"/>
      <c r="P806" s="8"/>
      <c r="Q806" s="8"/>
      <c r="R806" s="8"/>
      <c r="S806" s="8"/>
      <c r="T806" s="8"/>
      <c r="U806" s="8"/>
    </row>
    <row r="807" spans="10:21">
      <c r="J807" s="8"/>
      <c r="K807" s="8"/>
      <c r="L807" s="8"/>
      <c r="M807" s="8"/>
      <c r="N807" s="8"/>
      <c r="O807" s="8"/>
      <c r="P807" s="8"/>
      <c r="Q807" s="8"/>
      <c r="R807" s="8"/>
      <c r="S807" s="8"/>
      <c r="T807" s="8"/>
      <c r="U807" s="8"/>
    </row>
    <row r="808" spans="10:21">
      <c r="J808" s="8"/>
      <c r="K808" s="8"/>
      <c r="L808" s="8"/>
      <c r="M808" s="8"/>
      <c r="N808" s="8"/>
      <c r="O808" s="8"/>
      <c r="P808" s="8"/>
      <c r="Q808" s="8"/>
      <c r="R808" s="8"/>
      <c r="S808" s="8"/>
      <c r="T808" s="8"/>
      <c r="U808" s="8"/>
    </row>
    <row r="809" spans="10:21">
      <c r="J809" s="8"/>
      <c r="K809" s="8"/>
      <c r="L809" s="8"/>
      <c r="M809" s="8"/>
      <c r="N809" s="8"/>
      <c r="O809" s="8"/>
      <c r="P809" s="8"/>
      <c r="Q809" s="8"/>
      <c r="R809" s="8"/>
      <c r="S809" s="8"/>
      <c r="T809" s="8"/>
      <c r="U809" s="8"/>
    </row>
    <row r="810" spans="10:21">
      <c r="J810" s="8"/>
      <c r="K810" s="8"/>
      <c r="L810" s="8"/>
      <c r="M810" s="8"/>
      <c r="N810" s="8"/>
      <c r="O810" s="8"/>
      <c r="P810" s="8"/>
      <c r="Q810" s="8"/>
      <c r="R810" s="8"/>
      <c r="S810" s="8"/>
      <c r="T810" s="8"/>
      <c r="U810" s="8"/>
    </row>
    <row r="811" spans="10:21">
      <c r="J811" s="8"/>
      <c r="K811" s="8"/>
      <c r="L811" s="8"/>
      <c r="M811" s="8"/>
      <c r="N811" s="8"/>
      <c r="O811" s="8"/>
      <c r="P811" s="8"/>
      <c r="Q811" s="8"/>
      <c r="R811" s="8"/>
      <c r="S811" s="8"/>
      <c r="T811" s="8"/>
      <c r="U811" s="8"/>
    </row>
    <row r="812" spans="10:21">
      <c r="J812" s="8"/>
      <c r="K812" s="8"/>
      <c r="L812" s="8"/>
      <c r="M812" s="8"/>
      <c r="N812" s="8"/>
      <c r="O812" s="8"/>
      <c r="P812" s="8"/>
      <c r="Q812" s="8"/>
      <c r="R812" s="8"/>
      <c r="S812" s="8"/>
      <c r="T812" s="8"/>
      <c r="U812" s="8"/>
    </row>
    <row r="813" spans="10:21">
      <c r="J813" s="8"/>
      <c r="K813" s="8"/>
      <c r="L813" s="8"/>
      <c r="M813" s="8"/>
      <c r="N813" s="8"/>
      <c r="O813" s="8"/>
      <c r="P813" s="8"/>
      <c r="Q813" s="8"/>
      <c r="R813" s="8"/>
      <c r="S813" s="8"/>
      <c r="T813" s="8"/>
      <c r="U813" s="8"/>
    </row>
    <row r="814" spans="10:21">
      <c r="J814" s="8"/>
      <c r="K814" s="8"/>
      <c r="L814" s="8"/>
      <c r="M814" s="8"/>
      <c r="N814" s="8"/>
      <c r="O814" s="8"/>
      <c r="P814" s="8"/>
      <c r="Q814" s="8"/>
      <c r="R814" s="8"/>
      <c r="S814" s="8"/>
      <c r="T814" s="8"/>
      <c r="U814" s="8"/>
    </row>
    <row r="815" spans="10:21">
      <c r="J815" s="8"/>
      <c r="K815" s="8"/>
      <c r="L815" s="8"/>
      <c r="M815" s="8"/>
      <c r="N815" s="8"/>
      <c r="O815" s="8"/>
      <c r="P815" s="8"/>
      <c r="Q815" s="8"/>
      <c r="R815" s="8"/>
      <c r="S815" s="8"/>
      <c r="T815" s="8"/>
      <c r="U815" s="8"/>
    </row>
    <row r="816" spans="10:21">
      <c r="J816" s="8"/>
      <c r="K816" s="8"/>
      <c r="L816" s="8"/>
      <c r="M816" s="8"/>
      <c r="N816" s="8"/>
      <c r="O816" s="8"/>
      <c r="P816" s="8"/>
      <c r="Q816" s="8"/>
      <c r="R816" s="8"/>
      <c r="S816" s="8"/>
      <c r="T816" s="8"/>
      <c r="U816" s="8"/>
    </row>
    <row r="817" spans="10:21">
      <c r="J817" s="8"/>
      <c r="K817" s="8"/>
      <c r="L817" s="8"/>
      <c r="M817" s="8"/>
      <c r="N817" s="8"/>
      <c r="O817" s="8"/>
      <c r="P817" s="8"/>
      <c r="Q817" s="8"/>
      <c r="R817" s="8"/>
      <c r="S817" s="8"/>
      <c r="T817" s="8"/>
      <c r="U817" s="8"/>
    </row>
    <row r="818" spans="10:21">
      <c r="J818" s="8"/>
      <c r="K818" s="8"/>
      <c r="L818" s="8"/>
      <c r="M818" s="8"/>
      <c r="N818" s="8"/>
      <c r="O818" s="8"/>
      <c r="P818" s="8"/>
      <c r="Q818" s="8"/>
      <c r="R818" s="8"/>
      <c r="S818" s="8"/>
      <c r="T818" s="8"/>
      <c r="U818" s="8"/>
    </row>
    <row r="819" spans="10:21">
      <c r="J819" s="8"/>
      <c r="K819" s="8"/>
      <c r="L819" s="8"/>
      <c r="M819" s="8"/>
      <c r="N819" s="8"/>
      <c r="O819" s="8"/>
      <c r="P819" s="8"/>
      <c r="Q819" s="8"/>
      <c r="R819" s="8"/>
      <c r="S819" s="8"/>
      <c r="T819" s="8"/>
      <c r="U819" s="8"/>
    </row>
    <row r="820" spans="10:21">
      <c r="J820" s="8"/>
      <c r="K820" s="8"/>
      <c r="L820" s="8"/>
      <c r="M820" s="8"/>
      <c r="N820" s="8"/>
      <c r="O820" s="8"/>
      <c r="P820" s="8"/>
      <c r="Q820" s="8"/>
      <c r="R820" s="8"/>
      <c r="S820" s="8"/>
      <c r="T820" s="8"/>
      <c r="U820" s="8"/>
    </row>
    <row r="821" spans="10:21">
      <c r="J821" s="8"/>
      <c r="K821" s="8"/>
      <c r="L821" s="8"/>
      <c r="M821" s="8"/>
      <c r="N821" s="8"/>
      <c r="O821" s="8"/>
      <c r="P821" s="8"/>
      <c r="Q821" s="8"/>
      <c r="R821" s="8"/>
      <c r="S821" s="8"/>
      <c r="T821" s="8"/>
      <c r="U821" s="8"/>
    </row>
    <row r="822" spans="10:21">
      <c r="J822" s="8"/>
      <c r="K822" s="8"/>
      <c r="L822" s="8"/>
      <c r="M822" s="8"/>
      <c r="N822" s="8"/>
      <c r="O822" s="8"/>
      <c r="P822" s="8"/>
      <c r="Q822" s="8"/>
      <c r="R822" s="8"/>
      <c r="S822" s="8"/>
      <c r="T822" s="8"/>
      <c r="U822" s="8"/>
    </row>
    <row r="823" spans="10:21">
      <c r="J823" s="8"/>
      <c r="K823" s="8"/>
      <c r="L823" s="8"/>
      <c r="M823" s="8"/>
      <c r="N823" s="8"/>
      <c r="O823" s="8"/>
      <c r="P823" s="8"/>
      <c r="Q823" s="8"/>
      <c r="R823" s="8"/>
      <c r="S823" s="8"/>
      <c r="T823" s="8"/>
      <c r="U823" s="8"/>
    </row>
    <row r="824" spans="10:21">
      <c r="J824" s="8"/>
      <c r="K824" s="8"/>
      <c r="L824" s="8"/>
      <c r="M824" s="8"/>
      <c r="N824" s="8"/>
      <c r="O824" s="8"/>
      <c r="P824" s="8"/>
      <c r="Q824" s="8"/>
      <c r="R824" s="8"/>
      <c r="S824" s="8"/>
      <c r="T824" s="8"/>
      <c r="U824" s="8"/>
    </row>
    <row r="825" spans="10:21">
      <c r="J825" s="8"/>
      <c r="K825" s="8"/>
      <c r="L825" s="8"/>
      <c r="M825" s="8"/>
      <c r="N825" s="8"/>
      <c r="O825" s="8"/>
      <c r="P825" s="8"/>
      <c r="Q825" s="8"/>
      <c r="R825" s="8"/>
      <c r="S825" s="8"/>
      <c r="T825" s="8"/>
      <c r="U825" s="8"/>
    </row>
    <row r="826" spans="10:21">
      <c r="J826" s="8"/>
      <c r="K826" s="8"/>
      <c r="L826" s="8"/>
      <c r="M826" s="8"/>
      <c r="N826" s="8"/>
      <c r="O826" s="8"/>
      <c r="P826" s="8"/>
      <c r="Q826" s="8"/>
      <c r="R826" s="8"/>
      <c r="S826" s="8"/>
      <c r="T826" s="8"/>
      <c r="U826" s="8"/>
    </row>
    <row r="827" spans="10:21">
      <c r="J827" s="8"/>
      <c r="K827" s="8"/>
      <c r="L827" s="8"/>
      <c r="M827" s="8"/>
      <c r="N827" s="8"/>
      <c r="O827" s="8"/>
      <c r="P827" s="8"/>
      <c r="Q827" s="8"/>
      <c r="R827" s="8"/>
      <c r="S827" s="8"/>
      <c r="T827" s="8"/>
      <c r="U827" s="8"/>
    </row>
    <row r="828" spans="10:21">
      <c r="J828" s="8"/>
      <c r="K828" s="8"/>
      <c r="L828" s="8"/>
      <c r="M828" s="8"/>
      <c r="N828" s="8"/>
      <c r="O828" s="8"/>
      <c r="P828" s="8"/>
      <c r="Q828" s="8"/>
      <c r="R828" s="8"/>
      <c r="S828" s="8"/>
      <c r="T828" s="8"/>
      <c r="U828" s="8"/>
    </row>
    <row r="829" spans="10:21">
      <c r="J829" s="8"/>
      <c r="K829" s="8"/>
      <c r="L829" s="8"/>
      <c r="M829" s="8"/>
      <c r="N829" s="8"/>
      <c r="O829" s="8"/>
      <c r="P829" s="8"/>
      <c r="Q829" s="8"/>
      <c r="R829" s="8"/>
      <c r="S829" s="8"/>
      <c r="T829" s="8"/>
      <c r="U829" s="8"/>
    </row>
    <row r="830" spans="10:21">
      <c r="J830" s="8"/>
      <c r="K830" s="8"/>
      <c r="L830" s="8"/>
      <c r="M830" s="8"/>
      <c r="N830" s="8"/>
      <c r="O830" s="8"/>
      <c r="P830" s="8"/>
      <c r="Q830" s="8"/>
      <c r="R830" s="8"/>
      <c r="S830" s="8"/>
      <c r="T830" s="8"/>
      <c r="U830" s="8"/>
    </row>
    <row r="831" spans="10:21">
      <c r="J831" s="8"/>
      <c r="K831" s="8"/>
      <c r="L831" s="8"/>
      <c r="M831" s="8"/>
      <c r="N831" s="8"/>
      <c r="O831" s="8"/>
      <c r="P831" s="8"/>
      <c r="Q831" s="8"/>
      <c r="R831" s="8"/>
      <c r="S831" s="8"/>
      <c r="T831" s="8"/>
      <c r="U831" s="8"/>
    </row>
    <row r="832" spans="10:21">
      <c r="J832" s="8"/>
      <c r="K832" s="8"/>
      <c r="L832" s="8"/>
      <c r="M832" s="8"/>
      <c r="N832" s="8"/>
      <c r="O832" s="8"/>
      <c r="P832" s="8"/>
      <c r="Q832" s="8"/>
      <c r="R832" s="8"/>
      <c r="S832" s="8"/>
      <c r="T832" s="8"/>
      <c r="U832" s="8"/>
    </row>
    <row r="833" spans="10:21">
      <c r="J833" s="8"/>
      <c r="K833" s="8"/>
      <c r="L833" s="8"/>
      <c r="M833" s="8"/>
      <c r="N833" s="8"/>
      <c r="O833" s="8"/>
      <c r="P833" s="8"/>
      <c r="Q833" s="8"/>
      <c r="R833" s="8"/>
      <c r="S833" s="8"/>
      <c r="T833" s="8"/>
      <c r="U833" s="8"/>
    </row>
    <row r="834" spans="10:21">
      <c r="J834" s="8"/>
      <c r="K834" s="8"/>
      <c r="L834" s="8"/>
      <c r="M834" s="8"/>
      <c r="N834" s="8"/>
      <c r="O834" s="8"/>
      <c r="P834" s="8"/>
      <c r="Q834" s="8"/>
      <c r="R834" s="8"/>
      <c r="S834" s="8"/>
      <c r="T834" s="8"/>
      <c r="U834" s="8"/>
    </row>
    <row r="835" spans="10:21">
      <c r="J835" s="8"/>
      <c r="K835" s="8"/>
      <c r="L835" s="8"/>
      <c r="M835" s="8"/>
      <c r="N835" s="8"/>
      <c r="O835" s="8"/>
      <c r="P835" s="8"/>
      <c r="Q835" s="8"/>
      <c r="R835" s="8"/>
      <c r="S835" s="8"/>
      <c r="T835" s="8"/>
      <c r="U835" s="8"/>
    </row>
    <row r="836" spans="10:21">
      <c r="J836" s="8"/>
      <c r="K836" s="8"/>
      <c r="L836" s="8"/>
      <c r="M836" s="8"/>
      <c r="N836" s="8"/>
      <c r="O836" s="8"/>
      <c r="P836" s="8"/>
      <c r="Q836" s="8"/>
      <c r="R836" s="8"/>
      <c r="S836" s="8"/>
      <c r="T836" s="8"/>
      <c r="U836" s="8"/>
    </row>
    <row r="837" spans="10:21">
      <c r="J837" s="8"/>
      <c r="K837" s="8"/>
      <c r="L837" s="8"/>
      <c r="M837" s="8"/>
      <c r="N837" s="8"/>
      <c r="O837" s="8"/>
      <c r="P837" s="8"/>
      <c r="Q837" s="8"/>
      <c r="R837" s="8"/>
      <c r="S837" s="8"/>
      <c r="T837" s="8"/>
      <c r="U837" s="8"/>
    </row>
    <row r="838" spans="10:21">
      <c r="J838" s="8"/>
      <c r="K838" s="8"/>
      <c r="L838" s="8"/>
      <c r="M838" s="8"/>
      <c r="N838" s="8"/>
      <c r="O838" s="8"/>
      <c r="P838" s="8"/>
      <c r="Q838" s="8"/>
      <c r="R838" s="8"/>
      <c r="S838" s="8"/>
      <c r="T838" s="8"/>
      <c r="U838" s="8"/>
    </row>
    <row r="839" spans="10:21">
      <c r="J839" s="8"/>
      <c r="K839" s="8"/>
      <c r="L839" s="8"/>
      <c r="M839" s="8"/>
      <c r="N839" s="8"/>
      <c r="O839" s="8"/>
      <c r="P839" s="8"/>
      <c r="Q839" s="8"/>
      <c r="R839" s="8"/>
      <c r="S839" s="8"/>
      <c r="T839" s="8"/>
      <c r="U839" s="8"/>
    </row>
    <row r="840" spans="10:21">
      <c r="J840" s="8"/>
      <c r="K840" s="8"/>
      <c r="L840" s="8"/>
      <c r="M840" s="8"/>
      <c r="N840" s="8"/>
      <c r="O840" s="8"/>
      <c r="P840" s="8"/>
      <c r="Q840" s="8"/>
      <c r="R840" s="8"/>
      <c r="S840" s="8"/>
      <c r="T840" s="8"/>
      <c r="U840" s="8"/>
    </row>
    <row r="841" spans="10:21">
      <c r="J841" s="8"/>
      <c r="K841" s="8"/>
      <c r="L841" s="8"/>
      <c r="M841" s="8"/>
      <c r="N841" s="8"/>
      <c r="O841" s="8"/>
      <c r="P841" s="8"/>
      <c r="Q841" s="8"/>
      <c r="R841" s="8"/>
      <c r="S841" s="8"/>
      <c r="T841" s="8"/>
      <c r="U841" s="8"/>
    </row>
    <row r="842" spans="10:21">
      <c r="J842" s="8"/>
      <c r="K842" s="8"/>
      <c r="L842" s="8"/>
      <c r="M842" s="8"/>
      <c r="N842" s="8"/>
      <c r="O842" s="8"/>
      <c r="P842" s="8"/>
      <c r="Q842" s="8"/>
      <c r="R842" s="8"/>
      <c r="S842" s="8"/>
      <c r="T842" s="8"/>
      <c r="U842" s="8"/>
    </row>
    <row r="843" spans="10:21">
      <c r="J843" s="8"/>
      <c r="K843" s="8"/>
      <c r="L843" s="8"/>
      <c r="M843" s="8"/>
      <c r="N843" s="8"/>
      <c r="O843" s="8"/>
      <c r="P843" s="8"/>
      <c r="Q843" s="8"/>
      <c r="R843" s="8"/>
      <c r="S843" s="8"/>
      <c r="T843" s="8"/>
      <c r="U843" s="8"/>
    </row>
    <row r="844" spans="10:21">
      <c r="J844" s="8"/>
      <c r="K844" s="8"/>
      <c r="L844" s="8"/>
      <c r="M844" s="8"/>
      <c r="N844" s="8"/>
      <c r="O844" s="8"/>
      <c r="P844" s="8"/>
      <c r="Q844" s="8"/>
      <c r="R844" s="8"/>
      <c r="S844" s="8"/>
      <c r="T844" s="8"/>
      <c r="U844" s="8"/>
    </row>
    <row r="845" spans="10:21">
      <c r="J845" s="8"/>
      <c r="K845" s="8"/>
      <c r="L845" s="8"/>
      <c r="M845" s="8"/>
      <c r="N845" s="8"/>
      <c r="O845" s="8"/>
      <c r="P845" s="8"/>
      <c r="Q845" s="8"/>
      <c r="R845" s="8"/>
      <c r="S845" s="8"/>
      <c r="T845" s="8"/>
      <c r="U845" s="8"/>
    </row>
    <row r="846" spans="10:21">
      <c r="J846" s="8"/>
      <c r="K846" s="8"/>
      <c r="L846" s="8"/>
      <c r="M846" s="8"/>
      <c r="N846" s="8"/>
      <c r="O846" s="8"/>
      <c r="P846" s="8"/>
      <c r="Q846" s="8"/>
      <c r="R846" s="8"/>
      <c r="S846" s="8"/>
      <c r="T846" s="8"/>
      <c r="U846" s="8"/>
    </row>
    <row r="847" spans="10:21">
      <c r="J847" s="8"/>
      <c r="K847" s="8"/>
      <c r="L847" s="8"/>
      <c r="M847" s="8"/>
      <c r="N847" s="8"/>
      <c r="O847" s="8"/>
      <c r="P847" s="8"/>
      <c r="Q847" s="8"/>
      <c r="R847" s="8"/>
      <c r="S847" s="8"/>
      <c r="T847" s="8"/>
      <c r="U847" s="8"/>
    </row>
    <row r="848" spans="10:21">
      <c r="J848" s="8"/>
      <c r="K848" s="8"/>
      <c r="L848" s="8"/>
      <c r="M848" s="8"/>
      <c r="N848" s="8"/>
      <c r="O848" s="8"/>
      <c r="P848" s="8"/>
      <c r="Q848" s="8"/>
      <c r="R848" s="8"/>
      <c r="S848" s="8"/>
      <c r="T848" s="8"/>
      <c r="U848" s="8"/>
    </row>
    <row r="849" spans="10:21">
      <c r="J849" s="8"/>
      <c r="K849" s="8"/>
      <c r="L849" s="8"/>
      <c r="M849" s="8"/>
      <c r="N849" s="8"/>
      <c r="O849" s="8"/>
      <c r="P849" s="8"/>
      <c r="Q849" s="8"/>
      <c r="R849" s="8"/>
      <c r="S849" s="8"/>
      <c r="T849" s="8"/>
      <c r="U849" s="8"/>
    </row>
    <row r="850" spans="10:21">
      <c r="J850" s="8"/>
      <c r="K850" s="8"/>
      <c r="L850" s="8"/>
      <c r="M850" s="8"/>
      <c r="N850" s="8"/>
      <c r="O850" s="8"/>
      <c r="P850" s="8"/>
      <c r="Q850" s="8"/>
      <c r="R850" s="8"/>
      <c r="S850" s="8"/>
      <c r="T850" s="8"/>
      <c r="U850" s="8"/>
    </row>
    <row r="851" spans="10:21">
      <c r="J851" s="8"/>
      <c r="K851" s="8"/>
      <c r="L851" s="8"/>
      <c r="M851" s="8"/>
      <c r="N851" s="8"/>
      <c r="O851" s="8"/>
      <c r="P851" s="8"/>
      <c r="Q851" s="8"/>
      <c r="R851" s="8"/>
      <c r="S851" s="8"/>
      <c r="T851" s="8"/>
      <c r="U851" s="8"/>
    </row>
    <row r="852" spans="10:21">
      <c r="J852" s="8"/>
      <c r="K852" s="8"/>
      <c r="L852" s="8"/>
      <c r="M852" s="8"/>
      <c r="N852" s="8"/>
      <c r="O852" s="8"/>
      <c r="P852" s="8"/>
      <c r="Q852" s="8"/>
      <c r="R852" s="8"/>
      <c r="S852" s="8"/>
      <c r="T852" s="8"/>
      <c r="U852" s="8"/>
    </row>
    <row r="853" spans="10:21">
      <c r="J853" s="8"/>
      <c r="K853" s="8"/>
      <c r="L853" s="8"/>
      <c r="M853" s="8"/>
      <c r="N853" s="8"/>
      <c r="O853" s="8"/>
      <c r="P853" s="8"/>
      <c r="Q853" s="8"/>
      <c r="R853" s="8"/>
      <c r="S853" s="8"/>
      <c r="T853" s="8"/>
      <c r="U853" s="8"/>
    </row>
    <row r="854" spans="10:21">
      <c r="J854" s="8"/>
      <c r="K854" s="8"/>
      <c r="L854" s="8"/>
      <c r="M854" s="8"/>
      <c r="N854" s="8"/>
      <c r="O854" s="8"/>
      <c r="P854" s="8"/>
      <c r="Q854" s="8"/>
      <c r="R854" s="8"/>
      <c r="S854" s="8"/>
      <c r="T854" s="8"/>
      <c r="U854" s="8"/>
    </row>
    <row r="855" spans="10:21">
      <c r="J855" s="8"/>
      <c r="K855" s="8"/>
      <c r="L855" s="8"/>
      <c r="M855" s="8"/>
      <c r="N855" s="8"/>
      <c r="O855" s="8"/>
      <c r="P855" s="8"/>
      <c r="Q855" s="8"/>
      <c r="R855" s="8"/>
      <c r="S855" s="8"/>
      <c r="T855" s="8"/>
      <c r="U855" s="8"/>
    </row>
    <row r="856" spans="10:21">
      <c r="J856" s="8"/>
      <c r="K856" s="8"/>
      <c r="L856" s="8"/>
      <c r="M856" s="8"/>
      <c r="N856" s="8"/>
      <c r="O856" s="8"/>
      <c r="P856" s="8"/>
      <c r="Q856" s="8"/>
      <c r="R856" s="8"/>
      <c r="S856" s="8"/>
      <c r="T856" s="8"/>
      <c r="U856" s="8"/>
    </row>
    <row r="857" spans="10:21">
      <c r="J857" s="8"/>
      <c r="K857" s="8"/>
      <c r="L857" s="8"/>
      <c r="M857" s="8"/>
      <c r="N857" s="8"/>
      <c r="O857" s="8"/>
      <c r="P857" s="8"/>
      <c r="Q857" s="8"/>
      <c r="R857" s="8"/>
      <c r="S857" s="8"/>
      <c r="T857" s="8"/>
      <c r="U857" s="8"/>
    </row>
    <row r="858" spans="10:21">
      <c r="J858" s="8"/>
      <c r="K858" s="8"/>
      <c r="L858" s="8"/>
      <c r="M858" s="8"/>
      <c r="N858" s="8"/>
      <c r="O858" s="8"/>
      <c r="P858" s="8"/>
      <c r="Q858" s="8"/>
      <c r="R858" s="8"/>
      <c r="S858" s="8"/>
      <c r="T858" s="8"/>
      <c r="U858" s="8"/>
    </row>
    <row r="859" spans="10:21">
      <c r="J859" s="8"/>
      <c r="K859" s="8"/>
      <c r="L859" s="8"/>
      <c r="M859" s="8"/>
      <c r="N859" s="8"/>
      <c r="O859" s="8"/>
      <c r="P859" s="8"/>
      <c r="Q859" s="8"/>
      <c r="R859" s="8"/>
      <c r="S859" s="8"/>
      <c r="T859" s="8"/>
      <c r="U859" s="8"/>
    </row>
    <row r="860" spans="10:21">
      <c r="J860" s="8"/>
      <c r="K860" s="8"/>
      <c r="L860" s="8"/>
      <c r="M860" s="8"/>
      <c r="N860" s="8"/>
      <c r="O860" s="8"/>
      <c r="P860" s="8"/>
      <c r="Q860" s="8"/>
      <c r="R860" s="8"/>
      <c r="S860" s="8"/>
      <c r="T860" s="8"/>
      <c r="U860" s="8"/>
    </row>
    <row r="861" spans="10:21">
      <c r="J861" s="8"/>
      <c r="K861" s="8"/>
      <c r="L861" s="8"/>
      <c r="M861" s="8"/>
      <c r="N861" s="8"/>
      <c r="O861" s="8"/>
      <c r="P861" s="8"/>
      <c r="Q861" s="8"/>
      <c r="R861" s="8"/>
      <c r="S861" s="8"/>
      <c r="T861" s="8"/>
      <c r="U861" s="8"/>
    </row>
    <row r="862" spans="10:21">
      <c r="J862" s="8"/>
      <c r="K862" s="8"/>
      <c r="L862" s="8"/>
      <c r="M862" s="8"/>
      <c r="N862" s="8"/>
      <c r="O862" s="8"/>
      <c r="P862" s="8"/>
      <c r="Q862" s="8"/>
      <c r="R862" s="8"/>
      <c r="S862" s="8"/>
      <c r="T862" s="8"/>
      <c r="U862" s="8"/>
    </row>
    <row r="863" spans="10:21">
      <c r="J863" s="8"/>
      <c r="K863" s="8"/>
      <c r="L863" s="8"/>
      <c r="M863" s="8"/>
      <c r="N863" s="8"/>
      <c r="O863" s="8"/>
      <c r="P863" s="8"/>
      <c r="Q863" s="8"/>
      <c r="R863" s="8"/>
      <c r="S863" s="8"/>
      <c r="T863" s="8"/>
      <c r="U863" s="8"/>
    </row>
    <row r="864" spans="10:21">
      <c r="J864" s="8"/>
      <c r="K864" s="8"/>
      <c r="L864" s="8"/>
      <c r="M864" s="8"/>
      <c r="N864" s="8"/>
      <c r="O864" s="8"/>
      <c r="P864" s="8"/>
      <c r="Q864" s="8"/>
      <c r="R864" s="8"/>
      <c r="S864" s="8"/>
      <c r="T864" s="8"/>
      <c r="U864" s="8"/>
    </row>
    <row r="865" spans="10:21">
      <c r="J865" s="8"/>
      <c r="K865" s="8"/>
      <c r="L865" s="8"/>
      <c r="M865" s="8"/>
      <c r="N865" s="8"/>
      <c r="O865" s="8"/>
      <c r="P865" s="8"/>
      <c r="Q865" s="8"/>
      <c r="R865" s="8"/>
      <c r="S865" s="8"/>
      <c r="T865" s="8"/>
      <c r="U865" s="8"/>
    </row>
    <row r="866" spans="10:21">
      <c r="J866" s="8"/>
      <c r="K866" s="8"/>
      <c r="L866" s="8"/>
      <c r="M866" s="8"/>
      <c r="N866" s="8"/>
      <c r="O866" s="8"/>
      <c r="P866" s="8"/>
      <c r="Q866" s="8"/>
      <c r="R866" s="8"/>
      <c r="S866" s="8"/>
      <c r="T866" s="8"/>
      <c r="U866" s="8"/>
    </row>
    <row r="867" spans="10:21">
      <c r="J867" s="8"/>
      <c r="K867" s="8"/>
      <c r="L867" s="8"/>
      <c r="M867" s="8"/>
      <c r="N867" s="8"/>
      <c r="O867" s="8"/>
      <c r="P867" s="8"/>
      <c r="Q867" s="8"/>
      <c r="R867" s="8"/>
      <c r="S867" s="8"/>
      <c r="T867" s="8"/>
      <c r="U867" s="8"/>
    </row>
    <row r="868" spans="10:21">
      <c r="J868" s="8"/>
      <c r="K868" s="8"/>
      <c r="L868" s="8"/>
      <c r="M868" s="8"/>
      <c r="N868" s="8"/>
      <c r="O868" s="8"/>
      <c r="P868" s="8"/>
      <c r="Q868" s="8"/>
      <c r="R868" s="8"/>
      <c r="S868" s="8"/>
      <c r="T868" s="8"/>
      <c r="U868" s="8"/>
    </row>
    <row r="869" spans="10:21">
      <c r="J869" s="8"/>
      <c r="K869" s="8"/>
      <c r="L869" s="8"/>
      <c r="M869" s="8"/>
      <c r="N869" s="8"/>
      <c r="O869" s="8"/>
      <c r="P869" s="8"/>
      <c r="Q869" s="8"/>
      <c r="R869" s="8"/>
      <c r="S869" s="8"/>
      <c r="T869" s="8"/>
      <c r="U869" s="8"/>
    </row>
    <row r="870" spans="10:21">
      <c r="J870" s="8"/>
      <c r="K870" s="8"/>
      <c r="L870" s="8"/>
      <c r="M870" s="8"/>
      <c r="N870" s="8"/>
      <c r="O870" s="8"/>
      <c r="P870" s="8"/>
      <c r="Q870" s="8"/>
      <c r="R870" s="8"/>
      <c r="S870" s="8"/>
      <c r="T870" s="8"/>
      <c r="U870" s="8"/>
    </row>
    <row r="871" spans="10:21">
      <c r="J871" s="8"/>
      <c r="K871" s="8"/>
      <c r="L871" s="8"/>
      <c r="M871" s="8"/>
      <c r="N871" s="8"/>
      <c r="O871" s="8"/>
      <c r="P871" s="8"/>
      <c r="Q871" s="8"/>
      <c r="R871" s="8"/>
      <c r="S871" s="8"/>
      <c r="T871" s="8"/>
      <c r="U871" s="8"/>
    </row>
    <row r="872" spans="10:21">
      <c r="J872" s="8"/>
      <c r="K872" s="8"/>
      <c r="L872" s="8"/>
      <c r="M872" s="8"/>
      <c r="N872" s="8"/>
      <c r="O872" s="8"/>
      <c r="P872" s="8"/>
      <c r="Q872" s="8"/>
      <c r="R872" s="8"/>
      <c r="S872" s="8"/>
      <c r="T872" s="8"/>
      <c r="U872" s="8"/>
    </row>
    <row r="873" spans="10:21">
      <c r="J873" s="8"/>
      <c r="K873" s="8"/>
      <c r="L873" s="8"/>
      <c r="M873" s="8"/>
      <c r="N873" s="8"/>
      <c r="O873" s="8"/>
      <c r="P873" s="8"/>
      <c r="Q873" s="8"/>
      <c r="R873" s="8"/>
      <c r="S873" s="8"/>
      <c r="T873" s="8"/>
      <c r="U873" s="8"/>
    </row>
    <row r="874" spans="10:21">
      <c r="J874" s="8"/>
      <c r="K874" s="8"/>
      <c r="L874" s="8"/>
      <c r="M874" s="8"/>
      <c r="N874" s="8"/>
      <c r="O874" s="8"/>
      <c r="P874" s="8"/>
      <c r="Q874" s="8"/>
      <c r="R874" s="8"/>
      <c r="S874" s="8"/>
      <c r="T874" s="8"/>
      <c r="U874" s="8"/>
    </row>
    <row r="875" spans="10:21">
      <c r="J875" s="8"/>
      <c r="K875" s="8"/>
      <c r="L875" s="8"/>
      <c r="M875" s="8"/>
      <c r="N875" s="8"/>
      <c r="O875" s="8"/>
      <c r="P875" s="8"/>
      <c r="Q875" s="8"/>
      <c r="R875" s="8"/>
      <c r="S875" s="8"/>
      <c r="T875" s="8"/>
      <c r="U875" s="8"/>
    </row>
    <row r="876" spans="10:21">
      <c r="J876" s="8"/>
      <c r="K876" s="8"/>
      <c r="L876" s="8"/>
      <c r="M876" s="8"/>
      <c r="N876" s="8"/>
      <c r="O876" s="8"/>
      <c r="P876" s="8"/>
      <c r="Q876" s="8"/>
      <c r="R876" s="8"/>
      <c r="S876" s="8"/>
      <c r="T876" s="8"/>
      <c r="U876" s="8"/>
    </row>
    <row r="877" spans="10:21">
      <c r="J877" s="8"/>
      <c r="K877" s="8"/>
      <c r="L877" s="8"/>
      <c r="M877" s="8"/>
      <c r="N877" s="8"/>
      <c r="O877" s="8"/>
      <c r="P877" s="8"/>
      <c r="Q877" s="8"/>
      <c r="R877" s="8"/>
      <c r="S877" s="8"/>
      <c r="T877" s="8"/>
      <c r="U877" s="8"/>
    </row>
    <row r="878" spans="10:21">
      <c r="J878" s="8"/>
      <c r="K878" s="8"/>
      <c r="L878" s="8"/>
      <c r="M878" s="8"/>
      <c r="N878" s="8"/>
      <c r="O878" s="8"/>
      <c r="P878" s="8"/>
      <c r="Q878" s="8"/>
      <c r="R878" s="8"/>
      <c r="S878" s="8"/>
      <c r="T878" s="8"/>
      <c r="U878" s="8"/>
    </row>
    <row r="879" spans="10:21">
      <c r="J879" s="8"/>
      <c r="K879" s="8"/>
      <c r="L879" s="8"/>
      <c r="M879" s="8"/>
      <c r="N879" s="8"/>
      <c r="O879" s="8"/>
      <c r="P879" s="8"/>
      <c r="Q879" s="8"/>
      <c r="R879" s="8"/>
      <c r="S879" s="8"/>
      <c r="T879" s="8"/>
      <c r="U879" s="8"/>
    </row>
    <row r="880" spans="10:21">
      <c r="J880" s="8"/>
      <c r="K880" s="8"/>
      <c r="L880" s="8"/>
      <c r="M880" s="8"/>
      <c r="N880" s="8"/>
      <c r="O880" s="8"/>
      <c r="P880" s="8"/>
      <c r="Q880" s="8"/>
      <c r="R880" s="8"/>
      <c r="S880" s="8"/>
      <c r="T880" s="8"/>
      <c r="U880" s="8"/>
    </row>
    <row r="881" spans="10:21">
      <c r="J881" s="8"/>
      <c r="K881" s="8"/>
      <c r="L881" s="8"/>
      <c r="M881" s="8"/>
      <c r="N881" s="8"/>
      <c r="O881" s="8"/>
      <c r="P881" s="8"/>
      <c r="Q881" s="8"/>
      <c r="R881" s="8"/>
      <c r="S881" s="8"/>
      <c r="T881" s="8"/>
      <c r="U881" s="8"/>
    </row>
    <row r="882" spans="10:21">
      <c r="J882" s="8"/>
      <c r="K882" s="8"/>
      <c r="L882" s="8"/>
      <c r="M882" s="8"/>
      <c r="N882" s="8"/>
      <c r="O882" s="8"/>
      <c r="P882" s="8"/>
      <c r="Q882" s="8"/>
      <c r="R882" s="8"/>
      <c r="S882" s="8"/>
      <c r="T882" s="8"/>
      <c r="U882" s="8"/>
    </row>
    <row r="883" spans="10:21">
      <c r="J883" s="8"/>
      <c r="K883" s="8"/>
      <c r="L883" s="8"/>
      <c r="M883" s="8"/>
      <c r="N883" s="8"/>
      <c r="O883" s="8"/>
      <c r="P883" s="8"/>
      <c r="Q883" s="8"/>
      <c r="R883" s="8"/>
      <c r="S883" s="8"/>
      <c r="T883" s="8"/>
      <c r="U883" s="8"/>
    </row>
    <row r="884" spans="10:21">
      <c r="J884" s="8"/>
      <c r="K884" s="8"/>
      <c r="L884" s="8"/>
      <c r="M884" s="8"/>
      <c r="N884" s="8"/>
      <c r="O884" s="8"/>
      <c r="P884" s="8"/>
      <c r="Q884" s="8"/>
      <c r="R884" s="8"/>
      <c r="S884" s="8"/>
      <c r="T884" s="8"/>
      <c r="U884" s="8"/>
    </row>
    <row r="885" spans="10:21">
      <c r="J885" s="8"/>
      <c r="K885" s="8"/>
      <c r="L885" s="8"/>
      <c r="M885" s="8"/>
      <c r="N885" s="8"/>
      <c r="O885" s="8"/>
      <c r="P885" s="8"/>
      <c r="Q885" s="8"/>
      <c r="R885" s="8"/>
      <c r="S885" s="8"/>
      <c r="T885" s="8"/>
      <c r="U885" s="8"/>
    </row>
    <row r="886" spans="10:21">
      <c r="J886" s="8"/>
      <c r="K886" s="8"/>
      <c r="L886" s="8"/>
      <c r="M886" s="8"/>
      <c r="N886" s="8"/>
      <c r="O886" s="8"/>
      <c r="P886" s="8"/>
      <c r="Q886" s="8"/>
      <c r="R886" s="8"/>
      <c r="S886" s="8"/>
      <c r="T886" s="8"/>
      <c r="U886" s="8"/>
    </row>
    <row r="887" spans="10:21">
      <c r="J887" s="8"/>
      <c r="K887" s="8"/>
      <c r="L887" s="8"/>
      <c r="M887" s="8"/>
      <c r="N887" s="8"/>
      <c r="O887" s="8"/>
      <c r="P887" s="8"/>
      <c r="Q887" s="8"/>
      <c r="R887" s="8"/>
      <c r="S887" s="8"/>
      <c r="T887" s="8"/>
      <c r="U887" s="8"/>
    </row>
    <row r="888" spans="10:21">
      <c r="J888" s="8"/>
      <c r="K888" s="8"/>
      <c r="L888" s="8"/>
      <c r="M888" s="8"/>
      <c r="N888" s="8"/>
      <c r="O888" s="8"/>
      <c r="P888" s="8"/>
      <c r="Q888" s="8"/>
      <c r="R888" s="8"/>
      <c r="S888" s="8"/>
      <c r="T888" s="8"/>
      <c r="U888" s="8"/>
    </row>
    <row r="889" spans="10:21">
      <c r="J889" s="8"/>
      <c r="K889" s="8"/>
      <c r="L889" s="8"/>
      <c r="M889" s="8"/>
      <c r="N889" s="8"/>
      <c r="O889" s="8"/>
      <c r="P889" s="8"/>
      <c r="Q889" s="8"/>
      <c r="R889" s="8"/>
      <c r="S889" s="8"/>
      <c r="T889" s="8"/>
      <c r="U889" s="8"/>
    </row>
    <row r="890" spans="10:21">
      <c r="J890" s="8"/>
      <c r="K890" s="8"/>
      <c r="L890" s="8"/>
      <c r="M890" s="8"/>
      <c r="N890" s="8"/>
      <c r="O890" s="8"/>
      <c r="P890" s="8"/>
      <c r="Q890" s="8"/>
      <c r="R890" s="8"/>
      <c r="S890" s="8"/>
      <c r="T890" s="8"/>
      <c r="U890" s="8"/>
    </row>
    <row r="891" spans="10:21">
      <c r="J891" s="8"/>
      <c r="K891" s="8"/>
      <c r="L891" s="8"/>
      <c r="M891" s="8"/>
      <c r="N891" s="8"/>
      <c r="O891" s="8"/>
      <c r="P891" s="8"/>
      <c r="Q891" s="8"/>
      <c r="R891" s="8"/>
      <c r="S891" s="8"/>
      <c r="T891" s="8"/>
      <c r="U891" s="8"/>
    </row>
    <row r="892" spans="10:21">
      <c r="J892" s="8"/>
      <c r="K892" s="8"/>
      <c r="L892" s="8"/>
      <c r="M892" s="8"/>
      <c r="N892" s="8"/>
      <c r="O892" s="8"/>
      <c r="P892" s="8"/>
      <c r="Q892" s="8"/>
      <c r="R892" s="8"/>
      <c r="S892" s="8"/>
      <c r="T892" s="8"/>
      <c r="U892" s="8"/>
    </row>
    <row r="893" spans="10:21">
      <c r="J893" s="8"/>
      <c r="K893" s="8"/>
      <c r="L893" s="8"/>
      <c r="M893" s="8"/>
      <c r="N893" s="8"/>
      <c r="O893" s="8"/>
      <c r="P893" s="8"/>
      <c r="Q893" s="8"/>
      <c r="R893" s="8"/>
      <c r="S893" s="8"/>
      <c r="T893" s="8"/>
      <c r="U893" s="8"/>
    </row>
    <row r="894" spans="10:21">
      <c r="J894" s="8"/>
      <c r="K894" s="8"/>
      <c r="L894" s="8"/>
      <c r="M894" s="8"/>
      <c r="N894" s="8"/>
      <c r="O894" s="8"/>
      <c r="P894" s="8"/>
      <c r="Q894" s="8"/>
      <c r="R894" s="8"/>
      <c r="S894" s="8"/>
      <c r="T894" s="8"/>
      <c r="U894" s="8"/>
    </row>
    <row r="895" spans="10:21">
      <c r="J895" s="8"/>
      <c r="K895" s="8"/>
      <c r="L895" s="8"/>
      <c r="M895" s="8"/>
      <c r="N895" s="8"/>
      <c r="O895" s="8"/>
      <c r="P895" s="8"/>
      <c r="Q895" s="8"/>
      <c r="R895" s="8"/>
      <c r="S895" s="8"/>
      <c r="T895" s="8"/>
      <c r="U895" s="8"/>
    </row>
    <row r="896" spans="10:21">
      <c r="J896" s="8"/>
      <c r="K896" s="8"/>
      <c r="L896" s="8"/>
      <c r="M896" s="8"/>
      <c r="N896" s="8"/>
      <c r="O896" s="8"/>
      <c r="P896" s="8"/>
      <c r="Q896" s="8"/>
      <c r="R896" s="8"/>
      <c r="S896" s="8"/>
      <c r="T896" s="8"/>
      <c r="U896" s="8"/>
    </row>
    <row r="897" spans="10:21">
      <c r="J897" s="8"/>
      <c r="K897" s="8"/>
      <c r="L897" s="8"/>
      <c r="M897" s="8"/>
      <c r="N897" s="8"/>
      <c r="O897" s="8"/>
      <c r="P897" s="8"/>
      <c r="Q897" s="8"/>
      <c r="R897" s="8"/>
      <c r="S897" s="8"/>
      <c r="T897" s="8"/>
      <c r="U897" s="8"/>
    </row>
    <row r="898" spans="10:21">
      <c r="J898" s="8"/>
      <c r="K898" s="8"/>
      <c r="L898" s="8"/>
      <c r="M898" s="8"/>
      <c r="N898" s="8"/>
      <c r="O898" s="8"/>
      <c r="P898" s="8"/>
      <c r="Q898" s="8"/>
      <c r="R898" s="8"/>
      <c r="S898" s="8"/>
      <c r="T898" s="8"/>
      <c r="U898" s="8"/>
    </row>
    <row r="899" spans="10:21">
      <c r="J899" s="8"/>
      <c r="K899" s="8"/>
      <c r="L899" s="8"/>
      <c r="M899" s="8"/>
      <c r="N899" s="8"/>
      <c r="O899" s="8"/>
      <c r="P899" s="8"/>
      <c r="Q899" s="8"/>
      <c r="R899" s="8"/>
      <c r="S899" s="8"/>
      <c r="T899" s="8"/>
      <c r="U899" s="8"/>
    </row>
    <row r="900" spans="10:21">
      <c r="J900" s="8"/>
      <c r="K900" s="8"/>
      <c r="L900" s="8"/>
      <c r="M900" s="8"/>
      <c r="N900" s="8"/>
      <c r="O900" s="8"/>
      <c r="P900" s="8"/>
      <c r="Q900" s="8"/>
      <c r="R900" s="8"/>
      <c r="S900" s="8"/>
      <c r="T900" s="8"/>
      <c r="U900" s="8"/>
    </row>
    <row r="901" spans="10:21">
      <c r="J901" s="8"/>
      <c r="K901" s="8"/>
      <c r="L901" s="8"/>
      <c r="M901" s="8"/>
      <c r="N901" s="8"/>
      <c r="O901" s="8"/>
      <c r="P901" s="8"/>
      <c r="Q901" s="8"/>
      <c r="R901" s="8"/>
      <c r="S901" s="8"/>
      <c r="T901" s="8"/>
      <c r="U901" s="8"/>
    </row>
    <row r="902" spans="10:21">
      <c r="J902" s="8"/>
      <c r="K902" s="8"/>
      <c r="L902" s="8"/>
      <c r="M902" s="8"/>
      <c r="N902" s="8"/>
      <c r="O902" s="8"/>
      <c r="P902" s="8"/>
      <c r="Q902" s="8"/>
      <c r="R902" s="8"/>
      <c r="S902" s="8"/>
      <c r="T902" s="8"/>
      <c r="U902" s="8"/>
    </row>
    <row r="903" spans="10:21">
      <c r="J903" s="8"/>
      <c r="K903" s="8"/>
      <c r="L903" s="8"/>
      <c r="M903" s="8"/>
      <c r="N903" s="8"/>
      <c r="O903" s="8"/>
      <c r="P903" s="8"/>
      <c r="Q903" s="8"/>
      <c r="R903" s="8"/>
      <c r="S903" s="8"/>
      <c r="T903" s="8"/>
      <c r="U903" s="8"/>
    </row>
    <row r="904" spans="10:21">
      <c r="J904" s="8"/>
      <c r="K904" s="8"/>
      <c r="L904" s="8"/>
      <c r="M904" s="8"/>
      <c r="N904" s="8"/>
      <c r="O904" s="8"/>
      <c r="P904" s="8"/>
      <c r="Q904" s="8"/>
      <c r="R904" s="8"/>
      <c r="S904" s="8"/>
      <c r="T904" s="8"/>
      <c r="U904" s="8"/>
    </row>
    <row r="905" spans="10:21">
      <c r="J905" s="8"/>
      <c r="K905" s="8"/>
      <c r="L905" s="8"/>
      <c r="M905" s="8"/>
      <c r="N905" s="8"/>
      <c r="O905" s="8"/>
      <c r="P905" s="8"/>
      <c r="Q905" s="8"/>
      <c r="R905" s="8"/>
      <c r="S905" s="8"/>
      <c r="T905" s="8"/>
      <c r="U905" s="8"/>
    </row>
    <row r="906" spans="10:21">
      <c r="J906" s="8"/>
      <c r="K906" s="8"/>
      <c r="L906" s="8"/>
      <c r="M906" s="8"/>
      <c r="N906" s="8"/>
      <c r="O906" s="8"/>
      <c r="P906" s="8"/>
      <c r="Q906" s="8"/>
      <c r="R906" s="8"/>
      <c r="S906" s="8"/>
      <c r="T906" s="8"/>
      <c r="U906" s="8"/>
    </row>
    <row r="907" spans="10:21">
      <c r="J907" s="8"/>
      <c r="K907" s="8"/>
      <c r="L907" s="8"/>
      <c r="M907" s="8"/>
      <c r="N907" s="8"/>
      <c r="O907" s="8"/>
      <c r="P907" s="8"/>
      <c r="Q907" s="8"/>
      <c r="R907" s="8"/>
      <c r="S907" s="8"/>
      <c r="T907" s="8"/>
      <c r="U907" s="8"/>
    </row>
    <row r="908" spans="10:21">
      <c r="J908" s="8"/>
      <c r="K908" s="8"/>
      <c r="L908" s="8"/>
      <c r="M908" s="8"/>
      <c r="N908" s="8"/>
      <c r="O908" s="8"/>
      <c r="P908" s="8"/>
      <c r="Q908" s="8"/>
      <c r="R908" s="8"/>
      <c r="S908" s="8"/>
      <c r="T908" s="8"/>
      <c r="U908" s="8"/>
    </row>
    <row r="909" spans="10:21">
      <c r="J909" s="8"/>
      <c r="K909" s="8"/>
      <c r="L909" s="8"/>
      <c r="M909" s="8"/>
      <c r="N909" s="8"/>
      <c r="O909" s="8"/>
      <c r="P909" s="8"/>
      <c r="Q909" s="8"/>
      <c r="R909" s="8"/>
      <c r="S909" s="8"/>
      <c r="T909" s="8"/>
      <c r="U909" s="8"/>
    </row>
    <row r="910" spans="10:21">
      <c r="J910" s="8"/>
      <c r="K910" s="8"/>
      <c r="L910" s="8"/>
      <c r="M910" s="8"/>
      <c r="N910" s="8"/>
      <c r="O910" s="8"/>
      <c r="P910" s="8"/>
      <c r="Q910" s="8"/>
      <c r="R910" s="8"/>
      <c r="S910" s="8"/>
      <c r="T910" s="8"/>
      <c r="U910" s="8"/>
    </row>
    <row r="911" spans="10:21">
      <c r="J911" s="8"/>
      <c r="K911" s="8"/>
      <c r="L911" s="8"/>
      <c r="M911" s="8"/>
      <c r="N911" s="8"/>
      <c r="O911" s="8"/>
      <c r="P911" s="8"/>
      <c r="Q911" s="8"/>
      <c r="R911" s="8"/>
      <c r="S911" s="8"/>
      <c r="T911" s="8"/>
      <c r="U911" s="8"/>
    </row>
    <row r="912" spans="10:21">
      <c r="J912" s="8"/>
      <c r="K912" s="8"/>
      <c r="L912" s="8"/>
      <c r="M912" s="8"/>
      <c r="N912" s="8"/>
      <c r="O912" s="8"/>
      <c r="P912" s="8"/>
      <c r="Q912" s="8"/>
      <c r="R912" s="8"/>
      <c r="S912" s="8"/>
      <c r="T912" s="8"/>
      <c r="U912" s="8"/>
    </row>
    <row r="913" spans="10:21">
      <c r="J913" s="8"/>
      <c r="K913" s="8"/>
      <c r="L913" s="8"/>
      <c r="M913" s="8"/>
      <c r="N913" s="8"/>
      <c r="O913" s="8"/>
      <c r="P913" s="8"/>
      <c r="Q913" s="8"/>
      <c r="R913" s="8"/>
      <c r="S913" s="8"/>
      <c r="T913" s="8"/>
      <c r="U913" s="8"/>
    </row>
    <row r="914" spans="10:21">
      <c r="J914" s="8"/>
      <c r="K914" s="8"/>
      <c r="L914" s="8"/>
      <c r="M914" s="8"/>
      <c r="N914" s="8"/>
      <c r="O914" s="8"/>
      <c r="P914" s="8"/>
      <c r="Q914" s="8"/>
      <c r="R914" s="8"/>
      <c r="S914" s="8"/>
      <c r="T914" s="8"/>
      <c r="U914" s="8"/>
    </row>
    <row r="915" spans="10:21">
      <c r="J915" s="8"/>
      <c r="K915" s="8"/>
      <c r="L915" s="8"/>
      <c r="M915" s="8"/>
      <c r="N915" s="8"/>
      <c r="O915" s="8"/>
      <c r="P915" s="8"/>
      <c r="Q915" s="8"/>
      <c r="R915" s="8"/>
      <c r="S915" s="8"/>
      <c r="T915" s="8"/>
      <c r="U915" s="8"/>
    </row>
    <row r="916" spans="10:21">
      <c r="J916" s="8"/>
      <c r="K916" s="8"/>
      <c r="L916" s="8"/>
      <c r="M916" s="8"/>
      <c r="N916" s="8"/>
      <c r="O916" s="8"/>
      <c r="P916" s="8"/>
      <c r="Q916" s="8"/>
      <c r="R916" s="8"/>
      <c r="S916" s="8"/>
      <c r="T916" s="8"/>
      <c r="U916" s="8"/>
    </row>
    <row r="917" spans="10:21">
      <c r="J917" s="8"/>
      <c r="K917" s="8"/>
      <c r="L917" s="8"/>
      <c r="M917" s="8"/>
      <c r="N917" s="8"/>
      <c r="O917" s="8"/>
      <c r="P917" s="8"/>
      <c r="Q917" s="8"/>
      <c r="R917" s="8"/>
      <c r="S917" s="8"/>
      <c r="T917" s="8"/>
      <c r="U917" s="8"/>
    </row>
    <row r="918" spans="10:21">
      <c r="J918" s="8"/>
      <c r="K918" s="8"/>
      <c r="L918" s="8"/>
      <c r="M918" s="8"/>
      <c r="N918" s="8"/>
      <c r="O918" s="8"/>
      <c r="P918" s="8"/>
      <c r="Q918" s="8"/>
      <c r="R918" s="8"/>
      <c r="S918" s="8"/>
      <c r="T918" s="8"/>
      <c r="U918" s="8"/>
    </row>
    <row r="919" spans="10:21">
      <c r="J919" s="8"/>
      <c r="K919" s="8"/>
      <c r="L919" s="8"/>
      <c r="M919" s="8"/>
      <c r="N919" s="8"/>
      <c r="O919" s="8"/>
      <c r="P919" s="8"/>
      <c r="Q919" s="8"/>
      <c r="R919" s="8"/>
      <c r="S919" s="8"/>
      <c r="T919" s="8"/>
      <c r="U919" s="8"/>
    </row>
    <row r="920" spans="10:21">
      <c r="J920" s="8"/>
      <c r="K920" s="8"/>
      <c r="L920" s="8"/>
      <c r="M920" s="8"/>
      <c r="N920" s="8"/>
      <c r="O920" s="8"/>
      <c r="P920" s="8"/>
      <c r="Q920" s="8"/>
      <c r="R920" s="8"/>
      <c r="S920" s="8"/>
      <c r="T920" s="8"/>
      <c r="U920" s="8"/>
    </row>
    <row r="921" spans="10:21">
      <c r="J921" s="8"/>
      <c r="K921" s="8"/>
      <c r="L921" s="8"/>
      <c r="M921" s="8"/>
      <c r="N921" s="8"/>
      <c r="O921" s="8"/>
      <c r="P921" s="8"/>
      <c r="Q921" s="8"/>
      <c r="R921" s="8"/>
      <c r="S921" s="8"/>
      <c r="T921" s="8"/>
      <c r="U921" s="8"/>
    </row>
    <row r="922" spans="10:21">
      <c r="J922" s="8"/>
      <c r="K922" s="8"/>
      <c r="L922" s="8"/>
      <c r="M922" s="8"/>
      <c r="N922" s="8"/>
      <c r="O922" s="8"/>
      <c r="P922" s="8"/>
      <c r="Q922" s="8"/>
      <c r="R922" s="8"/>
      <c r="S922" s="8"/>
      <c r="T922" s="8"/>
      <c r="U922" s="8"/>
    </row>
    <row r="923" spans="10:21">
      <c r="J923" s="8"/>
      <c r="K923" s="8"/>
      <c r="L923" s="8"/>
      <c r="M923" s="8"/>
      <c r="N923" s="8"/>
      <c r="O923" s="8"/>
      <c r="P923" s="8"/>
      <c r="Q923" s="8"/>
      <c r="R923" s="8"/>
      <c r="S923" s="8"/>
      <c r="T923" s="8"/>
      <c r="U923" s="8"/>
    </row>
    <row r="924" spans="10:21">
      <c r="J924" s="8"/>
      <c r="K924" s="8"/>
      <c r="L924" s="8"/>
      <c r="M924" s="8"/>
      <c r="N924" s="8"/>
      <c r="O924" s="8"/>
      <c r="P924" s="8"/>
      <c r="Q924" s="8"/>
      <c r="R924" s="8"/>
      <c r="S924" s="8"/>
      <c r="T924" s="8"/>
      <c r="U924" s="8"/>
    </row>
    <row r="925" spans="10:21">
      <c r="J925" s="8"/>
      <c r="K925" s="8"/>
      <c r="L925" s="8"/>
      <c r="M925" s="8"/>
      <c r="N925" s="8"/>
      <c r="O925" s="8"/>
      <c r="P925" s="8"/>
      <c r="Q925" s="8"/>
      <c r="R925" s="8"/>
      <c r="S925" s="8"/>
      <c r="T925" s="8"/>
      <c r="U925" s="8"/>
    </row>
    <row r="926" spans="10:21">
      <c r="J926" s="8"/>
      <c r="K926" s="8"/>
      <c r="L926" s="8"/>
      <c r="M926" s="8"/>
      <c r="N926" s="8"/>
      <c r="O926" s="8"/>
      <c r="P926" s="8"/>
      <c r="Q926" s="8"/>
      <c r="R926" s="8"/>
      <c r="S926" s="8"/>
      <c r="T926" s="8"/>
      <c r="U926" s="8"/>
    </row>
    <row r="927" spans="10:21">
      <c r="J927" s="8"/>
      <c r="K927" s="8"/>
      <c r="L927" s="8"/>
      <c r="M927" s="8"/>
      <c r="N927" s="8"/>
      <c r="O927" s="8"/>
      <c r="P927" s="8"/>
      <c r="Q927" s="8"/>
      <c r="R927" s="8"/>
      <c r="S927" s="8"/>
      <c r="T927" s="8"/>
      <c r="U927" s="8"/>
    </row>
    <row r="928" spans="10:21">
      <c r="J928" s="8"/>
      <c r="K928" s="8"/>
      <c r="L928" s="8"/>
      <c r="M928" s="8"/>
      <c r="N928" s="8"/>
      <c r="O928" s="8"/>
      <c r="P928" s="8"/>
      <c r="Q928" s="8"/>
      <c r="R928" s="8"/>
      <c r="S928" s="8"/>
      <c r="T928" s="8"/>
      <c r="U928" s="8"/>
    </row>
    <row r="929" spans="10:21">
      <c r="J929" s="8"/>
      <c r="K929" s="8"/>
      <c r="L929" s="8"/>
      <c r="M929" s="8"/>
      <c r="N929" s="8"/>
      <c r="O929" s="8"/>
      <c r="P929" s="8"/>
      <c r="Q929" s="8"/>
      <c r="R929" s="8"/>
      <c r="S929" s="8"/>
      <c r="T929" s="8"/>
      <c r="U929" s="8"/>
    </row>
    <row r="930" spans="10:21">
      <c r="J930" s="8"/>
      <c r="K930" s="8"/>
      <c r="L930" s="8"/>
      <c r="M930" s="8"/>
      <c r="N930" s="8"/>
      <c r="O930" s="8"/>
      <c r="P930" s="8"/>
      <c r="Q930" s="8"/>
      <c r="R930" s="8"/>
      <c r="S930" s="8"/>
      <c r="T930" s="8"/>
      <c r="U930" s="8"/>
    </row>
    <row r="931" spans="10:21">
      <c r="J931" s="8"/>
      <c r="K931" s="8"/>
      <c r="L931" s="8"/>
      <c r="M931" s="8"/>
      <c r="N931" s="8"/>
      <c r="O931" s="8"/>
      <c r="P931" s="8"/>
      <c r="Q931" s="8"/>
      <c r="R931" s="8"/>
      <c r="S931" s="8"/>
      <c r="T931" s="8"/>
      <c r="U931" s="8"/>
    </row>
    <row r="932" spans="10:21">
      <c r="J932" s="8"/>
      <c r="K932" s="8"/>
      <c r="L932" s="8"/>
      <c r="M932" s="8"/>
      <c r="N932" s="8"/>
      <c r="O932" s="8"/>
      <c r="P932" s="8"/>
      <c r="Q932" s="8"/>
      <c r="R932" s="8"/>
      <c r="S932" s="8"/>
      <c r="T932" s="8"/>
      <c r="U932" s="8"/>
    </row>
    <row r="933" spans="10:21">
      <c r="J933" s="8"/>
      <c r="K933" s="8"/>
      <c r="L933" s="8"/>
      <c r="M933" s="8"/>
      <c r="N933" s="8"/>
      <c r="O933" s="8"/>
      <c r="P933" s="8"/>
      <c r="Q933" s="8"/>
      <c r="R933" s="8"/>
      <c r="S933" s="8"/>
      <c r="T933" s="8"/>
      <c r="U933" s="8"/>
    </row>
    <row r="934" spans="10:21">
      <c r="J934" s="8"/>
      <c r="K934" s="8"/>
      <c r="L934" s="8"/>
      <c r="M934" s="8"/>
      <c r="N934" s="8"/>
      <c r="O934" s="8"/>
      <c r="P934" s="8"/>
      <c r="Q934" s="8"/>
      <c r="R934" s="8"/>
      <c r="S934" s="8"/>
      <c r="T934" s="8"/>
      <c r="U934" s="8"/>
    </row>
    <row r="935" spans="10:21">
      <c r="J935" s="8"/>
      <c r="K935" s="8"/>
      <c r="L935" s="8"/>
      <c r="M935" s="8"/>
      <c r="N935" s="8"/>
      <c r="O935" s="8"/>
      <c r="P935" s="8"/>
      <c r="Q935" s="8"/>
      <c r="R935" s="8"/>
      <c r="S935" s="8"/>
      <c r="T935" s="8"/>
      <c r="U935" s="8"/>
    </row>
    <row r="936" spans="10:21">
      <c r="J936" s="8"/>
      <c r="K936" s="8"/>
      <c r="L936" s="8"/>
      <c r="M936" s="8"/>
      <c r="N936" s="8"/>
      <c r="O936" s="8"/>
      <c r="P936" s="8"/>
      <c r="Q936" s="8"/>
      <c r="R936" s="8"/>
      <c r="S936" s="8"/>
      <c r="T936" s="8"/>
      <c r="U936" s="8"/>
    </row>
    <row r="937" spans="10:21">
      <c r="J937" s="8"/>
      <c r="K937" s="8"/>
      <c r="L937" s="8"/>
      <c r="M937" s="8"/>
      <c r="N937" s="8"/>
      <c r="O937" s="8"/>
      <c r="P937" s="8"/>
      <c r="Q937" s="8"/>
      <c r="R937" s="8"/>
      <c r="S937" s="8"/>
      <c r="T937" s="8"/>
      <c r="U937" s="8"/>
    </row>
    <row r="938" spans="10:21">
      <c r="J938" s="8"/>
      <c r="K938" s="8"/>
      <c r="L938" s="8"/>
      <c r="M938" s="8"/>
      <c r="N938" s="8"/>
      <c r="O938" s="8"/>
      <c r="P938" s="8"/>
      <c r="Q938" s="8"/>
      <c r="R938" s="8"/>
      <c r="S938" s="8"/>
      <c r="T938" s="8"/>
      <c r="U938" s="8"/>
    </row>
    <row r="939" spans="10:21">
      <c r="J939" s="8"/>
      <c r="K939" s="8"/>
      <c r="L939" s="8"/>
      <c r="M939" s="8"/>
      <c r="N939" s="8"/>
      <c r="O939" s="8"/>
      <c r="P939" s="8"/>
      <c r="Q939" s="8"/>
      <c r="R939" s="8"/>
      <c r="S939" s="8"/>
      <c r="T939" s="8"/>
      <c r="U939" s="8"/>
    </row>
    <row r="940" spans="10:21">
      <c r="J940" s="8"/>
      <c r="K940" s="8"/>
      <c r="L940" s="8"/>
      <c r="M940" s="8"/>
      <c r="N940" s="8"/>
      <c r="O940" s="8"/>
      <c r="P940" s="8"/>
      <c r="Q940" s="8"/>
      <c r="R940" s="8"/>
      <c r="S940" s="8"/>
      <c r="T940" s="8"/>
      <c r="U940" s="8"/>
    </row>
    <row r="941" spans="10:21">
      <c r="J941" s="8"/>
      <c r="K941" s="8"/>
      <c r="L941" s="8"/>
      <c r="M941" s="8"/>
      <c r="N941" s="8"/>
      <c r="O941" s="8"/>
      <c r="P941" s="8"/>
      <c r="Q941" s="8"/>
      <c r="R941" s="8"/>
      <c r="S941" s="8"/>
      <c r="T941" s="8"/>
      <c r="U941" s="8"/>
    </row>
    <row r="942" spans="10:21">
      <c r="J942" s="8"/>
      <c r="K942" s="8"/>
      <c r="L942" s="8"/>
      <c r="M942" s="8"/>
      <c r="N942" s="8"/>
      <c r="O942" s="8"/>
      <c r="P942" s="8"/>
      <c r="Q942" s="8"/>
      <c r="R942" s="8"/>
      <c r="S942" s="8"/>
      <c r="T942" s="8"/>
      <c r="U942" s="8"/>
    </row>
    <row r="943" spans="10:21">
      <c r="J943" s="8"/>
      <c r="K943" s="8"/>
      <c r="L943" s="8"/>
      <c r="M943" s="8"/>
      <c r="N943" s="8"/>
      <c r="O943" s="8"/>
      <c r="P943" s="8"/>
      <c r="Q943" s="8"/>
      <c r="R943" s="8"/>
      <c r="S943" s="8"/>
      <c r="T943" s="8"/>
      <c r="U943" s="8"/>
    </row>
    <row r="944" spans="10:21">
      <c r="J944" s="8"/>
      <c r="K944" s="8"/>
      <c r="L944" s="8"/>
      <c r="M944" s="8"/>
      <c r="N944" s="8"/>
      <c r="O944" s="8"/>
      <c r="P944" s="8"/>
      <c r="Q944" s="8"/>
      <c r="R944" s="8"/>
      <c r="S944" s="8"/>
      <c r="T944" s="8"/>
      <c r="U944" s="8"/>
    </row>
    <row r="945" spans="10:21">
      <c r="J945" s="8"/>
      <c r="K945" s="8"/>
      <c r="L945" s="8"/>
      <c r="M945" s="8"/>
      <c r="N945" s="8"/>
      <c r="O945" s="8"/>
      <c r="P945" s="8"/>
      <c r="Q945" s="8"/>
      <c r="R945" s="8"/>
      <c r="S945" s="8"/>
      <c r="T945" s="8"/>
      <c r="U945" s="8"/>
    </row>
    <row r="946" spans="10:21">
      <c r="J946" s="8"/>
      <c r="K946" s="8"/>
      <c r="L946" s="8"/>
      <c r="M946" s="8"/>
      <c r="N946" s="8"/>
      <c r="O946" s="8"/>
      <c r="P946" s="8"/>
      <c r="Q946" s="8"/>
      <c r="R946" s="8"/>
      <c r="S946" s="8"/>
      <c r="T946" s="8"/>
      <c r="U946" s="8"/>
    </row>
    <row r="947" spans="10:21">
      <c r="J947" s="8"/>
      <c r="K947" s="8"/>
      <c r="L947" s="8"/>
      <c r="M947" s="8"/>
      <c r="N947" s="8"/>
      <c r="O947" s="8"/>
      <c r="P947" s="8"/>
      <c r="Q947" s="8"/>
      <c r="R947" s="8"/>
      <c r="S947" s="8"/>
      <c r="T947" s="8"/>
      <c r="U947" s="8"/>
    </row>
    <row r="948" spans="10:21">
      <c r="J948" s="8"/>
      <c r="K948" s="8"/>
      <c r="L948" s="8"/>
      <c r="M948" s="8"/>
      <c r="N948" s="8"/>
      <c r="O948" s="8"/>
      <c r="P948" s="8"/>
      <c r="Q948" s="8"/>
      <c r="R948" s="8"/>
      <c r="S948" s="8"/>
      <c r="T948" s="8"/>
      <c r="U948" s="8"/>
    </row>
    <row r="949" spans="10:21">
      <c r="J949" s="8"/>
      <c r="K949" s="8"/>
      <c r="L949" s="8"/>
      <c r="M949" s="8"/>
      <c r="N949" s="8"/>
      <c r="O949" s="8"/>
      <c r="P949" s="8"/>
      <c r="Q949" s="8"/>
      <c r="R949" s="8"/>
      <c r="S949" s="8"/>
      <c r="T949" s="8"/>
      <c r="U949" s="8"/>
    </row>
    <row r="950" spans="10:21">
      <c r="J950" s="8"/>
      <c r="K950" s="8"/>
      <c r="L950" s="8"/>
      <c r="M950" s="8"/>
      <c r="N950" s="8"/>
      <c r="O950" s="8"/>
      <c r="P950" s="8"/>
      <c r="Q950" s="8"/>
      <c r="R950" s="8"/>
      <c r="S950" s="8"/>
      <c r="T950" s="8"/>
      <c r="U950" s="8"/>
    </row>
    <row r="951" spans="10:21">
      <c r="J951" s="8"/>
      <c r="K951" s="8"/>
      <c r="L951" s="8"/>
      <c r="M951" s="8"/>
      <c r="N951" s="8"/>
      <c r="O951" s="8"/>
      <c r="P951" s="8"/>
      <c r="Q951" s="8"/>
      <c r="R951" s="8"/>
      <c r="S951" s="8"/>
      <c r="T951" s="8"/>
      <c r="U951" s="8"/>
    </row>
    <row r="952" spans="10:21">
      <c r="J952" s="8"/>
      <c r="K952" s="8"/>
      <c r="L952" s="8"/>
      <c r="M952" s="8"/>
      <c r="N952" s="8"/>
      <c r="O952" s="8"/>
      <c r="P952" s="8"/>
      <c r="Q952" s="8"/>
      <c r="R952" s="8"/>
      <c r="S952" s="8"/>
      <c r="T952" s="8"/>
      <c r="U952" s="8"/>
    </row>
    <row r="953" spans="10:21">
      <c r="J953" s="8"/>
      <c r="K953" s="8"/>
      <c r="L953" s="8"/>
      <c r="M953" s="8"/>
      <c r="N953" s="8"/>
      <c r="O953" s="8"/>
      <c r="P953" s="8"/>
      <c r="Q953" s="8"/>
      <c r="R953" s="8"/>
      <c r="S953" s="8"/>
      <c r="T953" s="8"/>
      <c r="U953" s="8"/>
    </row>
    <row r="954" spans="10:21">
      <c r="J954" s="8"/>
      <c r="K954" s="8"/>
      <c r="L954" s="8"/>
      <c r="M954" s="8"/>
      <c r="N954" s="8"/>
      <c r="O954" s="8"/>
      <c r="P954" s="8"/>
      <c r="Q954" s="8"/>
      <c r="R954" s="8"/>
      <c r="S954" s="8"/>
      <c r="T954" s="8"/>
      <c r="U954" s="8"/>
    </row>
    <row r="955" spans="10:21">
      <c r="J955" s="8"/>
      <c r="K955" s="8"/>
      <c r="L955" s="8"/>
      <c r="M955" s="8"/>
      <c r="N955" s="8"/>
      <c r="O955" s="8"/>
      <c r="P955" s="8"/>
      <c r="Q955" s="8"/>
      <c r="R955" s="8"/>
      <c r="S955" s="8"/>
      <c r="T955" s="8"/>
      <c r="U955" s="8"/>
    </row>
    <row r="956" spans="10:21">
      <c r="J956" s="8"/>
      <c r="K956" s="8"/>
      <c r="L956" s="8"/>
      <c r="M956" s="8"/>
      <c r="N956" s="8"/>
      <c r="O956" s="8"/>
      <c r="P956" s="8"/>
      <c r="Q956" s="8"/>
      <c r="R956" s="8"/>
      <c r="S956" s="8"/>
      <c r="T956" s="8"/>
      <c r="U956" s="8"/>
    </row>
    <row r="957" spans="10:21">
      <c r="J957" s="8"/>
      <c r="K957" s="8"/>
      <c r="L957" s="8"/>
      <c r="M957" s="8"/>
      <c r="N957" s="8"/>
      <c r="O957" s="8"/>
      <c r="P957" s="8"/>
      <c r="Q957" s="8"/>
      <c r="R957" s="8"/>
      <c r="S957" s="8"/>
      <c r="T957" s="8"/>
      <c r="U957" s="8"/>
    </row>
    <row r="958" spans="10:21">
      <c r="J958" s="8"/>
      <c r="K958" s="8"/>
      <c r="L958" s="8"/>
      <c r="M958" s="8"/>
      <c r="N958" s="8"/>
      <c r="O958" s="8"/>
      <c r="P958" s="8"/>
      <c r="Q958" s="8"/>
      <c r="R958" s="8"/>
      <c r="S958" s="8"/>
      <c r="T958" s="8"/>
      <c r="U958" s="8"/>
    </row>
    <row r="959" spans="10:21">
      <c r="J959" s="8"/>
      <c r="K959" s="8"/>
      <c r="L959" s="8"/>
      <c r="M959" s="8"/>
      <c r="N959" s="8"/>
      <c r="O959" s="8"/>
      <c r="P959" s="8"/>
      <c r="Q959" s="8"/>
      <c r="R959" s="8"/>
      <c r="S959" s="8"/>
      <c r="T959" s="8"/>
      <c r="U959" s="8"/>
    </row>
    <row r="960" spans="10:21">
      <c r="J960" s="8"/>
      <c r="K960" s="8"/>
      <c r="L960" s="8"/>
      <c r="M960" s="8"/>
      <c r="N960" s="8"/>
      <c r="O960" s="8"/>
      <c r="P960" s="8"/>
      <c r="Q960" s="8"/>
      <c r="R960" s="8"/>
      <c r="S960" s="8"/>
      <c r="T960" s="8"/>
      <c r="U960" s="8"/>
    </row>
    <row r="961" spans="10:21">
      <c r="J961" s="8"/>
      <c r="K961" s="8"/>
      <c r="L961" s="8"/>
      <c r="M961" s="8"/>
      <c r="N961" s="8"/>
      <c r="O961" s="8"/>
      <c r="P961" s="8"/>
      <c r="Q961" s="8"/>
      <c r="R961" s="8"/>
      <c r="S961" s="8"/>
      <c r="T961" s="8"/>
      <c r="U961" s="8"/>
    </row>
    <row r="962" spans="10:21">
      <c r="J962" s="8"/>
      <c r="K962" s="8"/>
      <c r="L962" s="8"/>
      <c r="M962" s="8"/>
      <c r="N962" s="8"/>
      <c r="O962" s="8"/>
      <c r="P962" s="8"/>
      <c r="Q962" s="8"/>
      <c r="R962" s="8"/>
      <c r="S962" s="8"/>
      <c r="T962" s="8"/>
      <c r="U962" s="8"/>
    </row>
    <row r="963" spans="10:21">
      <c r="J963" s="8"/>
      <c r="K963" s="8"/>
      <c r="L963" s="8"/>
      <c r="M963" s="8"/>
      <c r="N963" s="8"/>
      <c r="O963" s="8"/>
      <c r="P963" s="8"/>
      <c r="Q963" s="8"/>
      <c r="R963" s="8"/>
      <c r="S963" s="8"/>
      <c r="T963" s="8"/>
      <c r="U963" s="8"/>
    </row>
    <row r="964" spans="10:21">
      <c r="J964" s="8"/>
      <c r="K964" s="8"/>
      <c r="L964" s="8"/>
      <c r="M964" s="8"/>
      <c r="N964" s="8"/>
      <c r="O964" s="8"/>
      <c r="P964" s="8"/>
      <c r="Q964" s="8"/>
      <c r="R964" s="8"/>
      <c r="S964" s="8"/>
      <c r="T964" s="8"/>
      <c r="U964" s="8"/>
    </row>
    <row r="965" spans="10:21">
      <c r="J965" s="8"/>
      <c r="K965" s="8"/>
      <c r="L965" s="8"/>
      <c r="M965" s="8"/>
      <c r="N965" s="8"/>
      <c r="O965" s="8"/>
      <c r="P965" s="8"/>
      <c r="Q965" s="8"/>
      <c r="R965" s="8"/>
      <c r="S965" s="8"/>
      <c r="T965" s="8"/>
      <c r="U965" s="8"/>
    </row>
    <row r="966" spans="10:21">
      <c r="J966" s="8"/>
      <c r="K966" s="8"/>
      <c r="L966" s="8"/>
      <c r="M966" s="8"/>
      <c r="N966" s="8"/>
      <c r="O966" s="8"/>
      <c r="P966" s="8"/>
      <c r="Q966" s="8"/>
      <c r="R966" s="8"/>
      <c r="S966" s="8"/>
      <c r="T966" s="8"/>
      <c r="U966" s="8"/>
    </row>
    <row r="967" spans="10:21">
      <c r="J967" s="8"/>
      <c r="K967" s="8"/>
      <c r="L967" s="8"/>
      <c r="M967" s="8"/>
      <c r="N967" s="8"/>
      <c r="O967" s="8"/>
      <c r="P967" s="8"/>
      <c r="Q967" s="8"/>
      <c r="R967" s="8"/>
      <c r="S967" s="8"/>
      <c r="T967" s="8"/>
      <c r="U967" s="8"/>
    </row>
    <row r="968" spans="10:21">
      <c r="J968" s="8"/>
      <c r="K968" s="8"/>
      <c r="L968" s="8"/>
      <c r="M968" s="8"/>
      <c r="N968" s="8"/>
      <c r="O968" s="8"/>
      <c r="P968" s="8"/>
      <c r="Q968" s="8"/>
      <c r="R968" s="8"/>
      <c r="S968" s="8"/>
      <c r="T968" s="8"/>
      <c r="U968" s="8"/>
    </row>
    <row r="969" spans="10:21">
      <c r="J969" s="8"/>
      <c r="K969" s="8"/>
      <c r="L969" s="8"/>
      <c r="M969" s="8"/>
      <c r="N969" s="8"/>
      <c r="O969" s="8"/>
      <c r="P969" s="8"/>
      <c r="Q969" s="8"/>
      <c r="R969" s="8"/>
      <c r="S969" s="8"/>
      <c r="T969" s="8"/>
      <c r="U969" s="8"/>
    </row>
    <row r="970" spans="10:21">
      <c r="J970" s="8"/>
      <c r="K970" s="8"/>
      <c r="L970" s="8"/>
      <c r="M970" s="8"/>
      <c r="N970" s="8"/>
      <c r="O970" s="8"/>
      <c r="P970" s="8"/>
      <c r="Q970" s="8"/>
      <c r="R970" s="8"/>
      <c r="S970" s="8"/>
      <c r="T970" s="8"/>
      <c r="U970" s="8"/>
    </row>
    <row r="971" spans="10:21">
      <c r="J971" s="8"/>
      <c r="K971" s="8"/>
      <c r="L971" s="8"/>
      <c r="M971" s="8"/>
      <c r="N971" s="8"/>
      <c r="O971" s="8"/>
      <c r="P971" s="8"/>
      <c r="Q971" s="8"/>
      <c r="R971" s="8"/>
      <c r="S971" s="8"/>
      <c r="T971" s="8"/>
      <c r="U971" s="8"/>
    </row>
    <row r="972" spans="10:21">
      <c r="J972" s="8"/>
      <c r="K972" s="8"/>
      <c r="L972" s="8"/>
      <c r="M972" s="8"/>
      <c r="N972" s="8"/>
      <c r="O972" s="8"/>
      <c r="P972" s="8"/>
      <c r="Q972" s="8"/>
      <c r="R972" s="8"/>
      <c r="S972" s="8"/>
      <c r="T972" s="8"/>
      <c r="U972" s="8"/>
    </row>
    <row r="973" spans="10:21">
      <c r="J973" s="8"/>
      <c r="K973" s="8"/>
      <c r="L973" s="8"/>
      <c r="M973" s="8"/>
      <c r="N973" s="8"/>
      <c r="O973" s="8"/>
      <c r="P973" s="8"/>
      <c r="Q973" s="8"/>
      <c r="R973" s="8"/>
      <c r="S973" s="8"/>
      <c r="T973" s="8"/>
      <c r="U973" s="8"/>
    </row>
    <row r="974" spans="10:21">
      <c r="J974" s="8"/>
      <c r="K974" s="8"/>
      <c r="L974" s="8"/>
      <c r="M974" s="8"/>
      <c r="N974" s="8"/>
      <c r="O974" s="8"/>
      <c r="P974" s="8"/>
      <c r="Q974" s="8"/>
      <c r="R974" s="8"/>
      <c r="S974" s="8"/>
      <c r="T974" s="8"/>
      <c r="U974" s="8"/>
    </row>
    <row r="975" spans="10:21">
      <c r="J975" s="8"/>
      <c r="K975" s="8"/>
      <c r="L975" s="8"/>
      <c r="M975" s="8"/>
      <c r="N975" s="8"/>
      <c r="O975" s="8"/>
      <c r="P975" s="8"/>
      <c r="Q975" s="8"/>
      <c r="R975" s="8"/>
      <c r="S975" s="8"/>
      <c r="T975" s="8"/>
      <c r="U975" s="8"/>
    </row>
    <row r="976" spans="10:21">
      <c r="J976" s="8"/>
      <c r="K976" s="8"/>
      <c r="L976" s="8"/>
      <c r="M976" s="8"/>
      <c r="N976" s="8"/>
      <c r="O976" s="8"/>
      <c r="P976" s="8"/>
      <c r="Q976" s="8"/>
      <c r="R976" s="8"/>
      <c r="S976" s="8"/>
      <c r="T976" s="8"/>
      <c r="U976" s="8"/>
    </row>
    <row r="977" spans="10:21">
      <c r="J977" s="8"/>
      <c r="K977" s="8"/>
      <c r="L977" s="8"/>
      <c r="M977" s="8"/>
      <c r="N977" s="8"/>
      <c r="O977" s="8"/>
      <c r="P977" s="8"/>
      <c r="Q977" s="8"/>
      <c r="R977" s="8"/>
      <c r="S977" s="8"/>
      <c r="T977" s="8"/>
      <c r="U977" s="8"/>
    </row>
    <row r="978" spans="10:21">
      <c r="J978" s="8"/>
      <c r="K978" s="8"/>
      <c r="L978" s="8"/>
      <c r="M978" s="8"/>
      <c r="N978" s="8"/>
      <c r="O978" s="8"/>
      <c r="P978" s="8"/>
      <c r="Q978" s="8"/>
      <c r="R978" s="8"/>
      <c r="S978" s="8"/>
      <c r="T978" s="8"/>
      <c r="U978" s="8"/>
    </row>
    <row r="979" spans="10:21">
      <c r="J979" s="8"/>
      <c r="K979" s="8"/>
      <c r="L979" s="8"/>
      <c r="M979" s="8"/>
      <c r="N979" s="8"/>
      <c r="O979" s="8"/>
      <c r="P979" s="8"/>
      <c r="Q979" s="8"/>
      <c r="R979" s="8"/>
      <c r="S979" s="8"/>
      <c r="T979" s="8"/>
      <c r="U979" s="8"/>
    </row>
    <row r="980" spans="10:21">
      <c r="J980" s="8"/>
      <c r="K980" s="8"/>
      <c r="L980" s="8"/>
      <c r="M980" s="8"/>
      <c r="N980" s="8"/>
      <c r="O980" s="8"/>
      <c r="P980" s="8"/>
      <c r="Q980" s="8"/>
      <c r="R980" s="8"/>
      <c r="S980" s="8"/>
      <c r="T980" s="8"/>
      <c r="U980" s="8"/>
    </row>
    <row r="981" spans="10:21">
      <c r="J981" s="8"/>
      <c r="K981" s="8"/>
      <c r="L981" s="8"/>
      <c r="M981" s="8"/>
      <c r="N981" s="8"/>
      <c r="O981" s="8"/>
      <c r="P981" s="8"/>
      <c r="Q981" s="8"/>
      <c r="R981" s="8"/>
      <c r="S981" s="8"/>
      <c r="T981" s="8"/>
      <c r="U981" s="8"/>
    </row>
    <row r="982" spans="10:21">
      <c r="J982" s="8"/>
      <c r="K982" s="8"/>
      <c r="L982" s="8"/>
      <c r="M982" s="8"/>
      <c r="N982" s="8"/>
      <c r="O982" s="8"/>
      <c r="P982" s="8"/>
      <c r="Q982" s="8"/>
      <c r="R982" s="8"/>
      <c r="S982" s="8"/>
      <c r="T982" s="8"/>
      <c r="U982" s="8"/>
    </row>
    <row r="983" spans="10:21">
      <c r="J983" s="8"/>
      <c r="K983" s="8"/>
      <c r="L983" s="8"/>
      <c r="M983" s="8"/>
      <c r="N983" s="8"/>
      <c r="O983" s="8"/>
      <c r="P983" s="8"/>
      <c r="Q983" s="8"/>
      <c r="R983" s="8"/>
      <c r="S983" s="8"/>
      <c r="T983" s="8"/>
      <c r="U983" s="8"/>
    </row>
    <row r="984" spans="10:21">
      <c r="J984" s="8"/>
      <c r="K984" s="8"/>
      <c r="L984" s="8"/>
      <c r="M984" s="8"/>
      <c r="N984" s="8"/>
      <c r="O984" s="8"/>
      <c r="P984" s="8"/>
      <c r="Q984" s="8"/>
      <c r="R984" s="8"/>
      <c r="S984" s="8"/>
      <c r="T984" s="8"/>
      <c r="U984" s="8"/>
    </row>
    <row r="985" spans="10:21">
      <c r="J985" s="8"/>
      <c r="K985" s="8"/>
      <c r="L985" s="8"/>
      <c r="M985" s="8"/>
      <c r="N985" s="8"/>
      <c r="O985" s="8"/>
      <c r="P985" s="8"/>
      <c r="Q985" s="8"/>
      <c r="R985" s="8"/>
      <c r="S985" s="8"/>
      <c r="T985" s="8"/>
      <c r="U985" s="8"/>
    </row>
    <row r="986" spans="10:21">
      <c r="J986" s="8"/>
      <c r="K986" s="8"/>
      <c r="L986" s="8"/>
      <c r="M986" s="8"/>
      <c r="N986" s="8"/>
      <c r="O986" s="8"/>
      <c r="P986" s="8"/>
      <c r="Q986" s="8"/>
      <c r="R986" s="8"/>
      <c r="S986" s="8"/>
      <c r="T986" s="8"/>
      <c r="U986" s="8"/>
    </row>
    <row r="987" spans="10:21">
      <c r="J987" s="8"/>
      <c r="K987" s="8"/>
      <c r="L987" s="8"/>
      <c r="M987" s="8"/>
      <c r="N987" s="8"/>
      <c r="O987" s="8"/>
      <c r="P987" s="8"/>
      <c r="Q987" s="8"/>
      <c r="R987" s="8"/>
      <c r="S987" s="8"/>
      <c r="T987" s="8"/>
      <c r="U987" s="8"/>
    </row>
    <row r="988" spans="10:21">
      <c r="J988" s="8"/>
      <c r="K988" s="8"/>
      <c r="L988" s="8"/>
      <c r="M988" s="8"/>
      <c r="N988" s="8"/>
      <c r="O988" s="8"/>
      <c r="P988" s="8"/>
      <c r="Q988" s="8"/>
      <c r="R988" s="8"/>
      <c r="S988" s="8"/>
      <c r="T988" s="8"/>
      <c r="U988" s="8"/>
    </row>
    <row r="989" spans="10:21">
      <c r="J989" s="8"/>
      <c r="K989" s="8"/>
      <c r="L989" s="8"/>
      <c r="M989" s="8"/>
      <c r="N989" s="8"/>
      <c r="O989" s="8"/>
      <c r="P989" s="8"/>
      <c r="Q989" s="8"/>
      <c r="R989" s="8"/>
      <c r="S989" s="8"/>
      <c r="T989" s="8"/>
      <c r="U989" s="8"/>
    </row>
    <row r="990" spans="10:21">
      <c r="J990" s="8"/>
      <c r="K990" s="8"/>
      <c r="L990" s="8"/>
      <c r="M990" s="8"/>
      <c r="N990" s="8"/>
      <c r="O990" s="8"/>
      <c r="P990" s="8"/>
      <c r="Q990" s="8"/>
      <c r="R990" s="8"/>
      <c r="S990" s="8"/>
      <c r="T990" s="8"/>
      <c r="U990" s="8"/>
    </row>
    <row r="991" spans="10:21">
      <c r="J991" s="8"/>
      <c r="K991" s="8"/>
      <c r="L991" s="8"/>
      <c r="M991" s="8"/>
      <c r="N991" s="8"/>
      <c r="O991" s="8"/>
      <c r="P991" s="8"/>
      <c r="Q991" s="8"/>
      <c r="R991" s="8"/>
      <c r="S991" s="8"/>
      <c r="T991" s="8"/>
      <c r="U991" s="8"/>
    </row>
    <row r="992" spans="10:21">
      <c r="J992" s="8"/>
      <c r="K992" s="8"/>
      <c r="L992" s="8"/>
      <c r="M992" s="8"/>
      <c r="N992" s="8"/>
      <c r="O992" s="8"/>
      <c r="P992" s="8"/>
      <c r="Q992" s="8"/>
      <c r="R992" s="8"/>
      <c r="S992" s="8"/>
      <c r="T992" s="8"/>
      <c r="U992" s="8"/>
    </row>
    <row r="993" spans="10:21">
      <c r="J993" s="8"/>
      <c r="K993" s="8"/>
      <c r="L993" s="8"/>
      <c r="M993" s="8"/>
      <c r="N993" s="8"/>
      <c r="O993" s="8"/>
      <c r="P993" s="8"/>
      <c r="Q993" s="8"/>
      <c r="R993" s="8"/>
      <c r="S993" s="8"/>
      <c r="T993" s="8"/>
      <c r="U993" s="8"/>
    </row>
    <row r="994" spans="10:21">
      <c r="J994" s="8"/>
      <c r="K994" s="8"/>
      <c r="L994" s="8"/>
      <c r="M994" s="8"/>
      <c r="N994" s="8"/>
      <c r="O994" s="8"/>
      <c r="P994" s="8"/>
      <c r="Q994" s="8"/>
      <c r="R994" s="8"/>
      <c r="S994" s="8"/>
      <c r="T994" s="8"/>
      <c r="U994" s="8"/>
    </row>
    <row r="995" spans="10:21">
      <c r="J995" s="8"/>
      <c r="K995" s="8"/>
      <c r="L995" s="8"/>
      <c r="M995" s="8"/>
      <c r="N995" s="8"/>
      <c r="O995" s="8"/>
      <c r="P995" s="8"/>
      <c r="Q995" s="8"/>
      <c r="R995" s="8"/>
      <c r="S995" s="8"/>
      <c r="T995" s="8"/>
      <c r="U995" s="8"/>
    </row>
    <row r="996" spans="10:21">
      <c r="J996" s="8"/>
      <c r="K996" s="8"/>
      <c r="L996" s="8"/>
      <c r="M996" s="8"/>
      <c r="N996" s="8"/>
      <c r="O996" s="8"/>
      <c r="P996" s="8"/>
      <c r="Q996" s="8"/>
      <c r="R996" s="8"/>
      <c r="S996" s="8"/>
      <c r="T996" s="8"/>
      <c r="U996" s="8"/>
    </row>
    <row r="997" spans="10:21">
      <c r="J997" s="8"/>
      <c r="K997" s="8"/>
      <c r="L997" s="8"/>
      <c r="M997" s="8"/>
      <c r="N997" s="8"/>
      <c r="O997" s="8"/>
      <c r="P997" s="8"/>
      <c r="Q997" s="8"/>
      <c r="R997" s="8"/>
      <c r="S997" s="8"/>
      <c r="T997" s="8"/>
      <c r="U997" s="8"/>
    </row>
    <row r="998" spans="10:21">
      <c r="J998" s="8"/>
      <c r="K998" s="8"/>
      <c r="L998" s="8"/>
      <c r="M998" s="8"/>
      <c r="N998" s="8"/>
      <c r="O998" s="8"/>
      <c r="P998" s="8"/>
      <c r="Q998" s="8"/>
      <c r="R998" s="8"/>
      <c r="S998" s="8"/>
      <c r="T998" s="8"/>
      <c r="U998" s="8"/>
    </row>
    <row r="999" spans="10:21">
      <c r="J999" s="8"/>
      <c r="K999" s="8"/>
      <c r="L999" s="8"/>
      <c r="M999" s="8"/>
      <c r="N999" s="8"/>
      <c r="O999" s="8"/>
      <c r="P999" s="8"/>
      <c r="Q999" s="8"/>
      <c r="R999" s="8"/>
      <c r="S999" s="8"/>
      <c r="T999" s="8"/>
      <c r="U999" s="8"/>
    </row>
    <row r="1000" spans="10:21">
      <c r="J1000" s="8"/>
      <c r="K1000" s="8"/>
      <c r="L1000" s="8"/>
      <c r="M1000" s="8"/>
      <c r="N1000" s="8"/>
      <c r="O1000" s="8"/>
      <c r="P1000" s="8"/>
      <c r="Q1000" s="8"/>
      <c r="R1000" s="8"/>
      <c r="S1000" s="8"/>
      <c r="T1000" s="8"/>
      <c r="U1000" s="8"/>
    </row>
    <row r="1001" spans="10:21">
      <c r="J1001" s="8"/>
      <c r="K1001" s="8"/>
      <c r="L1001" s="8"/>
      <c r="M1001" s="8"/>
      <c r="N1001" s="8"/>
      <c r="O1001" s="8"/>
      <c r="P1001" s="8"/>
      <c r="Q1001" s="8"/>
      <c r="R1001" s="8"/>
      <c r="S1001" s="8"/>
      <c r="T1001" s="8"/>
      <c r="U1001" s="8"/>
    </row>
    <row r="1002" spans="10:21">
      <c r="J1002" s="8"/>
      <c r="K1002" s="8"/>
      <c r="L1002" s="8"/>
      <c r="M1002" s="8"/>
      <c r="N1002" s="8"/>
      <c r="O1002" s="8"/>
      <c r="P1002" s="8"/>
      <c r="Q1002" s="8"/>
      <c r="R1002" s="8"/>
      <c r="S1002" s="8"/>
      <c r="T1002" s="8"/>
      <c r="U1002" s="8"/>
    </row>
    <row r="1003" spans="10:21">
      <c r="J1003" s="8"/>
      <c r="K1003" s="8"/>
      <c r="L1003" s="8"/>
      <c r="M1003" s="8"/>
      <c r="N1003" s="8"/>
      <c r="O1003" s="8"/>
      <c r="P1003" s="8"/>
      <c r="Q1003" s="8"/>
      <c r="R1003" s="8"/>
      <c r="S1003" s="8"/>
      <c r="T1003" s="8"/>
      <c r="U1003" s="8"/>
    </row>
    <row r="1004" spans="10:21">
      <c r="J1004" s="8"/>
      <c r="K1004" s="8"/>
      <c r="L1004" s="8"/>
      <c r="M1004" s="8"/>
      <c r="N1004" s="8"/>
      <c r="O1004" s="8"/>
      <c r="P1004" s="8"/>
      <c r="Q1004" s="8"/>
      <c r="R1004" s="8"/>
      <c r="S1004" s="8"/>
      <c r="T1004" s="8"/>
      <c r="U1004" s="8"/>
    </row>
    <row r="1005" spans="10:21">
      <c r="J1005" s="8"/>
      <c r="K1005" s="8"/>
      <c r="L1005" s="8"/>
      <c r="M1005" s="8"/>
      <c r="N1005" s="8"/>
      <c r="O1005" s="8"/>
      <c r="P1005" s="8"/>
      <c r="Q1005" s="8"/>
      <c r="R1005" s="8"/>
      <c r="S1005" s="8"/>
      <c r="T1005" s="8"/>
      <c r="U1005" s="8"/>
    </row>
    <row r="1006" spans="10:21">
      <c r="J1006" s="8"/>
      <c r="K1006" s="8"/>
      <c r="L1006" s="8"/>
      <c r="M1006" s="8"/>
      <c r="N1006" s="8"/>
      <c r="O1006" s="8"/>
      <c r="P1006" s="8"/>
      <c r="Q1006" s="8"/>
      <c r="R1006" s="8"/>
      <c r="S1006" s="8"/>
      <c r="T1006" s="8"/>
      <c r="U1006" s="8"/>
    </row>
    <row r="1007" spans="10:21">
      <c r="J1007" s="8"/>
      <c r="K1007" s="8"/>
      <c r="L1007" s="8"/>
      <c r="M1007" s="8"/>
      <c r="N1007" s="8"/>
      <c r="O1007" s="8"/>
      <c r="P1007" s="8"/>
      <c r="Q1007" s="8"/>
      <c r="R1007" s="8"/>
      <c r="S1007" s="8"/>
      <c r="T1007" s="8"/>
      <c r="U1007" s="8"/>
    </row>
    <row r="1008" spans="10:21">
      <c r="J1008" s="8"/>
      <c r="K1008" s="8"/>
      <c r="L1008" s="8"/>
      <c r="M1008" s="8"/>
      <c r="N1008" s="8"/>
      <c r="O1008" s="8"/>
      <c r="P1008" s="8"/>
      <c r="Q1008" s="8"/>
      <c r="R1008" s="8"/>
      <c r="S1008" s="8"/>
      <c r="T1008" s="8"/>
      <c r="U1008" s="8"/>
    </row>
    <row r="1009" spans="10:21">
      <c r="J1009" s="8"/>
      <c r="K1009" s="8"/>
      <c r="L1009" s="8"/>
      <c r="M1009" s="8"/>
      <c r="N1009" s="8"/>
      <c r="O1009" s="8"/>
      <c r="P1009" s="8"/>
      <c r="Q1009" s="8"/>
      <c r="R1009" s="8"/>
      <c r="S1009" s="8"/>
      <c r="T1009" s="8"/>
      <c r="U1009" s="8"/>
    </row>
    <row r="1010" spans="10:21">
      <c r="J1010" s="8"/>
      <c r="K1010" s="8"/>
      <c r="L1010" s="8"/>
      <c r="M1010" s="8"/>
      <c r="N1010" s="8"/>
      <c r="O1010" s="8"/>
      <c r="P1010" s="8"/>
      <c r="Q1010" s="8"/>
      <c r="R1010" s="8"/>
      <c r="S1010" s="8"/>
      <c r="T1010" s="8"/>
      <c r="U1010" s="8"/>
    </row>
    <row r="1011" spans="10:21">
      <c r="J1011" s="8"/>
      <c r="K1011" s="8"/>
      <c r="L1011" s="8"/>
      <c r="M1011" s="8"/>
      <c r="N1011" s="8"/>
      <c r="O1011" s="8"/>
      <c r="P1011" s="8"/>
      <c r="Q1011" s="8"/>
      <c r="R1011" s="8"/>
      <c r="S1011" s="8"/>
      <c r="T1011" s="8"/>
      <c r="U1011" s="8"/>
    </row>
    <row r="1012" spans="10:21">
      <c r="J1012" s="8"/>
      <c r="K1012" s="8"/>
      <c r="L1012" s="8"/>
      <c r="M1012" s="8"/>
      <c r="N1012" s="8"/>
      <c r="O1012" s="8"/>
      <c r="P1012" s="8"/>
      <c r="Q1012" s="8"/>
      <c r="R1012" s="8"/>
      <c r="S1012" s="8"/>
      <c r="T1012" s="8"/>
      <c r="U1012" s="8"/>
    </row>
    <row r="1013" spans="10:21">
      <c r="J1013" s="8"/>
      <c r="K1013" s="8"/>
      <c r="L1013" s="8"/>
      <c r="M1013" s="8"/>
      <c r="N1013" s="8"/>
      <c r="O1013" s="8"/>
      <c r="P1013" s="8"/>
      <c r="Q1013" s="8"/>
      <c r="R1013" s="8"/>
      <c r="S1013" s="8"/>
      <c r="T1013" s="8"/>
      <c r="U1013" s="8"/>
    </row>
    <row r="1014" spans="10:21">
      <c r="J1014" s="8"/>
      <c r="K1014" s="8"/>
      <c r="L1014" s="8"/>
      <c r="M1014" s="8"/>
      <c r="N1014" s="8"/>
      <c r="O1014" s="8"/>
      <c r="P1014" s="8"/>
      <c r="Q1014" s="8"/>
      <c r="R1014" s="8"/>
      <c r="S1014" s="8"/>
      <c r="T1014" s="8"/>
      <c r="U1014" s="8"/>
    </row>
    <row r="1015" spans="10:21">
      <c r="J1015" s="8"/>
      <c r="K1015" s="8"/>
      <c r="L1015" s="8"/>
      <c r="M1015" s="8"/>
      <c r="N1015" s="8"/>
      <c r="O1015" s="8"/>
      <c r="P1015" s="8"/>
      <c r="Q1015" s="8"/>
      <c r="R1015" s="8"/>
      <c r="S1015" s="8"/>
      <c r="T1015" s="8"/>
      <c r="U1015" s="8"/>
    </row>
    <row r="1016" spans="10:21">
      <c r="J1016" s="8"/>
      <c r="K1016" s="8"/>
      <c r="L1016" s="8"/>
      <c r="M1016" s="8"/>
      <c r="N1016" s="8"/>
      <c r="O1016" s="8"/>
      <c r="P1016" s="8"/>
      <c r="Q1016" s="8"/>
      <c r="R1016" s="8"/>
      <c r="S1016" s="8"/>
      <c r="T1016" s="8"/>
      <c r="U1016" s="8"/>
    </row>
    <row r="1017" spans="10:21">
      <c r="J1017" s="8"/>
      <c r="K1017" s="8"/>
      <c r="L1017" s="8"/>
      <c r="M1017" s="8"/>
      <c r="N1017" s="8"/>
      <c r="O1017" s="8"/>
      <c r="P1017" s="8"/>
      <c r="Q1017" s="8"/>
      <c r="R1017" s="8"/>
      <c r="S1017" s="8"/>
      <c r="T1017" s="8"/>
      <c r="U1017" s="8"/>
    </row>
    <row r="1018" spans="10:21">
      <c r="J1018" s="8"/>
      <c r="K1018" s="8"/>
      <c r="L1018" s="8"/>
      <c r="M1018" s="8"/>
      <c r="N1018" s="8"/>
      <c r="O1018" s="8"/>
      <c r="P1018" s="8"/>
      <c r="Q1018" s="8"/>
      <c r="R1018" s="8"/>
      <c r="S1018" s="8"/>
      <c r="T1018" s="8"/>
      <c r="U1018" s="8"/>
    </row>
    <row r="1019" spans="10:21">
      <c r="J1019" s="8"/>
      <c r="K1019" s="8"/>
      <c r="L1019" s="8"/>
      <c r="M1019" s="8"/>
      <c r="N1019" s="8"/>
      <c r="O1019" s="8"/>
      <c r="P1019" s="8"/>
      <c r="Q1019" s="8"/>
      <c r="R1019" s="8"/>
      <c r="S1019" s="8"/>
      <c r="T1019" s="8"/>
      <c r="U1019" s="8"/>
    </row>
    <row r="1020" spans="10:21">
      <c r="J1020" s="8"/>
      <c r="K1020" s="8"/>
      <c r="L1020" s="8"/>
      <c r="M1020" s="8"/>
      <c r="N1020" s="8"/>
      <c r="O1020" s="8"/>
      <c r="P1020" s="8"/>
      <c r="Q1020" s="8"/>
      <c r="R1020" s="8"/>
      <c r="S1020" s="8"/>
      <c r="T1020" s="8"/>
      <c r="U1020" s="8"/>
    </row>
    <row r="1021" spans="10:21">
      <c r="J1021" s="8"/>
      <c r="K1021" s="8"/>
      <c r="L1021" s="8"/>
      <c r="M1021" s="8"/>
      <c r="N1021" s="8"/>
      <c r="O1021" s="8"/>
      <c r="P1021" s="8"/>
      <c r="Q1021" s="8"/>
      <c r="R1021" s="8"/>
      <c r="S1021" s="8"/>
      <c r="T1021" s="8"/>
      <c r="U1021" s="8"/>
    </row>
    <row r="1022" spans="10:21">
      <c r="J1022" s="8"/>
      <c r="K1022" s="8"/>
      <c r="L1022" s="8"/>
      <c r="M1022" s="8"/>
      <c r="N1022" s="8"/>
      <c r="O1022" s="8"/>
      <c r="P1022" s="8"/>
      <c r="Q1022" s="8"/>
      <c r="R1022" s="8"/>
      <c r="S1022" s="8"/>
      <c r="T1022" s="8"/>
      <c r="U1022" s="8"/>
    </row>
    <row r="1023" spans="10:21">
      <c r="J1023" s="8"/>
      <c r="K1023" s="8"/>
      <c r="L1023" s="8"/>
      <c r="M1023" s="8"/>
      <c r="N1023" s="8"/>
      <c r="O1023" s="8"/>
      <c r="P1023" s="8"/>
      <c r="Q1023" s="8"/>
      <c r="R1023" s="8"/>
      <c r="S1023" s="8"/>
      <c r="T1023" s="8"/>
      <c r="U1023" s="8"/>
    </row>
    <row r="1024" spans="10:21">
      <c r="J1024" s="8"/>
      <c r="K1024" s="8"/>
      <c r="L1024" s="8"/>
      <c r="M1024" s="8"/>
      <c r="N1024" s="8"/>
      <c r="O1024" s="8"/>
      <c r="P1024" s="8"/>
      <c r="Q1024" s="8"/>
      <c r="R1024" s="8"/>
      <c r="S1024" s="8"/>
      <c r="T1024" s="8"/>
      <c r="U1024" s="8"/>
    </row>
    <row r="1025" spans="10:21">
      <c r="J1025" s="8"/>
      <c r="K1025" s="8"/>
      <c r="L1025" s="8"/>
      <c r="M1025" s="8"/>
      <c r="N1025" s="8"/>
      <c r="O1025" s="8"/>
      <c r="P1025" s="8"/>
      <c r="Q1025" s="8"/>
      <c r="R1025" s="8"/>
      <c r="S1025" s="8"/>
      <c r="T1025" s="8"/>
      <c r="U1025" s="8"/>
    </row>
    <row r="1026" spans="10:21">
      <c r="J1026" s="8"/>
      <c r="K1026" s="8"/>
      <c r="L1026" s="8"/>
      <c r="M1026" s="8"/>
      <c r="N1026" s="8"/>
      <c r="O1026" s="8"/>
      <c r="P1026" s="8"/>
      <c r="Q1026" s="8"/>
      <c r="R1026" s="8"/>
      <c r="S1026" s="8"/>
      <c r="T1026" s="8"/>
      <c r="U1026" s="8"/>
    </row>
    <row r="1027" spans="10:21">
      <c r="J1027" s="8"/>
      <c r="K1027" s="8"/>
      <c r="L1027" s="8"/>
      <c r="M1027" s="8"/>
      <c r="N1027" s="8"/>
      <c r="O1027" s="8"/>
      <c r="P1027" s="8"/>
      <c r="Q1027" s="8"/>
      <c r="R1027" s="8"/>
      <c r="S1027" s="8"/>
      <c r="T1027" s="8"/>
      <c r="U1027" s="8"/>
    </row>
    <row r="1028" spans="10:21">
      <c r="J1028" s="8"/>
      <c r="K1028" s="8"/>
      <c r="L1028" s="8"/>
      <c r="M1028" s="8"/>
      <c r="N1028" s="8"/>
      <c r="O1028" s="8"/>
      <c r="P1028" s="8"/>
      <c r="Q1028" s="8"/>
      <c r="R1028" s="8"/>
      <c r="S1028" s="8"/>
      <c r="T1028" s="8"/>
      <c r="U1028" s="8"/>
    </row>
    <row r="1029" spans="10:21">
      <c r="J1029" s="8"/>
      <c r="K1029" s="8"/>
      <c r="L1029" s="8"/>
      <c r="M1029" s="8"/>
      <c r="N1029" s="8"/>
      <c r="O1029" s="8"/>
      <c r="P1029" s="8"/>
      <c r="Q1029" s="8"/>
      <c r="R1029" s="8"/>
      <c r="S1029" s="8"/>
      <c r="T1029" s="8"/>
      <c r="U1029" s="8"/>
    </row>
    <row r="1030" spans="10:21">
      <c r="J1030" s="8"/>
      <c r="K1030" s="8"/>
      <c r="L1030" s="8"/>
      <c r="M1030" s="8"/>
      <c r="N1030" s="8"/>
      <c r="O1030" s="8"/>
      <c r="P1030" s="8"/>
      <c r="Q1030" s="8"/>
      <c r="R1030" s="8"/>
      <c r="S1030" s="8"/>
      <c r="T1030" s="8"/>
      <c r="U1030" s="8"/>
    </row>
    <row r="1031" spans="10:21">
      <c r="J1031" s="8"/>
      <c r="K1031" s="8"/>
      <c r="L1031" s="8"/>
      <c r="M1031" s="8"/>
      <c r="N1031" s="8"/>
      <c r="O1031" s="8"/>
      <c r="P1031" s="8"/>
      <c r="Q1031" s="8"/>
      <c r="R1031" s="8"/>
      <c r="S1031" s="8"/>
      <c r="T1031" s="8"/>
      <c r="U1031" s="8"/>
    </row>
    <row r="1032" spans="10:21">
      <c r="J1032" s="8"/>
      <c r="K1032" s="8"/>
      <c r="L1032" s="8"/>
      <c r="M1032" s="8"/>
      <c r="N1032" s="8"/>
      <c r="O1032" s="8"/>
      <c r="P1032" s="8"/>
      <c r="Q1032" s="8"/>
      <c r="R1032" s="8"/>
      <c r="S1032" s="8"/>
      <c r="T1032" s="8"/>
      <c r="U1032" s="8"/>
    </row>
    <row r="1033" spans="10:21">
      <c r="J1033" s="8"/>
      <c r="K1033" s="8"/>
      <c r="L1033" s="8"/>
      <c r="M1033" s="8"/>
      <c r="N1033" s="8"/>
      <c r="O1033" s="8"/>
      <c r="P1033" s="8"/>
      <c r="Q1033" s="8"/>
      <c r="R1033" s="8"/>
      <c r="S1033" s="8"/>
      <c r="T1033" s="8"/>
      <c r="U1033" s="8"/>
    </row>
    <row r="1034" spans="10:21">
      <c r="J1034" s="8"/>
      <c r="K1034" s="8"/>
      <c r="L1034" s="8"/>
      <c r="M1034" s="8"/>
      <c r="N1034" s="8"/>
      <c r="O1034" s="8"/>
      <c r="P1034" s="8"/>
      <c r="Q1034" s="8"/>
      <c r="R1034" s="8"/>
      <c r="S1034" s="8"/>
      <c r="T1034" s="8"/>
      <c r="U1034" s="8"/>
    </row>
    <row r="1035" spans="10:21">
      <c r="J1035" s="8"/>
      <c r="K1035" s="8"/>
      <c r="L1035" s="8"/>
      <c r="M1035" s="8"/>
      <c r="N1035" s="8"/>
      <c r="O1035" s="8"/>
      <c r="P1035" s="8"/>
      <c r="Q1035" s="8"/>
      <c r="R1035" s="8"/>
      <c r="S1035" s="8"/>
      <c r="T1035" s="8"/>
      <c r="U1035" s="8"/>
    </row>
    <row r="1036" spans="10:21">
      <c r="J1036" s="8"/>
      <c r="K1036" s="8"/>
      <c r="L1036" s="8"/>
      <c r="M1036" s="8"/>
      <c r="N1036" s="8"/>
      <c r="O1036" s="8"/>
      <c r="P1036" s="8"/>
      <c r="Q1036" s="8"/>
      <c r="R1036" s="8"/>
      <c r="S1036" s="8"/>
      <c r="T1036" s="8"/>
      <c r="U1036" s="8"/>
    </row>
    <row r="1037" spans="10:21">
      <c r="J1037" s="8"/>
      <c r="K1037" s="8"/>
      <c r="L1037" s="8"/>
      <c r="M1037" s="8"/>
      <c r="N1037" s="8"/>
      <c r="O1037" s="8"/>
      <c r="P1037" s="8"/>
      <c r="Q1037" s="8"/>
      <c r="R1037" s="8"/>
      <c r="S1037" s="8"/>
      <c r="T1037" s="8"/>
      <c r="U1037" s="8"/>
    </row>
    <row r="1038" spans="10:21">
      <c r="J1038" s="8"/>
      <c r="K1038" s="8"/>
      <c r="L1038" s="8"/>
      <c r="M1038" s="8"/>
      <c r="N1038" s="8"/>
      <c r="O1038" s="8"/>
      <c r="P1038" s="8"/>
      <c r="Q1038" s="8"/>
      <c r="R1038" s="8"/>
      <c r="S1038" s="8"/>
      <c r="T1038" s="8"/>
      <c r="U1038" s="8"/>
    </row>
    <row r="1039" spans="10:21">
      <c r="J1039" s="8"/>
      <c r="K1039" s="8"/>
      <c r="L1039" s="8"/>
      <c r="M1039" s="8"/>
      <c r="N1039" s="8"/>
      <c r="O1039" s="8"/>
      <c r="P1039" s="8"/>
      <c r="Q1039" s="8"/>
      <c r="R1039" s="8"/>
      <c r="S1039" s="8"/>
      <c r="T1039" s="8"/>
      <c r="U1039" s="8"/>
    </row>
    <row r="1040" spans="10:21">
      <c r="J1040" s="8"/>
      <c r="K1040" s="8"/>
      <c r="L1040" s="8"/>
      <c r="M1040" s="8"/>
      <c r="N1040" s="8"/>
      <c r="O1040" s="8"/>
      <c r="P1040" s="8"/>
      <c r="Q1040" s="8"/>
      <c r="R1040" s="8"/>
      <c r="S1040" s="8"/>
      <c r="T1040" s="8"/>
      <c r="U1040" s="8"/>
    </row>
    <row r="1041" spans="10:21">
      <c r="J1041" s="8"/>
      <c r="K1041" s="8"/>
      <c r="L1041" s="8"/>
      <c r="M1041" s="8"/>
      <c r="N1041" s="8"/>
      <c r="O1041" s="8"/>
      <c r="P1041" s="8"/>
      <c r="Q1041" s="8"/>
      <c r="R1041" s="8"/>
      <c r="S1041" s="8"/>
      <c r="T1041" s="8"/>
      <c r="U1041" s="8"/>
    </row>
    <row r="1042" spans="10:21">
      <c r="J1042" s="8"/>
      <c r="K1042" s="8"/>
      <c r="L1042" s="8"/>
      <c r="M1042" s="8"/>
      <c r="N1042" s="8"/>
      <c r="O1042" s="8"/>
      <c r="P1042" s="8"/>
      <c r="Q1042" s="8"/>
      <c r="R1042" s="8"/>
      <c r="S1042" s="8"/>
      <c r="T1042" s="8"/>
      <c r="U1042" s="8"/>
    </row>
    <row r="1043" spans="10:21">
      <c r="J1043" s="8"/>
      <c r="K1043" s="8"/>
      <c r="L1043" s="8"/>
      <c r="M1043" s="8"/>
      <c r="N1043" s="8"/>
      <c r="O1043" s="8"/>
      <c r="P1043" s="8"/>
      <c r="Q1043" s="8"/>
      <c r="R1043" s="8"/>
      <c r="S1043" s="8"/>
      <c r="T1043" s="8"/>
      <c r="U1043" s="8"/>
    </row>
    <row r="1044" spans="10:21">
      <c r="J1044" s="8"/>
      <c r="K1044" s="8"/>
      <c r="L1044" s="8"/>
      <c r="M1044" s="8"/>
      <c r="N1044" s="8"/>
      <c r="O1044" s="8"/>
      <c r="P1044" s="8"/>
      <c r="Q1044" s="8"/>
      <c r="R1044" s="8"/>
      <c r="S1044" s="8"/>
      <c r="T1044" s="8"/>
      <c r="U1044" s="8"/>
    </row>
    <row r="1045" spans="10:21">
      <c r="J1045" s="8"/>
      <c r="K1045" s="8"/>
      <c r="L1045" s="8"/>
      <c r="M1045" s="8"/>
      <c r="N1045" s="8"/>
      <c r="O1045" s="8"/>
      <c r="P1045" s="8"/>
      <c r="Q1045" s="8"/>
      <c r="R1045" s="8"/>
      <c r="S1045" s="8"/>
      <c r="T1045" s="8"/>
      <c r="U1045" s="8"/>
    </row>
    <row r="1046" spans="10:21">
      <c r="J1046" s="8"/>
      <c r="K1046" s="8"/>
      <c r="L1046" s="8"/>
      <c r="M1046" s="8"/>
      <c r="N1046" s="8"/>
      <c r="O1046" s="8"/>
      <c r="P1046" s="8"/>
      <c r="Q1046" s="8"/>
      <c r="R1046" s="8"/>
      <c r="S1046" s="8"/>
      <c r="T1046" s="8"/>
      <c r="U1046" s="8"/>
    </row>
    <row r="1047" spans="10:21">
      <c r="J1047" s="8"/>
      <c r="K1047" s="8"/>
      <c r="L1047" s="8"/>
      <c r="M1047" s="8"/>
      <c r="N1047" s="8"/>
      <c r="O1047" s="8"/>
      <c r="P1047" s="8"/>
      <c r="Q1047" s="8"/>
      <c r="R1047" s="8"/>
      <c r="S1047" s="8"/>
      <c r="T1047" s="8"/>
      <c r="U1047" s="8"/>
    </row>
    <row r="1048" spans="10:21">
      <c r="J1048" s="8"/>
      <c r="K1048" s="8"/>
      <c r="L1048" s="8"/>
      <c r="M1048" s="8"/>
      <c r="N1048" s="8"/>
      <c r="O1048" s="8"/>
      <c r="P1048" s="8"/>
      <c r="Q1048" s="8"/>
      <c r="R1048" s="8"/>
      <c r="S1048" s="8"/>
      <c r="T1048" s="8"/>
      <c r="U1048" s="8"/>
    </row>
    <row r="1049" spans="10:21">
      <c r="J1049" s="8"/>
      <c r="K1049" s="8"/>
      <c r="L1049" s="8"/>
      <c r="M1049" s="8"/>
      <c r="N1049" s="8"/>
      <c r="O1049" s="8"/>
      <c r="P1049" s="8"/>
      <c r="Q1049" s="8"/>
      <c r="R1049" s="8"/>
      <c r="S1049" s="8"/>
      <c r="T1049" s="8"/>
      <c r="U1049" s="8"/>
    </row>
    <row r="1050" spans="10:21">
      <c r="J1050" s="8"/>
      <c r="K1050" s="8"/>
      <c r="L1050" s="8"/>
      <c r="M1050" s="8"/>
      <c r="N1050" s="8"/>
      <c r="O1050" s="8"/>
      <c r="P1050" s="8"/>
      <c r="Q1050" s="8"/>
      <c r="R1050" s="8"/>
      <c r="S1050" s="8"/>
      <c r="T1050" s="8"/>
      <c r="U1050" s="8"/>
    </row>
    <row r="1051" spans="10:21">
      <c r="J1051" s="8"/>
      <c r="K1051" s="8"/>
      <c r="L1051" s="8"/>
      <c r="M1051" s="8"/>
      <c r="N1051" s="8"/>
      <c r="O1051" s="8"/>
      <c r="P1051" s="8"/>
      <c r="Q1051" s="8"/>
      <c r="R1051" s="8"/>
      <c r="S1051" s="8"/>
      <c r="T1051" s="8"/>
      <c r="U1051" s="8"/>
    </row>
    <row r="1052" spans="10:21">
      <c r="J1052" s="8"/>
      <c r="K1052" s="8"/>
      <c r="L1052" s="8"/>
      <c r="M1052" s="8"/>
      <c r="N1052" s="8"/>
      <c r="O1052" s="8"/>
      <c r="P1052" s="8"/>
      <c r="Q1052" s="8"/>
      <c r="R1052" s="8"/>
      <c r="S1052" s="8"/>
      <c r="T1052" s="8"/>
      <c r="U1052" s="8"/>
    </row>
    <row r="1053" spans="10:21">
      <c r="J1053" s="8"/>
      <c r="K1053" s="8"/>
      <c r="L1053" s="8"/>
      <c r="M1053" s="8"/>
      <c r="N1053" s="8"/>
      <c r="O1053" s="8"/>
      <c r="P1053" s="8"/>
      <c r="Q1053" s="8"/>
      <c r="R1053" s="8"/>
      <c r="S1053" s="8"/>
      <c r="T1053" s="8"/>
      <c r="U1053" s="8"/>
    </row>
    <row r="1054" spans="10:21">
      <c r="J1054" s="8"/>
      <c r="K1054" s="8"/>
      <c r="L1054" s="8"/>
      <c r="M1054" s="8"/>
      <c r="N1054" s="8"/>
      <c r="O1054" s="8"/>
      <c r="P1054" s="8"/>
      <c r="Q1054" s="8"/>
      <c r="R1054" s="8"/>
      <c r="S1054" s="8"/>
      <c r="T1054" s="8"/>
      <c r="U1054" s="8"/>
    </row>
    <row r="1055" spans="10:21">
      <c r="J1055" s="8"/>
      <c r="K1055" s="8"/>
      <c r="L1055" s="8"/>
      <c r="M1055" s="8"/>
      <c r="N1055" s="8"/>
      <c r="O1055" s="8"/>
      <c r="P1055" s="8"/>
      <c r="Q1055" s="8"/>
      <c r="R1055" s="8"/>
      <c r="S1055" s="8"/>
      <c r="T1055" s="8"/>
      <c r="U1055" s="8"/>
    </row>
    <row r="1056" spans="10:21">
      <c r="J1056" s="8"/>
      <c r="K1056" s="8"/>
      <c r="L1056" s="8"/>
      <c r="M1056" s="8"/>
      <c r="N1056" s="8"/>
      <c r="O1056" s="8"/>
      <c r="P1056" s="8"/>
      <c r="Q1056" s="8"/>
      <c r="R1056" s="8"/>
      <c r="S1056" s="8"/>
      <c r="T1056" s="8"/>
      <c r="U1056" s="8"/>
    </row>
    <row r="1057" spans="10:21">
      <c r="J1057" s="8"/>
      <c r="K1057" s="8"/>
      <c r="L1057" s="8"/>
      <c r="M1057" s="8"/>
      <c r="N1057" s="8"/>
      <c r="O1057" s="8"/>
      <c r="P1057" s="8"/>
      <c r="Q1057" s="8"/>
      <c r="R1057" s="8"/>
      <c r="S1057" s="8"/>
      <c r="T1057" s="8"/>
      <c r="U1057" s="8"/>
    </row>
    <row r="1058" spans="10:21">
      <c r="J1058" s="8"/>
      <c r="K1058" s="8"/>
      <c r="L1058" s="8"/>
      <c r="M1058" s="8"/>
      <c r="N1058" s="8"/>
      <c r="O1058" s="8"/>
      <c r="P1058" s="8"/>
      <c r="Q1058" s="8"/>
      <c r="R1058" s="8"/>
      <c r="S1058" s="8"/>
      <c r="T1058" s="8"/>
      <c r="U1058" s="8"/>
    </row>
    <row r="1059" spans="10:21">
      <c r="J1059" s="8"/>
      <c r="K1059" s="8"/>
      <c r="L1059" s="8"/>
      <c r="M1059" s="8"/>
      <c r="N1059" s="8"/>
      <c r="O1059" s="8"/>
      <c r="P1059" s="8"/>
      <c r="Q1059" s="8"/>
      <c r="R1059" s="8"/>
      <c r="S1059" s="8"/>
      <c r="T1059" s="8"/>
      <c r="U1059" s="8"/>
    </row>
    <row r="1060" spans="10:21">
      <c r="J1060" s="8"/>
      <c r="K1060" s="8"/>
      <c r="L1060" s="8"/>
      <c r="M1060" s="8"/>
      <c r="N1060" s="8"/>
      <c r="O1060" s="8"/>
      <c r="P1060" s="8"/>
      <c r="Q1060" s="8"/>
      <c r="R1060" s="8"/>
      <c r="S1060" s="8"/>
      <c r="T1060" s="8"/>
      <c r="U1060" s="8"/>
    </row>
    <row r="1061" spans="10:21">
      <c r="J1061" s="8"/>
      <c r="K1061" s="8"/>
      <c r="L1061" s="8"/>
      <c r="M1061" s="8"/>
      <c r="N1061" s="8"/>
      <c r="O1061" s="8"/>
      <c r="P1061" s="8"/>
      <c r="Q1061" s="8"/>
      <c r="R1061" s="8"/>
      <c r="S1061" s="8"/>
      <c r="T1061" s="8"/>
      <c r="U1061" s="8"/>
    </row>
    <row r="1062" spans="10:21">
      <c r="J1062" s="8"/>
      <c r="K1062" s="8"/>
      <c r="L1062" s="8"/>
      <c r="M1062" s="8"/>
      <c r="N1062" s="8"/>
      <c r="O1062" s="8"/>
      <c r="P1062" s="8"/>
      <c r="Q1062" s="8"/>
      <c r="R1062" s="8"/>
      <c r="S1062" s="8"/>
      <c r="T1062" s="8"/>
      <c r="U1062" s="8"/>
    </row>
    <row r="1063" spans="10:21">
      <c r="J1063" s="8"/>
      <c r="K1063" s="8"/>
      <c r="L1063" s="8"/>
      <c r="M1063" s="8"/>
      <c r="N1063" s="8"/>
      <c r="O1063" s="8"/>
      <c r="P1063" s="8"/>
      <c r="Q1063" s="8"/>
      <c r="R1063" s="8"/>
      <c r="S1063" s="8"/>
      <c r="T1063" s="8"/>
      <c r="U1063" s="8"/>
    </row>
    <row r="1064" spans="10:21">
      <c r="J1064" s="8"/>
      <c r="K1064" s="8"/>
      <c r="L1064" s="8"/>
      <c r="M1064" s="8"/>
      <c r="N1064" s="8"/>
      <c r="O1064" s="8"/>
      <c r="P1064" s="8"/>
      <c r="Q1064" s="8"/>
      <c r="R1064" s="8"/>
      <c r="S1064" s="8"/>
      <c r="T1064" s="8"/>
      <c r="U1064" s="8"/>
    </row>
    <row r="1065" spans="10:21">
      <c r="J1065" s="8"/>
      <c r="K1065" s="8"/>
      <c r="L1065" s="8"/>
      <c r="M1065" s="8"/>
      <c r="N1065" s="8"/>
      <c r="O1065" s="8"/>
      <c r="P1065" s="8"/>
      <c r="Q1065" s="8"/>
      <c r="R1065" s="8"/>
      <c r="S1065" s="8"/>
      <c r="T1065" s="8"/>
      <c r="U1065" s="8"/>
    </row>
    <row r="1066" spans="10:21">
      <c r="J1066" s="8"/>
      <c r="K1066" s="8"/>
      <c r="L1066" s="8"/>
      <c r="M1066" s="8"/>
      <c r="N1066" s="8"/>
      <c r="O1066" s="8"/>
      <c r="P1066" s="8"/>
      <c r="Q1066" s="8"/>
      <c r="R1066" s="8"/>
      <c r="S1066" s="8"/>
      <c r="T1066" s="8"/>
      <c r="U1066" s="8"/>
    </row>
    <row r="1067" spans="10:21">
      <c r="J1067" s="8"/>
      <c r="K1067" s="8"/>
      <c r="L1067" s="8"/>
      <c r="M1067" s="8"/>
      <c r="N1067" s="8"/>
      <c r="O1067" s="8"/>
      <c r="P1067" s="8"/>
      <c r="Q1067" s="8"/>
      <c r="R1067" s="8"/>
      <c r="S1067" s="8"/>
      <c r="T1067" s="8"/>
      <c r="U1067" s="8"/>
    </row>
    <row r="1068" spans="10:21">
      <c r="J1068" s="8"/>
      <c r="K1068" s="8"/>
      <c r="L1068" s="8"/>
      <c r="M1068" s="8"/>
      <c r="N1068" s="8"/>
      <c r="O1068" s="8"/>
      <c r="P1068" s="8"/>
      <c r="Q1068" s="8"/>
      <c r="R1068" s="8"/>
      <c r="S1068" s="8"/>
      <c r="T1068" s="8"/>
      <c r="U1068" s="8"/>
    </row>
    <row r="1069" spans="10:21">
      <c r="J1069" s="8"/>
      <c r="K1069" s="8"/>
      <c r="L1069" s="8"/>
      <c r="M1069" s="8"/>
      <c r="N1069" s="8"/>
      <c r="O1069" s="8"/>
      <c r="P1069" s="8"/>
      <c r="Q1069" s="8"/>
      <c r="R1069" s="8"/>
      <c r="S1069" s="8"/>
      <c r="T1069" s="8"/>
      <c r="U1069" s="8"/>
    </row>
    <row r="1070" spans="10:21">
      <c r="J1070" s="8"/>
      <c r="K1070" s="8"/>
      <c r="L1070" s="8"/>
      <c r="M1070" s="8"/>
      <c r="N1070" s="8"/>
      <c r="O1070" s="8"/>
      <c r="P1070" s="8"/>
      <c r="Q1070" s="8"/>
      <c r="R1070" s="8"/>
      <c r="S1070" s="8"/>
      <c r="T1070" s="8"/>
      <c r="U1070" s="8"/>
    </row>
    <row r="1071" spans="10:21">
      <c r="J1071" s="8"/>
      <c r="K1071" s="8"/>
      <c r="L1071" s="8"/>
      <c r="M1071" s="8"/>
      <c r="N1071" s="8"/>
      <c r="O1071" s="8"/>
      <c r="P1071" s="8"/>
      <c r="Q1071" s="8"/>
      <c r="R1071" s="8"/>
      <c r="S1071" s="8"/>
      <c r="T1071" s="8"/>
      <c r="U1071" s="8"/>
    </row>
    <row r="1072" spans="10:21">
      <c r="J1072" s="8"/>
      <c r="K1072" s="8"/>
      <c r="L1072" s="8"/>
      <c r="M1072" s="8"/>
      <c r="N1072" s="8"/>
      <c r="O1072" s="8"/>
      <c r="P1072" s="8"/>
      <c r="Q1072" s="8"/>
      <c r="R1072" s="8"/>
      <c r="S1072" s="8"/>
      <c r="T1072" s="8"/>
      <c r="U1072" s="8"/>
    </row>
    <row r="1073" spans="10:21">
      <c r="J1073" s="8"/>
      <c r="K1073" s="8"/>
      <c r="L1073" s="8"/>
      <c r="M1073" s="8"/>
      <c r="N1073" s="8"/>
      <c r="O1073" s="8"/>
      <c r="P1073" s="8"/>
      <c r="Q1073" s="8"/>
      <c r="R1073" s="8"/>
      <c r="S1073" s="8"/>
      <c r="T1073" s="8"/>
      <c r="U1073" s="8"/>
    </row>
    <row r="1074" spans="10:21">
      <c r="J1074" s="8"/>
      <c r="K1074" s="8"/>
      <c r="L1074" s="8"/>
      <c r="M1074" s="8"/>
      <c r="N1074" s="8"/>
      <c r="O1074" s="8"/>
      <c r="P1074" s="8"/>
      <c r="Q1074" s="8"/>
      <c r="R1074" s="8"/>
      <c r="S1074" s="8"/>
      <c r="T1074" s="8"/>
      <c r="U1074" s="8"/>
    </row>
    <row r="1075" spans="10:21">
      <c r="J1075" s="8"/>
      <c r="K1075" s="8"/>
      <c r="L1075" s="8"/>
      <c r="M1075" s="8"/>
      <c r="N1075" s="8"/>
      <c r="O1075" s="8"/>
      <c r="P1075" s="8"/>
      <c r="Q1075" s="8"/>
      <c r="R1075" s="8"/>
      <c r="S1075" s="8"/>
      <c r="T1075" s="8"/>
      <c r="U1075" s="8"/>
    </row>
    <row r="1076" spans="10:21">
      <c r="J1076" s="8"/>
      <c r="K1076" s="8"/>
      <c r="L1076" s="8"/>
      <c r="M1076" s="8"/>
      <c r="N1076" s="8"/>
      <c r="O1076" s="8"/>
      <c r="P1076" s="8"/>
      <c r="Q1076" s="8"/>
      <c r="R1076" s="8"/>
      <c r="S1076" s="8"/>
      <c r="T1076" s="8"/>
      <c r="U1076" s="8"/>
    </row>
    <row r="1077" spans="10:21">
      <c r="J1077" s="8"/>
      <c r="K1077" s="8"/>
      <c r="L1077" s="8"/>
      <c r="M1077" s="8"/>
      <c r="N1077" s="8"/>
      <c r="O1077" s="8"/>
      <c r="P1077" s="8"/>
      <c r="Q1077" s="8"/>
      <c r="R1077" s="8"/>
      <c r="S1077" s="8"/>
      <c r="T1077" s="8"/>
      <c r="U1077" s="8"/>
    </row>
    <row r="1078" spans="10:21">
      <c r="J1078" s="8"/>
      <c r="K1078" s="8"/>
      <c r="L1078" s="8"/>
      <c r="M1078" s="8"/>
      <c r="N1078" s="8"/>
      <c r="O1078" s="8"/>
      <c r="P1078" s="8"/>
      <c r="Q1078" s="8"/>
      <c r="R1078" s="8"/>
      <c r="S1078" s="8"/>
      <c r="T1078" s="8"/>
      <c r="U1078" s="8"/>
    </row>
    <row r="1079" spans="10:21">
      <c r="J1079" s="8"/>
      <c r="K1079" s="8"/>
      <c r="L1079" s="8"/>
      <c r="M1079" s="8"/>
      <c r="N1079" s="8"/>
      <c r="O1079" s="8"/>
      <c r="P1079" s="8"/>
      <c r="Q1079" s="8"/>
      <c r="R1079" s="8"/>
      <c r="S1079" s="8"/>
      <c r="T1079" s="8"/>
      <c r="U1079" s="8"/>
    </row>
    <row r="1080" spans="10:21">
      <c r="J1080" s="8"/>
      <c r="K1080" s="8"/>
      <c r="L1080" s="8"/>
      <c r="M1080" s="8"/>
      <c r="N1080" s="8"/>
      <c r="O1080" s="8"/>
      <c r="P1080" s="8"/>
      <c r="Q1080" s="8"/>
      <c r="R1080" s="8"/>
      <c r="S1080" s="8"/>
      <c r="T1080" s="8"/>
      <c r="U1080" s="8"/>
    </row>
    <row r="1081" spans="10:21">
      <c r="J1081" s="8"/>
      <c r="K1081" s="8"/>
      <c r="L1081" s="8"/>
      <c r="M1081" s="8"/>
      <c r="N1081" s="8"/>
      <c r="O1081" s="8"/>
      <c r="P1081" s="8"/>
      <c r="Q1081" s="8"/>
      <c r="R1081" s="8"/>
      <c r="S1081" s="8"/>
      <c r="T1081" s="8"/>
      <c r="U1081" s="8"/>
    </row>
    <row r="1082" spans="10:21">
      <c r="J1082" s="8"/>
      <c r="K1082" s="8"/>
      <c r="L1082" s="8"/>
      <c r="M1082" s="8"/>
      <c r="N1082" s="8"/>
      <c r="O1082" s="8"/>
      <c r="P1082" s="8"/>
      <c r="Q1082" s="8"/>
      <c r="R1082" s="8"/>
      <c r="S1082" s="8"/>
      <c r="T1082" s="8"/>
      <c r="U1082" s="8"/>
    </row>
    <row r="1083" spans="10:21">
      <c r="J1083" s="8"/>
      <c r="K1083" s="8"/>
      <c r="L1083" s="8"/>
      <c r="M1083" s="8"/>
      <c r="N1083" s="8"/>
      <c r="O1083" s="8"/>
      <c r="P1083" s="8"/>
      <c r="Q1083" s="8"/>
      <c r="R1083" s="8"/>
      <c r="S1083" s="8"/>
      <c r="T1083" s="8"/>
      <c r="U1083" s="8"/>
    </row>
    <row r="1084" spans="10:21">
      <c r="J1084" s="8"/>
      <c r="K1084" s="8"/>
      <c r="L1084" s="8"/>
      <c r="M1084" s="8"/>
      <c r="N1084" s="8"/>
      <c r="O1084" s="8"/>
      <c r="P1084" s="8"/>
      <c r="Q1084" s="8"/>
      <c r="R1084" s="8"/>
      <c r="S1084" s="8"/>
      <c r="T1084" s="8"/>
      <c r="U1084" s="8"/>
    </row>
    <row r="1085" spans="10:21">
      <c r="J1085" s="8"/>
      <c r="K1085" s="8"/>
      <c r="L1085" s="8"/>
      <c r="M1085" s="8"/>
      <c r="N1085" s="8"/>
      <c r="O1085" s="8"/>
      <c r="P1085" s="8"/>
      <c r="Q1085" s="8"/>
      <c r="R1085" s="8"/>
      <c r="S1085" s="8"/>
      <c r="T1085" s="8"/>
      <c r="U1085" s="8"/>
    </row>
    <row r="1086" spans="10:21">
      <c r="J1086" s="8"/>
      <c r="K1086" s="8"/>
      <c r="L1086" s="8"/>
      <c r="M1086" s="8"/>
      <c r="N1086" s="8"/>
      <c r="O1086" s="8"/>
      <c r="P1086" s="8"/>
      <c r="Q1086" s="8"/>
      <c r="R1086" s="8"/>
      <c r="S1086" s="8"/>
      <c r="T1086" s="8"/>
      <c r="U1086" s="8"/>
    </row>
    <row r="1087" spans="10:21">
      <c r="J1087" s="8"/>
      <c r="K1087" s="8"/>
      <c r="L1087" s="8"/>
      <c r="M1087" s="8"/>
      <c r="N1087" s="8"/>
      <c r="O1087" s="8"/>
      <c r="P1087" s="8"/>
      <c r="Q1087" s="8"/>
      <c r="R1087" s="8"/>
      <c r="S1087" s="8"/>
      <c r="T1087" s="8"/>
      <c r="U1087" s="8"/>
    </row>
    <row r="1088" spans="10:21">
      <c r="J1088" s="8"/>
      <c r="K1088" s="8"/>
      <c r="L1088" s="8"/>
      <c r="M1088" s="8"/>
      <c r="N1088" s="8"/>
      <c r="O1088" s="8"/>
      <c r="P1088" s="8"/>
      <c r="Q1088" s="8"/>
      <c r="R1088" s="8"/>
      <c r="S1088" s="8"/>
      <c r="T1088" s="8"/>
      <c r="U1088" s="8"/>
    </row>
    <row r="1089" spans="10:21">
      <c r="J1089" s="8"/>
      <c r="K1089" s="8"/>
      <c r="L1089" s="8"/>
      <c r="M1089" s="8"/>
      <c r="N1089" s="8"/>
      <c r="O1089" s="8"/>
      <c r="P1089" s="8"/>
      <c r="Q1089" s="8"/>
      <c r="R1089" s="8"/>
      <c r="S1089" s="8"/>
      <c r="T1089" s="8"/>
      <c r="U1089" s="8"/>
    </row>
    <row r="1090" spans="10:21">
      <c r="J1090" s="8"/>
      <c r="K1090" s="8"/>
      <c r="L1090" s="8"/>
      <c r="M1090" s="8"/>
      <c r="N1090" s="8"/>
      <c r="O1090" s="8"/>
      <c r="P1090" s="8"/>
      <c r="Q1090" s="8"/>
      <c r="R1090" s="8"/>
      <c r="S1090" s="8"/>
      <c r="T1090" s="8"/>
      <c r="U1090" s="8"/>
    </row>
    <row r="1091" spans="10:21">
      <c r="J1091" s="8"/>
      <c r="K1091" s="8"/>
      <c r="L1091" s="8"/>
      <c r="M1091" s="8"/>
      <c r="N1091" s="8"/>
      <c r="O1091" s="8"/>
      <c r="P1091" s="8"/>
      <c r="Q1091" s="8"/>
      <c r="R1091" s="8"/>
      <c r="S1091" s="8"/>
      <c r="T1091" s="8"/>
      <c r="U1091" s="8"/>
    </row>
    <row r="1092" spans="10:21">
      <c r="J1092" s="8"/>
      <c r="K1092" s="8"/>
      <c r="L1092" s="8"/>
      <c r="M1092" s="8"/>
      <c r="N1092" s="8"/>
      <c r="O1092" s="8"/>
      <c r="P1092" s="8"/>
      <c r="Q1092" s="8"/>
      <c r="R1092" s="8"/>
      <c r="S1092" s="8"/>
      <c r="T1092" s="8"/>
      <c r="U1092" s="8"/>
    </row>
    <row r="1093" spans="10:21">
      <c r="J1093" s="8"/>
      <c r="K1093" s="8"/>
      <c r="L1093" s="8"/>
      <c r="M1093" s="8"/>
      <c r="N1093" s="8"/>
      <c r="O1093" s="8"/>
      <c r="P1093" s="8"/>
      <c r="Q1093" s="8"/>
      <c r="R1093" s="8"/>
      <c r="S1093" s="8"/>
      <c r="T1093" s="8"/>
      <c r="U1093" s="8"/>
    </row>
    <row r="1094" spans="10:21">
      <c r="J1094" s="8"/>
      <c r="K1094" s="8"/>
      <c r="L1094" s="8"/>
      <c r="M1094" s="8"/>
      <c r="N1094" s="8"/>
      <c r="O1094" s="8"/>
      <c r="P1094" s="8"/>
      <c r="Q1094" s="8"/>
      <c r="R1094" s="8"/>
      <c r="S1094" s="8"/>
      <c r="T1094" s="8"/>
      <c r="U1094" s="8"/>
    </row>
    <row r="1095" spans="10:21">
      <c r="J1095" s="8"/>
      <c r="K1095" s="8"/>
      <c r="L1095" s="8"/>
      <c r="M1095" s="8"/>
      <c r="N1095" s="8"/>
      <c r="O1095" s="8"/>
      <c r="P1095" s="8"/>
      <c r="Q1095" s="8"/>
      <c r="R1095" s="8"/>
      <c r="S1095" s="8"/>
      <c r="T1095" s="8"/>
      <c r="U1095" s="8"/>
    </row>
    <row r="1096" spans="10:21">
      <c r="J1096" s="8"/>
      <c r="K1096" s="8"/>
      <c r="L1096" s="8"/>
      <c r="M1096" s="8"/>
      <c r="N1096" s="8"/>
      <c r="O1096" s="8"/>
      <c r="P1096" s="8"/>
      <c r="Q1096" s="8"/>
      <c r="R1096" s="8"/>
      <c r="S1096" s="8"/>
      <c r="T1096" s="8"/>
      <c r="U1096" s="8"/>
    </row>
    <row r="1097" spans="10:21">
      <c r="J1097" s="8"/>
      <c r="K1097" s="8"/>
      <c r="L1097" s="8"/>
      <c r="M1097" s="8"/>
      <c r="N1097" s="8"/>
      <c r="O1097" s="8"/>
      <c r="P1097" s="8"/>
      <c r="Q1097" s="8"/>
      <c r="R1097" s="8"/>
      <c r="S1097" s="8"/>
      <c r="T1097" s="8"/>
      <c r="U1097" s="8"/>
    </row>
    <row r="1098" spans="10:21">
      <c r="J1098" s="8"/>
      <c r="K1098" s="8"/>
      <c r="L1098" s="8"/>
      <c r="M1098" s="8"/>
      <c r="N1098" s="8"/>
      <c r="O1098" s="8"/>
      <c r="P1098" s="8"/>
      <c r="Q1098" s="8"/>
      <c r="R1098" s="8"/>
      <c r="S1098" s="8"/>
      <c r="T1098" s="8"/>
      <c r="U1098" s="8"/>
    </row>
    <row r="1099" spans="10:21">
      <c r="J1099" s="8"/>
      <c r="K1099" s="8"/>
      <c r="L1099" s="8"/>
      <c r="M1099" s="8"/>
      <c r="N1099" s="8"/>
      <c r="O1099" s="8"/>
      <c r="P1099" s="8"/>
      <c r="Q1099" s="8"/>
      <c r="R1099" s="8"/>
      <c r="S1099" s="8"/>
      <c r="T1099" s="8"/>
      <c r="U1099" s="8"/>
    </row>
    <row r="1100" spans="10:21">
      <c r="J1100" s="8"/>
      <c r="K1100" s="8"/>
      <c r="L1100" s="8"/>
      <c r="M1100" s="8"/>
      <c r="N1100" s="8"/>
      <c r="O1100" s="8"/>
      <c r="P1100" s="8"/>
      <c r="Q1100" s="8"/>
      <c r="R1100" s="8"/>
      <c r="S1100" s="8"/>
      <c r="T1100" s="8"/>
      <c r="U1100" s="8"/>
    </row>
    <row r="1101" spans="10:21">
      <c r="J1101" s="8"/>
      <c r="K1101" s="8"/>
      <c r="L1101" s="8"/>
      <c r="M1101" s="8"/>
      <c r="N1101" s="8"/>
      <c r="O1101" s="8"/>
      <c r="P1101" s="8"/>
      <c r="Q1101" s="8"/>
      <c r="R1101" s="8"/>
      <c r="S1101" s="8"/>
      <c r="T1101" s="8"/>
      <c r="U1101" s="8"/>
    </row>
    <row r="1102" spans="10:21">
      <c r="J1102" s="8"/>
      <c r="K1102" s="8"/>
      <c r="L1102" s="8"/>
      <c r="M1102" s="8"/>
      <c r="N1102" s="8"/>
      <c r="O1102" s="8"/>
      <c r="P1102" s="8"/>
      <c r="Q1102" s="8"/>
      <c r="R1102" s="8"/>
      <c r="S1102" s="8"/>
      <c r="T1102" s="8"/>
      <c r="U1102" s="8"/>
    </row>
    <row r="1103" spans="10:21">
      <c r="J1103" s="8"/>
      <c r="K1103" s="8"/>
      <c r="L1103" s="8"/>
      <c r="M1103" s="8"/>
      <c r="N1103" s="8"/>
      <c r="O1103" s="8"/>
      <c r="P1103" s="8"/>
      <c r="Q1103" s="8"/>
      <c r="R1103" s="8"/>
      <c r="S1103" s="8"/>
      <c r="T1103" s="8"/>
      <c r="U1103" s="8"/>
    </row>
    <row r="1104" spans="10:21">
      <c r="J1104" s="8"/>
      <c r="K1104" s="8"/>
      <c r="L1104" s="8"/>
      <c r="M1104" s="8"/>
      <c r="N1104" s="8"/>
      <c r="O1104" s="8"/>
      <c r="P1104" s="8"/>
      <c r="Q1104" s="8"/>
      <c r="R1104" s="8"/>
      <c r="S1104" s="8"/>
      <c r="T1104" s="8"/>
      <c r="U1104" s="8"/>
    </row>
    <row r="1105" spans="10:21">
      <c r="J1105" s="8"/>
      <c r="K1105" s="8"/>
      <c r="L1105" s="8"/>
      <c r="M1105" s="8"/>
      <c r="N1105" s="8"/>
      <c r="O1105" s="8"/>
      <c r="P1105" s="8"/>
      <c r="Q1105" s="8"/>
      <c r="R1105" s="8"/>
      <c r="S1105" s="8"/>
      <c r="T1105" s="8"/>
      <c r="U1105" s="8"/>
    </row>
    <row r="1106" spans="10:21">
      <c r="J1106" s="8"/>
      <c r="K1106" s="8"/>
      <c r="L1106" s="8"/>
      <c r="M1106" s="8"/>
      <c r="N1106" s="8"/>
      <c r="O1106" s="8"/>
      <c r="P1106" s="8"/>
      <c r="Q1106" s="8"/>
      <c r="R1106" s="8"/>
      <c r="S1106" s="8"/>
      <c r="T1106" s="8"/>
      <c r="U1106" s="8"/>
    </row>
    <row r="1107" spans="10:21">
      <c r="J1107" s="8"/>
      <c r="K1107" s="8"/>
      <c r="L1107" s="8"/>
      <c r="M1107" s="8"/>
      <c r="N1107" s="8"/>
      <c r="O1107" s="8"/>
      <c r="P1107" s="8"/>
      <c r="Q1107" s="8"/>
      <c r="R1107" s="8"/>
      <c r="S1107" s="8"/>
      <c r="T1107" s="8"/>
      <c r="U1107" s="8"/>
    </row>
    <row r="1108" spans="10:21">
      <c r="J1108" s="8"/>
      <c r="K1108" s="8"/>
      <c r="L1108" s="8"/>
      <c r="M1108" s="8"/>
      <c r="N1108" s="8"/>
      <c r="O1108" s="8"/>
      <c r="P1108" s="8"/>
      <c r="Q1108" s="8"/>
      <c r="R1108" s="8"/>
      <c r="S1108" s="8"/>
      <c r="T1108" s="8"/>
      <c r="U1108" s="8"/>
    </row>
    <row r="1109" spans="10:21">
      <c r="J1109" s="8"/>
      <c r="K1109" s="8"/>
      <c r="L1109" s="8"/>
      <c r="M1109" s="8"/>
      <c r="N1109" s="8"/>
      <c r="O1109" s="8"/>
      <c r="P1109" s="8"/>
      <c r="Q1109" s="8"/>
      <c r="R1109" s="8"/>
      <c r="S1109" s="8"/>
      <c r="T1109" s="8"/>
      <c r="U1109" s="8"/>
    </row>
    <row r="1110" spans="10:21">
      <c r="J1110" s="8"/>
      <c r="K1110" s="8"/>
      <c r="L1110" s="8"/>
      <c r="M1110" s="8"/>
      <c r="N1110" s="8"/>
      <c r="O1110" s="8"/>
      <c r="P1110" s="8"/>
      <c r="Q1110" s="8"/>
      <c r="R1110" s="8"/>
      <c r="S1110" s="8"/>
      <c r="T1110" s="8"/>
      <c r="U1110" s="8"/>
    </row>
    <row r="1111" spans="10:21">
      <c r="J1111" s="8"/>
      <c r="K1111" s="8"/>
      <c r="L1111" s="8"/>
      <c r="M1111" s="8"/>
      <c r="N1111" s="8"/>
      <c r="O1111" s="8"/>
      <c r="P1111" s="8"/>
      <c r="Q1111" s="8"/>
      <c r="R1111" s="8"/>
      <c r="S1111" s="8"/>
      <c r="T1111" s="8"/>
      <c r="U1111" s="8"/>
    </row>
    <row r="1112" spans="10:21">
      <c r="J1112" s="8"/>
      <c r="K1112" s="8"/>
      <c r="L1112" s="8"/>
      <c r="M1112" s="8"/>
      <c r="N1112" s="8"/>
      <c r="O1112" s="8"/>
      <c r="P1112" s="8"/>
      <c r="Q1112" s="8"/>
      <c r="R1112" s="8"/>
      <c r="S1112" s="8"/>
      <c r="T1112" s="8"/>
      <c r="U1112" s="8"/>
    </row>
    <row r="1113" spans="10:21">
      <c r="J1113" s="8"/>
      <c r="K1113" s="8"/>
      <c r="L1113" s="8"/>
      <c r="M1113" s="8"/>
      <c r="N1113" s="8"/>
      <c r="O1113" s="8"/>
      <c r="P1113" s="8"/>
      <c r="Q1113" s="8"/>
      <c r="R1113" s="8"/>
      <c r="S1113" s="8"/>
      <c r="T1113" s="8"/>
      <c r="U1113" s="8"/>
    </row>
    <row r="1114" spans="10:21">
      <c r="J1114" s="8"/>
      <c r="K1114" s="8"/>
      <c r="L1114" s="8"/>
      <c r="M1114" s="8"/>
      <c r="N1114" s="8"/>
      <c r="O1114" s="8"/>
      <c r="P1114" s="8"/>
      <c r="Q1114" s="8"/>
      <c r="R1114" s="8"/>
      <c r="S1114" s="8"/>
      <c r="T1114" s="8"/>
      <c r="U1114" s="8"/>
    </row>
    <row r="1115" spans="10:21">
      <c r="J1115" s="8"/>
      <c r="K1115" s="8"/>
      <c r="L1115" s="8"/>
      <c r="M1115" s="8"/>
      <c r="N1115" s="8"/>
      <c r="O1115" s="8"/>
      <c r="P1115" s="8"/>
      <c r="Q1115" s="8"/>
      <c r="R1115" s="8"/>
      <c r="S1115" s="8"/>
      <c r="T1115" s="8"/>
      <c r="U1115" s="8"/>
    </row>
    <row r="1116" spans="10:21">
      <c r="J1116" s="8"/>
      <c r="K1116" s="8"/>
      <c r="L1116" s="8"/>
      <c r="M1116" s="8"/>
      <c r="N1116" s="8"/>
      <c r="O1116" s="8"/>
      <c r="P1116" s="8"/>
      <c r="Q1116" s="8"/>
      <c r="R1116" s="8"/>
      <c r="S1116" s="8"/>
      <c r="T1116" s="8"/>
      <c r="U1116" s="8"/>
    </row>
    <row r="1117" spans="10:21">
      <c r="J1117" s="8"/>
      <c r="K1117" s="8"/>
      <c r="L1117" s="8"/>
      <c r="M1117" s="8"/>
      <c r="N1117" s="8"/>
      <c r="O1117" s="8"/>
      <c r="P1117" s="8"/>
      <c r="Q1117" s="8"/>
      <c r="R1117" s="8"/>
      <c r="S1117" s="8"/>
      <c r="T1117" s="8"/>
      <c r="U1117" s="8"/>
    </row>
    <row r="1118" spans="10:21">
      <c r="J1118" s="8"/>
      <c r="K1118" s="8"/>
      <c r="L1118" s="8"/>
      <c r="M1118" s="8"/>
      <c r="N1118" s="8"/>
      <c r="O1118" s="8"/>
      <c r="P1118" s="8"/>
      <c r="Q1118" s="8"/>
      <c r="R1118" s="8"/>
      <c r="S1118" s="8"/>
      <c r="T1118" s="8"/>
      <c r="U1118" s="8"/>
    </row>
    <row r="1119" spans="10:21">
      <c r="J1119" s="8"/>
      <c r="K1119" s="8"/>
      <c r="L1119" s="8"/>
      <c r="M1119" s="8"/>
      <c r="N1119" s="8"/>
      <c r="O1119" s="8"/>
      <c r="P1119" s="8"/>
      <c r="Q1119" s="8"/>
      <c r="R1119" s="8"/>
      <c r="S1119" s="8"/>
      <c r="T1119" s="8"/>
      <c r="U1119" s="8"/>
    </row>
    <row r="1120" spans="10:21">
      <c r="J1120" s="8"/>
      <c r="K1120" s="8"/>
      <c r="L1120" s="8"/>
      <c r="M1120" s="8"/>
      <c r="N1120" s="8"/>
      <c r="O1120" s="8"/>
      <c r="P1120" s="8"/>
      <c r="Q1120" s="8"/>
      <c r="R1120" s="8"/>
      <c r="S1120" s="8"/>
      <c r="T1120" s="8"/>
      <c r="U1120" s="8"/>
    </row>
    <row r="1121" spans="10:21">
      <c r="J1121" s="8"/>
      <c r="K1121" s="8"/>
      <c r="L1121" s="8"/>
      <c r="M1121" s="8"/>
      <c r="N1121" s="8"/>
      <c r="O1121" s="8"/>
      <c r="P1121" s="8"/>
      <c r="Q1121" s="8"/>
      <c r="R1121" s="8"/>
      <c r="S1121" s="8"/>
      <c r="T1121" s="8"/>
      <c r="U1121" s="8"/>
    </row>
    <row r="1122" spans="10:21">
      <c r="J1122" s="8"/>
      <c r="K1122" s="8"/>
      <c r="L1122" s="8"/>
      <c r="M1122" s="8"/>
      <c r="N1122" s="8"/>
      <c r="O1122" s="8"/>
      <c r="P1122" s="8"/>
      <c r="Q1122" s="8"/>
      <c r="R1122" s="8"/>
      <c r="S1122" s="8"/>
      <c r="T1122" s="8"/>
      <c r="U1122" s="8"/>
    </row>
    <row r="1123" spans="10:21">
      <c r="J1123" s="8"/>
      <c r="K1123" s="8"/>
      <c r="L1123" s="8"/>
      <c r="M1123" s="8"/>
      <c r="N1123" s="8"/>
      <c r="O1123" s="8"/>
      <c r="P1123" s="8"/>
      <c r="Q1123" s="8"/>
      <c r="R1123" s="8"/>
      <c r="S1123" s="8"/>
      <c r="T1123" s="8"/>
      <c r="U1123" s="8"/>
    </row>
    <row r="1124" spans="10:21">
      <c r="J1124" s="8"/>
      <c r="K1124" s="8"/>
      <c r="L1124" s="8"/>
      <c r="M1124" s="8"/>
      <c r="N1124" s="8"/>
      <c r="O1124" s="8"/>
      <c r="P1124" s="8"/>
      <c r="Q1124" s="8"/>
      <c r="R1124" s="8"/>
      <c r="S1124" s="8"/>
      <c r="T1124" s="8"/>
      <c r="U1124" s="8"/>
    </row>
    <row r="1125" spans="10:21">
      <c r="J1125" s="8"/>
      <c r="K1125" s="8"/>
      <c r="L1125" s="8"/>
      <c r="M1125" s="8"/>
      <c r="N1125" s="8"/>
      <c r="O1125" s="8"/>
      <c r="P1125" s="8"/>
      <c r="Q1125" s="8"/>
      <c r="R1125" s="8"/>
      <c r="S1125" s="8"/>
      <c r="T1125" s="8"/>
      <c r="U1125" s="8"/>
    </row>
    <row r="1126" spans="10:21">
      <c r="J1126" s="8"/>
      <c r="K1126" s="8"/>
      <c r="L1126" s="8"/>
      <c r="M1126" s="8"/>
      <c r="N1126" s="8"/>
      <c r="O1126" s="8"/>
      <c r="P1126" s="8"/>
      <c r="Q1126" s="8"/>
      <c r="R1126" s="8"/>
      <c r="S1126" s="8"/>
      <c r="T1126" s="8"/>
      <c r="U1126" s="8"/>
    </row>
    <row r="1127" spans="10:21">
      <c r="J1127" s="8"/>
      <c r="K1127" s="8"/>
      <c r="L1127" s="8"/>
      <c r="M1127" s="8"/>
      <c r="N1127" s="8"/>
      <c r="O1127" s="8"/>
      <c r="P1127" s="8"/>
      <c r="Q1127" s="8"/>
      <c r="R1127" s="8"/>
      <c r="S1127" s="8"/>
      <c r="T1127" s="8"/>
      <c r="U1127" s="8"/>
    </row>
    <row r="1128" spans="10:21">
      <c r="J1128" s="8"/>
      <c r="K1128" s="8"/>
      <c r="L1128" s="8"/>
      <c r="M1128" s="8"/>
      <c r="N1128" s="8"/>
      <c r="O1128" s="8"/>
      <c r="P1128" s="8"/>
      <c r="Q1128" s="8"/>
      <c r="R1128" s="8"/>
      <c r="S1128" s="8"/>
      <c r="T1128" s="8"/>
      <c r="U1128" s="8"/>
    </row>
    <row r="1129" spans="10:21">
      <c r="J1129" s="8"/>
      <c r="K1129" s="8"/>
      <c r="L1129" s="8"/>
      <c r="M1129" s="8"/>
      <c r="N1129" s="8"/>
      <c r="O1129" s="8"/>
      <c r="P1129" s="8"/>
      <c r="Q1129" s="8"/>
      <c r="R1129" s="8"/>
      <c r="S1129" s="8"/>
      <c r="T1129" s="8"/>
      <c r="U1129" s="8"/>
    </row>
    <row r="1130" spans="10:21">
      <c r="J1130" s="8"/>
      <c r="K1130" s="8"/>
      <c r="L1130" s="8"/>
      <c r="M1130" s="8"/>
      <c r="N1130" s="8"/>
      <c r="O1130" s="8"/>
      <c r="P1130" s="8"/>
      <c r="Q1130" s="8"/>
      <c r="R1130" s="8"/>
      <c r="S1130" s="8"/>
      <c r="T1130" s="8"/>
      <c r="U1130" s="8"/>
    </row>
    <row r="1131" spans="10:21">
      <c r="J1131" s="8"/>
      <c r="K1131" s="8"/>
      <c r="L1131" s="8"/>
      <c r="M1131" s="8"/>
      <c r="N1131" s="8"/>
      <c r="O1131" s="8"/>
      <c r="P1131" s="8"/>
      <c r="Q1131" s="8"/>
      <c r="R1131" s="8"/>
      <c r="S1131" s="8"/>
      <c r="T1131" s="8"/>
      <c r="U1131" s="8"/>
    </row>
    <row r="1132" spans="10:21">
      <c r="J1132" s="8"/>
      <c r="K1132" s="8"/>
      <c r="L1132" s="8"/>
      <c r="M1132" s="8"/>
      <c r="N1132" s="8"/>
      <c r="O1132" s="8"/>
      <c r="P1132" s="8"/>
      <c r="Q1132" s="8"/>
      <c r="R1132" s="8"/>
      <c r="S1132" s="8"/>
      <c r="T1132" s="8"/>
      <c r="U1132" s="8"/>
    </row>
    <row r="1133" spans="10:21">
      <c r="J1133" s="8"/>
      <c r="K1133" s="8"/>
      <c r="L1133" s="8"/>
      <c r="M1133" s="8"/>
      <c r="N1133" s="8"/>
      <c r="O1133" s="8"/>
      <c r="P1133" s="8"/>
      <c r="Q1133" s="8"/>
      <c r="R1133" s="8"/>
      <c r="S1133" s="8"/>
      <c r="T1133" s="8"/>
      <c r="U1133" s="8"/>
    </row>
    <row r="1134" spans="10:21">
      <c r="J1134" s="8"/>
      <c r="K1134" s="8"/>
      <c r="L1134" s="8"/>
      <c r="M1134" s="8"/>
      <c r="N1134" s="8"/>
      <c r="O1134" s="8"/>
      <c r="P1134" s="8"/>
      <c r="Q1134" s="8"/>
      <c r="R1134" s="8"/>
      <c r="S1134" s="8"/>
      <c r="T1134" s="8"/>
      <c r="U1134" s="8"/>
    </row>
    <row r="1135" spans="10:21">
      <c r="J1135" s="8"/>
      <c r="K1135" s="8"/>
      <c r="L1135" s="8"/>
      <c r="M1135" s="8"/>
      <c r="N1135" s="8"/>
      <c r="O1135" s="8"/>
      <c r="P1135" s="8"/>
      <c r="Q1135" s="8"/>
      <c r="R1135" s="8"/>
      <c r="S1135" s="8"/>
      <c r="T1135" s="8"/>
      <c r="U1135" s="8"/>
    </row>
    <row r="1136" spans="10:21">
      <c r="J1136" s="8"/>
      <c r="K1136" s="8"/>
      <c r="L1136" s="8"/>
      <c r="M1136" s="8"/>
      <c r="N1136" s="8"/>
      <c r="O1136" s="8"/>
      <c r="P1136" s="8"/>
      <c r="Q1136" s="8"/>
      <c r="R1136" s="8"/>
      <c r="S1136" s="8"/>
      <c r="T1136" s="8"/>
      <c r="U1136" s="8"/>
    </row>
    <row r="1137" spans="10:21">
      <c r="J1137" s="8"/>
      <c r="K1137" s="8"/>
      <c r="L1137" s="8"/>
      <c r="M1137" s="8"/>
      <c r="N1137" s="8"/>
      <c r="O1137" s="8"/>
      <c r="P1137" s="8"/>
      <c r="Q1137" s="8"/>
      <c r="R1137" s="8"/>
      <c r="S1137" s="8"/>
      <c r="T1137" s="8"/>
      <c r="U1137" s="8"/>
    </row>
    <row r="1138" spans="10:21">
      <c r="J1138" s="8"/>
      <c r="K1138" s="8"/>
      <c r="L1138" s="8"/>
      <c r="M1138" s="8"/>
      <c r="N1138" s="8"/>
      <c r="O1138" s="8"/>
      <c r="P1138" s="8"/>
      <c r="Q1138" s="8"/>
      <c r="R1138" s="8"/>
      <c r="S1138" s="8"/>
      <c r="T1138" s="8"/>
      <c r="U1138" s="8"/>
    </row>
    <row r="1139" spans="10:21">
      <c r="J1139" s="8"/>
      <c r="K1139" s="8"/>
      <c r="L1139" s="8"/>
      <c r="M1139" s="8"/>
      <c r="N1139" s="8"/>
      <c r="O1139" s="8"/>
      <c r="P1139" s="8"/>
      <c r="Q1139" s="8"/>
      <c r="R1139" s="8"/>
      <c r="S1139" s="8"/>
      <c r="T1139" s="8"/>
      <c r="U1139" s="8"/>
    </row>
    <row r="1140" spans="10:21">
      <c r="J1140" s="8"/>
      <c r="K1140" s="8"/>
      <c r="L1140" s="8"/>
      <c r="M1140" s="8"/>
      <c r="N1140" s="8"/>
      <c r="O1140" s="8"/>
      <c r="P1140" s="8"/>
      <c r="Q1140" s="8"/>
      <c r="R1140" s="8"/>
      <c r="S1140" s="8"/>
      <c r="T1140" s="8"/>
      <c r="U1140" s="8"/>
    </row>
    <row r="1141" spans="10:21">
      <c r="J1141" s="8"/>
      <c r="K1141" s="8"/>
      <c r="L1141" s="8"/>
      <c r="M1141" s="8"/>
      <c r="N1141" s="8"/>
      <c r="O1141" s="8"/>
      <c r="P1141" s="8"/>
      <c r="Q1141" s="8"/>
      <c r="R1141" s="8"/>
      <c r="S1141" s="8"/>
      <c r="T1141" s="8"/>
      <c r="U1141" s="8"/>
    </row>
    <row r="1142" spans="10:21">
      <c r="J1142" s="8"/>
      <c r="K1142" s="8"/>
      <c r="L1142" s="8"/>
      <c r="M1142" s="8"/>
      <c r="N1142" s="8"/>
      <c r="O1142" s="8"/>
      <c r="P1142" s="8"/>
      <c r="Q1142" s="8"/>
      <c r="R1142" s="8"/>
      <c r="S1142" s="8"/>
      <c r="T1142" s="8"/>
      <c r="U1142" s="8"/>
    </row>
    <row r="1143" spans="10:21">
      <c r="J1143" s="8"/>
      <c r="K1143" s="8"/>
      <c r="L1143" s="8"/>
      <c r="M1143" s="8"/>
      <c r="N1143" s="8"/>
      <c r="O1143" s="8"/>
      <c r="P1143" s="8"/>
      <c r="Q1143" s="8"/>
      <c r="R1143" s="8"/>
      <c r="S1143" s="8"/>
      <c r="T1143" s="8"/>
      <c r="U1143" s="8"/>
    </row>
    <row r="1144" spans="10:21">
      <c r="J1144" s="8"/>
      <c r="K1144" s="8"/>
      <c r="L1144" s="8"/>
      <c r="M1144" s="8"/>
      <c r="N1144" s="8"/>
      <c r="O1144" s="8"/>
      <c r="P1144" s="8"/>
      <c r="Q1144" s="8"/>
      <c r="R1144" s="8"/>
      <c r="S1144" s="8"/>
      <c r="T1144" s="8"/>
      <c r="U1144" s="8"/>
    </row>
    <row r="1145" spans="10:21">
      <c r="J1145" s="8"/>
      <c r="K1145" s="8"/>
      <c r="L1145" s="8"/>
      <c r="M1145" s="8"/>
      <c r="N1145" s="8"/>
      <c r="O1145" s="8"/>
      <c r="P1145" s="8"/>
      <c r="Q1145" s="8"/>
      <c r="R1145" s="8"/>
      <c r="S1145" s="8"/>
      <c r="T1145" s="8"/>
      <c r="U1145" s="8"/>
    </row>
    <row r="1146" spans="10:21">
      <c r="J1146" s="8"/>
      <c r="K1146" s="8"/>
      <c r="L1146" s="8"/>
      <c r="M1146" s="8"/>
      <c r="N1146" s="8"/>
      <c r="O1146" s="8"/>
      <c r="P1146" s="8"/>
      <c r="Q1146" s="8"/>
      <c r="R1146" s="8"/>
      <c r="S1146" s="8"/>
      <c r="T1146" s="8"/>
      <c r="U1146" s="8"/>
    </row>
    <row r="1147" spans="10:21">
      <c r="J1147" s="8"/>
      <c r="K1147" s="8"/>
      <c r="L1147" s="8"/>
      <c r="M1147" s="8"/>
      <c r="N1147" s="8"/>
      <c r="O1147" s="8"/>
      <c r="P1147" s="8"/>
      <c r="Q1147" s="8"/>
      <c r="R1147" s="8"/>
      <c r="S1147" s="8"/>
      <c r="T1147" s="8"/>
      <c r="U1147" s="8"/>
    </row>
    <row r="1148" spans="10:21">
      <c r="J1148" s="8"/>
      <c r="K1148" s="8"/>
      <c r="L1148" s="8"/>
      <c r="M1148" s="8"/>
      <c r="N1148" s="8"/>
      <c r="O1148" s="8"/>
      <c r="P1148" s="8"/>
      <c r="Q1148" s="8"/>
      <c r="R1148" s="8"/>
      <c r="S1148" s="8"/>
      <c r="T1148" s="8"/>
      <c r="U1148" s="8"/>
    </row>
    <row r="1149" spans="10:21">
      <c r="J1149" s="8"/>
      <c r="K1149" s="8"/>
      <c r="L1149" s="8"/>
      <c r="M1149" s="8"/>
      <c r="N1149" s="8"/>
      <c r="O1149" s="8"/>
      <c r="P1149" s="8"/>
      <c r="Q1149" s="8"/>
      <c r="R1149" s="8"/>
      <c r="S1149" s="8"/>
      <c r="T1149" s="8"/>
      <c r="U1149" s="8"/>
    </row>
    <row r="1150" spans="10:21">
      <c r="J1150" s="8"/>
      <c r="K1150" s="8"/>
      <c r="L1150" s="8"/>
      <c r="M1150" s="8"/>
      <c r="N1150" s="8"/>
      <c r="O1150" s="8"/>
      <c r="P1150" s="8"/>
      <c r="Q1150" s="8"/>
      <c r="R1150" s="8"/>
      <c r="S1150" s="8"/>
      <c r="T1150" s="8"/>
      <c r="U1150" s="8"/>
    </row>
    <row r="1151" spans="10:21">
      <c r="J1151" s="8"/>
      <c r="K1151" s="8"/>
      <c r="L1151" s="8"/>
      <c r="M1151" s="8"/>
      <c r="N1151" s="8"/>
      <c r="O1151" s="8"/>
      <c r="P1151" s="8"/>
      <c r="Q1151" s="8"/>
      <c r="R1151" s="8"/>
      <c r="S1151" s="8"/>
      <c r="T1151" s="8"/>
      <c r="U1151" s="8"/>
    </row>
    <row r="1152" spans="10:21">
      <c r="J1152" s="8"/>
      <c r="K1152" s="8"/>
      <c r="L1152" s="8"/>
      <c r="M1152" s="8"/>
      <c r="N1152" s="8"/>
      <c r="O1152" s="8"/>
      <c r="P1152" s="8"/>
      <c r="Q1152" s="8"/>
      <c r="R1152" s="8"/>
      <c r="S1152" s="8"/>
      <c r="T1152" s="8"/>
      <c r="U1152" s="8"/>
    </row>
    <row r="1153" spans="10:21">
      <c r="J1153" s="8"/>
      <c r="K1153" s="8"/>
      <c r="L1153" s="8"/>
      <c r="M1153" s="8"/>
      <c r="N1153" s="8"/>
      <c r="O1153" s="8"/>
      <c r="P1153" s="8"/>
      <c r="Q1153" s="8"/>
      <c r="R1153" s="8"/>
      <c r="S1153" s="8"/>
      <c r="T1153" s="8"/>
      <c r="U1153" s="8"/>
    </row>
    <row r="1154" spans="10:21">
      <c r="J1154" s="8"/>
      <c r="K1154" s="8"/>
      <c r="L1154" s="8"/>
      <c r="M1154" s="8"/>
      <c r="N1154" s="8"/>
      <c r="O1154" s="8"/>
      <c r="P1154" s="8"/>
      <c r="Q1154" s="8"/>
      <c r="R1154" s="8"/>
      <c r="S1154" s="8"/>
      <c r="T1154" s="8"/>
      <c r="U1154" s="8"/>
    </row>
    <row r="1155" spans="10:21">
      <c r="J1155" s="8"/>
      <c r="K1155" s="8"/>
      <c r="L1155" s="8"/>
      <c r="M1155" s="8"/>
      <c r="N1155" s="8"/>
      <c r="O1155" s="8"/>
      <c r="P1155" s="8"/>
      <c r="Q1155" s="8"/>
      <c r="R1155" s="8"/>
      <c r="S1155" s="8"/>
      <c r="T1155" s="8"/>
      <c r="U1155" s="8"/>
    </row>
    <row r="1156" spans="10:21">
      <c r="J1156" s="8"/>
      <c r="K1156" s="8"/>
      <c r="L1156" s="8"/>
      <c r="M1156" s="8"/>
      <c r="N1156" s="8"/>
      <c r="O1156" s="8"/>
      <c r="P1156" s="8"/>
      <c r="Q1156" s="8"/>
      <c r="R1156" s="8"/>
      <c r="S1156" s="8"/>
      <c r="T1156" s="8"/>
      <c r="U1156" s="8"/>
    </row>
    <row r="1157" spans="10:21">
      <c r="J1157" s="8"/>
      <c r="K1157" s="8"/>
      <c r="L1157" s="8"/>
      <c r="M1157" s="8"/>
      <c r="N1157" s="8"/>
      <c r="O1157" s="8"/>
      <c r="P1157" s="8"/>
      <c r="Q1157" s="8"/>
      <c r="R1157" s="8"/>
      <c r="S1157" s="8"/>
      <c r="T1157" s="8"/>
      <c r="U1157" s="8"/>
    </row>
    <row r="1158" spans="10:21">
      <c r="J1158" s="8"/>
      <c r="K1158" s="8"/>
      <c r="L1158" s="8"/>
      <c r="M1158" s="8"/>
      <c r="N1158" s="8"/>
      <c r="O1158" s="8"/>
      <c r="P1158" s="8"/>
      <c r="Q1158" s="8"/>
      <c r="R1158" s="8"/>
      <c r="S1158" s="8"/>
      <c r="T1158" s="8"/>
      <c r="U1158" s="8"/>
    </row>
    <row r="1159" spans="10:21">
      <c r="J1159" s="8"/>
      <c r="K1159" s="8"/>
      <c r="L1159" s="8"/>
      <c r="M1159" s="8"/>
      <c r="N1159" s="8"/>
      <c r="O1159" s="8"/>
      <c r="P1159" s="8"/>
      <c r="Q1159" s="8"/>
      <c r="R1159" s="8"/>
      <c r="S1159" s="8"/>
      <c r="T1159" s="8"/>
      <c r="U1159" s="8"/>
    </row>
    <row r="1160" spans="10:21">
      <c r="J1160" s="8"/>
      <c r="K1160" s="8"/>
      <c r="L1160" s="8"/>
      <c r="M1160" s="8"/>
      <c r="N1160" s="8"/>
      <c r="O1160" s="8"/>
      <c r="P1160" s="8"/>
      <c r="Q1160" s="8"/>
      <c r="R1160" s="8"/>
      <c r="S1160" s="8"/>
      <c r="T1160" s="8"/>
      <c r="U1160" s="8"/>
    </row>
    <row r="1161" spans="10:21">
      <c r="J1161" s="8"/>
      <c r="K1161" s="8"/>
      <c r="L1161" s="8"/>
      <c r="M1161" s="8"/>
      <c r="N1161" s="8"/>
      <c r="O1161" s="8"/>
      <c r="P1161" s="8"/>
      <c r="Q1161" s="8"/>
      <c r="R1161" s="8"/>
      <c r="S1161" s="8"/>
      <c r="T1161" s="8"/>
      <c r="U1161" s="8"/>
    </row>
    <row r="1162" spans="10:21">
      <c r="J1162" s="8"/>
      <c r="K1162" s="8"/>
      <c r="L1162" s="8"/>
      <c r="M1162" s="8"/>
      <c r="N1162" s="8"/>
      <c r="O1162" s="8"/>
      <c r="P1162" s="8"/>
      <c r="Q1162" s="8"/>
      <c r="R1162" s="8"/>
      <c r="S1162" s="8"/>
      <c r="T1162" s="8"/>
      <c r="U1162" s="8"/>
    </row>
    <row r="1163" spans="10:21">
      <c r="J1163" s="8"/>
      <c r="K1163" s="8"/>
      <c r="L1163" s="8"/>
      <c r="M1163" s="8"/>
      <c r="N1163" s="8"/>
      <c r="O1163" s="8"/>
      <c r="P1163" s="8"/>
      <c r="Q1163" s="8"/>
      <c r="R1163" s="8"/>
      <c r="S1163" s="8"/>
      <c r="T1163" s="8"/>
      <c r="U1163" s="8"/>
    </row>
    <row r="1164" spans="10:21">
      <c r="J1164" s="8"/>
      <c r="K1164" s="8"/>
      <c r="L1164" s="8"/>
      <c r="M1164" s="8"/>
      <c r="N1164" s="8"/>
      <c r="O1164" s="8"/>
      <c r="P1164" s="8"/>
      <c r="Q1164" s="8"/>
      <c r="R1164" s="8"/>
      <c r="S1164" s="8"/>
      <c r="T1164" s="8"/>
      <c r="U1164" s="8"/>
    </row>
    <row r="1165" spans="10:21">
      <c r="J1165" s="8"/>
      <c r="K1165" s="8"/>
      <c r="L1165" s="8"/>
      <c r="M1165" s="8"/>
      <c r="N1165" s="8"/>
      <c r="O1165" s="8"/>
      <c r="P1165" s="8"/>
      <c r="Q1165" s="8"/>
      <c r="R1165" s="8"/>
      <c r="S1165" s="8"/>
      <c r="T1165" s="8"/>
      <c r="U1165" s="8"/>
    </row>
    <row r="1166" spans="10:21">
      <c r="J1166" s="8"/>
      <c r="K1166" s="8"/>
      <c r="L1166" s="8"/>
      <c r="M1166" s="8"/>
      <c r="N1166" s="8"/>
      <c r="O1166" s="8"/>
      <c r="P1166" s="8"/>
      <c r="Q1166" s="8"/>
      <c r="R1166" s="8"/>
      <c r="S1166" s="8"/>
      <c r="T1166" s="8"/>
      <c r="U1166" s="8"/>
    </row>
    <row r="1167" spans="10:21">
      <c r="J1167" s="8"/>
      <c r="K1167" s="8"/>
      <c r="L1167" s="8"/>
      <c r="M1167" s="8"/>
      <c r="N1167" s="8"/>
      <c r="O1167" s="8"/>
      <c r="P1167" s="8"/>
      <c r="Q1167" s="8"/>
      <c r="R1167" s="8"/>
      <c r="S1167" s="8"/>
      <c r="T1167" s="8"/>
      <c r="U1167" s="8"/>
    </row>
    <row r="1168" spans="10:21">
      <c r="J1168" s="8"/>
      <c r="K1168" s="8"/>
      <c r="L1168" s="8"/>
      <c r="M1168" s="8"/>
      <c r="N1168" s="8"/>
      <c r="O1168" s="8"/>
      <c r="P1168" s="8"/>
      <c r="Q1168" s="8"/>
      <c r="R1168" s="8"/>
      <c r="S1168" s="8"/>
      <c r="T1168" s="8"/>
      <c r="U1168" s="8"/>
    </row>
    <row r="1169" spans="10:21">
      <c r="J1169" s="8"/>
      <c r="K1169" s="8"/>
      <c r="L1169" s="8"/>
      <c r="M1169" s="8"/>
      <c r="N1169" s="8"/>
      <c r="O1169" s="8"/>
      <c r="P1169" s="8"/>
      <c r="Q1169" s="8"/>
      <c r="R1169" s="8"/>
      <c r="S1169" s="8"/>
      <c r="T1169" s="8"/>
      <c r="U1169" s="8"/>
    </row>
    <row r="1170" spans="10:21">
      <c r="J1170" s="8"/>
      <c r="K1170" s="8"/>
      <c r="L1170" s="8"/>
      <c r="M1170" s="8"/>
      <c r="N1170" s="8"/>
      <c r="O1170" s="8"/>
      <c r="P1170" s="8"/>
      <c r="Q1170" s="8"/>
      <c r="R1170" s="8"/>
      <c r="S1170" s="8"/>
      <c r="T1170" s="8"/>
      <c r="U1170" s="8"/>
    </row>
    <row r="1171" spans="10:21">
      <c r="J1171" s="8"/>
      <c r="K1171" s="8"/>
      <c r="L1171" s="8"/>
      <c r="M1171" s="8"/>
      <c r="N1171" s="8"/>
      <c r="O1171" s="8"/>
      <c r="P1171" s="8"/>
      <c r="Q1171" s="8"/>
      <c r="R1171" s="8"/>
      <c r="S1171" s="8"/>
      <c r="T1171" s="8"/>
      <c r="U1171" s="8"/>
    </row>
    <row r="1172" spans="10:21">
      <c r="J1172" s="8"/>
      <c r="K1172" s="8"/>
      <c r="L1172" s="8"/>
      <c r="M1172" s="8"/>
      <c r="N1172" s="8"/>
      <c r="O1172" s="8"/>
      <c r="P1172" s="8"/>
      <c r="Q1172" s="8"/>
      <c r="R1172" s="8"/>
      <c r="S1172" s="8"/>
      <c r="T1172" s="8"/>
      <c r="U1172" s="8"/>
    </row>
    <row r="1173" spans="10:21">
      <c r="J1173" s="8"/>
      <c r="K1173" s="8"/>
      <c r="L1173" s="8"/>
      <c r="M1173" s="8"/>
      <c r="N1173" s="8"/>
      <c r="O1173" s="8"/>
      <c r="P1173" s="8"/>
      <c r="Q1173" s="8"/>
      <c r="R1173" s="8"/>
      <c r="S1173" s="8"/>
      <c r="T1173" s="8"/>
      <c r="U1173" s="8"/>
    </row>
    <row r="1174" spans="10:21">
      <c r="J1174" s="8"/>
      <c r="K1174" s="8"/>
      <c r="L1174" s="8"/>
      <c r="M1174" s="8"/>
      <c r="N1174" s="8"/>
      <c r="O1174" s="8"/>
      <c r="P1174" s="8"/>
      <c r="Q1174" s="8"/>
      <c r="R1174" s="8"/>
      <c r="S1174" s="8"/>
      <c r="T1174" s="8"/>
      <c r="U1174" s="8"/>
    </row>
    <row r="1175" spans="10:21">
      <c r="J1175" s="8"/>
      <c r="K1175" s="8"/>
      <c r="L1175" s="8"/>
      <c r="M1175" s="8"/>
      <c r="N1175" s="8"/>
      <c r="O1175" s="8"/>
      <c r="P1175" s="8"/>
      <c r="Q1175" s="8"/>
      <c r="R1175" s="8"/>
      <c r="S1175" s="8"/>
      <c r="T1175" s="8"/>
      <c r="U1175" s="8"/>
    </row>
    <row r="1176" spans="10:21">
      <c r="J1176" s="8"/>
      <c r="K1176" s="8"/>
      <c r="L1176" s="8"/>
      <c r="M1176" s="8"/>
      <c r="N1176" s="8"/>
      <c r="O1176" s="8"/>
      <c r="P1176" s="8"/>
      <c r="Q1176" s="8"/>
      <c r="R1176" s="8"/>
      <c r="S1176" s="8"/>
      <c r="T1176" s="8"/>
      <c r="U1176" s="8"/>
    </row>
    <row r="1177" spans="10:21">
      <c r="J1177" s="8"/>
      <c r="K1177" s="8"/>
      <c r="L1177" s="8"/>
      <c r="M1177" s="8"/>
      <c r="N1177" s="8"/>
      <c r="O1177" s="8"/>
      <c r="P1177" s="8"/>
      <c r="Q1177" s="8"/>
      <c r="R1177" s="8"/>
      <c r="S1177" s="8"/>
      <c r="T1177" s="8"/>
      <c r="U1177" s="8"/>
    </row>
    <row r="1178" spans="10:21">
      <c r="J1178" s="8"/>
      <c r="K1178" s="8"/>
      <c r="L1178" s="8"/>
      <c r="M1178" s="8"/>
      <c r="N1178" s="8"/>
      <c r="O1178" s="8"/>
      <c r="P1178" s="8"/>
      <c r="Q1178" s="8"/>
      <c r="R1178" s="8"/>
      <c r="S1178" s="8"/>
      <c r="T1178" s="8"/>
      <c r="U1178" s="8"/>
    </row>
    <row r="1179" spans="10:21">
      <c r="J1179" s="8"/>
      <c r="K1179" s="8"/>
      <c r="L1179" s="8"/>
      <c r="M1179" s="8"/>
      <c r="N1179" s="8"/>
      <c r="O1179" s="8"/>
      <c r="P1179" s="8"/>
      <c r="Q1179" s="8"/>
      <c r="R1179" s="8"/>
      <c r="S1179" s="8"/>
      <c r="T1179" s="8"/>
      <c r="U1179" s="8"/>
    </row>
    <row r="1180" spans="10:21">
      <c r="J1180" s="8"/>
      <c r="K1180" s="8"/>
      <c r="L1180" s="8"/>
      <c r="M1180" s="8"/>
      <c r="N1180" s="8"/>
      <c r="O1180" s="8"/>
      <c r="P1180" s="8"/>
      <c r="Q1180" s="8"/>
      <c r="R1180" s="8"/>
      <c r="S1180" s="8"/>
      <c r="T1180" s="8"/>
      <c r="U1180" s="8"/>
    </row>
    <row r="1181" spans="10:21">
      <c r="J1181" s="8"/>
      <c r="K1181" s="8"/>
      <c r="L1181" s="8"/>
      <c r="M1181" s="8"/>
      <c r="N1181" s="8"/>
      <c r="O1181" s="8"/>
      <c r="P1181" s="8"/>
      <c r="Q1181" s="8"/>
      <c r="R1181" s="8"/>
      <c r="S1181" s="8"/>
      <c r="T1181" s="8"/>
      <c r="U1181" s="8"/>
    </row>
    <row r="1182" spans="10:21">
      <c r="J1182" s="8"/>
      <c r="K1182" s="8"/>
      <c r="L1182" s="8"/>
      <c r="M1182" s="8"/>
      <c r="N1182" s="8"/>
      <c r="O1182" s="8"/>
      <c r="P1182" s="8"/>
      <c r="Q1182" s="8"/>
      <c r="R1182" s="8"/>
      <c r="S1182" s="8"/>
      <c r="T1182" s="8"/>
      <c r="U1182" s="8"/>
    </row>
    <row r="1183" spans="10:21">
      <c r="J1183" s="8"/>
      <c r="K1183" s="8"/>
      <c r="L1183" s="8"/>
      <c r="M1183" s="8"/>
      <c r="N1183" s="8"/>
      <c r="O1183" s="8"/>
      <c r="P1183" s="8"/>
      <c r="Q1183" s="8"/>
      <c r="R1183" s="8"/>
      <c r="S1183" s="8"/>
      <c r="T1183" s="8"/>
      <c r="U1183" s="8"/>
    </row>
    <row r="1184" spans="10:21">
      <c r="J1184" s="8"/>
      <c r="K1184" s="8"/>
      <c r="L1184" s="8"/>
      <c r="M1184" s="8"/>
      <c r="N1184" s="8"/>
      <c r="O1184" s="8"/>
      <c r="P1184" s="8"/>
      <c r="Q1184" s="8"/>
      <c r="R1184" s="8"/>
      <c r="S1184" s="8"/>
      <c r="T1184" s="8"/>
      <c r="U1184" s="8"/>
    </row>
    <row r="1185" spans="10:21">
      <c r="J1185" s="8"/>
      <c r="K1185" s="8"/>
      <c r="L1185" s="8"/>
      <c r="M1185" s="8"/>
      <c r="N1185" s="8"/>
      <c r="O1185" s="8"/>
      <c r="P1185" s="8"/>
      <c r="Q1185" s="8"/>
      <c r="R1185" s="8"/>
      <c r="S1185" s="8"/>
      <c r="T1185" s="8"/>
      <c r="U1185" s="8"/>
    </row>
    <row r="1186" spans="10:21">
      <c r="J1186" s="8"/>
      <c r="K1186" s="8"/>
      <c r="L1186" s="8"/>
      <c r="M1186" s="8"/>
      <c r="N1186" s="8"/>
      <c r="O1186" s="8"/>
      <c r="P1186" s="8"/>
      <c r="Q1186" s="8"/>
      <c r="R1186" s="8"/>
      <c r="S1186" s="8"/>
      <c r="T1186" s="8"/>
      <c r="U1186" s="8"/>
    </row>
    <row r="1187" spans="10:21">
      <c r="J1187" s="8"/>
      <c r="K1187" s="8"/>
      <c r="L1187" s="8"/>
      <c r="M1187" s="8"/>
      <c r="N1187" s="8"/>
      <c r="O1187" s="8"/>
      <c r="P1187" s="8"/>
      <c r="Q1187" s="8"/>
      <c r="R1187" s="8"/>
      <c r="S1187" s="8"/>
      <c r="T1187" s="8"/>
      <c r="U1187" s="8"/>
    </row>
    <row r="1188" spans="10:21">
      <c r="J1188" s="8"/>
      <c r="K1188" s="8"/>
      <c r="L1188" s="8"/>
      <c r="M1188" s="8"/>
      <c r="N1188" s="8"/>
      <c r="O1188" s="8"/>
      <c r="P1188" s="8"/>
      <c r="Q1188" s="8"/>
      <c r="R1188" s="8"/>
      <c r="S1188" s="8"/>
      <c r="T1188" s="8"/>
      <c r="U1188" s="8"/>
    </row>
    <row r="1189" spans="10:21">
      <c r="J1189" s="8"/>
      <c r="K1189" s="8"/>
      <c r="L1189" s="8"/>
      <c r="M1189" s="8"/>
      <c r="N1189" s="8"/>
      <c r="O1189" s="8"/>
      <c r="P1189" s="8"/>
      <c r="Q1189" s="8"/>
      <c r="R1189" s="8"/>
      <c r="S1189" s="8"/>
      <c r="T1189" s="8"/>
      <c r="U1189" s="8"/>
    </row>
    <row r="1190" spans="10:21">
      <c r="J1190" s="8"/>
      <c r="K1190" s="8"/>
      <c r="L1190" s="8"/>
      <c r="M1190" s="8"/>
      <c r="N1190" s="8"/>
      <c r="O1190" s="8"/>
      <c r="P1190" s="8"/>
      <c r="Q1190" s="8"/>
      <c r="R1190" s="8"/>
      <c r="S1190" s="8"/>
      <c r="T1190" s="8"/>
      <c r="U1190" s="8"/>
    </row>
    <row r="1191" spans="10:21">
      <c r="J1191" s="8"/>
      <c r="K1191" s="8"/>
      <c r="L1191" s="8"/>
      <c r="M1191" s="8"/>
      <c r="N1191" s="8"/>
      <c r="O1191" s="8"/>
      <c r="P1191" s="8"/>
      <c r="Q1191" s="8"/>
      <c r="R1191" s="8"/>
      <c r="S1191" s="8"/>
      <c r="T1191" s="8"/>
      <c r="U1191" s="8"/>
    </row>
    <row r="1192" spans="10:21">
      <c r="J1192" s="8"/>
      <c r="K1192" s="8"/>
      <c r="L1192" s="8"/>
      <c r="M1192" s="8"/>
      <c r="N1192" s="8"/>
      <c r="O1192" s="8"/>
      <c r="P1192" s="8"/>
      <c r="Q1192" s="8"/>
      <c r="R1192" s="8"/>
      <c r="S1192" s="8"/>
      <c r="T1192" s="8"/>
      <c r="U1192" s="8"/>
    </row>
    <row r="1193" spans="10:21">
      <c r="J1193" s="8"/>
      <c r="K1193" s="8"/>
      <c r="L1193" s="8"/>
      <c r="M1193" s="8"/>
      <c r="N1193" s="8"/>
      <c r="O1193" s="8"/>
      <c r="P1193" s="8"/>
      <c r="Q1193" s="8"/>
      <c r="R1193" s="8"/>
      <c r="S1193" s="8"/>
      <c r="T1193" s="8"/>
      <c r="U1193" s="8"/>
    </row>
    <row r="1194" spans="10:21">
      <c r="J1194" s="8"/>
      <c r="K1194" s="8"/>
      <c r="L1194" s="8"/>
      <c r="M1194" s="8"/>
      <c r="N1194" s="8"/>
      <c r="O1194" s="8"/>
      <c r="P1194" s="8"/>
      <c r="Q1194" s="8"/>
      <c r="R1194" s="8"/>
      <c r="S1194" s="8"/>
      <c r="T1194" s="8"/>
      <c r="U1194" s="8"/>
    </row>
    <row r="1195" spans="10:21">
      <c r="J1195" s="8"/>
      <c r="K1195" s="8"/>
      <c r="L1195" s="8"/>
      <c r="M1195" s="8"/>
      <c r="N1195" s="8"/>
      <c r="O1195" s="8"/>
      <c r="P1195" s="8"/>
      <c r="Q1195" s="8"/>
      <c r="R1195" s="8"/>
      <c r="S1195" s="8"/>
      <c r="T1195" s="8"/>
      <c r="U1195" s="8"/>
    </row>
    <row r="1196" spans="10:21">
      <c r="J1196" s="8"/>
      <c r="K1196" s="8"/>
      <c r="L1196" s="8"/>
      <c r="M1196" s="8"/>
      <c r="N1196" s="8"/>
      <c r="O1196" s="8"/>
      <c r="P1196" s="8"/>
      <c r="Q1196" s="8"/>
      <c r="R1196" s="8"/>
      <c r="S1196" s="8"/>
      <c r="T1196" s="8"/>
      <c r="U1196" s="8"/>
    </row>
    <row r="1197" spans="10:21">
      <c r="J1197" s="8"/>
      <c r="K1197" s="8"/>
      <c r="L1197" s="8"/>
      <c r="M1197" s="8"/>
      <c r="N1197" s="8"/>
      <c r="O1197" s="8"/>
      <c r="P1197" s="8"/>
      <c r="Q1197" s="8"/>
      <c r="R1197" s="8"/>
      <c r="S1197" s="8"/>
      <c r="T1197" s="8"/>
      <c r="U1197" s="8"/>
    </row>
    <row r="1198" spans="10:21">
      <c r="J1198" s="8"/>
      <c r="K1198" s="8"/>
      <c r="L1198" s="8"/>
      <c r="M1198" s="8"/>
      <c r="N1198" s="8"/>
      <c r="O1198" s="8"/>
      <c r="P1198" s="8"/>
      <c r="Q1198" s="8"/>
      <c r="R1198" s="8"/>
      <c r="S1198" s="8"/>
      <c r="T1198" s="8"/>
      <c r="U1198" s="8"/>
    </row>
    <row r="1199" spans="10:21">
      <c r="J1199" s="8"/>
      <c r="K1199" s="8"/>
      <c r="L1199" s="8"/>
      <c r="M1199" s="8"/>
      <c r="N1199" s="8"/>
      <c r="O1199" s="8"/>
      <c r="P1199" s="8"/>
      <c r="Q1199" s="8"/>
      <c r="R1199" s="8"/>
      <c r="S1199" s="8"/>
      <c r="T1199" s="8"/>
      <c r="U1199" s="8"/>
    </row>
    <row r="1200" spans="10:21">
      <c r="J1200" s="8"/>
      <c r="K1200" s="8"/>
      <c r="L1200" s="8"/>
      <c r="M1200" s="8"/>
      <c r="N1200" s="8"/>
      <c r="O1200" s="8"/>
      <c r="P1200" s="8"/>
      <c r="Q1200" s="8"/>
      <c r="R1200" s="8"/>
      <c r="S1200" s="8"/>
      <c r="T1200" s="8"/>
      <c r="U1200" s="8"/>
    </row>
    <row r="1201" spans="10:21">
      <c r="J1201" s="8"/>
      <c r="K1201" s="8"/>
      <c r="L1201" s="8"/>
      <c r="M1201" s="8"/>
      <c r="N1201" s="8"/>
      <c r="O1201" s="8"/>
      <c r="P1201" s="8"/>
      <c r="Q1201" s="8"/>
      <c r="R1201" s="8"/>
      <c r="S1201" s="8"/>
      <c r="T1201" s="8"/>
      <c r="U1201" s="8"/>
    </row>
    <row r="1202" spans="10:21">
      <c r="J1202" s="8"/>
      <c r="K1202" s="8"/>
      <c r="L1202" s="8"/>
      <c r="M1202" s="8"/>
      <c r="N1202" s="8"/>
      <c r="O1202" s="8"/>
      <c r="P1202" s="8"/>
      <c r="Q1202" s="8"/>
      <c r="R1202" s="8"/>
      <c r="S1202" s="8"/>
      <c r="T1202" s="8"/>
      <c r="U1202" s="8"/>
    </row>
    <row r="1203" spans="10:21">
      <c r="J1203" s="8"/>
      <c r="K1203" s="8"/>
      <c r="L1203" s="8"/>
      <c r="M1203" s="8"/>
      <c r="N1203" s="8"/>
      <c r="O1203" s="8"/>
      <c r="P1203" s="8"/>
      <c r="Q1203" s="8"/>
      <c r="R1203" s="8"/>
      <c r="S1203" s="8"/>
      <c r="T1203" s="8"/>
      <c r="U1203" s="8"/>
    </row>
    <row r="1204" spans="10:21">
      <c r="J1204" s="8"/>
      <c r="K1204" s="8"/>
      <c r="L1204" s="8"/>
      <c r="M1204" s="8"/>
      <c r="N1204" s="8"/>
      <c r="O1204" s="8"/>
      <c r="P1204" s="8"/>
      <c r="Q1204" s="8"/>
      <c r="R1204" s="8"/>
      <c r="S1204" s="8"/>
      <c r="T1204" s="8"/>
      <c r="U1204" s="8"/>
    </row>
    <row r="1205" spans="10:21">
      <c r="J1205" s="8"/>
      <c r="K1205" s="8"/>
      <c r="L1205" s="8"/>
      <c r="M1205" s="8"/>
      <c r="N1205" s="8"/>
      <c r="O1205" s="8"/>
      <c r="P1205" s="8"/>
      <c r="Q1205" s="8"/>
      <c r="R1205" s="8"/>
      <c r="S1205" s="8"/>
      <c r="T1205" s="8"/>
      <c r="U1205" s="8"/>
    </row>
    <row r="1206" spans="10:21">
      <c r="J1206" s="8"/>
      <c r="K1206" s="8"/>
      <c r="L1206" s="8"/>
      <c r="M1206" s="8"/>
      <c r="N1206" s="8"/>
      <c r="O1206" s="8"/>
      <c r="P1206" s="8"/>
      <c r="Q1206" s="8"/>
      <c r="R1206" s="8"/>
      <c r="S1206" s="8"/>
      <c r="T1206" s="8"/>
      <c r="U1206" s="8"/>
    </row>
    <row r="1207" spans="10:21">
      <c r="J1207" s="8"/>
      <c r="K1207" s="8"/>
      <c r="L1207" s="8"/>
      <c r="M1207" s="8"/>
      <c r="N1207" s="8"/>
      <c r="O1207" s="8"/>
      <c r="P1207" s="8"/>
      <c r="Q1207" s="8"/>
      <c r="R1207" s="8"/>
      <c r="S1207" s="8"/>
      <c r="T1207" s="8"/>
      <c r="U1207" s="8"/>
    </row>
    <row r="1208" spans="10:21">
      <c r="J1208" s="8"/>
      <c r="K1208" s="8"/>
      <c r="L1208" s="8"/>
      <c r="M1208" s="8"/>
      <c r="N1208" s="8"/>
      <c r="O1208" s="8"/>
      <c r="P1208" s="8"/>
      <c r="Q1208" s="8"/>
      <c r="R1208" s="8"/>
      <c r="S1208" s="8"/>
      <c r="T1208" s="8"/>
      <c r="U1208" s="8"/>
    </row>
    <row r="1209" spans="10:21">
      <c r="J1209" s="8"/>
      <c r="K1209" s="8"/>
      <c r="L1209" s="8"/>
      <c r="M1209" s="8"/>
      <c r="N1209" s="8"/>
      <c r="O1209" s="8"/>
      <c r="P1209" s="8"/>
      <c r="Q1209" s="8"/>
      <c r="R1209" s="8"/>
      <c r="S1209" s="8"/>
      <c r="T1209" s="8"/>
      <c r="U1209" s="8"/>
    </row>
    <row r="1210" spans="10:21">
      <c r="J1210" s="8"/>
      <c r="K1210" s="8"/>
      <c r="L1210" s="8"/>
      <c r="M1210" s="8"/>
      <c r="N1210" s="8"/>
      <c r="O1210" s="8"/>
      <c r="P1210" s="8"/>
      <c r="Q1210" s="8"/>
      <c r="R1210" s="8"/>
      <c r="S1210" s="8"/>
      <c r="T1210" s="8"/>
      <c r="U1210" s="8"/>
    </row>
    <row r="1211" spans="10:21">
      <c r="J1211" s="8"/>
      <c r="K1211" s="8"/>
      <c r="L1211" s="8"/>
      <c r="M1211" s="8"/>
      <c r="N1211" s="8"/>
      <c r="O1211" s="8"/>
      <c r="P1211" s="8"/>
      <c r="Q1211" s="8"/>
      <c r="R1211" s="8"/>
      <c r="S1211" s="8"/>
      <c r="T1211" s="8"/>
      <c r="U1211" s="8"/>
    </row>
    <row r="1212" spans="10:21">
      <c r="J1212" s="8"/>
      <c r="K1212" s="8"/>
      <c r="L1212" s="8"/>
      <c r="M1212" s="8"/>
      <c r="N1212" s="8"/>
      <c r="O1212" s="8"/>
      <c r="P1212" s="8"/>
      <c r="Q1212" s="8"/>
      <c r="R1212" s="8"/>
      <c r="S1212" s="8"/>
      <c r="T1212" s="8"/>
      <c r="U1212" s="8"/>
    </row>
    <row r="1213" spans="10:21">
      <c r="J1213" s="8"/>
      <c r="K1213" s="8"/>
      <c r="L1213" s="8"/>
      <c r="M1213" s="8"/>
      <c r="N1213" s="8"/>
      <c r="O1213" s="8"/>
      <c r="P1213" s="8"/>
      <c r="Q1213" s="8"/>
      <c r="R1213" s="8"/>
      <c r="S1213" s="8"/>
      <c r="T1213" s="8"/>
      <c r="U1213" s="8"/>
    </row>
    <row r="1214" spans="10:21">
      <c r="J1214" s="8"/>
      <c r="K1214" s="8"/>
      <c r="L1214" s="8"/>
      <c r="M1214" s="8"/>
      <c r="N1214" s="8"/>
      <c r="O1214" s="8"/>
      <c r="P1214" s="8"/>
      <c r="Q1214" s="8"/>
      <c r="R1214" s="8"/>
      <c r="S1214" s="8"/>
      <c r="T1214" s="8"/>
      <c r="U1214" s="8"/>
    </row>
    <row r="1215" spans="10:21">
      <c r="J1215" s="8"/>
      <c r="K1215" s="8"/>
      <c r="L1215" s="8"/>
      <c r="M1215" s="8"/>
      <c r="N1215" s="8"/>
      <c r="O1215" s="8"/>
      <c r="P1215" s="8"/>
      <c r="Q1215" s="8"/>
      <c r="R1215" s="8"/>
      <c r="S1215" s="8"/>
      <c r="T1215" s="8"/>
      <c r="U1215" s="8"/>
    </row>
    <row r="1216" spans="10:21">
      <c r="J1216" s="8"/>
      <c r="K1216" s="8"/>
      <c r="L1216" s="8"/>
      <c r="M1216" s="8"/>
      <c r="N1216" s="8"/>
      <c r="O1216" s="8"/>
      <c r="P1216" s="8"/>
      <c r="Q1216" s="8"/>
      <c r="R1216" s="8"/>
      <c r="S1216" s="8"/>
      <c r="T1216" s="8"/>
      <c r="U1216" s="8"/>
    </row>
    <row r="1217" spans="10:21">
      <c r="J1217" s="8"/>
      <c r="K1217" s="8"/>
      <c r="L1217" s="8"/>
      <c r="M1217" s="8"/>
      <c r="N1217" s="8"/>
      <c r="O1217" s="8"/>
      <c r="P1217" s="8"/>
      <c r="Q1217" s="8"/>
      <c r="R1217" s="8"/>
      <c r="S1217" s="8"/>
      <c r="T1217" s="8"/>
      <c r="U1217" s="8"/>
    </row>
    <row r="1218" spans="10:21">
      <c r="J1218" s="8"/>
      <c r="K1218" s="8"/>
      <c r="L1218" s="8"/>
      <c r="M1218" s="8"/>
      <c r="N1218" s="8"/>
      <c r="O1218" s="8"/>
      <c r="P1218" s="8"/>
      <c r="Q1218" s="8"/>
      <c r="R1218" s="8"/>
      <c r="S1218" s="8"/>
      <c r="T1218" s="8"/>
      <c r="U1218" s="8"/>
    </row>
    <row r="1219" spans="10:21">
      <c r="J1219" s="8"/>
      <c r="K1219" s="8"/>
      <c r="L1219" s="8"/>
      <c r="M1219" s="8"/>
      <c r="N1219" s="8"/>
      <c r="O1219" s="8"/>
      <c r="P1219" s="8"/>
      <c r="Q1219" s="8"/>
      <c r="R1219" s="8"/>
      <c r="S1219" s="8"/>
      <c r="T1219" s="8"/>
      <c r="U1219" s="8"/>
    </row>
    <row r="1220" spans="10:21">
      <c r="J1220" s="8"/>
      <c r="K1220" s="8"/>
      <c r="L1220" s="8"/>
      <c r="M1220" s="8"/>
      <c r="N1220" s="8"/>
      <c r="O1220" s="8"/>
      <c r="P1220" s="8"/>
      <c r="Q1220" s="8"/>
      <c r="R1220" s="8"/>
      <c r="S1220" s="8"/>
      <c r="T1220" s="8"/>
      <c r="U1220" s="8"/>
    </row>
    <row r="1221" spans="10:21">
      <c r="J1221" s="8"/>
      <c r="K1221" s="8"/>
      <c r="L1221" s="8"/>
      <c r="M1221" s="8"/>
      <c r="N1221" s="8"/>
      <c r="O1221" s="8"/>
      <c r="P1221" s="8"/>
      <c r="Q1221" s="8"/>
      <c r="R1221" s="8"/>
      <c r="S1221" s="8"/>
      <c r="T1221" s="8"/>
      <c r="U1221" s="8"/>
    </row>
    <row r="1222" spans="10:21">
      <c r="J1222" s="8"/>
      <c r="K1222" s="8"/>
      <c r="L1222" s="8"/>
      <c r="M1222" s="8"/>
      <c r="N1222" s="8"/>
      <c r="O1222" s="8"/>
      <c r="P1222" s="8"/>
      <c r="Q1222" s="8"/>
      <c r="R1222" s="8"/>
      <c r="S1222" s="8"/>
      <c r="T1222" s="8"/>
      <c r="U1222" s="8"/>
    </row>
    <row r="1223" spans="10:21">
      <c r="J1223" s="8"/>
      <c r="K1223" s="8"/>
      <c r="L1223" s="8"/>
      <c r="M1223" s="8"/>
      <c r="N1223" s="8"/>
      <c r="O1223" s="8"/>
      <c r="P1223" s="8"/>
      <c r="Q1223" s="8"/>
      <c r="R1223" s="8"/>
      <c r="S1223" s="8"/>
      <c r="T1223" s="8"/>
      <c r="U1223" s="8"/>
    </row>
    <row r="1224" spans="10:21">
      <c r="J1224" s="8"/>
      <c r="K1224" s="8"/>
      <c r="L1224" s="8"/>
      <c r="M1224" s="8"/>
      <c r="N1224" s="8"/>
      <c r="O1224" s="8"/>
      <c r="P1224" s="8"/>
      <c r="Q1224" s="8"/>
      <c r="R1224" s="8"/>
      <c r="S1224" s="8"/>
      <c r="T1224" s="8"/>
      <c r="U1224" s="8"/>
    </row>
    <row r="1225" spans="10:21">
      <c r="J1225" s="8"/>
      <c r="K1225" s="8"/>
      <c r="L1225" s="8"/>
      <c r="M1225" s="8"/>
      <c r="N1225" s="8"/>
      <c r="O1225" s="8"/>
      <c r="P1225" s="8"/>
      <c r="Q1225" s="8"/>
      <c r="R1225" s="8"/>
      <c r="S1225" s="8"/>
      <c r="T1225" s="8"/>
      <c r="U1225" s="8"/>
    </row>
    <row r="1226" spans="10:21">
      <c r="J1226" s="8"/>
      <c r="K1226" s="8"/>
      <c r="L1226" s="8"/>
      <c r="M1226" s="8"/>
      <c r="N1226" s="8"/>
      <c r="O1226" s="8"/>
      <c r="P1226" s="8"/>
      <c r="Q1226" s="8"/>
      <c r="R1226" s="8"/>
      <c r="S1226" s="8"/>
      <c r="T1226" s="8"/>
      <c r="U1226" s="8"/>
    </row>
    <row r="1227" spans="10:21">
      <c r="J1227" s="8"/>
      <c r="K1227" s="8"/>
      <c r="L1227" s="8"/>
      <c r="M1227" s="8"/>
      <c r="N1227" s="8"/>
      <c r="O1227" s="8"/>
      <c r="P1227" s="8"/>
      <c r="Q1227" s="8"/>
      <c r="R1227" s="8"/>
      <c r="S1227" s="8"/>
      <c r="T1227" s="8"/>
      <c r="U1227" s="8"/>
    </row>
    <row r="1228" spans="10:21">
      <c r="J1228" s="8"/>
      <c r="K1228" s="8"/>
      <c r="L1228" s="8"/>
      <c r="M1228" s="8"/>
      <c r="N1228" s="8"/>
      <c r="O1228" s="8"/>
      <c r="P1228" s="8"/>
      <c r="Q1228" s="8"/>
      <c r="R1228" s="8"/>
      <c r="S1228" s="8"/>
      <c r="T1228" s="8"/>
      <c r="U1228" s="8"/>
    </row>
    <row r="1229" spans="10:21">
      <c r="J1229" s="8"/>
      <c r="K1229" s="8"/>
      <c r="L1229" s="8"/>
      <c r="M1229" s="8"/>
      <c r="N1229" s="8"/>
      <c r="O1229" s="8"/>
      <c r="P1229" s="8"/>
      <c r="Q1229" s="8"/>
      <c r="R1229" s="8"/>
      <c r="S1229" s="8"/>
      <c r="T1229" s="8"/>
      <c r="U1229" s="8"/>
    </row>
    <row r="1230" spans="10:21">
      <c r="J1230" s="8"/>
      <c r="K1230" s="8"/>
      <c r="L1230" s="8"/>
      <c r="M1230" s="8"/>
      <c r="N1230" s="8"/>
      <c r="O1230" s="8"/>
      <c r="P1230" s="8"/>
      <c r="Q1230" s="8"/>
      <c r="R1230" s="8"/>
      <c r="S1230" s="8"/>
      <c r="T1230" s="8"/>
      <c r="U1230" s="8"/>
    </row>
    <row r="1231" spans="10:21">
      <c r="J1231" s="8"/>
      <c r="K1231" s="8"/>
      <c r="L1231" s="8"/>
      <c r="M1231" s="8"/>
      <c r="N1231" s="8"/>
      <c r="O1231" s="8"/>
      <c r="P1231" s="8"/>
      <c r="Q1231" s="8"/>
      <c r="R1231" s="8"/>
      <c r="S1231" s="8"/>
      <c r="T1231" s="8"/>
      <c r="U1231" s="8"/>
    </row>
    <row r="1232" spans="10:21">
      <c r="J1232" s="8"/>
      <c r="K1232" s="8"/>
      <c r="L1232" s="8"/>
      <c r="M1232" s="8"/>
      <c r="N1232" s="8"/>
      <c r="O1232" s="8"/>
      <c r="P1232" s="8"/>
      <c r="Q1232" s="8"/>
      <c r="R1232" s="8"/>
      <c r="S1232" s="8"/>
      <c r="T1232" s="8"/>
      <c r="U1232" s="8"/>
    </row>
    <row r="1233" spans="10:21">
      <c r="J1233" s="8"/>
      <c r="K1233" s="8"/>
      <c r="L1233" s="8"/>
      <c r="M1233" s="8"/>
      <c r="N1233" s="8"/>
      <c r="O1233" s="8"/>
      <c r="P1233" s="8"/>
      <c r="Q1233" s="8"/>
      <c r="R1233" s="8"/>
      <c r="S1233" s="8"/>
      <c r="T1233" s="8"/>
      <c r="U1233" s="8"/>
    </row>
    <row r="1234" spans="10:21">
      <c r="J1234" s="8"/>
      <c r="K1234" s="8"/>
      <c r="L1234" s="8"/>
      <c r="M1234" s="8"/>
      <c r="N1234" s="8"/>
      <c r="O1234" s="8"/>
      <c r="P1234" s="8"/>
      <c r="Q1234" s="8"/>
      <c r="R1234" s="8"/>
      <c r="S1234" s="8"/>
      <c r="T1234" s="8"/>
      <c r="U1234" s="8"/>
    </row>
    <row r="1235" spans="10:21">
      <c r="J1235" s="8"/>
      <c r="K1235" s="8"/>
      <c r="L1235" s="8"/>
      <c r="M1235" s="8"/>
      <c r="N1235" s="8"/>
      <c r="O1235" s="8"/>
      <c r="P1235" s="8"/>
      <c r="Q1235" s="8"/>
      <c r="R1235" s="8"/>
      <c r="S1235" s="8"/>
      <c r="T1235" s="8"/>
      <c r="U1235" s="8"/>
    </row>
    <row r="1236" spans="10:21">
      <c r="J1236" s="8"/>
      <c r="K1236" s="8"/>
      <c r="L1236" s="8"/>
      <c r="M1236" s="8"/>
      <c r="N1236" s="8"/>
      <c r="O1236" s="8"/>
      <c r="P1236" s="8"/>
      <c r="Q1236" s="8"/>
      <c r="R1236" s="8"/>
      <c r="S1236" s="8"/>
      <c r="T1236" s="8"/>
      <c r="U1236" s="8"/>
    </row>
    <row r="1237" spans="10:21">
      <c r="J1237" s="8"/>
      <c r="K1237" s="8"/>
      <c r="L1237" s="8"/>
      <c r="M1237" s="8"/>
      <c r="N1237" s="8"/>
      <c r="O1237" s="8"/>
      <c r="P1237" s="8"/>
      <c r="Q1237" s="8"/>
      <c r="R1237" s="8"/>
      <c r="S1237" s="8"/>
      <c r="T1237" s="8"/>
      <c r="U1237" s="8"/>
    </row>
    <row r="1238" spans="10:21">
      <c r="J1238" s="8"/>
      <c r="K1238" s="8"/>
      <c r="L1238" s="8"/>
      <c r="M1238" s="8"/>
      <c r="N1238" s="8"/>
      <c r="O1238" s="8"/>
      <c r="P1238" s="8"/>
      <c r="Q1238" s="8"/>
      <c r="R1238" s="8"/>
      <c r="S1238" s="8"/>
      <c r="T1238" s="8"/>
      <c r="U1238" s="8"/>
    </row>
    <row r="1239" spans="10:21">
      <c r="J1239" s="8"/>
      <c r="K1239" s="8"/>
      <c r="L1239" s="8"/>
      <c r="M1239" s="8"/>
      <c r="N1239" s="8"/>
      <c r="O1239" s="8"/>
      <c r="P1239" s="8"/>
      <c r="Q1239" s="8"/>
      <c r="R1239" s="8"/>
      <c r="S1239" s="8"/>
      <c r="T1239" s="8"/>
      <c r="U1239" s="8"/>
    </row>
    <row r="1240" spans="10:21">
      <c r="J1240" s="8"/>
      <c r="K1240" s="8"/>
      <c r="L1240" s="8"/>
      <c r="M1240" s="8"/>
      <c r="N1240" s="8"/>
      <c r="O1240" s="8"/>
      <c r="P1240" s="8"/>
      <c r="Q1240" s="8"/>
      <c r="R1240" s="8"/>
      <c r="S1240" s="8"/>
      <c r="T1240" s="8"/>
      <c r="U1240" s="8"/>
    </row>
    <row r="1241" spans="10:21">
      <c r="J1241" s="8"/>
      <c r="K1241" s="8"/>
      <c r="L1241" s="8"/>
      <c r="M1241" s="8"/>
      <c r="N1241" s="8"/>
      <c r="O1241" s="8"/>
      <c r="P1241" s="8"/>
      <c r="Q1241" s="8"/>
      <c r="R1241" s="8"/>
      <c r="S1241" s="8"/>
      <c r="T1241" s="8"/>
      <c r="U1241" s="8"/>
    </row>
    <row r="1242" spans="10:21">
      <c r="J1242" s="8"/>
      <c r="K1242" s="8"/>
      <c r="L1242" s="8"/>
      <c r="M1242" s="8"/>
      <c r="N1242" s="8"/>
      <c r="O1242" s="8"/>
      <c r="P1242" s="8"/>
      <c r="Q1242" s="8"/>
      <c r="R1242" s="8"/>
      <c r="S1242" s="8"/>
      <c r="T1242" s="8"/>
      <c r="U1242" s="8"/>
    </row>
    <row r="1243" spans="10:21">
      <c r="J1243" s="8"/>
      <c r="K1243" s="8"/>
      <c r="L1243" s="8"/>
      <c r="M1243" s="8"/>
      <c r="N1243" s="8"/>
      <c r="O1243" s="8"/>
      <c r="P1243" s="8"/>
      <c r="Q1243" s="8"/>
      <c r="R1243" s="8"/>
      <c r="S1243" s="8"/>
      <c r="T1243" s="8"/>
      <c r="U1243" s="8"/>
    </row>
    <row r="1244" spans="10:21">
      <c r="J1244" s="8"/>
      <c r="K1244" s="8"/>
      <c r="L1244" s="8"/>
      <c r="M1244" s="8"/>
      <c r="N1244" s="8"/>
      <c r="O1244" s="8"/>
      <c r="P1244" s="8"/>
      <c r="Q1244" s="8"/>
      <c r="R1244" s="8"/>
      <c r="S1244" s="8"/>
      <c r="T1244" s="8"/>
      <c r="U1244" s="8"/>
    </row>
    <row r="1245" spans="10:21">
      <c r="J1245" s="8"/>
      <c r="K1245" s="8"/>
      <c r="L1245" s="8"/>
      <c r="M1245" s="8"/>
      <c r="N1245" s="8"/>
      <c r="O1245" s="8"/>
      <c r="P1245" s="8"/>
      <c r="Q1245" s="8"/>
      <c r="R1245" s="8"/>
      <c r="S1245" s="8"/>
      <c r="T1245" s="8"/>
      <c r="U1245" s="8"/>
    </row>
    <row r="1246" spans="10:21">
      <c r="J1246" s="8"/>
      <c r="K1246" s="8"/>
      <c r="L1246" s="8"/>
      <c r="M1246" s="8"/>
      <c r="N1246" s="8"/>
      <c r="O1246" s="8"/>
      <c r="P1246" s="8"/>
      <c r="Q1246" s="8"/>
      <c r="R1246" s="8"/>
      <c r="S1246" s="8"/>
      <c r="T1246" s="8"/>
      <c r="U1246" s="8"/>
    </row>
    <row r="1247" spans="10:21">
      <c r="J1247" s="8"/>
      <c r="K1247" s="8"/>
      <c r="L1247" s="8"/>
      <c r="M1247" s="8"/>
      <c r="N1247" s="8"/>
      <c r="O1247" s="8"/>
      <c r="P1247" s="8"/>
      <c r="Q1247" s="8"/>
      <c r="R1247" s="8"/>
      <c r="S1247" s="8"/>
      <c r="T1247" s="8"/>
      <c r="U1247" s="8"/>
    </row>
    <row r="1248" spans="10:21">
      <c r="J1248" s="8"/>
      <c r="K1248" s="8"/>
      <c r="L1248" s="8"/>
      <c r="M1248" s="8"/>
      <c r="N1248" s="8"/>
      <c r="O1248" s="8"/>
      <c r="P1248" s="8"/>
      <c r="Q1248" s="8"/>
      <c r="R1248" s="8"/>
      <c r="S1248" s="8"/>
      <c r="T1248" s="8"/>
      <c r="U1248" s="8"/>
    </row>
    <row r="1249" spans="10:21">
      <c r="J1249" s="8"/>
      <c r="K1249" s="8"/>
      <c r="L1249" s="8"/>
      <c r="M1249" s="8"/>
      <c r="N1249" s="8"/>
      <c r="O1249" s="8"/>
      <c r="P1249" s="8"/>
      <c r="Q1249" s="8"/>
      <c r="R1249" s="8"/>
      <c r="S1249" s="8"/>
      <c r="T1249" s="8"/>
      <c r="U1249" s="8"/>
    </row>
    <row r="1250" spans="10:21">
      <c r="J1250" s="8"/>
      <c r="K1250" s="8"/>
      <c r="L1250" s="8"/>
      <c r="M1250" s="8"/>
      <c r="N1250" s="8"/>
      <c r="O1250" s="8"/>
      <c r="P1250" s="8"/>
      <c r="Q1250" s="8"/>
      <c r="R1250" s="8"/>
      <c r="S1250" s="8"/>
      <c r="T1250" s="8"/>
      <c r="U1250" s="8"/>
    </row>
    <row r="1251" spans="10:21">
      <c r="J1251" s="8"/>
      <c r="K1251" s="8"/>
      <c r="L1251" s="8"/>
      <c r="M1251" s="8"/>
      <c r="N1251" s="8"/>
      <c r="O1251" s="8"/>
      <c r="P1251" s="8"/>
      <c r="Q1251" s="8"/>
      <c r="R1251" s="8"/>
      <c r="S1251" s="8"/>
      <c r="T1251" s="8"/>
      <c r="U1251" s="8"/>
    </row>
    <row r="1252" spans="10:21">
      <c r="J1252" s="8"/>
      <c r="K1252" s="8"/>
      <c r="L1252" s="8"/>
      <c r="M1252" s="8"/>
      <c r="N1252" s="8"/>
      <c r="O1252" s="8"/>
      <c r="P1252" s="8"/>
      <c r="Q1252" s="8"/>
      <c r="R1252" s="8"/>
      <c r="S1252" s="8"/>
      <c r="T1252" s="8"/>
      <c r="U1252" s="8"/>
    </row>
    <row r="1253" spans="10:21">
      <c r="J1253" s="8"/>
      <c r="K1253" s="8"/>
      <c r="L1253" s="8"/>
      <c r="M1253" s="8"/>
      <c r="N1253" s="8"/>
      <c r="O1253" s="8"/>
      <c r="P1253" s="8"/>
      <c r="Q1253" s="8"/>
      <c r="R1253" s="8"/>
      <c r="S1253" s="8"/>
      <c r="T1253" s="8"/>
      <c r="U1253" s="8"/>
    </row>
    <row r="1254" spans="10:21">
      <c r="J1254" s="8"/>
      <c r="K1254" s="8"/>
      <c r="L1254" s="8"/>
      <c r="M1254" s="8"/>
      <c r="N1254" s="8"/>
      <c r="O1254" s="8"/>
      <c r="P1254" s="8"/>
      <c r="Q1254" s="8"/>
      <c r="R1254" s="8"/>
      <c r="S1254" s="8"/>
      <c r="T1254" s="8"/>
      <c r="U1254" s="8"/>
    </row>
    <row r="1255" spans="10:21">
      <c r="J1255" s="8"/>
      <c r="K1255" s="8"/>
      <c r="L1255" s="8"/>
      <c r="M1255" s="8"/>
      <c r="N1255" s="8"/>
      <c r="O1255" s="8"/>
      <c r="P1255" s="8"/>
      <c r="Q1255" s="8"/>
      <c r="R1255" s="8"/>
      <c r="S1255" s="8"/>
      <c r="T1255" s="8"/>
      <c r="U1255" s="8"/>
    </row>
    <row r="1256" spans="10:21">
      <c r="J1256" s="8"/>
      <c r="K1256" s="8"/>
      <c r="L1256" s="8"/>
      <c r="M1256" s="8"/>
      <c r="N1256" s="8"/>
      <c r="O1256" s="8"/>
      <c r="P1256" s="8"/>
      <c r="Q1256" s="8"/>
      <c r="R1256" s="8"/>
      <c r="S1256" s="8"/>
      <c r="T1256" s="8"/>
      <c r="U1256" s="8"/>
    </row>
    <row r="1257" spans="10:21">
      <c r="J1257" s="8"/>
      <c r="K1257" s="8"/>
      <c r="L1257" s="8"/>
      <c r="M1257" s="8"/>
      <c r="N1257" s="8"/>
      <c r="O1257" s="8"/>
      <c r="P1257" s="8"/>
      <c r="Q1257" s="8"/>
      <c r="R1257" s="8"/>
      <c r="S1257" s="8"/>
      <c r="T1257" s="8"/>
      <c r="U1257" s="8"/>
    </row>
    <row r="1258" spans="10:21">
      <c r="J1258" s="8"/>
      <c r="K1258" s="8"/>
      <c r="L1258" s="8"/>
      <c r="M1258" s="8"/>
      <c r="N1258" s="8"/>
      <c r="O1258" s="8"/>
      <c r="P1258" s="8"/>
      <c r="Q1258" s="8"/>
      <c r="R1258" s="8"/>
      <c r="S1258" s="8"/>
      <c r="T1258" s="8"/>
      <c r="U1258" s="8"/>
    </row>
    <row r="1259" spans="10:21">
      <c r="J1259" s="8"/>
      <c r="K1259" s="8"/>
      <c r="L1259" s="8"/>
      <c r="M1259" s="8"/>
      <c r="N1259" s="8"/>
      <c r="O1259" s="8"/>
      <c r="P1259" s="8"/>
      <c r="Q1259" s="8"/>
      <c r="R1259" s="8"/>
      <c r="S1259" s="8"/>
      <c r="T1259" s="8"/>
      <c r="U1259" s="8"/>
    </row>
    <row r="1260" spans="10:21">
      <c r="J1260" s="8"/>
      <c r="K1260" s="8"/>
      <c r="L1260" s="8"/>
      <c r="M1260" s="8"/>
      <c r="N1260" s="8"/>
      <c r="O1260" s="8"/>
      <c r="P1260" s="8"/>
      <c r="Q1260" s="8"/>
      <c r="R1260" s="8"/>
      <c r="S1260" s="8"/>
      <c r="T1260" s="8"/>
      <c r="U1260" s="8"/>
    </row>
    <row r="1261" spans="10:21">
      <c r="J1261" s="8"/>
      <c r="K1261" s="8"/>
      <c r="L1261" s="8"/>
      <c r="M1261" s="8"/>
      <c r="N1261" s="8"/>
      <c r="O1261" s="8"/>
      <c r="P1261" s="8"/>
      <c r="Q1261" s="8"/>
      <c r="R1261" s="8"/>
      <c r="S1261" s="8"/>
      <c r="T1261" s="8"/>
      <c r="U1261" s="8"/>
    </row>
    <row r="1262" spans="10:21">
      <c r="J1262" s="8"/>
      <c r="K1262" s="8"/>
      <c r="L1262" s="8"/>
      <c r="M1262" s="8"/>
      <c r="N1262" s="8"/>
      <c r="O1262" s="8"/>
      <c r="P1262" s="8"/>
      <c r="Q1262" s="8"/>
      <c r="R1262" s="8"/>
      <c r="S1262" s="8"/>
      <c r="T1262" s="8"/>
      <c r="U1262" s="8"/>
    </row>
    <row r="1263" spans="10:21">
      <c r="J1263" s="8"/>
      <c r="K1263" s="8"/>
      <c r="L1263" s="8"/>
      <c r="M1263" s="8"/>
      <c r="N1263" s="8"/>
      <c r="O1263" s="8"/>
      <c r="P1263" s="8"/>
      <c r="Q1263" s="8"/>
      <c r="R1263" s="8"/>
      <c r="S1263" s="8"/>
      <c r="T1263" s="8"/>
      <c r="U1263" s="8"/>
    </row>
    <row r="1264" spans="10:21">
      <c r="J1264" s="8"/>
      <c r="K1264" s="8"/>
      <c r="L1264" s="8"/>
      <c r="M1264" s="8"/>
      <c r="N1264" s="8"/>
      <c r="O1264" s="8"/>
      <c r="P1264" s="8"/>
      <c r="Q1264" s="8"/>
      <c r="R1264" s="8"/>
      <c r="S1264" s="8"/>
      <c r="T1264" s="8"/>
      <c r="U1264" s="8"/>
    </row>
    <row r="1265" spans="10:21">
      <c r="J1265" s="8"/>
      <c r="K1265" s="8"/>
      <c r="L1265" s="8"/>
      <c r="M1265" s="8"/>
      <c r="N1265" s="8"/>
      <c r="O1265" s="8"/>
      <c r="P1265" s="8"/>
      <c r="Q1265" s="8"/>
      <c r="R1265" s="8"/>
      <c r="S1265" s="8"/>
      <c r="T1265" s="8"/>
      <c r="U1265" s="8"/>
    </row>
    <row r="1266" spans="10:21">
      <c r="J1266" s="8"/>
      <c r="K1266" s="8"/>
      <c r="L1266" s="8"/>
      <c r="M1266" s="8"/>
      <c r="N1266" s="8"/>
      <c r="O1266" s="8"/>
      <c r="P1266" s="8"/>
      <c r="Q1266" s="8"/>
      <c r="R1266" s="8"/>
      <c r="S1266" s="8"/>
      <c r="T1266" s="8"/>
      <c r="U1266" s="8"/>
    </row>
    <row r="1267" spans="10:21">
      <c r="J1267" s="8"/>
      <c r="K1267" s="8"/>
      <c r="L1267" s="8"/>
      <c r="M1267" s="8"/>
      <c r="N1267" s="8"/>
      <c r="O1267" s="8"/>
      <c r="P1267" s="8"/>
      <c r="Q1267" s="8"/>
      <c r="R1267" s="8"/>
      <c r="S1267" s="8"/>
      <c r="T1267" s="8"/>
      <c r="U1267" s="8"/>
    </row>
    <row r="1268" spans="10:21">
      <c r="J1268" s="8"/>
      <c r="K1268" s="8"/>
      <c r="L1268" s="8"/>
      <c r="M1268" s="8"/>
      <c r="N1268" s="8"/>
      <c r="O1268" s="8"/>
      <c r="P1268" s="8"/>
      <c r="Q1268" s="8"/>
      <c r="R1268" s="8"/>
      <c r="S1268" s="8"/>
      <c r="T1268" s="8"/>
      <c r="U1268" s="8"/>
    </row>
    <row r="1269" spans="10:21">
      <c r="J1269" s="8"/>
      <c r="K1269" s="8"/>
      <c r="L1269" s="8"/>
      <c r="M1269" s="8"/>
      <c r="N1269" s="8"/>
      <c r="O1269" s="8"/>
      <c r="P1269" s="8"/>
      <c r="Q1269" s="8"/>
      <c r="R1269" s="8"/>
      <c r="S1269" s="8"/>
      <c r="T1269" s="8"/>
      <c r="U1269" s="8"/>
    </row>
    <row r="1270" spans="10:21">
      <c r="J1270" s="8"/>
      <c r="K1270" s="8"/>
      <c r="L1270" s="8"/>
      <c r="M1270" s="8"/>
      <c r="N1270" s="8"/>
      <c r="O1270" s="8"/>
      <c r="P1270" s="8"/>
      <c r="Q1270" s="8"/>
      <c r="R1270" s="8"/>
      <c r="S1270" s="8"/>
      <c r="T1270" s="8"/>
      <c r="U1270" s="8"/>
    </row>
    <row r="1271" spans="10:21">
      <c r="J1271" s="8"/>
      <c r="K1271" s="8"/>
      <c r="L1271" s="8"/>
      <c r="M1271" s="8"/>
      <c r="N1271" s="8"/>
      <c r="O1271" s="8"/>
      <c r="P1271" s="8"/>
      <c r="Q1271" s="8"/>
      <c r="R1271" s="8"/>
      <c r="S1271" s="8"/>
      <c r="T1271" s="8"/>
      <c r="U1271" s="8"/>
    </row>
    <row r="1272" spans="10:21">
      <c r="J1272" s="8"/>
      <c r="K1272" s="8"/>
      <c r="L1272" s="8"/>
      <c r="M1272" s="8"/>
      <c r="N1272" s="8"/>
      <c r="O1272" s="8"/>
      <c r="P1272" s="8"/>
      <c r="Q1272" s="8"/>
      <c r="R1272" s="8"/>
      <c r="S1272" s="8"/>
      <c r="T1272" s="8"/>
      <c r="U1272" s="8"/>
    </row>
    <row r="1273" spans="10:21">
      <c r="J1273" s="8"/>
      <c r="K1273" s="8"/>
      <c r="L1273" s="8"/>
      <c r="M1273" s="8"/>
      <c r="N1273" s="8"/>
      <c r="O1273" s="8"/>
      <c r="P1273" s="8"/>
      <c r="Q1273" s="8"/>
      <c r="R1273" s="8"/>
      <c r="S1273" s="8"/>
      <c r="T1273" s="8"/>
      <c r="U1273" s="8"/>
    </row>
    <row r="1274" spans="10:21">
      <c r="J1274" s="8"/>
      <c r="K1274" s="8"/>
      <c r="L1274" s="8"/>
      <c r="M1274" s="8"/>
      <c r="N1274" s="8"/>
      <c r="O1274" s="8"/>
      <c r="P1274" s="8"/>
      <c r="Q1274" s="8"/>
      <c r="R1274" s="8"/>
      <c r="S1274" s="8"/>
      <c r="T1274" s="8"/>
      <c r="U1274" s="8"/>
    </row>
    <row r="1275" spans="10:21">
      <c r="J1275" s="8"/>
      <c r="K1275" s="8"/>
      <c r="L1275" s="8"/>
      <c r="M1275" s="8"/>
      <c r="N1275" s="8"/>
      <c r="O1275" s="8"/>
      <c r="P1275" s="8"/>
      <c r="Q1275" s="8"/>
      <c r="R1275" s="8"/>
      <c r="S1275" s="8"/>
      <c r="T1275" s="8"/>
      <c r="U1275" s="8"/>
    </row>
    <row r="1276" spans="10:21">
      <c r="J1276" s="8"/>
      <c r="K1276" s="8"/>
      <c r="L1276" s="8"/>
      <c r="M1276" s="8"/>
      <c r="N1276" s="8"/>
      <c r="O1276" s="8"/>
      <c r="P1276" s="8"/>
      <c r="Q1276" s="8"/>
      <c r="R1276" s="8"/>
      <c r="S1276" s="8"/>
      <c r="T1276" s="8"/>
      <c r="U1276" s="8"/>
    </row>
    <row r="1277" spans="10:21">
      <c r="J1277" s="8"/>
      <c r="K1277" s="8"/>
      <c r="L1277" s="8"/>
      <c r="M1277" s="8"/>
      <c r="N1277" s="8"/>
      <c r="O1277" s="8"/>
      <c r="P1277" s="8"/>
      <c r="Q1277" s="8"/>
      <c r="R1277" s="8"/>
      <c r="S1277" s="8"/>
      <c r="T1277" s="8"/>
      <c r="U1277" s="8"/>
    </row>
    <row r="1278" spans="10:21">
      <c r="J1278" s="8"/>
      <c r="K1278" s="8"/>
      <c r="L1278" s="8"/>
      <c r="M1278" s="8"/>
      <c r="N1278" s="8"/>
      <c r="O1278" s="8"/>
      <c r="P1278" s="8"/>
      <c r="Q1278" s="8"/>
      <c r="R1278" s="8"/>
      <c r="S1278" s="8"/>
      <c r="T1278" s="8"/>
      <c r="U1278" s="8"/>
    </row>
    <row r="1279" spans="10:21">
      <c r="J1279" s="8"/>
      <c r="K1279" s="8"/>
      <c r="L1279" s="8"/>
      <c r="M1279" s="8"/>
      <c r="N1279" s="8"/>
      <c r="O1279" s="8"/>
      <c r="P1279" s="8"/>
      <c r="Q1279" s="8"/>
      <c r="R1279" s="8"/>
      <c r="S1279" s="8"/>
      <c r="T1279" s="8"/>
      <c r="U1279" s="8"/>
    </row>
    <row r="1280" spans="10:21">
      <c r="J1280" s="8"/>
      <c r="K1280" s="8"/>
      <c r="L1280" s="8"/>
      <c r="M1280" s="8"/>
      <c r="N1280" s="8"/>
      <c r="O1280" s="8"/>
      <c r="P1280" s="8"/>
      <c r="Q1280" s="8"/>
      <c r="R1280" s="8"/>
      <c r="S1280" s="8"/>
      <c r="T1280" s="8"/>
      <c r="U1280" s="8"/>
    </row>
    <row r="1281" spans="10:21">
      <c r="J1281" s="8"/>
      <c r="K1281" s="8"/>
      <c r="L1281" s="8"/>
      <c r="M1281" s="8"/>
      <c r="N1281" s="8"/>
      <c r="O1281" s="8"/>
      <c r="P1281" s="8"/>
      <c r="Q1281" s="8"/>
      <c r="R1281" s="8"/>
      <c r="S1281" s="8"/>
      <c r="T1281" s="8"/>
      <c r="U1281" s="8"/>
    </row>
    <row r="1282" spans="10:21">
      <c r="J1282" s="8"/>
      <c r="K1282" s="8"/>
      <c r="L1282" s="8"/>
      <c r="M1282" s="8"/>
      <c r="N1282" s="8"/>
      <c r="O1282" s="8"/>
      <c r="P1282" s="8"/>
      <c r="Q1282" s="8"/>
      <c r="R1282" s="8"/>
      <c r="S1282" s="8"/>
      <c r="T1282" s="8"/>
      <c r="U1282" s="8"/>
    </row>
    <row r="1283" spans="10:21">
      <c r="J1283" s="8"/>
      <c r="K1283" s="8"/>
      <c r="L1283" s="8"/>
      <c r="M1283" s="8"/>
      <c r="N1283" s="8"/>
      <c r="O1283" s="8"/>
      <c r="P1283" s="8"/>
      <c r="Q1283" s="8"/>
      <c r="R1283" s="8"/>
      <c r="S1283" s="8"/>
      <c r="T1283" s="8"/>
      <c r="U1283" s="8"/>
    </row>
    <row r="1284" spans="10:21">
      <c r="J1284" s="8"/>
      <c r="K1284" s="8"/>
      <c r="L1284" s="8"/>
      <c r="M1284" s="8"/>
      <c r="N1284" s="8"/>
      <c r="O1284" s="8"/>
      <c r="P1284" s="8"/>
      <c r="Q1284" s="8"/>
      <c r="R1284" s="8"/>
      <c r="S1284" s="8"/>
      <c r="T1284" s="8"/>
      <c r="U1284" s="8"/>
    </row>
    <row r="1285" spans="10:21">
      <c r="J1285" s="8"/>
      <c r="K1285" s="8"/>
      <c r="L1285" s="8"/>
      <c r="M1285" s="8"/>
      <c r="N1285" s="8"/>
      <c r="O1285" s="8"/>
      <c r="P1285" s="8"/>
      <c r="Q1285" s="8"/>
      <c r="R1285" s="8"/>
      <c r="S1285" s="8"/>
      <c r="T1285" s="8"/>
      <c r="U1285" s="8"/>
    </row>
    <row r="1286" spans="10:21">
      <c r="J1286" s="8"/>
      <c r="K1286" s="8"/>
      <c r="L1286" s="8"/>
      <c r="M1286" s="8"/>
      <c r="N1286" s="8"/>
      <c r="O1286" s="8"/>
      <c r="P1286" s="8"/>
      <c r="Q1286" s="8"/>
      <c r="R1286" s="8"/>
      <c r="S1286" s="8"/>
      <c r="T1286" s="8"/>
      <c r="U1286" s="8"/>
    </row>
    <row r="1287" spans="10:21">
      <c r="J1287" s="8"/>
      <c r="K1287" s="8"/>
      <c r="L1287" s="8"/>
      <c r="M1287" s="8"/>
      <c r="N1287" s="8"/>
      <c r="O1287" s="8"/>
      <c r="P1287" s="8"/>
      <c r="Q1287" s="8"/>
      <c r="R1287" s="8"/>
      <c r="S1287" s="8"/>
      <c r="T1287" s="8"/>
      <c r="U1287" s="8"/>
    </row>
    <row r="1288" spans="10:21">
      <c r="J1288" s="8"/>
      <c r="K1288" s="8"/>
      <c r="L1288" s="8"/>
      <c r="M1288" s="8"/>
      <c r="N1288" s="8"/>
      <c r="O1288" s="8"/>
      <c r="P1288" s="8"/>
      <c r="Q1288" s="8"/>
      <c r="R1288" s="8"/>
      <c r="S1288" s="8"/>
      <c r="T1288" s="8"/>
      <c r="U1288" s="8"/>
    </row>
    <row r="1289" spans="10:21">
      <c r="J1289" s="8"/>
      <c r="K1289" s="8"/>
      <c r="L1289" s="8"/>
      <c r="M1289" s="8"/>
      <c r="N1289" s="8"/>
      <c r="O1289" s="8"/>
      <c r="P1289" s="8"/>
      <c r="Q1289" s="8"/>
      <c r="R1289" s="8"/>
      <c r="S1289" s="8"/>
      <c r="T1289" s="8"/>
      <c r="U1289" s="8"/>
    </row>
    <row r="1290" spans="10:21">
      <c r="J1290" s="8"/>
      <c r="K1290" s="8"/>
      <c r="L1290" s="8"/>
      <c r="M1290" s="8"/>
      <c r="N1290" s="8"/>
      <c r="O1290" s="8"/>
      <c r="P1290" s="8"/>
      <c r="Q1290" s="8"/>
      <c r="R1290" s="8"/>
      <c r="S1290" s="8"/>
      <c r="T1290" s="8"/>
      <c r="U1290" s="8"/>
    </row>
    <row r="1291" spans="10:21">
      <c r="J1291" s="8"/>
      <c r="K1291" s="8"/>
      <c r="L1291" s="8"/>
      <c r="M1291" s="8"/>
      <c r="N1291" s="8"/>
      <c r="O1291" s="8"/>
      <c r="P1291" s="8"/>
      <c r="Q1291" s="8"/>
      <c r="R1291" s="8"/>
      <c r="S1291" s="8"/>
      <c r="T1291" s="8"/>
      <c r="U1291" s="8"/>
    </row>
    <row r="1292" spans="10:21">
      <c r="J1292" s="8"/>
      <c r="K1292" s="8"/>
      <c r="L1292" s="8"/>
      <c r="M1292" s="8"/>
      <c r="N1292" s="8"/>
      <c r="O1292" s="8"/>
      <c r="P1292" s="8"/>
      <c r="Q1292" s="8"/>
      <c r="R1292" s="8"/>
      <c r="S1292" s="8"/>
      <c r="T1292" s="8"/>
      <c r="U1292" s="8"/>
    </row>
    <row r="1293" spans="10:21">
      <c r="J1293" s="8"/>
      <c r="K1293" s="8"/>
      <c r="L1293" s="8"/>
      <c r="M1293" s="8"/>
      <c r="N1293" s="8"/>
      <c r="O1293" s="8"/>
      <c r="P1293" s="8"/>
      <c r="Q1293" s="8"/>
      <c r="R1293" s="8"/>
      <c r="S1293" s="8"/>
      <c r="T1293" s="8"/>
      <c r="U1293" s="8"/>
    </row>
    <row r="1294" spans="10:21">
      <c r="J1294" s="8"/>
      <c r="K1294" s="8"/>
      <c r="L1294" s="8"/>
      <c r="M1294" s="8"/>
      <c r="N1294" s="8"/>
      <c r="O1294" s="8"/>
      <c r="P1294" s="8"/>
      <c r="Q1294" s="8"/>
      <c r="R1294" s="8"/>
      <c r="S1294" s="8"/>
      <c r="T1294" s="8"/>
      <c r="U1294" s="8"/>
    </row>
    <row r="1295" spans="10:21">
      <c r="J1295" s="8"/>
      <c r="K1295" s="8"/>
      <c r="L1295" s="8"/>
      <c r="M1295" s="8"/>
      <c r="N1295" s="8"/>
      <c r="O1295" s="8"/>
      <c r="P1295" s="8"/>
      <c r="Q1295" s="8"/>
      <c r="R1295" s="8"/>
      <c r="S1295" s="8"/>
      <c r="T1295" s="8"/>
      <c r="U1295" s="8"/>
    </row>
    <row r="1296" spans="10:21">
      <c r="J1296" s="8"/>
      <c r="K1296" s="8"/>
      <c r="L1296" s="8"/>
      <c r="M1296" s="8"/>
      <c r="N1296" s="8"/>
      <c r="O1296" s="8"/>
      <c r="P1296" s="8"/>
      <c r="Q1296" s="8"/>
      <c r="R1296" s="8"/>
      <c r="S1296" s="8"/>
      <c r="T1296" s="8"/>
      <c r="U1296" s="8"/>
    </row>
    <row r="1297" spans="10:21">
      <c r="J1297" s="8"/>
      <c r="K1297" s="8"/>
      <c r="L1297" s="8"/>
      <c r="M1297" s="8"/>
      <c r="N1297" s="8"/>
      <c r="O1297" s="8"/>
      <c r="P1297" s="8"/>
      <c r="Q1297" s="8"/>
      <c r="R1297" s="8"/>
      <c r="S1297" s="8"/>
      <c r="T1297" s="8"/>
      <c r="U1297" s="8"/>
    </row>
    <row r="1298" spans="10:21">
      <c r="J1298" s="8"/>
      <c r="K1298" s="8"/>
      <c r="L1298" s="8"/>
      <c r="M1298" s="8"/>
      <c r="N1298" s="8"/>
      <c r="O1298" s="8"/>
      <c r="P1298" s="8"/>
      <c r="Q1298" s="8"/>
      <c r="R1298" s="8"/>
      <c r="S1298" s="8"/>
      <c r="T1298" s="8"/>
      <c r="U1298" s="8"/>
    </row>
    <row r="1299" spans="10:21">
      <c r="J1299" s="8"/>
      <c r="K1299" s="8"/>
      <c r="L1299" s="8"/>
      <c r="M1299" s="8"/>
      <c r="N1299" s="8"/>
      <c r="O1299" s="8"/>
      <c r="P1299" s="8"/>
      <c r="Q1299" s="8"/>
      <c r="R1299" s="8"/>
      <c r="S1299" s="8"/>
      <c r="T1299" s="8"/>
      <c r="U1299" s="8"/>
    </row>
    <row r="1300" spans="10:21">
      <c r="J1300" s="8"/>
      <c r="K1300" s="8"/>
      <c r="L1300" s="8"/>
      <c r="M1300" s="8"/>
      <c r="N1300" s="8"/>
      <c r="O1300" s="8"/>
      <c r="P1300" s="8"/>
      <c r="Q1300" s="8"/>
      <c r="R1300" s="8"/>
      <c r="S1300" s="8"/>
      <c r="T1300" s="8"/>
      <c r="U1300" s="8"/>
    </row>
    <row r="1301" spans="10:21">
      <c r="J1301" s="8"/>
      <c r="K1301" s="8"/>
      <c r="L1301" s="8"/>
      <c r="M1301" s="8"/>
      <c r="N1301" s="8"/>
      <c r="O1301" s="8"/>
      <c r="P1301" s="8"/>
      <c r="Q1301" s="8"/>
      <c r="R1301" s="8"/>
      <c r="S1301" s="8"/>
      <c r="T1301" s="8"/>
      <c r="U1301" s="8"/>
    </row>
    <row r="1302" spans="10:21">
      <c r="J1302" s="8"/>
      <c r="K1302" s="8"/>
      <c r="L1302" s="8"/>
      <c r="M1302" s="8"/>
      <c r="N1302" s="8"/>
      <c r="O1302" s="8"/>
      <c r="P1302" s="8"/>
      <c r="Q1302" s="8"/>
      <c r="R1302" s="8"/>
      <c r="S1302" s="8"/>
      <c r="T1302" s="8"/>
      <c r="U1302" s="8"/>
    </row>
    <row r="1303" spans="10:21">
      <c r="J1303" s="8"/>
      <c r="K1303" s="8"/>
      <c r="L1303" s="8"/>
      <c r="M1303" s="8"/>
      <c r="N1303" s="8"/>
      <c r="O1303" s="8"/>
      <c r="P1303" s="8"/>
      <c r="Q1303" s="8"/>
      <c r="R1303" s="8"/>
      <c r="S1303" s="8"/>
      <c r="T1303" s="8"/>
      <c r="U1303" s="8"/>
    </row>
    <row r="1304" spans="10:21">
      <c r="J1304" s="8"/>
      <c r="K1304" s="8"/>
      <c r="L1304" s="8"/>
      <c r="M1304" s="8"/>
      <c r="N1304" s="8"/>
      <c r="O1304" s="8"/>
      <c r="P1304" s="8"/>
      <c r="Q1304" s="8"/>
      <c r="R1304" s="8"/>
      <c r="S1304" s="8"/>
      <c r="T1304" s="8"/>
      <c r="U1304" s="8"/>
    </row>
    <row r="1305" spans="10:21">
      <c r="J1305" s="8"/>
      <c r="K1305" s="8"/>
      <c r="L1305" s="8"/>
      <c r="M1305" s="8"/>
      <c r="N1305" s="8"/>
      <c r="O1305" s="8"/>
      <c r="P1305" s="8"/>
      <c r="Q1305" s="8"/>
      <c r="R1305" s="8"/>
      <c r="S1305" s="8"/>
      <c r="T1305" s="8"/>
      <c r="U1305" s="8"/>
    </row>
    <row r="1306" spans="10:21">
      <c r="J1306" s="8"/>
      <c r="K1306" s="8"/>
      <c r="L1306" s="8"/>
      <c r="M1306" s="8"/>
      <c r="N1306" s="8"/>
      <c r="O1306" s="8"/>
      <c r="P1306" s="8"/>
      <c r="Q1306" s="8"/>
      <c r="R1306" s="8"/>
      <c r="S1306" s="8"/>
      <c r="T1306" s="8"/>
      <c r="U1306" s="8"/>
    </row>
    <row r="1307" spans="10:21">
      <c r="J1307" s="8"/>
      <c r="K1307" s="8"/>
      <c r="L1307" s="8"/>
      <c r="M1307" s="8"/>
      <c r="N1307" s="8"/>
      <c r="O1307" s="8"/>
      <c r="P1307" s="8"/>
      <c r="Q1307" s="8"/>
      <c r="R1307" s="8"/>
      <c r="S1307" s="8"/>
      <c r="T1307" s="8"/>
      <c r="U1307" s="8"/>
    </row>
    <row r="1308" spans="10:21">
      <c r="J1308" s="8"/>
      <c r="K1308" s="8"/>
      <c r="L1308" s="8"/>
      <c r="M1308" s="8"/>
      <c r="N1308" s="8"/>
      <c r="O1308" s="8"/>
      <c r="P1308" s="8"/>
      <c r="Q1308" s="8"/>
      <c r="R1308" s="8"/>
      <c r="S1308" s="8"/>
      <c r="T1308" s="8"/>
      <c r="U1308" s="8"/>
    </row>
    <row r="1309" spans="10:21">
      <c r="J1309" s="8"/>
      <c r="K1309" s="8"/>
      <c r="L1309" s="8"/>
      <c r="M1309" s="8"/>
      <c r="N1309" s="8"/>
      <c r="O1309" s="8"/>
      <c r="P1309" s="8"/>
      <c r="Q1309" s="8"/>
      <c r="R1309" s="8"/>
      <c r="S1309" s="8"/>
      <c r="T1309" s="8"/>
      <c r="U1309" s="8"/>
    </row>
    <row r="1310" spans="10:21">
      <c r="J1310" s="8"/>
      <c r="K1310" s="8"/>
      <c r="L1310" s="8"/>
      <c r="M1310" s="8"/>
      <c r="N1310" s="8"/>
      <c r="O1310" s="8"/>
      <c r="P1310" s="8"/>
      <c r="Q1310" s="8"/>
      <c r="R1310" s="8"/>
      <c r="S1310" s="8"/>
      <c r="T1310" s="8"/>
      <c r="U1310" s="8"/>
    </row>
    <row r="1311" spans="10:21">
      <c r="J1311" s="8"/>
      <c r="K1311" s="8"/>
      <c r="L1311" s="8"/>
      <c r="M1311" s="8"/>
      <c r="N1311" s="8"/>
      <c r="O1311" s="8"/>
      <c r="P1311" s="8"/>
      <c r="Q1311" s="8"/>
      <c r="R1311" s="8"/>
      <c r="S1311" s="8"/>
      <c r="T1311" s="8"/>
      <c r="U1311" s="8"/>
    </row>
    <row r="1312" spans="10:21">
      <c r="J1312" s="8"/>
      <c r="K1312" s="8"/>
      <c r="L1312" s="8"/>
      <c r="M1312" s="8"/>
      <c r="N1312" s="8"/>
      <c r="O1312" s="8"/>
      <c r="P1312" s="8"/>
      <c r="Q1312" s="8"/>
      <c r="R1312" s="8"/>
      <c r="S1312" s="8"/>
      <c r="T1312" s="8"/>
      <c r="U1312" s="8"/>
    </row>
    <row r="1313" spans="10:21">
      <c r="J1313" s="8"/>
      <c r="K1313" s="8"/>
      <c r="L1313" s="8"/>
      <c r="M1313" s="8"/>
      <c r="N1313" s="8"/>
      <c r="O1313" s="8"/>
      <c r="P1313" s="8"/>
      <c r="Q1313" s="8"/>
      <c r="R1313" s="8"/>
      <c r="S1313" s="8"/>
      <c r="T1313" s="8"/>
      <c r="U1313" s="8"/>
    </row>
    <row r="1314" spans="10:21">
      <c r="J1314" s="8"/>
      <c r="K1314" s="8"/>
      <c r="L1314" s="8"/>
      <c r="M1314" s="8"/>
      <c r="N1314" s="8"/>
      <c r="O1314" s="8"/>
      <c r="P1314" s="8"/>
      <c r="Q1314" s="8"/>
      <c r="R1314" s="8"/>
      <c r="S1314" s="8"/>
      <c r="T1314" s="8"/>
      <c r="U1314" s="8"/>
    </row>
    <row r="1315" spans="10:21">
      <c r="J1315" s="8"/>
      <c r="K1315" s="8"/>
      <c r="L1315" s="8"/>
      <c r="M1315" s="8"/>
      <c r="N1315" s="8"/>
      <c r="O1315" s="8"/>
      <c r="P1315" s="8"/>
      <c r="Q1315" s="8"/>
      <c r="R1315" s="8"/>
      <c r="S1315" s="8"/>
      <c r="T1315" s="8"/>
      <c r="U1315" s="8"/>
    </row>
    <row r="1316" spans="10:21">
      <c r="J1316" s="8"/>
      <c r="K1316" s="8"/>
      <c r="L1316" s="8"/>
      <c r="M1316" s="8"/>
      <c r="N1316" s="8"/>
      <c r="O1316" s="8"/>
      <c r="P1316" s="8"/>
      <c r="Q1316" s="8"/>
      <c r="R1316" s="8"/>
      <c r="S1316" s="8"/>
      <c r="T1316" s="8"/>
      <c r="U1316" s="8"/>
    </row>
    <row r="1317" spans="10:21">
      <c r="J1317" s="8"/>
      <c r="K1317" s="8"/>
      <c r="L1317" s="8"/>
      <c r="M1317" s="8"/>
      <c r="N1317" s="8"/>
      <c r="O1317" s="8"/>
      <c r="P1317" s="8"/>
      <c r="Q1317" s="8"/>
      <c r="R1317" s="8"/>
      <c r="S1317" s="8"/>
      <c r="T1317" s="8"/>
      <c r="U1317" s="8"/>
    </row>
    <row r="1318" spans="10:21">
      <c r="J1318" s="8"/>
      <c r="K1318" s="8"/>
      <c r="L1318" s="8"/>
      <c r="M1318" s="8"/>
      <c r="N1318" s="8"/>
      <c r="O1318" s="8"/>
      <c r="P1318" s="8"/>
      <c r="Q1318" s="8"/>
      <c r="R1318" s="8"/>
      <c r="S1318" s="8"/>
      <c r="T1318" s="8"/>
      <c r="U1318" s="8"/>
    </row>
    <row r="1319" spans="10:21">
      <c r="J1319" s="8"/>
      <c r="K1319" s="8"/>
      <c r="L1319" s="8"/>
      <c r="M1319" s="8"/>
      <c r="N1319" s="8"/>
      <c r="O1319" s="8"/>
      <c r="P1319" s="8"/>
      <c r="Q1319" s="8"/>
      <c r="R1319" s="8"/>
      <c r="S1319" s="8"/>
      <c r="T1319" s="8"/>
      <c r="U1319" s="8"/>
    </row>
    <row r="1320" spans="10:21">
      <c r="J1320" s="8"/>
      <c r="K1320" s="8"/>
      <c r="L1320" s="8"/>
      <c r="M1320" s="8"/>
      <c r="N1320" s="8"/>
      <c r="O1320" s="8"/>
      <c r="P1320" s="8"/>
      <c r="Q1320" s="8"/>
      <c r="R1320" s="8"/>
      <c r="S1320" s="8"/>
      <c r="T1320" s="8"/>
      <c r="U1320" s="8"/>
    </row>
    <row r="1321" spans="10:21">
      <c r="J1321" s="8"/>
      <c r="K1321" s="8"/>
      <c r="L1321" s="8"/>
      <c r="M1321" s="8"/>
      <c r="N1321" s="8"/>
      <c r="O1321" s="8"/>
      <c r="P1321" s="8"/>
      <c r="Q1321" s="8"/>
      <c r="R1321" s="8"/>
      <c r="S1321" s="8"/>
      <c r="T1321" s="8"/>
      <c r="U1321" s="8"/>
    </row>
    <row r="1322" spans="10:21">
      <c r="J1322" s="8"/>
      <c r="K1322" s="8"/>
      <c r="L1322" s="8"/>
      <c r="M1322" s="8"/>
      <c r="N1322" s="8"/>
      <c r="O1322" s="8"/>
      <c r="P1322" s="8"/>
      <c r="Q1322" s="8"/>
      <c r="R1322" s="8"/>
      <c r="S1322" s="8"/>
      <c r="T1322" s="8"/>
      <c r="U1322" s="8"/>
    </row>
    <row r="1323" spans="10:21">
      <c r="J1323" s="8"/>
      <c r="K1323" s="8"/>
      <c r="L1323" s="8"/>
      <c r="M1323" s="8"/>
      <c r="N1323" s="8"/>
      <c r="O1323" s="8"/>
      <c r="P1323" s="8"/>
      <c r="Q1323" s="8"/>
      <c r="R1323" s="8"/>
      <c r="S1323" s="8"/>
      <c r="T1323" s="8"/>
      <c r="U1323" s="8"/>
    </row>
    <row r="1324" spans="10:21">
      <c r="J1324" s="8"/>
      <c r="K1324" s="8"/>
      <c r="L1324" s="8"/>
      <c r="M1324" s="8"/>
      <c r="N1324" s="8"/>
      <c r="O1324" s="8"/>
      <c r="P1324" s="8"/>
      <c r="Q1324" s="8"/>
      <c r="R1324" s="8"/>
      <c r="S1324" s="8"/>
      <c r="T1324" s="8"/>
      <c r="U1324" s="8"/>
    </row>
    <row r="1325" spans="10:21">
      <c r="J1325" s="8"/>
      <c r="K1325" s="8"/>
      <c r="L1325" s="8"/>
      <c r="M1325" s="8"/>
      <c r="N1325" s="8"/>
      <c r="O1325" s="8"/>
      <c r="P1325" s="8"/>
      <c r="Q1325" s="8"/>
      <c r="R1325" s="8"/>
      <c r="S1325" s="8"/>
      <c r="T1325" s="8"/>
      <c r="U1325" s="8"/>
    </row>
    <row r="1326" spans="10:21">
      <c r="J1326" s="8"/>
      <c r="K1326" s="8"/>
      <c r="L1326" s="8"/>
      <c r="M1326" s="8"/>
      <c r="N1326" s="8"/>
      <c r="O1326" s="8"/>
      <c r="P1326" s="8"/>
      <c r="Q1326" s="8"/>
      <c r="R1326" s="8"/>
      <c r="S1326" s="8"/>
      <c r="T1326" s="8"/>
      <c r="U1326" s="8"/>
    </row>
    <row r="1327" spans="10:21">
      <c r="J1327" s="8"/>
      <c r="K1327" s="8"/>
      <c r="L1327" s="8"/>
      <c r="M1327" s="8"/>
      <c r="N1327" s="8"/>
      <c r="O1327" s="8"/>
      <c r="P1327" s="8"/>
      <c r="Q1327" s="8"/>
      <c r="R1327" s="8"/>
      <c r="S1327" s="8"/>
      <c r="T1327" s="8"/>
      <c r="U1327" s="8"/>
    </row>
    <row r="1328" spans="10:21">
      <c r="J1328" s="8"/>
      <c r="K1328" s="8"/>
      <c r="L1328" s="8"/>
      <c r="M1328" s="8"/>
      <c r="N1328" s="8"/>
      <c r="O1328" s="8"/>
      <c r="P1328" s="8"/>
      <c r="Q1328" s="8"/>
      <c r="R1328" s="8"/>
      <c r="S1328" s="8"/>
      <c r="T1328" s="8"/>
      <c r="U1328" s="8"/>
    </row>
    <row r="1329" spans="10:21">
      <c r="J1329" s="8"/>
      <c r="K1329" s="8"/>
      <c r="L1329" s="8"/>
      <c r="M1329" s="8"/>
      <c r="N1329" s="8"/>
      <c r="O1329" s="8"/>
      <c r="P1329" s="8"/>
      <c r="Q1329" s="8"/>
      <c r="R1329" s="8"/>
      <c r="S1329" s="8"/>
      <c r="T1329" s="8"/>
      <c r="U1329" s="8"/>
    </row>
    <row r="1330" spans="10:21">
      <c r="J1330" s="8"/>
      <c r="K1330" s="8"/>
      <c r="L1330" s="8"/>
      <c r="M1330" s="8"/>
      <c r="N1330" s="8"/>
      <c r="O1330" s="8"/>
      <c r="P1330" s="8"/>
      <c r="Q1330" s="8"/>
      <c r="R1330" s="8"/>
      <c r="S1330" s="8"/>
      <c r="T1330" s="8"/>
      <c r="U1330" s="8"/>
    </row>
    <row r="1331" spans="10:21">
      <c r="J1331" s="8"/>
      <c r="K1331" s="8"/>
      <c r="L1331" s="8"/>
      <c r="M1331" s="8"/>
      <c r="N1331" s="8"/>
      <c r="O1331" s="8"/>
      <c r="P1331" s="8"/>
      <c r="Q1331" s="8"/>
      <c r="R1331" s="8"/>
      <c r="S1331" s="8"/>
      <c r="T1331" s="8"/>
      <c r="U1331" s="8"/>
    </row>
    <row r="1332" spans="10:21">
      <c r="J1332" s="8"/>
      <c r="K1332" s="8"/>
      <c r="L1332" s="8"/>
      <c r="M1332" s="8"/>
      <c r="N1332" s="8"/>
      <c r="O1332" s="8"/>
      <c r="P1332" s="8"/>
      <c r="Q1332" s="8"/>
      <c r="R1332" s="8"/>
      <c r="S1332" s="8"/>
      <c r="T1332" s="8"/>
      <c r="U1332" s="8"/>
    </row>
    <row r="1333" spans="10:21">
      <c r="J1333" s="8"/>
      <c r="K1333" s="8"/>
      <c r="L1333" s="8"/>
      <c r="M1333" s="8"/>
      <c r="N1333" s="8"/>
      <c r="O1333" s="8"/>
      <c r="P1333" s="8"/>
      <c r="Q1333" s="8"/>
      <c r="R1333" s="8"/>
      <c r="S1333" s="8"/>
      <c r="T1333" s="8"/>
      <c r="U1333" s="8"/>
    </row>
    <row r="1334" spans="10:21">
      <c r="J1334" s="8"/>
      <c r="K1334" s="8"/>
      <c r="L1334" s="8"/>
      <c r="M1334" s="8"/>
      <c r="N1334" s="8"/>
      <c r="O1334" s="8"/>
      <c r="P1334" s="8"/>
      <c r="Q1334" s="8"/>
      <c r="R1334" s="8"/>
      <c r="S1334" s="8"/>
      <c r="T1334" s="8"/>
      <c r="U1334" s="8"/>
    </row>
    <row r="1335" spans="10:21">
      <c r="J1335" s="8"/>
      <c r="K1335" s="8"/>
      <c r="L1335" s="8"/>
      <c r="M1335" s="8"/>
      <c r="N1335" s="8"/>
      <c r="O1335" s="8"/>
      <c r="P1335" s="8"/>
      <c r="Q1335" s="8"/>
      <c r="R1335" s="8"/>
      <c r="S1335" s="8"/>
      <c r="T1335" s="8"/>
      <c r="U1335" s="8"/>
    </row>
    <row r="1336" spans="10:21">
      <c r="J1336" s="8"/>
      <c r="K1336" s="8"/>
      <c r="L1336" s="8"/>
      <c r="M1336" s="8"/>
      <c r="N1336" s="8"/>
      <c r="O1336" s="8"/>
      <c r="P1336" s="8"/>
      <c r="Q1336" s="8"/>
      <c r="R1336" s="8"/>
      <c r="S1336" s="8"/>
      <c r="T1336" s="8"/>
      <c r="U1336" s="8"/>
    </row>
    <row r="1337" spans="10:21">
      <c r="J1337" s="8"/>
      <c r="K1337" s="8"/>
      <c r="L1337" s="8"/>
      <c r="M1337" s="8"/>
      <c r="N1337" s="8"/>
      <c r="O1337" s="8"/>
      <c r="P1337" s="8"/>
      <c r="Q1337" s="8"/>
      <c r="R1337" s="8"/>
      <c r="S1337" s="8"/>
      <c r="T1337" s="8"/>
      <c r="U1337" s="8"/>
    </row>
    <row r="1338" spans="10:21">
      <c r="J1338" s="8"/>
      <c r="K1338" s="8"/>
      <c r="L1338" s="8"/>
      <c r="M1338" s="8"/>
      <c r="N1338" s="8"/>
      <c r="O1338" s="8"/>
      <c r="P1338" s="8"/>
      <c r="Q1338" s="8"/>
      <c r="R1338" s="8"/>
      <c r="S1338" s="8"/>
      <c r="T1338" s="8"/>
      <c r="U1338" s="8"/>
    </row>
    <row r="1339" spans="10:21">
      <c r="J1339" s="8"/>
      <c r="K1339" s="8"/>
      <c r="L1339" s="8"/>
      <c r="M1339" s="8"/>
      <c r="N1339" s="8"/>
      <c r="O1339" s="8"/>
      <c r="P1339" s="8"/>
      <c r="Q1339" s="8"/>
      <c r="R1339" s="8"/>
      <c r="S1339" s="8"/>
      <c r="T1339" s="8"/>
      <c r="U1339" s="8"/>
    </row>
    <row r="1340" spans="10:21">
      <c r="J1340" s="8"/>
      <c r="K1340" s="8"/>
      <c r="L1340" s="8"/>
      <c r="M1340" s="8"/>
      <c r="N1340" s="8"/>
      <c r="O1340" s="8"/>
      <c r="P1340" s="8"/>
      <c r="Q1340" s="8"/>
      <c r="R1340" s="8"/>
      <c r="S1340" s="8"/>
      <c r="T1340" s="8"/>
      <c r="U1340" s="8"/>
    </row>
    <row r="1341" spans="10:21">
      <c r="J1341" s="8"/>
      <c r="K1341" s="8"/>
      <c r="L1341" s="8"/>
      <c r="M1341" s="8"/>
      <c r="N1341" s="8"/>
      <c r="O1341" s="8"/>
      <c r="P1341" s="8"/>
      <c r="Q1341" s="8"/>
      <c r="R1341" s="8"/>
      <c r="S1341" s="8"/>
      <c r="T1341" s="8"/>
      <c r="U1341" s="8"/>
    </row>
    <row r="1342" spans="10:21">
      <c r="J1342" s="8"/>
      <c r="K1342" s="8"/>
      <c r="L1342" s="8"/>
      <c r="M1342" s="8"/>
      <c r="N1342" s="8"/>
      <c r="O1342" s="8"/>
      <c r="P1342" s="8"/>
      <c r="Q1342" s="8"/>
      <c r="R1342" s="8"/>
      <c r="S1342" s="8"/>
      <c r="T1342" s="8"/>
      <c r="U1342" s="8"/>
    </row>
    <row r="1343" spans="10:21">
      <c r="J1343" s="8"/>
      <c r="K1343" s="8"/>
      <c r="L1343" s="8"/>
      <c r="M1343" s="8"/>
      <c r="N1343" s="8"/>
      <c r="O1343" s="8"/>
      <c r="P1343" s="8"/>
      <c r="Q1343" s="8"/>
      <c r="R1343" s="8"/>
      <c r="S1343" s="8"/>
      <c r="T1343" s="8"/>
      <c r="U1343" s="8"/>
    </row>
    <row r="1344" spans="10:21">
      <c r="J1344" s="8"/>
      <c r="K1344" s="8"/>
      <c r="L1344" s="8"/>
      <c r="M1344" s="8"/>
      <c r="N1344" s="8"/>
      <c r="O1344" s="8"/>
      <c r="P1344" s="8"/>
      <c r="Q1344" s="8"/>
      <c r="R1344" s="8"/>
      <c r="S1344" s="8"/>
      <c r="T1344" s="8"/>
      <c r="U1344" s="8"/>
    </row>
    <row r="1345" spans="10:21">
      <c r="J1345" s="8"/>
      <c r="K1345" s="8"/>
      <c r="L1345" s="8"/>
      <c r="M1345" s="8"/>
      <c r="N1345" s="8"/>
      <c r="O1345" s="8"/>
      <c r="P1345" s="8"/>
      <c r="Q1345" s="8"/>
      <c r="R1345" s="8"/>
      <c r="S1345" s="8"/>
      <c r="T1345" s="8"/>
      <c r="U1345" s="8"/>
    </row>
    <row r="1346" spans="10:21">
      <c r="J1346" s="8"/>
      <c r="K1346" s="8"/>
      <c r="L1346" s="8"/>
      <c r="M1346" s="8"/>
      <c r="N1346" s="8"/>
      <c r="O1346" s="8"/>
      <c r="P1346" s="8"/>
      <c r="Q1346" s="8"/>
      <c r="R1346" s="8"/>
      <c r="S1346" s="8"/>
      <c r="T1346" s="8"/>
      <c r="U1346" s="8"/>
    </row>
    <row r="1347" spans="10:21">
      <c r="J1347" s="8"/>
      <c r="K1347" s="8"/>
      <c r="L1347" s="8"/>
      <c r="M1347" s="8"/>
      <c r="N1347" s="8"/>
      <c r="O1347" s="8"/>
      <c r="P1347" s="8"/>
      <c r="Q1347" s="8"/>
      <c r="R1347" s="8"/>
      <c r="S1347" s="8"/>
      <c r="T1347" s="8"/>
      <c r="U1347" s="8"/>
    </row>
    <row r="1348" spans="10:21">
      <c r="J1348" s="8"/>
      <c r="K1348" s="8"/>
      <c r="L1348" s="8"/>
      <c r="M1348" s="8"/>
      <c r="N1348" s="8"/>
      <c r="O1348" s="8"/>
      <c r="P1348" s="8"/>
      <c r="Q1348" s="8"/>
      <c r="R1348" s="8"/>
      <c r="S1348" s="8"/>
      <c r="T1348" s="8"/>
      <c r="U1348" s="8"/>
    </row>
    <row r="1349" spans="10:21">
      <c r="J1349" s="8"/>
      <c r="K1349" s="8"/>
      <c r="L1349" s="8"/>
      <c r="M1349" s="8"/>
      <c r="N1349" s="8"/>
      <c r="O1349" s="8"/>
      <c r="P1349" s="8"/>
      <c r="Q1349" s="8"/>
      <c r="R1349" s="8"/>
      <c r="S1349" s="8"/>
      <c r="T1349" s="8"/>
      <c r="U1349" s="8"/>
    </row>
    <row r="1350" spans="10:21">
      <c r="J1350" s="8"/>
      <c r="K1350" s="8"/>
      <c r="L1350" s="8"/>
      <c r="M1350" s="8"/>
      <c r="N1350" s="8"/>
      <c r="O1350" s="8"/>
      <c r="P1350" s="8"/>
      <c r="Q1350" s="8"/>
      <c r="R1350" s="8"/>
      <c r="S1350" s="8"/>
      <c r="T1350" s="8"/>
      <c r="U1350" s="8"/>
    </row>
    <row r="1351" spans="10:21">
      <c r="J1351" s="8"/>
      <c r="K1351" s="8"/>
      <c r="L1351" s="8"/>
      <c r="M1351" s="8"/>
      <c r="N1351" s="8"/>
      <c r="O1351" s="8"/>
      <c r="P1351" s="8"/>
      <c r="Q1351" s="8"/>
      <c r="R1351" s="8"/>
      <c r="S1351" s="8"/>
      <c r="T1351" s="8"/>
      <c r="U1351" s="8"/>
    </row>
    <row r="1352" spans="10:21">
      <c r="J1352" s="8"/>
      <c r="K1352" s="8"/>
      <c r="L1352" s="8"/>
      <c r="M1352" s="8"/>
      <c r="N1352" s="8"/>
      <c r="O1352" s="8"/>
      <c r="P1352" s="8"/>
      <c r="Q1352" s="8"/>
      <c r="R1352" s="8"/>
      <c r="S1352" s="8"/>
      <c r="T1352" s="8"/>
      <c r="U1352" s="8"/>
    </row>
    <row r="1353" spans="10:21">
      <c r="J1353" s="8"/>
      <c r="K1353" s="8"/>
      <c r="L1353" s="8"/>
      <c r="M1353" s="8"/>
      <c r="N1353" s="8"/>
      <c r="O1353" s="8"/>
      <c r="P1353" s="8"/>
      <c r="Q1353" s="8"/>
      <c r="R1353" s="8"/>
      <c r="S1353" s="8"/>
      <c r="T1353" s="8"/>
      <c r="U1353" s="8"/>
    </row>
    <row r="1354" spans="10:21">
      <c r="J1354" s="8"/>
      <c r="K1354" s="8"/>
      <c r="L1354" s="8"/>
      <c r="M1354" s="8"/>
      <c r="N1354" s="8"/>
      <c r="O1354" s="8"/>
      <c r="P1354" s="8"/>
      <c r="Q1354" s="8"/>
      <c r="R1354" s="8"/>
      <c r="S1354" s="8"/>
      <c r="T1354" s="8"/>
      <c r="U1354" s="8"/>
    </row>
    <row r="1355" spans="10:21">
      <c r="J1355" s="8"/>
      <c r="K1355" s="8"/>
      <c r="L1355" s="8"/>
      <c r="M1355" s="8"/>
      <c r="N1355" s="8"/>
      <c r="O1355" s="8"/>
      <c r="P1355" s="8"/>
      <c r="Q1355" s="8"/>
      <c r="R1355" s="8"/>
      <c r="S1355" s="8"/>
      <c r="T1355" s="8"/>
      <c r="U1355" s="8"/>
    </row>
    <row r="1356" spans="10:21">
      <c r="J1356" s="8"/>
      <c r="K1356" s="8"/>
      <c r="L1356" s="8"/>
      <c r="M1356" s="8"/>
      <c r="N1356" s="8"/>
      <c r="O1356" s="8"/>
      <c r="P1356" s="8"/>
      <c r="Q1356" s="8"/>
      <c r="R1356" s="8"/>
      <c r="S1356" s="8"/>
      <c r="T1356" s="8"/>
      <c r="U1356" s="8"/>
    </row>
    <row r="1357" spans="10:21">
      <c r="J1357" s="8"/>
      <c r="K1357" s="8"/>
      <c r="L1357" s="8"/>
      <c r="M1357" s="8"/>
      <c r="N1357" s="8"/>
      <c r="O1357" s="8"/>
      <c r="P1357" s="8"/>
      <c r="Q1357" s="8"/>
      <c r="R1357" s="8"/>
      <c r="S1357" s="8"/>
      <c r="T1357" s="8"/>
      <c r="U1357" s="8"/>
    </row>
    <row r="1358" spans="10:21">
      <c r="J1358" s="8"/>
      <c r="K1358" s="8"/>
      <c r="L1358" s="8"/>
      <c r="M1358" s="8"/>
      <c r="N1358" s="8"/>
      <c r="O1358" s="8"/>
      <c r="P1358" s="8"/>
      <c r="Q1358" s="8"/>
      <c r="R1358" s="8"/>
      <c r="S1358" s="8"/>
      <c r="T1358" s="8"/>
      <c r="U1358" s="8"/>
    </row>
    <row r="1359" spans="10:21">
      <c r="J1359" s="8"/>
      <c r="K1359" s="8"/>
      <c r="L1359" s="8"/>
      <c r="M1359" s="8"/>
      <c r="N1359" s="8"/>
      <c r="O1359" s="8"/>
      <c r="P1359" s="8"/>
      <c r="Q1359" s="8"/>
      <c r="R1359" s="8"/>
      <c r="S1359" s="8"/>
      <c r="T1359" s="8"/>
      <c r="U1359" s="8"/>
    </row>
    <row r="1360" spans="10:21">
      <c r="J1360" s="8"/>
      <c r="K1360" s="8"/>
      <c r="L1360" s="8"/>
      <c r="M1360" s="8"/>
      <c r="N1360" s="8"/>
      <c r="O1360" s="8"/>
      <c r="P1360" s="8"/>
      <c r="Q1360" s="8"/>
      <c r="R1360" s="8"/>
      <c r="S1360" s="8"/>
      <c r="T1360" s="8"/>
      <c r="U1360" s="8"/>
    </row>
    <row r="1361" spans="10:21">
      <c r="J1361" s="8"/>
      <c r="K1361" s="8"/>
      <c r="L1361" s="8"/>
      <c r="M1361" s="8"/>
      <c r="N1361" s="8"/>
      <c r="O1361" s="8"/>
      <c r="P1361" s="8"/>
      <c r="Q1361" s="8"/>
      <c r="R1361" s="8"/>
      <c r="S1361" s="8"/>
      <c r="T1361" s="8"/>
      <c r="U1361" s="8"/>
    </row>
    <row r="1362" spans="10:21">
      <c r="J1362" s="8"/>
      <c r="K1362" s="8"/>
      <c r="L1362" s="8"/>
      <c r="M1362" s="8"/>
      <c r="N1362" s="8"/>
      <c r="O1362" s="8"/>
      <c r="P1362" s="8"/>
      <c r="Q1362" s="8"/>
      <c r="R1362" s="8"/>
      <c r="S1362" s="8"/>
      <c r="T1362" s="8"/>
      <c r="U1362" s="8"/>
    </row>
    <row r="1363" spans="10:21">
      <c r="J1363" s="8"/>
      <c r="K1363" s="8"/>
      <c r="L1363" s="8"/>
      <c r="M1363" s="8"/>
      <c r="N1363" s="8"/>
      <c r="O1363" s="8"/>
      <c r="P1363" s="8"/>
      <c r="Q1363" s="8"/>
      <c r="R1363" s="8"/>
      <c r="S1363" s="8"/>
      <c r="T1363" s="8"/>
      <c r="U1363" s="8"/>
    </row>
    <row r="1364" spans="10:21">
      <c r="J1364" s="8"/>
      <c r="K1364" s="8"/>
      <c r="L1364" s="8"/>
      <c r="M1364" s="8"/>
      <c r="N1364" s="8"/>
      <c r="O1364" s="8"/>
      <c r="P1364" s="8"/>
      <c r="Q1364" s="8"/>
      <c r="R1364" s="8"/>
      <c r="S1364" s="8"/>
      <c r="T1364" s="8"/>
      <c r="U1364" s="8"/>
    </row>
    <row r="1365" spans="10:21">
      <c r="J1365" s="8"/>
      <c r="K1365" s="8"/>
      <c r="L1365" s="8"/>
      <c r="M1365" s="8"/>
      <c r="N1365" s="8"/>
      <c r="O1365" s="8"/>
      <c r="P1365" s="8"/>
      <c r="Q1365" s="8"/>
      <c r="R1365" s="8"/>
      <c r="S1365" s="8"/>
      <c r="T1365" s="8"/>
      <c r="U1365" s="8"/>
    </row>
    <row r="1366" spans="10:21">
      <c r="J1366" s="8"/>
      <c r="K1366" s="8"/>
      <c r="L1366" s="8"/>
      <c r="M1366" s="8"/>
      <c r="N1366" s="8"/>
      <c r="O1366" s="8"/>
      <c r="P1366" s="8"/>
      <c r="Q1366" s="8"/>
      <c r="R1366" s="8"/>
      <c r="S1366" s="8"/>
      <c r="T1366" s="8"/>
      <c r="U1366" s="8"/>
    </row>
    <row r="1367" spans="10:21">
      <c r="J1367" s="8"/>
      <c r="K1367" s="8"/>
      <c r="L1367" s="8"/>
      <c r="M1367" s="8"/>
      <c r="N1367" s="8"/>
      <c r="O1367" s="8"/>
      <c r="P1367" s="8"/>
      <c r="Q1367" s="8"/>
      <c r="R1367" s="8"/>
      <c r="S1367" s="8"/>
      <c r="T1367" s="8"/>
      <c r="U1367" s="8"/>
    </row>
    <row r="1368" spans="10:21">
      <c r="J1368" s="8"/>
      <c r="K1368" s="8"/>
      <c r="L1368" s="8"/>
      <c r="M1368" s="8"/>
      <c r="N1368" s="8"/>
      <c r="O1368" s="8"/>
      <c r="P1368" s="8"/>
      <c r="Q1368" s="8"/>
      <c r="R1368" s="8"/>
      <c r="S1368" s="8"/>
      <c r="T1368" s="8"/>
      <c r="U1368" s="8"/>
    </row>
    <row r="1369" spans="10:21">
      <c r="J1369" s="8"/>
      <c r="K1369" s="8"/>
      <c r="L1369" s="8"/>
      <c r="M1369" s="8"/>
      <c r="N1369" s="8"/>
      <c r="O1369" s="8"/>
      <c r="P1369" s="8"/>
      <c r="Q1369" s="8"/>
      <c r="R1369" s="8"/>
      <c r="S1369" s="8"/>
      <c r="T1369" s="8"/>
      <c r="U1369" s="8"/>
    </row>
    <row r="1370" spans="10:21">
      <c r="J1370" s="8"/>
      <c r="K1370" s="8"/>
      <c r="L1370" s="8"/>
      <c r="M1370" s="8"/>
      <c r="N1370" s="8"/>
      <c r="O1370" s="8"/>
      <c r="P1370" s="8"/>
      <c r="Q1370" s="8"/>
      <c r="R1370" s="8"/>
      <c r="S1370" s="8"/>
      <c r="T1370" s="8"/>
      <c r="U1370" s="8"/>
    </row>
    <row r="1371" spans="10:21">
      <c r="J1371" s="8"/>
      <c r="K1371" s="8"/>
      <c r="L1371" s="8"/>
      <c r="M1371" s="8"/>
      <c r="N1371" s="8"/>
      <c r="O1371" s="8"/>
      <c r="P1371" s="8"/>
      <c r="Q1371" s="8"/>
      <c r="R1371" s="8"/>
      <c r="S1371" s="8"/>
      <c r="T1371" s="8"/>
      <c r="U1371" s="8"/>
    </row>
    <row r="1372" spans="10:21">
      <c r="J1372" s="8"/>
      <c r="K1372" s="8"/>
      <c r="L1372" s="8"/>
      <c r="M1372" s="8"/>
      <c r="N1372" s="8"/>
      <c r="O1372" s="8"/>
      <c r="P1372" s="8"/>
      <c r="Q1372" s="8"/>
      <c r="R1372" s="8"/>
      <c r="S1372" s="8"/>
      <c r="T1372" s="8"/>
      <c r="U1372" s="8"/>
    </row>
    <row r="1373" spans="10:21">
      <c r="J1373" s="8"/>
      <c r="K1373" s="8"/>
      <c r="L1373" s="8"/>
      <c r="M1373" s="8"/>
      <c r="N1373" s="8"/>
      <c r="O1373" s="8"/>
      <c r="P1373" s="8"/>
      <c r="Q1373" s="8"/>
      <c r="R1373" s="8"/>
      <c r="S1373" s="8"/>
      <c r="T1373" s="8"/>
      <c r="U1373" s="8"/>
    </row>
    <row r="1374" spans="10:21">
      <c r="J1374" s="8"/>
      <c r="K1374" s="8"/>
      <c r="L1374" s="8"/>
      <c r="M1374" s="8"/>
      <c r="N1374" s="8"/>
      <c r="O1374" s="8"/>
      <c r="P1374" s="8"/>
      <c r="Q1374" s="8"/>
      <c r="R1374" s="8"/>
      <c r="S1374" s="8"/>
      <c r="T1374" s="8"/>
      <c r="U1374" s="8"/>
    </row>
    <row r="1375" spans="10:21">
      <c r="J1375" s="8"/>
      <c r="K1375" s="8"/>
      <c r="L1375" s="8"/>
      <c r="M1375" s="8"/>
      <c r="N1375" s="8"/>
      <c r="O1375" s="8"/>
      <c r="P1375" s="8"/>
      <c r="Q1375" s="8"/>
      <c r="R1375" s="8"/>
      <c r="S1375" s="8"/>
      <c r="T1375" s="8"/>
      <c r="U1375" s="8"/>
    </row>
    <row r="1376" spans="10:21">
      <c r="J1376" s="8"/>
      <c r="K1376" s="8"/>
      <c r="L1376" s="8"/>
      <c r="M1376" s="8"/>
      <c r="N1376" s="8"/>
      <c r="O1376" s="8"/>
      <c r="P1376" s="8"/>
      <c r="Q1376" s="8"/>
      <c r="R1376" s="8"/>
      <c r="S1376" s="8"/>
      <c r="T1376" s="8"/>
      <c r="U1376" s="8"/>
    </row>
    <row r="1377" spans="10:21">
      <c r="J1377" s="8"/>
      <c r="K1377" s="8"/>
      <c r="L1377" s="8"/>
      <c r="M1377" s="8"/>
      <c r="N1377" s="8"/>
      <c r="O1377" s="8"/>
      <c r="P1377" s="8"/>
      <c r="Q1377" s="8"/>
      <c r="R1377" s="8"/>
      <c r="S1377" s="8"/>
      <c r="T1377" s="8"/>
      <c r="U1377" s="8"/>
    </row>
    <row r="1378" spans="10:21">
      <c r="J1378" s="8"/>
      <c r="K1378" s="8"/>
      <c r="L1378" s="8"/>
      <c r="M1378" s="8"/>
      <c r="N1378" s="8"/>
      <c r="O1378" s="8"/>
      <c r="P1378" s="8"/>
      <c r="Q1378" s="8"/>
      <c r="R1378" s="8"/>
      <c r="S1378" s="8"/>
      <c r="T1378" s="8"/>
      <c r="U1378" s="8"/>
    </row>
    <row r="1379" spans="10:21">
      <c r="J1379" s="8"/>
      <c r="K1379" s="8"/>
      <c r="L1379" s="8"/>
      <c r="M1379" s="8"/>
      <c r="N1379" s="8"/>
      <c r="O1379" s="8"/>
      <c r="P1379" s="8"/>
      <c r="Q1379" s="8"/>
      <c r="R1379" s="8"/>
      <c r="S1379" s="8"/>
      <c r="T1379" s="8"/>
      <c r="U1379" s="8"/>
    </row>
    <row r="1380" spans="10:21">
      <c r="J1380" s="8"/>
      <c r="K1380" s="8"/>
      <c r="L1380" s="8"/>
      <c r="M1380" s="8"/>
      <c r="N1380" s="8"/>
      <c r="O1380" s="8"/>
      <c r="P1380" s="8"/>
      <c r="Q1380" s="8"/>
      <c r="R1380" s="8"/>
      <c r="S1380" s="8"/>
      <c r="T1380" s="8"/>
      <c r="U1380" s="8"/>
    </row>
    <row r="1381" spans="10:21">
      <c r="J1381" s="8"/>
      <c r="K1381" s="8"/>
      <c r="L1381" s="8"/>
      <c r="M1381" s="8"/>
      <c r="N1381" s="8"/>
      <c r="O1381" s="8"/>
      <c r="P1381" s="8"/>
      <c r="Q1381" s="8"/>
      <c r="R1381" s="8"/>
      <c r="S1381" s="8"/>
      <c r="T1381" s="8"/>
      <c r="U1381" s="8"/>
    </row>
    <row r="1382" spans="10:21">
      <c r="J1382" s="8"/>
      <c r="K1382" s="8"/>
      <c r="L1382" s="8"/>
      <c r="M1382" s="8"/>
      <c r="N1382" s="8"/>
      <c r="O1382" s="8"/>
      <c r="P1382" s="8"/>
      <c r="Q1382" s="8"/>
      <c r="R1382" s="8"/>
      <c r="S1382" s="8"/>
      <c r="T1382" s="8"/>
      <c r="U1382" s="8"/>
    </row>
    <row r="1383" spans="10:21">
      <c r="J1383" s="8"/>
      <c r="K1383" s="8"/>
      <c r="L1383" s="8"/>
      <c r="M1383" s="8"/>
      <c r="N1383" s="8"/>
      <c r="O1383" s="8"/>
      <c r="P1383" s="8"/>
      <c r="Q1383" s="8"/>
      <c r="R1383" s="8"/>
      <c r="S1383" s="8"/>
      <c r="T1383" s="8"/>
      <c r="U1383" s="8"/>
    </row>
    <row r="1384" spans="10:21">
      <c r="J1384" s="8"/>
      <c r="K1384" s="8"/>
      <c r="L1384" s="8"/>
      <c r="M1384" s="8"/>
      <c r="N1384" s="8"/>
      <c r="O1384" s="8"/>
      <c r="P1384" s="8"/>
      <c r="Q1384" s="8"/>
      <c r="R1384" s="8"/>
      <c r="S1384" s="8"/>
      <c r="T1384" s="8"/>
      <c r="U1384" s="8"/>
    </row>
    <row r="1385" spans="10:21">
      <c r="J1385" s="8"/>
      <c r="K1385" s="8"/>
      <c r="L1385" s="8"/>
      <c r="M1385" s="8"/>
      <c r="N1385" s="8"/>
      <c r="O1385" s="8"/>
      <c r="P1385" s="8"/>
      <c r="Q1385" s="8"/>
      <c r="R1385" s="8"/>
      <c r="S1385" s="8"/>
      <c r="T1385" s="8"/>
      <c r="U1385" s="8"/>
    </row>
    <row r="1386" spans="10:21">
      <c r="J1386" s="8"/>
      <c r="K1386" s="8"/>
      <c r="L1386" s="8"/>
      <c r="M1386" s="8"/>
      <c r="N1386" s="8"/>
      <c r="O1386" s="8"/>
      <c r="P1386" s="8"/>
      <c r="Q1386" s="8"/>
      <c r="R1386" s="8"/>
      <c r="S1386" s="8"/>
      <c r="T1386" s="8"/>
      <c r="U1386" s="8"/>
    </row>
    <row r="1387" spans="10:21">
      <c r="J1387" s="8"/>
      <c r="K1387" s="8"/>
      <c r="L1387" s="8"/>
      <c r="M1387" s="8"/>
      <c r="N1387" s="8"/>
      <c r="O1387" s="8"/>
      <c r="P1387" s="8"/>
      <c r="Q1387" s="8"/>
      <c r="R1387" s="8"/>
      <c r="S1387" s="8"/>
      <c r="T1387" s="8"/>
      <c r="U1387" s="8"/>
    </row>
    <row r="1388" spans="10:21">
      <c r="J1388" s="8"/>
      <c r="K1388" s="8"/>
      <c r="L1388" s="8"/>
      <c r="M1388" s="8"/>
      <c r="N1388" s="8"/>
      <c r="O1388" s="8"/>
      <c r="P1388" s="8"/>
      <c r="Q1388" s="8"/>
      <c r="R1388" s="8"/>
      <c r="S1388" s="8"/>
      <c r="T1388" s="8"/>
      <c r="U1388" s="8"/>
    </row>
    <row r="1389" spans="10:21">
      <c r="J1389" s="8"/>
      <c r="K1389" s="8"/>
      <c r="L1389" s="8"/>
      <c r="M1389" s="8"/>
      <c r="N1389" s="8"/>
      <c r="O1389" s="8"/>
      <c r="P1389" s="8"/>
      <c r="Q1389" s="8"/>
      <c r="R1389" s="8"/>
      <c r="S1389" s="8"/>
      <c r="T1389" s="8"/>
      <c r="U1389" s="8"/>
    </row>
    <row r="1390" spans="10:21">
      <c r="J1390" s="8"/>
      <c r="K1390" s="8"/>
      <c r="L1390" s="8"/>
      <c r="M1390" s="8"/>
      <c r="N1390" s="8"/>
      <c r="O1390" s="8"/>
      <c r="P1390" s="8"/>
      <c r="Q1390" s="8"/>
      <c r="R1390" s="8"/>
      <c r="S1390" s="8"/>
      <c r="T1390" s="8"/>
      <c r="U1390" s="8"/>
    </row>
    <row r="1391" spans="10:21">
      <c r="J1391" s="8"/>
      <c r="K1391" s="8"/>
      <c r="L1391" s="8"/>
      <c r="M1391" s="8"/>
      <c r="N1391" s="8"/>
      <c r="O1391" s="8"/>
      <c r="P1391" s="8"/>
      <c r="Q1391" s="8"/>
      <c r="R1391" s="8"/>
      <c r="S1391" s="8"/>
      <c r="T1391" s="8"/>
      <c r="U1391" s="8"/>
    </row>
    <row r="1392" spans="10:21">
      <c r="J1392" s="8"/>
      <c r="K1392" s="8"/>
      <c r="L1392" s="8"/>
      <c r="M1392" s="8"/>
      <c r="N1392" s="8"/>
      <c r="O1392" s="8"/>
      <c r="P1392" s="8"/>
      <c r="Q1392" s="8"/>
      <c r="R1392" s="8"/>
      <c r="S1392" s="8"/>
      <c r="T1392" s="8"/>
      <c r="U1392" s="8"/>
    </row>
    <row r="1393" spans="10:21">
      <c r="J1393" s="8"/>
      <c r="K1393" s="8"/>
      <c r="L1393" s="8"/>
      <c r="M1393" s="8"/>
      <c r="N1393" s="8"/>
      <c r="O1393" s="8"/>
      <c r="P1393" s="8"/>
      <c r="Q1393" s="8"/>
      <c r="R1393" s="8"/>
      <c r="S1393" s="8"/>
      <c r="T1393" s="8"/>
      <c r="U1393" s="8"/>
    </row>
    <row r="1394" spans="10:21">
      <c r="J1394" s="8"/>
      <c r="K1394" s="8"/>
      <c r="L1394" s="8"/>
      <c r="M1394" s="8"/>
      <c r="N1394" s="8"/>
      <c r="O1394" s="8"/>
      <c r="P1394" s="8"/>
      <c r="Q1394" s="8"/>
      <c r="R1394" s="8"/>
      <c r="S1394" s="8"/>
      <c r="T1394" s="8"/>
      <c r="U1394" s="8"/>
    </row>
    <row r="1395" spans="10:21">
      <c r="J1395" s="8"/>
      <c r="K1395" s="8"/>
      <c r="L1395" s="8"/>
      <c r="M1395" s="8"/>
      <c r="N1395" s="8"/>
      <c r="O1395" s="8"/>
      <c r="P1395" s="8"/>
      <c r="Q1395" s="8"/>
      <c r="R1395" s="8"/>
      <c r="S1395" s="8"/>
      <c r="T1395" s="8"/>
      <c r="U1395" s="8"/>
    </row>
    <row r="1396" spans="10:21">
      <c r="J1396" s="8"/>
      <c r="K1396" s="8"/>
      <c r="L1396" s="8"/>
      <c r="M1396" s="8"/>
      <c r="N1396" s="8"/>
      <c r="O1396" s="8"/>
      <c r="P1396" s="8"/>
      <c r="Q1396" s="8"/>
      <c r="R1396" s="8"/>
      <c r="S1396" s="8"/>
      <c r="T1396" s="8"/>
      <c r="U1396" s="8"/>
    </row>
    <row r="1397" spans="10:21">
      <c r="J1397" s="8"/>
      <c r="K1397" s="8"/>
      <c r="L1397" s="8"/>
      <c r="M1397" s="8"/>
      <c r="N1397" s="8"/>
      <c r="O1397" s="8"/>
      <c r="P1397" s="8"/>
      <c r="Q1397" s="8"/>
      <c r="R1397" s="8"/>
      <c r="S1397" s="8"/>
      <c r="T1397" s="8"/>
      <c r="U1397" s="8"/>
    </row>
    <row r="1398" spans="10:21">
      <c r="J1398" s="8"/>
      <c r="K1398" s="8"/>
      <c r="L1398" s="8"/>
      <c r="M1398" s="8"/>
      <c r="N1398" s="8"/>
      <c r="O1398" s="8"/>
      <c r="P1398" s="8"/>
      <c r="Q1398" s="8"/>
      <c r="R1398" s="8"/>
      <c r="S1398" s="8"/>
      <c r="T1398" s="8"/>
      <c r="U1398" s="8"/>
    </row>
    <row r="1399" spans="10:21">
      <c r="J1399" s="8"/>
      <c r="K1399" s="8"/>
      <c r="L1399" s="8"/>
      <c r="M1399" s="8"/>
      <c r="N1399" s="8"/>
      <c r="O1399" s="8"/>
      <c r="P1399" s="8"/>
      <c r="Q1399" s="8"/>
      <c r="R1399" s="8"/>
      <c r="S1399" s="8"/>
      <c r="T1399" s="8"/>
      <c r="U1399" s="8"/>
    </row>
    <row r="1400" spans="10:21">
      <c r="J1400" s="8"/>
      <c r="K1400" s="8"/>
      <c r="L1400" s="8"/>
      <c r="M1400" s="8"/>
      <c r="N1400" s="8"/>
      <c r="O1400" s="8"/>
      <c r="P1400" s="8"/>
      <c r="Q1400" s="8"/>
      <c r="R1400" s="8"/>
      <c r="S1400" s="8"/>
      <c r="T1400" s="8"/>
      <c r="U1400" s="8"/>
    </row>
    <row r="1401" spans="10:21">
      <c r="J1401" s="8"/>
      <c r="K1401" s="8"/>
      <c r="L1401" s="8"/>
      <c r="M1401" s="8"/>
      <c r="N1401" s="8"/>
      <c r="O1401" s="8"/>
      <c r="P1401" s="8"/>
      <c r="Q1401" s="8"/>
      <c r="R1401" s="8"/>
      <c r="S1401" s="8"/>
      <c r="T1401" s="8"/>
      <c r="U1401" s="8"/>
    </row>
    <row r="1402" spans="10:21">
      <c r="J1402" s="8"/>
      <c r="K1402" s="8"/>
      <c r="L1402" s="8"/>
      <c r="M1402" s="8"/>
      <c r="N1402" s="8"/>
      <c r="O1402" s="8"/>
      <c r="P1402" s="8"/>
      <c r="Q1402" s="8"/>
      <c r="R1402" s="8"/>
      <c r="S1402" s="8"/>
      <c r="T1402" s="8"/>
      <c r="U1402" s="8"/>
    </row>
    <row r="1403" spans="10:21">
      <c r="J1403" s="8"/>
      <c r="K1403" s="8"/>
      <c r="L1403" s="8"/>
      <c r="M1403" s="8"/>
      <c r="N1403" s="8"/>
      <c r="O1403" s="8"/>
      <c r="P1403" s="8"/>
      <c r="Q1403" s="8"/>
      <c r="R1403" s="8"/>
      <c r="S1403" s="8"/>
      <c r="T1403" s="8"/>
      <c r="U1403" s="8"/>
    </row>
    <row r="1404" spans="10:21">
      <c r="J1404" s="8"/>
      <c r="K1404" s="8"/>
      <c r="L1404" s="8"/>
      <c r="M1404" s="8"/>
      <c r="N1404" s="8"/>
      <c r="O1404" s="8"/>
      <c r="P1404" s="8"/>
      <c r="Q1404" s="8"/>
      <c r="R1404" s="8"/>
      <c r="S1404" s="8"/>
      <c r="T1404" s="8"/>
      <c r="U1404" s="8"/>
    </row>
    <row r="1405" spans="10:21">
      <c r="J1405" s="8"/>
      <c r="K1405" s="8"/>
      <c r="L1405" s="8"/>
      <c r="M1405" s="8"/>
      <c r="N1405" s="8"/>
      <c r="O1405" s="8"/>
      <c r="P1405" s="8"/>
      <c r="Q1405" s="8"/>
      <c r="R1405" s="8"/>
      <c r="S1405" s="8"/>
      <c r="T1405" s="8"/>
      <c r="U1405" s="8"/>
    </row>
    <row r="1406" spans="10:21">
      <c r="J1406" s="8"/>
      <c r="K1406" s="8"/>
      <c r="L1406" s="8"/>
      <c r="M1406" s="8"/>
      <c r="N1406" s="8"/>
      <c r="O1406" s="8"/>
      <c r="P1406" s="8"/>
      <c r="Q1406" s="8"/>
      <c r="R1406" s="8"/>
      <c r="S1406" s="8"/>
      <c r="T1406" s="8"/>
      <c r="U1406" s="8"/>
    </row>
    <row r="1407" spans="10:21">
      <c r="J1407" s="8"/>
      <c r="K1407" s="8"/>
      <c r="L1407" s="8"/>
      <c r="M1407" s="8"/>
      <c r="N1407" s="8"/>
      <c r="O1407" s="8"/>
      <c r="P1407" s="8"/>
      <c r="Q1407" s="8"/>
      <c r="R1407" s="8"/>
      <c r="S1407" s="8"/>
      <c r="T1407" s="8"/>
      <c r="U1407" s="8"/>
    </row>
    <row r="1408" spans="10:21">
      <c r="J1408" s="8"/>
      <c r="K1408" s="8"/>
      <c r="L1408" s="8"/>
      <c r="M1408" s="8"/>
      <c r="N1408" s="8"/>
      <c r="O1408" s="8"/>
      <c r="P1408" s="8"/>
      <c r="Q1408" s="8"/>
      <c r="R1408" s="8"/>
      <c r="S1408" s="8"/>
      <c r="T1408" s="8"/>
      <c r="U1408" s="8"/>
    </row>
    <row r="1409" spans="10:21">
      <c r="J1409" s="8"/>
      <c r="K1409" s="8"/>
      <c r="L1409" s="8"/>
      <c r="M1409" s="8"/>
      <c r="N1409" s="8"/>
      <c r="O1409" s="8"/>
      <c r="P1409" s="8"/>
      <c r="Q1409" s="8"/>
      <c r="R1409" s="8"/>
      <c r="S1409" s="8"/>
      <c r="T1409" s="8"/>
      <c r="U1409" s="8"/>
    </row>
    <row r="1410" spans="10:21">
      <c r="J1410" s="8"/>
      <c r="K1410" s="8"/>
      <c r="L1410" s="8"/>
      <c r="M1410" s="8"/>
      <c r="N1410" s="8"/>
      <c r="O1410" s="8"/>
      <c r="P1410" s="8"/>
      <c r="Q1410" s="8"/>
      <c r="R1410" s="8"/>
      <c r="S1410" s="8"/>
      <c r="T1410" s="8"/>
      <c r="U1410" s="8"/>
    </row>
    <row r="1411" spans="10:21">
      <c r="J1411" s="8"/>
      <c r="K1411" s="8"/>
      <c r="L1411" s="8"/>
      <c r="M1411" s="8"/>
      <c r="N1411" s="8"/>
      <c r="O1411" s="8"/>
      <c r="P1411" s="8"/>
      <c r="Q1411" s="8"/>
      <c r="R1411" s="8"/>
      <c r="S1411" s="8"/>
      <c r="T1411" s="8"/>
      <c r="U1411" s="8"/>
    </row>
    <row r="1412" spans="10:21">
      <c r="J1412" s="8"/>
      <c r="K1412" s="8"/>
      <c r="L1412" s="8"/>
      <c r="M1412" s="8"/>
      <c r="N1412" s="8"/>
      <c r="O1412" s="8"/>
      <c r="P1412" s="8"/>
      <c r="Q1412" s="8"/>
      <c r="R1412" s="8"/>
      <c r="S1412" s="8"/>
      <c r="T1412" s="8"/>
      <c r="U1412" s="8"/>
    </row>
    <row r="1413" spans="10:21">
      <c r="J1413" s="8"/>
      <c r="K1413" s="8"/>
      <c r="L1413" s="8"/>
      <c r="M1413" s="8"/>
      <c r="N1413" s="8"/>
      <c r="O1413" s="8"/>
      <c r="P1413" s="8"/>
      <c r="Q1413" s="8"/>
      <c r="R1413" s="8"/>
      <c r="S1413" s="8"/>
      <c r="T1413" s="8"/>
      <c r="U1413" s="8"/>
    </row>
    <row r="1414" spans="10:21">
      <c r="J1414" s="8"/>
      <c r="K1414" s="8"/>
      <c r="L1414" s="8"/>
      <c r="M1414" s="8"/>
      <c r="N1414" s="8"/>
      <c r="O1414" s="8"/>
      <c r="P1414" s="8"/>
      <c r="Q1414" s="8"/>
      <c r="R1414" s="8"/>
      <c r="S1414" s="8"/>
      <c r="T1414" s="8"/>
      <c r="U1414" s="8"/>
    </row>
    <row r="1415" spans="10:21">
      <c r="J1415" s="8"/>
      <c r="K1415" s="8"/>
      <c r="L1415" s="8"/>
      <c r="M1415" s="8"/>
      <c r="N1415" s="8"/>
      <c r="O1415" s="8"/>
      <c r="P1415" s="8"/>
      <c r="Q1415" s="8"/>
      <c r="R1415" s="8"/>
      <c r="S1415" s="8"/>
      <c r="T1415" s="8"/>
      <c r="U1415" s="8"/>
    </row>
    <row r="1416" spans="10:21">
      <c r="J1416" s="8"/>
      <c r="K1416" s="8"/>
      <c r="L1416" s="8"/>
      <c r="M1416" s="8"/>
      <c r="N1416" s="8"/>
      <c r="O1416" s="8"/>
      <c r="P1416" s="8"/>
      <c r="Q1416" s="8"/>
      <c r="R1416" s="8"/>
      <c r="S1416" s="8"/>
      <c r="T1416" s="8"/>
      <c r="U1416" s="8"/>
    </row>
    <row r="1417" spans="10:21">
      <c r="J1417" s="8"/>
      <c r="K1417" s="8"/>
      <c r="L1417" s="8"/>
      <c r="M1417" s="8"/>
      <c r="N1417" s="8"/>
      <c r="O1417" s="8"/>
      <c r="P1417" s="8"/>
      <c r="Q1417" s="8"/>
      <c r="R1417" s="8"/>
      <c r="S1417" s="8"/>
      <c r="T1417" s="8"/>
      <c r="U1417" s="8"/>
    </row>
    <row r="1418" spans="10:21">
      <c r="J1418" s="8"/>
      <c r="K1418" s="8"/>
      <c r="L1418" s="8"/>
      <c r="M1418" s="8"/>
      <c r="N1418" s="8"/>
      <c r="O1418" s="8"/>
      <c r="P1418" s="8"/>
      <c r="Q1418" s="8"/>
      <c r="R1418" s="8"/>
      <c r="S1418" s="8"/>
      <c r="T1418" s="8"/>
      <c r="U1418" s="8"/>
    </row>
    <row r="1419" spans="10:21">
      <c r="J1419" s="8"/>
      <c r="K1419" s="8"/>
      <c r="L1419" s="8"/>
      <c r="M1419" s="8"/>
      <c r="N1419" s="8"/>
      <c r="O1419" s="8"/>
      <c r="P1419" s="8"/>
      <c r="Q1419" s="8"/>
      <c r="R1419" s="8"/>
      <c r="S1419" s="8"/>
      <c r="T1419" s="8"/>
      <c r="U1419" s="8"/>
    </row>
    <row r="1420" spans="10:21">
      <c r="J1420" s="8"/>
      <c r="K1420" s="8"/>
      <c r="L1420" s="8"/>
      <c r="M1420" s="8"/>
      <c r="N1420" s="8"/>
      <c r="O1420" s="8"/>
      <c r="P1420" s="8"/>
      <c r="Q1420" s="8"/>
      <c r="R1420" s="8"/>
      <c r="S1420" s="8"/>
      <c r="T1420" s="8"/>
      <c r="U1420" s="8"/>
    </row>
    <row r="1421" spans="10:21">
      <c r="J1421" s="8"/>
      <c r="K1421" s="8"/>
      <c r="L1421" s="8"/>
      <c r="M1421" s="8"/>
      <c r="N1421" s="8"/>
      <c r="O1421" s="8"/>
      <c r="P1421" s="8"/>
      <c r="Q1421" s="8"/>
      <c r="R1421" s="8"/>
      <c r="S1421" s="8"/>
      <c r="T1421" s="8"/>
      <c r="U1421" s="8"/>
    </row>
    <row r="1422" spans="10:21">
      <c r="J1422" s="8"/>
      <c r="K1422" s="8"/>
      <c r="L1422" s="8"/>
      <c r="M1422" s="8"/>
      <c r="N1422" s="8"/>
      <c r="O1422" s="8"/>
      <c r="P1422" s="8"/>
      <c r="Q1422" s="8"/>
      <c r="R1422" s="8"/>
      <c r="S1422" s="8"/>
      <c r="T1422" s="8"/>
      <c r="U1422" s="8"/>
    </row>
    <row r="1423" spans="10:21">
      <c r="J1423" s="8"/>
      <c r="K1423" s="8"/>
      <c r="L1423" s="8"/>
      <c r="M1423" s="8"/>
      <c r="N1423" s="8"/>
      <c r="O1423" s="8"/>
      <c r="P1423" s="8"/>
      <c r="Q1423" s="8"/>
      <c r="R1423" s="8"/>
      <c r="S1423" s="8"/>
      <c r="T1423" s="8"/>
      <c r="U1423" s="8"/>
    </row>
    <row r="1424" spans="10:21">
      <c r="J1424" s="8"/>
      <c r="K1424" s="8"/>
      <c r="L1424" s="8"/>
      <c r="M1424" s="8"/>
      <c r="N1424" s="8"/>
      <c r="O1424" s="8"/>
      <c r="P1424" s="8"/>
      <c r="Q1424" s="8"/>
      <c r="R1424" s="8"/>
      <c r="S1424" s="8"/>
      <c r="T1424" s="8"/>
      <c r="U1424" s="8"/>
    </row>
    <row r="1425" spans="10:21">
      <c r="J1425" s="8"/>
      <c r="K1425" s="8"/>
      <c r="L1425" s="8"/>
      <c r="M1425" s="8"/>
      <c r="N1425" s="8"/>
      <c r="O1425" s="8"/>
      <c r="P1425" s="8"/>
      <c r="Q1425" s="8"/>
      <c r="R1425" s="8"/>
      <c r="S1425" s="8"/>
      <c r="T1425" s="8"/>
      <c r="U1425" s="8"/>
    </row>
    <row r="1426" spans="10:21">
      <c r="J1426" s="8"/>
      <c r="K1426" s="8"/>
      <c r="L1426" s="8"/>
      <c r="M1426" s="8"/>
      <c r="N1426" s="8"/>
      <c r="O1426" s="8"/>
      <c r="P1426" s="8"/>
      <c r="Q1426" s="8"/>
      <c r="R1426" s="8"/>
      <c r="S1426" s="8"/>
      <c r="T1426" s="8"/>
      <c r="U1426" s="8"/>
    </row>
    <row r="1427" spans="10:21">
      <c r="J1427" s="8"/>
      <c r="K1427" s="8"/>
      <c r="L1427" s="8"/>
      <c r="M1427" s="8"/>
      <c r="N1427" s="8"/>
      <c r="O1427" s="8"/>
      <c r="P1427" s="8"/>
      <c r="Q1427" s="8"/>
      <c r="R1427" s="8"/>
      <c r="S1427" s="8"/>
      <c r="T1427" s="8"/>
      <c r="U1427" s="8"/>
    </row>
    <row r="1428" spans="10:21">
      <c r="J1428" s="8"/>
      <c r="K1428" s="8"/>
      <c r="L1428" s="8"/>
      <c r="M1428" s="8"/>
      <c r="N1428" s="8"/>
      <c r="O1428" s="8"/>
      <c r="P1428" s="8"/>
      <c r="Q1428" s="8"/>
      <c r="R1428" s="8"/>
      <c r="S1428" s="8"/>
      <c r="T1428" s="8"/>
      <c r="U1428" s="8"/>
    </row>
    <row r="1429" spans="10:21">
      <c r="J1429" s="8"/>
      <c r="K1429" s="8"/>
      <c r="L1429" s="8"/>
      <c r="M1429" s="8"/>
      <c r="N1429" s="8"/>
      <c r="O1429" s="8"/>
      <c r="P1429" s="8"/>
      <c r="Q1429" s="8"/>
      <c r="R1429" s="8"/>
      <c r="S1429" s="8"/>
      <c r="T1429" s="8"/>
      <c r="U1429" s="8"/>
    </row>
    <row r="1430" spans="10:21">
      <c r="J1430" s="8"/>
      <c r="K1430" s="8"/>
      <c r="L1430" s="8"/>
      <c r="M1430" s="8"/>
      <c r="N1430" s="8"/>
      <c r="O1430" s="8"/>
      <c r="P1430" s="8"/>
      <c r="Q1430" s="8"/>
      <c r="R1430" s="8"/>
      <c r="S1430" s="8"/>
      <c r="T1430" s="8"/>
      <c r="U1430" s="8"/>
    </row>
    <row r="1431" spans="10:21">
      <c r="J1431" s="8"/>
      <c r="K1431" s="8"/>
      <c r="L1431" s="8"/>
      <c r="M1431" s="8"/>
      <c r="N1431" s="8"/>
      <c r="O1431" s="8"/>
      <c r="P1431" s="8"/>
      <c r="Q1431" s="8"/>
      <c r="R1431" s="8"/>
      <c r="S1431" s="8"/>
      <c r="T1431" s="8"/>
      <c r="U1431" s="8"/>
    </row>
    <row r="1432" spans="10:21">
      <c r="J1432" s="8"/>
      <c r="K1432" s="8"/>
      <c r="L1432" s="8"/>
      <c r="M1432" s="8"/>
      <c r="N1432" s="8"/>
      <c r="O1432" s="8"/>
      <c r="P1432" s="8"/>
      <c r="Q1432" s="8"/>
      <c r="R1432" s="8"/>
      <c r="S1432" s="8"/>
      <c r="T1432" s="8"/>
      <c r="U1432" s="8"/>
    </row>
    <row r="1433" spans="10:21">
      <c r="J1433" s="8"/>
      <c r="K1433" s="8"/>
      <c r="L1433" s="8"/>
      <c r="M1433" s="8"/>
      <c r="N1433" s="8"/>
      <c r="O1433" s="8"/>
      <c r="P1433" s="8"/>
      <c r="Q1433" s="8"/>
      <c r="R1433" s="8"/>
      <c r="S1433" s="8"/>
      <c r="T1433" s="8"/>
      <c r="U1433" s="8"/>
    </row>
    <row r="1434" spans="10:21">
      <c r="J1434" s="8"/>
      <c r="K1434" s="8"/>
      <c r="L1434" s="8"/>
      <c r="M1434" s="8"/>
      <c r="N1434" s="8"/>
      <c r="O1434" s="8"/>
      <c r="P1434" s="8"/>
      <c r="Q1434" s="8"/>
      <c r="R1434" s="8"/>
      <c r="S1434" s="8"/>
      <c r="T1434" s="8"/>
      <c r="U1434" s="8"/>
    </row>
    <row r="1435" spans="10:21">
      <c r="J1435" s="8"/>
      <c r="K1435" s="8"/>
      <c r="L1435" s="8"/>
      <c r="M1435" s="8"/>
      <c r="N1435" s="8"/>
      <c r="O1435" s="8"/>
      <c r="P1435" s="8"/>
      <c r="Q1435" s="8"/>
      <c r="R1435" s="8"/>
      <c r="S1435" s="8"/>
      <c r="T1435" s="8"/>
      <c r="U1435" s="8"/>
    </row>
    <row r="1436" spans="10:21">
      <c r="J1436" s="8"/>
      <c r="K1436" s="8"/>
      <c r="L1436" s="8"/>
      <c r="M1436" s="8"/>
      <c r="N1436" s="8"/>
      <c r="O1436" s="8"/>
      <c r="P1436" s="8"/>
      <c r="Q1436" s="8"/>
      <c r="R1436" s="8"/>
      <c r="S1436" s="8"/>
      <c r="T1436" s="8"/>
      <c r="U1436" s="8"/>
    </row>
    <row r="1437" spans="10:21">
      <c r="J1437" s="8"/>
      <c r="K1437" s="8"/>
      <c r="L1437" s="8"/>
      <c r="M1437" s="8"/>
      <c r="N1437" s="8"/>
      <c r="O1437" s="8"/>
      <c r="P1437" s="8"/>
      <c r="Q1437" s="8"/>
      <c r="R1437" s="8"/>
      <c r="S1437" s="8"/>
      <c r="T1437" s="8"/>
      <c r="U1437" s="8"/>
    </row>
    <row r="1438" spans="10:21">
      <c r="J1438" s="8"/>
      <c r="K1438" s="8"/>
      <c r="L1438" s="8"/>
      <c r="M1438" s="8"/>
      <c r="N1438" s="8"/>
      <c r="O1438" s="8"/>
      <c r="P1438" s="8"/>
      <c r="Q1438" s="8"/>
      <c r="R1438" s="8"/>
      <c r="S1438" s="8"/>
      <c r="T1438" s="8"/>
      <c r="U1438" s="8"/>
    </row>
    <row r="1439" spans="10:21">
      <c r="J1439" s="8"/>
      <c r="K1439" s="8"/>
      <c r="L1439" s="8"/>
      <c r="M1439" s="8"/>
      <c r="N1439" s="8"/>
      <c r="O1439" s="8"/>
      <c r="P1439" s="8"/>
      <c r="Q1439" s="8"/>
      <c r="R1439" s="8"/>
      <c r="S1439" s="8"/>
      <c r="T1439" s="8"/>
      <c r="U1439" s="8"/>
    </row>
    <row r="1440" spans="10:21">
      <c r="J1440" s="8"/>
      <c r="K1440" s="8"/>
      <c r="L1440" s="8"/>
      <c r="M1440" s="8"/>
      <c r="N1440" s="8"/>
      <c r="O1440" s="8"/>
      <c r="P1440" s="8"/>
      <c r="Q1440" s="8"/>
      <c r="R1440" s="8"/>
      <c r="S1440" s="8"/>
      <c r="T1440" s="8"/>
      <c r="U1440" s="8"/>
    </row>
    <row r="1441" spans="10:21">
      <c r="J1441" s="8"/>
      <c r="K1441" s="8"/>
      <c r="L1441" s="8"/>
      <c r="M1441" s="8"/>
      <c r="N1441" s="8"/>
      <c r="O1441" s="8"/>
      <c r="P1441" s="8"/>
      <c r="Q1441" s="8"/>
      <c r="R1441" s="8"/>
      <c r="S1441" s="8"/>
      <c r="T1441" s="8"/>
      <c r="U1441" s="8"/>
    </row>
    <row r="1442" spans="10:21">
      <c r="J1442" s="8"/>
      <c r="K1442" s="8"/>
      <c r="L1442" s="8"/>
      <c r="M1442" s="8"/>
      <c r="N1442" s="8"/>
      <c r="O1442" s="8"/>
      <c r="P1442" s="8"/>
      <c r="Q1442" s="8"/>
      <c r="R1442" s="8"/>
      <c r="S1442" s="8"/>
      <c r="T1442" s="8"/>
      <c r="U1442" s="8"/>
    </row>
    <row r="1443" spans="10:21">
      <c r="J1443" s="8"/>
      <c r="K1443" s="8"/>
      <c r="L1443" s="8"/>
      <c r="M1443" s="8"/>
      <c r="N1443" s="8"/>
      <c r="O1443" s="8"/>
      <c r="P1443" s="8"/>
      <c r="Q1443" s="8"/>
      <c r="R1443" s="8"/>
      <c r="S1443" s="8"/>
      <c r="T1443" s="8"/>
      <c r="U1443" s="8"/>
    </row>
    <row r="1444" spans="10:21">
      <c r="J1444" s="8"/>
      <c r="K1444" s="8"/>
      <c r="L1444" s="8"/>
      <c r="M1444" s="8"/>
      <c r="N1444" s="8"/>
      <c r="O1444" s="8"/>
      <c r="P1444" s="8"/>
      <c r="Q1444" s="8"/>
      <c r="R1444" s="8"/>
      <c r="S1444" s="8"/>
      <c r="T1444" s="8"/>
      <c r="U1444" s="8"/>
    </row>
    <row r="1445" spans="10:21">
      <c r="J1445" s="8"/>
      <c r="K1445" s="8"/>
      <c r="L1445" s="8"/>
      <c r="M1445" s="8"/>
      <c r="N1445" s="8"/>
      <c r="O1445" s="8"/>
      <c r="P1445" s="8"/>
      <c r="Q1445" s="8"/>
      <c r="R1445" s="8"/>
      <c r="S1445" s="8"/>
      <c r="T1445" s="8"/>
      <c r="U1445" s="8"/>
    </row>
    <row r="1446" spans="10:21">
      <c r="J1446" s="8"/>
      <c r="K1446" s="8"/>
      <c r="L1446" s="8"/>
      <c r="M1446" s="8"/>
      <c r="N1446" s="8"/>
      <c r="O1446" s="8"/>
      <c r="P1446" s="8"/>
      <c r="Q1446" s="8"/>
      <c r="R1446" s="8"/>
      <c r="S1446" s="8"/>
      <c r="T1446" s="8"/>
      <c r="U1446" s="8"/>
    </row>
    <row r="1447" spans="10:21">
      <c r="J1447" s="8"/>
      <c r="K1447" s="8"/>
      <c r="L1447" s="8"/>
      <c r="M1447" s="8"/>
      <c r="N1447" s="8"/>
      <c r="O1447" s="8"/>
      <c r="P1447" s="8"/>
      <c r="Q1447" s="8"/>
      <c r="R1447" s="8"/>
      <c r="S1447" s="8"/>
      <c r="T1447" s="8"/>
      <c r="U1447" s="8"/>
    </row>
    <row r="1448" spans="10:21">
      <c r="J1448" s="8"/>
      <c r="K1448" s="8"/>
      <c r="L1448" s="8"/>
      <c r="M1448" s="8"/>
      <c r="N1448" s="8"/>
      <c r="O1448" s="8"/>
      <c r="P1448" s="8"/>
      <c r="Q1448" s="8"/>
      <c r="R1448" s="8"/>
      <c r="S1448" s="8"/>
      <c r="T1448" s="8"/>
      <c r="U1448" s="8"/>
    </row>
    <row r="1449" spans="10:21">
      <c r="J1449" s="8"/>
      <c r="K1449" s="8"/>
      <c r="L1449" s="8"/>
      <c r="M1449" s="8"/>
      <c r="N1449" s="8"/>
      <c r="O1449" s="8"/>
      <c r="P1449" s="8"/>
      <c r="Q1449" s="8"/>
      <c r="R1449" s="8"/>
      <c r="S1449" s="8"/>
      <c r="T1449" s="8"/>
      <c r="U1449" s="8"/>
    </row>
    <row r="1450" spans="10:21">
      <c r="J1450" s="8"/>
      <c r="K1450" s="8"/>
      <c r="L1450" s="8"/>
      <c r="M1450" s="8"/>
      <c r="N1450" s="8"/>
      <c r="O1450" s="8"/>
      <c r="P1450" s="8"/>
      <c r="Q1450" s="8"/>
      <c r="R1450" s="8"/>
      <c r="S1450" s="8"/>
      <c r="T1450" s="8"/>
      <c r="U1450" s="8"/>
    </row>
    <row r="1451" spans="10:21">
      <c r="J1451" s="8"/>
      <c r="K1451" s="8"/>
      <c r="L1451" s="8"/>
      <c r="M1451" s="8"/>
      <c r="N1451" s="8"/>
      <c r="O1451" s="8"/>
      <c r="P1451" s="8"/>
      <c r="Q1451" s="8"/>
      <c r="R1451" s="8"/>
      <c r="S1451" s="8"/>
      <c r="T1451" s="8"/>
      <c r="U1451" s="8"/>
    </row>
    <row r="1452" spans="10:21">
      <c r="J1452" s="8"/>
      <c r="K1452" s="8"/>
      <c r="L1452" s="8"/>
      <c r="M1452" s="8"/>
      <c r="N1452" s="8"/>
      <c r="O1452" s="8"/>
      <c r="P1452" s="8"/>
      <c r="Q1452" s="8"/>
      <c r="R1452" s="8"/>
      <c r="S1452" s="8"/>
      <c r="T1452" s="8"/>
      <c r="U1452" s="8"/>
    </row>
    <row r="1453" spans="10:21">
      <c r="J1453" s="8"/>
      <c r="K1453" s="8"/>
      <c r="L1453" s="8"/>
      <c r="M1453" s="8"/>
      <c r="N1453" s="8"/>
      <c r="O1453" s="8"/>
      <c r="P1453" s="8"/>
      <c r="Q1453" s="8"/>
      <c r="R1453" s="8"/>
      <c r="S1453" s="8"/>
      <c r="T1453" s="8"/>
      <c r="U1453" s="8"/>
    </row>
    <row r="1454" spans="10:21">
      <c r="J1454" s="8"/>
      <c r="K1454" s="8"/>
      <c r="L1454" s="8"/>
      <c r="M1454" s="8"/>
      <c r="N1454" s="8"/>
      <c r="O1454" s="8"/>
      <c r="P1454" s="8"/>
      <c r="Q1454" s="8"/>
      <c r="R1454" s="8"/>
      <c r="S1454" s="8"/>
      <c r="T1454" s="8"/>
      <c r="U1454" s="8"/>
    </row>
    <row r="1455" spans="10:21">
      <c r="J1455" s="8"/>
      <c r="K1455" s="8"/>
      <c r="L1455" s="8"/>
      <c r="M1455" s="8"/>
      <c r="N1455" s="8"/>
      <c r="O1455" s="8"/>
      <c r="P1455" s="8"/>
      <c r="Q1455" s="8"/>
      <c r="R1455" s="8"/>
      <c r="S1455" s="8"/>
      <c r="T1455" s="8"/>
      <c r="U1455" s="8"/>
    </row>
    <row r="1456" spans="10:21">
      <c r="J1456" s="8"/>
      <c r="K1456" s="8"/>
      <c r="L1456" s="8"/>
      <c r="M1456" s="8"/>
      <c r="N1456" s="8"/>
      <c r="O1456" s="8"/>
      <c r="P1456" s="8"/>
      <c r="Q1456" s="8"/>
      <c r="R1456" s="8"/>
      <c r="S1456" s="8"/>
      <c r="T1456" s="8"/>
      <c r="U1456" s="8"/>
    </row>
    <row r="1457" spans="10:21">
      <c r="J1457" s="8"/>
      <c r="K1457" s="8"/>
      <c r="L1457" s="8"/>
      <c r="M1457" s="8"/>
      <c r="N1457" s="8"/>
      <c r="O1457" s="8"/>
      <c r="P1457" s="8"/>
      <c r="Q1457" s="8"/>
      <c r="R1457" s="8"/>
      <c r="S1457" s="8"/>
      <c r="T1457" s="8"/>
      <c r="U1457" s="8"/>
    </row>
    <row r="1458" spans="10:21">
      <c r="J1458" s="8"/>
      <c r="K1458" s="8"/>
      <c r="L1458" s="8"/>
      <c r="M1458" s="8"/>
      <c r="N1458" s="8"/>
      <c r="O1458" s="8"/>
      <c r="P1458" s="8"/>
      <c r="Q1458" s="8"/>
      <c r="R1458" s="8"/>
      <c r="S1458" s="8"/>
      <c r="T1458" s="8"/>
      <c r="U1458" s="8"/>
    </row>
    <row r="1459" spans="10:21">
      <c r="J1459" s="8"/>
      <c r="K1459" s="8"/>
      <c r="L1459" s="8"/>
      <c r="M1459" s="8"/>
      <c r="N1459" s="8"/>
      <c r="O1459" s="8"/>
      <c r="P1459" s="8"/>
      <c r="Q1459" s="8"/>
      <c r="R1459" s="8"/>
      <c r="S1459" s="8"/>
      <c r="T1459" s="8"/>
      <c r="U1459" s="8"/>
    </row>
    <row r="1460" spans="10:21">
      <c r="J1460" s="8"/>
      <c r="K1460" s="8"/>
      <c r="L1460" s="8"/>
      <c r="M1460" s="8"/>
      <c r="N1460" s="8"/>
      <c r="O1460" s="8"/>
      <c r="P1460" s="8"/>
      <c r="Q1460" s="8"/>
      <c r="R1460" s="8"/>
      <c r="S1460" s="8"/>
      <c r="T1460" s="8"/>
      <c r="U1460" s="8"/>
    </row>
    <row r="1461" spans="10:21">
      <c r="J1461" s="8"/>
      <c r="K1461" s="8"/>
      <c r="L1461" s="8"/>
      <c r="M1461" s="8"/>
      <c r="N1461" s="8"/>
      <c r="O1461" s="8"/>
      <c r="P1461" s="8"/>
      <c r="Q1461" s="8"/>
      <c r="R1461" s="8"/>
      <c r="S1461" s="8"/>
      <c r="T1461" s="8"/>
      <c r="U1461" s="8"/>
    </row>
    <row r="1462" spans="10:21">
      <c r="J1462" s="8"/>
      <c r="K1462" s="8"/>
      <c r="L1462" s="8"/>
      <c r="M1462" s="8"/>
      <c r="N1462" s="8"/>
      <c r="O1462" s="8"/>
      <c r="P1462" s="8"/>
      <c r="Q1462" s="8"/>
      <c r="R1462" s="8"/>
      <c r="S1462" s="8"/>
      <c r="T1462" s="8"/>
      <c r="U1462" s="8"/>
    </row>
    <row r="1463" spans="10:21">
      <c r="J1463" s="8"/>
      <c r="K1463" s="8"/>
      <c r="L1463" s="8"/>
      <c r="M1463" s="8"/>
      <c r="N1463" s="8"/>
      <c r="O1463" s="8"/>
      <c r="P1463" s="8"/>
      <c r="Q1463" s="8"/>
      <c r="R1463" s="8"/>
      <c r="S1463" s="8"/>
      <c r="T1463" s="8"/>
      <c r="U1463" s="8"/>
    </row>
    <row r="1464" spans="10:21">
      <c r="J1464" s="8"/>
      <c r="K1464" s="8"/>
      <c r="L1464" s="8"/>
      <c r="M1464" s="8"/>
      <c r="N1464" s="8"/>
      <c r="O1464" s="8"/>
      <c r="P1464" s="8"/>
      <c r="Q1464" s="8"/>
      <c r="R1464" s="8"/>
      <c r="S1464" s="8"/>
      <c r="T1464" s="8"/>
      <c r="U1464" s="8"/>
    </row>
    <row r="1465" spans="10:21">
      <c r="J1465" s="8"/>
      <c r="K1465" s="8"/>
      <c r="L1465" s="8"/>
      <c r="M1465" s="8"/>
      <c r="N1465" s="8"/>
      <c r="O1465" s="8"/>
      <c r="P1465" s="8"/>
      <c r="Q1465" s="8"/>
      <c r="R1465" s="8"/>
      <c r="S1465" s="8"/>
      <c r="T1465" s="8"/>
      <c r="U1465" s="8"/>
    </row>
    <row r="1466" spans="10:21">
      <c r="J1466" s="8"/>
      <c r="K1466" s="8"/>
      <c r="L1466" s="8"/>
      <c r="M1466" s="8"/>
      <c r="N1466" s="8"/>
      <c r="O1466" s="8"/>
      <c r="P1466" s="8"/>
      <c r="Q1466" s="8"/>
      <c r="R1466" s="8"/>
      <c r="S1466" s="8"/>
      <c r="T1466" s="8"/>
      <c r="U1466" s="8"/>
    </row>
    <row r="1467" spans="10:21">
      <c r="J1467" s="8"/>
      <c r="K1467" s="8"/>
      <c r="L1467" s="8"/>
      <c r="M1467" s="8"/>
      <c r="N1467" s="8"/>
      <c r="O1467" s="8"/>
      <c r="P1467" s="8"/>
      <c r="Q1467" s="8"/>
      <c r="R1467" s="8"/>
      <c r="S1467" s="8"/>
      <c r="T1467" s="8"/>
      <c r="U1467" s="8"/>
    </row>
    <row r="1468" spans="10:21">
      <c r="J1468" s="8"/>
      <c r="K1468" s="8"/>
      <c r="L1468" s="8"/>
      <c r="M1468" s="8"/>
      <c r="N1468" s="8"/>
      <c r="O1468" s="8"/>
      <c r="P1468" s="8"/>
      <c r="Q1468" s="8"/>
      <c r="R1468" s="8"/>
      <c r="S1468" s="8"/>
      <c r="T1468" s="8"/>
      <c r="U1468" s="8"/>
    </row>
    <row r="1469" spans="10:21">
      <c r="J1469" s="8"/>
      <c r="K1469" s="8"/>
      <c r="L1469" s="8"/>
      <c r="M1469" s="8"/>
      <c r="N1469" s="8"/>
      <c r="O1469" s="8"/>
      <c r="P1469" s="8"/>
      <c r="Q1469" s="8"/>
      <c r="R1469" s="8"/>
      <c r="S1469" s="8"/>
      <c r="T1469" s="8"/>
      <c r="U1469" s="8"/>
    </row>
    <row r="1470" spans="10:21">
      <c r="J1470" s="8"/>
      <c r="K1470" s="8"/>
      <c r="L1470" s="8"/>
      <c r="M1470" s="8"/>
      <c r="N1470" s="8"/>
      <c r="O1470" s="8"/>
      <c r="P1470" s="8"/>
      <c r="Q1470" s="8"/>
      <c r="R1470" s="8"/>
      <c r="S1470" s="8"/>
      <c r="T1470" s="8"/>
      <c r="U1470" s="8"/>
    </row>
    <row r="1471" spans="10:21">
      <c r="J1471" s="8"/>
      <c r="K1471" s="8"/>
      <c r="L1471" s="8"/>
      <c r="M1471" s="8"/>
      <c r="N1471" s="8"/>
      <c r="O1471" s="8"/>
      <c r="P1471" s="8"/>
      <c r="Q1471" s="8"/>
      <c r="R1471" s="8"/>
      <c r="S1471" s="8"/>
      <c r="T1471" s="8"/>
      <c r="U1471" s="8"/>
    </row>
    <row r="1472" spans="10:21">
      <c r="J1472" s="8"/>
      <c r="K1472" s="8"/>
      <c r="L1472" s="8"/>
      <c r="M1472" s="8"/>
      <c r="N1472" s="8"/>
      <c r="O1472" s="8"/>
      <c r="P1472" s="8"/>
      <c r="Q1472" s="8"/>
      <c r="R1472" s="8"/>
      <c r="S1472" s="8"/>
      <c r="T1472" s="8"/>
      <c r="U1472" s="8"/>
    </row>
    <row r="1473" spans="10:21">
      <c r="J1473" s="8"/>
      <c r="K1473" s="8"/>
      <c r="L1473" s="8"/>
      <c r="M1473" s="8"/>
      <c r="N1473" s="8"/>
      <c r="O1473" s="8"/>
      <c r="P1473" s="8"/>
      <c r="Q1473" s="8"/>
      <c r="R1473" s="8"/>
      <c r="S1473" s="8"/>
      <c r="T1473" s="8"/>
      <c r="U1473" s="8"/>
    </row>
    <row r="1474" spans="10:21">
      <c r="J1474" s="8"/>
      <c r="K1474" s="8"/>
      <c r="L1474" s="8"/>
      <c r="M1474" s="8"/>
      <c r="N1474" s="8"/>
      <c r="O1474" s="8"/>
      <c r="P1474" s="8"/>
      <c r="Q1474" s="8"/>
      <c r="R1474" s="8"/>
      <c r="S1474" s="8"/>
      <c r="T1474" s="8"/>
      <c r="U1474" s="8"/>
    </row>
    <row r="1475" spans="10:21">
      <c r="J1475" s="8"/>
      <c r="K1475" s="8"/>
      <c r="L1475" s="8"/>
      <c r="M1475" s="8"/>
      <c r="N1475" s="8"/>
      <c r="O1475" s="8"/>
      <c r="P1475" s="8"/>
      <c r="Q1475" s="8"/>
      <c r="R1475" s="8"/>
      <c r="S1475" s="8"/>
      <c r="T1475" s="8"/>
      <c r="U1475" s="8"/>
    </row>
    <row r="1476" spans="10:21">
      <c r="J1476" s="8"/>
      <c r="K1476" s="8"/>
      <c r="L1476" s="8"/>
      <c r="M1476" s="8"/>
      <c r="N1476" s="8"/>
      <c r="O1476" s="8"/>
      <c r="P1476" s="8"/>
      <c r="Q1476" s="8"/>
      <c r="R1476" s="8"/>
      <c r="S1476" s="8"/>
      <c r="T1476" s="8"/>
      <c r="U1476" s="8"/>
    </row>
    <row r="1477" spans="10:21">
      <c r="J1477" s="8"/>
      <c r="K1477" s="8"/>
      <c r="L1477" s="8"/>
      <c r="M1477" s="8"/>
      <c r="N1477" s="8"/>
      <c r="O1477" s="8"/>
      <c r="P1477" s="8"/>
      <c r="Q1477" s="8"/>
      <c r="R1477" s="8"/>
      <c r="S1477" s="8"/>
      <c r="T1477" s="8"/>
      <c r="U1477" s="8"/>
    </row>
    <row r="1478" spans="10:21">
      <c r="J1478" s="8"/>
      <c r="K1478" s="8"/>
      <c r="L1478" s="8"/>
      <c r="M1478" s="8"/>
      <c r="N1478" s="8"/>
      <c r="O1478" s="8"/>
      <c r="P1478" s="8"/>
      <c r="Q1478" s="8"/>
      <c r="R1478" s="8"/>
      <c r="S1478" s="8"/>
      <c r="T1478" s="8"/>
      <c r="U1478" s="8"/>
    </row>
    <row r="1479" spans="10:21">
      <c r="J1479" s="8"/>
      <c r="K1479" s="8"/>
      <c r="L1479" s="8"/>
      <c r="M1479" s="8"/>
      <c r="N1479" s="8"/>
      <c r="O1479" s="8"/>
      <c r="P1479" s="8"/>
      <c r="Q1479" s="8"/>
      <c r="R1479" s="8"/>
      <c r="S1479" s="8"/>
      <c r="T1479" s="8"/>
      <c r="U1479" s="8"/>
    </row>
    <row r="1480" spans="10:21">
      <c r="J1480" s="8"/>
      <c r="K1480" s="8"/>
      <c r="L1480" s="8"/>
      <c r="M1480" s="8"/>
      <c r="N1480" s="8"/>
      <c r="O1480" s="8"/>
      <c r="P1480" s="8"/>
      <c r="Q1480" s="8"/>
      <c r="R1480" s="8"/>
      <c r="S1480" s="8"/>
      <c r="T1480" s="8"/>
      <c r="U1480" s="8"/>
    </row>
    <row r="1481" spans="10:21">
      <c r="J1481" s="8"/>
      <c r="K1481" s="8"/>
      <c r="L1481" s="8"/>
      <c r="M1481" s="8"/>
      <c r="N1481" s="8"/>
      <c r="O1481" s="8"/>
      <c r="P1481" s="8"/>
      <c r="Q1481" s="8"/>
      <c r="R1481" s="8"/>
      <c r="S1481" s="8"/>
      <c r="T1481" s="8"/>
      <c r="U1481" s="8"/>
    </row>
    <row r="1482" spans="10:21">
      <c r="J1482" s="8"/>
      <c r="K1482" s="8"/>
      <c r="L1482" s="8"/>
      <c r="M1482" s="8"/>
      <c r="N1482" s="8"/>
      <c r="O1482" s="8"/>
      <c r="P1482" s="8"/>
      <c r="Q1482" s="8"/>
      <c r="R1482" s="8"/>
      <c r="S1482" s="8"/>
      <c r="T1482" s="8"/>
      <c r="U1482" s="8"/>
    </row>
    <row r="1483" spans="10:21">
      <c r="J1483" s="8"/>
      <c r="K1483" s="8"/>
      <c r="L1483" s="8"/>
      <c r="M1483" s="8"/>
      <c r="N1483" s="8"/>
      <c r="O1483" s="8"/>
      <c r="P1483" s="8"/>
      <c r="Q1483" s="8"/>
      <c r="R1483" s="8"/>
      <c r="S1483" s="8"/>
      <c r="T1483" s="8"/>
      <c r="U1483" s="8"/>
    </row>
    <row r="1484" spans="10:21">
      <c r="J1484" s="8"/>
      <c r="K1484" s="8"/>
      <c r="L1484" s="8"/>
      <c r="M1484" s="8"/>
      <c r="N1484" s="8"/>
      <c r="O1484" s="8"/>
      <c r="P1484" s="8"/>
      <c r="Q1484" s="8"/>
      <c r="R1484" s="8"/>
      <c r="S1484" s="8"/>
      <c r="T1484" s="8"/>
      <c r="U1484" s="8"/>
    </row>
    <row r="1485" spans="10:21">
      <c r="J1485" s="8"/>
      <c r="K1485" s="8"/>
      <c r="L1485" s="8"/>
      <c r="M1485" s="8"/>
      <c r="N1485" s="8"/>
      <c r="O1485" s="8"/>
      <c r="P1485" s="8"/>
      <c r="Q1485" s="8"/>
      <c r="R1485" s="8"/>
      <c r="S1485" s="8"/>
      <c r="T1485" s="8"/>
      <c r="U1485" s="8"/>
    </row>
    <row r="1486" spans="10:21">
      <c r="J1486" s="8"/>
      <c r="K1486" s="8"/>
      <c r="L1486" s="8"/>
      <c r="M1486" s="8"/>
      <c r="N1486" s="8"/>
      <c r="O1486" s="8"/>
      <c r="P1486" s="8"/>
      <c r="Q1486" s="8"/>
      <c r="R1486" s="8"/>
      <c r="S1486" s="8"/>
      <c r="T1486" s="8"/>
      <c r="U1486" s="8"/>
    </row>
    <row r="1487" spans="10:21">
      <c r="J1487" s="8"/>
      <c r="K1487" s="8"/>
      <c r="L1487" s="8"/>
      <c r="M1487" s="8"/>
      <c r="N1487" s="8"/>
      <c r="O1487" s="8"/>
      <c r="P1487" s="8"/>
      <c r="Q1487" s="8"/>
      <c r="R1487" s="8"/>
      <c r="S1487" s="8"/>
      <c r="T1487" s="8"/>
      <c r="U1487" s="8"/>
    </row>
    <row r="1488" spans="10:21">
      <c r="J1488" s="8"/>
      <c r="K1488" s="8"/>
      <c r="L1488" s="8"/>
      <c r="M1488" s="8"/>
      <c r="N1488" s="8"/>
      <c r="O1488" s="8"/>
      <c r="P1488" s="8"/>
      <c r="Q1488" s="8"/>
      <c r="R1488" s="8"/>
      <c r="S1488" s="8"/>
      <c r="T1488" s="8"/>
      <c r="U1488" s="8"/>
    </row>
    <row r="1489" spans="10:21">
      <c r="J1489" s="8"/>
      <c r="K1489" s="8"/>
      <c r="L1489" s="8"/>
      <c r="M1489" s="8"/>
      <c r="N1489" s="8"/>
      <c r="O1489" s="8"/>
      <c r="P1489" s="8"/>
      <c r="Q1489" s="8"/>
      <c r="R1489" s="8"/>
      <c r="S1489" s="8"/>
      <c r="T1489" s="8"/>
      <c r="U1489" s="8"/>
    </row>
    <row r="1490" spans="10:21">
      <c r="J1490" s="8"/>
      <c r="K1490" s="8"/>
      <c r="L1490" s="8"/>
      <c r="M1490" s="8"/>
      <c r="N1490" s="8"/>
      <c r="O1490" s="8"/>
      <c r="P1490" s="8"/>
      <c r="Q1490" s="8"/>
      <c r="R1490" s="8"/>
      <c r="S1490" s="8"/>
      <c r="T1490" s="8"/>
      <c r="U1490" s="8"/>
    </row>
    <row r="1491" spans="10:21">
      <c r="J1491" s="8"/>
      <c r="K1491" s="8"/>
      <c r="L1491" s="8"/>
      <c r="M1491" s="8"/>
      <c r="N1491" s="8"/>
      <c r="O1491" s="8"/>
      <c r="P1491" s="8"/>
      <c r="Q1491" s="8"/>
      <c r="R1491" s="8"/>
      <c r="S1491" s="8"/>
      <c r="T1491" s="8"/>
      <c r="U1491" s="8"/>
    </row>
    <row r="1492" spans="10:21">
      <c r="J1492" s="8"/>
      <c r="K1492" s="8"/>
      <c r="L1492" s="8"/>
      <c r="M1492" s="8"/>
      <c r="N1492" s="8"/>
      <c r="O1492" s="8"/>
      <c r="P1492" s="8"/>
      <c r="Q1492" s="8"/>
      <c r="R1492" s="8"/>
      <c r="S1492" s="8"/>
      <c r="T1492" s="8"/>
      <c r="U1492" s="8"/>
    </row>
    <row r="1493" spans="10:21">
      <c r="J1493" s="8"/>
      <c r="K1493" s="8"/>
      <c r="L1493" s="8"/>
      <c r="M1493" s="8"/>
      <c r="N1493" s="8"/>
      <c r="O1493" s="8"/>
      <c r="P1493" s="8"/>
      <c r="Q1493" s="8"/>
      <c r="R1493" s="8"/>
      <c r="S1493" s="8"/>
      <c r="T1493" s="8"/>
      <c r="U1493" s="8"/>
    </row>
    <row r="1494" spans="10:21">
      <c r="J1494" s="8"/>
      <c r="K1494" s="8"/>
      <c r="L1494" s="8"/>
      <c r="M1494" s="8"/>
      <c r="N1494" s="8"/>
      <c r="O1494" s="8"/>
      <c r="P1494" s="8"/>
      <c r="Q1494" s="8"/>
      <c r="R1494" s="8"/>
      <c r="S1494" s="8"/>
      <c r="T1494" s="8"/>
      <c r="U1494" s="8"/>
    </row>
    <row r="1495" spans="10:21">
      <c r="J1495" s="8"/>
      <c r="K1495" s="8"/>
      <c r="L1495" s="8"/>
      <c r="M1495" s="8"/>
      <c r="N1495" s="8"/>
      <c r="O1495" s="8"/>
      <c r="P1495" s="8"/>
      <c r="Q1495" s="8"/>
      <c r="R1495" s="8"/>
      <c r="S1495" s="8"/>
      <c r="T1495" s="8"/>
      <c r="U1495" s="8"/>
    </row>
    <row r="1496" spans="10:21">
      <c r="J1496" s="8"/>
      <c r="K1496" s="8"/>
      <c r="L1496" s="8"/>
      <c r="M1496" s="8"/>
      <c r="N1496" s="8"/>
      <c r="O1496" s="8"/>
      <c r="P1496" s="8"/>
      <c r="Q1496" s="8"/>
      <c r="R1496" s="8"/>
      <c r="S1496" s="8"/>
      <c r="T1496" s="8"/>
      <c r="U1496" s="8"/>
    </row>
    <row r="1497" spans="10:21">
      <c r="J1497" s="8"/>
      <c r="K1497" s="8"/>
      <c r="L1497" s="8"/>
      <c r="M1497" s="8"/>
      <c r="N1497" s="8"/>
      <c r="O1497" s="8"/>
      <c r="P1497" s="8"/>
      <c r="Q1497" s="8"/>
      <c r="R1497" s="8"/>
      <c r="S1497" s="8"/>
      <c r="T1497" s="8"/>
      <c r="U1497" s="8"/>
    </row>
    <row r="1498" spans="10:21">
      <c r="J1498" s="8"/>
      <c r="K1498" s="8"/>
      <c r="L1498" s="8"/>
      <c r="M1498" s="8"/>
      <c r="N1498" s="8"/>
      <c r="O1498" s="8"/>
      <c r="P1498" s="8"/>
      <c r="Q1498" s="8"/>
      <c r="R1498" s="8"/>
      <c r="S1498" s="8"/>
      <c r="T1498" s="8"/>
      <c r="U1498" s="8"/>
    </row>
    <row r="1499" spans="10:21">
      <c r="J1499" s="8"/>
      <c r="K1499" s="8"/>
      <c r="L1499" s="8"/>
      <c r="M1499" s="8"/>
      <c r="N1499" s="8"/>
      <c r="O1499" s="8"/>
      <c r="P1499" s="8"/>
      <c r="Q1499" s="8"/>
      <c r="R1499" s="8"/>
      <c r="S1499" s="8"/>
      <c r="T1499" s="8"/>
      <c r="U1499" s="8"/>
    </row>
    <row r="1500" spans="10:21">
      <c r="J1500" s="8"/>
      <c r="K1500" s="8"/>
      <c r="L1500" s="8"/>
      <c r="M1500" s="8"/>
      <c r="N1500" s="8"/>
      <c r="O1500" s="8"/>
      <c r="P1500" s="8"/>
      <c r="Q1500" s="8"/>
      <c r="R1500" s="8"/>
      <c r="S1500" s="8"/>
      <c r="T1500" s="8"/>
      <c r="U1500" s="8"/>
    </row>
    <row r="1501" spans="10:21">
      <c r="J1501" s="8"/>
      <c r="K1501" s="8"/>
      <c r="L1501" s="8"/>
      <c r="M1501" s="8"/>
      <c r="N1501" s="8"/>
      <c r="O1501" s="8"/>
      <c r="P1501" s="8"/>
      <c r="Q1501" s="8"/>
      <c r="R1501" s="8"/>
      <c r="S1501" s="8"/>
      <c r="T1501" s="8"/>
      <c r="U1501" s="8"/>
    </row>
    <row r="1502" spans="10:21">
      <c r="J1502" s="8"/>
      <c r="K1502" s="8"/>
      <c r="L1502" s="8"/>
      <c r="M1502" s="8"/>
      <c r="N1502" s="8"/>
      <c r="O1502" s="8"/>
      <c r="P1502" s="8"/>
      <c r="Q1502" s="8"/>
      <c r="R1502" s="8"/>
      <c r="S1502" s="8"/>
      <c r="T1502" s="8"/>
      <c r="U1502" s="8"/>
    </row>
    <row r="1503" spans="10:21">
      <c r="J1503" s="8"/>
      <c r="K1503" s="8"/>
      <c r="L1503" s="8"/>
      <c r="M1503" s="8"/>
      <c r="N1503" s="8"/>
      <c r="O1503" s="8"/>
      <c r="P1503" s="8"/>
      <c r="Q1503" s="8"/>
      <c r="R1503" s="8"/>
      <c r="S1503" s="8"/>
      <c r="T1503" s="8"/>
      <c r="U1503" s="8"/>
    </row>
    <row r="1504" spans="10:21">
      <c r="J1504" s="8"/>
      <c r="K1504" s="8"/>
      <c r="L1504" s="8"/>
      <c r="M1504" s="8"/>
      <c r="N1504" s="8"/>
      <c r="O1504" s="8"/>
      <c r="P1504" s="8"/>
      <c r="Q1504" s="8"/>
      <c r="R1504" s="8"/>
      <c r="S1504" s="8"/>
      <c r="T1504" s="8"/>
      <c r="U1504" s="8"/>
    </row>
    <row r="1505" spans="10:21">
      <c r="J1505" s="8"/>
      <c r="K1505" s="8"/>
      <c r="L1505" s="8"/>
      <c r="M1505" s="8"/>
      <c r="N1505" s="8"/>
      <c r="O1505" s="8"/>
      <c r="P1505" s="8"/>
      <c r="Q1505" s="8"/>
      <c r="R1505" s="8"/>
      <c r="S1505" s="8"/>
      <c r="T1505" s="8"/>
      <c r="U1505" s="8"/>
    </row>
    <row r="1506" spans="10:21">
      <c r="J1506" s="8"/>
      <c r="K1506" s="8"/>
      <c r="L1506" s="8"/>
      <c r="M1506" s="8"/>
      <c r="N1506" s="8"/>
      <c r="O1506" s="8"/>
      <c r="P1506" s="8"/>
      <c r="Q1506" s="8"/>
      <c r="R1506" s="8"/>
      <c r="S1506" s="8"/>
      <c r="T1506" s="8"/>
      <c r="U1506" s="8"/>
    </row>
    <row r="1507" spans="10:21">
      <c r="J1507" s="8"/>
      <c r="K1507" s="8"/>
      <c r="L1507" s="8"/>
      <c r="M1507" s="8"/>
      <c r="N1507" s="8"/>
      <c r="O1507" s="8"/>
      <c r="P1507" s="8"/>
      <c r="Q1507" s="8"/>
      <c r="R1507" s="8"/>
      <c r="S1507" s="8"/>
      <c r="T1507" s="8"/>
      <c r="U1507" s="8"/>
    </row>
    <row r="1508" spans="10:21">
      <c r="J1508" s="8"/>
      <c r="K1508" s="8"/>
      <c r="L1508" s="8"/>
      <c r="M1508" s="8"/>
      <c r="N1508" s="8"/>
      <c r="O1508" s="8"/>
      <c r="P1508" s="8"/>
      <c r="Q1508" s="8"/>
      <c r="R1508" s="8"/>
      <c r="S1508" s="8"/>
      <c r="T1508" s="8"/>
      <c r="U1508" s="8"/>
    </row>
    <row r="1509" spans="10:21">
      <c r="J1509" s="8"/>
      <c r="K1509" s="8"/>
      <c r="L1509" s="8"/>
      <c r="M1509" s="8"/>
      <c r="N1509" s="8"/>
      <c r="O1509" s="8"/>
      <c r="P1509" s="8"/>
      <c r="Q1509" s="8"/>
      <c r="R1509" s="8"/>
      <c r="S1509" s="8"/>
      <c r="T1509" s="8"/>
      <c r="U1509" s="8"/>
    </row>
    <row r="1510" spans="10:21">
      <c r="J1510" s="8"/>
      <c r="K1510" s="8"/>
      <c r="L1510" s="8"/>
      <c r="M1510" s="8"/>
      <c r="N1510" s="8"/>
      <c r="O1510" s="8"/>
      <c r="P1510" s="8"/>
      <c r="Q1510" s="8"/>
      <c r="R1510" s="8"/>
      <c r="S1510" s="8"/>
      <c r="T1510" s="8"/>
      <c r="U1510" s="8"/>
    </row>
    <row r="1511" spans="10:21">
      <c r="J1511" s="8"/>
      <c r="K1511" s="8"/>
      <c r="L1511" s="8"/>
      <c r="M1511" s="8"/>
      <c r="N1511" s="8"/>
      <c r="O1511" s="8"/>
      <c r="P1511" s="8"/>
      <c r="Q1511" s="8"/>
      <c r="R1511" s="8"/>
      <c r="S1511" s="8"/>
      <c r="T1511" s="8"/>
      <c r="U1511" s="8"/>
    </row>
    <row r="1512" spans="10:21">
      <c r="J1512" s="8"/>
      <c r="K1512" s="8"/>
      <c r="L1512" s="8"/>
      <c r="M1512" s="8"/>
      <c r="N1512" s="8"/>
      <c r="O1512" s="8"/>
      <c r="P1512" s="8"/>
      <c r="Q1512" s="8"/>
      <c r="R1512" s="8"/>
      <c r="S1512" s="8"/>
      <c r="T1512" s="8"/>
      <c r="U1512" s="8"/>
    </row>
    <row r="1513" spans="10:21">
      <c r="J1513" s="8"/>
      <c r="K1513" s="8"/>
      <c r="L1513" s="8"/>
      <c r="M1513" s="8"/>
      <c r="N1513" s="8"/>
      <c r="O1513" s="8"/>
      <c r="P1513" s="8"/>
      <c r="Q1513" s="8"/>
      <c r="R1513" s="8"/>
      <c r="S1513" s="8"/>
      <c r="T1513" s="8"/>
      <c r="U1513" s="8"/>
    </row>
    <row r="1514" spans="10:21">
      <c r="J1514" s="8"/>
      <c r="K1514" s="8"/>
      <c r="L1514" s="8"/>
      <c r="M1514" s="8"/>
      <c r="N1514" s="8"/>
      <c r="O1514" s="8"/>
      <c r="P1514" s="8"/>
      <c r="Q1514" s="8"/>
      <c r="R1514" s="8"/>
      <c r="S1514" s="8"/>
      <c r="T1514" s="8"/>
      <c r="U1514" s="8"/>
    </row>
    <row r="1515" spans="10:21">
      <c r="J1515" s="8"/>
      <c r="K1515" s="8"/>
      <c r="L1515" s="8"/>
      <c r="M1515" s="8"/>
      <c r="N1515" s="8"/>
      <c r="O1515" s="8"/>
      <c r="P1515" s="8"/>
      <c r="Q1515" s="8"/>
      <c r="R1515" s="8"/>
      <c r="S1515" s="8"/>
      <c r="T1515" s="8"/>
      <c r="U1515" s="8"/>
    </row>
    <row r="1516" spans="10:21">
      <c r="J1516" s="8"/>
      <c r="K1516" s="8"/>
      <c r="L1516" s="8"/>
      <c r="M1516" s="8"/>
      <c r="N1516" s="8"/>
      <c r="O1516" s="8"/>
      <c r="P1516" s="8"/>
      <c r="Q1516" s="8"/>
      <c r="R1516" s="8"/>
      <c r="S1516" s="8"/>
      <c r="T1516" s="8"/>
      <c r="U1516" s="8"/>
    </row>
    <row r="1517" spans="10:21">
      <c r="J1517" s="8"/>
      <c r="K1517" s="8"/>
      <c r="L1517" s="8"/>
      <c r="M1517" s="8"/>
      <c r="N1517" s="8"/>
      <c r="O1517" s="8"/>
      <c r="P1517" s="8"/>
      <c r="Q1517" s="8"/>
      <c r="R1517" s="8"/>
      <c r="S1517" s="8"/>
      <c r="T1517" s="8"/>
      <c r="U1517" s="8"/>
    </row>
    <row r="1518" spans="10:21">
      <c r="J1518" s="8"/>
      <c r="K1518" s="8"/>
      <c r="L1518" s="8"/>
      <c r="M1518" s="8"/>
      <c r="N1518" s="8"/>
      <c r="O1518" s="8"/>
      <c r="P1518" s="8"/>
      <c r="Q1518" s="8"/>
      <c r="R1518" s="8"/>
      <c r="S1518" s="8"/>
      <c r="T1518" s="8"/>
      <c r="U1518" s="8"/>
    </row>
    <row r="1519" spans="10:21">
      <c r="J1519" s="8"/>
      <c r="K1519" s="8"/>
      <c r="L1519" s="8"/>
      <c r="M1519" s="8"/>
      <c r="N1519" s="8"/>
      <c r="O1519" s="8"/>
      <c r="P1519" s="8"/>
      <c r="Q1519" s="8"/>
      <c r="R1519" s="8"/>
      <c r="S1519" s="8"/>
      <c r="T1519" s="8"/>
      <c r="U1519" s="8"/>
    </row>
    <row r="1520" spans="10:21">
      <c r="J1520" s="8"/>
      <c r="K1520" s="8"/>
      <c r="L1520" s="8"/>
      <c r="M1520" s="8"/>
      <c r="N1520" s="8"/>
      <c r="O1520" s="8"/>
      <c r="P1520" s="8"/>
      <c r="Q1520" s="8"/>
      <c r="R1520" s="8"/>
      <c r="S1520" s="8"/>
      <c r="T1520" s="8"/>
      <c r="U1520" s="8"/>
    </row>
    <row r="1521" spans="10:21">
      <c r="J1521" s="8"/>
      <c r="K1521" s="8"/>
      <c r="L1521" s="8"/>
      <c r="M1521" s="8"/>
      <c r="N1521" s="8"/>
      <c r="O1521" s="8"/>
      <c r="P1521" s="8"/>
      <c r="Q1521" s="8"/>
      <c r="R1521" s="8"/>
      <c r="S1521" s="8"/>
      <c r="T1521" s="8"/>
      <c r="U1521" s="8"/>
    </row>
    <row r="1522" spans="10:21">
      <c r="J1522" s="8"/>
      <c r="K1522" s="8"/>
      <c r="L1522" s="8"/>
      <c r="M1522" s="8"/>
      <c r="N1522" s="8"/>
      <c r="O1522" s="8"/>
      <c r="P1522" s="8"/>
      <c r="Q1522" s="8"/>
      <c r="R1522" s="8"/>
      <c r="S1522" s="8"/>
      <c r="T1522" s="8"/>
      <c r="U1522" s="8"/>
    </row>
    <row r="1523" spans="10:21">
      <c r="J1523" s="8"/>
      <c r="K1523" s="8"/>
      <c r="L1523" s="8"/>
      <c r="M1523" s="8"/>
      <c r="N1523" s="8"/>
      <c r="O1523" s="8"/>
      <c r="P1523" s="8"/>
      <c r="Q1523" s="8"/>
      <c r="R1523" s="8"/>
      <c r="S1523" s="8"/>
      <c r="T1523" s="8"/>
      <c r="U1523" s="8"/>
    </row>
    <row r="1524" spans="10:21">
      <c r="J1524" s="8"/>
      <c r="K1524" s="8"/>
      <c r="L1524" s="8"/>
      <c r="M1524" s="8"/>
      <c r="N1524" s="8"/>
      <c r="O1524" s="8"/>
      <c r="P1524" s="8"/>
      <c r="Q1524" s="8"/>
      <c r="R1524" s="8"/>
      <c r="S1524" s="8"/>
      <c r="T1524" s="8"/>
      <c r="U1524" s="8"/>
    </row>
    <row r="1525" spans="10:21">
      <c r="J1525" s="8"/>
      <c r="K1525" s="8"/>
      <c r="L1525" s="8"/>
      <c r="M1525" s="8"/>
      <c r="N1525" s="8"/>
      <c r="O1525" s="8"/>
      <c r="P1525" s="8"/>
      <c r="Q1525" s="8"/>
      <c r="R1525" s="8"/>
      <c r="S1525" s="8"/>
      <c r="T1525" s="8"/>
      <c r="U1525" s="8"/>
    </row>
    <row r="1526" spans="10:21">
      <c r="J1526" s="8"/>
      <c r="K1526" s="8"/>
      <c r="L1526" s="8"/>
      <c r="M1526" s="8"/>
      <c r="N1526" s="8"/>
      <c r="O1526" s="8"/>
      <c r="P1526" s="8"/>
      <c r="Q1526" s="8"/>
      <c r="R1526" s="8"/>
      <c r="S1526" s="8"/>
      <c r="T1526" s="8"/>
      <c r="U1526" s="8"/>
    </row>
    <row r="1527" spans="10:21">
      <c r="J1527" s="8"/>
      <c r="K1527" s="8"/>
      <c r="L1527" s="8"/>
      <c r="M1527" s="8"/>
      <c r="N1527" s="8"/>
      <c r="O1527" s="8"/>
      <c r="P1527" s="8"/>
      <c r="Q1527" s="8"/>
      <c r="R1527" s="8"/>
      <c r="S1527" s="8"/>
      <c r="T1527" s="8"/>
      <c r="U1527" s="8"/>
    </row>
    <row r="1528" spans="10:21">
      <c r="J1528" s="8"/>
      <c r="K1528" s="8"/>
      <c r="L1528" s="8"/>
      <c r="M1528" s="8"/>
      <c r="N1528" s="8"/>
      <c r="O1528" s="8"/>
      <c r="P1528" s="8"/>
      <c r="Q1528" s="8"/>
      <c r="R1528" s="8"/>
      <c r="S1528" s="8"/>
      <c r="T1528" s="8"/>
      <c r="U1528" s="8"/>
    </row>
    <row r="1529" spans="10:21">
      <c r="J1529" s="8"/>
      <c r="K1529" s="8"/>
      <c r="L1529" s="8"/>
      <c r="M1529" s="8"/>
      <c r="N1529" s="8"/>
      <c r="O1529" s="8"/>
      <c r="P1529" s="8"/>
      <c r="Q1529" s="8"/>
      <c r="R1529" s="8"/>
      <c r="S1529" s="8"/>
      <c r="T1529" s="8"/>
      <c r="U1529" s="8"/>
    </row>
    <row r="1530" spans="10:21">
      <c r="J1530" s="8"/>
      <c r="K1530" s="8"/>
      <c r="L1530" s="8"/>
      <c r="M1530" s="8"/>
      <c r="N1530" s="8"/>
      <c r="O1530" s="8"/>
      <c r="P1530" s="8"/>
      <c r="Q1530" s="8"/>
      <c r="R1530" s="8"/>
      <c r="S1530" s="8"/>
      <c r="T1530" s="8"/>
      <c r="U1530" s="8"/>
    </row>
    <row r="1531" spans="10:21">
      <c r="J1531" s="8"/>
      <c r="K1531" s="8"/>
      <c r="L1531" s="8"/>
      <c r="M1531" s="8"/>
      <c r="N1531" s="8"/>
      <c r="O1531" s="8"/>
      <c r="P1531" s="8"/>
      <c r="Q1531" s="8"/>
      <c r="R1531" s="8"/>
      <c r="S1531" s="8"/>
      <c r="T1531" s="8"/>
      <c r="U1531" s="8"/>
    </row>
    <row r="1532" spans="10:21">
      <c r="J1532" s="8"/>
      <c r="K1532" s="8"/>
      <c r="L1532" s="8"/>
      <c r="M1532" s="8"/>
      <c r="N1532" s="8"/>
      <c r="O1532" s="8"/>
      <c r="P1532" s="8"/>
      <c r="Q1532" s="8"/>
      <c r="R1532" s="8"/>
      <c r="S1532" s="8"/>
      <c r="T1532" s="8"/>
      <c r="U1532" s="8"/>
    </row>
    <row r="1533" spans="10:21">
      <c r="J1533" s="8"/>
      <c r="K1533" s="8"/>
      <c r="L1533" s="8"/>
      <c r="M1533" s="8"/>
      <c r="N1533" s="8"/>
      <c r="O1533" s="8"/>
      <c r="P1533" s="8"/>
      <c r="Q1533" s="8"/>
      <c r="R1533" s="8"/>
      <c r="S1533" s="8"/>
      <c r="T1533" s="8"/>
      <c r="U1533" s="8"/>
    </row>
    <row r="1534" spans="10:21">
      <c r="J1534" s="8"/>
      <c r="K1534" s="8"/>
      <c r="L1534" s="8"/>
      <c r="M1534" s="8"/>
      <c r="N1534" s="8"/>
      <c r="O1534" s="8"/>
      <c r="P1534" s="8"/>
      <c r="Q1534" s="8"/>
      <c r="R1534" s="8"/>
      <c r="S1534" s="8"/>
      <c r="T1534" s="8"/>
      <c r="U1534" s="8"/>
    </row>
    <row r="1535" spans="10:21">
      <c r="J1535" s="8"/>
      <c r="K1535" s="8"/>
      <c r="L1535" s="8"/>
      <c r="M1535" s="8"/>
      <c r="N1535" s="8"/>
      <c r="O1535" s="8"/>
      <c r="P1535" s="8"/>
      <c r="Q1535" s="8"/>
      <c r="R1535" s="8"/>
      <c r="S1535" s="8"/>
      <c r="T1535" s="8"/>
      <c r="U1535" s="8"/>
    </row>
    <row r="1536" spans="10:21">
      <c r="J1536" s="8"/>
      <c r="K1536" s="8"/>
      <c r="L1536" s="8"/>
      <c r="M1536" s="8"/>
      <c r="N1536" s="8"/>
      <c r="O1536" s="8"/>
      <c r="P1536" s="8"/>
      <c r="Q1536" s="8"/>
      <c r="R1536" s="8"/>
      <c r="S1536" s="8"/>
      <c r="T1536" s="8"/>
      <c r="U1536" s="8"/>
    </row>
    <row r="1537" spans="10:21">
      <c r="J1537" s="8"/>
      <c r="K1537" s="8"/>
      <c r="L1537" s="8"/>
      <c r="M1537" s="8"/>
      <c r="N1537" s="8"/>
      <c r="O1537" s="8"/>
      <c r="P1537" s="8"/>
      <c r="Q1537" s="8"/>
      <c r="R1537" s="8"/>
      <c r="S1537" s="8"/>
      <c r="T1537" s="8"/>
      <c r="U1537" s="8"/>
    </row>
    <row r="1538" spans="10:21">
      <c r="J1538" s="8"/>
      <c r="K1538" s="8"/>
      <c r="L1538" s="8"/>
      <c r="M1538" s="8"/>
      <c r="N1538" s="8"/>
      <c r="O1538" s="8"/>
      <c r="P1538" s="8"/>
      <c r="Q1538" s="8"/>
      <c r="R1538" s="8"/>
      <c r="S1538" s="8"/>
      <c r="T1538" s="8"/>
      <c r="U1538" s="8"/>
    </row>
    <row r="1539" spans="10:21">
      <c r="J1539" s="8"/>
      <c r="K1539" s="8"/>
      <c r="L1539" s="8"/>
      <c r="M1539" s="8"/>
      <c r="N1539" s="8"/>
      <c r="O1539" s="8"/>
      <c r="P1539" s="8"/>
      <c r="Q1539" s="8"/>
      <c r="R1539" s="8"/>
      <c r="S1539" s="8"/>
      <c r="T1539" s="8"/>
      <c r="U1539" s="8"/>
    </row>
    <row r="1540" spans="10:21">
      <c r="J1540" s="8"/>
      <c r="K1540" s="8"/>
      <c r="L1540" s="8"/>
      <c r="M1540" s="8"/>
      <c r="N1540" s="8"/>
      <c r="O1540" s="8"/>
      <c r="P1540" s="8"/>
      <c r="Q1540" s="8"/>
      <c r="R1540" s="8"/>
      <c r="S1540" s="8"/>
      <c r="T1540" s="8"/>
      <c r="U1540" s="8"/>
    </row>
    <row r="1541" spans="10:21">
      <c r="J1541" s="8"/>
      <c r="K1541" s="8"/>
      <c r="L1541" s="8"/>
      <c r="M1541" s="8"/>
      <c r="N1541" s="8"/>
      <c r="O1541" s="8"/>
      <c r="P1541" s="8"/>
      <c r="Q1541" s="8"/>
      <c r="R1541" s="8"/>
      <c r="S1541" s="8"/>
      <c r="T1541" s="8"/>
      <c r="U1541" s="8"/>
    </row>
    <row r="1542" spans="10:21">
      <c r="J1542" s="8"/>
      <c r="K1542" s="8"/>
      <c r="L1542" s="8"/>
      <c r="M1542" s="8"/>
      <c r="N1542" s="8"/>
      <c r="O1542" s="8"/>
      <c r="P1542" s="8"/>
      <c r="Q1542" s="8"/>
      <c r="R1542" s="8"/>
      <c r="S1542" s="8"/>
      <c r="T1542" s="8"/>
      <c r="U1542" s="8"/>
    </row>
    <row r="1543" spans="10:21">
      <c r="J1543" s="8"/>
      <c r="K1543" s="8"/>
      <c r="L1543" s="8"/>
      <c r="M1543" s="8"/>
      <c r="N1543" s="8"/>
      <c r="O1543" s="8"/>
      <c r="P1543" s="8"/>
      <c r="Q1543" s="8"/>
      <c r="R1543" s="8"/>
      <c r="S1543" s="8"/>
      <c r="T1543" s="8"/>
      <c r="U1543" s="8"/>
    </row>
    <row r="1544" spans="10:21">
      <c r="J1544" s="8"/>
      <c r="K1544" s="8"/>
      <c r="L1544" s="8"/>
      <c r="M1544" s="8"/>
      <c r="N1544" s="8"/>
      <c r="O1544" s="8"/>
      <c r="P1544" s="8"/>
      <c r="Q1544" s="8"/>
      <c r="R1544" s="8"/>
      <c r="S1544" s="8"/>
      <c r="T1544" s="8"/>
      <c r="U1544" s="8"/>
    </row>
    <row r="1545" spans="10:21">
      <c r="J1545" s="8"/>
      <c r="K1545" s="8"/>
      <c r="L1545" s="8"/>
      <c r="M1545" s="8"/>
      <c r="N1545" s="8"/>
      <c r="O1545" s="8"/>
      <c r="P1545" s="8"/>
      <c r="Q1545" s="8"/>
      <c r="R1545" s="8"/>
      <c r="S1545" s="8"/>
      <c r="T1545" s="8"/>
      <c r="U1545" s="8"/>
    </row>
    <row r="1546" spans="10:21">
      <c r="J1546" s="8"/>
      <c r="K1546" s="8"/>
      <c r="L1546" s="8"/>
      <c r="M1546" s="8"/>
      <c r="N1546" s="8"/>
      <c r="O1546" s="8"/>
      <c r="P1546" s="8"/>
      <c r="Q1546" s="8"/>
      <c r="R1546" s="8"/>
      <c r="S1546" s="8"/>
      <c r="T1546" s="8"/>
      <c r="U1546" s="8"/>
    </row>
    <row r="1547" spans="10:21">
      <c r="J1547" s="8"/>
      <c r="K1547" s="8"/>
      <c r="L1547" s="8"/>
      <c r="M1547" s="8"/>
      <c r="N1547" s="8"/>
      <c r="O1547" s="8"/>
      <c r="P1547" s="8"/>
      <c r="Q1547" s="8"/>
      <c r="R1547" s="8"/>
      <c r="S1547" s="8"/>
      <c r="T1547" s="8"/>
      <c r="U1547" s="8"/>
    </row>
    <row r="1548" spans="10:21">
      <c r="J1548" s="8"/>
      <c r="K1548" s="8"/>
      <c r="L1548" s="8"/>
      <c r="M1548" s="8"/>
      <c r="N1548" s="8"/>
      <c r="O1548" s="8"/>
      <c r="P1548" s="8"/>
      <c r="Q1548" s="8"/>
      <c r="R1548" s="8"/>
      <c r="S1548" s="8"/>
      <c r="T1548" s="8"/>
      <c r="U1548" s="8"/>
    </row>
    <row r="1549" spans="10:21">
      <c r="J1549" s="8"/>
      <c r="K1549" s="8"/>
      <c r="L1549" s="8"/>
      <c r="M1549" s="8"/>
      <c r="N1549" s="8"/>
      <c r="O1549" s="8"/>
      <c r="P1549" s="8"/>
      <c r="Q1549" s="8"/>
      <c r="R1549" s="8"/>
      <c r="S1549" s="8"/>
      <c r="T1549" s="8"/>
      <c r="U1549" s="8"/>
    </row>
    <row r="1550" spans="10:21">
      <c r="J1550" s="8"/>
      <c r="K1550" s="8"/>
      <c r="L1550" s="8"/>
      <c r="M1550" s="8"/>
      <c r="N1550" s="8"/>
      <c r="O1550" s="8"/>
      <c r="P1550" s="8"/>
      <c r="Q1550" s="8"/>
      <c r="R1550" s="8"/>
      <c r="S1550" s="8"/>
      <c r="T1550" s="8"/>
      <c r="U1550" s="8"/>
    </row>
    <row r="1551" spans="10:21">
      <c r="J1551" s="8"/>
      <c r="K1551" s="8"/>
      <c r="L1551" s="8"/>
      <c r="M1551" s="8"/>
      <c r="N1551" s="8"/>
      <c r="O1551" s="8"/>
      <c r="P1551" s="8"/>
      <c r="Q1551" s="8"/>
      <c r="R1551" s="8"/>
      <c r="S1551" s="8"/>
      <c r="T1551" s="8"/>
      <c r="U1551" s="8"/>
    </row>
    <row r="1552" spans="10:21">
      <c r="J1552" s="8"/>
      <c r="K1552" s="8"/>
      <c r="L1552" s="8"/>
      <c r="M1552" s="8"/>
      <c r="N1552" s="8"/>
      <c r="O1552" s="8"/>
      <c r="P1552" s="8"/>
      <c r="Q1552" s="8"/>
      <c r="R1552" s="8"/>
      <c r="S1552" s="8"/>
      <c r="T1552" s="8"/>
      <c r="U1552" s="8"/>
    </row>
    <row r="1553" spans="10:21">
      <c r="J1553" s="8"/>
      <c r="K1553" s="8"/>
      <c r="L1553" s="8"/>
      <c r="M1553" s="8"/>
      <c r="N1553" s="8"/>
      <c r="O1553" s="8"/>
      <c r="P1553" s="8"/>
      <c r="Q1553" s="8"/>
      <c r="R1553" s="8"/>
      <c r="S1553" s="8"/>
      <c r="T1553" s="8"/>
      <c r="U1553" s="8"/>
    </row>
    <row r="1554" spans="10:21">
      <c r="J1554" s="8"/>
      <c r="K1554" s="8"/>
      <c r="L1554" s="8"/>
      <c r="M1554" s="8"/>
      <c r="N1554" s="8"/>
      <c r="O1554" s="8"/>
      <c r="P1554" s="8"/>
      <c r="Q1554" s="8"/>
      <c r="R1554" s="8"/>
      <c r="S1554" s="8"/>
      <c r="T1554" s="8"/>
      <c r="U1554" s="8"/>
    </row>
    <row r="1555" spans="10:21">
      <c r="J1555" s="8"/>
      <c r="K1555" s="8"/>
      <c r="L1555" s="8"/>
      <c r="M1555" s="8"/>
      <c r="N1555" s="8"/>
      <c r="O1555" s="8"/>
      <c r="P1555" s="8"/>
      <c r="Q1555" s="8"/>
      <c r="R1555" s="8"/>
      <c r="S1555" s="8"/>
      <c r="T1555" s="8"/>
      <c r="U1555" s="8"/>
    </row>
    <row r="1556" spans="10:21">
      <c r="J1556" s="8"/>
      <c r="K1556" s="8"/>
      <c r="L1556" s="8"/>
      <c r="M1556" s="8"/>
      <c r="N1556" s="8"/>
      <c r="O1556" s="8"/>
      <c r="P1556" s="8"/>
      <c r="Q1556" s="8"/>
      <c r="R1556" s="8"/>
      <c r="S1556" s="8"/>
      <c r="T1556" s="8"/>
      <c r="U1556" s="8"/>
    </row>
    <row r="1557" spans="10:21">
      <c r="J1557" s="8"/>
      <c r="K1557" s="8"/>
      <c r="L1557" s="8"/>
      <c r="M1557" s="8"/>
      <c r="N1557" s="8"/>
      <c r="O1557" s="8"/>
      <c r="P1557" s="8"/>
      <c r="Q1557" s="8"/>
      <c r="R1557" s="8"/>
      <c r="S1557" s="8"/>
      <c r="T1557" s="8"/>
      <c r="U1557" s="8"/>
    </row>
    <row r="1558" spans="10:21">
      <c r="J1558" s="8"/>
      <c r="K1558" s="8"/>
      <c r="L1558" s="8"/>
      <c r="M1558" s="8"/>
      <c r="N1558" s="8"/>
      <c r="O1558" s="8"/>
      <c r="P1558" s="8"/>
      <c r="Q1558" s="8"/>
      <c r="R1558" s="8"/>
      <c r="S1558" s="8"/>
      <c r="T1558" s="8"/>
      <c r="U1558" s="8"/>
    </row>
    <row r="1559" spans="10:21">
      <c r="J1559" s="8"/>
      <c r="K1559" s="8"/>
      <c r="L1559" s="8"/>
      <c r="M1559" s="8"/>
      <c r="N1559" s="8"/>
      <c r="O1559" s="8"/>
      <c r="P1559" s="8"/>
      <c r="Q1559" s="8"/>
      <c r="R1559" s="8"/>
      <c r="S1559" s="8"/>
      <c r="T1559" s="8"/>
      <c r="U1559" s="8"/>
    </row>
    <row r="1560" spans="10:21">
      <c r="J1560" s="8"/>
      <c r="K1560" s="8"/>
      <c r="L1560" s="8"/>
      <c r="M1560" s="8"/>
      <c r="N1560" s="8"/>
      <c r="O1560" s="8"/>
      <c r="P1560" s="8"/>
      <c r="Q1560" s="8"/>
      <c r="R1560" s="8"/>
      <c r="S1560" s="8"/>
      <c r="T1560" s="8"/>
      <c r="U1560" s="8"/>
    </row>
    <row r="1561" spans="10:21">
      <c r="J1561" s="8"/>
      <c r="K1561" s="8"/>
      <c r="L1561" s="8"/>
      <c r="M1561" s="8"/>
      <c r="N1561" s="8"/>
      <c r="O1561" s="8"/>
      <c r="P1561" s="8"/>
      <c r="Q1561" s="8"/>
      <c r="R1561" s="8"/>
      <c r="S1561" s="8"/>
      <c r="T1561" s="8"/>
      <c r="U1561" s="8"/>
    </row>
    <row r="1562" spans="10:21">
      <c r="J1562" s="8"/>
      <c r="K1562" s="8"/>
      <c r="L1562" s="8"/>
      <c r="M1562" s="8"/>
      <c r="N1562" s="8"/>
      <c r="O1562" s="8"/>
      <c r="P1562" s="8"/>
      <c r="Q1562" s="8"/>
      <c r="R1562" s="8"/>
      <c r="S1562" s="8"/>
      <c r="T1562" s="8"/>
      <c r="U1562" s="8"/>
    </row>
    <row r="1563" spans="10:21">
      <c r="J1563" s="8"/>
      <c r="K1563" s="8"/>
      <c r="L1563" s="8"/>
      <c r="M1563" s="8"/>
      <c r="N1563" s="8"/>
      <c r="O1563" s="8"/>
      <c r="P1563" s="8"/>
      <c r="Q1563" s="8"/>
      <c r="R1563" s="8"/>
      <c r="S1563" s="8"/>
      <c r="T1563" s="8"/>
      <c r="U1563" s="8"/>
    </row>
    <row r="1564" spans="10:21">
      <c r="J1564" s="8"/>
      <c r="K1564" s="8"/>
      <c r="L1564" s="8"/>
      <c r="M1564" s="8"/>
      <c r="N1564" s="8"/>
      <c r="O1564" s="8"/>
      <c r="P1564" s="8"/>
      <c r="Q1564" s="8"/>
      <c r="R1564" s="8"/>
      <c r="S1564" s="8"/>
      <c r="T1564" s="8"/>
      <c r="U1564" s="8"/>
    </row>
    <row r="1565" spans="10:21">
      <c r="J1565" s="8"/>
      <c r="K1565" s="8"/>
      <c r="L1565" s="8"/>
      <c r="M1565" s="8"/>
      <c r="N1565" s="8"/>
      <c r="O1565" s="8"/>
      <c r="P1565" s="8"/>
      <c r="Q1565" s="8"/>
      <c r="R1565" s="8"/>
      <c r="S1565" s="8"/>
      <c r="T1565" s="8"/>
      <c r="U1565" s="8"/>
    </row>
    <row r="1566" spans="10:21">
      <c r="J1566" s="8"/>
      <c r="K1566" s="8"/>
      <c r="L1566" s="8"/>
      <c r="M1566" s="8"/>
      <c r="N1566" s="8"/>
      <c r="O1566" s="8"/>
      <c r="P1566" s="8"/>
      <c r="Q1566" s="8"/>
      <c r="R1566" s="8"/>
      <c r="S1566" s="8"/>
      <c r="T1566" s="8"/>
      <c r="U1566" s="8"/>
    </row>
    <row r="1567" spans="10:21">
      <c r="J1567" s="8"/>
      <c r="K1567" s="8"/>
      <c r="L1567" s="8"/>
      <c r="M1567" s="8"/>
      <c r="N1567" s="8"/>
      <c r="O1567" s="8"/>
      <c r="P1567" s="8"/>
      <c r="Q1567" s="8"/>
      <c r="R1567" s="8"/>
      <c r="S1567" s="8"/>
      <c r="T1567" s="8"/>
      <c r="U1567" s="8"/>
    </row>
    <row r="1568" spans="10:21">
      <c r="J1568" s="8"/>
      <c r="K1568" s="8"/>
      <c r="L1568" s="8"/>
      <c r="M1568" s="8"/>
      <c r="N1568" s="8"/>
      <c r="O1568" s="8"/>
      <c r="P1568" s="8"/>
      <c r="Q1568" s="8"/>
      <c r="R1568" s="8"/>
      <c r="S1568" s="8"/>
      <c r="T1568" s="8"/>
      <c r="U1568" s="8"/>
    </row>
    <row r="1569" spans="10:21">
      <c r="J1569" s="8"/>
      <c r="K1569" s="8"/>
      <c r="L1569" s="8"/>
      <c r="M1569" s="8"/>
      <c r="N1569" s="8"/>
      <c r="O1569" s="8"/>
      <c r="P1569" s="8"/>
      <c r="Q1569" s="8"/>
      <c r="R1569" s="8"/>
      <c r="S1569" s="8"/>
      <c r="T1569" s="8"/>
      <c r="U1569" s="8"/>
    </row>
    <row r="1570" spans="10:21">
      <c r="J1570" s="8"/>
      <c r="K1570" s="8"/>
      <c r="L1570" s="8"/>
      <c r="M1570" s="8"/>
      <c r="N1570" s="8"/>
      <c r="O1570" s="8"/>
      <c r="P1570" s="8"/>
      <c r="Q1570" s="8"/>
      <c r="R1570" s="8"/>
      <c r="S1570" s="8"/>
      <c r="T1570" s="8"/>
      <c r="U1570" s="8"/>
    </row>
    <row r="1571" spans="10:21">
      <c r="J1571" s="8"/>
      <c r="K1571" s="8"/>
      <c r="L1571" s="8"/>
      <c r="M1571" s="8"/>
      <c r="N1571" s="8"/>
      <c r="O1571" s="8"/>
      <c r="P1571" s="8"/>
      <c r="Q1571" s="8"/>
      <c r="R1571" s="8"/>
      <c r="S1571" s="8"/>
      <c r="T1571" s="8"/>
      <c r="U1571" s="8"/>
    </row>
    <row r="1572" spans="10:21">
      <c r="J1572" s="8"/>
      <c r="K1572" s="8"/>
      <c r="L1572" s="8"/>
      <c r="M1572" s="8"/>
      <c r="N1572" s="8"/>
      <c r="O1572" s="8"/>
      <c r="P1572" s="8"/>
      <c r="Q1572" s="8"/>
      <c r="R1572" s="8"/>
      <c r="S1572" s="8"/>
      <c r="T1572" s="8"/>
      <c r="U1572" s="8"/>
    </row>
    <row r="1573" spans="10:21">
      <c r="J1573" s="8"/>
      <c r="K1573" s="8"/>
      <c r="L1573" s="8"/>
      <c r="M1573" s="8"/>
      <c r="N1573" s="8"/>
      <c r="O1573" s="8"/>
      <c r="P1573" s="8"/>
      <c r="Q1573" s="8"/>
      <c r="R1573" s="8"/>
      <c r="S1573" s="8"/>
      <c r="T1573" s="8"/>
      <c r="U1573" s="8"/>
    </row>
    <row r="1574" spans="10:21">
      <c r="J1574" s="8"/>
      <c r="K1574" s="8"/>
      <c r="L1574" s="8"/>
      <c r="M1574" s="8"/>
      <c r="N1574" s="8"/>
      <c r="O1574" s="8"/>
      <c r="P1574" s="8"/>
      <c r="Q1574" s="8"/>
      <c r="R1574" s="8"/>
      <c r="S1574" s="8"/>
      <c r="T1574" s="8"/>
      <c r="U1574" s="8"/>
    </row>
    <row r="1575" spans="10:21">
      <c r="J1575" s="8"/>
      <c r="K1575" s="8"/>
      <c r="L1575" s="8"/>
      <c r="M1575" s="8"/>
      <c r="N1575" s="8"/>
      <c r="O1575" s="8"/>
      <c r="P1575" s="8"/>
      <c r="Q1575" s="8"/>
      <c r="R1575" s="8"/>
      <c r="S1575" s="8"/>
      <c r="T1575" s="8"/>
      <c r="U1575" s="8"/>
    </row>
    <row r="1576" spans="10:21">
      <c r="J1576" s="8"/>
      <c r="K1576" s="8"/>
      <c r="L1576" s="8"/>
      <c r="M1576" s="8"/>
      <c r="N1576" s="8"/>
      <c r="O1576" s="8"/>
      <c r="P1576" s="8"/>
      <c r="Q1576" s="8"/>
      <c r="R1576" s="8"/>
      <c r="S1576" s="8"/>
      <c r="T1576" s="8"/>
      <c r="U1576" s="8"/>
    </row>
    <row r="1577" spans="10:21">
      <c r="J1577" s="8"/>
      <c r="K1577" s="8"/>
      <c r="L1577" s="8"/>
      <c r="M1577" s="8"/>
      <c r="N1577" s="8"/>
      <c r="O1577" s="8"/>
      <c r="P1577" s="8"/>
      <c r="Q1577" s="8"/>
      <c r="R1577" s="8"/>
      <c r="S1577" s="8"/>
      <c r="T1577" s="8"/>
      <c r="U1577" s="8"/>
    </row>
    <row r="1578" spans="10:21">
      <c r="J1578" s="8"/>
      <c r="K1578" s="8"/>
      <c r="L1578" s="8"/>
      <c r="M1578" s="8"/>
      <c r="N1578" s="8"/>
      <c r="O1578" s="8"/>
      <c r="P1578" s="8"/>
      <c r="Q1578" s="8"/>
      <c r="R1578" s="8"/>
      <c r="S1578" s="8"/>
      <c r="T1578" s="8"/>
      <c r="U1578" s="8"/>
    </row>
    <row r="1579" spans="10:21">
      <c r="J1579" s="8"/>
      <c r="K1579" s="8"/>
      <c r="L1579" s="8"/>
      <c r="M1579" s="8"/>
      <c r="N1579" s="8"/>
      <c r="O1579" s="8"/>
      <c r="P1579" s="8"/>
      <c r="Q1579" s="8"/>
      <c r="R1579" s="8"/>
      <c r="S1579" s="8"/>
      <c r="T1579" s="8"/>
      <c r="U1579" s="8"/>
    </row>
    <row r="1580" spans="10:21">
      <c r="J1580" s="8"/>
      <c r="K1580" s="8"/>
      <c r="L1580" s="8"/>
      <c r="M1580" s="8"/>
      <c r="N1580" s="8"/>
      <c r="O1580" s="8"/>
      <c r="P1580" s="8"/>
      <c r="Q1580" s="8"/>
      <c r="R1580" s="8"/>
      <c r="S1580" s="8"/>
      <c r="T1580" s="8"/>
      <c r="U1580" s="8"/>
    </row>
    <row r="1581" spans="10:21">
      <c r="J1581" s="8"/>
      <c r="K1581" s="8"/>
      <c r="L1581" s="8"/>
      <c r="M1581" s="8"/>
      <c r="N1581" s="8"/>
      <c r="O1581" s="8"/>
      <c r="P1581" s="8"/>
      <c r="Q1581" s="8"/>
      <c r="R1581" s="8"/>
      <c r="S1581" s="8"/>
      <c r="T1581" s="8"/>
      <c r="U1581" s="8"/>
    </row>
    <row r="1582" spans="10:21">
      <c r="J1582" s="8"/>
      <c r="K1582" s="8"/>
      <c r="L1582" s="8"/>
      <c r="M1582" s="8"/>
      <c r="N1582" s="8"/>
      <c r="O1582" s="8"/>
      <c r="P1582" s="8"/>
      <c r="Q1582" s="8"/>
      <c r="R1582" s="8"/>
      <c r="S1582" s="8"/>
      <c r="T1582" s="8"/>
      <c r="U1582" s="8"/>
    </row>
    <row r="1583" spans="10:21">
      <c r="J1583" s="8"/>
      <c r="K1583" s="8"/>
      <c r="L1583" s="8"/>
      <c r="M1583" s="8"/>
      <c r="N1583" s="8"/>
      <c r="O1583" s="8"/>
      <c r="P1583" s="8"/>
      <c r="Q1583" s="8"/>
      <c r="R1583" s="8"/>
      <c r="S1583" s="8"/>
      <c r="T1583" s="8"/>
      <c r="U1583" s="8"/>
    </row>
    <row r="1584" spans="10:21">
      <c r="J1584" s="8"/>
      <c r="K1584" s="8"/>
      <c r="L1584" s="8"/>
      <c r="M1584" s="8"/>
      <c r="N1584" s="8"/>
      <c r="O1584" s="8"/>
      <c r="P1584" s="8"/>
      <c r="Q1584" s="8"/>
      <c r="R1584" s="8"/>
      <c r="S1584" s="8"/>
      <c r="T1584" s="8"/>
      <c r="U1584" s="8"/>
    </row>
    <row r="1585" spans="10:21">
      <c r="J1585" s="8"/>
      <c r="K1585" s="8"/>
      <c r="L1585" s="8"/>
      <c r="M1585" s="8"/>
      <c r="N1585" s="8"/>
      <c r="O1585" s="8"/>
      <c r="P1585" s="8"/>
      <c r="Q1585" s="8"/>
      <c r="R1585" s="8"/>
      <c r="S1585" s="8"/>
      <c r="T1585" s="8"/>
      <c r="U1585" s="8"/>
    </row>
    <row r="1586" spans="10:21">
      <c r="J1586" s="8"/>
      <c r="K1586" s="8"/>
      <c r="L1586" s="8"/>
      <c r="M1586" s="8"/>
      <c r="N1586" s="8"/>
      <c r="O1586" s="8"/>
      <c r="P1586" s="8"/>
      <c r="Q1586" s="8"/>
      <c r="R1586" s="8"/>
      <c r="S1586" s="8"/>
      <c r="T1586" s="8"/>
      <c r="U1586" s="8"/>
    </row>
    <row r="1587" spans="10:21">
      <c r="J1587" s="8"/>
      <c r="K1587" s="8"/>
      <c r="L1587" s="8"/>
      <c r="M1587" s="8"/>
      <c r="N1587" s="8"/>
      <c r="O1587" s="8"/>
      <c r="P1587" s="8"/>
      <c r="Q1587" s="8"/>
      <c r="R1587" s="8"/>
      <c r="S1587" s="8"/>
      <c r="T1587" s="8"/>
      <c r="U1587" s="8"/>
    </row>
    <row r="1588" spans="10:21">
      <c r="J1588" s="8"/>
      <c r="K1588" s="8"/>
      <c r="L1588" s="8"/>
      <c r="M1588" s="8"/>
      <c r="N1588" s="8"/>
      <c r="O1588" s="8"/>
      <c r="P1588" s="8"/>
      <c r="Q1588" s="8"/>
      <c r="R1588" s="8"/>
      <c r="S1588" s="8"/>
      <c r="T1588" s="8"/>
      <c r="U1588" s="8"/>
    </row>
    <row r="1589" spans="10:21">
      <c r="J1589" s="8"/>
      <c r="K1589" s="8"/>
      <c r="L1589" s="8"/>
      <c r="M1589" s="8"/>
      <c r="N1589" s="8"/>
      <c r="O1589" s="8"/>
      <c r="P1589" s="8"/>
      <c r="Q1589" s="8"/>
      <c r="R1589" s="8"/>
      <c r="S1589" s="8"/>
      <c r="T1589" s="8"/>
      <c r="U1589" s="8"/>
    </row>
    <row r="1590" spans="10:21">
      <c r="J1590" s="8"/>
      <c r="K1590" s="8"/>
      <c r="L1590" s="8"/>
      <c r="M1590" s="8"/>
      <c r="N1590" s="8"/>
      <c r="O1590" s="8"/>
      <c r="P1590" s="8"/>
      <c r="Q1590" s="8"/>
      <c r="R1590" s="8"/>
      <c r="S1590" s="8"/>
      <c r="T1590" s="8"/>
      <c r="U1590" s="8"/>
    </row>
    <row r="1591" spans="10:21">
      <c r="J1591" s="8"/>
      <c r="K1591" s="8"/>
      <c r="L1591" s="8"/>
      <c r="M1591" s="8"/>
      <c r="N1591" s="8"/>
      <c r="O1591" s="8"/>
      <c r="P1591" s="8"/>
      <c r="Q1591" s="8"/>
      <c r="R1591" s="8"/>
      <c r="S1591" s="8"/>
      <c r="T1591" s="8"/>
      <c r="U1591" s="8"/>
    </row>
    <row r="1592" spans="10:21">
      <c r="J1592" s="8"/>
      <c r="K1592" s="8"/>
      <c r="L1592" s="8"/>
      <c r="M1592" s="8"/>
      <c r="N1592" s="8"/>
      <c r="O1592" s="8"/>
      <c r="P1592" s="8"/>
      <c r="Q1592" s="8"/>
      <c r="R1592" s="8"/>
      <c r="S1592" s="8"/>
      <c r="T1592" s="8"/>
      <c r="U1592" s="8"/>
    </row>
    <row r="1593" spans="10:21">
      <c r="J1593" s="8"/>
      <c r="K1593" s="8"/>
      <c r="L1593" s="8"/>
      <c r="M1593" s="8"/>
      <c r="N1593" s="8"/>
      <c r="O1593" s="8"/>
      <c r="P1593" s="8"/>
      <c r="Q1593" s="8"/>
      <c r="R1593" s="8"/>
      <c r="S1593" s="8"/>
      <c r="T1593" s="8"/>
      <c r="U1593" s="8"/>
    </row>
    <row r="1594" spans="10:21">
      <c r="J1594" s="8"/>
      <c r="K1594" s="8"/>
      <c r="L1594" s="8"/>
      <c r="M1594" s="8"/>
      <c r="N1594" s="8"/>
      <c r="O1594" s="8"/>
      <c r="P1594" s="8"/>
      <c r="Q1594" s="8"/>
      <c r="R1594" s="8"/>
      <c r="S1594" s="8"/>
      <c r="T1594" s="8"/>
      <c r="U1594" s="8"/>
    </row>
    <row r="1595" spans="10:21">
      <c r="J1595" s="8"/>
      <c r="K1595" s="8"/>
      <c r="L1595" s="8"/>
      <c r="M1595" s="8"/>
      <c r="N1595" s="8"/>
      <c r="O1595" s="8"/>
      <c r="P1595" s="8"/>
      <c r="Q1595" s="8"/>
      <c r="R1595" s="8"/>
      <c r="S1595" s="8"/>
      <c r="T1595" s="8"/>
      <c r="U1595" s="8"/>
    </row>
    <row r="1596" spans="10:21">
      <c r="J1596" s="8"/>
      <c r="K1596" s="8"/>
      <c r="L1596" s="8"/>
      <c r="M1596" s="8"/>
      <c r="N1596" s="8"/>
      <c r="O1596" s="8"/>
      <c r="P1596" s="8"/>
      <c r="Q1596" s="8"/>
      <c r="R1596" s="8"/>
      <c r="S1596" s="8"/>
      <c r="T1596" s="8"/>
      <c r="U1596" s="8"/>
    </row>
    <row r="1597" spans="10:21">
      <c r="J1597" s="8"/>
      <c r="K1597" s="8"/>
      <c r="L1597" s="8"/>
      <c r="M1597" s="8"/>
      <c r="N1597" s="8"/>
      <c r="O1597" s="8"/>
      <c r="P1597" s="8"/>
      <c r="Q1597" s="8"/>
      <c r="R1597" s="8"/>
      <c r="S1597" s="8"/>
      <c r="T1597" s="8"/>
      <c r="U1597" s="8"/>
    </row>
    <row r="1598" spans="10:21">
      <c r="J1598" s="8"/>
      <c r="K1598" s="8"/>
      <c r="L1598" s="8"/>
      <c r="M1598" s="8"/>
      <c r="N1598" s="8"/>
      <c r="O1598" s="8"/>
      <c r="P1598" s="8"/>
      <c r="Q1598" s="8"/>
      <c r="R1598" s="8"/>
      <c r="S1598" s="8"/>
      <c r="T1598" s="8"/>
      <c r="U1598" s="8"/>
    </row>
    <row r="1599" spans="10:21">
      <c r="J1599" s="8"/>
      <c r="K1599" s="8"/>
      <c r="L1599" s="8"/>
      <c r="M1599" s="8"/>
      <c r="N1599" s="8"/>
      <c r="O1599" s="8"/>
      <c r="P1599" s="8"/>
      <c r="Q1599" s="8"/>
      <c r="R1599" s="8"/>
      <c r="S1599" s="8"/>
      <c r="T1599" s="8"/>
      <c r="U1599" s="8"/>
    </row>
    <row r="1600" spans="10:21">
      <c r="J1600" s="8"/>
      <c r="K1600" s="8"/>
      <c r="L1600" s="8"/>
      <c r="M1600" s="8"/>
      <c r="N1600" s="8"/>
      <c r="O1600" s="8"/>
      <c r="P1600" s="8"/>
      <c r="Q1600" s="8"/>
      <c r="R1600" s="8"/>
      <c r="S1600" s="8"/>
      <c r="T1600" s="8"/>
      <c r="U1600" s="8"/>
    </row>
    <row r="1601" spans="10:21">
      <c r="J1601" s="8"/>
      <c r="K1601" s="8"/>
      <c r="L1601" s="8"/>
      <c r="M1601" s="8"/>
      <c r="N1601" s="8"/>
      <c r="O1601" s="8"/>
      <c r="P1601" s="8"/>
      <c r="Q1601" s="8"/>
      <c r="R1601" s="8"/>
      <c r="S1601" s="8"/>
      <c r="T1601" s="8"/>
      <c r="U1601" s="8"/>
    </row>
    <row r="1602" spans="10:21">
      <c r="J1602" s="8"/>
      <c r="K1602" s="8"/>
      <c r="L1602" s="8"/>
      <c r="M1602" s="8"/>
      <c r="N1602" s="8"/>
      <c r="O1602" s="8"/>
      <c r="P1602" s="8"/>
      <c r="Q1602" s="8"/>
      <c r="R1602" s="8"/>
      <c r="S1602" s="8"/>
      <c r="T1602" s="8"/>
      <c r="U1602" s="8"/>
    </row>
    <row r="1603" spans="10:21">
      <c r="J1603" s="8"/>
      <c r="K1603" s="8"/>
      <c r="L1603" s="8"/>
      <c r="M1603" s="8"/>
      <c r="N1603" s="8"/>
      <c r="O1603" s="8"/>
      <c r="P1603" s="8"/>
      <c r="Q1603" s="8"/>
      <c r="R1603" s="8"/>
      <c r="S1603" s="8"/>
      <c r="T1603" s="8"/>
      <c r="U1603" s="8"/>
    </row>
    <row r="1604" spans="10:21">
      <c r="J1604" s="8"/>
      <c r="K1604" s="8"/>
      <c r="L1604" s="8"/>
      <c r="M1604" s="8"/>
      <c r="N1604" s="8"/>
      <c r="O1604" s="8"/>
      <c r="P1604" s="8"/>
      <c r="Q1604" s="8"/>
      <c r="R1604" s="8"/>
      <c r="S1604" s="8"/>
      <c r="T1604" s="8"/>
      <c r="U1604" s="8"/>
    </row>
    <row r="1605" spans="10:21">
      <c r="J1605" s="8"/>
      <c r="K1605" s="8"/>
      <c r="L1605" s="8"/>
      <c r="M1605" s="8"/>
      <c r="N1605" s="8"/>
      <c r="O1605" s="8"/>
      <c r="P1605" s="8"/>
      <c r="Q1605" s="8"/>
      <c r="R1605" s="8"/>
      <c r="S1605" s="8"/>
      <c r="T1605" s="8"/>
      <c r="U1605" s="8"/>
    </row>
    <row r="1606" spans="10:21">
      <c r="J1606" s="8"/>
      <c r="K1606" s="8"/>
      <c r="L1606" s="8"/>
      <c r="M1606" s="8"/>
      <c r="N1606" s="8"/>
      <c r="O1606" s="8"/>
      <c r="P1606" s="8"/>
      <c r="Q1606" s="8"/>
      <c r="R1606" s="8"/>
      <c r="S1606" s="8"/>
      <c r="T1606" s="8"/>
      <c r="U1606" s="8"/>
    </row>
    <row r="1607" spans="10:21">
      <c r="J1607" s="8"/>
      <c r="K1607" s="8"/>
      <c r="L1607" s="8"/>
      <c r="M1607" s="8"/>
      <c r="N1607" s="8"/>
      <c r="O1607" s="8"/>
      <c r="P1607" s="8"/>
      <c r="Q1607" s="8"/>
      <c r="R1607" s="8"/>
      <c r="S1607" s="8"/>
      <c r="T1607" s="8"/>
      <c r="U1607" s="8"/>
    </row>
    <row r="1608" spans="10:21">
      <c r="J1608" s="8"/>
      <c r="K1608" s="8"/>
      <c r="L1608" s="8"/>
      <c r="M1608" s="8"/>
      <c r="N1608" s="8"/>
      <c r="O1608" s="8"/>
      <c r="P1608" s="8"/>
      <c r="Q1608" s="8"/>
      <c r="R1608" s="8"/>
      <c r="S1608" s="8"/>
      <c r="T1608" s="8"/>
      <c r="U1608" s="8"/>
    </row>
    <row r="1609" spans="10:21">
      <c r="J1609" s="8"/>
      <c r="K1609" s="8"/>
      <c r="L1609" s="8"/>
      <c r="M1609" s="8"/>
      <c r="N1609" s="8"/>
      <c r="O1609" s="8"/>
      <c r="P1609" s="8"/>
      <c r="Q1609" s="8"/>
      <c r="R1609" s="8"/>
      <c r="S1609" s="8"/>
      <c r="T1609" s="8"/>
      <c r="U1609" s="8"/>
    </row>
    <row r="1610" spans="10:21">
      <c r="J1610" s="8"/>
      <c r="K1610" s="8"/>
      <c r="L1610" s="8"/>
      <c r="M1610" s="8"/>
      <c r="N1610" s="8"/>
      <c r="O1610" s="8"/>
      <c r="P1610" s="8"/>
      <c r="Q1610" s="8"/>
      <c r="R1610" s="8"/>
      <c r="S1610" s="8"/>
      <c r="T1610" s="8"/>
      <c r="U1610" s="8"/>
    </row>
    <row r="1611" spans="10:21">
      <c r="J1611" s="8"/>
      <c r="K1611" s="8"/>
      <c r="L1611" s="8"/>
      <c r="M1611" s="8"/>
      <c r="N1611" s="8"/>
      <c r="O1611" s="8"/>
      <c r="P1611" s="8"/>
      <c r="Q1611" s="8"/>
      <c r="R1611" s="8"/>
      <c r="S1611" s="8"/>
      <c r="T1611" s="8"/>
      <c r="U1611" s="8"/>
    </row>
    <row r="1612" spans="10:21">
      <c r="J1612" s="8"/>
      <c r="K1612" s="8"/>
      <c r="L1612" s="8"/>
      <c r="M1612" s="8"/>
      <c r="N1612" s="8"/>
      <c r="O1612" s="8"/>
      <c r="P1612" s="8"/>
      <c r="Q1612" s="8"/>
      <c r="R1612" s="8"/>
      <c r="S1612" s="8"/>
      <c r="T1612" s="8"/>
      <c r="U1612" s="8"/>
    </row>
    <row r="1613" spans="10:21">
      <c r="J1613" s="8"/>
      <c r="K1613" s="8"/>
      <c r="L1613" s="8"/>
      <c r="M1613" s="8"/>
      <c r="N1613" s="8"/>
      <c r="O1613" s="8"/>
      <c r="P1613" s="8"/>
      <c r="Q1613" s="8"/>
      <c r="R1613" s="8"/>
      <c r="S1613" s="8"/>
      <c r="T1613" s="8"/>
      <c r="U1613" s="8"/>
    </row>
    <row r="1614" spans="10:21">
      <c r="J1614" s="8"/>
      <c r="K1614" s="8"/>
      <c r="L1614" s="8"/>
      <c r="M1614" s="8"/>
      <c r="N1614" s="8"/>
      <c r="O1614" s="8"/>
      <c r="P1614" s="8"/>
      <c r="Q1614" s="8"/>
      <c r="R1614" s="8"/>
      <c r="S1614" s="8"/>
      <c r="T1614" s="8"/>
      <c r="U1614" s="8"/>
    </row>
    <row r="1615" spans="10:21">
      <c r="J1615" s="8"/>
      <c r="K1615" s="8"/>
      <c r="L1615" s="8"/>
      <c r="M1615" s="8"/>
      <c r="N1615" s="8"/>
      <c r="O1615" s="8"/>
      <c r="P1615" s="8"/>
      <c r="Q1615" s="8"/>
      <c r="R1615" s="8"/>
      <c r="S1615" s="8"/>
      <c r="T1615" s="8"/>
      <c r="U1615" s="8"/>
    </row>
    <row r="1616" spans="10:21">
      <c r="J1616" s="8"/>
      <c r="K1616" s="8"/>
      <c r="L1616" s="8"/>
      <c r="M1616" s="8"/>
      <c r="N1616" s="8"/>
      <c r="O1616" s="8"/>
      <c r="P1616" s="8"/>
      <c r="Q1616" s="8"/>
      <c r="R1616" s="8"/>
      <c r="S1616" s="8"/>
      <c r="T1616" s="8"/>
      <c r="U1616" s="8"/>
    </row>
    <row r="1617" spans="10:21">
      <c r="J1617" s="8"/>
      <c r="K1617" s="8"/>
      <c r="L1617" s="8"/>
      <c r="M1617" s="8"/>
      <c r="N1617" s="8"/>
      <c r="O1617" s="8"/>
      <c r="P1617" s="8"/>
      <c r="Q1617" s="8"/>
      <c r="R1617" s="8"/>
      <c r="S1617" s="8"/>
      <c r="T1617" s="8"/>
      <c r="U1617" s="8"/>
    </row>
    <row r="1618" spans="10:21">
      <c r="J1618" s="8"/>
      <c r="K1618" s="8"/>
      <c r="L1618" s="8"/>
      <c r="M1618" s="8"/>
      <c r="N1618" s="8"/>
      <c r="O1618" s="8"/>
      <c r="P1618" s="8"/>
      <c r="Q1618" s="8"/>
      <c r="R1618" s="8"/>
      <c r="S1618" s="8"/>
      <c r="T1618" s="8"/>
      <c r="U1618" s="8"/>
    </row>
    <row r="1619" spans="10:21">
      <c r="J1619" s="8"/>
      <c r="K1619" s="8"/>
      <c r="L1619" s="8"/>
      <c r="M1619" s="8"/>
      <c r="N1619" s="8"/>
      <c r="O1619" s="8"/>
      <c r="P1619" s="8"/>
      <c r="Q1619" s="8"/>
      <c r="R1619" s="8"/>
      <c r="S1619" s="8"/>
      <c r="T1619" s="8"/>
      <c r="U1619" s="8"/>
    </row>
    <row r="1620" spans="10:21">
      <c r="J1620" s="8"/>
      <c r="K1620" s="8"/>
      <c r="L1620" s="8"/>
      <c r="M1620" s="8"/>
      <c r="N1620" s="8"/>
      <c r="O1620" s="8"/>
      <c r="P1620" s="8"/>
      <c r="Q1620" s="8"/>
      <c r="R1620" s="8"/>
      <c r="S1620" s="8"/>
      <c r="T1620" s="8"/>
      <c r="U1620" s="8"/>
    </row>
    <row r="1621" spans="10:21">
      <c r="J1621" s="8"/>
      <c r="K1621" s="8"/>
      <c r="L1621" s="8"/>
      <c r="M1621" s="8"/>
      <c r="N1621" s="8"/>
      <c r="O1621" s="8"/>
      <c r="P1621" s="8"/>
      <c r="Q1621" s="8"/>
      <c r="R1621" s="8"/>
      <c r="S1621" s="8"/>
      <c r="T1621" s="8"/>
      <c r="U1621" s="8"/>
    </row>
    <row r="1622" spans="10:21">
      <c r="J1622" s="8"/>
      <c r="K1622" s="8"/>
      <c r="L1622" s="8"/>
      <c r="M1622" s="8"/>
      <c r="N1622" s="8"/>
      <c r="O1622" s="8"/>
      <c r="P1622" s="8"/>
      <c r="Q1622" s="8"/>
      <c r="R1622" s="8"/>
      <c r="S1622" s="8"/>
      <c r="T1622" s="8"/>
      <c r="U1622" s="8"/>
    </row>
    <row r="1623" spans="10:21">
      <c r="J1623" s="8"/>
      <c r="K1623" s="8"/>
      <c r="L1623" s="8"/>
      <c r="M1623" s="8"/>
      <c r="N1623" s="8"/>
      <c r="O1623" s="8"/>
      <c r="P1623" s="8"/>
      <c r="Q1623" s="8"/>
      <c r="R1623" s="8"/>
      <c r="S1623" s="8"/>
      <c r="T1623" s="8"/>
      <c r="U1623" s="8"/>
    </row>
    <row r="1624" spans="10:21">
      <c r="J1624" s="8"/>
      <c r="K1624" s="8"/>
      <c r="L1624" s="8"/>
      <c r="M1624" s="8"/>
      <c r="N1624" s="8"/>
      <c r="O1624" s="8"/>
      <c r="P1624" s="8"/>
      <c r="Q1624" s="8"/>
      <c r="R1624" s="8"/>
      <c r="S1624" s="8"/>
      <c r="T1624" s="8"/>
      <c r="U1624" s="8"/>
    </row>
    <row r="1625" spans="10:21">
      <c r="J1625" s="8"/>
      <c r="K1625" s="8"/>
      <c r="L1625" s="8"/>
      <c r="M1625" s="8"/>
      <c r="N1625" s="8"/>
      <c r="O1625" s="8"/>
      <c r="P1625" s="8"/>
      <c r="Q1625" s="8"/>
      <c r="R1625" s="8"/>
      <c r="S1625" s="8"/>
      <c r="T1625" s="8"/>
      <c r="U1625" s="8"/>
    </row>
    <row r="1626" spans="10:21">
      <c r="J1626" s="8"/>
      <c r="K1626" s="8"/>
      <c r="L1626" s="8"/>
      <c r="M1626" s="8"/>
      <c r="N1626" s="8"/>
      <c r="O1626" s="8"/>
      <c r="P1626" s="8"/>
      <c r="Q1626" s="8"/>
      <c r="R1626" s="8"/>
      <c r="S1626" s="8"/>
      <c r="T1626" s="8"/>
      <c r="U1626" s="8"/>
    </row>
    <row r="1627" spans="10:21">
      <c r="J1627" s="8"/>
      <c r="K1627" s="8"/>
      <c r="L1627" s="8"/>
      <c r="M1627" s="8"/>
      <c r="N1627" s="8"/>
      <c r="O1627" s="8"/>
      <c r="P1627" s="8"/>
      <c r="Q1627" s="8"/>
      <c r="R1627" s="8"/>
      <c r="S1627" s="8"/>
      <c r="T1627" s="8"/>
      <c r="U1627" s="8"/>
    </row>
    <row r="1628" spans="10:21">
      <c r="J1628" s="8"/>
      <c r="K1628" s="8"/>
      <c r="L1628" s="8"/>
      <c r="M1628" s="8"/>
      <c r="N1628" s="8"/>
      <c r="O1628" s="8"/>
      <c r="P1628" s="8"/>
      <c r="Q1628" s="8"/>
      <c r="R1628" s="8"/>
      <c r="S1628" s="8"/>
      <c r="T1628" s="8"/>
      <c r="U1628" s="8"/>
    </row>
    <row r="1629" spans="10:21">
      <c r="J1629" s="8"/>
      <c r="K1629" s="8"/>
      <c r="L1629" s="8"/>
      <c r="M1629" s="8"/>
      <c r="N1629" s="8"/>
      <c r="O1629" s="8"/>
      <c r="P1629" s="8"/>
      <c r="Q1629" s="8"/>
      <c r="R1629" s="8"/>
      <c r="S1629" s="8"/>
      <c r="T1629" s="8"/>
      <c r="U1629" s="8"/>
    </row>
    <row r="1630" spans="10:21">
      <c r="J1630" s="8"/>
      <c r="K1630" s="8"/>
      <c r="L1630" s="8"/>
      <c r="M1630" s="8"/>
      <c r="N1630" s="8"/>
      <c r="O1630" s="8"/>
      <c r="P1630" s="8"/>
      <c r="Q1630" s="8"/>
      <c r="R1630" s="8"/>
      <c r="S1630" s="8"/>
      <c r="T1630" s="8"/>
      <c r="U1630" s="8"/>
    </row>
    <row r="1631" spans="10:21">
      <c r="J1631" s="8"/>
      <c r="K1631" s="8"/>
      <c r="L1631" s="8"/>
      <c r="M1631" s="8"/>
      <c r="N1631" s="8"/>
      <c r="O1631" s="8"/>
      <c r="P1631" s="8"/>
      <c r="Q1631" s="8"/>
      <c r="R1631" s="8"/>
      <c r="S1631" s="8"/>
      <c r="T1631" s="8"/>
      <c r="U1631" s="8"/>
    </row>
    <row r="1632" spans="10:21">
      <c r="J1632" s="8"/>
      <c r="K1632" s="8"/>
      <c r="L1632" s="8"/>
      <c r="M1632" s="8"/>
      <c r="N1632" s="8"/>
      <c r="O1632" s="8"/>
      <c r="P1632" s="8"/>
      <c r="Q1632" s="8"/>
      <c r="R1632" s="8"/>
      <c r="S1632" s="8"/>
      <c r="T1632" s="8"/>
      <c r="U1632" s="8"/>
    </row>
    <row r="1633" spans="10:21">
      <c r="J1633" s="8"/>
      <c r="K1633" s="8"/>
      <c r="L1633" s="8"/>
      <c r="M1633" s="8"/>
      <c r="N1633" s="8"/>
      <c r="O1633" s="8"/>
      <c r="P1633" s="8"/>
      <c r="Q1633" s="8"/>
      <c r="R1633" s="8"/>
      <c r="S1633" s="8"/>
      <c r="T1633" s="8"/>
      <c r="U1633" s="8"/>
    </row>
    <row r="1634" spans="10:21">
      <c r="J1634" s="8"/>
      <c r="K1634" s="8"/>
      <c r="L1634" s="8"/>
      <c r="M1634" s="8"/>
      <c r="N1634" s="8"/>
      <c r="O1634" s="8"/>
      <c r="P1634" s="8"/>
      <c r="Q1634" s="8"/>
      <c r="R1634" s="8"/>
      <c r="S1634" s="8"/>
      <c r="T1634" s="8"/>
      <c r="U1634" s="8"/>
    </row>
    <row r="1635" spans="10:21">
      <c r="J1635" s="8"/>
      <c r="K1635" s="8"/>
      <c r="L1635" s="8"/>
      <c r="M1635" s="8"/>
      <c r="N1635" s="8"/>
      <c r="O1635" s="8"/>
      <c r="P1635" s="8"/>
      <c r="Q1635" s="8"/>
      <c r="R1635" s="8"/>
      <c r="S1635" s="8"/>
      <c r="T1635" s="8"/>
      <c r="U1635" s="8"/>
    </row>
    <row r="1636" spans="10:21">
      <c r="J1636" s="8"/>
      <c r="K1636" s="8"/>
      <c r="L1636" s="8"/>
      <c r="M1636" s="8"/>
      <c r="N1636" s="8"/>
      <c r="O1636" s="8"/>
      <c r="P1636" s="8"/>
      <c r="Q1636" s="8"/>
      <c r="R1636" s="8"/>
      <c r="S1636" s="8"/>
      <c r="T1636" s="8"/>
      <c r="U1636" s="8"/>
    </row>
    <row r="1637" spans="10:21">
      <c r="J1637" s="8"/>
      <c r="K1637" s="8"/>
      <c r="L1637" s="8"/>
      <c r="M1637" s="8"/>
      <c r="N1637" s="8"/>
      <c r="O1637" s="8"/>
      <c r="P1637" s="8"/>
      <c r="Q1637" s="8"/>
      <c r="R1637" s="8"/>
      <c r="S1637" s="8"/>
      <c r="T1637" s="8"/>
      <c r="U1637" s="8"/>
    </row>
    <row r="1638" spans="10:21">
      <c r="J1638" s="8"/>
      <c r="K1638" s="8"/>
      <c r="L1638" s="8"/>
      <c r="M1638" s="8"/>
      <c r="N1638" s="8"/>
      <c r="O1638" s="8"/>
      <c r="P1638" s="8"/>
      <c r="Q1638" s="8"/>
      <c r="R1638" s="8"/>
      <c r="S1638" s="8"/>
      <c r="T1638" s="8"/>
      <c r="U1638" s="8"/>
    </row>
    <row r="1639" spans="10:21">
      <c r="J1639" s="8"/>
      <c r="K1639" s="8"/>
      <c r="L1639" s="8"/>
      <c r="M1639" s="8"/>
      <c r="N1639" s="8"/>
      <c r="O1639" s="8"/>
      <c r="P1639" s="8"/>
      <c r="Q1639" s="8"/>
      <c r="R1639" s="8"/>
      <c r="S1639" s="8"/>
      <c r="T1639" s="8"/>
      <c r="U1639" s="8"/>
    </row>
    <row r="1640" spans="10:21">
      <c r="J1640" s="8"/>
      <c r="K1640" s="8"/>
      <c r="L1640" s="8"/>
      <c r="M1640" s="8"/>
      <c r="N1640" s="8"/>
      <c r="O1640" s="8"/>
      <c r="P1640" s="8"/>
      <c r="Q1640" s="8"/>
      <c r="R1640" s="8"/>
      <c r="S1640" s="8"/>
      <c r="T1640" s="8"/>
      <c r="U1640" s="8"/>
    </row>
    <row r="1641" spans="10:21">
      <c r="J1641" s="8"/>
      <c r="K1641" s="8"/>
      <c r="L1641" s="8"/>
      <c r="M1641" s="8"/>
      <c r="N1641" s="8"/>
      <c r="O1641" s="8"/>
      <c r="P1641" s="8"/>
      <c r="Q1641" s="8"/>
      <c r="R1641" s="8"/>
      <c r="S1641" s="8"/>
      <c r="T1641" s="8"/>
      <c r="U1641" s="8"/>
    </row>
    <row r="1642" spans="10:21">
      <c r="J1642" s="8"/>
      <c r="K1642" s="8"/>
      <c r="L1642" s="8"/>
      <c r="M1642" s="8"/>
      <c r="N1642" s="8"/>
      <c r="O1642" s="8"/>
      <c r="P1642" s="8"/>
      <c r="Q1642" s="8"/>
      <c r="R1642" s="8"/>
      <c r="S1642" s="8"/>
      <c r="T1642" s="8"/>
      <c r="U1642" s="8"/>
    </row>
    <row r="1643" spans="10:21">
      <c r="J1643" s="8"/>
      <c r="K1643" s="8"/>
      <c r="L1643" s="8"/>
      <c r="M1643" s="8"/>
      <c r="N1643" s="8"/>
      <c r="O1643" s="8"/>
      <c r="P1643" s="8"/>
      <c r="Q1643" s="8"/>
      <c r="R1643" s="8"/>
      <c r="S1643" s="8"/>
      <c r="T1643" s="8"/>
      <c r="U1643" s="8"/>
    </row>
    <row r="1644" spans="10:21">
      <c r="J1644" s="8"/>
      <c r="K1644" s="8"/>
      <c r="L1644" s="8"/>
      <c r="M1644" s="8"/>
      <c r="N1644" s="8"/>
      <c r="O1644" s="8"/>
      <c r="P1644" s="8"/>
      <c r="Q1644" s="8"/>
      <c r="R1644" s="8"/>
      <c r="S1644" s="8"/>
      <c r="T1644" s="8"/>
      <c r="U1644" s="8"/>
    </row>
    <row r="1645" spans="10:21">
      <c r="J1645" s="8"/>
      <c r="K1645" s="8"/>
      <c r="L1645" s="8"/>
      <c r="M1645" s="8"/>
      <c r="N1645" s="8"/>
      <c r="O1645" s="8"/>
      <c r="P1645" s="8"/>
      <c r="Q1645" s="8"/>
      <c r="R1645" s="8"/>
      <c r="S1645" s="8"/>
      <c r="T1645" s="8"/>
      <c r="U1645" s="8"/>
    </row>
    <row r="1646" spans="10:21">
      <c r="J1646" s="8"/>
      <c r="K1646" s="8"/>
      <c r="L1646" s="8"/>
      <c r="M1646" s="8"/>
      <c r="N1646" s="8"/>
      <c r="O1646" s="8"/>
      <c r="P1646" s="8"/>
      <c r="Q1646" s="8"/>
      <c r="R1646" s="8"/>
      <c r="S1646" s="8"/>
      <c r="T1646" s="8"/>
      <c r="U1646" s="8"/>
    </row>
    <row r="1647" spans="10:21">
      <c r="J1647" s="8"/>
      <c r="K1647" s="8"/>
      <c r="L1647" s="8"/>
      <c r="M1647" s="8"/>
      <c r="N1647" s="8"/>
      <c r="O1647" s="8"/>
      <c r="P1647" s="8"/>
      <c r="Q1647" s="8"/>
      <c r="R1647" s="8"/>
      <c r="S1647" s="8"/>
      <c r="T1647" s="8"/>
      <c r="U1647" s="8"/>
    </row>
    <row r="1648" spans="10:21">
      <c r="J1648" s="8"/>
      <c r="K1648" s="8"/>
      <c r="L1648" s="8"/>
      <c r="M1648" s="8"/>
      <c r="N1648" s="8"/>
      <c r="O1648" s="8"/>
      <c r="P1648" s="8"/>
      <c r="Q1648" s="8"/>
      <c r="R1648" s="8"/>
      <c r="S1648" s="8"/>
      <c r="T1648" s="8"/>
      <c r="U1648" s="8"/>
    </row>
    <row r="1649" spans="10:21">
      <c r="J1649" s="8"/>
      <c r="K1649" s="8"/>
      <c r="L1649" s="8"/>
      <c r="M1649" s="8"/>
      <c r="N1649" s="8"/>
      <c r="O1649" s="8"/>
      <c r="P1649" s="8"/>
      <c r="Q1649" s="8"/>
      <c r="R1649" s="8"/>
      <c r="S1649" s="8"/>
      <c r="T1649" s="8"/>
      <c r="U1649" s="8"/>
    </row>
    <row r="1650" spans="10:21">
      <c r="J1650" s="8"/>
      <c r="K1650" s="8"/>
      <c r="L1650" s="8"/>
      <c r="M1650" s="8"/>
      <c r="N1650" s="8"/>
      <c r="O1650" s="8"/>
      <c r="P1650" s="8"/>
      <c r="Q1650" s="8"/>
      <c r="R1650" s="8"/>
      <c r="S1650" s="8"/>
      <c r="T1650" s="8"/>
      <c r="U1650" s="8"/>
    </row>
    <row r="1651" spans="10:21">
      <c r="J1651" s="8"/>
      <c r="K1651" s="8"/>
      <c r="L1651" s="8"/>
      <c r="M1651" s="8"/>
      <c r="N1651" s="8"/>
      <c r="O1651" s="8"/>
      <c r="P1651" s="8"/>
      <c r="Q1651" s="8"/>
      <c r="R1651" s="8"/>
      <c r="S1651" s="8"/>
      <c r="T1651" s="8"/>
      <c r="U1651" s="8"/>
    </row>
    <row r="1652" spans="10:21">
      <c r="J1652" s="8"/>
      <c r="K1652" s="8"/>
      <c r="L1652" s="8"/>
      <c r="M1652" s="8"/>
      <c r="N1652" s="8"/>
      <c r="O1652" s="8"/>
      <c r="P1652" s="8"/>
      <c r="Q1652" s="8"/>
      <c r="R1652" s="8"/>
      <c r="S1652" s="8"/>
      <c r="T1652" s="8"/>
      <c r="U1652" s="8"/>
    </row>
    <row r="1653" spans="10:21">
      <c r="J1653" s="8"/>
      <c r="K1653" s="8"/>
      <c r="L1653" s="8"/>
      <c r="M1653" s="8"/>
      <c r="N1653" s="8"/>
      <c r="O1653" s="8"/>
      <c r="P1653" s="8"/>
      <c r="Q1653" s="8"/>
      <c r="R1653" s="8"/>
      <c r="S1653" s="8"/>
      <c r="T1653" s="8"/>
      <c r="U1653" s="8"/>
    </row>
    <row r="1654" spans="10:21">
      <c r="J1654" s="8"/>
      <c r="K1654" s="8"/>
      <c r="L1654" s="8"/>
      <c r="M1654" s="8"/>
      <c r="N1654" s="8"/>
      <c r="O1654" s="8"/>
      <c r="P1654" s="8"/>
      <c r="Q1654" s="8"/>
      <c r="R1654" s="8"/>
      <c r="S1654" s="8"/>
      <c r="T1654" s="8"/>
      <c r="U1654" s="8"/>
    </row>
    <row r="1655" spans="10:21">
      <c r="J1655" s="8"/>
      <c r="K1655" s="8"/>
      <c r="L1655" s="8"/>
      <c r="M1655" s="8"/>
      <c r="N1655" s="8"/>
      <c r="O1655" s="8"/>
      <c r="P1655" s="8"/>
      <c r="Q1655" s="8"/>
      <c r="R1655" s="8"/>
      <c r="S1655" s="8"/>
      <c r="T1655" s="8"/>
      <c r="U1655" s="8"/>
    </row>
    <row r="1656" spans="10:21">
      <c r="J1656" s="8"/>
      <c r="K1656" s="8"/>
      <c r="L1656" s="8"/>
      <c r="M1656" s="8"/>
      <c r="N1656" s="8"/>
      <c r="O1656" s="8"/>
      <c r="P1656" s="8"/>
      <c r="Q1656" s="8"/>
      <c r="R1656" s="8"/>
      <c r="S1656" s="8"/>
      <c r="T1656" s="8"/>
      <c r="U1656" s="8"/>
    </row>
    <row r="1657" spans="10:21">
      <c r="J1657" s="8"/>
      <c r="K1657" s="8"/>
      <c r="L1657" s="8"/>
      <c r="M1657" s="8"/>
      <c r="N1657" s="8"/>
      <c r="O1657" s="8"/>
      <c r="P1657" s="8"/>
      <c r="Q1657" s="8"/>
      <c r="R1657" s="8"/>
      <c r="S1657" s="8"/>
      <c r="T1657" s="8"/>
      <c r="U1657" s="8"/>
    </row>
    <row r="1658" spans="10:21">
      <c r="J1658" s="8"/>
      <c r="K1658" s="8"/>
      <c r="L1658" s="8"/>
      <c r="M1658" s="8"/>
      <c r="N1658" s="8"/>
      <c r="O1658" s="8"/>
      <c r="P1658" s="8"/>
      <c r="Q1658" s="8"/>
      <c r="R1658" s="8"/>
      <c r="S1658" s="8"/>
      <c r="T1658" s="8"/>
      <c r="U1658" s="8"/>
    </row>
    <row r="1659" spans="10:21">
      <c r="J1659" s="8"/>
      <c r="K1659" s="8"/>
      <c r="L1659" s="8"/>
      <c r="M1659" s="8"/>
      <c r="N1659" s="8"/>
      <c r="O1659" s="8"/>
      <c r="P1659" s="8"/>
      <c r="Q1659" s="8"/>
      <c r="R1659" s="8"/>
      <c r="S1659" s="8"/>
      <c r="T1659" s="8"/>
      <c r="U1659" s="8"/>
    </row>
    <row r="1660" spans="10:21">
      <c r="J1660" s="8"/>
      <c r="K1660" s="8"/>
      <c r="L1660" s="8"/>
      <c r="M1660" s="8"/>
      <c r="N1660" s="8"/>
      <c r="O1660" s="8"/>
      <c r="P1660" s="8"/>
      <c r="Q1660" s="8"/>
      <c r="R1660" s="8"/>
      <c r="S1660" s="8"/>
      <c r="T1660" s="8"/>
      <c r="U1660" s="8"/>
    </row>
    <row r="1661" spans="10:21">
      <c r="J1661" s="8"/>
      <c r="K1661" s="8"/>
      <c r="L1661" s="8"/>
      <c r="M1661" s="8"/>
      <c r="N1661" s="8"/>
      <c r="O1661" s="8"/>
      <c r="P1661" s="8"/>
      <c r="Q1661" s="8"/>
      <c r="R1661" s="8"/>
      <c r="S1661" s="8"/>
      <c r="T1661" s="8"/>
      <c r="U1661" s="8"/>
    </row>
    <row r="1662" spans="10:21">
      <c r="J1662" s="8"/>
      <c r="K1662" s="8"/>
      <c r="L1662" s="8"/>
      <c r="M1662" s="8"/>
      <c r="N1662" s="8"/>
      <c r="O1662" s="8"/>
      <c r="P1662" s="8"/>
      <c r="Q1662" s="8"/>
      <c r="R1662" s="8"/>
      <c r="S1662" s="8"/>
      <c r="T1662" s="8"/>
      <c r="U1662" s="8"/>
    </row>
    <row r="1663" spans="10:21">
      <c r="J1663" s="8"/>
      <c r="K1663" s="8"/>
      <c r="L1663" s="8"/>
      <c r="M1663" s="8"/>
      <c r="N1663" s="8"/>
      <c r="O1663" s="8"/>
      <c r="P1663" s="8"/>
      <c r="Q1663" s="8"/>
      <c r="R1663" s="8"/>
      <c r="S1663" s="8"/>
      <c r="T1663" s="8"/>
      <c r="U1663" s="8"/>
    </row>
    <row r="1664" spans="10:21">
      <c r="J1664" s="8"/>
      <c r="K1664" s="8"/>
      <c r="L1664" s="8"/>
      <c r="M1664" s="8"/>
      <c r="N1664" s="8"/>
      <c r="O1664" s="8"/>
      <c r="P1664" s="8"/>
      <c r="Q1664" s="8"/>
      <c r="R1664" s="8"/>
      <c r="S1664" s="8"/>
      <c r="T1664" s="8"/>
      <c r="U1664" s="8"/>
    </row>
    <row r="1665" spans="10:21">
      <c r="J1665" s="8"/>
      <c r="K1665" s="8"/>
      <c r="L1665" s="8"/>
      <c r="M1665" s="8"/>
      <c r="N1665" s="8"/>
      <c r="O1665" s="8"/>
      <c r="P1665" s="8"/>
      <c r="Q1665" s="8"/>
      <c r="R1665" s="8"/>
      <c r="S1665" s="8"/>
      <c r="T1665" s="8"/>
      <c r="U1665" s="8"/>
    </row>
    <row r="1666" spans="10:21">
      <c r="J1666" s="8"/>
      <c r="K1666" s="8"/>
      <c r="L1666" s="8"/>
      <c r="M1666" s="8"/>
      <c r="N1666" s="8"/>
      <c r="O1666" s="8"/>
      <c r="P1666" s="8"/>
      <c r="Q1666" s="8"/>
      <c r="R1666" s="8"/>
      <c r="S1666" s="8"/>
      <c r="T1666" s="8"/>
      <c r="U1666" s="8"/>
    </row>
    <row r="1667" spans="10:21">
      <c r="J1667" s="8"/>
      <c r="K1667" s="8"/>
      <c r="L1667" s="8"/>
      <c r="M1667" s="8"/>
      <c r="N1667" s="8"/>
      <c r="O1667" s="8"/>
      <c r="P1667" s="8"/>
      <c r="Q1667" s="8"/>
      <c r="R1667" s="8"/>
      <c r="S1667" s="8"/>
      <c r="T1667" s="8"/>
      <c r="U1667" s="8"/>
    </row>
    <row r="1668" spans="10:21">
      <c r="J1668" s="8"/>
      <c r="K1668" s="8"/>
      <c r="L1668" s="8"/>
      <c r="M1668" s="8"/>
      <c r="N1668" s="8"/>
      <c r="O1668" s="8"/>
      <c r="P1668" s="8"/>
      <c r="Q1668" s="8"/>
      <c r="R1668" s="8"/>
      <c r="S1668" s="8"/>
      <c r="T1668" s="8"/>
      <c r="U1668" s="8"/>
    </row>
    <row r="1669" spans="10:21">
      <c r="J1669" s="8"/>
      <c r="K1669" s="8"/>
      <c r="L1669" s="8"/>
      <c r="M1669" s="8"/>
      <c r="N1669" s="8"/>
      <c r="O1669" s="8"/>
      <c r="P1669" s="8"/>
      <c r="Q1669" s="8"/>
      <c r="R1669" s="8"/>
      <c r="S1669" s="8"/>
      <c r="T1669" s="8"/>
      <c r="U1669" s="8"/>
    </row>
    <row r="1670" spans="10:21">
      <c r="J1670" s="8"/>
      <c r="K1670" s="8"/>
      <c r="L1670" s="8"/>
      <c r="M1670" s="8"/>
      <c r="N1670" s="8"/>
      <c r="O1670" s="8"/>
      <c r="P1670" s="8"/>
      <c r="Q1670" s="8"/>
      <c r="R1670" s="8"/>
      <c r="S1670" s="8"/>
      <c r="T1670" s="8"/>
      <c r="U1670" s="8"/>
    </row>
    <row r="1671" spans="10:21">
      <c r="J1671" s="8"/>
      <c r="K1671" s="8"/>
      <c r="L1671" s="8"/>
      <c r="M1671" s="8"/>
      <c r="N1671" s="8"/>
      <c r="O1671" s="8"/>
      <c r="P1671" s="8"/>
      <c r="Q1671" s="8"/>
      <c r="R1671" s="8"/>
      <c r="S1671" s="8"/>
      <c r="T1671" s="8"/>
      <c r="U1671" s="8"/>
    </row>
    <row r="1672" spans="10:21">
      <c r="J1672" s="8"/>
      <c r="K1672" s="8"/>
      <c r="L1672" s="8"/>
      <c r="M1672" s="8"/>
      <c r="N1672" s="8"/>
      <c r="O1672" s="8"/>
      <c r="P1672" s="8"/>
      <c r="Q1672" s="8"/>
      <c r="R1672" s="8"/>
      <c r="S1672" s="8"/>
      <c r="T1672" s="8"/>
      <c r="U1672" s="8"/>
    </row>
    <row r="1673" spans="10:21">
      <c r="J1673" s="8"/>
      <c r="K1673" s="8"/>
      <c r="L1673" s="8"/>
      <c r="M1673" s="8"/>
      <c r="N1673" s="8"/>
      <c r="O1673" s="8"/>
      <c r="P1673" s="8"/>
      <c r="Q1673" s="8"/>
      <c r="R1673" s="8"/>
      <c r="S1673" s="8"/>
      <c r="T1673" s="8"/>
      <c r="U1673" s="8"/>
    </row>
    <row r="1674" spans="10:21">
      <c r="J1674" s="8"/>
      <c r="K1674" s="8"/>
      <c r="L1674" s="8"/>
      <c r="M1674" s="8"/>
      <c r="N1674" s="8"/>
      <c r="O1674" s="8"/>
      <c r="P1674" s="8"/>
      <c r="Q1674" s="8"/>
      <c r="R1674" s="8"/>
      <c r="S1674" s="8"/>
      <c r="T1674" s="8"/>
      <c r="U1674" s="8"/>
    </row>
    <row r="1675" spans="10:21">
      <c r="J1675" s="8"/>
      <c r="K1675" s="8"/>
      <c r="L1675" s="8"/>
      <c r="M1675" s="8"/>
      <c r="N1675" s="8"/>
      <c r="O1675" s="8"/>
      <c r="P1675" s="8"/>
      <c r="Q1675" s="8"/>
      <c r="R1675" s="8"/>
      <c r="S1675" s="8"/>
      <c r="T1675" s="8"/>
      <c r="U1675" s="8"/>
    </row>
    <row r="1676" spans="10:21">
      <c r="J1676" s="8"/>
      <c r="K1676" s="8"/>
      <c r="L1676" s="8"/>
      <c r="M1676" s="8"/>
      <c r="N1676" s="8"/>
      <c r="O1676" s="8"/>
      <c r="P1676" s="8"/>
      <c r="Q1676" s="8"/>
      <c r="R1676" s="8"/>
      <c r="S1676" s="8"/>
      <c r="T1676" s="8"/>
      <c r="U1676" s="8"/>
    </row>
    <row r="1677" spans="10:21">
      <c r="J1677" s="8"/>
      <c r="K1677" s="8"/>
      <c r="L1677" s="8"/>
      <c r="M1677" s="8"/>
      <c r="N1677" s="8"/>
      <c r="O1677" s="8"/>
      <c r="P1677" s="8"/>
      <c r="Q1677" s="8"/>
      <c r="R1677" s="8"/>
      <c r="S1677" s="8"/>
      <c r="T1677" s="8"/>
      <c r="U1677" s="8"/>
    </row>
    <row r="1678" spans="10:21">
      <c r="J1678" s="8"/>
      <c r="K1678" s="8"/>
      <c r="L1678" s="8"/>
      <c r="M1678" s="8"/>
      <c r="N1678" s="8"/>
      <c r="O1678" s="8"/>
      <c r="P1678" s="8"/>
      <c r="Q1678" s="8"/>
      <c r="R1678" s="8"/>
      <c r="S1678" s="8"/>
      <c r="T1678" s="8"/>
      <c r="U1678" s="8"/>
    </row>
    <row r="1679" spans="10:21">
      <c r="J1679" s="8"/>
      <c r="K1679" s="8"/>
      <c r="L1679" s="8"/>
      <c r="M1679" s="8"/>
      <c r="N1679" s="8"/>
      <c r="O1679" s="8"/>
      <c r="P1679" s="8"/>
      <c r="Q1679" s="8"/>
      <c r="R1679" s="8"/>
      <c r="S1679" s="8"/>
      <c r="T1679" s="8"/>
      <c r="U1679" s="8"/>
    </row>
    <row r="1680" spans="10:21">
      <c r="J1680" s="8"/>
      <c r="K1680" s="8"/>
      <c r="L1680" s="8"/>
      <c r="M1680" s="8"/>
      <c r="N1680" s="8"/>
      <c r="O1680" s="8"/>
      <c r="P1680" s="8"/>
      <c r="Q1680" s="8"/>
      <c r="R1680" s="8"/>
      <c r="S1680" s="8"/>
      <c r="T1680" s="8"/>
      <c r="U1680" s="8"/>
    </row>
    <row r="1681" spans="10:21">
      <c r="J1681" s="8"/>
      <c r="K1681" s="8"/>
      <c r="L1681" s="8"/>
      <c r="M1681" s="8"/>
      <c r="N1681" s="8"/>
      <c r="O1681" s="8"/>
      <c r="P1681" s="8"/>
      <c r="Q1681" s="8"/>
      <c r="R1681" s="8"/>
      <c r="S1681" s="8"/>
      <c r="T1681" s="8"/>
      <c r="U1681" s="8"/>
    </row>
    <row r="1682" spans="10:21">
      <c r="J1682" s="8"/>
      <c r="K1682" s="8"/>
      <c r="L1682" s="8"/>
      <c r="M1682" s="8"/>
      <c r="N1682" s="8"/>
      <c r="O1682" s="8"/>
      <c r="P1682" s="8"/>
      <c r="Q1682" s="8"/>
      <c r="R1682" s="8"/>
      <c r="S1682" s="8"/>
      <c r="T1682" s="8"/>
      <c r="U1682" s="8"/>
    </row>
    <row r="1683" spans="10:21">
      <c r="J1683" s="8"/>
      <c r="K1683" s="8"/>
      <c r="L1683" s="8"/>
      <c r="M1683" s="8"/>
      <c r="N1683" s="8"/>
      <c r="O1683" s="8"/>
      <c r="P1683" s="8"/>
      <c r="Q1683" s="8"/>
      <c r="R1683" s="8"/>
      <c r="S1683" s="8"/>
      <c r="T1683" s="8"/>
      <c r="U1683" s="8"/>
    </row>
    <row r="1684" spans="10:21">
      <c r="J1684" s="8"/>
      <c r="K1684" s="8"/>
      <c r="L1684" s="8"/>
      <c r="M1684" s="8"/>
      <c r="N1684" s="8"/>
      <c r="O1684" s="8"/>
      <c r="P1684" s="8"/>
      <c r="Q1684" s="8"/>
      <c r="R1684" s="8"/>
      <c r="S1684" s="8"/>
      <c r="T1684" s="8"/>
      <c r="U1684" s="8"/>
    </row>
    <row r="1685" spans="10:21">
      <c r="J1685" s="8"/>
      <c r="K1685" s="8"/>
      <c r="L1685" s="8"/>
      <c r="M1685" s="8"/>
      <c r="N1685" s="8"/>
      <c r="O1685" s="8"/>
      <c r="P1685" s="8"/>
      <c r="Q1685" s="8"/>
      <c r="R1685" s="8"/>
      <c r="S1685" s="8"/>
      <c r="T1685" s="8"/>
      <c r="U1685" s="8"/>
    </row>
    <row r="1686" spans="10:21">
      <c r="J1686" s="8"/>
      <c r="K1686" s="8"/>
      <c r="L1686" s="8"/>
      <c r="M1686" s="8"/>
      <c r="N1686" s="8"/>
      <c r="O1686" s="8"/>
      <c r="P1686" s="8"/>
      <c r="Q1686" s="8"/>
      <c r="R1686" s="8"/>
      <c r="S1686" s="8"/>
      <c r="T1686" s="8"/>
      <c r="U1686" s="8"/>
    </row>
    <row r="1687" spans="10:21">
      <c r="J1687" s="8"/>
      <c r="K1687" s="8"/>
      <c r="L1687" s="8"/>
      <c r="M1687" s="8"/>
      <c r="N1687" s="8"/>
      <c r="O1687" s="8"/>
      <c r="P1687" s="8"/>
      <c r="Q1687" s="8"/>
      <c r="R1687" s="8"/>
      <c r="S1687" s="8"/>
      <c r="T1687" s="8"/>
      <c r="U1687" s="8"/>
    </row>
    <row r="1688" spans="10:21">
      <c r="J1688" s="8"/>
      <c r="K1688" s="8"/>
      <c r="L1688" s="8"/>
      <c r="M1688" s="8"/>
      <c r="N1688" s="8"/>
      <c r="O1688" s="8"/>
      <c r="P1688" s="8"/>
      <c r="Q1688" s="8"/>
      <c r="R1688" s="8"/>
      <c r="S1688" s="8"/>
      <c r="T1688" s="8"/>
      <c r="U1688" s="8"/>
    </row>
    <row r="1689" spans="10:21">
      <c r="J1689" s="8"/>
      <c r="K1689" s="8"/>
      <c r="L1689" s="8"/>
      <c r="M1689" s="8"/>
      <c r="N1689" s="8"/>
      <c r="O1689" s="8"/>
      <c r="P1689" s="8"/>
      <c r="Q1689" s="8"/>
      <c r="R1689" s="8"/>
      <c r="S1689" s="8"/>
      <c r="T1689" s="8"/>
      <c r="U1689" s="8"/>
    </row>
    <row r="1690" spans="10:21">
      <c r="J1690" s="8"/>
      <c r="K1690" s="8"/>
      <c r="L1690" s="8"/>
      <c r="M1690" s="8"/>
      <c r="N1690" s="8"/>
      <c r="O1690" s="8"/>
      <c r="P1690" s="8"/>
      <c r="Q1690" s="8"/>
      <c r="R1690" s="8"/>
      <c r="S1690" s="8"/>
      <c r="T1690" s="8"/>
      <c r="U1690" s="8"/>
    </row>
    <row r="1691" spans="10:21">
      <c r="J1691" s="8"/>
      <c r="K1691" s="8"/>
      <c r="L1691" s="8"/>
      <c r="M1691" s="8"/>
      <c r="N1691" s="8"/>
      <c r="O1691" s="8"/>
      <c r="P1691" s="8"/>
      <c r="Q1691" s="8"/>
      <c r="R1691" s="8"/>
      <c r="S1691" s="8"/>
      <c r="T1691" s="8"/>
      <c r="U1691" s="8"/>
    </row>
    <row r="1692" spans="10:21">
      <c r="J1692" s="8"/>
      <c r="K1692" s="8"/>
      <c r="L1692" s="8"/>
      <c r="M1692" s="8"/>
      <c r="N1692" s="8"/>
      <c r="O1692" s="8"/>
      <c r="P1692" s="8"/>
      <c r="Q1692" s="8"/>
      <c r="R1692" s="8"/>
      <c r="S1692" s="8"/>
      <c r="T1692" s="8"/>
      <c r="U1692" s="8"/>
    </row>
    <row r="1693" spans="10:21">
      <c r="J1693" s="8"/>
      <c r="K1693" s="8"/>
      <c r="L1693" s="8"/>
      <c r="M1693" s="8"/>
      <c r="N1693" s="8"/>
      <c r="O1693" s="8"/>
      <c r="P1693" s="8"/>
      <c r="Q1693" s="8"/>
      <c r="R1693" s="8"/>
      <c r="S1693" s="8"/>
      <c r="T1693" s="8"/>
      <c r="U1693" s="8"/>
    </row>
    <row r="1694" spans="10:21">
      <c r="J1694" s="8"/>
      <c r="K1694" s="8"/>
      <c r="L1694" s="8"/>
      <c r="M1694" s="8"/>
      <c r="N1694" s="8"/>
      <c r="O1694" s="8"/>
      <c r="P1694" s="8"/>
      <c r="Q1694" s="8"/>
      <c r="R1694" s="8"/>
      <c r="S1694" s="8"/>
      <c r="T1694" s="8"/>
      <c r="U1694" s="8"/>
    </row>
    <row r="1695" spans="10:21">
      <c r="J1695" s="8"/>
      <c r="K1695" s="8"/>
      <c r="L1695" s="8"/>
      <c r="M1695" s="8"/>
      <c r="N1695" s="8"/>
      <c r="O1695" s="8"/>
      <c r="P1695" s="8"/>
      <c r="Q1695" s="8"/>
      <c r="R1695" s="8"/>
      <c r="S1695" s="8"/>
      <c r="T1695" s="8"/>
      <c r="U1695" s="8"/>
    </row>
    <row r="1696" spans="10:21">
      <c r="J1696" s="8"/>
      <c r="K1696" s="8"/>
      <c r="L1696" s="8"/>
      <c r="M1696" s="8"/>
      <c r="N1696" s="8"/>
      <c r="O1696" s="8"/>
      <c r="P1696" s="8"/>
      <c r="Q1696" s="8"/>
      <c r="R1696" s="8"/>
      <c r="S1696" s="8"/>
      <c r="T1696" s="8"/>
      <c r="U1696" s="8"/>
    </row>
    <row r="1697" spans="10:21">
      <c r="J1697" s="8"/>
      <c r="K1697" s="8"/>
      <c r="L1697" s="8"/>
      <c r="M1697" s="8"/>
      <c r="N1697" s="8"/>
      <c r="O1697" s="8"/>
      <c r="P1697" s="8"/>
      <c r="Q1697" s="8"/>
      <c r="R1697" s="8"/>
      <c r="S1697" s="8"/>
      <c r="T1697" s="8"/>
      <c r="U1697" s="8"/>
    </row>
    <row r="1698" spans="10:21">
      <c r="J1698" s="8"/>
      <c r="K1698" s="8"/>
      <c r="L1698" s="8"/>
      <c r="M1698" s="8"/>
      <c r="N1698" s="8"/>
      <c r="O1698" s="8"/>
      <c r="P1698" s="8"/>
      <c r="Q1698" s="8"/>
      <c r="R1698" s="8"/>
      <c r="S1698" s="8"/>
      <c r="T1698" s="8"/>
      <c r="U1698" s="8"/>
    </row>
    <row r="1699" spans="10:21">
      <c r="J1699" s="8"/>
      <c r="K1699" s="8"/>
      <c r="L1699" s="8"/>
      <c r="M1699" s="8"/>
      <c r="N1699" s="8"/>
      <c r="O1699" s="8"/>
      <c r="P1699" s="8"/>
      <c r="Q1699" s="8"/>
      <c r="R1699" s="8"/>
      <c r="S1699" s="8"/>
      <c r="T1699" s="8"/>
      <c r="U1699" s="8"/>
    </row>
    <row r="1700" spans="10:21">
      <c r="J1700" s="8"/>
      <c r="K1700" s="8"/>
      <c r="L1700" s="8"/>
      <c r="M1700" s="8"/>
      <c r="N1700" s="8"/>
      <c r="O1700" s="8"/>
      <c r="P1700" s="8"/>
      <c r="Q1700" s="8"/>
      <c r="R1700" s="8"/>
      <c r="S1700" s="8"/>
      <c r="T1700" s="8"/>
      <c r="U1700" s="8"/>
    </row>
    <row r="1701" spans="10:21">
      <c r="J1701" s="8"/>
      <c r="K1701" s="8"/>
      <c r="L1701" s="8"/>
      <c r="M1701" s="8"/>
      <c r="N1701" s="8"/>
      <c r="O1701" s="8"/>
      <c r="P1701" s="8"/>
      <c r="Q1701" s="8"/>
      <c r="R1701" s="8"/>
      <c r="S1701" s="8"/>
      <c r="T1701" s="8"/>
      <c r="U1701" s="8"/>
    </row>
    <row r="1702" spans="10:21">
      <c r="J1702" s="8"/>
      <c r="K1702" s="8"/>
      <c r="L1702" s="8"/>
      <c r="M1702" s="8"/>
      <c r="N1702" s="8"/>
      <c r="O1702" s="8"/>
      <c r="P1702" s="8"/>
      <c r="Q1702" s="8"/>
      <c r="R1702" s="8"/>
      <c r="S1702" s="8"/>
      <c r="T1702" s="8"/>
      <c r="U1702" s="8"/>
    </row>
    <row r="1703" spans="10:21">
      <c r="J1703" s="8"/>
      <c r="K1703" s="8"/>
      <c r="L1703" s="8"/>
      <c r="M1703" s="8"/>
      <c r="N1703" s="8"/>
      <c r="O1703" s="8"/>
      <c r="P1703" s="8"/>
      <c r="Q1703" s="8"/>
      <c r="R1703" s="8"/>
      <c r="S1703" s="8"/>
      <c r="T1703" s="8"/>
      <c r="U1703" s="8"/>
    </row>
    <row r="1704" spans="10:21">
      <c r="J1704" s="8"/>
      <c r="K1704" s="8"/>
      <c r="L1704" s="8"/>
      <c r="M1704" s="8"/>
      <c r="N1704" s="8"/>
      <c r="O1704" s="8"/>
      <c r="P1704" s="8"/>
      <c r="Q1704" s="8"/>
      <c r="R1704" s="8"/>
      <c r="S1704" s="8"/>
      <c r="T1704" s="8"/>
      <c r="U1704" s="8"/>
    </row>
    <row r="1705" spans="10:21">
      <c r="J1705" s="8"/>
      <c r="K1705" s="8"/>
      <c r="L1705" s="8"/>
      <c r="M1705" s="8"/>
      <c r="N1705" s="8"/>
      <c r="O1705" s="8"/>
      <c r="P1705" s="8"/>
      <c r="Q1705" s="8"/>
      <c r="R1705" s="8"/>
      <c r="S1705" s="8"/>
      <c r="T1705" s="8"/>
      <c r="U1705" s="8"/>
    </row>
    <row r="1706" spans="10:21">
      <c r="J1706" s="8"/>
      <c r="K1706" s="8"/>
      <c r="L1706" s="8"/>
      <c r="M1706" s="8"/>
      <c r="N1706" s="8"/>
      <c r="O1706" s="8"/>
      <c r="P1706" s="8"/>
      <c r="Q1706" s="8"/>
      <c r="R1706" s="8"/>
      <c r="S1706" s="8"/>
      <c r="T1706" s="8"/>
      <c r="U1706" s="8"/>
    </row>
    <row r="1707" spans="10:21">
      <c r="J1707" s="8"/>
      <c r="K1707" s="8"/>
      <c r="L1707" s="8"/>
      <c r="M1707" s="8"/>
      <c r="N1707" s="8"/>
      <c r="O1707" s="8"/>
      <c r="P1707" s="8"/>
      <c r="Q1707" s="8"/>
      <c r="R1707" s="8"/>
      <c r="S1707" s="8"/>
      <c r="T1707" s="8"/>
      <c r="U1707" s="8"/>
    </row>
    <row r="1708" spans="10:21">
      <c r="J1708" s="8"/>
      <c r="K1708" s="8"/>
      <c r="L1708" s="8"/>
      <c r="M1708" s="8"/>
      <c r="N1708" s="8"/>
      <c r="O1708" s="8"/>
      <c r="P1708" s="8"/>
      <c r="Q1708" s="8"/>
      <c r="R1708" s="8"/>
      <c r="S1708" s="8"/>
      <c r="T1708" s="8"/>
      <c r="U1708" s="8"/>
    </row>
    <row r="1709" spans="10:21">
      <c r="J1709" s="8"/>
      <c r="K1709" s="8"/>
      <c r="L1709" s="8"/>
      <c r="M1709" s="8"/>
      <c r="N1709" s="8"/>
      <c r="O1709" s="8"/>
      <c r="P1709" s="8"/>
      <c r="Q1709" s="8"/>
      <c r="R1709" s="8"/>
      <c r="S1709" s="8"/>
      <c r="T1709" s="8"/>
      <c r="U1709" s="8"/>
    </row>
    <row r="1710" spans="10:21">
      <c r="J1710" s="8"/>
      <c r="K1710" s="8"/>
      <c r="L1710" s="8"/>
      <c r="M1710" s="8"/>
      <c r="N1710" s="8"/>
      <c r="O1710" s="8"/>
      <c r="P1710" s="8"/>
      <c r="Q1710" s="8"/>
      <c r="R1710" s="8"/>
      <c r="S1710" s="8"/>
      <c r="T1710" s="8"/>
      <c r="U1710" s="8"/>
    </row>
    <row r="1711" spans="10:21">
      <c r="J1711" s="8"/>
      <c r="K1711" s="8"/>
      <c r="L1711" s="8"/>
      <c r="M1711" s="8"/>
      <c r="N1711" s="8"/>
      <c r="O1711" s="8"/>
      <c r="P1711" s="8"/>
      <c r="Q1711" s="8"/>
      <c r="R1711" s="8"/>
      <c r="S1711" s="8"/>
      <c r="T1711" s="8"/>
      <c r="U1711" s="8"/>
    </row>
    <row r="1712" spans="10:21">
      <c r="J1712" s="8"/>
      <c r="K1712" s="8"/>
      <c r="L1712" s="8"/>
      <c r="M1712" s="8"/>
      <c r="N1712" s="8"/>
      <c r="O1712" s="8"/>
      <c r="P1712" s="8"/>
      <c r="Q1712" s="8"/>
      <c r="R1712" s="8"/>
      <c r="S1712" s="8"/>
      <c r="T1712" s="8"/>
      <c r="U1712" s="8"/>
    </row>
    <row r="1713" spans="10:21">
      <c r="J1713" s="8"/>
      <c r="K1713" s="8"/>
      <c r="L1713" s="8"/>
      <c r="M1713" s="8"/>
      <c r="N1713" s="8"/>
      <c r="O1713" s="8"/>
      <c r="P1713" s="8"/>
      <c r="Q1713" s="8"/>
      <c r="R1713" s="8"/>
      <c r="S1713" s="8"/>
      <c r="T1713" s="8"/>
      <c r="U1713" s="8"/>
    </row>
    <row r="1714" spans="10:21">
      <c r="J1714" s="8"/>
      <c r="K1714" s="8"/>
      <c r="L1714" s="8"/>
      <c r="M1714" s="8"/>
      <c r="N1714" s="8"/>
      <c r="O1714" s="8"/>
      <c r="P1714" s="8"/>
      <c r="Q1714" s="8"/>
      <c r="R1714" s="8"/>
      <c r="S1714" s="8"/>
      <c r="T1714" s="8"/>
      <c r="U1714" s="8"/>
    </row>
    <row r="1715" spans="10:21">
      <c r="J1715" s="8"/>
      <c r="K1715" s="8"/>
      <c r="L1715" s="8"/>
      <c r="M1715" s="8"/>
      <c r="N1715" s="8"/>
      <c r="O1715" s="8"/>
      <c r="P1715" s="8"/>
      <c r="Q1715" s="8"/>
      <c r="R1715" s="8"/>
      <c r="S1715" s="8"/>
      <c r="T1715" s="8"/>
      <c r="U1715" s="8"/>
    </row>
    <row r="1716" spans="10:21">
      <c r="J1716" s="8"/>
      <c r="K1716" s="8"/>
      <c r="L1716" s="8"/>
      <c r="M1716" s="8"/>
      <c r="N1716" s="8"/>
      <c r="O1716" s="8"/>
      <c r="P1716" s="8"/>
      <c r="Q1716" s="8"/>
      <c r="R1716" s="8"/>
      <c r="S1716" s="8"/>
      <c r="T1716" s="8"/>
      <c r="U1716" s="8"/>
    </row>
    <row r="1717" spans="10:21">
      <c r="J1717" s="8"/>
      <c r="K1717" s="8"/>
      <c r="L1717" s="8"/>
      <c r="M1717" s="8"/>
      <c r="N1717" s="8"/>
      <c r="O1717" s="8"/>
      <c r="P1717" s="8"/>
      <c r="Q1717" s="8"/>
      <c r="R1717" s="8"/>
      <c r="S1717" s="8"/>
      <c r="T1717" s="8"/>
      <c r="U1717" s="8"/>
    </row>
    <row r="1718" spans="10:21">
      <c r="J1718" s="8"/>
      <c r="K1718" s="8"/>
      <c r="L1718" s="8"/>
      <c r="M1718" s="8"/>
      <c r="N1718" s="8"/>
      <c r="O1718" s="8"/>
      <c r="P1718" s="8"/>
      <c r="Q1718" s="8"/>
      <c r="R1718" s="8"/>
      <c r="S1718" s="8"/>
      <c r="T1718" s="8"/>
      <c r="U1718" s="8"/>
    </row>
    <row r="1719" spans="10:21">
      <c r="J1719" s="8"/>
      <c r="K1719" s="8"/>
      <c r="L1719" s="8"/>
      <c r="M1719" s="8"/>
      <c r="N1719" s="8"/>
      <c r="O1719" s="8"/>
      <c r="P1719" s="8"/>
      <c r="Q1719" s="8"/>
      <c r="R1719" s="8"/>
      <c r="S1719" s="8"/>
      <c r="T1719" s="8"/>
      <c r="U1719" s="8"/>
    </row>
    <row r="1720" spans="10:21">
      <c r="J1720" s="8"/>
      <c r="K1720" s="8"/>
      <c r="L1720" s="8"/>
      <c r="M1720" s="8"/>
      <c r="N1720" s="8"/>
      <c r="O1720" s="8"/>
      <c r="P1720" s="8"/>
      <c r="Q1720" s="8"/>
      <c r="R1720" s="8"/>
      <c r="S1720" s="8"/>
      <c r="T1720" s="8"/>
      <c r="U1720" s="8"/>
    </row>
    <row r="1721" spans="10:21">
      <c r="J1721" s="8"/>
      <c r="K1721" s="8"/>
      <c r="L1721" s="8"/>
      <c r="M1721" s="8"/>
      <c r="N1721" s="8"/>
      <c r="O1721" s="8"/>
      <c r="P1721" s="8"/>
      <c r="Q1721" s="8"/>
      <c r="R1721" s="8"/>
      <c r="S1721" s="8"/>
      <c r="T1721" s="8"/>
      <c r="U1721" s="8"/>
    </row>
    <row r="1722" spans="10:21">
      <c r="J1722" s="8"/>
      <c r="K1722" s="8"/>
      <c r="L1722" s="8"/>
      <c r="M1722" s="8"/>
      <c r="N1722" s="8"/>
      <c r="O1722" s="8"/>
      <c r="P1722" s="8"/>
      <c r="Q1722" s="8"/>
      <c r="R1722" s="8"/>
      <c r="S1722" s="8"/>
      <c r="T1722" s="8"/>
      <c r="U1722" s="8"/>
    </row>
    <row r="1723" spans="10:21">
      <c r="J1723" s="8"/>
      <c r="K1723" s="8"/>
      <c r="L1723" s="8"/>
      <c r="M1723" s="8"/>
      <c r="N1723" s="8"/>
      <c r="O1723" s="8"/>
      <c r="P1723" s="8"/>
      <c r="Q1723" s="8"/>
      <c r="R1723" s="8"/>
      <c r="S1723" s="8"/>
      <c r="T1723" s="8"/>
      <c r="U1723" s="8"/>
    </row>
    <row r="1724" spans="10:21">
      <c r="J1724" s="8"/>
      <c r="K1724" s="8"/>
      <c r="L1724" s="8"/>
      <c r="M1724" s="8"/>
      <c r="N1724" s="8"/>
      <c r="O1724" s="8"/>
      <c r="P1724" s="8"/>
      <c r="Q1724" s="8"/>
      <c r="R1724" s="8"/>
      <c r="S1724" s="8"/>
      <c r="T1724" s="8"/>
      <c r="U1724" s="8"/>
    </row>
    <row r="1725" spans="10:21">
      <c r="J1725" s="8"/>
      <c r="K1725" s="8"/>
      <c r="L1725" s="8"/>
      <c r="M1725" s="8"/>
      <c r="N1725" s="8"/>
      <c r="O1725" s="8"/>
      <c r="P1725" s="8"/>
      <c r="Q1725" s="8"/>
      <c r="R1725" s="8"/>
      <c r="S1725" s="8"/>
      <c r="T1725" s="8"/>
      <c r="U1725" s="8"/>
    </row>
    <row r="1726" spans="10:21">
      <c r="J1726" s="8"/>
      <c r="K1726" s="8"/>
      <c r="L1726" s="8"/>
      <c r="M1726" s="8"/>
      <c r="N1726" s="8"/>
      <c r="O1726" s="8"/>
      <c r="P1726" s="8"/>
      <c r="Q1726" s="8"/>
      <c r="R1726" s="8"/>
      <c r="S1726" s="8"/>
      <c r="T1726" s="8"/>
      <c r="U1726" s="8"/>
    </row>
    <row r="1727" spans="10:21">
      <c r="J1727" s="8"/>
      <c r="K1727" s="8"/>
      <c r="L1727" s="8"/>
      <c r="M1727" s="8"/>
      <c r="N1727" s="8"/>
      <c r="O1727" s="8"/>
      <c r="P1727" s="8"/>
      <c r="Q1727" s="8"/>
      <c r="R1727" s="8"/>
      <c r="S1727" s="8"/>
      <c r="T1727" s="8"/>
      <c r="U1727" s="8"/>
    </row>
    <row r="1728" spans="10:21">
      <c r="J1728" s="8"/>
      <c r="K1728" s="8"/>
      <c r="L1728" s="8"/>
      <c r="M1728" s="8"/>
      <c r="N1728" s="8"/>
      <c r="O1728" s="8"/>
      <c r="P1728" s="8"/>
      <c r="Q1728" s="8"/>
      <c r="R1728" s="8"/>
      <c r="S1728" s="8"/>
      <c r="T1728" s="8"/>
      <c r="U1728" s="8"/>
    </row>
    <row r="1729" spans="10:21">
      <c r="J1729" s="8"/>
      <c r="K1729" s="8"/>
      <c r="L1729" s="8"/>
      <c r="M1729" s="8"/>
      <c r="N1729" s="8"/>
      <c r="O1729" s="8"/>
      <c r="P1729" s="8"/>
      <c r="Q1729" s="8"/>
      <c r="R1729" s="8"/>
      <c r="S1729" s="8"/>
      <c r="T1729" s="8"/>
      <c r="U1729" s="8"/>
    </row>
    <row r="1730" spans="10:21">
      <c r="J1730" s="8"/>
      <c r="K1730" s="8"/>
      <c r="L1730" s="8"/>
      <c r="M1730" s="8"/>
      <c r="N1730" s="8"/>
      <c r="O1730" s="8"/>
      <c r="P1730" s="8"/>
      <c r="Q1730" s="8"/>
      <c r="R1730" s="8"/>
      <c r="S1730" s="8"/>
      <c r="T1730" s="8"/>
      <c r="U1730" s="8"/>
    </row>
    <row r="1731" spans="10:21">
      <c r="J1731" s="8"/>
      <c r="K1731" s="8"/>
      <c r="L1731" s="8"/>
      <c r="M1731" s="8"/>
      <c r="N1731" s="8"/>
      <c r="O1731" s="8"/>
      <c r="P1731" s="8"/>
      <c r="Q1731" s="8"/>
      <c r="R1731" s="8"/>
      <c r="S1731" s="8"/>
      <c r="T1731" s="8"/>
      <c r="U1731" s="8"/>
    </row>
    <row r="1732" spans="10:21">
      <c r="J1732" s="8"/>
      <c r="K1732" s="8"/>
      <c r="L1732" s="8"/>
      <c r="M1732" s="8"/>
      <c r="N1732" s="8"/>
      <c r="O1732" s="8"/>
      <c r="P1732" s="8"/>
      <c r="Q1732" s="8"/>
      <c r="R1732" s="8"/>
      <c r="S1732" s="8"/>
      <c r="T1732" s="8"/>
      <c r="U1732" s="8"/>
    </row>
    <row r="1733" spans="10:21">
      <c r="J1733" s="8"/>
      <c r="K1733" s="8"/>
      <c r="L1733" s="8"/>
      <c r="M1733" s="8"/>
      <c r="N1733" s="8"/>
      <c r="O1733" s="8"/>
      <c r="P1733" s="8"/>
      <c r="Q1733" s="8"/>
      <c r="R1733" s="8"/>
      <c r="S1733" s="8"/>
      <c r="T1733" s="8"/>
      <c r="U1733" s="8"/>
    </row>
    <row r="1734" spans="10:21">
      <c r="J1734" s="8"/>
      <c r="K1734" s="8"/>
      <c r="L1734" s="8"/>
      <c r="M1734" s="8"/>
      <c r="N1734" s="8"/>
      <c r="O1734" s="8"/>
      <c r="P1734" s="8"/>
      <c r="Q1734" s="8"/>
      <c r="R1734" s="8"/>
      <c r="S1734" s="8"/>
      <c r="T1734" s="8"/>
      <c r="U1734" s="8"/>
    </row>
    <row r="1735" spans="10:21">
      <c r="J1735" s="8"/>
      <c r="K1735" s="8"/>
      <c r="L1735" s="8"/>
      <c r="M1735" s="8"/>
      <c r="N1735" s="8"/>
      <c r="O1735" s="8"/>
      <c r="P1735" s="8"/>
      <c r="Q1735" s="8"/>
      <c r="R1735" s="8"/>
      <c r="S1735" s="8"/>
      <c r="T1735" s="8"/>
      <c r="U1735" s="8"/>
    </row>
    <row r="1736" spans="10:21">
      <c r="J1736" s="8"/>
      <c r="K1736" s="8"/>
      <c r="L1736" s="8"/>
      <c r="M1736" s="8"/>
      <c r="N1736" s="8"/>
      <c r="O1736" s="8"/>
      <c r="P1736" s="8"/>
      <c r="Q1736" s="8"/>
      <c r="R1736" s="8"/>
      <c r="S1736" s="8"/>
      <c r="T1736" s="8"/>
      <c r="U1736" s="8"/>
    </row>
    <row r="1737" spans="10:21">
      <c r="J1737" s="8"/>
      <c r="K1737" s="8"/>
      <c r="L1737" s="8"/>
      <c r="M1737" s="8"/>
      <c r="N1737" s="8"/>
      <c r="O1737" s="8"/>
      <c r="P1737" s="8"/>
      <c r="Q1737" s="8"/>
      <c r="R1737" s="8"/>
      <c r="S1737" s="8"/>
      <c r="T1737" s="8"/>
      <c r="U1737" s="8"/>
    </row>
    <row r="1738" spans="10:21">
      <c r="J1738" s="8"/>
      <c r="K1738" s="8"/>
      <c r="L1738" s="8"/>
      <c r="M1738" s="8"/>
      <c r="N1738" s="8"/>
      <c r="O1738" s="8"/>
      <c r="P1738" s="8"/>
      <c r="Q1738" s="8"/>
      <c r="R1738" s="8"/>
      <c r="S1738" s="8"/>
      <c r="T1738" s="8"/>
      <c r="U1738" s="8"/>
    </row>
    <row r="1739" spans="10:21">
      <c r="J1739" s="8"/>
      <c r="K1739" s="8"/>
      <c r="L1739" s="8"/>
      <c r="M1739" s="8"/>
      <c r="N1739" s="8"/>
      <c r="O1739" s="8"/>
      <c r="P1739" s="8"/>
      <c r="Q1739" s="8"/>
      <c r="R1739" s="8"/>
      <c r="S1739" s="8"/>
      <c r="T1739" s="8"/>
      <c r="U1739" s="8"/>
    </row>
    <row r="1740" spans="10:21">
      <c r="J1740" s="8"/>
      <c r="K1740" s="8"/>
      <c r="L1740" s="8"/>
      <c r="M1740" s="8"/>
      <c r="N1740" s="8"/>
      <c r="O1740" s="8"/>
      <c r="P1740" s="8"/>
      <c r="Q1740" s="8"/>
      <c r="R1740" s="8"/>
      <c r="S1740" s="8"/>
      <c r="T1740" s="8"/>
      <c r="U1740" s="8"/>
    </row>
    <row r="1741" spans="10:21">
      <c r="J1741" s="8"/>
      <c r="K1741" s="8"/>
      <c r="L1741" s="8"/>
      <c r="M1741" s="8"/>
      <c r="N1741" s="8"/>
      <c r="O1741" s="8"/>
      <c r="P1741" s="8"/>
      <c r="Q1741" s="8"/>
      <c r="R1741" s="8"/>
      <c r="S1741" s="8"/>
      <c r="T1741" s="8"/>
      <c r="U1741" s="8"/>
    </row>
    <row r="1742" spans="10:21">
      <c r="J1742" s="8"/>
      <c r="K1742" s="8"/>
      <c r="L1742" s="8"/>
      <c r="M1742" s="8"/>
      <c r="N1742" s="8"/>
      <c r="O1742" s="8"/>
      <c r="P1742" s="8"/>
      <c r="Q1742" s="8"/>
      <c r="R1742" s="8"/>
      <c r="S1742" s="8"/>
      <c r="T1742" s="8"/>
      <c r="U1742" s="8"/>
    </row>
    <row r="1743" spans="10:21">
      <c r="J1743" s="8"/>
      <c r="K1743" s="8"/>
      <c r="L1743" s="8"/>
      <c r="M1743" s="8"/>
      <c r="N1743" s="8"/>
      <c r="O1743" s="8"/>
      <c r="P1743" s="8"/>
      <c r="Q1743" s="8"/>
      <c r="R1743" s="8"/>
      <c r="S1743" s="8"/>
      <c r="T1743" s="8"/>
      <c r="U1743" s="8"/>
    </row>
    <row r="1744" spans="10:21">
      <c r="J1744" s="8"/>
      <c r="K1744" s="8"/>
      <c r="L1744" s="8"/>
      <c r="M1744" s="8"/>
      <c r="N1744" s="8"/>
      <c r="O1744" s="8"/>
      <c r="P1744" s="8"/>
      <c r="Q1744" s="8"/>
      <c r="R1744" s="8"/>
      <c r="S1744" s="8"/>
      <c r="T1744" s="8"/>
      <c r="U1744" s="8"/>
    </row>
    <row r="1745" spans="10:21">
      <c r="J1745" s="8"/>
      <c r="K1745" s="8"/>
      <c r="L1745" s="8"/>
      <c r="M1745" s="8"/>
      <c r="N1745" s="8"/>
      <c r="O1745" s="8"/>
      <c r="P1745" s="8"/>
      <c r="Q1745" s="8"/>
      <c r="R1745" s="8"/>
      <c r="S1745" s="8"/>
      <c r="T1745" s="8"/>
      <c r="U1745" s="8"/>
    </row>
    <row r="1746" spans="10:21">
      <c r="J1746" s="8"/>
      <c r="K1746" s="8"/>
      <c r="L1746" s="8"/>
      <c r="M1746" s="8"/>
      <c r="N1746" s="8"/>
      <c r="O1746" s="8"/>
      <c r="P1746" s="8"/>
      <c r="Q1746" s="8"/>
      <c r="R1746" s="8"/>
      <c r="S1746" s="8"/>
      <c r="T1746" s="8"/>
      <c r="U1746" s="8"/>
    </row>
    <row r="1747" spans="10:21">
      <c r="J1747" s="8"/>
      <c r="K1747" s="8"/>
      <c r="L1747" s="8"/>
      <c r="M1747" s="8"/>
      <c r="N1747" s="8"/>
      <c r="O1747" s="8"/>
      <c r="P1747" s="8"/>
      <c r="Q1747" s="8"/>
      <c r="R1747" s="8"/>
      <c r="S1747" s="8"/>
      <c r="T1747" s="8"/>
      <c r="U1747" s="8"/>
    </row>
    <row r="1748" spans="10:21">
      <c r="J1748" s="8"/>
      <c r="K1748" s="8"/>
      <c r="L1748" s="8"/>
      <c r="M1748" s="8"/>
      <c r="N1748" s="8"/>
      <c r="O1748" s="8"/>
      <c r="P1748" s="8"/>
      <c r="Q1748" s="8"/>
      <c r="R1748" s="8"/>
      <c r="S1748" s="8"/>
      <c r="T1748" s="8"/>
      <c r="U1748" s="8"/>
    </row>
    <row r="1749" spans="10:21">
      <c r="J1749" s="8"/>
      <c r="K1749" s="8"/>
      <c r="L1749" s="8"/>
      <c r="M1749" s="8"/>
      <c r="N1749" s="8"/>
      <c r="O1749" s="8"/>
      <c r="P1749" s="8"/>
      <c r="Q1749" s="8"/>
      <c r="R1749" s="8"/>
      <c r="S1749" s="8"/>
      <c r="T1749" s="8"/>
      <c r="U1749" s="8"/>
    </row>
    <row r="1750" spans="10:21">
      <c r="J1750" s="8"/>
      <c r="K1750" s="8"/>
      <c r="L1750" s="8"/>
      <c r="M1750" s="8"/>
      <c r="N1750" s="8"/>
      <c r="O1750" s="8"/>
      <c r="P1750" s="8"/>
      <c r="Q1750" s="8"/>
      <c r="R1750" s="8"/>
      <c r="S1750" s="8"/>
      <c r="T1750" s="8"/>
      <c r="U1750" s="8"/>
    </row>
    <row r="1751" spans="10:21">
      <c r="J1751" s="8"/>
      <c r="K1751" s="8"/>
      <c r="L1751" s="8"/>
      <c r="M1751" s="8"/>
      <c r="N1751" s="8"/>
      <c r="O1751" s="8"/>
      <c r="P1751" s="8"/>
      <c r="Q1751" s="8"/>
      <c r="R1751" s="8"/>
      <c r="S1751" s="8"/>
      <c r="T1751" s="8"/>
      <c r="U1751" s="8"/>
    </row>
    <row r="1752" spans="10:21">
      <c r="J1752" s="8"/>
      <c r="K1752" s="8"/>
      <c r="L1752" s="8"/>
      <c r="M1752" s="8"/>
      <c r="N1752" s="8"/>
      <c r="O1752" s="8"/>
      <c r="P1752" s="8"/>
      <c r="Q1752" s="8"/>
      <c r="R1752" s="8"/>
      <c r="S1752" s="8"/>
      <c r="T1752" s="8"/>
      <c r="U1752" s="8"/>
    </row>
    <row r="1753" spans="10:21">
      <c r="J1753" s="8"/>
      <c r="K1753" s="8"/>
      <c r="L1753" s="8"/>
      <c r="M1753" s="8"/>
      <c r="N1753" s="8"/>
      <c r="O1753" s="8"/>
      <c r="P1753" s="8"/>
      <c r="Q1753" s="8"/>
      <c r="R1753" s="8"/>
      <c r="S1753" s="8"/>
      <c r="T1753" s="8"/>
      <c r="U1753" s="8"/>
    </row>
    <row r="1754" spans="10:21">
      <c r="J1754" s="8"/>
      <c r="K1754" s="8"/>
      <c r="L1754" s="8"/>
      <c r="M1754" s="8"/>
      <c r="N1754" s="8"/>
      <c r="O1754" s="8"/>
      <c r="P1754" s="8"/>
      <c r="Q1754" s="8"/>
      <c r="R1754" s="8"/>
      <c r="S1754" s="8"/>
      <c r="T1754" s="8"/>
      <c r="U1754" s="8"/>
    </row>
    <row r="1755" spans="10:21">
      <c r="J1755" s="8"/>
      <c r="K1755" s="8"/>
      <c r="L1755" s="8"/>
      <c r="M1755" s="8"/>
      <c r="N1755" s="8"/>
      <c r="O1755" s="8"/>
      <c r="P1755" s="8"/>
      <c r="Q1755" s="8"/>
      <c r="R1755" s="8"/>
      <c r="S1755" s="8"/>
      <c r="T1755" s="8"/>
      <c r="U1755" s="8"/>
    </row>
    <row r="1756" spans="10:21">
      <c r="J1756" s="8"/>
      <c r="K1756" s="8"/>
      <c r="L1756" s="8"/>
      <c r="M1756" s="8"/>
      <c r="N1756" s="8"/>
      <c r="O1756" s="8"/>
      <c r="P1756" s="8"/>
      <c r="Q1756" s="8"/>
      <c r="R1756" s="8"/>
      <c r="S1756" s="8"/>
      <c r="T1756" s="8"/>
      <c r="U1756" s="8"/>
    </row>
    <row r="1757" spans="10:21">
      <c r="J1757" s="8"/>
      <c r="K1757" s="8"/>
      <c r="L1757" s="8"/>
      <c r="M1757" s="8"/>
      <c r="N1757" s="8"/>
      <c r="O1757" s="8"/>
      <c r="P1757" s="8"/>
      <c r="Q1757" s="8"/>
      <c r="R1757" s="8"/>
      <c r="S1757" s="8"/>
      <c r="T1757" s="8"/>
      <c r="U1757" s="8"/>
    </row>
    <row r="1758" spans="10:21">
      <c r="J1758" s="8"/>
      <c r="K1758" s="8"/>
      <c r="L1758" s="8"/>
      <c r="M1758" s="8"/>
      <c r="N1758" s="8"/>
      <c r="O1758" s="8"/>
      <c r="P1758" s="8"/>
      <c r="Q1758" s="8"/>
      <c r="R1758" s="8"/>
      <c r="S1758" s="8"/>
      <c r="T1758" s="8"/>
      <c r="U1758" s="8"/>
    </row>
    <row r="1759" spans="10:21">
      <c r="J1759" s="8"/>
      <c r="K1759" s="8"/>
      <c r="L1759" s="8"/>
      <c r="M1759" s="8"/>
      <c r="N1759" s="8"/>
      <c r="O1759" s="8"/>
      <c r="P1759" s="8"/>
      <c r="Q1759" s="8"/>
      <c r="R1759" s="8"/>
      <c r="S1759" s="8"/>
      <c r="T1759" s="8"/>
      <c r="U1759" s="8"/>
    </row>
    <row r="1760" spans="10:21">
      <c r="J1760" s="8"/>
      <c r="K1760" s="8"/>
      <c r="L1760" s="8"/>
      <c r="M1760" s="8"/>
      <c r="N1760" s="8"/>
      <c r="O1760" s="8"/>
      <c r="P1760" s="8"/>
      <c r="Q1760" s="8"/>
      <c r="R1760" s="8"/>
      <c r="S1760" s="8"/>
      <c r="T1760" s="8"/>
      <c r="U1760" s="8"/>
    </row>
    <row r="1761" spans="10:21">
      <c r="J1761" s="8"/>
      <c r="K1761" s="8"/>
      <c r="L1761" s="8"/>
      <c r="M1761" s="8"/>
      <c r="N1761" s="8"/>
      <c r="O1761" s="8"/>
      <c r="P1761" s="8"/>
      <c r="Q1761" s="8"/>
      <c r="R1761" s="8"/>
      <c r="S1761" s="8"/>
      <c r="T1761" s="8"/>
      <c r="U1761" s="8"/>
    </row>
    <row r="1762" spans="10:21">
      <c r="J1762" s="8"/>
      <c r="K1762" s="8"/>
      <c r="L1762" s="8"/>
      <c r="M1762" s="8"/>
      <c r="N1762" s="8"/>
      <c r="O1762" s="8"/>
      <c r="P1762" s="8"/>
      <c r="Q1762" s="8"/>
      <c r="R1762" s="8"/>
      <c r="S1762" s="8"/>
      <c r="T1762" s="8"/>
      <c r="U1762" s="8"/>
    </row>
    <row r="1763" spans="10:21">
      <c r="J1763" s="8"/>
      <c r="K1763" s="8"/>
      <c r="L1763" s="8"/>
      <c r="M1763" s="8"/>
      <c r="N1763" s="8"/>
      <c r="O1763" s="8"/>
      <c r="P1763" s="8"/>
      <c r="Q1763" s="8"/>
      <c r="R1763" s="8"/>
      <c r="S1763" s="8"/>
      <c r="T1763" s="8"/>
      <c r="U1763" s="8"/>
    </row>
    <row r="1764" spans="10:21">
      <c r="J1764" s="8"/>
      <c r="K1764" s="8"/>
      <c r="L1764" s="8"/>
      <c r="M1764" s="8"/>
      <c r="N1764" s="8"/>
      <c r="O1764" s="8"/>
      <c r="P1764" s="8"/>
      <c r="Q1764" s="8"/>
      <c r="R1764" s="8"/>
      <c r="S1764" s="8"/>
      <c r="T1764" s="8"/>
      <c r="U1764" s="8"/>
    </row>
    <row r="1765" spans="10:21">
      <c r="J1765" s="8"/>
      <c r="K1765" s="8"/>
      <c r="L1765" s="8"/>
      <c r="M1765" s="8"/>
      <c r="N1765" s="8"/>
      <c r="O1765" s="8"/>
      <c r="P1765" s="8"/>
      <c r="Q1765" s="8"/>
      <c r="R1765" s="8"/>
      <c r="S1765" s="8"/>
      <c r="T1765" s="8"/>
      <c r="U1765" s="8"/>
    </row>
    <row r="1766" spans="10:21">
      <c r="J1766" s="8"/>
      <c r="K1766" s="8"/>
      <c r="L1766" s="8"/>
      <c r="M1766" s="8"/>
      <c r="N1766" s="8"/>
      <c r="O1766" s="8"/>
      <c r="P1766" s="8"/>
      <c r="Q1766" s="8"/>
      <c r="R1766" s="8"/>
      <c r="S1766" s="8"/>
      <c r="T1766" s="8"/>
      <c r="U1766" s="8"/>
    </row>
    <row r="1767" spans="10:21">
      <c r="J1767" s="8"/>
      <c r="K1767" s="8"/>
      <c r="L1767" s="8"/>
      <c r="M1767" s="8"/>
      <c r="N1767" s="8"/>
      <c r="O1767" s="8"/>
      <c r="P1767" s="8"/>
      <c r="Q1767" s="8"/>
      <c r="R1767" s="8"/>
      <c r="S1767" s="8"/>
      <c r="T1767" s="8"/>
      <c r="U1767" s="8"/>
    </row>
    <row r="1768" spans="10:21">
      <c r="J1768" s="8"/>
      <c r="K1768" s="8"/>
      <c r="L1768" s="8"/>
      <c r="M1768" s="8"/>
      <c r="N1768" s="8"/>
      <c r="O1768" s="8"/>
      <c r="P1768" s="8"/>
      <c r="Q1768" s="8"/>
      <c r="R1768" s="8"/>
      <c r="S1768" s="8"/>
      <c r="T1768" s="8"/>
      <c r="U1768" s="8"/>
    </row>
    <row r="1769" spans="10:21">
      <c r="J1769" s="8"/>
      <c r="K1769" s="8"/>
      <c r="L1769" s="8"/>
      <c r="M1769" s="8"/>
      <c r="N1769" s="8"/>
      <c r="O1769" s="8"/>
      <c r="P1769" s="8"/>
      <c r="Q1769" s="8"/>
      <c r="R1769" s="8"/>
      <c r="S1769" s="8"/>
      <c r="T1769" s="8"/>
      <c r="U1769" s="8"/>
    </row>
    <row r="1770" spans="10:21">
      <c r="J1770" s="8"/>
      <c r="K1770" s="8"/>
      <c r="L1770" s="8"/>
      <c r="M1770" s="8"/>
      <c r="N1770" s="8"/>
      <c r="O1770" s="8"/>
      <c r="P1770" s="8"/>
      <c r="Q1770" s="8"/>
      <c r="R1770" s="8"/>
      <c r="S1770" s="8"/>
      <c r="T1770" s="8"/>
      <c r="U1770" s="8"/>
    </row>
    <row r="1771" spans="10:21">
      <c r="J1771" s="8"/>
      <c r="K1771" s="8"/>
      <c r="L1771" s="8"/>
      <c r="M1771" s="8"/>
      <c r="N1771" s="8"/>
      <c r="O1771" s="8"/>
      <c r="P1771" s="8"/>
      <c r="Q1771" s="8"/>
      <c r="R1771" s="8"/>
      <c r="S1771" s="8"/>
      <c r="T1771" s="8"/>
      <c r="U1771" s="8"/>
    </row>
    <row r="1772" spans="10:21">
      <c r="J1772" s="8"/>
      <c r="K1772" s="8"/>
      <c r="L1772" s="8"/>
      <c r="M1772" s="8"/>
      <c r="N1772" s="8"/>
      <c r="O1772" s="8"/>
      <c r="P1772" s="8"/>
      <c r="Q1772" s="8"/>
      <c r="R1772" s="8"/>
      <c r="S1772" s="8"/>
      <c r="T1772" s="8"/>
      <c r="U1772" s="8"/>
    </row>
    <row r="1773" spans="10:21">
      <c r="J1773" s="8"/>
      <c r="K1773" s="8"/>
      <c r="L1773" s="8"/>
      <c r="M1773" s="8"/>
      <c r="N1773" s="8"/>
      <c r="O1773" s="8"/>
      <c r="P1773" s="8"/>
      <c r="Q1773" s="8"/>
      <c r="R1773" s="8"/>
      <c r="S1773" s="8"/>
      <c r="T1773" s="8"/>
      <c r="U1773" s="8"/>
    </row>
    <row r="1774" spans="10:21">
      <c r="J1774" s="8"/>
      <c r="K1774" s="8"/>
      <c r="L1774" s="8"/>
      <c r="M1774" s="8"/>
      <c r="N1774" s="8"/>
      <c r="O1774" s="8"/>
      <c r="P1774" s="8"/>
      <c r="Q1774" s="8"/>
      <c r="R1774" s="8"/>
      <c r="S1774" s="8"/>
      <c r="T1774" s="8"/>
      <c r="U1774" s="8"/>
    </row>
    <row r="1775" spans="10:21">
      <c r="J1775" s="8"/>
      <c r="K1775" s="8"/>
      <c r="L1775" s="8"/>
      <c r="M1775" s="8"/>
      <c r="N1775" s="8"/>
      <c r="O1775" s="8"/>
      <c r="P1775" s="8"/>
      <c r="Q1775" s="8"/>
      <c r="R1775" s="8"/>
      <c r="S1775" s="8"/>
      <c r="T1775" s="8"/>
      <c r="U1775" s="8"/>
    </row>
    <row r="1776" spans="10:21">
      <c r="J1776" s="8"/>
      <c r="K1776" s="8"/>
      <c r="L1776" s="8"/>
      <c r="M1776" s="8"/>
      <c r="N1776" s="8"/>
      <c r="O1776" s="8"/>
      <c r="P1776" s="8"/>
      <c r="Q1776" s="8"/>
      <c r="R1776" s="8"/>
      <c r="S1776" s="8"/>
      <c r="T1776" s="8"/>
      <c r="U1776" s="8"/>
    </row>
    <row r="1777" spans="10:21">
      <c r="J1777" s="8"/>
      <c r="K1777" s="8"/>
      <c r="L1777" s="8"/>
      <c r="M1777" s="8"/>
      <c r="N1777" s="8"/>
      <c r="O1777" s="8"/>
      <c r="P1777" s="8"/>
      <c r="Q1777" s="8"/>
      <c r="R1777" s="8"/>
      <c r="S1777" s="8"/>
      <c r="T1777" s="8"/>
      <c r="U1777" s="8"/>
    </row>
    <row r="1778" spans="10:21">
      <c r="J1778" s="8"/>
      <c r="K1778" s="8"/>
      <c r="L1778" s="8"/>
      <c r="M1778" s="8"/>
      <c r="N1778" s="8"/>
      <c r="O1778" s="8"/>
      <c r="P1778" s="8"/>
      <c r="Q1778" s="8"/>
      <c r="R1778" s="8"/>
      <c r="S1778" s="8"/>
      <c r="T1778" s="8"/>
      <c r="U1778" s="8"/>
    </row>
    <row r="1779" spans="10:21">
      <c r="J1779" s="8"/>
      <c r="K1779" s="8"/>
      <c r="L1779" s="8"/>
      <c r="M1779" s="8"/>
      <c r="N1779" s="8"/>
      <c r="O1779" s="8"/>
      <c r="P1779" s="8"/>
      <c r="Q1779" s="8"/>
      <c r="R1779" s="8"/>
      <c r="S1779" s="8"/>
      <c r="T1779" s="8"/>
      <c r="U1779" s="8"/>
    </row>
    <row r="1780" spans="10:21">
      <c r="J1780" s="8"/>
      <c r="K1780" s="8"/>
      <c r="L1780" s="8"/>
      <c r="M1780" s="8"/>
      <c r="N1780" s="8"/>
      <c r="O1780" s="8"/>
      <c r="P1780" s="8"/>
      <c r="Q1780" s="8"/>
      <c r="R1780" s="8"/>
      <c r="S1780" s="8"/>
      <c r="T1780" s="8"/>
      <c r="U1780" s="8"/>
    </row>
    <row r="1781" spans="10:21">
      <c r="J1781" s="8"/>
      <c r="K1781" s="8"/>
      <c r="L1781" s="8"/>
      <c r="M1781" s="8"/>
      <c r="N1781" s="8"/>
      <c r="O1781" s="8"/>
      <c r="P1781" s="8"/>
      <c r="Q1781" s="8"/>
      <c r="R1781" s="8"/>
      <c r="S1781" s="8"/>
      <c r="T1781" s="8"/>
      <c r="U1781" s="8"/>
    </row>
    <row r="1782" spans="10:21">
      <c r="J1782" s="8"/>
      <c r="K1782" s="8"/>
      <c r="L1782" s="8"/>
      <c r="M1782" s="8"/>
      <c r="N1782" s="8"/>
      <c r="O1782" s="8"/>
      <c r="P1782" s="8"/>
      <c r="Q1782" s="8"/>
      <c r="R1782" s="8"/>
      <c r="S1782" s="8"/>
      <c r="T1782" s="8"/>
      <c r="U1782" s="8"/>
    </row>
    <row r="1783" spans="10:21">
      <c r="J1783" s="8"/>
      <c r="K1783" s="8"/>
      <c r="L1783" s="8"/>
      <c r="M1783" s="8"/>
      <c r="N1783" s="8"/>
      <c r="O1783" s="8"/>
      <c r="P1783" s="8"/>
      <c r="Q1783" s="8"/>
      <c r="R1783" s="8"/>
      <c r="S1783" s="8"/>
      <c r="T1783" s="8"/>
      <c r="U1783" s="8"/>
    </row>
    <row r="1784" spans="10:21">
      <c r="J1784" s="8"/>
      <c r="K1784" s="8"/>
      <c r="L1784" s="8"/>
      <c r="M1784" s="8"/>
      <c r="N1784" s="8"/>
      <c r="O1784" s="8"/>
      <c r="P1784" s="8"/>
      <c r="Q1784" s="8"/>
      <c r="R1784" s="8"/>
      <c r="S1784" s="8"/>
      <c r="T1784" s="8"/>
      <c r="U1784" s="8"/>
    </row>
    <row r="1785" spans="10:21">
      <c r="J1785" s="8"/>
      <c r="K1785" s="8"/>
      <c r="L1785" s="8"/>
      <c r="M1785" s="8"/>
      <c r="N1785" s="8"/>
      <c r="O1785" s="8"/>
      <c r="P1785" s="8"/>
      <c r="Q1785" s="8"/>
      <c r="R1785" s="8"/>
      <c r="S1785" s="8"/>
      <c r="T1785" s="8"/>
      <c r="U1785" s="8"/>
    </row>
    <row r="1786" spans="10:21">
      <c r="J1786" s="8"/>
      <c r="K1786" s="8"/>
      <c r="L1786" s="8"/>
      <c r="M1786" s="8"/>
      <c r="N1786" s="8"/>
      <c r="O1786" s="8"/>
      <c r="P1786" s="8"/>
      <c r="Q1786" s="8"/>
      <c r="R1786" s="8"/>
      <c r="S1786" s="8"/>
      <c r="T1786" s="8"/>
      <c r="U1786" s="8"/>
    </row>
    <row r="1787" spans="10:21">
      <c r="J1787" s="8"/>
      <c r="K1787" s="8"/>
      <c r="L1787" s="8"/>
      <c r="M1787" s="8"/>
      <c r="N1787" s="8"/>
      <c r="O1787" s="8"/>
      <c r="P1787" s="8"/>
      <c r="Q1787" s="8"/>
      <c r="R1787" s="8"/>
      <c r="S1787" s="8"/>
      <c r="T1787" s="8"/>
      <c r="U1787" s="8"/>
    </row>
    <row r="1788" spans="10:21">
      <c r="J1788" s="8"/>
      <c r="K1788" s="8"/>
      <c r="L1788" s="8"/>
      <c r="M1788" s="8"/>
      <c r="N1788" s="8"/>
      <c r="O1788" s="8"/>
      <c r="P1788" s="8"/>
      <c r="Q1788" s="8"/>
      <c r="R1788" s="8"/>
      <c r="S1788" s="8"/>
      <c r="T1788" s="8"/>
      <c r="U1788" s="8"/>
    </row>
    <row r="1789" spans="10:21">
      <c r="J1789" s="8"/>
      <c r="K1789" s="8"/>
      <c r="L1789" s="8"/>
      <c r="M1789" s="8"/>
      <c r="N1789" s="8"/>
      <c r="O1789" s="8"/>
      <c r="P1789" s="8"/>
      <c r="Q1789" s="8"/>
      <c r="R1789" s="8"/>
      <c r="S1789" s="8"/>
      <c r="T1789" s="8"/>
      <c r="U1789" s="8"/>
    </row>
    <row r="1790" spans="10:21">
      <c r="J1790" s="8"/>
      <c r="K1790" s="8"/>
      <c r="L1790" s="8"/>
      <c r="M1790" s="8"/>
      <c r="N1790" s="8"/>
      <c r="O1790" s="8"/>
      <c r="P1790" s="8"/>
      <c r="Q1790" s="8"/>
      <c r="R1790" s="8"/>
      <c r="S1790" s="8"/>
      <c r="T1790" s="8"/>
      <c r="U1790" s="8"/>
    </row>
    <row r="1791" spans="10:21">
      <c r="J1791" s="8"/>
      <c r="K1791" s="8"/>
      <c r="L1791" s="8"/>
      <c r="M1791" s="8"/>
      <c r="N1791" s="8"/>
      <c r="O1791" s="8"/>
      <c r="P1791" s="8"/>
      <c r="Q1791" s="8"/>
      <c r="R1791" s="8"/>
      <c r="S1791" s="8"/>
      <c r="T1791" s="8"/>
      <c r="U1791" s="8"/>
    </row>
    <row r="1792" spans="10:21">
      <c r="J1792" s="8"/>
      <c r="K1792" s="8"/>
      <c r="L1792" s="8"/>
      <c r="M1792" s="8"/>
      <c r="N1792" s="8"/>
      <c r="O1792" s="8"/>
      <c r="P1792" s="8"/>
      <c r="Q1792" s="8"/>
      <c r="R1792" s="8"/>
      <c r="S1792" s="8"/>
      <c r="T1792" s="8"/>
      <c r="U1792" s="8"/>
    </row>
    <row r="1793" spans="10:21">
      <c r="J1793" s="8"/>
      <c r="K1793" s="8"/>
      <c r="L1793" s="8"/>
      <c r="M1793" s="8"/>
      <c r="N1793" s="8"/>
      <c r="O1793" s="8"/>
      <c r="P1793" s="8"/>
      <c r="Q1793" s="8"/>
      <c r="R1793" s="8"/>
      <c r="S1793" s="8"/>
      <c r="T1793" s="8"/>
      <c r="U1793" s="8"/>
    </row>
    <row r="1794" spans="10:21">
      <c r="J1794" s="8"/>
      <c r="K1794" s="8"/>
      <c r="L1794" s="8"/>
      <c r="M1794" s="8"/>
      <c r="N1794" s="8"/>
      <c r="O1794" s="8"/>
      <c r="P1794" s="8"/>
      <c r="Q1794" s="8"/>
      <c r="R1794" s="8"/>
      <c r="S1794" s="8"/>
      <c r="T1794" s="8"/>
      <c r="U1794" s="8"/>
    </row>
    <row r="1795" spans="10:21">
      <c r="J1795" s="8"/>
      <c r="K1795" s="8"/>
      <c r="L1795" s="8"/>
      <c r="M1795" s="8"/>
      <c r="N1795" s="8"/>
      <c r="O1795" s="8"/>
      <c r="P1795" s="8"/>
      <c r="Q1795" s="8"/>
      <c r="R1795" s="8"/>
      <c r="S1795" s="8"/>
      <c r="T1795" s="8"/>
      <c r="U1795" s="8"/>
    </row>
    <row r="1796" spans="10:21">
      <c r="J1796" s="8"/>
      <c r="K1796" s="8"/>
      <c r="L1796" s="8"/>
      <c r="M1796" s="8"/>
      <c r="N1796" s="8"/>
      <c r="O1796" s="8"/>
      <c r="P1796" s="8"/>
      <c r="Q1796" s="8"/>
      <c r="R1796" s="8"/>
      <c r="S1796" s="8"/>
      <c r="T1796" s="8"/>
      <c r="U1796" s="8"/>
    </row>
    <row r="1797" spans="10:21">
      <c r="J1797" s="8"/>
      <c r="K1797" s="8"/>
      <c r="L1797" s="8"/>
      <c r="M1797" s="8"/>
      <c r="N1797" s="8"/>
      <c r="O1797" s="8"/>
      <c r="P1797" s="8"/>
      <c r="Q1797" s="8"/>
      <c r="R1797" s="8"/>
      <c r="S1797" s="8"/>
      <c r="T1797" s="8"/>
      <c r="U1797" s="8"/>
    </row>
    <row r="1798" spans="10:21">
      <c r="J1798" s="8"/>
      <c r="K1798" s="8"/>
      <c r="L1798" s="8"/>
      <c r="M1798" s="8"/>
      <c r="N1798" s="8"/>
      <c r="O1798" s="8"/>
      <c r="P1798" s="8"/>
      <c r="Q1798" s="8"/>
      <c r="R1798" s="8"/>
      <c r="S1798" s="8"/>
      <c r="T1798" s="8"/>
      <c r="U1798" s="8"/>
    </row>
    <row r="1799" spans="10:21">
      <c r="J1799" s="8"/>
      <c r="K1799" s="8"/>
      <c r="L1799" s="8"/>
      <c r="M1799" s="8"/>
      <c r="N1799" s="8"/>
      <c r="O1799" s="8"/>
      <c r="P1799" s="8"/>
      <c r="Q1799" s="8"/>
      <c r="R1799" s="8"/>
      <c r="S1799" s="8"/>
      <c r="T1799" s="8"/>
      <c r="U1799" s="8"/>
    </row>
    <row r="1800" spans="10:21">
      <c r="J1800" s="8"/>
      <c r="K1800" s="8"/>
      <c r="L1800" s="8"/>
      <c r="M1800" s="8"/>
      <c r="N1800" s="8"/>
      <c r="O1800" s="8"/>
      <c r="P1800" s="8"/>
      <c r="Q1800" s="8"/>
      <c r="R1800" s="8"/>
      <c r="S1800" s="8"/>
      <c r="T1800" s="8"/>
      <c r="U1800" s="8"/>
    </row>
    <row r="1801" spans="10:21">
      <c r="J1801" s="8"/>
      <c r="K1801" s="8"/>
      <c r="L1801" s="8"/>
      <c r="M1801" s="8"/>
      <c r="N1801" s="8"/>
      <c r="O1801" s="8"/>
      <c r="P1801" s="8"/>
      <c r="Q1801" s="8"/>
      <c r="R1801" s="8"/>
      <c r="S1801" s="8"/>
      <c r="T1801" s="8"/>
      <c r="U1801" s="8"/>
    </row>
    <row r="1802" spans="10:21">
      <c r="J1802" s="8"/>
      <c r="K1802" s="8"/>
      <c r="L1802" s="8"/>
      <c r="M1802" s="8"/>
      <c r="N1802" s="8"/>
      <c r="O1802" s="8"/>
      <c r="P1802" s="8"/>
      <c r="Q1802" s="8"/>
      <c r="R1802" s="8"/>
      <c r="S1802" s="8"/>
      <c r="T1802" s="8"/>
      <c r="U1802" s="8"/>
    </row>
    <row r="1803" spans="10:21">
      <c r="J1803" s="8"/>
      <c r="K1803" s="8"/>
      <c r="L1803" s="8"/>
      <c r="M1803" s="8"/>
      <c r="N1803" s="8"/>
      <c r="O1803" s="8"/>
      <c r="P1803" s="8"/>
      <c r="Q1803" s="8"/>
      <c r="R1803" s="8"/>
      <c r="S1803" s="8"/>
      <c r="T1803" s="8"/>
      <c r="U1803" s="8"/>
    </row>
    <row r="1804" spans="10:21">
      <c r="J1804" s="8"/>
      <c r="K1804" s="8"/>
      <c r="L1804" s="8"/>
      <c r="M1804" s="8"/>
      <c r="N1804" s="8"/>
      <c r="O1804" s="8"/>
      <c r="P1804" s="8"/>
      <c r="Q1804" s="8"/>
      <c r="R1804" s="8"/>
      <c r="S1804" s="8"/>
      <c r="T1804" s="8"/>
      <c r="U1804" s="8"/>
    </row>
    <row r="1805" spans="10:21">
      <c r="J1805" s="8"/>
      <c r="K1805" s="8"/>
      <c r="L1805" s="8"/>
      <c r="M1805" s="8"/>
      <c r="N1805" s="8"/>
      <c r="O1805" s="8"/>
      <c r="P1805" s="8"/>
      <c r="Q1805" s="8"/>
      <c r="R1805" s="8"/>
      <c r="S1805" s="8"/>
      <c r="T1805" s="8"/>
      <c r="U1805" s="8"/>
    </row>
    <row r="1806" spans="10:21">
      <c r="J1806" s="8"/>
      <c r="K1806" s="8"/>
      <c r="L1806" s="8"/>
      <c r="M1806" s="8"/>
      <c r="N1806" s="8"/>
      <c r="O1806" s="8"/>
      <c r="P1806" s="8"/>
      <c r="Q1806" s="8"/>
      <c r="R1806" s="8"/>
      <c r="S1806" s="8"/>
      <c r="T1806" s="8"/>
      <c r="U1806" s="8"/>
    </row>
    <row r="1807" spans="10:21">
      <c r="J1807" s="8"/>
      <c r="K1807" s="8"/>
      <c r="L1807" s="8"/>
      <c r="M1807" s="8"/>
      <c r="N1807" s="8"/>
      <c r="O1807" s="8"/>
      <c r="P1807" s="8"/>
      <c r="Q1807" s="8"/>
      <c r="R1807" s="8"/>
      <c r="S1807" s="8"/>
      <c r="T1807" s="8"/>
      <c r="U1807" s="8"/>
    </row>
    <row r="1808" spans="10:21">
      <c r="J1808" s="8"/>
      <c r="K1808" s="8"/>
      <c r="L1808" s="8"/>
      <c r="M1808" s="8"/>
      <c r="N1808" s="8"/>
      <c r="O1808" s="8"/>
      <c r="P1808" s="8"/>
      <c r="Q1808" s="8"/>
      <c r="R1808" s="8"/>
      <c r="S1808" s="8"/>
      <c r="T1808" s="8"/>
      <c r="U1808" s="8"/>
    </row>
    <row r="1809" spans="10:21">
      <c r="J1809" s="8"/>
      <c r="K1809" s="8"/>
      <c r="L1809" s="8"/>
      <c r="M1809" s="8"/>
      <c r="N1809" s="8"/>
      <c r="O1809" s="8"/>
      <c r="P1809" s="8"/>
      <c r="Q1809" s="8"/>
      <c r="R1809" s="8"/>
      <c r="S1809" s="8"/>
      <c r="T1809" s="8"/>
      <c r="U1809" s="8"/>
    </row>
    <row r="1810" spans="10:21">
      <c r="J1810" s="8"/>
      <c r="K1810" s="8"/>
      <c r="L1810" s="8"/>
      <c r="M1810" s="8"/>
      <c r="N1810" s="8"/>
      <c r="O1810" s="8"/>
      <c r="P1810" s="8"/>
      <c r="Q1810" s="8"/>
      <c r="R1810" s="8"/>
      <c r="S1810" s="8"/>
      <c r="T1810" s="8"/>
      <c r="U1810" s="8"/>
    </row>
    <row r="1811" spans="10:21">
      <c r="J1811" s="8"/>
      <c r="K1811" s="8"/>
      <c r="L1811" s="8"/>
      <c r="M1811" s="8"/>
      <c r="N1811" s="8"/>
      <c r="O1811" s="8"/>
      <c r="P1811" s="8"/>
      <c r="Q1811" s="8"/>
      <c r="R1811" s="8"/>
      <c r="S1811" s="8"/>
      <c r="T1811" s="8"/>
      <c r="U1811" s="8"/>
    </row>
    <row r="1812" spans="10:21">
      <c r="J1812" s="8"/>
      <c r="K1812" s="8"/>
      <c r="L1812" s="8"/>
      <c r="M1812" s="8"/>
      <c r="N1812" s="8"/>
      <c r="O1812" s="8"/>
      <c r="P1812" s="8"/>
      <c r="Q1812" s="8"/>
      <c r="R1812" s="8"/>
      <c r="S1812" s="8"/>
      <c r="T1812" s="8"/>
      <c r="U1812" s="8"/>
    </row>
    <row r="1813" spans="10:21">
      <c r="J1813" s="8"/>
      <c r="K1813" s="8"/>
      <c r="L1813" s="8"/>
      <c r="M1813" s="8"/>
      <c r="N1813" s="8"/>
      <c r="O1813" s="8"/>
      <c r="P1813" s="8"/>
      <c r="Q1813" s="8"/>
      <c r="R1813" s="8"/>
      <c r="S1813" s="8"/>
      <c r="T1813" s="8"/>
      <c r="U1813" s="8"/>
    </row>
    <row r="1814" spans="10:21">
      <c r="J1814" s="8"/>
      <c r="K1814" s="8"/>
      <c r="L1814" s="8"/>
      <c r="M1814" s="8"/>
      <c r="N1814" s="8"/>
      <c r="O1814" s="8"/>
      <c r="P1814" s="8"/>
      <c r="Q1814" s="8"/>
      <c r="R1814" s="8"/>
      <c r="S1814" s="8"/>
      <c r="T1814" s="8"/>
      <c r="U1814" s="8"/>
    </row>
    <row r="1815" spans="10:21">
      <c r="J1815" s="8"/>
      <c r="K1815" s="8"/>
      <c r="L1815" s="8"/>
      <c r="M1815" s="8"/>
      <c r="N1815" s="8"/>
      <c r="O1815" s="8"/>
      <c r="P1815" s="8"/>
      <c r="Q1815" s="8"/>
      <c r="R1815" s="8"/>
      <c r="S1815" s="8"/>
      <c r="T1815" s="8"/>
      <c r="U1815" s="8"/>
    </row>
    <row r="1816" spans="10:21">
      <c r="J1816" s="8"/>
      <c r="K1816" s="8"/>
      <c r="L1816" s="8"/>
      <c r="M1816" s="8"/>
      <c r="N1816" s="8"/>
      <c r="O1816" s="8"/>
      <c r="P1816" s="8"/>
      <c r="Q1816" s="8"/>
      <c r="R1816" s="8"/>
      <c r="S1816" s="8"/>
      <c r="T1816" s="8"/>
      <c r="U1816" s="8"/>
    </row>
    <row r="1817" spans="10:21">
      <c r="J1817" s="8"/>
      <c r="K1817" s="8"/>
      <c r="L1817" s="8"/>
      <c r="M1817" s="8"/>
      <c r="N1817" s="8"/>
      <c r="O1817" s="8"/>
      <c r="P1817" s="8"/>
      <c r="Q1817" s="8"/>
      <c r="R1817" s="8"/>
      <c r="S1817" s="8"/>
      <c r="T1817" s="8"/>
      <c r="U1817" s="8"/>
    </row>
    <row r="1818" spans="10:21">
      <c r="J1818" s="8"/>
      <c r="K1818" s="8"/>
      <c r="L1818" s="8"/>
      <c r="M1818" s="8"/>
      <c r="N1818" s="8"/>
      <c r="O1818" s="8"/>
      <c r="P1818" s="8"/>
      <c r="Q1818" s="8"/>
      <c r="R1818" s="8"/>
      <c r="S1818" s="8"/>
      <c r="T1818" s="8"/>
      <c r="U1818" s="8"/>
    </row>
    <row r="1819" spans="10:21">
      <c r="J1819" s="8"/>
      <c r="K1819" s="8"/>
      <c r="L1819" s="8"/>
      <c r="M1819" s="8"/>
      <c r="N1819" s="8"/>
      <c r="O1819" s="8"/>
      <c r="P1819" s="8"/>
      <c r="Q1819" s="8"/>
      <c r="R1819" s="8"/>
      <c r="S1819" s="8"/>
      <c r="T1819" s="8"/>
      <c r="U1819" s="8"/>
    </row>
    <row r="1820" spans="10:21">
      <c r="J1820" s="8"/>
      <c r="K1820" s="8"/>
      <c r="L1820" s="8"/>
      <c r="M1820" s="8"/>
      <c r="N1820" s="8"/>
      <c r="O1820" s="8"/>
      <c r="P1820" s="8"/>
      <c r="Q1820" s="8"/>
      <c r="R1820" s="8"/>
      <c r="S1820" s="8"/>
      <c r="T1820" s="8"/>
      <c r="U1820" s="8"/>
    </row>
    <row r="1821" spans="10:21">
      <c r="J1821" s="8"/>
      <c r="K1821" s="8"/>
      <c r="L1821" s="8"/>
      <c r="M1821" s="8"/>
      <c r="N1821" s="8"/>
      <c r="O1821" s="8"/>
      <c r="P1821" s="8"/>
      <c r="Q1821" s="8"/>
      <c r="R1821" s="8"/>
      <c r="S1821" s="8"/>
      <c r="T1821" s="8"/>
      <c r="U1821" s="8"/>
    </row>
    <row r="1822" spans="10:21">
      <c r="J1822" s="8"/>
      <c r="K1822" s="8"/>
      <c r="L1822" s="8"/>
      <c r="M1822" s="8"/>
      <c r="N1822" s="8"/>
      <c r="O1822" s="8"/>
      <c r="P1822" s="8"/>
      <c r="Q1822" s="8"/>
      <c r="R1822" s="8"/>
      <c r="S1822" s="8"/>
      <c r="T1822" s="8"/>
      <c r="U1822" s="8"/>
    </row>
    <row r="1823" spans="10:21">
      <c r="J1823" s="8"/>
      <c r="K1823" s="8"/>
      <c r="L1823" s="8"/>
      <c r="M1823" s="8"/>
      <c r="N1823" s="8"/>
      <c r="O1823" s="8"/>
      <c r="P1823" s="8"/>
      <c r="Q1823" s="8"/>
      <c r="R1823" s="8"/>
      <c r="S1823" s="8"/>
      <c r="T1823" s="8"/>
      <c r="U1823" s="8"/>
    </row>
    <row r="1824" spans="10:21">
      <c r="J1824" s="8"/>
      <c r="K1824" s="8"/>
      <c r="L1824" s="8"/>
      <c r="M1824" s="8"/>
      <c r="N1824" s="8"/>
      <c r="O1824" s="8"/>
      <c r="P1824" s="8"/>
      <c r="Q1824" s="8"/>
      <c r="R1824" s="8"/>
      <c r="S1824" s="8"/>
      <c r="T1824" s="8"/>
      <c r="U1824" s="8"/>
    </row>
    <row r="1825" spans="10:21">
      <c r="J1825" s="8"/>
      <c r="K1825" s="8"/>
      <c r="L1825" s="8"/>
      <c r="M1825" s="8"/>
      <c r="N1825" s="8"/>
      <c r="O1825" s="8"/>
      <c r="P1825" s="8"/>
      <c r="Q1825" s="8"/>
      <c r="R1825" s="8"/>
      <c r="S1825" s="8"/>
      <c r="T1825" s="8"/>
      <c r="U1825" s="8"/>
    </row>
    <row r="1826" spans="10:21">
      <c r="J1826" s="8"/>
      <c r="K1826" s="8"/>
      <c r="L1826" s="8"/>
      <c r="M1826" s="8"/>
      <c r="N1826" s="8"/>
      <c r="O1826" s="8"/>
      <c r="P1826" s="8"/>
      <c r="Q1826" s="8"/>
      <c r="R1826" s="8"/>
      <c r="S1826" s="8"/>
      <c r="T1826" s="8"/>
      <c r="U1826" s="8"/>
    </row>
    <row r="1827" spans="10:21">
      <c r="J1827" s="8"/>
      <c r="K1827" s="8"/>
      <c r="L1827" s="8"/>
      <c r="M1827" s="8"/>
      <c r="N1827" s="8"/>
      <c r="O1827" s="8"/>
      <c r="P1827" s="8"/>
      <c r="Q1827" s="8"/>
      <c r="R1827" s="8"/>
      <c r="S1827" s="8"/>
      <c r="T1827" s="8"/>
      <c r="U1827" s="8"/>
    </row>
    <row r="1828" spans="10:21">
      <c r="J1828" s="8"/>
      <c r="K1828" s="8"/>
      <c r="L1828" s="8"/>
      <c r="M1828" s="8"/>
      <c r="N1828" s="8"/>
      <c r="O1828" s="8"/>
      <c r="P1828" s="8"/>
      <c r="Q1828" s="8"/>
      <c r="R1828" s="8"/>
      <c r="S1828" s="8"/>
      <c r="T1828" s="8"/>
      <c r="U1828" s="8"/>
    </row>
    <row r="1829" spans="10:21">
      <c r="J1829" s="8"/>
      <c r="K1829" s="8"/>
      <c r="L1829" s="8"/>
      <c r="M1829" s="8"/>
      <c r="N1829" s="8"/>
      <c r="O1829" s="8"/>
      <c r="P1829" s="8"/>
      <c r="Q1829" s="8"/>
      <c r="R1829" s="8"/>
      <c r="S1829" s="8"/>
      <c r="T1829" s="8"/>
      <c r="U1829" s="8"/>
    </row>
    <row r="1830" spans="10:21">
      <c r="J1830" s="8"/>
      <c r="K1830" s="8"/>
      <c r="L1830" s="8"/>
      <c r="M1830" s="8"/>
      <c r="N1830" s="8"/>
      <c r="O1830" s="8"/>
      <c r="P1830" s="8"/>
      <c r="Q1830" s="8"/>
      <c r="R1830" s="8"/>
      <c r="S1830" s="8"/>
      <c r="T1830" s="8"/>
      <c r="U1830" s="8"/>
    </row>
    <row r="1831" spans="10:21">
      <c r="J1831" s="8"/>
      <c r="K1831" s="8"/>
      <c r="L1831" s="8"/>
      <c r="M1831" s="8"/>
      <c r="N1831" s="8"/>
      <c r="O1831" s="8"/>
      <c r="P1831" s="8"/>
      <c r="Q1831" s="8"/>
      <c r="R1831" s="8"/>
      <c r="S1831" s="8"/>
      <c r="T1831" s="8"/>
      <c r="U1831" s="8"/>
    </row>
    <row r="1832" spans="10:21">
      <c r="J1832" s="8"/>
      <c r="K1832" s="8"/>
      <c r="L1832" s="8"/>
      <c r="M1832" s="8"/>
      <c r="N1832" s="8"/>
      <c r="O1832" s="8"/>
      <c r="P1832" s="8"/>
      <c r="Q1832" s="8"/>
      <c r="R1832" s="8"/>
      <c r="S1832" s="8"/>
      <c r="T1832" s="8"/>
      <c r="U1832" s="8"/>
    </row>
    <row r="1833" spans="10:21">
      <c r="J1833" s="8"/>
      <c r="K1833" s="8"/>
      <c r="L1833" s="8"/>
      <c r="M1833" s="8"/>
      <c r="N1833" s="8"/>
      <c r="O1833" s="8"/>
      <c r="P1833" s="8"/>
      <c r="Q1833" s="8"/>
      <c r="R1833" s="8"/>
      <c r="S1833" s="8"/>
      <c r="T1833" s="8"/>
      <c r="U1833" s="8"/>
    </row>
    <row r="1834" spans="10:21">
      <c r="J1834" s="8"/>
      <c r="K1834" s="8"/>
      <c r="L1834" s="8"/>
      <c r="M1834" s="8"/>
      <c r="N1834" s="8"/>
      <c r="O1834" s="8"/>
      <c r="P1834" s="8"/>
      <c r="Q1834" s="8"/>
      <c r="R1834" s="8"/>
      <c r="S1834" s="8"/>
      <c r="T1834" s="8"/>
      <c r="U1834" s="8"/>
    </row>
    <row r="1835" spans="10:21">
      <c r="J1835" s="8"/>
      <c r="K1835" s="8"/>
      <c r="L1835" s="8"/>
      <c r="M1835" s="8"/>
      <c r="N1835" s="8"/>
      <c r="O1835" s="8"/>
      <c r="P1835" s="8"/>
      <c r="Q1835" s="8"/>
      <c r="R1835" s="8"/>
      <c r="S1835" s="8"/>
      <c r="T1835" s="8"/>
      <c r="U1835" s="8"/>
    </row>
    <row r="1836" spans="10:21">
      <c r="J1836" s="8"/>
      <c r="K1836" s="8"/>
      <c r="L1836" s="8"/>
      <c r="M1836" s="8"/>
      <c r="N1836" s="8"/>
      <c r="O1836" s="8"/>
      <c r="P1836" s="8"/>
      <c r="Q1836" s="8"/>
      <c r="R1836" s="8"/>
      <c r="S1836" s="8"/>
      <c r="T1836" s="8"/>
      <c r="U1836" s="8"/>
    </row>
    <row r="1837" spans="10:21">
      <c r="J1837" s="8"/>
      <c r="K1837" s="8"/>
      <c r="L1837" s="8"/>
      <c r="M1837" s="8"/>
      <c r="N1837" s="8"/>
      <c r="O1837" s="8"/>
      <c r="P1837" s="8"/>
      <c r="Q1837" s="8"/>
      <c r="R1837" s="8"/>
      <c r="S1837" s="8"/>
      <c r="T1837" s="8"/>
      <c r="U1837" s="8"/>
    </row>
    <row r="1838" spans="10:21">
      <c r="J1838" s="8"/>
      <c r="K1838" s="8"/>
      <c r="L1838" s="8"/>
      <c r="M1838" s="8"/>
      <c r="N1838" s="8"/>
      <c r="O1838" s="8"/>
      <c r="P1838" s="8"/>
      <c r="Q1838" s="8"/>
      <c r="R1838" s="8"/>
      <c r="S1838" s="8"/>
      <c r="T1838" s="8"/>
      <c r="U1838" s="8"/>
    </row>
    <row r="1839" spans="10:21">
      <c r="J1839" s="8"/>
      <c r="K1839" s="8"/>
      <c r="L1839" s="8"/>
      <c r="M1839" s="8"/>
      <c r="N1839" s="8"/>
      <c r="O1839" s="8"/>
      <c r="P1839" s="8"/>
      <c r="Q1839" s="8"/>
      <c r="R1839" s="8"/>
      <c r="S1839" s="8"/>
      <c r="T1839" s="8"/>
      <c r="U1839" s="8"/>
    </row>
    <row r="1840" spans="10:21">
      <c r="J1840" s="8"/>
      <c r="K1840" s="8"/>
      <c r="L1840" s="8"/>
      <c r="M1840" s="8"/>
      <c r="N1840" s="8"/>
      <c r="O1840" s="8"/>
      <c r="P1840" s="8"/>
      <c r="Q1840" s="8"/>
      <c r="R1840" s="8"/>
      <c r="S1840" s="8"/>
      <c r="T1840" s="8"/>
      <c r="U1840" s="8"/>
    </row>
    <row r="1841" spans="10:21">
      <c r="J1841" s="8"/>
      <c r="K1841" s="8"/>
      <c r="L1841" s="8"/>
      <c r="M1841" s="8"/>
      <c r="N1841" s="8"/>
      <c r="O1841" s="8"/>
      <c r="P1841" s="8"/>
      <c r="Q1841" s="8"/>
      <c r="R1841" s="8"/>
      <c r="S1841" s="8"/>
      <c r="T1841" s="8"/>
      <c r="U1841" s="8"/>
    </row>
    <row r="1842" spans="10:21">
      <c r="J1842" s="8"/>
      <c r="K1842" s="8"/>
      <c r="L1842" s="8"/>
      <c r="M1842" s="8"/>
      <c r="N1842" s="8"/>
      <c r="O1842" s="8"/>
      <c r="P1842" s="8"/>
      <c r="Q1842" s="8"/>
      <c r="R1842" s="8"/>
      <c r="S1842" s="8"/>
      <c r="T1842" s="8"/>
      <c r="U1842" s="8"/>
    </row>
    <row r="1843" spans="10:21">
      <c r="J1843" s="8"/>
      <c r="K1843" s="8"/>
      <c r="L1843" s="8"/>
      <c r="M1843" s="8"/>
      <c r="N1843" s="8"/>
      <c r="O1843" s="8"/>
      <c r="P1843" s="8"/>
      <c r="Q1843" s="8"/>
      <c r="R1843" s="8"/>
      <c r="S1843" s="8"/>
      <c r="T1843" s="8"/>
      <c r="U1843" s="8"/>
    </row>
    <row r="1844" spans="10:21">
      <c r="J1844" s="8"/>
      <c r="K1844" s="8"/>
      <c r="L1844" s="8"/>
      <c r="M1844" s="8"/>
      <c r="N1844" s="8"/>
      <c r="O1844" s="8"/>
      <c r="P1844" s="8"/>
      <c r="Q1844" s="8"/>
      <c r="R1844" s="8"/>
      <c r="S1844" s="8"/>
      <c r="T1844" s="8"/>
      <c r="U1844" s="8"/>
    </row>
    <row r="1845" spans="10:21">
      <c r="J1845" s="8"/>
      <c r="K1845" s="8"/>
      <c r="L1845" s="8"/>
      <c r="M1845" s="8"/>
      <c r="N1845" s="8"/>
      <c r="O1845" s="8"/>
      <c r="P1845" s="8"/>
      <c r="Q1845" s="8"/>
      <c r="R1845" s="8"/>
      <c r="S1845" s="8"/>
      <c r="T1845" s="8"/>
      <c r="U1845" s="8"/>
    </row>
    <row r="1846" spans="10:21">
      <c r="J1846" s="8"/>
      <c r="K1846" s="8"/>
      <c r="L1846" s="8"/>
      <c r="M1846" s="8"/>
      <c r="N1846" s="8"/>
      <c r="O1846" s="8"/>
      <c r="P1846" s="8"/>
      <c r="Q1846" s="8"/>
      <c r="R1846" s="8"/>
      <c r="S1846" s="8"/>
      <c r="T1846" s="8"/>
      <c r="U1846" s="8"/>
    </row>
    <row r="1847" spans="10:21">
      <c r="J1847" s="8"/>
      <c r="K1847" s="8"/>
      <c r="L1847" s="8"/>
      <c r="M1847" s="8"/>
      <c r="N1847" s="8"/>
      <c r="O1847" s="8"/>
      <c r="P1847" s="8"/>
      <c r="Q1847" s="8"/>
      <c r="R1847" s="8"/>
      <c r="S1847" s="8"/>
      <c r="T1847" s="8"/>
      <c r="U1847" s="8"/>
    </row>
    <row r="1848" spans="10:21">
      <c r="J1848" s="8"/>
      <c r="K1848" s="8"/>
      <c r="L1848" s="8"/>
      <c r="M1848" s="8"/>
      <c r="N1848" s="8"/>
      <c r="O1848" s="8"/>
      <c r="P1848" s="8"/>
      <c r="Q1848" s="8"/>
      <c r="R1848" s="8"/>
      <c r="S1848" s="8"/>
      <c r="T1848" s="8"/>
      <c r="U1848" s="8"/>
    </row>
    <row r="1849" spans="10:21">
      <c r="J1849" s="8"/>
      <c r="K1849" s="8"/>
      <c r="L1849" s="8"/>
      <c r="M1849" s="8"/>
      <c r="N1849" s="8"/>
      <c r="O1849" s="8"/>
      <c r="P1849" s="8"/>
      <c r="Q1849" s="8"/>
      <c r="R1849" s="8"/>
      <c r="S1849" s="8"/>
      <c r="T1849" s="8"/>
      <c r="U1849" s="8"/>
    </row>
    <row r="1850" spans="10:21">
      <c r="J1850" s="8"/>
      <c r="K1850" s="8"/>
      <c r="L1850" s="8"/>
      <c r="M1850" s="8"/>
      <c r="N1850" s="8"/>
      <c r="O1850" s="8"/>
      <c r="P1850" s="8"/>
      <c r="Q1850" s="8"/>
      <c r="R1850" s="8"/>
      <c r="S1850" s="8"/>
      <c r="T1850" s="8"/>
      <c r="U1850" s="8"/>
    </row>
    <row r="1851" spans="10:21">
      <c r="J1851" s="8"/>
      <c r="K1851" s="8"/>
      <c r="L1851" s="8"/>
      <c r="M1851" s="8"/>
      <c r="N1851" s="8"/>
      <c r="O1851" s="8"/>
      <c r="P1851" s="8"/>
      <c r="Q1851" s="8"/>
      <c r="R1851" s="8"/>
      <c r="S1851" s="8"/>
      <c r="T1851" s="8"/>
      <c r="U1851" s="8"/>
    </row>
    <row r="1852" spans="10:21">
      <c r="J1852" s="8"/>
      <c r="K1852" s="8"/>
      <c r="L1852" s="8"/>
      <c r="M1852" s="8"/>
      <c r="N1852" s="8"/>
      <c r="O1852" s="8"/>
      <c r="P1852" s="8"/>
      <c r="Q1852" s="8"/>
      <c r="R1852" s="8"/>
      <c r="S1852" s="8"/>
      <c r="T1852" s="8"/>
      <c r="U1852" s="8"/>
    </row>
    <row r="1853" spans="10:21">
      <c r="J1853" s="8"/>
      <c r="K1853" s="8"/>
      <c r="L1853" s="8"/>
      <c r="M1853" s="8"/>
      <c r="N1853" s="8"/>
      <c r="O1853" s="8"/>
      <c r="P1853" s="8"/>
      <c r="Q1853" s="8"/>
      <c r="R1853" s="8"/>
      <c r="S1853" s="8"/>
      <c r="T1853" s="8"/>
      <c r="U1853" s="8"/>
    </row>
    <row r="1854" spans="10:21">
      <c r="J1854" s="8"/>
      <c r="K1854" s="8"/>
      <c r="L1854" s="8"/>
      <c r="M1854" s="8"/>
      <c r="N1854" s="8"/>
      <c r="O1854" s="8"/>
      <c r="P1854" s="8"/>
      <c r="Q1854" s="8"/>
      <c r="R1854" s="8"/>
      <c r="S1854" s="8"/>
      <c r="T1854" s="8"/>
      <c r="U1854" s="8"/>
    </row>
    <row r="1855" spans="10:21">
      <c r="J1855" s="8"/>
      <c r="K1855" s="8"/>
      <c r="L1855" s="8"/>
      <c r="M1855" s="8"/>
      <c r="N1855" s="8"/>
      <c r="O1855" s="8"/>
      <c r="P1855" s="8"/>
      <c r="Q1855" s="8"/>
      <c r="R1855" s="8"/>
      <c r="S1855" s="8"/>
      <c r="T1855" s="8"/>
      <c r="U1855" s="8"/>
    </row>
    <row r="1856" spans="10:21">
      <c r="J1856" s="8"/>
      <c r="K1856" s="8"/>
      <c r="L1856" s="8"/>
      <c r="M1856" s="8"/>
      <c r="N1856" s="8"/>
      <c r="O1856" s="8"/>
      <c r="P1856" s="8"/>
      <c r="Q1856" s="8"/>
      <c r="R1856" s="8"/>
      <c r="S1856" s="8"/>
      <c r="T1856" s="8"/>
      <c r="U1856" s="8"/>
    </row>
    <row r="1857" spans="10:21">
      <c r="J1857" s="8"/>
      <c r="K1857" s="8"/>
      <c r="L1857" s="8"/>
      <c r="M1857" s="8"/>
      <c r="N1857" s="8"/>
      <c r="O1857" s="8"/>
      <c r="P1857" s="8"/>
      <c r="Q1857" s="8"/>
      <c r="R1857" s="8"/>
      <c r="S1857" s="8"/>
      <c r="T1857" s="8"/>
      <c r="U1857" s="8"/>
    </row>
    <row r="1858" spans="10:21">
      <c r="J1858" s="8"/>
      <c r="K1858" s="8"/>
      <c r="L1858" s="8"/>
      <c r="M1858" s="8"/>
      <c r="N1858" s="8"/>
      <c r="O1858" s="8"/>
      <c r="P1858" s="8"/>
      <c r="Q1858" s="8"/>
      <c r="R1858" s="8"/>
      <c r="S1858" s="8"/>
      <c r="T1858" s="8"/>
      <c r="U1858" s="8"/>
    </row>
    <row r="1859" spans="10:21">
      <c r="J1859" s="8"/>
      <c r="K1859" s="8"/>
      <c r="L1859" s="8"/>
      <c r="M1859" s="8"/>
      <c r="N1859" s="8"/>
      <c r="O1859" s="8"/>
      <c r="P1859" s="8"/>
      <c r="Q1859" s="8"/>
      <c r="R1859" s="8"/>
      <c r="S1859" s="8"/>
      <c r="T1859" s="8"/>
      <c r="U1859" s="8"/>
    </row>
    <row r="1860" spans="10:21">
      <c r="J1860" s="8"/>
      <c r="K1860" s="8"/>
      <c r="L1860" s="8"/>
      <c r="M1860" s="8"/>
      <c r="N1860" s="8"/>
      <c r="O1860" s="8"/>
      <c r="P1860" s="8"/>
      <c r="Q1860" s="8"/>
      <c r="R1860" s="8"/>
      <c r="S1860" s="8"/>
      <c r="T1860" s="8"/>
      <c r="U1860" s="8"/>
    </row>
    <row r="1861" spans="10:21">
      <c r="J1861" s="8"/>
      <c r="K1861" s="8"/>
      <c r="L1861" s="8"/>
      <c r="M1861" s="8"/>
      <c r="N1861" s="8"/>
      <c r="O1861" s="8"/>
      <c r="P1861" s="8"/>
      <c r="Q1861" s="8"/>
      <c r="R1861" s="8"/>
      <c r="S1861" s="8"/>
      <c r="T1861" s="8"/>
      <c r="U1861" s="8"/>
    </row>
    <row r="1862" spans="10:21">
      <c r="J1862" s="8"/>
      <c r="K1862" s="8"/>
      <c r="L1862" s="8"/>
      <c r="M1862" s="8"/>
      <c r="N1862" s="8"/>
      <c r="O1862" s="8"/>
      <c r="P1862" s="8"/>
      <c r="Q1862" s="8"/>
      <c r="R1862" s="8"/>
      <c r="S1862" s="8"/>
      <c r="T1862" s="8"/>
      <c r="U1862" s="8"/>
    </row>
    <row r="1863" spans="10:21">
      <c r="J1863" s="8"/>
      <c r="K1863" s="8"/>
      <c r="L1863" s="8"/>
      <c r="M1863" s="8"/>
      <c r="N1863" s="8"/>
      <c r="O1863" s="8"/>
      <c r="P1863" s="8"/>
      <c r="Q1863" s="8"/>
      <c r="R1863" s="8"/>
      <c r="S1863" s="8"/>
      <c r="T1863" s="8"/>
      <c r="U1863" s="8"/>
    </row>
    <row r="1864" spans="10:21">
      <c r="J1864" s="8"/>
      <c r="K1864" s="8"/>
      <c r="L1864" s="8"/>
      <c r="M1864" s="8"/>
      <c r="N1864" s="8"/>
      <c r="O1864" s="8"/>
      <c r="P1864" s="8"/>
      <c r="Q1864" s="8"/>
      <c r="R1864" s="8"/>
      <c r="S1864" s="8"/>
      <c r="T1864" s="8"/>
      <c r="U1864" s="8"/>
    </row>
    <row r="1865" spans="10:21">
      <c r="J1865" s="8"/>
      <c r="K1865" s="8"/>
      <c r="L1865" s="8"/>
      <c r="M1865" s="8"/>
      <c r="N1865" s="8"/>
      <c r="O1865" s="8"/>
      <c r="P1865" s="8"/>
      <c r="Q1865" s="8"/>
      <c r="R1865" s="8"/>
      <c r="S1865" s="8"/>
      <c r="T1865" s="8"/>
      <c r="U1865" s="8"/>
    </row>
    <row r="1866" spans="10:21">
      <c r="J1866" s="8"/>
      <c r="K1866" s="8"/>
      <c r="L1866" s="8"/>
      <c r="M1866" s="8"/>
      <c r="N1866" s="8"/>
      <c r="O1866" s="8"/>
      <c r="P1866" s="8"/>
      <c r="Q1866" s="8"/>
      <c r="R1866" s="8"/>
      <c r="S1866" s="8"/>
      <c r="T1866" s="8"/>
      <c r="U1866" s="8"/>
    </row>
    <row r="1867" spans="10:21">
      <c r="J1867" s="8"/>
      <c r="K1867" s="8"/>
      <c r="L1867" s="8"/>
      <c r="M1867" s="8"/>
      <c r="N1867" s="8"/>
      <c r="O1867" s="8"/>
      <c r="P1867" s="8"/>
      <c r="Q1867" s="8"/>
      <c r="R1867" s="8"/>
      <c r="S1867" s="8"/>
      <c r="T1867" s="8"/>
      <c r="U1867" s="8"/>
    </row>
    <row r="1868" spans="10:21">
      <c r="J1868" s="8"/>
      <c r="K1868" s="8"/>
      <c r="L1868" s="8"/>
      <c r="M1868" s="8"/>
      <c r="N1868" s="8"/>
      <c r="O1868" s="8"/>
      <c r="P1868" s="8"/>
      <c r="Q1868" s="8"/>
      <c r="R1868" s="8"/>
      <c r="S1868" s="8"/>
      <c r="T1868" s="8"/>
      <c r="U1868" s="8"/>
    </row>
    <row r="1869" spans="10:21">
      <c r="J1869" s="8"/>
      <c r="K1869" s="8"/>
      <c r="L1869" s="8"/>
      <c r="M1869" s="8"/>
      <c r="N1869" s="8"/>
      <c r="O1869" s="8"/>
      <c r="P1869" s="8"/>
      <c r="Q1869" s="8"/>
      <c r="R1869" s="8"/>
      <c r="S1869" s="8"/>
      <c r="T1869" s="8"/>
      <c r="U1869" s="8"/>
    </row>
    <row r="1870" spans="10:21">
      <c r="J1870" s="8"/>
      <c r="K1870" s="8"/>
      <c r="L1870" s="8"/>
      <c r="M1870" s="8"/>
      <c r="N1870" s="8"/>
      <c r="O1870" s="8"/>
      <c r="P1870" s="8"/>
      <c r="Q1870" s="8"/>
      <c r="R1870" s="8"/>
      <c r="S1870" s="8"/>
      <c r="T1870" s="8"/>
      <c r="U1870" s="8"/>
    </row>
    <row r="1871" spans="10:21">
      <c r="J1871" s="8"/>
      <c r="K1871" s="8"/>
      <c r="L1871" s="8"/>
      <c r="M1871" s="8"/>
      <c r="N1871" s="8"/>
      <c r="O1871" s="8"/>
      <c r="P1871" s="8"/>
      <c r="Q1871" s="8"/>
      <c r="R1871" s="8"/>
      <c r="S1871" s="8"/>
      <c r="T1871" s="8"/>
      <c r="U1871" s="8"/>
    </row>
    <row r="1872" spans="10:21">
      <c r="J1872" s="8"/>
      <c r="K1872" s="8"/>
      <c r="L1872" s="8"/>
      <c r="M1872" s="8"/>
      <c r="N1872" s="8"/>
      <c r="O1872" s="8"/>
      <c r="P1872" s="8"/>
      <c r="Q1872" s="8"/>
      <c r="R1872" s="8"/>
      <c r="S1872" s="8"/>
      <c r="T1872" s="8"/>
      <c r="U1872" s="8"/>
    </row>
    <row r="1873" spans="10:21">
      <c r="J1873" s="8"/>
      <c r="K1873" s="8"/>
      <c r="L1873" s="8"/>
      <c r="M1873" s="8"/>
      <c r="N1873" s="8"/>
      <c r="O1873" s="8"/>
      <c r="P1873" s="8"/>
      <c r="Q1873" s="8"/>
      <c r="R1873" s="8"/>
      <c r="S1873" s="8"/>
      <c r="T1873" s="8"/>
      <c r="U1873" s="8"/>
    </row>
    <row r="1874" spans="10:21">
      <c r="J1874" s="8"/>
      <c r="K1874" s="8"/>
      <c r="L1874" s="8"/>
      <c r="M1874" s="8"/>
      <c r="N1874" s="8"/>
      <c r="O1874" s="8"/>
      <c r="P1874" s="8"/>
      <c r="Q1874" s="8"/>
      <c r="R1874" s="8"/>
      <c r="S1874" s="8"/>
      <c r="T1874" s="8"/>
      <c r="U1874" s="8"/>
    </row>
    <row r="1875" spans="10:21">
      <c r="J1875" s="8"/>
      <c r="K1875" s="8"/>
      <c r="L1875" s="8"/>
      <c r="M1875" s="8"/>
      <c r="N1875" s="8"/>
      <c r="O1875" s="8"/>
      <c r="P1875" s="8"/>
      <c r="Q1875" s="8"/>
      <c r="R1875" s="8"/>
      <c r="S1875" s="8"/>
      <c r="T1875" s="8"/>
      <c r="U1875" s="8"/>
    </row>
    <row r="1876" spans="10:21">
      <c r="J1876" s="8"/>
      <c r="K1876" s="8"/>
      <c r="L1876" s="8"/>
      <c r="M1876" s="8"/>
      <c r="N1876" s="8"/>
      <c r="O1876" s="8"/>
      <c r="P1876" s="8"/>
      <c r="Q1876" s="8"/>
      <c r="R1876" s="8"/>
      <c r="S1876" s="8"/>
      <c r="T1876" s="8"/>
      <c r="U1876" s="8"/>
    </row>
    <row r="1877" spans="10:21">
      <c r="J1877" s="8"/>
      <c r="K1877" s="8"/>
      <c r="L1877" s="8"/>
      <c r="M1877" s="8"/>
      <c r="N1877" s="8"/>
      <c r="O1877" s="8"/>
      <c r="P1877" s="8"/>
      <c r="Q1877" s="8"/>
      <c r="R1877" s="8"/>
      <c r="S1877" s="8"/>
      <c r="T1877" s="8"/>
      <c r="U1877" s="8"/>
    </row>
    <row r="1878" spans="10:21">
      <c r="J1878" s="8"/>
      <c r="K1878" s="8"/>
      <c r="L1878" s="8"/>
      <c r="M1878" s="8"/>
      <c r="N1878" s="8"/>
      <c r="O1878" s="8"/>
      <c r="P1878" s="8"/>
      <c r="Q1878" s="8"/>
      <c r="R1878" s="8"/>
      <c r="S1878" s="8"/>
      <c r="T1878" s="8"/>
      <c r="U1878" s="8"/>
    </row>
    <row r="1879" spans="10:21">
      <c r="J1879" s="8"/>
      <c r="K1879" s="8"/>
      <c r="L1879" s="8"/>
      <c r="M1879" s="8"/>
      <c r="N1879" s="8"/>
      <c r="O1879" s="8"/>
      <c r="P1879" s="8"/>
      <c r="Q1879" s="8"/>
      <c r="R1879" s="8"/>
      <c r="S1879" s="8"/>
      <c r="T1879" s="8"/>
      <c r="U1879" s="8"/>
    </row>
    <row r="1880" spans="10:21">
      <c r="J1880" s="8"/>
      <c r="K1880" s="8"/>
      <c r="L1880" s="8"/>
      <c r="M1880" s="8"/>
      <c r="N1880" s="8"/>
      <c r="O1880" s="8"/>
      <c r="P1880" s="8"/>
      <c r="Q1880" s="8"/>
      <c r="R1880" s="8"/>
      <c r="S1880" s="8"/>
      <c r="T1880" s="8"/>
      <c r="U1880" s="8"/>
    </row>
    <row r="1881" spans="10:21">
      <c r="J1881" s="8"/>
      <c r="K1881" s="8"/>
      <c r="L1881" s="8"/>
      <c r="M1881" s="8"/>
      <c r="N1881" s="8"/>
      <c r="O1881" s="8"/>
      <c r="P1881" s="8"/>
      <c r="Q1881" s="8"/>
      <c r="R1881" s="8"/>
      <c r="S1881" s="8"/>
      <c r="T1881" s="8"/>
      <c r="U1881" s="8"/>
    </row>
    <row r="1882" spans="10:21">
      <c r="J1882" s="8"/>
      <c r="K1882" s="8"/>
      <c r="L1882" s="8"/>
      <c r="M1882" s="8"/>
      <c r="N1882" s="8"/>
      <c r="O1882" s="8"/>
      <c r="P1882" s="8"/>
      <c r="Q1882" s="8"/>
      <c r="R1882" s="8"/>
      <c r="S1882" s="8"/>
      <c r="T1882" s="8"/>
      <c r="U1882" s="8"/>
    </row>
    <row r="1883" spans="10:21">
      <c r="J1883" s="8"/>
      <c r="K1883" s="8"/>
      <c r="L1883" s="8"/>
      <c r="M1883" s="8"/>
      <c r="N1883" s="8"/>
      <c r="O1883" s="8"/>
      <c r="P1883" s="8"/>
      <c r="Q1883" s="8"/>
      <c r="R1883" s="8"/>
      <c r="S1883" s="8"/>
      <c r="T1883" s="8"/>
      <c r="U1883" s="8"/>
    </row>
    <row r="1884" spans="10:21">
      <c r="J1884" s="8"/>
      <c r="K1884" s="8"/>
      <c r="L1884" s="8"/>
      <c r="M1884" s="8"/>
      <c r="N1884" s="8"/>
      <c r="O1884" s="8"/>
      <c r="P1884" s="8"/>
      <c r="Q1884" s="8"/>
      <c r="R1884" s="8"/>
      <c r="S1884" s="8"/>
      <c r="T1884" s="8"/>
      <c r="U1884" s="8"/>
    </row>
    <row r="1885" spans="10:21">
      <c r="J1885" s="8"/>
      <c r="K1885" s="8"/>
      <c r="L1885" s="8"/>
      <c r="M1885" s="8"/>
      <c r="N1885" s="8"/>
      <c r="O1885" s="8"/>
      <c r="P1885" s="8"/>
      <c r="Q1885" s="8"/>
      <c r="R1885" s="8"/>
      <c r="S1885" s="8"/>
      <c r="T1885" s="8"/>
      <c r="U1885" s="8"/>
    </row>
    <row r="1886" spans="10:21">
      <c r="J1886" s="8"/>
      <c r="K1886" s="8"/>
      <c r="L1886" s="8"/>
      <c r="M1886" s="8"/>
      <c r="N1886" s="8"/>
      <c r="O1886" s="8"/>
      <c r="P1886" s="8"/>
      <c r="Q1886" s="8"/>
      <c r="R1886" s="8"/>
      <c r="S1886" s="8"/>
      <c r="T1886" s="8"/>
      <c r="U1886" s="8"/>
    </row>
    <row r="1887" spans="10:21">
      <c r="J1887" s="8"/>
      <c r="K1887" s="8"/>
      <c r="L1887" s="8"/>
      <c r="M1887" s="8"/>
      <c r="N1887" s="8"/>
      <c r="O1887" s="8"/>
      <c r="P1887" s="8"/>
      <c r="Q1887" s="8"/>
      <c r="R1887" s="8"/>
      <c r="S1887" s="8"/>
      <c r="T1887" s="8"/>
      <c r="U1887" s="8"/>
    </row>
    <row r="1888" spans="10:21">
      <c r="J1888" s="8"/>
      <c r="K1888" s="8"/>
      <c r="L1888" s="8"/>
      <c r="M1888" s="8"/>
      <c r="N1888" s="8"/>
      <c r="O1888" s="8"/>
      <c r="P1888" s="8"/>
      <c r="Q1888" s="8"/>
      <c r="R1888" s="8"/>
      <c r="S1888" s="8"/>
      <c r="T1888" s="8"/>
      <c r="U1888" s="8"/>
    </row>
    <row r="1889" spans="10:21">
      <c r="J1889" s="8"/>
      <c r="K1889" s="8"/>
      <c r="L1889" s="8"/>
      <c r="M1889" s="8"/>
      <c r="N1889" s="8"/>
      <c r="O1889" s="8"/>
      <c r="P1889" s="8"/>
      <c r="Q1889" s="8"/>
      <c r="R1889" s="8"/>
      <c r="S1889" s="8"/>
      <c r="T1889" s="8"/>
      <c r="U1889" s="8"/>
    </row>
    <row r="1890" spans="10:21">
      <c r="J1890" s="8"/>
      <c r="K1890" s="8"/>
      <c r="L1890" s="8"/>
      <c r="M1890" s="8"/>
      <c r="N1890" s="8"/>
      <c r="O1890" s="8"/>
      <c r="P1890" s="8"/>
      <c r="Q1890" s="8"/>
      <c r="R1890" s="8"/>
      <c r="S1890" s="8"/>
      <c r="T1890" s="8"/>
      <c r="U1890" s="8"/>
    </row>
    <row r="1891" spans="10:21">
      <c r="J1891" s="8"/>
      <c r="K1891" s="8"/>
      <c r="L1891" s="8"/>
      <c r="M1891" s="8"/>
      <c r="N1891" s="8"/>
      <c r="O1891" s="8"/>
      <c r="P1891" s="8"/>
      <c r="Q1891" s="8"/>
      <c r="R1891" s="8"/>
      <c r="S1891" s="8"/>
      <c r="T1891" s="8"/>
      <c r="U1891" s="8"/>
    </row>
    <row r="1892" spans="10:21">
      <c r="J1892" s="8"/>
      <c r="K1892" s="8"/>
      <c r="L1892" s="8"/>
      <c r="M1892" s="8"/>
      <c r="N1892" s="8"/>
      <c r="O1892" s="8"/>
      <c r="P1892" s="8"/>
      <c r="Q1892" s="8"/>
      <c r="R1892" s="8"/>
      <c r="S1892" s="8"/>
      <c r="T1892" s="8"/>
      <c r="U1892" s="8"/>
    </row>
    <row r="1893" spans="10:21">
      <c r="J1893" s="8"/>
      <c r="K1893" s="8"/>
      <c r="L1893" s="8"/>
      <c r="M1893" s="8"/>
      <c r="N1893" s="8"/>
      <c r="O1893" s="8"/>
      <c r="P1893" s="8"/>
      <c r="Q1893" s="8"/>
      <c r="R1893" s="8"/>
      <c r="S1893" s="8"/>
      <c r="T1893" s="8"/>
      <c r="U1893" s="8"/>
    </row>
    <row r="1894" spans="10:21">
      <c r="J1894" s="8"/>
      <c r="K1894" s="8"/>
      <c r="L1894" s="8"/>
      <c r="M1894" s="8"/>
      <c r="N1894" s="8"/>
      <c r="O1894" s="8"/>
      <c r="P1894" s="8"/>
      <c r="Q1894" s="8"/>
      <c r="R1894" s="8"/>
      <c r="S1894" s="8"/>
      <c r="T1894" s="8"/>
      <c r="U1894" s="8"/>
    </row>
    <row r="1895" spans="10:21">
      <c r="J1895" s="8"/>
      <c r="K1895" s="8"/>
      <c r="L1895" s="8"/>
      <c r="M1895" s="8"/>
      <c r="N1895" s="8"/>
      <c r="O1895" s="8"/>
      <c r="P1895" s="8"/>
      <c r="Q1895" s="8"/>
      <c r="R1895" s="8"/>
      <c r="S1895" s="8"/>
      <c r="T1895" s="8"/>
      <c r="U1895" s="8"/>
    </row>
    <row r="1896" spans="10:21">
      <c r="J1896" s="8"/>
      <c r="K1896" s="8"/>
      <c r="L1896" s="8"/>
      <c r="M1896" s="8"/>
      <c r="N1896" s="8"/>
      <c r="O1896" s="8"/>
      <c r="P1896" s="8"/>
      <c r="Q1896" s="8"/>
      <c r="R1896" s="8"/>
      <c r="S1896" s="8"/>
      <c r="T1896" s="8"/>
      <c r="U1896" s="8"/>
    </row>
    <row r="1897" spans="10:21">
      <c r="J1897" s="8"/>
      <c r="K1897" s="8"/>
      <c r="L1897" s="8"/>
      <c r="M1897" s="8"/>
      <c r="N1897" s="8"/>
      <c r="O1897" s="8"/>
      <c r="P1897" s="8"/>
      <c r="Q1897" s="8"/>
      <c r="R1897" s="8"/>
      <c r="S1897" s="8"/>
      <c r="T1897" s="8"/>
      <c r="U1897" s="8"/>
    </row>
    <row r="1898" spans="10:21">
      <c r="J1898" s="8"/>
      <c r="K1898" s="8"/>
      <c r="L1898" s="8"/>
      <c r="M1898" s="8"/>
      <c r="N1898" s="8"/>
      <c r="O1898" s="8"/>
      <c r="P1898" s="8"/>
      <c r="Q1898" s="8"/>
      <c r="R1898" s="8"/>
      <c r="S1898" s="8"/>
      <c r="T1898" s="8"/>
      <c r="U1898" s="8"/>
    </row>
    <row r="1899" spans="10:21">
      <c r="J1899" s="8"/>
      <c r="K1899" s="8"/>
      <c r="L1899" s="8"/>
      <c r="M1899" s="8"/>
      <c r="N1899" s="8"/>
      <c r="O1899" s="8"/>
      <c r="P1899" s="8"/>
      <c r="Q1899" s="8"/>
      <c r="R1899" s="8"/>
      <c r="S1899" s="8"/>
      <c r="T1899" s="8"/>
      <c r="U1899" s="8"/>
    </row>
    <row r="1900" spans="10:21">
      <c r="J1900" s="8"/>
      <c r="K1900" s="8"/>
      <c r="L1900" s="8"/>
      <c r="M1900" s="8"/>
      <c r="N1900" s="8"/>
      <c r="O1900" s="8"/>
      <c r="P1900" s="8"/>
      <c r="Q1900" s="8"/>
      <c r="R1900" s="8"/>
      <c r="S1900" s="8"/>
      <c r="T1900" s="8"/>
      <c r="U1900" s="8"/>
    </row>
    <row r="1901" spans="10:21">
      <c r="J1901" s="8"/>
      <c r="K1901" s="8"/>
      <c r="L1901" s="8"/>
      <c r="M1901" s="8"/>
      <c r="N1901" s="8"/>
      <c r="O1901" s="8"/>
      <c r="P1901" s="8"/>
      <c r="Q1901" s="8"/>
      <c r="R1901" s="8"/>
      <c r="S1901" s="8"/>
      <c r="T1901" s="8"/>
      <c r="U1901" s="8"/>
    </row>
    <row r="1902" spans="10:21">
      <c r="J1902" s="8"/>
      <c r="K1902" s="8"/>
      <c r="L1902" s="8"/>
      <c r="M1902" s="8"/>
      <c r="N1902" s="8"/>
      <c r="O1902" s="8"/>
      <c r="P1902" s="8"/>
      <c r="Q1902" s="8"/>
      <c r="R1902" s="8"/>
      <c r="S1902" s="8"/>
      <c r="T1902" s="8"/>
      <c r="U1902" s="8"/>
    </row>
    <row r="1903" spans="10:21">
      <c r="J1903" s="8"/>
      <c r="K1903" s="8"/>
      <c r="L1903" s="8"/>
      <c r="M1903" s="8"/>
      <c r="N1903" s="8"/>
      <c r="O1903" s="8"/>
      <c r="P1903" s="8"/>
      <c r="Q1903" s="8"/>
      <c r="R1903" s="8"/>
      <c r="S1903" s="8"/>
      <c r="T1903" s="8"/>
      <c r="U1903" s="8"/>
    </row>
    <row r="1904" spans="10:21">
      <c r="J1904" s="8"/>
      <c r="K1904" s="8"/>
      <c r="L1904" s="8"/>
      <c r="M1904" s="8"/>
      <c r="N1904" s="8"/>
      <c r="O1904" s="8"/>
      <c r="P1904" s="8"/>
      <c r="Q1904" s="8"/>
      <c r="R1904" s="8"/>
      <c r="S1904" s="8"/>
      <c r="T1904" s="8"/>
      <c r="U1904" s="8"/>
    </row>
    <row r="1905" spans="10:21">
      <c r="J1905" s="8"/>
      <c r="K1905" s="8"/>
      <c r="L1905" s="8"/>
      <c r="M1905" s="8"/>
      <c r="N1905" s="8"/>
      <c r="O1905" s="8"/>
      <c r="P1905" s="8"/>
      <c r="Q1905" s="8"/>
      <c r="R1905" s="8"/>
      <c r="S1905" s="8"/>
      <c r="T1905" s="8"/>
      <c r="U1905" s="8"/>
    </row>
    <row r="1906" spans="10:21">
      <c r="J1906" s="8"/>
      <c r="K1906" s="8"/>
      <c r="L1906" s="8"/>
      <c r="M1906" s="8"/>
      <c r="N1906" s="8"/>
      <c r="O1906" s="8"/>
      <c r="P1906" s="8"/>
      <c r="Q1906" s="8"/>
      <c r="R1906" s="8"/>
      <c r="S1906" s="8"/>
      <c r="T1906" s="8"/>
      <c r="U1906" s="8"/>
    </row>
    <row r="1907" spans="10:21">
      <c r="J1907" s="8"/>
      <c r="K1907" s="8"/>
      <c r="L1907" s="8"/>
      <c r="M1907" s="8"/>
      <c r="N1907" s="8"/>
      <c r="O1907" s="8"/>
      <c r="P1907" s="8"/>
      <c r="Q1907" s="8"/>
      <c r="R1907" s="8"/>
      <c r="S1907" s="8"/>
      <c r="T1907" s="8"/>
      <c r="U1907" s="8"/>
    </row>
    <row r="1908" spans="10:21">
      <c r="J1908" s="8"/>
      <c r="K1908" s="8"/>
      <c r="L1908" s="8"/>
      <c r="M1908" s="8"/>
      <c r="N1908" s="8"/>
      <c r="O1908" s="8"/>
      <c r="P1908" s="8"/>
      <c r="Q1908" s="8"/>
      <c r="R1908" s="8"/>
      <c r="S1908" s="8"/>
      <c r="T1908" s="8"/>
      <c r="U1908" s="8"/>
    </row>
    <row r="1909" spans="10:21">
      <c r="J1909" s="8"/>
      <c r="K1909" s="8"/>
      <c r="L1909" s="8"/>
      <c r="M1909" s="8"/>
      <c r="N1909" s="8"/>
      <c r="O1909" s="8"/>
      <c r="P1909" s="8"/>
      <c r="Q1909" s="8"/>
      <c r="R1909" s="8"/>
      <c r="S1909" s="8"/>
      <c r="T1909" s="8"/>
      <c r="U1909" s="8"/>
    </row>
    <row r="1910" spans="10:21">
      <c r="J1910" s="8"/>
      <c r="K1910" s="8"/>
      <c r="L1910" s="8"/>
      <c r="M1910" s="8"/>
      <c r="N1910" s="8"/>
      <c r="O1910" s="8"/>
      <c r="P1910" s="8"/>
      <c r="Q1910" s="8"/>
      <c r="R1910" s="8"/>
      <c r="S1910" s="8"/>
      <c r="T1910" s="8"/>
      <c r="U1910" s="8"/>
    </row>
    <row r="1911" spans="10:21">
      <c r="J1911" s="8"/>
      <c r="K1911" s="8"/>
      <c r="L1911" s="8"/>
      <c r="M1911" s="8"/>
      <c r="N1911" s="8"/>
      <c r="O1911" s="8"/>
      <c r="P1911" s="8"/>
      <c r="Q1911" s="8"/>
      <c r="R1911" s="8"/>
      <c r="S1911" s="8"/>
      <c r="T1911" s="8"/>
      <c r="U1911" s="8"/>
    </row>
    <row r="1912" spans="10:21">
      <c r="J1912" s="8"/>
      <c r="K1912" s="8"/>
      <c r="L1912" s="8"/>
      <c r="M1912" s="8"/>
      <c r="N1912" s="8"/>
      <c r="O1912" s="8"/>
      <c r="P1912" s="8"/>
      <c r="Q1912" s="8"/>
      <c r="R1912" s="8"/>
      <c r="S1912" s="8"/>
      <c r="T1912" s="8"/>
      <c r="U1912" s="8"/>
    </row>
    <row r="1913" spans="10:21">
      <c r="J1913" s="8"/>
      <c r="K1913" s="8"/>
      <c r="L1913" s="8"/>
      <c r="M1913" s="8"/>
      <c r="N1913" s="8"/>
      <c r="O1913" s="8"/>
      <c r="P1913" s="8"/>
      <c r="Q1913" s="8"/>
      <c r="R1913" s="8"/>
      <c r="S1913" s="8"/>
      <c r="T1913" s="8"/>
      <c r="U1913" s="8"/>
    </row>
    <row r="1914" spans="10:21">
      <c r="J1914" s="8"/>
      <c r="K1914" s="8"/>
      <c r="L1914" s="8"/>
      <c r="M1914" s="8"/>
      <c r="N1914" s="8"/>
      <c r="O1914" s="8"/>
      <c r="P1914" s="8"/>
      <c r="Q1914" s="8"/>
      <c r="R1914" s="8"/>
      <c r="S1914" s="8"/>
      <c r="T1914" s="8"/>
      <c r="U1914" s="8"/>
    </row>
    <row r="1915" spans="10:21">
      <c r="J1915" s="8"/>
      <c r="K1915" s="8"/>
      <c r="L1915" s="8"/>
      <c r="M1915" s="8"/>
      <c r="N1915" s="8"/>
      <c r="O1915" s="8"/>
      <c r="P1915" s="8"/>
      <c r="Q1915" s="8"/>
      <c r="R1915" s="8"/>
      <c r="S1915" s="8"/>
      <c r="T1915" s="8"/>
      <c r="U1915" s="8"/>
    </row>
    <row r="1916" spans="10:21">
      <c r="J1916" s="8"/>
      <c r="K1916" s="8"/>
      <c r="L1916" s="8"/>
      <c r="M1916" s="8"/>
      <c r="N1916" s="8"/>
      <c r="O1916" s="8"/>
      <c r="P1916" s="8"/>
      <c r="Q1916" s="8"/>
      <c r="R1916" s="8"/>
      <c r="S1916" s="8"/>
      <c r="T1916" s="8"/>
      <c r="U1916" s="8"/>
    </row>
    <row r="1917" spans="10:21">
      <c r="J1917" s="8"/>
      <c r="K1917" s="8"/>
      <c r="L1917" s="8"/>
      <c r="M1917" s="8"/>
      <c r="N1917" s="8"/>
      <c r="O1917" s="8"/>
      <c r="P1917" s="8"/>
      <c r="Q1917" s="8"/>
      <c r="R1917" s="8"/>
      <c r="S1917" s="8"/>
      <c r="T1917" s="8"/>
      <c r="U1917" s="8"/>
    </row>
    <row r="1918" spans="10:21">
      <c r="J1918" s="8"/>
      <c r="K1918" s="8"/>
      <c r="L1918" s="8"/>
      <c r="M1918" s="8"/>
      <c r="N1918" s="8"/>
      <c r="O1918" s="8"/>
      <c r="P1918" s="8"/>
      <c r="Q1918" s="8"/>
      <c r="R1918" s="8"/>
      <c r="S1918" s="8"/>
      <c r="T1918" s="8"/>
      <c r="U1918" s="8"/>
    </row>
    <row r="1919" spans="10:21">
      <c r="J1919" s="8"/>
      <c r="K1919" s="8"/>
      <c r="L1919" s="8"/>
      <c r="M1919" s="8"/>
      <c r="N1919" s="8"/>
      <c r="O1919" s="8"/>
      <c r="P1919" s="8"/>
      <c r="Q1919" s="8"/>
      <c r="R1919" s="8"/>
      <c r="S1919" s="8"/>
      <c r="T1919" s="8"/>
      <c r="U1919" s="8"/>
    </row>
    <row r="1920" spans="10:21">
      <c r="J1920" s="8"/>
      <c r="K1920" s="8"/>
      <c r="L1920" s="8"/>
      <c r="M1920" s="8"/>
      <c r="N1920" s="8"/>
      <c r="O1920" s="8"/>
      <c r="P1920" s="8"/>
      <c r="Q1920" s="8"/>
      <c r="R1920" s="8"/>
      <c r="S1920" s="8"/>
      <c r="T1920" s="8"/>
      <c r="U1920" s="8"/>
    </row>
    <row r="1921" spans="10:21">
      <c r="J1921" s="8"/>
      <c r="K1921" s="8"/>
      <c r="L1921" s="8"/>
      <c r="M1921" s="8"/>
      <c r="N1921" s="8"/>
      <c r="O1921" s="8"/>
      <c r="P1921" s="8"/>
      <c r="Q1921" s="8"/>
      <c r="R1921" s="8"/>
      <c r="S1921" s="8"/>
      <c r="T1921" s="8"/>
      <c r="U1921" s="8"/>
    </row>
    <row r="1922" spans="10:21">
      <c r="J1922" s="8"/>
      <c r="K1922" s="8"/>
      <c r="L1922" s="8"/>
      <c r="M1922" s="8"/>
      <c r="N1922" s="8"/>
      <c r="O1922" s="8"/>
      <c r="P1922" s="8"/>
      <c r="Q1922" s="8"/>
      <c r="R1922" s="8"/>
      <c r="S1922" s="8"/>
      <c r="T1922" s="8"/>
      <c r="U1922" s="8"/>
    </row>
    <row r="1923" spans="10:21">
      <c r="J1923" s="8"/>
      <c r="K1923" s="8"/>
      <c r="L1923" s="8"/>
      <c r="M1923" s="8"/>
      <c r="N1923" s="8"/>
      <c r="O1923" s="8"/>
      <c r="P1923" s="8"/>
      <c r="Q1923" s="8"/>
      <c r="R1923" s="8"/>
      <c r="S1923" s="8"/>
      <c r="T1923" s="8"/>
      <c r="U1923" s="8"/>
    </row>
    <row r="1924" spans="10:21">
      <c r="J1924" s="8"/>
      <c r="K1924" s="8"/>
      <c r="L1924" s="8"/>
      <c r="M1924" s="8"/>
      <c r="N1924" s="8"/>
      <c r="O1924" s="8"/>
      <c r="P1924" s="8"/>
      <c r="Q1924" s="8"/>
      <c r="R1924" s="8"/>
      <c r="S1924" s="8"/>
      <c r="T1924" s="8"/>
      <c r="U1924" s="8"/>
    </row>
    <row r="1925" spans="10:21">
      <c r="J1925" s="8"/>
      <c r="K1925" s="8"/>
      <c r="L1925" s="8"/>
      <c r="M1925" s="8"/>
      <c r="N1925" s="8"/>
      <c r="O1925" s="8"/>
      <c r="P1925" s="8"/>
      <c r="Q1925" s="8"/>
      <c r="R1925" s="8"/>
      <c r="S1925" s="8"/>
      <c r="T1925" s="8"/>
      <c r="U1925" s="8"/>
    </row>
    <row r="1926" spans="10:21">
      <c r="J1926" s="8"/>
      <c r="K1926" s="8"/>
      <c r="L1926" s="8"/>
      <c r="M1926" s="8"/>
      <c r="N1926" s="8"/>
      <c r="O1926" s="8"/>
      <c r="P1926" s="8"/>
      <c r="Q1926" s="8"/>
      <c r="R1926" s="8"/>
      <c r="S1926" s="8"/>
      <c r="T1926" s="8"/>
      <c r="U1926" s="8"/>
    </row>
    <row r="1927" spans="10:21">
      <c r="J1927" s="8"/>
      <c r="K1927" s="8"/>
      <c r="L1927" s="8"/>
      <c r="M1927" s="8"/>
      <c r="N1927" s="8"/>
      <c r="O1927" s="8"/>
      <c r="P1927" s="8"/>
      <c r="Q1927" s="8"/>
      <c r="R1927" s="8"/>
      <c r="S1927" s="8"/>
      <c r="T1927" s="8"/>
      <c r="U1927" s="8"/>
    </row>
    <row r="1928" spans="10:21">
      <c r="J1928" s="8"/>
      <c r="K1928" s="8"/>
      <c r="L1928" s="8"/>
      <c r="M1928" s="8"/>
      <c r="N1928" s="8"/>
      <c r="O1928" s="8"/>
      <c r="P1928" s="8"/>
      <c r="Q1928" s="8"/>
      <c r="R1928" s="8"/>
      <c r="S1928" s="8"/>
      <c r="T1928" s="8"/>
      <c r="U1928" s="8"/>
    </row>
    <row r="1929" spans="10:21">
      <c r="J1929" s="8"/>
      <c r="K1929" s="8"/>
      <c r="L1929" s="8"/>
      <c r="M1929" s="8"/>
      <c r="N1929" s="8"/>
      <c r="O1929" s="8"/>
      <c r="P1929" s="8"/>
      <c r="Q1929" s="8"/>
      <c r="R1929" s="8"/>
      <c r="S1929" s="8"/>
      <c r="T1929" s="8"/>
      <c r="U1929" s="8"/>
    </row>
    <row r="1930" spans="10:21">
      <c r="J1930" s="8"/>
      <c r="K1930" s="8"/>
      <c r="L1930" s="8"/>
      <c r="M1930" s="8"/>
      <c r="N1930" s="8"/>
      <c r="O1930" s="8"/>
      <c r="P1930" s="8"/>
      <c r="Q1930" s="8"/>
      <c r="R1930" s="8"/>
      <c r="S1930" s="8"/>
      <c r="T1930" s="8"/>
      <c r="U1930" s="8"/>
    </row>
    <row r="1931" spans="10:21">
      <c r="J1931" s="8"/>
      <c r="K1931" s="8"/>
      <c r="L1931" s="8"/>
      <c r="M1931" s="8"/>
      <c r="N1931" s="8"/>
      <c r="O1931" s="8"/>
      <c r="P1931" s="8"/>
      <c r="Q1931" s="8"/>
      <c r="R1931" s="8"/>
      <c r="S1931" s="8"/>
      <c r="T1931" s="8"/>
      <c r="U1931" s="8"/>
    </row>
    <row r="1932" spans="10:21">
      <c r="J1932" s="8"/>
      <c r="K1932" s="8"/>
      <c r="L1932" s="8"/>
      <c r="M1932" s="8"/>
      <c r="N1932" s="8"/>
      <c r="O1932" s="8"/>
      <c r="P1932" s="8"/>
      <c r="Q1932" s="8"/>
      <c r="R1932" s="8"/>
      <c r="S1932" s="8"/>
      <c r="T1932" s="8"/>
      <c r="U1932" s="8"/>
    </row>
    <row r="1933" spans="10:21">
      <c r="J1933" s="8"/>
      <c r="K1933" s="8"/>
      <c r="L1933" s="8"/>
      <c r="M1933" s="8"/>
      <c r="N1933" s="8"/>
      <c r="O1933" s="8"/>
      <c r="P1933" s="8"/>
      <c r="Q1933" s="8"/>
      <c r="R1933" s="8"/>
      <c r="S1933" s="8"/>
      <c r="T1933" s="8"/>
      <c r="U1933" s="8"/>
    </row>
    <row r="1934" spans="10:21">
      <c r="J1934" s="8"/>
      <c r="K1934" s="8"/>
      <c r="L1934" s="8"/>
      <c r="M1934" s="8"/>
      <c r="N1934" s="8"/>
      <c r="O1934" s="8"/>
      <c r="P1934" s="8"/>
      <c r="Q1934" s="8"/>
      <c r="R1934" s="8"/>
      <c r="S1934" s="8"/>
      <c r="T1934" s="8"/>
      <c r="U1934" s="8"/>
    </row>
    <row r="1935" spans="10:21">
      <c r="J1935" s="8"/>
      <c r="K1935" s="8"/>
      <c r="L1935" s="8"/>
      <c r="M1935" s="8"/>
      <c r="N1935" s="8"/>
      <c r="O1935" s="8"/>
      <c r="P1935" s="8"/>
      <c r="Q1935" s="8"/>
      <c r="R1935" s="8"/>
      <c r="S1935" s="8"/>
      <c r="T1935" s="8"/>
      <c r="U1935" s="8"/>
    </row>
    <row r="1936" spans="10:21">
      <c r="J1936" s="8"/>
      <c r="K1936" s="8"/>
      <c r="L1936" s="8"/>
      <c r="M1936" s="8"/>
      <c r="N1936" s="8"/>
      <c r="O1936" s="8"/>
      <c r="P1936" s="8"/>
      <c r="Q1936" s="8"/>
      <c r="R1936" s="8"/>
      <c r="S1936" s="8"/>
      <c r="T1936" s="8"/>
      <c r="U1936" s="8"/>
    </row>
    <row r="1937" spans="10:21">
      <c r="J1937" s="8"/>
      <c r="K1937" s="8"/>
      <c r="L1937" s="8"/>
      <c r="M1937" s="8"/>
      <c r="N1937" s="8"/>
      <c r="O1937" s="8"/>
      <c r="P1937" s="8"/>
      <c r="Q1937" s="8"/>
      <c r="R1937" s="8"/>
      <c r="S1937" s="8"/>
      <c r="T1937" s="8"/>
      <c r="U1937" s="8"/>
    </row>
    <row r="1938" spans="10:21">
      <c r="J1938" s="8"/>
      <c r="K1938" s="8"/>
      <c r="L1938" s="8"/>
      <c r="M1938" s="8"/>
      <c r="N1938" s="8"/>
      <c r="O1938" s="8"/>
      <c r="P1938" s="8"/>
      <c r="Q1938" s="8"/>
      <c r="R1938" s="8"/>
      <c r="S1938" s="8"/>
      <c r="T1938" s="8"/>
      <c r="U1938" s="8"/>
    </row>
    <row r="1939" spans="10:21">
      <c r="J1939" s="8"/>
      <c r="K1939" s="8"/>
      <c r="L1939" s="8"/>
      <c r="M1939" s="8"/>
      <c r="N1939" s="8"/>
      <c r="O1939" s="8"/>
      <c r="P1939" s="8"/>
      <c r="Q1939" s="8"/>
      <c r="R1939" s="8"/>
      <c r="S1939" s="8"/>
      <c r="T1939" s="8"/>
      <c r="U1939" s="8"/>
    </row>
    <row r="1940" spans="10:21">
      <c r="J1940" s="8"/>
      <c r="K1940" s="8"/>
      <c r="L1940" s="8"/>
      <c r="M1940" s="8"/>
      <c r="N1940" s="8"/>
      <c r="O1940" s="8"/>
      <c r="P1940" s="8"/>
      <c r="Q1940" s="8"/>
      <c r="R1940" s="8"/>
      <c r="S1940" s="8"/>
      <c r="T1940" s="8"/>
      <c r="U1940" s="8"/>
    </row>
    <row r="1941" spans="10:21">
      <c r="J1941" s="8"/>
      <c r="K1941" s="8"/>
      <c r="L1941" s="8"/>
      <c r="M1941" s="8"/>
      <c r="N1941" s="8"/>
      <c r="O1941" s="8"/>
      <c r="P1941" s="8"/>
      <c r="Q1941" s="8"/>
      <c r="R1941" s="8"/>
      <c r="S1941" s="8"/>
      <c r="T1941" s="8"/>
      <c r="U1941" s="8"/>
    </row>
    <row r="1942" spans="10:21">
      <c r="J1942" s="8"/>
      <c r="K1942" s="8"/>
      <c r="L1942" s="8"/>
      <c r="M1942" s="8"/>
      <c r="N1942" s="8"/>
      <c r="O1942" s="8"/>
      <c r="P1942" s="8"/>
      <c r="Q1942" s="8"/>
      <c r="R1942" s="8"/>
      <c r="S1942" s="8"/>
      <c r="T1942" s="8"/>
      <c r="U1942" s="8"/>
    </row>
    <row r="1943" spans="10:21">
      <c r="J1943" s="8"/>
      <c r="K1943" s="8"/>
      <c r="L1943" s="8"/>
      <c r="M1943" s="8"/>
      <c r="N1943" s="8"/>
      <c r="O1943" s="8"/>
      <c r="P1943" s="8"/>
      <c r="Q1943" s="8"/>
      <c r="R1943" s="8"/>
      <c r="S1943" s="8"/>
      <c r="T1943" s="8"/>
      <c r="U1943" s="8"/>
    </row>
    <row r="1944" spans="10:21">
      <c r="J1944" s="8"/>
      <c r="K1944" s="8"/>
      <c r="L1944" s="8"/>
      <c r="M1944" s="8"/>
      <c r="N1944" s="8"/>
      <c r="O1944" s="8"/>
      <c r="P1944" s="8"/>
      <c r="Q1944" s="8"/>
      <c r="R1944" s="8"/>
      <c r="S1944" s="8"/>
      <c r="T1944" s="8"/>
      <c r="U1944" s="8"/>
    </row>
    <row r="1945" spans="10:21">
      <c r="J1945" s="8"/>
      <c r="K1945" s="8"/>
      <c r="L1945" s="8"/>
      <c r="M1945" s="8"/>
      <c r="N1945" s="8"/>
      <c r="O1945" s="8"/>
      <c r="P1945" s="8"/>
      <c r="Q1945" s="8"/>
      <c r="R1945" s="8"/>
      <c r="S1945" s="8"/>
      <c r="T1945" s="8"/>
      <c r="U1945" s="8"/>
    </row>
    <row r="1946" spans="10:21">
      <c r="J1946" s="8"/>
      <c r="K1946" s="8"/>
      <c r="L1946" s="8"/>
      <c r="M1946" s="8"/>
      <c r="N1946" s="8"/>
      <c r="O1946" s="8"/>
      <c r="P1946" s="8"/>
      <c r="Q1946" s="8"/>
      <c r="R1946" s="8"/>
      <c r="S1946" s="8"/>
      <c r="T1946" s="8"/>
      <c r="U1946" s="8"/>
    </row>
    <row r="1947" spans="10:21">
      <c r="J1947" s="8"/>
      <c r="K1947" s="8"/>
      <c r="L1947" s="8"/>
      <c r="M1947" s="8"/>
      <c r="N1947" s="8"/>
      <c r="O1947" s="8"/>
      <c r="P1947" s="8"/>
      <c r="Q1947" s="8"/>
      <c r="R1947" s="8"/>
      <c r="S1947" s="8"/>
      <c r="T1947" s="8"/>
      <c r="U1947" s="8"/>
    </row>
    <row r="1948" spans="10:21">
      <c r="J1948" s="8"/>
      <c r="K1948" s="8"/>
      <c r="L1948" s="8"/>
      <c r="M1948" s="8"/>
      <c r="N1948" s="8"/>
      <c r="O1948" s="8"/>
      <c r="P1948" s="8"/>
      <c r="Q1948" s="8"/>
      <c r="R1948" s="8"/>
      <c r="S1948" s="8"/>
      <c r="T1948" s="8"/>
      <c r="U1948" s="8"/>
    </row>
    <row r="1949" spans="10:21">
      <c r="J1949" s="8"/>
      <c r="K1949" s="8"/>
      <c r="L1949" s="8"/>
      <c r="M1949" s="8"/>
      <c r="N1949" s="8"/>
      <c r="O1949" s="8"/>
      <c r="P1949" s="8"/>
      <c r="Q1949" s="8"/>
      <c r="R1949" s="8"/>
      <c r="S1949" s="8"/>
      <c r="T1949" s="8"/>
      <c r="U1949" s="8"/>
    </row>
    <row r="1950" spans="10:21">
      <c r="J1950" s="8"/>
      <c r="K1950" s="8"/>
      <c r="L1950" s="8"/>
      <c r="M1950" s="8"/>
      <c r="N1950" s="8"/>
      <c r="O1950" s="8"/>
      <c r="P1950" s="8"/>
      <c r="Q1950" s="8"/>
      <c r="R1950" s="8"/>
      <c r="S1950" s="8"/>
      <c r="T1950" s="8"/>
      <c r="U1950" s="8"/>
    </row>
    <row r="1951" spans="10:21">
      <c r="J1951" s="8"/>
      <c r="K1951" s="8"/>
      <c r="L1951" s="8"/>
      <c r="M1951" s="8"/>
      <c r="N1951" s="8"/>
      <c r="O1951" s="8"/>
      <c r="P1951" s="8"/>
      <c r="Q1951" s="8"/>
      <c r="R1951" s="8"/>
      <c r="S1951" s="8"/>
      <c r="T1951" s="8"/>
      <c r="U1951" s="8"/>
    </row>
    <row r="1952" spans="10:21">
      <c r="J1952" s="8"/>
      <c r="K1952" s="8"/>
      <c r="L1952" s="8"/>
      <c r="M1952" s="8"/>
      <c r="N1952" s="8"/>
      <c r="O1952" s="8"/>
      <c r="P1952" s="8"/>
      <c r="Q1952" s="8"/>
      <c r="R1952" s="8"/>
      <c r="S1952" s="8"/>
      <c r="T1952" s="8"/>
      <c r="U1952" s="8"/>
    </row>
    <row r="1953" spans="10:21">
      <c r="J1953" s="8"/>
      <c r="K1953" s="8"/>
      <c r="L1953" s="8"/>
      <c r="M1953" s="8"/>
      <c r="N1953" s="8"/>
      <c r="O1953" s="8"/>
      <c r="P1953" s="8"/>
      <c r="Q1953" s="8"/>
      <c r="R1953" s="8"/>
      <c r="S1953" s="8"/>
      <c r="T1953" s="8"/>
      <c r="U1953" s="8"/>
    </row>
    <row r="1954" spans="10:21">
      <c r="J1954" s="8"/>
      <c r="K1954" s="8"/>
      <c r="L1954" s="8"/>
      <c r="M1954" s="8"/>
      <c r="N1954" s="8"/>
      <c r="O1954" s="8"/>
      <c r="P1954" s="8"/>
      <c r="Q1954" s="8"/>
      <c r="R1954" s="8"/>
      <c r="S1954" s="8"/>
      <c r="T1954" s="8"/>
      <c r="U1954" s="8"/>
    </row>
    <row r="1955" spans="10:21">
      <c r="J1955" s="8"/>
      <c r="K1955" s="8"/>
      <c r="L1955" s="8"/>
      <c r="M1955" s="8"/>
      <c r="N1955" s="8"/>
      <c r="O1955" s="8"/>
      <c r="P1955" s="8"/>
      <c r="Q1955" s="8"/>
      <c r="R1955" s="8"/>
      <c r="S1955" s="8"/>
      <c r="T1955" s="8"/>
      <c r="U1955" s="8"/>
    </row>
    <row r="1956" spans="10:21">
      <c r="J1956" s="8"/>
      <c r="K1956" s="8"/>
      <c r="L1956" s="8"/>
      <c r="M1956" s="8"/>
      <c r="N1956" s="8"/>
      <c r="O1956" s="8"/>
      <c r="P1956" s="8"/>
      <c r="Q1956" s="8"/>
      <c r="R1956" s="8"/>
      <c r="S1956" s="8"/>
      <c r="T1956" s="8"/>
      <c r="U1956" s="8"/>
    </row>
    <row r="1957" spans="10:21">
      <c r="J1957" s="8"/>
      <c r="K1957" s="8"/>
      <c r="L1957" s="8"/>
      <c r="M1957" s="8"/>
      <c r="N1957" s="8"/>
      <c r="O1957" s="8"/>
      <c r="P1957" s="8"/>
      <c r="Q1957" s="8"/>
      <c r="R1957" s="8"/>
      <c r="S1957" s="8"/>
      <c r="T1957" s="8"/>
      <c r="U1957" s="8"/>
    </row>
    <row r="1958" spans="10:21">
      <c r="J1958" s="8"/>
      <c r="K1958" s="8"/>
      <c r="L1958" s="8"/>
      <c r="M1958" s="8"/>
      <c r="N1958" s="8"/>
      <c r="O1958" s="8"/>
      <c r="P1958" s="8"/>
      <c r="Q1958" s="8"/>
      <c r="R1958" s="8"/>
      <c r="S1958" s="8"/>
      <c r="T1958" s="8"/>
      <c r="U1958" s="8"/>
    </row>
    <row r="1959" spans="10:21">
      <c r="J1959" s="8"/>
      <c r="K1959" s="8"/>
      <c r="L1959" s="8"/>
      <c r="M1959" s="8"/>
      <c r="N1959" s="8"/>
      <c r="O1959" s="8"/>
      <c r="P1959" s="8"/>
      <c r="Q1959" s="8"/>
      <c r="R1959" s="8"/>
      <c r="S1959" s="8"/>
      <c r="T1959" s="8"/>
      <c r="U1959" s="8"/>
    </row>
    <row r="1960" spans="10:21">
      <c r="J1960" s="8"/>
      <c r="K1960" s="8"/>
      <c r="L1960" s="8"/>
      <c r="M1960" s="8"/>
      <c r="N1960" s="8"/>
      <c r="O1960" s="8"/>
      <c r="P1960" s="8"/>
      <c r="Q1960" s="8"/>
      <c r="R1960" s="8"/>
      <c r="S1960" s="8"/>
      <c r="T1960" s="8"/>
      <c r="U1960" s="8"/>
    </row>
    <row r="1961" spans="10:21">
      <c r="J1961" s="8"/>
      <c r="K1961" s="8"/>
      <c r="L1961" s="8"/>
      <c r="M1961" s="8"/>
      <c r="N1961" s="8"/>
      <c r="O1961" s="8"/>
      <c r="P1961" s="8"/>
      <c r="Q1961" s="8"/>
      <c r="R1961" s="8"/>
      <c r="S1961" s="8"/>
      <c r="T1961" s="8"/>
      <c r="U1961" s="8"/>
    </row>
    <row r="1962" spans="10:21">
      <c r="J1962" s="8"/>
      <c r="K1962" s="8"/>
      <c r="L1962" s="8"/>
      <c r="M1962" s="8"/>
      <c r="N1962" s="8"/>
      <c r="O1962" s="8"/>
      <c r="P1962" s="8"/>
      <c r="Q1962" s="8"/>
      <c r="R1962" s="8"/>
      <c r="S1962" s="8"/>
      <c r="T1962" s="8"/>
      <c r="U1962" s="8"/>
    </row>
    <row r="1963" spans="10:21">
      <c r="J1963" s="8"/>
      <c r="K1963" s="8"/>
      <c r="L1963" s="8"/>
      <c r="M1963" s="8"/>
      <c r="N1963" s="8"/>
      <c r="O1963" s="8"/>
      <c r="P1963" s="8"/>
      <c r="Q1963" s="8"/>
      <c r="R1963" s="8"/>
      <c r="S1963" s="8"/>
      <c r="T1963" s="8"/>
      <c r="U1963" s="8"/>
    </row>
    <row r="1964" spans="10:21">
      <c r="J1964" s="8"/>
      <c r="K1964" s="8"/>
      <c r="L1964" s="8"/>
      <c r="M1964" s="8"/>
      <c r="N1964" s="8"/>
      <c r="O1964" s="8"/>
      <c r="P1964" s="8"/>
      <c r="Q1964" s="8"/>
      <c r="R1964" s="8"/>
      <c r="S1964" s="8"/>
      <c r="T1964" s="8"/>
      <c r="U1964" s="8"/>
    </row>
    <row r="1965" spans="10:21">
      <c r="J1965" s="8"/>
      <c r="K1965" s="8"/>
      <c r="L1965" s="8"/>
      <c r="M1965" s="8"/>
      <c r="N1965" s="8"/>
      <c r="O1965" s="8"/>
      <c r="P1965" s="8"/>
      <c r="Q1965" s="8"/>
      <c r="R1965" s="8"/>
      <c r="S1965" s="8"/>
      <c r="T1965" s="8"/>
      <c r="U1965" s="8"/>
    </row>
    <row r="1966" spans="10:21">
      <c r="J1966" s="8"/>
      <c r="K1966" s="8"/>
      <c r="L1966" s="8"/>
      <c r="M1966" s="8"/>
      <c r="N1966" s="8"/>
      <c r="O1966" s="8"/>
      <c r="P1966" s="8"/>
      <c r="Q1966" s="8"/>
      <c r="R1966" s="8"/>
      <c r="S1966" s="8"/>
      <c r="T1966" s="8"/>
      <c r="U1966" s="8"/>
    </row>
    <row r="1967" spans="10:21">
      <c r="J1967" s="8"/>
      <c r="K1967" s="8"/>
      <c r="L1967" s="8"/>
      <c r="M1967" s="8"/>
      <c r="N1967" s="8"/>
      <c r="O1967" s="8"/>
      <c r="P1967" s="8"/>
      <c r="Q1967" s="8"/>
      <c r="R1967" s="8"/>
      <c r="S1967" s="8"/>
      <c r="T1967" s="8"/>
      <c r="U1967" s="8"/>
    </row>
    <row r="1968" spans="10:21">
      <c r="J1968" s="8"/>
      <c r="K1968" s="8"/>
      <c r="L1968" s="8"/>
      <c r="M1968" s="8"/>
      <c r="N1968" s="8"/>
      <c r="O1968" s="8"/>
      <c r="P1968" s="8"/>
      <c r="Q1968" s="8"/>
      <c r="R1968" s="8"/>
      <c r="S1968" s="8"/>
      <c r="T1968" s="8"/>
      <c r="U1968" s="8"/>
    </row>
    <row r="1969" spans="10:21">
      <c r="J1969" s="8"/>
      <c r="K1969" s="8"/>
      <c r="L1969" s="8"/>
      <c r="M1969" s="8"/>
      <c r="N1969" s="8"/>
      <c r="O1969" s="8"/>
      <c r="P1969" s="8"/>
      <c r="Q1969" s="8"/>
      <c r="R1969" s="8"/>
      <c r="S1969" s="8"/>
      <c r="T1969" s="8"/>
      <c r="U1969" s="8"/>
    </row>
    <row r="1970" spans="10:21">
      <c r="J1970" s="8"/>
      <c r="K1970" s="8"/>
      <c r="L1970" s="8"/>
      <c r="M1970" s="8"/>
      <c r="N1970" s="8"/>
      <c r="O1970" s="8"/>
      <c r="P1970" s="8"/>
      <c r="Q1970" s="8"/>
      <c r="R1970" s="8"/>
      <c r="S1970" s="8"/>
      <c r="T1970" s="8"/>
      <c r="U1970" s="8"/>
    </row>
    <row r="1971" spans="10:21">
      <c r="J1971" s="8"/>
      <c r="K1971" s="8"/>
      <c r="L1971" s="8"/>
      <c r="M1971" s="8"/>
      <c r="N1971" s="8"/>
      <c r="O1971" s="8"/>
      <c r="P1971" s="8"/>
      <c r="Q1971" s="8"/>
      <c r="R1971" s="8"/>
      <c r="S1971" s="8"/>
      <c r="T1971" s="8"/>
      <c r="U1971" s="8"/>
    </row>
    <row r="1972" spans="10:21">
      <c r="J1972" s="8"/>
      <c r="K1972" s="8"/>
      <c r="L1972" s="8"/>
      <c r="M1972" s="8"/>
      <c r="N1972" s="8"/>
      <c r="O1972" s="8"/>
      <c r="P1972" s="8"/>
      <c r="Q1972" s="8"/>
      <c r="R1972" s="8"/>
      <c r="S1972" s="8"/>
      <c r="T1972" s="8"/>
      <c r="U1972" s="8"/>
    </row>
    <row r="1973" spans="10:21">
      <c r="J1973" s="8"/>
      <c r="K1973" s="8"/>
      <c r="L1973" s="8"/>
      <c r="M1973" s="8"/>
      <c r="N1973" s="8"/>
      <c r="O1973" s="8"/>
      <c r="P1973" s="8"/>
      <c r="Q1973" s="8"/>
      <c r="R1973" s="8"/>
      <c r="S1973" s="8"/>
      <c r="T1973" s="8"/>
      <c r="U1973" s="8"/>
    </row>
    <row r="1974" spans="10:21">
      <c r="J1974" s="8"/>
      <c r="K1974" s="8"/>
      <c r="L1974" s="8"/>
      <c r="M1974" s="8"/>
      <c r="N1974" s="8"/>
      <c r="O1974" s="8"/>
      <c r="P1974" s="8"/>
      <c r="Q1974" s="8"/>
      <c r="R1974" s="8"/>
      <c r="S1974" s="8"/>
      <c r="T1974" s="8"/>
      <c r="U1974" s="8"/>
    </row>
    <row r="1975" spans="10:21">
      <c r="J1975" s="8"/>
      <c r="K1975" s="8"/>
      <c r="L1975" s="8"/>
      <c r="M1975" s="8"/>
      <c r="N1975" s="8"/>
      <c r="O1975" s="8"/>
      <c r="P1975" s="8"/>
      <c r="Q1975" s="8"/>
      <c r="R1975" s="8"/>
      <c r="S1975" s="8"/>
      <c r="T1975" s="8"/>
      <c r="U1975" s="8"/>
    </row>
    <row r="1976" spans="10:21">
      <c r="J1976" s="8"/>
      <c r="K1976" s="8"/>
      <c r="L1976" s="8"/>
      <c r="M1976" s="8"/>
      <c r="N1976" s="8"/>
      <c r="O1976" s="8"/>
      <c r="P1976" s="8"/>
      <c r="Q1976" s="8"/>
      <c r="R1976" s="8"/>
      <c r="S1976" s="8"/>
      <c r="T1976" s="8"/>
      <c r="U1976" s="8"/>
    </row>
    <row r="1977" spans="10:21">
      <c r="J1977" s="8"/>
      <c r="K1977" s="8"/>
      <c r="L1977" s="8"/>
      <c r="M1977" s="8"/>
      <c r="N1977" s="8"/>
      <c r="O1977" s="8"/>
      <c r="P1977" s="8"/>
      <c r="Q1977" s="8"/>
      <c r="R1977" s="8"/>
      <c r="S1977" s="8"/>
      <c r="T1977" s="8"/>
      <c r="U1977" s="8"/>
    </row>
    <row r="1978" spans="10:21">
      <c r="J1978" s="8"/>
      <c r="K1978" s="8"/>
      <c r="L1978" s="8"/>
      <c r="M1978" s="8"/>
      <c r="N1978" s="8"/>
      <c r="O1978" s="8"/>
      <c r="P1978" s="8"/>
      <c r="Q1978" s="8"/>
      <c r="R1978" s="8"/>
      <c r="S1978" s="8"/>
      <c r="T1978" s="8"/>
      <c r="U1978" s="8"/>
    </row>
    <row r="1979" spans="10:21">
      <c r="J1979" s="8"/>
      <c r="K1979" s="8"/>
      <c r="L1979" s="8"/>
      <c r="M1979" s="8"/>
      <c r="N1979" s="8"/>
      <c r="O1979" s="8"/>
      <c r="P1979" s="8"/>
      <c r="Q1979" s="8"/>
      <c r="R1979" s="8"/>
      <c r="S1979" s="8"/>
      <c r="T1979" s="8"/>
      <c r="U1979" s="8"/>
    </row>
    <row r="1980" spans="10:21">
      <c r="J1980" s="8"/>
      <c r="K1980" s="8"/>
      <c r="L1980" s="8"/>
      <c r="M1980" s="8"/>
      <c r="N1980" s="8"/>
      <c r="O1980" s="8"/>
      <c r="P1980" s="8"/>
      <c r="Q1980" s="8"/>
      <c r="R1980" s="8"/>
      <c r="S1980" s="8"/>
      <c r="T1980" s="8"/>
      <c r="U1980" s="8"/>
    </row>
    <row r="1981" spans="10:21">
      <c r="J1981" s="8"/>
      <c r="K1981" s="8"/>
      <c r="L1981" s="8"/>
      <c r="M1981" s="8"/>
      <c r="N1981" s="8"/>
      <c r="O1981" s="8"/>
      <c r="P1981" s="8"/>
      <c r="Q1981" s="8"/>
      <c r="R1981" s="8"/>
      <c r="S1981" s="8"/>
      <c r="T1981" s="8"/>
      <c r="U1981" s="8"/>
    </row>
    <row r="1982" spans="10:21">
      <c r="J1982" s="8"/>
      <c r="K1982" s="8"/>
      <c r="L1982" s="8"/>
      <c r="M1982" s="8"/>
      <c r="N1982" s="8"/>
      <c r="O1982" s="8"/>
      <c r="P1982" s="8"/>
      <c r="Q1982" s="8"/>
      <c r="R1982" s="8"/>
      <c r="S1982" s="8"/>
      <c r="T1982" s="8"/>
      <c r="U1982" s="8"/>
    </row>
    <row r="1983" spans="10:21">
      <c r="J1983" s="8"/>
      <c r="K1983" s="8"/>
      <c r="L1983" s="8"/>
      <c r="M1983" s="8"/>
      <c r="N1983" s="8"/>
      <c r="O1983" s="8"/>
      <c r="P1983" s="8"/>
      <c r="Q1983" s="8"/>
      <c r="R1983" s="8"/>
      <c r="S1983" s="8"/>
      <c r="T1983" s="8"/>
      <c r="U1983" s="8"/>
    </row>
    <row r="1984" spans="10:21">
      <c r="J1984" s="8"/>
      <c r="K1984" s="8"/>
      <c r="L1984" s="8"/>
      <c r="M1984" s="8"/>
      <c r="N1984" s="8"/>
      <c r="O1984" s="8"/>
      <c r="P1984" s="8"/>
      <c r="Q1984" s="8"/>
      <c r="R1984" s="8"/>
      <c r="S1984" s="8"/>
      <c r="T1984" s="8"/>
      <c r="U1984" s="8"/>
    </row>
    <row r="1985" spans="10:21">
      <c r="J1985" s="8"/>
      <c r="K1985" s="8"/>
      <c r="L1985" s="8"/>
      <c r="M1985" s="8"/>
      <c r="N1985" s="8"/>
      <c r="O1985" s="8"/>
      <c r="P1985" s="8"/>
      <c r="Q1985" s="8"/>
      <c r="R1985" s="8"/>
      <c r="S1985" s="8"/>
      <c r="T1985" s="8"/>
      <c r="U1985" s="8"/>
    </row>
    <row r="1986" spans="10:21">
      <c r="J1986" s="8"/>
      <c r="K1986" s="8"/>
      <c r="L1986" s="8"/>
      <c r="M1986" s="8"/>
      <c r="N1986" s="8"/>
      <c r="O1986" s="8"/>
      <c r="P1986" s="8"/>
      <c r="Q1986" s="8"/>
      <c r="R1986" s="8"/>
      <c r="S1986" s="8"/>
      <c r="T1986" s="8"/>
      <c r="U1986" s="8"/>
    </row>
    <row r="1987" spans="10:21">
      <c r="J1987" s="8"/>
      <c r="K1987" s="8"/>
      <c r="L1987" s="8"/>
      <c r="M1987" s="8"/>
      <c r="N1987" s="8"/>
      <c r="O1987" s="8"/>
      <c r="P1987" s="8"/>
      <c r="Q1987" s="8"/>
      <c r="R1987" s="8"/>
      <c r="S1987" s="8"/>
      <c r="T1987" s="8"/>
      <c r="U1987" s="8"/>
    </row>
    <row r="1988" spans="10:21">
      <c r="J1988" s="8"/>
      <c r="K1988" s="8"/>
      <c r="L1988" s="8"/>
      <c r="M1988" s="8"/>
      <c r="N1988" s="8"/>
      <c r="O1988" s="8"/>
      <c r="P1988" s="8"/>
      <c r="Q1988" s="8"/>
      <c r="R1988" s="8"/>
      <c r="S1988" s="8"/>
      <c r="T1988" s="8"/>
      <c r="U1988" s="8"/>
    </row>
    <row r="1989" spans="10:21">
      <c r="J1989" s="8"/>
      <c r="K1989" s="8"/>
      <c r="L1989" s="8"/>
      <c r="M1989" s="8"/>
      <c r="N1989" s="8"/>
      <c r="O1989" s="8"/>
      <c r="P1989" s="8"/>
      <c r="Q1989" s="8"/>
      <c r="R1989" s="8"/>
      <c r="S1989" s="8"/>
      <c r="T1989" s="8"/>
      <c r="U1989" s="8"/>
    </row>
    <row r="1990" spans="10:21">
      <c r="J1990" s="8"/>
      <c r="K1990" s="8"/>
      <c r="L1990" s="8"/>
      <c r="M1990" s="8"/>
      <c r="N1990" s="8"/>
      <c r="O1990" s="8"/>
      <c r="P1990" s="8"/>
      <c r="Q1990" s="8"/>
      <c r="R1990" s="8"/>
      <c r="S1990" s="8"/>
      <c r="T1990" s="8"/>
      <c r="U1990" s="8"/>
    </row>
    <row r="1991" spans="10:21">
      <c r="J1991" s="8"/>
      <c r="K1991" s="8"/>
      <c r="L1991" s="8"/>
      <c r="M1991" s="8"/>
      <c r="N1991" s="8"/>
      <c r="O1991" s="8"/>
      <c r="P1991" s="8"/>
      <c r="Q1991" s="8"/>
      <c r="R1991" s="8"/>
      <c r="S1991" s="8"/>
      <c r="T1991" s="8"/>
      <c r="U1991" s="8"/>
    </row>
    <row r="1992" spans="10:21">
      <c r="J1992" s="8"/>
      <c r="K1992" s="8"/>
      <c r="L1992" s="8"/>
      <c r="M1992" s="8"/>
      <c r="N1992" s="8"/>
      <c r="O1992" s="8"/>
      <c r="P1992" s="8"/>
      <c r="Q1992" s="8"/>
      <c r="R1992" s="8"/>
      <c r="S1992" s="8"/>
      <c r="T1992" s="8"/>
      <c r="U1992" s="8"/>
    </row>
    <row r="1993" spans="10:21">
      <c r="J1993" s="8"/>
      <c r="K1993" s="8"/>
      <c r="L1993" s="8"/>
      <c r="M1993" s="8"/>
      <c r="N1993" s="8"/>
      <c r="O1993" s="8"/>
      <c r="P1993" s="8"/>
      <c r="Q1993" s="8"/>
      <c r="R1993" s="8"/>
      <c r="S1993" s="8"/>
      <c r="T1993" s="8"/>
      <c r="U1993" s="8"/>
    </row>
    <row r="1994" spans="10:21">
      <c r="J1994" s="8"/>
      <c r="K1994" s="8"/>
      <c r="L1994" s="8"/>
      <c r="M1994" s="8"/>
      <c r="N1994" s="8"/>
      <c r="O1994" s="8"/>
      <c r="P1994" s="8"/>
      <c r="Q1994" s="8"/>
      <c r="R1994" s="8"/>
      <c r="S1994" s="8"/>
      <c r="T1994" s="8"/>
      <c r="U1994" s="8"/>
    </row>
    <row r="1995" spans="10:21">
      <c r="J1995" s="8"/>
      <c r="K1995" s="8"/>
      <c r="L1995" s="8"/>
      <c r="M1995" s="8"/>
      <c r="N1995" s="8"/>
      <c r="O1995" s="8"/>
      <c r="P1995" s="8"/>
      <c r="Q1995" s="8"/>
      <c r="R1995" s="8"/>
      <c r="S1995" s="8"/>
      <c r="T1995" s="8"/>
      <c r="U1995" s="8"/>
    </row>
    <row r="1996" spans="10:21">
      <c r="J1996" s="8"/>
      <c r="K1996" s="8"/>
      <c r="L1996" s="8"/>
      <c r="M1996" s="8"/>
      <c r="N1996" s="8"/>
      <c r="O1996" s="8"/>
      <c r="P1996" s="8"/>
      <c r="Q1996" s="8"/>
      <c r="R1996" s="8"/>
      <c r="S1996" s="8"/>
      <c r="T1996" s="8"/>
      <c r="U1996" s="8"/>
    </row>
    <row r="1997" spans="10:21">
      <c r="J1997" s="8"/>
      <c r="K1997" s="8"/>
      <c r="L1997" s="8"/>
      <c r="M1997" s="8"/>
      <c r="N1997" s="8"/>
      <c r="O1997" s="8"/>
      <c r="P1997" s="8"/>
      <c r="Q1997" s="8"/>
      <c r="R1997" s="8"/>
      <c r="S1997" s="8"/>
      <c r="T1997" s="8"/>
      <c r="U1997" s="8"/>
    </row>
    <row r="1998" spans="10:21">
      <c r="J1998" s="8"/>
      <c r="K1998" s="8"/>
      <c r="L1998" s="8"/>
      <c r="M1998" s="8"/>
      <c r="N1998" s="8"/>
      <c r="O1998" s="8"/>
      <c r="P1998" s="8"/>
      <c r="Q1998" s="8"/>
      <c r="R1998" s="8"/>
      <c r="S1998" s="8"/>
      <c r="T1998" s="8"/>
      <c r="U1998" s="8"/>
    </row>
    <row r="1999" spans="10:21">
      <c r="J1999" s="8"/>
      <c r="K1999" s="8"/>
      <c r="L1999" s="8"/>
      <c r="M1999" s="8"/>
      <c r="N1999" s="8"/>
      <c r="O1999" s="8"/>
      <c r="P1999" s="8"/>
      <c r="Q1999" s="8"/>
      <c r="R1999" s="8"/>
      <c r="S1999" s="8"/>
      <c r="T1999" s="8"/>
      <c r="U1999" s="8"/>
    </row>
    <row r="2000" spans="10:21">
      <c r="J2000" s="8"/>
      <c r="K2000" s="8"/>
      <c r="L2000" s="8"/>
      <c r="M2000" s="8"/>
      <c r="N2000" s="8"/>
      <c r="O2000" s="8"/>
      <c r="P2000" s="8"/>
      <c r="Q2000" s="8"/>
      <c r="R2000" s="8"/>
      <c r="S2000" s="8"/>
      <c r="T2000" s="8"/>
      <c r="U2000" s="8"/>
    </row>
    <row r="2001" spans="10:21">
      <c r="J2001" s="8"/>
      <c r="K2001" s="8"/>
      <c r="L2001" s="8"/>
      <c r="M2001" s="8"/>
      <c r="N2001" s="8"/>
      <c r="O2001" s="8"/>
      <c r="P2001" s="8"/>
      <c r="Q2001" s="8"/>
      <c r="R2001" s="8"/>
      <c r="S2001" s="8"/>
      <c r="T2001" s="8"/>
      <c r="U2001" s="8"/>
    </row>
    <row r="2002" spans="10:21">
      <c r="J2002" s="8"/>
      <c r="K2002" s="8"/>
      <c r="L2002" s="8"/>
      <c r="M2002" s="8"/>
      <c r="N2002" s="8"/>
      <c r="O2002" s="8"/>
      <c r="P2002" s="8"/>
      <c r="Q2002" s="8"/>
      <c r="R2002" s="8"/>
      <c r="S2002" s="8"/>
      <c r="T2002" s="8"/>
      <c r="U2002" s="8"/>
    </row>
    <row r="2003" spans="10:21">
      <c r="J2003" s="8"/>
      <c r="K2003" s="8"/>
      <c r="L2003" s="8"/>
      <c r="M2003" s="8"/>
      <c r="N2003" s="8"/>
      <c r="O2003" s="8"/>
      <c r="P2003" s="8"/>
      <c r="Q2003" s="8"/>
      <c r="R2003" s="8"/>
      <c r="S2003" s="8"/>
      <c r="T2003" s="8"/>
      <c r="U2003" s="8"/>
    </row>
    <row r="2004" spans="10:21">
      <c r="J2004" s="8"/>
      <c r="K2004" s="8"/>
      <c r="L2004" s="8"/>
      <c r="M2004" s="8"/>
      <c r="N2004" s="8"/>
      <c r="O2004" s="8"/>
      <c r="P2004" s="8"/>
      <c r="Q2004" s="8"/>
      <c r="R2004" s="8"/>
      <c r="S2004" s="8"/>
      <c r="T2004" s="8"/>
      <c r="U2004" s="8"/>
    </row>
    <row r="2005" spans="10:21">
      <c r="J2005" s="8"/>
      <c r="K2005" s="8"/>
      <c r="L2005" s="8"/>
      <c r="M2005" s="8"/>
      <c r="N2005" s="8"/>
      <c r="O2005" s="8"/>
      <c r="P2005" s="8"/>
      <c r="Q2005" s="8"/>
      <c r="R2005" s="8"/>
      <c r="S2005" s="8"/>
      <c r="T2005" s="8"/>
      <c r="U2005" s="8"/>
    </row>
    <row r="2006" spans="10:21">
      <c r="J2006" s="8"/>
      <c r="K2006" s="8"/>
      <c r="L2006" s="8"/>
      <c r="M2006" s="8"/>
      <c r="N2006" s="8"/>
      <c r="O2006" s="8"/>
      <c r="P2006" s="8"/>
      <c r="Q2006" s="8"/>
      <c r="R2006" s="8"/>
      <c r="S2006" s="8"/>
      <c r="T2006" s="8"/>
      <c r="U2006" s="8"/>
    </row>
    <row r="2007" spans="10:21">
      <c r="J2007" s="8"/>
      <c r="K2007" s="8"/>
      <c r="L2007" s="8"/>
      <c r="M2007" s="8"/>
      <c r="N2007" s="8"/>
      <c r="O2007" s="8"/>
      <c r="P2007" s="8"/>
      <c r="Q2007" s="8"/>
      <c r="R2007" s="8"/>
      <c r="S2007" s="8"/>
      <c r="T2007" s="8"/>
      <c r="U2007" s="8"/>
    </row>
    <row r="2008" spans="10:21">
      <c r="J2008" s="8"/>
      <c r="K2008" s="8"/>
      <c r="L2008" s="8"/>
      <c r="M2008" s="8"/>
      <c r="N2008" s="8"/>
      <c r="O2008" s="8"/>
      <c r="P2008" s="8"/>
      <c r="Q2008" s="8"/>
      <c r="R2008" s="8"/>
      <c r="S2008" s="8"/>
      <c r="T2008" s="8"/>
      <c r="U2008" s="8"/>
    </row>
    <row r="2009" spans="10:21">
      <c r="J2009" s="8"/>
      <c r="K2009" s="8"/>
      <c r="L2009" s="8"/>
      <c r="M2009" s="8"/>
      <c r="N2009" s="8"/>
      <c r="O2009" s="8"/>
      <c r="P2009" s="8"/>
      <c r="Q2009" s="8"/>
      <c r="R2009" s="8"/>
      <c r="S2009" s="8"/>
      <c r="T2009" s="8"/>
      <c r="U2009" s="8"/>
    </row>
    <row r="2010" spans="10:21">
      <c r="J2010" s="8"/>
      <c r="K2010" s="8"/>
      <c r="L2010" s="8"/>
      <c r="M2010" s="8"/>
      <c r="N2010" s="8"/>
      <c r="O2010" s="8"/>
      <c r="P2010" s="8"/>
      <c r="Q2010" s="8"/>
      <c r="R2010" s="8"/>
      <c r="S2010" s="8"/>
      <c r="T2010" s="8"/>
      <c r="U2010" s="8"/>
    </row>
    <row r="2011" spans="10:21">
      <c r="J2011" s="8"/>
      <c r="K2011" s="8"/>
      <c r="L2011" s="8"/>
      <c r="M2011" s="8"/>
      <c r="N2011" s="8"/>
      <c r="O2011" s="8"/>
      <c r="P2011" s="8"/>
      <c r="Q2011" s="8"/>
      <c r="R2011" s="8"/>
      <c r="S2011" s="8"/>
      <c r="T2011" s="8"/>
      <c r="U2011" s="8"/>
    </row>
    <row r="2012" spans="10:21">
      <c r="J2012" s="8"/>
      <c r="K2012" s="8"/>
      <c r="L2012" s="8"/>
      <c r="M2012" s="8"/>
      <c r="N2012" s="8"/>
      <c r="O2012" s="8"/>
      <c r="P2012" s="8"/>
      <c r="Q2012" s="8"/>
      <c r="R2012" s="8"/>
      <c r="S2012" s="8"/>
      <c r="T2012" s="8"/>
      <c r="U2012" s="8"/>
    </row>
    <row r="2013" spans="10:21">
      <c r="J2013" s="8"/>
      <c r="K2013" s="8"/>
      <c r="L2013" s="8"/>
      <c r="M2013" s="8"/>
      <c r="N2013" s="8"/>
      <c r="O2013" s="8"/>
      <c r="P2013" s="8"/>
      <c r="Q2013" s="8"/>
      <c r="R2013" s="8"/>
      <c r="S2013" s="8"/>
      <c r="T2013" s="8"/>
      <c r="U2013" s="8"/>
    </row>
    <row r="2014" spans="10:21">
      <c r="J2014" s="8"/>
      <c r="K2014" s="8"/>
      <c r="L2014" s="8"/>
      <c r="M2014" s="8"/>
      <c r="N2014" s="8"/>
      <c r="O2014" s="8"/>
      <c r="P2014" s="8"/>
      <c r="Q2014" s="8"/>
      <c r="R2014" s="8"/>
      <c r="S2014" s="8"/>
      <c r="T2014" s="8"/>
      <c r="U2014" s="8"/>
    </row>
    <row r="2015" spans="10:21">
      <c r="J2015" s="8"/>
      <c r="K2015" s="8"/>
      <c r="L2015" s="8"/>
      <c r="M2015" s="8"/>
      <c r="N2015" s="8"/>
      <c r="O2015" s="8"/>
      <c r="P2015" s="8"/>
      <c r="Q2015" s="8"/>
      <c r="R2015" s="8"/>
      <c r="S2015" s="8"/>
      <c r="T2015" s="8"/>
      <c r="U2015" s="8"/>
    </row>
    <row r="2016" spans="10:21">
      <c r="J2016" s="8"/>
      <c r="K2016" s="8"/>
      <c r="L2016" s="8"/>
      <c r="M2016" s="8"/>
      <c r="N2016" s="8"/>
      <c r="O2016" s="8"/>
      <c r="P2016" s="8"/>
      <c r="Q2016" s="8"/>
      <c r="R2016" s="8"/>
      <c r="S2016" s="8"/>
      <c r="T2016" s="8"/>
      <c r="U2016" s="8"/>
    </row>
    <row r="2017" spans="10:21">
      <c r="J2017" s="8"/>
      <c r="K2017" s="8"/>
      <c r="L2017" s="8"/>
      <c r="M2017" s="8"/>
      <c r="N2017" s="8"/>
      <c r="O2017" s="8"/>
      <c r="P2017" s="8"/>
      <c r="Q2017" s="8"/>
      <c r="R2017" s="8"/>
      <c r="S2017" s="8"/>
      <c r="T2017" s="8"/>
      <c r="U2017" s="8"/>
    </row>
    <row r="2018" spans="10:21">
      <c r="J2018" s="8"/>
      <c r="K2018" s="8"/>
      <c r="L2018" s="8"/>
      <c r="M2018" s="8"/>
      <c r="N2018" s="8"/>
      <c r="O2018" s="8"/>
      <c r="P2018" s="8"/>
      <c r="Q2018" s="8"/>
      <c r="R2018" s="8"/>
      <c r="S2018" s="8"/>
      <c r="T2018" s="8"/>
      <c r="U2018" s="8"/>
    </row>
    <row r="2019" spans="10:21">
      <c r="J2019" s="8"/>
      <c r="K2019" s="8"/>
      <c r="L2019" s="8"/>
      <c r="M2019" s="8"/>
      <c r="N2019" s="8"/>
      <c r="O2019" s="8"/>
      <c r="P2019" s="8"/>
      <c r="Q2019" s="8"/>
      <c r="R2019" s="8"/>
      <c r="S2019" s="8"/>
      <c r="T2019" s="8"/>
      <c r="U2019" s="8"/>
    </row>
    <row r="2020" spans="10:21">
      <c r="J2020" s="8"/>
      <c r="K2020" s="8"/>
      <c r="L2020" s="8"/>
      <c r="M2020" s="8"/>
      <c r="N2020" s="8"/>
      <c r="O2020" s="8"/>
      <c r="P2020" s="8"/>
      <c r="Q2020" s="8"/>
      <c r="R2020" s="8"/>
      <c r="S2020" s="8"/>
      <c r="T2020" s="8"/>
      <c r="U2020" s="8"/>
    </row>
    <row r="2021" spans="10:21">
      <c r="J2021" s="8"/>
      <c r="K2021" s="8"/>
      <c r="L2021" s="8"/>
      <c r="M2021" s="8"/>
      <c r="N2021" s="8"/>
      <c r="O2021" s="8"/>
      <c r="P2021" s="8"/>
      <c r="Q2021" s="8"/>
      <c r="R2021" s="8"/>
      <c r="S2021" s="8"/>
      <c r="T2021" s="8"/>
      <c r="U2021" s="8"/>
    </row>
    <row r="2022" spans="10:21">
      <c r="J2022" s="8"/>
      <c r="K2022" s="8"/>
      <c r="L2022" s="8"/>
      <c r="M2022" s="8"/>
      <c r="N2022" s="8"/>
      <c r="O2022" s="8"/>
      <c r="P2022" s="8"/>
      <c r="Q2022" s="8"/>
      <c r="R2022" s="8"/>
      <c r="S2022" s="8"/>
      <c r="T2022" s="8"/>
      <c r="U2022" s="8"/>
    </row>
    <row r="2023" spans="10:21">
      <c r="J2023" s="8"/>
      <c r="K2023" s="8"/>
      <c r="L2023" s="8"/>
      <c r="M2023" s="8"/>
      <c r="N2023" s="8"/>
      <c r="O2023" s="8"/>
      <c r="P2023" s="8"/>
      <c r="Q2023" s="8"/>
      <c r="R2023" s="8"/>
      <c r="S2023" s="8"/>
      <c r="T2023" s="8"/>
      <c r="U2023" s="8"/>
    </row>
    <row r="2024" spans="10:21">
      <c r="J2024" s="8"/>
      <c r="K2024" s="8"/>
      <c r="L2024" s="8"/>
      <c r="M2024" s="8"/>
      <c r="N2024" s="8"/>
      <c r="O2024" s="8"/>
      <c r="P2024" s="8"/>
      <c r="Q2024" s="8"/>
      <c r="R2024" s="8"/>
      <c r="S2024" s="8"/>
      <c r="T2024" s="8"/>
      <c r="U2024" s="8"/>
    </row>
    <row r="2025" spans="10:21">
      <c r="J2025" s="8"/>
      <c r="K2025" s="8"/>
      <c r="L2025" s="8"/>
      <c r="M2025" s="8"/>
      <c r="N2025" s="8"/>
      <c r="O2025" s="8"/>
      <c r="P2025" s="8"/>
      <c r="Q2025" s="8"/>
      <c r="R2025" s="8"/>
      <c r="S2025" s="8"/>
      <c r="T2025" s="8"/>
      <c r="U2025" s="8"/>
    </row>
    <row r="2026" spans="10:21">
      <c r="J2026" s="8"/>
      <c r="K2026" s="8"/>
      <c r="L2026" s="8"/>
      <c r="M2026" s="8"/>
      <c r="N2026" s="8"/>
      <c r="O2026" s="8"/>
      <c r="P2026" s="8"/>
      <c r="Q2026" s="8"/>
      <c r="R2026" s="8"/>
      <c r="S2026" s="8"/>
      <c r="T2026" s="8"/>
      <c r="U2026" s="8"/>
    </row>
    <row r="2027" spans="10:21">
      <c r="J2027" s="8"/>
      <c r="K2027" s="8"/>
      <c r="L2027" s="8"/>
      <c r="M2027" s="8"/>
      <c r="N2027" s="8"/>
      <c r="O2027" s="8"/>
      <c r="P2027" s="8"/>
      <c r="Q2027" s="8"/>
      <c r="R2027" s="8"/>
      <c r="S2027" s="8"/>
      <c r="T2027" s="8"/>
      <c r="U2027" s="8"/>
    </row>
    <row r="2028" spans="10:21">
      <c r="J2028" s="8"/>
      <c r="K2028" s="8"/>
      <c r="L2028" s="8"/>
      <c r="M2028" s="8"/>
      <c r="N2028" s="8"/>
      <c r="O2028" s="8"/>
      <c r="P2028" s="8"/>
      <c r="Q2028" s="8"/>
      <c r="R2028" s="8"/>
      <c r="S2028" s="8"/>
      <c r="T2028" s="8"/>
      <c r="U2028" s="8"/>
    </row>
    <row r="2029" spans="10:21">
      <c r="J2029" s="8"/>
      <c r="K2029" s="8"/>
      <c r="L2029" s="8"/>
      <c r="M2029" s="8"/>
      <c r="N2029" s="8"/>
      <c r="O2029" s="8"/>
      <c r="P2029" s="8"/>
      <c r="Q2029" s="8"/>
      <c r="R2029" s="8"/>
      <c r="S2029" s="8"/>
      <c r="T2029" s="8"/>
      <c r="U2029" s="8"/>
    </row>
    <row r="2030" spans="10:21">
      <c r="J2030" s="8"/>
      <c r="K2030" s="8"/>
      <c r="L2030" s="8"/>
      <c r="M2030" s="8"/>
      <c r="N2030" s="8"/>
      <c r="O2030" s="8"/>
      <c r="P2030" s="8"/>
      <c r="Q2030" s="8"/>
      <c r="R2030" s="8"/>
      <c r="S2030" s="8"/>
      <c r="T2030" s="8"/>
      <c r="U2030" s="8"/>
    </row>
    <row r="2031" spans="10:21">
      <c r="J2031" s="8"/>
      <c r="K2031" s="8"/>
      <c r="L2031" s="8"/>
      <c r="M2031" s="8"/>
      <c r="N2031" s="8"/>
      <c r="O2031" s="8"/>
      <c r="P2031" s="8"/>
      <c r="Q2031" s="8"/>
      <c r="R2031" s="8"/>
      <c r="S2031" s="8"/>
      <c r="T2031" s="8"/>
      <c r="U2031" s="8"/>
    </row>
    <row r="2032" spans="10:21">
      <c r="J2032" s="8"/>
      <c r="K2032" s="8"/>
      <c r="L2032" s="8"/>
      <c r="M2032" s="8"/>
      <c r="N2032" s="8"/>
      <c r="O2032" s="8"/>
      <c r="P2032" s="8"/>
      <c r="Q2032" s="8"/>
      <c r="R2032" s="8"/>
      <c r="S2032" s="8"/>
      <c r="T2032" s="8"/>
      <c r="U2032" s="8"/>
    </row>
    <row r="2033" spans="10:21">
      <c r="J2033" s="8"/>
      <c r="K2033" s="8"/>
      <c r="L2033" s="8"/>
      <c r="M2033" s="8"/>
      <c r="N2033" s="8"/>
      <c r="O2033" s="8"/>
      <c r="P2033" s="8"/>
      <c r="Q2033" s="8"/>
      <c r="R2033" s="8"/>
      <c r="S2033" s="8"/>
      <c r="T2033" s="8"/>
      <c r="U2033" s="8"/>
    </row>
    <row r="2034" spans="10:21">
      <c r="J2034" s="8"/>
      <c r="K2034" s="8"/>
      <c r="L2034" s="8"/>
      <c r="M2034" s="8"/>
      <c r="N2034" s="8"/>
      <c r="O2034" s="8"/>
      <c r="P2034" s="8"/>
      <c r="Q2034" s="8"/>
      <c r="R2034" s="8"/>
      <c r="S2034" s="8"/>
      <c r="T2034" s="8"/>
      <c r="U2034" s="8"/>
    </row>
    <row r="2035" spans="10:21">
      <c r="J2035" s="8"/>
      <c r="K2035" s="8"/>
      <c r="L2035" s="8"/>
      <c r="M2035" s="8"/>
      <c r="N2035" s="8"/>
      <c r="O2035" s="8"/>
      <c r="P2035" s="8"/>
      <c r="Q2035" s="8"/>
      <c r="R2035" s="8"/>
      <c r="S2035" s="8"/>
      <c r="T2035" s="8"/>
      <c r="U2035" s="8"/>
    </row>
    <row r="2036" spans="10:21">
      <c r="J2036" s="8"/>
      <c r="K2036" s="8"/>
      <c r="L2036" s="8"/>
      <c r="M2036" s="8"/>
      <c r="N2036" s="8"/>
      <c r="O2036" s="8"/>
      <c r="P2036" s="8"/>
      <c r="Q2036" s="8"/>
      <c r="R2036" s="8"/>
      <c r="S2036" s="8"/>
      <c r="T2036" s="8"/>
      <c r="U2036" s="8"/>
    </row>
    <row r="2037" spans="10:21">
      <c r="J2037" s="8"/>
      <c r="K2037" s="8"/>
      <c r="L2037" s="8"/>
      <c r="M2037" s="8"/>
      <c r="N2037" s="8"/>
      <c r="O2037" s="8"/>
      <c r="P2037" s="8"/>
      <c r="Q2037" s="8"/>
      <c r="R2037" s="8"/>
      <c r="S2037" s="8"/>
      <c r="T2037" s="8"/>
      <c r="U2037" s="8"/>
    </row>
    <row r="2038" spans="10:21">
      <c r="J2038" s="8"/>
      <c r="K2038" s="8"/>
      <c r="L2038" s="8"/>
      <c r="M2038" s="8"/>
      <c r="N2038" s="8"/>
      <c r="O2038" s="8"/>
      <c r="P2038" s="8"/>
      <c r="Q2038" s="8"/>
      <c r="R2038" s="8"/>
      <c r="S2038" s="8"/>
      <c r="T2038" s="8"/>
      <c r="U2038" s="8"/>
    </row>
    <row r="2039" spans="10:21">
      <c r="J2039" s="8"/>
      <c r="K2039" s="8"/>
      <c r="L2039" s="8"/>
      <c r="M2039" s="8"/>
      <c r="N2039" s="8"/>
      <c r="O2039" s="8"/>
      <c r="P2039" s="8"/>
      <c r="Q2039" s="8"/>
      <c r="R2039" s="8"/>
      <c r="S2039" s="8"/>
      <c r="T2039" s="8"/>
      <c r="U2039" s="8"/>
    </row>
    <row r="2040" spans="10:21">
      <c r="J2040" s="8"/>
      <c r="K2040" s="8"/>
      <c r="L2040" s="8"/>
      <c r="M2040" s="8"/>
      <c r="N2040" s="8"/>
      <c r="O2040" s="8"/>
      <c r="P2040" s="8"/>
      <c r="Q2040" s="8"/>
      <c r="R2040" s="8"/>
      <c r="S2040" s="8"/>
      <c r="T2040" s="8"/>
      <c r="U2040" s="8"/>
    </row>
    <row r="2041" spans="10:21">
      <c r="J2041" s="8"/>
      <c r="K2041" s="8"/>
      <c r="L2041" s="8"/>
      <c r="M2041" s="8"/>
      <c r="N2041" s="8"/>
      <c r="O2041" s="8"/>
      <c r="P2041" s="8"/>
      <c r="Q2041" s="8"/>
      <c r="R2041" s="8"/>
      <c r="S2041" s="8"/>
      <c r="T2041" s="8"/>
      <c r="U2041" s="8"/>
    </row>
    <row r="2042" spans="10:21">
      <c r="J2042" s="8"/>
      <c r="K2042" s="8"/>
      <c r="L2042" s="8"/>
      <c r="M2042" s="8"/>
      <c r="N2042" s="8"/>
      <c r="O2042" s="8"/>
      <c r="P2042" s="8"/>
      <c r="Q2042" s="8"/>
      <c r="R2042" s="8"/>
      <c r="S2042" s="8"/>
      <c r="T2042" s="8"/>
      <c r="U2042" s="8"/>
    </row>
    <row r="2043" spans="10:21">
      <c r="J2043" s="8"/>
      <c r="K2043" s="8"/>
      <c r="L2043" s="8"/>
      <c r="M2043" s="8"/>
      <c r="N2043" s="8"/>
      <c r="O2043" s="8"/>
      <c r="P2043" s="8"/>
      <c r="Q2043" s="8"/>
      <c r="R2043" s="8"/>
      <c r="S2043" s="8"/>
      <c r="T2043" s="8"/>
      <c r="U2043" s="8"/>
    </row>
    <row r="2044" spans="10:21">
      <c r="J2044" s="8"/>
      <c r="K2044" s="8"/>
      <c r="L2044" s="8"/>
      <c r="M2044" s="8"/>
      <c r="N2044" s="8"/>
      <c r="O2044" s="8"/>
      <c r="P2044" s="8"/>
      <c r="Q2044" s="8"/>
      <c r="R2044" s="8"/>
      <c r="S2044" s="8"/>
      <c r="T2044" s="8"/>
      <c r="U2044" s="8"/>
    </row>
    <row r="2045" spans="10:21">
      <c r="J2045" s="8"/>
      <c r="K2045" s="8"/>
      <c r="L2045" s="8"/>
      <c r="M2045" s="8"/>
      <c r="N2045" s="8"/>
      <c r="O2045" s="8"/>
      <c r="P2045" s="8"/>
      <c r="Q2045" s="8"/>
      <c r="R2045" s="8"/>
      <c r="S2045" s="8"/>
      <c r="T2045" s="8"/>
      <c r="U2045" s="8"/>
    </row>
    <row r="2046" spans="10:21">
      <c r="J2046" s="8"/>
      <c r="K2046" s="8"/>
      <c r="L2046" s="8"/>
      <c r="M2046" s="8"/>
      <c r="N2046" s="8"/>
      <c r="O2046" s="8"/>
      <c r="P2046" s="8"/>
      <c r="Q2046" s="8"/>
      <c r="R2046" s="8"/>
      <c r="S2046" s="8"/>
      <c r="T2046" s="8"/>
      <c r="U2046" s="8"/>
    </row>
    <row r="2047" spans="10:21">
      <c r="J2047" s="8"/>
      <c r="K2047" s="8"/>
      <c r="L2047" s="8"/>
      <c r="M2047" s="8"/>
      <c r="N2047" s="8"/>
      <c r="O2047" s="8"/>
      <c r="P2047" s="8"/>
      <c r="Q2047" s="8"/>
      <c r="R2047" s="8"/>
      <c r="S2047" s="8"/>
      <c r="T2047" s="8"/>
      <c r="U2047" s="8"/>
    </row>
    <row r="2048" spans="10:21">
      <c r="J2048" s="8"/>
      <c r="K2048" s="8"/>
      <c r="L2048" s="8"/>
      <c r="M2048" s="8"/>
      <c r="N2048" s="8"/>
      <c r="O2048" s="8"/>
      <c r="P2048" s="8"/>
      <c r="Q2048" s="8"/>
      <c r="R2048" s="8"/>
      <c r="S2048" s="8"/>
      <c r="T2048" s="8"/>
      <c r="U2048" s="8"/>
    </row>
    <row r="2049" spans="10:21">
      <c r="J2049" s="8"/>
      <c r="K2049" s="8"/>
      <c r="L2049" s="8"/>
      <c r="M2049" s="8"/>
      <c r="N2049" s="8"/>
      <c r="O2049" s="8"/>
      <c r="P2049" s="8"/>
      <c r="Q2049" s="8"/>
      <c r="R2049" s="8"/>
      <c r="S2049" s="8"/>
      <c r="T2049" s="8"/>
      <c r="U2049" s="8"/>
    </row>
    <row r="2050" spans="10:21">
      <c r="J2050" s="8"/>
      <c r="K2050" s="8"/>
      <c r="L2050" s="8"/>
      <c r="M2050" s="8"/>
      <c r="N2050" s="8"/>
      <c r="O2050" s="8"/>
      <c r="P2050" s="8"/>
      <c r="Q2050" s="8"/>
      <c r="R2050" s="8"/>
      <c r="S2050" s="8"/>
      <c r="T2050" s="8"/>
      <c r="U2050" s="8"/>
    </row>
    <row r="2051" spans="10:21">
      <c r="J2051" s="8"/>
      <c r="K2051" s="8"/>
      <c r="L2051" s="8"/>
      <c r="M2051" s="8"/>
      <c r="N2051" s="8"/>
      <c r="O2051" s="8"/>
      <c r="P2051" s="8"/>
      <c r="Q2051" s="8"/>
      <c r="R2051" s="8"/>
      <c r="S2051" s="8"/>
      <c r="T2051" s="8"/>
      <c r="U2051" s="8"/>
    </row>
    <row r="2052" spans="10:21">
      <c r="J2052" s="8"/>
      <c r="K2052" s="8"/>
      <c r="L2052" s="8"/>
      <c r="M2052" s="8"/>
      <c r="N2052" s="8"/>
      <c r="O2052" s="8"/>
      <c r="P2052" s="8"/>
      <c r="Q2052" s="8"/>
      <c r="R2052" s="8"/>
      <c r="S2052" s="8"/>
      <c r="T2052" s="8"/>
      <c r="U2052" s="8"/>
    </row>
    <row r="2053" spans="10:21">
      <c r="J2053" s="8"/>
      <c r="K2053" s="8"/>
      <c r="L2053" s="8"/>
      <c r="M2053" s="8"/>
      <c r="N2053" s="8"/>
      <c r="O2053" s="8"/>
      <c r="P2053" s="8"/>
      <c r="Q2053" s="8"/>
      <c r="R2053" s="8"/>
      <c r="S2053" s="8"/>
      <c r="T2053" s="8"/>
      <c r="U2053" s="8"/>
    </row>
    <row r="2054" spans="10:21">
      <c r="J2054" s="8"/>
      <c r="K2054" s="8"/>
      <c r="L2054" s="8"/>
      <c r="M2054" s="8"/>
      <c r="N2054" s="8"/>
      <c r="O2054" s="8"/>
      <c r="P2054" s="8"/>
      <c r="Q2054" s="8"/>
      <c r="R2054" s="8"/>
      <c r="S2054" s="8"/>
      <c r="T2054" s="8"/>
      <c r="U2054" s="8"/>
    </row>
    <row r="2055" spans="10:21">
      <c r="J2055" s="8"/>
      <c r="K2055" s="8"/>
      <c r="L2055" s="8"/>
      <c r="M2055" s="8"/>
      <c r="N2055" s="8"/>
      <c r="O2055" s="8"/>
      <c r="P2055" s="8"/>
      <c r="Q2055" s="8"/>
      <c r="R2055" s="8"/>
      <c r="S2055" s="8"/>
      <c r="T2055" s="8"/>
      <c r="U2055" s="8"/>
    </row>
    <row r="2056" spans="10:21">
      <c r="J2056" s="8"/>
      <c r="K2056" s="8"/>
      <c r="L2056" s="8"/>
      <c r="M2056" s="8"/>
      <c r="N2056" s="8"/>
      <c r="O2056" s="8"/>
      <c r="P2056" s="8"/>
      <c r="Q2056" s="8"/>
      <c r="R2056" s="8"/>
      <c r="S2056" s="8"/>
      <c r="T2056" s="8"/>
      <c r="U2056" s="8"/>
    </row>
    <row r="2057" spans="10:21">
      <c r="J2057" s="8"/>
      <c r="K2057" s="8"/>
      <c r="L2057" s="8"/>
      <c r="M2057" s="8"/>
      <c r="N2057" s="8"/>
      <c r="O2057" s="8"/>
      <c r="P2057" s="8"/>
      <c r="Q2057" s="8"/>
      <c r="R2057" s="8"/>
      <c r="S2057" s="8"/>
      <c r="T2057" s="8"/>
      <c r="U2057" s="8"/>
    </row>
    <row r="2058" spans="10:21">
      <c r="J2058" s="8"/>
      <c r="K2058" s="8"/>
      <c r="L2058" s="8"/>
      <c r="M2058" s="8"/>
      <c r="N2058" s="8"/>
      <c r="O2058" s="8"/>
      <c r="P2058" s="8"/>
      <c r="Q2058" s="8"/>
      <c r="R2058" s="8"/>
      <c r="S2058" s="8"/>
      <c r="T2058" s="8"/>
      <c r="U2058" s="8"/>
    </row>
    <row r="2059" spans="10:21">
      <c r="J2059" s="8"/>
      <c r="K2059" s="8"/>
      <c r="L2059" s="8"/>
      <c r="M2059" s="8"/>
      <c r="N2059" s="8"/>
      <c r="O2059" s="8"/>
      <c r="P2059" s="8"/>
      <c r="Q2059" s="8"/>
      <c r="R2059" s="8"/>
      <c r="S2059" s="8"/>
      <c r="T2059" s="8"/>
      <c r="U2059" s="8"/>
    </row>
    <row r="2060" spans="10:21">
      <c r="J2060" s="8"/>
      <c r="K2060" s="8"/>
      <c r="L2060" s="8"/>
      <c r="M2060" s="8"/>
      <c r="N2060" s="8"/>
      <c r="O2060" s="8"/>
      <c r="P2060" s="8"/>
      <c r="Q2060" s="8"/>
      <c r="R2060" s="8"/>
      <c r="S2060" s="8"/>
      <c r="T2060" s="8"/>
      <c r="U2060" s="8"/>
    </row>
    <row r="2061" spans="10:21">
      <c r="J2061" s="8"/>
      <c r="K2061" s="8"/>
      <c r="L2061" s="8"/>
      <c r="M2061" s="8"/>
      <c r="N2061" s="8"/>
      <c r="O2061" s="8"/>
      <c r="P2061" s="8"/>
      <c r="Q2061" s="8"/>
      <c r="R2061" s="8"/>
      <c r="S2061" s="8"/>
      <c r="T2061" s="8"/>
      <c r="U2061" s="8"/>
    </row>
    <row r="2062" spans="10:21">
      <c r="J2062" s="8"/>
      <c r="K2062" s="8"/>
      <c r="L2062" s="8"/>
      <c r="M2062" s="8"/>
      <c r="N2062" s="8"/>
      <c r="O2062" s="8"/>
      <c r="P2062" s="8"/>
      <c r="Q2062" s="8"/>
      <c r="R2062" s="8"/>
      <c r="S2062" s="8"/>
      <c r="T2062" s="8"/>
      <c r="U2062" s="8"/>
    </row>
    <row r="2063" spans="10:21">
      <c r="J2063" s="8"/>
      <c r="K2063" s="8"/>
      <c r="L2063" s="8"/>
      <c r="M2063" s="8"/>
      <c r="N2063" s="8"/>
      <c r="O2063" s="8"/>
      <c r="P2063" s="8"/>
      <c r="Q2063" s="8"/>
      <c r="R2063" s="8"/>
      <c r="S2063" s="8"/>
      <c r="T2063" s="8"/>
      <c r="U2063" s="8"/>
    </row>
    <row r="2064" spans="10:21">
      <c r="J2064" s="8"/>
      <c r="K2064" s="8"/>
      <c r="L2064" s="8"/>
      <c r="M2064" s="8"/>
      <c r="N2064" s="8"/>
      <c r="O2064" s="8"/>
      <c r="P2064" s="8"/>
      <c r="Q2064" s="8"/>
      <c r="R2064" s="8"/>
      <c r="S2064" s="8"/>
      <c r="T2064" s="8"/>
      <c r="U2064" s="8"/>
    </row>
    <row r="2065" spans="10:21">
      <c r="J2065" s="8"/>
      <c r="K2065" s="8"/>
      <c r="L2065" s="8"/>
      <c r="M2065" s="8"/>
      <c r="N2065" s="8"/>
      <c r="O2065" s="8"/>
      <c r="P2065" s="8"/>
      <c r="Q2065" s="8"/>
      <c r="R2065" s="8"/>
      <c r="S2065" s="8"/>
      <c r="T2065" s="8"/>
      <c r="U2065" s="8"/>
    </row>
    <row r="2066" spans="10:21">
      <c r="J2066" s="8"/>
      <c r="K2066" s="8"/>
      <c r="L2066" s="8"/>
      <c r="M2066" s="8"/>
      <c r="N2066" s="8"/>
      <c r="O2066" s="8"/>
      <c r="P2066" s="8"/>
      <c r="Q2066" s="8"/>
      <c r="R2066" s="8"/>
      <c r="S2066" s="8"/>
      <c r="T2066" s="8"/>
      <c r="U2066" s="8"/>
    </row>
    <row r="2067" spans="10:21">
      <c r="J2067" s="8"/>
      <c r="K2067" s="8"/>
      <c r="L2067" s="8"/>
      <c r="M2067" s="8"/>
      <c r="N2067" s="8"/>
      <c r="O2067" s="8"/>
      <c r="P2067" s="8"/>
      <c r="Q2067" s="8"/>
      <c r="R2067" s="8"/>
      <c r="S2067" s="8"/>
      <c r="T2067" s="8"/>
      <c r="U2067" s="8"/>
    </row>
    <row r="2068" spans="10:21">
      <c r="J2068" s="8"/>
      <c r="K2068" s="8"/>
      <c r="L2068" s="8"/>
      <c r="M2068" s="8"/>
      <c r="N2068" s="8"/>
      <c r="O2068" s="8"/>
      <c r="P2068" s="8"/>
      <c r="Q2068" s="8"/>
      <c r="R2068" s="8"/>
      <c r="S2068" s="8"/>
      <c r="T2068" s="8"/>
      <c r="U2068" s="8"/>
    </row>
    <row r="2069" spans="10:21">
      <c r="J2069" s="8"/>
      <c r="K2069" s="8"/>
      <c r="L2069" s="8"/>
      <c r="M2069" s="8"/>
      <c r="N2069" s="8"/>
      <c r="O2069" s="8"/>
      <c r="P2069" s="8"/>
      <c r="Q2069" s="8"/>
      <c r="R2069" s="8"/>
      <c r="S2069" s="8"/>
      <c r="T2069" s="8"/>
      <c r="U2069" s="8"/>
    </row>
    <row r="2070" spans="10:21">
      <c r="J2070" s="8"/>
      <c r="K2070" s="8"/>
      <c r="L2070" s="8"/>
      <c r="M2070" s="8"/>
      <c r="N2070" s="8"/>
      <c r="O2070" s="8"/>
      <c r="P2070" s="8"/>
      <c r="Q2070" s="8"/>
      <c r="R2070" s="8"/>
      <c r="S2070" s="8"/>
      <c r="T2070" s="8"/>
      <c r="U2070" s="8"/>
    </row>
    <row r="2071" spans="10:21">
      <c r="J2071" s="8"/>
      <c r="K2071" s="8"/>
      <c r="L2071" s="8"/>
      <c r="M2071" s="8"/>
      <c r="N2071" s="8"/>
      <c r="O2071" s="8"/>
      <c r="P2071" s="8"/>
      <c r="Q2071" s="8"/>
      <c r="R2071" s="8"/>
      <c r="S2071" s="8"/>
      <c r="T2071" s="8"/>
      <c r="U2071" s="8"/>
    </row>
    <row r="2072" spans="10:21">
      <c r="J2072" s="8"/>
      <c r="K2072" s="8"/>
      <c r="L2072" s="8"/>
      <c r="M2072" s="8"/>
      <c r="N2072" s="8"/>
      <c r="O2072" s="8"/>
      <c r="P2072" s="8"/>
      <c r="Q2072" s="8"/>
      <c r="R2072" s="8"/>
      <c r="S2072" s="8"/>
      <c r="T2072" s="8"/>
      <c r="U2072" s="8"/>
    </row>
    <row r="2073" spans="10:21">
      <c r="J2073" s="8"/>
      <c r="K2073" s="8"/>
      <c r="L2073" s="8"/>
      <c r="M2073" s="8"/>
      <c r="N2073" s="8"/>
      <c r="O2073" s="8"/>
      <c r="P2073" s="8"/>
      <c r="Q2073" s="8"/>
      <c r="R2073" s="8"/>
      <c r="S2073" s="8"/>
      <c r="T2073" s="8"/>
      <c r="U2073" s="8"/>
    </row>
    <row r="2074" spans="10:21">
      <c r="J2074" s="8"/>
      <c r="K2074" s="8"/>
      <c r="L2074" s="8"/>
      <c r="M2074" s="8"/>
      <c r="N2074" s="8"/>
      <c r="O2074" s="8"/>
      <c r="P2074" s="8"/>
      <c r="Q2074" s="8"/>
      <c r="R2074" s="8"/>
      <c r="S2074" s="8"/>
      <c r="T2074" s="8"/>
      <c r="U2074" s="8"/>
    </row>
    <row r="2075" spans="10:21">
      <c r="J2075" s="8"/>
      <c r="K2075" s="8"/>
      <c r="L2075" s="8"/>
      <c r="M2075" s="8"/>
      <c r="N2075" s="8"/>
      <c r="O2075" s="8"/>
      <c r="P2075" s="8"/>
      <c r="Q2075" s="8"/>
      <c r="R2075" s="8"/>
      <c r="S2075" s="8"/>
      <c r="T2075" s="8"/>
      <c r="U2075" s="8"/>
    </row>
    <row r="2076" spans="10:21">
      <c r="J2076" s="8"/>
      <c r="K2076" s="8"/>
      <c r="L2076" s="8"/>
      <c r="M2076" s="8"/>
      <c r="N2076" s="8"/>
      <c r="O2076" s="8"/>
      <c r="P2076" s="8"/>
      <c r="Q2076" s="8"/>
      <c r="R2076" s="8"/>
      <c r="S2076" s="8"/>
      <c r="T2076" s="8"/>
      <c r="U2076" s="8"/>
    </row>
    <row r="2077" spans="10:21">
      <c r="J2077" s="8"/>
      <c r="K2077" s="8"/>
      <c r="L2077" s="8"/>
      <c r="M2077" s="8"/>
      <c r="N2077" s="8"/>
      <c r="O2077" s="8"/>
      <c r="P2077" s="8"/>
      <c r="Q2077" s="8"/>
      <c r="R2077" s="8"/>
      <c r="S2077" s="8"/>
      <c r="T2077" s="8"/>
      <c r="U2077" s="8"/>
    </row>
    <row r="2078" spans="10:21">
      <c r="J2078" s="8"/>
      <c r="K2078" s="8"/>
      <c r="L2078" s="8"/>
      <c r="M2078" s="8"/>
      <c r="N2078" s="8"/>
      <c r="O2078" s="8"/>
      <c r="P2078" s="8"/>
      <c r="Q2078" s="8"/>
      <c r="R2078" s="8"/>
      <c r="S2078" s="8"/>
      <c r="T2078" s="8"/>
      <c r="U2078" s="8"/>
    </row>
    <row r="2079" spans="10:21">
      <c r="J2079" s="8"/>
      <c r="K2079" s="8"/>
      <c r="L2079" s="8"/>
      <c r="M2079" s="8"/>
      <c r="N2079" s="8"/>
      <c r="O2079" s="8"/>
      <c r="P2079" s="8"/>
      <c r="Q2079" s="8"/>
      <c r="R2079" s="8"/>
      <c r="S2079" s="8"/>
      <c r="T2079" s="8"/>
      <c r="U2079" s="8"/>
    </row>
    <row r="2080" spans="10:21">
      <c r="J2080" s="8"/>
      <c r="K2080" s="8"/>
      <c r="L2080" s="8"/>
      <c r="M2080" s="8"/>
      <c r="N2080" s="8"/>
      <c r="O2080" s="8"/>
      <c r="P2080" s="8"/>
      <c r="Q2080" s="8"/>
      <c r="R2080" s="8"/>
      <c r="S2080" s="8"/>
      <c r="T2080" s="8"/>
      <c r="U2080" s="8"/>
    </row>
    <row r="2081" spans="10:21">
      <c r="J2081" s="8"/>
      <c r="K2081" s="8"/>
      <c r="L2081" s="8"/>
      <c r="M2081" s="8"/>
      <c r="N2081" s="8"/>
      <c r="O2081" s="8"/>
      <c r="P2081" s="8"/>
      <c r="Q2081" s="8"/>
      <c r="R2081" s="8"/>
      <c r="S2081" s="8"/>
      <c r="T2081" s="8"/>
      <c r="U2081" s="8"/>
    </row>
    <row r="2082" spans="10:21">
      <c r="J2082" s="8"/>
      <c r="K2082" s="8"/>
      <c r="L2082" s="8"/>
      <c r="M2082" s="8"/>
      <c r="N2082" s="8"/>
      <c r="O2082" s="8"/>
      <c r="P2082" s="8"/>
      <c r="Q2082" s="8"/>
      <c r="R2082" s="8"/>
      <c r="S2082" s="8"/>
      <c r="T2082" s="8"/>
      <c r="U2082" s="8"/>
    </row>
    <row r="2083" spans="10:21">
      <c r="J2083" s="8"/>
      <c r="K2083" s="8"/>
      <c r="L2083" s="8"/>
      <c r="M2083" s="8"/>
      <c r="N2083" s="8"/>
      <c r="O2083" s="8"/>
      <c r="P2083" s="8"/>
      <c r="Q2083" s="8"/>
      <c r="R2083" s="8"/>
      <c r="S2083" s="8"/>
      <c r="T2083" s="8"/>
      <c r="U2083" s="8"/>
    </row>
    <row r="2084" spans="10:21">
      <c r="J2084" s="8"/>
      <c r="K2084" s="8"/>
      <c r="L2084" s="8"/>
      <c r="M2084" s="8"/>
      <c r="N2084" s="8"/>
      <c r="O2084" s="8"/>
      <c r="P2084" s="8"/>
      <c r="Q2084" s="8"/>
      <c r="R2084" s="8"/>
      <c r="S2084" s="8"/>
      <c r="T2084" s="8"/>
      <c r="U2084" s="8"/>
    </row>
    <row r="2085" spans="10:21">
      <c r="J2085" s="8"/>
      <c r="K2085" s="8"/>
      <c r="L2085" s="8"/>
      <c r="M2085" s="8"/>
      <c r="N2085" s="8"/>
      <c r="O2085" s="8"/>
      <c r="P2085" s="8"/>
      <c r="Q2085" s="8"/>
      <c r="R2085" s="8"/>
      <c r="S2085" s="8"/>
      <c r="T2085" s="8"/>
      <c r="U2085" s="8"/>
    </row>
    <row r="2086" spans="10:21">
      <c r="J2086" s="8"/>
      <c r="K2086" s="8"/>
      <c r="L2086" s="8"/>
      <c r="M2086" s="8"/>
      <c r="N2086" s="8"/>
      <c r="O2086" s="8"/>
      <c r="P2086" s="8"/>
      <c r="Q2086" s="8"/>
      <c r="R2086" s="8"/>
      <c r="S2086" s="8"/>
      <c r="T2086" s="8"/>
      <c r="U2086" s="8"/>
    </row>
    <row r="2087" spans="10:21">
      <c r="J2087" s="8"/>
      <c r="K2087" s="8"/>
      <c r="L2087" s="8"/>
      <c r="M2087" s="8"/>
      <c r="N2087" s="8"/>
      <c r="O2087" s="8"/>
      <c r="P2087" s="8"/>
      <c r="Q2087" s="8"/>
      <c r="R2087" s="8"/>
      <c r="S2087" s="8"/>
      <c r="T2087" s="8"/>
      <c r="U2087" s="8"/>
    </row>
    <row r="2088" spans="10:21">
      <c r="J2088" s="8"/>
      <c r="K2088" s="8"/>
      <c r="L2088" s="8"/>
      <c r="M2088" s="8"/>
      <c r="N2088" s="8"/>
      <c r="O2088" s="8"/>
      <c r="P2088" s="8"/>
      <c r="Q2088" s="8"/>
      <c r="R2088" s="8"/>
      <c r="S2088" s="8"/>
      <c r="T2088" s="8"/>
      <c r="U2088" s="8"/>
    </row>
    <row r="2089" spans="10:21">
      <c r="J2089" s="8"/>
      <c r="K2089" s="8"/>
      <c r="L2089" s="8"/>
      <c r="M2089" s="8"/>
      <c r="N2089" s="8"/>
      <c r="O2089" s="8"/>
      <c r="P2089" s="8"/>
      <c r="Q2089" s="8"/>
      <c r="R2089" s="8"/>
      <c r="S2089" s="8"/>
      <c r="T2089" s="8"/>
      <c r="U2089" s="8"/>
    </row>
    <row r="2090" spans="10:21">
      <c r="J2090" s="8"/>
      <c r="K2090" s="8"/>
      <c r="L2090" s="8"/>
      <c r="M2090" s="8"/>
      <c r="N2090" s="8"/>
      <c r="O2090" s="8"/>
      <c r="P2090" s="8"/>
      <c r="Q2090" s="8"/>
      <c r="R2090" s="8"/>
      <c r="S2090" s="8"/>
      <c r="T2090" s="8"/>
      <c r="U2090" s="8"/>
    </row>
    <row r="2091" spans="10:21">
      <c r="J2091" s="8"/>
      <c r="K2091" s="8"/>
      <c r="L2091" s="8"/>
      <c r="M2091" s="8"/>
      <c r="N2091" s="8"/>
      <c r="O2091" s="8"/>
      <c r="P2091" s="8"/>
      <c r="Q2091" s="8"/>
      <c r="R2091" s="8"/>
      <c r="S2091" s="8"/>
      <c r="T2091" s="8"/>
      <c r="U2091" s="8"/>
    </row>
    <row r="2092" spans="10:21">
      <c r="J2092" s="8"/>
      <c r="K2092" s="8"/>
      <c r="L2092" s="8"/>
      <c r="M2092" s="8"/>
      <c r="N2092" s="8"/>
      <c r="O2092" s="8"/>
      <c r="P2092" s="8"/>
      <c r="Q2092" s="8"/>
      <c r="R2092" s="8"/>
      <c r="S2092" s="8"/>
      <c r="T2092" s="8"/>
      <c r="U2092" s="8"/>
    </row>
    <row r="2093" spans="10:21">
      <c r="J2093" s="8"/>
      <c r="K2093" s="8"/>
      <c r="L2093" s="8"/>
      <c r="M2093" s="8"/>
      <c r="N2093" s="8"/>
      <c r="O2093" s="8"/>
      <c r="P2093" s="8"/>
      <c r="Q2093" s="8"/>
      <c r="R2093" s="8"/>
      <c r="S2093" s="8"/>
      <c r="T2093" s="8"/>
      <c r="U2093" s="8"/>
    </row>
    <row r="2094" spans="10:21">
      <c r="J2094" s="8"/>
      <c r="K2094" s="8"/>
      <c r="L2094" s="8"/>
      <c r="M2094" s="8"/>
      <c r="N2094" s="8"/>
      <c r="O2094" s="8"/>
      <c r="P2094" s="8"/>
      <c r="Q2094" s="8"/>
      <c r="R2094" s="8"/>
      <c r="S2094" s="8"/>
      <c r="T2094" s="8"/>
      <c r="U2094" s="8"/>
    </row>
    <row r="2095" spans="10:21">
      <c r="J2095" s="8"/>
      <c r="K2095" s="8"/>
      <c r="L2095" s="8"/>
      <c r="M2095" s="8"/>
      <c r="N2095" s="8"/>
      <c r="O2095" s="8"/>
      <c r="P2095" s="8"/>
      <c r="Q2095" s="8"/>
      <c r="R2095" s="8"/>
      <c r="S2095" s="8"/>
      <c r="T2095" s="8"/>
      <c r="U2095" s="8"/>
    </row>
    <row r="2096" spans="10:21">
      <c r="J2096" s="8"/>
      <c r="K2096" s="8"/>
      <c r="L2096" s="8"/>
      <c r="M2096" s="8"/>
      <c r="N2096" s="8"/>
      <c r="O2096" s="8"/>
      <c r="P2096" s="8"/>
      <c r="Q2096" s="8"/>
      <c r="R2096" s="8"/>
      <c r="S2096" s="8"/>
      <c r="T2096" s="8"/>
      <c r="U2096" s="8"/>
    </row>
    <row r="2097" spans="10:21">
      <c r="J2097" s="8"/>
      <c r="K2097" s="8"/>
      <c r="L2097" s="8"/>
      <c r="M2097" s="8"/>
      <c r="N2097" s="8"/>
      <c r="O2097" s="8"/>
      <c r="P2097" s="8"/>
      <c r="Q2097" s="8"/>
      <c r="R2097" s="8"/>
      <c r="S2097" s="8"/>
      <c r="T2097" s="8"/>
      <c r="U2097" s="8"/>
    </row>
    <row r="2098" spans="10:21">
      <c r="J2098" s="8"/>
      <c r="K2098" s="8"/>
      <c r="L2098" s="8"/>
      <c r="M2098" s="8"/>
      <c r="N2098" s="8"/>
      <c r="O2098" s="8"/>
      <c r="P2098" s="8"/>
      <c r="Q2098" s="8"/>
      <c r="R2098" s="8"/>
      <c r="S2098" s="8"/>
      <c r="T2098" s="8"/>
      <c r="U2098" s="8"/>
    </row>
    <row r="2099" spans="10:21">
      <c r="J2099" s="8"/>
      <c r="K2099" s="8"/>
      <c r="L2099" s="8"/>
      <c r="M2099" s="8"/>
      <c r="N2099" s="8"/>
      <c r="O2099" s="8"/>
      <c r="P2099" s="8"/>
      <c r="Q2099" s="8"/>
      <c r="R2099" s="8"/>
      <c r="S2099" s="8"/>
      <c r="T2099" s="8"/>
      <c r="U2099" s="8"/>
    </row>
    <row r="2100" spans="10:21">
      <c r="J2100" s="8"/>
      <c r="K2100" s="8"/>
      <c r="L2100" s="8"/>
      <c r="M2100" s="8"/>
      <c r="N2100" s="8"/>
      <c r="O2100" s="8"/>
      <c r="P2100" s="8"/>
      <c r="Q2100" s="8"/>
      <c r="R2100" s="8"/>
      <c r="S2100" s="8"/>
      <c r="T2100" s="8"/>
      <c r="U2100" s="8"/>
    </row>
    <row r="2101" spans="10:21">
      <c r="J2101" s="8"/>
      <c r="K2101" s="8"/>
      <c r="L2101" s="8"/>
      <c r="M2101" s="8"/>
      <c r="N2101" s="8"/>
      <c r="O2101" s="8"/>
      <c r="P2101" s="8"/>
      <c r="Q2101" s="8"/>
      <c r="R2101" s="8"/>
      <c r="S2101" s="8"/>
      <c r="T2101" s="8"/>
      <c r="U2101" s="8"/>
    </row>
    <row r="2102" spans="10:21">
      <c r="J2102" s="8"/>
      <c r="K2102" s="8"/>
      <c r="L2102" s="8"/>
      <c r="M2102" s="8"/>
      <c r="N2102" s="8"/>
      <c r="O2102" s="8"/>
      <c r="P2102" s="8"/>
      <c r="Q2102" s="8"/>
      <c r="R2102" s="8"/>
      <c r="S2102" s="8"/>
      <c r="T2102" s="8"/>
      <c r="U2102" s="8"/>
    </row>
    <row r="2103" spans="10:21">
      <c r="J2103" s="8"/>
      <c r="K2103" s="8"/>
      <c r="L2103" s="8"/>
      <c r="M2103" s="8"/>
      <c r="N2103" s="8"/>
      <c r="O2103" s="8"/>
      <c r="P2103" s="8"/>
      <c r="Q2103" s="8"/>
      <c r="R2103" s="8"/>
      <c r="S2103" s="8"/>
      <c r="T2103" s="8"/>
      <c r="U2103" s="8"/>
    </row>
    <row r="2104" spans="10:21">
      <c r="J2104" s="8"/>
      <c r="K2104" s="8"/>
      <c r="L2104" s="8"/>
      <c r="M2104" s="8"/>
      <c r="N2104" s="8"/>
      <c r="O2104" s="8"/>
      <c r="P2104" s="8"/>
      <c r="Q2104" s="8"/>
      <c r="R2104" s="8"/>
      <c r="S2104" s="8"/>
      <c r="T2104" s="8"/>
      <c r="U2104" s="8"/>
    </row>
    <row r="2105" spans="10:21">
      <c r="J2105" s="8"/>
      <c r="K2105" s="8"/>
      <c r="L2105" s="8"/>
      <c r="M2105" s="8"/>
      <c r="N2105" s="8"/>
      <c r="O2105" s="8"/>
      <c r="P2105" s="8"/>
      <c r="Q2105" s="8"/>
      <c r="R2105" s="8"/>
      <c r="S2105" s="8"/>
      <c r="T2105" s="8"/>
      <c r="U2105" s="8"/>
    </row>
    <row r="2106" spans="10:21">
      <c r="J2106" s="8"/>
      <c r="K2106" s="8"/>
      <c r="L2106" s="8"/>
      <c r="M2106" s="8"/>
      <c r="N2106" s="8"/>
      <c r="O2106" s="8"/>
      <c r="P2106" s="8"/>
      <c r="Q2106" s="8"/>
      <c r="R2106" s="8"/>
      <c r="S2106" s="8"/>
      <c r="T2106" s="8"/>
      <c r="U2106" s="8"/>
    </row>
    <row r="2107" spans="10:21">
      <c r="J2107" s="8"/>
      <c r="K2107" s="8"/>
      <c r="L2107" s="8"/>
      <c r="M2107" s="8"/>
      <c r="N2107" s="8"/>
      <c r="O2107" s="8"/>
      <c r="P2107" s="8"/>
      <c r="Q2107" s="8"/>
      <c r="R2107" s="8"/>
      <c r="S2107" s="8"/>
      <c r="T2107" s="8"/>
      <c r="U2107" s="8"/>
    </row>
    <row r="2108" spans="10:21">
      <c r="J2108" s="8"/>
      <c r="K2108" s="8"/>
      <c r="L2108" s="8"/>
      <c r="M2108" s="8"/>
      <c r="N2108" s="8"/>
      <c r="O2108" s="8"/>
      <c r="P2108" s="8"/>
      <c r="Q2108" s="8"/>
      <c r="R2108" s="8"/>
      <c r="S2108" s="8"/>
      <c r="T2108" s="8"/>
      <c r="U2108" s="8"/>
    </row>
    <row r="2109" spans="10:21">
      <c r="J2109" s="8"/>
      <c r="K2109" s="8"/>
      <c r="L2109" s="8"/>
      <c r="M2109" s="8"/>
      <c r="N2109" s="8"/>
      <c r="O2109" s="8"/>
      <c r="P2109" s="8"/>
      <c r="Q2109" s="8"/>
      <c r="R2109" s="8"/>
      <c r="S2109" s="8"/>
      <c r="T2109" s="8"/>
      <c r="U2109" s="8"/>
    </row>
    <row r="2110" spans="10:21">
      <c r="J2110" s="8"/>
      <c r="K2110" s="8"/>
      <c r="L2110" s="8"/>
      <c r="M2110" s="8"/>
      <c r="N2110" s="8"/>
      <c r="O2110" s="8"/>
      <c r="P2110" s="8"/>
      <c r="Q2110" s="8"/>
      <c r="R2110" s="8"/>
      <c r="S2110" s="8"/>
      <c r="T2110" s="8"/>
      <c r="U2110" s="8"/>
    </row>
    <row r="2111" spans="10:21">
      <c r="J2111" s="8"/>
      <c r="K2111" s="8"/>
      <c r="L2111" s="8"/>
      <c r="M2111" s="8"/>
      <c r="N2111" s="8"/>
      <c r="O2111" s="8"/>
      <c r="P2111" s="8"/>
      <c r="Q2111" s="8"/>
      <c r="R2111" s="8"/>
      <c r="S2111" s="8"/>
      <c r="T2111" s="8"/>
      <c r="U2111" s="8"/>
    </row>
    <row r="2112" spans="10:21">
      <c r="J2112" s="8"/>
      <c r="K2112" s="8"/>
      <c r="L2112" s="8"/>
      <c r="M2112" s="8"/>
      <c r="N2112" s="8"/>
      <c r="O2112" s="8"/>
      <c r="P2112" s="8"/>
      <c r="Q2112" s="8"/>
      <c r="R2112" s="8"/>
      <c r="S2112" s="8"/>
      <c r="T2112" s="8"/>
      <c r="U2112" s="8"/>
    </row>
    <row r="2113" spans="10:21">
      <c r="J2113" s="8"/>
      <c r="K2113" s="8"/>
      <c r="L2113" s="8"/>
      <c r="M2113" s="8"/>
      <c r="N2113" s="8"/>
      <c r="O2113" s="8"/>
      <c r="P2113" s="8"/>
      <c r="Q2113" s="8"/>
      <c r="R2113" s="8"/>
      <c r="S2113" s="8"/>
      <c r="T2113" s="8"/>
      <c r="U2113" s="8"/>
    </row>
    <row r="2114" spans="10:21">
      <c r="J2114" s="8"/>
      <c r="K2114" s="8"/>
      <c r="L2114" s="8"/>
      <c r="M2114" s="8"/>
      <c r="N2114" s="8"/>
      <c r="O2114" s="8"/>
      <c r="P2114" s="8"/>
      <c r="Q2114" s="8"/>
      <c r="R2114" s="8"/>
      <c r="S2114" s="8"/>
      <c r="T2114" s="8"/>
      <c r="U2114" s="8"/>
    </row>
    <row r="2115" spans="10:21">
      <c r="J2115" s="8"/>
      <c r="K2115" s="8"/>
      <c r="L2115" s="8"/>
      <c r="M2115" s="8"/>
      <c r="N2115" s="8"/>
      <c r="O2115" s="8"/>
      <c r="P2115" s="8"/>
      <c r="Q2115" s="8"/>
      <c r="R2115" s="8"/>
      <c r="S2115" s="8"/>
      <c r="T2115" s="8"/>
      <c r="U2115" s="8"/>
    </row>
    <row r="2116" spans="10:21">
      <c r="J2116" s="8"/>
      <c r="K2116" s="8"/>
      <c r="L2116" s="8"/>
      <c r="M2116" s="8"/>
      <c r="N2116" s="8"/>
      <c r="O2116" s="8"/>
      <c r="P2116" s="8"/>
      <c r="Q2116" s="8"/>
      <c r="R2116" s="8"/>
      <c r="S2116" s="8"/>
      <c r="T2116" s="8"/>
      <c r="U2116" s="8"/>
    </row>
    <row r="2117" spans="10:21">
      <c r="J2117" s="8"/>
      <c r="K2117" s="8"/>
      <c r="L2117" s="8"/>
      <c r="M2117" s="8"/>
      <c r="N2117" s="8"/>
      <c r="O2117" s="8"/>
      <c r="P2117" s="8"/>
      <c r="Q2117" s="8"/>
      <c r="R2117" s="8"/>
      <c r="S2117" s="8"/>
      <c r="T2117" s="8"/>
      <c r="U2117" s="8"/>
    </row>
    <row r="2118" spans="10:21">
      <c r="J2118" s="8"/>
      <c r="K2118" s="8"/>
      <c r="L2118" s="8"/>
      <c r="M2118" s="8"/>
      <c r="N2118" s="8"/>
      <c r="O2118" s="8"/>
      <c r="P2118" s="8"/>
      <c r="Q2118" s="8"/>
      <c r="R2118" s="8"/>
      <c r="S2118" s="8"/>
      <c r="T2118" s="8"/>
      <c r="U2118" s="8"/>
    </row>
    <row r="2119" spans="10:21">
      <c r="J2119" s="8"/>
      <c r="K2119" s="8"/>
      <c r="L2119" s="8"/>
      <c r="M2119" s="8"/>
      <c r="N2119" s="8"/>
      <c r="O2119" s="8"/>
      <c r="P2119" s="8"/>
      <c r="Q2119" s="8"/>
      <c r="R2119" s="8"/>
      <c r="S2119" s="8"/>
      <c r="T2119" s="8"/>
      <c r="U2119" s="8"/>
    </row>
    <row r="2120" spans="10:21">
      <c r="J2120" s="8"/>
      <c r="K2120" s="8"/>
      <c r="L2120" s="8"/>
      <c r="M2120" s="8"/>
      <c r="N2120" s="8"/>
      <c r="O2120" s="8"/>
      <c r="P2120" s="8"/>
      <c r="Q2120" s="8"/>
      <c r="R2120" s="8"/>
      <c r="S2120" s="8"/>
      <c r="T2120" s="8"/>
      <c r="U2120" s="8"/>
    </row>
    <row r="2121" spans="10:21">
      <c r="J2121" s="8"/>
      <c r="K2121" s="8"/>
      <c r="L2121" s="8"/>
      <c r="M2121" s="8"/>
      <c r="N2121" s="8"/>
      <c r="O2121" s="8"/>
      <c r="P2121" s="8"/>
      <c r="Q2121" s="8"/>
      <c r="R2121" s="8"/>
      <c r="S2121" s="8"/>
      <c r="T2121" s="8"/>
      <c r="U2121" s="8"/>
    </row>
    <row r="2122" spans="10:21">
      <c r="J2122" s="8"/>
      <c r="K2122" s="8"/>
      <c r="L2122" s="8"/>
      <c r="M2122" s="8"/>
      <c r="N2122" s="8"/>
      <c r="O2122" s="8"/>
      <c r="P2122" s="8"/>
      <c r="Q2122" s="8"/>
      <c r="R2122" s="8"/>
      <c r="S2122" s="8"/>
      <c r="T2122" s="8"/>
      <c r="U2122" s="8"/>
    </row>
    <row r="2123" spans="10:21">
      <c r="J2123" s="8"/>
      <c r="K2123" s="8"/>
      <c r="L2123" s="8"/>
      <c r="M2123" s="8"/>
      <c r="N2123" s="8"/>
      <c r="O2123" s="8"/>
      <c r="P2123" s="8"/>
      <c r="Q2123" s="8"/>
      <c r="R2123" s="8"/>
      <c r="S2123" s="8"/>
      <c r="T2123" s="8"/>
      <c r="U2123" s="8"/>
    </row>
    <row r="2124" spans="10:21">
      <c r="J2124" s="8"/>
      <c r="K2124" s="8"/>
      <c r="L2124" s="8"/>
      <c r="M2124" s="8"/>
      <c r="N2124" s="8"/>
      <c r="O2124" s="8"/>
      <c r="P2124" s="8"/>
      <c r="Q2124" s="8"/>
      <c r="R2124" s="8"/>
      <c r="S2124" s="8"/>
      <c r="T2124" s="8"/>
      <c r="U2124" s="8"/>
    </row>
    <row r="2125" spans="10:21">
      <c r="J2125" s="8"/>
      <c r="K2125" s="8"/>
      <c r="L2125" s="8"/>
      <c r="M2125" s="8"/>
      <c r="N2125" s="8"/>
      <c r="O2125" s="8"/>
      <c r="P2125" s="8"/>
      <c r="Q2125" s="8"/>
      <c r="R2125" s="8"/>
      <c r="S2125" s="8"/>
      <c r="T2125" s="8"/>
      <c r="U2125" s="8"/>
    </row>
    <row r="2126" spans="10:21">
      <c r="J2126" s="8"/>
      <c r="K2126" s="8"/>
      <c r="L2126" s="8"/>
      <c r="M2126" s="8"/>
      <c r="N2126" s="8"/>
      <c r="O2126" s="8"/>
      <c r="P2126" s="8"/>
      <c r="Q2126" s="8"/>
      <c r="R2126" s="8"/>
      <c r="S2126" s="8"/>
      <c r="T2126" s="8"/>
      <c r="U2126" s="8"/>
    </row>
    <row r="2127" spans="10:21">
      <c r="J2127" s="8"/>
      <c r="K2127" s="8"/>
      <c r="L2127" s="8"/>
      <c r="M2127" s="8"/>
      <c r="N2127" s="8"/>
      <c r="O2127" s="8"/>
      <c r="P2127" s="8"/>
      <c r="Q2127" s="8"/>
      <c r="R2127" s="8"/>
      <c r="S2127" s="8"/>
      <c r="T2127" s="8"/>
      <c r="U2127" s="8"/>
    </row>
    <row r="2128" spans="10:21">
      <c r="J2128" s="8"/>
      <c r="K2128" s="8"/>
      <c r="L2128" s="8"/>
      <c r="M2128" s="8"/>
      <c r="N2128" s="8"/>
      <c r="O2128" s="8"/>
      <c r="P2128" s="8"/>
      <c r="Q2128" s="8"/>
      <c r="R2128" s="8"/>
      <c r="S2128" s="8"/>
      <c r="T2128" s="8"/>
      <c r="U2128" s="8"/>
    </row>
    <row r="2129" spans="10:21">
      <c r="J2129" s="8"/>
      <c r="K2129" s="8"/>
      <c r="L2129" s="8"/>
      <c r="M2129" s="8"/>
      <c r="N2129" s="8"/>
      <c r="O2129" s="8"/>
      <c r="P2129" s="8"/>
      <c r="Q2129" s="8"/>
      <c r="R2129" s="8"/>
      <c r="S2129" s="8"/>
      <c r="T2129" s="8"/>
      <c r="U2129" s="8"/>
    </row>
    <row r="2130" spans="10:21">
      <c r="J2130" s="8"/>
      <c r="K2130" s="8"/>
      <c r="L2130" s="8"/>
      <c r="M2130" s="8"/>
      <c r="N2130" s="8"/>
      <c r="O2130" s="8"/>
      <c r="P2130" s="8"/>
      <c r="Q2130" s="8"/>
      <c r="R2130" s="8"/>
      <c r="S2130" s="8"/>
      <c r="T2130" s="8"/>
      <c r="U2130" s="8"/>
    </row>
    <row r="2131" spans="10:21">
      <c r="J2131" s="8"/>
      <c r="K2131" s="8"/>
      <c r="L2131" s="8"/>
      <c r="M2131" s="8"/>
      <c r="N2131" s="8"/>
      <c r="O2131" s="8"/>
      <c r="P2131" s="8"/>
      <c r="Q2131" s="8"/>
      <c r="R2131" s="8"/>
      <c r="S2131" s="8"/>
      <c r="T2131" s="8"/>
      <c r="U2131" s="8"/>
    </row>
    <row r="2132" spans="10:21">
      <c r="J2132" s="8"/>
      <c r="K2132" s="8"/>
      <c r="L2132" s="8"/>
      <c r="M2132" s="8"/>
      <c r="N2132" s="8"/>
      <c r="O2132" s="8"/>
      <c r="P2132" s="8"/>
      <c r="Q2132" s="8"/>
      <c r="R2132" s="8"/>
      <c r="S2132" s="8"/>
      <c r="T2132" s="8"/>
      <c r="U2132" s="8"/>
    </row>
    <row r="2133" spans="10:21">
      <c r="J2133" s="8"/>
      <c r="K2133" s="8"/>
      <c r="L2133" s="8"/>
      <c r="M2133" s="8"/>
      <c r="N2133" s="8"/>
      <c r="O2133" s="8"/>
      <c r="P2133" s="8"/>
      <c r="Q2133" s="8"/>
      <c r="R2133" s="8"/>
      <c r="S2133" s="8"/>
      <c r="T2133" s="8"/>
      <c r="U2133" s="8"/>
    </row>
    <row r="2134" spans="10:21">
      <c r="J2134" s="8"/>
      <c r="K2134" s="8"/>
      <c r="L2134" s="8"/>
      <c r="M2134" s="8"/>
      <c r="N2134" s="8"/>
      <c r="O2134" s="8"/>
      <c r="P2134" s="8"/>
      <c r="Q2134" s="8"/>
      <c r="R2134" s="8"/>
      <c r="S2134" s="8"/>
      <c r="T2134" s="8"/>
      <c r="U2134" s="8"/>
    </row>
    <row r="2135" spans="10:21">
      <c r="J2135" s="8"/>
      <c r="K2135" s="8"/>
      <c r="L2135" s="8"/>
      <c r="M2135" s="8"/>
      <c r="N2135" s="8"/>
      <c r="O2135" s="8"/>
      <c r="P2135" s="8"/>
      <c r="Q2135" s="8"/>
      <c r="R2135" s="8"/>
      <c r="S2135" s="8"/>
      <c r="T2135" s="8"/>
      <c r="U2135" s="8"/>
    </row>
    <row r="2136" spans="10:21">
      <c r="J2136" s="8"/>
      <c r="K2136" s="8"/>
      <c r="L2136" s="8"/>
      <c r="M2136" s="8"/>
      <c r="N2136" s="8"/>
      <c r="O2136" s="8"/>
      <c r="P2136" s="8"/>
      <c r="Q2136" s="8"/>
      <c r="R2136" s="8"/>
      <c r="S2136" s="8"/>
      <c r="T2136" s="8"/>
      <c r="U2136" s="8"/>
    </row>
    <row r="2137" spans="10:21">
      <c r="J2137" s="8"/>
      <c r="K2137" s="8"/>
      <c r="L2137" s="8"/>
      <c r="M2137" s="8"/>
      <c r="N2137" s="8"/>
      <c r="O2137" s="8"/>
      <c r="P2137" s="8"/>
      <c r="Q2137" s="8"/>
      <c r="R2137" s="8"/>
      <c r="S2137" s="8"/>
      <c r="T2137" s="8"/>
      <c r="U2137" s="8"/>
    </row>
    <row r="2138" spans="10:21">
      <c r="J2138" s="8"/>
      <c r="K2138" s="8"/>
      <c r="L2138" s="8"/>
      <c r="M2138" s="8"/>
      <c r="N2138" s="8"/>
      <c r="O2138" s="8"/>
      <c r="P2138" s="8"/>
      <c r="Q2138" s="8"/>
      <c r="R2138" s="8"/>
      <c r="S2138" s="8"/>
      <c r="T2138" s="8"/>
      <c r="U2138" s="8"/>
    </row>
    <row r="2139" spans="10:21">
      <c r="J2139" s="8"/>
      <c r="K2139" s="8"/>
      <c r="L2139" s="8"/>
      <c r="M2139" s="8"/>
      <c r="N2139" s="8"/>
      <c r="O2139" s="8"/>
      <c r="P2139" s="8"/>
      <c r="Q2139" s="8"/>
      <c r="R2139" s="8"/>
      <c r="S2139" s="8"/>
      <c r="T2139" s="8"/>
      <c r="U2139" s="8"/>
    </row>
    <row r="2140" spans="10:21">
      <c r="J2140" s="8"/>
      <c r="K2140" s="8"/>
      <c r="L2140" s="8"/>
      <c r="M2140" s="8"/>
      <c r="N2140" s="8"/>
      <c r="O2140" s="8"/>
      <c r="P2140" s="8"/>
      <c r="Q2140" s="8"/>
      <c r="R2140" s="8"/>
      <c r="S2140" s="8"/>
      <c r="T2140" s="8"/>
      <c r="U2140" s="8"/>
    </row>
    <row r="2141" spans="10:21">
      <c r="J2141" s="8"/>
      <c r="K2141" s="8"/>
      <c r="L2141" s="8"/>
      <c r="M2141" s="8"/>
      <c r="N2141" s="8"/>
      <c r="O2141" s="8"/>
      <c r="P2141" s="8"/>
      <c r="Q2141" s="8"/>
      <c r="R2141" s="8"/>
      <c r="S2141" s="8"/>
      <c r="T2141" s="8"/>
      <c r="U2141" s="8"/>
    </row>
    <row r="2142" spans="10:21">
      <c r="J2142" s="8"/>
      <c r="K2142" s="8"/>
      <c r="L2142" s="8"/>
      <c r="M2142" s="8"/>
      <c r="N2142" s="8"/>
      <c r="O2142" s="8"/>
      <c r="P2142" s="8"/>
      <c r="Q2142" s="8"/>
      <c r="R2142" s="8"/>
      <c r="S2142" s="8"/>
      <c r="T2142" s="8"/>
      <c r="U2142" s="8"/>
    </row>
    <row r="2143" spans="10:21">
      <c r="J2143" s="8"/>
      <c r="K2143" s="8"/>
      <c r="L2143" s="8"/>
      <c r="M2143" s="8"/>
      <c r="N2143" s="8"/>
      <c r="O2143" s="8"/>
      <c r="P2143" s="8"/>
      <c r="Q2143" s="8"/>
      <c r="R2143" s="8"/>
      <c r="S2143" s="8"/>
      <c r="T2143" s="8"/>
      <c r="U2143" s="8"/>
    </row>
    <row r="2144" spans="10:21">
      <c r="J2144" s="8"/>
      <c r="K2144" s="8"/>
      <c r="L2144" s="8"/>
      <c r="M2144" s="8"/>
      <c r="N2144" s="8"/>
      <c r="O2144" s="8"/>
      <c r="P2144" s="8"/>
      <c r="Q2144" s="8"/>
      <c r="R2144" s="8"/>
      <c r="S2144" s="8"/>
      <c r="T2144" s="8"/>
      <c r="U2144" s="8"/>
    </row>
    <row r="2145" spans="10:21">
      <c r="J2145" s="8"/>
      <c r="K2145" s="8"/>
      <c r="L2145" s="8"/>
      <c r="M2145" s="8"/>
      <c r="N2145" s="8"/>
      <c r="O2145" s="8"/>
      <c r="P2145" s="8"/>
      <c r="Q2145" s="8"/>
      <c r="R2145" s="8"/>
      <c r="S2145" s="8"/>
      <c r="T2145" s="8"/>
      <c r="U2145" s="8"/>
    </row>
    <row r="2146" spans="10:21">
      <c r="J2146" s="8"/>
      <c r="K2146" s="8"/>
      <c r="L2146" s="8"/>
      <c r="M2146" s="8"/>
      <c r="N2146" s="8"/>
      <c r="O2146" s="8"/>
      <c r="P2146" s="8"/>
      <c r="Q2146" s="8"/>
      <c r="R2146" s="8"/>
      <c r="S2146" s="8"/>
      <c r="T2146" s="8"/>
      <c r="U2146" s="8"/>
    </row>
    <row r="2147" spans="10:21">
      <c r="J2147" s="8"/>
      <c r="K2147" s="8"/>
      <c r="L2147" s="8"/>
      <c r="M2147" s="8"/>
      <c r="N2147" s="8"/>
      <c r="O2147" s="8"/>
      <c r="P2147" s="8"/>
      <c r="Q2147" s="8"/>
      <c r="R2147" s="8"/>
      <c r="S2147" s="8"/>
      <c r="T2147" s="8"/>
      <c r="U2147" s="8"/>
    </row>
    <row r="2148" spans="10:21">
      <c r="J2148" s="8"/>
      <c r="K2148" s="8"/>
      <c r="L2148" s="8"/>
      <c r="M2148" s="8"/>
      <c r="N2148" s="8"/>
      <c r="O2148" s="8"/>
      <c r="P2148" s="8"/>
      <c r="Q2148" s="8"/>
      <c r="R2148" s="8"/>
      <c r="S2148" s="8"/>
      <c r="T2148" s="8"/>
      <c r="U2148" s="8"/>
    </row>
    <row r="2149" spans="10:21">
      <c r="J2149" s="8"/>
      <c r="K2149" s="8"/>
      <c r="L2149" s="8"/>
      <c r="M2149" s="8"/>
      <c r="N2149" s="8"/>
      <c r="O2149" s="8"/>
      <c r="P2149" s="8"/>
      <c r="Q2149" s="8"/>
      <c r="R2149" s="8"/>
      <c r="S2149" s="8"/>
      <c r="T2149" s="8"/>
      <c r="U2149" s="8"/>
    </row>
    <row r="2150" spans="10:21">
      <c r="J2150" s="8"/>
      <c r="K2150" s="8"/>
      <c r="L2150" s="8"/>
      <c r="M2150" s="8"/>
      <c r="N2150" s="8"/>
      <c r="O2150" s="8"/>
      <c r="P2150" s="8"/>
      <c r="Q2150" s="8"/>
      <c r="R2150" s="8"/>
      <c r="S2150" s="8"/>
      <c r="T2150" s="8"/>
      <c r="U2150" s="8"/>
    </row>
    <row r="2151" spans="10:21">
      <c r="J2151" s="8"/>
      <c r="K2151" s="8"/>
      <c r="L2151" s="8"/>
      <c r="M2151" s="8"/>
      <c r="N2151" s="8"/>
      <c r="O2151" s="8"/>
      <c r="P2151" s="8"/>
      <c r="Q2151" s="8"/>
      <c r="R2151" s="8"/>
      <c r="S2151" s="8"/>
      <c r="T2151" s="8"/>
      <c r="U2151" s="8"/>
    </row>
    <row r="2152" spans="10:21">
      <c r="J2152" s="8"/>
      <c r="K2152" s="8"/>
      <c r="L2152" s="8"/>
      <c r="M2152" s="8"/>
      <c r="N2152" s="8"/>
      <c r="O2152" s="8"/>
      <c r="P2152" s="8"/>
      <c r="Q2152" s="8"/>
      <c r="R2152" s="8"/>
      <c r="S2152" s="8"/>
      <c r="T2152" s="8"/>
      <c r="U2152" s="8"/>
    </row>
    <row r="2153" spans="10:21">
      <c r="J2153" s="8"/>
      <c r="K2153" s="8"/>
      <c r="L2153" s="8"/>
      <c r="M2153" s="8"/>
      <c r="N2153" s="8"/>
      <c r="O2153" s="8"/>
      <c r="P2153" s="8"/>
      <c r="Q2153" s="8"/>
      <c r="R2153" s="8"/>
      <c r="S2153" s="8"/>
      <c r="T2153" s="8"/>
      <c r="U2153" s="8"/>
    </row>
    <row r="2154" spans="10:21">
      <c r="J2154" s="8"/>
      <c r="K2154" s="8"/>
      <c r="L2154" s="8"/>
      <c r="M2154" s="8"/>
      <c r="N2154" s="8"/>
      <c r="O2154" s="8"/>
      <c r="P2154" s="8"/>
      <c r="Q2154" s="8"/>
      <c r="R2154" s="8"/>
      <c r="S2154" s="8"/>
      <c r="T2154" s="8"/>
      <c r="U2154" s="8"/>
    </row>
    <row r="2155" spans="10:21">
      <c r="J2155" s="8"/>
      <c r="K2155" s="8"/>
      <c r="L2155" s="8"/>
      <c r="M2155" s="8"/>
      <c r="N2155" s="8"/>
      <c r="O2155" s="8"/>
      <c r="P2155" s="8"/>
      <c r="Q2155" s="8"/>
      <c r="R2155" s="8"/>
      <c r="S2155" s="8"/>
      <c r="T2155" s="8"/>
      <c r="U2155" s="8"/>
    </row>
    <row r="2156" spans="10:21">
      <c r="J2156" s="8"/>
      <c r="K2156" s="8"/>
      <c r="L2156" s="8"/>
      <c r="M2156" s="8"/>
      <c r="N2156" s="8"/>
      <c r="O2156" s="8"/>
      <c r="P2156" s="8"/>
      <c r="Q2156" s="8"/>
      <c r="R2156" s="8"/>
      <c r="S2156" s="8"/>
      <c r="T2156" s="8"/>
      <c r="U2156" s="8"/>
    </row>
    <row r="2157" spans="10:21">
      <c r="J2157" s="8"/>
      <c r="K2157" s="8"/>
      <c r="L2157" s="8"/>
      <c r="M2157" s="8"/>
      <c r="N2157" s="8"/>
      <c r="O2157" s="8"/>
      <c r="P2157" s="8"/>
      <c r="Q2157" s="8"/>
      <c r="R2157" s="8"/>
      <c r="S2157" s="8"/>
      <c r="T2157" s="8"/>
      <c r="U2157" s="8"/>
    </row>
    <row r="2158" spans="10:21">
      <c r="J2158" s="8"/>
      <c r="K2158" s="8"/>
      <c r="L2158" s="8"/>
      <c r="M2158" s="8"/>
      <c r="N2158" s="8"/>
      <c r="O2158" s="8"/>
      <c r="P2158" s="8"/>
      <c r="Q2158" s="8"/>
      <c r="R2158" s="8"/>
      <c r="S2158" s="8"/>
      <c r="T2158" s="8"/>
      <c r="U2158" s="8"/>
    </row>
    <row r="2159" spans="10:21">
      <c r="J2159" s="8"/>
      <c r="K2159" s="8"/>
      <c r="L2159" s="8"/>
      <c r="M2159" s="8"/>
      <c r="N2159" s="8"/>
      <c r="O2159" s="8"/>
      <c r="P2159" s="8"/>
      <c r="Q2159" s="8"/>
      <c r="R2159" s="8"/>
      <c r="S2159" s="8"/>
      <c r="T2159" s="8"/>
      <c r="U2159" s="8"/>
    </row>
    <row r="2160" spans="10:21">
      <c r="J2160" s="8"/>
      <c r="K2160" s="8"/>
      <c r="L2160" s="8"/>
      <c r="M2160" s="8"/>
      <c r="N2160" s="8"/>
      <c r="O2160" s="8"/>
      <c r="P2160" s="8"/>
      <c r="Q2160" s="8"/>
      <c r="R2160" s="8"/>
      <c r="S2160" s="8"/>
      <c r="T2160" s="8"/>
      <c r="U2160" s="8"/>
    </row>
    <row r="2161" spans="10:21">
      <c r="J2161" s="8"/>
      <c r="K2161" s="8"/>
      <c r="L2161" s="8"/>
      <c r="M2161" s="8"/>
      <c r="N2161" s="8"/>
      <c r="O2161" s="8"/>
      <c r="P2161" s="8"/>
      <c r="Q2161" s="8"/>
      <c r="R2161" s="8"/>
      <c r="S2161" s="8"/>
      <c r="T2161" s="8"/>
      <c r="U2161" s="8"/>
    </row>
    <row r="2162" spans="10:21">
      <c r="J2162" s="8"/>
      <c r="K2162" s="8"/>
      <c r="L2162" s="8"/>
      <c r="M2162" s="8"/>
      <c r="N2162" s="8"/>
      <c r="O2162" s="8"/>
      <c r="P2162" s="8"/>
      <c r="Q2162" s="8"/>
      <c r="R2162" s="8"/>
      <c r="S2162" s="8"/>
      <c r="T2162" s="8"/>
      <c r="U2162" s="8"/>
    </row>
    <row r="2163" spans="10:21">
      <c r="J2163" s="8"/>
      <c r="K2163" s="8"/>
      <c r="L2163" s="8"/>
      <c r="M2163" s="8"/>
      <c r="N2163" s="8"/>
      <c r="O2163" s="8"/>
      <c r="P2163" s="8"/>
      <c r="Q2163" s="8"/>
      <c r="R2163" s="8"/>
      <c r="S2163" s="8"/>
      <c r="T2163" s="8"/>
      <c r="U2163" s="8"/>
    </row>
    <row r="2164" spans="10:21">
      <c r="J2164" s="8"/>
      <c r="K2164" s="8"/>
      <c r="L2164" s="8"/>
      <c r="M2164" s="8"/>
      <c r="N2164" s="8"/>
      <c r="O2164" s="8"/>
      <c r="P2164" s="8"/>
      <c r="Q2164" s="8"/>
      <c r="R2164" s="8"/>
      <c r="S2164" s="8"/>
      <c r="T2164" s="8"/>
      <c r="U2164" s="8"/>
    </row>
    <row r="2165" spans="10:21">
      <c r="J2165" s="8"/>
      <c r="K2165" s="8"/>
      <c r="L2165" s="8"/>
      <c r="M2165" s="8"/>
      <c r="N2165" s="8"/>
      <c r="O2165" s="8"/>
      <c r="P2165" s="8"/>
      <c r="Q2165" s="8"/>
      <c r="R2165" s="8"/>
      <c r="S2165" s="8"/>
      <c r="T2165" s="8"/>
      <c r="U2165" s="8"/>
    </row>
    <row r="2166" spans="10:21">
      <c r="J2166" s="8"/>
      <c r="K2166" s="8"/>
      <c r="L2166" s="8"/>
      <c r="M2166" s="8"/>
      <c r="N2166" s="8"/>
      <c r="O2166" s="8"/>
      <c r="P2166" s="8"/>
      <c r="Q2166" s="8"/>
      <c r="R2166" s="8"/>
      <c r="S2166" s="8"/>
      <c r="T2166" s="8"/>
      <c r="U2166" s="8"/>
    </row>
    <row r="2167" spans="10:21">
      <c r="J2167" s="8"/>
      <c r="K2167" s="8"/>
      <c r="L2167" s="8"/>
      <c r="M2167" s="8"/>
      <c r="N2167" s="8"/>
      <c r="O2167" s="8"/>
      <c r="P2167" s="8"/>
      <c r="Q2167" s="8"/>
      <c r="R2167" s="8"/>
      <c r="S2167" s="8"/>
      <c r="T2167" s="8"/>
      <c r="U2167" s="8"/>
    </row>
    <row r="2168" spans="10:21">
      <c r="J2168" s="8"/>
      <c r="K2168" s="8"/>
      <c r="L2168" s="8"/>
      <c r="M2168" s="8"/>
      <c r="N2168" s="8"/>
      <c r="O2168" s="8"/>
      <c r="P2168" s="8"/>
      <c r="Q2168" s="8"/>
      <c r="R2168" s="8"/>
      <c r="S2168" s="8"/>
      <c r="T2168" s="8"/>
      <c r="U2168" s="8"/>
    </row>
    <row r="2169" spans="10:21">
      <c r="J2169" s="8"/>
      <c r="K2169" s="8"/>
      <c r="L2169" s="8"/>
      <c r="M2169" s="8"/>
      <c r="N2169" s="8"/>
      <c r="O2169" s="8"/>
      <c r="P2169" s="8"/>
      <c r="Q2169" s="8"/>
      <c r="R2169" s="8"/>
      <c r="S2169" s="8"/>
      <c r="T2169" s="8"/>
      <c r="U2169" s="8"/>
    </row>
    <row r="2170" spans="10:21">
      <c r="J2170" s="8"/>
      <c r="K2170" s="8"/>
      <c r="L2170" s="8"/>
      <c r="M2170" s="8"/>
      <c r="N2170" s="8"/>
      <c r="O2170" s="8"/>
      <c r="P2170" s="8"/>
      <c r="Q2170" s="8"/>
      <c r="R2170" s="8"/>
      <c r="S2170" s="8"/>
      <c r="T2170" s="8"/>
      <c r="U2170" s="8"/>
    </row>
    <row r="2171" spans="10:21">
      <c r="J2171" s="8"/>
      <c r="K2171" s="8"/>
      <c r="L2171" s="8"/>
      <c r="M2171" s="8"/>
      <c r="N2171" s="8"/>
      <c r="O2171" s="8"/>
      <c r="P2171" s="8"/>
      <c r="Q2171" s="8"/>
      <c r="R2171" s="8"/>
      <c r="S2171" s="8"/>
      <c r="T2171" s="8"/>
      <c r="U2171" s="8"/>
    </row>
    <row r="2172" spans="10:21">
      <c r="J2172" s="8"/>
      <c r="K2172" s="8"/>
      <c r="L2172" s="8"/>
      <c r="M2172" s="8"/>
      <c r="N2172" s="8"/>
      <c r="O2172" s="8"/>
      <c r="P2172" s="8"/>
      <c r="Q2172" s="8"/>
      <c r="R2172" s="8"/>
      <c r="S2172" s="8"/>
      <c r="T2172" s="8"/>
      <c r="U2172" s="8"/>
    </row>
    <row r="2173" spans="10:21">
      <c r="J2173" s="8"/>
      <c r="K2173" s="8"/>
      <c r="L2173" s="8"/>
      <c r="M2173" s="8"/>
      <c r="N2173" s="8"/>
      <c r="O2173" s="8"/>
      <c r="P2173" s="8"/>
      <c r="Q2173" s="8"/>
      <c r="R2173" s="8"/>
      <c r="S2173" s="8"/>
      <c r="T2173" s="8"/>
      <c r="U2173" s="8"/>
    </row>
    <row r="2174" spans="10:21">
      <c r="J2174" s="8"/>
      <c r="K2174" s="8"/>
      <c r="L2174" s="8"/>
      <c r="M2174" s="8"/>
      <c r="N2174" s="8"/>
      <c r="O2174" s="8"/>
      <c r="P2174" s="8"/>
      <c r="Q2174" s="8"/>
      <c r="R2174" s="8"/>
      <c r="S2174" s="8"/>
      <c r="T2174" s="8"/>
      <c r="U2174" s="8"/>
    </row>
    <row r="2175" spans="10:21">
      <c r="J2175" s="8"/>
      <c r="K2175" s="8"/>
      <c r="L2175" s="8"/>
      <c r="M2175" s="8"/>
      <c r="N2175" s="8"/>
      <c r="O2175" s="8"/>
      <c r="P2175" s="8"/>
      <c r="Q2175" s="8"/>
      <c r="R2175" s="8"/>
      <c r="S2175" s="8"/>
      <c r="T2175" s="8"/>
      <c r="U2175" s="8"/>
    </row>
    <row r="2176" spans="10:21">
      <c r="J2176" s="8"/>
      <c r="K2176" s="8"/>
      <c r="L2176" s="8"/>
      <c r="M2176" s="8"/>
      <c r="N2176" s="8"/>
      <c r="O2176" s="8"/>
      <c r="P2176" s="8"/>
      <c r="Q2176" s="8"/>
      <c r="R2176" s="8"/>
      <c r="S2176" s="8"/>
      <c r="T2176" s="8"/>
      <c r="U2176" s="8"/>
    </row>
    <row r="2177" spans="10:21">
      <c r="J2177" s="8"/>
      <c r="K2177" s="8"/>
      <c r="L2177" s="8"/>
      <c r="M2177" s="8"/>
      <c r="N2177" s="8"/>
      <c r="O2177" s="8"/>
      <c r="P2177" s="8"/>
      <c r="Q2177" s="8"/>
      <c r="R2177" s="8"/>
      <c r="S2177" s="8"/>
      <c r="T2177" s="8"/>
      <c r="U2177" s="8"/>
    </row>
    <row r="2178" spans="10:21">
      <c r="J2178" s="8"/>
      <c r="K2178" s="8"/>
      <c r="L2178" s="8"/>
      <c r="M2178" s="8"/>
      <c r="N2178" s="8"/>
      <c r="O2178" s="8"/>
      <c r="P2178" s="8"/>
      <c r="Q2178" s="8"/>
      <c r="R2178" s="8"/>
      <c r="S2178" s="8"/>
      <c r="T2178" s="8"/>
      <c r="U2178" s="8"/>
    </row>
    <row r="2179" spans="10:21">
      <c r="J2179" s="8"/>
      <c r="K2179" s="8"/>
      <c r="L2179" s="8"/>
      <c r="M2179" s="8"/>
      <c r="N2179" s="8"/>
      <c r="O2179" s="8"/>
      <c r="P2179" s="8"/>
      <c r="Q2179" s="8"/>
      <c r="R2179" s="8"/>
      <c r="S2179" s="8"/>
      <c r="T2179" s="8"/>
      <c r="U2179" s="8"/>
    </row>
    <row r="2180" spans="10:21">
      <c r="J2180" s="8"/>
      <c r="K2180" s="8"/>
      <c r="L2180" s="8"/>
      <c r="M2180" s="8"/>
      <c r="N2180" s="8"/>
      <c r="O2180" s="8"/>
      <c r="P2180" s="8"/>
      <c r="Q2180" s="8"/>
      <c r="R2180" s="8"/>
      <c r="S2180" s="8"/>
      <c r="T2180" s="8"/>
      <c r="U2180" s="8"/>
    </row>
    <row r="2181" spans="10:21">
      <c r="J2181" s="8"/>
      <c r="K2181" s="8"/>
      <c r="L2181" s="8"/>
      <c r="M2181" s="8"/>
      <c r="N2181" s="8"/>
      <c r="O2181" s="8"/>
      <c r="P2181" s="8"/>
      <c r="Q2181" s="8"/>
      <c r="R2181" s="8"/>
      <c r="S2181" s="8"/>
      <c r="T2181" s="8"/>
      <c r="U2181" s="8"/>
    </row>
    <row r="2182" spans="10:21">
      <c r="J2182" s="8"/>
      <c r="K2182" s="8"/>
      <c r="L2182" s="8"/>
      <c r="M2182" s="8"/>
      <c r="N2182" s="8"/>
      <c r="O2182" s="8"/>
      <c r="P2182" s="8"/>
      <c r="Q2182" s="8"/>
      <c r="R2182" s="8"/>
      <c r="S2182" s="8"/>
      <c r="T2182" s="8"/>
      <c r="U2182" s="8"/>
    </row>
    <row r="2183" spans="10:21">
      <c r="J2183" s="8"/>
      <c r="K2183" s="8"/>
      <c r="L2183" s="8"/>
      <c r="M2183" s="8"/>
      <c r="N2183" s="8"/>
      <c r="O2183" s="8"/>
      <c r="P2183" s="8"/>
      <c r="Q2183" s="8"/>
      <c r="R2183" s="8"/>
      <c r="S2183" s="8"/>
      <c r="T2183" s="8"/>
      <c r="U2183" s="8"/>
    </row>
    <row r="2184" spans="10:21">
      <c r="J2184" s="8"/>
      <c r="K2184" s="8"/>
      <c r="L2184" s="8"/>
      <c r="M2184" s="8"/>
      <c r="N2184" s="8"/>
      <c r="O2184" s="8"/>
      <c r="P2184" s="8"/>
      <c r="Q2184" s="8"/>
      <c r="R2184" s="8"/>
      <c r="S2184" s="8"/>
      <c r="T2184" s="8"/>
      <c r="U2184" s="8"/>
    </row>
    <row r="2185" spans="10:21">
      <c r="J2185" s="8"/>
      <c r="K2185" s="8"/>
      <c r="L2185" s="8"/>
      <c r="M2185" s="8"/>
      <c r="N2185" s="8"/>
      <c r="O2185" s="8"/>
      <c r="P2185" s="8"/>
      <c r="Q2185" s="8"/>
      <c r="R2185" s="8"/>
      <c r="S2185" s="8"/>
      <c r="T2185" s="8"/>
      <c r="U2185" s="8"/>
    </row>
    <row r="2186" spans="10:21">
      <c r="J2186" s="8"/>
      <c r="K2186" s="8"/>
      <c r="L2186" s="8"/>
      <c r="M2186" s="8"/>
      <c r="N2186" s="8"/>
      <c r="O2186" s="8"/>
      <c r="P2186" s="8"/>
      <c r="Q2186" s="8"/>
      <c r="R2186" s="8"/>
      <c r="S2186" s="8"/>
      <c r="T2186" s="8"/>
      <c r="U2186" s="8"/>
    </row>
    <row r="2187" spans="10:21">
      <c r="J2187" s="8"/>
      <c r="K2187" s="8"/>
      <c r="L2187" s="8"/>
      <c r="M2187" s="8"/>
      <c r="N2187" s="8"/>
      <c r="O2187" s="8"/>
      <c r="P2187" s="8"/>
      <c r="Q2187" s="8"/>
      <c r="R2187" s="8"/>
      <c r="S2187" s="8"/>
      <c r="T2187" s="8"/>
      <c r="U2187" s="8"/>
    </row>
    <row r="2188" spans="10:21">
      <c r="J2188" s="8"/>
      <c r="K2188" s="8"/>
      <c r="L2188" s="8"/>
      <c r="M2188" s="8"/>
      <c r="N2188" s="8"/>
      <c r="O2188" s="8"/>
      <c r="P2188" s="8"/>
      <c r="Q2188" s="8"/>
      <c r="R2188" s="8"/>
      <c r="S2188" s="8"/>
      <c r="T2188" s="8"/>
      <c r="U2188" s="8"/>
    </row>
    <row r="2189" spans="10:21">
      <c r="J2189" s="8"/>
      <c r="K2189" s="8"/>
      <c r="L2189" s="8"/>
      <c r="M2189" s="8"/>
      <c r="N2189" s="8"/>
      <c r="O2189" s="8"/>
      <c r="P2189" s="8"/>
      <c r="Q2189" s="8"/>
      <c r="R2189" s="8"/>
      <c r="S2189" s="8"/>
      <c r="T2189" s="8"/>
      <c r="U2189" s="8"/>
    </row>
    <row r="2190" spans="10:21">
      <c r="J2190" s="8"/>
      <c r="K2190" s="8"/>
      <c r="L2190" s="8"/>
      <c r="M2190" s="8"/>
      <c r="N2190" s="8"/>
      <c r="O2190" s="8"/>
      <c r="P2190" s="8"/>
      <c r="Q2190" s="8"/>
      <c r="R2190" s="8"/>
      <c r="S2190" s="8"/>
      <c r="T2190" s="8"/>
      <c r="U2190" s="8"/>
    </row>
    <row r="2191" spans="10:21">
      <c r="J2191" s="8"/>
      <c r="K2191" s="8"/>
      <c r="L2191" s="8"/>
      <c r="M2191" s="8"/>
      <c r="N2191" s="8"/>
      <c r="O2191" s="8"/>
      <c r="P2191" s="8"/>
      <c r="Q2191" s="8"/>
      <c r="R2191" s="8"/>
      <c r="S2191" s="8"/>
      <c r="T2191" s="8"/>
      <c r="U2191" s="8"/>
    </row>
    <row r="2192" spans="10:21">
      <c r="J2192" s="8"/>
      <c r="K2192" s="8"/>
      <c r="L2192" s="8"/>
      <c r="M2192" s="8"/>
      <c r="N2192" s="8"/>
      <c r="O2192" s="8"/>
      <c r="P2192" s="8"/>
      <c r="Q2192" s="8"/>
      <c r="R2192" s="8"/>
      <c r="S2192" s="8"/>
      <c r="T2192" s="8"/>
      <c r="U2192" s="8"/>
    </row>
    <row r="2193" spans="10:21">
      <c r="J2193" s="8"/>
      <c r="K2193" s="8"/>
      <c r="L2193" s="8"/>
      <c r="M2193" s="8"/>
      <c r="N2193" s="8"/>
      <c r="O2193" s="8"/>
      <c r="P2193" s="8"/>
      <c r="Q2193" s="8"/>
      <c r="R2193" s="8"/>
      <c r="S2193" s="8"/>
      <c r="T2193" s="8"/>
      <c r="U2193" s="8"/>
    </row>
    <row r="2194" spans="10:21">
      <c r="J2194" s="8"/>
      <c r="K2194" s="8"/>
      <c r="L2194" s="8"/>
      <c r="M2194" s="8"/>
      <c r="N2194" s="8"/>
      <c r="O2194" s="8"/>
      <c r="P2194" s="8"/>
      <c r="Q2194" s="8"/>
      <c r="R2194" s="8"/>
      <c r="S2194" s="8"/>
      <c r="T2194" s="8"/>
      <c r="U2194" s="8"/>
    </row>
    <row r="2195" spans="10:21">
      <c r="J2195" s="8"/>
      <c r="K2195" s="8"/>
      <c r="L2195" s="8"/>
      <c r="M2195" s="8"/>
      <c r="N2195" s="8"/>
      <c r="O2195" s="8"/>
      <c r="P2195" s="8"/>
      <c r="Q2195" s="8"/>
      <c r="R2195" s="8"/>
      <c r="S2195" s="8"/>
      <c r="T2195" s="8"/>
      <c r="U2195" s="8"/>
    </row>
    <row r="2196" spans="10:21">
      <c r="J2196" s="8"/>
      <c r="K2196" s="8"/>
      <c r="L2196" s="8"/>
      <c r="M2196" s="8"/>
      <c r="N2196" s="8"/>
      <c r="O2196" s="8"/>
      <c r="P2196" s="8"/>
      <c r="Q2196" s="8"/>
      <c r="R2196" s="8"/>
      <c r="S2196" s="8"/>
      <c r="T2196" s="8"/>
      <c r="U2196" s="8"/>
    </row>
    <row r="2197" spans="10:21">
      <c r="J2197" s="8"/>
      <c r="K2197" s="8"/>
      <c r="L2197" s="8"/>
      <c r="M2197" s="8"/>
      <c r="N2197" s="8"/>
      <c r="O2197" s="8"/>
      <c r="P2197" s="8"/>
      <c r="Q2197" s="8"/>
      <c r="R2197" s="8"/>
      <c r="S2197" s="8"/>
      <c r="T2197" s="8"/>
      <c r="U2197" s="8"/>
    </row>
    <row r="2198" spans="10:21">
      <c r="J2198" s="8"/>
      <c r="K2198" s="8"/>
      <c r="L2198" s="8"/>
      <c r="M2198" s="8"/>
      <c r="N2198" s="8"/>
      <c r="O2198" s="8"/>
      <c r="P2198" s="8"/>
      <c r="Q2198" s="8"/>
      <c r="R2198" s="8"/>
      <c r="S2198" s="8"/>
      <c r="T2198" s="8"/>
      <c r="U2198" s="8"/>
    </row>
    <row r="2199" spans="10:21">
      <c r="J2199" s="8"/>
      <c r="K2199" s="8"/>
      <c r="L2199" s="8"/>
      <c r="M2199" s="8"/>
      <c r="N2199" s="8"/>
      <c r="O2199" s="8"/>
      <c r="P2199" s="8"/>
      <c r="Q2199" s="8"/>
      <c r="R2199" s="8"/>
      <c r="S2199" s="8"/>
      <c r="T2199" s="8"/>
      <c r="U2199" s="8"/>
    </row>
    <row r="2200" spans="10:21">
      <c r="J2200" s="8"/>
      <c r="K2200" s="8"/>
      <c r="L2200" s="8"/>
      <c r="M2200" s="8"/>
      <c r="N2200" s="8"/>
      <c r="O2200" s="8"/>
      <c r="P2200" s="8"/>
      <c r="Q2200" s="8"/>
      <c r="R2200" s="8"/>
      <c r="S2200" s="8"/>
      <c r="T2200" s="8"/>
      <c r="U2200" s="8"/>
    </row>
    <row r="2201" spans="10:21">
      <c r="J2201" s="8"/>
      <c r="K2201" s="8"/>
      <c r="L2201" s="8"/>
      <c r="M2201" s="8"/>
      <c r="N2201" s="8"/>
      <c r="O2201" s="8"/>
      <c r="P2201" s="8"/>
      <c r="Q2201" s="8"/>
      <c r="R2201" s="8"/>
      <c r="S2201" s="8"/>
      <c r="T2201" s="8"/>
      <c r="U2201" s="8"/>
    </row>
    <row r="2202" spans="10:21">
      <c r="J2202" s="8"/>
      <c r="K2202" s="8"/>
      <c r="L2202" s="8"/>
      <c r="M2202" s="8"/>
      <c r="N2202" s="8"/>
      <c r="O2202" s="8"/>
      <c r="P2202" s="8"/>
      <c r="Q2202" s="8"/>
      <c r="R2202" s="8"/>
      <c r="S2202" s="8"/>
      <c r="T2202" s="8"/>
      <c r="U2202" s="8"/>
    </row>
    <row r="2203" spans="10:21">
      <c r="J2203" s="8"/>
      <c r="K2203" s="8"/>
      <c r="L2203" s="8"/>
      <c r="M2203" s="8"/>
      <c r="N2203" s="8"/>
      <c r="O2203" s="8"/>
      <c r="P2203" s="8"/>
      <c r="Q2203" s="8"/>
      <c r="R2203" s="8"/>
      <c r="S2203" s="8"/>
      <c r="T2203" s="8"/>
      <c r="U2203" s="8"/>
    </row>
    <row r="2204" spans="10:21">
      <c r="J2204" s="8"/>
      <c r="K2204" s="8"/>
      <c r="L2204" s="8"/>
      <c r="M2204" s="8"/>
      <c r="N2204" s="8"/>
      <c r="O2204" s="8"/>
      <c r="P2204" s="8"/>
      <c r="Q2204" s="8"/>
      <c r="R2204" s="8"/>
      <c r="S2204" s="8"/>
      <c r="T2204" s="8"/>
      <c r="U2204" s="8"/>
    </row>
    <row r="2205" spans="10:21">
      <c r="J2205" s="8"/>
      <c r="K2205" s="8"/>
      <c r="L2205" s="8"/>
      <c r="M2205" s="8"/>
      <c r="N2205" s="8"/>
      <c r="O2205" s="8"/>
      <c r="P2205" s="8"/>
      <c r="Q2205" s="8"/>
      <c r="R2205" s="8"/>
      <c r="S2205" s="8"/>
      <c r="T2205" s="8"/>
      <c r="U2205" s="8"/>
    </row>
    <row r="2206" spans="10:21">
      <c r="J2206" s="8"/>
      <c r="K2206" s="8"/>
      <c r="L2206" s="8"/>
      <c r="M2206" s="8"/>
      <c r="N2206" s="8"/>
      <c r="O2206" s="8"/>
      <c r="P2206" s="8"/>
      <c r="Q2206" s="8"/>
      <c r="R2206" s="8"/>
      <c r="S2206" s="8"/>
      <c r="T2206" s="8"/>
      <c r="U2206" s="8"/>
    </row>
    <row r="2207" spans="10:21">
      <c r="J2207" s="8"/>
      <c r="K2207" s="8"/>
      <c r="L2207" s="8"/>
      <c r="M2207" s="8"/>
      <c r="N2207" s="8"/>
      <c r="O2207" s="8"/>
      <c r="P2207" s="8"/>
      <c r="Q2207" s="8"/>
      <c r="R2207" s="8"/>
      <c r="S2207" s="8"/>
      <c r="T2207" s="8"/>
      <c r="U2207" s="8"/>
    </row>
    <row r="2208" spans="10:21">
      <c r="J2208" s="8"/>
      <c r="K2208" s="8"/>
      <c r="L2208" s="8"/>
      <c r="M2208" s="8"/>
      <c r="N2208" s="8"/>
      <c r="O2208" s="8"/>
      <c r="P2208" s="8"/>
      <c r="Q2208" s="8"/>
      <c r="R2208" s="8"/>
      <c r="S2208" s="8"/>
      <c r="T2208" s="8"/>
      <c r="U2208" s="8"/>
    </row>
    <row r="2209" spans="10:21">
      <c r="J2209" s="8"/>
      <c r="K2209" s="8"/>
      <c r="L2209" s="8"/>
      <c r="M2209" s="8"/>
      <c r="N2209" s="8"/>
      <c r="O2209" s="8"/>
      <c r="P2209" s="8"/>
      <c r="Q2209" s="8"/>
      <c r="R2209" s="8"/>
      <c r="S2209" s="8"/>
      <c r="T2209" s="8"/>
      <c r="U2209" s="8"/>
    </row>
    <row r="2210" spans="10:21">
      <c r="J2210" s="8"/>
      <c r="K2210" s="8"/>
      <c r="L2210" s="8"/>
      <c r="M2210" s="8"/>
      <c r="N2210" s="8"/>
      <c r="O2210" s="8"/>
      <c r="P2210" s="8"/>
      <c r="Q2210" s="8"/>
      <c r="R2210" s="8"/>
      <c r="S2210" s="8"/>
      <c r="T2210" s="8"/>
      <c r="U2210" s="8"/>
    </row>
    <row r="2211" spans="10:21">
      <c r="J2211" s="8"/>
      <c r="K2211" s="8"/>
      <c r="L2211" s="8"/>
      <c r="M2211" s="8"/>
      <c r="N2211" s="8"/>
      <c r="O2211" s="8"/>
      <c r="P2211" s="8"/>
      <c r="Q2211" s="8"/>
      <c r="R2211" s="8"/>
      <c r="S2211" s="8"/>
      <c r="T2211" s="8"/>
      <c r="U2211" s="8"/>
    </row>
    <row r="2212" spans="10:21">
      <c r="J2212" s="8"/>
      <c r="K2212" s="8"/>
      <c r="L2212" s="8"/>
      <c r="M2212" s="8"/>
      <c r="N2212" s="8"/>
      <c r="O2212" s="8"/>
      <c r="P2212" s="8"/>
      <c r="Q2212" s="8"/>
      <c r="R2212" s="8"/>
      <c r="S2212" s="8"/>
      <c r="T2212" s="8"/>
      <c r="U2212" s="8"/>
    </row>
    <row r="2213" spans="10:21">
      <c r="J2213" s="8"/>
      <c r="K2213" s="8"/>
      <c r="L2213" s="8"/>
      <c r="M2213" s="8"/>
      <c r="N2213" s="8"/>
      <c r="O2213" s="8"/>
      <c r="P2213" s="8"/>
      <c r="Q2213" s="8"/>
      <c r="R2213" s="8"/>
      <c r="S2213" s="8"/>
      <c r="T2213" s="8"/>
      <c r="U2213" s="8"/>
    </row>
    <row r="2214" spans="10:21">
      <c r="J2214" s="8"/>
      <c r="K2214" s="8"/>
      <c r="L2214" s="8"/>
      <c r="M2214" s="8"/>
      <c r="N2214" s="8"/>
      <c r="O2214" s="8"/>
      <c r="P2214" s="8"/>
      <c r="Q2214" s="8"/>
      <c r="R2214" s="8"/>
      <c r="S2214" s="8"/>
      <c r="T2214" s="8"/>
      <c r="U2214" s="8"/>
    </row>
    <row r="2215" spans="10:21">
      <c r="J2215" s="8"/>
      <c r="K2215" s="8"/>
      <c r="L2215" s="8"/>
      <c r="M2215" s="8"/>
      <c r="N2215" s="8"/>
      <c r="O2215" s="8"/>
      <c r="P2215" s="8"/>
      <c r="Q2215" s="8"/>
      <c r="R2215" s="8"/>
      <c r="S2215" s="8"/>
      <c r="T2215" s="8"/>
      <c r="U2215" s="8"/>
    </row>
    <row r="2216" spans="10:21">
      <c r="J2216" s="8"/>
      <c r="K2216" s="8"/>
      <c r="L2216" s="8"/>
      <c r="M2216" s="8"/>
      <c r="N2216" s="8"/>
      <c r="O2216" s="8"/>
      <c r="P2216" s="8"/>
      <c r="Q2216" s="8"/>
      <c r="R2216" s="8"/>
      <c r="S2216" s="8"/>
      <c r="T2216" s="8"/>
      <c r="U2216" s="8"/>
    </row>
    <row r="2217" spans="10:21">
      <c r="J2217" s="8"/>
      <c r="K2217" s="8"/>
      <c r="L2217" s="8"/>
      <c r="M2217" s="8"/>
      <c r="N2217" s="8"/>
      <c r="O2217" s="8"/>
      <c r="P2217" s="8"/>
      <c r="Q2217" s="8"/>
      <c r="R2217" s="8"/>
      <c r="S2217" s="8"/>
      <c r="T2217" s="8"/>
      <c r="U2217" s="8"/>
    </row>
    <row r="2218" spans="10:21">
      <c r="J2218" s="8"/>
      <c r="K2218" s="8"/>
      <c r="L2218" s="8"/>
      <c r="M2218" s="8"/>
      <c r="N2218" s="8"/>
      <c r="O2218" s="8"/>
      <c r="P2218" s="8"/>
      <c r="Q2218" s="8"/>
      <c r="R2218" s="8"/>
      <c r="S2218" s="8"/>
      <c r="T2218" s="8"/>
      <c r="U2218" s="8"/>
    </row>
    <row r="2219" spans="10:21">
      <c r="J2219" s="8"/>
      <c r="K2219" s="8"/>
      <c r="L2219" s="8"/>
      <c r="M2219" s="8"/>
      <c r="N2219" s="8"/>
      <c r="O2219" s="8"/>
      <c r="P2219" s="8"/>
      <c r="Q2219" s="8"/>
      <c r="R2219" s="8"/>
      <c r="S2219" s="8"/>
      <c r="T2219" s="8"/>
      <c r="U2219" s="8"/>
    </row>
    <row r="2220" spans="10:21">
      <c r="J2220" s="8"/>
      <c r="K2220" s="8"/>
      <c r="L2220" s="8"/>
      <c r="M2220" s="8"/>
      <c r="N2220" s="8"/>
      <c r="O2220" s="8"/>
      <c r="P2220" s="8"/>
      <c r="Q2220" s="8"/>
      <c r="R2220" s="8"/>
      <c r="S2220" s="8"/>
      <c r="T2220" s="8"/>
      <c r="U2220" s="8"/>
    </row>
    <row r="2221" spans="10:21">
      <c r="J2221" s="8"/>
      <c r="K2221" s="8"/>
      <c r="L2221" s="8"/>
      <c r="M2221" s="8"/>
      <c r="N2221" s="8"/>
      <c r="O2221" s="8"/>
      <c r="P2221" s="8"/>
      <c r="Q2221" s="8"/>
      <c r="R2221" s="8"/>
      <c r="S2221" s="8"/>
      <c r="T2221" s="8"/>
      <c r="U2221" s="8"/>
    </row>
    <row r="2222" spans="10:21">
      <c r="J2222" s="8"/>
      <c r="K2222" s="8"/>
      <c r="L2222" s="8"/>
      <c r="M2222" s="8"/>
      <c r="N2222" s="8"/>
      <c r="O2222" s="8"/>
      <c r="P2222" s="8"/>
      <c r="Q2222" s="8"/>
      <c r="R2222" s="8"/>
      <c r="S2222" s="8"/>
      <c r="T2222" s="8"/>
      <c r="U2222" s="8"/>
    </row>
    <row r="2223" spans="10:21">
      <c r="J2223" s="8"/>
      <c r="K2223" s="8"/>
      <c r="L2223" s="8"/>
      <c r="M2223" s="8"/>
      <c r="N2223" s="8"/>
      <c r="O2223" s="8"/>
      <c r="P2223" s="8"/>
      <c r="Q2223" s="8"/>
      <c r="R2223" s="8"/>
      <c r="S2223" s="8"/>
      <c r="T2223" s="8"/>
      <c r="U2223" s="8"/>
    </row>
    <row r="2224" spans="10:21">
      <c r="J2224" s="8"/>
      <c r="K2224" s="8"/>
      <c r="L2224" s="8"/>
      <c r="M2224" s="8"/>
      <c r="N2224" s="8"/>
      <c r="O2224" s="8"/>
      <c r="P2224" s="8"/>
      <c r="Q2224" s="8"/>
      <c r="R2224" s="8"/>
      <c r="S2224" s="8"/>
      <c r="T2224" s="8"/>
      <c r="U2224" s="8"/>
    </row>
    <row r="2225" spans="10:21">
      <c r="J2225" s="8"/>
      <c r="K2225" s="8"/>
      <c r="L2225" s="8"/>
      <c r="M2225" s="8"/>
      <c r="N2225" s="8"/>
      <c r="O2225" s="8"/>
      <c r="P2225" s="8"/>
      <c r="Q2225" s="8"/>
      <c r="R2225" s="8"/>
      <c r="S2225" s="8"/>
      <c r="T2225" s="8"/>
      <c r="U2225" s="8"/>
    </row>
    <row r="2226" spans="10:21">
      <c r="J2226" s="8"/>
      <c r="K2226" s="8"/>
      <c r="L2226" s="8"/>
      <c r="M2226" s="8"/>
      <c r="N2226" s="8"/>
      <c r="O2226" s="8"/>
      <c r="P2226" s="8"/>
      <c r="Q2226" s="8"/>
      <c r="R2226" s="8"/>
      <c r="S2226" s="8"/>
      <c r="T2226" s="8"/>
      <c r="U2226" s="8"/>
    </row>
    <row r="2227" spans="10:21">
      <c r="J2227" s="8"/>
      <c r="K2227" s="8"/>
      <c r="L2227" s="8"/>
      <c r="M2227" s="8"/>
      <c r="N2227" s="8"/>
      <c r="O2227" s="8"/>
      <c r="P2227" s="8"/>
      <c r="Q2227" s="8"/>
      <c r="R2227" s="8"/>
      <c r="S2227" s="8"/>
      <c r="T2227" s="8"/>
      <c r="U2227" s="8"/>
    </row>
    <row r="2228" spans="10:21">
      <c r="J2228" s="8"/>
      <c r="K2228" s="8"/>
      <c r="L2228" s="8"/>
      <c r="M2228" s="8"/>
      <c r="N2228" s="8"/>
      <c r="O2228" s="8"/>
      <c r="P2228" s="8"/>
      <c r="Q2228" s="8"/>
      <c r="R2228" s="8"/>
      <c r="S2228" s="8"/>
      <c r="T2228" s="8"/>
      <c r="U2228" s="8"/>
    </row>
    <row r="2229" spans="10:21">
      <c r="J2229" s="8"/>
      <c r="K2229" s="8"/>
      <c r="L2229" s="8"/>
      <c r="M2229" s="8"/>
      <c r="N2229" s="8"/>
      <c r="O2229" s="8"/>
      <c r="P2229" s="8"/>
      <c r="Q2229" s="8"/>
      <c r="R2229" s="8"/>
      <c r="S2229" s="8"/>
      <c r="T2229" s="8"/>
      <c r="U2229" s="8"/>
    </row>
    <row r="2230" spans="10:21">
      <c r="J2230" s="8"/>
      <c r="K2230" s="8"/>
      <c r="L2230" s="8"/>
      <c r="M2230" s="8"/>
      <c r="N2230" s="8"/>
      <c r="O2230" s="8"/>
      <c r="P2230" s="8"/>
      <c r="Q2230" s="8"/>
      <c r="R2230" s="8"/>
      <c r="S2230" s="8"/>
      <c r="T2230" s="8"/>
      <c r="U2230" s="8"/>
    </row>
    <row r="2231" spans="10:21">
      <c r="J2231" s="8"/>
      <c r="K2231" s="8"/>
      <c r="L2231" s="8"/>
      <c r="M2231" s="8"/>
      <c r="N2231" s="8"/>
      <c r="O2231" s="8"/>
      <c r="P2231" s="8"/>
      <c r="Q2231" s="8"/>
      <c r="R2231" s="8"/>
      <c r="S2231" s="8"/>
      <c r="T2231" s="8"/>
      <c r="U2231" s="8"/>
    </row>
    <row r="2232" spans="10:21">
      <c r="J2232" s="8"/>
      <c r="K2232" s="8"/>
      <c r="L2232" s="8"/>
      <c r="M2232" s="8"/>
      <c r="N2232" s="8"/>
      <c r="O2232" s="8"/>
      <c r="P2232" s="8"/>
      <c r="Q2232" s="8"/>
      <c r="R2232" s="8"/>
      <c r="S2232" s="8"/>
      <c r="T2232" s="8"/>
      <c r="U2232" s="8"/>
    </row>
    <row r="2233" spans="10:21">
      <c r="J2233" s="8"/>
      <c r="K2233" s="8"/>
      <c r="L2233" s="8"/>
      <c r="M2233" s="8"/>
      <c r="N2233" s="8"/>
      <c r="O2233" s="8"/>
      <c r="P2233" s="8"/>
      <c r="Q2233" s="8"/>
      <c r="R2233" s="8"/>
      <c r="S2233" s="8"/>
      <c r="T2233" s="8"/>
      <c r="U2233" s="8"/>
    </row>
    <row r="2234" spans="10:21">
      <c r="J2234" s="8"/>
      <c r="K2234" s="8"/>
      <c r="L2234" s="8"/>
      <c r="M2234" s="8"/>
      <c r="N2234" s="8"/>
      <c r="O2234" s="8"/>
      <c r="P2234" s="8"/>
      <c r="Q2234" s="8"/>
      <c r="R2234" s="8"/>
      <c r="S2234" s="8"/>
      <c r="T2234" s="8"/>
      <c r="U2234" s="8"/>
    </row>
    <row r="2235" spans="10:21">
      <c r="J2235" s="8"/>
      <c r="K2235" s="8"/>
      <c r="L2235" s="8"/>
      <c r="M2235" s="8"/>
      <c r="N2235" s="8"/>
      <c r="O2235" s="8"/>
      <c r="P2235" s="8"/>
      <c r="Q2235" s="8"/>
      <c r="R2235" s="8"/>
      <c r="S2235" s="8"/>
      <c r="T2235" s="8"/>
      <c r="U2235" s="8"/>
    </row>
    <row r="2236" spans="10:21">
      <c r="J2236" s="8"/>
      <c r="K2236" s="8"/>
      <c r="L2236" s="8"/>
      <c r="M2236" s="8"/>
      <c r="N2236" s="8"/>
      <c r="O2236" s="8"/>
      <c r="P2236" s="8"/>
      <c r="Q2236" s="8"/>
      <c r="R2236" s="8"/>
      <c r="S2236" s="8"/>
      <c r="T2236" s="8"/>
      <c r="U2236" s="8"/>
    </row>
    <row r="2237" spans="10:21">
      <c r="J2237" s="8"/>
      <c r="K2237" s="8"/>
      <c r="L2237" s="8"/>
      <c r="M2237" s="8"/>
      <c r="N2237" s="8"/>
      <c r="O2237" s="8"/>
      <c r="P2237" s="8"/>
      <c r="Q2237" s="8"/>
      <c r="R2237" s="8"/>
      <c r="S2237" s="8"/>
      <c r="T2237" s="8"/>
      <c r="U2237" s="8"/>
    </row>
    <row r="2238" spans="10:21">
      <c r="J2238" s="8"/>
      <c r="K2238" s="8"/>
      <c r="L2238" s="8"/>
      <c r="M2238" s="8"/>
      <c r="N2238" s="8"/>
      <c r="O2238" s="8"/>
      <c r="P2238" s="8"/>
      <c r="Q2238" s="8"/>
      <c r="R2238" s="8"/>
      <c r="S2238" s="8"/>
      <c r="T2238" s="8"/>
      <c r="U2238" s="8"/>
    </row>
    <row r="2239" spans="10:21">
      <c r="J2239" s="8"/>
      <c r="K2239" s="8"/>
      <c r="L2239" s="8"/>
      <c r="M2239" s="8"/>
      <c r="N2239" s="8"/>
      <c r="O2239" s="8"/>
      <c r="P2239" s="8"/>
      <c r="Q2239" s="8"/>
      <c r="R2239" s="8"/>
      <c r="S2239" s="8"/>
      <c r="T2239" s="8"/>
      <c r="U2239" s="8"/>
    </row>
    <row r="2240" spans="10:21">
      <c r="J2240" s="8"/>
      <c r="K2240" s="8"/>
      <c r="L2240" s="8"/>
      <c r="M2240" s="8"/>
      <c r="N2240" s="8"/>
      <c r="O2240" s="8"/>
      <c r="P2240" s="8"/>
      <c r="Q2240" s="8"/>
      <c r="R2240" s="8"/>
      <c r="S2240" s="8"/>
      <c r="T2240" s="8"/>
      <c r="U2240" s="8"/>
    </row>
    <row r="2241" spans="10:21">
      <c r="J2241" s="8"/>
      <c r="K2241" s="8"/>
      <c r="L2241" s="8"/>
      <c r="M2241" s="8"/>
      <c r="N2241" s="8"/>
      <c r="O2241" s="8"/>
      <c r="P2241" s="8"/>
      <c r="Q2241" s="8"/>
      <c r="R2241" s="8"/>
      <c r="S2241" s="8"/>
      <c r="T2241" s="8"/>
      <c r="U2241" s="8"/>
    </row>
    <row r="2242" spans="10:21">
      <c r="J2242" s="8"/>
      <c r="K2242" s="8"/>
      <c r="L2242" s="8"/>
      <c r="M2242" s="8"/>
      <c r="N2242" s="8"/>
      <c r="O2242" s="8"/>
      <c r="P2242" s="8"/>
      <c r="Q2242" s="8"/>
      <c r="R2242" s="8"/>
      <c r="S2242" s="8"/>
      <c r="T2242" s="8"/>
      <c r="U2242" s="8"/>
    </row>
    <row r="2243" spans="10:21">
      <c r="J2243" s="8"/>
      <c r="K2243" s="8"/>
      <c r="L2243" s="8"/>
      <c r="M2243" s="8"/>
      <c r="N2243" s="8"/>
      <c r="O2243" s="8"/>
      <c r="P2243" s="8"/>
      <c r="Q2243" s="8"/>
      <c r="R2243" s="8"/>
      <c r="S2243" s="8"/>
      <c r="T2243" s="8"/>
      <c r="U2243" s="8"/>
    </row>
    <row r="2244" spans="10:21">
      <c r="J2244" s="8"/>
      <c r="K2244" s="8"/>
      <c r="L2244" s="8"/>
      <c r="M2244" s="8"/>
      <c r="N2244" s="8"/>
      <c r="O2244" s="8"/>
      <c r="P2244" s="8"/>
      <c r="Q2244" s="8"/>
      <c r="R2244" s="8"/>
      <c r="S2244" s="8"/>
      <c r="T2244" s="8"/>
      <c r="U2244" s="8"/>
    </row>
    <row r="2245" spans="10:21">
      <c r="J2245" s="8"/>
      <c r="K2245" s="8"/>
      <c r="L2245" s="8"/>
      <c r="M2245" s="8"/>
      <c r="N2245" s="8"/>
      <c r="O2245" s="8"/>
      <c r="P2245" s="8"/>
      <c r="Q2245" s="8"/>
      <c r="R2245" s="8"/>
      <c r="S2245" s="8"/>
      <c r="T2245" s="8"/>
      <c r="U2245" s="8"/>
    </row>
    <row r="2246" spans="10:21">
      <c r="J2246" s="8"/>
      <c r="K2246" s="8"/>
      <c r="L2246" s="8"/>
      <c r="M2246" s="8"/>
      <c r="N2246" s="8"/>
      <c r="O2246" s="8"/>
      <c r="P2246" s="8"/>
      <c r="Q2246" s="8"/>
      <c r="R2246" s="8"/>
      <c r="S2246" s="8"/>
      <c r="T2246" s="8"/>
      <c r="U2246" s="8"/>
    </row>
    <row r="2247" spans="10:21">
      <c r="J2247" s="8"/>
      <c r="K2247" s="8"/>
      <c r="L2247" s="8"/>
      <c r="M2247" s="8"/>
      <c r="N2247" s="8"/>
      <c r="O2247" s="8"/>
      <c r="P2247" s="8"/>
      <c r="Q2247" s="8"/>
      <c r="R2247" s="8"/>
      <c r="S2247" s="8"/>
      <c r="T2247" s="8"/>
      <c r="U2247" s="8"/>
    </row>
    <row r="2248" spans="10:21">
      <c r="J2248" s="8"/>
      <c r="K2248" s="8"/>
      <c r="L2248" s="8"/>
      <c r="M2248" s="8"/>
      <c r="N2248" s="8"/>
      <c r="O2248" s="8"/>
      <c r="P2248" s="8"/>
      <c r="Q2248" s="8"/>
      <c r="R2248" s="8"/>
      <c r="S2248" s="8"/>
      <c r="T2248" s="8"/>
      <c r="U2248" s="8"/>
    </row>
    <row r="2249" spans="10:21">
      <c r="J2249" s="8"/>
      <c r="K2249" s="8"/>
      <c r="L2249" s="8"/>
      <c r="M2249" s="8"/>
      <c r="N2249" s="8"/>
      <c r="O2249" s="8"/>
      <c r="P2249" s="8"/>
      <c r="Q2249" s="8"/>
      <c r="R2249" s="8"/>
      <c r="S2249" s="8"/>
      <c r="T2249" s="8"/>
      <c r="U2249" s="8"/>
    </row>
    <row r="2250" spans="10:21">
      <c r="J2250" s="8"/>
      <c r="K2250" s="8"/>
      <c r="L2250" s="8"/>
      <c r="M2250" s="8"/>
      <c r="N2250" s="8"/>
      <c r="O2250" s="8"/>
      <c r="P2250" s="8"/>
      <c r="Q2250" s="8"/>
      <c r="R2250" s="8"/>
      <c r="S2250" s="8"/>
      <c r="T2250" s="8"/>
      <c r="U2250" s="8"/>
    </row>
    <row r="2251" spans="10:21">
      <c r="J2251" s="8"/>
      <c r="K2251" s="8"/>
      <c r="L2251" s="8"/>
      <c r="M2251" s="8"/>
      <c r="N2251" s="8"/>
      <c r="O2251" s="8"/>
      <c r="P2251" s="8"/>
      <c r="Q2251" s="8"/>
      <c r="R2251" s="8"/>
      <c r="S2251" s="8"/>
      <c r="T2251" s="8"/>
      <c r="U2251" s="8"/>
    </row>
    <row r="2252" spans="10:21">
      <c r="J2252" s="8"/>
      <c r="K2252" s="8"/>
      <c r="L2252" s="8"/>
      <c r="M2252" s="8"/>
      <c r="N2252" s="8"/>
      <c r="O2252" s="8"/>
      <c r="P2252" s="8"/>
      <c r="Q2252" s="8"/>
      <c r="R2252" s="8"/>
      <c r="S2252" s="8"/>
      <c r="T2252" s="8"/>
      <c r="U2252" s="8"/>
    </row>
    <row r="2253" spans="10:21">
      <c r="J2253" s="8"/>
      <c r="K2253" s="8"/>
      <c r="L2253" s="8"/>
      <c r="M2253" s="8"/>
      <c r="N2253" s="8"/>
      <c r="O2253" s="8"/>
      <c r="P2253" s="8"/>
      <c r="Q2253" s="8"/>
      <c r="R2253" s="8"/>
      <c r="S2253" s="8"/>
      <c r="T2253" s="8"/>
      <c r="U2253" s="8"/>
    </row>
    <row r="2254" spans="10:21">
      <c r="J2254" s="8"/>
      <c r="K2254" s="8"/>
      <c r="L2254" s="8"/>
      <c r="M2254" s="8"/>
      <c r="N2254" s="8"/>
      <c r="O2254" s="8"/>
      <c r="P2254" s="8"/>
      <c r="Q2254" s="8"/>
      <c r="R2254" s="8"/>
      <c r="S2254" s="8"/>
      <c r="T2254" s="8"/>
      <c r="U2254" s="8"/>
    </row>
    <row r="2255" spans="10:21">
      <c r="J2255" s="8"/>
      <c r="K2255" s="8"/>
      <c r="L2255" s="8"/>
      <c r="M2255" s="8"/>
      <c r="N2255" s="8"/>
      <c r="O2255" s="8"/>
      <c r="P2255" s="8"/>
      <c r="Q2255" s="8"/>
      <c r="R2255" s="8"/>
      <c r="S2255" s="8"/>
      <c r="T2255" s="8"/>
      <c r="U2255" s="8"/>
    </row>
    <row r="2256" spans="10:21">
      <c r="J2256" s="8"/>
      <c r="K2256" s="8"/>
      <c r="L2256" s="8"/>
      <c r="M2256" s="8"/>
      <c r="N2256" s="8"/>
      <c r="O2256" s="8"/>
      <c r="P2256" s="8"/>
      <c r="Q2256" s="8"/>
      <c r="R2256" s="8"/>
      <c r="S2256" s="8"/>
      <c r="T2256" s="8"/>
      <c r="U2256" s="8"/>
    </row>
    <row r="2257" spans="10:21">
      <c r="J2257" s="8"/>
      <c r="K2257" s="8"/>
      <c r="L2257" s="8"/>
      <c r="M2257" s="8"/>
      <c r="N2257" s="8"/>
      <c r="O2257" s="8"/>
      <c r="P2257" s="8"/>
      <c r="Q2257" s="8"/>
      <c r="R2257" s="8"/>
      <c r="S2257" s="8"/>
      <c r="T2257" s="8"/>
      <c r="U2257" s="8"/>
    </row>
    <row r="2258" spans="10:21">
      <c r="J2258" s="8"/>
      <c r="K2258" s="8"/>
      <c r="L2258" s="8"/>
      <c r="M2258" s="8"/>
      <c r="N2258" s="8"/>
      <c r="O2258" s="8"/>
      <c r="P2258" s="8"/>
      <c r="Q2258" s="8"/>
      <c r="R2258" s="8"/>
      <c r="S2258" s="8"/>
      <c r="T2258" s="8"/>
      <c r="U2258" s="8"/>
    </row>
    <row r="2259" spans="10:21">
      <c r="J2259" s="8"/>
      <c r="K2259" s="8"/>
      <c r="L2259" s="8"/>
      <c r="M2259" s="8"/>
      <c r="N2259" s="8"/>
      <c r="O2259" s="8"/>
      <c r="P2259" s="8"/>
      <c r="Q2259" s="8"/>
      <c r="R2259" s="8"/>
      <c r="S2259" s="8"/>
      <c r="T2259" s="8"/>
      <c r="U2259" s="8"/>
    </row>
    <row r="2260" spans="10:21">
      <c r="J2260" s="8"/>
      <c r="K2260" s="8"/>
      <c r="L2260" s="8"/>
      <c r="M2260" s="8"/>
      <c r="N2260" s="8"/>
      <c r="O2260" s="8"/>
      <c r="P2260" s="8"/>
      <c r="Q2260" s="8"/>
      <c r="R2260" s="8"/>
      <c r="S2260" s="8"/>
      <c r="T2260" s="8"/>
      <c r="U2260" s="8"/>
    </row>
    <row r="2261" spans="10:21">
      <c r="J2261" s="8"/>
      <c r="K2261" s="8"/>
      <c r="L2261" s="8"/>
      <c r="M2261" s="8"/>
      <c r="N2261" s="8"/>
      <c r="O2261" s="8"/>
      <c r="P2261" s="8"/>
      <c r="Q2261" s="8"/>
      <c r="R2261" s="8"/>
      <c r="S2261" s="8"/>
      <c r="T2261" s="8"/>
      <c r="U2261" s="8"/>
    </row>
    <row r="2262" spans="10:21">
      <c r="J2262" s="8"/>
      <c r="K2262" s="8"/>
      <c r="L2262" s="8"/>
      <c r="M2262" s="8"/>
      <c r="N2262" s="8"/>
      <c r="O2262" s="8"/>
      <c r="P2262" s="8"/>
      <c r="Q2262" s="8"/>
      <c r="R2262" s="8"/>
      <c r="S2262" s="8"/>
      <c r="T2262" s="8"/>
      <c r="U2262" s="8"/>
    </row>
    <row r="2263" spans="10:21">
      <c r="J2263" s="8"/>
      <c r="K2263" s="8"/>
      <c r="L2263" s="8"/>
      <c r="M2263" s="8"/>
      <c r="N2263" s="8"/>
      <c r="O2263" s="8"/>
      <c r="P2263" s="8"/>
      <c r="Q2263" s="8"/>
      <c r="R2263" s="8"/>
      <c r="S2263" s="8"/>
      <c r="T2263" s="8"/>
      <c r="U2263" s="8"/>
    </row>
    <row r="2264" spans="10:21">
      <c r="J2264" s="8"/>
      <c r="K2264" s="8"/>
      <c r="L2264" s="8"/>
      <c r="M2264" s="8"/>
      <c r="N2264" s="8"/>
      <c r="O2264" s="8"/>
      <c r="P2264" s="8"/>
      <c r="Q2264" s="8"/>
      <c r="R2264" s="8"/>
      <c r="S2264" s="8"/>
      <c r="T2264" s="8"/>
      <c r="U2264" s="8"/>
    </row>
    <row r="2265" spans="10:21">
      <c r="J2265" s="8"/>
      <c r="K2265" s="8"/>
      <c r="L2265" s="8"/>
      <c r="M2265" s="8"/>
      <c r="N2265" s="8"/>
      <c r="O2265" s="8"/>
      <c r="P2265" s="8"/>
      <c r="Q2265" s="8"/>
      <c r="R2265" s="8"/>
      <c r="S2265" s="8"/>
      <c r="T2265" s="8"/>
      <c r="U2265" s="8"/>
    </row>
    <row r="2266" spans="10:21">
      <c r="J2266" s="8"/>
      <c r="K2266" s="8"/>
      <c r="L2266" s="8"/>
      <c r="M2266" s="8"/>
      <c r="N2266" s="8"/>
      <c r="O2266" s="8"/>
      <c r="P2266" s="8"/>
      <c r="Q2266" s="8"/>
      <c r="R2266" s="8"/>
      <c r="S2266" s="8"/>
      <c r="T2266" s="8"/>
      <c r="U2266" s="8"/>
    </row>
    <row r="2267" spans="10:21">
      <c r="J2267" s="8"/>
      <c r="K2267" s="8"/>
      <c r="L2267" s="8"/>
      <c r="M2267" s="8"/>
      <c r="N2267" s="8"/>
      <c r="O2267" s="8"/>
      <c r="P2267" s="8"/>
      <c r="Q2267" s="8"/>
      <c r="R2267" s="8"/>
      <c r="S2267" s="8"/>
      <c r="T2267" s="8"/>
      <c r="U2267" s="8"/>
    </row>
    <row r="2268" spans="10:21">
      <c r="J2268" s="8"/>
      <c r="K2268" s="8"/>
      <c r="L2268" s="8"/>
      <c r="M2268" s="8"/>
      <c r="N2268" s="8"/>
      <c r="O2268" s="8"/>
      <c r="P2268" s="8"/>
      <c r="Q2268" s="8"/>
      <c r="R2268" s="8"/>
      <c r="S2268" s="8"/>
      <c r="T2268" s="8"/>
      <c r="U2268" s="8"/>
    </row>
    <row r="2269" spans="10:21">
      <c r="J2269" s="8"/>
      <c r="K2269" s="8"/>
      <c r="L2269" s="8"/>
      <c r="M2269" s="8"/>
      <c r="N2269" s="8"/>
      <c r="O2269" s="8"/>
      <c r="P2269" s="8"/>
      <c r="Q2269" s="8"/>
      <c r="R2269" s="8"/>
      <c r="S2269" s="8"/>
      <c r="T2269" s="8"/>
      <c r="U2269" s="8"/>
    </row>
    <row r="2270" spans="10:21">
      <c r="J2270" s="8"/>
      <c r="K2270" s="8"/>
      <c r="L2270" s="8"/>
      <c r="M2270" s="8"/>
      <c r="N2270" s="8"/>
      <c r="O2270" s="8"/>
      <c r="P2270" s="8"/>
      <c r="Q2270" s="8"/>
      <c r="R2270" s="8"/>
      <c r="S2270" s="8"/>
      <c r="T2270" s="8"/>
      <c r="U2270" s="8"/>
    </row>
    <row r="2271" spans="10:21">
      <c r="J2271" s="8"/>
      <c r="K2271" s="8"/>
      <c r="L2271" s="8"/>
      <c r="M2271" s="8"/>
      <c r="N2271" s="8"/>
      <c r="O2271" s="8"/>
      <c r="P2271" s="8"/>
      <c r="Q2271" s="8"/>
      <c r="R2271" s="8"/>
      <c r="S2271" s="8"/>
      <c r="T2271" s="8"/>
      <c r="U2271" s="8"/>
    </row>
    <row r="2272" spans="10:21">
      <c r="J2272" s="8"/>
      <c r="K2272" s="8"/>
      <c r="L2272" s="8"/>
      <c r="M2272" s="8"/>
      <c r="N2272" s="8"/>
      <c r="O2272" s="8"/>
      <c r="P2272" s="8"/>
      <c r="Q2272" s="8"/>
      <c r="R2272" s="8"/>
      <c r="S2272" s="8"/>
      <c r="T2272" s="8"/>
      <c r="U2272" s="8"/>
    </row>
    <row r="2273" spans="10:21">
      <c r="J2273" s="8"/>
      <c r="K2273" s="8"/>
      <c r="L2273" s="8"/>
      <c r="M2273" s="8"/>
      <c r="N2273" s="8"/>
      <c r="O2273" s="8"/>
      <c r="P2273" s="8"/>
      <c r="Q2273" s="8"/>
      <c r="R2273" s="8"/>
      <c r="S2273" s="8"/>
      <c r="T2273" s="8"/>
      <c r="U2273" s="8"/>
    </row>
    <row r="2274" spans="10:21">
      <c r="J2274" s="8"/>
      <c r="K2274" s="8"/>
      <c r="L2274" s="8"/>
      <c r="M2274" s="8"/>
      <c r="N2274" s="8"/>
      <c r="O2274" s="8"/>
      <c r="P2274" s="8"/>
      <c r="Q2274" s="8"/>
      <c r="R2274" s="8"/>
      <c r="S2274" s="8"/>
      <c r="T2274" s="8"/>
      <c r="U2274" s="8"/>
    </row>
    <row r="2275" spans="10:21">
      <c r="J2275" s="8"/>
      <c r="K2275" s="8"/>
      <c r="L2275" s="8"/>
      <c r="M2275" s="8"/>
      <c r="N2275" s="8"/>
      <c r="O2275" s="8"/>
      <c r="P2275" s="8"/>
      <c r="Q2275" s="8"/>
      <c r="R2275" s="8"/>
      <c r="S2275" s="8"/>
      <c r="T2275" s="8"/>
      <c r="U2275" s="8"/>
    </row>
    <row r="2276" spans="10:21">
      <c r="J2276" s="8"/>
      <c r="K2276" s="8"/>
      <c r="L2276" s="8"/>
      <c r="M2276" s="8"/>
      <c r="N2276" s="8"/>
      <c r="O2276" s="8"/>
      <c r="P2276" s="8"/>
      <c r="Q2276" s="8"/>
      <c r="R2276" s="8"/>
      <c r="S2276" s="8"/>
      <c r="T2276" s="8"/>
      <c r="U2276" s="8"/>
    </row>
    <row r="2277" spans="10:21">
      <c r="J2277" s="8"/>
      <c r="K2277" s="8"/>
      <c r="L2277" s="8"/>
      <c r="M2277" s="8"/>
      <c r="N2277" s="8"/>
      <c r="O2277" s="8"/>
      <c r="P2277" s="8"/>
      <c r="Q2277" s="8"/>
      <c r="R2277" s="8"/>
      <c r="S2277" s="8"/>
      <c r="T2277" s="8"/>
      <c r="U2277" s="8"/>
    </row>
    <row r="2278" spans="10:21">
      <c r="J2278" s="8"/>
      <c r="K2278" s="8"/>
      <c r="L2278" s="8"/>
      <c r="M2278" s="8"/>
      <c r="N2278" s="8"/>
      <c r="O2278" s="8"/>
      <c r="P2278" s="8"/>
      <c r="Q2278" s="8"/>
      <c r="R2278" s="8"/>
      <c r="S2278" s="8"/>
      <c r="T2278" s="8"/>
      <c r="U2278" s="8"/>
    </row>
    <row r="2279" spans="10:21">
      <c r="J2279" s="8"/>
      <c r="K2279" s="8"/>
      <c r="L2279" s="8"/>
      <c r="M2279" s="8"/>
      <c r="N2279" s="8"/>
      <c r="O2279" s="8"/>
      <c r="P2279" s="8"/>
      <c r="Q2279" s="8"/>
      <c r="R2279" s="8"/>
      <c r="S2279" s="8"/>
      <c r="T2279" s="8"/>
      <c r="U2279" s="8"/>
    </row>
    <row r="2280" spans="10:21">
      <c r="J2280" s="8"/>
      <c r="K2280" s="8"/>
      <c r="L2280" s="8"/>
      <c r="M2280" s="8"/>
      <c r="N2280" s="8"/>
      <c r="O2280" s="8"/>
      <c r="P2280" s="8"/>
      <c r="Q2280" s="8"/>
      <c r="R2280" s="8"/>
      <c r="S2280" s="8"/>
      <c r="T2280" s="8"/>
      <c r="U2280" s="8"/>
    </row>
    <row r="2281" spans="10:21">
      <c r="J2281" s="8"/>
      <c r="K2281" s="8"/>
      <c r="L2281" s="8"/>
      <c r="M2281" s="8"/>
      <c r="N2281" s="8"/>
      <c r="O2281" s="8"/>
      <c r="P2281" s="8"/>
      <c r="Q2281" s="8"/>
      <c r="R2281" s="8"/>
      <c r="S2281" s="8"/>
      <c r="T2281" s="8"/>
      <c r="U2281" s="8"/>
    </row>
    <row r="2282" spans="10:21">
      <c r="J2282" s="8"/>
      <c r="K2282" s="8"/>
      <c r="L2282" s="8"/>
      <c r="M2282" s="8"/>
      <c r="N2282" s="8"/>
      <c r="O2282" s="8"/>
      <c r="P2282" s="8"/>
      <c r="Q2282" s="8"/>
      <c r="R2282" s="8"/>
      <c r="S2282" s="8"/>
      <c r="T2282" s="8"/>
      <c r="U2282" s="8"/>
    </row>
    <row r="2283" spans="10:21">
      <c r="J2283" s="8"/>
      <c r="K2283" s="8"/>
      <c r="L2283" s="8"/>
      <c r="M2283" s="8"/>
      <c r="N2283" s="8"/>
      <c r="O2283" s="8"/>
      <c r="P2283" s="8"/>
      <c r="Q2283" s="8"/>
      <c r="R2283" s="8"/>
      <c r="S2283" s="8"/>
      <c r="T2283" s="8"/>
      <c r="U2283" s="8"/>
    </row>
    <row r="2284" spans="10:21">
      <c r="J2284" s="8"/>
      <c r="K2284" s="8"/>
      <c r="L2284" s="8"/>
      <c r="M2284" s="8"/>
      <c r="N2284" s="8"/>
      <c r="O2284" s="8"/>
      <c r="P2284" s="8"/>
      <c r="Q2284" s="8"/>
      <c r="R2284" s="8"/>
      <c r="S2284" s="8"/>
      <c r="T2284" s="8"/>
      <c r="U2284" s="8"/>
    </row>
    <row r="2285" spans="10:21">
      <c r="J2285" s="8"/>
      <c r="K2285" s="8"/>
      <c r="L2285" s="8"/>
      <c r="M2285" s="8"/>
      <c r="N2285" s="8"/>
      <c r="O2285" s="8"/>
      <c r="P2285" s="8"/>
      <c r="Q2285" s="8"/>
      <c r="R2285" s="8"/>
      <c r="S2285" s="8"/>
      <c r="T2285" s="8"/>
      <c r="U2285" s="8"/>
    </row>
    <row r="2286" spans="10:21">
      <c r="J2286" s="8"/>
      <c r="K2286" s="8"/>
      <c r="L2286" s="8"/>
      <c r="M2286" s="8"/>
      <c r="N2286" s="8"/>
      <c r="O2286" s="8"/>
      <c r="P2286" s="8"/>
      <c r="Q2286" s="8"/>
      <c r="R2286" s="8"/>
      <c r="S2286" s="8"/>
      <c r="T2286" s="8"/>
      <c r="U2286" s="8"/>
    </row>
    <row r="2287" spans="10:21">
      <c r="J2287" s="8"/>
      <c r="K2287" s="8"/>
      <c r="L2287" s="8"/>
      <c r="M2287" s="8"/>
      <c r="N2287" s="8"/>
      <c r="O2287" s="8"/>
      <c r="P2287" s="8"/>
      <c r="Q2287" s="8"/>
      <c r="R2287" s="8"/>
      <c r="S2287" s="8"/>
      <c r="T2287" s="8"/>
      <c r="U2287" s="8"/>
    </row>
    <row r="2288" spans="10:21">
      <c r="J2288" s="8"/>
      <c r="K2288" s="8"/>
      <c r="L2288" s="8"/>
      <c r="M2288" s="8"/>
      <c r="N2288" s="8"/>
      <c r="O2288" s="8"/>
      <c r="P2288" s="8"/>
      <c r="Q2288" s="8"/>
      <c r="R2288" s="8"/>
      <c r="S2288" s="8"/>
      <c r="T2288" s="8"/>
      <c r="U2288" s="8"/>
    </row>
    <row r="2289" spans="10:21">
      <c r="J2289" s="8"/>
      <c r="K2289" s="8"/>
      <c r="L2289" s="8"/>
      <c r="M2289" s="8"/>
      <c r="N2289" s="8"/>
      <c r="O2289" s="8"/>
      <c r="P2289" s="8"/>
      <c r="Q2289" s="8"/>
      <c r="R2289" s="8"/>
      <c r="S2289" s="8"/>
      <c r="T2289" s="8"/>
      <c r="U2289" s="8"/>
    </row>
    <row r="2290" spans="10:21">
      <c r="J2290" s="8"/>
      <c r="K2290" s="8"/>
      <c r="L2290" s="8"/>
      <c r="M2290" s="8"/>
      <c r="N2290" s="8"/>
      <c r="O2290" s="8"/>
      <c r="P2290" s="8"/>
      <c r="Q2290" s="8"/>
      <c r="R2290" s="8"/>
      <c r="S2290" s="8"/>
      <c r="T2290" s="8"/>
      <c r="U2290" s="8"/>
    </row>
    <row r="2291" spans="10:21">
      <c r="J2291" s="8"/>
      <c r="K2291" s="8"/>
      <c r="L2291" s="8"/>
      <c r="M2291" s="8"/>
      <c r="N2291" s="8"/>
      <c r="O2291" s="8"/>
      <c r="P2291" s="8"/>
      <c r="Q2291" s="8"/>
      <c r="R2291" s="8"/>
      <c r="S2291" s="8"/>
      <c r="T2291" s="8"/>
      <c r="U2291" s="8"/>
    </row>
    <row r="2292" spans="10:21">
      <c r="J2292" s="8"/>
      <c r="K2292" s="8"/>
      <c r="L2292" s="8"/>
      <c r="M2292" s="8"/>
      <c r="N2292" s="8"/>
      <c r="O2292" s="8"/>
      <c r="P2292" s="8"/>
      <c r="Q2292" s="8"/>
      <c r="R2292" s="8"/>
      <c r="S2292" s="8"/>
      <c r="T2292" s="8"/>
      <c r="U2292" s="8"/>
    </row>
    <row r="2293" spans="10:21">
      <c r="J2293" s="8"/>
      <c r="K2293" s="8"/>
      <c r="L2293" s="8"/>
      <c r="M2293" s="8"/>
      <c r="N2293" s="8"/>
      <c r="O2293" s="8"/>
      <c r="P2293" s="8"/>
      <c r="Q2293" s="8"/>
      <c r="R2293" s="8"/>
      <c r="S2293" s="8"/>
      <c r="T2293" s="8"/>
      <c r="U2293" s="8"/>
    </row>
    <row r="2294" spans="10:21">
      <c r="J2294" s="8"/>
      <c r="K2294" s="8"/>
      <c r="L2294" s="8"/>
      <c r="M2294" s="8"/>
      <c r="N2294" s="8"/>
      <c r="O2294" s="8"/>
      <c r="P2294" s="8"/>
      <c r="Q2294" s="8"/>
      <c r="R2294" s="8"/>
      <c r="S2294" s="8"/>
      <c r="T2294" s="8"/>
      <c r="U2294" s="8"/>
    </row>
    <row r="2295" spans="10:21">
      <c r="J2295" s="8"/>
      <c r="K2295" s="8"/>
      <c r="L2295" s="8"/>
      <c r="M2295" s="8"/>
      <c r="N2295" s="8"/>
      <c r="O2295" s="8"/>
      <c r="P2295" s="8"/>
      <c r="Q2295" s="8"/>
      <c r="R2295" s="8"/>
      <c r="S2295" s="8"/>
      <c r="T2295" s="8"/>
      <c r="U2295" s="8"/>
    </row>
    <row r="2296" spans="10:21">
      <c r="J2296" s="8"/>
      <c r="K2296" s="8"/>
      <c r="L2296" s="8"/>
      <c r="M2296" s="8"/>
      <c r="N2296" s="8"/>
      <c r="O2296" s="8"/>
      <c r="P2296" s="8"/>
      <c r="Q2296" s="8"/>
      <c r="R2296" s="8"/>
      <c r="S2296" s="8"/>
      <c r="T2296" s="8"/>
      <c r="U2296" s="8"/>
    </row>
    <row r="2297" spans="10:21">
      <c r="J2297" s="8"/>
      <c r="K2297" s="8"/>
      <c r="L2297" s="8"/>
      <c r="M2297" s="8"/>
      <c r="N2297" s="8"/>
      <c r="O2297" s="8"/>
      <c r="P2297" s="8"/>
      <c r="Q2297" s="8"/>
      <c r="R2297" s="8"/>
      <c r="S2297" s="8"/>
      <c r="T2297" s="8"/>
      <c r="U2297" s="8"/>
    </row>
    <row r="2298" spans="10:21">
      <c r="J2298" s="8"/>
      <c r="K2298" s="8"/>
      <c r="L2298" s="8"/>
      <c r="M2298" s="8"/>
      <c r="N2298" s="8"/>
      <c r="O2298" s="8"/>
      <c r="P2298" s="8"/>
      <c r="Q2298" s="8"/>
      <c r="R2298" s="8"/>
      <c r="S2298" s="8"/>
      <c r="T2298" s="8"/>
      <c r="U2298" s="8"/>
    </row>
    <row r="2299" spans="10:21">
      <c r="J2299" s="8"/>
      <c r="K2299" s="8"/>
      <c r="L2299" s="8"/>
      <c r="M2299" s="8"/>
      <c r="N2299" s="8"/>
      <c r="O2299" s="8"/>
      <c r="P2299" s="8"/>
      <c r="Q2299" s="8"/>
      <c r="R2299" s="8"/>
      <c r="S2299" s="8"/>
      <c r="T2299" s="8"/>
      <c r="U2299" s="8"/>
    </row>
    <row r="2300" spans="10:21">
      <c r="J2300" s="8"/>
      <c r="K2300" s="8"/>
      <c r="L2300" s="8"/>
      <c r="M2300" s="8"/>
      <c r="N2300" s="8"/>
      <c r="O2300" s="8"/>
      <c r="P2300" s="8"/>
      <c r="Q2300" s="8"/>
      <c r="R2300" s="8"/>
      <c r="S2300" s="8"/>
      <c r="T2300" s="8"/>
      <c r="U2300" s="8"/>
    </row>
    <row r="2301" spans="10:21">
      <c r="J2301" s="8"/>
      <c r="K2301" s="8"/>
      <c r="L2301" s="8"/>
      <c r="M2301" s="8"/>
      <c r="N2301" s="8"/>
      <c r="O2301" s="8"/>
      <c r="P2301" s="8"/>
      <c r="Q2301" s="8"/>
      <c r="R2301" s="8"/>
      <c r="S2301" s="8"/>
      <c r="T2301" s="8"/>
      <c r="U2301" s="8"/>
    </row>
    <row r="2302" spans="10:21">
      <c r="J2302" s="8"/>
      <c r="K2302" s="8"/>
      <c r="L2302" s="8"/>
      <c r="M2302" s="8"/>
      <c r="N2302" s="8"/>
      <c r="O2302" s="8"/>
      <c r="P2302" s="8"/>
      <c r="Q2302" s="8"/>
      <c r="R2302" s="8"/>
      <c r="S2302" s="8"/>
      <c r="T2302" s="8"/>
      <c r="U2302" s="8"/>
    </row>
    <row r="2303" spans="10:21">
      <c r="J2303" s="8"/>
      <c r="K2303" s="8"/>
      <c r="L2303" s="8"/>
      <c r="M2303" s="8"/>
      <c r="N2303" s="8"/>
      <c r="O2303" s="8"/>
      <c r="P2303" s="8"/>
      <c r="Q2303" s="8"/>
      <c r="R2303" s="8"/>
      <c r="S2303" s="8"/>
      <c r="T2303" s="8"/>
      <c r="U2303" s="8"/>
    </row>
    <row r="2304" spans="10:21">
      <c r="J2304" s="8"/>
      <c r="K2304" s="8"/>
      <c r="L2304" s="8"/>
      <c r="M2304" s="8"/>
      <c r="N2304" s="8"/>
      <c r="O2304" s="8"/>
      <c r="P2304" s="8"/>
      <c r="Q2304" s="8"/>
      <c r="R2304" s="8"/>
      <c r="S2304" s="8"/>
      <c r="T2304" s="8"/>
      <c r="U2304" s="8"/>
    </row>
    <row r="2305" spans="10:21">
      <c r="J2305" s="8"/>
      <c r="K2305" s="8"/>
      <c r="L2305" s="8"/>
      <c r="M2305" s="8"/>
      <c r="N2305" s="8"/>
      <c r="O2305" s="8"/>
      <c r="P2305" s="8"/>
      <c r="Q2305" s="8"/>
      <c r="R2305" s="8"/>
      <c r="S2305" s="8"/>
      <c r="T2305" s="8"/>
      <c r="U2305" s="8"/>
    </row>
    <row r="2306" spans="10:21">
      <c r="J2306" s="8"/>
      <c r="K2306" s="8"/>
      <c r="L2306" s="8"/>
      <c r="M2306" s="8"/>
      <c r="N2306" s="8"/>
      <c r="O2306" s="8"/>
      <c r="P2306" s="8"/>
      <c r="Q2306" s="8"/>
      <c r="R2306" s="8"/>
      <c r="S2306" s="8"/>
      <c r="T2306" s="8"/>
      <c r="U2306" s="8"/>
    </row>
    <row r="2307" spans="10:21">
      <c r="J2307" s="8"/>
      <c r="K2307" s="8"/>
      <c r="L2307" s="8"/>
      <c r="M2307" s="8"/>
      <c r="N2307" s="8"/>
      <c r="O2307" s="8"/>
      <c r="P2307" s="8"/>
      <c r="Q2307" s="8"/>
      <c r="R2307" s="8"/>
      <c r="S2307" s="8"/>
      <c r="T2307" s="8"/>
      <c r="U2307" s="8"/>
    </row>
    <row r="2308" spans="10:21">
      <c r="J2308" s="8"/>
      <c r="K2308" s="8"/>
      <c r="L2308" s="8"/>
      <c r="M2308" s="8"/>
      <c r="N2308" s="8"/>
      <c r="O2308" s="8"/>
      <c r="P2308" s="8"/>
      <c r="Q2308" s="8"/>
      <c r="R2308" s="8"/>
      <c r="S2308" s="8"/>
      <c r="T2308" s="8"/>
      <c r="U2308" s="8"/>
    </row>
    <row r="2309" spans="10:21">
      <c r="J2309" s="8"/>
      <c r="K2309" s="8"/>
      <c r="L2309" s="8"/>
      <c r="M2309" s="8"/>
      <c r="N2309" s="8"/>
      <c r="O2309" s="8"/>
      <c r="P2309" s="8"/>
      <c r="Q2309" s="8"/>
      <c r="R2309" s="8"/>
      <c r="S2309" s="8"/>
      <c r="T2309" s="8"/>
      <c r="U2309" s="8"/>
    </row>
    <row r="2310" spans="10:21">
      <c r="J2310" s="8"/>
      <c r="K2310" s="8"/>
      <c r="L2310" s="8"/>
      <c r="M2310" s="8"/>
      <c r="N2310" s="8"/>
      <c r="O2310" s="8"/>
      <c r="P2310" s="8"/>
      <c r="Q2310" s="8"/>
      <c r="R2310" s="8"/>
      <c r="S2310" s="8"/>
      <c r="T2310" s="8"/>
      <c r="U2310" s="8"/>
    </row>
    <row r="2311" spans="10:21">
      <c r="J2311" s="8"/>
      <c r="K2311" s="8"/>
      <c r="L2311" s="8"/>
      <c r="M2311" s="8"/>
      <c r="N2311" s="8"/>
      <c r="O2311" s="8"/>
      <c r="P2311" s="8"/>
      <c r="Q2311" s="8"/>
      <c r="R2311" s="8"/>
      <c r="S2311" s="8"/>
      <c r="T2311" s="8"/>
      <c r="U2311" s="8"/>
    </row>
    <row r="2312" spans="10:21">
      <c r="J2312" s="8"/>
      <c r="K2312" s="8"/>
      <c r="L2312" s="8"/>
      <c r="M2312" s="8"/>
      <c r="N2312" s="8"/>
      <c r="O2312" s="8"/>
      <c r="P2312" s="8"/>
      <c r="Q2312" s="8"/>
      <c r="R2312" s="8"/>
      <c r="S2312" s="8"/>
      <c r="T2312" s="8"/>
      <c r="U2312" s="8"/>
    </row>
    <row r="2313" spans="10:21">
      <c r="J2313" s="8"/>
      <c r="K2313" s="8"/>
      <c r="L2313" s="8"/>
      <c r="M2313" s="8"/>
      <c r="N2313" s="8"/>
      <c r="O2313" s="8"/>
      <c r="P2313" s="8"/>
      <c r="Q2313" s="8"/>
      <c r="R2313" s="8"/>
      <c r="S2313" s="8"/>
      <c r="T2313" s="8"/>
      <c r="U2313" s="8"/>
    </row>
    <row r="2314" spans="10:21">
      <c r="J2314" s="8"/>
      <c r="K2314" s="8"/>
      <c r="L2314" s="8"/>
      <c r="M2314" s="8"/>
      <c r="N2314" s="8"/>
      <c r="O2314" s="8"/>
      <c r="P2314" s="8"/>
      <c r="Q2314" s="8"/>
      <c r="R2314" s="8"/>
      <c r="S2314" s="8"/>
      <c r="T2314" s="8"/>
      <c r="U2314" s="8"/>
    </row>
    <row r="2315" spans="10:21">
      <c r="J2315" s="8"/>
      <c r="K2315" s="8"/>
      <c r="L2315" s="8"/>
      <c r="M2315" s="8"/>
      <c r="N2315" s="8"/>
      <c r="O2315" s="8"/>
      <c r="P2315" s="8"/>
      <c r="Q2315" s="8"/>
      <c r="R2315" s="8"/>
      <c r="S2315" s="8"/>
      <c r="T2315" s="8"/>
      <c r="U2315" s="8"/>
    </row>
    <row r="2316" spans="10:21">
      <c r="J2316" s="8"/>
      <c r="K2316" s="8"/>
      <c r="L2316" s="8"/>
      <c r="M2316" s="8"/>
      <c r="N2316" s="8"/>
      <c r="O2316" s="8"/>
      <c r="P2316" s="8"/>
      <c r="Q2316" s="8"/>
      <c r="R2316" s="8"/>
      <c r="S2316" s="8"/>
      <c r="T2316" s="8"/>
      <c r="U2316" s="8"/>
    </row>
    <row r="2317" spans="10:21">
      <c r="J2317" s="8"/>
      <c r="K2317" s="8"/>
      <c r="L2317" s="8"/>
      <c r="M2317" s="8"/>
      <c r="N2317" s="8"/>
      <c r="O2317" s="8"/>
      <c r="P2317" s="8"/>
      <c r="Q2317" s="8"/>
      <c r="R2317" s="8"/>
      <c r="S2317" s="8"/>
      <c r="T2317" s="8"/>
      <c r="U2317" s="8"/>
    </row>
    <row r="2318" spans="10:21">
      <c r="J2318" s="8"/>
      <c r="K2318" s="8"/>
      <c r="L2318" s="8"/>
      <c r="M2318" s="8"/>
      <c r="N2318" s="8"/>
      <c r="O2318" s="8"/>
      <c r="P2318" s="8"/>
      <c r="Q2318" s="8"/>
      <c r="R2318" s="8"/>
      <c r="S2318" s="8"/>
      <c r="T2318" s="8"/>
      <c r="U2318" s="8"/>
    </row>
    <row r="2319" spans="10:21">
      <c r="J2319" s="8"/>
      <c r="K2319" s="8"/>
      <c r="L2319" s="8"/>
      <c r="M2319" s="8"/>
      <c r="N2319" s="8"/>
      <c r="O2319" s="8"/>
      <c r="P2319" s="8"/>
      <c r="Q2319" s="8"/>
      <c r="R2319" s="8"/>
      <c r="S2319" s="8"/>
      <c r="T2319" s="8"/>
      <c r="U2319" s="8"/>
    </row>
    <row r="2320" spans="10:21">
      <c r="J2320" s="8"/>
      <c r="K2320" s="8"/>
      <c r="L2320" s="8"/>
      <c r="M2320" s="8"/>
      <c r="N2320" s="8"/>
      <c r="O2320" s="8"/>
      <c r="P2320" s="8"/>
      <c r="Q2320" s="8"/>
      <c r="R2320" s="8"/>
      <c r="S2320" s="8"/>
      <c r="T2320" s="8"/>
      <c r="U2320" s="8"/>
    </row>
    <row r="2321" spans="10:21">
      <c r="J2321" s="8"/>
      <c r="K2321" s="8"/>
      <c r="L2321" s="8"/>
      <c r="M2321" s="8"/>
      <c r="N2321" s="8"/>
      <c r="O2321" s="8"/>
      <c r="P2321" s="8"/>
      <c r="Q2321" s="8"/>
      <c r="R2321" s="8"/>
      <c r="S2321" s="8"/>
      <c r="T2321" s="8"/>
      <c r="U2321" s="8"/>
    </row>
    <row r="2322" spans="10:21">
      <c r="J2322" s="8"/>
      <c r="K2322" s="8"/>
      <c r="L2322" s="8"/>
      <c r="M2322" s="8"/>
      <c r="N2322" s="8"/>
      <c r="O2322" s="8"/>
      <c r="P2322" s="8"/>
      <c r="Q2322" s="8"/>
      <c r="R2322" s="8"/>
      <c r="S2322" s="8"/>
      <c r="T2322" s="8"/>
      <c r="U2322" s="8"/>
    </row>
    <row r="2323" spans="10:21">
      <c r="J2323" s="8"/>
      <c r="K2323" s="8"/>
      <c r="L2323" s="8"/>
      <c r="M2323" s="8"/>
      <c r="N2323" s="8"/>
      <c r="O2323" s="8"/>
      <c r="P2323" s="8"/>
      <c r="Q2323" s="8"/>
      <c r="R2323" s="8"/>
      <c r="S2323" s="8"/>
      <c r="T2323" s="8"/>
      <c r="U2323" s="8"/>
    </row>
    <row r="2324" spans="10:21">
      <c r="J2324" s="8"/>
      <c r="K2324" s="8"/>
      <c r="L2324" s="8"/>
      <c r="M2324" s="8"/>
      <c r="N2324" s="8"/>
      <c r="O2324" s="8"/>
      <c r="P2324" s="8"/>
      <c r="Q2324" s="8"/>
      <c r="R2324" s="8"/>
      <c r="S2324" s="8"/>
      <c r="T2324" s="8"/>
      <c r="U2324" s="8"/>
    </row>
    <row r="2325" spans="10:21">
      <c r="J2325" s="8"/>
      <c r="K2325" s="8"/>
      <c r="L2325" s="8"/>
      <c r="M2325" s="8"/>
      <c r="N2325" s="8"/>
      <c r="O2325" s="8"/>
      <c r="P2325" s="8"/>
      <c r="Q2325" s="8"/>
      <c r="R2325" s="8"/>
      <c r="S2325" s="8"/>
      <c r="T2325" s="8"/>
      <c r="U2325" s="8"/>
    </row>
    <row r="2326" spans="10:21">
      <c r="J2326" s="8"/>
      <c r="K2326" s="8"/>
      <c r="L2326" s="8"/>
      <c r="M2326" s="8"/>
      <c r="N2326" s="8"/>
      <c r="O2326" s="8"/>
      <c r="P2326" s="8"/>
      <c r="Q2326" s="8"/>
      <c r="R2326" s="8"/>
      <c r="S2326" s="8"/>
      <c r="T2326" s="8"/>
      <c r="U2326" s="8"/>
    </row>
    <row r="2327" spans="10:21">
      <c r="J2327" s="8"/>
      <c r="K2327" s="8"/>
      <c r="L2327" s="8"/>
      <c r="M2327" s="8"/>
      <c r="N2327" s="8"/>
      <c r="O2327" s="8"/>
      <c r="P2327" s="8"/>
      <c r="Q2327" s="8"/>
      <c r="R2327" s="8"/>
      <c r="S2327" s="8"/>
      <c r="T2327" s="8"/>
      <c r="U2327" s="8"/>
    </row>
    <row r="2328" spans="10:21">
      <c r="J2328" s="8"/>
      <c r="K2328" s="8"/>
      <c r="L2328" s="8"/>
      <c r="M2328" s="8"/>
      <c r="N2328" s="8"/>
      <c r="O2328" s="8"/>
      <c r="P2328" s="8"/>
      <c r="Q2328" s="8"/>
      <c r="R2328" s="8"/>
      <c r="S2328" s="8"/>
      <c r="T2328" s="8"/>
      <c r="U2328" s="8"/>
    </row>
    <row r="2329" spans="10:21">
      <c r="J2329" s="8"/>
      <c r="K2329" s="8"/>
      <c r="L2329" s="8"/>
      <c r="M2329" s="8"/>
      <c r="N2329" s="8"/>
      <c r="O2329" s="8"/>
      <c r="P2329" s="8"/>
      <c r="Q2329" s="8"/>
      <c r="R2329" s="8"/>
      <c r="S2329" s="8"/>
      <c r="T2329" s="8"/>
      <c r="U2329" s="8"/>
    </row>
    <row r="2330" spans="10:21">
      <c r="J2330" s="8"/>
      <c r="K2330" s="8"/>
      <c r="L2330" s="8"/>
      <c r="M2330" s="8"/>
      <c r="N2330" s="8"/>
      <c r="O2330" s="8"/>
      <c r="P2330" s="8"/>
      <c r="Q2330" s="8"/>
      <c r="R2330" s="8"/>
      <c r="S2330" s="8"/>
      <c r="T2330" s="8"/>
      <c r="U2330" s="8"/>
    </row>
    <row r="2331" spans="10:21">
      <c r="J2331" s="8"/>
      <c r="K2331" s="8"/>
      <c r="L2331" s="8"/>
      <c r="M2331" s="8"/>
      <c r="N2331" s="8"/>
      <c r="O2331" s="8"/>
      <c r="P2331" s="8"/>
      <c r="Q2331" s="8"/>
      <c r="R2331" s="8"/>
      <c r="S2331" s="8"/>
      <c r="T2331" s="8"/>
      <c r="U2331" s="8"/>
    </row>
    <row r="2332" spans="10:21">
      <c r="J2332" s="8"/>
      <c r="K2332" s="8"/>
      <c r="L2332" s="8"/>
      <c r="M2332" s="8"/>
      <c r="N2332" s="8"/>
      <c r="O2332" s="8"/>
      <c r="P2332" s="8"/>
      <c r="Q2332" s="8"/>
      <c r="R2332" s="8"/>
      <c r="S2332" s="8"/>
      <c r="T2332" s="8"/>
      <c r="U2332" s="8"/>
    </row>
    <row r="2333" spans="10:21">
      <c r="J2333" s="8"/>
      <c r="K2333" s="8"/>
      <c r="L2333" s="8"/>
      <c r="M2333" s="8"/>
      <c r="N2333" s="8"/>
      <c r="O2333" s="8"/>
      <c r="P2333" s="8"/>
      <c r="Q2333" s="8"/>
      <c r="R2333" s="8"/>
      <c r="S2333" s="8"/>
      <c r="T2333" s="8"/>
      <c r="U2333" s="8"/>
    </row>
    <row r="2334" spans="10:21">
      <c r="J2334" s="8"/>
      <c r="K2334" s="8"/>
      <c r="L2334" s="8"/>
      <c r="M2334" s="8"/>
      <c r="N2334" s="8"/>
      <c r="O2334" s="8"/>
      <c r="P2334" s="8"/>
      <c r="Q2334" s="8"/>
      <c r="R2334" s="8"/>
      <c r="S2334" s="8"/>
      <c r="T2334" s="8"/>
      <c r="U2334" s="8"/>
    </row>
    <row r="2335" spans="10:21">
      <c r="J2335" s="8"/>
      <c r="K2335" s="8"/>
      <c r="L2335" s="8"/>
      <c r="M2335" s="8"/>
      <c r="N2335" s="8"/>
      <c r="O2335" s="8"/>
      <c r="P2335" s="8"/>
      <c r="Q2335" s="8"/>
      <c r="R2335" s="8"/>
      <c r="S2335" s="8"/>
      <c r="T2335" s="8"/>
      <c r="U2335" s="8"/>
    </row>
    <row r="2336" spans="10:21">
      <c r="J2336" s="8"/>
      <c r="K2336" s="8"/>
      <c r="L2336" s="8"/>
      <c r="M2336" s="8"/>
      <c r="N2336" s="8"/>
      <c r="O2336" s="8"/>
      <c r="P2336" s="8"/>
      <c r="Q2336" s="8"/>
      <c r="R2336" s="8"/>
      <c r="S2336" s="8"/>
      <c r="T2336" s="8"/>
      <c r="U2336" s="8"/>
    </row>
    <row r="2337" spans="10:21">
      <c r="J2337" s="8"/>
      <c r="K2337" s="8"/>
      <c r="L2337" s="8"/>
      <c r="M2337" s="8"/>
      <c r="N2337" s="8"/>
      <c r="O2337" s="8"/>
      <c r="P2337" s="8"/>
      <c r="Q2337" s="8"/>
      <c r="R2337" s="8"/>
      <c r="S2337" s="8"/>
      <c r="T2337" s="8"/>
      <c r="U2337" s="8"/>
    </row>
    <row r="2338" spans="10:21">
      <c r="J2338" s="8"/>
      <c r="K2338" s="8"/>
      <c r="L2338" s="8"/>
      <c r="M2338" s="8"/>
      <c r="N2338" s="8"/>
      <c r="O2338" s="8"/>
      <c r="P2338" s="8"/>
      <c r="Q2338" s="8"/>
      <c r="R2338" s="8"/>
      <c r="S2338" s="8"/>
      <c r="T2338" s="8"/>
      <c r="U2338" s="8"/>
    </row>
    <row r="2339" spans="10:21">
      <c r="J2339" s="8"/>
      <c r="K2339" s="8"/>
      <c r="L2339" s="8"/>
      <c r="M2339" s="8"/>
      <c r="N2339" s="8"/>
      <c r="O2339" s="8"/>
      <c r="P2339" s="8"/>
      <c r="Q2339" s="8"/>
      <c r="R2339" s="8"/>
      <c r="S2339" s="8"/>
      <c r="T2339" s="8"/>
      <c r="U2339" s="8"/>
    </row>
    <row r="2340" spans="10:21">
      <c r="J2340" s="8"/>
      <c r="K2340" s="8"/>
      <c r="L2340" s="8"/>
      <c r="M2340" s="8"/>
      <c r="N2340" s="8"/>
      <c r="O2340" s="8"/>
      <c r="P2340" s="8"/>
      <c r="Q2340" s="8"/>
      <c r="R2340" s="8"/>
      <c r="S2340" s="8"/>
      <c r="T2340" s="8"/>
      <c r="U2340" s="8"/>
    </row>
    <row r="2341" spans="10:21">
      <c r="J2341" s="8"/>
      <c r="K2341" s="8"/>
      <c r="L2341" s="8"/>
      <c r="M2341" s="8"/>
      <c r="N2341" s="8"/>
      <c r="O2341" s="8"/>
      <c r="P2341" s="8"/>
      <c r="Q2341" s="8"/>
      <c r="R2341" s="8"/>
      <c r="S2341" s="8"/>
      <c r="T2341" s="8"/>
      <c r="U2341" s="8"/>
    </row>
    <row r="2342" spans="10:21">
      <c r="J2342" s="8"/>
      <c r="K2342" s="8"/>
      <c r="L2342" s="8"/>
      <c r="M2342" s="8"/>
      <c r="N2342" s="8"/>
      <c r="O2342" s="8"/>
      <c r="P2342" s="8"/>
      <c r="Q2342" s="8"/>
      <c r="R2342" s="8"/>
      <c r="S2342" s="8"/>
      <c r="T2342" s="8"/>
      <c r="U2342" s="8"/>
    </row>
    <row r="2343" spans="10:21">
      <c r="J2343" s="8"/>
      <c r="K2343" s="8"/>
      <c r="L2343" s="8"/>
      <c r="M2343" s="8"/>
      <c r="N2343" s="8"/>
      <c r="O2343" s="8"/>
      <c r="P2343" s="8"/>
      <c r="Q2343" s="8"/>
      <c r="R2343" s="8"/>
      <c r="S2343" s="8"/>
      <c r="T2343" s="8"/>
      <c r="U2343" s="8"/>
    </row>
    <row r="2344" spans="10:21">
      <c r="J2344" s="8"/>
      <c r="K2344" s="8"/>
      <c r="L2344" s="8"/>
      <c r="M2344" s="8"/>
      <c r="N2344" s="8"/>
      <c r="O2344" s="8"/>
      <c r="P2344" s="8"/>
      <c r="Q2344" s="8"/>
      <c r="R2344" s="8"/>
      <c r="S2344" s="8"/>
      <c r="T2344" s="8"/>
      <c r="U2344" s="8"/>
    </row>
    <row r="2345" spans="10:21">
      <c r="J2345" s="8"/>
      <c r="K2345" s="8"/>
      <c r="L2345" s="8"/>
      <c r="M2345" s="8"/>
      <c r="N2345" s="8"/>
      <c r="O2345" s="8"/>
      <c r="P2345" s="8"/>
      <c r="Q2345" s="8"/>
      <c r="R2345" s="8"/>
      <c r="S2345" s="8"/>
      <c r="T2345" s="8"/>
      <c r="U2345" s="8"/>
    </row>
    <row r="2346" spans="10:21">
      <c r="J2346" s="8"/>
      <c r="K2346" s="8"/>
      <c r="L2346" s="8"/>
      <c r="M2346" s="8"/>
      <c r="N2346" s="8"/>
      <c r="O2346" s="8"/>
      <c r="P2346" s="8"/>
      <c r="Q2346" s="8"/>
      <c r="R2346" s="8"/>
      <c r="S2346" s="8"/>
      <c r="T2346" s="8"/>
      <c r="U2346" s="8"/>
    </row>
    <row r="2347" spans="10:21">
      <c r="J2347" s="8"/>
      <c r="K2347" s="8"/>
      <c r="L2347" s="8"/>
      <c r="M2347" s="8"/>
      <c r="N2347" s="8"/>
      <c r="O2347" s="8"/>
      <c r="P2347" s="8"/>
      <c r="Q2347" s="8"/>
      <c r="R2347" s="8"/>
      <c r="S2347" s="8"/>
      <c r="T2347" s="8"/>
      <c r="U2347" s="8"/>
    </row>
    <row r="2348" spans="10:21">
      <c r="J2348" s="8"/>
      <c r="K2348" s="8"/>
      <c r="L2348" s="8"/>
      <c r="M2348" s="8"/>
      <c r="N2348" s="8"/>
      <c r="O2348" s="8"/>
      <c r="P2348" s="8"/>
      <c r="Q2348" s="8"/>
      <c r="R2348" s="8"/>
      <c r="S2348" s="8"/>
      <c r="T2348" s="8"/>
      <c r="U2348" s="8"/>
    </row>
    <row r="2349" spans="10:21">
      <c r="J2349" s="8"/>
      <c r="K2349" s="8"/>
      <c r="L2349" s="8"/>
      <c r="M2349" s="8"/>
      <c r="N2349" s="8"/>
      <c r="O2349" s="8"/>
      <c r="P2349" s="8"/>
      <c r="Q2349" s="8"/>
      <c r="R2349" s="8"/>
      <c r="S2349" s="8"/>
      <c r="T2349" s="8"/>
      <c r="U2349" s="8"/>
    </row>
    <row r="2350" spans="10:21">
      <c r="J2350" s="8"/>
      <c r="K2350" s="8"/>
      <c r="L2350" s="8"/>
      <c r="M2350" s="8"/>
      <c r="N2350" s="8"/>
      <c r="O2350" s="8"/>
      <c r="P2350" s="8"/>
      <c r="Q2350" s="8"/>
      <c r="R2350" s="8"/>
      <c r="S2350" s="8"/>
      <c r="T2350" s="8"/>
      <c r="U2350" s="8"/>
    </row>
    <row r="2351" spans="10:21">
      <c r="J2351" s="8"/>
      <c r="K2351" s="8"/>
      <c r="L2351" s="8"/>
      <c r="M2351" s="8"/>
      <c r="N2351" s="8"/>
      <c r="O2351" s="8"/>
      <c r="P2351" s="8"/>
      <c r="Q2351" s="8"/>
      <c r="R2351" s="8"/>
      <c r="S2351" s="8"/>
      <c r="T2351" s="8"/>
      <c r="U2351" s="8"/>
    </row>
    <row r="2352" spans="10:21">
      <c r="J2352" s="8"/>
      <c r="K2352" s="8"/>
      <c r="L2352" s="8"/>
      <c r="M2352" s="8"/>
      <c r="N2352" s="8"/>
      <c r="O2352" s="8"/>
      <c r="P2352" s="8"/>
      <c r="Q2352" s="8"/>
      <c r="R2352" s="8"/>
      <c r="S2352" s="8"/>
      <c r="T2352" s="8"/>
      <c r="U2352" s="8"/>
    </row>
    <row r="2353" spans="10:21">
      <c r="J2353" s="8"/>
      <c r="K2353" s="8"/>
      <c r="L2353" s="8"/>
      <c r="M2353" s="8"/>
      <c r="N2353" s="8"/>
      <c r="O2353" s="8"/>
      <c r="P2353" s="8"/>
      <c r="Q2353" s="8"/>
      <c r="R2353" s="8"/>
      <c r="S2353" s="8"/>
      <c r="T2353" s="8"/>
      <c r="U2353" s="8"/>
    </row>
    <row r="2354" spans="10:21">
      <c r="J2354" s="8"/>
      <c r="K2354" s="8"/>
      <c r="L2354" s="8"/>
      <c r="M2354" s="8"/>
      <c r="N2354" s="8"/>
      <c r="O2354" s="8"/>
      <c r="P2354" s="8"/>
      <c r="Q2354" s="8"/>
      <c r="R2354" s="8"/>
      <c r="S2354" s="8"/>
      <c r="T2354" s="8"/>
      <c r="U2354" s="8"/>
    </row>
    <row r="2355" spans="10:21">
      <c r="J2355" s="8"/>
      <c r="K2355" s="8"/>
      <c r="L2355" s="8"/>
      <c r="M2355" s="8"/>
      <c r="N2355" s="8"/>
      <c r="O2355" s="8"/>
      <c r="P2355" s="8"/>
      <c r="Q2355" s="8"/>
      <c r="R2355" s="8"/>
      <c r="S2355" s="8"/>
      <c r="T2355" s="8"/>
      <c r="U2355" s="8"/>
    </row>
    <row r="2356" spans="10:21">
      <c r="J2356" s="8"/>
      <c r="K2356" s="8"/>
      <c r="L2356" s="8"/>
      <c r="M2356" s="8"/>
      <c r="N2356" s="8"/>
      <c r="O2356" s="8"/>
      <c r="P2356" s="8"/>
      <c r="Q2356" s="8"/>
      <c r="R2356" s="8"/>
      <c r="S2356" s="8"/>
      <c r="T2356" s="8"/>
      <c r="U2356" s="8"/>
    </row>
    <row r="2357" spans="10:21">
      <c r="J2357" s="8"/>
      <c r="K2357" s="8"/>
      <c r="L2357" s="8"/>
      <c r="M2357" s="8"/>
      <c r="N2357" s="8"/>
      <c r="O2357" s="8"/>
      <c r="P2357" s="8"/>
      <c r="Q2357" s="8"/>
      <c r="R2357" s="8"/>
      <c r="S2357" s="8"/>
      <c r="T2357" s="8"/>
      <c r="U2357" s="8"/>
    </row>
    <row r="2358" spans="10:21">
      <c r="J2358" s="8"/>
      <c r="K2358" s="8"/>
      <c r="L2358" s="8"/>
      <c r="M2358" s="8"/>
      <c r="N2358" s="8"/>
      <c r="O2358" s="8"/>
      <c r="P2358" s="8"/>
      <c r="Q2358" s="8"/>
      <c r="R2358" s="8"/>
      <c r="S2358" s="8"/>
      <c r="T2358" s="8"/>
      <c r="U2358" s="8"/>
    </row>
    <row r="2359" spans="10:21">
      <c r="J2359" s="8"/>
      <c r="K2359" s="8"/>
      <c r="L2359" s="8"/>
      <c r="M2359" s="8"/>
      <c r="N2359" s="8"/>
      <c r="O2359" s="8"/>
      <c r="P2359" s="8"/>
      <c r="Q2359" s="8"/>
      <c r="R2359" s="8"/>
      <c r="S2359" s="8"/>
      <c r="T2359" s="8"/>
      <c r="U2359" s="8"/>
    </row>
    <row r="2360" spans="10:21">
      <c r="J2360" s="8"/>
      <c r="K2360" s="8"/>
      <c r="L2360" s="8"/>
      <c r="M2360" s="8"/>
      <c r="N2360" s="8"/>
      <c r="O2360" s="8"/>
      <c r="P2360" s="8"/>
      <c r="Q2360" s="8"/>
      <c r="R2360" s="8"/>
      <c r="S2360" s="8"/>
      <c r="T2360" s="8"/>
      <c r="U2360" s="8"/>
    </row>
    <row r="2361" spans="10:21">
      <c r="J2361" s="8"/>
      <c r="K2361" s="8"/>
      <c r="L2361" s="8"/>
      <c r="M2361" s="8"/>
      <c r="N2361" s="8"/>
      <c r="O2361" s="8"/>
      <c r="P2361" s="8"/>
      <c r="Q2361" s="8"/>
      <c r="R2361" s="8"/>
      <c r="S2361" s="8"/>
      <c r="T2361" s="8"/>
      <c r="U2361" s="8"/>
    </row>
    <row r="2362" spans="10:21">
      <c r="J2362" s="8"/>
      <c r="K2362" s="8"/>
      <c r="L2362" s="8"/>
      <c r="M2362" s="8"/>
      <c r="N2362" s="8"/>
      <c r="O2362" s="8"/>
      <c r="P2362" s="8"/>
      <c r="Q2362" s="8"/>
      <c r="R2362" s="8"/>
      <c r="S2362" s="8"/>
      <c r="T2362" s="8"/>
      <c r="U2362" s="8"/>
    </row>
    <row r="2363" spans="10:21">
      <c r="J2363" s="8"/>
      <c r="K2363" s="8"/>
      <c r="L2363" s="8"/>
      <c r="M2363" s="8"/>
      <c r="N2363" s="8"/>
      <c r="O2363" s="8"/>
      <c r="P2363" s="8"/>
      <c r="Q2363" s="8"/>
      <c r="R2363" s="8"/>
      <c r="S2363" s="8"/>
      <c r="T2363" s="8"/>
      <c r="U2363" s="8"/>
    </row>
    <row r="2364" spans="10:21">
      <c r="J2364" s="8"/>
      <c r="K2364" s="8"/>
      <c r="L2364" s="8"/>
      <c r="M2364" s="8"/>
      <c r="N2364" s="8"/>
      <c r="O2364" s="8"/>
      <c r="P2364" s="8"/>
      <c r="Q2364" s="8"/>
      <c r="R2364" s="8"/>
      <c r="S2364" s="8"/>
      <c r="T2364" s="8"/>
      <c r="U2364" s="8"/>
    </row>
    <row r="2365" spans="10:21">
      <c r="J2365" s="8"/>
      <c r="K2365" s="8"/>
      <c r="L2365" s="8"/>
      <c r="M2365" s="8"/>
      <c r="N2365" s="8"/>
      <c r="O2365" s="8"/>
      <c r="P2365" s="8"/>
      <c r="Q2365" s="8"/>
      <c r="R2365" s="8"/>
      <c r="S2365" s="8"/>
      <c r="T2365" s="8"/>
      <c r="U2365" s="8"/>
    </row>
    <row r="2366" spans="10:21">
      <c r="J2366" s="8"/>
      <c r="K2366" s="8"/>
      <c r="L2366" s="8"/>
      <c r="M2366" s="8"/>
      <c r="N2366" s="8"/>
      <c r="O2366" s="8"/>
      <c r="P2366" s="8"/>
      <c r="Q2366" s="8"/>
      <c r="R2366" s="8"/>
      <c r="S2366" s="8"/>
      <c r="T2366" s="8"/>
      <c r="U2366" s="8"/>
    </row>
    <row r="2367" spans="10:21">
      <c r="J2367" s="8"/>
      <c r="K2367" s="8"/>
      <c r="L2367" s="8"/>
      <c r="M2367" s="8"/>
      <c r="N2367" s="8"/>
      <c r="O2367" s="8"/>
      <c r="P2367" s="8"/>
      <c r="Q2367" s="8"/>
      <c r="R2367" s="8"/>
      <c r="S2367" s="8"/>
      <c r="T2367" s="8"/>
      <c r="U2367" s="8"/>
    </row>
    <row r="2368" spans="10:21">
      <c r="J2368" s="8"/>
      <c r="K2368" s="8"/>
      <c r="L2368" s="8"/>
      <c r="M2368" s="8"/>
      <c r="N2368" s="8"/>
      <c r="O2368" s="8"/>
      <c r="P2368" s="8"/>
      <c r="Q2368" s="8"/>
      <c r="R2368" s="8"/>
      <c r="S2368" s="8"/>
      <c r="T2368" s="8"/>
      <c r="U2368" s="8"/>
    </row>
    <row r="2369" spans="10:21">
      <c r="J2369" s="8"/>
      <c r="K2369" s="8"/>
      <c r="L2369" s="8"/>
      <c r="M2369" s="8"/>
      <c r="N2369" s="8"/>
      <c r="O2369" s="8"/>
      <c r="P2369" s="8"/>
      <c r="Q2369" s="8"/>
      <c r="R2369" s="8"/>
      <c r="S2369" s="8"/>
      <c r="T2369" s="8"/>
      <c r="U2369" s="8"/>
    </row>
    <row r="2370" spans="10:21">
      <c r="J2370" s="8"/>
      <c r="K2370" s="8"/>
      <c r="L2370" s="8"/>
      <c r="M2370" s="8"/>
      <c r="N2370" s="8"/>
      <c r="O2370" s="8"/>
      <c r="P2370" s="8"/>
      <c r="Q2370" s="8"/>
      <c r="R2370" s="8"/>
      <c r="S2370" s="8"/>
      <c r="T2370" s="8"/>
      <c r="U2370" s="8"/>
    </row>
    <row r="2371" spans="10:21">
      <c r="J2371" s="8"/>
      <c r="K2371" s="8"/>
      <c r="L2371" s="8"/>
      <c r="M2371" s="8"/>
      <c r="N2371" s="8"/>
      <c r="O2371" s="8"/>
      <c r="P2371" s="8"/>
      <c r="Q2371" s="8"/>
      <c r="R2371" s="8"/>
      <c r="S2371" s="8"/>
      <c r="T2371" s="8"/>
      <c r="U2371" s="8"/>
    </row>
    <row r="2372" spans="10:21">
      <c r="J2372" s="8"/>
      <c r="K2372" s="8"/>
      <c r="L2372" s="8"/>
      <c r="M2372" s="8"/>
      <c r="N2372" s="8"/>
      <c r="O2372" s="8"/>
      <c r="P2372" s="8"/>
      <c r="Q2372" s="8"/>
      <c r="R2372" s="8"/>
      <c r="S2372" s="8"/>
      <c r="T2372" s="8"/>
      <c r="U2372" s="8"/>
    </row>
    <row r="2373" spans="10:21">
      <c r="J2373" s="8"/>
      <c r="K2373" s="8"/>
      <c r="L2373" s="8"/>
      <c r="M2373" s="8"/>
      <c r="N2373" s="8"/>
      <c r="O2373" s="8"/>
      <c r="P2373" s="8"/>
      <c r="Q2373" s="8"/>
      <c r="R2373" s="8"/>
      <c r="S2373" s="8"/>
      <c r="T2373" s="8"/>
      <c r="U2373" s="8"/>
    </row>
    <row r="2374" spans="10:21">
      <c r="J2374" s="8"/>
      <c r="K2374" s="8"/>
      <c r="L2374" s="8"/>
      <c r="M2374" s="8"/>
      <c r="N2374" s="8"/>
      <c r="O2374" s="8"/>
      <c r="P2374" s="8"/>
      <c r="Q2374" s="8"/>
      <c r="R2374" s="8"/>
      <c r="S2374" s="8"/>
      <c r="T2374" s="8"/>
      <c r="U2374" s="8"/>
    </row>
    <row r="2375" spans="10:21">
      <c r="J2375" s="8"/>
      <c r="K2375" s="8"/>
      <c r="L2375" s="8"/>
      <c r="M2375" s="8"/>
      <c r="N2375" s="8"/>
      <c r="O2375" s="8"/>
      <c r="P2375" s="8"/>
      <c r="Q2375" s="8"/>
      <c r="R2375" s="8"/>
      <c r="S2375" s="8"/>
      <c r="T2375" s="8"/>
      <c r="U2375" s="8"/>
    </row>
    <row r="2376" spans="10:21">
      <c r="J2376" s="8"/>
      <c r="K2376" s="8"/>
      <c r="L2376" s="8"/>
      <c r="M2376" s="8"/>
      <c r="N2376" s="8"/>
      <c r="O2376" s="8"/>
      <c r="P2376" s="8"/>
      <c r="Q2376" s="8"/>
      <c r="R2376" s="8"/>
      <c r="S2376" s="8"/>
      <c r="T2376" s="8"/>
      <c r="U2376" s="8"/>
    </row>
    <row r="2377" spans="10:21">
      <c r="J2377" s="8"/>
      <c r="K2377" s="8"/>
      <c r="L2377" s="8"/>
      <c r="M2377" s="8"/>
      <c r="N2377" s="8"/>
      <c r="O2377" s="8"/>
      <c r="P2377" s="8"/>
      <c r="Q2377" s="8"/>
      <c r="R2377" s="8"/>
      <c r="S2377" s="8"/>
      <c r="T2377" s="8"/>
      <c r="U2377" s="8"/>
    </row>
    <row r="2378" spans="10:21">
      <c r="J2378" s="8"/>
      <c r="K2378" s="8"/>
      <c r="L2378" s="8"/>
      <c r="M2378" s="8"/>
      <c r="N2378" s="8"/>
      <c r="O2378" s="8"/>
      <c r="P2378" s="8"/>
      <c r="Q2378" s="8"/>
      <c r="R2378" s="8"/>
      <c r="S2378" s="8"/>
      <c r="T2378" s="8"/>
      <c r="U2378" s="8"/>
    </row>
    <row r="2379" spans="10:21">
      <c r="J2379" s="8"/>
      <c r="K2379" s="8"/>
      <c r="L2379" s="8"/>
      <c r="M2379" s="8"/>
      <c r="N2379" s="8"/>
      <c r="O2379" s="8"/>
      <c r="P2379" s="8"/>
      <c r="Q2379" s="8"/>
      <c r="R2379" s="8"/>
      <c r="S2379" s="8"/>
      <c r="T2379" s="8"/>
      <c r="U2379" s="8"/>
    </row>
    <row r="2380" spans="10:21">
      <c r="J2380" s="8"/>
      <c r="K2380" s="8"/>
      <c r="L2380" s="8"/>
      <c r="M2380" s="8"/>
      <c r="N2380" s="8"/>
      <c r="O2380" s="8"/>
      <c r="P2380" s="8"/>
      <c r="Q2380" s="8"/>
      <c r="R2380" s="8"/>
      <c r="S2380" s="8"/>
      <c r="T2380" s="8"/>
      <c r="U2380" s="8"/>
    </row>
    <row r="2381" spans="10:21">
      <c r="J2381" s="8"/>
      <c r="K2381" s="8"/>
      <c r="L2381" s="8"/>
      <c r="M2381" s="8"/>
      <c r="N2381" s="8"/>
      <c r="O2381" s="8"/>
      <c r="P2381" s="8"/>
      <c r="Q2381" s="8"/>
      <c r="R2381" s="8"/>
      <c r="S2381" s="8"/>
      <c r="T2381" s="8"/>
      <c r="U2381" s="8"/>
    </row>
    <row r="2382" spans="10:21">
      <c r="J2382" s="8"/>
      <c r="K2382" s="8"/>
      <c r="L2382" s="8"/>
      <c r="M2382" s="8"/>
      <c r="N2382" s="8"/>
      <c r="O2382" s="8"/>
      <c r="P2382" s="8"/>
      <c r="Q2382" s="8"/>
      <c r="R2382" s="8"/>
      <c r="S2382" s="8"/>
      <c r="T2382" s="8"/>
      <c r="U2382" s="8"/>
    </row>
    <row r="2383" spans="10:21">
      <c r="J2383" s="8"/>
      <c r="K2383" s="8"/>
      <c r="L2383" s="8"/>
      <c r="M2383" s="8"/>
      <c r="N2383" s="8"/>
      <c r="O2383" s="8"/>
      <c r="P2383" s="8"/>
      <c r="Q2383" s="8"/>
      <c r="R2383" s="8"/>
      <c r="S2383" s="8"/>
      <c r="T2383" s="8"/>
      <c r="U2383" s="8"/>
    </row>
    <row r="2384" spans="10:21">
      <c r="J2384" s="8"/>
      <c r="K2384" s="8"/>
      <c r="L2384" s="8"/>
      <c r="M2384" s="8"/>
      <c r="N2384" s="8"/>
      <c r="O2384" s="8"/>
      <c r="P2384" s="8"/>
      <c r="Q2384" s="8"/>
      <c r="R2384" s="8"/>
      <c r="S2384" s="8"/>
      <c r="T2384" s="8"/>
      <c r="U2384" s="8"/>
    </row>
    <row r="2385" spans="10:21">
      <c r="J2385" s="8"/>
      <c r="K2385" s="8"/>
      <c r="L2385" s="8"/>
      <c r="M2385" s="8"/>
      <c r="N2385" s="8"/>
      <c r="O2385" s="8"/>
      <c r="P2385" s="8"/>
      <c r="Q2385" s="8"/>
      <c r="R2385" s="8"/>
      <c r="S2385" s="8"/>
      <c r="T2385" s="8"/>
      <c r="U2385" s="8"/>
    </row>
    <row r="2386" spans="10:21">
      <c r="J2386" s="8"/>
      <c r="K2386" s="8"/>
      <c r="L2386" s="8"/>
      <c r="M2386" s="8"/>
      <c r="N2386" s="8"/>
      <c r="O2386" s="8"/>
      <c r="P2386" s="8"/>
      <c r="Q2386" s="8"/>
      <c r="R2386" s="8"/>
      <c r="S2386" s="8"/>
      <c r="T2386" s="8"/>
      <c r="U2386" s="8"/>
    </row>
    <row r="2387" spans="10:21">
      <c r="J2387" s="8"/>
      <c r="K2387" s="8"/>
      <c r="L2387" s="8"/>
      <c r="M2387" s="8"/>
      <c r="N2387" s="8"/>
      <c r="O2387" s="8"/>
      <c r="P2387" s="8"/>
      <c r="Q2387" s="8"/>
      <c r="R2387" s="8"/>
      <c r="S2387" s="8"/>
      <c r="T2387" s="8"/>
      <c r="U2387" s="8"/>
    </row>
    <row r="2388" spans="10:21">
      <c r="J2388" s="8"/>
      <c r="K2388" s="8"/>
      <c r="L2388" s="8"/>
      <c r="M2388" s="8"/>
      <c r="N2388" s="8"/>
      <c r="O2388" s="8"/>
      <c r="P2388" s="8"/>
      <c r="Q2388" s="8"/>
      <c r="R2388" s="8"/>
      <c r="S2388" s="8"/>
      <c r="T2388" s="8"/>
      <c r="U2388" s="8"/>
    </row>
    <row r="2389" spans="10:21">
      <c r="J2389" s="8"/>
      <c r="K2389" s="8"/>
      <c r="L2389" s="8"/>
      <c r="M2389" s="8"/>
      <c r="N2389" s="8"/>
      <c r="O2389" s="8"/>
      <c r="P2389" s="8"/>
      <c r="Q2389" s="8"/>
      <c r="R2389" s="8"/>
      <c r="S2389" s="8"/>
      <c r="T2389" s="8"/>
      <c r="U2389" s="8"/>
    </row>
    <row r="2390" spans="10:21">
      <c r="J2390" s="8"/>
      <c r="K2390" s="8"/>
      <c r="L2390" s="8"/>
      <c r="M2390" s="8"/>
      <c r="N2390" s="8"/>
      <c r="O2390" s="8"/>
      <c r="P2390" s="8"/>
      <c r="Q2390" s="8"/>
      <c r="R2390" s="8"/>
      <c r="S2390" s="8"/>
      <c r="T2390" s="8"/>
      <c r="U2390" s="8"/>
    </row>
    <row r="2391" spans="10:21">
      <c r="J2391" s="8"/>
      <c r="K2391" s="8"/>
      <c r="L2391" s="8"/>
      <c r="M2391" s="8"/>
      <c r="N2391" s="8"/>
      <c r="O2391" s="8"/>
      <c r="P2391" s="8"/>
      <c r="Q2391" s="8"/>
      <c r="R2391" s="8"/>
      <c r="S2391" s="8"/>
      <c r="T2391" s="8"/>
      <c r="U2391" s="8"/>
    </row>
    <row r="2392" spans="10:21">
      <c r="J2392" s="8"/>
      <c r="K2392" s="8"/>
      <c r="L2392" s="8"/>
      <c r="M2392" s="8"/>
      <c r="N2392" s="8"/>
      <c r="O2392" s="8"/>
      <c r="P2392" s="8"/>
      <c r="Q2392" s="8"/>
      <c r="R2392" s="8"/>
      <c r="S2392" s="8"/>
      <c r="T2392" s="8"/>
      <c r="U2392" s="8"/>
    </row>
    <row r="2393" spans="10:21">
      <c r="J2393" s="8"/>
      <c r="K2393" s="8"/>
      <c r="L2393" s="8"/>
      <c r="M2393" s="8"/>
      <c r="N2393" s="8"/>
      <c r="O2393" s="8"/>
      <c r="P2393" s="8"/>
      <c r="Q2393" s="8"/>
      <c r="R2393" s="8"/>
      <c r="S2393" s="8"/>
      <c r="T2393" s="8"/>
      <c r="U2393" s="8"/>
    </row>
    <row r="2394" spans="10:21">
      <c r="J2394" s="8"/>
      <c r="K2394" s="8"/>
      <c r="L2394" s="8"/>
      <c r="M2394" s="8"/>
      <c r="N2394" s="8"/>
      <c r="O2394" s="8"/>
      <c r="P2394" s="8"/>
      <c r="Q2394" s="8"/>
      <c r="R2394" s="8"/>
      <c r="S2394" s="8"/>
      <c r="T2394" s="8"/>
      <c r="U2394" s="8"/>
    </row>
    <row r="2395" spans="10:21">
      <c r="J2395" s="8"/>
      <c r="K2395" s="8"/>
      <c r="L2395" s="8"/>
      <c r="M2395" s="8"/>
      <c r="N2395" s="8"/>
      <c r="O2395" s="8"/>
      <c r="P2395" s="8"/>
      <c r="Q2395" s="8"/>
      <c r="R2395" s="8"/>
      <c r="S2395" s="8"/>
      <c r="T2395" s="8"/>
      <c r="U2395" s="8"/>
    </row>
    <row r="2396" spans="10:21">
      <c r="J2396" s="8"/>
      <c r="K2396" s="8"/>
      <c r="L2396" s="8"/>
      <c r="M2396" s="8"/>
      <c r="N2396" s="8"/>
      <c r="O2396" s="8"/>
      <c r="P2396" s="8"/>
      <c r="Q2396" s="8"/>
      <c r="R2396" s="8"/>
      <c r="S2396" s="8"/>
      <c r="T2396" s="8"/>
      <c r="U2396" s="8"/>
    </row>
    <row r="2397" spans="10:21">
      <c r="J2397" s="8"/>
      <c r="K2397" s="8"/>
      <c r="L2397" s="8"/>
      <c r="M2397" s="8"/>
      <c r="N2397" s="8"/>
      <c r="O2397" s="8"/>
      <c r="P2397" s="8"/>
      <c r="Q2397" s="8"/>
      <c r="R2397" s="8"/>
      <c r="S2397" s="8"/>
      <c r="T2397" s="8"/>
      <c r="U2397" s="8"/>
    </row>
    <row r="2398" spans="10:21">
      <c r="J2398" s="8"/>
      <c r="K2398" s="8"/>
      <c r="L2398" s="8"/>
      <c r="M2398" s="8"/>
      <c r="N2398" s="8"/>
      <c r="O2398" s="8"/>
      <c r="P2398" s="8"/>
      <c r="Q2398" s="8"/>
      <c r="R2398" s="8"/>
      <c r="S2398" s="8"/>
      <c r="T2398" s="8"/>
      <c r="U2398" s="8"/>
    </row>
    <row r="2399" spans="10:21">
      <c r="J2399" s="8"/>
      <c r="K2399" s="8"/>
      <c r="L2399" s="8"/>
      <c r="M2399" s="8"/>
      <c r="N2399" s="8"/>
      <c r="O2399" s="8"/>
      <c r="P2399" s="8"/>
      <c r="Q2399" s="8"/>
      <c r="R2399" s="8"/>
      <c r="S2399" s="8"/>
      <c r="T2399" s="8"/>
      <c r="U2399" s="8"/>
    </row>
    <row r="2400" spans="10:21">
      <c r="J2400" s="8"/>
      <c r="K2400" s="8"/>
      <c r="L2400" s="8"/>
      <c r="M2400" s="8"/>
      <c r="N2400" s="8"/>
      <c r="O2400" s="8"/>
      <c r="P2400" s="8"/>
      <c r="Q2400" s="8"/>
      <c r="R2400" s="8"/>
      <c r="S2400" s="8"/>
      <c r="T2400" s="8"/>
      <c r="U2400" s="8"/>
    </row>
    <row r="2401" spans="10:21">
      <c r="J2401" s="8"/>
      <c r="K2401" s="8"/>
      <c r="L2401" s="8"/>
      <c r="M2401" s="8"/>
      <c r="N2401" s="8"/>
      <c r="O2401" s="8"/>
      <c r="P2401" s="8"/>
      <c r="Q2401" s="8"/>
      <c r="R2401" s="8"/>
      <c r="S2401" s="8"/>
      <c r="T2401" s="8"/>
      <c r="U2401" s="8"/>
    </row>
    <row r="2402" spans="10:21">
      <c r="J2402" s="8"/>
      <c r="K2402" s="8"/>
      <c r="L2402" s="8"/>
      <c r="M2402" s="8"/>
      <c r="N2402" s="8"/>
      <c r="O2402" s="8"/>
      <c r="P2402" s="8"/>
      <c r="Q2402" s="8"/>
      <c r="R2402" s="8"/>
      <c r="S2402" s="8"/>
      <c r="T2402" s="8"/>
      <c r="U2402" s="8"/>
    </row>
    <row r="2403" spans="10:21">
      <c r="J2403" s="8"/>
      <c r="K2403" s="8"/>
      <c r="L2403" s="8"/>
      <c r="M2403" s="8"/>
      <c r="N2403" s="8"/>
      <c r="O2403" s="8"/>
      <c r="P2403" s="8"/>
      <c r="Q2403" s="8"/>
      <c r="R2403" s="8"/>
      <c r="S2403" s="8"/>
      <c r="T2403" s="8"/>
      <c r="U2403" s="8"/>
    </row>
    <row r="2404" spans="10:21">
      <c r="J2404" s="8"/>
      <c r="K2404" s="8"/>
      <c r="L2404" s="8"/>
      <c r="M2404" s="8"/>
      <c r="N2404" s="8"/>
      <c r="O2404" s="8"/>
      <c r="P2404" s="8"/>
      <c r="Q2404" s="8"/>
      <c r="R2404" s="8"/>
      <c r="S2404" s="8"/>
      <c r="T2404" s="8"/>
      <c r="U2404" s="8"/>
    </row>
    <row r="2405" spans="10:21">
      <c r="J2405" s="8"/>
      <c r="K2405" s="8"/>
      <c r="L2405" s="8"/>
      <c r="M2405" s="8"/>
      <c r="N2405" s="8"/>
      <c r="O2405" s="8"/>
      <c r="P2405" s="8"/>
      <c r="Q2405" s="8"/>
      <c r="R2405" s="8"/>
      <c r="S2405" s="8"/>
      <c r="T2405" s="8"/>
      <c r="U2405" s="8"/>
    </row>
    <row r="2406" spans="10:21">
      <c r="J2406" s="8"/>
      <c r="K2406" s="8"/>
      <c r="L2406" s="8"/>
      <c r="M2406" s="8"/>
      <c r="N2406" s="8"/>
      <c r="O2406" s="8"/>
      <c r="P2406" s="8"/>
      <c r="Q2406" s="8"/>
      <c r="R2406" s="8"/>
      <c r="S2406" s="8"/>
      <c r="T2406" s="8"/>
      <c r="U2406" s="8"/>
    </row>
    <row r="2407" spans="10:21">
      <c r="J2407" s="8"/>
      <c r="K2407" s="8"/>
      <c r="L2407" s="8"/>
      <c r="M2407" s="8"/>
      <c r="N2407" s="8"/>
      <c r="O2407" s="8"/>
      <c r="P2407" s="8"/>
      <c r="Q2407" s="8"/>
      <c r="R2407" s="8"/>
      <c r="S2407" s="8"/>
      <c r="T2407" s="8"/>
      <c r="U2407" s="8"/>
    </row>
    <row r="2408" spans="10:21">
      <c r="J2408" s="8"/>
      <c r="K2408" s="8"/>
      <c r="L2408" s="8"/>
      <c r="M2408" s="8"/>
      <c r="N2408" s="8"/>
      <c r="O2408" s="8"/>
      <c r="P2408" s="8"/>
      <c r="Q2408" s="8"/>
      <c r="R2408" s="8"/>
      <c r="S2408" s="8"/>
      <c r="T2408" s="8"/>
      <c r="U2408" s="8"/>
    </row>
    <row r="2409" spans="10:21">
      <c r="J2409" s="8"/>
      <c r="K2409" s="8"/>
      <c r="L2409" s="8"/>
      <c r="M2409" s="8"/>
      <c r="N2409" s="8"/>
      <c r="O2409" s="8"/>
      <c r="P2409" s="8"/>
      <c r="Q2409" s="8"/>
      <c r="R2409" s="8"/>
      <c r="S2409" s="8"/>
      <c r="T2409" s="8"/>
      <c r="U2409" s="8"/>
    </row>
    <row r="2410" spans="10:21">
      <c r="J2410" s="8"/>
      <c r="K2410" s="8"/>
      <c r="L2410" s="8"/>
      <c r="M2410" s="8"/>
      <c r="N2410" s="8"/>
      <c r="O2410" s="8"/>
      <c r="P2410" s="8"/>
      <c r="Q2410" s="8"/>
      <c r="R2410" s="8"/>
      <c r="S2410" s="8"/>
      <c r="T2410" s="8"/>
      <c r="U2410" s="8"/>
    </row>
    <row r="2411" spans="10:21">
      <c r="J2411" s="8"/>
      <c r="K2411" s="8"/>
      <c r="L2411" s="8"/>
      <c r="M2411" s="8"/>
      <c r="N2411" s="8"/>
      <c r="O2411" s="8"/>
      <c r="P2411" s="8"/>
      <c r="Q2411" s="8"/>
      <c r="R2411" s="8"/>
      <c r="S2411" s="8"/>
      <c r="T2411" s="8"/>
      <c r="U2411" s="8"/>
    </row>
    <row r="2412" spans="10:21">
      <c r="J2412" s="8"/>
      <c r="K2412" s="8"/>
      <c r="L2412" s="8"/>
      <c r="M2412" s="8"/>
      <c r="N2412" s="8"/>
      <c r="O2412" s="8"/>
      <c r="P2412" s="8"/>
      <c r="Q2412" s="8"/>
      <c r="R2412" s="8"/>
      <c r="S2412" s="8"/>
      <c r="T2412" s="8"/>
      <c r="U2412" s="8"/>
    </row>
    <row r="2413" spans="10:21">
      <c r="J2413" s="8"/>
      <c r="K2413" s="8"/>
      <c r="L2413" s="8"/>
      <c r="M2413" s="8"/>
      <c r="N2413" s="8"/>
      <c r="O2413" s="8"/>
      <c r="P2413" s="8"/>
      <c r="Q2413" s="8"/>
      <c r="R2413" s="8"/>
      <c r="S2413" s="8"/>
      <c r="T2413" s="8"/>
      <c r="U2413" s="8"/>
    </row>
    <row r="2414" spans="10:21">
      <c r="J2414" s="8"/>
      <c r="K2414" s="8"/>
      <c r="L2414" s="8"/>
      <c r="M2414" s="8"/>
      <c r="N2414" s="8"/>
      <c r="O2414" s="8"/>
      <c r="P2414" s="8"/>
      <c r="Q2414" s="8"/>
      <c r="R2414" s="8"/>
      <c r="S2414" s="8"/>
      <c r="T2414" s="8"/>
      <c r="U2414" s="8"/>
    </row>
    <row r="2415" spans="10:21">
      <c r="J2415" s="8"/>
      <c r="K2415" s="8"/>
      <c r="L2415" s="8"/>
      <c r="M2415" s="8"/>
      <c r="N2415" s="8"/>
      <c r="O2415" s="8"/>
      <c r="P2415" s="8"/>
      <c r="Q2415" s="8"/>
      <c r="R2415" s="8"/>
      <c r="S2415" s="8"/>
      <c r="T2415" s="8"/>
      <c r="U2415" s="8"/>
    </row>
    <row r="2416" spans="10:21">
      <c r="J2416" s="8"/>
      <c r="K2416" s="8"/>
      <c r="L2416" s="8"/>
      <c r="M2416" s="8"/>
      <c r="N2416" s="8"/>
      <c r="O2416" s="8"/>
      <c r="P2416" s="8"/>
      <c r="Q2416" s="8"/>
      <c r="R2416" s="8"/>
      <c r="S2416" s="8"/>
      <c r="T2416" s="8"/>
      <c r="U2416" s="8"/>
    </row>
    <row r="2417" spans="10:21">
      <c r="J2417" s="8"/>
      <c r="K2417" s="8"/>
      <c r="L2417" s="8"/>
      <c r="M2417" s="8"/>
      <c r="N2417" s="8"/>
      <c r="O2417" s="8"/>
      <c r="P2417" s="8"/>
      <c r="Q2417" s="8"/>
      <c r="R2417" s="8"/>
      <c r="S2417" s="8"/>
      <c r="T2417" s="8"/>
      <c r="U2417" s="8"/>
    </row>
    <row r="2418" spans="10:21">
      <c r="J2418" s="8"/>
      <c r="K2418" s="8"/>
      <c r="L2418" s="8"/>
      <c r="M2418" s="8"/>
      <c r="N2418" s="8"/>
      <c r="O2418" s="8"/>
      <c r="P2418" s="8"/>
      <c r="Q2418" s="8"/>
      <c r="R2418" s="8"/>
      <c r="S2418" s="8"/>
      <c r="T2418" s="8"/>
      <c r="U2418" s="8"/>
    </row>
    <row r="2419" spans="10:21">
      <c r="J2419" s="8"/>
      <c r="K2419" s="8"/>
      <c r="L2419" s="8"/>
      <c r="M2419" s="8"/>
      <c r="N2419" s="8"/>
      <c r="O2419" s="8"/>
      <c r="P2419" s="8"/>
      <c r="Q2419" s="8"/>
      <c r="R2419" s="8"/>
      <c r="S2419" s="8"/>
      <c r="T2419" s="8"/>
      <c r="U2419" s="8"/>
    </row>
    <row r="2420" spans="10:21">
      <c r="J2420" s="8"/>
      <c r="K2420" s="8"/>
      <c r="L2420" s="8"/>
      <c r="M2420" s="8"/>
      <c r="N2420" s="8"/>
      <c r="O2420" s="8"/>
      <c r="P2420" s="8"/>
      <c r="Q2420" s="8"/>
      <c r="R2420" s="8"/>
      <c r="S2420" s="8"/>
      <c r="T2420" s="8"/>
      <c r="U2420" s="8"/>
    </row>
    <row r="2421" spans="10:21">
      <c r="J2421" s="8"/>
      <c r="K2421" s="8"/>
      <c r="L2421" s="8"/>
      <c r="M2421" s="8"/>
      <c r="N2421" s="8"/>
      <c r="O2421" s="8"/>
      <c r="P2421" s="8"/>
      <c r="Q2421" s="8"/>
      <c r="R2421" s="8"/>
      <c r="S2421" s="8"/>
      <c r="T2421" s="8"/>
      <c r="U2421" s="8"/>
    </row>
    <row r="2422" spans="10:21">
      <c r="J2422" s="8"/>
      <c r="K2422" s="8"/>
      <c r="L2422" s="8"/>
      <c r="M2422" s="8"/>
      <c r="N2422" s="8"/>
      <c r="O2422" s="8"/>
      <c r="P2422" s="8"/>
      <c r="Q2422" s="8"/>
      <c r="R2422" s="8"/>
      <c r="S2422" s="8"/>
      <c r="T2422" s="8"/>
      <c r="U2422" s="8"/>
    </row>
    <row r="2423" spans="10:21">
      <c r="J2423" s="8"/>
      <c r="K2423" s="8"/>
      <c r="L2423" s="8"/>
      <c r="M2423" s="8"/>
      <c r="N2423" s="8"/>
      <c r="O2423" s="8"/>
      <c r="P2423" s="8"/>
      <c r="Q2423" s="8"/>
      <c r="R2423" s="8"/>
      <c r="S2423" s="8"/>
      <c r="T2423" s="8"/>
      <c r="U2423" s="8"/>
    </row>
    <row r="2424" spans="10:21">
      <c r="J2424" s="8"/>
      <c r="K2424" s="8"/>
      <c r="L2424" s="8"/>
      <c r="M2424" s="8"/>
      <c r="N2424" s="8"/>
      <c r="O2424" s="8"/>
      <c r="P2424" s="8"/>
      <c r="Q2424" s="8"/>
      <c r="R2424" s="8"/>
      <c r="S2424" s="8"/>
      <c r="T2424" s="8"/>
      <c r="U2424" s="8"/>
    </row>
    <row r="2425" spans="10:21">
      <c r="J2425" s="8"/>
      <c r="K2425" s="8"/>
      <c r="L2425" s="8"/>
      <c r="M2425" s="8"/>
      <c r="N2425" s="8"/>
      <c r="O2425" s="8"/>
      <c r="P2425" s="8"/>
      <c r="Q2425" s="8"/>
      <c r="R2425" s="8"/>
      <c r="S2425" s="8"/>
      <c r="T2425" s="8"/>
      <c r="U2425" s="8"/>
    </row>
    <row r="2426" spans="10:21">
      <c r="J2426" s="8"/>
      <c r="K2426" s="8"/>
      <c r="L2426" s="8"/>
      <c r="M2426" s="8"/>
      <c r="N2426" s="8"/>
      <c r="O2426" s="8"/>
      <c r="P2426" s="8"/>
      <c r="Q2426" s="8"/>
      <c r="R2426" s="8"/>
      <c r="S2426" s="8"/>
      <c r="T2426" s="8"/>
      <c r="U2426" s="8"/>
    </row>
    <row r="2427" spans="10:21">
      <c r="J2427" s="8"/>
      <c r="K2427" s="8"/>
      <c r="L2427" s="8"/>
      <c r="M2427" s="8"/>
      <c r="N2427" s="8"/>
      <c r="O2427" s="8"/>
      <c r="P2427" s="8"/>
      <c r="Q2427" s="8"/>
      <c r="R2427" s="8"/>
      <c r="S2427" s="8"/>
      <c r="T2427" s="8"/>
      <c r="U2427" s="8"/>
    </row>
    <row r="2428" spans="10:21">
      <c r="J2428" s="8"/>
      <c r="K2428" s="8"/>
      <c r="L2428" s="8"/>
      <c r="M2428" s="8"/>
      <c r="N2428" s="8"/>
      <c r="O2428" s="8"/>
      <c r="P2428" s="8"/>
      <c r="Q2428" s="8"/>
      <c r="R2428" s="8"/>
      <c r="S2428" s="8"/>
      <c r="T2428" s="8"/>
      <c r="U2428" s="8"/>
    </row>
    <row r="2429" spans="10:21">
      <c r="J2429" s="8"/>
      <c r="K2429" s="8"/>
      <c r="L2429" s="8"/>
      <c r="M2429" s="8"/>
      <c r="N2429" s="8"/>
      <c r="O2429" s="8"/>
      <c r="P2429" s="8"/>
      <c r="Q2429" s="8"/>
      <c r="R2429" s="8"/>
      <c r="S2429" s="8"/>
      <c r="T2429" s="8"/>
      <c r="U2429" s="8"/>
    </row>
    <row r="2430" spans="10:21">
      <c r="J2430" s="8"/>
      <c r="K2430" s="8"/>
      <c r="L2430" s="8"/>
      <c r="M2430" s="8"/>
      <c r="N2430" s="8"/>
      <c r="O2430" s="8"/>
      <c r="P2430" s="8"/>
      <c r="Q2430" s="8"/>
      <c r="R2430" s="8"/>
      <c r="S2430" s="8"/>
      <c r="T2430" s="8"/>
      <c r="U2430" s="8"/>
    </row>
    <row r="2431" spans="10:21">
      <c r="J2431" s="8"/>
      <c r="K2431" s="8"/>
      <c r="L2431" s="8"/>
      <c r="M2431" s="8"/>
      <c r="N2431" s="8"/>
      <c r="O2431" s="8"/>
      <c r="P2431" s="8"/>
      <c r="Q2431" s="8"/>
      <c r="R2431" s="8"/>
      <c r="S2431" s="8"/>
      <c r="T2431" s="8"/>
      <c r="U2431" s="8"/>
    </row>
    <row r="2432" spans="10:21">
      <c r="J2432" s="8"/>
      <c r="K2432" s="8"/>
      <c r="L2432" s="8"/>
      <c r="M2432" s="8"/>
      <c r="N2432" s="8"/>
      <c r="O2432" s="8"/>
      <c r="P2432" s="8"/>
      <c r="Q2432" s="8"/>
      <c r="R2432" s="8"/>
      <c r="S2432" s="8"/>
      <c r="T2432" s="8"/>
      <c r="U2432" s="8"/>
    </row>
    <row r="2433" spans="10:21">
      <c r="J2433" s="8"/>
      <c r="K2433" s="8"/>
      <c r="L2433" s="8"/>
      <c r="M2433" s="8"/>
      <c r="N2433" s="8"/>
      <c r="O2433" s="8"/>
      <c r="P2433" s="8"/>
      <c r="Q2433" s="8"/>
      <c r="R2433" s="8"/>
      <c r="S2433" s="8"/>
      <c r="T2433" s="8"/>
      <c r="U2433" s="8"/>
    </row>
    <row r="2434" spans="10:21">
      <c r="J2434" s="8"/>
      <c r="K2434" s="8"/>
      <c r="L2434" s="8"/>
      <c r="M2434" s="8"/>
      <c r="N2434" s="8"/>
      <c r="O2434" s="8"/>
      <c r="P2434" s="8"/>
      <c r="Q2434" s="8"/>
      <c r="R2434" s="8"/>
      <c r="S2434" s="8"/>
      <c r="T2434" s="8"/>
      <c r="U2434" s="8"/>
    </row>
    <row r="2435" spans="10:21">
      <c r="J2435" s="8"/>
      <c r="K2435" s="8"/>
      <c r="L2435" s="8"/>
      <c r="M2435" s="8"/>
      <c r="N2435" s="8"/>
      <c r="O2435" s="8"/>
      <c r="P2435" s="8"/>
      <c r="Q2435" s="8"/>
      <c r="R2435" s="8"/>
      <c r="S2435" s="8"/>
      <c r="T2435" s="8"/>
      <c r="U2435" s="8"/>
    </row>
    <row r="2436" spans="10:21">
      <c r="J2436" s="8"/>
      <c r="K2436" s="8"/>
      <c r="L2436" s="8"/>
      <c r="M2436" s="8"/>
      <c r="N2436" s="8"/>
      <c r="O2436" s="8"/>
      <c r="P2436" s="8"/>
      <c r="Q2436" s="8"/>
      <c r="R2436" s="8"/>
      <c r="S2436" s="8"/>
      <c r="T2436" s="8"/>
      <c r="U2436" s="8"/>
    </row>
    <row r="2437" spans="10:21">
      <c r="J2437" s="8"/>
      <c r="K2437" s="8"/>
      <c r="L2437" s="8"/>
      <c r="M2437" s="8"/>
      <c r="N2437" s="8"/>
      <c r="O2437" s="8"/>
      <c r="P2437" s="8"/>
      <c r="Q2437" s="8"/>
      <c r="R2437" s="8"/>
      <c r="S2437" s="8"/>
      <c r="T2437" s="8"/>
      <c r="U2437" s="8"/>
    </row>
    <row r="2438" spans="10:21">
      <c r="J2438" s="8"/>
      <c r="K2438" s="8"/>
      <c r="L2438" s="8"/>
      <c r="M2438" s="8"/>
      <c r="N2438" s="8"/>
      <c r="O2438" s="8"/>
      <c r="P2438" s="8"/>
      <c r="Q2438" s="8"/>
      <c r="R2438" s="8"/>
      <c r="S2438" s="8"/>
      <c r="T2438" s="8"/>
      <c r="U2438" s="8"/>
    </row>
    <row r="2439" spans="10:21">
      <c r="J2439" s="8"/>
      <c r="K2439" s="8"/>
      <c r="L2439" s="8"/>
      <c r="M2439" s="8"/>
      <c r="N2439" s="8"/>
      <c r="O2439" s="8"/>
      <c r="P2439" s="8"/>
      <c r="Q2439" s="8"/>
      <c r="R2439" s="8"/>
      <c r="S2439" s="8"/>
      <c r="T2439" s="8"/>
      <c r="U2439" s="8"/>
    </row>
    <row r="2440" spans="10:21">
      <c r="J2440" s="8"/>
      <c r="K2440" s="8"/>
      <c r="L2440" s="8"/>
      <c r="M2440" s="8"/>
      <c r="N2440" s="8"/>
      <c r="O2440" s="8"/>
      <c r="P2440" s="8"/>
      <c r="Q2440" s="8"/>
      <c r="R2440" s="8"/>
      <c r="S2440" s="8"/>
      <c r="T2440" s="8"/>
      <c r="U2440" s="8"/>
    </row>
    <row r="2441" spans="10:21">
      <c r="J2441" s="8"/>
      <c r="K2441" s="8"/>
      <c r="L2441" s="8"/>
      <c r="M2441" s="8"/>
      <c r="N2441" s="8"/>
      <c r="O2441" s="8"/>
      <c r="P2441" s="8"/>
      <c r="Q2441" s="8"/>
      <c r="R2441" s="8"/>
      <c r="S2441" s="8"/>
      <c r="T2441" s="8"/>
      <c r="U2441" s="8"/>
    </row>
    <row r="2442" spans="10:21">
      <c r="J2442" s="8"/>
      <c r="K2442" s="8"/>
      <c r="L2442" s="8"/>
      <c r="M2442" s="8"/>
      <c r="N2442" s="8"/>
      <c r="O2442" s="8"/>
      <c r="P2442" s="8"/>
      <c r="Q2442" s="8"/>
      <c r="R2442" s="8"/>
      <c r="S2442" s="8"/>
      <c r="T2442" s="8"/>
      <c r="U2442" s="8"/>
    </row>
    <row r="2443" spans="10:21">
      <c r="J2443" s="8"/>
      <c r="K2443" s="8"/>
      <c r="L2443" s="8"/>
      <c r="M2443" s="8"/>
      <c r="N2443" s="8"/>
      <c r="O2443" s="8"/>
      <c r="P2443" s="8"/>
      <c r="Q2443" s="8"/>
      <c r="R2443" s="8"/>
      <c r="S2443" s="8"/>
      <c r="T2443" s="8"/>
      <c r="U2443" s="8"/>
    </row>
    <row r="2444" spans="10:21">
      <c r="J2444" s="8"/>
      <c r="K2444" s="8"/>
      <c r="L2444" s="8"/>
      <c r="M2444" s="8"/>
      <c r="N2444" s="8"/>
      <c r="O2444" s="8"/>
      <c r="P2444" s="8"/>
      <c r="Q2444" s="8"/>
      <c r="R2444" s="8"/>
      <c r="S2444" s="8"/>
      <c r="T2444" s="8"/>
      <c r="U2444" s="8"/>
    </row>
    <row r="2445" spans="10:21">
      <c r="J2445" s="8"/>
      <c r="K2445" s="8"/>
      <c r="L2445" s="8"/>
      <c r="M2445" s="8"/>
      <c r="N2445" s="8"/>
      <c r="O2445" s="8"/>
      <c r="P2445" s="8"/>
      <c r="Q2445" s="8"/>
      <c r="R2445" s="8"/>
      <c r="S2445" s="8"/>
      <c r="T2445" s="8"/>
      <c r="U2445" s="8"/>
    </row>
    <row r="2446" spans="10:21">
      <c r="J2446" s="8"/>
      <c r="K2446" s="8"/>
      <c r="L2446" s="8"/>
      <c r="M2446" s="8"/>
      <c r="N2446" s="8"/>
      <c r="O2446" s="8"/>
      <c r="P2446" s="8"/>
      <c r="Q2446" s="8"/>
      <c r="R2446" s="8"/>
      <c r="S2446" s="8"/>
      <c r="T2446" s="8"/>
      <c r="U2446" s="8"/>
    </row>
    <row r="2447" spans="10:21">
      <c r="J2447" s="8"/>
      <c r="K2447" s="8"/>
      <c r="L2447" s="8"/>
      <c r="M2447" s="8"/>
      <c r="N2447" s="8"/>
      <c r="O2447" s="8"/>
      <c r="P2447" s="8"/>
      <c r="Q2447" s="8"/>
      <c r="R2447" s="8"/>
      <c r="S2447" s="8"/>
      <c r="T2447" s="8"/>
      <c r="U2447" s="8"/>
    </row>
    <row r="2448" spans="10:21">
      <c r="J2448" s="8"/>
      <c r="K2448" s="8"/>
      <c r="L2448" s="8"/>
      <c r="M2448" s="8"/>
      <c r="N2448" s="8"/>
      <c r="O2448" s="8"/>
      <c r="P2448" s="8"/>
      <c r="Q2448" s="8"/>
      <c r="R2448" s="8"/>
      <c r="S2448" s="8"/>
      <c r="T2448" s="8"/>
      <c r="U2448" s="8"/>
    </row>
    <row r="2449" spans="10:21">
      <c r="J2449" s="8"/>
      <c r="K2449" s="8"/>
      <c r="L2449" s="8"/>
      <c r="M2449" s="8"/>
      <c r="N2449" s="8"/>
      <c r="O2449" s="8"/>
      <c r="P2449" s="8"/>
      <c r="Q2449" s="8"/>
      <c r="R2449" s="8"/>
      <c r="S2449" s="8"/>
      <c r="T2449" s="8"/>
      <c r="U2449" s="8"/>
    </row>
    <row r="2450" spans="10:21">
      <c r="J2450" s="8"/>
      <c r="K2450" s="8"/>
      <c r="L2450" s="8"/>
      <c r="M2450" s="8"/>
      <c r="N2450" s="8"/>
      <c r="O2450" s="8"/>
      <c r="P2450" s="8"/>
      <c r="Q2450" s="8"/>
      <c r="R2450" s="8"/>
      <c r="S2450" s="8"/>
      <c r="T2450" s="8"/>
      <c r="U2450" s="8"/>
    </row>
    <row r="2451" spans="10:21">
      <c r="J2451" s="8"/>
      <c r="K2451" s="8"/>
      <c r="L2451" s="8"/>
      <c r="M2451" s="8"/>
      <c r="N2451" s="8"/>
      <c r="O2451" s="8"/>
      <c r="P2451" s="8"/>
      <c r="Q2451" s="8"/>
      <c r="R2451" s="8"/>
      <c r="S2451" s="8"/>
      <c r="T2451" s="8"/>
      <c r="U2451" s="8"/>
    </row>
    <row r="2452" spans="10:21">
      <c r="J2452" s="8"/>
      <c r="K2452" s="8"/>
      <c r="L2452" s="8"/>
      <c r="M2452" s="8"/>
      <c r="N2452" s="8"/>
      <c r="O2452" s="8"/>
      <c r="P2452" s="8"/>
      <c r="Q2452" s="8"/>
      <c r="R2452" s="8"/>
      <c r="S2452" s="8"/>
      <c r="T2452" s="8"/>
      <c r="U2452" s="8"/>
    </row>
    <row r="2453" spans="10:21">
      <c r="J2453" s="8"/>
      <c r="K2453" s="8"/>
      <c r="L2453" s="8"/>
      <c r="M2453" s="8"/>
      <c r="N2453" s="8"/>
      <c r="O2453" s="8"/>
      <c r="P2453" s="8"/>
      <c r="Q2453" s="8"/>
      <c r="R2453" s="8"/>
      <c r="S2453" s="8"/>
      <c r="T2453" s="8"/>
      <c r="U2453" s="8"/>
    </row>
    <row r="2454" spans="10:21">
      <c r="J2454" s="8"/>
      <c r="K2454" s="8"/>
      <c r="L2454" s="8"/>
      <c r="M2454" s="8"/>
      <c r="N2454" s="8"/>
      <c r="O2454" s="8"/>
      <c r="P2454" s="8"/>
      <c r="Q2454" s="8"/>
      <c r="R2454" s="8"/>
      <c r="S2454" s="8"/>
      <c r="T2454" s="8"/>
      <c r="U2454" s="8"/>
    </row>
    <row r="2455" spans="10:21">
      <c r="J2455" s="8"/>
      <c r="K2455" s="8"/>
      <c r="L2455" s="8"/>
      <c r="M2455" s="8"/>
      <c r="N2455" s="8"/>
      <c r="O2455" s="8"/>
      <c r="P2455" s="8"/>
      <c r="Q2455" s="8"/>
      <c r="R2455" s="8"/>
      <c r="S2455" s="8"/>
      <c r="T2455" s="8"/>
      <c r="U2455" s="8"/>
    </row>
    <row r="2456" spans="10:21">
      <c r="J2456" s="8"/>
      <c r="K2456" s="8"/>
      <c r="L2456" s="8"/>
      <c r="M2456" s="8"/>
      <c r="N2456" s="8"/>
      <c r="O2456" s="8"/>
      <c r="P2456" s="8"/>
      <c r="Q2456" s="8"/>
      <c r="R2456" s="8"/>
      <c r="S2456" s="8"/>
      <c r="T2456" s="8"/>
      <c r="U2456" s="8"/>
    </row>
    <row r="2457" spans="10:21">
      <c r="J2457" s="8"/>
      <c r="K2457" s="8"/>
      <c r="L2457" s="8"/>
      <c r="M2457" s="8"/>
      <c r="N2457" s="8"/>
      <c r="O2457" s="8"/>
      <c r="P2457" s="8"/>
      <c r="Q2457" s="8"/>
      <c r="R2457" s="8"/>
      <c r="S2457" s="8"/>
      <c r="T2457" s="8"/>
      <c r="U2457" s="8"/>
    </row>
    <row r="2458" spans="10:21">
      <c r="J2458" s="8"/>
      <c r="K2458" s="8"/>
      <c r="L2458" s="8"/>
      <c r="M2458" s="8"/>
      <c r="N2458" s="8"/>
      <c r="O2458" s="8"/>
      <c r="P2458" s="8"/>
      <c r="Q2458" s="8"/>
      <c r="R2458" s="8"/>
      <c r="S2458" s="8"/>
      <c r="T2458" s="8"/>
      <c r="U2458" s="8"/>
    </row>
    <row r="2459" spans="10:21">
      <c r="J2459" s="8"/>
      <c r="K2459" s="8"/>
      <c r="L2459" s="8"/>
      <c r="M2459" s="8"/>
      <c r="N2459" s="8"/>
      <c r="O2459" s="8"/>
      <c r="P2459" s="8"/>
      <c r="Q2459" s="8"/>
      <c r="R2459" s="8"/>
      <c r="S2459" s="8"/>
      <c r="T2459" s="8"/>
      <c r="U2459" s="8"/>
    </row>
    <row r="2460" spans="10:21">
      <c r="J2460" s="8"/>
      <c r="K2460" s="8"/>
      <c r="L2460" s="8"/>
      <c r="M2460" s="8"/>
      <c r="N2460" s="8"/>
      <c r="O2460" s="8"/>
      <c r="P2460" s="8"/>
      <c r="Q2460" s="8"/>
      <c r="R2460" s="8"/>
      <c r="S2460" s="8"/>
      <c r="T2460" s="8"/>
      <c r="U2460" s="8"/>
    </row>
    <row r="2461" spans="10:21">
      <c r="J2461" s="8"/>
      <c r="K2461" s="8"/>
      <c r="L2461" s="8"/>
      <c r="M2461" s="8"/>
      <c r="N2461" s="8"/>
      <c r="O2461" s="8"/>
      <c r="P2461" s="8"/>
      <c r="Q2461" s="8"/>
      <c r="R2461" s="8"/>
      <c r="S2461" s="8"/>
      <c r="T2461" s="8"/>
      <c r="U2461" s="8"/>
    </row>
    <row r="2462" spans="10:21">
      <c r="J2462" s="8"/>
      <c r="K2462" s="8"/>
      <c r="L2462" s="8"/>
      <c r="M2462" s="8"/>
      <c r="N2462" s="8"/>
      <c r="O2462" s="8"/>
      <c r="P2462" s="8"/>
      <c r="Q2462" s="8"/>
      <c r="R2462" s="8"/>
      <c r="S2462" s="8"/>
      <c r="T2462" s="8"/>
      <c r="U2462" s="8"/>
    </row>
    <row r="2463" spans="10:21">
      <c r="J2463" s="8"/>
      <c r="K2463" s="8"/>
      <c r="L2463" s="8"/>
      <c r="M2463" s="8"/>
      <c r="N2463" s="8"/>
      <c r="O2463" s="8"/>
      <c r="P2463" s="8"/>
      <c r="Q2463" s="8"/>
      <c r="R2463" s="8"/>
      <c r="S2463" s="8"/>
      <c r="T2463" s="8"/>
      <c r="U2463" s="8"/>
    </row>
    <row r="2464" spans="10:21">
      <c r="J2464" s="8"/>
      <c r="K2464" s="8"/>
      <c r="L2464" s="8"/>
      <c r="M2464" s="8"/>
      <c r="N2464" s="8"/>
      <c r="O2464" s="8"/>
      <c r="P2464" s="8"/>
      <c r="Q2464" s="8"/>
      <c r="R2464" s="8"/>
      <c r="S2464" s="8"/>
      <c r="T2464" s="8"/>
      <c r="U2464" s="8"/>
    </row>
    <row r="2465" spans="10:21">
      <c r="J2465" s="8"/>
      <c r="K2465" s="8"/>
      <c r="L2465" s="8"/>
      <c r="M2465" s="8"/>
      <c r="N2465" s="8"/>
      <c r="O2465" s="8"/>
      <c r="P2465" s="8"/>
      <c r="Q2465" s="8"/>
      <c r="R2465" s="8"/>
      <c r="S2465" s="8"/>
      <c r="T2465" s="8"/>
      <c r="U2465" s="8"/>
    </row>
    <row r="2466" spans="10:21">
      <c r="J2466" s="8"/>
      <c r="K2466" s="8"/>
      <c r="L2466" s="8"/>
      <c r="M2466" s="8"/>
      <c r="N2466" s="8"/>
      <c r="O2466" s="8"/>
      <c r="P2466" s="8"/>
      <c r="Q2466" s="8"/>
      <c r="R2466" s="8"/>
      <c r="S2466" s="8"/>
      <c r="T2466" s="8"/>
      <c r="U2466" s="8"/>
    </row>
    <row r="2467" spans="10:21">
      <c r="J2467" s="8"/>
      <c r="K2467" s="8"/>
      <c r="L2467" s="8"/>
      <c r="M2467" s="8"/>
      <c r="N2467" s="8"/>
      <c r="O2467" s="8"/>
      <c r="P2467" s="8"/>
      <c r="Q2467" s="8"/>
      <c r="R2467" s="8"/>
      <c r="S2467" s="8"/>
      <c r="T2467" s="8"/>
      <c r="U2467" s="8"/>
    </row>
    <row r="2468" spans="10:21">
      <c r="J2468" s="8"/>
      <c r="K2468" s="8"/>
      <c r="L2468" s="8"/>
      <c r="M2468" s="8"/>
      <c r="N2468" s="8"/>
      <c r="O2468" s="8"/>
      <c r="P2468" s="8"/>
      <c r="Q2468" s="8"/>
      <c r="R2468" s="8"/>
      <c r="S2468" s="8"/>
      <c r="T2468" s="8"/>
      <c r="U2468" s="8"/>
    </row>
    <row r="2469" spans="10:21">
      <c r="J2469" s="8"/>
      <c r="K2469" s="8"/>
      <c r="L2469" s="8"/>
      <c r="M2469" s="8"/>
      <c r="N2469" s="8"/>
      <c r="O2469" s="8"/>
      <c r="P2469" s="8"/>
      <c r="Q2469" s="8"/>
      <c r="R2469" s="8"/>
      <c r="S2469" s="8"/>
      <c r="T2469" s="8"/>
      <c r="U2469" s="8"/>
    </row>
    <row r="2470" spans="10:21">
      <c r="J2470" s="8"/>
      <c r="K2470" s="8"/>
      <c r="L2470" s="8"/>
      <c r="M2470" s="8"/>
      <c r="N2470" s="8"/>
      <c r="O2470" s="8"/>
      <c r="P2470" s="8"/>
      <c r="Q2470" s="8"/>
      <c r="R2470" s="8"/>
      <c r="S2470" s="8"/>
      <c r="T2470" s="8"/>
      <c r="U2470" s="8"/>
    </row>
    <row r="2471" spans="10:21">
      <c r="J2471" s="8"/>
      <c r="K2471" s="8"/>
      <c r="L2471" s="8"/>
      <c r="M2471" s="8"/>
      <c r="N2471" s="8"/>
      <c r="O2471" s="8"/>
      <c r="P2471" s="8"/>
      <c r="Q2471" s="8"/>
      <c r="R2471" s="8"/>
      <c r="S2471" s="8"/>
      <c r="T2471" s="8"/>
      <c r="U2471" s="8"/>
    </row>
    <row r="2472" spans="10:21">
      <c r="J2472" s="8"/>
      <c r="K2472" s="8"/>
      <c r="L2472" s="8"/>
      <c r="M2472" s="8"/>
      <c r="N2472" s="8"/>
      <c r="O2472" s="8"/>
      <c r="P2472" s="8"/>
      <c r="Q2472" s="8"/>
      <c r="R2472" s="8"/>
      <c r="S2472" s="8"/>
      <c r="T2472" s="8"/>
      <c r="U2472" s="8"/>
    </row>
    <row r="2473" spans="10:21">
      <c r="J2473" s="8"/>
      <c r="K2473" s="8"/>
      <c r="L2473" s="8"/>
      <c r="M2473" s="8"/>
      <c r="N2473" s="8"/>
      <c r="O2473" s="8"/>
      <c r="P2473" s="8"/>
      <c r="Q2473" s="8"/>
      <c r="R2473" s="8"/>
      <c r="S2473" s="8"/>
      <c r="T2473" s="8"/>
      <c r="U2473" s="8"/>
    </row>
    <row r="2474" spans="10:21">
      <c r="J2474" s="8"/>
      <c r="K2474" s="8"/>
      <c r="L2474" s="8"/>
      <c r="M2474" s="8"/>
      <c r="N2474" s="8"/>
      <c r="O2474" s="8"/>
      <c r="P2474" s="8"/>
      <c r="Q2474" s="8"/>
      <c r="R2474" s="8"/>
      <c r="S2474" s="8"/>
      <c r="T2474" s="8"/>
      <c r="U2474" s="8"/>
    </row>
    <row r="2475" spans="10:21">
      <c r="J2475" s="8"/>
      <c r="K2475" s="8"/>
      <c r="L2475" s="8"/>
      <c r="M2475" s="8"/>
      <c r="N2475" s="8"/>
      <c r="O2475" s="8"/>
      <c r="P2475" s="8"/>
      <c r="Q2475" s="8"/>
      <c r="R2475" s="8"/>
      <c r="S2475" s="8"/>
      <c r="T2475" s="8"/>
      <c r="U2475" s="8"/>
    </row>
    <row r="2476" spans="10:21">
      <c r="J2476" s="8"/>
      <c r="K2476" s="8"/>
      <c r="L2476" s="8"/>
      <c r="M2476" s="8"/>
      <c r="N2476" s="8"/>
      <c r="O2476" s="8"/>
      <c r="P2476" s="8"/>
      <c r="Q2476" s="8"/>
      <c r="R2476" s="8"/>
      <c r="S2476" s="8"/>
      <c r="T2476" s="8"/>
      <c r="U2476" s="8"/>
    </row>
    <row r="2477" spans="10:21">
      <c r="J2477" s="8"/>
      <c r="K2477" s="8"/>
      <c r="L2477" s="8"/>
      <c r="M2477" s="8"/>
      <c r="N2477" s="8"/>
      <c r="O2477" s="8"/>
      <c r="P2477" s="8"/>
      <c r="Q2477" s="8"/>
      <c r="R2477" s="8"/>
      <c r="S2477" s="8"/>
      <c r="T2477" s="8"/>
      <c r="U2477" s="8"/>
    </row>
    <row r="2478" spans="10:21">
      <c r="J2478" s="8"/>
      <c r="K2478" s="8"/>
      <c r="L2478" s="8"/>
      <c r="M2478" s="8"/>
      <c r="N2478" s="8"/>
      <c r="O2478" s="8"/>
      <c r="P2478" s="8"/>
      <c r="Q2478" s="8"/>
      <c r="R2478" s="8"/>
      <c r="S2478" s="8"/>
      <c r="T2478" s="8"/>
      <c r="U2478" s="8"/>
    </row>
    <row r="2479" spans="10:21">
      <c r="J2479" s="8"/>
      <c r="K2479" s="8"/>
      <c r="L2479" s="8"/>
      <c r="M2479" s="8"/>
      <c r="N2479" s="8"/>
      <c r="O2479" s="8"/>
      <c r="P2479" s="8"/>
      <c r="Q2479" s="8"/>
      <c r="R2479" s="8"/>
      <c r="S2479" s="8"/>
      <c r="T2479" s="8"/>
      <c r="U2479" s="8"/>
    </row>
    <row r="2480" spans="10:21">
      <c r="J2480" s="8"/>
      <c r="K2480" s="8"/>
      <c r="L2480" s="8"/>
      <c r="M2480" s="8"/>
      <c r="N2480" s="8"/>
      <c r="O2480" s="8"/>
      <c r="P2480" s="8"/>
      <c r="Q2480" s="8"/>
      <c r="R2480" s="8"/>
      <c r="S2480" s="8"/>
      <c r="T2480" s="8"/>
      <c r="U2480" s="8"/>
    </row>
    <row r="2481" spans="10:21">
      <c r="J2481" s="8"/>
      <c r="K2481" s="8"/>
      <c r="L2481" s="8"/>
      <c r="M2481" s="8"/>
      <c r="N2481" s="8"/>
      <c r="O2481" s="8"/>
      <c r="P2481" s="8"/>
      <c r="Q2481" s="8"/>
      <c r="R2481" s="8"/>
      <c r="S2481" s="8"/>
      <c r="T2481" s="8"/>
      <c r="U2481" s="8"/>
    </row>
    <row r="2482" spans="10:21">
      <c r="J2482" s="8"/>
      <c r="K2482" s="8"/>
      <c r="L2482" s="8"/>
      <c r="M2482" s="8"/>
      <c r="N2482" s="8"/>
      <c r="O2482" s="8"/>
      <c r="P2482" s="8"/>
      <c r="Q2482" s="8"/>
      <c r="R2482" s="8"/>
      <c r="S2482" s="8"/>
      <c r="T2482" s="8"/>
      <c r="U2482" s="8"/>
    </row>
    <row r="2483" spans="10:21">
      <c r="J2483" s="8"/>
      <c r="K2483" s="8"/>
      <c r="L2483" s="8"/>
      <c r="M2483" s="8"/>
      <c r="N2483" s="8"/>
      <c r="O2483" s="8"/>
      <c r="P2483" s="8"/>
      <c r="Q2483" s="8"/>
      <c r="R2483" s="8"/>
      <c r="S2483" s="8"/>
      <c r="T2483" s="8"/>
      <c r="U2483" s="8"/>
    </row>
    <row r="2484" spans="10:21">
      <c r="J2484" s="8"/>
      <c r="K2484" s="8"/>
      <c r="L2484" s="8"/>
      <c r="M2484" s="8"/>
      <c r="N2484" s="8"/>
      <c r="O2484" s="8"/>
      <c r="P2484" s="8"/>
      <c r="Q2484" s="8"/>
      <c r="R2484" s="8"/>
      <c r="S2484" s="8"/>
      <c r="T2484" s="8"/>
      <c r="U2484" s="8"/>
    </row>
    <row r="2485" spans="10:21">
      <c r="J2485" s="8"/>
      <c r="K2485" s="8"/>
      <c r="L2485" s="8"/>
      <c r="M2485" s="8"/>
      <c r="N2485" s="8"/>
      <c r="O2485" s="8"/>
      <c r="P2485" s="8"/>
      <c r="Q2485" s="8"/>
      <c r="R2485" s="8"/>
      <c r="S2485" s="8"/>
      <c r="T2485" s="8"/>
      <c r="U2485" s="8"/>
    </row>
    <row r="2486" spans="10:21">
      <c r="J2486" s="8"/>
      <c r="K2486" s="8"/>
      <c r="L2486" s="8"/>
      <c r="M2486" s="8"/>
      <c r="N2486" s="8"/>
      <c r="O2486" s="8"/>
      <c r="P2486" s="8"/>
      <c r="Q2486" s="8"/>
      <c r="R2486" s="8"/>
      <c r="S2486" s="8"/>
      <c r="T2486" s="8"/>
      <c r="U2486" s="8"/>
    </row>
    <row r="2487" spans="10:21">
      <c r="J2487" s="8"/>
      <c r="K2487" s="8"/>
      <c r="L2487" s="8"/>
      <c r="M2487" s="8"/>
      <c r="N2487" s="8"/>
      <c r="O2487" s="8"/>
      <c r="P2487" s="8"/>
      <c r="Q2487" s="8"/>
      <c r="R2487" s="8"/>
      <c r="S2487" s="8"/>
      <c r="T2487" s="8"/>
      <c r="U2487" s="8"/>
    </row>
    <row r="2488" spans="10:21">
      <c r="J2488" s="8"/>
      <c r="K2488" s="8"/>
      <c r="L2488" s="8"/>
      <c r="M2488" s="8"/>
      <c r="N2488" s="8"/>
      <c r="O2488" s="8"/>
      <c r="P2488" s="8"/>
      <c r="Q2488" s="8"/>
      <c r="R2488" s="8"/>
      <c r="S2488" s="8"/>
      <c r="T2488" s="8"/>
      <c r="U2488" s="8"/>
    </row>
    <row r="2489" spans="10:21">
      <c r="J2489" s="8"/>
      <c r="K2489" s="8"/>
      <c r="L2489" s="8"/>
      <c r="M2489" s="8"/>
      <c r="N2489" s="8"/>
      <c r="O2489" s="8"/>
      <c r="P2489" s="8"/>
      <c r="Q2489" s="8"/>
      <c r="R2489" s="8"/>
      <c r="S2489" s="8"/>
      <c r="T2489" s="8"/>
      <c r="U2489" s="8"/>
    </row>
    <row r="2490" spans="10:21">
      <c r="J2490" s="8"/>
      <c r="K2490" s="8"/>
      <c r="L2490" s="8"/>
      <c r="M2490" s="8"/>
      <c r="N2490" s="8"/>
      <c r="O2490" s="8"/>
      <c r="P2490" s="8"/>
      <c r="Q2490" s="8"/>
      <c r="R2490" s="8"/>
      <c r="S2490" s="8"/>
      <c r="T2490" s="8"/>
      <c r="U2490" s="8"/>
    </row>
    <row r="2491" spans="10:21">
      <c r="J2491" s="8"/>
      <c r="K2491" s="8"/>
      <c r="L2491" s="8"/>
      <c r="M2491" s="8"/>
      <c r="N2491" s="8"/>
      <c r="O2491" s="8"/>
      <c r="P2491" s="8"/>
      <c r="Q2491" s="8"/>
      <c r="R2491" s="8"/>
      <c r="S2491" s="8"/>
      <c r="T2491" s="8"/>
      <c r="U2491" s="8"/>
    </row>
    <row r="2492" spans="10:21">
      <c r="J2492" s="8"/>
      <c r="K2492" s="8"/>
      <c r="L2492" s="8"/>
      <c r="M2492" s="8"/>
      <c r="N2492" s="8"/>
      <c r="O2492" s="8"/>
      <c r="P2492" s="8"/>
      <c r="Q2492" s="8"/>
      <c r="R2492" s="8"/>
      <c r="S2492" s="8"/>
      <c r="T2492" s="8"/>
      <c r="U2492" s="8"/>
    </row>
    <row r="2493" spans="10:21">
      <c r="J2493" s="8"/>
      <c r="K2493" s="8"/>
      <c r="L2493" s="8"/>
      <c r="M2493" s="8"/>
      <c r="N2493" s="8"/>
      <c r="O2493" s="8"/>
      <c r="P2493" s="8"/>
      <c r="Q2493" s="8"/>
      <c r="R2493" s="8"/>
      <c r="S2493" s="8"/>
      <c r="T2493" s="8"/>
      <c r="U2493" s="8"/>
    </row>
    <row r="2494" spans="10:21">
      <c r="J2494" s="8"/>
      <c r="K2494" s="8"/>
      <c r="L2494" s="8"/>
      <c r="M2494" s="8"/>
      <c r="N2494" s="8"/>
      <c r="O2494" s="8"/>
      <c r="P2494" s="8"/>
      <c r="Q2494" s="8"/>
      <c r="R2494" s="8"/>
      <c r="S2494" s="8"/>
      <c r="T2494" s="8"/>
      <c r="U2494" s="8"/>
    </row>
    <row r="2495" spans="10:21">
      <c r="J2495" s="8"/>
      <c r="K2495" s="8"/>
      <c r="L2495" s="8"/>
      <c r="M2495" s="8"/>
      <c r="N2495" s="8"/>
      <c r="O2495" s="8"/>
      <c r="P2495" s="8"/>
      <c r="Q2495" s="8"/>
      <c r="R2495" s="8"/>
      <c r="S2495" s="8"/>
      <c r="T2495" s="8"/>
      <c r="U2495" s="8"/>
    </row>
    <row r="2496" spans="10:21">
      <c r="J2496" s="8"/>
      <c r="K2496" s="8"/>
      <c r="L2496" s="8"/>
      <c r="M2496" s="8"/>
      <c r="N2496" s="8"/>
      <c r="O2496" s="8"/>
      <c r="P2496" s="8"/>
      <c r="Q2496" s="8"/>
      <c r="R2496" s="8"/>
      <c r="S2496" s="8"/>
      <c r="T2496" s="8"/>
      <c r="U2496" s="8"/>
    </row>
    <row r="2497" spans="10:21">
      <c r="J2497" s="8"/>
      <c r="K2497" s="8"/>
      <c r="L2497" s="8"/>
      <c r="M2497" s="8"/>
      <c r="N2497" s="8"/>
      <c r="O2497" s="8"/>
      <c r="P2497" s="8"/>
      <c r="Q2497" s="8"/>
      <c r="R2497" s="8"/>
      <c r="S2497" s="8"/>
      <c r="T2497" s="8"/>
      <c r="U2497" s="8"/>
    </row>
    <row r="2498" spans="10:21">
      <c r="J2498" s="8"/>
      <c r="K2498" s="8"/>
      <c r="L2498" s="8"/>
      <c r="M2498" s="8"/>
      <c r="N2498" s="8"/>
      <c r="O2498" s="8"/>
      <c r="P2498" s="8"/>
      <c r="Q2498" s="8"/>
      <c r="R2498" s="8"/>
      <c r="S2498" s="8"/>
      <c r="T2498" s="8"/>
      <c r="U2498" s="8"/>
    </row>
    <row r="2499" spans="10:21">
      <c r="J2499" s="8"/>
      <c r="K2499" s="8"/>
      <c r="L2499" s="8"/>
      <c r="M2499" s="8"/>
      <c r="N2499" s="8"/>
      <c r="O2499" s="8"/>
      <c r="P2499" s="8"/>
      <c r="Q2499" s="8"/>
      <c r="R2499" s="8"/>
      <c r="S2499" s="8"/>
      <c r="T2499" s="8"/>
      <c r="U2499" s="8"/>
    </row>
    <row r="2500" spans="10:21">
      <c r="J2500" s="8"/>
      <c r="K2500" s="8"/>
      <c r="L2500" s="8"/>
      <c r="M2500" s="8"/>
      <c r="N2500" s="8"/>
      <c r="O2500" s="8"/>
      <c r="P2500" s="8"/>
      <c r="Q2500" s="8"/>
      <c r="R2500" s="8"/>
      <c r="S2500" s="8"/>
      <c r="T2500" s="8"/>
      <c r="U2500" s="8"/>
    </row>
    <row r="2501" spans="10:21">
      <c r="J2501" s="8"/>
      <c r="K2501" s="8"/>
      <c r="L2501" s="8"/>
      <c r="M2501" s="8"/>
      <c r="N2501" s="8"/>
      <c r="O2501" s="8"/>
      <c r="P2501" s="8"/>
      <c r="Q2501" s="8"/>
      <c r="R2501" s="8"/>
      <c r="S2501" s="8"/>
      <c r="T2501" s="8"/>
      <c r="U2501" s="8"/>
    </row>
    <row r="2502" spans="10:21">
      <c r="J2502" s="8"/>
      <c r="K2502" s="8"/>
      <c r="L2502" s="8"/>
      <c r="M2502" s="8"/>
      <c r="N2502" s="8"/>
      <c r="O2502" s="8"/>
      <c r="P2502" s="8"/>
      <c r="Q2502" s="8"/>
      <c r="R2502" s="8"/>
      <c r="S2502" s="8"/>
      <c r="T2502" s="8"/>
      <c r="U2502" s="8"/>
    </row>
    <row r="2503" spans="10:21">
      <c r="J2503" s="8"/>
      <c r="K2503" s="8"/>
      <c r="L2503" s="8"/>
      <c r="M2503" s="8"/>
      <c r="N2503" s="8"/>
      <c r="O2503" s="8"/>
      <c r="P2503" s="8"/>
      <c r="Q2503" s="8"/>
      <c r="R2503" s="8"/>
      <c r="S2503" s="8"/>
      <c r="T2503" s="8"/>
      <c r="U2503" s="8"/>
    </row>
    <row r="2504" spans="10:21">
      <c r="J2504" s="8"/>
      <c r="K2504" s="8"/>
      <c r="L2504" s="8"/>
      <c r="M2504" s="8"/>
      <c r="N2504" s="8"/>
      <c r="O2504" s="8"/>
      <c r="P2504" s="8"/>
      <c r="Q2504" s="8"/>
      <c r="R2504" s="8"/>
      <c r="S2504" s="8"/>
      <c r="T2504" s="8"/>
      <c r="U2504" s="8"/>
    </row>
    <row r="2505" spans="10:21">
      <c r="J2505" s="8"/>
      <c r="K2505" s="8"/>
      <c r="L2505" s="8"/>
      <c r="M2505" s="8"/>
      <c r="N2505" s="8"/>
      <c r="O2505" s="8"/>
      <c r="P2505" s="8"/>
      <c r="Q2505" s="8"/>
      <c r="R2505" s="8"/>
      <c r="S2505" s="8"/>
      <c r="T2505" s="8"/>
      <c r="U2505" s="8"/>
    </row>
    <row r="2506" spans="10:21">
      <c r="J2506" s="8"/>
      <c r="K2506" s="8"/>
      <c r="L2506" s="8"/>
      <c r="M2506" s="8"/>
      <c r="N2506" s="8"/>
      <c r="O2506" s="8"/>
      <c r="P2506" s="8"/>
      <c r="Q2506" s="8"/>
      <c r="R2506" s="8"/>
      <c r="S2506" s="8"/>
      <c r="T2506" s="8"/>
      <c r="U2506" s="8"/>
    </row>
    <row r="2507" spans="10:21">
      <c r="J2507" s="8"/>
      <c r="K2507" s="8"/>
      <c r="L2507" s="8"/>
      <c r="M2507" s="8"/>
      <c r="N2507" s="8"/>
      <c r="O2507" s="8"/>
      <c r="P2507" s="8"/>
      <c r="Q2507" s="8"/>
      <c r="R2507" s="8"/>
      <c r="S2507" s="8"/>
      <c r="T2507" s="8"/>
      <c r="U2507" s="8"/>
    </row>
    <row r="2508" spans="10:21">
      <c r="J2508" s="8"/>
      <c r="K2508" s="8"/>
      <c r="L2508" s="8"/>
      <c r="M2508" s="8"/>
      <c r="N2508" s="8"/>
      <c r="O2508" s="8"/>
      <c r="P2508" s="8"/>
      <c r="Q2508" s="8"/>
      <c r="R2508" s="8"/>
      <c r="S2508" s="8"/>
      <c r="T2508" s="8"/>
      <c r="U2508" s="8"/>
    </row>
    <row r="2509" spans="10:21">
      <c r="J2509" s="8"/>
      <c r="K2509" s="8"/>
      <c r="L2509" s="8"/>
      <c r="M2509" s="8"/>
      <c r="N2509" s="8"/>
      <c r="O2509" s="8"/>
      <c r="P2509" s="8"/>
      <c r="Q2509" s="8"/>
      <c r="R2509" s="8"/>
      <c r="S2509" s="8"/>
      <c r="T2509" s="8"/>
      <c r="U2509" s="8"/>
    </row>
    <row r="2510" spans="10:21">
      <c r="J2510" s="8"/>
      <c r="K2510" s="8"/>
      <c r="L2510" s="8"/>
      <c r="M2510" s="8"/>
      <c r="N2510" s="8"/>
      <c r="O2510" s="8"/>
      <c r="P2510" s="8"/>
      <c r="Q2510" s="8"/>
      <c r="R2510" s="8"/>
      <c r="S2510" s="8"/>
      <c r="T2510" s="8"/>
      <c r="U2510" s="8"/>
    </row>
    <row r="2511" spans="10:21">
      <c r="J2511" s="8"/>
      <c r="K2511" s="8"/>
      <c r="L2511" s="8"/>
      <c r="M2511" s="8"/>
      <c r="N2511" s="8"/>
      <c r="O2511" s="8"/>
      <c r="P2511" s="8"/>
      <c r="Q2511" s="8"/>
      <c r="R2511" s="8"/>
      <c r="S2511" s="8"/>
      <c r="T2511" s="8"/>
      <c r="U2511" s="8"/>
    </row>
    <row r="2512" spans="10:21">
      <c r="J2512" s="8"/>
      <c r="K2512" s="8"/>
      <c r="L2512" s="8"/>
      <c r="M2512" s="8"/>
      <c r="N2512" s="8"/>
      <c r="O2512" s="8"/>
      <c r="P2512" s="8"/>
      <c r="Q2512" s="8"/>
      <c r="R2512" s="8"/>
      <c r="S2512" s="8"/>
      <c r="T2512" s="8"/>
      <c r="U2512" s="8"/>
    </row>
    <row r="2513" spans="10:21">
      <c r="J2513" s="8"/>
      <c r="K2513" s="8"/>
      <c r="L2513" s="8"/>
      <c r="M2513" s="8"/>
      <c r="N2513" s="8"/>
      <c r="O2513" s="8"/>
      <c r="P2513" s="8"/>
      <c r="Q2513" s="8"/>
      <c r="R2513" s="8"/>
      <c r="S2513" s="8"/>
      <c r="T2513" s="8"/>
      <c r="U2513" s="8"/>
    </row>
    <row r="2514" spans="10:21">
      <c r="J2514" s="8"/>
      <c r="K2514" s="8"/>
      <c r="L2514" s="8"/>
      <c r="M2514" s="8"/>
      <c r="N2514" s="8"/>
      <c r="O2514" s="8"/>
      <c r="P2514" s="8"/>
      <c r="Q2514" s="8"/>
      <c r="R2514" s="8"/>
      <c r="S2514" s="8"/>
      <c r="T2514" s="8"/>
      <c r="U2514" s="8"/>
    </row>
    <row r="2515" spans="10:21">
      <c r="J2515" s="8"/>
      <c r="K2515" s="8"/>
      <c r="L2515" s="8"/>
      <c r="M2515" s="8"/>
      <c r="N2515" s="8"/>
      <c r="O2515" s="8"/>
      <c r="P2515" s="8"/>
      <c r="Q2515" s="8"/>
      <c r="R2515" s="8"/>
      <c r="S2515" s="8"/>
      <c r="T2515" s="8"/>
      <c r="U2515" s="8"/>
    </row>
    <row r="2516" spans="10:21">
      <c r="J2516" s="8"/>
      <c r="K2516" s="8"/>
      <c r="L2516" s="8"/>
      <c r="M2516" s="8"/>
      <c r="N2516" s="8"/>
      <c r="O2516" s="8"/>
      <c r="P2516" s="8"/>
      <c r="Q2516" s="8"/>
      <c r="R2516" s="8"/>
      <c r="S2516" s="8"/>
      <c r="T2516" s="8"/>
      <c r="U2516" s="8"/>
    </row>
    <row r="2517" spans="10:21">
      <c r="J2517" s="8"/>
      <c r="K2517" s="8"/>
      <c r="L2517" s="8"/>
      <c r="M2517" s="8"/>
      <c r="N2517" s="8"/>
      <c r="O2517" s="8"/>
      <c r="P2517" s="8"/>
      <c r="Q2517" s="8"/>
      <c r="R2517" s="8"/>
      <c r="S2517" s="8"/>
      <c r="T2517" s="8"/>
      <c r="U2517" s="8"/>
    </row>
    <row r="2518" spans="10:21">
      <c r="J2518" s="8"/>
      <c r="K2518" s="8"/>
      <c r="L2518" s="8"/>
      <c r="M2518" s="8"/>
      <c r="N2518" s="8"/>
      <c r="O2518" s="8"/>
      <c r="P2518" s="8"/>
      <c r="Q2518" s="8"/>
      <c r="R2518" s="8"/>
      <c r="S2518" s="8"/>
      <c r="T2518" s="8"/>
      <c r="U2518" s="8"/>
    </row>
    <row r="2519" spans="10:21">
      <c r="J2519" s="8"/>
      <c r="K2519" s="8"/>
      <c r="L2519" s="8"/>
      <c r="M2519" s="8"/>
      <c r="N2519" s="8"/>
      <c r="O2519" s="8"/>
      <c r="P2519" s="8"/>
      <c r="Q2519" s="8"/>
      <c r="R2519" s="8"/>
      <c r="S2519" s="8"/>
      <c r="T2519" s="8"/>
      <c r="U2519" s="8"/>
    </row>
    <row r="2520" spans="10:21">
      <c r="J2520" s="8"/>
      <c r="K2520" s="8"/>
      <c r="L2520" s="8"/>
      <c r="M2520" s="8"/>
      <c r="N2520" s="8"/>
      <c r="O2520" s="8"/>
      <c r="P2520" s="8"/>
      <c r="Q2520" s="8"/>
      <c r="R2520" s="8"/>
      <c r="S2520" s="8"/>
      <c r="T2520" s="8"/>
      <c r="U2520" s="8"/>
    </row>
    <row r="2521" spans="10:21">
      <c r="J2521" s="8"/>
      <c r="K2521" s="8"/>
      <c r="L2521" s="8"/>
      <c r="M2521" s="8"/>
      <c r="N2521" s="8"/>
      <c r="O2521" s="8"/>
      <c r="P2521" s="8"/>
      <c r="Q2521" s="8"/>
      <c r="R2521" s="8"/>
      <c r="S2521" s="8"/>
      <c r="T2521" s="8"/>
      <c r="U2521" s="8"/>
    </row>
    <row r="2522" spans="10:21">
      <c r="J2522" s="8"/>
      <c r="K2522" s="8"/>
      <c r="L2522" s="8"/>
      <c r="M2522" s="8"/>
      <c r="N2522" s="8"/>
      <c r="O2522" s="8"/>
      <c r="P2522" s="8"/>
      <c r="Q2522" s="8"/>
      <c r="R2522" s="8"/>
      <c r="S2522" s="8"/>
      <c r="T2522" s="8"/>
      <c r="U2522" s="8"/>
    </row>
    <row r="2523" spans="10:21">
      <c r="J2523" s="8"/>
      <c r="K2523" s="8"/>
      <c r="L2523" s="8"/>
      <c r="M2523" s="8"/>
      <c r="N2523" s="8"/>
      <c r="O2523" s="8"/>
      <c r="P2523" s="8"/>
      <c r="Q2523" s="8"/>
      <c r="R2523" s="8"/>
      <c r="S2523" s="8"/>
      <c r="T2523" s="8"/>
      <c r="U2523" s="8"/>
    </row>
    <row r="2524" spans="10:21">
      <c r="J2524" s="8"/>
      <c r="K2524" s="8"/>
      <c r="L2524" s="8"/>
      <c r="M2524" s="8"/>
      <c r="N2524" s="8"/>
      <c r="O2524" s="8"/>
      <c r="P2524" s="8"/>
      <c r="Q2524" s="8"/>
      <c r="R2524" s="8"/>
      <c r="S2524" s="8"/>
      <c r="T2524" s="8"/>
      <c r="U2524" s="8"/>
    </row>
    <row r="2525" spans="10:21">
      <c r="J2525" s="8"/>
      <c r="K2525" s="8"/>
      <c r="L2525" s="8"/>
      <c r="M2525" s="8"/>
      <c r="N2525" s="8"/>
      <c r="O2525" s="8"/>
      <c r="P2525" s="8"/>
      <c r="Q2525" s="8"/>
      <c r="R2525" s="8"/>
      <c r="S2525" s="8"/>
      <c r="T2525" s="8"/>
      <c r="U2525" s="8"/>
    </row>
    <row r="2526" spans="10:21">
      <c r="J2526" s="8"/>
      <c r="K2526" s="8"/>
      <c r="L2526" s="8"/>
      <c r="M2526" s="8"/>
      <c r="N2526" s="8"/>
      <c r="O2526" s="8"/>
      <c r="P2526" s="8"/>
      <c r="Q2526" s="8"/>
      <c r="R2526" s="8"/>
      <c r="S2526" s="8"/>
      <c r="T2526" s="8"/>
      <c r="U2526" s="8"/>
    </row>
    <row r="2527" spans="10:21">
      <c r="J2527" s="8"/>
      <c r="K2527" s="8"/>
      <c r="L2527" s="8"/>
      <c r="M2527" s="8"/>
      <c r="N2527" s="8"/>
      <c r="O2527" s="8"/>
      <c r="P2527" s="8"/>
      <c r="Q2527" s="8"/>
      <c r="R2527" s="8"/>
      <c r="S2527" s="8"/>
      <c r="T2527" s="8"/>
      <c r="U2527" s="8"/>
    </row>
    <row r="2528" spans="10:21">
      <c r="J2528" s="8"/>
      <c r="K2528" s="8"/>
      <c r="L2528" s="8"/>
      <c r="M2528" s="8"/>
      <c r="N2528" s="8"/>
      <c r="O2528" s="8"/>
      <c r="P2528" s="8"/>
      <c r="Q2528" s="8"/>
      <c r="R2528" s="8"/>
      <c r="S2528" s="8"/>
      <c r="T2528" s="8"/>
      <c r="U2528" s="8"/>
    </row>
    <row r="2529" spans="10:21">
      <c r="J2529" s="8"/>
      <c r="K2529" s="8"/>
      <c r="L2529" s="8"/>
      <c r="M2529" s="8"/>
      <c r="N2529" s="8"/>
      <c r="O2529" s="8"/>
      <c r="P2529" s="8"/>
      <c r="Q2529" s="8"/>
      <c r="R2529" s="8"/>
      <c r="S2529" s="8"/>
      <c r="T2529" s="8"/>
      <c r="U2529" s="8"/>
    </row>
    <row r="2530" spans="10:21">
      <c r="J2530" s="8"/>
      <c r="K2530" s="8"/>
      <c r="L2530" s="8"/>
      <c r="M2530" s="8"/>
      <c r="N2530" s="8"/>
      <c r="O2530" s="8"/>
      <c r="P2530" s="8"/>
      <c r="Q2530" s="8"/>
      <c r="R2530" s="8"/>
      <c r="S2530" s="8"/>
      <c r="T2530" s="8"/>
      <c r="U2530" s="8"/>
    </row>
    <row r="2531" spans="10:21">
      <c r="J2531" s="8"/>
      <c r="K2531" s="8"/>
      <c r="L2531" s="8"/>
      <c r="M2531" s="8"/>
      <c r="N2531" s="8"/>
      <c r="O2531" s="8"/>
      <c r="P2531" s="8"/>
      <c r="Q2531" s="8"/>
      <c r="R2531" s="8"/>
      <c r="S2531" s="8"/>
      <c r="T2531" s="8"/>
      <c r="U2531" s="8"/>
    </row>
    <row r="2532" spans="10:21">
      <c r="J2532" s="8"/>
      <c r="K2532" s="8"/>
      <c r="L2532" s="8"/>
      <c r="M2532" s="8"/>
      <c r="N2532" s="8"/>
      <c r="O2532" s="8"/>
      <c r="P2532" s="8"/>
      <c r="Q2532" s="8"/>
      <c r="R2532" s="8"/>
      <c r="S2532" s="8"/>
      <c r="T2532" s="8"/>
      <c r="U2532" s="8"/>
    </row>
    <row r="2533" spans="10:21">
      <c r="J2533" s="8"/>
      <c r="K2533" s="8"/>
      <c r="L2533" s="8"/>
      <c r="M2533" s="8"/>
      <c r="N2533" s="8"/>
      <c r="O2533" s="8"/>
      <c r="P2533" s="8"/>
      <c r="Q2533" s="8"/>
      <c r="R2533" s="8"/>
      <c r="S2533" s="8"/>
      <c r="T2533" s="8"/>
      <c r="U2533" s="8"/>
    </row>
    <row r="2534" spans="10:21">
      <c r="J2534" s="8"/>
      <c r="K2534" s="8"/>
      <c r="L2534" s="8"/>
      <c r="M2534" s="8"/>
      <c r="N2534" s="8"/>
      <c r="O2534" s="8"/>
      <c r="P2534" s="8"/>
      <c r="Q2534" s="8"/>
      <c r="R2534" s="8"/>
      <c r="S2534" s="8"/>
      <c r="T2534" s="8"/>
      <c r="U2534" s="8"/>
    </row>
    <row r="2535" spans="10:21">
      <c r="J2535" s="8"/>
      <c r="K2535" s="8"/>
      <c r="L2535" s="8"/>
      <c r="M2535" s="8"/>
      <c r="N2535" s="8"/>
      <c r="O2535" s="8"/>
      <c r="P2535" s="8"/>
      <c r="Q2535" s="8"/>
      <c r="R2535" s="8"/>
      <c r="S2535" s="8"/>
      <c r="T2535" s="8"/>
      <c r="U2535" s="8"/>
    </row>
    <row r="2536" spans="10:21">
      <c r="J2536" s="8"/>
      <c r="K2536" s="8"/>
      <c r="L2536" s="8"/>
      <c r="M2536" s="8"/>
      <c r="N2536" s="8"/>
      <c r="O2536" s="8"/>
      <c r="P2536" s="8"/>
      <c r="Q2536" s="8"/>
      <c r="R2536" s="8"/>
      <c r="S2536" s="8"/>
      <c r="T2536" s="8"/>
      <c r="U2536" s="8"/>
    </row>
    <row r="2537" spans="10:21">
      <c r="J2537" s="8"/>
      <c r="K2537" s="8"/>
      <c r="L2537" s="8"/>
      <c r="M2537" s="8"/>
      <c r="N2537" s="8"/>
      <c r="O2537" s="8"/>
      <c r="P2537" s="8"/>
      <c r="Q2537" s="8"/>
      <c r="R2537" s="8"/>
      <c r="S2537" s="8"/>
      <c r="T2537" s="8"/>
      <c r="U2537" s="8"/>
    </row>
    <row r="2538" spans="10:21">
      <c r="J2538" s="8"/>
      <c r="K2538" s="8"/>
      <c r="L2538" s="8"/>
      <c r="M2538" s="8"/>
      <c r="N2538" s="8"/>
      <c r="O2538" s="8"/>
      <c r="P2538" s="8"/>
      <c r="Q2538" s="8"/>
      <c r="R2538" s="8"/>
      <c r="S2538" s="8"/>
      <c r="T2538" s="8"/>
      <c r="U2538" s="8"/>
    </row>
    <row r="2539" spans="10:21">
      <c r="J2539" s="8"/>
      <c r="K2539" s="8"/>
      <c r="L2539" s="8"/>
      <c r="M2539" s="8"/>
      <c r="N2539" s="8"/>
      <c r="O2539" s="8"/>
      <c r="P2539" s="8"/>
      <c r="Q2539" s="8"/>
      <c r="R2539" s="8"/>
      <c r="S2539" s="8"/>
      <c r="T2539" s="8"/>
      <c r="U2539" s="8"/>
    </row>
    <row r="2540" spans="10:21">
      <c r="J2540" s="8"/>
      <c r="K2540" s="8"/>
      <c r="L2540" s="8"/>
      <c r="M2540" s="8"/>
      <c r="N2540" s="8"/>
      <c r="O2540" s="8"/>
      <c r="P2540" s="8"/>
      <c r="Q2540" s="8"/>
      <c r="R2540" s="8"/>
      <c r="S2540" s="8"/>
      <c r="T2540" s="8"/>
      <c r="U2540" s="8"/>
    </row>
    <row r="2541" spans="10:21">
      <c r="J2541" s="8"/>
      <c r="K2541" s="8"/>
      <c r="L2541" s="8"/>
      <c r="M2541" s="8"/>
      <c r="N2541" s="8"/>
      <c r="O2541" s="8"/>
      <c r="P2541" s="8"/>
      <c r="Q2541" s="8"/>
      <c r="R2541" s="8"/>
      <c r="S2541" s="8"/>
      <c r="T2541" s="8"/>
      <c r="U2541" s="8"/>
    </row>
    <row r="2542" spans="10:21">
      <c r="J2542" s="8"/>
      <c r="K2542" s="8"/>
      <c r="L2542" s="8"/>
      <c r="M2542" s="8"/>
      <c r="N2542" s="8"/>
      <c r="O2542" s="8"/>
      <c r="P2542" s="8"/>
      <c r="Q2542" s="8"/>
      <c r="R2542" s="8"/>
      <c r="S2542" s="8"/>
      <c r="T2542" s="8"/>
      <c r="U2542" s="8"/>
    </row>
    <row r="2543" spans="10:21">
      <c r="J2543" s="8"/>
      <c r="K2543" s="8"/>
      <c r="L2543" s="8"/>
      <c r="M2543" s="8"/>
      <c r="N2543" s="8"/>
      <c r="O2543" s="8"/>
      <c r="P2543" s="8"/>
      <c r="Q2543" s="8"/>
      <c r="R2543" s="8"/>
      <c r="S2543" s="8"/>
      <c r="T2543" s="8"/>
      <c r="U2543" s="8"/>
    </row>
    <row r="2544" spans="10:21">
      <c r="J2544" s="8"/>
      <c r="K2544" s="8"/>
      <c r="L2544" s="8"/>
      <c r="M2544" s="8"/>
      <c r="N2544" s="8"/>
      <c r="O2544" s="8"/>
      <c r="P2544" s="8"/>
      <c r="Q2544" s="8"/>
      <c r="R2544" s="8"/>
      <c r="S2544" s="8"/>
      <c r="T2544" s="8"/>
      <c r="U2544" s="8"/>
    </row>
    <row r="2545" spans="10:21">
      <c r="J2545" s="8"/>
      <c r="K2545" s="8"/>
      <c r="L2545" s="8"/>
      <c r="M2545" s="8"/>
      <c r="N2545" s="8"/>
      <c r="O2545" s="8"/>
      <c r="P2545" s="8"/>
      <c r="Q2545" s="8"/>
      <c r="R2545" s="8"/>
      <c r="S2545" s="8"/>
      <c r="T2545" s="8"/>
      <c r="U2545" s="8"/>
    </row>
    <row r="2546" spans="10:21">
      <c r="J2546" s="8"/>
      <c r="K2546" s="8"/>
      <c r="L2546" s="8"/>
      <c r="M2546" s="8"/>
      <c r="N2546" s="8"/>
      <c r="O2546" s="8"/>
      <c r="P2546" s="8"/>
      <c r="Q2546" s="8"/>
      <c r="R2546" s="8"/>
      <c r="S2546" s="8"/>
      <c r="T2546" s="8"/>
      <c r="U2546" s="8"/>
    </row>
    <row r="2547" spans="10:21">
      <c r="J2547" s="8"/>
      <c r="K2547" s="8"/>
      <c r="L2547" s="8"/>
      <c r="M2547" s="8"/>
      <c r="N2547" s="8"/>
      <c r="O2547" s="8"/>
      <c r="P2547" s="8"/>
      <c r="Q2547" s="8"/>
      <c r="R2547" s="8"/>
      <c r="S2547" s="8"/>
      <c r="T2547" s="8"/>
      <c r="U2547" s="8"/>
    </row>
    <row r="2548" spans="10:21">
      <c r="J2548" s="8"/>
      <c r="K2548" s="8"/>
      <c r="L2548" s="8"/>
      <c r="M2548" s="8"/>
      <c r="N2548" s="8"/>
      <c r="O2548" s="8"/>
      <c r="P2548" s="8"/>
      <c r="Q2548" s="8"/>
      <c r="R2548" s="8"/>
      <c r="S2548" s="8"/>
      <c r="T2548" s="8"/>
      <c r="U2548" s="8"/>
    </row>
    <row r="2549" spans="10:21">
      <c r="J2549" s="8"/>
      <c r="K2549" s="8"/>
      <c r="L2549" s="8"/>
      <c r="M2549" s="8"/>
      <c r="N2549" s="8"/>
      <c r="O2549" s="8"/>
      <c r="P2549" s="8"/>
      <c r="Q2549" s="8"/>
      <c r="R2549" s="8"/>
      <c r="S2549" s="8"/>
      <c r="T2549" s="8"/>
      <c r="U2549" s="8"/>
    </row>
    <row r="2550" spans="10:21">
      <c r="J2550" s="8"/>
      <c r="K2550" s="8"/>
      <c r="L2550" s="8"/>
      <c r="M2550" s="8"/>
      <c r="N2550" s="8"/>
      <c r="O2550" s="8"/>
      <c r="P2550" s="8"/>
      <c r="Q2550" s="8"/>
      <c r="R2550" s="8"/>
      <c r="S2550" s="8"/>
      <c r="T2550" s="8"/>
      <c r="U2550" s="8"/>
    </row>
    <row r="2551" spans="10:21">
      <c r="J2551" s="8"/>
      <c r="K2551" s="8"/>
      <c r="L2551" s="8"/>
      <c r="M2551" s="8"/>
      <c r="N2551" s="8"/>
      <c r="O2551" s="8"/>
      <c r="P2551" s="8"/>
      <c r="Q2551" s="8"/>
      <c r="R2551" s="8"/>
      <c r="S2551" s="8"/>
      <c r="T2551" s="8"/>
      <c r="U2551" s="8"/>
    </row>
    <row r="2552" spans="10:21">
      <c r="J2552" s="8"/>
      <c r="K2552" s="8"/>
      <c r="L2552" s="8"/>
      <c r="M2552" s="8"/>
      <c r="N2552" s="8"/>
      <c r="O2552" s="8"/>
      <c r="P2552" s="8"/>
      <c r="Q2552" s="8"/>
      <c r="R2552" s="8"/>
      <c r="S2552" s="8"/>
      <c r="T2552" s="8"/>
      <c r="U2552" s="8"/>
    </row>
    <row r="2553" spans="10:21">
      <c r="J2553" s="8"/>
      <c r="K2553" s="8"/>
      <c r="L2553" s="8"/>
      <c r="M2553" s="8"/>
      <c r="N2553" s="8"/>
      <c r="O2553" s="8"/>
      <c r="P2553" s="8"/>
      <c r="Q2553" s="8"/>
      <c r="R2553" s="8"/>
      <c r="S2553" s="8"/>
      <c r="T2553" s="8"/>
      <c r="U2553" s="8"/>
    </row>
    <row r="2554" spans="10:21">
      <c r="J2554" s="8"/>
      <c r="K2554" s="8"/>
      <c r="L2554" s="8"/>
      <c r="M2554" s="8"/>
      <c r="N2554" s="8"/>
      <c r="O2554" s="8"/>
      <c r="P2554" s="8"/>
      <c r="Q2554" s="8"/>
      <c r="R2554" s="8"/>
      <c r="S2554" s="8"/>
      <c r="T2554" s="8"/>
      <c r="U2554" s="8"/>
    </row>
    <row r="2555" spans="10:21">
      <c r="J2555" s="8"/>
      <c r="K2555" s="8"/>
      <c r="L2555" s="8"/>
      <c r="M2555" s="8"/>
      <c r="N2555" s="8"/>
      <c r="O2555" s="8"/>
      <c r="P2555" s="8"/>
      <c r="Q2555" s="8"/>
      <c r="R2555" s="8"/>
      <c r="S2555" s="8"/>
      <c r="T2555" s="8"/>
      <c r="U2555" s="8"/>
    </row>
    <row r="2556" spans="10:21">
      <c r="J2556" s="8"/>
      <c r="K2556" s="8"/>
      <c r="L2556" s="8"/>
      <c r="M2556" s="8"/>
      <c r="N2556" s="8"/>
      <c r="O2556" s="8"/>
      <c r="P2556" s="8"/>
      <c r="Q2556" s="8"/>
      <c r="R2556" s="8"/>
      <c r="S2556" s="8"/>
      <c r="T2556" s="8"/>
      <c r="U2556" s="8"/>
    </row>
    <row r="2557" spans="10:21">
      <c r="J2557" s="8"/>
      <c r="K2557" s="8"/>
      <c r="L2557" s="8"/>
      <c r="M2557" s="8"/>
      <c r="N2557" s="8"/>
      <c r="O2557" s="8"/>
      <c r="P2557" s="8"/>
      <c r="Q2557" s="8"/>
      <c r="R2557" s="8"/>
      <c r="S2557" s="8"/>
      <c r="T2557" s="8"/>
      <c r="U2557" s="8"/>
    </row>
    <row r="2558" spans="10:21">
      <c r="J2558" s="8"/>
      <c r="K2558" s="8"/>
      <c r="L2558" s="8"/>
      <c r="M2558" s="8"/>
      <c r="N2558" s="8"/>
      <c r="O2558" s="8"/>
      <c r="P2558" s="8"/>
      <c r="Q2558" s="8"/>
      <c r="R2558" s="8"/>
      <c r="S2558" s="8"/>
      <c r="T2558" s="8"/>
      <c r="U2558" s="8"/>
    </row>
    <row r="2559" spans="10:21">
      <c r="J2559" s="8"/>
      <c r="K2559" s="8"/>
      <c r="L2559" s="8"/>
      <c r="M2559" s="8"/>
      <c r="N2559" s="8"/>
      <c r="O2559" s="8"/>
      <c r="P2559" s="8"/>
      <c r="Q2559" s="8"/>
      <c r="R2559" s="8"/>
      <c r="S2559" s="8"/>
      <c r="T2559" s="8"/>
      <c r="U2559" s="8"/>
    </row>
    <row r="2560" spans="10:21">
      <c r="J2560" s="8"/>
      <c r="K2560" s="8"/>
      <c r="L2560" s="8"/>
      <c r="M2560" s="8"/>
      <c r="N2560" s="8"/>
      <c r="O2560" s="8"/>
      <c r="P2560" s="8"/>
      <c r="Q2560" s="8"/>
      <c r="R2560" s="8"/>
      <c r="S2560" s="8"/>
      <c r="T2560" s="8"/>
      <c r="U2560" s="8"/>
    </row>
    <row r="2561" spans="10:21">
      <c r="J2561" s="8"/>
      <c r="K2561" s="8"/>
      <c r="L2561" s="8"/>
      <c r="M2561" s="8"/>
      <c r="N2561" s="8"/>
      <c r="O2561" s="8"/>
      <c r="P2561" s="8"/>
      <c r="Q2561" s="8"/>
      <c r="R2561" s="8"/>
      <c r="S2561" s="8"/>
      <c r="T2561" s="8"/>
      <c r="U2561" s="8"/>
    </row>
    <row r="2562" spans="10:21">
      <c r="J2562" s="8"/>
      <c r="K2562" s="8"/>
      <c r="L2562" s="8"/>
      <c r="M2562" s="8"/>
      <c r="N2562" s="8"/>
      <c r="O2562" s="8"/>
      <c r="P2562" s="8"/>
      <c r="Q2562" s="8"/>
      <c r="R2562" s="8"/>
      <c r="S2562" s="8"/>
      <c r="T2562" s="8"/>
      <c r="U2562" s="8"/>
    </row>
    <row r="2563" spans="10:21">
      <c r="J2563" s="8"/>
      <c r="K2563" s="8"/>
      <c r="L2563" s="8"/>
      <c r="M2563" s="8"/>
      <c r="N2563" s="8"/>
      <c r="O2563" s="8"/>
      <c r="P2563" s="8"/>
      <c r="Q2563" s="8"/>
      <c r="R2563" s="8"/>
      <c r="S2563" s="8"/>
      <c r="T2563" s="8"/>
      <c r="U2563" s="8"/>
    </row>
    <row r="2564" spans="10:21">
      <c r="J2564" s="8"/>
      <c r="K2564" s="8"/>
      <c r="L2564" s="8"/>
      <c r="M2564" s="8"/>
      <c r="N2564" s="8"/>
      <c r="O2564" s="8"/>
      <c r="P2564" s="8"/>
      <c r="Q2564" s="8"/>
      <c r="R2564" s="8"/>
      <c r="S2564" s="8"/>
      <c r="T2564" s="8"/>
      <c r="U2564" s="8"/>
    </row>
    <row r="2565" spans="10:21">
      <c r="J2565" s="8"/>
      <c r="K2565" s="8"/>
      <c r="L2565" s="8"/>
      <c r="M2565" s="8"/>
      <c r="N2565" s="8"/>
      <c r="O2565" s="8"/>
      <c r="P2565" s="8"/>
      <c r="Q2565" s="8"/>
      <c r="R2565" s="8"/>
      <c r="S2565" s="8"/>
      <c r="T2565" s="8"/>
      <c r="U2565" s="8"/>
    </row>
    <row r="2566" spans="10:21">
      <c r="J2566" s="8"/>
      <c r="K2566" s="8"/>
      <c r="L2566" s="8"/>
      <c r="M2566" s="8"/>
      <c r="N2566" s="8"/>
      <c r="O2566" s="8"/>
      <c r="P2566" s="8"/>
      <c r="Q2566" s="8"/>
      <c r="R2566" s="8"/>
      <c r="S2566" s="8"/>
      <c r="T2566" s="8"/>
      <c r="U2566" s="8"/>
    </row>
    <row r="2567" spans="10:21">
      <c r="J2567" s="8"/>
      <c r="K2567" s="8"/>
      <c r="L2567" s="8"/>
      <c r="M2567" s="8"/>
      <c r="N2567" s="8"/>
      <c r="O2567" s="8"/>
      <c r="P2567" s="8"/>
      <c r="Q2567" s="8"/>
      <c r="R2567" s="8"/>
      <c r="S2567" s="8"/>
      <c r="T2567" s="8"/>
      <c r="U2567" s="8"/>
    </row>
    <row r="2568" spans="10:21">
      <c r="J2568" s="8"/>
      <c r="K2568" s="8"/>
      <c r="L2568" s="8"/>
      <c r="M2568" s="8"/>
      <c r="N2568" s="8"/>
      <c r="O2568" s="8"/>
      <c r="P2568" s="8"/>
      <c r="Q2568" s="8"/>
      <c r="R2568" s="8"/>
      <c r="S2568" s="8"/>
      <c r="T2568" s="8"/>
      <c r="U2568" s="8"/>
    </row>
    <row r="2569" spans="10:21">
      <c r="J2569" s="8"/>
      <c r="K2569" s="8"/>
      <c r="L2569" s="8"/>
      <c r="M2569" s="8"/>
      <c r="N2569" s="8"/>
      <c r="O2569" s="8"/>
      <c r="P2569" s="8"/>
      <c r="Q2569" s="8"/>
      <c r="R2569" s="8"/>
      <c r="S2569" s="8"/>
      <c r="T2569" s="8"/>
      <c r="U2569" s="8"/>
    </row>
    <row r="2570" spans="10:21">
      <c r="J2570" s="8"/>
      <c r="K2570" s="8"/>
      <c r="L2570" s="8"/>
      <c r="M2570" s="8"/>
      <c r="N2570" s="8"/>
      <c r="O2570" s="8"/>
      <c r="P2570" s="8"/>
      <c r="Q2570" s="8"/>
      <c r="R2570" s="8"/>
      <c r="S2570" s="8"/>
      <c r="T2570" s="8"/>
      <c r="U2570" s="8"/>
    </row>
    <row r="2571" spans="10:21">
      <c r="J2571" s="8"/>
      <c r="K2571" s="8"/>
      <c r="L2571" s="8"/>
      <c r="M2571" s="8"/>
      <c r="N2571" s="8"/>
      <c r="O2571" s="8"/>
      <c r="P2571" s="8"/>
      <c r="Q2571" s="8"/>
      <c r="R2571" s="8"/>
      <c r="S2571" s="8"/>
      <c r="T2571" s="8"/>
      <c r="U2571" s="8"/>
    </row>
    <row r="2572" spans="10:21">
      <c r="J2572" s="8"/>
      <c r="K2572" s="8"/>
      <c r="L2572" s="8"/>
      <c r="M2572" s="8"/>
      <c r="N2572" s="8"/>
      <c r="O2572" s="8"/>
      <c r="P2572" s="8"/>
      <c r="Q2572" s="8"/>
      <c r="R2572" s="8"/>
      <c r="S2572" s="8"/>
      <c r="T2572" s="8"/>
      <c r="U2572" s="8"/>
    </row>
    <row r="2573" spans="10:21">
      <c r="J2573" s="8"/>
      <c r="K2573" s="8"/>
      <c r="L2573" s="8"/>
      <c r="M2573" s="8"/>
      <c r="N2573" s="8"/>
      <c r="O2573" s="8"/>
      <c r="P2573" s="8"/>
      <c r="Q2573" s="8"/>
      <c r="R2573" s="8"/>
      <c r="S2573" s="8"/>
      <c r="T2573" s="8"/>
      <c r="U2573" s="8"/>
    </row>
    <row r="2574" spans="10:21">
      <c r="J2574" s="8"/>
      <c r="K2574" s="8"/>
      <c r="L2574" s="8"/>
      <c r="M2574" s="8"/>
      <c r="N2574" s="8"/>
      <c r="O2574" s="8"/>
      <c r="P2574" s="8"/>
      <c r="Q2574" s="8"/>
      <c r="R2574" s="8"/>
      <c r="S2574" s="8"/>
      <c r="T2574" s="8"/>
      <c r="U2574" s="8"/>
    </row>
    <row r="2575" spans="10:21">
      <c r="J2575" s="8"/>
      <c r="K2575" s="8"/>
      <c r="L2575" s="8"/>
      <c r="M2575" s="8"/>
      <c r="N2575" s="8"/>
      <c r="O2575" s="8"/>
      <c r="P2575" s="8"/>
      <c r="Q2575" s="8"/>
      <c r="R2575" s="8"/>
      <c r="S2575" s="8"/>
      <c r="T2575" s="8"/>
      <c r="U2575" s="8"/>
    </row>
    <row r="2576" spans="10:21">
      <c r="J2576" s="8"/>
      <c r="K2576" s="8"/>
      <c r="L2576" s="8"/>
      <c r="M2576" s="8"/>
      <c r="N2576" s="8"/>
      <c r="O2576" s="8"/>
      <c r="P2576" s="8"/>
      <c r="Q2576" s="8"/>
      <c r="R2576" s="8"/>
      <c r="S2576" s="8"/>
      <c r="T2576" s="8"/>
      <c r="U2576" s="8"/>
    </row>
    <row r="2577" spans="10:21">
      <c r="J2577" s="8"/>
      <c r="K2577" s="8"/>
      <c r="L2577" s="8"/>
      <c r="M2577" s="8"/>
      <c r="N2577" s="8"/>
      <c r="O2577" s="8"/>
      <c r="P2577" s="8"/>
      <c r="Q2577" s="8"/>
      <c r="R2577" s="8"/>
      <c r="S2577" s="8"/>
      <c r="T2577" s="8"/>
      <c r="U2577" s="8"/>
    </row>
    <row r="2578" spans="10:21">
      <c r="J2578" s="8"/>
      <c r="K2578" s="8"/>
      <c r="L2578" s="8"/>
      <c r="M2578" s="8"/>
      <c r="N2578" s="8"/>
      <c r="O2578" s="8"/>
      <c r="P2578" s="8"/>
      <c r="Q2578" s="8"/>
      <c r="R2578" s="8"/>
      <c r="S2578" s="8"/>
      <c r="T2578" s="8"/>
      <c r="U2578" s="8"/>
    </row>
    <row r="2579" spans="10:21">
      <c r="J2579" s="8"/>
      <c r="K2579" s="8"/>
      <c r="L2579" s="8"/>
      <c r="M2579" s="8"/>
      <c r="N2579" s="8"/>
      <c r="O2579" s="8"/>
      <c r="P2579" s="8"/>
      <c r="Q2579" s="8"/>
      <c r="R2579" s="8"/>
      <c r="S2579" s="8"/>
      <c r="T2579" s="8"/>
      <c r="U2579" s="8"/>
    </row>
    <row r="2580" spans="10:21">
      <c r="J2580" s="8"/>
      <c r="K2580" s="8"/>
      <c r="L2580" s="8"/>
      <c r="M2580" s="8"/>
      <c r="N2580" s="8"/>
      <c r="O2580" s="8"/>
      <c r="P2580" s="8"/>
      <c r="Q2580" s="8"/>
      <c r="R2580" s="8"/>
      <c r="S2580" s="8"/>
      <c r="T2580" s="8"/>
      <c r="U2580" s="8"/>
    </row>
    <row r="2581" spans="10:21">
      <c r="J2581" s="8"/>
      <c r="K2581" s="8"/>
      <c r="L2581" s="8"/>
      <c r="M2581" s="8"/>
      <c r="N2581" s="8"/>
      <c r="O2581" s="8"/>
      <c r="P2581" s="8"/>
      <c r="Q2581" s="8"/>
      <c r="R2581" s="8"/>
      <c r="S2581" s="8"/>
      <c r="T2581" s="8"/>
      <c r="U2581" s="8"/>
    </row>
    <row r="2582" spans="10:21">
      <c r="J2582" s="8"/>
      <c r="K2582" s="8"/>
      <c r="L2582" s="8"/>
      <c r="M2582" s="8"/>
      <c r="N2582" s="8"/>
      <c r="O2582" s="8"/>
      <c r="P2582" s="8"/>
      <c r="Q2582" s="8"/>
      <c r="R2582" s="8"/>
      <c r="S2582" s="8"/>
      <c r="T2582" s="8"/>
      <c r="U2582" s="8"/>
    </row>
    <row r="2583" spans="10:21">
      <c r="J2583" s="8"/>
      <c r="K2583" s="8"/>
      <c r="L2583" s="8"/>
      <c r="M2583" s="8"/>
      <c r="N2583" s="8"/>
      <c r="O2583" s="8"/>
      <c r="P2583" s="8"/>
      <c r="Q2583" s="8"/>
      <c r="R2583" s="8"/>
      <c r="S2583" s="8"/>
      <c r="T2583" s="8"/>
      <c r="U2583" s="8"/>
    </row>
    <row r="2584" spans="10:21">
      <c r="J2584" s="8"/>
      <c r="K2584" s="8"/>
      <c r="L2584" s="8"/>
      <c r="M2584" s="8"/>
      <c r="N2584" s="8"/>
      <c r="O2584" s="8"/>
      <c r="P2584" s="8"/>
      <c r="Q2584" s="8"/>
      <c r="R2584" s="8"/>
      <c r="S2584" s="8"/>
      <c r="T2584" s="8"/>
      <c r="U2584" s="8"/>
    </row>
    <row r="2585" spans="10:21">
      <c r="J2585" s="8"/>
      <c r="K2585" s="8"/>
      <c r="L2585" s="8"/>
      <c r="M2585" s="8"/>
      <c r="N2585" s="8"/>
      <c r="O2585" s="8"/>
      <c r="P2585" s="8"/>
      <c r="Q2585" s="8"/>
      <c r="R2585" s="8"/>
      <c r="S2585" s="8"/>
      <c r="T2585" s="8"/>
      <c r="U2585" s="8"/>
    </row>
    <row r="2586" spans="10:21">
      <c r="J2586" s="8"/>
      <c r="K2586" s="8"/>
      <c r="L2586" s="8"/>
      <c r="M2586" s="8"/>
      <c r="N2586" s="8"/>
      <c r="O2586" s="8"/>
      <c r="P2586" s="8"/>
      <c r="Q2586" s="8"/>
      <c r="R2586" s="8"/>
      <c r="S2586" s="8"/>
      <c r="T2586" s="8"/>
      <c r="U2586" s="8"/>
    </row>
    <row r="2587" spans="10:21">
      <c r="J2587" s="8"/>
      <c r="K2587" s="8"/>
      <c r="L2587" s="8"/>
      <c r="M2587" s="8"/>
      <c r="N2587" s="8"/>
      <c r="O2587" s="8"/>
      <c r="P2587" s="8"/>
      <c r="Q2587" s="8"/>
      <c r="R2587" s="8"/>
      <c r="S2587" s="8"/>
      <c r="T2587" s="8"/>
      <c r="U2587" s="8"/>
    </row>
    <row r="2588" spans="10:21">
      <c r="J2588" s="8"/>
      <c r="K2588" s="8"/>
      <c r="L2588" s="8"/>
      <c r="M2588" s="8"/>
      <c r="N2588" s="8"/>
      <c r="O2588" s="8"/>
      <c r="P2588" s="8"/>
      <c r="Q2588" s="8"/>
      <c r="R2588" s="8"/>
      <c r="S2588" s="8"/>
      <c r="T2588" s="8"/>
      <c r="U2588" s="8"/>
    </row>
    <row r="2589" spans="10:21">
      <c r="J2589" s="8"/>
      <c r="K2589" s="8"/>
      <c r="L2589" s="8"/>
      <c r="M2589" s="8"/>
      <c r="N2589" s="8"/>
      <c r="O2589" s="8"/>
      <c r="P2589" s="8"/>
      <c r="Q2589" s="8"/>
      <c r="R2589" s="8"/>
      <c r="S2589" s="8"/>
      <c r="T2589" s="8"/>
      <c r="U2589" s="8"/>
    </row>
    <row r="2590" spans="10:21">
      <c r="J2590" s="8"/>
      <c r="K2590" s="8"/>
      <c r="L2590" s="8"/>
      <c r="M2590" s="8"/>
      <c r="N2590" s="8"/>
      <c r="O2590" s="8"/>
      <c r="P2590" s="8"/>
      <c r="Q2590" s="8"/>
      <c r="R2590" s="8"/>
      <c r="S2590" s="8"/>
      <c r="T2590" s="8"/>
      <c r="U2590" s="8"/>
    </row>
    <row r="2591" spans="10:21">
      <c r="J2591" s="8"/>
      <c r="K2591" s="8"/>
      <c r="L2591" s="8"/>
      <c r="M2591" s="8"/>
      <c r="N2591" s="8"/>
      <c r="O2591" s="8"/>
      <c r="P2591" s="8"/>
      <c r="Q2591" s="8"/>
      <c r="R2591" s="8"/>
      <c r="S2591" s="8"/>
      <c r="T2591" s="8"/>
      <c r="U2591" s="8"/>
    </row>
    <row r="2592" spans="10:21">
      <c r="J2592" s="8"/>
      <c r="K2592" s="8"/>
      <c r="L2592" s="8"/>
      <c r="M2592" s="8"/>
      <c r="N2592" s="8"/>
      <c r="O2592" s="8"/>
      <c r="P2592" s="8"/>
      <c r="Q2592" s="8"/>
      <c r="R2592" s="8"/>
      <c r="S2592" s="8"/>
      <c r="T2592" s="8"/>
      <c r="U2592" s="8"/>
    </row>
    <row r="2593" spans="10:21">
      <c r="J2593" s="8"/>
      <c r="K2593" s="8"/>
      <c r="L2593" s="8"/>
      <c r="M2593" s="8"/>
      <c r="N2593" s="8"/>
      <c r="O2593" s="8"/>
      <c r="P2593" s="8"/>
      <c r="Q2593" s="8"/>
      <c r="R2593" s="8"/>
      <c r="S2593" s="8"/>
      <c r="T2593" s="8"/>
      <c r="U2593" s="8"/>
    </row>
    <row r="2594" spans="10:21">
      <c r="J2594" s="8"/>
      <c r="K2594" s="8"/>
      <c r="L2594" s="8"/>
      <c r="M2594" s="8"/>
      <c r="N2594" s="8"/>
      <c r="O2594" s="8"/>
      <c r="P2594" s="8"/>
      <c r="Q2594" s="8"/>
      <c r="R2594" s="8"/>
      <c r="S2594" s="8"/>
      <c r="T2594" s="8"/>
      <c r="U2594" s="8"/>
    </row>
    <row r="2595" spans="10:21">
      <c r="J2595" s="8"/>
      <c r="K2595" s="8"/>
      <c r="L2595" s="8"/>
      <c r="M2595" s="8"/>
      <c r="N2595" s="8"/>
      <c r="O2595" s="8"/>
      <c r="P2595" s="8"/>
      <c r="Q2595" s="8"/>
      <c r="R2595" s="8"/>
      <c r="S2595" s="8"/>
      <c r="T2595" s="8"/>
      <c r="U2595" s="8"/>
    </row>
    <row r="2596" spans="10:21">
      <c r="J2596" s="8"/>
      <c r="K2596" s="8"/>
      <c r="L2596" s="8"/>
      <c r="M2596" s="8"/>
      <c r="N2596" s="8"/>
      <c r="O2596" s="8"/>
      <c r="P2596" s="8"/>
      <c r="Q2596" s="8"/>
      <c r="R2596" s="8"/>
      <c r="S2596" s="8"/>
      <c r="T2596" s="8"/>
      <c r="U2596" s="8"/>
    </row>
    <row r="2597" spans="10:21">
      <c r="J2597" s="8"/>
      <c r="K2597" s="8"/>
      <c r="L2597" s="8"/>
      <c r="M2597" s="8"/>
      <c r="N2597" s="8"/>
      <c r="O2597" s="8"/>
      <c r="P2597" s="8"/>
      <c r="Q2597" s="8"/>
      <c r="R2597" s="8"/>
      <c r="S2597" s="8"/>
      <c r="T2597" s="8"/>
      <c r="U2597" s="8"/>
    </row>
    <row r="2598" spans="10:21">
      <c r="J2598" s="8"/>
      <c r="K2598" s="8"/>
      <c r="L2598" s="8"/>
      <c r="M2598" s="8"/>
      <c r="N2598" s="8"/>
      <c r="O2598" s="8"/>
      <c r="P2598" s="8"/>
      <c r="Q2598" s="8"/>
      <c r="R2598" s="8"/>
      <c r="S2598" s="8"/>
      <c r="T2598" s="8"/>
      <c r="U2598" s="8"/>
    </row>
    <row r="2599" spans="10:21">
      <c r="J2599" s="8"/>
      <c r="K2599" s="8"/>
      <c r="L2599" s="8"/>
      <c r="M2599" s="8"/>
      <c r="N2599" s="8"/>
      <c r="O2599" s="8"/>
      <c r="P2599" s="8"/>
      <c r="Q2599" s="8"/>
      <c r="R2599" s="8"/>
      <c r="S2599" s="8"/>
      <c r="T2599" s="8"/>
      <c r="U2599" s="8"/>
    </row>
    <row r="2600" spans="10:21">
      <c r="J2600" s="8"/>
      <c r="K2600" s="8"/>
      <c r="L2600" s="8"/>
      <c r="M2600" s="8"/>
      <c r="N2600" s="8"/>
      <c r="O2600" s="8"/>
      <c r="P2600" s="8"/>
      <c r="Q2600" s="8"/>
      <c r="R2600" s="8"/>
      <c r="S2600" s="8"/>
      <c r="T2600" s="8"/>
      <c r="U2600" s="8"/>
    </row>
    <row r="2601" spans="10:21">
      <c r="J2601" s="8"/>
      <c r="K2601" s="8"/>
      <c r="L2601" s="8"/>
      <c r="M2601" s="8"/>
      <c r="N2601" s="8"/>
      <c r="O2601" s="8"/>
      <c r="P2601" s="8"/>
      <c r="Q2601" s="8"/>
      <c r="R2601" s="8"/>
      <c r="S2601" s="8"/>
      <c r="T2601" s="8"/>
      <c r="U2601" s="8"/>
    </row>
    <row r="2602" spans="10:21">
      <c r="J2602" s="8"/>
      <c r="K2602" s="8"/>
      <c r="L2602" s="8"/>
      <c r="M2602" s="8"/>
      <c r="N2602" s="8"/>
      <c r="O2602" s="8"/>
      <c r="P2602" s="8"/>
      <c r="Q2602" s="8"/>
      <c r="R2602" s="8"/>
      <c r="S2602" s="8"/>
      <c r="T2602" s="8"/>
      <c r="U2602" s="8"/>
    </row>
    <row r="2603" spans="10:21">
      <c r="J2603" s="8"/>
      <c r="K2603" s="8"/>
      <c r="L2603" s="8"/>
      <c r="M2603" s="8"/>
      <c r="N2603" s="8"/>
      <c r="O2603" s="8"/>
      <c r="P2603" s="8"/>
      <c r="Q2603" s="8"/>
      <c r="R2603" s="8"/>
      <c r="S2603" s="8"/>
      <c r="T2603" s="8"/>
      <c r="U2603" s="8"/>
    </row>
    <row r="2604" spans="10:21">
      <c r="J2604" s="8"/>
      <c r="K2604" s="8"/>
      <c r="L2604" s="8"/>
      <c r="M2604" s="8"/>
      <c r="N2604" s="8"/>
      <c r="O2604" s="8"/>
      <c r="P2604" s="8"/>
      <c r="Q2604" s="8"/>
      <c r="R2604" s="8"/>
      <c r="S2604" s="8"/>
      <c r="T2604" s="8"/>
      <c r="U2604" s="8"/>
    </row>
    <row r="2605" spans="10:21">
      <c r="J2605" s="8"/>
      <c r="K2605" s="8"/>
      <c r="L2605" s="8"/>
      <c r="M2605" s="8"/>
      <c r="N2605" s="8"/>
      <c r="O2605" s="8"/>
      <c r="P2605" s="8"/>
      <c r="Q2605" s="8"/>
      <c r="R2605" s="8"/>
      <c r="S2605" s="8"/>
      <c r="T2605" s="8"/>
      <c r="U2605" s="8"/>
    </row>
    <row r="2606" spans="10:21">
      <c r="J2606" s="8"/>
      <c r="K2606" s="8"/>
      <c r="L2606" s="8"/>
      <c r="M2606" s="8"/>
      <c r="N2606" s="8"/>
      <c r="O2606" s="8"/>
      <c r="P2606" s="8"/>
      <c r="Q2606" s="8"/>
      <c r="R2606" s="8"/>
      <c r="S2606" s="8"/>
      <c r="T2606" s="8"/>
      <c r="U2606" s="8"/>
    </row>
    <row r="2607" spans="10:21">
      <c r="J2607" s="8"/>
      <c r="K2607" s="8"/>
      <c r="L2607" s="8"/>
      <c r="M2607" s="8"/>
      <c r="N2607" s="8"/>
      <c r="O2607" s="8"/>
      <c r="P2607" s="8"/>
      <c r="Q2607" s="8"/>
      <c r="R2607" s="8"/>
      <c r="S2607" s="8"/>
      <c r="T2607" s="8"/>
      <c r="U2607" s="8"/>
    </row>
    <row r="2608" spans="10:21">
      <c r="J2608" s="8"/>
      <c r="K2608" s="8"/>
      <c r="L2608" s="8"/>
      <c r="M2608" s="8"/>
      <c r="N2608" s="8"/>
      <c r="O2608" s="8"/>
      <c r="P2608" s="8"/>
      <c r="Q2608" s="8"/>
      <c r="R2608" s="8"/>
      <c r="S2608" s="8"/>
      <c r="T2608" s="8"/>
      <c r="U2608" s="8"/>
    </row>
    <row r="2609" spans="10:21">
      <c r="J2609" s="8"/>
      <c r="K2609" s="8"/>
      <c r="L2609" s="8"/>
      <c r="M2609" s="8"/>
      <c r="N2609" s="8"/>
      <c r="O2609" s="8"/>
      <c r="P2609" s="8"/>
      <c r="Q2609" s="8"/>
      <c r="R2609" s="8"/>
      <c r="S2609" s="8"/>
      <c r="T2609" s="8"/>
      <c r="U2609" s="8"/>
    </row>
    <row r="2610" spans="10:21">
      <c r="J2610" s="8"/>
      <c r="K2610" s="8"/>
      <c r="L2610" s="8"/>
      <c r="M2610" s="8"/>
      <c r="N2610" s="8"/>
      <c r="O2610" s="8"/>
      <c r="P2610" s="8"/>
      <c r="Q2610" s="8"/>
      <c r="R2610" s="8"/>
      <c r="S2610" s="8"/>
      <c r="T2610" s="8"/>
      <c r="U2610" s="8"/>
    </row>
    <row r="2611" spans="10:21">
      <c r="J2611" s="8"/>
      <c r="K2611" s="8"/>
      <c r="L2611" s="8"/>
      <c r="M2611" s="8"/>
      <c r="N2611" s="8"/>
      <c r="O2611" s="8"/>
      <c r="P2611" s="8"/>
      <c r="Q2611" s="8"/>
      <c r="R2611" s="8"/>
      <c r="S2611" s="8"/>
      <c r="T2611" s="8"/>
      <c r="U2611" s="8"/>
    </row>
    <row r="2612" spans="10:21">
      <c r="J2612" s="8"/>
      <c r="K2612" s="8"/>
      <c r="L2612" s="8"/>
      <c r="M2612" s="8"/>
      <c r="N2612" s="8"/>
      <c r="O2612" s="8"/>
      <c r="P2612" s="8"/>
      <c r="Q2612" s="8"/>
      <c r="R2612" s="8"/>
      <c r="S2612" s="8"/>
      <c r="T2612" s="8"/>
      <c r="U2612" s="8"/>
    </row>
    <row r="2613" spans="10:21">
      <c r="J2613" s="8"/>
      <c r="K2613" s="8"/>
      <c r="L2613" s="8"/>
      <c r="M2613" s="8"/>
      <c r="N2613" s="8"/>
      <c r="O2613" s="8"/>
      <c r="P2613" s="8"/>
      <c r="Q2613" s="8"/>
      <c r="R2613" s="8"/>
      <c r="S2613" s="8"/>
      <c r="T2613" s="8"/>
      <c r="U2613" s="8"/>
    </row>
    <row r="2614" spans="10:21">
      <c r="J2614" s="8"/>
      <c r="K2614" s="8"/>
      <c r="L2614" s="8"/>
      <c r="M2614" s="8"/>
      <c r="N2614" s="8"/>
      <c r="O2614" s="8"/>
      <c r="P2614" s="8"/>
      <c r="Q2614" s="8"/>
      <c r="R2614" s="8"/>
      <c r="S2614" s="8"/>
      <c r="T2614" s="8"/>
      <c r="U2614" s="8"/>
    </row>
    <row r="2615" spans="10:21">
      <c r="J2615" s="8"/>
      <c r="K2615" s="8"/>
      <c r="L2615" s="8"/>
      <c r="M2615" s="8"/>
      <c r="N2615" s="8"/>
      <c r="O2615" s="8"/>
      <c r="P2615" s="8"/>
      <c r="Q2615" s="8"/>
      <c r="R2615" s="8"/>
      <c r="S2615" s="8"/>
      <c r="T2615" s="8"/>
      <c r="U2615" s="8"/>
    </row>
    <row r="2616" spans="10:21">
      <c r="J2616" s="8"/>
      <c r="K2616" s="8"/>
      <c r="L2616" s="8"/>
      <c r="M2616" s="8"/>
      <c r="N2616" s="8"/>
      <c r="O2616" s="8"/>
      <c r="P2616" s="8"/>
      <c r="Q2616" s="8"/>
      <c r="R2616" s="8"/>
      <c r="S2616" s="8"/>
      <c r="T2616" s="8"/>
      <c r="U2616" s="8"/>
    </row>
    <row r="2617" spans="10:21">
      <c r="J2617" s="8"/>
      <c r="K2617" s="8"/>
      <c r="L2617" s="8"/>
      <c r="M2617" s="8"/>
      <c r="N2617" s="8"/>
      <c r="O2617" s="8"/>
      <c r="P2617" s="8"/>
      <c r="Q2617" s="8"/>
      <c r="R2617" s="8"/>
      <c r="S2617" s="8"/>
      <c r="T2617" s="8"/>
      <c r="U2617" s="8"/>
    </row>
    <row r="2618" spans="10:21">
      <c r="J2618" s="8"/>
      <c r="K2618" s="8"/>
      <c r="L2618" s="8"/>
      <c r="M2618" s="8"/>
      <c r="N2618" s="8"/>
      <c r="O2618" s="8"/>
      <c r="P2618" s="8"/>
      <c r="Q2618" s="8"/>
      <c r="R2618" s="8"/>
      <c r="S2618" s="8"/>
      <c r="T2618" s="8"/>
      <c r="U2618" s="8"/>
    </row>
    <row r="2619" spans="10:21">
      <c r="J2619" s="8"/>
      <c r="K2619" s="8"/>
      <c r="L2619" s="8"/>
      <c r="M2619" s="8"/>
      <c r="N2619" s="8"/>
      <c r="O2619" s="8"/>
      <c r="P2619" s="8"/>
      <c r="Q2619" s="8"/>
      <c r="R2619" s="8"/>
      <c r="S2619" s="8"/>
      <c r="T2619" s="8"/>
      <c r="U2619" s="8"/>
    </row>
    <row r="2620" spans="10:21">
      <c r="J2620" s="8"/>
      <c r="K2620" s="8"/>
      <c r="L2620" s="8"/>
      <c r="M2620" s="8"/>
      <c r="N2620" s="8"/>
      <c r="O2620" s="8"/>
      <c r="P2620" s="8"/>
      <c r="Q2620" s="8"/>
      <c r="R2620" s="8"/>
      <c r="S2620" s="8"/>
      <c r="T2620" s="8"/>
      <c r="U2620" s="8"/>
    </row>
    <row r="2621" spans="10:21">
      <c r="J2621" s="8"/>
      <c r="K2621" s="8"/>
      <c r="L2621" s="8"/>
      <c r="M2621" s="8"/>
      <c r="N2621" s="8"/>
      <c r="O2621" s="8"/>
      <c r="P2621" s="8"/>
      <c r="Q2621" s="8"/>
      <c r="R2621" s="8"/>
      <c r="S2621" s="8"/>
      <c r="T2621" s="8"/>
      <c r="U2621" s="8"/>
    </row>
    <row r="2622" spans="10:21">
      <c r="J2622" s="8"/>
      <c r="K2622" s="8"/>
      <c r="L2622" s="8"/>
      <c r="M2622" s="8"/>
      <c r="N2622" s="8"/>
      <c r="O2622" s="8"/>
      <c r="P2622" s="8"/>
      <c r="Q2622" s="8"/>
      <c r="R2622" s="8"/>
      <c r="S2622" s="8"/>
      <c r="T2622" s="8"/>
      <c r="U2622" s="8"/>
    </row>
    <row r="2623" spans="10:21">
      <c r="J2623" s="8"/>
      <c r="K2623" s="8"/>
      <c r="L2623" s="8"/>
      <c r="M2623" s="8"/>
      <c r="N2623" s="8"/>
      <c r="O2623" s="8"/>
      <c r="P2623" s="8"/>
      <c r="Q2623" s="8"/>
      <c r="R2623" s="8"/>
      <c r="S2623" s="8"/>
      <c r="T2623" s="8"/>
      <c r="U2623" s="8"/>
    </row>
    <row r="2624" spans="10:21">
      <c r="J2624" s="8"/>
      <c r="K2624" s="8"/>
      <c r="L2624" s="8"/>
      <c r="M2624" s="8"/>
      <c r="N2624" s="8"/>
      <c r="O2624" s="8"/>
      <c r="P2624" s="8"/>
      <c r="Q2624" s="8"/>
      <c r="R2624" s="8"/>
      <c r="S2624" s="8"/>
      <c r="T2624" s="8"/>
      <c r="U2624" s="8"/>
    </row>
    <row r="2625" spans="10:21">
      <c r="J2625" s="8"/>
      <c r="K2625" s="8"/>
      <c r="L2625" s="8"/>
      <c r="M2625" s="8"/>
      <c r="N2625" s="8"/>
      <c r="O2625" s="8"/>
      <c r="P2625" s="8"/>
      <c r="Q2625" s="8"/>
      <c r="R2625" s="8"/>
      <c r="S2625" s="8"/>
      <c r="T2625" s="8"/>
      <c r="U2625" s="8"/>
    </row>
    <row r="2626" spans="10:21">
      <c r="J2626" s="8"/>
      <c r="K2626" s="8"/>
      <c r="L2626" s="8"/>
      <c r="M2626" s="8"/>
      <c r="N2626" s="8"/>
      <c r="O2626" s="8"/>
      <c r="P2626" s="8"/>
      <c r="Q2626" s="8"/>
      <c r="R2626" s="8"/>
      <c r="S2626" s="8"/>
      <c r="T2626" s="8"/>
      <c r="U2626" s="8"/>
    </row>
    <row r="2627" spans="10:21">
      <c r="J2627" s="8"/>
      <c r="K2627" s="8"/>
      <c r="L2627" s="8"/>
      <c r="M2627" s="8"/>
      <c r="N2627" s="8"/>
      <c r="O2627" s="8"/>
      <c r="P2627" s="8"/>
      <c r="Q2627" s="8"/>
      <c r="R2627" s="8"/>
      <c r="S2627" s="8"/>
      <c r="T2627" s="8"/>
      <c r="U2627" s="8"/>
    </row>
    <row r="2628" spans="10:21">
      <c r="J2628" s="8"/>
      <c r="K2628" s="8"/>
      <c r="L2628" s="8"/>
      <c r="M2628" s="8"/>
      <c r="N2628" s="8"/>
      <c r="O2628" s="8"/>
      <c r="P2628" s="8"/>
      <c r="Q2628" s="8"/>
      <c r="R2628" s="8"/>
      <c r="S2628" s="8"/>
      <c r="T2628" s="8"/>
      <c r="U2628" s="8"/>
    </row>
    <row r="2629" spans="10:21">
      <c r="J2629" s="8"/>
      <c r="K2629" s="8"/>
      <c r="L2629" s="8"/>
      <c r="M2629" s="8"/>
      <c r="N2629" s="8"/>
      <c r="O2629" s="8"/>
      <c r="P2629" s="8"/>
      <c r="Q2629" s="8"/>
      <c r="R2629" s="8"/>
      <c r="S2629" s="8"/>
      <c r="T2629" s="8"/>
      <c r="U2629" s="8"/>
    </row>
    <row r="2630" spans="10:21">
      <c r="J2630" s="8"/>
      <c r="K2630" s="8"/>
      <c r="L2630" s="8"/>
      <c r="M2630" s="8"/>
      <c r="N2630" s="8"/>
      <c r="O2630" s="8"/>
      <c r="P2630" s="8"/>
      <c r="Q2630" s="8"/>
      <c r="R2630" s="8"/>
      <c r="S2630" s="8"/>
      <c r="T2630" s="8"/>
      <c r="U2630" s="8"/>
    </row>
    <row r="2631" spans="10:21">
      <c r="J2631" s="8"/>
      <c r="K2631" s="8"/>
      <c r="L2631" s="8"/>
      <c r="M2631" s="8"/>
      <c r="N2631" s="8"/>
      <c r="O2631" s="8"/>
      <c r="P2631" s="8"/>
      <c r="Q2631" s="8"/>
      <c r="R2631" s="8"/>
      <c r="S2631" s="8"/>
      <c r="T2631" s="8"/>
      <c r="U2631" s="8"/>
    </row>
    <row r="2632" spans="10:21">
      <c r="J2632" s="8"/>
      <c r="K2632" s="8"/>
      <c r="L2632" s="8"/>
      <c r="M2632" s="8"/>
      <c r="N2632" s="8"/>
      <c r="O2632" s="8"/>
      <c r="P2632" s="8"/>
      <c r="Q2632" s="8"/>
      <c r="R2632" s="8"/>
      <c r="S2632" s="8"/>
      <c r="T2632" s="8"/>
      <c r="U2632" s="8"/>
    </row>
    <row r="2633" spans="10:21">
      <c r="J2633" s="8"/>
      <c r="K2633" s="8"/>
      <c r="L2633" s="8"/>
      <c r="M2633" s="8"/>
      <c r="N2633" s="8"/>
      <c r="O2633" s="8"/>
      <c r="P2633" s="8"/>
      <c r="Q2633" s="8"/>
      <c r="R2633" s="8"/>
      <c r="S2633" s="8"/>
      <c r="T2633" s="8"/>
      <c r="U2633" s="8"/>
    </row>
    <row r="2634" spans="10:21">
      <c r="J2634" s="8"/>
      <c r="K2634" s="8"/>
      <c r="L2634" s="8"/>
      <c r="M2634" s="8"/>
      <c r="N2634" s="8"/>
      <c r="O2634" s="8"/>
      <c r="P2634" s="8"/>
      <c r="Q2634" s="8"/>
      <c r="R2634" s="8"/>
      <c r="S2634" s="8"/>
      <c r="T2634" s="8"/>
      <c r="U2634" s="8"/>
    </row>
    <row r="2635" spans="10:21">
      <c r="J2635" s="8"/>
      <c r="K2635" s="8"/>
      <c r="L2635" s="8"/>
      <c r="M2635" s="8"/>
      <c r="N2635" s="8"/>
      <c r="O2635" s="8"/>
      <c r="P2635" s="8"/>
      <c r="Q2635" s="8"/>
      <c r="R2635" s="8"/>
      <c r="S2635" s="8"/>
      <c r="T2635" s="8"/>
      <c r="U2635" s="8"/>
    </row>
    <row r="2636" spans="10:21">
      <c r="J2636" s="8"/>
      <c r="K2636" s="8"/>
      <c r="L2636" s="8"/>
      <c r="M2636" s="8"/>
      <c r="N2636" s="8"/>
      <c r="O2636" s="8"/>
      <c r="P2636" s="8"/>
      <c r="Q2636" s="8"/>
      <c r="R2636" s="8"/>
      <c r="S2636" s="8"/>
      <c r="T2636" s="8"/>
      <c r="U2636" s="8"/>
    </row>
    <row r="2637" spans="10:21">
      <c r="J2637" s="8"/>
      <c r="K2637" s="8"/>
      <c r="L2637" s="8"/>
      <c r="M2637" s="8"/>
      <c r="N2637" s="8"/>
      <c r="O2637" s="8"/>
      <c r="P2637" s="8"/>
      <c r="Q2637" s="8"/>
      <c r="R2637" s="8"/>
      <c r="S2637" s="8"/>
      <c r="T2637" s="8"/>
      <c r="U2637" s="8"/>
    </row>
    <row r="2638" spans="10:21">
      <c r="J2638" s="8"/>
      <c r="K2638" s="8"/>
      <c r="L2638" s="8"/>
      <c r="M2638" s="8"/>
      <c r="N2638" s="8"/>
      <c r="O2638" s="8"/>
      <c r="P2638" s="8"/>
      <c r="Q2638" s="8"/>
      <c r="R2638" s="8"/>
      <c r="S2638" s="8"/>
      <c r="T2638" s="8"/>
      <c r="U2638" s="8"/>
    </row>
    <row r="2639" spans="10:21">
      <c r="J2639" s="8"/>
      <c r="K2639" s="8"/>
      <c r="L2639" s="8"/>
      <c r="M2639" s="8"/>
      <c r="N2639" s="8"/>
      <c r="O2639" s="8"/>
      <c r="P2639" s="8"/>
      <c r="Q2639" s="8"/>
      <c r="R2639" s="8"/>
      <c r="S2639" s="8"/>
      <c r="T2639" s="8"/>
      <c r="U2639" s="8"/>
    </row>
    <row r="2640" spans="10:21">
      <c r="J2640" s="8"/>
      <c r="K2640" s="8"/>
      <c r="L2640" s="8"/>
      <c r="M2640" s="8"/>
      <c r="N2640" s="8"/>
      <c r="O2640" s="8"/>
      <c r="P2640" s="8"/>
      <c r="Q2640" s="8"/>
      <c r="R2640" s="8"/>
      <c r="S2640" s="8"/>
      <c r="T2640" s="8"/>
      <c r="U2640" s="8"/>
    </row>
    <row r="2641" spans="10:21">
      <c r="J2641" s="8"/>
      <c r="K2641" s="8"/>
      <c r="L2641" s="8"/>
      <c r="M2641" s="8"/>
      <c r="N2641" s="8"/>
      <c r="O2641" s="8"/>
      <c r="P2641" s="8"/>
      <c r="Q2641" s="8"/>
      <c r="R2641" s="8"/>
      <c r="S2641" s="8"/>
      <c r="T2641" s="8"/>
      <c r="U2641" s="8"/>
    </row>
    <row r="2642" spans="10:21">
      <c r="J2642" s="8"/>
      <c r="K2642" s="8"/>
      <c r="L2642" s="8"/>
      <c r="M2642" s="8"/>
      <c r="N2642" s="8"/>
      <c r="O2642" s="8"/>
      <c r="P2642" s="8"/>
      <c r="Q2642" s="8"/>
      <c r="R2642" s="8"/>
      <c r="S2642" s="8"/>
      <c r="T2642" s="8"/>
      <c r="U2642" s="8"/>
    </row>
    <row r="2643" spans="10:21">
      <c r="J2643" s="8"/>
      <c r="K2643" s="8"/>
      <c r="L2643" s="8"/>
      <c r="M2643" s="8"/>
      <c r="N2643" s="8"/>
      <c r="O2643" s="8"/>
      <c r="P2643" s="8"/>
      <c r="Q2643" s="8"/>
      <c r="R2643" s="8"/>
      <c r="S2643" s="8"/>
      <c r="T2643" s="8"/>
      <c r="U2643" s="8"/>
    </row>
    <row r="2644" spans="10:21">
      <c r="J2644" s="8"/>
      <c r="K2644" s="8"/>
      <c r="L2644" s="8"/>
      <c r="M2644" s="8"/>
      <c r="N2644" s="8"/>
      <c r="O2644" s="8"/>
      <c r="P2644" s="8"/>
      <c r="Q2644" s="8"/>
      <c r="R2644" s="8"/>
      <c r="S2644" s="8"/>
      <c r="T2644" s="8"/>
      <c r="U2644" s="8"/>
    </row>
    <row r="2645" spans="10:21">
      <c r="J2645" s="8"/>
      <c r="K2645" s="8"/>
      <c r="L2645" s="8"/>
      <c r="M2645" s="8"/>
      <c r="N2645" s="8"/>
      <c r="O2645" s="8"/>
      <c r="P2645" s="8"/>
      <c r="Q2645" s="8"/>
      <c r="R2645" s="8"/>
      <c r="S2645" s="8"/>
      <c r="T2645" s="8"/>
      <c r="U2645" s="8"/>
    </row>
    <row r="2646" spans="10:21">
      <c r="J2646" s="8"/>
      <c r="K2646" s="8"/>
      <c r="L2646" s="8"/>
      <c r="M2646" s="8"/>
      <c r="N2646" s="8"/>
      <c r="O2646" s="8"/>
      <c r="P2646" s="8"/>
      <c r="Q2646" s="8"/>
      <c r="R2646" s="8"/>
      <c r="S2646" s="8"/>
      <c r="T2646" s="8"/>
      <c r="U2646" s="8"/>
    </row>
    <row r="2647" spans="10:21">
      <c r="J2647" s="8"/>
      <c r="K2647" s="8"/>
      <c r="L2647" s="8"/>
      <c r="M2647" s="8"/>
      <c r="N2647" s="8"/>
      <c r="O2647" s="8"/>
      <c r="P2647" s="8"/>
      <c r="Q2647" s="8"/>
      <c r="R2647" s="8"/>
      <c r="S2647" s="8"/>
      <c r="T2647" s="8"/>
      <c r="U2647" s="8"/>
    </row>
    <row r="2648" spans="10:21">
      <c r="J2648" s="8"/>
      <c r="K2648" s="8"/>
      <c r="L2648" s="8"/>
      <c r="M2648" s="8"/>
      <c r="N2648" s="8"/>
      <c r="O2648" s="8"/>
      <c r="P2648" s="8"/>
      <c r="Q2648" s="8"/>
      <c r="R2648" s="8"/>
      <c r="S2648" s="8"/>
      <c r="T2648" s="8"/>
      <c r="U2648" s="8"/>
    </row>
    <row r="2649" spans="10:21">
      <c r="J2649" s="8"/>
      <c r="K2649" s="8"/>
      <c r="L2649" s="8"/>
      <c r="M2649" s="8"/>
      <c r="N2649" s="8"/>
      <c r="O2649" s="8"/>
      <c r="P2649" s="8"/>
      <c r="Q2649" s="8"/>
      <c r="R2649" s="8"/>
      <c r="S2649" s="8"/>
      <c r="T2649" s="8"/>
      <c r="U2649" s="8"/>
    </row>
    <row r="2650" spans="10:21">
      <c r="J2650" s="8"/>
      <c r="K2650" s="8"/>
      <c r="L2650" s="8"/>
      <c r="M2650" s="8"/>
      <c r="N2650" s="8"/>
      <c r="O2650" s="8"/>
      <c r="P2650" s="8"/>
      <c r="Q2650" s="8"/>
      <c r="R2650" s="8"/>
      <c r="S2650" s="8"/>
      <c r="T2650" s="8"/>
      <c r="U2650" s="8"/>
    </row>
    <row r="2651" spans="10:21">
      <c r="J2651" s="8"/>
      <c r="K2651" s="8"/>
      <c r="L2651" s="8"/>
      <c r="M2651" s="8"/>
      <c r="N2651" s="8"/>
      <c r="O2651" s="8"/>
      <c r="P2651" s="8"/>
      <c r="Q2651" s="8"/>
      <c r="R2651" s="8"/>
      <c r="S2651" s="8"/>
      <c r="T2651" s="8"/>
      <c r="U2651" s="8"/>
    </row>
    <row r="2652" spans="10:21">
      <c r="J2652" s="8"/>
      <c r="K2652" s="8"/>
      <c r="L2652" s="8"/>
      <c r="M2652" s="8"/>
      <c r="N2652" s="8"/>
      <c r="O2652" s="8"/>
      <c r="P2652" s="8"/>
      <c r="Q2652" s="8"/>
      <c r="R2652" s="8"/>
      <c r="S2652" s="8"/>
      <c r="T2652" s="8"/>
      <c r="U2652" s="8"/>
    </row>
    <row r="2653" spans="10:21">
      <c r="J2653" s="8"/>
      <c r="K2653" s="8"/>
      <c r="L2653" s="8"/>
      <c r="M2653" s="8"/>
      <c r="N2653" s="8"/>
      <c r="O2653" s="8"/>
      <c r="P2653" s="8"/>
      <c r="Q2653" s="8"/>
      <c r="R2653" s="8"/>
      <c r="S2653" s="8"/>
      <c r="T2653" s="8"/>
      <c r="U2653" s="8"/>
    </row>
    <row r="2654" spans="10:21">
      <c r="J2654" s="8"/>
      <c r="K2654" s="8"/>
      <c r="L2654" s="8"/>
      <c r="M2654" s="8"/>
      <c r="N2654" s="8"/>
      <c r="O2654" s="8"/>
      <c r="P2654" s="8"/>
      <c r="Q2654" s="8"/>
      <c r="R2654" s="8"/>
      <c r="S2654" s="8"/>
      <c r="T2654" s="8"/>
      <c r="U2654" s="8"/>
    </row>
    <row r="2655" spans="10:21">
      <c r="J2655" s="8"/>
      <c r="K2655" s="8"/>
      <c r="L2655" s="8"/>
      <c r="M2655" s="8"/>
      <c r="N2655" s="8"/>
      <c r="O2655" s="8"/>
      <c r="P2655" s="8"/>
      <c r="Q2655" s="8"/>
      <c r="R2655" s="8"/>
      <c r="S2655" s="8"/>
      <c r="T2655" s="8"/>
      <c r="U2655" s="8"/>
    </row>
    <row r="2656" spans="10:21">
      <c r="J2656" s="8"/>
      <c r="K2656" s="8"/>
      <c r="L2656" s="8"/>
      <c r="M2656" s="8"/>
      <c r="N2656" s="8"/>
      <c r="O2656" s="8"/>
      <c r="P2656" s="8"/>
      <c r="Q2656" s="8"/>
      <c r="R2656" s="8"/>
      <c r="S2656" s="8"/>
      <c r="T2656" s="8"/>
      <c r="U2656" s="8"/>
    </row>
    <row r="2657" spans="10:21">
      <c r="J2657" s="8"/>
      <c r="K2657" s="8"/>
      <c r="L2657" s="8"/>
      <c r="M2657" s="8"/>
      <c r="N2657" s="8"/>
      <c r="O2657" s="8"/>
      <c r="P2657" s="8"/>
      <c r="Q2657" s="8"/>
      <c r="R2657" s="8"/>
      <c r="S2657" s="8"/>
      <c r="T2657" s="8"/>
      <c r="U2657" s="8"/>
    </row>
    <row r="2658" spans="10:21">
      <c r="J2658" s="8"/>
      <c r="K2658" s="8"/>
      <c r="L2658" s="8"/>
      <c r="M2658" s="8"/>
      <c r="N2658" s="8"/>
      <c r="O2658" s="8"/>
      <c r="P2658" s="8"/>
      <c r="Q2658" s="8"/>
      <c r="R2658" s="8"/>
      <c r="S2658" s="8"/>
      <c r="T2658" s="8"/>
      <c r="U2658" s="8"/>
    </row>
    <row r="2659" spans="10:21">
      <c r="J2659" s="8"/>
      <c r="K2659" s="8"/>
      <c r="L2659" s="8"/>
      <c r="M2659" s="8"/>
      <c r="N2659" s="8"/>
      <c r="O2659" s="8"/>
      <c r="P2659" s="8"/>
      <c r="Q2659" s="8"/>
      <c r="R2659" s="8"/>
      <c r="S2659" s="8"/>
      <c r="T2659" s="8"/>
      <c r="U2659" s="8"/>
    </row>
    <row r="2660" spans="10:21">
      <c r="J2660" s="8"/>
      <c r="K2660" s="8"/>
      <c r="L2660" s="8"/>
      <c r="M2660" s="8"/>
      <c r="N2660" s="8"/>
      <c r="O2660" s="8"/>
      <c r="P2660" s="8"/>
      <c r="Q2660" s="8"/>
      <c r="R2660" s="8"/>
      <c r="S2660" s="8"/>
      <c r="T2660" s="8"/>
      <c r="U2660" s="8"/>
    </row>
    <row r="2661" spans="10:21">
      <c r="J2661" s="8"/>
      <c r="K2661" s="8"/>
      <c r="L2661" s="8"/>
      <c r="M2661" s="8"/>
      <c r="N2661" s="8"/>
      <c r="O2661" s="8"/>
      <c r="P2661" s="8"/>
      <c r="Q2661" s="8"/>
      <c r="R2661" s="8"/>
      <c r="S2661" s="8"/>
      <c r="T2661" s="8"/>
      <c r="U2661" s="8"/>
    </row>
    <row r="2662" spans="10:21">
      <c r="J2662" s="8"/>
      <c r="K2662" s="8"/>
      <c r="L2662" s="8"/>
      <c r="M2662" s="8"/>
      <c r="N2662" s="8"/>
      <c r="O2662" s="8"/>
      <c r="P2662" s="8"/>
      <c r="Q2662" s="8"/>
      <c r="R2662" s="8"/>
      <c r="S2662" s="8"/>
      <c r="T2662" s="8"/>
      <c r="U2662" s="8"/>
    </row>
    <row r="2663" spans="10:21">
      <c r="J2663" s="8"/>
      <c r="K2663" s="8"/>
      <c r="L2663" s="8"/>
      <c r="M2663" s="8"/>
      <c r="N2663" s="8"/>
      <c r="O2663" s="8"/>
      <c r="P2663" s="8"/>
      <c r="Q2663" s="8"/>
      <c r="R2663" s="8"/>
      <c r="S2663" s="8"/>
      <c r="T2663" s="8"/>
      <c r="U2663" s="8"/>
    </row>
    <row r="2664" spans="10:21">
      <c r="J2664" s="8"/>
      <c r="K2664" s="8"/>
      <c r="L2664" s="8"/>
      <c r="M2664" s="8"/>
      <c r="N2664" s="8"/>
      <c r="O2664" s="8"/>
      <c r="P2664" s="8"/>
      <c r="Q2664" s="8"/>
      <c r="R2664" s="8"/>
      <c r="S2664" s="8"/>
      <c r="T2664" s="8"/>
      <c r="U2664" s="8"/>
    </row>
    <row r="2665" spans="10:21">
      <c r="J2665" s="8"/>
      <c r="K2665" s="8"/>
      <c r="L2665" s="8"/>
      <c r="M2665" s="8"/>
      <c r="N2665" s="8"/>
      <c r="O2665" s="8"/>
      <c r="P2665" s="8"/>
      <c r="Q2665" s="8"/>
      <c r="R2665" s="8"/>
      <c r="S2665" s="8"/>
      <c r="T2665" s="8"/>
      <c r="U2665" s="8"/>
    </row>
    <row r="2666" spans="10:21">
      <c r="J2666" s="8"/>
      <c r="K2666" s="8"/>
      <c r="L2666" s="8"/>
      <c r="M2666" s="8"/>
      <c r="N2666" s="8"/>
      <c r="O2666" s="8"/>
      <c r="P2666" s="8"/>
      <c r="Q2666" s="8"/>
      <c r="R2666" s="8"/>
      <c r="S2666" s="8"/>
      <c r="T2666" s="8"/>
      <c r="U2666" s="8"/>
    </row>
    <row r="2667" spans="10:21">
      <c r="J2667" s="8"/>
      <c r="K2667" s="8"/>
      <c r="L2667" s="8"/>
      <c r="M2667" s="8"/>
      <c r="N2667" s="8"/>
      <c r="O2667" s="8"/>
      <c r="P2667" s="8"/>
      <c r="Q2667" s="8"/>
      <c r="R2667" s="8"/>
      <c r="S2667" s="8"/>
      <c r="T2667" s="8"/>
      <c r="U2667" s="8"/>
    </row>
    <row r="2668" spans="10:21">
      <c r="J2668" s="8"/>
      <c r="K2668" s="8"/>
      <c r="L2668" s="8"/>
      <c r="M2668" s="8"/>
      <c r="N2668" s="8"/>
      <c r="O2668" s="8"/>
      <c r="P2668" s="8"/>
      <c r="Q2668" s="8"/>
      <c r="R2668" s="8"/>
      <c r="S2668" s="8"/>
      <c r="T2668" s="8"/>
      <c r="U2668" s="8"/>
    </row>
    <row r="2669" spans="10:21">
      <c r="J2669" s="8"/>
      <c r="K2669" s="8"/>
      <c r="L2669" s="8"/>
      <c r="M2669" s="8"/>
      <c r="N2669" s="8"/>
      <c r="O2669" s="8"/>
      <c r="P2669" s="8"/>
      <c r="Q2669" s="8"/>
      <c r="R2669" s="8"/>
      <c r="S2669" s="8"/>
      <c r="T2669" s="8"/>
      <c r="U2669" s="8"/>
    </row>
    <row r="2670" spans="10:21">
      <c r="J2670" s="8"/>
      <c r="K2670" s="8"/>
      <c r="L2670" s="8"/>
      <c r="M2670" s="8"/>
      <c r="N2670" s="8"/>
      <c r="O2670" s="8"/>
      <c r="P2670" s="8"/>
      <c r="Q2670" s="8"/>
      <c r="R2670" s="8"/>
      <c r="S2670" s="8"/>
      <c r="T2670" s="8"/>
      <c r="U2670" s="8"/>
    </row>
    <row r="2671" spans="10:21">
      <c r="J2671" s="8"/>
      <c r="K2671" s="8"/>
      <c r="L2671" s="8"/>
      <c r="M2671" s="8"/>
      <c r="N2671" s="8"/>
      <c r="O2671" s="8"/>
      <c r="P2671" s="8"/>
      <c r="Q2671" s="8"/>
      <c r="R2671" s="8"/>
      <c r="S2671" s="8"/>
      <c r="T2671" s="8"/>
      <c r="U2671" s="8"/>
    </row>
    <row r="2672" spans="10:21">
      <c r="J2672" s="8"/>
      <c r="K2672" s="8"/>
      <c r="L2672" s="8"/>
      <c r="M2672" s="8"/>
      <c r="N2672" s="8"/>
      <c r="O2672" s="8"/>
      <c r="P2672" s="8"/>
      <c r="Q2672" s="8"/>
      <c r="R2672" s="8"/>
      <c r="S2672" s="8"/>
      <c r="T2672" s="8"/>
      <c r="U2672" s="8"/>
    </row>
    <row r="2673" spans="10:21">
      <c r="J2673" s="8"/>
      <c r="K2673" s="8"/>
      <c r="L2673" s="8"/>
      <c r="M2673" s="8"/>
      <c r="N2673" s="8"/>
      <c r="O2673" s="8"/>
      <c r="P2673" s="8"/>
      <c r="Q2673" s="8"/>
      <c r="R2673" s="8"/>
      <c r="S2673" s="8"/>
      <c r="T2673" s="8"/>
      <c r="U2673" s="8"/>
    </row>
    <row r="2674" spans="10:21">
      <c r="J2674" s="8"/>
      <c r="K2674" s="8"/>
      <c r="L2674" s="8"/>
      <c r="M2674" s="8"/>
      <c r="N2674" s="8"/>
      <c r="O2674" s="8"/>
      <c r="P2674" s="8"/>
      <c r="Q2674" s="8"/>
      <c r="R2674" s="8"/>
      <c r="S2674" s="8"/>
      <c r="T2674" s="8"/>
      <c r="U2674" s="8"/>
    </row>
    <row r="2675" spans="10:21">
      <c r="J2675" s="8"/>
      <c r="K2675" s="8"/>
      <c r="L2675" s="8"/>
      <c r="M2675" s="8"/>
      <c r="N2675" s="8"/>
      <c r="O2675" s="8"/>
      <c r="P2675" s="8"/>
      <c r="Q2675" s="8"/>
      <c r="R2675" s="8"/>
      <c r="S2675" s="8"/>
      <c r="T2675" s="8"/>
      <c r="U2675" s="8"/>
    </row>
    <row r="2676" spans="10:21">
      <c r="J2676" s="8"/>
      <c r="K2676" s="8"/>
      <c r="L2676" s="8"/>
      <c r="M2676" s="8"/>
      <c r="N2676" s="8"/>
      <c r="O2676" s="8"/>
      <c r="P2676" s="8"/>
      <c r="Q2676" s="8"/>
      <c r="R2676" s="8"/>
      <c r="S2676" s="8"/>
      <c r="T2676" s="8"/>
      <c r="U2676" s="8"/>
    </row>
    <row r="2677" spans="10:21">
      <c r="J2677" s="8"/>
      <c r="K2677" s="8"/>
      <c r="L2677" s="8"/>
      <c r="M2677" s="8"/>
      <c r="N2677" s="8"/>
      <c r="O2677" s="8"/>
      <c r="P2677" s="8"/>
      <c r="Q2677" s="8"/>
      <c r="R2677" s="8"/>
      <c r="S2677" s="8"/>
      <c r="T2677" s="8"/>
      <c r="U2677" s="8"/>
    </row>
    <row r="2678" spans="10:21">
      <c r="J2678" s="8"/>
      <c r="K2678" s="8"/>
      <c r="L2678" s="8"/>
      <c r="M2678" s="8"/>
      <c r="N2678" s="8"/>
      <c r="O2678" s="8"/>
      <c r="P2678" s="8"/>
      <c r="Q2678" s="8"/>
      <c r="R2678" s="8"/>
      <c r="S2678" s="8"/>
      <c r="T2678" s="8"/>
      <c r="U2678" s="8"/>
    </row>
    <row r="2679" spans="10:21">
      <c r="J2679" s="8"/>
      <c r="K2679" s="8"/>
      <c r="L2679" s="8"/>
      <c r="M2679" s="8"/>
      <c r="N2679" s="8"/>
      <c r="O2679" s="8"/>
      <c r="P2679" s="8"/>
      <c r="Q2679" s="8"/>
      <c r="R2679" s="8"/>
      <c r="S2679" s="8"/>
      <c r="T2679" s="8"/>
      <c r="U2679" s="8"/>
    </row>
    <row r="2680" spans="10:21">
      <c r="J2680" s="8"/>
      <c r="K2680" s="8"/>
      <c r="L2680" s="8"/>
      <c r="M2680" s="8"/>
      <c r="N2680" s="8"/>
      <c r="O2680" s="8"/>
      <c r="P2680" s="8"/>
      <c r="Q2680" s="8"/>
      <c r="R2680" s="8"/>
      <c r="S2680" s="8"/>
      <c r="T2680" s="8"/>
      <c r="U2680" s="8"/>
    </row>
    <row r="2681" spans="10:21">
      <c r="J2681" s="8"/>
      <c r="K2681" s="8"/>
      <c r="L2681" s="8"/>
      <c r="M2681" s="8"/>
      <c r="N2681" s="8"/>
      <c r="O2681" s="8"/>
      <c r="P2681" s="8"/>
      <c r="Q2681" s="8"/>
      <c r="R2681" s="8"/>
      <c r="S2681" s="8"/>
      <c r="T2681" s="8"/>
      <c r="U2681" s="8"/>
    </row>
    <row r="2682" spans="10:21">
      <c r="J2682" s="8"/>
      <c r="K2682" s="8"/>
      <c r="L2682" s="8"/>
      <c r="M2682" s="8"/>
      <c r="N2682" s="8"/>
      <c r="O2682" s="8"/>
      <c r="P2682" s="8"/>
      <c r="Q2682" s="8"/>
      <c r="R2682" s="8"/>
      <c r="S2682" s="8"/>
      <c r="T2682" s="8"/>
      <c r="U2682" s="8"/>
    </row>
    <row r="2683" spans="10:21">
      <c r="J2683" s="8"/>
      <c r="K2683" s="8"/>
      <c r="L2683" s="8"/>
      <c r="M2683" s="8"/>
      <c r="N2683" s="8"/>
      <c r="O2683" s="8"/>
      <c r="P2683" s="8"/>
      <c r="Q2683" s="8"/>
      <c r="R2683" s="8"/>
      <c r="S2683" s="8"/>
      <c r="T2683" s="8"/>
      <c r="U2683" s="8"/>
    </row>
    <row r="2684" spans="10:21">
      <c r="J2684" s="8"/>
      <c r="K2684" s="8"/>
      <c r="L2684" s="8"/>
      <c r="M2684" s="8"/>
      <c r="N2684" s="8"/>
      <c r="O2684" s="8"/>
      <c r="P2684" s="8"/>
      <c r="Q2684" s="8"/>
      <c r="R2684" s="8"/>
      <c r="S2684" s="8"/>
      <c r="T2684" s="8"/>
      <c r="U2684" s="8"/>
    </row>
    <row r="2685" spans="10:21">
      <c r="J2685" s="8"/>
      <c r="K2685" s="8"/>
      <c r="L2685" s="8"/>
      <c r="M2685" s="8"/>
      <c r="N2685" s="8"/>
      <c r="O2685" s="8"/>
      <c r="P2685" s="8"/>
      <c r="Q2685" s="8"/>
      <c r="R2685" s="8"/>
      <c r="S2685" s="8"/>
      <c r="T2685" s="8"/>
      <c r="U2685" s="8"/>
    </row>
    <row r="2686" spans="10:21">
      <c r="J2686" s="8"/>
      <c r="K2686" s="8"/>
      <c r="L2686" s="8"/>
      <c r="M2686" s="8"/>
      <c r="N2686" s="8"/>
      <c r="O2686" s="8"/>
      <c r="P2686" s="8"/>
      <c r="Q2686" s="8"/>
      <c r="R2686" s="8"/>
      <c r="S2686" s="8"/>
      <c r="T2686" s="8"/>
      <c r="U2686" s="8"/>
    </row>
    <row r="2687" spans="10:21">
      <c r="J2687" s="8"/>
      <c r="K2687" s="8"/>
      <c r="L2687" s="8"/>
      <c r="M2687" s="8"/>
      <c r="N2687" s="8"/>
      <c r="O2687" s="8"/>
      <c r="P2687" s="8"/>
      <c r="Q2687" s="8"/>
      <c r="R2687" s="8"/>
      <c r="S2687" s="8"/>
      <c r="T2687" s="8"/>
      <c r="U2687" s="8"/>
    </row>
    <row r="2688" spans="10:21">
      <c r="J2688" s="8"/>
      <c r="K2688" s="8"/>
      <c r="L2688" s="8"/>
      <c r="M2688" s="8"/>
      <c r="N2688" s="8"/>
      <c r="O2688" s="8"/>
      <c r="P2688" s="8"/>
      <c r="Q2688" s="8"/>
      <c r="R2688" s="8"/>
      <c r="S2688" s="8"/>
      <c r="T2688" s="8"/>
      <c r="U2688" s="8"/>
    </row>
    <row r="2689" spans="10:21">
      <c r="J2689" s="8"/>
      <c r="K2689" s="8"/>
      <c r="L2689" s="8"/>
      <c r="M2689" s="8"/>
      <c r="N2689" s="8"/>
      <c r="O2689" s="8"/>
      <c r="P2689" s="8"/>
      <c r="Q2689" s="8"/>
      <c r="R2689" s="8"/>
      <c r="S2689" s="8"/>
      <c r="T2689" s="8"/>
      <c r="U2689" s="8"/>
    </row>
    <row r="2690" spans="10:21">
      <c r="J2690" s="8"/>
      <c r="K2690" s="8"/>
      <c r="L2690" s="8"/>
      <c r="M2690" s="8"/>
      <c r="N2690" s="8"/>
      <c r="O2690" s="8"/>
      <c r="P2690" s="8"/>
      <c r="Q2690" s="8"/>
      <c r="R2690" s="8"/>
      <c r="S2690" s="8"/>
      <c r="T2690" s="8"/>
      <c r="U2690" s="8"/>
    </row>
    <row r="2691" spans="10:21">
      <c r="J2691" s="8"/>
      <c r="K2691" s="8"/>
      <c r="L2691" s="8"/>
      <c r="M2691" s="8"/>
      <c r="N2691" s="8"/>
      <c r="O2691" s="8"/>
      <c r="P2691" s="8"/>
      <c r="Q2691" s="8"/>
      <c r="R2691" s="8"/>
      <c r="S2691" s="8"/>
      <c r="T2691" s="8"/>
      <c r="U2691" s="8"/>
    </row>
    <row r="2692" spans="10:21">
      <c r="J2692" s="8"/>
      <c r="K2692" s="8"/>
      <c r="L2692" s="8"/>
      <c r="M2692" s="8"/>
      <c r="N2692" s="8"/>
      <c r="O2692" s="8"/>
      <c r="P2692" s="8"/>
      <c r="Q2692" s="8"/>
      <c r="R2692" s="8"/>
      <c r="S2692" s="8"/>
      <c r="T2692" s="8"/>
      <c r="U2692" s="8"/>
    </row>
    <row r="2693" spans="10:21">
      <c r="J2693" s="8"/>
      <c r="K2693" s="8"/>
      <c r="L2693" s="8"/>
      <c r="M2693" s="8"/>
      <c r="N2693" s="8"/>
      <c r="O2693" s="8"/>
      <c r="P2693" s="8"/>
      <c r="Q2693" s="8"/>
      <c r="R2693" s="8"/>
      <c r="S2693" s="8"/>
      <c r="T2693" s="8"/>
      <c r="U2693" s="8"/>
    </row>
    <row r="2694" spans="10:21">
      <c r="J2694" s="8"/>
      <c r="K2694" s="8"/>
      <c r="L2694" s="8"/>
      <c r="M2694" s="8"/>
      <c r="N2694" s="8"/>
      <c r="O2694" s="8"/>
      <c r="P2694" s="8"/>
      <c r="Q2694" s="8"/>
      <c r="R2694" s="8"/>
      <c r="S2694" s="8"/>
      <c r="T2694" s="8"/>
      <c r="U2694" s="8"/>
    </row>
    <row r="2695" spans="10:21">
      <c r="J2695" s="8"/>
      <c r="K2695" s="8"/>
      <c r="L2695" s="8"/>
      <c r="M2695" s="8"/>
      <c r="N2695" s="8"/>
      <c r="O2695" s="8"/>
      <c r="P2695" s="8"/>
      <c r="Q2695" s="8"/>
      <c r="R2695" s="8"/>
      <c r="S2695" s="8"/>
      <c r="T2695" s="8"/>
      <c r="U2695" s="8"/>
    </row>
    <row r="2696" spans="10:21">
      <c r="J2696" s="8"/>
      <c r="K2696" s="8"/>
      <c r="L2696" s="8"/>
      <c r="M2696" s="8"/>
      <c r="N2696" s="8"/>
      <c r="O2696" s="8"/>
      <c r="P2696" s="8"/>
      <c r="Q2696" s="8"/>
      <c r="R2696" s="8"/>
      <c r="S2696" s="8"/>
      <c r="T2696" s="8"/>
      <c r="U2696" s="8"/>
    </row>
    <row r="2697" spans="10:21">
      <c r="J2697" s="8"/>
      <c r="K2697" s="8"/>
      <c r="L2697" s="8"/>
      <c r="M2697" s="8"/>
      <c r="N2697" s="8"/>
      <c r="O2697" s="8"/>
      <c r="P2697" s="8"/>
      <c r="Q2697" s="8"/>
      <c r="R2697" s="8"/>
      <c r="S2697" s="8"/>
      <c r="T2697" s="8"/>
      <c r="U2697" s="8"/>
    </row>
    <row r="2698" spans="10:21">
      <c r="J2698" s="8"/>
      <c r="K2698" s="8"/>
      <c r="L2698" s="8"/>
      <c r="M2698" s="8"/>
      <c r="N2698" s="8"/>
      <c r="O2698" s="8"/>
      <c r="P2698" s="8"/>
      <c r="Q2698" s="8"/>
      <c r="R2698" s="8"/>
      <c r="S2698" s="8"/>
      <c r="T2698" s="8"/>
      <c r="U2698" s="8"/>
    </row>
    <row r="2699" spans="10:21">
      <c r="J2699" s="8"/>
      <c r="K2699" s="8"/>
      <c r="L2699" s="8"/>
      <c r="M2699" s="8"/>
      <c r="N2699" s="8"/>
      <c r="O2699" s="8"/>
      <c r="P2699" s="8"/>
      <c r="Q2699" s="8"/>
      <c r="R2699" s="8"/>
      <c r="S2699" s="8"/>
      <c r="T2699" s="8"/>
      <c r="U2699" s="8"/>
    </row>
    <row r="2700" spans="10:21">
      <c r="J2700" s="8"/>
      <c r="K2700" s="8"/>
      <c r="L2700" s="8"/>
      <c r="M2700" s="8"/>
      <c r="N2700" s="8"/>
      <c r="O2700" s="8"/>
      <c r="P2700" s="8"/>
      <c r="Q2700" s="8"/>
      <c r="R2700" s="8"/>
      <c r="S2700" s="8"/>
      <c r="T2700" s="8"/>
      <c r="U2700" s="8"/>
    </row>
    <row r="2701" spans="10:21">
      <c r="J2701" s="8"/>
      <c r="K2701" s="8"/>
      <c r="L2701" s="8"/>
      <c r="M2701" s="8"/>
      <c r="N2701" s="8"/>
      <c r="O2701" s="8"/>
      <c r="P2701" s="8"/>
      <c r="Q2701" s="8"/>
      <c r="R2701" s="8"/>
      <c r="S2701" s="8"/>
      <c r="T2701" s="8"/>
      <c r="U2701" s="8"/>
    </row>
    <row r="2702" spans="10:21">
      <c r="J2702" s="8"/>
      <c r="K2702" s="8"/>
      <c r="L2702" s="8"/>
      <c r="M2702" s="8"/>
      <c r="N2702" s="8"/>
      <c r="O2702" s="8"/>
      <c r="P2702" s="8"/>
      <c r="Q2702" s="8"/>
      <c r="R2702" s="8"/>
      <c r="S2702" s="8"/>
      <c r="T2702" s="8"/>
      <c r="U2702" s="8"/>
    </row>
    <row r="2703" spans="10:21">
      <c r="J2703" s="8"/>
      <c r="K2703" s="8"/>
      <c r="L2703" s="8"/>
      <c r="M2703" s="8"/>
      <c r="N2703" s="8"/>
      <c r="O2703" s="8"/>
      <c r="P2703" s="8"/>
      <c r="Q2703" s="8"/>
      <c r="R2703" s="8"/>
      <c r="S2703" s="8"/>
      <c r="T2703" s="8"/>
      <c r="U2703" s="8"/>
    </row>
    <row r="2704" spans="10:21">
      <c r="J2704" s="8"/>
      <c r="K2704" s="8"/>
      <c r="L2704" s="8"/>
      <c r="M2704" s="8"/>
      <c r="N2704" s="8"/>
      <c r="O2704" s="8"/>
      <c r="P2704" s="8"/>
      <c r="Q2704" s="8"/>
      <c r="R2704" s="8"/>
      <c r="S2704" s="8"/>
      <c r="T2704" s="8"/>
      <c r="U2704" s="8"/>
    </row>
    <row r="2705" spans="10:21">
      <c r="J2705" s="8"/>
      <c r="K2705" s="8"/>
      <c r="L2705" s="8"/>
      <c r="M2705" s="8"/>
      <c r="N2705" s="8"/>
      <c r="O2705" s="8"/>
      <c r="P2705" s="8"/>
      <c r="Q2705" s="8"/>
      <c r="R2705" s="8"/>
      <c r="S2705" s="8"/>
      <c r="T2705" s="8"/>
      <c r="U2705" s="8"/>
    </row>
    <row r="2706" spans="10:21">
      <c r="J2706" s="8"/>
      <c r="K2706" s="8"/>
      <c r="L2706" s="8"/>
      <c r="M2706" s="8"/>
      <c r="N2706" s="8"/>
      <c r="O2706" s="8"/>
      <c r="P2706" s="8"/>
      <c r="Q2706" s="8"/>
      <c r="R2706" s="8"/>
      <c r="S2706" s="8"/>
      <c r="T2706" s="8"/>
      <c r="U2706" s="8"/>
    </row>
    <row r="2707" spans="10:21">
      <c r="J2707" s="8"/>
      <c r="K2707" s="8"/>
      <c r="L2707" s="8"/>
      <c r="M2707" s="8"/>
      <c r="N2707" s="8"/>
      <c r="O2707" s="8"/>
      <c r="P2707" s="8"/>
      <c r="Q2707" s="8"/>
      <c r="R2707" s="8"/>
      <c r="S2707" s="8"/>
      <c r="T2707" s="8"/>
      <c r="U2707" s="8"/>
    </row>
    <row r="2708" spans="10:21">
      <c r="J2708" s="8"/>
      <c r="K2708" s="8"/>
      <c r="L2708" s="8"/>
      <c r="M2708" s="8"/>
      <c r="N2708" s="8"/>
      <c r="O2708" s="8"/>
      <c r="P2708" s="8"/>
      <c r="Q2708" s="8"/>
      <c r="R2708" s="8"/>
      <c r="S2708" s="8"/>
      <c r="T2708" s="8"/>
      <c r="U2708" s="8"/>
    </row>
    <row r="2709" spans="10:21">
      <c r="J2709" s="8"/>
      <c r="K2709" s="8"/>
      <c r="L2709" s="8"/>
      <c r="M2709" s="8"/>
      <c r="N2709" s="8"/>
      <c r="O2709" s="8"/>
      <c r="P2709" s="8"/>
      <c r="Q2709" s="8"/>
      <c r="R2709" s="8"/>
      <c r="S2709" s="8"/>
      <c r="T2709" s="8"/>
      <c r="U2709" s="8"/>
    </row>
    <row r="2710" spans="10:21">
      <c r="J2710" s="8"/>
      <c r="K2710" s="8"/>
      <c r="L2710" s="8"/>
      <c r="M2710" s="8"/>
      <c r="N2710" s="8"/>
      <c r="O2710" s="8"/>
      <c r="P2710" s="8"/>
      <c r="Q2710" s="8"/>
      <c r="R2710" s="8"/>
      <c r="S2710" s="8"/>
      <c r="T2710" s="8"/>
      <c r="U2710" s="8"/>
    </row>
    <row r="2711" spans="10:21">
      <c r="J2711" s="8"/>
      <c r="K2711" s="8"/>
      <c r="L2711" s="8"/>
      <c r="M2711" s="8"/>
      <c r="N2711" s="8"/>
      <c r="O2711" s="8"/>
      <c r="P2711" s="8"/>
      <c r="Q2711" s="8"/>
      <c r="R2711" s="8"/>
      <c r="S2711" s="8"/>
      <c r="T2711" s="8"/>
      <c r="U2711" s="8"/>
    </row>
    <row r="2712" spans="10:21">
      <c r="J2712" s="8"/>
      <c r="K2712" s="8"/>
      <c r="L2712" s="8"/>
      <c r="M2712" s="8"/>
      <c r="N2712" s="8"/>
      <c r="O2712" s="8"/>
      <c r="P2712" s="8"/>
      <c r="Q2712" s="8"/>
      <c r="R2712" s="8"/>
      <c r="S2712" s="8"/>
      <c r="T2712" s="8"/>
      <c r="U2712" s="8"/>
    </row>
    <row r="2713" spans="10:21">
      <c r="J2713" s="8"/>
      <c r="K2713" s="8"/>
      <c r="L2713" s="8"/>
      <c r="M2713" s="8"/>
      <c r="N2713" s="8"/>
      <c r="O2713" s="8"/>
      <c r="P2713" s="8"/>
      <c r="Q2713" s="8"/>
      <c r="R2713" s="8"/>
      <c r="S2713" s="8"/>
      <c r="T2713" s="8"/>
      <c r="U2713" s="8"/>
    </row>
    <row r="2714" spans="10:21">
      <c r="J2714" s="8"/>
      <c r="K2714" s="8"/>
      <c r="L2714" s="8"/>
      <c r="M2714" s="8"/>
      <c r="N2714" s="8"/>
      <c r="O2714" s="8"/>
      <c r="P2714" s="8"/>
      <c r="Q2714" s="8"/>
      <c r="R2714" s="8"/>
      <c r="S2714" s="8"/>
      <c r="T2714" s="8"/>
      <c r="U2714" s="8"/>
    </row>
    <row r="2715" spans="10:21">
      <c r="J2715" s="8"/>
      <c r="K2715" s="8"/>
      <c r="L2715" s="8"/>
      <c r="M2715" s="8"/>
      <c r="N2715" s="8"/>
      <c r="O2715" s="8"/>
      <c r="P2715" s="8"/>
      <c r="Q2715" s="8"/>
      <c r="R2715" s="8"/>
      <c r="S2715" s="8"/>
      <c r="T2715" s="8"/>
      <c r="U2715" s="8"/>
    </row>
    <row r="2716" spans="10:21">
      <c r="J2716" s="8"/>
      <c r="K2716" s="8"/>
      <c r="L2716" s="8"/>
      <c r="M2716" s="8"/>
      <c r="N2716" s="8"/>
      <c r="O2716" s="8"/>
      <c r="P2716" s="8"/>
      <c r="Q2716" s="8"/>
      <c r="R2716" s="8"/>
      <c r="S2716" s="8"/>
      <c r="T2716" s="8"/>
      <c r="U2716" s="8"/>
    </row>
    <row r="2717" spans="10:21">
      <c r="J2717" s="8"/>
      <c r="K2717" s="8"/>
      <c r="L2717" s="8"/>
      <c r="M2717" s="8"/>
      <c r="N2717" s="8"/>
      <c r="O2717" s="8"/>
      <c r="P2717" s="8"/>
      <c r="Q2717" s="8"/>
      <c r="R2717" s="8"/>
      <c r="S2717" s="8"/>
      <c r="T2717" s="8"/>
      <c r="U2717" s="8"/>
    </row>
    <row r="2718" spans="10:21">
      <c r="J2718" s="8"/>
      <c r="K2718" s="8"/>
      <c r="L2718" s="8"/>
      <c r="M2718" s="8"/>
      <c r="N2718" s="8"/>
      <c r="O2718" s="8"/>
      <c r="P2718" s="8"/>
      <c r="Q2718" s="8"/>
      <c r="R2718" s="8"/>
      <c r="S2718" s="8"/>
      <c r="T2718" s="8"/>
      <c r="U2718" s="8"/>
    </row>
    <row r="2719" spans="10:21">
      <c r="J2719" s="8"/>
      <c r="K2719" s="8"/>
      <c r="L2719" s="8"/>
      <c r="M2719" s="8"/>
      <c r="N2719" s="8"/>
      <c r="O2719" s="8"/>
      <c r="P2719" s="8"/>
      <c r="Q2719" s="8"/>
      <c r="R2719" s="8"/>
      <c r="S2719" s="8"/>
      <c r="T2719" s="8"/>
      <c r="U2719" s="8"/>
    </row>
    <row r="2720" spans="10:21">
      <c r="J2720" s="8"/>
      <c r="K2720" s="8"/>
      <c r="L2720" s="8"/>
      <c r="M2720" s="8"/>
      <c r="N2720" s="8"/>
      <c r="O2720" s="8"/>
      <c r="P2720" s="8"/>
      <c r="Q2720" s="8"/>
      <c r="R2720" s="8"/>
      <c r="S2720" s="8"/>
      <c r="T2720" s="8"/>
      <c r="U2720" s="8"/>
    </row>
    <row r="2721" spans="10:21">
      <c r="J2721" s="8"/>
      <c r="K2721" s="8"/>
      <c r="L2721" s="8"/>
      <c r="M2721" s="8"/>
      <c r="N2721" s="8"/>
      <c r="O2721" s="8"/>
      <c r="P2721" s="8"/>
      <c r="Q2721" s="8"/>
      <c r="R2721" s="8"/>
      <c r="S2721" s="8"/>
      <c r="T2721" s="8"/>
      <c r="U2721" s="8"/>
    </row>
    <row r="2722" spans="10:21">
      <c r="J2722" s="8"/>
      <c r="K2722" s="8"/>
      <c r="L2722" s="8"/>
      <c r="M2722" s="8"/>
      <c r="N2722" s="8"/>
      <c r="O2722" s="8"/>
      <c r="P2722" s="8"/>
      <c r="Q2722" s="8"/>
      <c r="R2722" s="8"/>
      <c r="S2722" s="8"/>
      <c r="T2722" s="8"/>
      <c r="U2722" s="8"/>
    </row>
    <row r="2723" spans="10:21">
      <c r="J2723" s="8"/>
      <c r="K2723" s="8"/>
      <c r="L2723" s="8"/>
      <c r="M2723" s="8"/>
      <c r="N2723" s="8"/>
      <c r="O2723" s="8"/>
      <c r="P2723" s="8"/>
      <c r="Q2723" s="8"/>
      <c r="R2723" s="8"/>
      <c r="S2723" s="8"/>
      <c r="T2723" s="8"/>
      <c r="U2723" s="8"/>
    </row>
    <row r="2724" spans="10:21">
      <c r="J2724" s="8"/>
      <c r="K2724" s="8"/>
      <c r="L2724" s="8"/>
      <c r="M2724" s="8"/>
      <c r="N2724" s="8"/>
      <c r="O2724" s="8"/>
      <c r="P2724" s="8"/>
      <c r="Q2724" s="8"/>
      <c r="R2724" s="8"/>
      <c r="S2724" s="8"/>
      <c r="T2724" s="8"/>
      <c r="U2724" s="8"/>
    </row>
    <row r="2725" spans="10:21">
      <c r="J2725" s="8"/>
      <c r="K2725" s="8"/>
      <c r="L2725" s="8"/>
      <c r="M2725" s="8"/>
      <c r="N2725" s="8"/>
      <c r="O2725" s="8"/>
      <c r="P2725" s="8"/>
      <c r="Q2725" s="8"/>
      <c r="R2725" s="8"/>
      <c r="S2725" s="8"/>
      <c r="T2725" s="8"/>
      <c r="U2725" s="8"/>
    </row>
    <row r="2726" spans="10:21">
      <c r="J2726" s="8"/>
      <c r="K2726" s="8"/>
      <c r="L2726" s="8"/>
      <c r="M2726" s="8"/>
      <c r="N2726" s="8"/>
      <c r="O2726" s="8"/>
      <c r="P2726" s="8"/>
      <c r="Q2726" s="8"/>
      <c r="R2726" s="8"/>
      <c r="S2726" s="8"/>
      <c r="T2726" s="8"/>
      <c r="U2726" s="8"/>
    </row>
    <row r="2727" spans="10:21">
      <c r="J2727" s="8"/>
      <c r="K2727" s="8"/>
      <c r="L2727" s="8"/>
      <c r="M2727" s="8"/>
      <c r="N2727" s="8"/>
      <c r="O2727" s="8"/>
      <c r="P2727" s="8"/>
      <c r="Q2727" s="8"/>
      <c r="R2727" s="8"/>
      <c r="S2727" s="8"/>
      <c r="T2727" s="8"/>
      <c r="U2727" s="8"/>
    </row>
    <row r="2728" spans="10:21">
      <c r="J2728" s="8"/>
      <c r="K2728" s="8"/>
      <c r="L2728" s="8"/>
      <c r="M2728" s="8"/>
      <c r="N2728" s="8"/>
      <c r="O2728" s="8"/>
      <c r="P2728" s="8"/>
      <c r="Q2728" s="8"/>
      <c r="R2728" s="8"/>
      <c r="S2728" s="8"/>
      <c r="T2728" s="8"/>
      <c r="U2728" s="8"/>
    </row>
    <row r="2729" spans="10:21">
      <c r="J2729" s="8"/>
      <c r="K2729" s="8"/>
      <c r="L2729" s="8"/>
      <c r="M2729" s="8"/>
      <c r="N2729" s="8"/>
      <c r="O2729" s="8"/>
      <c r="P2729" s="8"/>
      <c r="Q2729" s="8"/>
      <c r="R2729" s="8"/>
      <c r="S2729" s="8"/>
      <c r="T2729" s="8"/>
      <c r="U2729" s="8"/>
    </row>
    <row r="2730" spans="10:21">
      <c r="J2730" s="8"/>
      <c r="K2730" s="8"/>
      <c r="L2730" s="8"/>
      <c r="M2730" s="8"/>
      <c r="N2730" s="8"/>
      <c r="O2730" s="8"/>
      <c r="P2730" s="8"/>
      <c r="Q2730" s="8"/>
      <c r="R2730" s="8"/>
      <c r="S2730" s="8"/>
      <c r="T2730" s="8"/>
      <c r="U2730" s="8"/>
    </row>
    <row r="2731" spans="10:21">
      <c r="J2731" s="8"/>
      <c r="K2731" s="8"/>
      <c r="L2731" s="8"/>
      <c r="M2731" s="8"/>
      <c r="N2731" s="8"/>
      <c r="O2731" s="8"/>
      <c r="P2731" s="8"/>
      <c r="Q2731" s="8"/>
      <c r="R2731" s="8"/>
      <c r="S2731" s="8"/>
      <c r="T2731" s="8"/>
      <c r="U2731" s="8"/>
    </row>
    <row r="2732" spans="10:21">
      <c r="J2732" s="8"/>
      <c r="K2732" s="8"/>
      <c r="L2732" s="8"/>
      <c r="M2732" s="8"/>
      <c r="N2732" s="8"/>
      <c r="O2732" s="8"/>
      <c r="P2732" s="8"/>
      <c r="Q2732" s="8"/>
      <c r="R2732" s="8"/>
      <c r="S2732" s="8"/>
      <c r="T2732" s="8"/>
      <c r="U2732" s="8"/>
    </row>
    <row r="2733" spans="10:21">
      <c r="J2733" s="8"/>
      <c r="K2733" s="8"/>
      <c r="L2733" s="8"/>
      <c r="M2733" s="8"/>
      <c r="N2733" s="8"/>
      <c r="O2733" s="8"/>
      <c r="P2733" s="8"/>
      <c r="Q2733" s="8"/>
      <c r="R2733" s="8"/>
      <c r="S2733" s="8"/>
      <c r="T2733" s="8"/>
      <c r="U2733" s="8"/>
    </row>
    <row r="2734" spans="10:21">
      <c r="J2734" s="8"/>
      <c r="K2734" s="8"/>
      <c r="L2734" s="8"/>
      <c r="M2734" s="8"/>
      <c r="N2734" s="8"/>
      <c r="O2734" s="8"/>
      <c r="P2734" s="8"/>
      <c r="Q2734" s="8"/>
      <c r="R2734" s="8"/>
      <c r="S2734" s="8"/>
      <c r="T2734" s="8"/>
      <c r="U2734" s="8"/>
    </row>
    <row r="2735" spans="10:21">
      <c r="J2735" s="8"/>
      <c r="K2735" s="8"/>
      <c r="L2735" s="8"/>
      <c r="M2735" s="8"/>
      <c r="N2735" s="8"/>
      <c r="O2735" s="8"/>
      <c r="P2735" s="8"/>
      <c r="Q2735" s="8"/>
      <c r="R2735" s="8"/>
      <c r="S2735" s="8"/>
      <c r="T2735" s="8"/>
      <c r="U2735" s="8"/>
    </row>
    <row r="2736" spans="10:21">
      <c r="J2736" s="8"/>
      <c r="K2736" s="8"/>
      <c r="L2736" s="8"/>
      <c r="M2736" s="8"/>
      <c r="N2736" s="8"/>
      <c r="O2736" s="8"/>
      <c r="P2736" s="8"/>
      <c r="Q2736" s="8"/>
      <c r="R2736" s="8"/>
      <c r="S2736" s="8"/>
      <c r="T2736" s="8"/>
      <c r="U2736" s="8"/>
    </row>
    <row r="2737" spans="10:21">
      <c r="J2737" s="8"/>
      <c r="K2737" s="8"/>
      <c r="L2737" s="8"/>
      <c r="M2737" s="8"/>
      <c r="N2737" s="8"/>
      <c r="O2737" s="8"/>
      <c r="P2737" s="8"/>
      <c r="Q2737" s="8"/>
      <c r="R2737" s="8"/>
      <c r="S2737" s="8"/>
      <c r="T2737" s="8"/>
      <c r="U2737" s="8"/>
    </row>
    <row r="2738" spans="10:21">
      <c r="J2738" s="8"/>
      <c r="K2738" s="8"/>
      <c r="L2738" s="8"/>
      <c r="M2738" s="8"/>
      <c r="N2738" s="8"/>
      <c r="O2738" s="8"/>
      <c r="P2738" s="8"/>
      <c r="Q2738" s="8"/>
      <c r="R2738" s="8"/>
      <c r="S2738" s="8"/>
      <c r="T2738" s="8"/>
      <c r="U2738" s="8"/>
    </row>
    <row r="2739" spans="10:21">
      <c r="J2739" s="8"/>
      <c r="K2739" s="8"/>
      <c r="L2739" s="8"/>
      <c r="M2739" s="8"/>
      <c r="N2739" s="8"/>
      <c r="O2739" s="8"/>
      <c r="P2739" s="8"/>
      <c r="Q2739" s="8"/>
      <c r="R2739" s="8"/>
      <c r="S2739" s="8"/>
      <c r="T2739" s="8"/>
      <c r="U2739" s="8"/>
    </row>
    <row r="2740" spans="10:21">
      <c r="J2740" s="8"/>
      <c r="K2740" s="8"/>
      <c r="L2740" s="8"/>
      <c r="M2740" s="8"/>
      <c r="N2740" s="8"/>
      <c r="O2740" s="8"/>
      <c r="P2740" s="8"/>
      <c r="Q2740" s="8"/>
      <c r="R2740" s="8"/>
      <c r="S2740" s="8"/>
      <c r="T2740" s="8"/>
      <c r="U2740" s="8"/>
    </row>
    <row r="2741" spans="10:21">
      <c r="J2741" s="8"/>
      <c r="K2741" s="8"/>
      <c r="L2741" s="8"/>
      <c r="M2741" s="8"/>
      <c r="N2741" s="8"/>
      <c r="O2741" s="8"/>
      <c r="P2741" s="8"/>
      <c r="Q2741" s="8"/>
      <c r="R2741" s="8"/>
      <c r="S2741" s="8"/>
      <c r="T2741" s="8"/>
      <c r="U2741" s="8"/>
    </row>
    <row r="2742" spans="10:21">
      <c r="J2742" s="8"/>
      <c r="K2742" s="8"/>
      <c r="L2742" s="8"/>
      <c r="M2742" s="8"/>
      <c r="N2742" s="8"/>
      <c r="O2742" s="8"/>
      <c r="P2742" s="8"/>
      <c r="Q2742" s="8"/>
      <c r="R2742" s="8"/>
      <c r="S2742" s="8"/>
      <c r="T2742" s="8"/>
      <c r="U2742" s="8"/>
    </row>
    <row r="2743" spans="10:21">
      <c r="J2743" s="8"/>
      <c r="K2743" s="8"/>
      <c r="L2743" s="8"/>
      <c r="M2743" s="8"/>
      <c r="N2743" s="8"/>
      <c r="O2743" s="8"/>
      <c r="P2743" s="8"/>
      <c r="Q2743" s="8"/>
      <c r="R2743" s="8"/>
      <c r="S2743" s="8"/>
      <c r="T2743" s="8"/>
      <c r="U2743" s="8"/>
    </row>
    <row r="2744" spans="10:21">
      <c r="J2744" s="8"/>
      <c r="K2744" s="8"/>
      <c r="L2744" s="8"/>
      <c r="M2744" s="8"/>
      <c r="N2744" s="8"/>
      <c r="O2744" s="8"/>
      <c r="P2744" s="8"/>
      <c r="Q2744" s="8"/>
      <c r="R2744" s="8"/>
      <c r="S2744" s="8"/>
      <c r="T2744" s="8"/>
      <c r="U2744" s="8"/>
    </row>
    <row r="2745" spans="10:21">
      <c r="J2745" s="8"/>
      <c r="K2745" s="8"/>
      <c r="L2745" s="8"/>
      <c r="M2745" s="8"/>
      <c r="N2745" s="8"/>
      <c r="O2745" s="8"/>
      <c r="P2745" s="8"/>
      <c r="Q2745" s="8"/>
      <c r="R2745" s="8"/>
      <c r="S2745" s="8"/>
      <c r="T2745" s="8"/>
      <c r="U2745" s="8"/>
    </row>
    <row r="2746" spans="10:21">
      <c r="J2746" s="8"/>
      <c r="K2746" s="8"/>
      <c r="L2746" s="8"/>
      <c r="M2746" s="8"/>
      <c r="N2746" s="8"/>
      <c r="O2746" s="8"/>
      <c r="P2746" s="8"/>
      <c r="Q2746" s="8"/>
      <c r="R2746" s="8"/>
      <c r="S2746" s="8"/>
      <c r="T2746" s="8"/>
      <c r="U2746" s="8"/>
    </row>
    <row r="2747" spans="10:21">
      <c r="J2747" s="8"/>
      <c r="K2747" s="8"/>
      <c r="L2747" s="8"/>
      <c r="M2747" s="8"/>
      <c r="N2747" s="8"/>
      <c r="O2747" s="8"/>
      <c r="P2747" s="8"/>
      <c r="Q2747" s="8"/>
      <c r="R2747" s="8"/>
      <c r="S2747" s="8"/>
      <c r="T2747" s="8"/>
      <c r="U2747" s="8"/>
    </row>
    <row r="2748" spans="10:21">
      <c r="J2748" s="8"/>
      <c r="K2748" s="8"/>
      <c r="L2748" s="8"/>
      <c r="M2748" s="8"/>
      <c r="N2748" s="8"/>
      <c r="O2748" s="8"/>
      <c r="P2748" s="8"/>
      <c r="Q2748" s="8"/>
      <c r="R2748" s="8"/>
      <c r="S2748" s="8"/>
      <c r="T2748" s="8"/>
      <c r="U2748" s="8"/>
    </row>
    <row r="2749" spans="10:21">
      <c r="J2749" s="8"/>
      <c r="K2749" s="8"/>
      <c r="L2749" s="8"/>
      <c r="M2749" s="8"/>
      <c r="N2749" s="8"/>
      <c r="O2749" s="8"/>
      <c r="P2749" s="8"/>
      <c r="Q2749" s="8"/>
      <c r="R2749" s="8"/>
      <c r="S2749" s="8"/>
      <c r="T2749" s="8"/>
      <c r="U2749" s="8"/>
    </row>
    <row r="2750" spans="10:21">
      <c r="J2750" s="8"/>
      <c r="K2750" s="8"/>
      <c r="L2750" s="8"/>
      <c r="M2750" s="8"/>
      <c r="N2750" s="8"/>
      <c r="O2750" s="8"/>
      <c r="P2750" s="8"/>
      <c r="Q2750" s="8"/>
      <c r="R2750" s="8"/>
      <c r="S2750" s="8"/>
      <c r="T2750" s="8"/>
      <c r="U2750" s="8"/>
    </row>
    <row r="2751" spans="10:21">
      <c r="J2751" s="8"/>
      <c r="K2751" s="8"/>
      <c r="L2751" s="8"/>
      <c r="M2751" s="8"/>
      <c r="N2751" s="8"/>
      <c r="O2751" s="8"/>
      <c r="P2751" s="8"/>
      <c r="Q2751" s="8"/>
      <c r="R2751" s="8"/>
      <c r="S2751" s="8"/>
      <c r="T2751" s="8"/>
      <c r="U2751" s="8"/>
    </row>
    <row r="2752" spans="10:21">
      <c r="J2752" s="8"/>
      <c r="K2752" s="8"/>
      <c r="L2752" s="8"/>
      <c r="M2752" s="8"/>
      <c r="N2752" s="8"/>
      <c r="O2752" s="8"/>
      <c r="P2752" s="8"/>
      <c r="Q2752" s="8"/>
      <c r="R2752" s="8"/>
      <c r="S2752" s="8"/>
      <c r="T2752" s="8"/>
      <c r="U2752" s="8"/>
    </row>
    <row r="2753" spans="10:21">
      <c r="J2753" s="8"/>
      <c r="K2753" s="8"/>
      <c r="L2753" s="8"/>
      <c r="M2753" s="8"/>
      <c r="N2753" s="8"/>
      <c r="O2753" s="8"/>
      <c r="P2753" s="8"/>
      <c r="Q2753" s="8"/>
      <c r="R2753" s="8"/>
      <c r="S2753" s="8"/>
      <c r="T2753" s="8"/>
      <c r="U2753" s="8"/>
    </row>
    <row r="2754" spans="10:21">
      <c r="J2754" s="8"/>
      <c r="K2754" s="8"/>
      <c r="L2754" s="8"/>
      <c r="M2754" s="8"/>
      <c r="N2754" s="8"/>
      <c r="O2754" s="8"/>
      <c r="P2754" s="8"/>
      <c r="Q2754" s="8"/>
      <c r="R2754" s="8"/>
      <c r="S2754" s="8"/>
      <c r="T2754" s="8"/>
      <c r="U2754" s="8"/>
    </row>
    <row r="2755" spans="10:21">
      <c r="J2755" s="8"/>
      <c r="K2755" s="8"/>
      <c r="L2755" s="8"/>
      <c r="M2755" s="8"/>
      <c r="N2755" s="8"/>
      <c r="O2755" s="8"/>
      <c r="P2755" s="8"/>
      <c r="Q2755" s="8"/>
      <c r="R2755" s="8"/>
      <c r="S2755" s="8"/>
      <c r="T2755" s="8"/>
      <c r="U2755" s="8"/>
    </row>
    <row r="2756" spans="10:21">
      <c r="J2756" s="8"/>
      <c r="K2756" s="8"/>
      <c r="L2756" s="8"/>
      <c r="M2756" s="8"/>
      <c r="N2756" s="8"/>
      <c r="O2756" s="8"/>
      <c r="P2756" s="8"/>
      <c r="Q2756" s="8"/>
      <c r="R2756" s="8"/>
      <c r="S2756" s="8"/>
      <c r="T2756" s="8"/>
      <c r="U2756" s="8"/>
    </row>
    <row r="2757" spans="10:21">
      <c r="J2757" s="8"/>
      <c r="K2757" s="8"/>
      <c r="L2757" s="8"/>
      <c r="M2757" s="8"/>
      <c r="N2757" s="8"/>
      <c r="O2757" s="8"/>
      <c r="P2757" s="8"/>
      <c r="Q2757" s="8"/>
      <c r="R2757" s="8"/>
      <c r="S2757" s="8"/>
      <c r="T2757" s="8"/>
      <c r="U2757" s="8"/>
    </row>
    <row r="2758" spans="10:21">
      <c r="J2758" s="8"/>
      <c r="K2758" s="8"/>
      <c r="L2758" s="8"/>
      <c r="M2758" s="8"/>
      <c r="N2758" s="8"/>
      <c r="O2758" s="8"/>
      <c r="P2758" s="8"/>
      <c r="Q2758" s="8"/>
      <c r="R2758" s="8"/>
      <c r="S2758" s="8"/>
      <c r="T2758" s="8"/>
      <c r="U2758" s="8"/>
    </row>
    <row r="2759" spans="10:21">
      <c r="J2759" s="8"/>
      <c r="K2759" s="8"/>
      <c r="L2759" s="8"/>
      <c r="M2759" s="8"/>
      <c r="N2759" s="8"/>
      <c r="O2759" s="8"/>
      <c r="P2759" s="8"/>
      <c r="Q2759" s="8"/>
      <c r="R2759" s="8"/>
      <c r="S2759" s="8"/>
      <c r="T2759" s="8"/>
      <c r="U2759" s="8"/>
    </row>
    <row r="2760" spans="10:21">
      <c r="J2760" s="8"/>
      <c r="K2760" s="8"/>
      <c r="L2760" s="8"/>
      <c r="M2760" s="8"/>
      <c r="N2760" s="8"/>
      <c r="O2760" s="8"/>
      <c r="P2760" s="8"/>
      <c r="Q2760" s="8"/>
      <c r="R2760" s="8"/>
      <c r="S2760" s="8"/>
      <c r="T2760" s="8"/>
      <c r="U2760" s="8"/>
    </row>
    <row r="2761" spans="10:21">
      <c r="J2761" s="8"/>
      <c r="K2761" s="8"/>
      <c r="L2761" s="8"/>
      <c r="M2761" s="8"/>
      <c r="N2761" s="8"/>
      <c r="O2761" s="8"/>
      <c r="P2761" s="8"/>
      <c r="Q2761" s="8"/>
      <c r="R2761" s="8"/>
      <c r="S2761" s="8"/>
      <c r="T2761" s="8"/>
      <c r="U2761" s="8"/>
    </row>
    <row r="2762" spans="10:21">
      <c r="J2762" s="8"/>
      <c r="K2762" s="8"/>
      <c r="L2762" s="8"/>
      <c r="M2762" s="8"/>
      <c r="N2762" s="8"/>
      <c r="O2762" s="8"/>
      <c r="P2762" s="8"/>
      <c r="Q2762" s="8"/>
      <c r="R2762" s="8"/>
      <c r="S2762" s="8"/>
      <c r="T2762" s="8"/>
      <c r="U2762" s="8"/>
    </row>
    <row r="2763" spans="10:21">
      <c r="J2763" s="8"/>
      <c r="K2763" s="8"/>
      <c r="L2763" s="8"/>
      <c r="M2763" s="8"/>
      <c r="N2763" s="8"/>
      <c r="O2763" s="8"/>
      <c r="P2763" s="8"/>
      <c r="Q2763" s="8"/>
      <c r="R2763" s="8"/>
      <c r="S2763" s="8"/>
      <c r="T2763" s="8"/>
      <c r="U2763" s="8"/>
    </row>
    <row r="2764" spans="10:21">
      <c r="J2764" s="8"/>
      <c r="K2764" s="8"/>
      <c r="L2764" s="8"/>
      <c r="M2764" s="8"/>
      <c r="N2764" s="8"/>
      <c r="O2764" s="8"/>
      <c r="P2764" s="8"/>
      <c r="Q2764" s="8"/>
      <c r="R2764" s="8"/>
      <c r="S2764" s="8"/>
      <c r="T2764" s="8"/>
      <c r="U2764" s="8"/>
    </row>
    <row r="2765" spans="10:21">
      <c r="J2765" s="8"/>
      <c r="K2765" s="8"/>
      <c r="L2765" s="8"/>
      <c r="M2765" s="8"/>
      <c r="N2765" s="8"/>
      <c r="O2765" s="8"/>
      <c r="P2765" s="8"/>
      <c r="Q2765" s="8"/>
      <c r="R2765" s="8"/>
      <c r="S2765" s="8"/>
      <c r="T2765" s="8"/>
      <c r="U2765" s="8"/>
    </row>
    <row r="2766" spans="10:21">
      <c r="J2766" s="8"/>
      <c r="K2766" s="8"/>
      <c r="L2766" s="8"/>
      <c r="M2766" s="8"/>
      <c r="N2766" s="8"/>
      <c r="O2766" s="8"/>
      <c r="P2766" s="8"/>
      <c r="Q2766" s="8"/>
      <c r="R2766" s="8"/>
      <c r="S2766" s="8"/>
      <c r="T2766" s="8"/>
      <c r="U2766" s="8"/>
    </row>
    <row r="2767" spans="10:21">
      <c r="J2767" s="8"/>
      <c r="K2767" s="8"/>
      <c r="L2767" s="8"/>
      <c r="M2767" s="8"/>
      <c r="N2767" s="8"/>
      <c r="O2767" s="8"/>
      <c r="P2767" s="8"/>
      <c r="Q2767" s="8"/>
      <c r="R2767" s="8"/>
      <c r="S2767" s="8"/>
      <c r="T2767" s="8"/>
      <c r="U2767" s="8"/>
    </row>
    <row r="2768" spans="10:21">
      <c r="J2768" s="8"/>
      <c r="K2768" s="8"/>
      <c r="L2768" s="8"/>
      <c r="M2768" s="8"/>
      <c r="N2768" s="8"/>
      <c r="O2768" s="8"/>
      <c r="P2768" s="8"/>
      <c r="Q2768" s="8"/>
      <c r="R2768" s="8"/>
      <c r="S2768" s="8"/>
      <c r="T2768" s="8"/>
      <c r="U2768" s="8"/>
    </row>
    <row r="2769" spans="10:21">
      <c r="J2769" s="8"/>
      <c r="K2769" s="8"/>
      <c r="L2769" s="8"/>
      <c r="M2769" s="8"/>
      <c r="N2769" s="8"/>
      <c r="O2769" s="8"/>
      <c r="P2769" s="8"/>
      <c r="Q2769" s="8"/>
      <c r="R2769" s="8"/>
      <c r="S2769" s="8"/>
      <c r="T2769" s="8"/>
      <c r="U2769" s="8"/>
    </row>
    <row r="2770" spans="10:21">
      <c r="J2770" s="8"/>
      <c r="K2770" s="8"/>
      <c r="L2770" s="8"/>
      <c r="M2770" s="8"/>
      <c r="N2770" s="8"/>
      <c r="O2770" s="8"/>
      <c r="P2770" s="8"/>
      <c r="Q2770" s="8"/>
      <c r="R2770" s="8"/>
      <c r="S2770" s="8"/>
      <c r="T2770" s="8"/>
      <c r="U2770" s="8"/>
    </row>
    <row r="2771" spans="10:21">
      <c r="J2771" s="8"/>
      <c r="K2771" s="8"/>
      <c r="L2771" s="8"/>
      <c r="M2771" s="8"/>
      <c r="N2771" s="8"/>
      <c r="O2771" s="8"/>
      <c r="P2771" s="8"/>
      <c r="Q2771" s="8"/>
      <c r="R2771" s="8"/>
      <c r="S2771" s="8"/>
      <c r="T2771" s="8"/>
      <c r="U2771" s="8"/>
    </row>
    <row r="2772" spans="10:21">
      <c r="J2772" s="8"/>
      <c r="K2772" s="8"/>
      <c r="L2772" s="8"/>
      <c r="M2772" s="8"/>
      <c r="N2772" s="8"/>
      <c r="O2772" s="8"/>
      <c r="P2772" s="8"/>
      <c r="Q2772" s="8"/>
      <c r="R2772" s="8"/>
      <c r="S2772" s="8"/>
      <c r="T2772" s="8"/>
      <c r="U2772" s="8"/>
    </row>
    <row r="2773" spans="10:21">
      <c r="J2773" s="8"/>
      <c r="K2773" s="8"/>
      <c r="L2773" s="8"/>
      <c r="M2773" s="8"/>
      <c r="N2773" s="8"/>
      <c r="O2773" s="8"/>
      <c r="P2773" s="8"/>
      <c r="Q2773" s="8"/>
      <c r="R2773" s="8"/>
      <c r="S2773" s="8"/>
      <c r="T2773" s="8"/>
      <c r="U2773" s="8"/>
    </row>
    <row r="2774" spans="10:21">
      <c r="J2774" s="8"/>
      <c r="K2774" s="8"/>
      <c r="L2774" s="8"/>
      <c r="M2774" s="8"/>
      <c r="N2774" s="8"/>
      <c r="O2774" s="8"/>
      <c r="P2774" s="8"/>
      <c r="Q2774" s="8"/>
      <c r="R2774" s="8"/>
      <c r="S2774" s="8"/>
      <c r="T2774" s="8"/>
      <c r="U2774" s="8"/>
    </row>
    <row r="2775" spans="10:21">
      <c r="J2775" s="8"/>
      <c r="K2775" s="8"/>
      <c r="L2775" s="8"/>
      <c r="M2775" s="8"/>
      <c r="N2775" s="8"/>
      <c r="O2775" s="8"/>
      <c r="P2775" s="8"/>
      <c r="Q2775" s="8"/>
      <c r="R2775" s="8"/>
      <c r="S2775" s="8"/>
      <c r="T2775" s="8"/>
      <c r="U2775" s="8"/>
    </row>
    <row r="2776" spans="10:21">
      <c r="J2776" s="8"/>
      <c r="K2776" s="8"/>
      <c r="L2776" s="8"/>
      <c r="M2776" s="8"/>
      <c r="N2776" s="8"/>
      <c r="O2776" s="8"/>
      <c r="P2776" s="8"/>
      <c r="Q2776" s="8"/>
      <c r="R2776" s="8"/>
      <c r="S2776" s="8"/>
      <c r="T2776" s="8"/>
      <c r="U2776" s="8"/>
    </row>
    <row r="2777" spans="10:21">
      <c r="J2777" s="8"/>
      <c r="K2777" s="8"/>
      <c r="L2777" s="8"/>
      <c r="M2777" s="8"/>
      <c r="N2777" s="8"/>
      <c r="O2777" s="8"/>
      <c r="P2777" s="8"/>
      <c r="Q2777" s="8"/>
      <c r="R2777" s="8"/>
      <c r="S2777" s="8"/>
      <c r="T2777" s="8"/>
      <c r="U2777" s="8"/>
    </row>
    <row r="2778" spans="10:21">
      <c r="J2778" s="8"/>
      <c r="K2778" s="8"/>
      <c r="L2778" s="8"/>
      <c r="M2778" s="8"/>
      <c r="N2778" s="8"/>
      <c r="O2778" s="8"/>
      <c r="P2778" s="8"/>
      <c r="Q2778" s="8"/>
      <c r="R2778" s="8"/>
      <c r="S2778" s="8"/>
      <c r="T2778" s="8"/>
      <c r="U2778" s="8"/>
    </row>
    <row r="2779" spans="10:21">
      <c r="J2779" s="8"/>
      <c r="K2779" s="8"/>
      <c r="L2779" s="8"/>
      <c r="M2779" s="8"/>
      <c r="N2779" s="8"/>
      <c r="O2779" s="8"/>
      <c r="P2779" s="8"/>
      <c r="Q2779" s="8"/>
      <c r="R2779" s="8"/>
      <c r="S2779" s="8"/>
      <c r="T2779" s="8"/>
      <c r="U2779" s="8"/>
    </row>
    <row r="2780" spans="10:21">
      <c r="J2780" s="8"/>
      <c r="K2780" s="8"/>
      <c r="L2780" s="8"/>
      <c r="M2780" s="8"/>
      <c r="N2780" s="8"/>
      <c r="O2780" s="8"/>
      <c r="P2780" s="8"/>
      <c r="Q2780" s="8"/>
      <c r="R2780" s="8"/>
      <c r="S2780" s="8"/>
      <c r="T2780" s="8"/>
      <c r="U2780" s="8"/>
    </row>
    <row r="2781" spans="10:21">
      <c r="J2781" s="8"/>
      <c r="K2781" s="8"/>
      <c r="L2781" s="8"/>
      <c r="M2781" s="8"/>
      <c r="N2781" s="8"/>
      <c r="O2781" s="8"/>
      <c r="P2781" s="8"/>
      <c r="Q2781" s="8"/>
      <c r="R2781" s="8"/>
      <c r="S2781" s="8"/>
      <c r="T2781" s="8"/>
      <c r="U2781" s="8"/>
    </row>
    <row r="2782" spans="10:21">
      <c r="J2782" s="8"/>
      <c r="K2782" s="8"/>
      <c r="L2782" s="8"/>
      <c r="M2782" s="8"/>
      <c r="N2782" s="8"/>
      <c r="O2782" s="8"/>
      <c r="P2782" s="8"/>
      <c r="Q2782" s="8"/>
      <c r="R2782" s="8"/>
      <c r="S2782" s="8"/>
      <c r="T2782" s="8"/>
      <c r="U2782" s="8"/>
    </row>
    <row r="2783" spans="10:21">
      <c r="J2783" s="8"/>
      <c r="K2783" s="8"/>
      <c r="L2783" s="8"/>
      <c r="M2783" s="8"/>
      <c r="N2783" s="8"/>
      <c r="O2783" s="8"/>
      <c r="P2783" s="8"/>
      <c r="Q2783" s="8"/>
      <c r="R2783" s="8"/>
      <c r="S2783" s="8"/>
      <c r="T2783" s="8"/>
      <c r="U2783" s="8"/>
    </row>
    <row r="2784" spans="10:21">
      <c r="J2784" s="8"/>
      <c r="K2784" s="8"/>
      <c r="L2784" s="8"/>
      <c r="M2784" s="8"/>
      <c r="N2784" s="8"/>
      <c r="O2784" s="8"/>
      <c r="P2784" s="8"/>
      <c r="Q2784" s="8"/>
      <c r="R2784" s="8"/>
      <c r="S2784" s="8"/>
      <c r="T2784" s="8"/>
      <c r="U2784" s="8"/>
    </row>
    <row r="2785" spans="10:21">
      <c r="J2785" s="8"/>
      <c r="K2785" s="8"/>
      <c r="L2785" s="8"/>
      <c r="M2785" s="8"/>
      <c r="N2785" s="8"/>
      <c r="O2785" s="8"/>
      <c r="P2785" s="8"/>
      <c r="Q2785" s="8"/>
      <c r="R2785" s="8"/>
      <c r="S2785" s="8"/>
      <c r="T2785" s="8"/>
      <c r="U2785" s="8"/>
    </row>
    <row r="2786" spans="10:21">
      <c r="J2786" s="8"/>
      <c r="K2786" s="8"/>
      <c r="L2786" s="8"/>
      <c r="M2786" s="8"/>
      <c r="N2786" s="8"/>
      <c r="O2786" s="8"/>
      <c r="P2786" s="8"/>
      <c r="Q2786" s="8"/>
      <c r="R2786" s="8"/>
      <c r="S2786" s="8"/>
      <c r="T2786" s="8"/>
      <c r="U2786" s="8"/>
    </row>
    <row r="2787" spans="10:21">
      <c r="J2787" s="8"/>
      <c r="K2787" s="8"/>
      <c r="L2787" s="8"/>
      <c r="M2787" s="8"/>
      <c r="N2787" s="8"/>
      <c r="O2787" s="8"/>
      <c r="P2787" s="8"/>
      <c r="Q2787" s="8"/>
      <c r="R2787" s="8"/>
      <c r="S2787" s="8"/>
      <c r="T2787" s="8"/>
      <c r="U2787" s="8"/>
    </row>
    <row r="2788" spans="10:21">
      <c r="J2788" s="8"/>
      <c r="K2788" s="8"/>
      <c r="L2788" s="8"/>
      <c r="M2788" s="8"/>
      <c r="N2788" s="8"/>
      <c r="O2788" s="8"/>
      <c r="P2788" s="8"/>
      <c r="Q2788" s="8"/>
      <c r="R2788" s="8"/>
      <c r="S2788" s="8"/>
      <c r="T2788" s="8"/>
      <c r="U2788" s="8"/>
    </row>
    <row r="2789" spans="10:21">
      <c r="J2789" s="8"/>
      <c r="K2789" s="8"/>
      <c r="L2789" s="8"/>
      <c r="M2789" s="8"/>
      <c r="N2789" s="8"/>
      <c r="O2789" s="8"/>
      <c r="P2789" s="8"/>
      <c r="Q2789" s="8"/>
      <c r="R2789" s="8"/>
      <c r="S2789" s="8"/>
      <c r="T2789" s="8"/>
      <c r="U2789" s="8"/>
    </row>
    <row r="2790" spans="10:21">
      <c r="J2790" s="8"/>
      <c r="K2790" s="8"/>
      <c r="L2790" s="8"/>
      <c r="M2790" s="8"/>
      <c r="N2790" s="8"/>
      <c r="O2790" s="8"/>
      <c r="P2790" s="8"/>
      <c r="Q2790" s="8"/>
      <c r="R2790" s="8"/>
      <c r="S2790" s="8"/>
      <c r="T2790" s="8"/>
      <c r="U2790" s="8"/>
    </row>
    <row r="2791" spans="10:21">
      <c r="J2791" s="8"/>
      <c r="K2791" s="8"/>
      <c r="L2791" s="8"/>
      <c r="M2791" s="8"/>
      <c r="N2791" s="8"/>
      <c r="O2791" s="8"/>
      <c r="P2791" s="8"/>
      <c r="Q2791" s="8"/>
      <c r="R2791" s="8"/>
      <c r="S2791" s="8"/>
      <c r="T2791" s="8"/>
      <c r="U2791" s="8"/>
    </row>
    <row r="2792" spans="10:21">
      <c r="J2792" s="8"/>
      <c r="K2792" s="8"/>
      <c r="L2792" s="8"/>
      <c r="M2792" s="8"/>
      <c r="N2792" s="8"/>
      <c r="O2792" s="8"/>
      <c r="P2792" s="8"/>
      <c r="Q2792" s="8"/>
      <c r="R2792" s="8"/>
      <c r="S2792" s="8"/>
      <c r="T2792" s="8"/>
      <c r="U2792" s="8"/>
    </row>
    <row r="2793" spans="10:21">
      <c r="J2793" s="8"/>
      <c r="K2793" s="8"/>
      <c r="L2793" s="8"/>
      <c r="M2793" s="8"/>
      <c r="N2793" s="8"/>
      <c r="O2793" s="8"/>
      <c r="P2793" s="8"/>
      <c r="Q2793" s="8"/>
      <c r="R2793" s="8"/>
      <c r="S2793" s="8"/>
      <c r="T2793" s="8"/>
      <c r="U2793" s="8"/>
    </row>
    <row r="2794" spans="10:21">
      <c r="J2794" s="8"/>
      <c r="K2794" s="8"/>
      <c r="L2794" s="8"/>
      <c r="M2794" s="8"/>
      <c r="N2794" s="8"/>
      <c r="O2794" s="8"/>
      <c r="P2794" s="8"/>
      <c r="Q2794" s="8"/>
      <c r="R2794" s="8"/>
      <c r="S2794" s="8"/>
      <c r="T2794" s="8"/>
      <c r="U2794" s="8"/>
    </row>
    <row r="2795" spans="10:21">
      <c r="J2795" s="8"/>
      <c r="K2795" s="8"/>
      <c r="L2795" s="8"/>
      <c r="M2795" s="8"/>
      <c r="N2795" s="8"/>
      <c r="O2795" s="8"/>
      <c r="P2795" s="8"/>
      <c r="Q2795" s="8"/>
      <c r="R2795" s="8"/>
      <c r="S2795" s="8"/>
      <c r="T2795" s="8"/>
      <c r="U2795" s="8"/>
    </row>
    <row r="2796" spans="10:21">
      <c r="J2796" s="8"/>
      <c r="K2796" s="8"/>
      <c r="L2796" s="8"/>
      <c r="M2796" s="8"/>
      <c r="N2796" s="8"/>
      <c r="O2796" s="8"/>
      <c r="P2796" s="8"/>
      <c r="Q2796" s="8"/>
      <c r="R2796" s="8"/>
      <c r="S2796" s="8"/>
      <c r="T2796" s="8"/>
      <c r="U2796" s="8"/>
    </row>
    <row r="2797" spans="10:21">
      <c r="J2797" s="8"/>
      <c r="K2797" s="8"/>
      <c r="L2797" s="8"/>
      <c r="M2797" s="8"/>
      <c r="N2797" s="8"/>
      <c r="O2797" s="8"/>
      <c r="P2797" s="8"/>
      <c r="Q2797" s="8"/>
      <c r="R2797" s="8"/>
      <c r="S2797" s="8"/>
      <c r="T2797" s="8"/>
      <c r="U2797" s="8"/>
    </row>
    <row r="2798" spans="10:21">
      <c r="J2798" s="8"/>
      <c r="K2798" s="8"/>
      <c r="L2798" s="8"/>
      <c r="M2798" s="8"/>
      <c r="N2798" s="8"/>
      <c r="O2798" s="8"/>
      <c r="P2798" s="8"/>
      <c r="Q2798" s="8"/>
      <c r="R2798" s="8"/>
      <c r="S2798" s="8"/>
      <c r="T2798" s="8"/>
      <c r="U2798" s="8"/>
    </row>
    <row r="2799" spans="10:21">
      <c r="J2799" s="8"/>
      <c r="K2799" s="8"/>
      <c r="L2799" s="8"/>
      <c r="M2799" s="8"/>
      <c r="N2799" s="8"/>
      <c r="O2799" s="8"/>
      <c r="P2799" s="8"/>
      <c r="Q2799" s="8"/>
      <c r="R2799" s="8"/>
      <c r="S2799" s="8"/>
      <c r="T2799" s="8"/>
      <c r="U2799" s="8"/>
    </row>
    <row r="2800" spans="10:21">
      <c r="J2800" s="8"/>
      <c r="K2800" s="8"/>
      <c r="L2800" s="8"/>
      <c r="M2800" s="8"/>
      <c r="N2800" s="8"/>
      <c r="O2800" s="8"/>
      <c r="P2800" s="8"/>
      <c r="Q2800" s="8"/>
      <c r="R2800" s="8"/>
      <c r="S2800" s="8"/>
      <c r="T2800" s="8"/>
      <c r="U2800" s="8"/>
    </row>
    <row r="2801" spans="10:21">
      <c r="J2801" s="8"/>
      <c r="K2801" s="8"/>
      <c r="L2801" s="8"/>
      <c r="M2801" s="8"/>
      <c r="N2801" s="8"/>
      <c r="O2801" s="8"/>
      <c r="P2801" s="8"/>
      <c r="Q2801" s="8"/>
      <c r="R2801" s="8"/>
      <c r="S2801" s="8"/>
      <c r="T2801" s="8"/>
      <c r="U2801" s="8"/>
    </row>
    <row r="2802" spans="10:21">
      <c r="J2802" s="8"/>
      <c r="K2802" s="8"/>
      <c r="L2802" s="8"/>
      <c r="M2802" s="8"/>
      <c r="N2802" s="8"/>
      <c r="O2802" s="8"/>
      <c r="P2802" s="8"/>
      <c r="Q2802" s="8"/>
      <c r="R2802" s="8"/>
      <c r="S2802" s="8"/>
      <c r="T2802" s="8"/>
      <c r="U2802" s="8"/>
    </row>
    <row r="2803" spans="10:21">
      <c r="J2803" s="8"/>
      <c r="K2803" s="8"/>
      <c r="L2803" s="8"/>
      <c r="M2803" s="8"/>
      <c r="N2803" s="8"/>
      <c r="O2803" s="8"/>
      <c r="P2803" s="8"/>
      <c r="Q2803" s="8"/>
      <c r="R2803" s="8"/>
      <c r="S2803" s="8"/>
      <c r="T2803" s="8"/>
      <c r="U2803" s="8"/>
    </row>
    <row r="2804" spans="10:21">
      <c r="J2804" s="8"/>
      <c r="K2804" s="8"/>
      <c r="L2804" s="8"/>
      <c r="M2804" s="8"/>
      <c r="N2804" s="8"/>
      <c r="O2804" s="8"/>
      <c r="P2804" s="8"/>
      <c r="Q2804" s="8"/>
      <c r="R2804" s="8"/>
      <c r="S2804" s="8"/>
      <c r="T2804" s="8"/>
      <c r="U2804" s="8"/>
    </row>
    <row r="2805" spans="10:21">
      <c r="J2805" s="8"/>
      <c r="K2805" s="8"/>
      <c r="L2805" s="8"/>
      <c r="M2805" s="8"/>
      <c r="N2805" s="8"/>
      <c r="O2805" s="8"/>
      <c r="P2805" s="8"/>
      <c r="Q2805" s="8"/>
      <c r="R2805" s="8"/>
      <c r="S2805" s="8"/>
      <c r="T2805" s="8"/>
      <c r="U2805" s="8"/>
    </row>
    <row r="2806" spans="10:21">
      <c r="J2806" s="8"/>
      <c r="K2806" s="8"/>
      <c r="L2806" s="8"/>
      <c r="M2806" s="8"/>
      <c r="N2806" s="8"/>
      <c r="O2806" s="8"/>
      <c r="P2806" s="8"/>
      <c r="Q2806" s="8"/>
      <c r="R2806" s="8"/>
      <c r="S2806" s="8"/>
      <c r="T2806" s="8"/>
      <c r="U2806" s="8"/>
    </row>
    <row r="2807" spans="10:21">
      <c r="J2807" s="8"/>
      <c r="K2807" s="8"/>
      <c r="L2807" s="8"/>
      <c r="M2807" s="8"/>
      <c r="N2807" s="8"/>
      <c r="O2807" s="8"/>
      <c r="P2807" s="8"/>
      <c r="Q2807" s="8"/>
      <c r="R2807" s="8"/>
      <c r="S2807" s="8"/>
      <c r="T2807" s="8"/>
      <c r="U2807" s="8"/>
    </row>
    <row r="2808" spans="10:21">
      <c r="J2808" s="8"/>
      <c r="K2808" s="8"/>
      <c r="L2808" s="8"/>
      <c r="M2808" s="8"/>
      <c r="N2808" s="8"/>
      <c r="O2808" s="8"/>
      <c r="P2808" s="8"/>
      <c r="Q2808" s="8"/>
      <c r="R2808" s="8"/>
      <c r="S2808" s="8"/>
      <c r="T2808" s="8"/>
      <c r="U2808" s="8"/>
    </row>
    <row r="2809" spans="10:21">
      <c r="J2809" s="8"/>
      <c r="K2809" s="8"/>
      <c r="L2809" s="8"/>
      <c r="M2809" s="8"/>
      <c r="N2809" s="8"/>
      <c r="O2809" s="8"/>
      <c r="P2809" s="8"/>
      <c r="Q2809" s="8"/>
      <c r="R2809" s="8"/>
      <c r="S2809" s="8"/>
      <c r="T2809" s="8"/>
      <c r="U2809" s="8"/>
    </row>
    <row r="2810" spans="10:21">
      <c r="J2810" s="8"/>
      <c r="K2810" s="8"/>
      <c r="L2810" s="8"/>
      <c r="M2810" s="8"/>
      <c r="N2810" s="8"/>
      <c r="O2810" s="8"/>
      <c r="P2810" s="8"/>
      <c r="Q2810" s="8"/>
      <c r="R2810" s="8"/>
      <c r="S2810" s="8"/>
      <c r="T2810" s="8"/>
      <c r="U2810" s="8"/>
    </row>
    <row r="2811" spans="10:21">
      <c r="J2811" s="8"/>
      <c r="K2811" s="8"/>
      <c r="L2811" s="8"/>
      <c r="M2811" s="8"/>
      <c r="N2811" s="8"/>
      <c r="O2811" s="8"/>
      <c r="P2811" s="8"/>
      <c r="Q2811" s="8"/>
      <c r="R2811" s="8"/>
      <c r="S2811" s="8"/>
      <c r="T2811" s="8"/>
      <c r="U2811" s="8"/>
    </row>
    <row r="2812" spans="10:21">
      <c r="J2812" s="8"/>
      <c r="K2812" s="8"/>
      <c r="L2812" s="8"/>
      <c r="M2812" s="8"/>
      <c r="N2812" s="8"/>
      <c r="O2812" s="8"/>
      <c r="P2812" s="8"/>
      <c r="Q2812" s="8"/>
      <c r="R2812" s="8"/>
      <c r="S2812" s="8"/>
      <c r="T2812" s="8"/>
      <c r="U2812" s="8"/>
    </row>
    <row r="2813" spans="10:21">
      <c r="J2813" s="8"/>
      <c r="K2813" s="8"/>
      <c r="L2813" s="8"/>
      <c r="M2813" s="8"/>
      <c r="N2813" s="8"/>
      <c r="O2813" s="8"/>
      <c r="P2813" s="8"/>
      <c r="Q2813" s="8"/>
      <c r="R2813" s="8"/>
      <c r="S2813" s="8"/>
      <c r="T2813" s="8"/>
      <c r="U2813" s="8"/>
    </row>
    <row r="2814" spans="10:21">
      <c r="J2814" s="8"/>
      <c r="K2814" s="8"/>
      <c r="L2814" s="8"/>
      <c r="M2814" s="8"/>
      <c r="N2814" s="8"/>
      <c r="O2814" s="8"/>
      <c r="P2814" s="8"/>
      <c r="Q2814" s="8"/>
      <c r="R2814" s="8"/>
      <c r="S2814" s="8"/>
      <c r="T2814" s="8"/>
      <c r="U2814" s="8"/>
    </row>
    <row r="2815" spans="10:21">
      <c r="J2815" s="8"/>
      <c r="K2815" s="8"/>
      <c r="L2815" s="8"/>
      <c r="M2815" s="8"/>
      <c r="N2815" s="8"/>
      <c r="O2815" s="8"/>
      <c r="P2815" s="8"/>
      <c r="Q2815" s="8"/>
      <c r="R2815" s="8"/>
      <c r="S2815" s="8"/>
      <c r="T2815" s="8"/>
      <c r="U2815" s="8"/>
    </row>
    <row r="2816" spans="10:21">
      <c r="J2816" s="8"/>
      <c r="K2816" s="8"/>
      <c r="L2816" s="8"/>
      <c r="M2816" s="8"/>
      <c r="N2816" s="8"/>
      <c r="O2816" s="8"/>
      <c r="P2816" s="8"/>
      <c r="Q2816" s="8"/>
      <c r="R2816" s="8"/>
      <c r="S2816" s="8"/>
      <c r="T2816" s="8"/>
      <c r="U2816" s="8"/>
    </row>
    <row r="2817" spans="10:21">
      <c r="J2817" s="8"/>
      <c r="K2817" s="8"/>
      <c r="L2817" s="8"/>
      <c r="M2817" s="8"/>
      <c r="N2817" s="8"/>
      <c r="O2817" s="8"/>
      <c r="P2817" s="8"/>
      <c r="Q2817" s="8"/>
      <c r="R2817" s="8"/>
      <c r="S2817" s="8"/>
      <c r="T2817" s="8"/>
      <c r="U2817" s="8"/>
    </row>
    <row r="2818" spans="10:21">
      <c r="J2818" s="8"/>
      <c r="K2818" s="8"/>
      <c r="L2818" s="8"/>
      <c r="M2818" s="8"/>
      <c r="N2818" s="8"/>
      <c r="O2818" s="8"/>
      <c r="P2818" s="8"/>
      <c r="Q2818" s="8"/>
      <c r="R2818" s="8"/>
      <c r="S2818" s="8"/>
      <c r="T2818" s="8"/>
      <c r="U2818" s="8"/>
    </row>
    <row r="2819" spans="10:21">
      <c r="J2819" s="8"/>
      <c r="K2819" s="8"/>
      <c r="L2819" s="8"/>
      <c r="M2819" s="8"/>
      <c r="N2819" s="8"/>
      <c r="O2819" s="8"/>
      <c r="P2819" s="8"/>
      <c r="Q2819" s="8"/>
      <c r="R2819" s="8"/>
      <c r="S2819" s="8"/>
      <c r="T2819" s="8"/>
      <c r="U2819" s="8"/>
    </row>
    <row r="2820" spans="10:21">
      <c r="J2820" s="8"/>
      <c r="K2820" s="8"/>
      <c r="L2820" s="8"/>
      <c r="M2820" s="8"/>
      <c r="N2820" s="8"/>
      <c r="O2820" s="8"/>
      <c r="P2820" s="8"/>
      <c r="Q2820" s="8"/>
      <c r="R2820" s="8"/>
      <c r="S2820" s="8"/>
      <c r="T2820" s="8"/>
      <c r="U2820" s="8"/>
    </row>
    <row r="2821" spans="10:21">
      <c r="J2821" s="8"/>
      <c r="K2821" s="8"/>
      <c r="L2821" s="8"/>
      <c r="M2821" s="8"/>
      <c r="N2821" s="8"/>
      <c r="O2821" s="8"/>
      <c r="P2821" s="8"/>
      <c r="Q2821" s="8"/>
      <c r="R2821" s="8"/>
      <c r="S2821" s="8"/>
      <c r="T2821" s="8"/>
      <c r="U2821" s="8"/>
    </row>
    <row r="2822" spans="10:21">
      <c r="J2822" s="8"/>
      <c r="K2822" s="8"/>
      <c r="L2822" s="8"/>
      <c r="M2822" s="8"/>
      <c r="N2822" s="8"/>
      <c r="O2822" s="8"/>
      <c r="P2822" s="8"/>
      <c r="Q2822" s="8"/>
      <c r="R2822" s="8"/>
      <c r="S2822" s="8"/>
      <c r="T2822" s="8"/>
      <c r="U2822" s="8"/>
    </row>
    <row r="2823" spans="10:21">
      <c r="J2823" s="8"/>
      <c r="K2823" s="8"/>
      <c r="L2823" s="8"/>
      <c r="M2823" s="8"/>
      <c r="N2823" s="8"/>
      <c r="O2823" s="8"/>
      <c r="P2823" s="8"/>
      <c r="Q2823" s="8"/>
      <c r="R2823" s="8"/>
      <c r="S2823" s="8"/>
      <c r="T2823" s="8"/>
      <c r="U2823" s="8"/>
    </row>
    <row r="2824" spans="10:21">
      <c r="J2824" s="8"/>
      <c r="K2824" s="8"/>
      <c r="L2824" s="8"/>
      <c r="M2824" s="8"/>
      <c r="N2824" s="8"/>
      <c r="O2824" s="8"/>
      <c r="P2824" s="8"/>
      <c r="Q2824" s="8"/>
      <c r="R2824" s="8"/>
      <c r="S2824" s="8"/>
      <c r="T2824" s="8"/>
      <c r="U2824" s="8"/>
    </row>
    <row r="2825" spans="10:21">
      <c r="J2825" s="8"/>
      <c r="K2825" s="8"/>
      <c r="L2825" s="8"/>
      <c r="M2825" s="8"/>
      <c r="N2825" s="8"/>
      <c r="O2825" s="8"/>
      <c r="P2825" s="8"/>
      <c r="Q2825" s="8"/>
      <c r="R2825" s="8"/>
      <c r="S2825" s="8"/>
      <c r="T2825" s="8"/>
      <c r="U2825" s="8"/>
    </row>
    <row r="2826" spans="10:21">
      <c r="J2826" s="8"/>
      <c r="K2826" s="8"/>
      <c r="L2826" s="8"/>
      <c r="M2826" s="8"/>
      <c r="N2826" s="8"/>
      <c r="O2826" s="8"/>
      <c r="P2826" s="8"/>
      <c r="Q2826" s="8"/>
      <c r="R2826" s="8"/>
      <c r="S2826" s="8"/>
      <c r="T2826" s="8"/>
      <c r="U2826" s="8"/>
    </row>
    <row r="2827" spans="10:21">
      <c r="J2827" s="8"/>
      <c r="K2827" s="8"/>
      <c r="L2827" s="8"/>
      <c r="M2827" s="8"/>
      <c r="N2827" s="8"/>
      <c r="O2827" s="8"/>
      <c r="P2827" s="8"/>
      <c r="Q2827" s="8"/>
      <c r="R2827" s="8"/>
      <c r="S2827" s="8"/>
      <c r="T2827" s="8"/>
      <c r="U2827" s="8"/>
    </row>
    <row r="2828" spans="10:21">
      <c r="J2828" s="8"/>
      <c r="K2828" s="8"/>
      <c r="L2828" s="8"/>
      <c r="M2828" s="8"/>
      <c r="N2828" s="8"/>
      <c r="O2828" s="8"/>
      <c r="P2828" s="8"/>
      <c r="Q2828" s="8"/>
      <c r="R2828" s="8"/>
      <c r="S2828" s="8"/>
      <c r="T2828" s="8"/>
      <c r="U2828" s="8"/>
    </row>
    <row r="2829" spans="10:21">
      <c r="J2829" s="8"/>
      <c r="K2829" s="8"/>
      <c r="L2829" s="8"/>
      <c r="M2829" s="8"/>
      <c r="N2829" s="8"/>
      <c r="O2829" s="8"/>
      <c r="P2829" s="8"/>
      <c r="Q2829" s="8"/>
      <c r="R2829" s="8"/>
      <c r="S2829" s="8"/>
      <c r="T2829" s="8"/>
      <c r="U2829" s="8"/>
    </row>
    <row r="2830" spans="10:21">
      <c r="J2830" s="8"/>
      <c r="K2830" s="8"/>
      <c r="L2830" s="8"/>
      <c r="M2830" s="8"/>
      <c r="N2830" s="8"/>
      <c r="O2830" s="8"/>
      <c r="P2830" s="8"/>
      <c r="Q2830" s="8"/>
      <c r="R2830" s="8"/>
      <c r="S2830" s="8"/>
      <c r="T2830" s="8"/>
      <c r="U2830" s="8"/>
    </row>
    <row r="2831" spans="10:21">
      <c r="J2831" s="8"/>
      <c r="K2831" s="8"/>
      <c r="L2831" s="8"/>
      <c r="M2831" s="8"/>
      <c r="N2831" s="8"/>
      <c r="O2831" s="8"/>
      <c r="P2831" s="8"/>
      <c r="Q2831" s="8"/>
      <c r="R2831" s="8"/>
      <c r="S2831" s="8"/>
      <c r="T2831" s="8"/>
      <c r="U2831" s="8"/>
    </row>
    <row r="2832" spans="10:21">
      <c r="J2832" s="8"/>
      <c r="K2832" s="8"/>
      <c r="L2832" s="8"/>
      <c r="M2832" s="8"/>
      <c r="N2832" s="8"/>
      <c r="O2832" s="8"/>
      <c r="P2832" s="8"/>
      <c r="Q2832" s="8"/>
      <c r="R2832" s="8"/>
      <c r="S2832" s="8"/>
      <c r="T2832" s="8"/>
      <c r="U2832" s="8"/>
    </row>
    <row r="2833" spans="10:21">
      <c r="J2833" s="8"/>
      <c r="K2833" s="8"/>
      <c r="L2833" s="8"/>
      <c r="M2833" s="8"/>
      <c r="N2833" s="8"/>
      <c r="O2833" s="8"/>
      <c r="P2833" s="8"/>
      <c r="Q2833" s="8"/>
      <c r="R2833" s="8"/>
      <c r="S2833" s="8"/>
      <c r="T2833" s="8"/>
      <c r="U2833" s="8"/>
    </row>
    <row r="2834" spans="10:21">
      <c r="J2834" s="8"/>
      <c r="K2834" s="8"/>
      <c r="L2834" s="8"/>
      <c r="M2834" s="8"/>
      <c r="N2834" s="8"/>
      <c r="O2834" s="8"/>
      <c r="P2834" s="8"/>
      <c r="Q2834" s="8"/>
      <c r="R2834" s="8"/>
      <c r="S2834" s="8"/>
      <c r="T2834" s="8"/>
      <c r="U2834" s="8"/>
    </row>
    <row r="2835" spans="10:21">
      <c r="J2835" s="8"/>
      <c r="K2835" s="8"/>
      <c r="L2835" s="8"/>
      <c r="M2835" s="8"/>
      <c r="N2835" s="8"/>
      <c r="O2835" s="8"/>
      <c r="P2835" s="8"/>
      <c r="Q2835" s="8"/>
      <c r="R2835" s="8"/>
      <c r="S2835" s="8"/>
      <c r="T2835" s="8"/>
      <c r="U2835" s="8"/>
    </row>
    <row r="2836" spans="10:21">
      <c r="J2836" s="8"/>
      <c r="K2836" s="8"/>
      <c r="L2836" s="8"/>
      <c r="M2836" s="8"/>
      <c r="N2836" s="8"/>
      <c r="O2836" s="8"/>
      <c r="P2836" s="8"/>
      <c r="Q2836" s="8"/>
      <c r="R2836" s="8"/>
      <c r="S2836" s="8"/>
      <c r="T2836" s="8"/>
      <c r="U2836" s="8"/>
    </row>
    <row r="2837" spans="10:21">
      <c r="J2837" s="8"/>
      <c r="K2837" s="8"/>
      <c r="L2837" s="8"/>
      <c r="M2837" s="8"/>
      <c r="N2837" s="8"/>
      <c r="O2837" s="8"/>
      <c r="P2837" s="8"/>
      <c r="Q2837" s="8"/>
      <c r="R2837" s="8"/>
      <c r="S2837" s="8"/>
      <c r="T2837" s="8"/>
      <c r="U2837" s="8"/>
    </row>
    <row r="2838" spans="10:21">
      <c r="J2838" s="8"/>
      <c r="K2838" s="8"/>
      <c r="L2838" s="8"/>
      <c r="M2838" s="8"/>
      <c r="N2838" s="8"/>
      <c r="O2838" s="8"/>
      <c r="P2838" s="8"/>
      <c r="Q2838" s="8"/>
      <c r="R2838" s="8"/>
      <c r="S2838" s="8"/>
      <c r="T2838" s="8"/>
      <c r="U2838" s="8"/>
    </row>
    <row r="2839" spans="10:21">
      <c r="J2839" s="8"/>
      <c r="K2839" s="8"/>
      <c r="L2839" s="8"/>
      <c r="M2839" s="8"/>
      <c r="N2839" s="8"/>
      <c r="O2839" s="8"/>
      <c r="P2839" s="8"/>
      <c r="Q2839" s="8"/>
      <c r="R2839" s="8"/>
      <c r="S2839" s="8"/>
      <c r="T2839" s="8"/>
      <c r="U2839" s="8"/>
    </row>
    <row r="2840" spans="10:21">
      <c r="J2840" s="8"/>
      <c r="K2840" s="8"/>
      <c r="L2840" s="8"/>
      <c r="M2840" s="8"/>
      <c r="N2840" s="8"/>
      <c r="O2840" s="8"/>
      <c r="P2840" s="8"/>
      <c r="Q2840" s="8"/>
      <c r="R2840" s="8"/>
      <c r="S2840" s="8"/>
      <c r="T2840" s="8"/>
      <c r="U2840" s="8"/>
    </row>
    <row r="2841" spans="10:21">
      <c r="J2841" s="8"/>
      <c r="K2841" s="8"/>
      <c r="L2841" s="8"/>
      <c r="M2841" s="8"/>
      <c r="N2841" s="8"/>
      <c r="O2841" s="8"/>
      <c r="P2841" s="8"/>
      <c r="Q2841" s="8"/>
      <c r="R2841" s="8"/>
      <c r="S2841" s="8"/>
      <c r="T2841" s="8"/>
      <c r="U2841" s="8"/>
    </row>
    <row r="2842" spans="10:21">
      <c r="J2842" s="8"/>
      <c r="K2842" s="8"/>
      <c r="L2842" s="8"/>
      <c r="M2842" s="8"/>
      <c r="N2842" s="8"/>
      <c r="O2842" s="8"/>
      <c r="P2842" s="8"/>
      <c r="Q2842" s="8"/>
      <c r="R2842" s="8"/>
      <c r="S2842" s="8"/>
      <c r="T2842" s="8"/>
      <c r="U2842" s="8"/>
    </row>
    <row r="2843" spans="10:21">
      <c r="J2843" s="8"/>
      <c r="K2843" s="8"/>
      <c r="L2843" s="8"/>
      <c r="M2843" s="8"/>
      <c r="N2843" s="8"/>
      <c r="O2843" s="8"/>
      <c r="P2843" s="8"/>
      <c r="Q2843" s="8"/>
      <c r="R2843" s="8"/>
      <c r="S2843" s="8"/>
      <c r="T2843" s="8"/>
      <c r="U2843" s="8"/>
    </row>
    <row r="2844" spans="10:21">
      <c r="J2844" s="8"/>
      <c r="K2844" s="8"/>
      <c r="L2844" s="8"/>
      <c r="M2844" s="8"/>
      <c r="N2844" s="8"/>
      <c r="O2844" s="8"/>
      <c r="P2844" s="8"/>
      <c r="Q2844" s="8"/>
      <c r="R2844" s="8"/>
      <c r="S2844" s="8"/>
      <c r="T2844" s="8"/>
      <c r="U2844" s="8"/>
    </row>
    <row r="2845" spans="10:21">
      <c r="J2845" s="8"/>
      <c r="K2845" s="8"/>
      <c r="L2845" s="8"/>
      <c r="M2845" s="8"/>
      <c r="N2845" s="8"/>
      <c r="O2845" s="8"/>
      <c r="P2845" s="8"/>
      <c r="Q2845" s="8"/>
      <c r="R2845" s="8"/>
      <c r="S2845" s="8"/>
      <c r="T2845" s="8"/>
      <c r="U2845" s="8"/>
    </row>
    <row r="2846" spans="10:21">
      <c r="J2846" s="8"/>
      <c r="K2846" s="8"/>
      <c r="L2846" s="8"/>
      <c r="M2846" s="8"/>
      <c r="N2846" s="8"/>
      <c r="O2846" s="8"/>
      <c r="P2846" s="8"/>
      <c r="Q2846" s="8"/>
      <c r="R2846" s="8"/>
      <c r="S2846" s="8"/>
      <c r="T2846" s="8"/>
      <c r="U2846" s="8"/>
    </row>
    <row r="2847" spans="10:21">
      <c r="J2847" s="8"/>
      <c r="K2847" s="8"/>
      <c r="L2847" s="8"/>
      <c r="M2847" s="8"/>
      <c r="N2847" s="8"/>
      <c r="O2847" s="8"/>
      <c r="P2847" s="8"/>
      <c r="Q2847" s="8"/>
      <c r="R2847" s="8"/>
      <c r="S2847" s="8"/>
      <c r="T2847" s="8"/>
      <c r="U2847" s="8"/>
    </row>
    <row r="2848" spans="10:21">
      <c r="J2848" s="8"/>
      <c r="K2848" s="8"/>
      <c r="L2848" s="8"/>
      <c r="M2848" s="8"/>
      <c r="N2848" s="8"/>
      <c r="O2848" s="8"/>
      <c r="P2848" s="8"/>
      <c r="Q2848" s="8"/>
      <c r="R2848" s="8"/>
      <c r="S2848" s="8"/>
      <c r="T2848" s="8"/>
      <c r="U2848" s="8"/>
    </row>
    <row r="2849" spans="10:21">
      <c r="J2849" s="8"/>
      <c r="K2849" s="8"/>
      <c r="L2849" s="8"/>
      <c r="M2849" s="8"/>
      <c r="N2849" s="8"/>
      <c r="O2849" s="8"/>
      <c r="P2849" s="8"/>
      <c r="Q2849" s="8"/>
      <c r="R2849" s="8"/>
      <c r="S2849" s="8"/>
      <c r="T2849" s="8"/>
      <c r="U2849" s="8"/>
    </row>
    <row r="2850" spans="10:21">
      <c r="J2850" s="8"/>
      <c r="K2850" s="8"/>
      <c r="L2850" s="8"/>
      <c r="M2850" s="8"/>
      <c r="N2850" s="8"/>
      <c r="O2850" s="8"/>
      <c r="P2850" s="8"/>
      <c r="Q2850" s="8"/>
      <c r="R2850" s="8"/>
      <c r="S2850" s="8"/>
      <c r="T2850" s="8"/>
      <c r="U2850" s="8"/>
    </row>
    <row r="2851" spans="10:21">
      <c r="J2851" s="8"/>
      <c r="K2851" s="8"/>
      <c r="L2851" s="8"/>
      <c r="M2851" s="8"/>
      <c r="N2851" s="8"/>
      <c r="O2851" s="8"/>
      <c r="P2851" s="8"/>
      <c r="Q2851" s="8"/>
      <c r="R2851" s="8"/>
      <c r="S2851" s="8"/>
      <c r="T2851" s="8"/>
      <c r="U2851" s="8"/>
    </row>
    <row r="2852" spans="10:21">
      <c r="J2852" s="8"/>
      <c r="K2852" s="8"/>
      <c r="L2852" s="8"/>
      <c r="M2852" s="8"/>
      <c r="N2852" s="8"/>
      <c r="O2852" s="8"/>
      <c r="P2852" s="8"/>
      <c r="Q2852" s="8"/>
      <c r="R2852" s="8"/>
      <c r="S2852" s="8"/>
      <c r="T2852" s="8"/>
      <c r="U2852" s="8"/>
    </row>
    <row r="2853" spans="10:21">
      <c r="J2853" s="8"/>
      <c r="K2853" s="8"/>
      <c r="L2853" s="8"/>
      <c r="M2853" s="8"/>
      <c r="N2853" s="8"/>
      <c r="O2853" s="8"/>
      <c r="P2853" s="8"/>
      <c r="Q2853" s="8"/>
      <c r="R2853" s="8"/>
      <c r="S2853" s="8"/>
      <c r="T2853" s="8"/>
      <c r="U2853" s="8"/>
    </row>
    <row r="2854" spans="10:21">
      <c r="J2854" s="8"/>
      <c r="K2854" s="8"/>
      <c r="L2854" s="8"/>
      <c r="M2854" s="8"/>
      <c r="N2854" s="8"/>
      <c r="O2854" s="8"/>
      <c r="P2854" s="8"/>
      <c r="Q2854" s="8"/>
      <c r="R2854" s="8"/>
      <c r="S2854" s="8"/>
      <c r="T2854" s="8"/>
      <c r="U2854" s="8"/>
    </row>
    <row r="2855" spans="10:21">
      <c r="J2855" s="8"/>
      <c r="K2855" s="8"/>
      <c r="L2855" s="8"/>
      <c r="M2855" s="8"/>
      <c r="N2855" s="8"/>
      <c r="O2855" s="8"/>
      <c r="P2855" s="8"/>
      <c r="Q2855" s="8"/>
      <c r="R2855" s="8"/>
      <c r="S2855" s="8"/>
      <c r="T2855" s="8"/>
      <c r="U2855" s="8"/>
    </row>
    <row r="2856" spans="10:21">
      <c r="J2856" s="8"/>
      <c r="K2856" s="8"/>
      <c r="L2856" s="8"/>
      <c r="M2856" s="8"/>
      <c r="N2856" s="8"/>
      <c r="O2856" s="8"/>
      <c r="P2856" s="8"/>
      <c r="Q2856" s="8"/>
      <c r="R2856" s="8"/>
      <c r="S2856" s="8"/>
      <c r="T2856" s="8"/>
      <c r="U2856" s="8"/>
    </row>
    <row r="2857" spans="10:21">
      <c r="J2857" s="8"/>
      <c r="K2857" s="8"/>
      <c r="L2857" s="8"/>
      <c r="M2857" s="8"/>
      <c r="N2857" s="8"/>
      <c r="O2857" s="8"/>
      <c r="P2857" s="8"/>
      <c r="Q2857" s="8"/>
      <c r="R2857" s="8"/>
      <c r="S2857" s="8"/>
      <c r="T2857" s="8"/>
      <c r="U2857" s="8"/>
    </row>
    <row r="2858" spans="10:21">
      <c r="J2858" s="8"/>
      <c r="K2858" s="8"/>
      <c r="L2858" s="8"/>
      <c r="M2858" s="8"/>
      <c r="N2858" s="8"/>
      <c r="O2858" s="8"/>
      <c r="P2858" s="8"/>
      <c r="Q2858" s="8"/>
      <c r="R2858" s="8"/>
      <c r="S2858" s="8"/>
      <c r="T2858" s="8"/>
      <c r="U2858" s="8"/>
    </row>
    <row r="2859" spans="10:21">
      <c r="J2859" s="8"/>
      <c r="K2859" s="8"/>
      <c r="L2859" s="8"/>
      <c r="M2859" s="8"/>
      <c r="N2859" s="8"/>
      <c r="O2859" s="8"/>
      <c r="P2859" s="8"/>
      <c r="Q2859" s="8"/>
      <c r="R2859" s="8"/>
      <c r="S2859" s="8"/>
      <c r="T2859" s="8"/>
      <c r="U2859" s="8"/>
    </row>
    <row r="2860" spans="10:21">
      <c r="J2860" s="8"/>
      <c r="K2860" s="8"/>
      <c r="L2860" s="8"/>
      <c r="M2860" s="8"/>
      <c r="N2860" s="8"/>
      <c r="O2860" s="8"/>
      <c r="P2860" s="8"/>
      <c r="Q2860" s="8"/>
      <c r="R2860" s="8"/>
      <c r="S2860" s="8"/>
      <c r="T2860" s="8"/>
      <c r="U2860" s="8"/>
    </row>
    <row r="2861" spans="10:21">
      <c r="J2861" s="8"/>
      <c r="K2861" s="8"/>
      <c r="L2861" s="8"/>
      <c r="M2861" s="8"/>
      <c r="N2861" s="8"/>
      <c r="O2861" s="8"/>
      <c r="P2861" s="8"/>
      <c r="Q2861" s="8"/>
      <c r="R2861" s="8"/>
      <c r="S2861" s="8"/>
      <c r="T2861" s="8"/>
      <c r="U2861" s="8"/>
    </row>
    <row r="2862" spans="10:21">
      <c r="J2862" s="8"/>
      <c r="K2862" s="8"/>
      <c r="L2862" s="8"/>
      <c r="M2862" s="8"/>
      <c r="N2862" s="8"/>
      <c r="O2862" s="8"/>
      <c r="P2862" s="8"/>
      <c r="Q2862" s="8"/>
      <c r="R2862" s="8"/>
      <c r="S2862" s="8"/>
      <c r="T2862" s="8"/>
      <c r="U2862" s="8"/>
    </row>
    <row r="2863" spans="10:21">
      <c r="J2863" s="8"/>
      <c r="K2863" s="8"/>
      <c r="L2863" s="8"/>
      <c r="M2863" s="8"/>
      <c r="N2863" s="8"/>
      <c r="O2863" s="8"/>
      <c r="P2863" s="8"/>
      <c r="Q2863" s="8"/>
      <c r="R2863" s="8"/>
      <c r="S2863" s="8"/>
      <c r="T2863" s="8"/>
      <c r="U2863" s="8"/>
    </row>
    <row r="2864" spans="10:21">
      <c r="J2864" s="8"/>
      <c r="K2864" s="8"/>
      <c r="L2864" s="8"/>
      <c r="M2864" s="8"/>
      <c r="N2864" s="8"/>
      <c r="O2864" s="8"/>
      <c r="P2864" s="8"/>
      <c r="Q2864" s="8"/>
      <c r="R2864" s="8"/>
      <c r="S2864" s="8"/>
      <c r="T2864" s="8"/>
      <c r="U2864" s="8"/>
    </row>
    <row r="2865" spans="10:21">
      <c r="J2865" s="8"/>
      <c r="K2865" s="8"/>
      <c r="L2865" s="8"/>
      <c r="M2865" s="8"/>
      <c r="N2865" s="8"/>
      <c r="O2865" s="8"/>
      <c r="P2865" s="8"/>
      <c r="Q2865" s="8"/>
      <c r="R2865" s="8"/>
      <c r="S2865" s="8"/>
      <c r="T2865" s="8"/>
      <c r="U2865" s="8"/>
    </row>
    <row r="2866" spans="10:21">
      <c r="J2866" s="8"/>
      <c r="K2866" s="8"/>
      <c r="L2866" s="8"/>
      <c r="M2866" s="8"/>
      <c r="N2866" s="8"/>
      <c r="O2866" s="8"/>
      <c r="P2866" s="8"/>
      <c r="Q2866" s="8"/>
      <c r="R2866" s="8"/>
      <c r="S2866" s="8"/>
      <c r="T2866" s="8"/>
      <c r="U2866" s="8"/>
    </row>
    <row r="2867" spans="10:21">
      <c r="J2867" s="8"/>
      <c r="K2867" s="8"/>
      <c r="L2867" s="8"/>
      <c r="M2867" s="8"/>
      <c r="N2867" s="8"/>
      <c r="O2867" s="8"/>
      <c r="P2867" s="8"/>
      <c r="Q2867" s="8"/>
      <c r="R2867" s="8"/>
      <c r="S2867" s="8"/>
      <c r="T2867" s="8"/>
      <c r="U2867" s="8"/>
    </row>
    <row r="2868" spans="10:21">
      <c r="J2868" s="8"/>
      <c r="K2868" s="8"/>
      <c r="L2868" s="8"/>
      <c r="M2868" s="8"/>
      <c r="N2868" s="8"/>
      <c r="O2868" s="8"/>
      <c r="P2868" s="8"/>
      <c r="Q2868" s="8"/>
      <c r="R2868" s="8"/>
      <c r="S2868" s="8"/>
      <c r="T2868" s="8"/>
      <c r="U2868" s="8"/>
    </row>
    <row r="2869" spans="10:21">
      <c r="J2869" s="8"/>
      <c r="K2869" s="8"/>
      <c r="L2869" s="8"/>
      <c r="M2869" s="8"/>
      <c r="N2869" s="8"/>
      <c r="O2869" s="8"/>
      <c r="P2869" s="8"/>
      <c r="Q2869" s="8"/>
      <c r="R2869" s="8"/>
      <c r="S2869" s="8"/>
      <c r="T2869" s="8"/>
      <c r="U2869" s="8"/>
    </row>
    <row r="2870" spans="10:21">
      <c r="J2870" s="8"/>
      <c r="K2870" s="8"/>
      <c r="L2870" s="8"/>
      <c r="M2870" s="8"/>
      <c r="N2870" s="8"/>
      <c r="O2870" s="8"/>
      <c r="P2870" s="8"/>
      <c r="Q2870" s="8"/>
      <c r="R2870" s="8"/>
      <c r="S2870" s="8"/>
      <c r="T2870" s="8"/>
      <c r="U2870" s="8"/>
    </row>
    <row r="2871" spans="10:21">
      <c r="J2871" s="8"/>
      <c r="K2871" s="8"/>
      <c r="L2871" s="8"/>
      <c r="M2871" s="8"/>
      <c r="N2871" s="8"/>
      <c r="O2871" s="8"/>
      <c r="P2871" s="8"/>
      <c r="Q2871" s="8"/>
      <c r="R2871" s="8"/>
      <c r="S2871" s="8"/>
      <c r="T2871" s="8"/>
      <c r="U2871" s="8"/>
    </row>
    <row r="2872" spans="10:21">
      <c r="J2872" s="8"/>
      <c r="K2872" s="8"/>
      <c r="L2872" s="8"/>
      <c r="M2872" s="8"/>
      <c r="N2872" s="8"/>
      <c r="O2872" s="8"/>
      <c r="P2872" s="8"/>
      <c r="Q2872" s="8"/>
      <c r="R2872" s="8"/>
      <c r="S2872" s="8"/>
      <c r="T2872" s="8"/>
      <c r="U2872" s="8"/>
    </row>
    <row r="2873" spans="10:21">
      <c r="J2873" s="8"/>
      <c r="K2873" s="8"/>
      <c r="L2873" s="8"/>
      <c r="M2873" s="8"/>
      <c r="N2873" s="8"/>
      <c r="O2873" s="8"/>
      <c r="P2873" s="8"/>
      <c r="Q2873" s="8"/>
      <c r="R2873" s="8"/>
      <c r="S2873" s="8"/>
      <c r="T2873" s="8"/>
      <c r="U2873" s="8"/>
    </row>
    <row r="2874" spans="10:21">
      <c r="J2874" s="8"/>
      <c r="K2874" s="8"/>
      <c r="L2874" s="8"/>
      <c r="M2874" s="8"/>
      <c r="N2874" s="8"/>
      <c r="O2874" s="8"/>
      <c r="P2874" s="8"/>
      <c r="Q2874" s="8"/>
      <c r="R2874" s="8"/>
      <c r="S2874" s="8"/>
      <c r="T2874" s="8"/>
      <c r="U2874" s="8"/>
    </row>
    <row r="2875" spans="10:21">
      <c r="J2875" s="8"/>
      <c r="K2875" s="8"/>
      <c r="L2875" s="8"/>
      <c r="M2875" s="8"/>
      <c r="N2875" s="8"/>
      <c r="O2875" s="8"/>
      <c r="P2875" s="8"/>
      <c r="Q2875" s="8"/>
      <c r="R2875" s="8"/>
      <c r="S2875" s="8"/>
      <c r="T2875" s="8"/>
      <c r="U2875" s="8"/>
    </row>
    <row r="2876" spans="10:21">
      <c r="J2876" s="8"/>
      <c r="K2876" s="8"/>
      <c r="L2876" s="8"/>
      <c r="M2876" s="8"/>
      <c r="N2876" s="8"/>
      <c r="O2876" s="8"/>
      <c r="P2876" s="8"/>
      <c r="Q2876" s="8"/>
      <c r="R2876" s="8"/>
      <c r="S2876" s="8"/>
      <c r="T2876" s="8"/>
      <c r="U2876" s="8"/>
    </row>
    <row r="2877" spans="10:21">
      <c r="J2877" s="8"/>
      <c r="K2877" s="8"/>
      <c r="L2877" s="8"/>
      <c r="M2877" s="8"/>
      <c r="N2877" s="8"/>
      <c r="O2877" s="8"/>
      <c r="P2877" s="8"/>
      <c r="Q2877" s="8"/>
      <c r="R2877" s="8"/>
      <c r="S2877" s="8"/>
      <c r="T2877" s="8"/>
      <c r="U2877" s="8"/>
    </row>
    <row r="2878" spans="10:21">
      <c r="J2878" s="8"/>
      <c r="K2878" s="8"/>
      <c r="L2878" s="8"/>
      <c r="M2878" s="8"/>
      <c r="N2878" s="8"/>
      <c r="O2878" s="8"/>
      <c r="P2878" s="8"/>
      <c r="Q2878" s="8"/>
      <c r="R2878" s="8"/>
      <c r="S2878" s="8"/>
      <c r="T2878" s="8"/>
      <c r="U2878" s="8"/>
    </row>
    <row r="2879" spans="10:21">
      <c r="J2879" s="8"/>
      <c r="K2879" s="8"/>
      <c r="L2879" s="8"/>
      <c r="M2879" s="8"/>
      <c r="N2879" s="8"/>
      <c r="O2879" s="8"/>
      <c r="P2879" s="8"/>
      <c r="Q2879" s="8"/>
      <c r="R2879" s="8"/>
      <c r="S2879" s="8"/>
      <c r="T2879" s="8"/>
      <c r="U2879" s="8"/>
    </row>
    <row r="2880" spans="10:21">
      <c r="J2880" s="8"/>
      <c r="K2880" s="8"/>
      <c r="L2880" s="8"/>
      <c r="M2880" s="8"/>
      <c r="N2880" s="8"/>
      <c r="O2880" s="8"/>
      <c r="P2880" s="8"/>
      <c r="Q2880" s="8"/>
      <c r="R2880" s="8"/>
      <c r="S2880" s="8"/>
      <c r="T2880" s="8"/>
      <c r="U2880" s="8"/>
    </row>
    <row r="2881" spans="10:21">
      <c r="J2881" s="8"/>
      <c r="K2881" s="8"/>
      <c r="L2881" s="8"/>
      <c r="M2881" s="8"/>
      <c r="N2881" s="8"/>
      <c r="O2881" s="8"/>
      <c r="P2881" s="8"/>
      <c r="Q2881" s="8"/>
      <c r="R2881" s="8"/>
      <c r="S2881" s="8"/>
      <c r="T2881" s="8"/>
      <c r="U2881" s="8"/>
    </row>
    <row r="2882" spans="10:21">
      <c r="J2882" s="8"/>
      <c r="K2882" s="8"/>
      <c r="L2882" s="8"/>
      <c r="M2882" s="8"/>
      <c r="N2882" s="8"/>
      <c r="O2882" s="8"/>
      <c r="P2882" s="8"/>
      <c r="Q2882" s="8"/>
      <c r="R2882" s="8"/>
      <c r="S2882" s="8"/>
      <c r="T2882" s="8"/>
      <c r="U2882" s="8"/>
    </row>
    <row r="2883" spans="10:21">
      <c r="J2883" s="8"/>
      <c r="K2883" s="8"/>
      <c r="L2883" s="8"/>
      <c r="M2883" s="8"/>
      <c r="N2883" s="8"/>
      <c r="O2883" s="8"/>
      <c r="P2883" s="8"/>
      <c r="Q2883" s="8"/>
      <c r="R2883" s="8"/>
      <c r="S2883" s="8"/>
      <c r="T2883" s="8"/>
      <c r="U2883" s="8"/>
    </row>
    <row r="2884" spans="10:21">
      <c r="J2884" s="8"/>
      <c r="K2884" s="8"/>
      <c r="L2884" s="8"/>
      <c r="M2884" s="8"/>
      <c r="N2884" s="8"/>
      <c r="O2884" s="8"/>
      <c r="P2884" s="8"/>
      <c r="Q2884" s="8"/>
      <c r="R2884" s="8"/>
      <c r="S2884" s="8"/>
      <c r="T2884" s="8"/>
      <c r="U2884" s="8"/>
    </row>
    <row r="2885" spans="10:21">
      <c r="J2885" s="8"/>
      <c r="K2885" s="8"/>
      <c r="L2885" s="8"/>
      <c r="M2885" s="8"/>
      <c r="N2885" s="8"/>
      <c r="O2885" s="8"/>
      <c r="P2885" s="8"/>
      <c r="Q2885" s="8"/>
      <c r="R2885" s="8"/>
      <c r="S2885" s="8"/>
      <c r="T2885" s="8"/>
      <c r="U2885" s="8"/>
    </row>
    <row r="2886" spans="10:21">
      <c r="J2886" s="8"/>
      <c r="K2886" s="8"/>
      <c r="L2886" s="8"/>
      <c r="M2886" s="8"/>
      <c r="N2886" s="8"/>
      <c r="O2886" s="8"/>
      <c r="P2886" s="8"/>
      <c r="Q2886" s="8"/>
      <c r="R2886" s="8"/>
      <c r="S2886" s="8"/>
      <c r="T2886" s="8"/>
      <c r="U2886" s="8"/>
    </row>
    <row r="2887" spans="10:21">
      <c r="J2887" s="8"/>
      <c r="K2887" s="8"/>
      <c r="L2887" s="8"/>
      <c r="M2887" s="8"/>
      <c r="N2887" s="8"/>
      <c r="O2887" s="8"/>
      <c r="P2887" s="8"/>
      <c r="Q2887" s="8"/>
      <c r="R2887" s="8"/>
      <c r="S2887" s="8"/>
      <c r="T2887" s="8"/>
      <c r="U2887" s="8"/>
    </row>
    <row r="2888" spans="10:21">
      <c r="J2888" s="8"/>
      <c r="K2888" s="8"/>
      <c r="L2888" s="8"/>
      <c r="M2888" s="8"/>
      <c r="N2888" s="8"/>
      <c r="O2888" s="8"/>
      <c r="P2888" s="8"/>
      <c r="Q2888" s="8"/>
      <c r="R2888" s="8"/>
      <c r="S2888" s="8"/>
      <c r="T2888" s="8"/>
      <c r="U2888" s="8"/>
    </row>
    <row r="2889" spans="10:21">
      <c r="J2889" s="8"/>
      <c r="K2889" s="8"/>
      <c r="L2889" s="8"/>
      <c r="M2889" s="8"/>
      <c r="N2889" s="8"/>
      <c r="O2889" s="8"/>
      <c r="P2889" s="8"/>
      <c r="Q2889" s="8"/>
      <c r="R2889" s="8"/>
      <c r="S2889" s="8"/>
      <c r="T2889" s="8"/>
      <c r="U2889" s="8"/>
    </row>
    <row r="2890" spans="10:21">
      <c r="J2890" s="8"/>
      <c r="K2890" s="8"/>
      <c r="L2890" s="8"/>
      <c r="M2890" s="8"/>
      <c r="N2890" s="8"/>
      <c r="O2890" s="8"/>
      <c r="P2890" s="8"/>
      <c r="Q2890" s="8"/>
      <c r="R2890" s="8"/>
      <c r="S2890" s="8"/>
      <c r="T2890" s="8"/>
      <c r="U2890" s="8"/>
    </row>
    <row r="2891" spans="10:21">
      <c r="J2891" s="8"/>
      <c r="K2891" s="8"/>
      <c r="L2891" s="8"/>
      <c r="M2891" s="8"/>
      <c r="N2891" s="8"/>
      <c r="O2891" s="8"/>
      <c r="P2891" s="8"/>
      <c r="Q2891" s="8"/>
      <c r="R2891" s="8"/>
      <c r="S2891" s="8"/>
      <c r="T2891" s="8"/>
      <c r="U2891" s="8"/>
    </row>
    <row r="2892" spans="10:21">
      <c r="J2892" s="8"/>
      <c r="K2892" s="8"/>
      <c r="L2892" s="8"/>
      <c r="M2892" s="8"/>
      <c r="N2892" s="8"/>
      <c r="O2892" s="8"/>
      <c r="P2892" s="8"/>
      <c r="Q2892" s="8"/>
      <c r="R2892" s="8"/>
      <c r="S2892" s="8"/>
      <c r="T2892" s="8"/>
      <c r="U2892" s="8"/>
    </row>
    <row r="2893" spans="10:21">
      <c r="J2893" s="8"/>
      <c r="K2893" s="8"/>
      <c r="L2893" s="8"/>
      <c r="M2893" s="8"/>
      <c r="N2893" s="8"/>
      <c r="O2893" s="8"/>
      <c r="P2893" s="8"/>
      <c r="Q2893" s="8"/>
      <c r="R2893" s="8"/>
      <c r="S2893" s="8"/>
      <c r="T2893" s="8"/>
      <c r="U2893" s="8"/>
    </row>
    <row r="2894" spans="10:21">
      <c r="J2894" s="8"/>
      <c r="K2894" s="8"/>
      <c r="L2894" s="8"/>
      <c r="M2894" s="8"/>
      <c r="N2894" s="8"/>
      <c r="O2894" s="8"/>
      <c r="P2894" s="8"/>
      <c r="Q2894" s="8"/>
      <c r="R2894" s="8"/>
      <c r="S2894" s="8"/>
      <c r="T2894" s="8"/>
      <c r="U2894" s="8"/>
    </row>
    <row r="2895" spans="10:21">
      <c r="J2895" s="8"/>
      <c r="K2895" s="8"/>
      <c r="L2895" s="8"/>
      <c r="M2895" s="8"/>
      <c r="N2895" s="8"/>
      <c r="O2895" s="8"/>
      <c r="P2895" s="8"/>
      <c r="Q2895" s="8"/>
      <c r="R2895" s="8"/>
      <c r="S2895" s="8"/>
      <c r="T2895" s="8"/>
      <c r="U2895" s="8"/>
    </row>
    <row r="2896" spans="10:21">
      <c r="J2896" s="8"/>
      <c r="K2896" s="8"/>
      <c r="L2896" s="8"/>
      <c r="M2896" s="8"/>
      <c r="N2896" s="8"/>
      <c r="O2896" s="8"/>
      <c r="P2896" s="8"/>
      <c r="Q2896" s="8"/>
      <c r="R2896" s="8"/>
      <c r="S2896" s="8"/>
      <c r="T2896" s="8"/>
      <c r="U2896" s="8"/>
    </row>
    <row r="2897" spans="10:21">
      <c r="J2897" s="8"/>
      <c r="K2897" s="8"/>
      <c r="L2897" s="8"/>
      <c r="M2897" s="8"/>
      <c r="N2897" s="8"/>
      <c r="O2897" s="8"/>
      <c r="P2897" s="8"/>
      <c r="Q2897" s="8"/>
      <c r="R2897" s="8"/>
      <c r="S2897" s="8"/>
      <c r="T2897" s="8"/>
      <c r="U2897" s="8"/>
    </row>
    <row r="2898" spans="10:21">
      <c r="J2898" s="8"/>
      <c r="K2898" s="8"/>
      <c r="L2898" s="8"/>
      <c r="M2898" s="8"/>
      <c r="N2898" s="8"/>
      <c r="O2898" s="8"/>
      <c r="P2898" s="8"/>
      <c r="Q2898" s="8"/>
      <c r="R2898" s="8"/>
      <c r="S2898" s="8"/>
      <c r="T2898" s="8"/>
      <c r="U2898" s="8"/>
    </row>
    <row r="2899" spans="10:21">
      <c r="J2899" s="8"/>
      <c r="K2899" s="8"/>
      <c r="L2899" s="8"/>
      <c r="M2899" s="8"/>
      <c r="N2899" s="8"/>
      <c r="O2899" s="8"/>
      <c r="P2899" s="8"/>
      <c r="Q2899" s="8"/>
      <c r="R2899" s="8"/>
      <c r="S2899" s="8"/>
      <c r="T2899" s="8"/>
      <c r="U2899" s="8"/>
    </row>
    <row r="2900" spans="10:21">
      <c r="J2900" s="8"/>
      <c r="K2900" s="8"/>
      <c r="L2900" s="8"/>
      <c r="M2900" s="8"/>
      <c r="N2900" s="8"/>
      <c r="O2900" s="8"/>
      <c r="P2900" s="8"/>
      <c r="Q2900" s="8"/>
      <c r="R2900" s="8"/>
      <c r="S2900" s="8"/>
      <c r="T2900" s="8"/>
      <c r="U2900" s="8"/>
    </row>
    <row r="2901" spans="10:21">
      <c r="J2901" s="8"/>
      <c r="K2901" s="8"/>
      <c r="L2901" s="8"/>
      <c r="M2901" s="8"/>
      <c r="N2901" s="8"/>
      <c r="O2901" s="8"/>
      <c r="P2901" s="8"/>
      <c r="Q2901" s="8"/>
      <c r="R2901" s="8"/>
      <c r="S2901" s="8"/>
      <c r="T2901" s="8"/>
      <c r="U2901" s="8"/>
    </row>
    <row r="2902" spans="10:21">
      <c r="J2902" s="8"/>
      <c r="K2902" s="8"/>
      <c r="L2902" s="8"/>
      <c r="M2902" s="8"/>
      <c r="N2902" s="8"/>
      <c r="O2902" s="8"/>
      <c r="P2902" s="8"/>
      <c r="Q2902" s="8"/>
      <c r="R2902" s="8"/>
      <c r="S2902" s="8"/>
      <c r="T2902" s="8"/>
      <c r="U2902" s="8"/>
    </row>
    <row r="2903" spans="10:21">
      <c r="J2903" s="8"/>
      <c r="K2903" s="8"/>
      <c r="L2903" s="8"/>
      <c r="M2903" s="8"/>
      <c r="N2903" s="8"/>
      <c r="O2903" s="8"/>
      <c r="P2903" s="8"/>
      <c r="Q2903" s="8"/>
      <c r="R2903" s="8"/>
      <c r="S2903" s="8"/>
      <c r="T2903" s="8"/>
      <c r="U2903" s="8"/>
    </row>
    <row r="2904" spans="10:21">
      <c r="J2904" s="8"/>
      <c r="K2904" s="8"/>
      <c r="L2904" s="8"/>
      <c r="M2904" s="8"/>
      <c r="N2904" s="8"/>
      <c r="O2904" s="8"/>
      <c r="P2904" s="8"/>
      <c r="Q2904" s="8"/>
      <c r="R2904" s="8"/>
      <c r="S2904" s="8"/>
      <c r="T2904" s="8"/>
      <c r="U2904" s="8"/>
    </row>
    <row r="2905" spans="10:21">
      <c r="J2905" s="8"/>
      <c r="K2905" s="8"/>
      <c r="L2905" s="8"/>
      <c r="M2905" s="8"/>
      <c r="N2905" s="8"/>
      <c r="O2905" s="8"/>
      <c r="P2905" s="8"/>
      <c r="Q2905" s="8"/>
      <c r="R2905" s="8"/>
      <c r="S2905" s="8"/>
      <c r="T2905" s="8"/>
      <c r="U2905" s="8"/>
    </row>
    <row r="2906" spans="10:21">
      <c r="J2906" s="8"/>
      <c r="K2906" s="8"/>
      <c r="L2906" s="8"/>
      <c r="M2906" s="8"/>
      <c r="N2906" s="8"/>
      <c r="O2906" s="8"/>
      <c r="P2906" s="8"/>
      <c r="Q2906" s="8"/>
      <c r="R2906" s="8"/>
      <c r="S2906" s="8"/>
      <c r="T2906" s="8"/>
      <c r="U2906" s="8"/>
    </row>
    <row r="2907" spans="10:21">
      <c r="J2907" s="8"/>
      <c r="K2907" s="8"/>
      <c r="L2907" s="8"/>
      <c r="M2907" s="8"/>
      <c r="N2907" s="8"/>
      <c r="O2907" s="8"/>
      <c r="P2907" s="8"/>
      <c r="Q2907" s="8"/>
      <c r="R2907" s="8"/>
      <c r="S2907" s="8"/>
      <c r="T2907" s="8"/>
      <c r="U2907" s="8"/>
    </row>
    <row r="2908" spans="10:21">
      <c r="J2908" s="8"/>
      <c r="K2908" s="8"/>
      <c r="L2908" s="8"/>
      <c r="M2908" s="8"/>
      <c r="N2908" s="8"/>
      <c r="O2908" s="8"/>
      <c r="P2908" s="8"/>
      <c r="Q2908" s="8"/>
      <c r="R2908" s="8"/>
      <c r="S2908" s="8"/>
      <c r="T2908" s="8"/>
      <c r="U2908" s="8"/>
    </row>
    <row r="2909" spans="10:21">
      <c r="J2909" s="8"/>
      <c r="K2909" s="8"/>
      <c r="L2909" s="8"/>
      <c r="M2909" s="8"/>
      <c r="N2909" s="8"/>
      <c r="O2909" s="8"/>
      <c r="P2909" s="8"/>
      <c r="Q2909" s="8"/>
      <c r="R2909" s="8"/>
      <c r="S2909" s="8"/>
      <c r="T2909" s="8"/>
      <c r="U2909" s="8"/>
    </row>
    <row r="2910" spans="10:21">
      <c r="J2910" s="8"/>
      <c r="K2910" s="8"/>
      <c r="L2910" s="8"/>
      <c r="M2910" s="8"/>
      <c r="N2910" s="8"/>
      <c r="O2910" s="8"/>
      <c r="P2910" s="8"/>
      <c r="Q2910" s="8"/>
      <c r="R2910" s="8"/>
      <c r="S2910" s="8"/>
      <c r="T2910" s="8"/>
      <c r="U2910" s="8"/>
    </row>
    <row r="2911" spans="10:21">
      <c r="J2911" s="8"/>
      <c r="K2911" s="8"/>
      <c r="L2911" s="8"/>
      <c r="M2911" s="8"/>
      <c r="N2911" s="8"/>
      <c r="O2911" s="8"/>
      <c r="P2911" s="8"/>
      <c r="Q2911" s="8"/>
      <c r="R2911" s="8"/>
      <c r="S2911" s="8"/>
      <c r="T2911" s="8"/>
      <c r="U2911" s="8"/>
    </row>
    <row r="2912" spans="10:21">
      <c r="J2912" s="8"/>
      <c r="K2912" s="8"/>
      <c r="L2912" s="8"/>
      <c r="M2912" s="8"/>
      <c r="N2912" s="8"/>
      <c r="O2912" s="8"/>
      <c r="P2912" s="8"/>
      <c r="Q2912" s="8"/>
      <c r="R2912" s="8"/>
      <c r="S2912" s="8"/>
      <c r="T2912" s="8"/>
      <c r="U2912" s="8"/>
    </row>
    <row r="2913" spans="10:21">
      <c r="J2913" s="8"/>
      <c r="K2913" s="8"/>
      <c r="L2913" s="8"/>
      <c r="M2913" s="8"/>
      <c r="N2913" s="8"/>
      <c r="O2913" s="8"/>
      <c r="P2913" s="8"/>
      <c r="Q2913" s="8"/>
      <c r="R2913" s="8"/>
      <c r="S2913" s="8"/>
      <c r="T2913" s="8"/>
      <c r="U2913" s="8"/>
    </row>
    <row r="2914" spans="10:21">
      <c r="J2914" s="8"/>
      <c r="K2914" s="8"/>
      <c r="L2914" s="8"/>
      <c r="M2914" s="8"/>
      <c r="N2914" s="8"/>
      <c r="O2914" s="8"/>
      <c r="P2914" s="8"/>
      <c r="Q2914" s="8"/>
      <c r="R2914" s="8"/>
      <c r="S2914" s="8"/>
      <c r="T2914" s="8"/>
      <c r="U2914" s="8"/>
    </row>
    <row r="2915" spans="10:21">
      <c r="J2915" s="8"/>
      <c r="K2915" s="8"/>
      <c r="L2915" s="8"/>
      <c r="M2915" s="8"/>
      <c r="N2915" s="8"/>
      <c r="O2915" s="8"/>
      <c r="P2915" s="8"/>
      <c r="Q2915" s="8"/>
      <c r="R2915" s="8"/>
      <c r="S2915" s="8"/>
      <c r="T2915" s="8"/>
      <c r="U2915" s="8"/>
    </row>
    <row r="2916" spans="10:21">
      <c r="J2916" s="8"/>
      <c r="K2916" s="8"/>
      <c r="L2916" s="8"/>
      <c r="M2916" s="8"/>
      <c r="N2916" s="8"/>
      <c r="O2916" s="8"/>
      <c r="P2916" s="8"/>
      <c r="Q2916" s="8"/>
      <c r="R2916" s="8"/>
      <c r="S2916" s="8"/>
      <c r="T2916" s="8"/>
      <c r="U2916" s="8"/>
    </row>
    <row r="2917" spans="10:21">
      <c r="J2917" s="8"/>
      <c r="K2917" s="8"/>
      <c r="L2917" s="8"/>
      <c r="M2917" s="8"/>
      <c r="N2917" s="8"/>
      <c r="O2917" s="8"/>
      <c r="P2917" s="8"/>
      <c r="Q2917" s="8"/>
      <c r="R2917" s="8"/>
      <c r="S2917" s="8"/>
      <c r="T2917" s="8"/>
      <c r="U2917" s="8"/>
    </row>
    <row r="2918" spans="10:21">
      <c r="J2918" s="8"/>
      <c r="K2918" s="8"/>
      <c r="L2918" s="8"/>
      <c r="M2918" s="8"/>
      <c r="N2918" s="8"/>
      <c r="O2918" s="8"/>
      <c r="P2918" s="8"/>
      <c r="Q2918" s="8"/>
      <c r="R2918" s="8"/>
      <c r="S2918" s="8"/>
      <c r="T2918" s="8"/>
      <c r="U2918" s="8"/>
    </row>
    <row r="2919" spans="10:21">
      <c r="J2919" s="8"/>
      <c r="K2919" s="8"/>
      <c r="L2919" s="8"/>
      <c r="M2919" s="8"/>
      <c r="N2919" s="8"/>
      <c r="O2919" s="8"/>
      <c r="P2919" s="8"/>
      <c r="Q2919" s="8"/>
      <c r="R2919" s="8"/>
      <c r="S2919" s="8"/>
      <c r="T2919" s="8"/>
      <c r="U2919" s="8"/>
    </row>
    <row r="2920" spans="10:21">
      <c r="J2920" s="8"/>
      <c r="K2920" s="8"/>
      <c r="L2920" s="8"/>
      <c r="M2920" s="8"/>
      <c r="N2920" s="8"/>
      <c r="O2920" s="8"/>
      <c r="P2920" s="8"/>
      <c r="Q2920" s="8"/>
      <c r="R2920" s="8"/>
      <c r="S2920" s="8"/>
      <c r="T2920" s="8"/>
      <c r="U2920" s="8"/>
    </row>
    <row r="2921" spans="10:21">
      <c r="J2921" s="8"/>
      <c r="K2921" s="8"/>
      <c r="L2921" s="8"/>
      <c r="M2921" s="8"/>
      <c r="N2921" s="8"/>
      <c r="O2921" s="8"/>
      <c r="P2921" s="8"/>
      <c r="Q2921" s="8"/>
      <c r="R2921" s="8"/>
      <c r="S2921" s="8"/>
      <c r="T2921" s="8"/>
      <c r="U2921" s="8"/>
    </row>
    <row r="2922" spans="10:21">
      <c r="J2922" s="8"/>
      <c r="K2922" s="8"/>
      <c r="L2922" s="8"/>
      <c r="M2922" s="8"/>
      <c r="N2922" s="8"/>
      <c r="O2922" s="8"/>
      <c r="P2922" s="8"/>
      <c r="Q2922" s="8"/>
      <c r="R2922" s="8"/>
      <c r="S2922" s="8"/>
      <c r="T2922" s="8"/>
      <c r="U2922" s="8"/>
    </row>
    <row r="2923" spans="10:21">
      <c r="J2923" s="8"/>
      <c r="K2923" s="8"/>
      <c r="L2923" s="8"/>
      <c r="M2923" s="8"/>
      <c r="N2923" s="8"/>
      <c r="O2923" s="8"/>
      <c r="P2923" s="8"/>
      <c r="Q2923" s="8"/>
      <c r="R2923" s="8"/>
      <c r="S2923" s="8"/>
      <c r="T2923" s="8"/>
      <c r="U2923" s="8"/>
    </row>
    <row r="2924" spans="10:21">
      <c r="J2924" s="8"/>
      <c r="K2924" s="8"/>
      <c r="L2924" s="8"/>
      <c r="M2924" s="8"/>
      <c r="N2924" s="8"/>
      <c r="O2924" s="8"/>
      <c r="P2924" s="8"/>
      <c r="Q2924" s="8"/>
      <c r="R2924" s="8"/>
      <c r="S2924" s="8"/>
      <c r="T2924" s="8"/>
      <c r="U2924" s="8"/>
    </row>
    <row r="2925" spans="10:21">
      <c r="J2925" s="8"/>
      <c r="K2925" s="8"/>
      <c r="L2925" s="8"/>
      <c r="M2925" s="8"/>
      <c r="N2925" s="8"/>
      <c r="O2925" s="8"/>
      <c r="P2925" s="8"/>
      <c r="Q2925" s="8"/>
      <c r="R2925" s="8"/>
      <c r="S2925" s="8"/>
      <c r="T2925" s="8"/>
      <c r="U2925" s="8"/>
    </row>
    <row r="2926" spans="10:21">
      <c r="J2926" s="8"/>
      <c r="K2926" s="8"/>
      <c r="L2926" s="8"/>
      <c r="M2926" s="8"/>
      <c r="N2926" s="8"/>
      <c r="O2926" s="8"/>
      <c r="P2926" s="8"/>
      <c r="Q2926" s="8"/>
      <c r="R2926" s="8"/>
      <c r="S2926" s="8"/>
      <c r="T2926" s="8"/>
      <c r="U2926" s="8"/>
    </row>
    <row r="2927" spans="10:21">
      <c r="J2927" s="8"/>
      <c r="K2927" s="8"/>
      <c r="L2927" s="8"/>
      <c r="M2927" s="8"/>
      <c r="N2927" s="8"/>
      <c r="O2927" s="8"/>
      <c r="P2927" s="8"/>
      <c r="Q2927" s="8"/>
      <c r="R2927" s="8"/>
      <c r="S2927" s="8"/>
      <c r="T2927" s="8"/>
      <c r="U2927" s="8"/>
    </row>
    <row r="2928" spans="10:21">
      <c r="J2928" s="8"/>
      <c r="K2928" s="8"/>
      <c r="L2928" s="8"/>
      <c r="M2928" s="8"/>
      <c r="N2928" s="8"/>
      <c r="O2928" s="8"/>
      <c r="P2928" s="8"/>
      <c r="Q2928" s="8"/>
      <c r="R2928" s="8"/>
      <c r="S2928" s="8"/>
      <c r="T2928" s="8"/>
      <c r="U2928" s="8"/>
    </row>
    <row r="2929" spans="10:21">
      <c r="J2929" s="8"/>
      <c r="K2929" s="8"/>
      <c r="L2929" s="8"/>
      <c r="M2929" s="8"/>
      <c r="N2929" s="8"/>
      <c r="O2929" s="8"/>
      <c r="P2929" s="8"/>
      <c r="Q2929" s="8"/>
      <c r="R2929" s="8"/>
      <c r="S2929" s="8"/>
      <c r="T2929" s="8"/>
      <c r="U2929" s="8"/>
    </row>
    <row r="2930" spans="10:21">
      <c r="J2930" s="8"/>
      <c r="K2930" s="8"/>
      <c r="L2930" s="8"/>
      <c r="M2930" s="8"/>
      <c r="N2930" s="8"/>
      <c r="O2930" s="8"/>
      <c r="P2930" s="8"/>
      <c r="Q2930" s="8"/>
      <c r="R2930" s="8"/>
      <c r="S2930" s="8"/>
      <c r="T2930" s="8"/>
      <c r="U2930" s="8"/>
    </row>
    <row r="2931" spans="10:21">
      <c r="J2931" s="8"/>
      <c r="K2931" s="8"/>
      <c r="L2931" s="8"/>
      <c r="M2931" s="8"/>
      <c r="N2931" s="8"/>
      <c r="O2931" s="8"/>
      <c r="P2931" s="8"/>
      <c r="Q2931" s="8"/>
      <c r="R2931" s="8"/>
      <c r="S2931" s="8"/>
      <c r="T2931" s="8"/>
      <c r="U2931" s="8"/>
    </row>
    <row r="2932" spans="10:21">
      <c r="J2932" s="8"/>
      <c r="K2932" s="8"/>
      <c r="L2932" s="8"/>
      <c r="M2932" s="8"/>
      <c r="N2932" s="8"/>
      <c r="O2932" s="8"/>
      <c r="P2932" s="8"/>
      <c r="Q2932" s="8"/>
      <c r="R2932" s="8"/>
      <c r="S2932" s="8"/>
      <c r="T2932" s="8"/>
      <c r="U2932" s="8"/>
    </row>
    <row r="2933" spans="10:21">
      <c r="J2933" s="8"/>
      <c r="K2933" s="8"/>
      <c r="L2933" s="8"/>
      <c r="M2933" s="8"/>
      <c r="N2933" s="8"/>
      <c r="O2933" s="8"/>
      <c r="P2933" s="8"/>
      <c r="Q2933" s="8"/>
      <c r="R2933" s="8"/>
      <c r="S2933" s="8"/>
      <c r="T2933" s="8"/>
      <c r="U2933" s="8"/>
    </row>
    <row r="2934" spans="10:21">
      <c r="J2934" s="8"/>
      <c r="K2934" s="8"/>
      <c r="L2934" s="8"/>
      <c r="M2934" s="8"/>
      <c r="N2934" s="8"/>
      <c r="O2934" s="8"/>
      <c r="P2934" s="8"/>
      <c r="Q2934" s="8"/>
      <c r="R2934" s="8"/>
      <c r="S2934" s="8"/>
      <c r="T2934" s="8"/>
      <c r="U2934" s="8"/>
    </row>
    <row r="2935" spans="10:21">
      <c r="J2935" s="8"/>
      <c r="K2935" s="8"/>
      <c r="L2935" s="8"/>
      <c r="M2935" s="8"/>
      <c r="N2935" s="8"/>
      <c r="O2935" s="8"/>
      <c r="P2935" s="8"/>
      <c r="Q2935" s="8"/>
      <c r="R2935" s="8"/>
      <c r="S2935" s="8"/>
      <c r="T2935" s="8"/>
      <c r="U2935" s="8"/>
    </row>
    <row r="2936" spans="10:21">
      <c r="J2936" s="8"/>
      <c r="K2936" s="8"/>
      <c r="L2936" s="8"/>
      <c r="M2936" s="8"/>
      <c r="N2936" s="8"/>
      <c r="O2936" s="8"/>
      <c r="P2936" s="8"/>
      <c r="Q2936" s="8"/>
      <c r="R2936" s="8"/>
      <c r="S2936" s="8"/>
      <c r="T2936" s="8"/>
      <c r="U2936" s="8"/>
    </row>
    <row r="2937" spans="10:21">
      <c r="J2937" s="8"/>
      <c r="K2937" s="8"/>
      <c r="L2937" s="8"/>
      <c r="M2937" s="8"/>
      <c r="N2937" s="8"/>
      <c r="O2937" s="8"/>
      <c r="P2937" s="8"/>
      <c r="Q2937" s="8"/>
      <c r="R2937" s="8"/>
      <c r="S2937" s="8"/>
      <c r="T2937" s="8"/>
      <c r="U2937" s="8"/>
    </row>
    <row r="2938" spans="10:21">
      <c r="J2938" s="8"/>
      <c r="K2938" s="8"/>
      <c r="L2938" s="8"/>
      <c r="M2938" s="8"/>
      <c r="N2938" s="8"/>
      <c r="O2938" s="8"/>
      <c r="P2938" s="8"/>
      <c r="Q2938" s="8"/>
      <c r="R2938" s="8"/>
      <c r="S2938" s="8"/>
      <c r="T2938" s="8"/>
      <c r="U2938" s="8"/>
    </row>
    <row r="2939" spans="10:21">
      <c r="J2939" s="8"/>
      <c r="K2939" s="8"/>
      <c r="L2939" s="8"/>
      <c r="M2939" s="8"/>
      <c r="N2939" s="8"/>
      <c r="O2939" s="8"/>
      <c r="P2939" s="8"/>
      <c r="Q2939" s="8"/>
      <c r="R2939" s="8"/>
      <c r="S2939" s="8"/>
      <c r="T2939" s="8"/>
      <c r="U2939" s="8"/>
    </row>
    <row r="2940" spans="10:21">
      <c r="J2940" s="8"/>
      <c r="K2940" s="8"/>
      <c r="L2940" s="8"/>
      <c r="M2940" s="8"/>
      <c r="N2940" s="8"/>
      <c r="O2940" s="8"/>
      <c r="P2940" s="8"/>
      <c r="Q2940" s="8"/>
      <c r="R2940" s="8"/>
      <c r="S2940" s="8"/>
      <c r="T2940" s="8"/>
      <c r="U2940" s="8"/>
    </row>
    <row r="2941" spans="10:21">
      <c r="J2941" s="8"/>
      <c r="K2941" s="8"/>
      <c r="L2941" s="8"/>
      <c r="M2941" s="8"/>
      <c r="N2941" s="8"/>
      <c r="O2941" s="8"/>
      <c r="P2941" s="8"/>
      <c r="Q2941" s="8"/>
      <c r="R2941" s="8"/>
      <c r="S2941" s="8"/>
      <c r="T2941" s="8"/>
      <c r="U2941" s="8"/>
    </row>
    <row r="2942" spans="10:21">
      <c r="J2942" s="8"/>
      <c r="K2942" s="8"/>
      <c r="L2942" s="8"/>
      <c r="M2942" s="8"/>
      <c r="N2942" s="8"/>
      <c r="O2942" s="8"/>
      <c r="P2942" s="8"/>
      <c r="Q2942" s="8"/>
      <c r="R2942" s="8"/>
      <c r="S2942" s="8"/>
      <c r="T2942" s="8"/>
      <c r="U2942" s="8"/>
    </row>
    <row r="2943" spans="10:21">
      <c r="J2943" s="8"/>
      <c r="K2943" s="8"/>
      <c r="L2943" s="8"/>
      <c r="M2943" s="8"/>
      <c r="N2943" s="8"/>
      <c r="O2943" s="8"/>
      <c r="P2943" s="8"/>
      <c r="Q2943" s="8"/>
      <c r="R2943" s="8"/>
      <c r="S2943" s="8"/>
      <c r="T2943" s="8"/>
      <c r="U2943" s="8"/>
    </row>
    <row r="2944" spans="10:21">
      <c r="J2944" s="8"/>
      <c r="K2944" s="8"/>
      <c r="L2944" s="8"/>
      <c r="M2944" s="8"/>
      <c r="N2944" s="8"/>
      <c r="O2944" s="8"/>
      <c r="P2944" s="8"/>
      <c r="Q2944" s="8"/>
      <c r="R2944" s="8"/>
      <c r="S2944" s="8"/>
      <c r="T2944" s="8"/>
      <c r="U2944" s="8"/>
    </row>
    <row r="2945" spans="10:21">
      <c r="J2945" s="8"/>
      <c r="K2945" s="8"/>
      <c r="L2945" s="8"/>
      <c r="M2945" s="8"/>
      <c r="N2945" s="8"/>
      <c r="O2945" s="8"/>
      <c r="P2945" s="8"/>
      <c r="Q2945" s="8"/>
      <c r="R2945" s="8"/>
      <c r="S2945" s="8"/>
      <c r="T2945" s="8"/>
      <c r="U2945" s="8"/>
    </row>
    <row r="2946" spans="10:21">
      <c r="J2946" s="8"/>
      <c r="K2946" s="8"/>
      <c r="L2946" s="8"/>
      <c r="M2946" s="8"/>
      <c r="N2946" s="8"/>
      <c r="O2946" s="8"/>
      <c r="P2946" s="8"/>
      <c r="Q2946" s="8"/>
      <c r="R2946" s="8"/>
      <c r="S2946" s="8"/>
      <c r="T2946" s="8"/>
      <c r="U2946" s="8"/>
    </row>
    <row r="2947" spans="10:21">
      <c r="J2947" s="8"/>
      <c r="K2947" s="8"/>
      <c r="L2947" s="8"/>
      <c r="M2947" s="8"/>
      <c r="N2947" s="8"/>
      <c r="O2947" s="8"/>
      <c r="P2947" s="8"/>
      <c r="Q2947" s="8"/>
      <c r="R2947" s="8"/>
      <c r="S2947" s="8"/>
      <c r="T2947" s="8"/>
      <c r="U2947" s="8"/>
    </row>
    <row r="2948" spans="10:21">
      <c r="J2948" s="8"/>
      <c r="K2948" s="8"/>
      <c r="L2948" s="8"/>
      <c r="M2948" s="8"/>
      <c r="N2948" s="8"/>
      <c r="O2948" s="8"/>
      <c r="P2948" s="8"/>
      <c r="Q2948" s="8"/>
      <c r="R2948" s="8"/>
      <c r="S2948" s="8"/>
      <c r="T2948" s="8"/>
      <c r="U2948" s="8"/>
    </row>
    <row r="2949" spans="10:21">
      <c r="J2949" s="8"/>
      <c r="K2949" s="8"/>
      <c r="L2949" s="8"/>
      <c r="M2949" s="8"/>
      <c r="N2949" s="8"/>
      <c r="O2949" s="8"/>
      <c r="P2949" s="8"/>
      <c r="Q2949" s="8"/>
      <c r="R2949" s="8"/>
      <c r="S2949" s="8"/>
      <c r="T2949" s="8"/>
      <c r="U2949" s="8"/>
    </row>
    <row r="2950" spans="10:21">
      <c r="J2950" s="8"/>
      <c r="K2950" s="8"/>
      <c r="L2950" s="8"/>
      <c r="M2950" s="8"/>
      <c r="N2950" s="8"/>
      <c r="O2950" s="8"/>
      <c r="P2950" s="8"/>
      <c r="Q2950" s="8"/>
      <c r="R2950" s="8"/>
      <c r="S2950" s="8"/>
      <c r="T2950" s="8"/>
      <c r="U2950" s="8"/>
    </row>
    <row r="2951" spans="10:21">
      <c r="J2951" s="8"/>
      <c r="K2951" s="8"/>
      <c r="L2951" s="8"/>
      <c r="M2951" s="8"/>
      <c r="N2951" s="8"/>
      <c r="O2951" s="8"/>
      <c r="P2951" s="8"/>
      <c r="Q2951" s="8"/>
      <c r="R2951" s="8"/>
      <c r="S2951" s="8"/>
      <c r="T2951" s="8"/>
      <c r="U2951" s="8"/>
    </row>
    <row r="2952" spans="10:21">
      <c r="J2952" s="8"/>
      <c r="K2952" s="8"/>
      <c r="L2952" s="8"/>
      <c r="M2952" s="8"/>
      <c r="N2952" s="8"/>
      <c r="O2952" s="8"/>
      <c r="P2952" s="8"/>
      <c r="Q2952" s="8"/>
      <c r="R2952" s="8"/>
      <c r="S2952" s="8"/>
      <c r="T2952" s="8"/>
      <c r="U2952" s="8"/>
    </row>
    <row r="2953" spans="10:21">
      <c r="J2953" s="8"/>
      <c r="K2953" s="8"/>
      <c r="L2953" s="8"/>
      <c r="M2953" s="8"/>
      <c r="N2953" s="8"/>
      <c r="O2953" s="8"/>
      <c r="P2953" s="8"/>
      <c r="Q2953" s="8"/>
      <c r="R2953" s="8"/>
      <c r="S2953" s="8"/>
      <c r="T2953" s="8"/>
      <c r="U2953" s="8"/>
    </row>
    <row r="2954" spans="10:21">
      <c r="J2954" s="8"/>
      <c r="K2954" s="8"/>
      <c r="L2954" s="8"/>
      <c r="M2954" s="8"/>
      <c r="N2954" s="8"/>
      <c r="O2954" s="8"/>
      <c r="P2954" s="8"/>
      <c r="Q2954" s="8"/>
      <c r="R2954" s="8"/>
      <c r="S2954" s="8"/>
      <c r="T2954" s="8"/>
      <c r="U2954" s="8"/>
    </row>
    <row r="2955" spans="10:21">
      <c r="J2955" s="8"/>
      <c r="K2955" s="8"/>
      <c r="L2955" s="8"/>
      <c r="M2955" s="8"/>
      <c r="N2955" s="8"/>
      <c r="O2955" s="8"/>
      <c r="P2955" s="8"/>
      <c r="Q2955" s="8"/>
      <c r="R2955" s="8"/>
      <c r="S2955" s="8"/>
      <c r="T2955" s="8"/>
      <c r="U2955" s="8"/>
    </row>
    <row r="2956" spans="10:21">
      <c r="J2956" s="8"/>
      <c r="K2956" s="8"/>
      <c r="L2956" s="8"/>
      <c r="M2956" s="8"/>
      <c r="N2956" s="8"/>
      <c r="O2956" s="8"/>
      <c r="P2956" s="8"/>
      <c r="Q2956" s="8"/>
      <c r="R2956" s="8"/>
      <c r="S2956" s="8"/>
      <c r="T2956" s="8"/>
      <c r="U2956" s="8"/>
    </row>
    <row r="2957" spans="10:21">
      <c r="J2957" s="8"/>
      <c r="K2957" s="8"/>
      <c r="L2957" s="8"/>
      <c r="M2957" s="8"/>
      <c r="N2957" s="8"/>
      <c r="O2957" s="8"/>
      <c r="P2957" s="8"/>
      <c r="Q2957" s="8"/>
      <c r="R2957" s="8"/>
      <c r="S2957" s="8"/>
      <c r="T2957" s="8"/>
      <c r="U2957" s="8"/>
    </row>
    <row r="2958" spans="10:21">
      <c r="J2958" s="8"/>
      <c r="K2958" s="8"/>
      <c r="L2958" s="8"/>
      <c r="M2958" s="8"/>
      <c r="N2958" s="8"/>
      <c r="O2958" s="8"/>
      <c r="P2958" s="8"/>
      <c r="Q2958" s="8"/>
      <c r="R2958" s="8"/>
      <c r="S2958" s="8"/>
      <c r="T2958" s="8"/>
      <c r="U2958" s="8"/>
    </row>
    <row r="2959" spans="10:21">
      <c r="J2959" s="8"/>
      <c r="K2959" s="8"/>
      <c r="L2959" s="8"/>
      <c r="M2959" s="8"/>
      <c r="N2959" s="8"/>
      <c r="O2959" s="8"/>
      <c r="P2959" s="8"/>
      <c r="Q2959" s="8"/>
      <c r="R2959" s="8"/>
      <c r="S2959" s="8"/>
      <c r="T2959" s="8"/>
      <c r="U2959" s="8"/>
    </row>
    <row r="2960" spans="10:21">
      <c r="J2960" s="8"/>
      <c r="K2960" s="8"/>
      <c r="L2960" s="8"/>
      <c r="M2960" s="8"/>
      <c r="N2960" s="8"/>
      <c r="O2960" s="8"/>
      <c r="P2960" s="8"/>
      <c r="Q2960" s="8"/>
      <c r="R2960" s="8"/>
      <c r="S2960" s="8"/>
      <c r="T2960" s="8"/>
      <c r="U2960" s="8"/>
    </row>
    <row r="2961" spans="10:21">
      <c r="J2961" s="8"/>
      <c r="K2961" s="8"/>
      <c r="L2961" s="8"/>
      <c r="M2961" s="8"/>
      <c r="N2961" s="8"/>
      <c r="O2961" s="8"/>
      <c r="P2961" s="8"/>
      <c r="Q2961" s="8"/>
      <c r="R2961" s="8"/>
      <c r="S2961" s="8"/>
      <c r="T2961" s="8"/>
      <c r="U2961" s="8"/>
    </row>
    <row r="2962" spans="10:21">
      <c r="J2962" s="8"/>
      <c r="K2962" s="8"/>
      <c r="L2962" s="8"/>
      <c r="M2962" s="8"/>
      <c r="N2962" s="8"/>
      <c r="O2962" s="8"/>
      <c r="P2962" s="8"/>
      <c r="Q2962" s="8"/>
      <c r="R2962" s="8"/>
      <c r="S2962" s="8"/>
      <c r="T2962" s="8"/>
      <c r="U2962" s="8"/>
    </row>
    <row r="2963" spans="10:21">
      <c r="J2963" s="8"/>
      <c r="K2963" s="8"/>
      <c r="L2963" s="8"/>
      <c r="M2963" s="8"/>
      <c r="N2963" s="8"/>
      <c r="O2963" s="8"/>
      <c r="P2963" s="8"/>
      <c r="Q2963" s="8"/>
      <c r="R2963" s="8"/>
      <c r="S2963" s="8"/>
      <c r="T2963" s="8"/>
      <c r="U2963" s="8"/>
    </row>
    <row r="2964" spans="10:21">
      <c r="J2964" s="8"/>
      <c r="K2964" s="8"/>
      <c r="L2964" s="8"/>
      <c r="M2964" s="8"/>
      <c r="N2964" s="8"/>
      <c r="O2964" s="8"/>
      <c r="P2964" s="8"/>
      <c r="Q2964" s="8"/>
      <c r="R2964" s="8"/>
      <c r="S2964" s="8"/>
      <c r="T2964" s="8"/>
      <c r="U2964" s="8"/>
    </row>
    <row r="2965" spans="10:21">
      <c r="J2965" s="8"/>
      <c r="K2965" s="8"/>
      <c r="L2965" s="8"/>
      <c r="M2965" s="8"/>
      <c r="N2965" s="8"/>
      <c r="O2965" s="8"/>
      <c r="P2965" s="8"/>
      <c r="Q2965" s="8"/>
      <c r="R2965" s="8"/>
      <c r="S2965" s="8"/>
      <c r="T2965" s="8"/>
      <c r="U2965" s="8"/>
    </row>
    <row r="2966" spans="10:21">
      <c r="J2966" s="8"/>
      <c r="K2966" s="8"/>
      <c r="L2966" s="8"/>
      <c r="M2966" s="8"/>
      <c r="N2966" s="8"/>
      <c r="O2966" s="8"/>
      <c r="P2966" s="8"/>
      <c r="Q2966" s="8"/>
      <c r="R2966" s="8"/>
      <c r="S2966" s="8"/>
      <c r="T2966" s="8"/>
      <c r="U2966" s="8"/>
    </row>
    <row r="2967" spans="10:21">
      <c r="J2967" s="8"/>
      <c r="K2967" s="8"/>
      <c r="L2967" s="8"/>
      <c r="M2967" s="8"/>
      <c r="N2967" s="8"/>
      <c r="O2967" s="8"/>
      <c r="P2967" s="8"/>
      <c r="Q2967" s="8"/>
      <c r="R2967" s="8"/>
      <c r="S2967" s="8"/>
      <c r="T2967" s="8"/>
      <c r="U2967" s="8"/>
    </row>
    <row r="2968" spans="10:21">
      <c r="J2968" s="8"/>
      <c r="K2968" s="8"/>
      <c r="L2968" s="8"/>
      <c r="M2968" s="8"/>
      <c r="N2968" s="8"/>
      <c r="O2968" s="8"/>
      <c r="P2968" s="8"/>
      <c r="Q2968" s="8"/>
      <c r="R2968" s="8"/>
      <c r="S2968" s="8"/>
      <c r="T2968" s="8"/>
      <c r="U2968" s="8"/>
    </row>
    <row r="2969" spans="10:21">
      <c r="J2969" s="8"/>
      <c r="K2969" s="8"/>
      <c r="L2969" s="8"/>
      <c r="M2969" s="8"/>
      <c r="N2969" s="8"/>
      <c r="O2969" s="8"/>
      <c r="P2969" s="8"/>
      <c r="Q2969" s="8"/>
      <c r="R2969" s="8"/>
      <c r="S2969" s="8"/>
      <c r="T2969" s="8"/>
      <c r="U2969" s="8"/>
    </row>
    <row r="2970" spans="10:21">
      <c r="J2970" s="8"/>
      <c r="K2970" s="8"/>
      <c r="L2970" s="8"/>
      <c r="M2970" s="8"/>
      <c r="N2970" s="8"/>
      <c r="O2970" s="8"/>
      <c r="P2970" s="8"/>
      <c r="Q2970" s="8"/>
      <c r="R2970" s="8"/>
      <c r="S2970" s="8"/>
      <c r="T2970" s="8"/>
      <c r="U2970" s="8"/>
    </row>
    <row r="2971" spans="10:21">
      <c r="J2971" s="8"/>
      <c r="K2971" s="8"/>
      <c r="L2971" s="8"/>
      <c r="M2971" s="8"/>
      <c r="N2971" s="8"/>
      <c r="O2971" s="8"/>
      <c r="P2971" s="8"/>
      <c r="Q2971" s="8"/>
      <c r="R2971" s="8"/>
      <c r="S2971" s="8"/>
      <c r="T2971" s="8"/>
      <c r="U2971" s="8"/>
    </row>
    <row r="2972" spans="10:21">
      <c r="J2972" s="8"/>
      <c r="K2972" s="8"/>
      <c r="L2972" s="8"/>
      <c r="M2972" s="8"/>
      <c r="N2972" s="8"/>
      <c r="O2972" s="8"/>
      <c r="P2972" s="8"/>
      <c r="Q2972" s="8"/>
      <c r="R2972" s="8"/>
      <c r="S2972" s="8"/>
      <c r="T2972" s="8"/>
      <c r="U2972" s="8"/>
    </row>
    <row r="2973" spans="10:21">
      <c r="J2973" s="8"/>
      <c r="K2973" s="8"/>
      <c r="L2973" s="8"/>
      <c r="M2973" s="8"/>
      <c r="N2973" s="8"/>
      <c r="O2973" s="8"/>
      <c r="P2973" s="8"/>
      <c r="Q2973" s="8"/>
      <c r="R2973" s="8"/>
      <c r="S2973" s="8"/>
      <c r="T2973" s="8"/>
      <c r="U2973" s="8"/>
    </row>
    <row r="2974" spans="10:21">
      <c r="J2974" s="8"/>
      <c r="K2974" s="8"/>
      <c r="L2974" s="8"/>
      <c r="M2974" s="8"/>
      <c r="N2974" s="8"/>
      <c r="O2974" s="8"/>
      <c r="P2974" s="8"/>
      <c r="Q2974" s="8"/>
      <c r="R2974" s="8"/>
      <c r="S2974" s="8"/>
      <c r="T2974" s="8"/>
      <c r="U2974" s="8"/>
    </row>
    <row r="2975" spans="10:21">
      <c r="J2975" s="8"/>
      <c r="K2975" s="8"/>
      <c r="L2975" s="8"/>
      <c r="M2975" s="8"/>
      <c r="N2975" s="8"/>
      <c r="O2975" s="8"/>
      <c r="P2975" s="8"/>
      <c r="Q2975" s="8"/>
      <c r="R2975" s="8"/>
      <c r="S2975" s="8"/>
      <c r="T2975" s="8"/>
      <c r="U2975" s="8"/>
    </row>
    <row r="2976" spans="10:21">
      <c r="J2976" s="8"/>
      <c r="K2976" s="8"/>
      <c r="L2976" s="8"/>
      <c r="M2976" s="8"/>
      <c r="N2976" s="8"/>
      <c r="O2976" s="8"/>
      <c r="P2976" s="8"/>
      <c r="Q2976" s="8"/>
      <c r="R2976" s="8"/>
      <c r="S2976" s="8"/>
      <c r="T2976" s="8"/>
      <c r="U2976" s="8"/>
    </row>
    <row r="2977" spans="10:21">
      <c r="J2977" s="8"/>
      <c r="K2977" s="8"/>
      <c r="L2977" s="8"/>
      <c r="M2977" s="8"/>
      <c r="N2977" s="8"/>
      <c r="O2977" s="8"/>
      <c r="P2977" s="8"/>
      <c r="Q2977" s="8"/>
      <c r="R2977" s="8"/>
      <c r="S2977" s="8"/>
      <c r="T2977" s="8"/>
      <c r="U2977" s="8"/>
    </row>
    <row r="2978" spans="10:21">
      <c r="J2978" s="8"/>
      <c r="K2978" s="8"/>
      <c r="L2978" s="8"/>
      <c r="M2978" s="8"/>
      <c r="N2978" s="8"/>
      <c r="O2978" s="8"/>
      <c r="P2978" s="8"/>
      <c r="Q2978" s="8"/>
      <c r="R2978" s="8"/>
      <c r="S2978" s="8"/>
      <c r="T2978" s="8"/>
      <c r="U2978" s="8"/>
    </row>
    <row r="2979" spans="10:21">
      <c r="J2979" s="8"/>
      <c r="K2979" s="8"/>
      <c r="L2979" s="8"/>
      <c r="M2979" s="8"/>
      <c r="N2979" s="8"/>
      <c r="O2979" s="8"/>
      <c r="P2979" s="8"/>
      <c r="Q2979" s="8"/>
      <c r="R2979" s="8"/>
      <c r="S2979" s="8"/>
      <c r="T2979" s="8"/>
      <c r="U2979" s="8"/>
    </row>
    <row r="2980" spans="10:21">
      <c r="J2980" s="8"/>
      <c r="K2980" s="8"/>
      <c r="L2980" s="8"/>
      <c r="M2980" s="8"/>
      <c r="N2980" s="8"/>
      <c r="O2980" s="8"/>
      <c r="P2980" s="8"/>
      <c r="Q2980" s="8"/>
      <c r="R2980" s="8"/>
      <c r="S2980" s="8"/>
      <c r="T2980" s="8"/>
      <c r="U2980" s="8"/>
    </row>
    <row r="2981" spans="10:21">
      <c r="J2981" s="8"/>
      <c r="K2981" s="8"/>
      <c r="L2981" s="8"/>
      <c r="M2981" s="8"/>
      <c r="N2981" s="8"/>
      <c r="O2981" s="8"/>
      <c r="P2981" s="8"/>
      <c r="Q2981" s="8"/>
      <c r="R2981" s="8"/>
      <c r="S2981" s="8"/>
      <c r="T2981" s="8"/>
      <c r="U2981" s="8"/>
    </row>
    <row r="2982" spans="10:21">
      <c r="J2982" s="8"/>
      <c r="K2982" s="8"/>
      <c r="L2982" s="8"/>
      <c r="M2982" s="8"/>
      <c r="N2982" s="8"/>
      <c r="O2982" s="8"/>
      <c r="P2982" s="8"/>
      <c r="Q2982" s="8"/>
      <c r="R2982" s="8"/>
      <c r="S2982" s="8"/>
      <c r="T2982" s="8"/>
      <c r="U2982" s="8"/>
    </row>
    <row r="2983" spans="10:21">
      <c r="J2983" s="8"/>
      <c r="K2983" s="8"/>
      <c r="L2983" s="8"/>
      <c r="M2983" s="8"/>
      <c r="N2983" s="8"/>
      <c r="O2983" s="8"/>
      <c r="P2983" s="8"/>
      <c r="Q2983" s="8"/>
      <c r="R2983" s="8"/>
      <c r="S2983" s="8"/>
      <c r="T2983" s="8"/>
      <c r="U2983" s="8"/>
    </row>
    <row r="2984" spans="10:21">
      <c r="J2984" s="8"/>
      <c r="K2984" s="8"/>
      <c r="L2984" s="8"/>
      <c r="M2984" s="8"/>
      <c r="N2984" s="8"/>
      <c r="O2984" s="8"/>
      <c r="P2984" s="8"/>
      <c r="Q2984" s="8"/>
      <c r="R2984" s="8"/>
      <c r="S2984" s="8"/>
      <c r="T2984" s="8"/>
      <c r="U2984" s="8"/>
    </row>
    <row r="2985" spans="10:21">
      <c r="J2985" s="8"/>
      <c r="K2985" s="8"/>
      <c r="L2985" s="8"/>
      <c r="M2985" s="8"/>
      <c r="N2985" s="8"/>
      <c r="O2985" s="8"/>
      <c r="P2985" s="8"/>
      <c r="Q2985" s="8"/>
      <c r="R2985" s="8"/>
      <c r="S2985" s="8"/>
      <c r="T2985" s="8"/>
      <c r="U2985" s="8"/>
    </row>
    <row r="2986" spans="10:21">
      <c r="J2986" s="8"/>
      <c r="K2986" s="8"/>
      <c r="L2986" s="8"/>
      <c r="M2986" s="8"/>
      <c r="N2986" s="8"/>
      <c r="O2986" s="8"/>
      <c r="P2986" s="8"/>
      <c r="Q2986" s="8"/>
      <c r="R2986" s="8"/>
      <c r="S2986" s="8"/>
      <c r="T2986" s="8"/>
      <c r="U2986" s="8"/>
    </row>
    <row r="2987" spans="10:21">
      <c r="J2987" s="8"/>
      <c r="K2987" s="8"/>
      <c r="L2987" s="8"/>
      <c r="M2987" s="8"/>
      <c r="N2987" s="8"/>
      <c r="O2987" s="8"/>
      <c r="P2987" s="8"/>
      <c r="Q2987" s="8"/>
      <c r="R2987" s="8"/>
      <c r="S2987" s="8"/>
      <c r="T2987" s="8"/>
      <c r="U2987" s="8"/>
    </row>
    <row r="2988" spans="10:21">
      <c r="J2988" s="8"/>
      <c r="K2988" s="8"/>
      <c r="L2988" s="8"/>
      <c r="M2988" s="8"/>
      <c r="N2988" s="8"/>
      <c r="O2988" s="8"/>
      <c r="P2988" s="8"/>
      <c r="Q2988" s="8"/>
      <c r="R2988" s="8"/>
      <c r="S2988" s="8"/>
      <c r="T2988" s="8"/>
      <c r="U2988" s="8"/>
    </row>
    <row r="2989" spans="10:21">
      <c r="J2989" s="8"/>
      <c r="K2989" s="8"/>
      <c r="L2989" s="8"/>
      <c r="M2989" s="8"/>
      <c r="N2989" s="8"/>
      <c r="O2989" s="8"/>
      <c r="P2989" s="8"/>
      <c r="Q2989" s="8"/>
      <c r="R2989" s="8"/>
      <c r="S2989" s="8"/>
      <c r="T2989" s="8"/>
      <c r="U2989" s="8"/>
    </row>
    <row r="2990" spans="10:21">
      <c r="J2990" s="8"/>
      <c r="K2990" s="8"/>
      <c r="L2990" s="8"/>
      <c r="M2990" s="8"/>
      <c r="N2990" s="8"/>
      <c r="O2990" s="8"/>
      <c r="P2990" s="8"/>
      <c r="Q2990" s="8"/>
      <c r="R2990" s="8"/>
      <c r="S2990" s="8"/>
      <c r="T2990" s="8"/>
      <c r="U2990" s="8"/>
    </row>
    <row r="2991" spans="10:21">
      <c r="J2991" s="8"/>
      <c r="K2991" s="8"/>
      <c r="L2991" s="8"/>
      <c r="M2991" s="8"/>
      <c r="N2991" s="8"/>
      <c r="O2991" s="8"/>
      <c r="P2991" s="8"/>
      <c r="Q2991" s="8"/>
      <c r="R2991" s="8"/>
      <c r="S2991" s="8"/>
      <c r="T2991" s="8"/>
      <c r="U2991" s="8"/>
    </row>
    <row r="2992" spans="10:21">
      <c r="J2992" s="8"/>
      <c r="K2992" s="8"/>
      <c r="L2992" s="8"/>
      <c r="M2992" s="8"/>
      <c r="N2992" s="8"/>
      <c r="O2992" s="8"/>
      <c r="P2992" s="8"/>
      <c r="Q2992" s="8"/>
      <c r="R2992" s="8"/>
      <c r="S2992" s="8"/>
      <c r="T2992" s="8"/>
      <c r="U2992" s="8"/>
    </row>
    <row r="2993" spans="10:21">
      <c r="J2993" s="8"/>
      <c r="K2993" s="8"/>
      <c r="L2993" s="8"/>
      <c r="M2993" s="8"/>
      <c r="N2993" s="8"/>
      <c r="O2993" s="8"/>
      <c r="P2993" s="8"/>
      <c r="Q2993" s="8"/>
      <c r="R2993" s="8"/>
      <c r="S2993" s="8"/>
      <c r="T2993" s="8"/>
      <c r="U2993" s="8"/>
    </row>
    <row r="2994" spans="10:21">
      <c r="J2994" s="8"/>
      <c r="K2994" s="8"/>
      <c r="L2994" s="8"/>
      <c r="M2994" s="8"/>
      <c r="N2994" s="8"/>
      <c r="O2994" s="8"/>
      <c r="P2994" s="8"/>
      <c r="Q2994" s="8"/>
      <c r="R2994" s="8"/>
      <c r="S2994" s="8"/>
      <c r="T2994" s="8"/>
      <c r="U2994" s="8"/>
    </row>
    <row r="2995" spans="10:21">
      <c r="J2995" s="8"/>
      <c r="K2995" s="8"/>
      <c r="L2995" s="8"/>
      <c r="M2995" s="8"/>
      <c r="N2995" s="8"/>
      <c r="O2995" s="8"/>
      <c r="P2995" s="8"/>
      <c r="Q2995" s="8"/>
      <c r="R2995" s="8"/>
      <c r="S2995" s="8"/>
      <c r="T2995" s="8"/>
      <c r="U2995" s="8"/>
    </row>
    <row r="2996" spans="10:21">
      <c r="J2996" s="8"/>
      <c r="K2996" s="8"/>
      <c r="L2996" s="8"/>
      <c r="M2996" s="8"/>
      <c r="N2996" s="8"/>
      <c r="O2996" s="8"/>
      <c r="P2996" s="8"/>
      <c r="Q2996" s="8"/>
      <c r="R2996" s="8"/>
      <c r="S2996" s="8"/>
      <c r="T2996" s="8"/>
      <c r="U2996" s="8"/>
    </row>
    <row r="2997" spans="10:21">
      <c r="J2997" s="8"/>
      <c r="K2997" s="8"/>
      <c r="L2997" s="8"/>
      <c r="M2997" s="8"/>
      <c r="N2997" s="8"/>
      <c r="O2997" s="8"/>
      <c r="P2997" s="8"/>
      <c r="Q2997" s="8"/>
      <c r="R2997" s="8"/>
      <c r="S2997" s="8"/>
      <c r="T2997" s="8"/>
      <c r="U2997" s="8"/>
    </row>
    <row r="2998" spans="10:21">
      <c r="J2998" s="8"/>
      <c r="K2998" s="8"/>
      <c r="L2998" s="8"/>
      <c r="M2998" s="8"/>
      <c r="N2998" s="8"/>
      <c r="O2998" s="8"/>
      <c r="P2998" s="8"/>
      <c r="Q2998" s="8"/>
      <c r="R2998" s="8"/>
      <c r="S2998" s="8"/>
      <c r="T2998" s="8"/>
      <c r="U2998" s="8"/>
    </row>
    <row r="2999" spans="10:21">
      <c r="J2999" s="8"/>
      <c r="K2999" s="8"/>
      <c r="L2999" s="8"/>
      <c r="M2999" s="8"/>
      <c r="N2999" s="8"/>
      <c r="O2999" s="8"/>
      <c r="P2999" s="8"/>
      <c r="Q2999" s="8"/>
      <c r="R2999" s="8"/>
      <c r="S2999" s="8"/>
      <c r="T2999" s="8"/>
      <c r="U2999" s="8"/>
    </row>
    <row r="3000" spans="10:21">
      <c r="J3000" s="8"/>
      <c r="K3000" s="8"/>
      <c r="L3000" s="8"/>
      <c r="M3000" s="8"/>
      <c r="N3000" s="8"/>
      <c r="O3000" s="8"/>
      <c r="P3000" s="8"/>
      <c r="Q3000" s="8"/>
      <c r="R3000" s="8"/>
      <c r="S3000" s="8"/>
      <c r="T3000" s="8"/>
      <c r="U3000" s="8"/>
    </row>
    <row r="3001" spans="10:21">
      <c r="J3001" s="8"/>
      <c r="K3001" s="8"/>
      <c r="L3001" s="8"/>
      <c r="M3001" s="8"/>
      <c r="N3001" s="8"/>
      <c r="O3001" s="8"/>
      <c r="P3001" s="8"/>
      <c r="Q3001" s="8"/>
      <c r="R3001" s="8"/>
      <c r="S3001" s="8"/>
      <c r="T3001" s="8"/>
      <c r="U3001" s="8"/>
    </row>
    <row r="3002" spans="10:21">
      <c r="J3002" s="8"/>
      <c r="K3002" s="8"/>
      <c r="L3002" s="8"/>
      <c r="M3002" s="8"/>
      <c r="N3002" s="8"/>
      <c r="O3002" s="8"/>
      <c r="P3002" s="8"/>
      <c r="Q3002" s="8"/>
      <c r="R3002" s="8"/>
      <c r="S3002" s="8"/>
      <c r="T3002" s="8"/>
      <c r="U3002" s="8"/>
    </row>
    <row r="3003" spans="10:21">
      <c r="J3003" s="8"/>
      <c r="K3003" s="8"/>
      <c r="L3003" s="8"/>
      <c r="M3003" s="8"/>
      <c r="N3003" s="8"/>
      <c r="O3003" s="8"/>
      <c r="P3003" s="8"/>
      <c r="Q3003" s="8"/>
      <c r="R3003" s="8"/>
      <c r="S3003" s="8"/>
      <c r="T3003" s="8"/>
      <c r="U3003" s="8"/>
    </row>
    <row r="3004" spans="10:21">
      <c r="J3004" s="8"/>
      <c r="K3004" s="8"/>
      <c r="L3004" s="8"/>
      <c r="M3004" s="8"/>
      <c r="N3004" s="8"/>
      <c r="O3004" s="8"/>
      <c r="P3004" s="8"/>
      <c r="Q3004" s="8"/>
      <c r="R3004" s="8"/>
      <c r="S3004" s="8"/>
      <c r="T3004" s="8"/>
      <c r="U3004" s="8"/>
    </row>
    <row r="3005" spans="10:21">
      <c r="J3005" s="8"/>
      <c r="K3005" s="8"/>
      <c r="L3005" s="8"/>
      <c r="M3005" s="8"/>
      <c r="N3005" s="8"/>
      <c r="O3005" s="8"/>
      <c r="P3005" s="8"/>
      <c r="Q3005" s="8"/>
      <c r="R3005" s="8"/>
      <c r="S3005" s="8"/>
      <c r="T3005" s="8"/>
      <c r="U3005" s="8"/>
    </row>
    <row r="3006" spans="10:21">
      <c r="J3006" s="8"/>
      <c r="K3006" s="8"/>
      <c r="L3006" s="8"/>
      <c r="M3006" s="8"/>
      <c r="N3006" s="8"/>
      <c r="O3006" s="8"/>
      <c r="P3006" s="8"/>
      <c r="Q3006" s="8"/>
      <c r="R3006" s="8"/>
      <c r="S3006" s="8"/>
      <c r="T3006" s="8"/>
      <c r="U3006" s="8"/>
    </row>
    <row r="3007" spans="10:21">
      <c r="J3007" s="8"/>
      <c r="K3007" s="8"/>
      <c r="L3007" s="8"/>
      <c r="M3007" s="8"/>
      <c r="N3007" s="8"/>
      <c r="O3007" s="8"/>
      <c r="P3007" s="8"/>
      <c r="Q3007" s="8"/>
      <c r="R3007" s="8"/>
      <c r="S3007" s="8"/>
      <c r="T3007" s="8"/>
      <c r="U3007" s="8"/>
    </row>
    <row r="3008" spans="10:21">
      <c r="J3008" s="8"/>
      <c r="K3008" s="8"/>
      <c r="L3008" s="8"/>
      <c r="M3008" s="8"/>
      <c r="N3008" s="8"/>
      <c r="O3008" s="8"/>
      <c r="P3008" s="8"/>
      <c r="Q3008" s="8"/>
      <c r="R3008" s="8"/>
      <c r="S3008" s="8"/>
      <c r="T3008" s="8"/>
      <c r="U3008" s="8"/>
    </row>
    <row r="3009" spans="10:21">
      <c r="J3009" s="8"/>
      <c r="K3009" s="8"/>
      <c r="L3009" s="8"/>
      <c r="M3009" s="8"/>
      <c r="N3009" s="8"/>
      <c r="O3009" s="8"/>
      <c r="P3009" s="8"/>
      <c r="Q3009" s="8"/>
      <c r="R3009" s="8"/>
      <c r="S3009" s="8"/>
      <c r="T3009" s="8"/>
      <c r="U3009" s="8"/>
    </row>
    <row r="3010" spans="10:21">
      <c r="J3010" s="8"/>
      <c r="K3010" s="8"/>
      <c r="L3010" s="8"/>
      <c r="M3010" s="8"/>
      <c r="N3010" s="8"/>
      <c r="O3010" s="8"/>
      <c r="P3010" s="8"/>
      <c r="Q3010" s="8"/>
      <c r="R3010" s="8"/>
      <c r="S3010" s="8"/>
      <c r="T3010" s="8"/>
      <c r="U3010" s="8"/>
    </row>
    <row r="3011" spans="10:21">
      <c r="J3011" s="8"/>
      <c r="K3011" s="8"/>
      <c r="L3011" s="8"/>
      <c r="M3011" s="8"/>
      <c r="N3011" s="8"/>
      <c r="O3011" s="8"/>
      <c r="P3011" s="8"/>
      <c r="Q3011" s="8"/>
      <c r="R3011" s="8"/>
      <c r="S3011" s="8"/>
      <c r="T3011" s="8"/>
      <c r="U3011" s="8"/>
    </row>
    <row r="3012" spans="10:21">
      <c r="J3012" s="8"/>
      <c r="K3012" s="8"/>
      <c r="L3012" s="8"/>
      <c r="M3012" s="8"/>
      <c r="N3012" s="8"/>
      <c r="O3012" s="8"/>
      <c r="P3012" s="8"/>
      <c r="Q3012" s="8"/>
      <c r="R3012" s="8"/>
      <c r="S3012" s="8"/>
      <c r="T3012" s="8"/>
      <c r="U3012" s="8"/>
    </row>
    <row r="3013" spans="10:21">
      <c r="J3013" s="8"/>
      <c r="K3013" s="8"/>
      <c r="L3013" s="8"/>
      <c r="M3013" s="8"/>
      <c r="N3013" s="8"/>
      <c r="O3013" s="8"/>
      <c r="P3013" s="8"/>
      <c r="Q3013" s="8"/>
      <c r="R3013" s="8"/>
      <c r="S3013" s="8"/>
      <c r="T3013" s="8"/>
      <c r="U3013" s="8"/>
    </row>
    <row r="3014" spans="10:21">
      <c r="J3014" s="8"/>
      <c r="K3014" s="8"/>
      <c r="L3014" s="8"/>
      <c r="M3014" s="8"/>
      <c r="N3014" s="8"/>
      <c r="O3014" s="8"/>
      <c r="P3014" s="8"/>
      <c r="Q3014" s="8"/>
      <c r="R3014" s="8"/>
      <c r="S3014" s="8"/>
      <c r="T3014" s="8"/>
      <c r="U3014" s="8"/>
    </row>
    <row r="3015" spans="10:21">
      <c r="J3015" s="8"/>
      <c r="K3015" s="8"/>
      <c r="L3015" s="8"/>
      <c r="M3015" s="8"/>
      <c r="N3015" s="8"/>
      <c r="O3015" s="8"/>
      <c r="P3015" s="8"/>
      <c r="Q3015" s="8"/>
      <c r="R3015" s="8"/>
      <c r="S3015" s="8"/>
      <c r="T3015" s="8"/>
      <c r="U3015" s="8"/>
    </row>
    <row r="3016" spans="10:21">
      <c r="J3016" s="8"/>
      <c r="K3016" s="8"/>
      <c r="L3016" s="8"/>
      <c r="M3016" s="8"/>
      <c r="N3016" s="8"/>
      <c r="O3016" s="8"/>
      <c r="P3016" s="8"/>
      <c r="Q3016" s="8"/>
      <c r="R3016" s="8"/>
      <c r="S3016" s="8"/>
      <c r="T3016" s="8"/>
      <c r="U3016" s="8"/>
    </row>
    <row r="3017" spans="10:21">
      <c r="J3017" s="8"/>
      <c r="K3017" s="8"/>
      <c r="L3017" s="8"/>
      <c r="M3017" s="8"/>
      <c r="N3017" s="8"/>
      <c r="O3017" s="8"/>
      <c r="P3017" s="8"/>
      <c r="Q3017" s="8"/>
      <c r="R3017" s="8"/>
      <c r="S3017" s="8"/>
      <c r="T3017" s="8"/>
      <c r="U3017" s="8"/>
    </row>
    <row r="3018" spans="10:21">
      <c r="J3018" s="8"/>
      <c r="K3018" s="8"/>
      <c r="L3018" s="8"/>
      <c r="M3018" s="8"/>
      <c r="N3018" s="8"/>
      <c r="O3018" s="8"/>
      <c r="P3018" s="8"/>
      <c r="Q3018" s="8"/>
      <c r="R3018" s="8"/>
      <c r="S3018" s="8"/>
      <c r="T3018" s="8"/>
      <c r="U3018" s="8"/>
    </row>
    <row r="3019" spans="10:21">
      <c r="J3019" s="8"/>
      <c r="K3019" s="8"/>
      <c r="L3019" s="8"/>
      <c r="M3019" s="8"/>
      <c r="N3019" s="8"/>
      <c r="O3019" s="8"/>
      <c r="P3019" s="8"/>
      <c r="Q3019" s="8"/>
      <c r="R3019" s="8"/>
      <c r="S3019" s="8"/>
      <c r="T3019" s="8"/>
      <c r="U3019" s="8"/>
    </row>
    <row r="3020" spans="10:21">
      <c r="J3020" s="8"/>
      <c r="K3020" s="8"/>
      <c r="L3020" s="8"/>
      <c r="M3020" s="8"/>
      <c r="N3020" s="8"/>
      <c r="O3020" s="8"/>
      <c r="P3020" s="8"/>
      <c r="Q3020" s="8"/>
      <c r="R3020" s="8"/>
      <c r="S3020" s="8"/>
      <c r="T3020" s="8"/>
      <c r="U3020" s="8"/>
    </row>
    <row r="3021" spans="10:21">
      <c r="J3021" s="8"/>
      <c r="K3021" s="8"/>
      <c r="L3021" s="8"/>
      <c r="M3021" s="8"/>
      <c r="N3021" s="8"/>
      <c r="O3021" s="8"/>
      <c r="P3021" s="8"/>
      <c r="Q3021" s="8"/>
      <c r="R3021" s="8"/>
      <c r="S3021" s="8"/>
      <c r="T3021" s="8"/>
      <c r="U3021" s="8"/>
    </row>
    <row r="3022" spans="10:21">
      <c r="J3022" s="8"/>
      <c r="K3022" s="8"/>
      <c r="L3022" s="8"/>
      <c r="M3022" s="8"/>
      <c r="N3022" s="8"/>
      <c r="O3022" s="8"/>
      <c r="P3022" s="8"/>
      <c r="Q3022" s="8"/>
      <c r="R3022" s="8"/>
      <c r="S3022" s="8"/>
      <c r="T3022" s="8"/>
      <c r="U3022" s="8"/>
    </row>
    <row r="3023" spans="10:21">
      <c r="J3023" s="8"/>
      <c r="K3023" s="8"/>
      <c r="L3023" s="8"/>
      <c r="M3023" s="8"/>
      <c r="N3023" s="8"/>
      <c r="O3023" s="8"/>
      <c r="P3023" s="8"/>
      <c r="Q3023" s="8"/>
      <c r="R3023" s="8"/>
      <c r="S3023" s="8"/>
      <c r="T3023" s="8"/>
      <c r="U3023" s="8"/>
    </row>
    <row r="3024" spans="10:21">
      <c r="J3024" s="8"/>
      <c r="K3024" s="8"/>
      <c r="L3024" s="8"/>
      <c r="M3024" s="8"/>
      <c r="N3024" s="8"/>
      <c r="O3024" s="8"/>
      <c r="P3024" s="8"/>
      <c r="Q3024" s="8"/>
      <c r="R3024" s="8"/>
      <c r="S3024" s="8"/>
      <c r="T3024" s="8"/>
      <c r="U3024" s="8"/>
    </row>
    <row r="3025" spans="10:21">
      <c r="J3025" s="8"/>
      <c r="K3025" s="8"/>
      <c r="L3025" s="8"/>
      <c r="M3025" s="8"/>
      <c r="N3025" s="8"/>
      <c r="O3025" s="8"/>
      <c r="P3025" s="8"/>
      <c r="Q3025" s="8"/>
      <c r="R3025" s="8"/>
      <c r="S3025" s="8"/>
      <c r="T3025" s="8"/>
      <c r="U3025" s="8"/>
    </row>
    <row r="3026" spans="10:21">
      <c r="J3026" s="8"/>
      <c r="K3026" s="8"/>
      <c r="L3026" s="8"/>
      <c r="M3026" s="8"/>
      <c r="N3026" s="8"/>
      <c r="O3026" s="8"/>
      <c r="P3026" s="8"/>
      <c r="Q3026" s="8"/>
      <c r="R3026" s="8"/>
      <c r="S3026" s="8"/>
      <c r="T3026" s="8"/>
      <c r="U3026" s="8"/>
    </row>
    <row r="3027" spans="10:21">
      <c r="J3027" s="8"/>
      <c r="K3027" s="8"/>
      <c r="L3027" s="8"/>
      <c r="M3027" s="8"/>
      <c r="N3027" s="8"/>
      <c r="O3027" s="8"/>
      <c r="P3027" s="8"/>
      <c r="Q3027" s="8"/>
      <c r="R3027" s="8"/>
      <c r="S3027" s="8"/>
      <c r="T3027" s="8"/>
      <c r="U3027" s="8"/>
    </row>
    <row r="3028" spans="10:21">
      <c r="J3028" s="8"/>
      <c r="K3028" s="8"/>
      <c r="L3028" s="8"/>
      <c r="M3028" s="8"/>
      <c r="N3028" s="8"/>
      <c r="O3028" s="8"/>
      <c r="P3028" s="8"/>
      <c r="Q3028" s="8"/>
      <c r="R3028" s="8"/>
      <c r="S3028" s="8"/>
      <c r="T3028" s="8"/>
      <c r="U3028" s="8"/>
    </row>
    <row r="3029" spans="10:21">
      <c r="J3029" s="8"/>
      <c r="K3029" s="8"/>
      <c r="L3029" s="8"/>
      <c r="M3029" s="8"/>
      <c r="N3029" s="8"/>
      <c r="O3029" s="8"/>
      <c r="P3029" s="8"/>
      <c r="Q3029" s="8"/>
      <c r="R3029" s="8"/>
      <c r="S3029" s="8"/>
      <c r="T3029" s="8"/>
      <c r="U3029" s="8"/>
    </row>
    <row r="3030" spans="10:21">
      <c r="J3030" s="8"/>
      <c r="K3030" s="8"/>
      <c r="L3030" s="8"/>
      <c r="M3030" s="8"/>
      <c r="N3030" s="8"/>
      <c r="O3030" s="8"/>
      <c r="P3030" s="8"/>
      <c r="Q3030" s="8"/>
      <c r="R3030" s="8"/>
      <c r="S3030" s="8"/>
      <c r="T3030" s="8"/>
      <c r="U3030" s="8"/>
    </row>
    <row r="3031" spans="10:21">
      <c r="J3031" s="8"/>
      <c r="K3031" s="8"/>
      <c r="L3031" s="8"/>
      <c r="M3031" s="8"/>
      <c r="N3031" s="8"/>
      <c r="O3031" s="8"/>
      <c r="P3031" s="8"/>
      <c r="Q3031" s="8"/>
      <c r="R3031" s="8"/>
      <c r="S3031" s="8"/>
      <c r="T3031" s="8"/>
      <c r="U3031" s="8"/>
    </row>
    <row r="3032" spans="10:21">
      <c r="J3032" s="8"/>
      <c r="K3032" s="8"/>
      <c r="L3032" s="8"/>
      <c r="M3032" s="8"/>
      <c r="N3032" s="8"/>
      <c r="O3032" s="8"/>
      <c r="P3032" s="8"/>
      <c r="Q3032" s="8"/>
      <c r="R3032" s="8"/>
      <c r="S3032" s="8"/>
      <c r="T3032" s="8"/>
      <c r="U3032" s="8"/>
    </row>
    <row r="3033" spans="10:21">
      <c r="J3033" s="8"/>
      <c r="K3033" s="8"/>
      <c r="L3033" s="8"/>
      <c r="M3033" s="8"/>
      <c r="N3033" s="8"/>
      <c r="O3033" s="8"/>
      <c r="P3033" s="8"/>
      <c r="Q3033" s="8"/>
      <c r="R3033" s="8"/>
      <c r="S3033" s="8"/>
      <c r="T3033" s="8"/>
      <c r="U3033" s="8"/>
    </row>
    <row r="3034" spans="10:21">
      <c r="J3034" s="8"/>
      <c r="K3034" s="8"/>
      <c r="L3034" s="8"/>
      <c r="M3034" s="8"/>
      <c r="N3034" s="8"/>
      <c r="O3034" s="8"/>
      <c r="P3034" s="8"/>
      <c r="Q3034" s="8"/>
      <c r="R3034" s="8"/>
      <c r="S3034" s="8"/>
      <c r="T3034" s="8"/>
      <c r="U3034" s="8"/>
    </row>
    <row r="3035" spans="10:21">
      <c r="J3035" s="8"/>
      <c r="K3035" s="8"/>
      <c r="L3035" s="8"/>
      <c r="M3035" s="8"/>
      <c r="N3035" s="8"/>
      <c r="O3035" s="8"/>
      <c r="P3035" s="8"/>
      <c r="Q3035" s="8"/>
      <c r="R3035" s="8"/>
      <c r="S3035" s="8"/>
      <c r="T3035" s="8"/>
      <c r="U3035" s="8"/>
    </row>
    <row r="3036" spans="10:21">
      <c r="J3036" s="8"/>
      <c r="K3036" s="8"/>
      <c r="L3036" s="8"/>
      <c r="M3036" s="8"/>
      <c r="N3036" s="8"/>
      <c r="O3036" s="8"/>
      <c r="P3036" s="8"/>
      <c r="Q3036" s="8"/>
      <c r="R3036" s="8"/>
      <c r="S3036" s="8"/>
      <c r="T3036" s="8"/>
      <c r="U3036" s="8"/>
    </row>
    <row r="3037" spans="10:21">
      <c r="J3037" s="8"/>
      <c r="K3037" s="8"/>
      <c r="L3037" s="8"/>
      <c r="M3037" s="8"/>
      <c r="N3037" s="8"/>
      <c r="O3037" s="8"/>
      <c r="P3037" s="8"/>
      <c r="Q3037" s="8"/>
      <c r="R3037" s="8"/>
      <c r="S3037" s="8"/>
      <c r="T3037" s="8"/>
      <c r="U3037" s="8"/>
    </row>
    <row r="3038" spans="10:21">
      <c r="J3038" s="8"/>
      <c r="K3038" s="8"/>
      <c r="L3038" s="8"/>
      <c r="M3038" s="8"/>
      <c r="N3038" s="8"/>
      <c r="O3038" s="8"/>
      <c r="P3038" s="8"/>
      <c r="Q3038" s="8"/>
      <c r="R3038" s="8"/>
      <c r="S3038" s="8"/>
      <c r="T3038" s="8"/>
      <c r="U3038" s="8"/>
    </row>
    <row r="3039" spans="10:21">
      <c r="J3039" s="8"/>
      <c r="K3039" s="8"/>
      <c r="L3039" s="8"/>
      <c r="M3039" s="8"/>
      <c r="N3039" s="8"/>
      <c r="O3039" s="8"/>
      <c r="P3039" s="8"/>
      <c r="Q3039" s="8"/>
      <c r="R3039" s="8"/>
      <c r="S3039" s="8"/>
      <c r="T3039" s="8"/>
      <c r="U3039" s="8"/>
    </row>
    <row r="3040" spans="10:21">
      <c r="J3040" s="8"/>
      <c r="K3040" s="8"/>
      <c r="L3040" s="8"/>
      <c r="M3040" s="8"/>
      <c r="N3040" s="8"/>
      <c r="O3040" s="8"/>
      <c r="P3040" s="8"/>
      <c r="Q3040" s="8"/>
      <c r="R3040" s="8"/>
      <c r="S3040" s="8"/>
      <c r="T3040" s="8"/>
      <c r="U3040" s="8"/>
    </row>
    <row r="3041" spans="10:21">
      <c r="J3041" s="8"/>
      <c r="K3041" s="8"/>
      <c r="L3041" s="8"/>
      <c r="M3041" s="8"/>
      <c r="N3041" s="8"/>
      <c r="O3041" s="8"/>
      <c r="P3041" s="8"/>
      <c r="Q3041" s="8"/>
      <c r="R3041" s="8"/>
      <c r="S3041" s="8"/>
      <c r="T3041" s="8"/>
      <c r="U3041" s="8"/>
    </row>
    <row r="3042" spans="10:21">
      <c r="J3042" s="8"/>
      <c r="K3042" s="8"/>
      <c r="L3042" s="8"/>
      <c r="M3042" s="8"/>
      <c r="N3042" s="8"/>
      <c r="O3042" s="8"/>
      <c r="P3042" s="8"/>
      <c r="Q3042" s="8"/>
      <c r="R3042" s="8"/>
      <c r="S3042" s="8"/>
      <c r="T3042" s="8"/>
      <c r="U3042" s="8"/>
    </row>
    <row r="3043" spans="10:21">
      <c r="J3043" s="8"/>
      <c r="K3043" s="8"/>
      <c r="L3043" s="8"/>
      <c r="M3043" s="8"/>
      <c r="N3043" s="8"/>
      <c r="O3043" s="8"/>
      <c r="P3043" s="8"/>
      <c r="Q3043" s="8"/>
      <c r="R3043" s="8"/>
      <c r="S3043" s="8"/>
      <c r="T3043" s="8"/>
      <c r="U3043" s="8"/>
    </row>
    <row r="3044" spans="10:21">
      <c r="J3044" s="8"/>
      <c r="K3044" s="8"/>
      <c r="L3044" s="8"/>
      <c r="M3044" s="8"/>
      <c r="N3044" s="8"/>
      <c r="O3044" s="8"/>
      <c r="P3044" s="8"/>
      <c r="Q3044" s="8"/>
      <c r="R3044" s="8"/>
      <c r="S3044" s="8"/>
      <c r="T3044" s="8"/>
      <c r="U3044" s="8"/>
    </row>
    <row r="3045" spans="10:21">
      <c r="J3045" s="8"/>
      <c r="K3045" s="8"/>
      <c r="L3045" s="8"/>
      <c r="M3045" s="8"/>
      <c r="N3045" s="8"/>
      <c r="O3045" s="8"/>
      <c r="P3045" s="8"/>
      <c r="Q3045" s="8"/>
      <c r="R3045" s="8"/>
      <c r="S3045" s="8"/>
      <c r="T3045" s="8"/>
      <c r="U3045" s="8"/>
    </row>
    <row r="3046" spans="10:21">
      <c r="J3046" s="8"/>
      <c r="K3046" s="8"/>
      <c r="L3046" s="8"/>
      <c r="M3046" s="8"/>
      <c r="N3046" s="8"/>
      <c r="O3046" s="8"/>
      <c r="P3046" s="8"/>
      <c r="Q3046" s="8"/>
      <c r="R3046" s="8"/>
      <c r="S3046" s="8"/>
      <c r="T3046" s="8"/>
      <c r="U3046" s="8"/>
    </row>
    <row r="3047" spans="10:21">
      <c r="J3047" s="8"/>
      <c r="K3047" s="8"/>
      <c r="L3047" s="8"/>
      <c r="M3047" s="8"/>
      <c r="N3047" s="8"/>
      <c r="O3047" s="8"/>
      <c r="P3047" s="8"/>
      <c r="Q3047" s="8"/>
      <c r="R3047" s="8"/>
      <c r="S3047" s="8"/>
      <c r="T3047" s="8"/>
      <c r="U3047" s="8"/>
    </row>
    <row r="3048" spans="10:21">
      <c r="J3048" s="8"/>
      <c r="K3048" s="8"/>
      <c r="L3048" s="8"/>
      <c r="M3048" s="8"/>
      <c r="N3048" s="8"/>
      <c r="O3048" s="8"/>
      <c r="P3048" s="8"/>
      <c r="Q3048" s="8"/>
      <c r="R3048" s="8"/>
      <c r="S3048" s="8"/>
      <c r="T3048" s="8"/>
      <c r="U3048" s="8"/>
    </row>
    <row r="3049" spans="10:21">
      <c r="J3049" s="8"/>
      <c r="K3049" s="8"/>
      <c r="L3049" s="8"/>
      <c r="M3049" s="8"/>
      <c r="N3049" s="8"/>
      <c r="O3049" s="8"/>
      <c r="P3049" s="8"/>
      <c r="Q3049" s="8"/>
      <c r="R3049" s="8"/>
      <c r="S3049" s="8"/>
      <c r="T3049" s="8"/>
      <c r="U3049" s="8"/>
    </row>
    <row r="3050" spans="10:21">
      <c r="J3050" s="8"/>
      <c r="K3050" s="8"/>
      <c r="L3050" s="8"/>
      <c r="M3050" s="8"/>
      <c r="N3050" s="8"/>
      <c r="O3050" s="8"/>
      <c r="P3050" s="8"/>
      <c r="Q3050" s="8"/>
      <c r="R3050" s="8"/>
      <c r="S3050" s="8"/>
      <c r="T3050" s="8"/>
      <c r="U3050" s="8"/>
    </row>
    <row r="3051" spans="10:21">
      <c r="J3051" s="8"/>
      <c r="K3051" s="8"/>
      <c r="L3051" s="8"/>
      <c r="M3051" s="8"/>
      <c r="N3051" s="8"/>
      <c r="O3051" s="8"/>
      <c r="P3051" s="8"/>
      <c r="Q3051" s="8"/>
      <c r="R3051" s="8"/>
      <c r="S3051" s="8"/>
      <c r="T3051" s="8"/>
      <c r="U3051" s="8"/>
    </row>
    <row r="3052" spans="10:21">
      <c r="J3052" s="8"/>
      <c r="K3052" s="8"/>
      <c r="L3052" s="8"/>
      <c r="M3052" s="8"/>
      <c r="N3052" s="8"/>
      <c r="O3052" s="8"/>
      <c r="P3052" s="8"/>
      <c r="Q3052" s="8"/>
      <c r="R3052" s="8"/>
      <c r="S3052" s="8"/>
      <c r="T3052" s="8"/>
      <c r="U3052" s="8"/>
    </row>
    <row r="3053" spans="10:21">
      <c r="J3053" s="8"/>
      <c r="K3053" s="8"/>
      <c r="L3053" s="8"/>
      <c r="M3053" s="8"/>
      <c r="N3053" s="8"/>
      <c r="O3053" s="8"/>
      <c r="P3053" s="8"/>
      <c r="Q3053" s="8"/>
      <c r="R3053" s="8"/>
      <c r="S3053" s="8"/>
      <c r="T3053" s="8"/>
      <c r="U3053" s="8"/>
    </row>
    <row r="3054" spans="10:21">
      <c r="J3054" s="8"/>
      <c r="K3054" s="8"/>
      <c r="L3054" s="8"/>
      <c r="M3054" s="8"/>
      <c r="N3054" s="8"/>
      <c r="O3054" s="8"/>
      <c r="P3054" s="8"/>
      <c r="Q3054" s="8"/>
      <c r="R3054" s="8"/>
      <c r="S3054" s="8"/>
      <c r="T3054" s="8"/>
      <c r="U3054" s="8"/>
    </row>
    <row r="3055" spans="10:21">
      <c r="J3055" s="8"/>
      <c r="K3055" s="8"/>
      <c r="L3055" s="8"/>
      <c r="M3055" s="8"/>
      <c r="N3055" s="8"/>
      <c r="O3055" s="8"/>
      <c r="P3055" s="8"/>
      <c r="Q3055" s="8"/>
      <c r="R3055" s="8"/>
      <c r="S3055" s="8"/>
      <c r="T3055" s="8"/>
      <c r="U3055" s="8"/>
    </row>
    <row r="3056" spans="10:21">
      <c r="J3056" s="8"/>
      <c r="K3056" s="8"/>
      <c r="L3056" s="8"/>
      <c r="M3056" s="8"/>
      <c r="N3056" s="8"/>
      <c r="O3056" s="8"/>
      <c r="P3056" s="8"/>
      <c r="Q3056" s="8"/>
      <c r="R3056" s="8"/>
      <c r="S3056" s="8"/>
      <c r="T3056" s="8"/>
      <c r="U3056" s="8"/>
    </row>
    <row r="3057" spans="10:21">
      <c r="J3057" s="8"/>
      <c r="K3057" s="8"/>
      <c r="L3057" s="8"/>
      <c r="M3057" s="8"/>
      <c r="N3057" s="8"/>
      <c r="O3057" s="8"/>
      <c r="P3057" s="8"/>
      <c r="Q3057" s="8"/>
      <c r="R3057" s="8"/>
      <c r="S3057" s="8"/>
      <c r="T3057" s="8"/>
      <c r="U3057" s="8"/>
    </row>
    <row r="3058" spans="10:21">
      <c r="J3058" s="8"/>
      <c r="K3058" s="8"/>
      <c r="L3058" s="8"/>
      <c r="M3058" s="8"/>
      <c r="N3058" s="8"/>
      <c r="O3058" s="8"/>
      <c r="P3058" s="8"/>
      <c r="Q3058" s="8"/>
      <c r="R3058" s="8"/>
      <c r="S3058" s="8"/>
      <c r="T3058" s="8"/>
      <c r="U3058" s="8"/>
    </row>
    <row r="3059" spans="10:21">
      <c r="J3059" s="8"/>
      <c r="K3059" s="8"/>
      <c r="L3059" s="8"/>
      <c r="M3059" s="8"/>
      <c r="N3059" s="8"/>
      <c r="O3059" s="8"/>
      <c r="P3059" s="8"/>
      <c r="Q3059" s="8"/>
      <c r="R3059" s="8"/>
      <c r="S3059" s="8"/>
      <c r="T3059" s="8"/>
      <c r="U3059" s="8"/>
    </row>
    <row r="3060" spans="10:21">
      <c r="J3060" s="8"/>
      <c r="K3060" s="8"/>
      <c r="L3060" s="8"/>
      <c r="M3060" s="8"/>
      <c r="N3060" s="8"/>
      <c r="O3060" s="8"/>
      <c r="P3060" s="8"/>
      <c r="Q3060" s="8"/>
      <c r="R3060" s="8"/>
      <c r="S3060" s="8"/>
      <c r="T3060" s="8"/>
      <c r="U3060" s="8"/>
    </row>
    <row r="3061" spans="10:21">
      <c r="J3061" s="8"/>
      <c r="K3061" s="8"/>
      <c r="L3061" s="8"/>
      <c r="M3061" s="8"/>
      <c r="N3061" s="8"/>
      <c r="O3061" s="8"/>
      <c r="P3061" s="8"/>
      <c r="Q3061" s="8"/>
      <c r="R3061" s="8"/>
      <c r="S3061" s="8"/>
      <c r="T3061" s="8"/>
      <c r="U3061" s="8"/>
    </row>
    <row r="3062" spans="10:21">
      <c r="J3062" s="8"/>
      <c r="K3062" s="8"/>
      <c r="L3062" s="8"/>
      <c r="M3062" s="8"/>
      <c r="N3062" s="8"/>
      <c r="O3062" s="8"/>
      <c r="P3062" s="8"/>
      <c r="Q3062" s="8"/>
      <c r="R3062" s="8"/>
      <c r="S3062" s="8"/>
      <c r="T3062" s="8"/>
      <c r="U3062" s="8"/>
    </row>
    <row r="3063" spans="10:21">
      <c r="J3063" s="8"/>
      <c r="K3063" s="8"/>
      <c r="L3063" s="8"/>
      <c r="M3063" s="8"/>
      <c r="N3063" s="8"/>
      <c r="O3063" s="8"/>
      <c r="P3063" s="8"/>
      <c r="Q3063" s="8"/>
      <c r="R3063" s="8"/>
      <c r="S3063" s="8"/>
      <c r="T3063" s="8"/>
      <c r="U3063" s="8"/>
    </row>
    <row r="3064" spans="10:21">
      <c r="J3064" s="8"/>
      <c r="K3064" s="8"/>
      <c r="L3064" s="8"/>
      <c r="M3064" s="8"/>
      <c r="N3064" s="8"/>
      <c r="O3064" s="8"/>
      <c r="P3064" s="8"/>
      <c r="Q3064" s="8"/>
      <c r="R3064" s="8"/>
      <c r="S3064" s="8"/>
      <c r="T3064" s="8"/>
      <c r="U3064" s="8"/>
    </row>
    <row r="3065" spans="10:21">
      <c r="J3065" s="8"/>
      <c r="K3065" s="8"/>
      <c r="L3065" s="8"/>
      <c r="M3065" s="8"/>
      <c r="N3065" s="8"/>
      <c r="O3065" s="8"/>
      <c r="P3065" s="8"/>
      <c r="Q3065" s="8"/>
      <c r="R3065" s="8"/>
      <c r="S3065" s="8"/>
      <c r="T3065" s="8"/>
      <c r="U3065" s="8"/>
    </row>
    <row r="3066" spans="10:21">
      <c r="J3066" s="8"/>
      <c r="K3066" s="8"/>
      <c r="L3066" s="8"/>
      <c r="M3066" s="8"/>
      <c r="N3066" s="8"/>
      <c r="O3066" s="8"/>
      <c r="P3066" s="8"/>
      <c r="Q3066" s="8"/>
      <c r="R3066" s="8"/>
      <c r="S3066" s="8"/>
      <c r="T3066" s="8"/>
      <c r="U3066" s="8"/>
    </row>
    <row r="3067" spans="10:21">
      <c r="J3067" s="8"/>
      <c r="K3067" s="8"/>
      <c r="L3067" s="8"/>
      <c r="M3067" s="8"/>
      <c r="N3067" s="8"/>
      <c r="O3067" s="8"/>
      <c r="P3067" s="8"/>
      <c r="Q3067" s="8"/>
      <c r="R3067" s="8"/>
      <c r="S3067" s="8"/>
      <c r="T3067" s="8"/>
      <c r="U3067" s="8"/>
    </row>
    <row r="3068" spans="10:21">
      <c r="J3068" s="8"/>
      <c r="K3068" s="8"/>
      <c r="L3068" s="8"/>
      <c r="M3068" s="8"/>
      <c r="N3068" s="8"/>
      <c r="O3068" s="8"/>
      <c r="P3068" s="8"/>
      <c r="Q3068" s="8"/>
      <c r="R3068" s="8"/>
      <c r="S3068" s="8"/>
      <c r="T3068" s="8"/>
      <c r="U3068" s="8"/>
    </row>
    <row r="3069" spans="10:21">
      <c r="J3069" s="8"/>
      <c r="K3069" s="8"/>
      <c r="L3069" s="8"/>
      <c r="M3069" s="8"/>
      <c r="N3069" s="8"/>
      <c r="O3069" s="8"/>
      <c r="P3069" s="8"/>
      <c r="Q3069" s="8"/>
      <c r="R3069" s="8"/>
      <c r="S3069" s="8"/>
      <c r="T3069" s="8"/>
      <c r="U3069" s="8"/>
    </row>
    <row r="3070" spans="10:21">
      <c r="J3070" s="8"/>
      <c r="K3070" s="8"/>
      <c r="L3070" s="8"/>
      <c r="M3070" s="8"/>
      <c r="N3070" s="8"/>
      <c r="O3070" s="8"/>
      <c r="P3070" s="8"/>
      <c r="Q3070" s="8"/>
      <c r="R3070" s="8"/>
      <c r="S3070" s="8"/>
      <c r="T3070" s="8"/>
      <c r="U3070" s="8"/>
    </row>
    <row r="3071" spans="10:21">
      <c r="J3071" s="8"/>
      <c r="K3071" s="8"/>
      <c r="L3071" s="8"/>
      <c r="M3071" s="8"/>
      <c r="N3071" s="8"/>
      <c r="O3071" s="8"/>
      <c r="P3071" s="8"/>
      <c r="Q3071" s="8"/>
      <c r="R3071" s="8"/>
      <c r="S3071" s="8"/>
      <c r="T3071" s="8"/>
      <c r="U3071" s="8"/>
    </row>
    <row r="3072" spans="10:21">
      <c r="J3072" s="8"/>
      <c r="K3072" s="8"/>
      <c r="L3072" s="8"/>
      <c r="M3072" s="8"/>
      <c r="N3072" s="8"/>
      <c r="O3072" s="8"/>
      <c r="P3072" s="8"/>
      <c r="Q3072" s="8"/>
      <c r="R3072" s="8"/>
      <c r="S3072" s="8"/>
      <c r="T3072" s="8"/>
      <c r="U3072" s="8"/>
    </row>
    <row r="3073" spans="10:21">
      <c r="J3073" s="8"/>
      <c r="K3073" s="8"/>
      <c r="L3073" s="8"/>
      <c r="M3073" s="8"/>
      <c r="N3073" s="8"/>
      <c r="O3073" s="8"/>
      <c r="P3073" s="8"/>
      <c r="Q3073" s="8"/>
      <c r="R3073" s="8"/>
      <c r="S3073" s="8"/>
      <c r="T3073" s="8"/>
      <c r="U3073" s="8"/>
    </row>
    <row r="3074" spans="10:21">
      <c r="J3074" s="8"/>
      <c r="K3074" s="8"/>
      <c r="L3074" s="8"/>
      <c r="M3074" s="8"/>
      <c r="N3074" s="8"/>
      <c r="O3074" s="8"/>
      <c r="P3074" s="8"/>
      <c r="Q3074" s="8"/>
      <c r="R3074" s="8"/>
      <c r="S3074" s="8"/>
      <c r="T3074" s="8"/>
      <c r="U3074" s="8"/>
    </row>
    <row r="3075" spans="10:21">
      <c r="J3075" s="8"/>
      <c r="K3075" s="8"/>
      <c r="L3075" s="8"/>
      <c r="M3075" s="8"/>
      <c r="N3075" s="8"/>
      <c r="O3075" s="8"/>
      <c r="P3075" s="8"/>
      <c r="Q3075" s="8"/>
      <c r="R3075" s="8"/>
      <c r="S3075" s="8"/>
      <c r="T3075" s="8"/>
      <c r="U3075" s="8"/>
    </row>
    <row r="3076" spans="10:21">
      <c r="J3076" s="8"/>
      <c r="K3076" s="8"/>
      <c r="L3076" s="8"/>
      <c r="M3076" s="8"/>
      <c r="N3076" s="8"/>
      <c r="O3076" s="8"/>
      <c r="P3076" s="8"/>
      <c r="Q3076" s="8"/>
      <c r="R3076" s="8"/>
      <c r="S3076" s="8"/>
      <c r="T3076" s="8"/>
      <c r="U3076" s="8"/>
    </row>
    <row r="3077" spans="10:21">
      <c r="J3077" s="8"/>
      <c r="K3077" s="8"/>
      <c r="L3077" s="8"/>
      <c r="M3077" s="8"/>
      <c r="N3077" s="8"/>
      <c r="O3077" s="8"/>
      <c r="P3077" s="8"/>
      <c r="Q3077" s="8"/>
      <c r="R3077" s="8"/>
      <c r="S3077" s="8"/>
      <c r="T3077" s="8"/>
      <c r="U3077" s="8"/>
    </row>
    <row r="3078" spans="10:21">
      <c r="J3078" s="8"/>
      <c r="K3078" s="8"/>
      <c r="L3078" s="8"/>
      <c r="M3078" s="8"/>
      <c r="N3078" s="8"/>
      <c r="O3078" s="8"/>
      <c r="P3078" s="8"/>
      <c r="Q3078" s="8"/>
      <c r="R3078" s="8"/>
      <c r="S3078" s="8"/>
      <c r="T3078" s="8"/>
      <c r="U3078" s="8"/>
    </row>
    <row r="3079" spans="10:21">
      <c r="J3079" s="8"/>
      <c r="K3079" s="8"/>
      <c r="L3079" s="8"/>
      <c r="M3079" s="8"/>
      <c r="N3079" s="8"/>
      <c r="O3079" s="8"/>
      <c r="P3079" s="8"/>
      <c r="Q3079" s="8"/>
      <c r="R3079" s="8"/>
      <c r="S3079" s="8"/>
      <c r="T3079" s="8"/>
      <c r="U3079" s="8"/>
    </row>
    <row r="3080" spans="10:21">
      <c r="J3080" s="8"/>
      <c r="K3080" s="8"/>
      <c r="L3080" s="8"/>
      <c r="M3080" s="8"/>
      <c r="N3080" s="8"/>
      <c r="O3080" s="8"/>
      <c r="P3080" s="8"/>
      <c r="Q3080" s="8"/>
      <c r="R3080" s="8"/>
      <c r="S3080" s="8"/>
      <c r="T3080" s="8"/>
      <c r="U3080" s="8"/>
    </row>
    <row r="3081" spans="10:21">
      <c r="J3081" s="8"/>
      <c r="K3081" s="8"/>
      <c r="L3081" s="8"/>
      <c r="M3081" s="8"/>
      <c r="N3081" s="8"/>
      <c r="O3081" s="8"/>
      <c r="P3081" s="8"/>
      <c r="Q3081" s="8"/>
      <c r="R3081" s="8"/>
      <c r="S3081" s="8"/>
      <c r="T3081" s="8"/>
      <c r="U3081" s="8"/>
    </row>
    <row r="3082" spans="10:21">
      <c r="J3082" s="8"/>
      <c r="K3082" s="8"/>
      <c r="L3082" s="8"/>
      <c r="M3082" s="8"/>
      <c r="N3082" s="8"/>
      <c r="O3082" s="8"/>
      <c r="P3082" s="8"/>
      <c r="Q3082" s="8"/>
      <c r="R3082" s="8"/>
      <c r="S3082" s="8"/>
      <c r="T3082" s="8"/>
      <c r="U3082" s="8"/>
    </row>
    <row r="3083" spans="10:21">
      <c r="J3083" s="8"/>
      <c r="K3083" s="8"/>
      <c r="L3083" s="8"/>
      <c r="M3083" s="8"/>
      <c r="N3083" s="8"/>
      <c r="O3083" s="8"/>
      <c r="P3083" s="8"/>
      <c r="Q3083" s="8"/>
      <c r="R3083" s="8"/>
      <c r="S3083" s="8"/>
      <c r="T3083" s="8"/>
      <c r="U3083" s="8"/>
    </row>
    <row r="3084" spans="10:21">
      <c r="J3084" s="8"/>
      <c r="K3084" s="8"/>
      <c r="L3084" s="8"/>
      <c r="M3084" s="8"/>
      <c r="N3084" s="8"/>
      <c r="O3084" s="8"/>
      <c r="P3084" s="8"/>
      <c r="Q3084" s="8"/>
      <c r="R3084" s="8"/>
      <c r="S3084" s="8"/>
      <c r="T3084" s="8"/>
      <c r="U3084" s="8"/>
    </row>
    <row r="3085" spans="10:21">
      <c r="J3085" s="8"/>
      <c r="K3085" s="8"/>
      <c r="L3085" s="8"/>
      <c r="M3085" s="8"/>
      <c r="N3085" s="8"/>
      <c r="O3085" s="8"/>
      <c r="P3085" s="8"/>
      <c r="Q3085" s="8"/>
      <c r="R3085" s="8"/>
      <c r="S3085" s="8"/>
      <c r="T3085" s="8"/>
      <c r="U3085" s="8"/>
    </row>
    <row r="3086" spans="10:21">
      <c r="J3086" s="8"/>
      <c r="K3086" s="8"/>
      <c r="L3086" s="8"/>
      <c r="M3086" s="8"/>
      <c r="N3086" s="8"/>
      <c r="O3086" s="8"/>
      <c r="P3086" s="8"/>
      <c r="Q3086" s="8"/>
      <c r="R3086" s="8"/>
      <c r="S3086" s="8"/>
      <c r="T3086" s="8"/>
      <c r="U3086" s="8"/>
    </row>
    <row r="3087" spans="10:21">
      <c r="J3087" s="8"/>
      <c r="K3087" s="8"/>
      <c r="L3087" s="8"/>
      <c r="M3087" s="8"/>
      <c r="N3087" s="8"/>
      <c r="O3087" s="8"/>
      <c r="P3087" s="8"/>
      <c r="Q3087" s="8"/>
      <c r="R3087" s="8"/>
      <c r="S3087" s="8"/>
      <c r="T3087" s="8"/>
      <c r="U3087" s="8"/>
    </row>
    <row r="3088" spans="10:21">
      <c r="J3088" s="8"/>
      <c r="K3088" s="8"/>
      <c r="L3088" s="8"/>
      <c r="M3088" s="8"/>
      <c r="N3088" s="8"/>
      <c r="O3088" s="8"/>
      <c r="P3088" s="8"/>
      <c r="Q3088" s="8"/>
      <c r="R3088" s="8"/>
      <c r="S3088" s="8"/>
      <c r="T3088" s="8"/>
      <c r="U3088" s="8"/>
    </row>
    <row r="3089" spans="10:21">
      <c r="J3089" s="8"/>
      <c r="K3089" s="8"/>
      <c r="L3089" s="8"/>
      <c r="M3089" s="8"/>
      <c r="N3089" s="8"/>
      <c r="O3089" s="8"/>
      <c r="P3089" s="8"/>
      <c r="Q3089" s="8"/>
      <c r="R3089" s="8"/>
      <c r="S3089" s="8"/>
      <c r="T3089" s="8"/>
      <c r="U3089" s="8"/>
    </row>
    <row r="3090" spans="10:21">
      <c r="J3090" s="8"/>
      <c r="K3090" s="8"/>
      <c r="L3090" s="8"/>
      <c r="M3090" s="8"/>
      <c r="N3090" s="8"/>
      <c r="O3090" s="8"/>
      <c r="P3090" s="8"/>
      <c r="Q3090" s="8"/>
      <c r="R3090" s="8"/>
      <c r="S3090" s="8"/>
      <c r="T3090" s="8"/>
      <c r="U3090" s="8"/>
    </row>
    <row r="3091" spans="10:21">
      <c r="J3091" s="8"/>
      <c r="K3091" s="8"/>
      <c r="L3091" s="8"/>
      <c r="M3091" s="8"/>
      <c r="N3091" s="8"/>
      <c r="O3091" s="8"/>
      <c r="P3091" s="8"/>
      <c r="Q3091" s="8"/>
      <c r="R3091" s="8"/>
      <c r="S3091" s="8"/>
      <c r="T3091" s="8"/>
      <c r="U3091" s="8"/>
    </row>
    <row r="3092" spans="10:21">
      <c r="J3092" s="8"/>
      <c r="K3092" s="8"/>
      <c r="L3092" s="8"/>
      <c r="M3092" s="8"/>
      <c r="N3092" s="8"/>
      <c r="O3092" s="8"/>
      <c r="P3092" s="8"/>
      <c r="Q3092" s="8"/>
      <c r="R3092" s="8"/>
      <c r="S3092" s="8"/>
      <c r="T3092" s="8"/>
      <c r="U3092" s="8"/>
    </row>
    <row r="3093" spans="10:21">
      <c r="J3093" s="8"/>
      <c r="K3093" s="8"/>
      <c r="L3093" s="8"/>
      <c r="M3093" s="8"/>
      <c r="N3093" s="8"/>
      <c r="O3093" s="8"/>
      <c r="P3093" s="8"/>
      <c r="Q3093" s="8"/>
      <c r="R3093" s="8"/>
      <c r="S3093" s="8"/>
      <c r="T3093" s="8"/>
      <c r="U3093" s="8"/>
    </row>
    <row r="3094" spans="10:21">
      <c r="J3094" s="8"/>
      <c r="K3094" s="8"/>
      <c r="L3094" s="8"/>
      <c r="M3094" s="8"/>
      <c r="N3094" s="8"/>
      <c r="O3094" s="8"/>
      <c r="P3094" s="8"/>
      <c r="Q3094" s="8"/>
      <c r="R3094" s="8"/>
      <c r="S3094" s="8"/>
      <c r="T3094" s="8"/>
      <c r="U3094" s="8"/>
    </row>
    <row r="3095" spans="10:21">
      <c r="J3095" s="8"/>
      <c r="K3095" s="8"/>
      <c r="L3095" s="8"/>
      <c r="M3095" s="8"/>
      <c r="N3095" s="8"/>
      <c r="O3095" s="8"/>
      <c r="P3095" s="8"/>
      <c r="Q3095" s="8"/>
      <c r="R3095" s="8"/>
      <c r="S3095" s="8"/>
      <c r="T3095" s="8"/>
      <c r="U3095" s="8"/>
    </row>
    <row r="3096" spans="10:21">
      <c r="J3096" s="8"/>
      <c r="K3096" s="8"/>
      <c r="L3096" s="8"/>
      <c r="M3096" s="8"/>
      <c r="N3096" s="8"/>
      <c r="O3096" s="8"/>
      <c r="P3096" s="8"/>
      <c r="Q3096" s="8"/>
      <c r="R3096" s="8"/>
      <c r="S3096" s="8"/>
      <c r="T3096" s="8"/>
      <c r="U3096" s="8"/>
    </row>
    <row r="3097" spans="10:21">
      <c r="J3097" s="8"/>
      <c r="K3097" s="8"/>
      <c r="L3097" s="8"/>
      <c r="M3097" s="8"/>
      <c r="N3097" s="8"/>
      <c r="O3097" s="8"/>
      <c r="P3097" s="8"/>
      <c r="Q3097" s="8"/>
      <c r="R3097" s="8"/>
      <c r="S3097" s="8"/>
      <c r="T3097" s="8"/>
      <c r="U3097" s="8"/>
    </row>
    <row r="3098" spans="10:21">
      <c r="J3098" s="8"/>
      <c r="K3098" s="8"/>
      <c r="L3098" s="8"/>
      <c r="M3098" s="8"/>
      <c r="N3098" s="8"/>
      <c r="O3098" s="8"/>
      <c r="P3098" s="8"/>
      <c r="Q3098" s="8"/>
      <c r="R3098" s="8"/>
      <c r="S3098" s="8"/>
      <c r="T3098" s="8"/>
      <c r="U3098" s="8"/>
    </row>
    <row r="3099" spans="10:21">
      <c r="J3099" s="8"/>
      <c r="K3099" s="8"/>
      <c r="L3099" s="8"/>
      <c r="M3099" s="8"/>
      <c r="N3099" s="8"/>
      <c r="O3099" s="8"/>
      <c r="P3099" s="8"/>
      <c r="Q3099" s="8"/>
      <c r="R3099" s="8"/>
      <c r="S3099" s="8"/>
      <c r="T3099" s="8"/>
      <c r="U3099" s="8"/>
    </row>
    <row r="3100" spans="10:21">
      <c r="J3100" s="8"/>
      <c r="K3100" s="8"/>
      <c r="L3100" s="8"/>
      <c r="M3100" s="8"/>
      <c r="N3100" s="8"/>
      <c r="O3100" s="8"/>
      <c r="P3100" s="8"/>
      <c r="Q3100" s="8"/>
      <c r="R3100" s="8"/>
      <c r="S3100" s="8"/>
      <c r="T3100" s="8"/>
      <c r="U3100" s="8"/>
    </row>
    <row r="3101" spans="10:21">
      <c r="J3101" s="8"/>
      <c r="K3101" s="8"/>
      <c r="L3101" s="8"/>
      <c r="M3101" s="8"/>
      <c r="N3101" s="8"/>
      <c r="O3101" s="8"/>
      <c r="P3101" s="8"/>
      <c r="Q3101" s="8"/>
      <c r="R3101" s="8"/>
      <c r="S3101" s="8"/>
      <c r="T3101" s="8"/>
      <c r="U3101" s="8"/>
    </row>
    <row r="3102" spans="10:21">
      <c r="J3102" s="8"/>
      <c r="K3102" s="8"/>
      <c r="L3102" s="8"/>
      <c r="M3102" s="8"/>
      <c r="N3102" s="8"/>
      <c r="O3102" s="8"/>
      <c r="P3102" s="8"/>
      <c r="Q3102" s="8"/>
      <c r="R3102" s="8"/>
      <c r="S3102" s="8"/>
      <c r="T3102" s="8"/>
      <c r="U3102" s="8"/>
    </row>
    <row r="3103" spans="10:21">
      <c r="J3103" s="8"/>
      <c r="K3103" s="8"/>
      <c r="L3103" s="8"/>
      <c r="M3103" s="8"/>
      <c r="N3103" s="8"/>
      <c r="O3103" s="8"/>
      <c r="P3103" s="8"/>
      <c r="Q3103" s="8"/>
      <c r="R3103" s="8"/>
      <c r="S3103" s="8"/>
      <c r="T3103" s="8"/>
      <c r="U3103" s="8"/>
    </row>
    <row r="3104" spans="10:21">
      <c r="J3104" s="8"/>
      <c r="K3104" s="8"/>
      <c r="L3104" s="8"/>
      <c r="M3104" s="8"/>
      <c r="N3104" s="8"/>
      <c r="O3104" s="8"/>
      <c r="P3104" s="8"/>
      <c r="Q3104" s="8"/>
      <c r="R3104" s="8"/>
      <c r="S3104" s="8"/>
      <c r="T3104" s="8"/>
      <c r="U3104" s="8"/>
    </row>
    <row r="3105" spans="10:21">
      <c r="J3105" s="8"/>
      <c r="K3105" s="8"/>
      <c r="L3105" s="8"/>
      <c r="M3105" s="8"/>
      <c r="N3105" s="8"/>
      <c r="O3105" s="8"/>
      <c r="P3105" s="8"/>
      <c r="Q3105" s="8"/>
      <c r="R3105" s="8"/>
      <c r="S3105" s="8"/>
      <c r="T3105" s="8"/>
      <c r="U3105" s="8"/>
    </row>
    <row r="3106" spans="10:21">
      <c r="J3106" s="8"/>
      <c r="K3106" s="8"/>
      <c r="L3106" s="8"/>
      <c r="M3106" s="8"/>
      <c r="N3106" s="8"/>
      <c r="O3106" s="8"/>
      <c r="P3106" s="8"/>
      <c r="Q3106" s="8"/>
      <c r="R3106" s="8"/>
      <c r="S3106" s="8"/>
      <c r="T3106" s="8"/>
      <c r="U3106" s="8"/>
    </row>
    <row r="3107" spans="10:21">
      <c r="J3107" s="8"/>
      <c r="K3107" s="8"/>
      <c r="L3107" s="8"/>
      <c r="M3107" s="8"/>
      <c r="N3107" s="8"/>
      <c r="O3107" s="8"/>
      <c r="P3107" s="8"/>
      <c r="Q3107" s="8"/>
      <c r="R3107" s="8"/>
      <c r="S3107" s="8"/>
      <c r="T3107" s="8"/>
      <c r="U3107" s="8"/>
    </row>
    <row r="3108" spans="10:21">
      <c r="J3108" s="8"/>
      <c r="K3108" s="8"/>
      <c r="L3108" s="8"/>
      <c r="M3108" s="8"/>
      <c r="N3108" s="8"/>
      <c r="O3108" s="8"/>
      <c r="P3108" s="8"/>
      <c r="Q3108" s="8"/>
      <c r="R3108" s="8"/>
      <c r="S3108" s="8"/>
      <c r="T3108" s="8"/>
      <c r="U3108" s="8"/>
    </row>
    <row r="3109" spans="10:21">
      <c r="J3109" s="8"/>
      <c r="K3109" s="8"/>
      <c r="L3109" s="8"/>
      <c r="M3109" s="8"/>
      <c r="N3109" s="8"/>
      <c r="O3109" s="8"/>
      <c r="P3109" s="8"/>
      <c r="Q3109" s="8"/>
      <c r="R3109" s="8"/>
      <c r="S3109" s="8"/>
      <c r="T3109" s="8"/>
      <c r="U3109" s="8"/>
    </row>
    <row r="3110" spans="10:21">
      <c r="J3110" s="8"/>
      <c r="K3110" s="8"/>
      <c r="L3110" s="8"/>
      <c r="M3110" s="8"/>
      <c r="N3110" s="8"/>
      <c r="O3110" s="8"/>
      <c r="P3110" s="8"/>
      <c r="Q3110" s="8"/>
      <c r="R3110" s="8"/>
      <c r="S3110" s="8"/>
      <c r="T3110" s="8"/>
      <c r="U3110" s="8"/>
    </row>
    <row r="3111" spans="10:21">
      <c r="J3111" s="8"/>
      <c r="K3111" s="8"/>
      <c r="L3111" s="8"/>
      <c r="M3111" s="8"/>
      <c r="N3111" s="8"/>
      <c r="O3111" s="8"/>
      <c r="P3111" s="8"/>
      <c r="Q3111" s="8"/>
      <c r="R3111" s="8"/>
      <c r="S3111" s="8"/>
      <c r="T3111" s="8"/>
      <c r="U3111" s="8"/>
    </row>
    <row r="3112" spans="10:21">
      <c r="J3112" s="8"/>
      <c r="K3112" s="8"/>
      <c r="L3112" s="8"/>
      <c r="M3112" s="8"/>
      <c r="N3112" s="8"/>
      <c r="O3112" s="8"/>
      <c r="P3112" s="8"/>
      <c r="Q3112" s="8"/>
      <c r="R3112" s="8"/>
      <c r="S3112" s="8"/>
      <c r="T3112" s="8"/>
      <c r="U3112" s="8"/>
    </row>
    <row r="3113" spans="10:21">
      <c r="J3113" s="8"/>
      <c r="K3113" s="8"/>
      <c r="L3113" s="8"/>
      <c r="M3113" s="8"/>
      <c r="N3113" s="8"/>
      <c r="O3113" s="8"/>
      <c r="P3113" s="8"/>
      <c r="Q3113" s="8"/>
      <c r="R3113" s="8"/>
      <c r="S3113" s="8"/>
      <c r="T3113" s="8"/>
      <c r="U3113" s="8"/>
    </row>
    <row r="3114" spans="10:21">
      <c r="J3114" s="8"/>
      <c r="K3114" s="8"/>
      <c r="L3114" s="8"/>
      <c r="M3114" s="8"/>
      <c r="N3114" s="8"/>
      <c r="O3114" s="8"/>
      <c r="P3114" s="8"/>
      <c r="Q3114" s="8"/>
      <c r="R3114" s="8"/>
      <c r="S3114" s="8"/>
      <c r="T3114" s="8"/>
      <c r="U3114" s="8"/>
    </row>
    <row r="3115" spans="10:21">
      <c r="J3115" s="8"/>
      <c r="K3115" s="8"/>
      <c r="L3115" s="8"/>
      <c r="M3115" s="8"/>
      <c r="N3115" s="8"/>
      <c r="O3115" s="8"/>
      <c r="P3115" s="8"/>
      <c r="Q3115" s="8"/>
      <c r="R3115" s="8"/>
      <c r="S3115" s="8"/>
      <c r="T3115" s="8"/>
      <c r="U3115" s="8"/>
    </row>
    <row r="3116" spans="10:21">
      <c r="J3116" s="8"/>
      <c r="K3116" s="8"/>
      <c r="L3116" s="8"/>
      <c r="M3116" s="8"/>
      <c r="N3116" s="8"/>
      <c r="O3116" s="8"/>
      <c r="P3116" s="8"/>
      <c r="Q3116" s="8"/>
      <c r="R3116" s="8"/>
      <c r="S3116" s="8"/>
      <c r="T3116" s="8"/>
      <c r="U3116" s="8"/>
    </row>
    <row r="3117" spans="10:21">
      <c r="J3117" s="8"/>
      <c r="K3117" s="8"/>
      <c r="L3117" s="8"/>
      <c r="M3117" s="8"/>
      <c r="N3117" s="8"/>
      <c r="O3117" s="8"/>
      <c r="P3117" s="8"/>
      <c r="Q3117" s="8"/>
      <c r="R3117" s="8"/>
      <c r="S3117" s="8"/>
      <c r="T3117" s="8"/>
      <c r="U3117" s="8"/>
    </row>
    <row r="3118" spans="10:21">
      <c r="J3118" s="8"/>
      <c r="K3118" s="8"/>
      <c r="L3118" s="8"/>
      <c r="M3118" s="8"/>
      <c r="N3118" s="8"/>
      <c r="O3118" s="8"/>
      <c r="P3118" s="8"/>
      <c r="Q3118" s="8"/>
      <c r="R3118" s="8"/>
      <c r="S3118" s="8"/>
      <c r="T3118" s="8"/>
      <c r="U3118" s="8"/>
    </row>
    <row r="3119" spans="10:21">
      <c r="J3119" s="8"/>
      <c r="K3119" s="8"/>
      <c r="L3119" s="8"/>
      <c r="M3119" s="8"/>
      <c r="N3119" s="8"/>
      <c r="O3119" s="8"/>
      <c r="P3119" s="8"/>
      <c r="Q3119" s="8"/>
      <c r="R3119" s="8"/>
      <c r="S3119" s="8"/>
      <c r="T3119" s="8"/>
      <c r="U3119" s="8"/>
    </row>
    <row r="3120" spans="10:21">
      <c r="J3120" s="8"/>
      <c r="K3120" s="8"/>
      <c r="L3120" s="8"/>
      <c r="M3120" s="8"/>
      <c r="N3120" s="8"/>
      <c r="O3120" s="8"/>
      <c r="P3120" s="8"/>
      <c r="Q3120" s="8"/>
      <c r="R3120" s="8"/>
      <c r="S3120" s="8"/>
      <c r="T3120" s="8"/>
      <c r="U3120" s="8"/>
    </row>
    <row r="3121" spans="10:21">
      <c r="J3121" s="8"/>
      <c r="K3121" s="8"/>
      <c r="L3121" s="8"/>
      <c r="M3121" s="8"/>
      <c r="N3121" s="8"/>
      <c r="O3121" s="8"/>
      <c r="P3121" s="8"/>
      <c r="Q3121" s="8"/>
      <c r="R3121" s="8"/>
      <c r="S3121" s="8"/>
      <c r="T3121" s="8"/>
      <c r="U3121" s="8"/>
    </row>
    <row r="3122" spans="10:21">
      <c r="J3122" s="8"/>
      <c r="K3122" s="8"/>
      <c r="L3122" s="8"/>
      <c r="M3122" s="8"/>
      <c r="N3122" s="8"/>
      <c r="O3122" s="8"/>
      <c r="P3122" s="8"/>
      <c r="Q3122" s="8"/>
      <c r="R3122" s="8"/>
      <c r="S3122" s="8"/>
      <c r="T3122" s="8"/>
      <c r="U3122" s="8"/>
    </row>
    <row r="3123" spans="10:21">
      <c r="J3123" s="8"/>
      <c r="K3123" s="8"/>
      <c r="L3123" s="8"/>
      <c r="M3123" s="8"/>
      <c r="N3123" s="8"/>
      <c r="O3123" s="8"/>
      <c r="P3123" s="8"/>
      <c r="Q3123" s="8"/>
      <c r="R3123" s="8"/>
      <c r="S3123" s="8"/>
      <c r="T3123" s="8"/>
      <c r="U3123" s="8"/>
    </row>
    <row r="3124" spans="10:21">
      <c r="J3124" s="8"/>
      <c r="K3124" s="8"/>
      <c r="L3124" s="8"/>
      <c r="M3124" s="8"/>
      <c r="N3124" s="8"/>
      <c r="O3124" s="8"/>
      <c r="P3124" s="8"/>
      <c r="Q3124" s="8"/>
      <c r="R3124" s="8"/>
      <c r="S3124" s="8"/>
      <c r="T3124" s="8"/>
      <c r="U3124" s="8"/>
    </row>
    <row r="3125" spans="10:21">
      <c r="J3125" s="8"/>
      <c r="K3125" s="8"/>
      <c r="L3125" s="8"/>
      <c r="M3125" s="8"/>
      <c r="N3125" s="8"/>
      <c r="O3125" s="8"/>
      <c r="P3125" s="8"/>
      <c r="Q3125" s="8"/>
      <c r="R3125" s="8"/>
      <c r="S3125" s="8"/>
      <c r="T3125" s="8"/>
      <c r="U3125" s="8"/>
    </row>
    <row r="3126" spans="10:21">
      <c r="J3126" s="8"/>
      <c r="K3126" s="8"/>
      <c r="L3126" s="8"/>
      <c r="M3126" s="8"/>
      <c r="N3126" s="8"/>
      <c r="O3126" s="8"/>
      <c r="P3126" s="8"/>
      <c r="Q3126" s="8"/>
      <c r="R3126" s="8"/>
      <c r="S3126" s="8"/>
      <c r="T3126" s="8"/>
      <c r="U3126" s="8"/>
    </row>
    <row r="3127" spans="10:21">
      <c r="J3127" s="8"/>
      <c r="K3127" s="8"/>
      <c r="L3127" s="8"/>
      <c r="M3127" s="8"/>
      <c r="N3127" s="8"/>
      <c r="O3127" s="8"/>
      <c r="P3127" s="8"/>
      <c r="Q3127" s="8"/>
      <c r="R3127" s="8"/>
      <c r="S3127" s="8"/>
      <c r="T3127" s="8"/>
      <c r="U3127" s="8"/>
    </row>
    <row r="3128" spans="10:21">
      <c r="J3128" s="8"/>
      <c r="K3128" s="8"/>
      <c r="L3128" s="8"/>
      <c r="M3128" s="8"/>
      <c r="N3128" s="8"/>
      <c r="O3128" s="8"/>
      <c r="P3128" s="8"/>
      <c r="Q3128" s="8"/>
      <c r="R3128" s="8"/>
      <c r="S3128" s="8"/>
      <c r="T3128" s="8"/>
      <c r="U3128" s="8"/>
    </row>
    <row r="3129" spans="10:21">
      <c r="J3129" s="8"/>
      <c r="K3129" s="8"/>
      <c r="L3129" s="8"/>
      <c r="M3129" s="8"/>
      <c r="N3129" s="8"/>
      <c r="O3129" s="8"/>
      <c r="P3129" s="8"/>
      <c r="Q3129" s="8"/>
      <c r="R3129" s="8"/>
      <c r="S3129" s="8"/>
      <c r="T3129" s="8"/>
      <c r="U3129" s="8"/>
    </row>
    <row r="3130" spans="10:21">
      <c r="J3130" s="8"/>
      <c r="K3130" s="8"/>
      <c r="L3130" s="8"/>
      <c r="M3130" s="8"/>
      <c r="N3130" s="8"/>
      <c r="O3130" s="8"/>
      <c r="P3130" s="8"/>
      <c r="Q3130" s="8"/>
      <c r="R3130" s="8"/>
      <c r="S3130" s="8"/>
      <c r="T3130" s="8"/>
      <c r="U3130" s="8"/>
    </row>
    <row r="3131" spans="10:21">
      <c r="J3131" s="8"/>
      <c r="K3131" s="8"/>
      <c r="L3131" s="8"/>
      <c r="M3131" s="8"/>
      <c r="N3131" s="8"/>
      <c r="O3131" s="8"/>
      <c r="P3131" s="8"/>
      <c r="Q3131" s="8"/>
      <c r="R3131" s="8"/>
      <c r="S3131" s="8"/>
      <c r="T3131" s="8"/>
      <c r="U3131" s="8"/>
    </row>
    <row r="3132" spans="10:21">
      <c r="J3132" s="8"/>
      <c r="K3132" s="8"/>
      <c r="L3132" s="8"/>
      <c r="M3132" s="8"/>
      <c r="N3132" s="8"/>
      <c r="O3132" s="8"/>
      <c r="P3132" s="8"/>
      <c r="Q3132" s="8"/>
      <c r="R3132" s="8"/>
      <c r="S3132" s="8"/>
      <c r="T3132" s="8"/>
      <c r="U3132" s="8"/>
    </row>
    <row r="3133" spans="10:21">
      <c r="J3133" s="8"/>
      <c r="K3133" s="8"/>
      <c r="L3133" s="8"/>
      <c r="M3133" s="8"/>
      <c r="N3133" s="8"/>
      <c r="O3133" s="8"/>
      <c r="P3133" s="8"/>
      <c r="Q3133" s="8"/>
      <c r="R3133" s="8"/>
      <c r="S3133" s="8"/>
      <c r="T3133" s="8"/>
      <c r="U3133" s="8"/>
    </row>
    <row r="3134" spans="10:21">
      <c r="J3134" s="8"/>
      <c r="K3134" s="8"/>
      <c r="L3134" s="8"/>
      <c r="M3134" s="8"/>
      <c r="N3134" s="8"/>
      <c r="O3134" s="8"/>
      <c r="P3134" s="8"/>
      <c r="Q3134" s="8"/>
      <c r="R3134" s="8"/>
      <c r="S3134" s="8"/>
      <c r="T3134" s="8"/>
      <c r="U3134" s="8"/>
    </row>
    <row r="3135" spans="10:21">
      <c r="J3135" s="8"/>
      <c r="K3135" s="8"/>
      <c r="L3135" s="8"/>
      <c r="M3135" s="8"/>
      <c r="N3135" s="8"/>
      <c r="O3135" s="8"/>
      <c r="P3135" s="8"/>
      <c r="Q3135" s="8"/>
      <c r="R3135" s="8"/>
      <c r="S3135" s="8"/>
      <c r="T3135" s="8"/>
      <c r="U3135" s="8"/>
    </row>
    <row r="3136" spans="10:21">
      <c r="J3136" s="8"/>
      <c r="K3136" s="8"/>
      <c r="L3136" s="8"/>
      <c r="M3136" s="8"/>
      <c r="N3136" s="8"/>
      <c r="O3136" s="8"/>
      <c r="P3136" s="8"/>
      <c r="Q3136" s="8"/>
      <c r="R3136" s="8"/>
      <c r="S3136" s="8"/>
      <c r="T3136" s="8"/>
      <c r="U3136" s="8"/>
    </row>
    <row r="3137" spans="10:21">
      <c r="J3137" s="8"/>
      <c r="K3137" s="8"/>
      <c r="L3137" s="8"/>
      <c r="M3137" s="8"/>
      <c r="N3137" s="8"/>
      <c r="O3137" s="8"/>
      <c r="P3137" s="8"/>
      <c r="Q3137" s="8"/>
      <c r="R3137" s="8"/>
      <c r="S3137" s="8"/>
      <c r="T3137" s="8"/>
      <c r="U3137" s="8"/>
    </row>
    <row r="3138" spans="10:21">
      <c r="J3138" s="8"/>
      <c r="K3138" s="8"/>
      <c r="L3138" s="8"/>
      <c r="M3138" s="8"/>
      <c r="N3138" s="8"/>
      <c r="O3138" s="8"/>
      <c r="P3138" s="8"/>
      <c r="Q3138" s="8"/>
      <c r="R3138" s="8"/>
      <c r="S3138" s="8"/>
      <c r="T3138" s="8"/>
      <c r="U3138" s="8"/>
    </row>
    <row r="3139" spans="10:21">
      <c r="J3139" s="8"/>
      <c r="K3139" s="8"/>
      <c r="L3139" s="8"/>
      <c r="M3139" s="8"/>
      <c r="N3139" s="8"/>
      <c r="O3139" s="8"/>
      <c r="P3139" s="8"/>
      <c r="Q3139" s="8"/>
      <c r="R3139" s="8"/>
      <c r="S3139" s="8"/>
      <c r="T3139" s="8"/>
      <c r="U3139" s="8"/>
    </row>
    <row r="3140" spans="10:21">
      <c r="J3140" s="8"/>
      <c r="K3140" s="8"/>
      <c r="L3140" s="8"/>
      <c r="M3140" s="8"/>
      <c r="N3140" s="8"/>
      <c r="O3140" s="8"/>
      <c r="P3140" s="8"/>
      <c r="Q3140" s="8"/>
      <c r="R3140" s="8"/>
      <c r="S3140" s="8"/>
      <c r="T3140" s="8"/>
      <c r="U3140" s="8"/>
    </row>
    <row r="3141" spans="10:21">
      <c r="J3141" s="8"/>
      <c r="K3141" s="8"/>
      <c r="L3141" s="8"/>
      <c r="M3141" s="8"/>
      <c r="N3141" s="8"/>
      <c r="O3141" s="8"/>
      <c r="P3141" s="8"/>
      <c r="Q3141" s="8"/>
      <c r="R3141" s="8"/>
      <c r="S3141" s="8"/>
      <c r="T3141" s="8"/>
      <c r="U3141" s="8"/>
    </row>
    <row r="3142" spans="10:21">
      <c r="J3142" s="8"/>
      <c r="K3142" s="8"/>
      <c r="L3142" s="8"/>
      <c r="M3142" s="8"/>
      <c r="N3142" s="8"/>
      <c r="O3142" s="8"/>
      <c r="P3142" s="8"/>
      <c r="Q3142" s="8"/>
      <c r="R3142" s="8"/>
      <c r="S3142" s="8"/>
      <c r="T3142" s="8"/>
      <c r="U3142" s="8"/>
    </row>
    <row r="3143" spans="10:21">
      <c r="J3143" s="8"/>
      <c r="K3143" s="8"/>
      <c r="L3143" s="8"/>
      <c r="M3143" s="8"/>
      <c r="N3143" s="8"/>
      <c r="O3143" s="8"/>
      <c r="P3143" s="8"/>
      <c r="Q3143" s="8"/>
      <c r="R3143" s="8"/>
      <c r="S3143" s="8"/>
      <c r="T3143" s="8"/>
      <c r="U3143" s="8"/>
    </row>
    <row r="3144" spans="10:21">
      <c r="J3144" s="8"/>
      <c r="K3144" s="8"/>
      <c r="L3144" s="8"/>
      <c r="M3144" s="8"/>
      <c r="N3144" s="8"/>
      <c r="O3144" s="8"/>
      <c r="P3144" s="8"/>
      <c r="Q3144" s="8"/>
      <c r="R3144" s="8"/>
      <c r="S3144" s="8"/>
      <c r="T3144" s="8"/>
      <c r="U3144" s="8"/>
    </row>
    <row r="3145" spans="10:21">
      <c r="J3145" s="8"/>
      <c r="K3145" s="8"/>
      <c r="L3145" s="8"/>
      <c r="M3145" s="8"/>
      <c r="N3145" s="8"/>
      <c r="O3145" s="8"/>
      <c r="P3145" s="8"/>
      <c r="Q3145" s="8"/>
      <c r="R3145" s="8"/>
      <c r="S3145" s="8"/>
      <c r="T3145" s="8"/>
      <c r="U3145" s="8"/>
    </row>
    <row r="3146" spans="10:21">
      <c r="J3146" s="8"/>
      <c r="K3146" s="8"/>
      <c r="L3146" s="8"/>
      <c r="M3146" s="8"/>
      <c r="N3146" s="8"/>
      <c r="O3146" s="8"/>
      <c r="P3146" s="8"/>
      <c r="Q3146" s="8"/>
      <c r="R3146" s="8"/>
      <c r="S3146" s="8"/>
      <c r="T3146" s="8"/>
      <c r="U3146" s="8"/>
    </row>
    <row r="3147" spans="10:21">
      <c r="J3147" s="8"/>
      <c r="K3147" s="8"/>
      <c r="L3147" s="8"/>
      <c r="M3147" s="8"/>
      <c r="N3147" s="8"/>
      <c r="O3147" s="8"/>
      <c r="P3147" s="8"/>
      <c r="Q3147" s="8"/>
      <c r="R3147" s="8"/>
      <c r="S3147" s="8"/>
      <c r="T3147" s="8"/>
      <c r="U3147" s="8"/>
    </row>
    <row r="3148" spans="10:21">
      <c r="J3148" s="8"/>
      <c r="K3148" s="8"/>
      <c r="L3148" s="8"/>
      <c r="M3148" s="8"/>
      <c r="N3148" s="8"/>
      <c r="O3148" s="8"/>
      <c r="P3148" s="8"/>
      <c r="Q3148" s="8"/>
      <c r="R3148" s="8"/>
      <c r="S3148" s="8"/>
      <c r="T3148" s="8"/>
      <c r="U3148" s="8"/>
    </row>
    <row r="3149" spans="10:21">
      <c r="J3149" s="8"/>
      <c r="K3149" s="8"/>
      <c r="L3149" s="8"/>
      <c r="M3149" s="8"/>
      <c r="N3149" s="8"/>
      <c r="O3149" s="8"/>
      <c r="P3149" s="8"/>
      <c r="Q3149" s="8"/>
      <c r="R3149" s="8"/>
      <c r="S3149" s="8"/>
      <c r="T3149" s="8"/>
      <c r="U3149" s="8"/>
    </row>
    <row r="3150" spans="10:21">
      <c r="J3150" s="8"/>
      <c r="K3150" s="8"/>
      <c r="L3150" s="8"/>
      <c r="M3150" s="8"/>
      <c r="N3150" s="8"/>
      <c r="O3150" s="8"/>
      <c r="P3150" s="8"/>
      <c r="Q3150" s="8"/>
      <c r="R3150" s="8"/>
      <c r="S3150" s="8"/>
      <c r="T3150" s="8"/>
      <c r="U3150" s="8"/>
    </row>
    <row r="3151" spans="10:21">
      <c r="J3151" s="8"/>
      <c r="K3151" s="8"/>
      <c r="L3151" s="8"/>
      <c r="M3151" s="8"/>
      <c r="N3151" s="8"/>
      <c r="O3151" s="8"/>
      <c r="P3151" s="8"/>
      <c r="Q3151" s="8"/>
      <c r="R3151" s="8"/>
      <c r="S3151" s="8"/>
      <c r="T3151" s="8"/>
      <c r="U3151" s="8"/>
    </row>
    <row r="3152" spans="10:21">
      <c r="J3152" s="8"/>
      <c r="K3152" s="8"/>
      <c r="L3152" s="8"/>
      <c r="M3152" s="8"/>
      <c r="N3152" s="8"/>
      <c r="O3152" s="8"/>
      <c r="P3152" s="8"/>
      <c r="Q3152" s="8"/>
      <c r="R3152" s="8"/>
      <c r="S3152" s="8"/>
      <c r="T3152" s="8"/>
      <c r="U3152" s="8"/>
    </row>
    <row r="3153" spans="10:21">
      <c r="J3153" s="8"/>
      <c r="K3153" s="8"/>
      <c r="L3153" s="8"/>
      <c r="M3153" s="8"/>
      <c r="N3153" s="8"/>
      <c r="O3153" s="8"/>
      <c r="P3153" s="8"/>
      <c r="Q3153" s="8"/>
      <c r="R3153" s="8"/>
      <c r="S3153" s="8"/>
      <c r="T3153" s="8"/>
      <c r="U3153" s="8"/>
    </row>
    <row r="3154" spans="10:21">
      <c r="J3154" s="8"/>
      <c r="K3154" s="8"/>
      <c r="L3154" s="8"/>
      <c r="M3154" s="8"/>
      <c r="N3154" s="8"/>
      <c r="O3154" s="8"/>
      <c r="P3154" s="8"/>
      <c r="Q3154" s="8"/>
      <c r="R3154" s="8"/>
      <c r="S3154" s="8"/>
      <c r="T3154" s="8"/>
      <c r="U3154" s="8"/>
    </row>
    <row r="3155" spans="10:21">
      <c r="J3155" s="8"/>
      <c r="K3155" s="8"/>
      <c r="L3155" s="8"/>
      <c r="M3155" s="8"/>
      <c r="N3155" s="8"/>
      <c r="O3155" s="8"/>
      <c r="P3155" s="8"/>
      <c r="Q3155" s="8"/>
      <c r="R3155" s="8"/>
      <c r="S3155" s="8"/>
      <c r="T3155" s="8"/>
      <c r="U3155" s="8"/>
    </row>
    <row r="3156" spans="10:21">
      <c r="J3156" s="8"/>
      <c r="K3156" s="8"/>
      <c r="L3156" s="8"/>
      <c r="M3156" s="8"/>
      <c r="N3156" s="8"/>
      <c r="O3156" s="8"/>
      <c r="P3156" s="8"/>
      <c r="Q3156" s="8"/>
      <c r="R3156" s="8"/>
      <c r="S3156" s="8"/>
      <c r="T3156" s="8"/>
      <c r="U3156" s="8"/>
    </row>
    <row r="3157" spans="10:21">
      <c r="J3157" s="8"/>
      <c r="K3157" s="8"/>
      <c r="L3157" s="8"/>
      <c r="M3157" s="8"/>
      <c r="N3157" s="8"/>
      <c r="O3157" s="8"/>
      <c r="P3157" s="8"/>
      <c r="Q3157" s="8"/>
      <c r="R3157" s="8"/>
      <c r="S3157" s="8"/>
      <c r="T3157" s="8"/>
      <c r="U3157" s="8"/>
    </row>
    <row r="3158" spans="10:21">
      <c r="J3158" s="8"/>
      <c r="K3158" s="8"/>
      <c r="L3158" s="8"/>
      <c r="M3158" s="8"/>
      <c r="N3158" s="8"/>
      <c r="O3158" s="8"/>
      <c r="P3158" s="8"/>
      <c r="Q3158" s="8"/>
      <c r="R3158" s="8"/>
      <c r="S3158" s="8"/>
      <c r="T3158" s="8"/>
      <c r="U3158" s="8"/>
    </row>
    <row r="3159" spans="10:21">
      <c r="J3159" s="8"/>
      <c r="K3159" s="8"/>
      <c r="L3159" s="8"/>
      <c r="M3159" s="8"/>
      <c r="N3159" s="8"/>
      <c r="O3159" s="8"/>
      <c r="P3159" s="8"/>
      <c r="Q3159" s="8"/>
      <c r="R3159" s="8"/>
      <c r="S3159" s="8"/>
      <c r="T3159" s="8"/>
      <c r="U3159" s="8"/>
    </row>
    <row r="3160" spans="10:21">
      <c r="J3160" s="8"/>
      <c r="K3160" s="8"/>
      <c r="L3160" s="8"/>
      <c r="M3160" s="8"/>
      <c r="N3160" s="8"/>
      <c r="O3160" s="8"/>
      <c r="P3160" s="8"/>
      <c r="Q3160" s="8"/>
      <c r="R3160" s="8"/>
      <c r="S3160" s="8"/>
      <c r="T3160" s="8"/>
      <c r="U3160" s="8"/>
    </row>
    <row r="3161" spans="10:21">
      <c r="J3161" s="8"/>
      <c r="K3161" s="8"/>
      <c r="L3161" s="8"/>
      <c r="M3161" s="8"/>
      <c r="N3161" s="8"/>
      <c r="O3161" s="8"/>
      <c r="P3161" s="8"/>
      <c r="Q3161" s="8"/>
      <c r="R3161" s="8"/>
      <c r="S3161" s="8"/>
      <c r="T3161" s="8"/>
      <c r="U3161" s="8"/>
    </row>
    <row r="3162" spans="10:21">
      <c r="J3162" s="8"/>
      <c r="K3162" s="8"/>
      <c r="L3162" s="8"/>
      <c r="M3162" s="8"/>
      <c r="N3162" s="8"/>
      <c r="O3162" s="8"/>
      <c r="P3162" s="8"/>
      <c r="Q3162" s="8"/>
      <c r="R3162" s="8"/>
      <c r="S3162" s="8"/>
      <c r="T3162" s="8"/>
      <c r="U3162" s="8"/>
    </row>
    <row r="3163" spans="10:21">
      <c r="J3163" s="8"/>
      <c r="K3163" s="8"/>
      <c r="L3163" s="8"/>
      <c r="M3163" s="8"/>
      <c r="N3163" s="8"/>
      <c r="O3163" s="8"/>
      <c r="P3163" s="8"/>
      <c r="Q3163" s="8"/>
      <c r="R3163" s="8"/>
      <c r="S3163" s="8"/>
      <c r="T3163" s="8"/>
      <c r="U3163" s="8"/>
    </row>
    <row r="3164" spans="10:21">
      <c r="J3164" s="8"/>
      <c r="K3164" s="8"/>
      <c r="L3164" s="8"/>
      <c r="M3164" s="8"/>
      <c r="N3164" s="8"/>
      <c r="O3164" s="8"/>
      <c r="P3164" s="8"/>
      <c r="Q3164" s="8"/>
      <c r="R3164" s="8"/>
      <c r="S3164" s="8"/>
      <c r="T3164" s="8"/>
      <c r="U3164" s="8"/>
    </row>
    <row r="3165" spans="10:21">
      <c r="J3165" s="8"/>
      <c r="K3165" s="8"/>
      <c r="L3165" s="8"/>
      <c r="M3165" s="8"/>
      <c r="N3165" s="8"/>
      <c r="O3165" s="8"/>
      <c r="P3165" s="8"/>
      <c r="Q3165" s="8"/>
      <c r="R3165" s="8"/>
      <c r="S3165" s="8"/>
      <c r="T3165" s="8"/>
      <c r="U3165" s="8"/>
    </row>
    <row r="3166" spans="10:21">
      <c r="J3166" s="8"/>
      <c r="K3166" s="8"/>
      <c r="L3166" s="8"/>
      <c r="M3166" s="8"/>
      <c r="N3166" s="8"/>
      <c r="O3166" s="8"/>
      <c r="P3166" s="8"/>
      <c r="Q3166" s="8"/>
      <c r="R3166" s="8"/>
      <c r="S3166" s="8"/>
      <c r="T3166" s="8"/>
      <c r="U3166" s="8"/>
    </row>
    <row r="3167" spans="10:21">
      <c r="J3167" s="8"/>
      <c r="K3167" s="8"/>
      <c r="L3167" s="8"/>
      <c r="M3167" s="8"/>
      <c r="N3167" s="8"/>
      <c r="O3167" s="8"/>
      <c r="P3167" s="8"/>
      <c r="Q3167" s="8"/>
      <c r="R3167" s="8"/>
      <c r="S3167" s="8"/>
      <c r="T3167" s="8"/>
      <c r="U3167" s="8"/>
    </row>
    <row r="3168" spans="10:21">
      <c r="J3168" s="8"/>
      <c r="K3168" s="8"/>
      <c r="L3168" s="8"/>
      <c r="M3168" s="8"/>
      <c r="N3168" s="8"/>
      <c r="O3168" s="8"/>
      <c r="P3168" s="8"/>
      <c r="Q3168" s="8"/>
      <c r="R3168" s="8"/>
      <c r="S3168" s="8"/>
      <c r="T3168" s="8"/>
      <c r="U3168" s="8"/>
    </row>
    <row r="3169" spans="10:21">
      <c r="J3169" s="8"/>
      <c r="K3169" s="8"/>
      <c r="L3169" s="8"/>
      <c r="M3169" s="8"/>
      <c r="N3169" s="8"/>
      <c r="O3169" s="8"/>
      <c r="P3169" s="8"/>
      <c r="Q3169" s="8"/>
      <c r="R3169" s="8"/>
      <c r="S3169" s="8"/>
      <c r="T3169" s="8"/>
      <c r="U3169" s="8"/>
    </row>
    <row r="3170" spans="10:21">
      <c r="J3170" s="8"/>
      <c r="K3170" s="8"/>
      <c r="L3170" s="8"/>
      <c r="M3170" s="8"/>
      <c r="N3170" s="8"/>
      <c r="O3170" s="8"/>
      <c r="P3170" s="8"/>
      <c r="Q3170" s="8"/>
      <c r="R3170" s="8"/>
      <c r="S3170" s="8"/>
      <c r="T3170" s="8"/>
      <c r="U3170" s="8"/>
    </row>
    <row r="3171" spans="10:21">
      <c r="J3171" s="8"/>
      <c r="K3171" s="8"/>
      <c r="L3171" s="8"/>
      <c r="M3171" s="8"/>
      <c r="N3171" s="8"/>
      <c r="O3171" s="8"/>
      <c r="P3171" s="8"/>
      <c r="Q3171" s="8"/>
      <c r="R3171" s="8"/>
      <c r="S3171" s="8"/>
      <c r="T3171" s="8"/>
      <c r="U3171" s="8"/>
    </row>
    <row r="3172" spans="10:21">
      <c r="J3172" s="8"/>
      <c r="K3172" s="8"/>
      <c r="L3172" s="8"/>
      <c r="M3172" s="8"/>
      <c r="N3172" s="8"/>
      <c r="O3172" s="8"/>
      <c r="P3172" s="8"/>
      <c r="Q3172" s="8"/>
      <c r="R3172" s="8"/>
      <c r="S3172" s="8"/>
      <c r="T3172" s="8"/>
      <c r="U3172" s="8"/>
    </row>
    <row r="3173" spans="10:21">
      <c r="J3173" s="8"/>
      <c r="K3173" s="8"/>
      <c r="L3173" s="8"/>
      <c r="M3173" s="8"/>
      <c r="N3173" s="8"/>
      <c r="O3173" s="8"/>
      <c r="P3173" s="8"/>
      <c r="Q3173" s="8"/>
      <c r="R3173" s="8"/>
      <c r="S3173" s="8"/>
      <c r="T3173" s="8"/>
      <c r="U3173" s="8"/>
    </row>
    <row r="3174" spans="10:21">
      <c r="J3174" s="8"/>
      <c r="K3174" s="8"/>
      <c r="L3174" s="8"/>
      <c r="M3174" s="8"/>
      <c r="N3174" s="8"/>
      <c r="O3174" s="8"/>
      <c r="P3174" s="8"/>
      <c r="Q3174" s="8"/>
      <c r="R3174" s="8"/>
      <c r="S3174" s="8"/>
      <c r="T3174" s="8"/>
      <c r="U3174" s="8"/>
    </row>
    <row r="3175" spans="10:21">
      <c r="J3175" s="8"/>
      <c r="K3175" s="8"/>
      <c r="L3175" s="8"/>
      <c r="M3175" s="8"/>
      <c r="N3175" s="8"/>
      <c r="O3175" s="8"/>
      <c r="P3175" s="8"/>
      <c r="Q3175" s="8"/>
      <c r="R3175" s="8"/>
      <c r="S3175" s="8"/>
      <c r="T3175" s="8"/>
      <c r="U3175" s="8"/>
    </row>
    <row r="3176" spans="10:21">
      <c r="J3176" s="8"/>
      <c r="K3176" s="8"/>
      <c r="L3176" s="8"/>
      <c r="M3176" s="8"/>
      <c r="N3176" s="8"/>
      <c r="O3176" s="8"/>
      <c r="P3176" s="8"/>
      <c r="Q3176" s="8"/>
      <c r="R3176" s="8"/>
      <c r="S3176" s="8"/>
      <c r="T3176" s="8"/>
      <c r="U3176" s="8"/>
    </row>
    <row r="3177" spans="10:21">
      <c r="J3177" s="8"/>
      <c r="K3177" s="8"/>
      <c r="L3177" s="8"/>
      <c r="M3177" s="8"/>
      <c r="N3177" s="8"/>
      <c r="O3177" s="8"/>
      <c r="P3177" s="8"/>
      <c r="Q3177" s="8"/>
      <c r="R3177" s="8"/>
      <c r="S3177" s="8"/>
      <c r="T3177" s="8"/>
      <c r="U3177" s="8"/>
    </row>
    <row r="3178" spans="10:21">
      <c r="J3178" s="8"/>
      <c r="K3178" s="8"/>
      <c r="L3178" s="8"/>
      <c r="M3178" s="8"/>
      <c r="N3178" s="8"/>
      <c r="O3178" s="8"/>
      <c r="P3178" s="8"/>
      <c r="Q3178" s="8"/>
      <c r="R3178" s="8"/>
      <c r="S3178" s="8"/>
      <c r="T3178" s="8"/>
      <c r="U3178" s="8"/>
    </row>
    <row r="3179" spans="10:21">
      <c r="J3179" s="8"/>
      <c r="K3179" s="8"/>
      <c r="L3179" s="8"/>
      <c r="M3179" s="8"/>
      <c r="N3179" s="8"/>
      <c r="O3179" s="8"/>
      <c r="P3179" s="8"/>
      <c r="Q3179" s="8"/>
      <c r="R3179" s="8"/>
      <c r="S3179" s="8"/>
      <c r="T3179" s="8"/>
      <c r="U3179" s="8"/>
    </row>
    <row r="3180" spans="10:21">
      <c r="J3180" s="8"/>
      <c r="K3180" s="8"/>
      <c r="L3180" s="8"/>
      <c r="M3180" s="8"/>
      <c r="N3180" s="8"/>
      <c r="O3180" s="8"/>
      <c r="P3180" s="8"/>
      <c r="Q3180" s="8"/>
      <c r="R3180" s="8"/>
      <c r="S3180" s="8"/>
      <c r="T3180" s="8"/>
      <c r="U3180" s="8"/>
    </row>
    <row r="3181" spans="10:21">
      <c r="J3181" s="8"/>
      <c r="K3181" s="8"/>
      <c r="L3181" s="8"/>
      <c r="M3181" s="8"/>
      <c r="N3181" s="8"/>
      <c r="O3181" s="8"/>
      <c r="P3181" s="8"/>
      <c r="Q3181" s="8"/>
      <c r="R3181" s="8"/>
      <c r="S3181" s="8"/>
      <c r="T3181" s="8"/>
      <c r="U3181" s="8"/>
    </row>
    <row r="3182" spans="10:21">
      <c r="J3182" s="8"/>
      <c r="K3182" s="8"/>
      <c r="L3182" s="8"/>
      <c r="M3182" s="8"/>
      <c r="N3182" s="8"/>
      <c r="O3182" s="8"/>
      <c r="P3182" s="8"/>
      <c r="Q3182" s="8"/>
      <c r="R3182" s="8"/>
      <c r="S3182" s="8"/>
      <c r="T3182" s="8"/>
      <c r="U3182" s="8"/>
    </row>
    <row r="3183" spans="10:21">
      <c r="J3183" s="8"/>
      <c r="K3183" s="8"/>
      <c r="L3183" s="8"/>
      <c r="M3183" s="8"/>
      <c r="N3183" s="8"/>
      <c r="O3183" s="8"/>
      <c r="P3183" s="8"/>
      <c r="Q3183" s="8"/>
      <c r="R3183" s="8"/>
      <c r="S3183" s="8"/>
      <c r="T3183" s="8"/>
      <c r="U3183" s="8"/>
    </row>
    <row r="3184" spans="10:21">
      <c r="J3184" s="8"/>
      <c r="K3184" s="8"/>
      <c r="L3184" s="8"/>
      <c r="M3184" s="8"/>
      <c r="N3184" s="8"/>
      <c r="O3184" s="8"/>
      <c r="P3184" s="8"/>
      <c r="Q3184" s="8"/>
      <c r="R3184" s="8"/>
      <c r="S3184" s="8"/>
      <c r="T3184" s="8"/>
      <c r="U3184" s="8"/>
    </row>
    <row r="3185" spans="10:21">
      <c r="J3185" s="8"/>
      <c r="K3185" s="8"/>
      <c r="L3185" s="8"/>
      <c r="M3185" s="8"/>
      <c r="N3185" s="8"/>
      <c r="O3185" s="8"/>
      <c r="P3185" s="8"/>
      <c r="Q3185" s="8"/>
      <c r="R3185" s="8"/>
      <c r="S3185" s="8"/>
      <c r="T3185" s="8"/>
      <c r="U3185" s="8"/>
    </row>
    <row r="3186" spans="10:21">
      <c r="J3186" s="8"/>
      <c r="K3186" s="8"/>
      <c r="L3186" s="8"/>
      <c r="M3186" s="8"/>
      <c r="N3186" s="8"/>
      <c r="O3186" s="8"/>
      <c r="P3186" s="8"/>
      <c r="Q3186" s="8"/>
      <c r="R3186" s="8"/>
      <c r="S3186" s="8"/>
      <c r="T3186" s="8"/>
      <c r="U3186" s="8"/>
    </row>
    <row r="3187" spans="10:21">
      <c r="J3187" s="8"/>
      <c r="K3187" s="8"/>
      <c r="L3187" s="8"/>
      <c r="M3187" s="8"/>
      <c r="N3187" s="8"/>
      <c r="O3187" s="8"/>
      <c r="P3187" s="8"/>
      <c r="Q3187" s="8"/>
      <c r="R3187" s="8"/>
      <c r="S3187" s="8"/>
      <c r="T3187" s="8"/>
      <c r="U3187" s="8"/>
    </row>
    <row r="3188" spans="10:21">
      <c r="J3188" s="8"/>
      <c r="K3188" s="8"/>
      <c r="L3188" s="8"/>
      <c r="M3188" s="8"/>
      <c r="N3188" s="8"/>
      <c r="O3188" s="8"/>
      <c r="P3188" s="8"/>
      <c r="Q3188" s="8"/>
      <c r="R3188" s="8"/>
      <c r="S3188" s="8"/>
      <c r="T3188" s="8"/>
      <c r="U3188" s="8"/>
    </row>
    <row r="3189" spans="10:21">
      <c r="J3189" s="8"/>
      <c r="K3189" s="8"/>
      <c r="L3189" s="8"/>
      <c r="M3189" s="8"/>
      <c r="N3189" s="8"/>
      <c r="O3189" s="8"/>
      <c r="P3189" s="8"/>
      <c r="Q3189" s="8"/>
      <c r="R3189" s="8"/>
      <c r="S3189" s="8"/>
      <c r="T3189" s="8"/>
      <c r="U3189" s="8"/>
    </row>
    <row r="3190" spans="10:21">
      <c r="J3190" s="8"/>
      <c r="K3190" s="8"/>
      <c r="L3190" s="8"/>
      <c r="M3190" s="8"/>
      <c r="N3190" s="8"/>
      <c r="O3190" s="8"/>
      <c r="P3190" s="8"/>
      <c r="Q3190" s="8"/>
      <c r="R3190" s="8"/>
      <c r="S3190" s="8"/>
      <c r="T3190" s="8"/>
      <c r="U3190" s="8"/>
    </row>
    <row r="3191" spans="10:21">
      <c r="J3191" s="8"/>
      <c r="K3191" s="8"/>
      <c r="L3191" s="8"/>
      <c r="M3191" s="8"/>
      <c r="N3191" s="8"/>
      <c r="O3191" s="8"/>
      <c r="P3191" s="8"/>
      <c r="Q3191" s="8"/>
      <c r="R3191" s="8"/>
      <c r="S3191" s="8"/>
      <c r="T3191" s="8"/>
      <c r="U3191" s="8"/>
    </row>
    <row r="3192" spans="10:21">
      <c r="J3192" s="8"/>
      <c r="K3192" s="8"/>
      <c r="L3192" s="8"/>
      <c r="M3192" s="8"/>
      <c r="N3192" s="8"/>
      <c r="O3192" s="8"/>
      <c r="P3192" s="8"/>
      <c r="Q3192" s="8"/>
      <c r="R3192" s="8"/>
      <c r="S3192" s="8"/>
      <c r="T3192" s="8"/>
      <c r="U3192" s="8"/>
    </row>
    <row r="3193" spans="10:21">
      <c r="J3193" s="8"/>
      <c r="K3193" s="8"/>
      <c r="L3193" s="8"/>
      <c r="M3193" s="8"/>
      <c r="N3193" s="8"/>
      <c r="O3193" s="8"/>
      <c r="P3193" s="8"/>
      <c r="Q3193" s="8"/>
      <c r="R3193" s="8"/>
      <c r="S3193" s="8"/>
      <c r="T3193" s="8"/>
      <c r="U3193" s="8"/>
    </row>
    <row r="3194" spans="10:21">
      <c r="J3194" s="8"/>
      <c r="K3194" s="8"/>
      <c r="L3194" s="8"/>
      <c r="M3194" s="8"/>
      <c r="N3194" s="8"/>
      <c r="O3194" s="8"/>
      <c r="P3194" s="8"/>
      <c r="Q3194" s="8"/>
      <c r="R3194" s="8"/>
      <c r="S3194" s="8"/>
      <c r="T3194" s="8"/>
      <c r="U3194" s="8"/>
    </row>
    <row r="3195" spans="10:21">
      <c r="J3195" s="8"/>
      <c r="K3195" s="8"/>
      <c r="L3195" s="8"/>
      <c r="M3195" s="8"/>
      <c r="N3195" s="8"/>
      <c r="O3195" s="8"/>
      <c r="P3195" s="8"/>
      <c r="Q3195" s="8"/>
      <c r="R3195" s="8"/>
      <c r="S3195" s="8"/>
      <c r="T3195" s="8"/>
      <c r="U3195" s="8"/>
    </row>
    <row r="3196" spans="10:21">
      <c r="J3196" s="8"/>
      <c r="K3196" s="8"/>
      <c r="L3196" s="8"/>
      <c r="M3196" s="8"/>
      <c r="N3196" s="8"/>
      <c r="O3196" s="8"/>
      <c r="P3196" s="8"/>
      <c r="Q3196" s="8"/>
      <c r="R3196" s="8"/>
      <c r="S3196" s="8"/>
      <c r="T3196" s="8"/>
      <c r="U3196" s="8"/>
    </row>
    <row r="3197" spans="10:21">
      <c r="J3197" s="8"/>
      <c r="K3197" s="8"/>
      <c r="L3197" s="8"/>
      <c r="M3197" s="8"/>
      <c r="N3197" s="8"/>
      <c r="O3197" s="8"/>
      <c r="P3197" s="8"/>
      <c r="Q3197" s="8"/>
      <c r="R3197" s="8"/>
      <c r="S3197" s="8"/>
      <c r="T3197" s="8"/>
      <c r="U3197" s="8"/>
    </row>
    <row r="3198" spans="10:21">
      <c r="J3198" s="8"/>
      <c r="K3198" s="8"/>
      <c r="L3198" s="8"/>
      <c r="M3198" s="8"/>
      <c r="N3198" s="8"/>
      <c r="O3198" s="8"/>
      <c r="P3198" s="8"/>
      <c r="Q3198" s="8"/>
      <c r="R3198" s="8"/>
      <c r="S3198" s="8"/>
      <c r="T3198" s="8"/>
      <c r="U3198" s="8"/>
    </row>
    <row r="3199" spans="10:21">
      <c r="J3199" s="8"/>
      <c r="K3199" s="8"/>
      <c r="L3199" s="8"/>
      <c r="M3199" s="8"/>
      <c r="N3199" s="8"/>
      <c r="O3199" s="8"/>
      <c r="P3199" s="8"/>
      <c r="Q3199" s="8"/>
      <c r="R3199" s="8"/>
      <c r="S3199" s="8"/>
      <c r="T3199" s="8"/>
      <c r="U3199" s="8"/>
    </row>
    <row r="3200" spans="10:21">
      <c r="J3200" s="8"/>
      <c r="K3200" s="8"/>
      <c r="L3200" s="8"/>
      <c r="M3200" s="8"/>
      <c r="N3200" s="8"/>
      <c r="O3200" s="8"/>
      <c r="P3200" s="8"/>
      <c r="Q3200" s="8"/>
      <c r="R3200" s="8"/>
      <c r="S3200" s="8"/>
      <c r="T3200" s="8"/>
      <c r="U3200" s="8"/>
    </row>
    <row r="3201" spans="10:21">
      <c r="J3201" s="8"/>
      <c r="K3201" s="8"/>
      <c r="L3201" s="8"/>
      <c r="M3201" s="8"/>
      <c r="N3201" s="8"/>
      <c r="O3201" s="8"/>
      <c r="P3201" s="8"/>
      <c r="Q3201" s="8"/>
      <c r="R3201" s="8"/>
      <c r="S3201" s="8"/>
      <c r="T3201" s="8"/>
      <c r="U3201" s="8"/>
    </row>
    <row r="3202" spans="10:21">
      <c r="J3202" s="8"/>
      <c r="K3202" s="8"/>
      <c r="L3202" s="8"/>
      <c r="M3202" s="8"/>
      <c r="N3202" s="8"/>
      <c r="O3202" s="8"/>
      <c r="P3202" s="8"/>
      <c r="Q3202" s="8"/>
      <c r="R3202" s="8"/>
      <c r="S3202" s="8"/>
      <c r="T3202" s="8"/>
      <c r="U3202" s="8"/>
    </row>
    <row r="3203" spans="10:21">
      <c r="J3203" s="8"/>
      <c r="K3203" s="8"/>
      <c r="L3203" s="8"/>
      <c r="M3203" s="8"/>
      <c r="N3203" s="8"/>
      <c r="O3203" s="8"/>
      <c r="P3203" s="8"/>
      <c r="Q3203" s="8"/>
      <c r="R3203" s="8"/>
      <c r="S3203" s="8"/>
      <c r="T3203" s="8"/>
      <c r="U3203" s="8"/>
    </row>
    <row r="3204" spans="10:21">
      <c r="J3204" s="8"/>
      <c r="K3204" s="8"/>
      <c r="L3204" s="8"/>
      <c r="M3204" s="8"/>
      <c r="N3204" s="8"/>
      <c r="O3204" s="8"/>
      <c r="P3204" s="8"/>
      <c r="Q3204" s="8"/>
      <c r="R3204" s="8"/>
      <c r="S3204" s="8"/>
      <c r="T3204" s="8"/>
      <c r="U3204" s="8"/>
    </row>
    <row r="3205" spans="10:21">
      <c r="J3205" s="8"/>
      <c r="K3205" s="8"/>
      <c r="L3205" s="8"/>
      <c r="M3205" s="8"/>
      <c r="N3205" s="8"/>
      <c r="O3205" s="8"/>
      <c r="P3205" s="8"/>
      <c r="Q3205" s="8"/>
      <c r="R3205" s="8"/>
      <c r="S3205" s="8"/>
      <c r="T3205" s="8"/>
      <c r="U3205" s="8"/>
    </row>
    <row r="3206" spans="10:21">
      <c r="J3206" s="8"/>
      <c r="K3206" s="8"/>
      <c r="L3206" s="8"/>
      <c r="M3206" s="8"/>
      <c r="N3206" s="8"/>
      <c r="O3206" s="8"/>
      <c r="P3206" s="8"/>
      <c r="Q3206" s="8"/>
      <c r="R3206" s="8"/>
      <c r="S3206" s="8"/>
      <c r="T3206" s="8"/>
      <c r="U3206" s="8"/>
    </row>
    <row r="3207" spans="10:21">
      <c r="J3207" s="8"/>
      <c r="K3207" s="8"/>
      <c r="L3207" s="8"/>
      <c r="M3207" s="8"/>
      <c r="N3207" s="8"/>
      <c r="O3207" s="8"/>
      <c r="P3207" s="8"/>
      <c r="Q3207" s="8"/>
      <c r="R3207" s="8"/>
      <c r="S3207" s="8"/>
      <c r="T3207" s="8"/>
      <c r="U3207" s="8"/>
    </row>
    <row r="3208" spans="10:21">
      <c r="J3208" s="8"/>
      <c r="K3208" s="8"/>
      <c r="L3208" s="8"/>
      <c r="M3208" s="8"/>
      <c r="N3208" s="8"/>
      <c r="O3208" s="8"/>
      <c r="P3208" s="8"/>
      <c r="Q3208" s="8"/>
      <c r="R3208" s="8"/>
      <c r="S3208" s="8"/>
      <c r="T3208" s="8"/>
      <c r="U3208" s="8"/>
    </row>
    <row r="3209" spans="10:21">
      <c r="J3209" s="8"/>
      <c r="K3209" s="8"/>
      <c r="L3209" s="8"/>
      <c r="M3209" s="8"/>
      <c r="N3209" s="8"/>
      <c r="O3209" s="8"/>
      <c r="P3209" s="8"/>
      <c r="Q3209" s="8"/>
      <c r="R3209" s="8"/>
      <c r="S3209" s="8"/>
      <c r="T3209" s="8"/>
      <c r="U3209" s="8"/>
    </row>
    <row r="3210" spans="10:21">
      <c r="J3210" s="8"/>
      <c r="K3210" s="8"/>
      <c r="L3210" s="8"/>
      <c r="M3210" s="8"/>
      <c r="N3210" s="8"/>
      <c r="O3210" s="8"/>
      <c r="P3210" s="8"/>
      <c r="Q3210" s="8"/>
      <c r="R3210" s="8"/>
      <c r="S3210" s="8"/>
      <c r="T3210" s="8"/>
      <c r="U3210" s="8"/>
    </row>
    <row r="3211" spans="10:21">
      <c r="J3211" s="8"/>
      <c r="K3211" s="8"/>
      <c r="L3211" s="8"/>
      <c r="M3211" s="8"/>
      <c r="N3211" s="8"/>
      <c r="O3211" s="8"/>
      <c r="P3211" s="8"/>
      <c r="Q3211" s="8"/>
      <c r="R3211" s="8"/>
      <c r="S3211" s="8"/>
      <c r="T3211" s="8"/>
      <c r="U3211" s="8"/>
    </row>
    <row r="3212" spans="10:21">
      <c r="J3212" s="8"/>
      <c r="K3212" s="8"/>
      <c r="L3212" s="8"/>
      <c r="M3212" s="8"/>
      <c r="N3212" s="8"/>
      <c r="O3212" s="8"/>
      <c r="P3212" s="8"/>
      <c r="Q3212" s="8"/>
      <c r="R3212" s="8"/>
      <c r="S3212" s="8"/>
      <c r="T3212" s="8"/>
      <c r="U3212" s="8"/>
    </row>
    <row r="3213" spans="10:21">
      <c r="J3213" s="8"/>
      <c r="K3213" s="8"/>
      <c r="L3213" s="8"/>
      <c r="M3213" s="8"/>
      <c r="N3213" s="8"/>
      <c r="O3213" s="8"/>
      <c r="P3213" s="8"/>
      <c r="Q3213" s="8"/>
      <c r="R3213" s="8"/>
      <c r="S3213" s="8"/>
      <c r="T3213" s="8"/>
      <c r="U3213" s="8"/>
    </row>
    <row r="3214" spans="10:21">
      <c r="J3214" s="8"/>
      <c r="K3214" s="8"/>
      <c r="L3214" s="8"/>
      <c r="M3214" s="8"/>
      <c r="N3214" s="8"/>
      <c r="O3214" s="8"/>
      <c r="P3214" s="8"/>
      <c r="Q3214" s="8"/>
      <c r="R3214" s="8"/>
      <c r="S3214" s="8"/>
      <c r="T3214" s="8"/>
      <c r="U3214" s="8"/>
    </row>
    <row r="3215" spans="10:21">
      <c r="J3215" s="8"/>
      <c r="K3215" s="8"/>
      <c r="L3215" s="8"/>
      <c r="M3215" s="8"/>
      <c r="N3215" s="8"/>
      <c r="O3215" s="8"/>
      <c r="P3215" s="8"/>
      <c r="Q3215" s="8"/>
      <c r="R3215" s="8"/>
      <c r="S3215" s="8"/>
      <c r="T3215" s="8"/>
      <c r="U3215" s="8"/>
    </row>
    <row r="3216" spans="10:21">
      <c r="J3216" s="8"/>
      <c r="K3216" s="8"/>
      <c r="L3216" s="8"/>
      <c r="M3216" s="8"/>
      <c r="N3216" s="8"/>
      <c r="O3216" s="8"/>
      <c r="P3216" s="8"/>
      <c r="Q3216" s="8"/>
      <c r="R3216" s="8"/>
      <c r="S3216" s="8"/>
      <c r="T3216" s="8"/>
      <c r="U3216" s="8"/>
    </row>
    <row r="3217" spans="10:21">
      <c r="J3217" s="8"/>
      <c r="K3217" s="8"/>
      <c r="L3217" s="8"/>
      <c r="M3217" s="8"/>
      <c r="N3217" s="8"/>
      <c r="O3217" s="8"/>
      <c r="P3217" s="8"/>
      <c r="Q3217" s="8"/>
      <c r="R3217" s="8"/>
      <c r="S3217" s="8"/>
      <c r="T3217" s="8"/>
      <c r="U3217" s="8"/>
    </row>
    <row r="3218" spans="10:21">
      <c r="J3218" s="8"/>
      <c r="K3218" s="8"/>
      <c r="L3218" s="8"/>
      <c r="M3218" s="8"/>
      <c r="N3218" s="8"/>
      <c r="O3218" s="8"/>
      <c r="P3218" s="8"/>
      <c r="Q3218" s="8"/>
      <c r="R3218" s="8"/>
      <c r="S3218" s="8"/>
      <c r="T3218" s="8"/>
      <c r="U3218" s="8"/>
    </row>
    <row r="3219" spans="10:21">
      <c r="J3219" s="8"/>
      <c r="K3219" s="8"/>
      <c r="L3219" s="8"/>
      <c r="M3219" s="8"/>
      <c r="N3219" s="8"/>
      <c r="O3219" s="8"/>
      <c r="P3219" s="8"/>
      <c r="Q3219" s="8"/>
      <c r="R3219" s="8"/>
      <c r="S3219" s="8"/>
      <c r="T3219" s="8"/>
      <c r="U3219" s="8"/>
    </row>
    <row r="3220" spans="10:21">
      <c r="J3220" s="8"/>
      <c r="K3220" s="8"/>
      <c r="L3220" s="8"/>
      <c r="M3220" s="8"/>
      <c r="N3220" s="8"/>
      <c r="O3220" s="8"/>
      <c r="P3220" s="8"/>
      <c r="Q3220" s="8"/>
      <c r="R3220" s="8"/>
      <c r="S3220" s="8"/>
      <c r="T3220" s="8"/>
      <c r="U3220" s="8"/>
    </row>
    <row r="3221" spans="10:21">
      <c r="J3221" s="8"/>
      <c r="K3221" s="8"/>
      <c r="L3221" s="8"/>
      <c r="M3221" s="8"/>
      <c r="N3221" s="8"/>
      <c r="O3221" s="8"/>
      <c r="P3221" s="8"/>
      <c r="Q3221" s="8"/>
      <c r="R3221" s="8"/>
      <c r="S3221" s="8"/>
      <c r="T3221" s="8"/>
      <c r="U3221" s="8"/>
    </row>
    <row r="3222" spans="10:21">
      <c r="J3222" s="8"/>
      <c r="K3222" s="8"/>
      <c r="L3222" s="8"/>
      <c r="M3222" s="8"/>
      <c r="N3222" s="8"/>
      <c r="O3222" s="8"/>
      <c r="P3222" s="8"/>
      <c r="Q3222" s="8"/>
      <c r="R3222" s="8"/>
      <c r="S3222" s="8"/>
      <c r="T3222" s="8"/>
      <c r="U3222" s="8"/>
    </row>
    <row r="3223" spans="10:21">
      <c r="J3223" s="8"/>
      <c r="K3223" s="8"/>
      <c r="L3223" s="8"/>
      <c r="M3223" s="8"/>
      <c r="N3223" s="8"/>
      <c r="O3223" s="8"/>
      <c r="P3223" s="8"/>
      <c r="Q3223" s="8"/>
      <c r="R3223" s="8"/>
      <c r="S3223" s="8"/>
      <c r="T3223" s="8"/>
      <c r="U3223" s="8"/>
    </row>
    <row r="3224" spans="10:21">
      <c r="J3224" s="8"/>
      <c r="K3224" s="8"/>
      <c r="L3224" s="8"/>
      <c r="M3224" s="8"/>
      <c r="N3224" s="8"/>
      <c r="O3224" s="8"/>
      <c r="P3224" s="8"/>
      <c r="Q3224" s="8"/>
      <c r="R3224" s="8"/>
      <c r="S3224" s="8"/>
      <c r="T3224" s="8"/>
      <c r="U3224" s="8"/>
    </row>
    <row r="3225" spans="10:21">
      <c r="J3225" s="8"/>
      <c r="K3225" s="8"/>
      <c r="L3225" s="8"/>
      <c r="M3225" s="8"/>
      <c r="N3225" s="8"/>
      <c r="O3225" s="8"/>
      <c r="P3225" s="8"/>
      <c r="Q3225" s="8"/>
      <c r="R3225" s="8"/>
      <c r="S3225" s="8"/>
      <c r="T3225" s="8"/>
      <c r="U3225" s="8"/>
    </row>
    <row r="3226" spans="10:21">
      <c r="J3226" s="8"/>
      <c r="K3226" s="8"/>
      <c r="L3226" s="8"/>
      <c r="M3226" s="8"/>
      <c r="N3226" s="8"/>
      <c r="O3226" s="8"/>
      <c r="P3226" s="8"/>
      <c r="Q3226" s="8"/>
      <c r="R3226" s="8"/>
      <c r="S3226" s="8"/>
      <c r="T3226" s="8"/>
      <c r="U3226" s="8"/>
    </row>
    <row r="3227" spans="10:21">
      <c r="J3227" s="8"/>
      <c r="K3227" s="8"/>
      <c r="L3227" s="8"/>
      <c r="M3227" s="8"/>
      <c r="N3227" s="8"/>
      <c r="O3227" s="8"/>
      <c r="P3227" s="8"/>
      <c r="Q3227" s="8"/>
      <c r="R3227" s="8"/>
      <c r="S3227" s="8"/>
      <c r="T3227" s="8"/>
      <c r="U3227" s="8"/>
    </row>
    <row r="3228" spans="10:21">
      <c r="J3228" s="8"/>
      <c r="K3228" s="8"/>
      <c r="L3228" s="8"/>
      <c r="M3228" s="8"/>
      <c r="N3228" s="8"/>
      <c r="O3228" s="8"/>
      <c r="P3228" s="8"/>
      <c r="Q3228" s="8"/>
      <c r="R3228" s="8"/>
      <c r="S3228" s="8"/>
      <c r="T3228" s="8"/>
      <c r="U3228" s="8"/>
    </row>
    <row r="3229" spans="10:21">
      <c r="J3229" s="8"/>
      <c r="K3229" s="8"/>
      <c r="L3229" s="8"/>
      <c r="M3229" s="8"/>
      <c r="N3229" s="8"/>
      <c r="O3229" s="8"/>
      <c r="P3229" s="8"/>
      <c r="Q3229" s="8"/>
      <c r="R3229" s="8"/>
      <c r="S3229" s="8"/>
      <c r="T3229" s="8"/>
      <c r="U3229" s="8"/>
    </row>
    <row r="3230" spans="10:21">
      <c r="J3230" s="8"/>
      <c r="K3230" s="8"/>
      <c r="L3230" s="8"/>
      <c r="M3230" s="8"/>
      <c r="N3230" s="8"/>
      <c r="O3230" s="8"/>
      <c r="P3230" s="8"/>
      <c r="Q3230" s="8"/>
      <c r="R3230" s="8"/>
      <c r="S3230" s="8"/>
      <c r="T3230" s="8"/>
      <c r="U3230" s="8"/>
    </row>
    <row r="3231" spans="10:21">
      <c r="J3231" s="8"/>
      <c r="K3231" s="8"/>
      <c r="L3231" s="8"/>
      <c r="M3231" s="8"/>
      <c r="N3231" s="8"/>
      <c r="O3231" s="8"/>
      <c r="P3231" s="8"/>
      <c r="Q3231" s="8"/>
      <c r="R3231" s="8"/>
      <c r="S3231" s="8"/>
      <c r="T3231" s="8"/>
      <c r="U3231" s="8"/>
    </row>
    <row r="3232" spans="10:21">
      <c r="J3232" s="8"/>
      <c r="K3232" s="8"/>
      <c r="L3232" s="8"/>
      <c r="M3232" s="8"/>
      <c r="N3232" s="8"/>
      <c r="O3232" s="8"/>
      <c r="P3232" s="8"/>
      <c r="Q3232" s="8"/>
      <c r="R3232" s="8"/>
      <c r="S3232" s="8"/>
      <c r="T3232" s="8"/>
      <c r="U3232" s="8"/>
    </row>
    <row r="3233" spans="10:21">
      <c r="J3233" s="8"/>
      <c r="K3233" s="8"/>
      <c r="L3233" s="8"/>
      <c r="M3233" s="8"/>
      <c r="N3233" s="8"/>
      <c r="O3233" s="8"/>
      <c r="P3233" s="8"/>
      <c r="Q3233" s="8"/>
      <c r="R3233" s="8"/>
      <c r="S3233" s="8"/>
      <c r="T3233" s="8"/>
      <c r="U3233" s="8"/>
    </row>
    <row r="3234" spans="10:21">
      <c r="J3234" s="8"/>
      <c r="K3234" s="8"/>
      <c r="L3234" s="8"/>
      <c r="M3234" s="8"/>
      <c r="N3234" s="8"/>
      <c r="O3234" s="8"/>
      <c r="P3234" s="8"/>
      <c r="Q3234" s="8"/>
      <c r="R3234" s="8"/>
      <c r="S3234" s="8"/>
      <c r="T3234" s="8"/>
      <c r="U3234" s="8"/>
    </row>
    <row r="3235" spans="10:21">
      <c r="J3235" s="8"/>
      <c r="K3235" s="8"/>
      <c r="L3235" s="8"/>
      <c r="M3235" s="8"/>
      <c r="N3235" s="8"/>
      <c r="O3235" s="8"/>
      <c r="P3235" s="8"/>
      <c r="Q3235" s="8"/>
      <c r="R3235" s="8"/>
      <c r="S3235" s="8"/>
      <c r="T3235" s="8"/>
      <c r="U3235" s="8"/>
    </row>
    <row r="3236" spans="10:21">
      <c r="J3236" s="8"/>
      <c r="K3236" s="8"/>
      <c r="L3236" s="8"/>
      <c r="M3236" s="8"/>
      <c r="N3236" s="8"/>
      <c r="O3236" s="8"/>
      <c r="P3236" s="8"/>
      <c r="Q3236" s="8"/>
      <c r="R3236" s="8"/>
      <c r="S3236" s="8"/>
      <c r="T3236" s="8"/>
      <c r="U3236" s="8"/>
    </row>
    <row r="3237" spans="10:21">
      <c r="J3237" s="8"/>
      <c r="K3237" s="8"/>
      <c r="L3237" s="8"/>
      <c r="M3237" s="8"/>
      <c r="N3237" s="8"/>
      <c r="O3237" s="8"/>
      <c r="P3237" s="8"/>
      <c r="Q3237" s="8"/>
      <c r="R3237" s="8"/>
      <c r="S3237" s="8"/>
      <c r="T3237" s="8"/>
      <c r="U3237" s="8"/>
    </row>
    <row r="3238" spans="10:21">
      <c r="J3238" s="8"/>
      <c r="K3238" s="8"/>
      <c r="L3238" s="8"/>
      <c r="M3238" s="8"/>
      <c r="N3238" s="8"/>
      <c r="O3238" s="8"/>
      <c r="P3238" s="8"/>
      <c r="Q3238" s="8"/>
      <c r="R3238" s="8"/>
      <c r="S3238" s="8"/>
      <c r="T3238" s="8"/>
      <c r="U3238" s="8"/>
    </row>
    <row r="3239" spans="10:21">
      <c r="J3239" s="8"/>
      <c r="K3239" s="8"/>
      <c r="L3239" s="8"/>
      <c r="M3239" s="8"/>
      <c r="N3239" s="8"/>
      <c r="O3239" s="8"/>
      <c r="P3239" s="8"/>
      <c r="Q3239" s="8"/>
      <c r="R3239" s="8"/>
      <c r="S3239" s="8"/>
      <c r="T3239" s="8"/>
      <c r="U3239" s="8"/>
    </row>
    <row r="3240" spans="10:21">
      <c r="J3240" s="8"/>
      <c r="K3240" s="8"/>
      <c r="L3240" s="8"/>
      <c r="M3240" s="8"/>
      <c r="N3240" s="8"/>
      <c r="O3240" s="8"/>
      <c r="P3240" s="8"/>
      <c r="Q3240" s="8"/>
      <c r="R3240" s="8"/>
      <c r="S3240" s="8"/>
      <c r="T3240" s="8"/>
      <c r="U3240" s="8"/>
    </row>
    <row r="3241" spans="10:21">
      <c r="J3241" s="8"/>
      <c r="K3241" s="8"/>
      <c r="L3241" s="8"/>
      <c r="M3241" s="8"/>
      <c r="N3241" s="8"/>
      <c r="O3241" s="8"/>
      <c r="P3241" s="8"/>
      <c r="Q3241" s="8"/>
      <c r="R3241" s="8"/>
      <c r="S3241" s="8"/>
      <c r="T3241" s="8"/>
      <c r="U3241" s="8"/>
    </row>
    <row r="3242" spans="10:21">
      <c r="J3242" s="8"/>
      <c r="K3242" s="8"/>
      <c r="L3242" s="8"/>
      <c r="M3242" s="8"/>
      <c r="N3242" s="8"/>
      <c r="O3242" s="8"/>
      <c r="P3242" s="8"/>
      <c r="Q3242" s="8"/>
      <c r="R3242" s="8"/>
      <c r="S3242" s="8"/>
      <c r="T3242" s="8"/>
      <c r="U3242" s="8"/>
    </row>
    <row r="3243" spans="10:21">
      <c r="J3243" s="8"/>
      <c r="K3243" s="8"/>
      <c r="L3243" s="8"/>
      <c r="M3243" s="8"/>
      <c r="N3243" s="8"/>
      <c r="O3243" s="8"/>
      <c r="P3243" s="8"/>
      <c r="Q3243" s="8"/>
      <c r="R3243" s="8"/>
      <c r="S3243" s="8"/>
      <c r="T3243" s="8"/>
      <c r="U3243" s="8"/>
    </row>
    <row r="3244" spans="10:21">
      <c r="J3244" s="8"/>
      <c r="K3244" s="8"/>
      <c r="L3244" s="8"/>
      <c r="M3244" s="8"/>
      <c r="N3244" s="8"/>
      <c r="O3244" s="8"/>
      <c r="P3244" s="8"/>
      <c r="Q3244" s="8"/>
      <c r="R3244" s="8"/>
      <c r="S3244" s="8"/>
      <c r="T3244" s="8"/>
      <c r="U3244" s="8"/>
    </row>
    <row r="3245" spans="10:21">
      <c r="J3245" s="8"/>
      <c r="K3245" s="8"/>
      <c r="L3245" s="8"/>
      <c r="M3245" s="8"/>
      <c r="N3245" s="8"/>
      <c r="O3245" s="8"/>
      <c r="P3245" s="8"/>
      <c r="Q3245" s="8"/>
      <c r="R3245" s="8"/>
      <c r="S3245" s="8"/>
      <c r="T3245" s="8"/>
      <c r="U3245" s="8"/>
    </row>
    <row r="3246" spans="10:21">
      <c r="J3246" s="8"/>
      <c r="K3246" s="8"/>
      <c r="L3246" s="8"/>
      <c r="M3246" s="8"/>
      <c r="N3246" s="8"/>
      <c r="O3246" s="8"/>
      <c r="P3246" s="8"/>
      <c r="Q3246" s="8"/>
      <c r="R3246" s="8"/>
      <c r="S3246" s="8"/>
      <c r="T3246" s="8"/>
      <c r="U3246" s="8"/>
    </row>
    <row r="3247" spans="10:21">
      <c r="J3247" s="8"/>
      <c r="K3247" s="8"/>
      <c r="L3247" s="8"/>
      <c r="M3247" s="8"/>
      <c r="N3247" s="8"/>
      <c r="O3247" s="8"/>
      <c r="P3247" s="8"/>
      <c r="Q3247" s="8"/>
      <c r="R3247" s="8"/>
      <c r="S3247" s="8"/>
      <c r="T3247" s="8"/>
      <c r="U3247" s="8"/>
    </row>
    <row r="3248" spans="10:21">
      <c r="J3248" s="8"/>
      <c r="K3248" s="8"/>
      <c r="L3248" s="8"/>
      <c r="M3248" s="8"/>
      <c r="N3248" s="8"/>
      <c r="O3248" s="8"/>
      <c r="P3248" s="8"/>
      <c r="Q3248" s="8"/>
      <c r="R3248" s="8"/>
      <c r="S3248" s="8"/>
      <c r="T3248" s="8"/>
      <c r="U3248" s="8"/>
    </row>
    <row r="3249" spans="10:21">
      <c r="J3249" s="8"/>
      <c r="K3249" s="8"/>
      <c r="L3249" s="8"/>
      <c r="M3249" s="8"/>
      <c r="N3249" s="8"/>
      <c r="O3249" s="8"/>
      <c r="P3249" s="8"/>
      <c r="Q3249" s="8"/>
      <c r="R3249" s="8"/>
      <c r="S3249" s="8"/>
      <c r="T3249" s="8"/>
      <c r="U3249" s="8"/>
    </row>
    <row r="3250" spans="10:21">
      <c r="J3250" s="8"/>
      <c r="K3250" s="8"/>
      <c r="L3250" s="8"/>
      <c r="M3250" s="8"/>
      <c r="N3250" s="8"/>
      <c r="O3250" s="8"/>
      <c r="P3250" s="8"/>
      <c r="Q3250" s="8"/>
      <c r="R3250" s="8"/>
      <c r="S3250" s="8"/>
      <c r="T3250" s="8"/>
      <c r="U3250" s="8"/>
    </row>
    <row r="3251" spans="10:21">
      <c r="J3251" s="8"/>
      <c r="K3251" s="8"/>
      <c r="L3251" s="8"/>
      <c r="M3251" s="8"/>
      <c r="N3251" s="8"/>
      <c r="O3251" s="8"/>
      <c r="P3251" s="8"/>
      <c r="Q3251" s="8"/>
      <c r="R3251" s="8"/>
      <c r="S3251" s="8"/>
      <c r="T3251" s="8"/>
      <c r="U3251" s="8"/>
    </row>
    <row r="3252" spans="10:21">
      <c r="J3252" s="8"/>
      <c r="K3252" s="8"/>
      <c r="L3252" s="8"/>
      <c r="M3252" s="8"/>
      <c r="N3252" s="8"/>
      <c r="O3252" s="8"/>
      <c r="P3252" s="8"/>
      <c r="Q3252" s="8"/>
      <c r="R3252" s="8"/>
      <c r="S3252" s="8"/>
      <c r="T3252" s="8"/>
      <c r="U3252" s="8"/>
    </row>
    <row r="3253" spans="10:21">
      <c r="J3253" s="8"/>
      <c r="K3253" s="8"/>
      <c r="L3253" s="8"/>
      <c r="M3253" s="8"/>
      <c r="N3253" s="8"/>
      <c r="O3253" s="8"/>
      <c r="P3253" s="8"/>
      <c r="Q3253" s="8"/>
      <c r="R3253" s="8"/>
      <c r="S3253" s="8"/>
      <c r="T3253" s="8"/>
      <c r="U3253" s="8"/>
    </row>
    <row r="3254" spans="10:21">
      <c r="J3254" s="8"/>
      <c r="K3254" s="8"/>
      <c r="L3254" s="8"/>
      <c r="M3254" s="8"/>
      <c r="N3254" s="8"/>
      <c r="O3254" s="8"/>
      <c r="P3254" s="8"/>
      <c r="Q3254" s="8"/>
      <c r="R3254" s="8"/>
      <c r="S3254" s="8"/>
      <c r="T3254" s="8"/>
      <c r="U3254" s="8"/>
    </row>
    <row r="3255" spans="10:21">
      <c r="J3255" s="8"/>
      <c r="K3255" s="8"/>
      <c r="L3255" s="8"/>
      <c r="M3255" s="8"/>
      <c r="N3255" s="8"/>
      <c r="O3255" s="8"/>
      <c r="P3255" s="8"/>
      <c r="Q3255" s="8"/>
      <c r="R3255" s="8"/>
      <c r="S3255" s="8"/>
      <c r="T3255" s="8"/>
      <c r="U3255" s="8"/>
    </row>
    <row r="3256" spans="10:21">
      <c r="J3256" s="8"/>
      <c r="K3256" s="8"/>
      <c r="L3256" s="8"/>
      <c r="M3256" s="8"/>
      <c r="N3256" s="8"/>
      <c r="O3256" s="8"/>
      <c r="P3256" s="8"/>
      <c r="Q3256" s="8"/>
      <c r="R3256" s="8"/>
      <c r="S3256" s="8"/>
      <c r="T3256" s="8"/>
      <c r="U3256" s="8"/>
    </row>
    <row r="3257" spans="10:21">
      <c r="J3257" s="8"/>
      <c r="K3257" s="8"/>
      <c r="L3257" s="8"/>
      <c r="M3257" s="8"/>
      <c r="N3257" s="8"/>
      <c r="O3257" s="8"/>
      <c r="P3257" s="8"/>
      <c r="Q3257" s="8"/>
      <c r="R3257" s="8"/>
      <c r="S3257" s="8"/>
      <c r="T3257" s="8"/>
      <c r="U3257" s="8"/>
    </row>
    <row r="3258" spans="10:21">
      <c r="J3258" s="8"/>
      <c r="K3258" s="8"/>
      <c r="L3258" s="8"/>
      <c r="M3258" s="8"/>
      <c r="N3258" s="8"/>
      <c r="O3258" s="8"/>
      <c r="P3258" s="8"/>
      <c r="Q3258" s="8"/>
      <c r="R3258" s="8"/>
      <c r="S3258" s="8"/>
      <c r="T3258" s="8"/>
      <c r="U3258" s="8"/>
    </row>
    <row r="3259" spans="10:21">
      <c r="J3259" s="8"/>
      <c r="K3259" s="8"/>
      <c r="L3259" s="8"/>
      <c r="M3259" s="8"/>
      <c r="N3259" s="8"/>
      <c r="O3259" s="8"/>
      <c r="P3259" s="8"/>
      <c r="Q3259" s="8"/>
      <c r="R3259" s="8"/>
      <c r="S3259" s="8"/>
      <c r="T3259" s="8"/>
      <c r="U3259" s="8"/>
    </row>
    <row r="3260" spans="10:21">
      <c r="J3260" s="8"/>
      <c r="K3260" s="8"/>
      <c r="L3260" s="8"/>
      <c r="M3260" s="8"/>
      <c r="N3260" s="8"/>
      <c r="O3260" s="8"/>
      <c r="P3260" s="8"/>
      <c r="Q3260" s="8"/>
      <c r="R3260" s="8"/>
      <c r="S3260" s="8"/>
      <c r="T3260" s="8"/>
      <c r="U3260" s="8"/>
    </row>
    <row r="3261" spans="10:21">
      <c r="J3261" s="8"/>
      <c r="K3261" s="8"/>
      <c r="L3261" s="8"/>
      <c r="M3261" s="8"/>
      <c r="N3261" s="8"/>
      <c r="O3261" s="8"/>
      <c r="P3261" s="8"/>
      <c r="Q3261" s="8"/>
      <c r="R3261" s="8"/>
      <c r="S3261" s="8"/>
      <c r="T3261" s="8"/>
      <c r="U3261" s="8"/>
    </row>
    <row r="3262" spans="10:21">
      <c r="J3262" s="8"/>
      <c r="K3262" s="8"/>
      <c r="L3262" s="8"/>
      <c r="M3262" s="8"/>
      <c r="N3262" s="8"/>
      <c r="O3262" s="8"/>
      <c r="P3262" s="8"/>
      <c r="Q3262" s="8"/>
      <c r="R3262" s="8"/>
      <c r="S3262" s="8"/>
      <c r="T3262" s="8"/>
      <c r="U3262" s="8"/>
    </row>
    <row r="3263" spans="10:21">
      <c r="J3263" s="8"/>
      <c r="K3263" s="8"/>
      <c r="L3263" s="8"/>
      <c r="M3263" s="8"/>
      <c r="N3263" s="8"/>
      <c r="O3263" s="8"/>
      <c r="P3263" s="8"/>
      <c r="Q3263" s="8"/>
      <c r="R3263" s="8"/>
      <c r="S3263" s="8"/>
      <c r="T3263" s="8"/>
      <c r="U3263" s="8"/>
    </row>
    <row r="3264" spans="10:21">
      <c r="J3264" s="8"/>
      <c r="K3264" s="8"/>
      <c r="L3264" s="8"/>
      <c r="M3264" s="8"/>
      <c r="N3264" s="8"/>
      <c r="O3264" s="8"/>
      <c r="P3264" s="8"/>
      <c r="Q3264" s="8"/>
      <c r="R3264" s="8"/>
      <c r="S3264" s="8"/>
      <c r="T3264" s="8"/>
      <c r="U3264" s="8"/>
    </row>
    <row r="3265" spans="10:21">
      <c r="J3265" s="8"/>
      <c r="K3265" s="8"/>
      <c r="L3265" s="8"/>
      <c r="M3265" s="8"/>
      <c r="N3265" s="8"/>
      <c r="O3265" s="8"/>
      <c r="P3265" s="8"/>
      <c r="Q3265" s="8"/>
      <c r="R3265" s="8"/>
      <c r="S3265" s="8"/>
      <c r="T3265" s="8"/>
      <c r="U3265" s="8"/>
    </row>
    <row r="3266" spans="10:21">
      <c r="J3266" s="8"/>
      <c r="K3266" s="8"/>
      <c r="L3266" s="8"/>
      <c r="M3266" s="8"/>
      <c r="N3266" s="8"/>
      <c r="O3266" s="8"/>
      <c r="P3266" s="8"/>
      <c r="Q3266" s="8"/>
      <c r="R3266" s="8"/>
      <c r="S3266" s="8"/>
      <c r="T3266" s="8"/>
      <c r="U3266" s="8"/>
    </row>
    <row r="3267" spans="10:21">
      <c r="J3267" s="8"/>
      <c r="K3267" s="8"/>
      <c r="L3267" s="8"/>
      <c r="M3267" s="8"/>
      <c r="N3267" s="8"/>
      <c r="O3267" s="8"/>
      <c r="P3267" s="8"/>
      <c r="Q3267" s="8"/>
      <c r="R3267" s="8"/>
      <c r="S3267" s="8"/>
      <c r="T3267" s="8"/>
      <c r="U3267" s="8"/>
    </row>
    <row r="3268" spans="10:21">
      <c r="J3268" s="8"/>
      <c r="K3268" s="8"/>
      <c r="L3268" s="8"/>
      <c r="M3268" s="8"/>
      <c r="N3268" s="8"/>
      <c r="O3268" s="8"/>
      <c r="P3268" s="8"/>
      <c r="Q3268" s="8"/>
      <c r="R3268" s="8"/>
      <c r="S3268" s="8"/>
      <c r="T3268" s="8"/>
      <c r="U3268" s="8"/>
    </row>
    <row r="3269" spans="10:21">
      <c r="J3269" s="8"/>
      <c r="K3269" s="8"/>
      <c r="L3269" s="8"/>
      <c r="M3269" s="8"/>
      <c r="N3269" s="8"/>
      <c r="O3269" s="8"/>
      <c r="P3269" s="8"/>
      <c r="Q3269" s="8"/>
      <c r="R3269" s="8"/>
      <c r="S3269" s="8"/>
      <c r="T3269" s="8"/>
      <c r="U3269" s="8"/>
    </row>
    <row r="3270" spans="10:21">
      <c r="J3270" s="8"/>
      <c r="K3270" s="8"/>
      <c r="L3270" s="8"/>
      <c r="M3270" s="8"/>
      <c r="N3270" s="8"/>
      <c r="O3270" s="8"/>
      <c r="P3270" s="8"/>
      <c r="Q3270" s="8"/>
      <c r="R3270" s="8"/>
      <c r="S3270" s="8"/>
      <c r="T3270" s="8"/>
      <c r="U3270" s="8"/>
    </row>
    <row r="3271" spans="10:21">
      <c r="J3271" s="8"/>
      <c r="K3271" s="8"/>
      <c r="L3271" s="8"/>
      <c r="M3271" s="8"/>
      <c r="N3271" s="8"/>
      <c r="O3271" s="8"/>
      <c r="P3271" s="8"/>
      <c r="Q3271" s="8"/>
      <c r="R3271" s="8"/>
      <c r="S3271" s="8"/>
      <c r="T3271" s="8"/>
      <c r="U3271" s="8"/>
    </row>
    <row r="3272" spans="10:21">
      <c r="J3272" s="8"/>
      <c r="K3272" s="8"/>
      <c r="L3272" s="8"/>
      <c r="M3272" s="8"/>
      <c r="N3272" s="8"/>
      <c r="O3272" s="8"/>
      <c r="P3272" s="8"/>
      <c r="Q3272" s="8"/>
      <c r="R3272" s="8"/>
      <c r="S3272" s="8"/>
      <c r="T3272" s="8"/>
      <c r="U3272" s="8"/>
    </row>
    <row r="3273" spans="10:21">
      <c r="J3273" s="8"/>
      <c r="K3273" s="8"/>
      <c r="L3273" s="8"/>
      <c r="M3273" s="8"/>
      <c r="N3273" s="8"/>
      <c r="O3273" s="8"/>
      <c r="P3273" s="8"/>
      <c r="Q3273" s="8"/>
      <c r="R3273" s="8"/>
      <c r="S3273" s="8"/>
      <c r="T3273" s="8"/>
      <c r="U3273" s="8"/>
    </row>
    <row r="3274" spans="10:21">
      <c r="J3274" s="8"/>
      <c r="K3274" s="8"/>
      <c r="L3274" s="8"/>
      <c r="M3274" s="8"/>
      <c r="N3274" s="8"/>
      <c r="O3274" s="8"/>
      <c r="P3274" s="8"/>
      <c r="Q3274" s="8"/>
      <c r="R3274" s="8"/>
      <c r="S3274" s="8"/>
      <c r="T3274" s="8"/>
      <c r="U3274" s="8"/>
    </row>
    <row r="3275" spans="10:21">
      <c r="J3275" s="8"/>
      <c r="K3275" s="8"/>
      <c r="L3275" s="8"/>
      <c r="M3275" s="8"/>
      <c r="N3275" s="8"/>
      <c r="O3275" s="8"/>
      <c r="P3275" s="8"/>
      <c r="Q3275" s="8"/>
      <c r="R3275" s="8"/>
      <c r="S3275" s="8"/>
      <c r="T3275" s="8"/>
      <c r="U3275" s="8"/>
    </row>
    <row r="3276" spans="10:21">
      <c r="J3276" s="8"/>
      <c r="K3276" s="8"/>
      <c r="L3276" s="8"/>
      <c r="M3276" s="8"/>
      <c r="N3276" s="8"/>
      <c r="O3276" s="8"/>
      <c r="P3276" s="8"/>
      <c r="Q3276" s="8"/>
      <c r="R3276" s="8"/>
      <c r="S3276" s="8"/>
      <c r="T3276" s="8"/>
      <c r="U3276" s="8"/>
    </row>
    <row r="3277" spans="10:21">
      <c r="J3277" s="8"/>
      <c r="K3277" s="8"/>
      <c r="L3277" s="8"/>
      <c r="M3277" s="8"/>
      <c r="N3277" s="8"/>
      <c r="O3277" s="8"/>
      <c r="P3277" s="8"/>
      <c r="Q3277" s="8"/>
      <c r="R3277" s="8"/>
      <c r="S3277" s="8"/>
      <c r="T3277" s="8"/>
      <c r="U3277" s="8"/>
    </row>
    <row r="3278" spans="10:21">
      <c r="J3278" s="8"/>
      <c r="K3278" s="8"/>
      <c r="L3278" s="8"/>
      <c r="M3278" s="8"/>
      <c r="N3278" s="8"/>
      <c r="O3278" s="8"/>
      <c r="P3278" s="8"/>
      <c r="Q3278" s="8"/>
      <c r="R3278" s="8"/>
      <c r="S3278" s="8"/>
      <c r="T3278" s="8"/>
      <c r="U3278" s="8"/>
    </row>
    <row r="3279" spans="10:21">
      <c r="J3279" s="8"/>
      <c r="K3279" s="8"/>
      <c r="L3279" s="8"/>
      <c r="M3279" s="8"/>
      <c r="N3279" s="8"/>
      <c r="O3279" s="8"/>
      <c r="P3279" s="8"/>
      <c r="Q3279" s="8"/>
      <c r="R3279" s="8"/>
      <c r="S3279" s="8"/>
      <c r="T3279" s="8"/>
      <c r="U3279" s="8"/>
    </row>
    <row r="3280" spans="10:21">
      <c r="J3280" s="8"/>
      <c r="K3280" s="8"/>
      <c r="L3280" s="8"/>
      <c r="M3280" s="8"/>
      <c r="N3280" s="8"/>
      <c r="O3280" s="8"/>
      <c r="P3280" s="8"/>
      <c r="Q3280" s="8"/>
      <c r="R3280" s="8"/>
      <c r="S3280" s="8"/>
      <c r="T3280" s="8"/>
      <c r="U3280" s="8"/>
    </row>
    <row r="3281" spans="10:21">
      <c r="J3281" s="8"/>
      <c r="K3281" s="8"/>
      <c r="L3281" s="8"/>
      <c r="M3281" s="8"/>
      <c r="N3281" s="8"/>
      <c r="O3281" s="8"/>
      <c r="P3281" s="8"/>
      <c r="Q3281" s="8"/>
      <c r="R3281" s="8"/>
      <c r="S3281" s="8"/>
      <c r="T3281" s="8"/>
      <c r="U3281" s="8"/>
    </row>
    <row r="3282" spans="10:21">
      <c r="J3282" s="8"/>
      <c r="K3282" s="8"/>
      <c r="L3282" s="8"/>
      <c r="M3282" s="8"/>
      <c r="N3282" s="8"/>
      <c r="O3282" s="8"/>
      <c r="P3282" s="8"/>
      <c r="Q3282" s="8"/>
      <c r="R3282" s="8"/>
      <c r="S3282" s="8"/>
      <c r="T3282" s="8"/>
      <c r="U3282" s="8"/>
    </row>
    <row r="3283" spans="10:21">
      <c r="J3283" s="8"/>
      <c r="K3283" s="8"/>
      <c r="L3283" s="8"/>
      <c r="M3283" s="8"/>
      <c r="N3283" s="8"/>
      <c r="O3283" s="8"/>
      <c r="P3283" s="8"/>
      <c r="Q3283" s="8"/>
      <c r="R3283" s="8"/>
      <c r="S3283" s="8"/>
      <c r="T3283" s="8"/>
      <c r="U3283" s="8"/>
    </row>
    <row r="3284" spans="10:21">
      <c r="J3284" s="8"/>
      <c r="K3284" s="8"/>
      <c r="L3284" s="8"/>
      <c r="M3284" s="8"/>
      <c r="N3284" s="8"/>
      <c r="O3284" s="8"/>
      <c r="P3284" s="8"/>
      <c r="Q3284" s="8"/>
      <c r="R3284" s="8"/>
      <c r="S3284" s="8"/>
      <c r="T3284" s="8"/>
      <c r="U3284" s="8"/>
    </row>
    <row r="3285" spans="10:21">
      <c r="J3285" s="8"/>
      <c r="K3285" s="8"/>
      <c r="L3285" s="8"/>
      <c r="M3285" s="8"/>
      <c r="N3285" s="8"/>
      <c r="O3285" s="8"/>
      <c r="P3285" s="8"/>
      <c r="Q3285" s="8"/>
      <c r="R3285" s="8"/>
      <c r="S3285" s="8"/>
      <c r="T3285" s="8"/>
      <c r="U3285" s="8"/>
    </row>
    <row r="3286" spans="10:21">
      <c r="J3286" s="8"/>
      <c r="K3286" s="8"/>
      <c r="L3286" s="8"/>
      <c r="M3286" s="8"/>
      <c r="N3286" s="8"/>
      <c r="O3286" s="8"/>
      <c r="P3286" s="8"/>
      <c r="Q3286" s="8"/>
      <c r="R3286" s="8"/>
      <c r="S3286" s="8"/>
      <c r="T3286" s="8"/>
      <c r="U3286" s="8"/>
    </row>
    <row r="3287" spans="10:21">
      <c r="J3287" s="8"/>
      <c r="K3287" s="8"/>
      <c r="L3287" s="8"/>
      <c r="M3287" s="8"/>
      <c r="N3287" s="8"/>
      <c r="O3287" s="8"/>
      <c r="P3287" s="8"/>
      <c r="Q3287" s="8"/>
      <c r="R3287" s="8"/>
      <c r="S3287" s="8"/>
      <c r="T3287" s="8"/>
      <c r="U3287" s="8"/>
    </row>
    <row r="3288" spans="10:21">
      <c r="J3288" s="8"/>
      <c r="K3288" s="8"/>
      <c r="L3288" s="8"/>
      <c r="M3288" s="8"/>
      <c r="N3288" s="8"/>
      <c r="O3288" s="8"/>
      <c r="P3288" s="8"/>
      <c r="Q3288" s="8"/>
      <c r="R3288" s="8"/>
      <c r="S3288" s="8"/>
      <c r="T3288" s="8"/>
      <c r="U3288" s="8"/>
    </row>
    <row r="3289" spans="10:21">
      <c r="J3289" s="8"/>
      <c r="K3289" s="8"/>
      <c r="L3289" s="8"/>
      <c r="M3289" s="8"/>
      <c r="N3289" s="8"/>
      <c r="O3289" s="8"/>
      <c r="P3289" s="8"/>
      <c r="Q3289" s="8"/>
      <c r="R3289" s="8"/>
      <c r="S3289" s="8"/>
      <c r="T3289" s="8"/>
      <c r="U3289" s="8"/>
    </row>
    <row r="3290" spans="10:21">
      <c r="J3290" s="8"/>
      <c r="K3290" s="8"/>
      <c r="L3290" s="8"/>
      <c r="M3290" s="8"/>
      <c r="N3290" s="8"/>
      <c r="O3290" s="8"/>
      <c r="P3290" s="8"/>
      <c r="Q3290" s="8"/>
      <c r="R3290" s="8"/>
      <c r="S3290" s="8"/>
      <c r="T3290" s="8"/>
      <c r="U3290" s="8"/>
    </row>
    <row r="3291" spans="10:21">
      <c r="J3291" s="8"/>
      <c r="K3291" s="8"/>
      <c r="L3291" s="8"/>
      <c r="M3291" s="8"/>
      <c r="N3291" s="8"/>
      <c r="O3291" s="8"/>
      <c r="P3291" s="8"/>
      <c r="Q3291" s="8"/>
      <c r="R3291" s="8"/>
      <c r="S3291" s="8"/>
      <c r="T3291" s="8"/>
      <c r="U3291" s="8"/>
    </row>
    <row r="3292" spans="10:21">
      <c r="J3292" s="8"/>
      <c r="K3292" s="8"/>
      <c r="L3292" s="8"/>
      <c r="M3292" s="8"/>
      <c r="N3292" s="8"/>
      <c r="O3292" s="8"/>
      <c r="P3292" s="8"/>
      <c r="Q3292" s="8"/>
      <c r="R3292" s="8"/>
      <c r="S3292" s="8"/>
      <c r="T3292" s="8"/>
      <c r="U3292" s="8"/>
    </row>
    <row r="3293" spans="10:21">
      <c r="J3293" s="8"/>
      <c r="K3293" s="8"/>
      <c r="L3293" s="8"/>
      <c r="M3293" s="8"/>
      <c r="N3293" s="8"/>
      <c r="O3293" s="8"/>
      <c r="P3293" s="8"/>
      <c r="Q3293" s="8"/>
      <c r="R3293" s="8"/>
      <c r="S3293" s="8"/>
      <c r="T3293" s="8"/>
      <c r="U3293" s="8"/>
    </row>
    <row r="3294" spans="10:21">
      <c r="J3294" s="8"/>
      <c r="K3294" s="8"/>
      <c r="L3294" s="8"/>
      <c r="M3294" s="8"/>
      <c r="N3294" s="8"/>
      <c r="O3294" s="8"/>
      <c r="P3294" s="8"/>
      <c r="Q3294" s="8"/>
      <c r="R3294" s="8"/>
      <c r="S3294" s="8"/>
      <c r="T3294" s="8"/>
      <c r="U3294" s="8"/>
    </row>
    <row r="3295" spans="10:21">
      <c r="J3295" s="8"/>
      <c r="K3295" s="8"/>
      <c r="L3295" s="8"/>
      <c r="M3295" s="8"/>
      <c r="N3295" s="8"/>
      <c r="O3295" s="8"/>
      <c r="P3295" s="8"/>
      <c r="Q3295" s="8"/>
      <c r="R3295" s="8"/>
      <c r="S3295" s="8"/>
      <c r="T3295" s="8"/>
      <c r="U3295" s="8"/>
    </row>
    <row r="3296" spans="10:21">
      <c r="J3296" s="8"/>
      <c r="K3296" s="8"/>
      <c r="L3296" s="8"/>
      <c r="M3296" s="8"/>
      <c r="N3296" s="8"/>
      <c r="O3296" s="8"/>
      <c r="P3296" s="8"/>
      <c r="Q3296" s="8"/>
      <c r="R3296" s="8"/>
      <c r="S3296" s="8"/>
      <c r="T3296" s="8"/>
      <c r="U3296" s="8"/>
    </row>
    <row r="3297" spans="10:21">
      <c r="J3297" s="8"/>
      <c r="K3297" s="8"/>
      <c r="L3297" s="8"/>
      <c r="M3297" s="8"/>
      <c r="N3297" s="8"/>
      <c r="O3297" s="8"/>
      <c r="P3297" s="8"/>
      <c r="Q3297" s="8"/>
      <c r="R3297" s="8"/>
      <c r="S3297" s="8"/>
      <c r="T3297" s="8"/>
      <c r="U3297" s="8"/>
    </row>
    <row r="3298" spans="10:21">
      <c r="J3298" s="8"/>
      <c r="K3298" s="8"/>
      <c r="L3298" s="8"/>
      <c r="M3298" s="8"/>
      <c r="N3298" s="8"/>
      <c r="O3298" s="8"/>
      <c r="P3298" s="8"/>
      <c r="Q3298" s="8"/>
      <c r="R3298" s="8"/>
      <c r="S3298" s="8"/>
      <c r="T3298" s="8"/>
      <c r="U3298" s="8"/>
    </row>
    <row r="3299" spans="10:21">
      <c r="J3299" s="8"/>
      <c r="K3299" s="8"/>
      <c r="L3299" s="8"/>
      <c r="M3299" s="8"/>
      <c r="N3299" s="8"/>
      <c r="O3299" s="8"/>
      <c r="P3299" s="8"/>
      <c r="Q3299" s="8"/>
      <c r="R3299" s="8"/>
      <c r="S3299" s="8"/>
      <c r="T3299" s="8"/>
      <c r="U3299" s="8"/>
    </row>
    <row r="3300" spans="10:21">
      <c r="J3300" s="8"/>
      <c r="K3300" s="8"/>
      <c r="L3300" s="8"/>
      <c r="M3300" s="8"/>
      <c r="N3300" s="8"/>
      <c r="O3300" s="8"/>
      <c r="P3300" s="8"/>
      <c r="Q3300" s="8"/>
      <c r="R3300" s="8"/>
      <c r="S3300" s="8"/>
      <c r="T3300" s="8"/>
      <c r="U3300" s="8"/>
    </row>
    <row r="3301" spans="10:21">
      <c r="J3301" s="8"/>
      <c r="K3301" s="8"/>
      <c r="L3301" s="8"/>
      <c r="M3301" s="8"/>
      <c r="N3301" s="8"/>
      <c r="O3301" s="8"/>
      <c r="P3301" s="8"/>
      <c r="Q3301" s="8"/>
      <c r="R3301" s="8"/>
      <c r="S3301" s="8"/>
      <c r="T3301" s="8"/>
      <c r="U3301" s="8"/>
    </row>
    <row r="3302" spans="10:21">
      <c r="J3302" s="8"/>
      <c r="K3302" s="8"/>
      <c r="L3302" s="8"/>
      <c r="M3302" s="8"/>
      <c r="N3302" s="8"/>
      <c r="O3302" s="8"/>
      <c r="P3302" s="8"/>
      <c r="Q3302" s="8"/>
      <c r="R3302" s="8"/>
      <c r="S3302" s="8"/>
      <c r="T3302" s="8"/>
      <c r="U3302" s="8"/>
    </row>
    <row r="3303" spans="10:21">
      <c r="J3303" s="8"/>
      <c r="K3303" s="8"/>
      <c r="L3303" s="8"/>
      <c r="M3303" s="8"/>
      <c r="N3303" s="8"/>
      <c r="O3303" s="8"/>
      <c r="P3303" s="8"/>
      <c r="Q3303" s="8"/>
      <c r="R3303" s="8"/>
      <c r="S3303" s="8"/>
      <c r="T3303" s="8"/>
      <c r="U3303" s="8"/>
    </row>
    <row r="3304" spans="10:21">
      <c r="J3304" s="8"/>
      <c r="K3304" s="8"/>
      <c r="L3304" s="8"/>
      <c r="M3304" s="8"/>
      <c r="N3304" s="8"/>
      <c r="O3304" s="8"/>
      <c r="P3304" s="8"/>
      <c r="Q3304" s="8"/>
      <c r="R3304" s="8"/>
      <c r="S3304" s="8"/>
      <c r="T3304" s="8"/>
      <c r="U3304" s="8"/>
    </row>
    <row r="3305" spans="10:21">
      <c r="J3305" s="8"/>
      <c r="K3305" s="8"/>
      <c r="L3305" s="8"/>
      <c r="M3305" s="8"/>
      <c r="N3305" s="8"/>
      <c r="O3305" s="8"/>
      <c r="P3305" s="8"/>
      <c r="Q3305" s="8"/>
      <c r="R3305" s="8"/>
      <c r="S3305" s="8"/>
      <c r="T3305" s="8"/>
      <c r="U3305" s="8"/>
    </row>
    <row r="3306" spans="10:21">
      <c r="J3306" s="8"/>
      <c r="K3306" s="8"/>
      <c r="L3306" s="8"/>
      <c r="M3306" s="8"/>
      <c r="N3306" s="8"/>
      <c r="O3306" s="8"/>
      <c r="P3306" s="8"/>
      <c r="Q3306" s="8"/>
      <c r="R3306" s="8"/>
      <c r="S3306" s="8"/>
      <c r="T3306" s="8"/>
      <c r="U3306" s="8"/>
    </row>
    <row r="3307" spans="10:21">
      <c r="J3307" s="8"/>
      <c r="K3307" s="8"/>
      <c r="L3307" s="8"/>
      <c r="M3307" s="8"/>
      <c r="N3307" s="8"/>
      <c r="O3307" s="8"/>
      <c r="P3307" s="8"/>
      <c r="Q3307" s="8"/>
      <c r="R3307" s="8"/>
      <c r="S3307" s="8"/>
      <c r="T3307" s="8"/>
      <c r="U3307" s="8"/>
    </row>
    <row r="3308" spans="10:21">
      <c r="J3308" s="8"/>
      <c r="K3308" s="8"/>
      <c r="L3308" s="8"/>
      <c r="M3308" s="8"/>
      <c r="N3308" s="8"/>
      <c r="O3308" s="8"/>
      <c r="P3308" s="8"/>
      <c r="Q3308" s="8"/>
      <c r="R3308" s="8"/>
      <c r="S3308" s="8"/>
      <c r="T3308" s="8"/>
      <c r="U3308" s="8"/>
    </row>
    <row r="3309" spans="10:21">
      <c r="J3309" s="8"/>
      <c r="K3309" s="8"/>
      <c r="L3309" s="8"/>
      <c r="M3309" s="8"/>
      <c r="N3309" s="8"/>
      <c r="O3309" s="8"/>
      <c r="P3309" s="8"/>
      <c r="Q3309" s="8"/>
      <c r="R3309" s="8"/>
      <c r="S3309" s="8"/>
      <c r="T3309" s="8"/>
      <c r="U3309" s="8"/>
    </row>
    <row r="3310" spans="10:21">
      <c r="J3310" s="8"/>
      <c r="K3310" s="8"/>
      <c r="L3310" s="8"/>
      <c r="M3310" s="8"/>
      <c r="N3310" s="8"/>
      <c r="O3310" s="8"/>
      <c r="P3310" s="8"/>
      <c r="Q3310" s="8"/>
      <c r="R3310" s="8"/>
      <c r="S3310" s="8"/>
      <c r="T3310" s="8"/>
      <c r="U3310" s="8"/>
    </row>
    <row r="3311" spans="10:21">
      <c r="J3311" s="8"/>
      <c r="K3311" s="8"/>
      <c r="L3311" s="8"/>
      <c r="M3311" s="8"/>
      <c r="N3311" s="8"/>
      <c r="O3311" s="8"/>
      <c r="P3311" s="8"/>
      <c r="Q3311" s="8"/>
      <c r="R3311" s="8"/>
      <c r="S3311" s="8"/>
      <c r="T3311" s="8"/>
      <c r="U3311" s="8"/>
    </row>
    <row r="3312" spans="10:21">
      <c r="J3312" s="8"/>
      <c r="K3312" s="8"/>
      <c r="L3312" s="8"/>
      <c r="M3312" s="8"/>
      <c r="N3312" s="8"/>
      <c r="O3312" s="8"/>
      <c r="P3312" s="8"/>
      <c r="Q3312" s="8"/>
      <c r="R3312" s="8"/>
      <c r="S3312" s="8"/>
      <c r="T3312" s="8"/>
      <c r="U3312" s="8"/>
    </row>
    <row r="3313" spans="10:21">
      <c r="J3313" s="8"/>
      <c r="K3313" s="8"/>
      <c r="L3313" s="8"/>
      <c r="M3313" s="8"/>
      <c r="N3313" s="8"/>
      <c r="O3313" s="8"/>
      <c r="P3313" s="8"/>
      <c r="Q3313" s="8"/>
      <c r="R3313" s="8"/>
      <c r="S3313" s="8"/>
      <c r="T3313" s="8"/>
      <c r="U3313" s="8"/>
    </row>
    <row r="3314" spans="10:21">
      <c r="J3314" s="8"/>
      <c r="K3314" s="8"/>
      <c r="L3314" s="8"/>
      <c r="M3314" s="8"/>
      <c r="N3314" s="8"/>
      <c r="O3314" s="8"/>
      <c r="P3314" s="8"/>
      <c r="Q3314" s="8"/>
      <c r="R3314" s="8"/>
      <c r="S3314" s="8"/>
      <c r="T3314" s="8"/>
      <c r="U3314" s="8"/>
    </row>
    <row r="3315" spans="10:21">
      <c r="J3315" s="8"/>
      <c r="K3315" s="8"/>
      <c r="L3315" s="8"/>
      <c r="M3315" s="8"/>
      <c r="N3315" s="8"/>
      <c r="O3315" s="8"/>
      <c r="P3315" s="8"/>
      <c r="Q3315" s="8"/>
      <c r="R3315" s="8"/>
      <c r="S3315" s="8"/>
      <c r="T3315" s="8"/>
      <c r="U3315" s="8"/>
    </row>
    <row r="3316" spans="10:21">
      <c r="J3316" s="8"/>
      <c r="K3316" s="8"/>
      <c r="L3316" s="8"/>
      <c r="M3316" s="8"/>
      <c r="N3316" s="8"/>
      <c r="O3316" s="8"/>
      <c r="P3316" s="8"/>
      <c r="Q3316" s="8"/>
      <c r="R3316" s="8"/>
      <c r="S3316" s="8"/>
      <c r="T3316" s="8"/>
      <c r="U3316" s="8"/>
    </row>
    <row r="3317" spans="10:21">
      <c r="J3317" s="8"/>
      <c r="K3317" s="8"/>
      <c r="L3317" s="8"/>
      <c r="M3317" s="8"/>
      <c r="N3317" s="8"/>
      <c r="O3317" s="8"/>
      <c r="P3317" s="8"/>
      <c r="Q3317" s="8"/>
      <c r="R3317" s="8"/>
      <c r="S3317" s="8"/>
      <c r="T3317" s="8"/>
      <c r="U3317" s="8"/>
    </row>
    <row r="3318" spans="10:21">
      <c r="J3318" s="8"/>
      <c r="K3318" s="8"/>
      <c r="L3318" s="8"/>
      <c r="M3318" s="8"/>
      <c r="N3318" s="8"/>
      <c r="O3318" s="8"/>
      <c r="P3318" s="8"/>
      <c r="Q3318" s="8"/>
      <c r="R3318" s="8"/>
      <c r="S3318" s="8"/>
      <c r="T3318" s="8"/>
      <c r="U3318" s="8"/>
    </row>
    <row r="3319" spans="10:21">
      <c r="J3319" s="8"/>
      <c r="K3319" s="8"/>
      <c r="L3319" s="8"/>
      <c r="M3319" s="8"/>
      <c r="N3319" s="8"/>
      <c r="O3319" s="8"/>
      <c r="P3319" s="8"/>
      <c r="Q3319" s="8"/>
      <c r="R3319" s="8"/>
      <c r="S3319" s="8"/>
      <c r="T3319" s="8"/>
      <c r="U3319" s="8"/>
    </row>
    <row r="3320" spans="10:21">
      <c r="J3320" s="8"/>
      <c r="K3320" s="8"/>
      <c r="L3320" s="8"/>
      <c r="M3320" s="8"/>
      <c r="N3320" s="8"/>
      <c r="O3320" s="8"/>
      <c r="P3320" s="8"/>
      <c r="Q3320" s="8"/>
      <c r="R3320" s="8"/>
      <c r="S3320" s="8"/>
      <c r="T3320" s="8"/>
      <c r="U3320" s="8"/>
    </row>
    <row r="3321" spans="10:21">
      <c r="J3321" s="8"/>
      <c r="K3321" s="8"/>
      <c r="L3321" s="8"/>
      <c r="M3321" s="8"/>
      <c r="N3321" s="8"/>
      <c r="O3321" s="8"/>
      <c r="P3321" s="8"/>
      <c r="Q3321" s="8"/>
      <c r="R3321" s="8"/>
      <c r="S3321" s="8"/>
      <c r="T3321" s="8"/>
      <c r="U3321" s="8"/>
    </row>
    <row r="3322" spans="10:21">
      <c r="J3322" s="8"/>
      <c r="K3322" s="8"/>
      <c r="L3322" s="8"/>
      <c r="M3322" s="8"/>
      <c r="N3322" s="8"/>
      <c r="O3322" s="8"/>
      <c r="P3322" s="8"/>
      <c r="Q3322" s="8"/>
      <c r="R3322" s="8"/>
      <c r="S3322" s="8"/>
      <c r="T3322" s="8"/>
      <c r="U3322" s="8"/>
    </row>
    <row r="3323" spans="10:21">
      <c r="J3323" s="8"/>
      <c r="K3323" s="8"/>
      <c r="L3323" s="8"/>
      <c r="M3323" s="8"/>
      <c r="N3323" s="8"/>
      <c r="O3323" s="8"/>
      <c r="P3323" s="8"/>
      <c r="Q3323" s="8"/>
      <c r="R3323" s="8"/>
      <c r="S3323" s="8"/>
      <c r="T3323" s="8"/>
      <c r="U3323" s="8"/>
    </row>
    <row r="3324" spans="10:21">
      <c r="J3324" s="8"/>
      <c r="K3324" s="8"/>
      <c r="L3324" s="8"/>
      <c r="M3324" s="8"/>
      <c r="N3324" s="8"/>
      <c r="O3324" s="8"/>
      <c r="P3324" s="8"/>
      <c r="Q3324" s="8"/>
      <c r="R3324" s="8"/>
      <c r="S3324" s="8"/>
      <c r="T3324" s="8"/>
      <c r="U3324" s="8"/>
    </row>
    <row r="3325" spans="10:21">
      <c r="J3325" s="8"/>
      <c r="K3325" s="8"/>
      <c r="L3325" s="8"/>
      <c r="M3325" s="8"/>
      <c r="N3325" s="8"/>
      <c r="O3325" s="8"/>
      <c r="P3325" s="8"/>
      <c r="Q3325" s="8"/>
      <c r="R3325" s="8"/>
      <c r="S3325" s="8"/>
      <c r="T3325" s="8"/>
      <c r="U3325" s="8"/>
    </row>
    <row r="3326" spans="10:21">
      <c r="J3326" s="8"/>
      <c r="K3326" s="8"/>
      <c r="L3326" s="8"/>
      <c r="M3326" s="8"/>
      <c r="N3326" s="8"/>
      <c r="O3326" s="8"/>
      <c r="P3326" s="8"/>
      <c r="Q3326" s="8"/>
      <c r="R3326" s="8"/>
      <c r="S3326" s="8"/>
      <c r="T3326" s="8"/>
      <c r="U3326" s="8"/>
    </row>
    <row r="3327" spans="10:21">
      <c r="J3327" s="8"/>
      <c r="K3327" s="8"/>
      <c r="L3327" s="8"/>
      <c r="M3327" s="8"/>
      <c r="N3327" s="8"/>
      <c r="O3327" s="8"/>
      <c r="P3327" s="8"/>
      <c r="Q3327" s="8"/>
      <c r="R3327" s="8"/>
      <c r="S3327" s="8"/>
      <c r="T3327" s="8"/>
      <c r="U3327" s="8"/>
    </row>
    <row r="3328" spans="10:21">
      <c r="J3328" s="8"/>
      <c r="K3328" s="8"/>
      <c r="L3328" s="8"/>
      <c r="M3328" s="8"/>
      <c r="N3328" s="8"/>
      <c r="O3328" s="8"/>
      <c r="P3328" s="8"/>
      <c r="Q3328" s="8"/>
      <c r="R3328" s="8"/>
      <c r="S3328" s="8"/>
      <c r="T3328" s="8"/>
      <c r="U3328" s="8"/>
    </row>
    <row r="3329" spans="10:21">
      <c r="J3329" s="8"/>
      <c r="K3329" s="8"/>
      <c r="L3329" s="8"/>
      <c r="M3329" s="8"/>
      <c r="N3329" s="8"/>
      <c r="O3329" s="8"/>
      <c r="P3329" s="8"/>
      <c r="Q3329" s="8"/>
      <c r="R3329" s="8"/>
      <c r="S3329" s="8"/>
      <c r="T3329" s="8"/>
      <c r="U3329" s="8"/>
    </row>
    <row r="3330" spans="10:21">
      <c r="J3330" s="8"/>
      <c r="K3330" s="8"/>
      <c r="L3330" s="8"/>
      <c r="M3330" s="8"/>
      <c r="N3330" s="8"/>
      <c r="O3330" s="8"/>
      <c r="P3330" s="8"/>
      <c r="Q3330" s="8"/>
      <c r="R3330" s="8"/>
      <c r="S3330" s="8"/>
      <c r="T3330" s="8"/>
      <c r="U3330" s="8"/>
    </row>
    <row r="3331" spans="10:21">
      <c r="J3331" s="8"/>
      <c r="K3331" s="8"/>
      <c r="L3331" s="8"/>
      <c r="M3331" s="8"/>
      <c r="N3331" s="8"/>
      <c r="O3331" s="8"/>
      <c r="P3331" s="8"/>
      <c r="Q3331" s="8"/>
      <c r="R3331" s="8"/>
      <c r="S3331" s="8"/>
      <c r="T3331" s="8"/>
      <c r="U3331" s="8"/>
    </row>
    <row r="3332" spans="10:21">
      <c r="J3332" s="8"/>
      <c r="K3332" s="8"/>
      <c r="L3332" s="8"/>
      <c r="M3332" s="8"/>
      <c r="N3332" s="8"/>
      <c r="O3332" s="8"/>
      <c r="P3332" s="8"/>
      <c r="Q3332" s="8"/>
      <c r="R3332" s="8"/>
      <c r="S3332" s="8"/>
      <c r="T3332" s="8"/>
      <c r="U3332" s="8"/>
    </row>
    <row r="3333" spans="10:21">
      <c r="J3333" s="8"/>
      <c r="K3333" s="8"/>
      <c r="L3333" s="8"/>
      <c r="M3333" s="8"/>
      <c r="N3333" s="8"/>
      <c r="O3333" s="8"/>
      <c r="P3333" s="8"/>
      <c r="Q3333" s="8"/>
      <c r="R3333" s="8"/>
      <c r="S3333" s="8"/>
      <c r="T3333" s="8"/>
      <c r="U3333" s="8"/>
    </row>
    <row r="3334" spans="10:21">
      <c r="J3334" s="8"/>
      <c r="K3334" s="8"/>
      <c r="L3334" s="8"/>
      <c r="M3334" s="8"/>
      <c r="N3334" s="8"/>
      <c r="O3334" s="8"/>
      <c r="P3334" s="8"/>
      <c r="Q3334" s="8"/>
      <c r="R3334" s="8"/>
      <c r="S3334" s="8"/>
      <c r="T3334" s="8"/>
      <c r="U3334" s="8"/>
    </row>
    <row r="3335" spans="10:21">
      <c r="J3335" s="8"/>
      <c r="K3335" s="8"/>
      <c r="L3335" s="8"/>
      <c r="M3335" s="8"/>
      <c r="N3335" s="8"/>
      <c r="O3335" s="8"/>
      <c r="P3335" s="8"/>
      <c r="Q3335" s="8"/>
      <c r="R3335" s="8"/>
      <c r="S3335" s="8"/>
      <c r="T3335" s="8"/>
      <c r="U3335" s="8"/>
    </row>
    <row r="3336" spans="10:21">
      <c r="J3336" s="8"/>
      <c r="K3336" s="8"/>
      <c r="L3336" s="8"/>
      <c r="M3336" s="8"/>
      <c r="N3336" s="8"/>
      <c r="O3336" s="8"/>
      <c r="P3336" s="8"/>
      <c r="Q3336" s="8"/>
      <c r="R3336" s="8"/>
      <c r="S3336" s="8"/>
      <c r="T3336" s="8"/>
      <c r="U3336" s="8"/>
    </row>
    <row r="3337" spans="10:21">
      <c r="J3337" s="8"/>
      <c r="K3337" s="8"/>
      <c r="L3337" s="8"/>
      <c r="M3337" s="8"/>
      <c r="N3337" s="8"/>
      <c r="O3337" s="8"/>
      <c r="P3337" s="8"/>
      <c r="Q3337" s="8"/>
      <c r="R3337" s="8"/>
      <c r="S3337" s="8"/>
      <c r="T3337" s="8"/>
      <c r="U3337" s="8"/>
    </row>
    <row r="3338" spans="10:21">
      <c r="J3338" s="8"/>
      <c r="K3338" s="8"/>
      <c r="L3338" s="8"/>
      <c r="M3338" s="8"/>
      <c r="N3338" s="8"/>
      <c r="O3338" s="8"/>
      <c r="P3338" s="8"/>
      <c r="Q3338" s="8"/>
      <c r="R3338" s="8"/>
      <c r="S3338" s="8"/>
      <c r="T3338" s="8"/>
      <c r="U3338" s="8"/>
    </row>
    <row r="3339" spans="10:21">
      <c r="J3339" s="8"/>
      <c r="K3339" s="8"/>
      <c r="L3339" s="8"/>
      <c r="M3339" s="8"/>
      <c r="N3339" s="8"/>
      <c r="O3339" s="8"/>
      <c r="P3339" s="8"/>
      <c r="Q3339" s="8"/>
      <c r="R3339" s="8"/>
      <c r="S3339" s="8"/>
      <c r="T3339" s="8"/>
      <c r="U3339" s="8"/>
    </row>
    <row r="3340" spans="10:21">
      <c r="J3340" s="8"/>
      <c r="K3340" s="8"/>
      <c r="L3340" s="8"/>
      <c r="M3340" s="8"/>
      <c r="N3340" s="8"/>
      <c r="O3340" s="8"/>
      <c r="P3340" s="8"/>
      <c r="Q3340" s="8"/>
      <c r="R3340" s="8"/>
      <c r="S3340" s="8"/>
      <c r="T3340" s="8"/>
      <c r="U3340" s="8"/>
    </row>
    <row r="3341" spans="10:21">
      <c r="J3341" s="8"/>
      <c r="K3341" s="8"/>
      <c r="L3341" s="8"/>
      <c r="M3341" s="8"/>
      <c r="N3341" s="8"/>
      <c r="O3341" s="8"/>
      <c r="P3341" s="8"/>
      <c r="Q3341" s="8"/>
      <c r="R3341" s="8"/>
      <c r="S3341" s="8"/>
      <c r="T3341" s="8"/>
      <c r="U3341" s="8"/>
    </row>
    <row r="3342" spans="10:21">
      <c r="J3342" s="8"/>
      <c r="K3342" s="8"/>
      <c r="L3342" s="8"/>
      <c r="M3342" s="8"/>
      <c r="N3342" s="8"/>
      <c r="O3342" s="8"/>
      <c r="P3342" s="8"/>
      <c r="Q3342" s="8"/>
      <c r="R3342" s="8"/>
      <c r="S3342" s="8"/>
      <c r="T3342" s="8"/>
      <c r="U3342" s="8"/>
    </row>
    <row r="3343" spans="10:21">
      <c r="J3343" s="8"/>
      <c r="K3343" s="8"/>
      <c r="L3343" s="8"/>
      <c r="M3343" s="8"/>
      <c r="N3343" s="8"/>
      <c r="O3343" s="8"/>
      <c r="P3343" s="8"/>
      <c r="Q3343" s="8"/>
      <c r="R3343" s="8"/>
      <c r="S3343" s="8"/>
      <c r="T3343" s="8"/>
      <c r="U3343" s="8"/>
    </row>
    <row r="3344" spans="10:21">
      <c r="J3344" s="8"/>
      <c r="K3344" s="8"/>
      <c r="L3344" s="8"/>
      <c r="M3344" s="8"/>
      <c r="N3344" s="8"/>
      <c r="O3344" s="8"/>
      <c r="P3344" s="8"/>
      <c r="Q3344" s="8"/>
      <c r="R3344" s="8"/>
      <c r="S3344" s="8"/>
      <c r="T3344" s="8"/>
      <c r="U3344" s="8"/>
    </row>
    <row r="3345" spans="10:21">
      <c r="J3345" s="8"/>
      <c r="K3345" s="8"/>
      <c r="L3345" s="8"/>
      <c r="M3345" s="8"/>
      <c r="N3345" s="8"/>
      <c r="O3345" s="8"/>
      <c r="P3345" s="8"/>
      <c r="Q3345" s="8"/>
      <c r="R3345" s="8"/>
      <c r="S3345" s="8"/>
      <c r="T3345" s="8"/>
      <c r="U3345" s="8"/>
    </row>
    <row r="3346" spans="10:21">
      <c r="J3346" s="8"/>
      <c r="K3346" s="8"/>
      <c r="L3346" s="8"/>
      <c r="M3346" s="8"/>
      <c r="N3346" s="8"/>
      <c r="O3346" s="8"/>
      <c r="P3346" s="8"/>
      <c r="Q3346" s="8"/>
      <c r="R3346" s="8"/>
      <c r="S3346" s="8"/>
      <c r="T3346" s="8"/>
      <c r="U3346" s="8"/>
    </row>
    <row r="3347" spans="10:21">
      <c r="J3347" s="8"/>
      <c r="K3347" s="8"/>
      <c r="L3347" s="8"/>
      <c r="M3347" s="8"/>
      <c r="N3347" s="8"/>
      <c r="O3347" s="8"/>
      <c r="P3347" s="8"/>
      <c r="Q3347" s="8"/>
      <c r="R3347" s="8"/>
      <c r="S3347" s="8"/>
      <c r="T3347" s="8"/>
      <c r="U3347" s="8"/>
    </row>
    <row r="3348" spans="10:21">
      <c r="J3348" s="8"/>
      <c r="K3348" s="8"/>
      <c r="L3348" s="8"/>
      <c r="M3348" s="8"/>
      <c r="N3348" s="8"/>
      <c r="O3348" s="8"/>
      <c r="P3348" s="8"/>
      <c r="Q3348" s="8"/>
      <c r="R3348" s="8"/>
      <c r="S3348" s="8"/>
      <c r="T3348" s="8"/>
      <c r="U3348" s="8"/>
    </row>
    <row r="3349" spans="10:21">
      <c r="J3349" s="8"/>
      <c r="K3349" s="8"/>
      <c r="L3349" s="8"/>
      <c r="M3349" s="8"/>
      <c r="N3349" s="8"/>
      <c r="O3349" s="8"/>
      <c r="P3349" s="8"/>
      <c r="Q3349" s="8"/>
      <c r="R3349" s="8"/>
      <c r="S3349" s="8"/>
      <c r="T3349" s="8"/>
      <c r="U3349" s="8"/>
    </row>
    <row r="3350" spans="10:21">
      <c r="J3350" s="8"/>
      <c r="K3350" s="8"/>
      <c r="L3350" s="8"/>
      <c r="M3350" s="8"/>
      <c r="N3350" s="8"/>
      <c r="O3350" s="8"/>
      <c r="P3350" s="8"/>
      <c r="Q3350" s="8"/>
      <c r="R3350" s="8"/>
      <c r="S3350" s="8"/>
      <c r="T3350" s="8"/>
      <c r="U3350" s="8"/>
    </row>
    <row r="3351" spans="10:21">
      <c r="J3351" s="8"/>
      <c r="K3351" s="8"/>
      <c r="L3351" s="8"/>
      <c r="M3351" s="8"/>
      <c r="N3351" s="8"/>
      <c r="O3351" s="8"/>
      <c r="P3351" s="8"/>
      <c r="Q3351" s="8"/>
      <c r="R3351" s="8"/>
      <c r="S3351" s="8"/>
      <c r="T3351" s="8"/>
      <c r="U3351" s="8"/>
    </row>
    <row r="3352" spans="10:21">
      <c r="J3352" s="8"/>
      <c r="K3352" s="8"/>
      <c r="L3352" s="8"/>
      <c r="M3352" s="8"/>
      <c r="N3352" s="8"/>
      <c r="O3352" s="8"/>
      <c r="P3352" s="8"/>
      <c r="Q3352" s="8"/>
      <c r="R3352" s="8"/>
      <c r="S3352" s="8"/>
      <c r="T3352" s="8"/>
      <c r="U3352" s="8"/>
    </row>
    <row r="3353" spans="10:21">
      <c r="J3353" s="8"/>
      <c r="K3353" s="8"/>
      <c r="L3353" s="8"/>
      <c r="M3353" s="8"/>
      <c r="N3353" s="8"/>
      <c r="O3353" s="8"/>
      <c r="P3353" s="8"/>
      <c r="Q3353" s="8"/>
      <c r="R3353" s="8"/>
      <c r="S3353" s="8"/>
      <c r="T3353" s="8"/>
      <c r="U3353" s="8"/>
    </row>
    <row r="3354" spans="10:21">
      <c r="J3354" s="8"/>
      <c r="K3354" s="8"/>
      <c r="L3354" s="8"/>
      <c r="M3354" s="8"/>
      <c r="N3354" s="8"/>
      <c r="O3354" s="8"/>
      <c r="P3354" s="8"/>
      <c r="Q3354" s="8"/>
      <c r="R3354" s="8"/>
      <c r="S3354" s="8"/>
      <c r="T3354" s="8"/>
      <c r="U3354" s="8"/>
    </row>
    <row r="3355" spans="10:21">
      <c r="J3355" s="8"/>
      <c r="K3355" s="8"/>
      <c r="L3355" s="8"/>
      <c r="M3355" s="8"/>
      <c r="N3355" s="8"/>
      <c r="O3355" s="8"/>
      <c r="P3355" s="8"/>
      <c r="Q3355" s="8"/>
      <c r="R3355" s="8"/>
      <c r="S3355" s="8"/>
      <c r="T3355" s="8"/>
      <c r="U3355" s="8"/>
    </row>
    <row r="3356" spans="10:21">
      <c r="J3356" s="8"/>
      <c r="K3356" s="8"/>
      <c r="L3356" s="8"/>
      <c r="M3356" s="8"/>
      <c r="N3356" s="8"/>
      <c r="O3356" s="8"/>
      <c r="P3356" s="8"/>
      <c r="Q3356" s="8"/>
      <c r="R3356" s="8"/>
      <c r="S3356" s="8"/>
      <c r="T3356" s="8"/>
      <c r="U3356" s="8"/>
    </row>
    <row r="3357" spans="10:21">
      <c r="J3357" s="8"/>
      <c r="K3357" s="8"/>
      <c r="L3357" s="8"/>
      <c r="M3357" s="8"/>
      <c r="N3357" s="8"/>
      <c r="O3357" s="8"/>
      <c r="P3357" s="8"/>
      <c r="Q3357" s="8"/>
      <c r="R3357" s="8"/>
      <c r="S3357" s="8"/>
      <c r="T3357" s="8"/>
      <c r="U3357" s="8"/>
    </row>
    <row r="3358" spans="10:21">
      <c r="J3358" s="8"/>
      <c r="K3358" s="8"/>
      <c r="L3358" s="8"/>
      <c r="M3358" s="8"/>
      <c r="N3358" s="8"/>
      <c r="O3358" s="8"/>
      <c r="P3358" s="8"/>
      <c r="Q3358" s="8"/>
      <c r="R3358" s="8"/>
      <c r="S3358" s="8"/>
      <c r="T3358" s="8"/>
      <c r="U3358" s="8"/>
    </row>
    <row r="3359" spans="10:21">
      <c r="J3359" s="8"/>
      <c r="K3359" s="8"/>
      <c r="L3359" s="8"/>
      <c r="M3359" s="8"/>
      <c r="N3359" s="8"/>
      <c r="O3359" s="8"/>
      <c r="P3359" s="8"/>
      <c r="Q3359" s="8"/>
      <c r="R3359" s="8"/>
      <c r="S3359" s="8"/>
      <c r="T3359" s="8"/>
      <c r="U3359" s="8"/>
    </row>
    <row r="3360" spans="10:21">
      <c r="J3360" s="8"/>
      <c r="K3360" s="8"/>
      <c r="L3360" s="8"/>
      <c r="M3360" s="8"/>
      <c r="N3360" s="8"/>
      <c r="O3360" s="8"/>
      <c r="P3360" s="8"/>
      <c r="Q3360" s="8"/>
      <c r="R3360" s="8"/>
      <c r="S3360" s="8"/>
      <c r="T3360" s="8"/>
      <c r="U3360" s="8"/>
    </row>
    <row r="3361" spans="10:21">
      <c r="J3361" s="8"/>
      <c r="K3361" s="8"/>
      <c r="L3361" s="8"/>
      <c r="M3361" s="8"/>
      <c r="N3361" s="8"/>
      <c r="O3361" s="8"/>
      <c r="P3361" s="8"/>
      <c r="Q3361" s="8"/>
      <c r="R3361" s="8"/>
      <c r="S3361" s="8"/>
      <c r="T3361" s="8"/>
      <c r="U3361" s="8"/>
    </row>
    <row r="3362" spans="10:21">
      <c r="J3362" s="8"/>
      <c r="K3362" s="8"/>
      <c r="L3362" s="8"/>
      <c r="M3362" s="8"/>
      <c r="N3362" s="8"/>
      <c r="O3362" s="8"/>
      <c r="P3362" s="8"/>
      <c r="Q3362" s="8"/>
      <c r="R3362" s="8"/>
      <c r="S3362" s="8"/>
      <c r="T3362" s="8"/>
      <c r="U3362" s="8"/>
    </row>
    <row r="3363" spans="10:21">
      <c r="J3363" s="8"/>
      <c r="K3363" s="8"/>
      <c r="L3363" s="8"/>
      <c r="M3363" s="8"/>
      <c r="N3363" s="8"/>
      <c r="O3363" s="8"/>
      <c r="P3363" s="8"/>
      <c r="Q3363" s="8"/>
      <c r="R3363" s="8"/>
      <c r="S3363" s="8"/>
      <c r="T3363" s="8"/>
      <c r="U3363" s="8"/>
    </row>
    <row r="3364" spans="10:21">
      <c r="J3364" s="8"/>
      <c r="K3364" s="8"/>
      <c r="L3364" s="8"/>
      <c r="M3364" s="8"/>
      <c r="N3364" s="8"/>
      <c r="O3364" s="8"/>
      <c r="P3364" s="8"/>
      <c r="Q3364" s="8"/>
      <c r="R3364" s="8"/>
      <c r="S3364" s="8"/>
      <c r="T3364" s="8"/>
      <c r="U3364" s="8"/>
    </row>
    <row r="3365" spans="10:21">
      <c r="J3365" s="8"/>
      <c r="K3365" s="8"/>
      <c r="L3365" s="8"/>
      <c r="M3365" s="8"/>
      <c r="N3365" s="8"/>
      <c r="O3365" s="8"/>
      <c r="P3365" s="8"/>
      <c r="Q3365" s="8"/>
      <c r="R3365" s="8"/>
      <c r="S3365" s="8"/>
      <c r="T3365" s="8"/>
      <c r="U3365" s="8"/>
    </row>
    <row r="3366" spans="10:21">
      <c r="J3366" s="8"/>
      <c r="K3366" s="8"/>
      <c r="L3366" s="8"/>
      <c r="M3366" s="8"/>
      <c r="N3366" s="8"/>
      <c r="O3366" s="8"/>
      <c r="P3366" s="8"/>
      <c r="Q3366" s="8"/>
      <c r="R3366" s="8"/>
      <c r="S3366" s="8"/>
      <c r="T3366" s="8"/>
      <c r="U3366" s="8"/>
    </row>
    <row r="3367" spans="10:21">
      <c r="J3367" s="8"/>
      <c r="K3367" s="8"/>
      <c r="L3367" s="8"/>
      <c r="M3367" s="8"/>
      <c r="N3367" s="8"/>
      <c r="O3367" s="8"/>
      <c r="P3367" s="8"/>
      <c r="Q3367" s="8"/>
      <c r="R3367" s="8"/>
      <c r="S3367" s="8"/>
      <c r="T3367" s="8"/>
      <c r="U3367" s="8"/>
    </row>
    <row r="3368" spans="10:21">
      <c r="J3368" s="8"/>
      <c r="K3368" s="8"/>
      <c r="L3368" s="8"/>
      <c r="M3368" s="8"/>
      <c r="N3368" s="8"/>
      <c r="O3368" s="8"/>
      <c r="P3368" s="8"/>
      <c r="Q3368" s="8"/>
      <c r="R3368" s="8"/>
      <c r="S3368" s="8"/>
      <c r="T3368" s="8"/>
      <c r="U3368" s="8"/>
    </row>
    <row r="3369" spans="10:21">
      <c r="J3369" s="8"/>
      <c r="K3369" s="8"/>
      <c r="L3369" s="8"/>
      <c r="M3369" s="8"/>
      <c r="N3369" s="8"/>
      <c r="O3369" s="8"/>
      <c r="P3369" s="8"/>
      <c r="Q3369" s="8"/>
      <c r="R3369" s="8"/>
      <c r="S3369" s="8"/>
      <c r="T3369" s="8"/>
      <c r="U3369" s="8"/>
    </row>
    <row r="3370" spans="10:21">
      <c r="J3370" s="8"/>
      <c r="K3370" s="8"/>
      <c r="L3370" s="8"/>
      <c r="M3370" s="8"/>
      <c r="N3370" s="8"/>
      <c r="O3370" s="8"/>
      <c r="P3370" s="8"/>
      <c r="Q3370" s="8"/>
      <c r="R3370" s="8"/>
      <c r="S3370" s="8"/>
      <c r="T3370" s="8"/>
      <c r="U3370" s="8"/>
    </row>
    <row r="3371" spans="10:21">
      <c r="J3371" s="8"/>
      <c r="K3371" s="8"/>
      <c r="L3371" s="8"/>
      <c r="M3371" s="8"/>
      <c r="N3371" s="8"/>
      <c r="O3371" s="8"/>
      <c r="P3371" s="8"/>
      <c r="Q3371" s="8"/>
      <c r="R3371" s="8"/>
      <c r="S3371" s="8"/>
      <c r="T3371" s="8"/>
      <c r="U3371" s="8"/>
    </row>
    <row r="3372" spans="10:21">
      <c r="J3372" s="8"/>
      <c r="K3372" s="8"/>
      <c r="L3372" s="8"/>
      <c r="M3372" s="8"/>
      <c r="N3372" s="8"/>
      <c r="O3372" s="8"/>
      <c r="P3372" s="8"/>
      <c r="Q3372" s="8"/>
      <c r="R3372" s="8"/>
      <c r="S3372" s="8"/>
      <c r="T3372" s="8"/>
      <c r="U3372" s="8"/>
    </row>
    <row r="3373" spans="10:21">
      <c r="J3373" s="8"/>
      <c r="K3373" s="8"/>
      <c r="L3373" s="8"/>
      <c r="M3373" s="8"/>
      <c r="N3373" s="8"/>
      <c r="O3373" s="8"/>
      <c r="P3373" s="8"/>
      <c r="Q3373" s="8"/>
      <c r="R3373" s="8"/>
      <c r="S3373" s="8"/>
      <c r="T3373" s="8"/>
      <c r="U3373" s="8"/>
    </row>
    <row r="3374" spans="10:21">
      <c r="J3374" s="8"/>
      <c r="K3374" s="8"/>
      <c r="L3374" s="8"/>
      <c r="M3374" s="8"/>
      <c r="N3374" s="8"/>
      <c r="O3374" s="8"/>
      <c r="P3374" s="8"/>
      <c r="Q3374" s="8"/>
      <c r="R3374" s="8"/>
      <c r="S3374" s="8"/>
      <c r="T3374" s="8"/>
      <c r="U3374" s="8"/>
    </row>
    <row r="3375" spans="10:21">
      <c r="J3375" s="8"/>
      <c r="K3375" s="8"/>
      <c r="L3375" s="8"/>
      <c r="M3375" s="8"/>
      <c r="N3375" s="8"/>
      <c r="O3375" s="8"/>
      <c r="P3375" s="8"/>
      <c r="Q3375" s="8"/>
      <c r="R3375" s="8"/>
      <c r="S3375" s="8"/>
      <c r="T3375" s="8"/>
      <c r="U3375" s="8"/>
    </row>
    <row r="3376" spans="10:21">
      <c r="J3376" s="8"/>
      <c r="K3376" s="8"/>
      <c r="L3376" s="8"/>
      <c r="M3376" s="8"/>
      <c r="N3376" s="8"/>
      <c r="O3376" s="8"/>
      <c r="P3376" s="8"/>
      <c r="Q3376" s="8"/>
      <c r="R3376" s="8"/>
      <c r="S3376" s="8"/>
      <c r="T3376" s="8"/>
      <c r="U3376" s="8"/>
    </row>
    <row r="3377" spans="10:21">
      <c r="J3377" s="8"/>
      <c r="K3377" s="8"/>
      <c r="L3377" s="8"/>
      <c r="M3377" s="8"/>
      <c r="N3377" s="8"/>
      <c r="O3377" s="8"/>
      <c r="P3377" s="8"/>
      <c r="Q3377" s="8"/>
      <c r="R3377" s="8"/>
      <c r="S3377" s="8"/>
      <c r="T3377" s="8"/>
      <c r="U3377" s="8"/>
    </row>
    <row r="3378" spans="10:21">
      <c r="J3378" s="8"/>
      <c r="K3378" s="8"/>
      <c r="L3378" s="8"/>
      <c r="M3378" s="8"/>
      <c r="N3378" s="8"/>
      <c r="O3378" s="8"/>
      <c r="P3378" s="8"/>
      <c r="Q3378" s="8"/>
      <c r="R3378" s="8"/>
      <c r="S3378" s="8"/>
      <c r="T3378" s="8"/>
      <c r="U3378" s="8"/>
    </row>
    <row r="3379" spans="10:21">
      <c r="J3379" s="8"/>
      <c r="K3379" s="8"/>
      <c r="L3379" s="8"/>
      <c r="M3379" s="8"/>
      <c r="N3379" s="8"/>
      <c r="O3379" s="8"/>
      <c r="P3379" s="8"/>
      <c r="Q3379" s="8"/>
      <c r="R3379" s="8"/>
      <c r="S3379" s="8"/>
      <c r="T3379" s="8"/>
      <c r="U3379" s="8"/>
    </row>
    <row r="3380" spans="10:21">
      <c r="J3380" s="8"/>
      <c r="K3380" s="8"/>
      <c r="L3380" s="8"/>
      <c r="M3380" s="8"/>
      <c r="N3380" s="8"/>
      <c r="O3380" s="8"/>
      <c r="P3380" s="8"/>
      <c r="Q3380" s="8"/>
      <c r="R3380" s="8"/>
      <c r="S3380" s="8"/>
      <c r="T3380" s="8"/>
      <c r="U3380" s="8"/>
    </row>
    <row r="3381" spans="10:21">
      <c r="J3381" s="8"/>
      <c r="K3381" s="8"/>
      <c r="L3381" s="8"/>
      <c r="M3381" s="8"/>
      <c r="N3381" s="8"/>
      <c r="O3381" s="8"/>
      <c r="P3381" s="8"/>
      <c r="Q3381" s="8"/>
      <c r="R3381" s="8"/>
      <c r="S3381" s="8"/>
      <c r="T3381" s="8"/>
      <c r="U3381" s="8"/>
    </row>
    <row r="3382" spans="10:21">
      <c r="J3382" s="8"/>
      <c r="K3382" s="8"/>
      <c r="L3382" s="8"/>
      <c r="M3382" s="8"/>
      <c r="N3382" s="8"/>
      <c r="O3382" s="8"/>
      <c r="P3382" s="8"/>
      <c r="Q3382" s="8"/>
      <c r="R3382" s="8"/>
      <c r="S3382" s="8"/>
      <c r="T3382" s="8"/>
      <c r="U3382" s="8"/>
    </row>
    <row r="3383" spans="10:21">
      <c r="J3383" s="8"/>
      <c r="K3383" s="8"/>
      <c r="L3383" s="8"/>
      <c r="M3383" s="8"/>
      <c r="N3383" s="8"/>
      <c r="O3383" s="8"/>
      <c r="P3383" s="8"/>
      <c r="Q3383" s="8"/>
      <c r="R3383" s="8"/>
      <c r="S3383" s="8"/>
      <c r="T3383" s="8"/>
      <c r="U3383" s="8"/>
    </row>
    <row r="3384" spans="10:21">
      <c r="J3384" s="8"/>
      <c r="K3384" s="8"/>
      <c r="L3384" s="8"/>
      <c r="M3384" s="8"/>
      <c r="N3384" s="8"/>
      <c r="O3384" s="8"/>
      <c r="P3384" s="8"/>
      <c r="Q3384" s="8"/>
      <c r="R3384" s="8"/>
      <c r="S3384" s="8"/>
      <c r="T3384" s="8"/>
      <c r="U3384" s="8"/>
    </row>
    <row r="3385" spans="10:21">
      <c r="J3385" s="8"/>
      <c r="K3385" s="8"/>
      <c r="L3385" s="8"/>
      <c r="M3385" s="8"/>
      <c r="N3385" s="8"/>
      <c r="O3385" s="8"/>
      <c r="P3385" s="8"/>
      <c r="Q3385" s="8"/>
      <c r="R3385" s="8"/>
      <c r="S3385" s="8"/>
      <c r="T3385" s="8"/>
      <c r="U3385" s="8"/>
    </row>
    <row r="3386" spans="10:21">
      <c r="J3386" s="8"/>
      <c r="K3386" s="8"/>
      <c r="L3386" s="8"/>
      <c r="M3386" s="8"/>
      <c r="N3386" s="8"/>
      <c r="O3386" s="8"/>
      <c r="P3386" s="8"/>
      <c r="Q3386" s="8"/>
      <c r="R3386" s="8"/>
      <c r="S3386" s="8"/>
      <c r="T3386" s="8"/>
      <c r="U3386" s="8"/>
    </row>
    <row r="3387" spans="10:21">
      <c r="J3387" s="8"/>
      <c r="K3387" s="8"/>
      <c r="L3387" s="8"/>
      <c r="M3387" s="8"/>
      <c r="N3387" s="8"/>
      <c r="O3387" s="8"/>
      <c r="P3387" s="8"/>
      <c r="Q3387" s="8"/>
      <c r="R3387" s="8"/>
      <c r="S3387" s="8"/>
      <c r="T3387" s="8"/>
      <c r="U3387" s="8"/>
    </row>
    <row r="3388" spans="10:21">
      <c r="J3388" s="8"/>
      <c r="K3388" s="8"/>
      <c r="L3388" s="8"/>
      <c r="M3388" s="8"/>
      <c r="N3388" s="8"/>
      <c r="O3388" s="8"/>
      <c r="P3388" s="8"/>
      <c r="Q3388" s="8"/>
      <c r="R3388" s="8"/>
      <c r="S3388" s="8"/>
      <c r="T3388" s="8"/>
      <c r="U3388" s="8"/>
    </row>
    <row r="3389" spans="10:21">
      <c r="J3389" s="8"/>
      <c r="K3389" s="8"/>
      <c r="L3389" s="8"/>
      <c r="M3389" s="8"/>
      <c r="N3389" s="8"/>
      <c r="O3389" s="8"/>
      <c r="P3389" s="8"/>
      <c r="Q3389" s="8"/>
      <c r="R3389" s="8"/>
      <c r="S3389" s="8"/>
      <c r="T3389" s="8"/>
      <c r="U3389" s="8"/>
    </row>
    <row r="3390" spans="10:21">
      <c r="J3390" s="8"/>
      <c r="K3390" s="8"/>
      <c r="L3390" s="8"/>
      <c r="M3390" s="8"/>
      <c r="N3390" s="8"/>
      <c r="O3390" s="8"/>
      <c r="P3390" s="8"/>
      <c r="Q3390" s="8"/>
      <c r="R3390" s="8"/>
      <c r="S3390" s="8"/>
      <c r="T3390" s="8"/>
      <c r="U3390" s="8"/>
    </row>
    <row r="3391" spans="10:21">
      <c r="J3391" s="8"/>
      <c r="K3391" s="8"/>
      <c r="L3391" s="8"/>
      <c r="M3391" s="8"/>
      <c r="N3391" s="8"/>
      <c r="O3391" s="8"/>
      <c r="P3391" s="8"/>
      <c r="Q3391" s="8"/>
      <c r="R3391" s="8"/>
      <c r="S3391" s="8"/>
      <c r="T3391" s="8"/>
      <c r="U3391" s="8"/>
    </row>
    <row r="3392" spans="10:21">
      <c r="J3392" s="8"/>
      <c r="K3392" s="8"/>
      <c r="L3392" s="8"/>
      <c r="M3392" s="8"/>
      <c r="N3392" s="8"/>
      <c r="O3392" s="8"/>
      <c r="P3392" s="8"/>
      <c r="Q3392" s="8"/>
      <c r="R3392" s="8"/>
      <c r="S3392" s="8"/>
      <c r="T3392" s="8"/>
      <c r="U3392" s="8"/>
    </row>
    <row r="3393" spans="10:21">
      <c r="J3393" s="8"/>
      <c r="K3393" s="8"/>
      <c r="L3393" s="8"/>
      <c r="M3393" s="8"/>
      <c r="N3393" s="8"/>
      <c r="O3393" s="8"/>
      <c r="P3393" s="8"/>
      <c r="Q3393" s="8"/>
      <c r="R3393" s="8"/>
      <c r="S3393" s="8"/>
      <c r="T3393" s="8"/>
      <c r="U3393" s="8"/>
    </row>
    <row r="3394" spans="10:21">
      <c r="J3394" s="8"/>
      <c r="K3394" s="8"/>
      <c r="L3394" s="8"/>
      <c r="M3394" s="8"/>
      <c r="N3394" s="8"/>
      <c r="O3394" s="8"/>
      <c r="P3394" s="8"/>
      <c r="Q3394" s="8"/>
      <c r="R3394" s="8"/>
      <c r="S3394" s="8"/>
      <c r="T3394" s="8"/>
      <c r="U3394" s="8"/>
    </row>
    <row r="3395" spans="10:21">
      <c r="J3395" s="8"/>
      <c r="K3395" s="8"/>
      <c r="L3395" s="8"/>
      <c r="M3395" s="8"/>
      <c r="N3395" s="8"/>
      <c r="O3395" s="8"/>
      <c r="P3395" s="8"/>
      <c r="Q3395" s="8"/>
      <c r="R3395" s="8"/>
      <c r="S3395" s="8"/>
      <c r="T3395" s="8"/>
      <c r="U3395" s="8"/>
    </row>
    <row r="3396" spans="10:21">
      <c r="J3396" s="8"/>
      <c r="K3396" s="8"/>
      <c r="L3396" s="8"/>
      <c r="M3396" s="8"/>
      <c r="N3396" s="8"/>
      <c r="O3396" s="8"/>
      <c r="P3396" s="8"/>
      <c r="Q3396" s="8"/>
      <c r="R3396" s="8"/>
      <c r="S3396" s="8"/>
      <c r="T3396" s="8"/>
      <c r="U3396" s="8"/>
    </row>
    <row r="3397" spans="10:21">
      <c r="J3397" s="8"/>
      <c r="K3397" s="8"/>
      <c r="L3397" s="8"/>
      <c r="M3397" s="8"/>
      <c r="N3397" s="8"/>
      <c r="O3397" s="8"/>
      <c r="P3397" s="8"/>
      <c r="Q3397" s="8"/>
      <c r="R3397" s="8"/>
      <c r="S3397" s="8"/>
      <c r="T3397" s="8"/>
      <c r="U3397" s="8"/>
    </row>
    <row r="3398" spans="10:21">
      <c r="J3398" s="8"/>
      <c r="K3398" s="8"/>
      <c r="L3398" s="8"/>
      <c r="M3398" s="8"/>
      <c r="N3398" s="8"/>
      <c r="O3398" s="8"/>
      <c r="P3398" s="8"/>
      <c r="Q3398" s="8"/>
      <c r="R3398" s="8"/>
      <c r="S3398" s="8"/>
      <c r="T3398" s="8"/>
      <c r="U3398" s="8"/>
    </row>
    <row r="3399" spans="10:21">
      <c r="J3399" s="8"/>
      <c r="K3399" s="8"/>
      <c r="L3399" s="8"/>
      <c r="M3399" s="8"/>
      <c r="N3399" s="8"/>
      <c r="O3399" s="8"/>
      <c r="P3399" s="8"/>
      <c r="Q3399" s="8"/>
      <c r="R3399" s="8"/>
      <c r="S3399" s="8"/>
      <c r="T3399" s="8"/>
      <c r="U3399" s="8"/>
    </row>
    <row r="3400" spans="10:21">
      <c r="J3400" s="8"/>
      <c r="K3400" s="8"/>
      <c r="L3400" s="8"/>
      <c r="M3400" s="8"/>
      <c r="N3400" s="8"/>
      <c r="O3400" s="8"/>
      <c r="P3400" s="8"/>
      <c r="Q3400" s="8"/>
      <c r="R3400" s="8"/>
      <c r="S3400" s="8"/>
      <c r="T3400" s="8"/>
      <c r="U3400" s="8"/>
    </row>
    <row r="3401" spans="10:21">
      <c r="J3401" s="8"/>
      <c r="K3401" s="8"/>
      <c r="L3401" s="8"/>
      <c r="M3401" s="8"/>
      <c r="N3401" s="8"/>
      <c r="O3401" s="8"/>
      <c r="P3401" s="8"/>
      <c r="Q3401" s="8"/>
      <c r="R3401" s="8"/>
      <c r="S3401" s="8"/>
      <c r="T3401" s="8"/>
      <c r="U3401" s="8"/>
    </row>
    <row r="3402" spans="10:21">
      <c r="J3402" s="8"/>
      <c r="K3402" s="8"/>
      <c r="L3402" s="8"/>
      <c r="M3402" s="8"/>
      <c r="N3402" s="8"/>
      <c r="O3402" s="8"/>
      <c r="P3402" s="8"/>
      <c r="Q3402" s="8"/>
      <c r="R3402" s="8"/>
      <c r="S3402" s="8"/>
      <c r="T3402" s="8"/>
      <c r="U3402" s="8"/>
    </row>
    <row r="3403" spans="10:21">
      <c r="J3403" s="8"/>
      <c r="K3403" s="8"/>
      <c r="L3403" s="8"/>
      <c r="M3403" s="8"/>
      <c r="N3403" s="8"/>
      <c r="O3403" s="8"/>
      <c r="P3403" s="8"/>
      <c r="Q3403" s="8"/>
      <c r="R3403" s="8"/>
      <c r="S3403" s="8"/>
      <c r="T3403" s="8"/>
      <c r="U3403" s="8"/>
    </row>
    <row r="3404" spans="10:21">
      <c r="J3404" s="8"/>
      <c r="K3404" s="8"/>
      <c r="L3404" s="8"/>
      <c r="M3404" s="8"/>
      <c r="N3404" s="8"/>
      <c r="O3404" s="8"/>
      <c r="P3404" s="8"/>
      <c r="Q3404" s="8"/>
      <c r="R3404" s="8"/>
      <c r="S3404" s="8"/>
      <c r="T3404" s="8"/>
      <c r="U3404" s="8"/>
    </row>
    <row r="3405" spans="10:21">
      <c r="J3405" s="8"/>
      <c r="K3405" s="8"/>
      <c r="L3405" s="8"/>
      <c r="M3405" s="8"/>
      <c r="N3405" s="8"/>
      <c r="O3405" s="8"/>
      <c r="P3405" s="8"/>
      <c r="Q3405" s="8"/>
      <c r="R3405" s="8"/>
      <c r="S3405" s="8"/>
      <c r="T3405" s="8"/>
      <c r="U3405" s="8"/>
    </row>
    <row r="3406" spans="10:21">
      <c r="J3406" s="8"/>
      <c r="K3406" s="8"/>
      <c r="L3406" s="8"/>
      <c r="M3406" s="8"/>
      <c r="N3406" s="8"/>
      <c r="O3406" s="8"/>
      <c r="P3406" s="8"/>
      <c r="Q3406" s="8"/>
      <c r="R3406" s="8"/>
      <c r="S3406" s="8"/>
      <c r="T3406" s="8"/>
      <c r="U3406" s="8"/>
    </row>
    <row r="3407" spans="10:21">
      <c r="J3407" s="8"/>
      <c r="K3407" s="8"/>
      <c r="L3407" s="8"/>
      <c r="M3407" s="8"/>
      <c r="N3407" s="8"/>
      <c r="O3407" s="8"/>
      <c r="P3407" s="8"/>
      <c r="Q3407" s="8"/>
      <c r="R3407" s="8"/>
      <c r="S3407" s="8"/>
      <c r="T3407" s="8"/>
      <c r="U3407" s="8"/>
    </row>
    <row r="3408" spans="10:21">
      <c r="J3408" s="8"/>
      <c r="K3408" s="8"/>
      <c r="L3408" s="8"/>
      <c r="M3408" s="8"/>
      <c r="N3408" s="8"/>
      <c r="O3408" s="8"/>
      <c r="P3408" s="8"/>
      <c r="Q3408" s="8"/>
      <c r="R3408" s="8"/>
      <c r="S3408" s="8"/>
      <c r="T3408" s="8"/>
      <c r="U3408" s="8"/>
    </row>
    <row r="3409" spans="10:21">
      <c r="J3409" s="8"/>
      <c r="K3409" s="8"/>
      <c r="L3409" s="8"/>
      <c r="M3409" s="8"/>
      <c r="N3409" s="8"/>
      <c r="O3409" s="8"/>
      <c r="P3409" s="8"/>
      <c r="Q3409" s="8"/>
      <c r="R3409" s="8"/>
      <c r="S3409" s="8"/>
      <c r="T3409" s="8"/>
      <c r="U3409" s="8"/>
    </row>
    <row r="3410" spans="10:21">
      <c r="J3410" s="8"/>
      <c r="K3410" s="8"/>
      <c r="L3410" s="8"/>
      <c r="M3410" s="8"/>
      <c r="N3410" s="8"/>
      <c r="O3410" s="8"/>
      <c r="P3410" s="8"/>
      <c r="Q3410" s="8"/>
      <c r="R3410" s="8"/>
      <c r="S3410" s="8"/>
      <c r="T3410" s="8"/>
      <c r="U3410" s="8"/>
    </row>
    <row r="3411" spans="10:21">
      <c r="J3411" s="8"/>
      <c r="K3411" s="8"/>
      <c r="L3411" s="8"/>
      <c r="M3411" s="8"/>
      <c r="N3411" s="8"/>
      <c r="O3411" s="8"/>
      <c r="P3411" s="8"/>
      <c r="Q3411" s="8"/>
      <c r="R3411" s="8"/>
      <c r="S3411" s="8"/>
      <c r="T3411" s="8"/>
      <c r="U3411" s="8"/>
    </row>
    <row r="3412" spans="10:21">
      <c r="J3412" s="8"/>
      <c r="K3412" s="8"/>
      <c r="L3412" s="8"/>
      <c r="M3412" s="8"/>
      <c r="N3412" s="8"/>
      <c r="O3412" s="8"/>
      <c r="P3412" s="8"/>
      <c r="Q3412" s="8"/>
      <c r="R3412" s="8"/>
      <c r="S3412" s="8"/>
      <c r="T3412" s="8"/>
      <c r="U3412" s="8"/>
    </row>
    <row r="3413" spans="10:21">
      <c r="J3413" s="8"/>
      <c r="K3413" s="8"/>
      <c r="L3413" s="8"/>
      <c r="M3413" s="8"/>
      <c r="N3413" s="8"/>
      <c r="O3413" s="8"/>
      <c r="P3413" s="8"/>
      <c r="Q3413" s="8"/>
      <c r="R3413" s="8"/>
      <c r="S3413" s="8"/>
      <c r="T3413" s="8"/>
      <c r="U3413" s="8"/>
    </row>
    <row r="3414" spans="10:21">
      <c r="J3414" s="8"/>
      <c r="K3414" s="8"/>
      <c r="L3414" s="8"/>
      <c r="M3414" s="8"/>
      <c r="N3414" s="8"/>
      <c r="O3414" s="8"/>
      <c r="P3414" s="8"/>
      <c r="Q3414" s="8"/>
      <c r="R3414" s="8"/>
      <c r="S3414" s="8"/>
      <c r="T3414" s="8"/>
      <c r="U3414" s="8"/>
    </row>
    <row r="3415" spans="10:21">
      <c r="J3415" s="8"/>
      <c r="K3415" s="8"/>
      <c r="L3415" s="8"/>
      <c r="M3415" s="8"/>
      <c r="N3415" s="8"/>
      <c r="O3415" s="8"/>
      <c r="P3415" s="8"/>
      <c r="Q3415" s="8"/>
      <c r="R3415" s="8"/>
      <c r="S3415" s="8"/>
      <c r="T3415" s="8"/>
      <c r="U3415" s="8"/>
    </row>
    <row r="3416" spans="10:21">
      <c r="J3416" s="8"/>
      <c r="K3416" s="8"/>
      <c r="L3416" s="8"/>
      <c r="M3416" s="8"/>
      <c r="N3416" s="8"/>
      <c r="O3416" s="8"/>
      <c r="P3416" s="8"/>
      <c r="Q3416" s="8"/>
      <c r="R3416" s="8"/>
      <c r="S3416" s="8"/>
      <c r="T3416" s="8"/>
      <c r="U3416" s="8"/>
    </row>
    <row r="3417" spans="10:21">
      <c r="J3417" s="8"/>
      <c r="K3417" s="8"/>
      <c r="L3417" s="8"/>
      <c r="M3417" s="8"/>
      <c r="N3417" s="8"/>
      <c r="O3417" s="8"/>
      <c r="P3417" s="8"/>
      <c r="Q3417" s="8"/>
      <c r="R3417" s="8"/>
      <c r="S3417" s="8"/>
      <c r="T3417" s="8"/>
      <c r="U3417" s="8"/>
    </row>
    <row r="3418" spans="10:21">
      <c r="J3418" s="8"/>
      <c r="K3418" s="8"/>
      <c r="L3418" s="8"/>
      <c r="M3418" s="8"/>
      <c r="N3418" s="8"/>
      <c r="O3418" s="8"/>
      <c r="P3418" s="8"/>
      <c r="Q3418" s="8"/>
      <c r="R3418" s="8"/>
      <c r="S3418" s="8"/>
      <c r="T3418" s="8"/>
      <c r="U3418" s="8"/>
    </row>
    <row r="3419" spans="10:21">
      <c r="J3419" s="8"/>
      <c r="K3419" s="8"/>
      <c r="L3419" s="8"/>
      <c r="M3419" s="8"/>
      <c r="N3419" s="8"/>
      <c r="O3419" s="8"/>
      <c r="P3419" s="8"/>
      <c r="Q3419" s="8"/>
      <c r="R3419" s="8"/>
      <c r="S3419" s="8"/>
      <c r="T3419" s="8"/>
      <c r="U3419" s="8"/>
    </row>
    <row r="3420" spans="10:21">
      <c r="J3420" s="8"/>
      <c r="K3420" s="8"/>
      <c r="L3420" s="8"/>
      <c r="M3420" s="8"/>
      <c r="N3420" s="8"/>
      <c r="O3420" s="8"/>
      <c r="P3420" s="8"/>
      <c r="Q3420" s="8"/>
      <c r="R3420" s="8"/>
      <c r="S3420" s="8"/>
      <c r="T3420" s="8"/>
      <c r="U3420" s="8"/>
    </row>
    <row r="3421" spans="10:21">
      <c r="J3421" s="8"/>
      <c r="K3421" s="8"/>
      <c r="L3421" s="8"/>
      <c r="M3421" s="8"/>
      <c r="N3421" s="8"/>
      <c r="O3421" s="8"/>
      <c r="P3421" s="8"/>
      <c r="Q3421" s="8"/>
      <c r="R3421" s="8"/>
      <c r="S3421" s="8"/>
      <c r="T3421" s="8"/>
      <c r="U3421" s="8"/>
    </row>
    <row r="3422" spans="10:21">
      <c r="J3422" s="8"/>
      <c r="K3422" s="8"/>
      <c r="L3422" s="8"/>
      <c r="M3422" s="8"/>
      <c r="N3422" s="8"/>
      <c r="O3422" s="8"/>
      <c r="P3422" s="8"/>
      <c r="Q3422" s="8"/>
      <c r="R3422" s="8"/>
      <c r="S3422" s="8"/>
      <c r="T3422" s="8"/>
      <c r="U3422" s="8"/>
    </row>
    <row r="3423" spans="10:21">
      <c r="J3423" s="8"/>
      <c r="K3423" s="8"/>
      <c r="L3423" s="8"/>
      <c r="M3423" s="8"/>
      <c r="N3423" s="8"/>
      <c r="O3423" s="8"/>
      <c r="P3423" s="8"/>
      <c r="Q3423" s="8"/>
      <c r="R3423" s="8"/>
      <c r="S3423" s="8"/>
      <c r="T3423" s="8"/>
      <c r="U3423" s="8"/>
    </row>
    <row r="3424" spans="10:21">
      <c r="J3424" s="8"/>
      <c r="K3424" s="8"/>
      <c r="L3424" s="8"/>
      <c r="M3424" s="8"/>
      <c r="N3424" s="8"/>
      <c r="O3424" s="8"/>
      <c r="P3424" s="8"/>
      <c r="Q3424" s="8"/>
      <c r="R3424" s="8"/>
      <c r="S3424" s="8"/>
      <c r="T3424" s="8"/>
      <c r="U3424" s="8"/>
    </row>
    <row r="3425" spans="10:21">
      <c r="J3425" s="8"/>
      <c r="K3425" s="8"/>
      <c r="L3425" s="8"/>
      <c r="M3425" s="8"/>
      <c r="N3425" s="8"/>
      <c r="O3425" s="8"/>
      <c r="P3425" s="8"/>
      <c r="Q3425" s="8"/>
      <c r="R3425" s="8"/>
      <c r="S3425" s="8"/>
      <c r="T3425" s="8"/>
      <c r="U3425" s="8"/>
    </row>
    <row r="3426" spans="10:21">
      <c r="J3426" s="8"/>
      <c r="K3426" s="8"/>
      <c r="L3426" s="8"/>
      <c r="M3426" s="8"/>
      <c r="N3426" s="8"/>
      <c r="O3426" s="8"/>
      <c r="P3426" s="8"/>
      <c r="Q3426" s="8"/>
      <c r="R3426" s="8"/>
      <c r="S3426" s="8"/>
      <c r="T3426" s="8"/>
      <c r="U3426" s="8"/>
    </row>
    <row r="3427" spans="10:21">
      <c r="J3427" s="8"/>
      <c r="K3427" s="8"/>
      <c r="L3427" s="8"/>
      <c r="M3427" s="8"/>
      <c r="N3427" s="8"/>
      <c r="O3427" s="8"/>
      <c r="P3427" s="8"/>
      <c r="Q3427" s="8"/>
      <c r="R3427" s="8"/>
      <c r="S3427" s="8"/>
      <c r="T3427" s="8"/>
      <c r="U3427" s="8"/>
    </row>
    <row r="3428" spans="10:21">
      <c r="J3428" s="8"/>
      <c r="K3428" s="8"/>
      <c r="L3428" s="8"/>
      <c r="M3428" s="8"/>
      <c r="N3428" s="8"/>
      <c r="O3428" s="8"/>
      <c r="P3428" s="8"/>
      <c r="Q3428" s="8"/>
      <c r="R3428" s="8"/>
      <c r="S3428" s="8"/>
      <c r="T3428" s="8"/>
      <c r="U3428" s="8"/>
    </row>
    <row r="3429" spans="10:21">
      <c r="J3429" s="8"/>
      <c r="K3429" s="8"/>
      <c r="L3429" s="8"/>
      <c r="M3429" s="8"/>
      <c r="N3429" s="8"/>
      <c r="O3429" s="8"/>
      <c r="P3429" s="8"/>
      <c r="Q3429" s="8"/>
      <c r="R3429" s="8"/>
      <c r="S3429" s="8"/>
      <c r="T3429" s="8"/>
      <c r="U3429" s="8"/>
    </row>
    <row r="3430" spans="10:21">
      <c r="J3430" s="8"/>
      <c r="K3430" s="8"/>
      <c r="L3430" s="8"/>
      <c r="M3430" s="8"/>
      <c r="N3430" s="8"/>
      <c r="O3430" s="8"/>
      <c r="P3430" s="8"/>
      <c r="Q3430" s="8"/>
      <c r="R3430" s="8"/>
      <c r="S3430" s="8"/>
      <c r="T3430" s="8"/>
      <c r="U3430" s="8"/>
    </row>
    <row r="3431" spans="10:21">
      <c r="J3431" s="8"/>
      <c r="K3431" s="8"/>
      <c r="L3431" s="8"/>
      <c r="M3431" s="8"/>
      <c r="N3431" s="8"/>
      <c r="O3431" s="8"/>
      <c r="P3431" s="8"/>
      <c r="Q3431" s="8"/>
      <c r="R3431" s="8"/>
      <c r="S3431" s="8"/>
      <c r="T3431" s="8"/>
      <c r="U3431" s="8"/>
    </row>
    <row r="3432" spans="10:21">
      <c r="J3432" s="8"/>
      <c r="K3432" s="8"/>
      <c r="L3432" s="8"/>
      <c r="M3432" s="8"/>
      <c r="N3432" s="8"/>
      <c r="O3432" s="8"/>
      <c r="P3432" s="8"/>
      <c r="Q3432" s="8"/>
      <c r="R3432" s="8"/>
      <c r="S3432" s="8"/>
      <c r="T3432" s="8"/>
      <c r="U3432" s="8"/>
    </row>
    <row r="3433" spans="10:21">
      <c r="J3433" s="8"/>
      <c r="K3433" s="8"/>
      <c r="L3433" s="8"/>
      <c r="M3433" s="8"/>
      <c r="N3433" s="8"/>
      <c r="O3433" s="8"/>
      <c r="P3433" s="8"/>
      <c r="Q3433" s="8"/>
      <c r="R3433" s="8"/>
      <c r="S3433" s="8"/>
      <c r="T3433" s="8"/>
      <c r="U3433" s="8"/>
    </row>
    <row r="3434" spans="10:21">
      <c r="J3434" s="8"/>
      <c r="K3434" s="8"/>
      <c r="L3434" s="8"/>
      <c r="M3434" s="8"/>
      <c r="N3434" s="8"/>
      <c r="O3434" s="8"/>
      <c r="P3434" s="8"/>
      <c r="Q3434" s="8"/>
      <c r="R3434" s="8"/>
      <c r="S3434" s="8"/>
      <c r="T3434" s="8"/>
      <c r="U3434" s="8"/>
    </row>
    <row r="3435" spans="10:21">
      <c r="J3435" s="8"/>
      <c r="K3435" s="8"/>
      <c r="L3435" s="8"/>
      <c r="M3435" s="8"/>
      <c r="N3435" s="8"/>
      <c r="O3435" s="8"/>
      <c r="P3435" s="8"/>
      <c r="Q3435" s="8"/>
      <c r="R3435" s="8"/>
      <c r="S3435" s="8"/>
      <c r="T3435" s="8"/>
      <c r="U3435" s="8"/>
    </row>
    <row r="3436" spans="10:21">
      <c r="J3436" s="8"/>
      <c r="K3436" s="8"/>
      <c r="L3436" s="8"/>
      <c r="M3436" s="8"/>
      <c r="N3436" s="8"/>
      <c r="O3436" s="8"/>
      <c r="P3436" s="8"/>
      <c r="Q3436" s="8"/>
      <c r="R3436" s="8"/>
      <c r="S3436" s="8"/>
      <c r="T3436" s="8"/>
      <c r="U3436" s="8"/>
    </row>
    <row r="3437" spans="10:21">
      <c r="J3437" s="8"/>
      <c r="K3437" s="8"/>
      <c r="L3437" s="8"/>
      <c r="M3437" s="8"/>
      <c r="N3437" s="8"/>
      <c r="O3437" s="8"/>
      <c r="P3437" s="8"/>
      <c r="Q3437" s="8"/>
      <c r="R3437" s="8"/>
      <c r="S3437" s="8"/>
      <c r="T3437" s="8"/>
      <c r="U3437" s="8"/>
    </row>
    <row r="3438" spans="10:21">
      <c r="J3438" s="8"/>
      <c r="K3438" s="8"/>
      <c r="L3438" s="8"/>
      <c r="M3438" s="8"/>
      <c r="N3438" s="8"/>
      <c r="O3438" s="8"/>
      <c r="P3438" s="8"/>
      <c r="Q3438" s="8"/>
      <c r="R3438" s="8"/>
      <c r="S3438" s="8"/>
      <c r="T3438" s="8"/>
      <c r="U3438" s="8"/>
    </row>
    <row r="3439" spans="10:21">
      <c r="J3439" s="8"/>
      <c r="K3439" s="8"/>
      <c r="L3439" s="8"/>
      <c r="M3439" s="8"/>
      <c r="N3439" s="8"/>
      <c r="O3439" s="8"/>
      <c r="P3439" s="8"/>
      <c r="Q3439" s="8"/>
      <c r="R3439" s="8"/>
      <c r="S3439" s="8"/>
      <c r="T3439" s="8"/>
      <c r="U3439" s="8"/>
    </row>
    <row r="3440" spans="10:21">
      <c r="J3440" s="8"/>
      <c r="K3440" s="8"/>
      <c r="L3440" s="8"/>
      <c r="M3440" s="8"/>
      <c r="N3440" s="8"/>
      <c r="O3440" s="8"/>
      <c r="P3440" s="8"/>
      <c r="Q3440" s="8"/>
      <c r="R3440" s="8"/>
      <c r="S3440" s="8"/>
      <c r="T3440" s="8"/>
      <c r="U3440" s="8"/>
    </row>
    <row r="3441" spans="10:21">
      <c r="J3441" s="8"/>
      <c r="K3441" s="8"/>
      <c r="L3441" s="8"/>
      <c r="M3441" s="8"/>
      <c r="N3441" s="8"/>
      <c r="O3441" s="8"/>
      <c r="P3441" s="8"/>
      <c r="Q3441" s="8"/>
      <c r="R3441" s="8"/>
      <c r="S3441" s="8"/>
      <c r="T3441" s="8"/>
      <c r="U3441" s="8"/>
    </row>
    <row r="3442" spans="10:21">
      <c r="J3442" s="8"/>
      <c r="K3442" s="8"/>
      <c r="L3442" s="8"/>
      <c r="M3442" s="8"/>
      <c r="N3442" s="8"/>
      <c r="O3442" s="8"/>
      <c r="P3442" s="8"/>
      <c r="Q3442" s="8"/>
      <c r="R3442" s="8"/>
      <c r="S3442" s="8"/>
      <c r="T3442" s="8"/>
      <c r="U3442" s="8"/>
    </row>
    <row r="3443" spans="10:21">
      <c r="J3443" s="8"/>
      <c r="K3443" s="8"/>
      <c r="L3443" s="8"/>
      <c r="M3443" s="8"/>
      <c r="N3443" s="8"/>
      <c r="O3443" s="8"/>
      <c r="P3443" s="8"/>
      <c r="Q3443" s="8"/>
      <c r="R3443" s="8"/>
      <c r="S3443" s="8"/>
      <c r="T3443" s="8"/>
      <c r="U3443" s="8"/>
    </row>
    <row r="3444" spans="10:21">
      <c r="J3444" s="8"/>
      <c r="K3444" s="8"/>
      <c r="L3444" s="8"/>
      <c r="M3444" s="8"/>
      <c r="N3444" s="8"/>
      <c r="O3444" s="8"/>
      <c r="P3444" s="8"/>
      <c r="Q3444" s="8"/>
      <c r="R3444" s="8"/>
      <c r="S3444" s="8"/>
      <c r="T3444" s="8"/>
      <c r="U3444" s="8"/>
    </row>
    <row r="3445" spans="10:21">
      <c r="J3445" s="8"/>
      <c r="K3445" s="8"/>
      <c r="L3445" s="8"/>
      <c r="M3445" s="8"/>
      <c r="N3445" s="8"/>
      <c r="O3445" s="8"/>
      <c r="P3445" s="8"/>
      <c r="Q3445" s="8"/>
      <c r="R3445" s="8"/>
      <c r="S3445" s="8"/>
      <c r="T3445" s="8"/>
      <c r="U3445" s="8"/>
    </row>
    <row r="3446" spans="10:21">
      <c r="J3446" s="8"/>
      <c r="K3446" s="8"/>
      <c r="L3446" s="8"/>
      <c r="M3446" s="8"/>
      <c r="N3446" s="8"/>
      <c r="O3446" s="8"/>
      <c r="P3446" s="8"/>
      <c r="Q3446" s="8"/>
      <c r="R3446" s="8"/>
      <c r="S3446" s="8"/>
      <c r="T3446" s="8"/>
      <c r="U3446" s="8"/>
    </row>
    <row r="3447" spans="10:21">
      <c r="J3447" s="8"/>
      <c r="K3447" s="8"/>
      <c r="L3447" s="8"/>
      <c r="M3447" s="8"/>
      <c r="N3447" s="8"/>
      <c r="O3447" s="8"/>
      <c r="P3447" s="8"/>
      <c r="Q3447" s="8"/>
      <c r="R3447" s="8"/>
      <c r="S3447" s="8"/>
      <c r="T3447" s="8"/>
      <c r="U3447" s="8"/>
    </row>
    <row r="3448" spans="10:21">
      <c r="J3448" s="8"/>
      <c r="K3448" s="8"/>
      <c r="L3448" s="8"/>
      <c r="M3448" s="8"/>
      <c r="N3448" s="8"/>
      <c r="O3448" s="8"/>
      <c r="P3448" s="8"/>
      <c r="Q3448" s="8"/>
      <c r="R3448" s="8"/>
      <c r="S3448" s="8"/>
      <c r="T3448" s="8"/>
      <c r="U3448" s="8"/>
    </row>
    <row r="3449" spans="10:21">
      <c r="J3449" s="8"/>
      <c r="K3449" s="8"/>
      <c r="L3449" s="8"/>
      <c r="M3449" s="8"/>
      <c r="N3449" s="8"/>
      <c r="O3449" s="8"/>
      <c r="P3449" s="8"/>
      <c r="Q3449" s="8"/>
      <c r="R3449" s="8"/>
      <c r="S3449" s="8"/>
      <c r="T3449" s="8"/>
      <c r="U3449" s="8"/>
    </row>
    <row r="3450" spans="10:21">
      <c r="J3450" s="8"/>
      <c r="K3450" s="8"/>
      <c r="L3450" s="8"/>
      <c r="M3450" s="8"/>
      <c r="N3450" s="8"/>
      <c r="O3450" s="8"/>
      <c r="P3450" s="8"/>
      <c r="Q3450" s="8"/>
      <c r="R3450" s="8"/>
      <c r="S3450" s="8"/>
      <c r="T3450" s="8"/>
      <c r="U3450" s="8"/>
    </row>
    <row r="3451" spans="10:21">
      <c r="J3451" s="8"/>
      <c r="K3451" s="8"/>
      <c r="L3451" s="8"/>
      <c r="M3451" s="8"/>
      <c r="N3451" s="8"/>
      <c r="O3451" s="8"/>
      <c r="P3451" s="8"/>
      <c r="Q3451" s="8"/>
      <c r="R3451" s="8"/>
      <c r="S3451" s="8"/>
      <c r="T3451" s="8"/>
      <c r="U3451" s="8"/>
    </row>
    <row r="3452" spans="10:21">
      <c r="J3452" s="8"/>
      <c r="K3452" s="8"/>
      <c r="L3452" s="8"/>
      <c r="M3452" s="8"/>
      <c r="N3452" s="8"/>
      <c r="O3452" s="8"/>
      <c r="P3452" s="8"/>
      <c r="Q3452" s="8"/>
      <c r="R3452" s="8"/>
      <c r="S3452" s="8"/>
      <c r="T3452" s="8"/>
      <c r="U3452" s="8"/>
    </row>
    <row r="3453" spans="10:21">
      <c r="J3453" s="8"/>
      <c r="K3453" s="8"/>
      <c r="L3453" s="8"/>
      <c r="M3453" s="8"/>
      <c r="N3453" s="8"/>
      <c r="O3453" s="8"/>
      <c r="P3453" s="8"/>
      <c r="Q3453" s="8"/>
      <c r="R3453" s="8"/>
      <c r="S3453" s="8"/>
      <c r="T3453" s="8"/>
      <c r="U3453" s="8"/>
    </row>
    <row r="3454" spans="10:21">
      <c r="J3454" s="8"/>
      <c r="K3454" s="8"/>
      <c r="L3454" s="8"/>
      <c r="M3454" s="8"/>
      <c r="N3454" s="8"/>
      <c r="O3454" s="8"/>
      <c r="P3454" s="8"/>
      <c r="Q3454" s="8"/>
      <c r="R3454" s="8"/>
      <c r="S3454" s="8"/>
      <c r="T3454" s="8"/>
      <c r="U3454" s="8"/>
    </row>
    <row r="3455" spans="10:21">
      <c r="J3455" s="8"/>
      <c r="K3455" s="8"/>
      <c r="L3455" s="8"/>
      <c r="M3455" s="8"/>
      <c r="N3455" s="8"/>
      <c r="O3455" s="8"/>
      <c r="P3455" s="8"/>
      <c r="Q3455" s="8"/>
      <c r="R3455" s="8"/>
      <c r="S3455" s="8"/>
      <c r="T3455" s="8"/>
      <c r="U3455" s="8"/>
    </row>
    <row r="3456" spans="10:21">
      <c r="J3456" s="8"/>
      <c r="K3456" s="8"/>
      <c r="L3456" s="8"/>
      <c r="M3456" s="8"/>
      <c r="N3456" s="8"/>
      <c r="O3456" s="8"/>
      <c r="P3456" s="8"/>
      <c r="Q3456" s="8"/>
      <c r="R3456" s="8"/>
      <c r="S3456" s="8"/>
      <c r="T3456" s="8"/>
      <c r="U3456" s="8"/>
    </row>
    <row r="3457" spans="10:21">
      <c r="J3457" s="8"/>
      <c r="K3457" s="8"/>
      <c r="L3457" s="8"/>
      <c r="M3457" s="8"/>
      <c r="N3457" s="8"/>
      <c r="O3457" s="8"/>
      <c r="P3457" s="8"/>
      <c r="Q3457" s="8"/>
      <c r="R3457" s="8"/>
      <c r="S3457" s="8"/>
      <c r="T3457" s="8"/>
      <c r="U3457" s="8"/>
    </row>
    <row r="3458" spans="10:21">
      <c r="J3458" s="8"/>
      <c r="K3458" s="8"/>
      <c r="L3458" s="8"/>
      <c r="M3458" s="8"/>
      <c r="N3458" s="8"/>
      <c r="O3458" s="8"/>
      <c r="P3458" s="8"/>
      <c r="Q3458" s="8"/>
      <c r="R3458" s="8"/>
      <c r="S3458" s="8"/>
      <c r="T3458" s="8"/>
      <c r="U3458" s="8"/>
    </row>
    <row r="3459" spans="10:21">
      <c r="J3459" s="8"/>
      <c r="K3459" s="8"/>
      <c r="L3459" s="8"/>
      <c r="M3459" s="8"/>
      <c r="N3459" s="8"/>
      <c r="O3459" s="8"/>
      <c r="P3459" s="8"/>
      <c r="Q3459" s="8"/>
      <c r="R3459" s="8"/>
      <c r="S3459" s="8"/>
      <c r="T3459" s="8"/>
      <c r="U3459" s="8"/>
    </row>
    <row r="3460" spans="10:21">
      <c r="J3460" s="8"/>
      <c r="K3460" s="8"/>
      <c r="L3460" s="8"/>
      <c r="M3460" s="8"/>
      <c r="N3460" s="8"/>
      <c r="O3460" s="8"/>
      <c r="P3460" s="8"/>
      <c r="Q3460" s="8"/>
      <c r="R3460" s="8"/>
      <c r="S3460" s="8"/>
      <c r="T3460" s="8"/>
      <c r="U3460" s="8"/>
    </row>
    <row r="3461" spans="10:21">
      <c r="J3461" s="8"/>
      <c r="K3461" s="8"/>
      <c r="L3461" s="8"/>
      <c r="M3461" s="8"/>
      <c r="N3461" s="8"/>
      <c r="O3461" s="8"/>
      <c r="P3461" s="8"/>
      <c r="Q3461" s="8"/>
      <c r="R3461" s="8"/>
      <c r="S3461" s="8"/>
      <c r="T3461" s="8"/>
      <c r="U3461" s="8"/>
    </row>
    <row r="3462" spans="10:21">
      <c r="J3462" s="8"/>
      <c r="K3462" s="8"/>
      <c r="L3462" s="8"/>
      <c r="M3462" s="8"/>
      <c r="N3462" s="8"/>
      <c r="O3462" s="8"/>
      <c r="P3462" s="8"/>
      <c r="Q3462" s="8"/>
      <c r="R3462" s="8"/>
      <c r="S3462" s="8"/>
      <c r="T3462" s="8"/>
      <c r="U3462" s="8"/>
    </row>
    <row r="3463" spans="10:21">
      <c r="J3463" s="8"/>
      <c r="K3463" s="8"/>
      <c r="L3463" s="8"/>
      <c r="M3463" s="8"/>
      <c r="N3463" s="8"/>
      <c r="O3463" s="8"/>
      <c r="P3463" s="8"/>
      <c r="Q3463" s="8"/>
      <c r="R3463" s="8"/>
      <c r="S3463" s="8"/>
      <c r="T3463" s="8"/>
      <c r="U3463" s="8"/>
    </row>
    <row r="3464" spans="10:21">
      <c r="J3464" s="8"/>
      <c r="K3464" s="8"/>
      <c r="L3464" s="8"/>
      <c r="M3464" s="8"/>
      <c r="N3464" s="8"/>
      <c r="O3464" s="8"/>
      <c r="P3464" s="8"/>
      <c r="Q3464" s="8"/>
      <c r="R3464" s="8"/>
      <c r="S3464" s="8"/>
      <c r="T3464" s="8"/>
      <c r="U3464" s="8"/>
    </row>
    <row r="3465" spans="10:21">
      <c r="J3465" s="8"/>
      <c r="K3465" s="8"/>
      <c r="L3465" s="8"/>
      <c r="M3465" s="8"/>
      <c r="N3465" s="8"/>
      <c r="O3465" s="8"/>
      <c r="P3465" s="8"/>
      <c r="Q3465" s="8"/>
      <c r="R3465" s="8"/>
      <c r="S3465" s="8"/>
      <c r="T3465" s="8"/>
      <c r="U3465" s="8"/>
    </row>
    <row r="3466" spans="10:21">
      <c r="J3466" s="8"/>
      <c r="K3466" s="8"/>
      <c r="L3466" s="8"/>
      <c r="M3466" s="8"/>
      <c r="N3466" s="8"/>
      <c r="O3466" s="8"/>
      <c r="P3466" s="8"/>
      <c r="Q3466" s="8"/>
      <c r="R3466" s="8"/>
      <c r="S3466" s="8"/>
      <c r="T3466" s="8"/>
      <c r="U3466" s="8"/>
    </row>
    <row r="3467" spans="10:21">
      <c r="J3467" s="8"/>
      <c r="K3467" s="8"/>
      <c r="L3467" s="8"/>
      <c r="M3467" s="8"/>
      <c r="N3467" s="8"/>
      <c r="O3467" s="8"/>
      <c r="P3467" s="8"/>
      <c r="Q3467" s="8"/>
      <c r="R3467" s="8"/>
      <c r="S3467" s="8"/>
      <c r="T3467" s="8"/>
      <c r="U3467" s="8"/>
    </row>
    <row r="3468" spans="10:21">
      <c r="J3468" s="8"/>
      <c r="K3468" s="8"/>
      <c r="L3468" s="8"/>
      <c r="M3468" s="8"/>
      <c r="N3468" s="8"/>
      <c r="O3468" s="8"/>
      <c r="P3468" s="8"/>
      <c r="Q3468" s="8"/>
      <c r="R3468" s="8"/>
      <c r="S3468" s="8"/>
      <c r="T3468" s="8"/>
      <c r="U3468" s="8"/>
    </row>
    <row r="3469" spans="10:21">
      <c r="J3469" s="8"/>
      <c r="K3469" s="8"/>
      <c r="L3469" s="8"/>
      <c r="M3469" s="8"/>
      <c r="N3469" s="8"/>
      <c r="O3469" s="8"/>
      <c r="P3469" s="8"/>
      <c r="Q3469" s="8"/>
      <c r="R3469" s="8"/>
      <c r="S3469" s="8"/>
      <c r="T3469" s="8"/>
      <c r="U3469" s="8"/>
    </row>
    <row r="3470" spans="10:21">
      <c r="J3470" s="8"/>
      <c r="K3470" s="8"/>
      <c r="L3470" s="8"/>
      <c r="M3470" s="8"/>
      <c r="N3470" s="8"/>
      <c r="O3470" s="8"/>
      <c r="P3470" s="8"/>
      <c r="Q3470" s="8"/>
      <c r="R3470" s="8"/>
      <c r="S3470" s="8"/>
      <c r="T3470" s="8"/>
      <c r="U3470" s="8"/>
    </row>
    <row r="3471" spans="10:21">
      <c r="J3471" s="8"/>
      <c r="K3471" s="8"/>
      <c r="L3471" s="8"/>
      <c r="M3471" s="8"/>
      <c r="N3471" s="8"/>
      <c r="O3471" s="8"/>
      <c r="P3471" s="8"/>
      <c r="Q3471" s="8"/>
      <c r="R3471" s="8"/>
      <c r="S3471" s="8"/>
      <c r="T3471" s="8"/>
      <c r="U3471" s="8"/>
    </row>
    <row r="3472" spans="10:21">
      <c r="J3472" s="8"/>
      <c r="K3472" s="8"/>
      <c r="L3472" s="8"/>
      <c r="M3472" s="8"/>
      <c r="N3472" s="8"/>
      <c r="O3472" s="8"/>
      <c r="P3472" s="8"/>
      <c r="Q3472" s="8"/>
      <c r="R3472" s="8"/>
      <c r="S3472" s="8"/>
      <c r="T3472" s="8"/>
      <c r="U3472" s="8"/>
    </row>
    <row r="3473" spans="10:21">
      <c r="J3473" s="8"/>
      <c r="K3473" s="8"/>
      <c r="L3473" s="8"/>
      <c r="M3473" s="8"/>
      <c r="N3473" s="8"/>
      <c r="O3473" s="8"/>
      <c r="P3473" s="8"/>
      <c r="Q3473" s="8"/>
      <c r="R3473" s="8"/>
      <c r="S3473" s="8"/>
      <c r="T3473" s="8"/>
      <c r="U3473" s="8"/>
    </row>
    <row r="3474" spans="10:21">
      <c r="J3474" s="8"/>
      <c r="K3474" s="8"/>
      <c r="L3474" s="8"/>
      <c r="M3474" s="8"/>
      <c r="N3474" s="8"/>
      <c r="O3474" s="8"/>
      <c r="P3474" s="8"/>
      <c r="Q3474" s="8"/>
      <c r="R3474" s="8"/>
      <c r="S3474" s="8"/>
      <c r="T3474" s="8"/>
      <c r="U3474" s="8"/>
    </row>
    <row r="3475" spans="10:21">
      <c r="J3475" s="8"/>
      <c r="K3475" s="8"/>
      <c r="L3475" s="8"/>
      <c r="M3475" s="8"/>
      <c r="N3475" s="8"/>
      <c r="O3475" s="8"/>
      <c r="P3475" s="8"/>
      <c r="Q3475" s="8"/>
      <c r="R3475" s="8"/>
      <c r="S3475" s="8"/>
      <c r="T3475" s="8"/>
      <c r="U3475" s="8"/>
    </row>
    <row r="3476" spans="10:21">
      <c r="J3476" s="8"/>
      <c r="K3476" s="8"/>
      <c r="L3476" s="8"/>
      <c r="M3476" s="8"/>
      <c r="N3476" s="8"/>
      <c r="O3476" s="8"/>
      <c r="P3476" s="8"/>
      <c r="Q3476" s="8"/>
      <c r="R3476" s="8"/>
      <c r="S3476" s="8"/>
      <c r="T3476" s="8"/>
      <c r="U3476" s="8"/>
    </row>
    <row r="3477" spans="10:21">
      <c r="J3477" s="8"/>
      <c r="K3477" s="8"/>
      <c r="L3477" s="8"/>
      <c r="M3477" s="8"/>
      <c r="N3477" s="8"/>
      <c r="O3477" s="8"/>
      <c r="P3477" s="8"/>
      <c r="Q3477" s="8"/>
      <c r="R3477" s="8"/>
      <c r="S3477" s="8"/>
      <c r="T3477" s="8"/>
      <c r="U3477" s="8"/>
    </row>
    <row r="3478" spans="10:21">
      <c r="J3478" s="8"/>
      <c r="K3478" s="8"/>
      <c r="L3478" s="8"/>
      <c r="M3478" s="8"/>
      <c r="N3478" s="8"/>
      <c r="O3478" s="8"/>
      <c r="P3478" s="8"/>
      <c r="Q3478" s="8"/>
      <c r="R3478" s="8"/>
      <c r="S3478" s="8"/>
      <c r="T3478" s="8"/>
      <c r="U3478" s="8"/>
    </row>
    <row r="3479" spans="10:21">
      <c r="J3479" s="8"/>
      <c r="K3479" s="8"/>
      <c r="L3479" s="8"/>
      <c r="M3479" s="8"/>
      <c r="N3479" s="8"/>
      <c r="O3479" s="8"/>
      <c r="P3479" s="8"/>
      <c r="Q3479" s="8"/>
      <c r="R3479" s="8"/>
      <c r="S3479" s="8"/>
      <c r="T3479" s="8"/>
      <c r="U3479" s="8"/>
    </row>
    <row r="3480" spans="10:21">
      <c r="J3480" s="8"/>
      <c r="K3480" s="8"/>
      <c r="L3480" s="8"/>
      <c r="M3480" s="8"/>
      <c r="N3480" s="8"/>
      <c r="O3480" s="8"/>
      <c r="P3480" s="8"/>
      <c r="Q3480" s="8"/>
      <c r="R3480" s="8"/>
      <c r="S3480" s="8"/>
      <c r="T3480" s="8"/>
      <c r="U3480" s="8"/>
    </row>
    <row r="3481" spans="10:21">
      <c r="J3481" s="8"/>
      <c r="K3481" s="8"/>
      <c r="L3481" s="8"/>
      <c r="M3481" s="8"/>
      <c r="N3481" s="8"/>
      <c r="O3481" s="8"/>
      <c r="P3481" s="8"/>
      <c r="Q3481" s="8"/>
      <c r="R3481" s="8"/>
      <c r="S3481" s="8"/>
      <c r="T3481" s="8"/>
      <c r="U3481" s="8"/>
    </row>
    <row r="3482" spans="10:21">
      <c r="J3482" s="8"/>
      <c r="K3482" s="8"/>
      <c r="L3482" s="8"/>
      <c r="M3482" s="8"/>
      <c r="N3482" s="8"/>
      <c r="O3482" s="8"/>
      <c r="P3482" s="8"/>
      <c r="Q3482" s="8"/>
      <c r="R3482" s="8"/>
      <c r="S3482" s="8"/>
      <c r="T3482" s="8"/>
      <c r="U3482" s="8"/>
    </row>
    <row r="3483" spans="10:21">
      <c r="J3483" s="8"/>
      <c r="K3483" s="8"/>
      <c r="L3483" s="8"/>
      <c r="M3483" s="8"/>
      <c r="N3483" s="8"/>
      <c r="O3483" s="8"/>
      <c r="P3483" s="8"/>
      <c r="Q3483" s="8"/>
      <c r="R3483" s="8"/>
      <c r="S3483" s="8"/>
      <c r="T3483" s="8"/>
      <c r="U3483" s="8"/>
    </row>
    <row r="3484" spans="10:21">
      <c r="J3484" s="8"/>
      <c r="K3484" s="8"/>
      <c r="L3484" s="8"/>
      <c r="M3484" s="8"/>
      <c r="N3484" s="8"/>
      <c r="O3484" s="8"/>
      <c r="P3484" s="8"/>
      <c r="Q3484" s="8"/>
      <c r="R3484" s="8"/>
      <c r="S3484" s="8"/>
      <c r="T3484" s="8"/>
      <c r="U3484" s="8"/>
    </row>
    <row r="3485" spans="10:21">
      <c r="J3485" s="8"/>
      <c r="K3485" s="8"/>
      <c r="L3485" s="8"/>
      <c r="M3485" s="8"/>
      <c r="N3485" s="8"/>
      <c r="O3485" s="8"/>
      <c r="P3485" s="8"/>
      <c r="Q3485" s="8"/>
      <c r="R3485" s="8"/>
      <c r="S3485" s="8"/>
      <c r="T3485" s="8"/>
      <c r="U3485" s="8"/>
    </row>
    <row r="3486" spans="10:21">
      <c r="J3486" s="8"/>
      <c r="K3486" s="8"/>
      <c r="L3486" s="8"/>
      <c r="M3486" s="8"/>
      <c r="N3486" s="8"/>
      <c r="O3486" s="8"/>
      <c r="P3486" s="8"/>
      <c r="Q3486" s="8"/>
      <c r="R3486" s="8"/>
      <c r="S3486" s="8"/>
      <c r="T3486" s="8"/>
      <c r="U3486" s="8"/>
    </row>
    <row r="3487" spans="10:21">
      <c r="J3487" s="8"/>
      <c r="K3487" s="8"/>
      <c r="L3487" s="8"/>
      <c r="M3487" s="8"/>
      <c r="N3487" s="8"/>
      <c r="O3487" s="8"/>
      <c r="P3487" s="8"/>
      <c r="Q3487" s="8"/>
      <c r="R3487" s="8"/>
      <c r="S3487" s="8"/>
      <c r="T3487" s="8"/>
      <c r="U3487" s="8"/>
    </row>
    <row r="3488" spans="10:21">
      <c r="J3488" s="8"/>
      <c r="K3488" s="8"/>
      <c r="L3488" s="8"/>
      <c r="M3488" s="8"/>
      <c r="N3488" s="8"/>
      <c r="O3488" s="8"/>
      <c r="P3488" s="8"/>
      <c r="Q3488" s="8"/>
      <c r="R3488" s="8"/>
      <c r="S3488" s="8"/>
      <c r="T3488" s="8"/>
      <c r="U3488" s="8"/>
    </row>
    <row r="3489" spans="10:21">
      <c r="J3489" s="8"/>
      <c r="K3489" s="8"/>
      <c r="L3489" s="8"/>
      <c r="M3489" s="8"/>
      <c r="N3489" s="8"/>
      <c r="O3489" s="8"/>
      <c r="P3489" s="8"/>
      <c r="Q3489" s="8"/>
      <c r="R3489" s="8"/>
      <c r="S3489" s="8"/>
      <c r="T3489" s="8"/>
      <c r="U3489" s="8"/>
    </row>
    <row r="3490" spans="10:21">
      <c r="J3490" s="8"/>
      <c r="K3490" s="8"/>
      <c r="L3490" s="8"/>
      <c r="M3490" s="8"/>
      <c r="N3490" s="8"/>
      <c r="O3490" s="8"/>
      <c r="P3490" s="8"/>
      <c r="Q3490" s="8"/>
      <c r="R3490" s="8"/>
      <c r="S3490" s="8"/>
      <c r="T3490" s="8"/>
      <c r="U3490" s="8"/>
    </row>
    <row r="3491" spans="10:21">
      <c r="J3491" s="8"/>
      <c r="K3491" s="8"/>
      <c r="L3491" s="8"/>
      <c r="M3491" s="8"/>
      <c r="N3491" s="8"/>
      <c r="O3491" s="8"/>
      <c r="P3491" s="8"/>
      <c r="Q3491" s="8"/>
      <c r="R3491" s="8"/>
      <c r="S3491" s="8"/>
      <c r="T3491" s="8"/>
      <c r="U3491" s="8"/>
    </row>
    <row r="3492" spans="10:21">
      <c r="J3492" s="8"/>
      <c r="K3492" s="8"/>
      <c r="L3492" s="8"/>
      <c r="M3492" s="8"/>
      <c r="N3492" s="8"/>
      <c r="O3492" s="8"/>
      <c r="P3492" s="8"/>
      <c r="Q3492" s="8"/>
      <c r="R3492" s="8"/>
      <c r="S3492" s="8"/>
      <c r="T3492" s="8"/>
      <c r="U3492" s="8"/>
    </row>
    <row r="3493" spans="10:21">
      <c r="J3493" s="8"/>
      <c r="K3493" s="8"/>
      <c r="L3493" s="8"/>
      <c r="M3493" s="8"/>
      <c r="N3493" s="8"/>
      <c r="O3493" s="8"/>
      <c r="P3493" s="8"/>
      <c r="Q3493" s="8"/>
      <c r="R3493" s="8"/>
      <c r="S3493" s="8"/>
      <c r="T3493" s="8"/>
      <c r="U3493" s="8"/>
    </row>
    <row r="3494" spans="10:21">
      <c r="J3494" s="8"/>
      <c r="K3494" s="8"/>
      <c r="L3494" s="8"/>
      <c r="M3494" s="8"/>
      <c r="N3494" s="8"/>
      <c r="O3494" s="8"/>
      <c r="P3494" s="8"/>
      <c r="Q3494" s="8"/>
      <c r="R3494" s="8"/>
      <c r="S3494" s="8"/>
      <c r="T3494" s="8"/>
      <c r="U3494" s="8"/>
    </row>
    <row r="3495" spans="10:21">
      <c r="J3495" s="8"/>
      <c r="K3495" s="8"/>
      <c r="L3495" s="8"/>
      <c r="M3495" s="8"/>
      <c r="N3495" s="8"/>
      <c r="O3495" s="8"/>
      <c r="P3495" s="8"/>
      <c r="Q3495" s="8"/>
      <c r="R3495" s="8"/>
      <c r="S3495" s="8"/>
      <c r="T3495" s="8"/>
      <c r="U3495" s="8"/>
    </row>
    <row r="3496" spans="10:21">
      <c r="J3496" s="8"/>
      <c r="K3496" s="8"/>
      <c r="L3496" s="8"/>
      <c r="M3496" s="8"/>
      <c r="N3496" s="8"/>
      <c r="O3496" s="8"/>
      <c r="P3496" s="8"/>
      <c r="Q3496" s="8"/>
      <c r="R3496" s="8"/>
      <c r="S3496" s="8"/>
      <c r="T3496" s="8"/>
      <c r="U3496" s="8"/>
    </row>
    <row r="3497" spans="10:21">
      <c r="J3497" s="8"/>
      <c r="K3497" s="8"/>
      <c r="L3497" s="8"/>
      <c r="M3497" s="8"/>
      <c r="N3497" s="8"/>
      <c r="O3497" s="8"/>
      <c r="P3497" s="8"/>
      <c r="Q3497" s="8"/>
      <c r="R3497" s="8"/>
      <c r="S3497" s="8"/>
      <c r="T3497" s="8"/>
      <c r="U3497" s="8"/>
    </row>
    <row r="3498" spans="10:21">
      <c r="J3498" s="8"/>
      <c r="K3498" s="8"/>
      <c r="L3498" s="8"/>
      <c r="M3498" s="8"/>
      <c r="N3498" s="8"/>
      <c r="O3498" s="8"/>
      <c r="P3498" s="8"/>
      <c r="Q3498" s="8"/>
      <c r="R3498" s="8"/>
      <c r="S3498" s="8"/>
      <c r="T3498" s="8"/>
      <c r="U3498" s="8"/>
    </row>
    <row r="3499" spans="10:21">
      <c r="J3499" s="8"/>
      <c r="K3499" s="8"/>
      <c r="L3499" s="8"/>
      <c r="M3499" s="8"/>
      <c r="N3499" s="8"/>
      <c r="O3499" s="8"/>
      <c r="P3499" s="8"/>
      <c r="Q3499" s="8"/>
      <c r="R3499" s="8"/>
      <c r="S3499" s="8"/>
      <c r="T3499" s="8"/>
      <c r="U3499" s="8"/>
    </row>
    <row r="3500" spans="10:21">
      <c r="J3500" s="8"/>
      <c r="K3500" s="8"/>
      <c r="L3500" s="8"/>
      <c r="M3500" s="8"/>
      <c r="N3500" s="8"/>
      <c r="O3500" s="8"/>
      <c r="P3500" s="8"/>
      <c r="Q3500" s="8"/>
      <c r="R3500" s="8"/>
      <c r="S3500" s="8"/>
      <c r="T3500" s="8"/>
      <c r="U3500" s="8"/>
    </row>
    <row r="3501" spans="10:21">
      <c r="J3501" s="8"/>
      <c r="K3501" s="8"/>
      <c r="L3501" s="8"/>
      <c r="M3501" s="8"/>
      <c r="N3501" s="8"/>
      <c r="O3501" s="8"/>
      <c r="P3501" s="8"/>
      <c r="Q3501" s="8"/>
      <c r="R3501" s="8"/>
      <c r="S3501" s="8"/>
      <c r="T3501" s="8"/>
      <c r="U3501" s="8"/>
    </row>
    <row r="3502" spans="10:21">
      <c r="J3502" s="8"/>
      <c r="K3502" s="8"/>
      <c r="L3502" s="8"/>
      <c r="M3502" s="8"/>
      <c r="N3502" s="8"/>
      <c r="O3502" s="8"/>
      <c r="P3502" s="8"/>
      <c r="Q3502" s="8"/>
      <c r="R3502" s="8"/>
      <c r="S3502" s="8"/>
      <c r="T3502" s="8"/>
      <c r="U3502" s="8"/>
    </row>
    <row r="3503" spans="10:21">
      <c r="J3503" s="8"/>
      <c r="K3503" s="8"/>
      <c r="L3503" s="8"/>
      <c r="M3503" s="8"/>
      <c r="N3503" s="8"/>
      <c r="O3503" s="8"/>
      <c r="P3503" s="8"/>
      <c r="Q3503" s="8"/>
      <c r="R3503" s="8"/>
      <c r="S3503" s="8"/>
      <c r="T3503" s="8"/>
      <c r="U3503" s="8"/>
    </row>
    <row r="3504" spans="10:21">
      <c r="J3504" s="8"/>
      <c r="K3504" s="8"/>
      <c r="L3504" s="8"/>
      <c r="M3504" s="8"/>
      <c r="N3504" s="8"/>
      <c r="O3504" s="8"/>
      <c r="P3504" s="8"/>
      <c r="Q3504" s="8"/>
      <c r="R3504" s="8"/>
      <c r="S3504" s="8"/>
      <c r="T3504" s="8"/>
      <c r="U3504" s="8"/>
    </row>
    <row r="3505" spans="10:21">
      <c r="J3505" s="8"/>
      <c r="K3505" s="8"/>
      <c r="L3505" s="8"/>
      <c r="M3505" s="8"/>
      <c r="N3505" s="8"/>
      <c r="O3505" s="8"/>
      <c r="P3505" s="8"/>
      <c r="Q3505" s="8"/>
      <c r="R3505" s="8"/>
      <c r="S3505" s="8"/>
      <c r="T3505" s="8"/>
      <c r="U3505" s="8"/>
    </row>
    <row r="3506" spans="10:21">
      <c r="J3506" s="8"/>
      <c r="K3506" s="8"/>
      <c r="L3506" s="8"/>
      <c r="M3506" s="8"/>
      <c r="N3506" s="8"/>
      <c r="O3506" s="8"/>
      <c r="P3506" s="8"/>
      <c r="Q3506" s="8"/>
      <c r="R3506" s="8"/>
      <c r="S3506" s="8"/>
      <c r="T3506" s="8"/>
      <c r="U3506" s="8"/>
    </row>
    <row r="3507" spans="10:21">
      <c r="J3507" s="8"/>
      <c r="K3507" s="8"/>
      <c r="L3507" s="8"/>
      <c r="M3507" s="8"/>
      <c r="N3507" s="8"/>
      <c r="O3507" s="8"/>
      <c r="P3507" s="8"/>
      <c r="Q3507" s="8"/>
      <c r="R3507" s="8"/>
      <c r="S3507" s="8"/>
      <c r="T3507" s="8"/>
      <c r="U3507" s="8"/>
    </row>
    <row r="3508" spans="10:21">
      <c r="J3508" s="8"/>
      <c r="K3508" s="8"/>
      <c r="L3508" s="8"/>
      <c r="M3508" s="8"/>
      <c r="N3508" s="8"/>
      <c r="O3508" s="8"/>
      <c r="P3508" s="8"/>
      <c r="Q3508" s="8"/>
      <c r="R3508" s="8"/>
      <c r="S3508" s="8"/>
      <c r="T3508" s="8"/>
      <c r="U3508" s="8"/>
    </row>
    <row r="3509" spans="10:21">
      <c r="J3509" s="8"/>
      <c r="K3509" s="8"/>
      <c r="L3509" s="8"/>
      <c r="M3509" s="8"/>
      <c r="N3509" s="8"/>
      <c r="O3509" s="8"/>
      <c r="P3509" s="8"/>
      <c r="Q3509" s="8"/>
      <c r="R3509" s="8"/>
      <c r="S3509" s="8"/>
      <c r="T3509" s="8"/>
      <c r="U3509" s="8"/>
    </row>
    <row r="3510" spans="10:21">
      <c r="J3510" s="8"/>
      <c r="K3510" s="8"/>
      <c r="L3510" s="8"/>
      <c r="M3510" s="8"/>
      <c r="N3510" s="8"/>
      <c r="O3510" s="8"/>
      <c r="P3510" s="8"/>
      <c r="Q3510" s="8"/>
      <c r="R3510" s="8"/>
      <c r="S3510" s="8"/>
      <c r="T3510" s="8"/>
      <c r="U3510" s="8"/>
    </row>
    <row r="3511" spans="10:21">
      <c r="J3511" s="8"/>
      <c r="K3511" s="8"/>
      <c r="L3511" s="8"/>
      <c r="M3511" s="8"/>
      <c r="N3511" s="8"/>
      <c r="O3511" s="8"/>
      <c r="P3511" s="8"/>
      <c r="Q3511" s="8"/>
      <c r="R3511" s="8"/>
      <c r="S3511" s="8"/>
      <c r="T3511" s="8"/>
      <c r="U3511" s="8"/>
    </row>
    <row r="3512" spans="10:21">
      <c r="J3512" s="8"/>
      <c r="K3512" s="8"/>
      <c r="L3512" s="8"/>
      <c r="M3512" s="8"/>
      <c r="N3512" s="8"/>
      <c r="O3512" s="8"/>
      <c r="P3512" s="8"/>
      <c r="Q3512" s="8"/>
      <c r="R3512" s="8"/>
      <c r="S3512" s="8"/>
      <c r="T3512" s="8"/>
      <c r="U3512" s="8"/>
    </row>
    <row r="3513" spans="10:21">
      <c r="J3513" s="8"/>
      <c r="K3513" s="8"/>
      <c r="L3513" s="8"/>
      <c r="M3513" s="8"/>
      <c r="N3513" s="8"/>
      <c r="O3513" s="8"/>
      <c r="P3513" s="8"/>
      <c r="Q3513" s="8"/>
      <c r="R3513" s="8"/>
      <c r="S3513" s="8"/>
      <c r="T3513" s="8"/>
      <c r="U3513" s="8"/>
    </row>
    <row r="3514" spans="10:21">
      <c r="J3514" s="8"/>
      <c r="K3514" s="8"/>
      <c r="L3514" s="8"/>
      <c r="M3514" s="8"/>
      <c r="N3514" s="8"/>
      <c r="O3514" s="8"/>
      <c r="P3514" s="8"/>
      <c r="Q3514" s="8"/>
      <c r="R3514" s="8"/>
      <c r="S3514" s="8"/>
      <c r="T3514" s="8"/>
      <c r="U3514" s="8"/>
    </row>
    <row r="3515" spans="10:21">
      <c r="J3515" s="8"/>
      <c r="K3515" s="8"/>
      <c r="L3515" s="8"/>
      <c r="M3515" s="8"/>
      <c r="N3515" s="8"/>
      <c r="O3515" s="8"/>
      <c r="P3515" s="8"/>
      <c r="Q3515" s="8"/>
      <c r="R3515" s="8"/>
      <c r="S3515" s="8"/>
      <c r="T3515" s="8"/>
      <c r="U3515" s="8"/>
    </row>
    <row r="3516" spans="10:21">
      <c r="J3516" s="8"/>
      <c r="K3516" s="8"/>
      <c r="L3516" s="8"/>
      <c r="M3516" s="8"/>
      <c r="N3516" s="8"/>
      <c r="O3516" s="8"/>
      <c r="P3516" s="8"/>
      <c r="Q3516" s="8"/>
      <c r="R3516" s="8"/>
      <c r="S3516" s="8"/>
      <c r="T3516" s="8"/>
      <c r="U3516" s="8"/>
    </row>
    <row r="3517" spans="10:21">
      <c r="J3517" s="8"/>
      <c r="K3517" s="8"/>
      <c r="L3517" s="8"/>
      <c r="M3517" s="8"/>
      <c r="N3517" s="8"/>
      <c r="O3517" s="8"/>
      <c r="P3517" s="8"/>
      <c r="Q3517" s="8"/>
      <c r="R3517" s="8"/>
      <c r="S3517" s="8"/>
      <c r="T3517" s="8"/>
      <c r="U3517" s="8"/>
    </row>
    <row r="3518" spans="10:21">
      <c r="J3518" s="8"/>
      <c r="K3518" s="8"/>
      <c r="L3518" s="8"/>
      <c r="M3518" s="8"/>
      <c r="N3518" s="8"/>
      <c r="O3518" s="8"/>
      <c r="P3518" s="8"/>
      <c r="Q3518" s="8"/>
      <c r="R3518" s="8"/>
      <c r="S3518" s="8"/>
      <c r="T3518" s="8"/>
      <c r="U3518" s="8"/>
    </row>
    <row r="3519" spans="10:21">
      <c r="J3519" s="8"/>
      <c r="K3519" s="8"/>
      <c r="L3519" s="8"/>
      <c r="M3519" s="8"/>
      <c r="N3519" s="8"/>
      <c r="O3519" s="8"/>
      <c r="P3519" s="8"/>
      <c r="Q3519" s="8"/>
      <c r="R3519" s="8"/>
      <c r="S3519" s="8"/>
      <c r="T3519" s="8"/>
      <c r="U3519" s="8"/>
    </row>
    <row r="3520" spans="10:21">
      <c r="J3520" s="8"/>
      <c r="K3520" s="8"/>
      <c r="L3520" s="8"/>
      <c r="M3520" s="8"/>
      <c r="N3520" s="8"/>
      <c r="O3520" s="8"/>
      <c r="P3520" s="8"/>
      <c r="Q3520" s="8"/>
      <c r="R3520" s="8"/>
      <c r="S3520" s="8"/>
      <c r="T3520" s="8"/>
      <c r="U3520" s="8"/>
    </row>
    <row r="3521" spans="10:21">
      <c r="J3521" s="8"/>
      <c r="K3521" s="8"/>
      <c r="L3521" s="8"/>
      <c r="M3521" s="8"/>
      <c r="N3521" s="8"/>
      <c r="O3521" s="8"/>
      <c r="P3521" s="8"/>
      <c r="Q3521" s="8"/>
      <c r="R3521" s="8"/>
      <c r="S3521" s="8"/>
      <c r="T3521" s="8"/>
      <c r="U3521" s="8"/>
    </row>
    <row r="3522" spans="10:21">
      <c r="J3522" s="8"/>
      <c r="K3522" s="8"/>
      <c r="L3522" s="8"/>
      <c r="M3522" s="8"/>
      <c r="N3522" s="8"/>
      <c r="O3522" s="8"/>
      <c r="P3522" s="8"/>
      <c r="Q3522" s="8"/>
      <c r="R3522" s="8"/>
      <c r="S3522" s="8"/>
      <c r="T3522" s="8"/>
      <c r="U3522" s="8"/>
    </row>
    <row r="3523" spans="10:21">
      <c r="J3523" s="8"/>
      <c r="K3523" s="8"/>
      <c r="L3523" s="8"/>
      <c r="M3523" s="8"/>
      <c r="N3523" s="8"/>
      <c r="O3523" s="8"/>
      <c r="P3523" s="8"/>
      <c r="Q3523" s="8"/>
      <c r="R3523" s="8"/>
      <c r="S3523" s="8"/>
      <c r="T3523" s="8"/>
      <c r="U3523" s="8"/>
    </row>
    <row r="3524" spans="10:21">
      <c r="J3524" s="8"/>
      <c r="K3524" s="8"/>
      <c r="L3524" s="8"/>
      <c r="M3524" s="8"/>
      <c r="N3524" s="8"/>
      <c r="O3524" s="8"/>
      <c r="P3524" s="8"/>
      <c r="Q3524" s="8"/>
      <c r="R3524" s="8"/>
      <c r="S3524" s="8"/>
      <c r="T3524" s="8"/>
      <c r="U3524" s="8"/>
    </row>
    <row r="3525" spans="10:21">
      <c r="J3525" s="8"/>
      <c r="K3525" s="8"/>
      <c r="L3525" s="8"/>
      <c r="M3525" s="8"/>
      <c r="N3525" s="8"/>
      <c r="O3525" s="8"/>
      <c r="P3525" s="8"/>
      <c r="Q3525" s="8"/>
      <c r="R3525" s="8"/>
      <c r="S3525" s="8"/>
      <c r="T3525" s="8"/>
      <c r="U3525" s="8"/>
    </row>
    <row r="3526" spans="10:21">
      <c r="J3526" s="8"/>
      <c r="K3526" s="8"/>
      <c r="L3526" s="8"/>
      <c r="M3526" s="8"/>
      <c r="N3526" s="8"/>
      <c r="O3526" s="8"/>
      <c r="P3526" s="8"/>
      <c r="Q3526" s="8"/>
      <c r="R3526" s="8"/>
      <c r="S3526" s="8"/>
      <c r="T3526" s="8"/>
      <c r="U3526" s="8"/>
    </row>
    <row r="3527" spans="10:21">
      <c r="J3527" s="8"/>
      <c r="K3527" s="8"/>
      <c r="L3527" s="8"/>
      <c r="M3527" s="8"/>
      <c r="N3527" s="8"/>
      <c r="O3527" s="8"/>
      <c r="P3527" s="8"/>
      <c r="Q3527" s="8"/>
      <c r="R3527" s="8"/>
      <c r="S3527" s="8"/>
      <c r="T3527" s="8"/>
      <c r="U3527" s="8"/>
    </row>
    <row r="3528" spans="10:21">
      <c r="J3528" s="8"/>
      <c r="K3528" s="8"/>
      <c r="L3528" s="8"/>
      <c r="M3528" s="8"/>
      <c r="N3528" s="8"/>
      <c r="O3528" s="8"/>
      <c r="P3528" s="8"/>
      <c r="Q3528" s="8"/>
      <c r="R3528" s="8"/>
      <c r="S3528" s="8"/>
      <c r="T3528" s="8"/>
      <c r="U3528" s="8"/>
    </row>
    <row r="3529" spans="10:21">
      <c r="J3529" s="8"/>
      <c r="K3529" s="8"/>
      <c r="L3529" s="8"/>
      <c r="M3529" s="8"/>
      <c r="N3529" s="8"/>
      <c r="O3529" s="8"/>
      <c r="P3529" s="8"/>
      <c r="Q3529" s="8"/>
      <c r="R3529" s="8"/>
      <c r="S3529" s="8"/>
      <c r="T3529" s="8"/>
      <c r="U3529" s="8"/>
    </row>
    <row r="3530" spans="10:21">
      <c r="J3530" s="8"/>
      <c r="K3530" s="8"/>
      <c r="L3530" s="8"/>
      <c r="M3530" s="8"/>
      <c r="N3530" s="8"/>
      <c r="O3530" s="8"/>
      <c r="P3530" s="8"/>
      <c r="Q3530" s="8"/>
      <c r="R3530" s="8"/>
      <c r="S3530" s="8"/>
      <c r="T3530" s="8"/>
      <c r="U3530" s="8"/>
    </row>
    <row r="3531" spans="10:21">
      <c r="J3531" s="8"/>
      <c r="K3531" s="8"/>
      <c r="L3531" s="8"/>
      <c r="M3531" s="8"/>
      <c r="N3531" s="8"/>
      <c r="O3531" s="8"/>
      <c r="P3531" s="8"/>
      <c r="Q3531" s="8"/>
      <c r="R3531" s="8"/>
      <c r="S3531" s="8"/>
      <c r="T3531" s="8"/>
      <c r="U3531" s="8"/>
    </row>
    <row r="3532" spans="10:21">
      <c r="J3532" s="8"/>
      <c r="K3532" s="8"/>
      <c r="L3532" s="8"/>
      <c r="M3532" s="8"/>
      <c r="N3532" s="8"/>
      <c r="O3532" s="8"/>
      <c r="P3532" s="8"/>
      <c r="Q3532" s="8"/>
      <c r="R3532" s="8"/>
      <c r="S3532" s="8"/>
      <c r="T3532" s="8"/>
      <c r="U3532" s="8"/>
    </row>
    <row r="3533" spans="10:21">
      <c r="J3533" s="8"/>
      <c r="K3533" s="8"/>
      <c r="L3533" s="8"/>
      <c r="M3533" s="8"/>
      <c r="N3533" s="8"/>
      <c r="O3533" s="8"/>
      <c r="P3533" s="8"/>
      <c r="Q3533" s="8"/>
      <c r="R3533" s="8"/>
      <c r="S3533" s="8"/>
      <c r="T3533" s="8"/>
      <c r="U3533" s="8"/>
    </row>
    <row r="3534" spans="10:21">
      <c r="J3534" s="8"/>
      <c r="K3534" s="8"/>
      <c r="L3534" s="8"/>
      <c r="M3534" s="8"/>
      <c r="N3534" s="8"/>
      <c r="O3534" s="8"/>
      <c r="P3534" s="8"/>
      <c r="Q3534" s="8"/>
      <c r="R3534" s="8"/>
      <c r="S3534" s="8"/>
      <c r="T3534" s="8"/>
      <c r="U3534" s="8"/>
    </row>
    <row r="3535" spans="10:21">
      <c r="J3535" s="8"/>
      <c r="K3535" s="8"/>
      <c r="L3535" s="8"/>
      <c r="M3535" s="8"/>
      <c r="N3535" s="8"/>
      <c r="O3535" s="8"/>
      <c r="P3535" s="8"/>
      <c r="Q3535" s="8"/>
      <c r="R3535" s="8"/>
      <c r="S3535" s="8"/>
      <c r="T3535" s="8"/>
      <c r="U3535" s="8"/>
    </row>
    <row r="3536" spans="10:21">
      <c r="J3536" s="8"/>
      <c r="K3536" s="8"/>
      <c r="L3536" s="8"/>
      <c r="M3536" s="8"/>
      <c r="N3536" s="8"/>
      <c r="O3536" s="8"/>
      <c r="P3536" s="8"/>
      <c r="Q3536" s="8"/>
      <c r="R3536" s="8"/>
      <c r="S3536" s="8"/>
      <c r="T3536" s="8"/>
      <c r="U3536" s="8"/>
    </row>
    <row r="3537" spans="10:21">
      <c r="J3537" s="8"/>
      <c r="K3537" s="8"/>
      <c r="L3537" s="8"/>
      <c r="M3537" s="8"/>
      <c r="N3537" s="8"/>
      <c r="O3537" s="8"/>
      <c r="P3537" s="8"/>
      <c r="Q3537" s="8"/>
      <c r="R3537" s="8"/>
      <c r="S3537" s="8"/>
      <c r="T3537" s="8"/>
      <c r="U3537" s="8"/>
    </row>
    <row r="3538" spans="10:21">
      <c r="J3538" s="8"/>
      <c r="K3538" s="8"/>
      <c r="L3538" s="8"/>
      <c r="M3538" s="8"/>
      <c r="N3538" s="8"/>
      <c r="O3538" s="8"/>
      <c r="P3538" s="8"/>
      <c r="Q3538" s="8"/>
      <c r="R3538" s="8"/>
      <c r="S3538" s="8"/>
      <c r="T3538" s="8"/>
      <c r="U3538" s="8"/>
    </row>
    <row r="3539" spans="10:21">
      <c r="J3539" s="8"/>
      <c r="K3539" s="8"/>
      <c r="L3539" s="8"/>
      <c r="M3539" s="8"/>
      <c r="N3539" s="8"/>
      <c r="O3539" s="8"/>
      <c r="P3539" s="8"/>
      <c r="Q3539" s="8"/>
      <c r="R3539" s="8"/>
      <c r="S3539" s="8"/>
      <c r="T3539" s="8"/>
      <c r="U3539" s="8"/>
    </row>
    <row r="3540" spans="10:21">
      <c r="J3540" s="8"/>
      <c r="K3540" s="8"/>
      <c r="L3540" s="8"/>
      <c r="M3540" s="8"/>
      <c r="N3540" s="8"/>
      <c r="O3540" s="8"/>
      <c r="P3540" s="8"/>
      <c r="Q3540" s="8"/>
      <c r="R3540" s="8"/>
      <c r="S3540" s="8"/>
      <c r="T3540" s="8"/>
      <c r="U3540" s="8"/>
    </row>
    <row r="3541" spans="10:21">
      <c r="J3541" s="8"/>
      <c r="K3541" s="8"/>
      <c r="L3541" s="8"/>
      <c r="M3541" s="8"/>
      <c r="N3541" s="8"/>
      <c r="O3541" s="8"/>
      <c r="P3541" s="8"/>
      <c r="Q3541" s="8"/>
      <c r="R3541" s="8"/>
      <c r="S3541" s="8"/>
      <c r="T3541" s="8"/>
      <c r="U3541" s="8"/>
    </row>
    <row r="3542" spans="10:21">
      <c r="J3542" s="8"/>
      <c r="K3542" s="8"/>
      <c r="L3542" s="8"/>
      <c r="M3542" s="8"/>
      <c r="N3542" s="8"/>
      <c r="O3542" s="8"/>
      <c r="P3542" s="8"/>
      <c r="Q3542" s="8"/>
      <c r="R3542" s="8"/>
      <c r="S3542" s="8"/>
      <c r="T3542" s="8"/>
      <c r="U3542" s="8"/>
    </row>
    <row r="3543" spans="10:21">
      <c r="J3543" s="8"/>
      <c r="K3543" s="8"/>
      <c r="L3543" s="8"/>
      <c r="M3543" s="8"/>
      <c r="N3543" s="8"/>
      <c r="O3543" s="8"/>
      <c r="P3543" s="8"/>
      <c r="Q3543" s="8"/>
      <c r="R3543" s="8"/>
      <c r="S3543" s="8"/>
      <c r="T3543" s="8"/>
      <c r="U3543" s="8"/>
    </row>
    <row r="3544" spans="10:21">
      <c r="J3544" s="8"/>
      <c r="K3544" s="8"/>
      <c r="L3544" s="8"/>
      <c r="M3544" s="8"/>
      <c r="N3544" s="8"/>
      <c r="O3544" s="8"/>
      <c r="P3544" s="8"/>
      <c r="Q3544" s="8"/>
      <c r="R3544" s="8"/>
      <c r="S3544" s="8"/>
      <c r="T3544" s="8"/>
      <c r="U3544" s="8"/>
    </row>
    <row r="3545" spans="10:21">
      <c r="J3545" s="8"/>
      <c r="K3545" s="8"/>
      <c r="L3545" s="8"/>
      <c r="M3545" s="8"/>
      <c r="N3545" s="8"/>
      <c r="O3545" s="8"/>
      <c r="P3545" s="8"/>
      <c r="Q3545" s="8"/>
      <c r="R3545" s="8"/>
      <c r="S3545" s="8"/>
      <c r="T3545" s="8"/>
      <c r="U3545" s="8"/>
    </row>
    <row r="3546" spans="10:21">
      <c r="J3546" s="8"/>
      <c r="K3546" s="8"/>
      <c r="L3546" s="8"/>
      <c r="M3546" s="8"/>
      <c r="N3546" s="8"/>
      <c r="O3546" s="8"/>
      <c r="P3546" s="8"/>
      <c r="Q3546" s="8"/>
      <c r="R3546" s="8"/>
      <c r="S3546" s="8"/>
      <c r="T3546" s="8"/>
      <c r="U3546" s="8"/>
    </row>
    <row r="3547" spans="10:21">
      <c r="J3547" s="8"/>
      <c r="K3547" s="8"/>
      <c r="L3547" s="8"/>
      <c r="M3547" s="8"/>
      <c r="N3547" s="8"/>
      <c r="O3547" s="8"/>
      <c r="P3547" s="8"/>
      <c r="Q3547" s="8"/>
      <c r="R3547" s="8"/>
      <c r="S3547" s="8"/>
      <c r="T3547" s="8"/>
      <c r="U3547" s="8"/>
    </row>
    <row r="3548" spans="10:21">
      <c r="J3548" s="8"/>
      <c r="K3548" s="8"/>
      <c r="L3548" s="8"/>
      <c r="M3548" s="8"/>
      <c r="N3548" s="8"/>
      <c r="O3548" s="8"/>
      <c r="P3548" s="8"/>
      <c r="Q3548" s="8"/>
      <c r="R3548" s="8"/>
      <c r="S3548" s="8"/>
      <c r="T3548" s="8"/>
      <c r="U3548" s="8"/>
    </row>
    <row r="3549" spans="10:21">
      <c r="J3549" s="8"/>
      <c r="K3549" s="8"/>
      <c r="L3549" s="8"/>
      <c r="M3549" s="8"/>
      <c r="N3549" s="8"/>
      <c r="O3549" s="8"/>
      <c r="P3549" s="8"/>
      <c r="Q3549" s="8"/>
      <c r="R3549" s="8"/>
      <c r="S3549" s="8"/>
      <c r="T3549" s="8"/>
      <c r="U3549" s="8"/>
    </row>
    <row r="3550" spans="10:21">
      <c r="J3550" s="8"/>
      <c r="K3550" s="8"/>
      <c r="L3550" s="8"/>
      <c r="M3550" s="8"/>
      <c r="N3550" s="8"/>
      <c r="O3550" s="8"/>
      <c r="P3550" s="8"/>
      <c r="Q3550" s="8"/>
      <c r="R3550" s="8"/>
      <c r="S3550" s="8"/>
      <c r="T3550" s="8"/>
      <c r="U3550" s="8"/>
    </row>
    <row r="3551" spans="10:21">
      <c r="J3551" s="8"/>
      <c r="K3551" s="8"/>
      <c r="L3551" s="8"/>
      <c r="M3551" s="8"/>
      <c r="N3551" s="8"/>
      <c r="O3551" s="8"/>
      <c r="P3551" s="8"/>
      <c r="Q3551" s="8"/>
      <c r="R3551" s="8"/>
      <c r="S3551" s="8"/>
      <c r="T3551" s="8"/>
      <c r="U3551" s="8"/>
    </row>
    <row r="3552" spans="10:21">
      <c r="J3552" s="8"/>
      <c r="K3552" s="8"/>
      <c r="L3552" s="8"/>
      <c r="M3552" s="8"/>
      <c r="N3552" s="8"/>
      <c r="O3552" s="8"/>
      <c r="P3552" s="8"/>
      <c r="Q3552" s="8"/>
      <c r="R3552" s="8"/>
      <c r="S3552" s="8"/>
      <c r="T3552" s="8"/>
      <c r="U3552" s="8"/>
    </row>
    <row r="3553" spans="10:21">
      <c r="J3553" s="8"/>
      <c r="K3553" s="8"/>
      <c r="L3553" s="8"/>
      <c r="M3553" s="8"/>
      <c r="N3553" s="8"/>
      <c r="O3553" s="8"/>
      <c r="P3553" s="8"/>
      <c r="Q3553" s="8"/>
      <c r="R3553" s="8"/>
      <c r="S3553" s="8"/>
      <c r="T3553" s="8"/>
      <c r="U3553" s="8"/>
    </row>
    <row r="3554" spans="10:21">
      <c r="J3554" s="8"/>
      <c r="K3554" s="8"/>
      <c r="L3554" s="8"/>
      <c r="M3554" s="8"/>
      <c r="N3554" s="8"/>
      <c r="O3554" s="8"/>
      <c r="P3554" s="8"/>
      <c r="Q3554" s="8"/>
      <c r="R3554" s="8"/>
      <c r="S3554" s="8"/>
      <c r="T3554" s="8"/>
      <c r="U3554" s="8"/>
    </row>
    <row r="3555" spans="10:21">
      <c r="J3555" s="8"/>
      <c r="K3555" s="8"/>
      <c r="L3555" s="8"/>
      <c r="M3555" s="8"/>
      <c r="N3555" s="8"/>
      <c r="O3555" s="8"/>
      <c r="P3555" s="8"/>
      <c r="Q3555" s="8"/>
      <c r="R3555" s="8"/>
      <c r="S3555" s="8"/>
      <c r="T3555" s="8"/>
      <c r="U3555" s="8"/>
    </row>
    <row r="3556" spans="10:21">
      <c r="J3556" s="8"/>
      <c r="K3556" s="8"/>
      <c r="L3556" s="8"/>
      <c r="M3556" s="8"/>
      <c r="N3556" s="8"/>
      <c r="O3556" s="8"/>
      <c r="P3556" s="8"/>
      <c r="Q3556" s="8"/>
      <c r="R3556" s="8"/>
      <c r="S3556" s="8"/>
      <c r="T3556" s="8"/>
      <c r="U3556" s="8"/>
    </row>
    <row r="3557" spans="10:21">
      <c r="J3557" s="8"/>
      <c r="K3557" s="8"/>
      <c r="L3557" s="8"/>
      <c r="M3557" s="8"/>
      <c r="N3557" s="8"/>
      <c r="O3557" s="8"/>
      <c r="P3557" s="8"/>
      <c r="Q3557" s="8"/>
      <c r="R3557" s="8"/>
      <c r="S3557" s="8"/>
      <c r="T3557" s="8"/>
      <c r="U3557" s="8"/>
    </row>
    <row r="3558" spans="10:21">
      <c r="J3558" s="8"/>
      <c r="K3558" s="8"/>
      <c r="L3558" s="8"/>
      <c r="M3558" s="8"/>
      <c r="N3558" s="8"/>
      <c r="O3558" s="8"/>
      <c r="P3558" s="8"/>
      <c r="Q3558" s="8"/>
      <c r="R3558" s="8"/>
      <c r="S3558" s="8"/>
      <c r="T3558" s="8"/>
      <c r="U3558" s="8"/>
    </row>
    <row r="3559" spans="10:21">
      <c r="J3559" s="8"/>
      <c r="K3559" s="8"/>
      <c r="L3559" s="8"/>
      <c r="M3559" s="8"/>
      <c r="N3559" s="8"/>
      <c r="O3559" s="8"/>
      <c r="P3559" s="8"/>
      <c r="Q3559" s="8"/>
      <c r="R3559" s="8"/>
      <c r="S3559" s="8"/>
      <c r="T3559" s="8"/>
      <c r="U3559" s="8"/>
    </row>
    <row r="3560" spans="10:21">
      <c r="J3560" s="8"/>
      <c r="K3560" s="8"/>
      <c r="L3560" s="8"/>
      <c r="M3560" s="8"/>
      <c r="N3560" s="8"/>
      <c r="O3560" s="8"/>
      <c r="P3560" s="8"/>
      <c r="Q3560" s="8"/>
      <c r="R3560" s="8"/>
      <c r="S3560" s="8"/>
      <c r="T3560" s="8"/>
      <c r="U3560" s="8"/>
    </row>
    <row r="3561" spans="10:21">
      <c r="J3561" s="8"/>
      <c r="K3561" s="8"/>
      <c r="L3561" s="8"/>
      <c r="M3561" s="8"/>
      <c r="N3561" s="8"/>
      <c r="O3561" s="8"/>
      <c r="P3561" s="8"/>
      <c r="Q3561" s="8"/>
      <c r="R3561" s="8"/>
      <c r="S3561" s="8"/>
      <c r="T3561" s="8"/>
      <c r="U3561" s="8"/>
    </row>
    <row r="3562" spans="10:21">
      <c r="J3562" s="8"/>
      <c r="K3562" s="8"/>
      <c r="L3562" s="8"/>
      <c r="M3562" s="8"/>
      <c r="N3562" s="8"/>
      <c r="O3562" s="8"/>
      <c r="P3562" s="8"/>
      <c r="Q3562" s="8"/>
      <c r="R3562" s="8"/>
      <c r="S3562" s="8"/>
      <c r="T3562" s="8"/>
      <c r="U3562" s="8"/>
    </row>
    <row r="3563" spans="10:21">
      <c r="J3563" s="8"/>
      <c r="K3563" s="8"/>
      <c r="L3563" s="8"/>
      <c r="M3563" s="8"/>
      <c r="N3563" s="8"/>
      <c r="O3563" s="8"/>
      <c r="P3563" s="8"/>
      <c r="Q3563" s="8"/>
      <c r="R3563" s="8"/>
      <c r="S3563" s="8"/>
      <c r="T3563" s="8"/>
      <c r="U3563" s="8"/>
    </row>
    <row r="3564" spans="10:21">
      <c r="J3564" s="8"/>
      <c r="K3564" s="8"/>
      <c r="L3564" s="8"/>
      <c r="M3564" s="8"/>
      <c r="N3564" s="8"/>
      <c r="O3564" s="8"/>
      <c r="P3564" s="8"/>
      <c r="Q3564" s="8"/>
      <c r="R3564" s="8"/>
      <c r="S3564" s="8"/>
      <c r="T3564" s="8"/>
      <c r="U3564" s="8"/>
    </row>
    <row r="3565" spans="10:21">
      <c r="J3565" s="8"/>
      <c r="K3565" s="8"/>
      <c r="L3565" s="8"/>
      <c r="M3565" s="8"/>
      <c r="N3565" s="8"/>
      <c r="O3565" s="8"/>
      <c r="P3565" s="8"/>
      <c r="Q3565" s="8"/>
      <c r="R3565" s="8"/>
      <c r="S3565" s="8"/>
      <c r="T3565" s="8"/>
      <c r="U3565" s="8"/>
    </row>
    <row r="3566" spans="10:21">
      <c r="J3566" s="8"/>
      <c r="K3566" s="8"/>
      <c r="L3566" s="8"/>
      <c r="M3566" s="8"/>
      <c r="N3566" s="8"/>
      <c r="O3566" s="8"/>
      <c r="P3566" s="8"/>
      <c r="Q3566" s="8"/>
      <c r="R3566" s="8"/>
      <c r="S3566" s="8"/>
      <c r="T3566" s="8"/>
      <c r="U3566" s="8"/>
    </row>
    <row r="3567" spans="10:21">
      <c r="J3567" s="8"/>
      <c r="K3567" s="8"/>
      <c r="L3567" s="8"/>
      <c r="M3567" s="8"/>
      <c r="N3567" s="8"/>
      <c r="O3567" s="8"/>
      <c r="P3567" s="8"/>
      <c r="Q3567" s="8"/>
      <c r="R3567" s="8"/>
      <c r="S3567" s="8"/>
      <c r="T3567" s="8"/>
      <c r="U3567" s="8"/>
    </row>
    <row r="3568" spans="10:21">
      <c r="J3568" s="8"/>
      <c r="K3568" s="8"/>
      <c r="L3568" s="8"/>
      <c r="M3568" s="8"/>
      <c r="N3568" s="8"/>
      <c r="O3568" s="8"/>
      <c r="P3568" s="8"/>
      <c r="Q3568" s="8"/>
      <c r="R3568" s="8"/>
      <c r="S3568" s="8"/>
      <c r="T3568" s="8"/>
      <c r="U3568" s="8"/>
    </row>
    <row r="3569" spans="10:21">
      <c r="J3569" s="8"/>
      <c r="K3569" s="8"/>
      <c r="L3569" s="8"/>
      <c r="M3569" s="8"/>
      <c r="N3569" s="8"/>
      <c r="O3569" s="8"/>
      <c r="P3569" s="8"/>
      <c r="Q3569" s="8"/>
      <c r="R3569" s="8"/>
      <c r="S3569" s="8"/>
      <c r="T3569" s="8"/>
      <c r="U3569" s="8"/>
    </row>
    <row r="3570" spans="10:21">
      <c r="J3570" s="8"/>
      <c r="K3570" s="8"/>
      <c r="L3570" s="8"/>
      <c r="M3570" s="8"/>
      <c r="N3570" s="8"/>
      <c r="O3570" s="8"/>
      <c r="P3570" s="8"/>
      <c r="Q3570" s="8"/>
      <c r="R3570" s="8"/>
      <c r="S3570" s="8"/>
      <c r="T3570" s="8"/>
      <c r="U3570" s="8"/>
    </row>
    <row r="3571" spans="10:21">
      <c r="J3571" s="8"/>
      <c r="K3571" s="8"/>
      <c r="L3571" s="8"/>
      <c r="M3571" s="8"/>
      <c r="N3571" s="8"/>
      <c r="O3571" s="8"/>
      <c r="P3571" s="8"/>
      <c r="Q3571" s="8"/>
      <c r="R3571" s="8"/>
      <c r="S3571" s="8"/>
      <c r="T3571" s="8"/>
      <c r="U3571" s="8"/>
    </row>
    <row r="3572" spans="10:21">
      <c r="J3572" s="8"/>
      <c r="K3572" s="8"/>
      <c r="L3572" s="8"/>
      <c r="M3572" s="8"/>
      <c r="N3572" s="8"/>
      <c r="O3572" s="8"/>
      <c r="P3572" s="8"/>
      <c r="Q3572" s="8"/>
      <c r="R3572" s="8"/>
      <c r="S3572" s="8"/>
      <c r="T3572" s="8"/>
      <c r="U3572" s="8"/>
    </row>
    <row r="3573" spans="10:21">
      <c r="J3573" s="8"/>
      <c r="K3573" s="8"/>
      <c r="L3573" s="8"/>
      <c r="M3573" s="8"/>
      <c r="N3573" s="8"/>
      <c r="O3573" s="8"/>
      <c r="P3573" s="8"/>
      <c r="Q3573" s="8"/>
      <c r="R3573" s="8"/>
      <c r="S3573" s="8"/>
      <c r="T3573" s="8"/>
      <c r="U3573" s="8"/>
    </row>
    <row r="3574" spans="10:21">
      <c r="J3574" s="8"/>
      <c r="K3574" s="8"/>
      <c r="L3574" s="8"/>
      <c r="M3574" s="8"/>
      <c r="N3574" s="8"/>
      <c r="O3574" s="8"/>
      <c r="P3574" s="8"/>
      <c r="Q3574" s="8"/>
      <c r="R3574" s="8"/>
      <c r="S3574" s="8"/>
      <c r="T3574" s="8"/>
      <c r="U3574" s="8"/>
    </row>
  </sheetData>
  <mergeCells count="32">
    <mergeCell ref="T5:V5"/>
    <mergeCell ref="T29:V29"/>
    <mergeCell ref="B31:B33"/>
    <mergeCell ref="B13:B15"/>
    <mergeCell ref="B20:B21"/>
    <mergeCell ref="B24:B25"/>
    <mergeCell ref="B22:B23"/>
    <mergeCell ref="B16:B17"/>
    <mergeCell ref="B18:B19"/>
    <mergeCell ref="B5:E5"/>
    <mergeCell ref="B29:E29"/>
    <mergeCell ref="B7:B8"/>
    <mergeCell ref="B10:B12"/>
    <mergeCell ref="F5:S5"/>
    <mergeCell ref="F29:S29"/>
    <mergeCell ref="F78:F79"/>
    <mergeCell ref="T43:V43"/>
    <mergeCell ref="T50:V50"/>
    <mergeCell ref="F43:S43"/>
    <mergeCell ref="F50:S50"/>
    <mergeCell ref="B43:E43"/>
    <mergeCell ref="B50:E50"/>
    <mergeCell ref="B36:B38"/>
    <mergeCell ref="C69:C70"/>
    <mergeCell ref="B53:B54"/>
    <mergeCell ref="B55:B56"/>
    <mergeCell ref="B59:B62"/>
    <mergeCell ref="B63:B65"/>
    <mergeCell ref="C64:C65"/>
    <mergeCell ref="B66:B68"/>
    <mergeCell ref="C66:C68"/>
    <mergeCell ref="B57:B58"/>
  </mergeCells>
  <hyperlinks>
    <hyperlink ref="D31" location="I.21.!U84" display="Mide el porcentaje de profesores inscritos en el S N I en relación al Personal Académico Definitivo de Tiempo Completo"/>
    <hyperlink ref="D32" location="I.22.!U84" display="Mide el porcentaje de Profesores en el  S N I en relación al Personal Académico Definitivo de Tiempo Completo con Doctorado"/>
    <hyperlink ref="D34" location="I.24.!A1" display="Mide el número de citas promedio por artículo publicado."/>
    <hyperlink ref="D35" location="I.25!A1" display="Mide la proporción del financiamiento externo a proyectos de investigación en relación con el  presupuesto aprobado en Otros Gastos de Operación e Inversión del año (n)."/>
    <hyperlink ref="D36" location="I.26.!A1" display="Mide la proporción de los artículos especializados de investigación en relación al  Personal Académico Definitivo de tiempo completo"/>
    <hyperlink ref="D37" location="I.27.!A1" display="Mide la proporción de los artículos especializados con puntaje de 3300 en relación al  Personal Académico Definitivo de tiempo completo"/>
    <hyperlink ref="D38" location="I.28.!A1" display="Mide la proporción de los artículos especializados con puntaje de 3300 en relación con el total de los artículos especializados de investigación"/>
    <hyperlink ref="D40" location="I.30.!A1" display="Mide la proporción de Cuerpos Académicos consolidados respecto al total de cuerpos académicos reconocidos"/>
    <hyperlink ref="D39" location="I.29.!A1" display="Mide la tasa de crecimiento del Puntaje  acumulado de las actividades académicas evaluables"/>
    <hyperlink ref="D45" location="C.31.!A1" display="Mide el porcentaje del tiempo de transmisión radiofónica en programas hablados."/>
    <hyperlink ref="D46" location="C.32.!A1" display="Mide el número de libros editados por la Universidad en el año (n)."/>
    <hyperlink ref="D47" location="C.33.!A1" display="Mide la tasa de crecimiento de las actividades artísticas y culturales"/>
    <hyperlink ref="D7" location="D.1.!R5" display="Mide el porcentaje de alumnos de licenciatura que terminó con éxito sus estudios por cohorte generacional (no considera alumnos con cero créditos)."/>
    <hyperlink ref="D8" location="D.2.!A1" display="Mide el porcentaje de alumnos de licenciatura que terminó con éxito sus estudios  dentro del plazo que permite el Reglamento de Estudios Superiores (entre 4 y 10 años)."/>
    <hyperlink ref="D9" location="D.3.!V101" display="Mide el tiempo promedio que excede en trimestres la conclusión de los planes de estudio de licenciatura en relación con la duración normal establecida."/>
    <hyperlink ref="D10" location="D.4.!A1" display="Mide el porcentaje de alumnos de especialización que terminó con éxito sus estudios por cohorte generacional."/>
    <hyperlink ref="D11" location="D.5.!I78" display="Mide el porcentaje de alumnos de maestría que terminó con éxito sus estudios por cohorte generacional."/>
    <hyperlink ref="D12" location="D.6.!I49" display="Mide el porcentaje de alumnos de doctorado que terminó con éxito sus estudios por cohorte generacional."/>
    <hyperlink ref="D13" location="D.7.!A1" display="Mide el tiempo promedio que excede en trimestres la conclusión de los planes de estudio de especialización en relación con la duración normal establecida."/>
    <hyperlink ref="D14" location="D.8.!I73" display="Mide el tiempo promedio que excede en trimestres la conclusión de los planes de estudio de maestría en relación con la duración normal establecida."/>
    <hyperlink ref="D15" location="D.9.!I52" display="Mide el tiempo promedio que excede en trimestres la conclusión de los planes de estudio de doctorado en relación con la duración normal establecida."/>
    <hyperlink ref="D18" location="D.12.!A1" display="Mide el porcentaje de los planes de estudio de licenciatura considerados de calidad, respecto del total de los planes evaluables."/>
    <hyperlink ref="D20" location="D.14.!A1" display="Mide el grado en el que se actualizan los planes de estudio de licenciatura. "/>
    <hyperlink ref="D21" location="D.15.!A1" display="Mide el grado en el que se actualizan los planes de estudio de posgrado."/>
    <hyperlink ref="D24" location="'D.18 y 19'!S33" display="Mide la matrícula de alumnos inscritos y reinscritos de licenciatura y posgrado en el año (n)."/>
    <hyperlink ref="D25" location="'D.18 y 19'!T33" display="Mide la proporción de alumnos de posgrado respecto del total de la matrícula."/>
    <hyperlink ref="D26" location="D.20.!F72" display="Mide el porcentaje de alumnos con más de 75% de créditos aprobados en su plan de estudios de licenciatura que poseen al menos el nivel intermedio B1 del Marco Común Europeo (MCE) de Referencia para las Lenguas, recomendado para estudiantes egresados del n"/>
    <hyperlink ref="D22" location="'D.16. y 17'!A2" display="Mide la capacidad académica de los profesores definitivos de tiempo completo."/>
    <hyperlink ref="D23" location="'D.16. y 17'!AX33" display="Mide la capacidad académica de los profesores definitivos de tiempo completo con doctorado."/>
    <hyperlink ref="D16" location="D.10.!D78" display="Mide la tasa de inserción laboral al tercer y quinto año de egreso."/>
    <hyperlink ref="D17" location="D.11.!A1" display="Mide la tasa de inserción laboral al tercer y quinto año de egreso."/>
    <hyperlink ref="D53" location="A.34.!A1" display="Mide el crecimiento real del subsidio federal en relación con el periodo inmediato anterior."/>
    <hyperlink ref="D54" location="A.35.!A1" display="Mide el total de ingresos adicionales al subsidio federal."/>
    <hyperlink ref="D55" location="A.36.!A1" display="Mide las horas que se destinan para cada trabajador al año a programas de capacitación."/>
    <hyperlink ref="D56" location="A.37.!A1" display="Mide la relación entre el personal que colabora en los procesos sustantivos en relación con el personal en los procesos de apoyo."/>
    <hyperlink ref="D57" location="A.38.!A1" display="Mide la proporción del presupuesto ejercido en equipamiento."/>
    <hyperlink ref="D58" location="A.39.!A1" display="Mide la proporción del presupuesto ejercido en mantenimiento."/>
    <hyperlink ref="D59" location="'A.40.-42.'!BB29" display="Alumnos por computadora."/>
    <hyperlink ref="D60" location="'A.40.-42.'!BB30" display="Personal académico por computadora."/>
    <hyperlink ref="D61" location="'A.40.-42.'!BB31" display="Personal administrativo por computadora."/>
    <hyperlink ref="D62" location="A.43.!A1" display="Ancho de banda en red."/>
    <hyperlink ref="D63" location="A.44.!A1" display="Mide el número de miembros de la comunidad que participan en programas de salud."/>
    <hyperlink ref="D64" location="A.45.!F30" display="Mide el número de torneos y actividades organizados para la práctica del deporte."/>
    <hyperlink ref="D65" location="A.45.!B66" display="Mide el número de servicios proporcionados para la práctica diaria."/>
    <hyperlink ref="D66" location="A.46.1!A1" display="Webometrics."/>
    <hyperlink ref="D67" location="A.46.2!A1" display="SIR latinoamericano."/>
    <hyperlink ref="D68" location="A.46.3!A1" display="SIR universidades mexicanas."/>
    <hyperlink ref="D69" location="A.47.1!U18" display="Mide la tasa de crecimiento de solicitudes de transparencia."/>
    <hyperlink ref="D19" location="D.13.!A1" display="Mide el porcentaje de los planes de estudio de posgrado considerados de calidad, respecto del total de los planes."/>
    <hyperlink ref="D33" location="I.23.!AM84" display="Mide el porcentaje de Profesores en el S N I nivel 2 y 3 en relación con profesores S N I nivel 1 y Candidato"/>
    <hyperlink ref="D70" location="A.47.2!AF1" display="Mide la tasa de crecimiento  de consultas de la información institucional."/>
  </hyperlinks>
  <printOptions horizontalCentered="1"/>
  <pageMargins left="0.70866141732283472" right="0.70866141732283472" top="0.74803149606299213" bottom="0.74803149606299213" header="0.31496062992125984" footer="0.31496062992125984"/>
  <pageSetup scale="35" orientation="landscape" r:id="rId1"/>
  <headerFooter alignWithMargins="0"/>
  <rowBreaks count="2" manualBreakCount="2">
    <brk id="27" min="1" max="21" man="1"/>
    <brk id="48" min="1" max="21"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503"/>
  <sheetViews>
    <sheetView topLeftCell="A37" workbookViewId="0">
      <selection activeCell="F11" sqref="F11"/>
    </sheetView>
  </sheetViews>
  <sheetFormatPr baseColWidth="10" defaultRowHeight="14.4"/>
  <cols>
    <col min="1" max="1" width="7.5546875" style="5317" customWidth="1"/>
    <col min="2" max="2" width="6.6640625" style="5317" bestFit="1" customWidth="1"/>
    <col min="3" max="3" width="51.88671875" style="5317" bestFit="1" customWidth="1"/>
    <col min="4" max="4" width="11.44140625" style="5317" bestFit="1" customWidth="1"/>
    <col min="5" max="5" width="6.5546875" style="5317" customWidth="1"/>
    <col min="6" max="6" width="8.33203125" style="5317" bestFit="1" customWidth="1"/>
    <col min="7" max="8" width="11.44140625" style="5317"/>
    <col min="9" max="9" width="7.109375" style="4886" customWidth="1"/>
    <col min="10" max="10" width="6.6640625" style="4886" bestFit="1" customWidth="1"/>
    <col min="11" max="11" width="49.6640625" style="4886" customWidth="1"/>
    <col min="12" max="12" width="8.33203125" style="4886" customWidth="1"/>
    <col min="13" max="13" width="4.88671875" style="4886" customWidth="1"/>
    <col min="14" max="14" width="8.33203125" style="4886" bestFit="1" customWidth="1"/>
    <col min="15" max="16" width="11.44140625" style="4886"/>
    <col min="17" max="17" width="6.6640625" style="4522" customWidth="1"/>
    <col min="18" max="18" width="6.33203125" style="4522" bestFit="1" customWidth="1"/>
    <col min="19" max="19" width="55.33203125" style="4522" customWidth="1"/>
    <col min="20" max="20" width="9.33203125" style="2110" bestFit="1" customWidth="1"/>
    <col min="21" max="21" width="3.6640625" style="2110" customWidth="1"/>
    <col min="22" max="22" width="7.88671875" style="2110" bestFit="1" customWidth="1"/>
    <col min="23" max="23" width="12.33203125" style="95" customWidth="1"/>
    <col min="24" max="24" width="11.5546875" style="4522"/>
    <col min="25" max="25" width="9.88671875" style="4172" customWidth="1"/>
    <col min="26" max="26" width="6.33203125" style="4172" bestFit="1" customWidth="1"/>
    <col min="27" max="27" width="50.33203125" style="4172" customWidth="1"/>
    <col min="28" max="28" width="9.33203125" style="4172" bestFit="1" customWidth="1"/>
    <col min="29" max="29" width="5.5546875" style="4172" customWidth="1"/>
    <col min="30" max="30" width="11.5546875" style="4172"/>
    <col min="31" max="31" width="11.5546875" style="97"/>
    <col min="32" max="32" width="11.5546875" style="4172"/>
    <col min="33" max="33" width="9.44140625" style="3797" customWidth="1"/>
    <col min="34" max="34" width="6.33203125" style="3797" bestFit="1" customWidth="1"/>
    <col min="35" max="35" width="42.6640625" style="3797" bestFit="1" customWidth="1"/>
    <col min="36" max="36" width="9.33203125" style="3797" bestFit="1" customWidth="1"/>
    <col min="37" max="37" width="4.5546875" style="3797" customWidth="1"/>
    <col min="38" max="38" width="7.6640625" style="3797" bestFit="1" customWidth="1"/>
    <col min="39" max="39" width="11.6640625" style="3797" customWidth="1"/>
    <col min="40" max="40" width="10.6640625" style="3797"/>
    <col min="41" max="41" width="9.33203125" style="32" customWidth="1"/>
    <col min="42" max="42" width="5.5546875" style="32" bestFit="1" customWidth="1"/>
    <col min="43" max="43" width="38.5546875" style="32" bestFit="1" customWidth="1"/>
    <col min="44" max="44" width="8.33203125" style="32" bestFit="1" customWidth="1"/>
    <col min="45" max="45" width="3.109375" style="32" bestFit="1" customWidth="1"/>
    <col min="46" max="46" width="6.6640625" style="3518" bestFit="1" customWidth="1"/>
    <col min="47" max="47" width="11.6640625" style="3518" customWidth="1"/>
    <col min="48" max="48" width="11.44140625" style="3695"/>
    <col min="49" max="49" width="11.44140625" style="2042"/>
    <col min="50" max="50" width="6.6640625" style="2042" bestFit="1" customWidth="1"/>
    <col min="51" max="51" width="51.6640625" style="2042" bestFit="1" customWidth="1"/>
    <col min="52" max="53" width="11.44140625" style="2042"/>
    <col min="54" max="54" width="8.33203125" style="157" bestFit="1" customWidth="1"/>
    <col min="55" max="55" width="11.6640625" style="2042" customWidth="1"/>
    <col min="56" max="56" width="11.44140625" style="2042"/>
    <col min="59" max="59" width="51.44140625" bestFit="1" customWidth="1"/>
    <col min="61" max="61" width="5.33203125" customWidth="1"/>
    <col min="62" max="62" width="8.33203125" bestFit="1" customWidth="1"/>
    <col min="65" max="65" width="7.33203125" style="119" bestFit="1" customWidth="1"/>
    <col min="66" max="66" width="44.6640625" bestFit="1" customWidth="1"/>
    <col min="67" max="67" width="8.33203125" bestFit="1" customWidth="1"/>
    <col min="68" max="68" width="7.33203125" customWidth="1"/>
    <col min="69" max="69" width="8.33203125" bestFit="1" customWidth="1"/>
    <col min="73" max="73" width="37.6640625" bestFit="1" customWidth="1"/>
    <col min="74" max="74" width="8.6640625" customWidth="1"/>
    <col min="75" max="75" width="9.33203125" customWidth="1"/>
    <col min="76" max="76" width="8.33203125" bestFit="1" customWidth="1"/>
    <col min="77" max="77" width="6.5546875" customWidth="1"/>
    <col min="78" max="78" width="10.44140625" style="119" customWidth="1"/>
    <col min="79" max="79" width="10.6640625" style="119" customWidth="1"/>
    <col min="80" max="80" width="37.6640625" bestFit="1" customWidth="1"/>
    <col min="81" max="82" width="8.6640625" customWidth="1"/>
    <col min="83" max="83" width="8.33203125" bestFit="1" customWidth="1"/>
    <col min="84" max="84" width="5.6640625" customWidth="1"/>
    <col min="85" max="85" width="7" style="119" customWidth="1"/>
    <col min="86" max="86" width="11" style="119" bestFit="1" customWidth="1"/>
    <col min="87" max="87" width="6.6640625" style="119" bestFit="1" customWidth="1"/>
    <col min="88" max="88" width="33.6640625" bestFit="1" customWidth="1"/>
    <col min="89" max="89" width="9.6640625" customWidth="1"/>
    <col min="90" max="90" width="5.6640625" customWidth="1"/>
    <col min="91" max="91" width="7.6640625" bestFit="1" customWidth="1"/>
    <col min="92" max="92" width="8.33203125" bestFit="1" customWidth="1"/>
    <col min="93" max="93" width="8.6640625" customWidth="1"/>
    <col min="94" max="94" width="11" bestFit="1" customWidth="1"/>
    <col min="95" max="95" width="8.6640625" customWidth="1"/>
    <col min="96" max="96" width="33.6640625" bestFit="1" customWidth="1"/>
    <col min="97" max="98" width="8.6640625" hidden="1" customWidth="1"/>
    <col min="99" max="99" width="8.6640625" customWidth="1"/>
    <col min="100" max="100" width="9.6640625" customWidth="1"/>
    <col min="101" max="102" width="8.6640625" customWidth="1"/>
    <col min="103" max="103" width="11.33203125" bestFit="1" customWidth="1"/>
    <col min="104" max="104" width="7" bestFit="1" customWidth="1"/>
    <col min="105" max="105" width="36.44140625" customWidth="1"/>
    <col min="106" max="106" width="5.6640625" customWidth="1"/>
    <col min="107" max="107" width="17.5546875" bestFit="1" customWidth="1"/>
    <col min="108" max="108" width="11.6640625" bestFit="1" customWidth="1"/>
    <col min="109" max="109" width="8.6640625" bestFit="1" customWidth="1"/>
    <col min="110" max="110" width="0" hidden="1" customWidth="1"/>
    <col min="113" max="113" width="7.5546875" bestFit="1" customWidth="1"/>
    <col min="114" max="114" width="36.6640625" bestFit="1" customWidth="1"/>
    <col min="115" max="115" width="7" customWidth="1"/>
    <col min="116" max="116" width="9.33203125" bestFit="1" customWidth="1"/>
    <col min="117" max="118" width="10" bestFit="1" customWidth="1"/>
    <col min="358" max="358" width="3.6640625" customWidth="1"/>
    <col min="359" max="359" width="15.5546875" customWidth="1"/>
    <col min="361" max="361" width="42.44140625" bestFit="1" customWidth="1"/>
    <col min="363" max="363" width="19.5546875" customWidth="1"/>
    <col min="364" max="364" width="15.6640625" customWidth="1"/>
    <col min="614" max="614" width="3.6640625" customWidth="1"/>
    <col min="615" max="615" width="15.5546875" customWidth="1"/>
    <col min="617" max="617" width="42.44140625" bestFit="1" customWidth="1"/>
    <col min="619" max="619" width="19.5546875" customWidth="1"/>
    <col min="620" max="620" width="15.6640625" customWidth="1"/>
    <col min="870" max="870" width="3.6640625" customWidth="1"/>
    <col min="871" max="871" width="15.5546875" customWidth="1"/>
    <col min="873" max="873" width="42.44140625" bestFit="1" customWidth="1"/>
    <col min="875" max="875" width="19.5546875" customWidth="1"/>
    <col min="876" max="876" width="15.6640625" customWidth="1"/>
    <col min="1126" max="1126" width="3.6640625" customWidth="1"/>
    <col min="1127" max="1127" width="15.5546875" customWidth="1"/>
    <col min="1129" max="1129" width="42.44140625" bestFit="1" customWidth="1"/>
    <col min="1131" max="1131" width="19.5546875" customWidth="1"/>
    <col min="1132" max="1132" width="15.6640625" customWidth="1"/>
    <col min="1382" max="1382" width="3.6640625" customWidth="1"/>
    <col min="1383" max="1383" width="15.5546875" customWidth="1"/>
    <col min="1385" max="1385" width="42.44140625" bestFit="1" customWidth="1"/>
    <col min="1387" max="1387" width="19.5546875" customWidth="1"/>
    <col min="1388" max="1388" width="15.6640625" customWidth="1"/>
    <col min="1638" max="1638" width="3.6640625" customWidth="1"/>
    <col min="1639" max="1639" width="15.5546875" customWidth="1"/>
    <col min="1641" max="1641" width="42.44140625" bestFit="1" customWidth="1"/>
    <col min="1643" max="1643" width="19.5546875" customWidth="1"/>
    <col min="1644" max="1644" width="15.6640625" customWidth="1"/>
    <col min="1894" max="1894" width="3.6640625" customWidth="1"/>
    <col min="1895" max="1895" width="15.5546875" customWidth="1"/>
    <col min="1897" max="1897" width="42.44140625" bestFit="1" customWidth="1"/>
    <col min="1899" max="1899" width="19.5546875" customWidth="1"/>
    <col min="1900" max="1900" width="15.6640625" customWidth="1"/>
    <col min="2150" max="2150" width="3.6640625" customWidth="1"/>
    <col min="2151" max="2151" width="15.5546875" customWidth="1"/>
    <col min="2153" max="2153" width="42.44140625" bestFit="1" customWidth="1"/>
    <col min="2155" max="2155" width="19.5546875" customWidth="1"/>
    <col min="2156" max="2156" width="15.6640625" customWidth="1"/>
    <col min="2406" max="2406" width="3.6640625" customWidth="1"/>
    <col min="2407" max="2407" width="15.5546875" customWidth="1"/>
    <col min="2409" max="2409" width="42.44140625" bestFit="1" customWidth="1"/>
    <col min="2411" max="2411" width="19.5546875" customWidth="1"/>
    <col min="2412" max="2412" width="15.6640625" customWidth="1"/>
    <col min="2662" max="2662" width="3.6640625" customWidth="1"/>
    <col min="2663" max="2663" width="15.5546875" customWidth="1"/>
    <col min="2665" max="2665" width="42.44140625" bestFit="1" customWidth="1"/>
    <col min="2667" max="2667" width="19.5546875" customWidth="1"/>
    <col min="2668" max="2668" width="15.6640625" customWidth="1"/>
    <col min="2918" max="2918" width="3.6640625" customWidth="1"/>
    <col min="2919" max="2919" width="15.5546875" customWidth="1"/>
    <col min="2921" max="2921" width="42.44140625" bestFit="1" customWidth="1"/>
    <col min="2923" max="2923" width="19.5546875" customWidth="1"/>
    <col min="2924" max="2924" width="15.6640625" customWidth="1"/>
    <col min="3174" max="3174" width="3.6640625" customWidth="1"/>
    <col min="3175" max="3175" width="15.5546875" customWidth="1"/>
    <col min="3177" max="3177" width="42.44140625" bestFit="1" customWidth="1"/>
    <col min="3179" max="3179" width="19.5546875" customWidth="1"/>
    <col min="3180" max="3180" width="15.6640625" customWidth="1"/>
    <col min="3430" max="3430" width="3.6640625" customWidth="1"/>
    <col min="3431" max="3431" width="15.5546875" customWidth="1"/>
    <col min="3433" max="3433" width="42.44140625" bestFit="1" customWidth="1"/>
    <col min="3435" max="3435" width="19.5546875" customWidth="1"/>
    <col min="3436" max="3436" width="15.6640625" customWidth="1"/>
    <col min="3686" max="3686" width="3.6640625" customWidth="1"/>
    <col min="3687" max="3687" width="15.5546875" customWidth="1"/>
    <col min="3689" max="3689" width="42.44140625" bestFit="1" customWidth="1"/>
    <col min="3691" max="3691" width="19.5546875" customWidth="1"/>
    <col min="3692" max="3692" width="15.6640625" customWidth="1"/>
    <col min="3942" max="3942" width="3.6640625" customWidth="1"/>
    <col min="3943" max="3943" width="15.5546875" customWidth="1"/>
    <col min="3945" max="3945" width="42.44140625" bestFit="1" customWidth="1"/>
    <col min="3947" max="3947" width="19.5546875" customWidth="1"/>
    <col min="3948" max="3948" width="15.6640625" customWidth="1"/>
    <col min="4198" max="4198" width="3.6640625" customWidth="1"/>
    <col min="4199" max="4199" width="15.5546875" customWidth="1"/>
    <col min="4201" max="4201" width="42.44140625" bestFit="1" customWidth="1"/>
    <col min="4203" max="4203" width="19.5546875" customWidth="1"/>
    <col min="4204" max="4204" width="15.6640625" customWidth="1"/>
    <col min="4454" max="4454" width="3.6640625" customWidth="1"/>
    <col min="4455" max="4455" width="15.5546875" customWidth="1"/>
    <col min="4457" max="4457" width="42.44140625" bestFit="1" customWidth="1"/>
    <col min="4459" max="4459" width="19.5546875" customWidth="1"/>
    <col min="4460" max="4460" width="15.6640625" customWidth="1"/>
    <col min="4710" max="4710" width="3.6640625" customWidth="1"/>
    <col min="4711" max="4711" width="15.5546875" customWidth="1"/>
    <col min="4713" max="4713" width="42.44140625" bestFit="1" customWidth="1"/>
    <col min="4715" max="4715" width="19.5546875" customWidth="1"/>
    <col min="4716" max="4716" width="15.6640625" customWidth="1"/>
    <col min="4966" max="4966" width="3.6640625" customWidth="1"/>
    <col min="4967" max="4967" width="15.5546875" customWidth="1"/>
    <col min="4969" max="4969" width="42.44140625" bestFit="1" customWidth="1"/>
    <col min="4971" max="4971" width="19.5546875" customWidth="1"/>
    <col min="4972" max="4972" width="15.6640625" customWidth="1"/>
    <col min="5222" max="5222" width="3.6640625" customWidth="1"/>
    <col min="5223" max="5223" width="15.5546875" customWidth="1"/>
    <col min="5225" max="5225" width="42.44140625" bestFit="1" customWidth="1"/>
    <col min="5227" max="5227" width="19.5546875" customWidth="1"/>
    <col min="5228" max="5228" width="15.6640625" customWidth="1"/>
    <col min="5478" max="5478" width="3.6640625" customWidth="1"/>
    <col min="5479" max="5479" width="15.5546875" customWidth="1"/>
    <col min="5481" max="5481" width="42.44140625" bestFit="1" customWidth="1"/>
    <col min="5483" max="5483" width="19.5546875" customWidth="1"/>
    <col min="5484" max="5484" width="15.6640625" customWidth="1"/>
    <col min="5734" max="5734" width="3.6640625" customWidth="1"/>
    <col min="5735" max="5735" width="15.5546875" customWidth="1"/>
    <col min="5737" max="5737" width="42.44140625" bestFit="1" customWidth="1"/>
    <col min="5739" max="5739" width="19.5546875" customWidth="1"/>
    <col min="5740" max="5740" width="15.6640625" customWidth="1"/>
    <col min="5990" max="5990" width="3.6640625" customWidth="1"/>
    <col min="5991" max="5991" width="15.5546875" customWidth="1"/>
    <col min="5993" max="5993" width="42.44140625" bestFit="1" customWidth="1"/>
    <col min="5995" max="5995" width="19.5546875" customWidth="1"/>
    <col min="5996" max="5996" width="15.6640625" customWidth="1"/>
    <col min="6246" max="6246" width="3.6640625" customWidth="1"/>
    <col min="6247" max="6247" width="15.5546875" customWidth="1"/>
    <col min="6249" max="6249" width="42.44140625" bestFit="1" customWidth="1"/>
    <col min="6251" max="6251" width="19.5546875" customWidth="1"/>
    <col min="6252" max="6252" width="15.6640625" customWidth="1"/>
    <col min="6502" max="6502" width="3.6640625" customWidth="1"/>
    <col min="6503" max="6503" width="15.5546875" customWidth="1"/>
    <col min="6505" max="6505" width="42.44140625" bestFit="1" customWidth="1"/>
    <col min="6507" max="6507" width="19.5546875" customWidth="1"/>
    <col min="6508" max="6508" width="15.6640625" customWidth="1"/>
    <col min="6758" max="6758" width="3.6640625" customWidth="1"/>
    <col min="6759" max="6759" width="15.5546875" customWidth="1"/>
    <col min="6761" max="6761" width="42.44140625" bestFit="1" customWidth="1"/>
    <col min="6763" max="6763" width="19.5546875" customWidth="1"/>
    <col min="6764" max="6764" width="15.6640625" customWidth="1"/>
    <col min="7014" max="7014" width="3.6640625" customWidth="1"/>
    <col min="7015" max="7015" width="15.5546875" customWidth="1"/>
    <col min="7017" max="7017" width="42.44140625" bestFit="1" customWidth="1"/>
    <col min="7019" max="7019" width="19.5546875" customWidth="1"/>
    <col min="7020" max="7020" width="15.6640625" customWidth="1"/>
    <col min="7270" max="7270" width="3.6640625" customWidth="1"/>
    <col min="7271" max="7271" width="15.5546875" customWidth="1"/>
    <col min="7273" max="7273" width="42.44140625" bestFit="1" customWidth="1"/>
    <col min="7275" max="7275" width="19.5546875" customWidth="1"/>
    <col min="7276" max="7276" width="15.6640625" customWidth="1"/>
    <col min="7526" max="7526" width="3.6640625" customWidth="1"/>
    <col min="7527" max="7527" width="15.5546875" customWidth="1"/>
    <col min="7529" max="7529" width="42.44140625" bestFit="1" customWidth="1"/>
    <col min="7531" max="7531" width="19.5546875" customWidth="1"/>
    <col min="7532" max="7532" width="15.6640625" customWidth="1"/>
    <col min="7782" max="7782" width="3.6640625" customWidth="1"/>
    <col min="7783" max="7783" width="15.5546875" customWidth="1"/>
    <col min="7785" max="7785" width="42.44140625" bestFit="1" customWidth="1"/>
    <col min="7787" max="7787" width="19.5546875" customWidth="1"/>
    <col min="7788" max="7788" width="15.6640625" customWidth="1"/>
    <col min="8038" max="8038" width="3.6640625" customWidth="1"/>
    <col min="8039" max="8039" width="15.5546875" customWidth="1"/>
    <col min="8041" max="8041" width="42.44140625" bestFit="1" customWidth="1"/>
    <col min="8043" max="8043" width="19.5546875" customWidth="1"/>
    <col min="8044" max="8044" width="15.6640625" customWidth="1"/>
    <col min="8294" max="8294" width="3.6640625" customWidth="1"/>
    <col min="8295" max="8295" width="15.5546875" customWidth="1"/>
    <col min="8297" max="8297" width="42.44140625" bestFit="1" customWidth="1"/>
    <col min="8299" max="8299" width="19.5546875" customWidth="1"/>
    <col min="8300" max="8300" width="15.6640625" customWidth="1"/>
    <col min="8550" max="8550" width="3.6640625" customWidth="1"/>
    <col min="8551" max="8551" width="15.5546875" customWidth="1"/>
    <col min="8553" max="8553" width="42.44140625" bestFit="1" customWidth="1"/>
    <col min="8555" max="8555" width="19.5546875" customWidth="1"/>
    <col min="8556" max="8556" width="15.6640625" customWidth="1"/>
    <col min="8806" max="8806" width="3.6640625" customWidth="1"/>
    <col min="8807" max="8807" width="15.5546875" customWidth="1"/>
    <col min="8809" max="8809" width="42.44140625" bestFit="1" customWidth="1"/>
    <col min="8811" max="8811" width="19.5546875" customWidth="1"/>
    <col min="8812" max="8812" width="15.6640625" customWidth="1"/>
    <col min="9062" max="9062" width="3.6640625" customWidth="1"/>
    <col min="9063" max="9063" width="15.5546875" customWidth="1"/>
    <col min="9065" max="9065" width="42.44140625" bestFit="1" customWidth="1"/>
    <col min="9067" max="9067" width="19.5546875" customWidth="1"/>
    <col min="9068" max="9068" width="15.6640625" customWidth="1"/>
    <col min="9318" max="9318" width="3.6640625" customWidth="1"/>
    <col min="9319" max="9319" width="15.5546875" customWidth="1"/>
    <col min="9321" max="9321" width="42.44140625" bestFit="1" customWidth="1"/>
    <col min="9323" max="9323" width="19.5546875" customWidth="1"/>
    <col min="9324" max="9324" width="15.6640625" customWidth="1"/>
    <col min="9574" max="9574" width="3.6640625" customWidth="1"/>
    <col min="9575" max="9575" width="15.5546875" customWidth="1"/>
    <col min="9577" max="9577" width="42.44140625" bestFit="1" customWidth="1"/>
    <col min="9579" max="9579" width="19.5546875" customWidth="1"/>
    <col min="9580" max="9580" width="15.6640625" customWidth="1"/>
    <col min="9830" max="9830" width="3.6640625" customWidth="1"/>
    <col min="9831" max="9831" width="15.5546875" customWidth="1"/>
    <col min="9833" max="9833" width="42.44140625" bestFit="1" customWidth="1"/>
    <col min="9835" max="9835" width="19.5546875" customWidth="1"/>
    <col min="9836" max="9836" width="15.6640625" customWidth="1"/>
    <col min="10086" max="10086" width="3.6640625" customWidth="1"/>
    <col min="10087" max="10087" width="15.5546875" customWidth="1"/>
    <col min="10089" max="10089" width="42.44140625" bestFit="1" customWidth="1"/>
    <col min="10091" max="10091" width="19.5546875" customWidth="1"/>
    <col min="10092" max="10092" width="15.6640625" customWidth="1"/>
    <col min="10342" max="10342" width="3.6640625" customWidth="1"/>
    <col min="10343" max="10343" width="15.5546875" customWidth="1"/>
    <col min="10345" max="10345" width="42.44140625" bestFit="1" customWidth="1"/>
    <col min="10347" max="10347" width="19.5546875" customWidth="1"/>
    <col min="10348" max="10348" width="15.6640625" customWidth="1"/>
    <col min="10598" max="10598" width="3.6640625" customWidth="1"/>
    <col min="10599" max="10599" width="15.5546875" customWidth="1"/>
    <col min="10601" max="10601" width="42.44140625" bestFit="1" customWidth="1"/>
    <col min="10603" max="10603" width="19.5546875" customWidth="1"/>
    <col min="10604" max="10604" width="15.6640625" customWidth="1"/>
    <col min="10854" max="10854" width="3.6640625" customWidth="1"/>
    <col min="10855" max="10855" width="15.5546875" customWidth="1"/>
    <col min="10857" max="10857" width="42.44140625" bestFit="1" customWidth="1"/>
    <col min="10859" max="10859" width="19.5546875" customWidth="1"/>
    <col min="10860" max="10860" width="15.6640625" customWidth="1"/>
    <col min="11110" max="11110" width="3.6640625" customWidth="1"/>
    <col min="11111" max="11111" width="15.5546875" customWidth="1"/>
    <col min="11113" max="11113" width="42.44140625" bestFit="1" customWidth="1"/>
    <col min="11115" max="11115" width="19.5546875" customWidth="1"/>
    <col min="11116" max="11116" width="15.6640625" customWidth="1"/>
    <col min="11366" max="11366" width="3.6640625" customWidth="1"/>
    <col min="11367" max="11367" width="15.5546875" customWidth="1"/>
    <col min="11369" max="11369" width="42.44140625" bestFit="1" customWidth="1"/>
    <col min="11371" max="11371" width="19.5546875" customWidth="1"/>
    <col min="11372" max="11372" width="15.6640625" customWidth="1"/>
    <col min="11622" max="11622" width="3.6640625" customWidth="1"/>
    <col min="11623" max="11623" width="15.5546875" customWidth="1"/>
    <col min="11625" max="11625" width="42.44140625" bestFit="1" customWidth="1"/>
    <col min="11627" max="11627" width="19.5546875" customWidth="1"/>
    <col min="11628" max="11628" width="15.6640625" customWidth="1"/>
    <col min="11878" max="11878" width="3.6640625" customWidth="1"/>
    <col min="11879" max="11879" width="15.5546875" customWidth="1"/>
    <col min="11881" max="11881" width="42.44140625" bestFit="1" customWidth="1"/>
    <col min="11883" max="11883" width="19.5546875" customWidth="1"/>
    <col min="11884" max="11884" width="15.6640625" customWidth="1"/>
    <col min="12134" max="12134" width="3.6640625" customWidth="1"/>
    <col min="12135" max="12135" width="15.5546875" customWidth="1"/>
    <col min="12137" max="12137" width="42.44140625" bestFit="1" customWidth="1"/>
    <col min="12139" max="12139" width="19.5546875" customWidth="1"/>
    <col min="12140" max="12140" width="15.6640625" customWidth="1"/>
    <col min="12390" max="12390" width="3.6640625" customWidth="1"/>
    <col min="12391" max="12391" width="15.5546875" customWidth="1"/>
    <col min="12393" max="12393" width="42.44140625" bestFit="1" customWidth="1"/>
    <col min="12395" max="12395" width="19.5546875" customWidth="1"/>
    <col min="12396" max="12396" width="15.6640625" customWidth="1"/>
    <col min="12646" max="12646" width="3.6640625" customWidth="1"/>
    <col min="12647" max="12647" width="15.5546875" customWidth="1"/>
    <col min="12649" max="12649" width="42.44140625" bestFit="1" customWidth="1"/>
    <col min="12651" max="12651" width="19.5546875" customWidth="1"/>
    <col min="12652" max="12652" width="15.6640625" customWidth="1"/>
    <col min="12902" max="12902" width="3.6640625" customWidth="1"/>
    <col min="12903" max="12903" width="15.5546875" customWidth="1"/>
    <col min="12905" max="12905" width="42.44140625" bestFit="1" customWidth="1"/>
    <col min="12907" max="12907" width="19.5546875" customWidth="1"/>
    <col min="12908" max="12908" width="15.6640625" customWidth="1"/>
    <col min="13158" max="13158" width="3.6640625" customWidth="1"/>
    <col min="13159" max="13159" width="15.5546875" customWidth="1"/>
    <col min="13161" max="13161" width="42.44140625" bestFit="1" customWidth="1"/>
    <col min="13163" max="13163" width="19.5546875" customWidth="1"/>
    <col min="13164" max="13164" width="15.6640625" customWidth="1"/>
    <col min="13414" max="13414" width="3.6640625" customWidth="1"/>
    <col min="13415" max="13415" width="15.5546875" customWidth="1"/>
    <col min="13417" max="13417" width="42.44140625" bestFit="1" customWidth="1"/>
    <col min="13419" max="13419" width="19.5546875" customWidth="1"/>
    <col min="13420" max="13420" width="15.6640625" customWidth="1"/>
    <col min="13670" max="13670" width="3.6640625" customWidth="1"/>
    <col min="13671" max="13671" width="15.5546875" customWidth="1"/>
    <col min="13673" max="13673" width="42.44140625" bestFit="1" customWidth="1"/>
    <col min="13675" max="13675" width="19.5546875" customWidth="1"/>
    <col min="13676" max="13676" width="15.6640625" customWidth="1"/>
    <col min="13926" max="13926" width="3.6640625" customWidth="1"/>
    <col min="13927" max="13927" width="15.5546875" customWidth="1"/>
    <col min="13929" max="13929" width="42.44140625" bestFit="1" customWidth="1"/>
    <col min="13931" max="13931" width="19.5546875" customWidth="1"/>
    <col min="13932" max="13932" width="15.6640625" customWidth="1"/>
    <col min="14182" max="14182" width="3.6640625" customWidth="1"/>
    <col min="14183" max="14183" width="15.5546875" customWidth="1"/>
    <col min="14185" max="14185" width="42.44140625" bestFit="1" customWidth="1"/>
    <col min="14187" max="14187" width="19.5546875" customWidth="1"/>
    <col min="14188" max="14188" width="15.6640625" customWidth="1"/>
    <col min="14438" max="14438" width="3.6640625" customWidth="1"/>
    <col min="14439" max="14439" width="15.5546875" customWidth="1"/>
    <col min="14441" max="14441" width="42.44140625" bestFit="1" customWidth="1"/>
    <col min="14443" max="14443" width="19.5546875" customWidth="1"/>
    <col min="14444" max="14444" width="15.6640625" customWidth="1"/>
    <col min="14694" max="14694" width="3.6640625" customWidth="1"/>
    <col min="14695" max="14695" width="15.5546875" customWidth="1"/>
    <col min="14697" max="14697" width="42.44140625" bestFit="1" customWidth="1"/>
    <col min="14699" max="14699" width="19.5546875" customWidth="1"/>
    <col min="14700" max="14700" width="15.6640625" customWidth="1"/>
    <col min="14950" max="14950" width="3.6640625" customWidth="1"/>
    <col min="14951" max="14951" width="15.5546875" customWidth="1"/>
    <col min="14953" max="14953" width="42.44140625" bestFit="1" customWidth="1"/>
    <col min="14955" max="14955" width="19.5546875" customWidth="1"/>
    <col min="14956" max="14956" width="15.6640625" customWidth="1"/>
    <col min="15206" max="15206" width="3.6640625" customWidth="1"/>
    <col min="15207" max="15207" width="15.5546875" customWidth="1"/>
    <col min="15209" max="15209" width="42.44140625" bestFit="1" customWidth="1"/>
    <col min="15211" max="15211" width="19.5546875" customWidth="1"/>
    <col min="15212" max="15212" width="15.6640625" customWidth="1"/>
    <col min="15462" max="15462" width="3.6640625" customWidth="1"/>
    <col min="15463" max="15463" width="15.5546875" customWidth="1"/>
    <col min="15465" max="15465" width="42.44140625" bestFit="1" customWidth="1"/>
    <col min="15467" max="15467" width="19.5546875" customWidth="1"/>
    <col min="15468" max="15468" width="15.6640625" customWidth="1"/>
    <col min="15718" max="15718" width="3.6640625" customWidth="1"/>
    <col min="15719" max="15719" width="15.5546875" customWidth="1"/>
    <col min="15721" max="15721" width="42.44140625" bestFit="1" customWidth="1"/>
    <col min="15723" max="15723" width="19.5546875" customWidth="1"/>
    <col min="15724" max="15724" width="15.6640625" customWidth="1"/>
    <col min="15974" max="15974" width="3.6640625" customWidth="1"/>
    <col min="15975" max="15975" width="15.5546875" customWidth="1"/>
    <col min="15977" max="15977" width="42.44140625" bestFit="1" customWidth="1"/>
    <col min="15979" max="15979" width="19.5546875" customWidth="1"/>
    <col min="15980" max="15980" width="15.6640625" customWidth="1"/>
    <col min="16230" max="16230" width="3.6640625" customWidth="1"/>
    <col min="16231" max="16231" width="15.5546875" customWidth="1"/>
    <col min="16233" max="16233" width="42.44140625" bestFit="1" customWidth="1"/>
    <col min="16235" max="16235" width="19.5546875" customWidth="1"/>
    <col min="16236" max="16236" width="15.6640625" customWidth="1"/>
  </cols>
  <sheetData>
    <row r="1" spans="1:118" ht="14.4" customHeight="1">
      <c r="R1" s="4601"/>
      <c r="S1" s="4601"/>
      <c r="T1" s="4601"/>
      <c r="U1" s="4601"/>
      <c r="V1" s="4601"/>
    </row>
    <row r="2" spans="1:118" ht="15.6" customHeight="1">
      <c r="A2" s="4605" t="s">
        <v>2908</v>
      </c>
      <c r="B2" s="4601"/>
      <c r="C2" s="4601"/>
      <c r="D2" s="4601"/>
      <c r="E2" s="4601"/>
      <c r="F2" s="4601"/>
      <c r="G2" s="95"/>
      <c r="I2" s="4605" t="s">
        <v>2908</v>
      </c>
      <c r="J2" s="4601"/>
      <c r="K2" s="4601"/>
      <c r="L2" s="4601"/>
      <c r="M2" s="4601"/>
      <c r="N2" s="4601"/>
      <c r="O2" s="95"/>
      <c r="Q2" s="4605" t="s">
        <v>2766</v>
      </c>
      <c r="R2" s="4601"/>
      <c r="S2" s="4601"/>
      <c r="T2" s="4601"/>
      <c r="U2" s="4601"/>
      <c r="V2" s="4601"/>
      <c r="Y2" s="671" t="s">
        <v>2678</v>
      </c>
      <c r="AG2" s="513" t="s">
        <v>2675</v>
      </c>
      <c r="AH2" s="36"/>
      <c r="AI2" s="36"/>
      <c r="AJ2" s="36"/>
      <c r="AK2" s="36"/>
      <c r="AL2" s="97"/>
      <c r="AM2" s="97"/>
      <c r="AN2" s="97"/>
      <c r="AO2" s="4222" t="s">
        <v>2674</v>
      </c>
      <c r="AP2" s="4215"/>
      <c r="AQ2" s="4215"/>
      <c r="AR2" s="4215"/>
      <c r="AS2" s="4215"/>
      <c r="AT2" s="4263"/>
      <c r="AU2" s="4263"/>
      <c r="AW2" s="27" t="s">
        <v>2423</v>
      </c>
      <c r="BE2" s="27" t="s">
        <v>2287</v>
      </c>
      <c r="BL2" s="416" t="s">
        <v>1742</v>
      </c>
      <c r="BS2" s="855" t="s">
        <v>1674</v>
      </c>
      <c r="BY2" s="19"/>
      <c r="BZ2" s="855" t="s">
        <v>1200</v>
      </c>
      <c r="CB2" s="19"/>
      <c r="CC2" s="19"/>
      <c r="CD2" s="19"/>
      <c r="CE2" s="19"/>
      <c r="CF2" s="19"/>
      <c r="CG2" s="856" t="s">
        <v>1176</v>
      </c>
      <c r="CH2" s="857"/>
      <c r="CI2" s="857"/>
      <c r="CJ2" s="753"/>
      <c r="CK2" s="754"/>
      <c r="CL2" s="755"/>
      <c r="CM2" s="756"/>
      <c r="CN2" s="756"/>
      <c r="CP2" s="669" t="s">
        <v>1177</v>
      </c>
      <c r="CQ2" s="669"/>
      <c r="CR2" s="669"/>
      <c r="CS2" s="669"/>
      <c r="CT2" s="669"/>
      <c r="CY2" s="669" t="s">
        <v>1178</v>
      </c>
      <c r="CZ2" s="669"/>
      <c r="DA2" s="669"/>
      <c r="DB2" s="669"/>
      <c r="DC2" s="669"/>
      <c r="DD2" s="669"/>
      <c r="DE2" s="669"/>
    </row>
    <row r="3" spans="1:118" ht="15.6">
      <c r="A3" s="27" t="s">
        <v>3026</v>
      </c>
      <c r="D3" s="157"/>
      <c r="E3" s="157"/>
      <c r="F3" s="157"/>
      <c r="G3" s="95"/>
      <c r="I3" s="4886" t="s">
        <v>2909</v>
      </c>
      <c r="L3" s="157"/>
      <c r="M3" s="157"/>
      <c r="N3" s="157"/>
      <c r="O3" s="95"/>
      <c r="Q3" s="4522" t="s">
        <v>2718</v>
      </c>
      <c r="T3" s="157"/>
      <c r="U3" s="157"/>
      <c r="V3" s="157"/>
      <c r="Y3" s="7017" t="s">
        <v>2677</v>
      </c>
      <c r="Z3" s="7017"/>
      <c r="AG3" s="513" t="s">
        <v>2569</v>
      </c>
      <c r="AH3" s="36"/>
      <c r="AI3" s="36"/>
      <c r="AJ3" s="36"/>
      <c r="AK3" s="36"/>
      <c r="AL3" s="97"/>
      <c r="AM3" s="97"/>
      <c r="AN3" s="97"/>
      <c r="AO3" s="4222" t="s">
        <v>2568</v>
      </c>
      <c r="AP3" s="4215"/>
      <c r="AQ3" s="4215"/>
      <c r="AR3" s="4215"/>
      <c r="AS3" s="4215"/>
      <c r="AT3" s="4263"/>
      <c r="AU3" s="4263"/>
      <c r="AW3" s="27" t="s">
        <v>2424</v>
      </c>
      <c r="BE3" s="27" t="s">
        <v>2276</v>
      </c>
      <c r="BL3" s="1504" t="s">
        <v>1737</v>
      </c>
      <c r="BM3" s="1468"/>
      <c r="BN3" s="935"/>
      <c r="BO3" s="935"/>
      <c r="BP3" s="935"/>
      <c r="BQ3" s="935"/>
      <c r="BS3" s="1320" t="s">
        <v>1669</v>
      </c>
      <c r="BZ3" s="1321" t="s">
        <v>1183</v>
      </c>
      <c r="CA3" s="97"/>
      <c r="CB3" s="42"/>
      <c r="CC3" s="42"/>
      <c r="CD3" s="42"/>
      <c r="CG3" s="858" t="s">
        <v>1201</v>
      </c>
      <c r="CH3" s="857"/>
      <c r="CI3" s="857"/>
      <c r="CJ3" s="753"/>
      <c r="CK3" s="754"/>
      <c r="CL3" s="755"/>
      <c r="CM3" s="756"/>
      <c r="CN3" s="756"/>
      <c r="CP3" s="669" t="s">
        <v>1202</v>
      </c>
      <c r="CQ3" s="669"/>
      <c r="CR3" s="669"/>
      <c r="CS3" s="669"/>
      <c r="CT3" s="669"/>
      <c r="CY3" s="669" t="s">
        <v>1203</v>
      </c>
      <c r="CZ3" s="669"/>
      <c r="DA3" s="669"/>
      <c r="DB3" s="669"/>
      <c r="DC3" s="669"/>
      <c r="DD3" s="669"/>
      <c r="DE3" s="669"/>
      <c r="DH3" s="61"/>
    </row>
    <row r="4" spans="1:118">
      <c r="A4" s="37" t="s">
        <v>2910</v>
      </c>
      <c r="D4" s="157"/>
      <c r="E4" s="157"/>
      <c r="F4" s="7036" t="s">
        <v>3030</v>
      </c>
      <c r="G4" s="7036"/>
      <c r="I4" s="37" t="s">
        <v>2910</v>
      </c>
      <c r="L4" s="157"/>
      <c r="M4" s="157"/>
      <c r="N4" s="7017" t="s">
        <v>2911</v>
      </c>
      <c r="O4" s="7017"/>
      <c r="Q4" s="37" t="s">
        <v>2765</v>
      </c>
      <c r="T4" s="157"/>
      <c r="U4" s="157"/>
      <c r="V4" s="157"/>
      <c r="AG4" s="1183" t="s">
        <v>2577</v>
      </c>
      <c r="AH4" s="36"/>
      <c r="AI4" s="36"/>
      <c r="AJ4" s="36"/>
      <c r="AK4" s="36"/>
      <c r="AL4" s="97"/>
      <c r="AM4" s="97"/>
      <c r="AN4" s="97"/>
      <c r="AO4" s="1183" t="s">
        <v>2728</v>
      </c>
      <c r="AP4" s="4215"/>
      <c r="AQ4" s="4215"/>
      <c r="AR4" s="4215"/>
      <c r="AS4" s="4215"/>
      <c r="AT4" s="4263"/>
      <c r="AU4" s="4263"/>
      <c r="BE4" s="37" t="s">
        <v>2286</v>
      </c>
      <c r="BF4" s="37"/>
      <c r="BG4" s="37"/>
      <c r="BH4" s="37"/>
      <c r="BI4" s="37"/>
      <c r="CA4" s="859"/>
      <c r="CB4" s="860"/>
      <c r="CC4" s="860"/>
      <c r="CD4" s="860"/>
      <c r="CG4" s="1322" t="s">
        <v>1184</v>
      </c>
      <c r="CH4" s="857"/>
      <c r="CI4" s="857"/>
      <c r="CJ4" s="753"/>
      <c r="CK4" s="754"/>
      <c r="CL4" s="755"/>
      <c r="CM4" s="756"/>
      <c r="CN4" s="756"/>
      <c r="CY4" s="764"/>
      <c r="CZ4" s="764"/>
      <c r="DA4" s="764"/>
      <c r="DB4" s="764"/>
      <c r="DC4" s="764"/>
      <c r="DD4" s="764"/>
      <c r="DE4" s="61"/>
      <c r="DH4" s="61"/>
    </row>
    <row r="5" spans="1:118" ht="16.2" thickBot="1">
      <c r="L5" s="2110"/>
      <c r="M5" s="2110"/>
      <c r="N5" s="2110"/>
      <c r="O5" s="95"/>
      <c r="AG5" s="27" t="s">
        <v>2534</v>
      </c>
      <c r="AH5" s="36"/>
      <c r="AI5" s="36"/>
      <c r="AJ5" s="36"/>
      <c r="AK5" s="36"/>
      <c r="AL5" s="97"/>
      <c r="AM5" s="97"/>
      <c r="AN5" s="97"/>
      <c r="AO5" s="27" t="s">
        <v>2534</v>
      </c>
      <c r="AP5" s="4215"/>
      <c r="AQ5" s="4215"/>
      <c r="AR5" s="4215"/>
      <c r="AS5" s="4215"/>
      <c r="AT5" s="4263"/>
      <c r="AU5" s="4263"/>
      <c r="BE5" s="37"/>
      <c r="BF5" s="37"/>
      <c r="BG5" s="37"/>
      <c r="BH5" s="37"/>
      <c r="BI5" s="37"/>
      <c r="BL5" s="935"/>
      <c r="BM5" s="1468"/>
      <c r="BN5" s="935"/>
      <c r="BO5" s="7035">
        <v>2016</v>
      </c>
      <c r="BP5" s="7035"/>
      <c r="BQ5" s="7035"/>
      <c r="BV5" s="7035">
        <v>2015</v>
      </c>
      <c r="BW5" s="7035"/>
      <c r="BX5" s="7035"/>
      <c r="BZ5" s="97"/>
      <c r="CA5" s="861"/>
      <c r="CB5" s="862"/>
      <c r="CC5" s="7038">
        <v>2014</v>
      </c>
      <c r="CD5" s="7038"/>
      <c r="CE5" s="7038"/>
      <c r="CG5" s="857"/>
      <c r="CH5" s="857"/>
      <c r="CI5" s="857"/>
      <c r="CJ5" s="753"/>
      <c r="CK5" s="7038">
        <v>2013</v>
      </c>
      <c r="CL5" s="7038"/>
      <c r="CM5" s="7038"/>
      <c r="CN5" s="7038"/>
      <c r="CS5" s="6980">
        <v>2012</v>
      </c>
      <c r="CT5" s="6980"/>
      <c r="CU5" s="6980"/>
      <c r="CV5" s="6980"/>
      <c r="CW5" s="6980"/>
      <c r="CY5" s="51"/>
      <c r="CZ5" s="51"/>
      <c r="DA5" s="51"/>
      <c r="DB5" s="6980">
        <v>2011</v>
      </c>
      <c r="DC5" s="6980"/>
      <c r="DD5" s="6980"/>
      <c r="DE5" s="6980"/>
      <c r="DF5" s="51"/>
      <c r="DG5" s="51"/>
      <c r="DH5" s="51"/>
      <c r="DI5" s="51"/>
      <c r="DJ5" s="51"/>
      <c r="DK5" s="6980">
        <v>2010</v>
      </c>
      <c r="DL5" s="6980"/>
      <c r="DM5" s="6980"/>
      <c r="DN5" s="6980"/>
    </row>
    <row r="6" spans="1:118" ht="25.2" thickBot="1">
      <c r="A6" s="4354" t="s">
        <v>0</v>
      </c>
      <c r="B6" s="4354" t="s">
        <v>1</v>
      </c>
      <c r="C6" s="4354" t="s">
        <v>2</v>
      </c>
      <c r="D6" s="4407" t="s">
        <v>2726</v>
      </c>
      <c r="E6" s="4354" t="s">
        <v>1185</v>
      </c>
      <c r="F6" s="5032" t="s">
        <v>1122</v>
      </c>
      <c r="G6" s="4407" t="s">
        <v>1190</v>
      </c>
      <c r="I6" s="4354" t="s">
        <v>0</v>
      </c>
      <c r="J6" s="4354" t="s">
        <v>1</v>
      </c>
      <c r="K6" s="4354" t="s">
        <v>2</v>
      </c>
      <c r="L6" s="4407" t="s">
        <v>2726</v>
      </c>
      <c r="M6" s="4354" t="s">
        <v>1185</v>
      </c>
      <c r="N6" s="5032" t="s">
        <v>1122</v>
      </c>
      <c r="O6" s="4407" t="s">
        <v>1190</v>
      </c>
      <c r="Q6" s="4354" t="s">
        <v>0</v>
      </c>
      <c r="R6" s="4354" t="s">
        <v>1</v>
      </c>
      <c r="S6" s="4247" t="s">
        <v>2</v>
      </c>
      <c r="T6" s="4409" t="s">
        <v>2726</v>
      </c>
      <c r="U6" s="4315" t="s">
        <v>1185</v>
      </c>
      <c r="V6" s="678" t="s">
        <v>1122</v>
      </c>
      <c r="W6" s="4409" t="s">
        <v>1190</v>
      </c>
      <c r="Y6" s="398" t="s">
        <v>0</v>
      </c>
      <c r="Z6" s="398" t="s">
        <v>1</v>
      </c>
      <c r="AA6" s="398" t="s">
        <v>2</v>
      </c>
      <c r="AB6" s="398" t="s">
        <v>1187</v>
      </c>
      <c r="AC6" s="398" t="s">
        <v>1185</v>
      </c>
      <c r="AD6" s="768" t="s">
        <v>1122</v>
      </c>
      <c r="AE6" s="653" t="s">
        <v>1190</v>
      </c>
      <c r="AG6" s="397" t="s">
        <v>0</v>
      </c>
      <c r="AH6" s="397" t="s">
        <v>1</v>
      </c>
      <c r="AI6" s="397" t="s">
        <v>2</v>
      </c>
      <c r="AJ6" s="398" t="s">
        <v>2546</v>
      </c>
      <c r="AK6" s="398" t="s">
        <v>1185</v>
      </c>
      <c r="AL6" s="768" t="s">
        <v>1122</v>
      </c>
      <c r="AM6" s="653" t="s">
        <v>1190</v>
      </c>
      <c r="AN6" s="97"/>
      <c r="AO6" s="4219" t="s">
        <v>0</v>
      </c>
      <c r="AP6" s="4219" t="s">
        <v>1</v>
      </c>
      <c r="AQ6" s="4219" t="s">
        <v>2</v>
      </c>
      <c r="AR6" s="4218" t="s">
        <v>2546</v>
      </c>
      <c r="AS6" s="4218" t="s">
        <v>1185</v>
      </c>
      <c r="AT6" s="4435" t="s">
        <v>1122</v>
      </c>
      <c r="AU6" s="4436" t="s">
        <v>1190</v>
      </c>
      <c r="AW6" s="398" t="s">
        <v>0</v>
      </c>
      <c r="AX6" s="398" t="s">
        <v>1</v>
      </c>
      <c r="AY6" s="398" t="s">
        <v>2</v>
      </c>
      <c r="AZ6" s="398" t="s">
        <v>1014</v>
      </c>
      <c r="BA6" s="398" t="s">
        <v>1185</v>
      </c>
      <c r="BB6" s="2067" t="s">
        <v>1122</v>
      </c>
      <c r="BC6" s="1469" t="s">
        <v>1190</v>
      </c>
      <c r="BE6" s="423" t="s">
        <v>0</v>
      </c>
      <c r="BF6" s="423" t="s">
        <v>1</v>
      </c>
      <c r="BG6" s="423" t="s">
        <v>2</v>
      </c>
      <c r="BH6" s="423" t="s">
        <v>2278</v>
      </c>
      <c r="BI6" s="423" t="s">
        <v>1185</v>
      </c>
      <c r="BJ6" s="768" t="s">
        <v>1122</v>
      </c>
      <c r="BL6" s="398" t="s">
        <v>0</v>
      </c>
      <c r="BM6" s="398" t="s">
        <v>1</v>
      </c>
      <c r="BN6" s="398" t="s">
        <v>2</v>
      </c>
      <c r="BO6" s="398" t="s">
        <v>1738</v>
      </c>
      <c r="BP6" s="398" t="s">
        <v>1185</v>
      </c>
      <c r="BQ6" s="768" t="s">
        <v>1122</v>
      </c>
      <c r="BS6" s="488" t="s">
        <v>0</v>
      </c>
      <c r="BT6" s="488" t="s">
        <v>1</v>
      </c>
      <c r="BU6" s="1304" t="s">
        <v>2</v>
      </c>
      <c r="BV6" s="1271" t="s">
        <v>1670</v>
      </c>
      <c r="BW6" s="1271" t="s">
        <v>1185</v>
      </c>
      <c r="BX6" s="768" t="s">
        <v>1122</v>
      </c>
      <c r="BZ6" s="767" t="s">
        <v>0</v>
      </c>
      <c r="CA6" s="767" t="s">
        <v>1</v>
      </c>
      <c r="CB6" s="767" t="s">
        <v>2</v>
      </c>
      <c r="CC6" s="767" t="s">
        <v>1014</v>
      </c>
      <c r="CD6" s="767" t="s">
        <v>1185</v>
      </c>
      <c r="CE6" s="768" t="s">
        <v>1122</v>
      </c>
      <c r="CG6" s="863" t="s">
        <v>878</v>
      </c>
      <c r="CH6" s="863" t="s">
        <v>0</v>
      </c>
      <c r="CI6" s="863" t="s">
        <v>1</v>
      </c>
      <c r="CJ6" s="863" t="s">
        <v>2</v>
      </c>
      <c r="CK6" s="863" t="s">
        <v>1014</v>
      </c>
      <c r="CL6" s="863" t="s">
        <v>1185</v>
      </c>
      <c r="CM6" s="863" t="s">
        <v>1186</v>
      </c>
      <c r="CN6" s="768" t="s">
        <v>1122</v>
      </c>
      <c r="CO6" s="36"/>
      <c r="CP6" s="864" t="s">
        <v>0</v>
      </c>
      <c r="CQ6" s="864" t="s">
        <v>1</v>
      </c>
      <c r="CR6" s="864" t="s">
        <v>2</v>
      </c>
      <c r="CS6" s="679" t="s">
        <v>1187</v>
      </c>
      <c r="CT6" s="679" t="s">
        <v>1122</v>
      </c>
      <c r="CU6" s="865" t="s">
        <v>1185</v>
      </c>
      <c r="CV6" s="679" t="s">
        <v>1188</v>
      </c>
      <c r="CW6" s="680" t="s">
        <v>1122</v>
      </c>
      <c r="CX6" s="36"/>
      <c r="CY6" s="866" t="s">
        <v>0</v>
      </c>
      <c r="CZ6" s="866" t="s">
        <v>1</v>
      </c>
      <c r="DA6" s="866" t="s">
        <v>2</v>
      </c>
      <c r="DB6" s="388" t="s">
        <v>1185</v>
      </c>
      <c r="DC6" s="653" t="s">
        <v>1189</v>
      </c>
      <c r="DD6" s="653" t="s">
        <v>1190</v>
      </c>
      <c r="DE6" s="867" t="s">
        <v>1122</v>
      </c>
      <c r="DF6" s="42"/>
      <c r="DG6" s="42"/>
      <c r="DH6" s="868" t="s">
        <v>0</v>
      </c>
      <c r="DI6" s="868" t="s">
        <v>1</v>
      </c>
      <c r="DJ6" s="868" t="s">
        <v>2</v>
      </c>
      <c r="DK6" s="868" t="s">
        <v>1014</v>
      </c>
      <c r="DL6" s="868" t="s">
        <v>1121</v>
      </c>
      <c r="DM6" s="869" t="s">
        <v>1123</v>
      </c>
      <c r="DN6" s="870" t="s">
        <v>1124</v>
      </c>
    </row>
    <row r="7" spans="1:118">
      <c r="A7" s="5812">
        <v>1</v>
      </c>
      <c r="B7" s="5812">
        <v>1</v>
      </c>
      <c r="C7" s="5811" t="s">
        <v>2733</v>
      </c>
      <c r="D7" s="5813">
        <v>13</v>
      </c>
      <c r="E7" s="5812">
        <v>1</v>
      </c>
      <c r="F7" s="1281">
        <f>D7-G7</f>
        <v>1</v>
      </c>
      <c r="G7" s="97">
        <v>12</v>
      </c>
      <c r="I7" s="5047">
        <v>1</v>
      </c>
      <c r="J7" s="5047">
        <v>1</v>
      </c>
      <c r="K7" s="5048" t="s">
        <v>2733</v>
      </c>
      <c r="L7" s="5049">
        <v>15.5</v>
      </c>
      <c r="M7" s="5047">
        <v>2</v>
      </c>
      <c r="N7" s="1346">
        <f>L7-O7</f>
        <v>3.5</v>
      </c>
      <c r="O7" s="97">
        <v>12</v>
      </c>
      <c r="Q7" s="4615">
        <v>1</v>
      </c>
      <c r="R7" s="4615">
        <v>1</v>
      </c>
      <c r="S7" s="4602" t="s">
        <v>2733</v>
      </c>
      <c r="T7" s="4603">
        <v>13.5</v>
      </c>
      <c r="U7" s="4604">
        <v>2</v>
      </c>
      <c r="V7" s="1346">
        <f>T7-W7</f>
        <v>1.5</v>
      </c>
      <c r="W7" s="95">
        <v>12</v>
      </c>
      <c r="Y7" s="36" t="s">
        <v>3</v>
      </c>
      <c r="Z7" s="36" t="s">
        <v>4</v>
      </c>
      <c r="AA7" s="36" t="s">
        <v>115</v>
      </c>
      <c r="AB7" s="1346">
        <v>13.5</v>
      </c>
      <c r="AC7" s="95">
        <v>2</v>
      </c>
      <c r="AD7" s="1281">
        <f>AB7-AE7</f>
        <v>1.5</v>
      </c>
      <c r="AE7" s="97">
        <v>12</v>
      </c>
      <c r="AG7" s="36" t="s">
        <v>3</v>
      </c>
      <c r="AH7" s="36" t="s">
        <v>4</v>
      </c>
      <c r="AI7" s="36" t="s">
        <v>115</v>
      </c>
      <c r="AJ7" s="1346">
        <v>16.5</v>
      </c>
      <c r="AK7" s="95">
        <v>2</v>
      </c>
      <c r="AL7" s="1281">
        <f>AJ7-AM7</f>
        <v>4.5</v>
      </c>
      <c r="AM7" s="97">
        <v>12</v>
      </c>
      <c r="AN7" s="97"/>
      <c r="AO7" s="4215" t="s">
        <v>3</v>
      </c>
      <c r="AP7" s="4215" t="s">
        <v>4</v>
      </c>
      <c r="AQ7" s="4215" t="s">
        <v>115</v>
      </c>
      <c r="AR7" s="4221">
        <v>17</v>
      </c>
      <c r="AS7" s="4221">
        <v>1</v>
      </c>
      <c r="AT7" s="4263">
        <f>AR7-AU7</f>
        <v>5</v>
      </c>
      <c r="AU7" s="4263">
        <v>12</v>
      </c>
      <c r="AW7" s="36" t="s">
        <v>3</v>
      </c>
      <c r="AX7" s="36" t="s">
        <v>4</v>
      </c>
      <c r="AY7" s="2019"/>
      <c r="AZ7" s="2021"/>
      <c r="BA7" s="2021"/>
      <c r="BC7" s="97"/>
      <c r="BD7" s="97"/>
      <c r="BE7" s="51" t="s">
        <v>3</v>
      </c>
      <c r="BF7" s="85" t="s">
        <v>4</v>
      </c>
      <c r="BG7" s="51" t="s">
        <v>114</v>
      </c>
      <c r="BH7" s="837">
        <v>9</v>
      </c>
      <c r="BI7" s="85">
        <v>1</v>
      </c>
      <c r="BJ7" s="1306">
        <f>BH7-9</f>
        <v>0</v>
      </c>
      <c r="BL7" s="97" t="s">
        <v>3</v>
      </c>
      <c r="BM7" s="97" t="s">
        <v>4</v>
      </c>
      <c r="BN7" s="42" t="s">
        <v>114</v>
      </c>
      <c r="BO7" s="134">
        <v>11.57</v>
      </c>
      <c r="BP7" s="97">
        <v>7</v>
      </c>
      <c r="BQ7" s="1306">
        <f>BO7-6</f>
        <v>5.57</v>
      </c>
      <c r="BS7" s="1209" t="s">
        <v>3</v>
      </c>
      <c r="BT7" s="1209" t="s">
        <v>4</v>
      </c>
      <c r="BU7" s="1305" t="s">
        <v>114</v>
      </c>
      <c r="BV7" s="1306">
        <v>9.3333333333333339</v>
      </c>
      <c r="BW7" s="1307">
        <v>3</v>
      </c>
      <c r="BX7" s="1306">
        <f>BV7-6</f>
        <v>3.3333333333333339</v>
      </c>
      <c r="BZ7" s="871" t="s">
        <v>3</v>
      </c>
      <c r="CA7" s="871" t="s">
        <v>4</v>
      </c>
      <c r="CB7" s="872" t="s">
        <v>114</v>
      </c>
      <c r="CC7" s="873">
        <v>9.1999999999999993</v>
      </c>
      <c r="CD7" s="874">
        <v>5</v>
      </c>
      <c r="CE7" s="778">
        <f>CC7-6</f>
        <v>3.1999999999999993</v>
      </c>
      <c r="CG7" s="614" t="s">
        <v>1204</v>
      </c>
      <c r="CH7" s="614" t="s">
        <v>3</v>
      </c>
      <c r="CI7" s="614" t="s">
        <v>4</v>
      </c>
      <c r="CJ7" s="389" t="s">
        <v>114</v>
      </c>
      <c r="CK7" s="391">
        <v>11.272727272727272</v>
      </c>
      <c r="CL7" s="390">
        <v>11</v>
      </c>
      <c r="CM7" s="690">
        <v>2.3702704103502237</v>
      </c>
      <c r="CN7" s="390">
        <f>CK7-6</f>
        <v>5.2727272727272716</v>
      </c>
      <c r="CO7" s="36"/>
      <c r="CP7" s="875" t="s">
        <v>3</v>
      </c>
      <c r="CQ7" s="875" t="s">
        <v>4</v>
      </c>
      <c r="CR7" s="876" t="s">
        <v>114</v>
      </c>
      <c r="CS7" s="877">
        <v>10</v>
      </c>
      <c r="CT7" s="877">
        <f>CS7-DD7</f>
        <v>4</v>
      </c>
      <c r="CU7" s="878">
        <v>5</v>
      </c>
      <c r="CV7" s="879">
        <v>13</v>
      </c>
      <c r="CW7" s="880">
        <f>CV7-DD7</f>
        <v>7</v>
      </c>
      <c r="CX7" s="36"/>
      <c r="CY7" s="42" t="s">
        <v>3</v>
      </c>
      <c r="CZ7" s="42" t="s">
        <v>4</v>
      </c>
      <c r="DA7" s="42" t="s">
        <v>114</v>
      </c>
      <c r="DB7" s="97">
        <v>10</v>
      </c>
      <c r="DC7" s="134">
        <v>13.6</v>
      </c>
      <c r="DD7" s="97">
        <v>6</v>
      </c>
      <c r="DE7" s="134">
        <f>+DC7-DD7</f>
        <v>7.6</v>
      </c>
      <c r="DF7" s="42"/>
      <c r="DG7" s="42"/>
      <c r="DH7" s="881" t="s">
        <v>3</v>
      </c>
      <c r="DI7" s="882" t="s">
        <v>4</v>
      </c>
      <c r="DJ7" s="881" t="s">
        <v>114</v>
      </c>
      <c r="DK7" s="883">
        <v>11</v>
      </c>
      <c r="DL7" s="882">
        <v>4</v>
      </c>
      <c r="DM7" s="884">
        <v>6</v>
      </c>
      <c r="DN7" s="883">
        <f>DK7-DM7</f>
        <v>5</v>
      </c>
    </row>
    <row r="8" spans="1:118">
      <c r="A8" s="5812">
        <v>1</v>
      </c>
      <c r="B8" s="5812">
        <v>1</v>
      </c>
      <c r="C8" s="5811" t="s">
        <v>2734</v>
      </c>
      <c r="D8" s="5813">
        <v>18</v>
      </c>
      <c r="E8" s="5812">
        <v>1</v>
      </c>
      <c r="F8" s="1281">
        <f t="shared" ref="F8:F53" si="0">D8-G8</f>
        <v>9</v>
      </c>
      <c r="G8" s="97">
        <v>9</v>
      </c>
      <c r="I8" s="5047">
        <v>1</v>
      </c>
      <c r="J8" s="5047">
        <v>1</v>
      </c>
      <c r="K8" s="5048" t="s">
        <v>2734</v>
      </c>
      <c r="L8" s="5049">
        <v>14.666666666666666</v>
      </c>
      <c r="M8" s="5047">
        <v>3</v>
      </c>
      <c r="N8" s="1346">
        <f t="shared" ref="N8:N51" si="1">L8-O8</f>
        <v>5.6666666666666661</v>
      </c>
      <c r="O8" s="97">
        <v>9</v>
      </c>
      <c r="Q8" s="4615">
        <v>1</v>
      </c>
      <c r="R8" s="4615">
        <v>1</v>
      </c>
      <c r="S8" s="4602" t="s">
        <v>2734</v>
      </c>
      <c r="T8" s="4603">
        <v>11</v>
      </c>
      <c r="U8" s="4604">
        <v>1</v>
      </c>
      <c r="V8" s="1346">
        <f t="shared" ref="V8:V50" si="2">T8-W8</f>
        <v>2</v>
      </c>
      <c r="W8" s="95">
        <v>9</v>
      </c>
      <c r="Y8" s="36"/>
      <c r="Z8" s="36"/>
      <c r="AA8" s="36" t="s">
        <v>607</v>
      </c>
      <c r="AB8" s="1346">
        <v>14</v>
      </c>
      <c r="AC8" s="95">
        <v>1</v>
      </c>
      <c r="AD8" s="1281">
        <f>AB8-AE8</f>
        <v>2</v>
      </c>
      <c r="AE8" s="97">
        <v>12</v>
      </c>
      <c r="AG8" s="36"/>
      <c r="AH8" s="36"/>
      <c r="AI8" s="36"/>
      <c r="AJ8" s="1346"/>
      <c r="AK8" s="95"/>
      <c r="AL8" s="1281"/>
      <c r="AM8" s="97"/>
      <c r="AN8" s="97"/>
      <c r="AO8" s="4215"/>
      <c r="AP8" s="4215"/>
      <c r="AQ8" s="4215"/>
      <c r="AR8" s="4221"/>
      <c r="AS8" s="4221"/>
      <c r="AT8" s="4263"/>
      <c r="AU8" s="4263"/>
      <c r="AW8" s="36"/>
      <c r="AX8" s="36"/>
      <c r="AY8" s="2019"/>
      <c r="AZ8" s="2021"/>
      <c r="BA8" s="2021"/>
      <c r="BC8" s="97"/>
      <c r="BD8" s="97"/>
      <c r="BE8" s="51"/>
      <c r="BF8" s="85"/>
      <c r="BG8" s="51" t="s">
        <v>115</v>
      </c>
      <c r="BH8" s="837">
        <v>22</v>
      </c>
      <c r="BI8" s="85">
        <v>1</v>
      </c>
      <c r="BJ8" s="1306">
        <f>BH8-12</f>
        <v>10</v>
      </c>
      <c r="BL8" s="97"/>
      <c r="BM8" s="97"/>
      <c r="BN8" s="42"/>
      <c r="BO8" s="134"/>
      <c r="BP8" s="97"/>
      <c r="BQ8" s="1306"/>
      <c r="BS8" s="1209"/>
      <c r="BT8" s="1209"/>
      <c r="BU8" s="1305" t="s">
        <v>115</v>
      </c>
      <c r="BV8" s="1306">
        <v>18</v>
      </c>
      <c r="BW8" s="1307">
        <v>1</v>
      </c>
      <c r="BX8" s="1306">
        <f>BV8-9</f>
        <v>9</v>
      </c>
      <c r="BZ8" s="871"/>
      <c r="CA8" s="871"/>
      <c r="CB8" s="885" t="s">
        <v>482</v>
      </c>
      <c r="CC8" s="886">
        <v>9.1999999999999993</v>
      </c>
      <c r="CD8" s="887">
        <v>5</v>
      </c>
      <c r="CE8" s="800">
        <f t="shared" ref="CE8:CE13" si="3">CC8-6</f>
        <v>3.1999999999999993</v>
      </c>
      <c r="CG8" s="614"/>
      <c r="CH8" s="614"/>
      <c r="CI8" s="614"/>
      <c r="CJ8" s="389" t="s">
        <v>115</v>
      </c>
      <c r="CK8" s="391">
        <v>21.5</v>
      </c>
      <c r="CL8" s="390">
        <v>2</v>
      </c>
      <c r="CM8" s="690">
        <v>2.1213203435596424</v>
      </c>
      <c r="CN8" s="390">
        <f>CK8-9</f>
        <v>12.5</v>
      </c>
      <c r="CO8" s="36"/>
      <c r="CP8" s="875"/>
      <c r="CQ8" s="875"/>
      <c r="CR8" s="876" t="s">
        <v>115</v>
      </c>
      <c r="CS8" s="877">
        <v>13</v>
      </c>
      <c r="CT8" s="877">
        <f t="shared" ref="CT8:CT41" si="4">CS8-DD8</f>
        <v>4</v>
      </c>
      <c r="CU8" s="878">
        <v>1</v>
      </c>
      <c r="CV8" s="879">
        <v>13</v>
      </c>
      <c r="CW8" s="880">
        <f t="shared" ref="CW8:CW41" si="5">CV8-DD8</f>
        <v>4</v>
      </c>
      <c r="CX8" s="36"/>
      <c r="CY8" s="42"/>
      <c r="CZ8" s="42"/>
      <c r="DA8" s="42" t="s">
        <v>115</v>
      </c>
      <c r="DB8" s="97">
        <v>1</v>
      </c>
      <c r="DC8" s="134">
        <v>18</v>
      </c>
      <c r="DD8" s="97">
        <v>9</v>
      </c>
      <c r="DE8" s="134">
        <f>+DC8-DD8</f>
        <v>9</v>
      </c>
      <c r="DF8" s="42"/>
      <c r="DG8" s="42"/>
      <c r="DH8" s="881"/>
      <c r="DI8" s="882"/>
      <c r="DJ8" s="881" t="s">
        <v>115</v>
      </c>
      <c r="DK8" s="883">
        <v>14</v>
      </c>
      <c r="DL8" s="882">
        <v>2</v>
      </c>
      <c r="DM8" s="884">
        <v>9</v>
      </c>
      <c r="DN8" s="883">
        <f>DK8-DM8</f>
        <v>5</v>
      </c>
    </row>
    <row r="9" spans="1:118">
      <c r="A9" s="5812">
        <v>1</v>
      </c>
      <c r="B9" s="5812">
        <v>1</v>
      </c>
      <c r="C9" s="5811" t="s">
        <v>607</v>
      </c>
      <c r="D9" s="5813">
        <v>12</v>
      </c>
      <c r="E9" s="5812">
        <v>1</v>
      </c>
      <c r="F9" s="1281">
        <f t="shared" si="0"/>
        <v>0</v>
      </c>
      <c r="G9" s="97">
        <v>12</v>
      </c>
      <c r="I9" s="5047">
        <v>1</v>
      </c>
      <c r="J9" s="5047">
        <v>1</v>
      </c>
      <c r="K9" s="5048" t="s">
        <v>607</v>
      </c>
      <c r="L9" s="5049">
        <v>12</v>
      </c>
      <c r="M9" s="5047">
        <v>1</v>
      </c>
      <c r="N9" s="1346">
        <f t="shared" si="1"/>
        <v>0</v>
      </c>
      <c r="O9" s="97">
        <v>12</v>
      </c>
      <c r="Q9" s="4615">
        <v>1</v>
      </c>
      <c r="R9" s="4615">
        <v>1</v>
      </c>
      <c r="S9" s="4602" t="s">
        <v>607</v>
      </c>
      <c r="T9" s="4603">
        <v>13</v>
      </c>
      <c r="U9" s="4604">
        <v>1</v>
      </c>
      <c r="V9" s="1346">
        <f t="shared" si="2"/>
        <v>1</v>
      </c>
      <c r="W9" s="95">
        <v>12</v>
      </c>
      <c r="Y9" s="36"/>
      <c r="Z9" s="36"/>
      <c r="AA9" s="36" t="s">
        <v>2270</v>
      </c>
      <c r="AB9" s="1346">
        <v>11</v>
      </c>
      <c r="AC9" s="95">
        <v>1</v>
      </c>
      <c r="AD9" s="1281">
        <f>AB9-AE9</f>
        <v>2</v>
      </c>
      <c r="AE9" s="97">
        <v>9</v>
      </c>
      <c r="AG9" s="36"/>
      <c r="AH9" s="36"/>
      <c r="AI9" s="36" t="s">
        <v>607</v>
      </c>
      <c r="AJ9" s="1346">
        <v>13</v>
      </c>
      <c r="AK9" s="95">
        <v>1</v>
      </c>
      <c r="AL9" s="1281">
        <f>AJ9-AM9</f>
        <v>1</v>
      </c>
      <c r="AM9" s="97">
        <v>12</v>
      </c>
      <c r="AN9" s="97"/>
      <c r="AO9" s="4215"/>
      <c r="AP9" s="4215"/>
      <c r="AQ9" s="4215" t="s">
        <v>607</v>
      </c>
      <c r="AR9" s="4221">
        <v>13</v>
      </c>
      <c r="AS9" s="4221">
        <v>1</v>
      </c>
      <c r="AT9" s="4263">
        <f t="shared" ref="AT9:AT18" si="6">AR9-AU9</f>
        <v>1</v>
      </c>
      <c r="AU9" s="4263">
        <v>12</v>
      </c>
      <c r="AW9" s="36"/>
      <c r="AX9" s="36"/>
      <c r="AY9" s="36" t="s">
        <v>607</v>
      </c>
      <c r="AZ9" s="1345">
        <v>11</v>
      </c>
      <c r="BA9" s="95">
        <v>1</v>
      </c>
      <c r="BB9" s="134">
        <f>AZ9-BC9</f>
        <v>-1</v>
      </c>
      <c r="BC9" s="97">
        <v>12</v>
      </c>
      <c r="BD9" s="97"/>
      <c r="BE9" s="51"/>
      <c r="BF9" s="85"/>
      <c r="BG9" s="51" t="s">
        <v>607</v>
      </c>
      <c r="BH9" s="837">
        <v>9</v>
      </c>
      <c r="BI9" s="85">
        <v>1</v>
      </c>
      <c r="BJ9" s="1306">
        <f>BH9-12</f>
        <v>-3</v>
      </c>
      <c r="BL9" s="97"/>
      <c r="BM9" s="97"/>
      <c r="BN9" s="893" t="s">
        <v>482</v>
      </c>
      <c r="BO9" s="894">
        <v>11.57</v>
      </c>
      <c r="BP9" s="135">
        <v>7</v>
      </c>
      <c r="BQ9" s="800">
        <f>+(BP7*BQ7+BP8*BQ8)/BP9</f>
        <v>5.57</v>
      </c>
      <c r="BS9" s="1209"/>
      <c r="BT9" s="1209"/>
      <c r="BU9" s="1308" t="s">
        <v>482</v>
      </c>
      <c r="BV9" s="1309">
        <v>11.5</v>
      </c>
      <c r="BW9" s="1310">
        <v>4</v>
      </c>
      <c r="BX9" s="800">
        <f>+(BW7*BX7+BW8*BX8)/BW9</f>
        <v>4.75</v>
      </c>
      <c r="BZ9" s="871"/>
      <c r="CA9" s="871" t="s">
        <v>16</v>
      </c>
      <c r="CB9" s="872" t="s">
        <v>117</v>
      </c>
      <c r="CC9" s="873">
        <v>9.8571428571428577</v>
      </c>
      <c r="CD9" s="874">
        <v>7</v>
      </c>
      <c r="CE9" s="778">
        <f>CC9-9</f>
        <v>0.85714285714285765</v>
      </c>
      <c r="CG9" s="614"/>
      <c r="CH9" s="614"/>
      <c r="CI9" s="614"/>
      <c r="CJ9" s="709" t="s">
        <v>482</v>
      </c>
      <c r="CK9" s="394">
        <v>12.846153846153847</v>
      </c>
      <c r="CL9" s="395">
        <v>13</v>
      </c>
      <c r="CM9" s="710">
        <v>4.4505833671207986</v>
      </c>
      <c r="CN9" s="888">
        <f>+(CL7*CN7+CL8*CN8)/CL9</f>
        <v>6.3846153846153832</v>
      </c>
      <c r="CO9" s="36"/>
      <c r="CP9" s="875"/>
      <c r="CQ9" s="875"/>
      <c r="CR9" s="889" t="s">
        <v>482</v>
      </c>
      <c r="CS9" s="888">
        <v>10.5</v>
      </c>
      <c r="CT9" s="888">
        <f>+(CU7*CT7+CU8*CT8)/CU9</f>
        <v>4</v>
      </c>
      <c r="CU9" s="890">
        <v>6</v>
      </c>
      <c r="CV9" s="891">
        <v>13</v>
      </c>
      <c r="CW9" s="892">
        <f>+(CU7*CW7+CU8*CW8)/CU9</f>
        <v>6.5</v>
      </c>
      <c r="CX9" s="36"/>
      <c r="CY9" s="42"/>
      <c r="CZ9" s="42"/>
      <c r="DA9" s="893" t="s">
        <v>15</v>
      </c>
      <c r="DB9" s="135">
        <v>11</v>
      </c>
      <c r="DC9" s="894">
        <v>13.999999999999998</v>
      </c>
      <c r="DD9" s="135"/>
      <c r="DE9" s="894">
        <f>+(DB7*DE7+DB8*DE8)/DB9</f>
        <v>7.7272727272727275</v>
      </c>
      <c r="DF9" s="895">
        <f>AVERAGE(DE7:DE8)</f>
        <v>8.3000000000000007</v>
      </c>
      <c r="DG9" s="42"/>
      <c r="DH9" s="881"/>
      <c r="DI9" s="882"/>
      <c r="DJ9" s="882" t="s">
        <v>15</v>
      </c>
      <c r="DK9" s="883">
        <v>12</v>
      </c>
      <c r="DL9" s="882">
        <v>6</v>
      </c>
      <c r="DM9" s="884"/>
      <c r="DN9" s="896">
        <f>AVERAGE(DN7:DN8)</f>
        <v>5</v>
      </c>
    </row>
    <row r="10" spans="1:118">
      <c r="A10" s="5812">
        <v>1</v>
      </c>
      <c r="B10" s="5812">
        <v>1</v>
      </c>
      <c r="C10" s="5811" t="s">
        <v>606</v>
      </c>
      <c r="D10" s="5813">
        <v>11</v>
      </c>
      <c r="E10" s="5812">
        <v>1</v>
      </c>
      <c r="F10" s="1281">
        <f t="shared" si="0"/>
        <v>-1</v>
      </c>
      <c r="G10" s="97">
        <v>12</v>
      </c>
      <c r="I10" s="5047">
        <v>1</v>
      </c>
      <c r="J10" s="5047">
        <v>1</v>
      </c>
      <c r="K10" s="5048" t="s">
        <v>606</v>
      </c>
      <c r="L10" s="5049">
        <v>11</v>
      </c>
      <c r="M10" s="5047">
        <v>1</v>
      </c>
      <c r="N10" s="1346">
        <f t="shared" si="1"/>
        <v>-1</v>
      </c>
      <c r="O10" s="97">
        <v>12</v>
      </c>
      <c r="Q10" s="4615"/>
      <c r="R10" s="4615"/>
      <c r="S10" s="4520" t="s">
        <v>482</v>
      </c>
      <c r="T10" s="4603"/>
      <c r="U10" s="4613">
        <f>SUM(U7:U9)</f>
        <v>4</v>
      </c>
      <c r="V10" s="1675">
        <f>+(U7*V7+U8*V8+U9*V9)/U10</f>
        <v>1.5</v>
      </c>
      <c r="Y10" s="36"/>
      <c r="Z10" s="36"/>
      <c r="AA10" s="393" t="s">
        <v>482</v>
      </c>
      <c r="AB10" s="1361">
        <v>13</v>
      </c>
      <c r="AC10" s="4170">
        <v>4</v>
      </c>
      <c r="AD10" s="1675">
        <f>+(AC7*AD7+AC8*AD8+AC9*AD9)/AC10</f>
        <v>1.75</v>
      </c>
      <c r="AG10" s="36"/>
      <c r="AH10" s="36"/>
      <c r="AI10" s="36" t="s">
        <v>2270</v>
      </c>
      <c r="AJ10" s="1346">
        <v>10</v>
      </c>
      <c r="AK10" s="95">
        <v>4</v>
      </c>
      <c r="AL10" s="1281">
        <f>AJ10-AM10</f>
        <v>1</v>
      </c>
      <c r="AM10" s="97">
        <v>9</v>
      </c>
      <c r="AN10" s="97"/>
      <c r="AO10" s="4215"/>
      <c r="AP10" s="4215"/>
      <c r="AQ10" s="4215" t="s">
        <v>2270</v>
      </c>
      <c r="AR10" s="4221">
        <v>9.67</v>
      </c>
      <c r="AS10" s="4221">
        <v>3</v>
      </c>
      <c r="AT10" s="4263">
        <f t="shared" si="6"/>
        <v>0.66999999999999993</v>
      </c>
      <c r="AU10" s="4263">
        <v>9</v>
      </c>
      <c r="AW10" s="36"/>
      <c r="AX10" s="36"/>
      <c r="AY10" s="36" t="s">
        <v>606</v>
      </c>
      <c r="AZ10" s="1345">
        <v>11</v>
      </c>
      <c r="BA10" s="95">
        <v>1</v>
      </c>
      <c r="BB10" s="134">
        <f t="shared" ref="BB10:BB54" si="7">AZ10-BC10</f>
        <v>2</v>
      </c>
      <c r="BC10" s="97">
        <v>9</v>
      </c>
      <c r="BD10" s="97"/>
      <c r="BE10" s="51"/>
      <c r="BF10" s="85"/>
      <c r="BG10" s="51" t="s">
        <v>606</v>
      </c>
      <c r="BH10" s="837">
        <v>12</v>
      </c>
      <c r="BI10" s="85">
        <v>2</v>
      </c>
      <c r="BJ10" s="1306">
        <f>BH10-9</f>
        <v>3</v>
      </c>
      <c r="BL10" s="97"/>
      <c r="BM10" s="97"/>
      <c r="BN10" s="893"/>
      <c r="BO10" s="894"/>
      <c r="BP10" s="135"/>
      <c r="BQ10" s="1306"/>
      <c r="BS10" s="1209"/>
      <c r="BT10" s="1209" t="s">
        <v>16</v>
      </c>
      <c r="BU10" s="1305" t="s">
        <v>127</v>
      </c>
      <c r="BV10" s="1306">
        <v>11</v>
      </c>
      <c r="BW10" s="1307">
        <v>1</v>
      </c>
      <c r="BX10" s="1306">
        <f>BV10-9</f>
        <v>2</v>
      </c>
      <c r="BZ10" s="871"/>
      <c r="CA10" s="871"/>
      <c r="CB10" s="872" t="s">
        <v>118</v>
      </c>
      <c r="CC10" s="873">
        <v>12.2</v>
      </c>
      <c r="CD10" s="874">
        <v>5</v>
      </c>
      <c r="CE10" s="778">
        <f>CC10-12</f>
        <v>0.19999999999999929</v>
      </c>
      <c r="CG10" s="614"/>
      <c r="CH10" s="614"/>
      <c r="CI10" s="614" t="s">
        <v>16</v>
      </c>
      <c r="CJ10" s="389" t="s">
        <v>117</v>
      </c>
      <c r="CK10" s="391">
        <v>9.7499999999999982</v>
      </c>
      <c r="CL10" s="390">
        <v>8</v>
      </c>
      <c r="CM10" s="795">
        <v>0.70710678118654746</v>
      </c>
      <c r="CN10" s="390">
        <f>CK10-9</f>
        <v>0.74999999999999822</v>
      </c>
      <c r="CO10" s="36"/>
      <c r="CP10" s="875"/>
      <c r="CQ10" s="875" t="s">
        <v>16</v>
      </c>
      <c r="CR10" s="876" t="s">
        <v>117</v>
      </c>
      <c r="CS10" s="877">
        <v>9.5</v>
      </c>
      <c r="CT10" s="877">
        <f t="shared" si="4"/>
        <v>0.5</v>
      </c>
      <c r="CU10" s="878">
        <v>4</v>
      </c>
      <c r="CV10" s="879">
        <v>10.5</v>
      </c>
      <c r="CW10" s="880">
        <f t="shared" si="5"/>
        <v>1.5</v>
      </c>
      <c r="CX10" s="36"/>
      <c r="CY10" s="42"/>
      <c r="CZ10" s="42" t="s">
        <v>16</v>
      </c>
      <c r="DA10" s="42" t="s">
        <v>117</v>
      </c>
      <c r="DB10" s="97">
        <v>1</v>
      </c>
      <c r="DC10" s="134">
        <v>9</v>
      </c>
      <c r="DD10" s="97">
        <v>9</v>
      </c>
      <c r="DE10" s="134">
        <f>+DC10-DD10</f>
        <v>0</v>
      </c>
      <c r="DF10" s="42"/>
      <c r="DG10" s="42"/>
      <c r="DH10" s="881"/>
      <c r="DI10" s="882" t="s">
        <v>16</v>
      </c>
      <c r="DJ10" s="881" t="s">
        <v>127</v>
      </c>
      <c r="DK10" s="883">
        <v>9</v>
      </c>
      <c r="DL10" s="882">
        <v>1</v>
      </c>
      <c r="DM10" s="884">
        <v>12</v>
      </c>
      <c r="DN10" s="883">
        <f>DK10-DM10</f>
        <v>-3</v>
      </c>
    </row>
    <row r="11" spans="1:118">
      <c r="A11" s="5812"/>
      <c r="B11" s="5812"/>
      <c r="C11" s="135" t="s">
        <v>4</v>
      </c>
      <c r="D11" s="5050"/>
      <c r="E11" s="5051">
        <f>SUM(E7:E10)</f>
        <v>4</v>
      </c>
      <c r="F11" s="1675">
        <f>+(E7*F7+E8*F8+E9*F9+E10*F10)/E11</f>
        <v>2.25</v>
      </c>
      <c r="G11" s="97"/>
      <c r="I11" s="5047"/>
      <c r="J11" s="5047"/>
      <c r="K11" s="4884" t="s">
        <v>482</v>
      </c>
      <c r="L11" s="5050"/>
      <c r="M11" s="5051">
        <f>SUM(M7:M10)</f>
        <v>7</v>
      </c>
      <c r="N11" s="1675">
        <f>+(M7*N7+M8*N8+M9*N9+M10*N10)/M11</f>
        <v>3.2857142857142856</v>
      </c>
      <c r="O11" s="97"/>
      <c r="Q11" s="4615">
        <v>1</v>
      </c>
      <c r="R11" s="4615">
        <v>2</v>
      </c>
      <c r="S11" s="4602" t="s">
        <v>2737</v>
      </c>
      <c r="T11" s="4603">
        <v>12</v>
      </c>
      <c r="U11" s="4604">
        <v>1</v>
      </c>
      <c r="V11" s="1346">
        <f t="shared" si="2"/>
        <v>0</v>
      </c>
      <c r="W11" s="95">
        <v>12</v>
      </c>
      <c r="Y11" s="36"/>
      <c r="Z11" s="36" t="s">
        <v>16</v>
      </c>
      <c r="AA11" s="36" t="s">
        <v>118</v>
      </c>
      <c r="AB11" s="1346">
        <v>11.5</v>
      </c>
      <c r="AC11" s="95">
        <v>2</v>
      </c>
      <c r="AD11" s="1281">
        <f>AB11-AE11</f>
        <v>-0.5</v>
      </c>
      <c r="AE11" s="97">
        <v>12</v>
      </c>
      <c r="AG11" s="36"/>
      <c r="AH11" s="36"/>
      <c r="AI11" s="393" t="s">
        <v>482</v>
      </c>
      <c r="AJ11" s="1361">
        <v>12.29</v>
      </c>
      <c r="AK11" s="3794">
        <v>7</v>
      </c>
      <c r="AL11" s="1675">
        <f>+(AK7*AL7+AK9*AL9+AK10*AL10)/AK11</f>
        <v>2</v>
      </c>
      <c r="AM11" s="97"/>
      <c r="AN11" s="97"/>
      <c r="AO11" s="4215"/>
      <c r="AP11" s="4215"/>
      <c r="AQ11" s="4222" t="s">
        <v>482</v>
      </c>
      <c r="AR11" s="4223">
        <v>11.8</v>
      </c>
      <c r="AS11" s="4223">
        <v>5</v>
      </c>
      <c r="AT11" s="4437">
        <f>+(AS7*AT7+AS8*AT8+AS9*AT9+AS10*AT10)/AS11</f>
        <v>1.6019999999999999</v>
      </c>
      <c r="AU11" s="4263"/>
      <c r="AW11" s="36"/>
      <c r="AX11" s="36" t="s">
        <v>16</v>
      </c>
      <c r="AY11" s="36" t="s">
        <v>2270</v>
      </c>
      <c r="AZ11" s="1345">
        <v>8.5</v>
      </c>
      <c r="BA11" s="95">
        <v>2</v>
      </c>
      <c r="BB11" s="134">
        <f t="shared" si="7"/>
        <v>-0.5</v>
      </c>
      <c r="BC11" s="97">
        <v>9</v>
      </c>
      <c r="BD11" s="97"/>
      <c r="BE11" s="51"/>
      <c r="BF11" s="85"/>
      <c r="BG11" s="51" t="s">
        <v>2270</v>
      </c>
      <c r="BH11" s="837">
        <v>9.4</v>
      </c>
      <c r="BI11" s="85">
        <v>5</v>
      </c>
      <c r="BJ11" s="1306">
        <f>BH11-9</f>
        <v>0.40000000000000036</v>
      </c>
      <c r="BL11" s="97"/>
      <c r="BM11" s="97" t="s">
        <v>16</v>
      </c>
      <c r="BN11" s="42" t="s">
        <v>117</v>
      </c>
      <c r="BO11" s="134">
        <v>10.33</v>
      </c>
      <c r="BP11" s="97">
        <v>6</v>
      </c>
      <c r="BQ11" s="1306">
        <f t="shared" ref="BQ11:BQ17" si="8">BO11-9</f>
        <v>1.33</v>
      </c>
      <c r="BS11" s="1209"/>
      <c r="BT11" s="1209"/>
      <c r="BU11" s="1305" t="s">
        <v>117</v>
      </c>
      <c r="BV11" s="1306">
        <v>11</v>
      </c>
      <c r="BW11" s="1307">
        <v>2</v>
      </c>
      <c r="BX11" s="1306">
        <f>BV11-9</f>
        <v>2</v>
      </c>
      <c r="BZ11" s="871"/>
      <c r="CA11" s="871"/>
      <c r="CB11" s="885" t="s">
        <v>483</v>
      </c>
      <c r="CC11" s="886">
        <v>10.833333333333334</v>
      </c>
      <c r="CD11" s="887">
        <v>12</v>
      </c>
      <c r="CE11" s="800">
        <f>+(CD9*CE9+CD10*CE10)/CD11</f>
        <v>0.58333333333333337</v>
      </c>
      <c r="CG11" s="614"/>
      <c r="CH11" s="614"/>
      <c r="CI11" s="614"/>
      <c r="CJ11" s="709" t="s">
        <v>483</v>
      </c>
      <c r="CK11" s="394">
        <v>9.7499999999999982</v>
      </c>
      <c r="CL11" s="395">
        <v>8</v>
      </c>
      <c r="CM11" s="802">
        <v>0.70710678118654746</v>
      </c>
      <c r="CN11" s="888">
        <f>+(CL10*CN10)/CL11</f>
        <v>0.74999999999999822</v>
      </c>
      <c r="CO11" s="36"/>
      <c r="CP11" s="875"/>
      <c r="CQ11" s="875"/>
      <c r="CR11" s="876" t="s">
        <v>118</v>
      </c>
      <c r="CS11" s="877">
        <v>9</v>
      </c>
      <c r="CT11" s="877">
        <f t="shared" si="4"/>
        <v>0</v>
      </c>
      <c r="CU11" s="878">
        <v>2</v>
      </c>
      <c r="CV11" s="879">
        <v>9</v>
      </c>
      <c r="CW11" s="880">
        <f t="shared" si="5"/>
        <v>0</v>
      </c>
      <c r="CX11" s="36"/>
      <c r="CY11" s="42"/>
      <c r="CZ11" s="42"/>
      <c r="DA11" s="42" t="s">
        <v>118</v>
      </c>
      <c r="DB11" s="97">
        <v>5</v>
      </c>
      <c r="DC11" s="134">
        <v>8.8000000000000007</v>
      </c>
      <c r="DD11" s="97">
        <v>9</v>
      </c>
      <c r="DE11" s="134">
        <f>+DC11-DD11</f>
        <v>-0.19999999999999929</v>
      </c>
      <c r="DF11" s="42"/>
      <c r="DG11" s="42"/>
      <c r="DH11" s="881"/>
      <c r="DI11" s="882"/>
      <c r="DJ11" s="881" t="s">
        <v>117</v>
      </c>
      <c r="DK11" s="883">
        <v>9</v>
      </c>
      <c r="DL11" s="882">
        <v>2</v>
      </c>
      <c r="DM11" s="884">
        <v>9</v>
      </c>
      <c r="DN11" s="883">
        <f>DK11-DM11</f>
        <v>0</v>
      </c>
    </row>
    <row r="12" spans="1:118" ht="15.75" customHeight="1">
      <c r="A12" s="5812">
        <v>1</v>
      </c>
      <c r="B12" s="5812">
        <v>2</v>
      </c>
      <c r="C12" s="5811" t="s">
        <v>2748</v>
      </c>
      <c r="D12" s="5813">
        <v>13.416666666666668</v>
      </c>
      <c r="E12" s="5812">
        <v>5</v>
      </c>
      <c r="F12" s="1281">
        <f t="shared" si="0"/>
        <v>1.4166666666666679</v>
      </c>
      <c r="G12" s="97">
        <v>12</v>
      </c>
      <c r="I12" s="5047">
        <v>1</v>
      </c>
      <c r="J12" s="5047">
        <v>2</v>
      </c>
      <c r="K12" s="5048" t="s">
        <v>2748</v>
      </c>
      <c r="L12" s="5049">
        <v>13.333333333333334</v>
      </c>
      <c r="M12" s="5047">
        <v>6</v>
      </c>
      <c r="N12" s="1346">
        <f t="shared" si="1"/>
        <v>1.3333333333333339</v>
      </c>
      <c r="O12" s="97">
        <v>12</v>
      </c>
      <c r="Q12" s="4615">
        <v>1</v>
      </c>
      <c r="R12" s="4615">
        <v>2</v>
      </c>
      <c r="S12" s="4602" t="s">
        <v>118</v>
      </c>
      <c r="T12" s="4603">
        <v>10.5</v>
      </c>
      <c r="U12" s="4604">
        <v>3</v>
      </c>
      <c r="V12" s="1346">
        <f t="shared" si="2"/>
        <v>-1.5</v>
      </c>
      <c r="W12" s="95">
        <v>12</v>
      </c>
      <c r="Y12" s="36"/>
      <c r="Z12" s="36"/>
      <c r="AA12" s="393" t="s">
        <v>483</v>
      </c>
      <c r="AB12" s="1361">
        <v>11.5</v>
      </c>
      <c r="AC12" s="4170">
        <v>2</v>
      </c>
      <c r="AD12" s="1675">
        <f>AB12-AE12</f>
        <v>-0.5</v>
      </c>
      <c r="AE12" s="97">
        <v>12</v>
      </c>
      <c r="AG12" s="36"/>
      <c r="AH12" s="36" t="s">
        <v>16</v>
      </c>
      <c r="AI12" s="36" t="s">
        <v>117</v>
      </c>
      <c r="AJ12" s="1346">
        <v>13.67</v>
      </c>
      <c r="AK12" s="95">
        <v>3</v>
      </c>
      <c r="AL12" s="1281">
        <f>AJ12-AM12</f>
        <v>1.67</v>
      </c>
      <c r="AM12" s="97">
        <v>12</v>
      </c>
      <c r="AN12" s="97"/>
      <c r="AO12" s="4215"/>
      <c r="AP12" s="4215" t="s">
        <v>16</v>
      </c>
      <c r="AQ12" s="4215" t="s">
        <v>117</v>
      </c>
      <c r="AR12" s="4221">
        <v>13.67</v>
      </c>
      <c r="AS12" s="4221">
        <v>3</v>
      </c>
      <c r="AT12" s="4263">
        <f t="shared" si="6"/>
        <v>1.67</v>
      </c>
      <c r="AU12" s="4263">
        <v>12</v>
      </c>
      <c r="AW12" s="36"/>
      <c r="AX12" s="36"/>
      <c r="AY12" s="393" t="s">
        <v>482</v>
      </c>
      <c r="AZ12" s="1360">
        <v>9.75</v>
      </c>
      <c r="BA12" s="2041">
        <v>4</v>
      </c>
      <c r="BB12" s="800">
        <f>+(BA7*BB7+BA8*BB8+BA9*BB9+BA10*BB10+BA11*BB11)/BA12</f>
        <v>0</v>
      </c>
      <c r="BC12" s="97"/>
      <c r="BD12" s="97"/>
      <c r="BE12" s="51"/>
      <c r="BF12" s="85"/>
      <c r="BG12" s="1689" t="s">
        <v>482</v>
      </c>
      <c r="BH12" s="1690">
        <v>11.1</v>
      </c>
      <c r="BI12" s="1691">
        <v>10</v>
      </c>
      <c r="BJ12" s="800">
        <f>+(BI7*BJ7+BI8*BJ8+BI9*BJ9+BI10*BJ10+BI11*BJ11)/BI12</f>
        <v>1.5000000000000002</v>
      </c>
      <c r="BL12" s="97"/>
      <c r="BM12" s="97"/>
      <c r="BN12" s="42" t="s">
        <v>118</v>
      </c>
      <c r="BO12" s="134">
        <v>12.8</v>
      </c>
      <c r="BP12" s="97">
        <v>5</v>
      </c>
      <c r="BQ12" s="1306">
        <f t="shared" si="8"/>
        <v>3.8000000000000007</v>
      </c>
      <c r="BS12" s="1209"/>
      <c r="BT12" s="1209"/>
      <c r="BU12" s="1305" t="s">
        <v>118</v>
      </c>
      <c r="BV12" s="1306">
        <v>11.75</v>
      </c>
      <c r="BW12" s="1307">
        <v>4</v>
      </c>
      <c r="BX12" s="1306">
        <f>BV12-9</f>
        <v>2.75</v>
      </c>
      <c r="BZ12" s="871"/>
      <c r="CA12" s="871" t="s">
        <v>103</v>
      </c>
      <c r="CB12" s="872" t="s">
        <v>104</v>
      </c>
      <c r="CC12" s="873">
        <v>9.8888888888888893</v>
      </c>
      <c r="CD12" s="874">
        <v>9</v>
      </c>
      <c r="CE12" s="778">
        <f t="shared" si="3"/>
        <v>3.8888888888888893</v>
      </c>
      <c r="CG12" s="614"/>
      <c r="CH12" s="614"/>
      <c r="CI12" s="614" t="s">
        <v>103</v>
      </c>
      <c r="CJ12" s="389" t="s">
        <v>104</v>
      </c>
      <c r="CK12" s="391">
        <v>8.3333333333333339</v>
      </c>
      <c r="CL12" s="390">
        <v>9</v>
      </c>
      <c r="CM12" s="690">
        <v>2</v>
      </c>
      <c r="CN12" s="390">
        <f>CK12-6</f>
        <v>2.3333333333333339</v>
      </c>
      <c r="CO12" s="36"/>
      <c r="CP12" s="875"/>
      <c r="CQ12" s="875"/>
      <c r="CR12" s="889" t="s">
        <v>483</v>
      </c>
      <c r="CS12" s="888">
        <v>9.3333333333333321</v>
      </c>
      <c r="CT12" s="888">
        <f>+(CU10*CT10+CU11*CT11)/CU12</f>
        <v>0.33333333333333331</v>
      </c>
      <c r="CU12" s="890">
        <v>6</v>
      </c>
      <c r="CV12" s="891">
        <v>10</v>
      </c>
      <c r="CW12" s="892">
        <f>+(CU10*CW10+CU11*CW11)/CU12</f>
        <v>1</v>
      </c>
      <c r="CX12" s="36"/>
      <c r="CY12" s="42"/>
      <c r="CZ12" s="42"/>
      <c r="DA12" s="893" t="s">
        <v>15</v>
      </c>
      <c r="DB12" s="135">
        <v>6</v>
      </c>
      <c r="DC12" s="894">
        <v>8.8333333333333339</v>
      </c>
      <c r="DD12" s="135"/>
      <c r="DE12" s="894">
        <f>+(DB10*DE10+DB11*DE11)/DB12</f>
        <v>-0.16666666666666607</v>
      </c>
      <c r="DF12" s="895">
        <f>AVERAGE(DE10:DE11)</f>
        <v>-9.9999999999999645E-2</v>
      </c>
      <c r="DG12" s="42"/>
      <c r="DH12" s="881"/>
      <c r="DI12" s="882"/>
      <c r="DJ12" s="882" t="s">
        <v>15</v>
      </c>
      <c r="DK12" s="883">
        <v>9</v>
      </c>
      <c r="DL12" s="882">
        <v>3</v>
      </c>
      <c r="DM12" s="884"/>
      <c r="DN12" s="896">
        <f>DK12-9+AVERAGE(DN10:DN11)</f>
        <v>-1.5</v>
      </c>
    </row>
    <row r="13" spans="1:118">
      <c r="A13" s="5812"/>
      <c r="B13" s="5812"/>
      <c r="C13" s="135" t="s">
        <v>16</v>
      </c>
      <c r="D13" s="5050"/>
      <c r="E13" s="5051">
        <f>SUM(E12)</f>
        <v>5</v>
      </c>
      <c r="F13" s="1675">
        <f>+(E12*F12)/E13</f>
        <v>1.4166666666666679</v>
      </c>
      <c r="G13" s="97"/>
      <c r="I13" s="5047"/>
      <c r="J13" s="5047"/>
      <c r="K13" s="4884" t="s">
        <v>483</v>
      </c>
      <c r="L13" s="5050"/>
      <c r="M13" s="5051">
        <f>SUM(M12)</f>
        <v>6</v>
      </c>
      <c r="N13" s="1675">
        <f>+(M12*N12)/M13</f>
        <v>1.3333333333333339</v>
      </c>
      <c r="O13" s="97"/>
      <c r="Q13" s="4615"/>
      <c r="R13" s="4615"/>
      <c r="S13" s="4520" t="s">
        <v>483</v>
      </c>
      <c r="T13" s="4603"/>
      <c r="U13" s="4613">
        <f>SUM(U11:U12)</f>
        <v>4</v>
      </c>
      <c r="V13" s="1675">
        <f>+(U11*V11+U12*V12)/U13</f>
        <v>-1.125</v>
      </c>
      <c r="Y13" s="36"/>
      <c r="Z13" s="36" t="s">
        <v>21</v>
      </c>
      <c r="AA13" s="36" t="s">
        <v>1456</v>
      </c>
      <c r="AB13" s="1346">
        <v>12</v>
      </c>
      <c r="AC13" s="95">
        <v>1</v>
      </c>
      <c r="AD13" s="1281">
        <f>AB13-AE13</f>
        <v>3</v>
      </c>
      <c r="AE13" s="97">
        <v>9</v>
      </c>
      <c r="AG13" s="36"/>
      <c r="AH13" s="36"/>
      <c r="AI13" s="36" t="s">
        <v>118</v>
      </c>
      <c r="AJ13" s="1346">
        <v>12.25</v>
      </c>
      <c r="AK13" s="95">
        <v>4</v>
      </c>
      <c r="AL13" s="1281">
        <f>AJ13-AM13</f>
        <v>0.25</v>
      </c>
      <c r="AM13" s="97">
        <v>12</v>
      </c>
      <c r="AN13" s="97"/>
      <c r="AO13" s="4215"/>
      <c r="AP13" s="4215"/>
      <c r="AQ13" s="4215" t="s">
        <v>118</v>
      </c>
      <c r="AR13" s="4221">
        <v>13</v>
      </c>
      <c r="AS13" s="4221">
        <v>2</v>
      </c>
      <c r="AT13" s="4263">
        <f t="shared" si="6"/>
        <v>1</v>
      </c>
      <c r="AU13" s="4263">
        <v>12</v>
      </c>
      <c r="AW13" s="36"/>
      <c r="AX13" s="36"/>
      <c r="AY13" s="36" t="s">
        <v>117</v>
      </c>
      <c r="AZ13" s="1345">
        <v>13.67</v>
      </c>
      <c r="BA13" s="95">
        <v>3</v>
      </c>
      <c r="BB13" s="134">
        <f t="shared" si="7"/>
        <v>1.67</v>
      </c>
      <c r="BC13" s="97">
        <v>12</v>
      </c>
      <c r="BD13" s="97"/>
      <c r="BE13" s="51"/>
      <c r="BF13" s="85" t="s">
        <v>16</v>
      </c>
      <c r="BG13" s="51" t="s">
        <v>127</v>
      </c>
      <c r="BH13" s="837">
        <v>9</v>
      </c>
      <c r="BI13" s="85">
        <v>1</v>
      </c>
      <c r="BJ13" s="1306">
        <f t="shared" ref="BJ13:BJ19" si="9">BH13-9</f>
        <v>0</v>
      </c>
      <c r="BL13" s="97"/>
      <c r="BM13" s="97"/>
      <c r="BN13" s="893" t="s">
        <v>483</v>
      </c>
      <c r="BO13" s="894">
        <v>11.45</v>
      </c>
      <c r="BP13" s="135">
        <v>11</v>
      </c>
      <c r="BQ13" s="800">
        <f>+(BP10*BQ10+BP11*BQ11+BP12*BQ12)/BP13</f>
        <v>2.4527272727272731</v>
      </c>
      <c r="BS13" s="1209"/>
      <c r="BT13" s="1209"/>
      <c r="BU13" s="1308" t="s">
        <v>483</v>
      </c>
      <c r="BV13" s="1309">
        <v>11.428571428571427</v>
      </c>
      <c r="BW13" s="1310">
        <v>7</v>
      </c>
      <c r="BX13" s="800">
        <f>+(BW10*BX10+BW11*BX11+BW12*BX12)/BW13</f>
        <v>2.4285714285714284</v>
      </c>
      <c r="BZ13" s="871"/>
      <c r="CA13" s="871"/>
      <c r="CB13" s="885" t="s">
        <v>726</v>
      </c>
      <c r="CC13" s="886">
        <v>9.8888888888888893</v>
      </c>
      <c r="CD13" s="887">
        <v>9</v>
      </c>
      <c r="CE13" s="800">
        <f t="shared" si="3"/>
        <v>3.8888888888888893</v>
      </c>
      <c r="CG13" s="614"/>
      <c r="CH13" s="614"/>
      <c r="CI13" s="614"/>
      <c r="CJ13" s="709" t="s">
        <v>726</v>
      </c>
      <c r="CK13" s="394">
        <v>8.3333333333333339</v>
      </c>
      <c r="CL13" s="395">
        <v>9</v>
      </c>
      <c r="CM13" s="710">
        <v>2</v>
      </c>
      <c r="CN13" s="888">
        <f>+(CL12*CN12)/CL13</f>
        <v>2.3333333333333339</v>
      </c>
      <c r="CO13" s="36"/>
      <c r="CP13" s="875"/>
      <c r="CQ13" s="875" t="s">
        <v>103</v>
      </c>
      <c r="CR13" s="876" t="s">
        <v>104</v>
      </c>
      <c r="CS13" s="877">
        <v>6</v>
      </c>
      <c r="CT13" s="877">
        <f t="shared" si="4"/>
        <v>0</v>
      </c>
      <c r="CU13" s="878">
        <v>2</v>
      </c>
      <c r="CV13" s="879">
        <v>6</v>
      </c>
      <c r="CW13" s="880">
        <f t="shared" si="5"/>
        <v>0</v>
      </c>
      <c r="CX13" s="36"/>
      <c r="CY13" s="42"/>
      <c r="CZ13" s="42" t="s">
        <v>103</v>
      </c>
      <c r="DA13" s="42" t="s">
        <v>104</v>
      </c>
      <c r="DB13" s="97">
        <v>7</v>
      </c>
      <c r="DC13" s="134">
        <v>7.5714285714285712</v>
      </c>
      <c r="DD13" s="97">
        <v>6</v>
      </c>
      <c r="DE13" s="134">
        <f>+DC13-DD13</f>
        <v>1.5714285714285712</v>
      </c>
      <c r="DF13" s="42"/>
      <c r="DG13" s="42"/>
      <c r="DH13" s="881"/>
      <c r="DI13" s="882" t="s">
        <v>103</v>
      </c>
      <c r="DJ13" s="881" t="s">
        <v>104</v>
      </c>
      <c r="DK13" s="883">
        <v>8.4</v>
      </c>
      <c r="DL13" s="882">
        <v>5</v>
      </c>
      <c r="DM13" s="884">
        <v>6</v>
      </c>
      <c r="DN13" s="883">
        <f>DK13-6</f>
        <v>2.4000000000000004</v>
      </c>
    </row>
    <row r="14" spans="1:118">
      <c r="A14" s="5812">
        <v>1</v>
      </c>
      <c r="B14" s="5812">
        <v>4</v>
      </c>
      <c r="C14" s="5811" t="s">
        <v>2724</v>
      </c>
      <c r="D14" s="5813">
        <v>6</v>
      </c>
      <c r="E14" s="5812">
        <v>1</v>
      </c>
      <c r="F14" s="1281">
        <f t="shared" si="0"/>
        <v>-3</v>
      </c>
      <c r="G14" s="97">
        <v>9</v>
      </c>
      <c r="I14" s="5047">
        <v>1</v>
      </c>
      <c r="J14" s="5047">
        <v>4</v>
      </c>
      <c r="K14" s="5048" t="s">
        <v>2724</v>
      </c>
      <c r="L14" s="5049">
        <v>6</v>
      </c>
      <c r="M14" s="5047">
        <v>2</v>
      </c>
      <c r="N14" s="1346">
        <f t="shared" si="1"/>
        <v>-3</v>
      </c>
      <c r="O14" s="97">
        <v>9</v>
      </c>
      <c r="Q14" s="4615">
        <v>1</v>
      </c>
      <c r="R14" s="4615">
        <v>4</v>
      </c>
      <c r="S14" s="4602" t="s">
        <v>1527</v>
      </c>
      <c r="T14" s="4603">
        <v>10</v>
      </c>
      <c r="U14" s="4604">
        <v>1</v>
      </c>
      <c r="V14" s="1346">
        <f t="shared" si="2"/>
        <v>1</v>
      </c>
      <c r="W14" s="95">
        <v>9</v>
      </c>
      <c r="Y14" s="36"/>
      <c r="Z14" s="36"/>
      <c r="AA14" s="36" t="s">
        <v>1457</v>
      </c>
      <c r="AB14" s="1346">
        <v>13.33</v>
      </c>
      <c r="AC14" s="95">
        <v>3</v>
      </c>
      <c r="AD14" s="1281">
        <f>AB14-AE14</f>
        <v>4.33</v>
      </c>
      <c r="AE14" s="97">
        <v>9</v>
      </c>
      <c r="AG14" s="36"/>
      <c r="AH14" s="36"/>
      <c r="AI14" s="393" t="s">
        <v>483</v>
      </c>
      <c r="AJ14" s="1361">
        <v>12.86</v>
      </c>
      <c r="AK14" s="3794">
        <v>7</v>
      </c>
      <c r="AL14" s="1675">
        <f>+(AK12*AL12+AK13*AL13)/AK14</f>
        <v>0.85857142857142854</v>
      </c>
      <c r="AM14" s="97"/>
      <c r="AN14" s="97"/>
      <c r="AO14" s="4215"/>
      <c r="AP14" s="4215"/>
      <c r="AQ14" s="4222" t="s">
        <v>483</v>
      </c>
      <c r="AR14" s="4223">
        <v>13.4</v>
      </c>
      <c r="AS14" s="4223">
        <v>5</v>
      </c>
      <c r="AT14" s="4437">
        <f>+(AS12*AT12+AS13*AT13)/AS14</f>
        <v>1.4019999999999999</v>
      </c>
      <c r="AU14" s="4263"/>
      <c r="AW14" s="36"/>
      <c r="AX14" s="36" t="s">
        <v>21</v>
      </c>
      <c r="AY14" s="36" t="s">
        <v>118</v>
      </c>
      <c r="AZ14" s="1345">
        <v>13.67</v>
      </c>
      <c r="BA14" s="95">
        <v>3</v>
      </c>
      <c r="BB14" s="134">
        <f t="shared" si="7"/>
        <v>1.67</v>
      </c>
      <c r="BC14" s="97">
        <v>12</v>
      </c>
      <c r="BD14" s="97"/>
      <c r="BE14" s="51"/>
      <c r="BF14" s="85"/>
      <c r="BG14" s="51" t="s">
        <v>117</v>
      </c>
      <c r="BH14" s="837">
        <v>15</v>
      </c>
      <c r="BI14" s="85">
        <v>1</v>
      </c>
      <c r="BJ14" s="1306">
        <f t="shared" si="9"/>
        <v>6</v>
      </c>
      <c r="BL14" s="97"/>
      <c r="BM14" s="97"/>
      <c r="BN14" s="893"/>
      <c r="BO14" s="894"/>
      <c r="BP14" s="135"/>
      <c r="BQ14" s="1306"/>
      <c r="BS14" s="1209"/>
      <c r="BT14" s="1209" t="s">
        <v>103</v>
      </c>
      <c r="BU14" s="1305" t="s">
        <v>104</v>
      </c>
      <c r="BV14" s="1306">
        <v>13</v>
      </c>
      <c r="BW14" s="1307">
        <v>2</v>
      </c>
      <c r="BX14" s="1306">
        <f>BV14-9</f>
        <v>4</v>
      </c>
      <c r="BZ14" s="871"/>
      <c r="CA14" s="871"/>
      <c r="CB14" s="897" t="s">
        <v>105</v>
      </c>
      <c r="CC14" s="898">
        <v>10.192307692307693</v>
      </c>
      <c r="CD14" s="899">
        <v>26</v>
      </c>
      <c r="CE14" s="824">
        <f>+(CD8*CE8+CD11*CE11+CD13*CE13)/CD14</f>
        <v>2.2307692307692308</v>
      </c>
      <c r="CG14" s="614"/>
      <c r="CH14" s="614"/>
      <c r="CI14" s="614"/>
      <c r="CJ14" s="803" t="s">
        <v>105</v>
      </c>
      <c r="CK14" s="804">
        <v>10.666666666666666</v>
      </c>
      <c r="CL14" s="805">
        <v>30</v>
      </c>
      <c r="CM14" s="806">
        <v>3.6703221068206111</v>
      </c>
      <c r="CN14" s="900">
        <f>+(CL9*CN9+CL11*CN11+CL13*CN13)/CL14</f>
        <v>3.6666666666666656</v>
      </c>
      <c r="CO14" s="36"/>
      <c r="CP14" s="875"/>
      <c r="CQ14" s="875"/>
      <c r="CR14" s="889" t="s">
        <v>726</v>
      </c>
      <c r="CS14" s="888">
        <v>6</v>
      </c>
      <c r="CT14" s="888">
        <f>+(CU13*CT13)/CU14</f>
        <v>0</v>
      </c>
      <c r="CU14" s="890">
        <v>2</v>
      </c>
      <c r="CV14" s="891">
        <v>6</v>
      </c>
      <c r="CW14" s="892">
        <f>+(CU13*CW13)/CU14</f>
        <v>0</v>
      </c>
      <c r="CX14" s="36"/>
      <c r="CY14" s="42"/>
      <c r="CZ14" s="42"/>
      <c r="DA14" s="893" t="s">
        <v>15</v>
      </c>
      <c r="DB14" s="135">
        <v>7</v>
      </c>
      <c r="DC14" s="894">
        <v>7.5714285714285712</v>
      </c>
      <c r="DD14" s="135"/>
      <c r="DE14" s="894">
        <f>+DE13</f>
        <v>1.5714285714285712</v>
      </c>
      <c r="DF14" s="893">
        <v>0.86</v>
      </c>
      <c r="DG14" s="42"/>
      <c r="DH14" s="881"/>
      <c r="DI14" s="882"/>
      <c r="DJ14" s="882" t="s">
        <v>15</v>
      </c>
      <c r="DK14" s="883">
        <v>8.4</v>
      </c>
      <c r="DL14" s="882">
        <v>5</v>
      </c>
      <c r="DM14" s="884"/>
      <c r="DN14" s="896">
        <f>DK14-6</f>
        <v>2.4000000000000004</v>
      </c>
    </row>
    <row r="15" spans="1:118">
      <c r="A15" s="5812">
        <v>1</v>
      </c>
      <c r="B15" s="5812">
        <v>4</v>
      </c>
      <c r="C15" s="5811" t="s">
        <v>1456</v>
      </c>
      <c r="D15" s="5813">
        <v>9</v>
      </c>
      <c r="E15" s="5812">
        <v>1</v>
      </c>
      <c r="F15" s="1281">
        <f t="shared" si="0"/>
        <v>0</v>
      </c>
      <c r="G15" s="97">
        <v>9</v>
      </c>
      <c r="I15" s="5047">
        <v>1</v>
      </c>
      <c r="J15" s="5047">
        <v>4</v>
      </c>
      <c r="K15" s="5048" t="s">
        <v>1456</v>
      </c>
      <c r="L15" s="5049">
        <v>9</v>
      </c>
      <c r="M15" s="5047">
        <v>1</v>
      </c>
      <c r="N15" s="1346">
        <f t="shared" si="1"/>
        <v>0</v>
      </c>
      <c r="O15" s="97">
        <v>9</v>
      </c>
      <c r="Q15" s="4615">
        <v>1</v>
      </c>
      <c r="R15" s="4615">
        <v>4</v>
      </c>
      <c r="S15" s="4602" t="s">
        <v>1456</v>
      </c>
      <c r="T15" s="4603">
        <v>12</v>
      </c>
      <c r="U15" s="4604">
        <v>1</v>
      </c>
      <c r="V15" s="1346">
        <f t="shared" si="2"/>
        <v>3</v>
      </c>
      <c r="W15" s="95">
        <v>9</v>
      </c>
      <c r="Y15" s="36"/>
      <c r="Z15" s="36"/>
      <c r="AA15" s="36" t="s">
        <v>2271</v>
      </c>
      <c r="AB15" s="1346">
        <v>10</v>
      </c>
      <c r="AC15" s="95">
        <v>1</v>
      </c>
      <c r="AD15" s="1281">
        <f>AB15-AE15</f>
        <v>1</v>
      </c>
      <c r="AE15" s="97">
        <v>9</v>
      </c>
      <c r="AG15" s="36"/>
      <c r="AH15" s="36" t="s">
        <v>21</v>
      </c>
      <c r="AI15" s="36" t="s">
        <v>1455</v>
      </c>
      <c r="AJ15" s="1346">
        <v>9</v>
      </c>
      <c r="AK15" s="95">
        <v>2</v>
      </c>
      <c r="AL15" s="1281">
        <f>AJ15-AM15</f>
        <v>0</v>
      </c>
      <c r="AM15" s="97">
        <v>9</v>
      </c>
      <c r="AN15" s="97"/>
      <c r="AO15" s="4215"/>
      <c r="AP15" s="4215" t="s">
        <v>21</v>
      </c>
      <c r="AQ15" s="4215" t="s">
        <v>1455</v>
      </c>
      <c r="AR15" s="4221">
        <v>9</v>
      </c>
      <c r="AS15" s="4221">
        <v>2</v>
      </c>
      <c r="AT15" s="4263">
        <f t="shared" si="6"/>
        <v>0</v>
      </c>
      <c r="AU15" s="4263">
        <v>9</v>
      </c>
      <c r="AW15" s="36"/>
      <c r="AX15" s="36"/>
      <c r="AY15" s="393" t="s">
        <v>483</v>
      </c>
      <c r="AZ15" s="1360">
        <v>13.67</v>
      </c>
      <c r="BA15" s="2041">
        <v>6</v>
      </c>
      <c r="BB15" s="800">
        <f>+(BA13*BB13+BA14*BB14)/BA15</f>
        <v>1.67</v>
      </c>
      <c r="BC15" s="97"/>
      <c r="BD15" s="97"/>
      <c r="BE15" s="51"/>
      <c r="BF15" s="85"/>
      <c r="BG15" s="51" t="s">
        <v>118</v>
      </c>
      <c r="BH15" s="837">
        <v>11.5</v>
      </c>
      <c r="BI15" s="85">
        <v>2</v>
      </c>
      <c r="BJ15" s="1306">
        <f t="shared" si="9"/>
        <v>2.5</v>
      </c>
      <c r="BL15" s="97"/>
      <c r="BM15" s="97"/>
      <c r="BN15" s="893"/>
      <c r="BO15" s="894"/>
      <c r="BP15" s="135"/>
      <c r="BQ15" s="1306"/>
      <c r="BS15" s="1209"/>
      <c r="BT15" s="1209"/>
      <c r="BU15" s="1305" t="s">
        <v>1455</v>
      </c>
      <c r="BV15" s="1306">
        <v>9</v>
      </c>
      <c r="BW15" s="1307">
        <v>1</v>
      </c>
      <c r="BX15" s="1306">
        <f>BV15-9</f>
        <v>0</v>
      </c>
      <c r="BZ15" s="871" t="s">
        <v>25</v>
      </c>
      <c r="CA15" s="871" t="s">
        <v>4</v>
      </c>
      <c r="CB15" s="872" t="s">
        <v>119</v>
      </c>
      <c r="CC15" s="873">
        <v>20.714285714285712</v>
      </c>
      <c r="CD15" s="874">
        <v>7</v>
      </c>
      <c r="CE15" s="778">
        <f t="shared" ref="CE15:CE21" si="10">CC15-12</f>
        <v>8.7142857142857117</v>
      </c>
      <c r="CG15" s="614"/>
      <c r="CH15" s="614" t="s">
        <v>25</v>
      </c>
      <c r="CI15" s="614" t="s">
        <v>4</v>
      </c>
      <c r="CJ15" s="389" t="s">
        <v>119</v>
      </c>
      <c r="CK15" s="391">
        <v>15.333333333333334</v>
      </c>
      <c r="CL15" s="390">
        <v>3</v>
      </c>
      <c r="CM15" s="690">
        <v>1.1547005383792515</v>
      </c>
      <c r="CN15" s="390">
        <f>CK15-12</f>
        <v>3.3333333333333339</v>
      </c>
      <c r="CO15" s="36"/>
      <c r="CP15" s="901"/>
      <c r="CQ15" s="901"/>
      <c r="CR15" s="902"/>
      <c r="CS15" s="902"/>
      <c r="CT15" s="902"/>
      <c r="CU15" s="902"/>
      <c r="CV15" s="902"/>
      <c r="CW15" s="902"/>
      <c r="CX15" s="36"/>
      <c r="CY15" s="903"/>
      <c r="CZ15" s="903"/>
      <c r="DA15" s="904"/>
      <c r="DB15" s="905"/>
      <c r="DC15" s="906"/>
      <c r="DD15" s="905"/>
      <c r="DE15" s="906"/>
      <c r="DF15" s="42"/>
      <c r="DG15" s="42"/>
      <c r="DH15" s="881"/>
      <c r="DI15" s="882"/>
      <c r="DJ15" s="907" t="s">
        <v>105</v>
      </c>
      <c r="DK15" s="896">
        <v>10.071428571428573</v>
      </c>
      <c r="DL15" s="908">
        <v>14</v>
      </c>
      <c r="DM15" s="884"/>
      <c r="DN15" s="896">
        <f>AVERAGE(DN9,DN12,DN14)</f>
        <v>1.9666666666666668</v>
      </c>
    </row>
    <row r="16" spans="1:118">
      <c r="A16" s="5812">
        <v>1</v>
      </c>
      <c r="B16" s="5812">
        <v>4</v>
      </c>
      <c r="C16" s="5811" t="s">
        <v>1457</v>
      </c>
      <c r="D16" s="5813">
        <v>15.333333333333334</v>
      </c>
      <c r="E16" s="5812">
        <v>3</v>
      </c>
      <c r="F16" s="1281">
        <f t="shared" si="0"/>
        <v>6.3333333333333339</v>
      </c>
      <c r="G16" s="97">
        <v>9</v>
      </c>
      <c r="I16" s="5047">
        <v>1</v>
      </c>
      <c r="J16" s="5047">
        <v>4</v>
      </c>
      <c r="K16" s="5048" t="s">
        <v>1457</v>
      </c>
      <c r="L16" s="5049">
        <v>15.333333333333334</v>
      </c>
      <c r="M16" s="5047">
        <v>3</v>
      </c>
      <c r="N16" s="1346">
        <f t="shared" si="1"/>
        <v>6.3333333333333339</v>
      </c>
      <c r="O16" s="97">
        <v>9</v>
      </c>
      <c r="Q16" s="4615">
        <v>1</v>
      </c>
      <c r="R16" s="4615">
        <v>4</v>
      </c>
      <c r="S16" s="4602" t="s">
        <v>1457</v>
      </c>
      <c r="T16" s="4603">
        <v>9.5</v>
      </c>
      <c r="U16" s="4604">
        <v>2</v>
      </c>
      <c r="V16" s="1346">
        <f t="shared" si="2"/>
        <v>0.5</v>
      </c>
      <c r="W16" s="95">
        <v>9</v>
      </c>
      <c r="Y16" s="36"/>
      <c r="Z16" s="36"/>
      <c r="AA16" s="393" t="s">
        <v>484</v>
      </c>
      <c r="AB16" s="1361">
        <v>12.4</v>
      </c>
      <c r="AC16" s="4170">
        <v>5</v>
      </c>
      <c r="AD16" s="1675">
        <f>+(AC13*AD13+AC14*AD14+AC15*AD15)/AC16</f>
        <v>3.3980000000000006</v>
      </c>
      <c r="AG16" s="36"/>
      <c r="AH16" s="36"/>
      <c r="AI16" s="36" t="s">
        <v>1456</v>
      </c>
      <c r="AJ16" s="1346">
        <v>10</v>
      </c>
      <c r="AK16" s="95">
        <v>1</v>
      </c>
      <c r="AL16" s="1281">
        <f>AJ16-AM16</f>
        <v>1</v>
      </c>
      <c r="AM16" s="97">
        <v>9</v>
      </c>
      <c r="AN16" s="97"/>
      <c r="AO16" s="4215"/>
      <c r="AP16" s="4215"/>
      <c r="AQ16" s="4215" t="s">
        <v>1456</v>
      </c>
      <c r="AR16" s="4221">
        <v>10</v>
      </c>
      <c r="AS16" s="4221">
        <v>1</v>
      </c>
      <c r="AT16" s="4263">
        <f t="shared" si="6"/>
        <v>1</v>
      </c>
      <c r="AU16" s="4263">
        <v>9</v>
      </c>
      <c r="AW16" s="36"/>
      <c r="AX16" s="36"/>
      <c r="AY16" s="36" t="s">
        <v>1455</v>
      </c>
      <c r="AZ16" s="1345">
        <v>8</v>
      </c>
      <c r="BA16" s="95">
        <v>1</v>
      </c>
      <c r="BB16" s="134">
        <f t="shared" si="7"/>
        <v>-1</v>
      </c>
      <c r="BC16" s="97">
        <v>9</v>
      </c>
      <c r="BD16" s="97"/>
      <c r="BE16" s="51"/>
      <c r="BF16" s="85"/>
      <c r="BG16" s="1689" t="s">
        <v>483</v>
      </c>
      <c r="BH16" s="1690">
        <v>11.75</v>
      </c>
      <c r="BI16" s="1691">
        <v>4</v>
      </c>
      <c r="BJ16" s="800">
        <f>+(BI13*BJ13+BI14*BJ14+BI15*BJ15)/BI16</f>
        <v>2.75</v>
      </c>
      <c r="BL16" s="97"/>
      <c r="BM16" s="97" t="s">
        <v>103</v>
      </c>
      <c r="BN16" s="42" t="s">
        <v>1457</v>
      </c>
      <c r="BO16" s="134">
        <v>9</v>
      </c>
      <c r="BP16" s="97">
        <v>5</v>
      </c>
      <c r="BQ16" s="1306">
        <f t="shared" si="8"/>
        <v>0</v>
      </c>
      <c r="BS16" s="1209"/>
      <c r="BT16" s="1209"/>
      <c r="BU16" s="1305" t="s">
        <v>1456</v>
      </c>
      <c r="BV16" s="1306">
        <v>6</v>
      </c>
      <c r="BW16" s="1307">
        <v>1</v>
      </c>
      <c r="BX16" s="1306">
        <f>BV16-6</f>
        <v>0</v>
      </c>
      <c r="BZ16" s="871"/>
      <c r="CA16" s="871"/>
      <c r="CB16" s="872" t="s">
        <v>120</v>
      </c>
      <c r="CC16" s="873">
        <v>17.2</v>
      </c>
      <c r="CD16" s="874">
        <v>5</v>
      </c>
      <c r="CE16" s="778">
        <f t="shared" si="10"/>
        <v>5.1999999999999993</v>
      </c>
      <c r="CG16" s="614"/>
      <c r="CH16" s="614"/>
      <c r="CI16" s="614"/>
      <c r="CJ16" s="389" t="s">
        <v>120</v>
      </c>
      <c r="CK16" s="391">
        <v>16.999999999999996</v>
      </c>
      <c r="CL16" s="390">
        <v>7</v>
      </c>
      <c r="CM16" s="690">
        <v>3.0550504633038926</v>
      </c>
      <c r="CN16" s="390">
        <f>CK16-12</f>
        <v>4.9999999999999964</v>
      </c>
      <c r="CO16" s="36"/>
      <c r="CP16" s="875" t="s">
        <v>25</v>
      </c>
      <c r="CQ16" s="875" t="s">
        <v>4</v>
      </c>
      <c r="CR16" s="876" t="s">
        <v>119</v>
      </c>
      <c r="CS16" s="877">
        <v>19</v>
      </c>
      <c r="CT16" s="877">
        <f t="shared" si="4"/>
        <v>7</v>
      </c>
      <c r="CU16" s="878">
        <v>2</v>
      </c>
      <c r="CV16" s="879">
        <v>24.5</v>
      </c>
      <c r="CW16" s="880">
        <f t="shared" si="5"/>
        <v>12.5</v>
      </c>
      <c r="CX16" s="36"/>
      <c r="CY16" s="42" t="s">
        <v>25</v>
      </c>
      <c r="CZ16" s="42" t="s">
        <v>4</v>
      </c>
      <c r="DA16" s="42" t="s">
        <v>119</v>
      </c>
      <c r="DB16" s="97">
        <v>4</v>
      </c>
      <c r="DC16" s="134">
        <v>14</v>
      </c>
      <c r="DD16" s="97">
        <v>12</v>
      </c>
      <c r="DE16" s="134">
        <f>+DC16-DD16</f>
        <v>2</v>
      </c>
      <c r="DF16" s="42"/>
      <c r="DG16" s="42"/>
      <c r="DH16" s="881" t="s">
        <v>25</v>
      </c>
      <c r="DI16" s="882" t="s">
        <v>4</v>
      </c>
      <c r="DJ16" s="881" t="s">
        <v>1205</v>
      </c>
      <c r="DK16" s="883">
        <v>23.454545454545457</v>
      </c>
      <c r="DL16" s="882">
        <v>11</v>
      </c>
      <c r="DM16" s="884">
        <v>12</v>
      </c>
      <c r="DN16" s="883">
        <f>DK16-DM16</f>
        <v>11.454545454545457</v>
      </c>
    </row>
    <row r="17" spans="1:118">
      <c r="A17" s="5812">
        <v>1</v>
      </c>
      <c r="B17" s="5812">
        <v>4</v>
      </c>
      <c r="C17" s="5811" t="s">
        <v>1458</v>
      </c>
      <c r="D17" s="5813">
        <v>14.5</v>
      </c>
      <c r="E17" s="5812">
        <v>2</v>
      </c>
      <c r="F17" s="1281">
        <f t="shared" si="0"/>
        <v>5.5</v>
      </c>
      <c r="G17" s="97">
        <v>9</v>
      </c>
      <c r="I17" s="5047">
        <v>1</v>
      </c>
      <c r="J17" s="5047">
        <v>4</v>
      </c>
      <c r="K17" s="5048" t="s">
        <v>1458</v>
      </c>
      <c r="L17" s="5049">
        <v>14.5</v>
      </c>
      <c r="M17" s="5047">
        <v>2</v>
      </c>
      <c r="N17" s="1346">
        <f t="shared" si="1"/>
        <v>5.5</v>
      </c>
      <c r="O17" s="97">
        <v>9</v>
      </c>
      <c r="Q17" s="4615">
        <v>1</v>
      </c>
      <c r="R17" s="4615">
        <v>4</v>
      </c>
      <c r="S17" s="4602" t="s">
        <v>1458</v>
      </c>
      <c r="T17" s="4603">
        <v>9</v>
      </c>
      <c r="U17" s="4604">
        <v>1</v>
      </c>
      <c r="V17" s="1346">
        <f t="shared" si="2"/>
        <v>0</v>
      </c>
      <c r="W17" s="95">
        <v>9</v>
      </c>
      <c r="Y17" s="4177"/>
      <c r="Z17" s="4177"/>
      <c r="AA17" s="4166" t="s">
        <v>105</v>
      </c>
      <c r="AB17" s="4178">
        <v>12.45</v>
      </c>
      <c r="AC17" s="4167">
        <v>11</v>
      </c>
      <c r="AD17" s="4168">
        <f>+(AC10*AD10+AC12*AD12+AC16*AD16)/AC17</f>
        <v>2.0900000000000003</v>
      </c>
      <c r="AE17" s="4179"/>
      <c r="AG17" s="36"/>
      <c r="AH17" s="36"/>
      <c r="AI17" s="36" t="s">
        <v>1457</v>
      </c>
      <c r="AJ17" s="1346">
        <v>10.8</v>
      </c>
      <c r="AK17" s="95">
        <v>5</v>
      </c>
      <c r="AL17" s="1281">
        <f>AJ17-AM17</f>
        <v>1.8000000000000007</v>
      </c>
      <c r="AM17" s="97">
        <v>9</v>
      </c>
      <c r="AN17" s="97"/>
      <c r="AO17" s="4215"/>
      <c r="AP17" s="4215"/>
      <c r="AQ17" s="4215" t="s">
        <v>1457</v>
      </c>
      <c r="AR17" s="4221">
        <v>12</v>
      </c>
      <c r="AS17" s="4221">
        <v>4</v>
      </c>
      <c r="AT17" s="4263">
        <f t="shared" si="6"/>
        <v>3</v>
      </c>
      <c r="AU17" s="4263">
        <v>9</v>
      </c>
      <c r="AW17" s="36"/>
      <c r="AX17" s="36"/>
      <c r="AY17" s="36" t="s">
        <v>1457</v>
      </c>
      <c r="AZ17" s="1345">
        <v>10.199999999999999</v>
      </c>
      <c r="BA17" s="95">
        <v>5</v>
      </c>
      <c r="BB17" s="134">
        <f t="shared" si="7"/>
        <v>1.1999999999999993</v>
      </c>
      <c r="BC17" s="97">
        <v>9</v>
      </c>
      <c r="BD17" s="97"/>
      <c r="BE17" s="51"/>
      <c r="BF17" s="85" t="s">
        <v>21</v>
      </c>
      <c r="BG17" s="51" t="s">
        <v>1456</v>
      </c>
      <c r="BH17" s="837">
        <v>7</v>
      </c>
      <c r="BI17" s="85">
        <v>1</v>
      </c>
      <c r="BJ17" s="1306">
        <f t="shared" si="9"/>
        <v>-2</v>
      </c>
      <c r="BL17" s="97"/>
      <c r="BM17" s="97"/>
      <c r="BN17" s="42" t="s">
        <v>1458</v>
      </c>
      <c r="BO17" s="134">
        <v>9.5</v>
      </c>
      <c r="BP17" s="97">
        <v>2</v>
      </c>
      <c r="BQ17" s="1306">
        <f t="shared" si="8"/>
        <v>0.5</v>
      </c>
      <c r="BS17" s="1209"/>
      <c r="BT17" s="1209"/>
      <c r="BU17" s="1305" t="s">
        <v>1457</v>
      </c>
      <c r="BV17" s="1306">
        <v>9</v>
      </c>
      <c r="BW17" s="1307">
        <v>1</v>
      </c>
      <c r="BX17" s="1306">
        <f>BV17-9</f>
        <v>0</v>
      </c>
      <c r="BZ17" s="871"/>
      <c r="CA17" s="871"/>
      <c r="CB17" s="872" t="s">
        <v>121</v>
      </c>
      <c r="CC17" s="873">
        <v>17.3125</v>
      </c>
      <c r="CD17" s="874">
        <v>16</v>
      </c>
      <c r="CE17" s="778">
        <f t="shared" si="10"/>
        <v>5.3125</v>
      </c>
      <c r="CG17" s="614"/>
      <c r="CH17" s="614"/>
      <c r="CI17" s="614"/>
      <c r="CJ17" s="389" t="s">
        <v>121</v>
      </c>
      <c r="CK17" s="391">
        <v>14.285714285714285</v>
      </c>
      <c r="CL17" s="390">
        <v>7</v>
      </c>
      <c r="CM17" s="690">
        <v>4.7509397566616824</v>
      </c>
      <c r="CN17" s="390">
        <f>CK17-12</f>
        <v>2.2857142857142847</v>
      </c>
      <c r="CO17" s="36"/>
      <c r="CP17" s="875"/>
      <c r="CQ17" s="875"/>
      <c r="CR17" s="876" t="s">
        <v>120</v>
      </c>
      <c r="CS17" s="877">
        <v>16.333333333333332</v>
      </c>
      <c r="CT17" s="877">
        <f t="shared" si="4"/>
        <v>4.3333333333333321</v>
      </c>
      <c r="CU17" s="878">
        <v>6</v>
      </c>
      <c r="CV17" s="879">
        <v>16.333333333333332</v>
      </c>
      <c r="CW17" s="880">
        <f t="shared" si="5"/>
        <v>4.3333333333333321</v>
      </c>
      <c r="CX17" s="36"/>
      <c r="CY17" s="42"/>
      <c r="CZ17" s="42"/>
      <c r="DA17" s="42" t="s">
        <v>120</v>
      </c>
      <c r="DB17" s="97">
        <v>2</v>
      </c>
      <c r="DC17" s="134">
        <v>17.5</v>
      </c>
      <c r="DD17" s="97">
        <v>12</v>
      </c>
      <c r="DE17" s="134">
        <f>+DC17-DD17</f>
        <v>5.5</v>
      </c>
      <c r="DF17" s="42"/>
      <c r="DG17" s="42"/>
      <c r="DH17" s="881"/>
      <c r="DI17" s="882"/>
      <c r="DJ17" s="881" t="s">
        <v>119</v>
      </c>
      <c r="DK17" s="883">
        <v>14</v>
      </c>
      <c r="DL17" s="882">
        <v>1</v>
      </c>
      <c r="DM17" s="884">
        <v>12</v>
      </c>
      <c r="DN17" s="883">
        <f t="shared" ref="DN17:DN31" si="11">DK17-DM17</f>
        <v>2</v>
      </c>
    </row>
    <row r="18" spans="1:118">
      <c r="A18" s="5812"/>
      <c r="B18" s="5812"/>
      <c r="C18" s="135" t="s">
        <v>21</v>
      </c>
      <c r="D18" s="135"/>
      <c r="E18" s="5824">
        <f>SUM(E14:E17)</f>
        <v>7</v>
      </c>
      <c r="F18" s="1675">
        <f>+(E14*F14+E15*F15+E16*F16+E17*F17)/E18</f>
        <v>3.8571428571428572</v>
      </c>
      <c r="G18" s="1"/>
      <c r="I18" s="5047"/>
      <c r="J18" s="5047"/>
      <c r="K18" s="4884" t="s">
        <v>484</v>
      </c>
      <c r="L18" s="5050"/>
      <c r="M18" s="5051">
        <f>SUM(M14:M17)</f>
        <v>8</v>
      </c>
      <c r="N18" s="1675">
        <f>+(M14*N14+M15*N15+M16*N16+M17*N17)/M18</f>
        <v>3</v>
      </c>
      <c r="O18" s="97"/>
      <c r="Q18" s="4615"/>
      <c r="R18" s="4615"/>
      <c r="S18" s="4520" t="s">
        <v>484</v>
      </c>
      <c r="T18" s="4603"/>
      <c r="U18" s="4613">
        <f>SUM(U14:U17)</f>
        <v>5</v>
      </c>
      <c r="V18" s="1675">
        <f>+(U14*V14+U15*V15+U16*V16+U17*V17)/U18</f>
        <v>1</v>
      </c>
      <c r="Y18" s="36" t="s">
        <v>25</v>
      </c>
      <c r="Z18" s="36" t="s">
        <v>4</v>
      </c>
      <c r="AA18" s="36" t="s">
        <v>119</v>
      </c>
      <c r="AB18" s="1346">
        <v>19</v>
      </c>
      <c r="AC18" s="95">
        <v>1</v>
      </c>
      <c r="AD18" s="1281">
        <f>AB18-AE18</f>
        <v>7</v>
      </c>
      <c r="AE18" s="97">
        <v>12</v>
      </c>
      <c r="AG18" s="36"/>
      <c r="AH18" s="36"/>
      <c r="AI18" s="36" t="s">
        <v>1458</v>
      </c>
      <c r="AJ18" s="1346">
        <v>10.33</v>
      </c>
      <c r="AK18" s="95">
        <v>3</v>
      </c>
      <c r="AL18" s="1281">
        <f>AJ18-AM18</f>
        <v>1.33</v>
      </c>
      <c r="AM18" s="97">
        <v>9</v>
      </c>
      <c r="AN18" s="97"/>
      <c r="AO18" s="4215"/>
      <c r="AP18" s="4215"/>
      <c r="AQ18" s="4215" t="s">
        <v>1458</v>
      </c>
      <c r="AR18" s="4221">
        <v>10.33</v>
      </c>
      <c r="AS18" s="4221">
        <v>3</v>
      </c>
      <c r="AT18" s="4263">
        <f t="shared" si="6"/>
        <v>1.33</v>
      </c>
      <c r="AU18" s="4263">
        <v>9</v>
      </c>
      <c r="AW18" s="36"/>
      <c r="AX18" s="36"/>
      <c r="AY18" s="36" t="s">
        <v>1458</v>
      </c>
      <c r="AZ18" s="1345">
        <v>9</v>
      </c>
      <c r="BA18" s="95">
        <v>3</v>
      </c>
      <c r="BB18" s="134">
        <f t="shared" si="7"/>
        <v>0</v>
      </c>
      <c r="BC18" s="97">
        <v>9</v>
      </c>
      <c r="BD18" s="97"/>
      <c r="BE18" s="51"/>
      <c r="BF18" s="85"/>
      <c r="BG18" s="51" t="s">
        <v>1457</v>
      </c>
      <c r="BH18" s="837">
        <v>17</v>
      </c>
      <c r="BI18" s="85">
        <v>1</v>
      </c>
      <c r="BJ18" s="1306">
        <f t="shared" si="9"/>
        <v>8</v>
      </c>
      <c r="BL18" s="97"/>
      <c r="BM18" s="97"/>
      <c r="BN18" s="893" t="s">
        <v>726</v>
      </c>
      <c r="BO18" s="894">
        <v>9.14</v>
      </c>
      <c r="BP18" s="135">
        <v>7</v>
      </c>
      <c r="BQ18" s="800">
        <f>+(BP14*BQ14+BP15*BQ15+BP16*BQ16+BP17*BQ17)/BP18</f>
        <v>0.14285714285714285</v>
      </c>
      <c r="BS18" s="1209"/>
      <c r="BT18" s="1209"/>
      <c r="BU18" s="1308" t="s">
        <v>726</v>
      </c>
      <c r="BV18" s="1309">
        <v>10</v>
      </c>
      <c r="BW18" s="1310">
        <v>5</v>
      </c>
      <c r="BX18" s="800">
        <f>+(BW15*BX15+BW16*BX16+BW17*BX17)/BW18</f>
        <v>0</v>
      </c>
      <c r="BZ18" s="871"/>
      <c r="CA18" s="871"/>
      <c r="CB18" s="872" t="s">
        <v>122</v>
      </c>
      <c r="CC18" s="873">
        <v>15.2</v>
      </c>
      <c r="CD18" s="874">
        <v>5</v>
      </c>
      <c r="CE18" s="778">
        <f t="shared" si="10"/>
        <v>3.1999999999999993</v>
      </c>
      <c r="CG18" s="614"/>
      <c r="CH18" s="614"/>
      <c r="CI18" s="614"/>
      <c r="CJ18" s="389" t="s">
        <v>122</v>
      </c>
      <c r="CK18" s="391">
        <v>20.166666666666668</v>
      </c>
      <c r="CL18" s="390">
        <v>6</v>
      </c>
      <c r="CM18" s="690">
        <v>5.3072277760302198</v>
      </c>
      <c r="CN18" s="390">
        <f>CK18-12</f>
        <v>8.1666666666666679</v>
      </c>
      <c r="CO18" s="36"/>
      <c r="CP18" s="875"/>
      <c r="CQ18" s="875"/>
      <c r="CR18" s="876" t="s">
        <v>121</v>
      </c>
      <c r="CS18" s="877">
        <v>17.333333333333336</v>
      </c>
      <c r="CT18" s="877">
        <f t="shared" si="4"/>
        <v>5.3333333333333357</v>
      </c>
      <c r="CU18" s="878">
        <v>6</v>
      </c>
      <c r="CV18" s="879">
        <v>17.333333333333336</v>
      </c>
      <c r="CW18" s="880">
        <f t="shared" si="5"/>
        <v>5.3333333333333357</v>
      </c>
      <c r="CX18" s="36"/>
      <c r="CY18" s="42"/>
      <c r="CZ18" s="42"/>
      <c r="DA18" s="42" t="s">
        <v>121</v>
      </c>
      <c r="DB18" s="97">
        <v>14</v>
      </c>
      <c r="DC18" s="134">
        <v>19.642857142857139</v>
      </c>
      <c r="DD18" s="97">
        <v>12</v>
      </c>
      <c r="DE18" s="134">
        <f>+DC18-DD18</f>
        <v>7.6428571428571388</v>
      </c>
      <c r="DF18" s="42"/>
      <c r="DG18" s="42"/>
      <c r="DH18" s="881"/>
      <c r="DI18" s="882"/>
      <c r="DJ18" s="881" t="s">
        <v>120</v>
      </c>
      <c r="DK18" s="883">
        <v>16</v>
      </c>
      <c r="DL18" s="882">
        <v>5</v>
      </c>
      <c r="DM18" s="884">
        <v>12</v>
      </c>
      <c r="DN18" s="883">
        <f t="shared" si="11"/>
        <v>4</v>
      </c>
    </row>
    <row r="19" spans="1:118">
      <c r="A19" s="5817"/>
      <c r="B19" s="5817"/>
      <c r="C19" s="5818" t="s">
        <v>70</v>
      </c>
      <c r="D19" s="5818"/>
      <c r="E19" s="5823">
        <f>SUM(E18,E13,E11)</f>
        <v>16</v>
      </c>
      <c r="F19" s="4168">
        <f>+(E11*F11+E13*F13+E18*F18)/E19</f>
        <v>2.6927083333333339</v>
      </c>
      <c r="G19" s="5806"/>
      <c r="I19" s="5055"/>
      <c r="J19" s="5055"/>
      <c r="K19" s="4609" t="s">
        <v>105</v>
      </c>
      <c r="L19" s="5056"/>
      <c r="M19" s="5057">
        <f>SUM(M18,M13,M11)</f>
        <v>21</v>
      </c>
      <c r="N19" s="4168">
        <f>+(M11*N11+M13*N13+M18*N18)/M19</f>
        <v>2.6190476190476191</v>
      </c>
      <c r="O19" s="4381"/>
      <c r="Q19" s="4616"/>
      <c r="R19" s="4616"/>
      <c r="S19" s="4609" t="s">
        <v>105</v>
      </c>
      <c r="T19" s="4610"/>
      <c r="U19" s="4614">
        <f>SUM(U18,U13,U10)</f>
        <v>13</v>
      </c>
      <c r="V19" s="4168">
        <f>+(U10*V10+U13*V13+U18*V18)/U19</f>
        <v>0.5</v>
      </c>
      <c r="W19" s="4612"/>
      <c r="Y19" s="36"/>
      <c r="Z19" s="36"/>
      <c r="AA19" s="36" t="s">
        <v>120</v>
      </c>
      <c r="AB19" s="1346">
        <v>20.67</v>
      </c>
      <c r="AC19" s="95">
        <v>3</v>
      </c>
      <c r="AD19" s="1281">
        <f t="shared" ref="AD19:AD24" si="12">AB19-AE19</f>
        <v>8.6700000000000017</v>
      </c>
      <c r="AE19" s="97">
        <v>12</v>
      </c>
      <c r="AG19" s="36"/>
      <c r="AH19" s="36"/>
      <c r="AI19" s="393" t="s">
        <v>484</v>
      </c>
      <c r="AJ19" s="1361">
        <v>10.27</v>
      </c>
      <c r="AK19" s="3794">
        <v>11</v>
      </c>
      <c r="AL19" s="1675">
        <f>+(AK15*AL15+AK16*AL16+AK17*AL17+AK18*AL18)/AK19</f>
        <v>1.2718181818181822</v>
      </c>
      <c r="AM19" s="97"/>
      <c r="AN19" s="97"/>
      <c r="AO19" s="4215"/>
      <c r="AP19" s="4215"/>
      <c r="AQ19" s="4222" t="s">
        <v>484</v>
      </c>
      <c r="AR19" s="4223">
        <v>10.7</v>
      </c>
      <c r="AS19" s="4223">
        <v>10</v>
      </c>
      <c r="AT19" s="4437">
        <f>+(AS15*AT15+AS16*AT16+AS17*AT17+AS18*AT18)/AS19</f>
        <v>1.6990000000000003</v>
      </c>
      <c r="AU19" s="4263"/>
      <c r="AW19" s="36"/>
      <c r="AX19" s="36"/>
      <c r="AY19" s="393" t="s">
        <v>484</v>
      </c>
      <c r="AZ19" s="1360">
        <v>9.56</v>
      </c>
      <c r="BA19" s="2041">
        <v>9</v>
      </c>
      <c r="BB19" s="800">
        <f>+(BA16*BB16+BA17*BB17+BA18*BB18)/BA19</f>
        <v>0.55555555555555514</v>
      </c>
      <c r="BC19" s="97"/>
      <c r="BD19" s="97"/>
      <c r="BE19" s="51"/>
      <c r="BF19" s="85"/>
      <c r="BG19" s="51" t="s">
        <v>1458</v>
      </c>
      <c r="BH19" s="837">
        <v>10.33</v>
      </c>
      <c r="BI19" s="85">
        <v>3</v>
      </c>
      <c r="BJ19" s="1306">
        <f t="shared" si="9"/>
        <v>1.33</v>
      </c>
      <c r="BL19" s="1501"/>
      <c r="BM19" s="1501"/>
      <c r="BN19" s="1498" t="s">
        <v>105</v>
      </c>
      <c r="BO19" s="1499">
        <v>10.84</v>
      </c>
      <c r="BP19" s="1500">
        <v>25</v>
      </c>
      <c r="BQ19" s="800">
        <f>+(BP9*BQ9+BP13*BQ13+BP18*BQ18)/BP19</f>
        <v>2.6787999999999998</v>
      </c>
      <c r="BS19" s="1209"/>
      <c r="BT19" s="1209"/>
      <c r="BU19" s="1308" t="s">
        <v>105</v>
      </c>
      <c r="BV19" s="1309">
        <v>11</v>
      </c>
      <c r="BW19" s="1310">
        <v>16</v>
      </c>
      <c r="BX19" s="800">
        <f>+(BW9*BX9+BW13*BX13+BW18*BX18)/BW19</f>
        <v>2.25</v>
      </c>
      <c r="BZ19" s="871"/>
      <c r="CA19" s="871"/>
      <c r="CB19" s="872" t="s">
        <v>123</v>
      </c>
      <c r="CC19" s="873">
        <v>14.25</v>
      </c>
      <c r="CD19" s="874">
        <v>4</v>
      </c>
      <c r="CE19" s="778">
        <f t="shared" si="10"/>
        <v>2.25</v>
      </c>
      <c r="CG19" s="614"/>
      <c r="CH19" s="614"/>
      <c r="CI19" s="614"/>
      <c r="CJ19" s="389" t="s">
        <v>123</v>
      </c>
      <c r="CK19" s="391">
        <v>9</v>
      </c>
      <c r="CL19" s="390">
        <v>1</v>
      </c>
      <c r="CM19" s="614"/>
      <c r="CN19" s="390">
        <f>CK19-12</f>
        <v>-3</v>
      </c>
      <c r="CO19" s="36"/>
      <c r="CP19" s="875"/>
      <c r="CQ19" s="875"/>
      <c r="CR19" s="876" t="s">
        <v>122</v>
      </c>
      <c r="CS19" s="877">
        <v>20.333333333333332</v>
      </c>
      <c r="CT19" s="877">
        <f t="shared" si="4"/>
        <v>8.3333333333333321</v>
      </c>
      <c r="CU19" s="878">
        <v>6</v>
      </c>
      <c r="CV19" s="879">
        <v>22.833333333333332</v>
      </c>
      <c r="CW19" s="880">
        <f t="shared" si="5"/>
        <v>10.833333333333332</v>
      </c>
      <c r="CX19" s="36"/>
      <c r="CY19" s="42"/>
      <c r="CZ19" s="42"/>
      <c r="DA19" s="42" t="s">
        <v>122</v>
      </c>
      <c r="DB19" s="97">
        <v>3</v>
      </c>
      <c r="DC19" s="134">
        <v>10.333333333333334</v>
      </c>
      <c r="DD19" s="97">
        <v>12</v>
      </c>
      <c r="DE19" s="134">
        <f>+DC19-DD19</f>
        <v>-1.6666666666666661</v>
      </c>
      <c r="DF19" s="895">
        <f>AVERAGE(DE16:DE19)</f>
        <v>3.3690476190476182</v>
      </c>
      <c r="DG19" s="42"/>
      <c r="DH19" s="881"/>
      <c r="DI19" s="882"/>
      <c r="DJ19" s="881" t="s">
        <v>121</v>
      </c>
      <c r="DK19" s="883">
        <v>17.25</v>
      </c>
      <c r="DL19" s="882">
        <v>8</v>
      </c>
      <c r="DM19" s="884">
        <v>12</v>
      </c>
      <c r="DN19" s="883">
        <f t="shared" si="11"/>
        <v>5.25</v>
      </c>
    </row>
    <row r="20" spans="1:118">
      <c r="A20" s="5814">
        <v>2</v>
      </c>
      <c r="B20" s="5814">
        <v>1</v>
      </c>
      <c r="C20" s="5815" t="s">
        <v>388</v>
      </c>
      <c r="D20" s="5816">
        <v>18.5</v>
      </c>
      <c r="E20" s="5814">
        <v>2</v>
      </c>
      <c r="F20" s="1281">
        <f t="shared" si="0"/>
        <v>6.5</v>
      </c>
      <c r="G20" s="97">
        <v>12</v>
      </c>
      <c r="I20" s="5052">
        <v>2</v>
      </c>
      <c r="J20" s="5052">
        <v>1</v>
      </c>
      <c r="K20" s="5053" t="s">
        <v>388</v>
      </c>
      <c r="L20" s="5054">
        <v>18.5</v>
      </c>
      <c r="M20" s="5052">
        <v>2</v>
      </c>
      <c r="N20" s="1346">
        <f t="shared" si="1"/>
        <v>6.5</v>
      </c>
      <c r="O20" s="97">
        <v>12</v>
      </c>
      <c r="Q20" s="4617">
        <v>2</v>
      </c>
      <c r="R20" s="4617">
        <v>1</v>
      </c>
      <c r="S20" s="4606" t="s">
        <v>681</v>
      </c>
      <c r="T20" s="4607">
        <v>19</v>
      </c>
      <c r="U20" s="4608">
        <v>2</v>
      </c>
      <c r="V20" s="1346">
        <f t="shared" si="2"/>
        <v>7</v>
      </c>
      <c r="W20" s="95">
        <v>12</v>
      </c>
      <c r="Y20" s="36"/>
      <c r="Z20" s="36"/>
      <c r="AA20" s="36" t="s">
        <v>121</v>
      </c>
      <c r="AB20" s="1346">
        <v>20</v>
      </c>
      <c r="AC20" s="95">
        <v>2</v>
      </c>
      <c r="AD20" s="1281">
        <f t="shared" si="12"/>
        <v>8</v>
      </c>
      <c r="AE20" s="97">
        <v>12</v>
      </c>
      <c r="AG20" s="3747"/>
      <c r="AH20" s="3747"/>
      <c r="AI20" s="3748" t="s">
        <v>105</v>
      </c>
      <c r="AJ20" s="3865">
        <v>11.56</v>
      </c>
      <c r="AK20" s="3746">
        <v>25</v>
      </c>
      <c r="AL20" s="1676">
        <f>+(AK11*AL11+AK14*AL14+AK19*AL19)/AK20</f>
        <v>1.36</v>
      </c>
      <c r="AM20" s="3749"/>
      <c r="AN20" s="97"/>
      <c r="AO20" s="4438"/>
      <c r="AP20" s="4438"/>
      <c r="AQ20" s="4439" t="s">
        <v>105</v>
      </c>
      <c r="AR20" s="4440">
        <v>11.65</v>
      </c>
      <c r="AS20" s="4440">
        <v>20</v>
      </c>
      <c r="AT20" s="4441">
        <f>+(AS11*AT11+AS14*AT14+AS19*AT19)/AS20</f>
        <v>1.6005000000000003</v>
      </c>
      <c r="AU20" s="4442"/>
      <c r="AW20" s="2022"/>
      <c r="AX20" s="2022"/>
      <c r="AY20" s="2023" t="s">
        <v>105</v>
      </c>
      <c r="AZ20" s="2024">
        <v>10.89</v>
      </c>
      <c r="BA20" s="2025">
        <v>19</v>
      </c>
      <c r="BB20" s="1502">
        <f>+(BA12*BB12+BA15*BB15+BA19*BB19)/BA20</f>
        <v>0.79052631578947352</v>
      </c>
      <c r="BC20" s="97"/>
      <c r="BD20" s="97"/>
      <c r="BE20" s="51"/>
      <c r="BF20" s="85"/>
      <c r="BG20" s="1689" t="s">
        <v>484</v>
      </c>
      <c r="BH20" s="1690">
        <v>11</v>
      </c>
      <c r="BI20" s="1691">
        <v>5</v>
      </c>
      <c r="BJ20" s="800">
        <f>+(BI17*BJ17+BI18*BJ18+BI19*BJ19)/BI20</f>
        <v>1.998</v>
      </c>
      <c r="BL20" s="97" t="s">
        <v>25</v>
      </c>
      <c r="BM20" s="97" t="s">
        <v>4</v>
      </c>
      <c r="BN20" s="42" t="s">
        <v>119</v>
      </c>
      <c r="BO20" s="134">
        <v>17</v>
      </c>
      <c r="BP20" s="97">
        <v>3</v>
      </c>
      <c r="BQ20" s="1313">
        <f t="shared" ref="BQ20:BQ25" si="13">BO20-12</f>
        <v>5</v>
      </c>
      <c r="BS20" s="1311" t="s">
        <v>25</v>
      </c>
      <c r="BT20" s="1311" t="s">
        <v>4</v>
      </c>
      <c r="BU20" s="1312" t="s">
        <v>119</v>
      </c>
      <c r="BV20" s="1313">
        <v>20</v>
      </c>
      <c r="BW20" s="1314">
        <v>2</v>
      </c>
      <c r="BX20" s="1313">
        <f>BV20-12</f>
        <v>8</v>
      </c>
      <c r="BZ20" s="871"/>
      <c r="CA20" s="871"/>
      <c r="CB20" s="885" t="s">
        <v>482</v>
      </c>
      <c r="CC20" s="886">
        <v>17.324324324324323</v>
      </c>
      <c r="CD20" s="887">
        <v>37</v>
      </c>
      <c r="CE20" s="800">
        <f t="shared" si="10"/>
        <v>5.3243243243243228</v>
      </c>
      <c r="CG20" s="614"/>
      <c r="CH20" s="614"/>
      <c r="CI20" s="614"/>
      <c r="CJ20" s="709" t="s">
        <v>482</v>
      </c>
      <c r="CK20" s="394">
        <v>16.458333333333332</v>
      </c>
      <c r="CL20" s="395">
        <v>24</v>
      </c>
      <c r="CM20" s="710">
        <v>4.7179506113369278</v>
      </c>
      <c r="CN20" s="888">
        <f>+(CL15*CN15+CL16*CN16+CL17*CN17+CL18*CN18+CL19*CN19)/CL20</f>
        <v>4.4583333333333321</v>
      </c>
      <c r="CO20" s="36"/>
      <c r="CP20" s="875"/>
      <c r="CQ20" s="875"/>
      <c r="CR20" s="876" t="s">
        <v>123</v>
      </c>
      <c r="CS20" s="877">
        <v>12</v>
      </c>
      <c r="CT20" s="877">
        <f t="shared" si="4"/>
        <v>0</v>
      </c>
      <c r="CU20" s="878">
        <v>2</v>
      </c>
      <c r="CV20" s="879">
        <v>12</v>
      </c>
      <c r="CW20" s="880">
        <f t="shared" si="5"/>
        <v>0</v>
      </c>
      <c r="CX20" s="36"/>
      <c r="CY20" s="42"/>
      <c r="CZ20" s="42"/>
      <c r="DA20" s="881" t="s">
        <v>123</v>
      </c>
      <c r="DB20" s="97"/>
      <c r="DC20" s="134"/>
      <c r="DD20" s="97">
        <v>12</v>
      </c>
      <c r="DE20" s="134"/>
      <c r="DF20" s="42"/>
      <c r="DG20" s="42"/>
      <c r="DH20" s="881"/>
      <c r="DI20" s="882"/>
      <c r="DJ20" s="881" t="s">
        <v>122</v>
      </c>
      <c r="DK20" s="883">
        <v>16.875</v>
      </c>
      <c r="DL20" s="882">
        <v>8</v>
      </c>
      <c r="DM20" s="884">
        <v>12</v>
      </c>
      <c r="DN20" s="883">
        <f t="shared" si="11"/>
        <v>4.875</v>
      </c>
    </row>
    <row r="21" spans="1:118">
      <c r="A21" s="5812">
        <v>2</v>
      </c>
      <c r="B21" s="5812">
        <v>1</v>
      </c>
      <c r="C21" s="5811" t="s">
        <v>681</v>
      </c>
      <c r="D21" s="5813">
        <v>15</v>
      </c>
      <c r="E21" s="5812">
        <v>3</v>
      </c>
      <c r="F21" s="1281">
        <f t="shared" si="0"/>
        <v>3</v>
      </c>
      <c r="G21" s="97">
        <v>12</v>
      </c>
      <c r="I21" s="5047">
        <v>2</v>
      </c>
      <c r="J21" s="5047">
        <v>1</v>
      </c>
      <c r="K21" s="5048" t="s">
        <v>681</v>
      </c>
      <c r="L21" s="5049">
        <v>15</v>
      </c>
      <c r="M21" s="5047">
        <v>3</v>
      </c>
      <c r="N21" s="1346">
        <f t="shared" si="1"/>
        <v>3</v>
      </c>
      <c r="O21" s="97">
        <v>12</v>
      </c>
      <c r="Q21" s="4615">
        <v>2</v>
      </c>
      <c r="R21" s="4615">
        <v>1</v>
      </c>
      <c r="S21" s="4602" t="s">
        <v>119</v>
      </c>
      <c r="T21" s="4603">
        <v>18</v>
      </c>
      <c r="U21" s="4604">
        <v>2</v>
      </c>
      <c r="V21" s="1346">
        <f t="shared" si="2"/>
        <v>6</v>
      </c>
      <c r="W21" s="95">
        <v>12</v>
      </c>
      <c r="Y21" s="36"/>
      <c r="Z21" s="36"/>
      <c r="AA21" s="36" t="s">
        <v>122</v>
      </c>
      <c r="AB21" s="1346">
        <v>16.8</v>
      </c>
      <c r="AC21" s="95">
        <v>5</v>
      </c>
      <c r="AD21" s="1281">
        <f t="shared" si="12"/>
        <v>4.8000000000000007</v>
      </c>
      <c r="AE21" s="97">
        <v>12</v>
      </c>
      <c r="AG21" s="36" t="s">
        <v>25</v>
      </c>
      <c r="AH21" s="36" t="s">
        <v>4</v>
      </c>
      <c r="AI21" s="36" t="s">
        <v>119</v>
      </c>
      <c r="AJ21" s="1346">
        <v>15.8</v>
      </c>
      <c r="AK21" s="95">
        <v>5</v>
      </c>
      <c r="AL21" s="1281">
        <f>AJ21-AM21</f>
        <v>3.8000000000000007</v>
      </c>
      <c r="AM21" s="97">
        <v>12</v>
      </c>
      <c r="AN21" s="97"/>
      <c r="AO21" s="4215" t="s">
        <v>25</v>
      </c>
      <c r="AP21" s="4215" t="s">
        <v>4</v>
      </c>
      <c r="AQ21" s="4215" t="s">
        <v>119</v>
      </c>
      <c r="AR21" s="4221">
        <v>15</v>
      </c>
      <c r="AS21" s="4221">
        <v>4</v>
      </c>
      <c r="AT21" s="4263">
        <f>AR21-AU21</f>
        <v>3</v>
      </c>
      <c r="AU21" s="4263">
        <v>12</v>
      </c>
      <c r="AW21" s="36" t="s">
        <v>25</v>
      </c>
      <c r="AX21" s="36" t="s">
        <v>4</v>
      </c>
      <c r="AY21" s="36" t="s">
        <v>119</v>
      </c>
      <c r="AZ21" s="1345">
        <v>13.25</v>
      </c>
      <c r="BA21" s="95">
        <v>4</v>
      </c>
      <c r="BB21" s="134">
        <f t="shared" si="7"/>
        <v>1.25</v>
      </c>
      <c r="BC21" s="97">
        <v>12</v>
      </c>
      <c r="BD21" s="97"/>
      <c r="BE21" s="1692"/>
      <c r="BF21" s="1688"/>
      <c r="BG21" s="1693" t="s">
        <v>105</v>
      </c>
      <c r="BH21" s="1694">
        <v>11.21</v>
      </c>
      <c r="BI21" s="1695">
        <v>19</v>
      </c>
      <c r="BJ21" s="1502">
        <f>+(BI12*BJ12+BI16*BJ16+BI20*BJ20)/BI21</f>
        <v>1.8942105263157896</v>
      </c>
      <c r="BL21" s="97"/>
      <c r="BM21" s="97"/>
      <c r="BN21" s="42" t="s">
        <v>120</v>
      </c>
      <c r="BO21" s="134">
        <v>15.67</v>
      </c>
      <c r="BP21" s="97">
        <v>9</v>
      </c>
      <c r="BQ21" s="1306">
        <f t="shared" si="13"/>
        <v>3.67</v>
      </c>
      <c r="BS21" s="1209"/>
      <c r="BT21" s="1209"/>
      <c r="BU21" s="1305" t="s">
        <v>120</v>
      </c>
      <c r="BV21" s="1306">
        <v>18</v>
      </c>
      <c r="BW21" s="1307">
        <v>3</v>
      </c>
      <c r="BX21" s="1306">
        <f>BV21-12</f>
        <v>6</v>
      </c>
      <c r="BZ21" s="871"/>
      <c r="CA21" s="871" t="s">
        <v>16</v>
      </c>
      <c r="CB21" s="872" t="s">
        <v>106</v>
      </c>
      <c r="CC21" s="873">
        <v>15.166666666666668</v>
      </c>
      <c r="CD21" s="874">
        <v>12</v>
      </c>
      <c r="CE21" s="778">
        <f t="shared" si="10"/>
        <v>3.1666666666666679</v>
      </c>
      <c r="CG21" s="614"/>
      <c r="CH21" s="614"/>
      <c r="CI21" s="614" t="s">
        <v>16</v>
      </c>
      <c r="CJ21" s="389" t="s">
        <v>106</v>
      </c>
      <c r="CK21" s="391">
        <v>12.777777777777779</v>
      </c>
      <c r="CL21" s="390">
        <v>9</v>
      </c>
      <c r="CM21" s="690">
        <v>2.8625940062196116</v>
      </c>
      <c r="CN21" s="390">
        <f>CK21-12</f>
        <v>0.77777777777777857</v>
      </c>
      <c r="CO21" s="36"/>
      <c r="CP21" s="875"/>
      <c r="CQ21" s="875"/>
      <c r="CR21" s="889" t="s">
        <v>482</v>
      </c>
      <c r="CS21" s="888">
        <v>17.54545454545455</v>
      </c>
      <c r="CT21" s="888">
        <f>+(CU16*CT16+CU17*CT17+CU18*CT18+CU19*CT19+CU20*CT20)/CU21</f>
        <v>5.5454545454545459</v>
      </c>
      <c r="CU21" s="890">
        <v>22</v>
      </c>
      <c r="CV21" s="891">
        <v>18.72727272727273</v>
      </c>
      <c r="CW21" s="892">
        <f>+(CU16*CW16+CU17*CW17+CU18*CW18+CU19*CW19+CU20*CW20)/CU21</f>
        <v>6.7272727272727275</v>
      </c>
      <c r="CX21" s="36"/>
      <c r="CY21" s="42"/>
      <c r="CZ21" s="42"/>
      <c r="DA21" s="893" t="s">
        <v>15</v>
      </c>
      <c r="DB21" s="135">
        <v>23</v>
      </c>
      <c r="DC21" s="894">
        <v>17.260869565217394</v>
      </c>
      <c r="DD21" s="135"/>
      <c r="DE21" s="894">
        <f>+(DB16*DE16+DB17*DE17+DB18*DE18+DB19*DE19)/DB21</f>
        <v>5.2608695652173889</v>
      </c>
      <c r="DF21" s="42"/>
      <c r="DG21" s="42"/>
      <c r="DH21" s="881"/>
      <c r="DI21" s="882"/>
      <c r="DJ21" s="881" t="s">
        <v>123</v>
      </c>
      <c r="DK21" s="883">
        <v>14.333333333333334</v>
      </c>
      <c r="DL21" s="882">
        <v>3</v>
      </c>
      <c r="DM21" s="884">
        <v>12</v>
      </c>
      <c r="DN21" s="883">
        <f t="shared" si="11"/>
        <v>2.3333333333333339</v>
      </c>
    </row>
    <row r="22" spans="1:118">
      <c r="A22" s="5812">
        <v>2</v>
      </c>
      <c r="B22" s="5812">
        <v>1</v>
      </c>
      <c r="C22" s="5811" t="s">
        <v>119</v>
      </c>
      <c r="D22" s="5813">
        <v>17</v>
      </c>
      <c r="E22" s="5812">
        <v>1</v>
      </c>
      <c r="F22" s="1281">
        <f t="shared" si="0"/>
        <v>5</v>
      </c>
      <c r="G22" s="97">
        <v>12</v>
      </c>
      <c r="I22" s="5047">
        <v>2</v>
      </c>
      <c r="J22" s="5047">
        <v>1</v>
      </c>
      <c r="K22" s="5048" t="s">
        <v>122</v>
      </c>
      <c r="L22" s="5049">
        <v>18.5</v>
      </c>
      <c r="M22" s="5047">
        <v>2</v>
      </c>
      <c r="N22" s="1346">
        <f t="shared" si="1"/>
        <v>6.5</v>
      </c>
      <c r="O22" s="97">
        <v>12</v>
      </c>
      <c r="Q22" s="4615">
        <v>2</v>
      </c>
      <c r="R22" s="4615">
        <v>1</v>
      </c>
      <c r="S22" s="4602" t="s">
        <v>123</v>
      </c>
      <c r="T22" s="4603">
        <v>23</v>
      </c>
      <c r="U22" s="4604">
        <v>1</v>
      </c>
      <c r="V22" s="1346">
        <f t="shared" si="2"/>
        <v>11</v>
      </c>
      <c r="W22" s="95">
        <v>12</v>
      </c>
      <c r="Y22" s="36"/>
      <c r="Z22" s="36"/>
      <c r="AA22" s="36" t="s">
        <v>123</v>
      </c>
      <c r="AB22" s="1346">
        <v>23</v>
      </c>
      <c r="AC22" s="95">
        <v>1</v>
      </c>
      <c r="AD22" s="1281">
        <f t="shared" si="12"/>
        <v>11</v>
      </c>
      <c r="AE22" s="97">
        <v>12</v>
      </c>
      <c r="AG22" s="36"/>
      <c r="AH22" s="36"/>
      <c r="AI22" s="36" t="s">
        <v>120</v>
      </c>
      <c r="AJ22" s="1346">
        <v>17.29</v>
      </c>
      <c r="AK22" s="95">
        <v>7</v>
      </c>
      <c r="AL22" s="1281">
        <f t="shared" ref="AL22:AL27" si="14">AJ22-AM22</f>
        <v>5.2899999999999991</v>
      </c>
      <c r="AM22" s="97">
        <v>12</v>
      </c>
      <c r="AN22" s="97"/>
      <c r="AO22" s="4215"/>
      <c r="AP22" s="4215"/>
      <c r="AQ22" s="4215" t="s">
        <v>120</v>
      </c>
      <c r="AR22" s="4221">
        <v>14.75</v>
      </c>
      <c r="AS22" s="4221">
        <v>4</v>
      </c>
      <c r="AT22" s="4263">
        <f t="shared" ref="AT22:AT37" si="15">AR22-AU22</f>
        <v>2.75</v>
      </c>
      <c r="AU22" s="4263">
        <v>12</v>
      </c>
      <c r="AW22" s="36"/>
      <c r="AX22" s="36"/>
      <c r="AY22" s="36" t="s">
        <v>120</v>
      </c>
      <c r="AZ22" s="1345">
        <v>15.89</v>
      </c>
      <c r="BA22" s="95">
        <v>9</v>
      </c>
      <c r="BB22" s="134">
        <f t="shared" si="7"/>
        <v>3.8900000000000006</v>
      </c>
      <c r="BC22" s="97">
        <v>12</v>
      </c>
      <c r="BD22" s="97"/>
      <c r="BE22" s="51" t="s">
        <v>25</v>
      </c>
      <c r="BF22" s="85" t="s">
        <v>4</v>
      </c>
      <c r="BG22" s="51" t="s">
        <v>120</v>
      </c>
      <c r="BH22" s="837">
        <v>18.670000000000002</v>
      </c>
      <c r="BI22" s="85">
        <v>6</v>
      </c>
      <c r="BJ22" s="1306">
        <f>BH22-12</f>
        <v>6.6700000000000017</v>
      </c>
      <c r="BL22" s="97"/>
      <c r="BM22" s="97"/>
      <c r="BN22" s="42" t="s">
        <v>121</v>
      </c>
      <c r="BO22" s="134">
        <v>15.5</v>
      </c>
      <c r="BP22" s="97">
        <v>10</v>
      </c>
      <c r="BQ22" s="1306">
        <f t="shared" si="13"/>
        <v>3.5</v>
      </c>
      <c r="BS22" s="1209"/>
      <c r="BT22" s="1209"/>
      <c r="BU22" s="1305" t="s">
        <v>121</v>
      </c>
      <c r="BV22" s="1306">
        <v>18</v>
      </c>
      <c r="BW22" s="1307">
        <v>12</v>
      </c>
      <c r="BX22" s="1306">
        <f>BV22-12</f>
        <v>6</v>
      </c>
      <c r="BZ22" s="871"/>
      <c r="CA22" s="871"/>
      <c r="CB22" s="872" t="s">
        <v>124</v>
      </c>
      <c r="CC22" s="873">
        <v>13</v>
      </c>
      <c r="CD22" s="874">
        <v>26</v>
      </c>
      <c r="CE22" s="778">
        <f t="shared" ref="CE22:CE40" si="16">CC22-12</f>
        <v>1</v>
      </c>
      <c r="CG22" s="614"/>
      <c r="CH22" s="614"/>
      <c r="CI22" s="614"/>
      <c r="CJ22" s="389" t="s">
        <v>124</v>
      </c>
      <c r="CK22" s="391">
        <v>12.727272727272728</v>
      </c>
      <c r="CL22" s="390">
        <v>11</v>
      </c>
      <c r="CM22" s="690">
        <v>1.6180796699117808</v>
      </c>
      <c r="CN22" s="390">
        <f>CK22-12</f>
        <v>0.7272727272727284</v>
      </c>
      <c r="CO22" s="36"/>
      <c r="CP22" s="875"/>
      <c r="CQ22" s="875"/>
      <c r="CR22" s="889"/>
      <c r="CS22" s="888"/>
      <c r="CT22" s="888"/>
      <c r="CU22" s="890"/>
      <c r="CV22" s="891"/>
      <c r="CW22" s="892"/>
      <c r="CX22" s="36"/>
      <c r="CY22" s="42"/>
      <c r="CZ22" s="42"/>
      <c r="DA22" s="893"/>
      <c r="DB22" s="135"/>
      <c r="DC22" s="894"/>
      <c r="DD22" s="135"/>
      <c r="DE22" s="894"/>
      <c r="DF22" s="42"/>
      <c r="DG22" s="42"/>
      <c r="DH22" s="881"/>
      <c r="DI22" s="882"/>
      <c r="DJ22" s="882" t="s">
        <v>15</v>
      </c>
      <c r="DK22" s="883">
        <v>18.555555555555557</v>
      </c>
      <c r="DL22" s="882">
        <v>36</v>
      </c>
      <c r="DM22" s="884"/>
      <c r="DN22" s="896">
        <f>AVERAGE(DN16:DN21)</f>
        <v>4.9854797979797985</v>
      </c>
    </row>
    <row r="23" spans="1:118">
      <c r="A23" s="5812">
        <v>2</v>
      </c>
      <c r="B23" s="5812">
        <v>1</v>
      </c>
      <c r="C23" s="5811" t="s">
        <v>122</v>
      </c>
      <c r="D23" s="5813">
        <v>18.5</v>
      </c>
      <c r="E23" s="5812">
        <v>2</v>
      </c>
      <c r="F23" s="1281">
        <f t="shared" si="0"/>
        <v>6.5</v>
      </c>
      <c r="G23" s="97">
        <v>12</v>
      </c>
      <c r="I23" s="5047">
        <v>2</v>
      </c>
      <c r="J23" s="5047">
        <v>1</v>
      </c>
      <c r="K23" s="5048" t="s">
        <v>120</v>
      </c>
      <c r="L23" s="5049">
        <v>16.166666666666664</v>
      </c>
      <c r="M23" s="5047">
        <v>4</v>
      </c>
      <c r="N23" s="1346">
        <f t="shared" si="1"/>
        <v>4.1666666666666643</v>
      </c>
      <c r="O23" s="97">
        <v>12</v>
      </c>
      <c r="Q23" s="4615">
        <v>2</v>
      </c>
      <c r="R23" s="4615">
        <v>1</v>
      </c>
      <c r="S23" s="4602" t="s">
        <v>122</v>
      </c>
      <c r="T23" s="4603">
        <v>16.8</v>
      </c>
      <c r="U23" s="4604">
        <v>5</v>
      </c>
      <c r="V23" s="1346">
        <f t="shared" si="2"/>
        <v>4.8000000000000007</v>
      </c>
      <c r="W23" s="95">
        <v>12</v>
      </c>
      <c r="Y23" s="36"/>
      <c r="Z23" s="36"/>
      <c r="AA23" s="36" t="s">
        <v>388</v>
      </c>
      <c r="AB23" s="1346">
        <v>12</v>
      </c>
      <c r="AC23" s="95">
        <v>2</v>
      </c>
      <c r="AD23" s="1281">
        <f t="shared" si="12"/>
        <v>0</v>
      </c>
      <c r="AE23" s="97">
        <v>12</v>
      </c>
      <c r="AG23" s="36"/>
      <c r="AH23" s="36"/>
      <c r="AI23" s="36" t="s">
        <v>121</v>
      </c>
      <c r="AJ23" s="1346">
        <v>18.559999999999999</v>
      </c>
      <c r="AK23" s="95">
        <v>9</v>
      </c>
      <c r="AL23" s="1281">
        <f t="shared" si="14"/>
        <v>6.5599999999999987</v>
      </c>
      <c r="AM23" s="97">
        <v>12</v>
      </c>
      <c r="AN23" s="97"/>
      <c r="AO23" s="4215"/>
      <c r="AP23" s="4215"/>
      <c r="AQ23" s="4215" t="s">
        <v>121</v>
      </c>
      <c r="AR23" s="4221">
        <v>18.13</v>
      </c>
      <c r="AS23" s="4221">
        <v>8</v>
      </c>
      <c r="AT23" s="4263">
        <f t="shared" si="15"/>
        <v>6.129999999999999</v>
      </c>
      <c r="AU23" s="4263">
        <v>12</v>
      </c>
      <c r="AW23" s="36"/>
      <c r="AX23" s="36"/>
      <c r="AY23" s="36" t="s">
        <v>121</v>
      </c>
      <c r="AZ23" s="1345">
        <v>18.13</v>
      </c>
      <c r="BA23" s="95">
        <v>16</v>
      </c>
      <c r="BB23" s="134">
        <f t="shared" si="7"/>
        <v>6.129999999999999</v>
      </c>
      <c r="BC23" s="97">
        <v>12</v>
      </c>
      <c r="BD23" s="97"/>
      <c r="BE23" s="51"/>
      <c r="BF23" s="85"/>
      <c r="BG23" s="51" t="s">
        <v>121</v>
      </c>
      <c r="BH23" s="837">
        <v>16.399999999999999</v>
      </c>
      <c r="BI23" s="85">
        <v>15</v>
      </c>
      <c r="BJ23" s="1306">
        <f>BH23-12</f>
        <v>4.3999999999999986</v>
      </c>
      <c r="BL23" s="97"/>
      <c r="BM23" s="97"/>
      <c r="BN23" s="42" t="s">
        <v>122</v>
      </c>
      <c r="BO23" s="134">
        <v>17.440000000000001</v>
      </c>
      <c r="BP23" s="97">
        <v>9</v>
      </c>
      <c r="BQ23" s="1306">
        <f t="shared" si="13"/>
        <v>5.4400000000000013</v>
      </c>
      <c r="BS23" s="1209"/>
      <c r="BT23" s="1209"/>
      <c r="BU23" s="1305" t="s">
        <v>122</v>
      </c>
      <c r="BV23" s="1306">
        <v>14.333333333333334</v>
      </c>
      <c r="BW23" s="1307">
        <v>3</v>
      </c>
      <c r="BX23" s="1306">
        <f>BV23-12</f>
        <v>2.3333333333333339</v>
      </c>
      <c r="BZ23" s="871"/>
      <c r="CA23" s="871"/>
      <c r="CB23" s="872" t="s">
        <v>125</v>
      </c>
      <c r="CC23" s="873">
        <v>10.96</v>
      </c>
      <c r="CD23" s="874">
        <v>25</v>
      </c>
      <c r="CE23" s="778">
        <f t="shared" si="16"/>
        <v>-1.0399999999999991</v>
      </c>
      <c r="CG23" s="614"/>
      <c r="CH23" s="614"/>
      <c r="CI23" s="614"/>
      <c r="CJ23" s="389" t="s">
        <v>125</v>
      </c>
      <c r="CK23" s="391">
        <v>11.035714285714288</v>
      </c>
      <c r="CL23" s="390">
        <v>28</v>
      </c>
      <c r="CM23" s="690">
        <v>2.8736625598591972</v>
      </c>
      <c r="CN23" s="390">
        <f>CK23-12</f>
        <v>-0.96428571428571175</v>
      </c>
      <c r="CO23" s="36"/>
      <c r="CP23" s="875"/>
      <c r="CQ23" s="875" t="s">
        <v>16</v>
      </c>
      <c r="CR23" s="876" t="s">
        <v>106</v>
      </c>
      <c r="CS23" s="877">
        <v>11.461538461538462</v>
      </c>
      <c r="CT23" s="877">
        <f t="shared" si="4"/>
        <v>-0.53846153846153832</v>
      </c>
      <c r="CU23" s="878">
        <v>13</v>
      </c>
      <c r="CV23" s="879">
        <v>12.076923076923078</v>
      </c>
      <c r="CW23" s="880">
        <f t="shared" si="5"/>
        <v>7.6923076923078426E-2</v>
      </c>
      <c r="CX23" s="36"/>
      <c r="CY23" s="42"/>
      <c r="CZ23" s="42" t="s">
        <v>16</v>
      </c>
      <c r="DA23" s="42" t="s">
        <v>106</v>
      </c>
      <c r="DB23" s="97">
        <v>12</v>
      </c>
      <c r="DC23" s="134">
        <v>14.583333333333334</v>
      </c>
      <c r="DD23" s="97">
        <v>12</v>
      </c>
      <c r="DE23" s="134">
        <f>+DC23-DD23</f>
        <v>2.5833333333333339</v>
      </c>
      <c r="DF23" s="42"/>
      <c r="DG23" s="42"/>
      <c r="DH23" s="881"/>
      <c r="DI23" s="882" t="s">
        <v>16</v>
      </c>
      <c r="DJ23" s="881" t="s">
        <v>106</v>
      </c>
      <c r="DK23" s="883">
        <v>12.933333333333334</v>
      </c>
      <c r="DL23" s="882">
        <v>15</v>
      </c>
      <c r="DM23" s="884">
        <v>12</v>
      </c>
      <c r="DN23" s="883">
        <f t="shared" si="11"/>
        <v>0.93333333333333357</v>
      </c>
    </row>
    <row r="24" spans="1:118">
      <c r="A24" s="5812">
        <v>2</v>
      </c>
      <c r="B24" s="5812">
        <v>1</v>
      </c>
      <c r="C24" s="5811" t="s">
        <v>120</v>
      </c>
      <c r="D24" s="5813">
        <v>16.166666666666664</v>
      </c>
      <c r="E24" s="5812">
        <v>4</v>
      </c>
      <c r="F24" s="1281">
        <f t="shared" si="0"/>
        <v>4.1666666666666643</v>
      </c>
      <c r="G24" s="97">
        <v>12</v>
      </c>
      <c r="I24" s="5047">
        <v>2</v>
      </c>
      <c r="J24" s="5047">
        <v>1</v>
      </c>
      <c r="K24" s="5048" t="s">
        <v>121</v>
      </c>
      <c r="L24" s="5049">
        <v>16.25</v>
      </c>
      <c r="M24" s="5047">
        <v>4</v>
      </c>
      <c r="N24" s="1346">
        <f t="shared" si="1"/>
        <v>4.25</v>
      </c>
      <c r="O24" s="97">
        <v>12</v>
      </c>
      <c r="Q24" s="4615">
        <v>2</v>
      </c>
      <c r="R24" s="4615">
        <v>1</v>
      </c>
      <c r="S24" s="4602" t="s">
        <v>120</v>
      </c>
      <c r="T24" s="4603">
        <v>25</v>
      </c>
      <c r="U24" s="4604">
        <v>3</v>
      </c>
      <c r="V24" s="1346">
        <f t="shared" si="2"/>
        <v>13</v>
      </c>
      <c r="W24" s="95">
        <v>12</v>
      </c>
      <c r="Y24" s="36"/>
      <c r="Z24" s="36"/>
      <c r="AA24" s="36" t="s">
        <v>681</v>
      </c>
      <c r="AB24" s="1346">
        <v>23</v>
      </c>
      <c r="AC24" s="95">
        <v>1</v>
      </c>
      <c r="AD24" s="1281">
        <f t="shared" si="12"/>
        <v>11</v>
      </c>
      <c r="AE24" s="97">
        <v>12</v>
      </c>
      <c r="AG24" s="36"/>
      <c r="AH24" s="36"/>
      <c r="AI24" s="36" t="s">
        <v>122</v>
      </c>
      <c r="AJ24" s="1346">
        <v>17.25</v>
      </c>
      <c r="AK24" s="95">
        <v>8</v>
      </c>
      <c r="AL24" s="1281">
        <f t="shared" si="14"/>
        <v>5.25</v>
      </c>
      <c r="AM24" s="97">
        <v>12</v>
      </c>
      <c r="AN24" s="97"/>
      <c r="AO24" s="4215"/>
      <c r="AP24" s="4215"/>
      <c r="AQ24" s="4215" t="s">
        <v>122</v>
      </c>
      <c r="AR24" s="4221">
        <v>17</v>
      </c>
      <c r="AS24" s="4221">
        <v>4</v>
      </c>
      <c r="AT24" s="4263">
        <f t="shared" si="15"/>
        <v>5</v>
      </c>
      <c r="AU24" s="4263">
        <v>12</v>
      </c>
      <c r="AW24" s="36"/>
      <c r="AX24" s="36"/>
      <c r="AY24" s="36" t="s">
        <v>122</v>
      </c>
      <c r="AZ24" s="1345">
        <v>17.399999999999999</v>
      </c>
      <c r="BA24" s="95">
        <v>5</v>
      </c>
      <c r="BB24" s="134">
        <f t="shared" si="7"/>
        <v>5.3999999999999986</v>
      </c>
      <c r="BC24" s="97">
        <v>12</v>
      </c>
      <c r="BD24" s="97"/>
      <c r="BE24" s="51"/>
      <c r="BF24" s="85"/>
      <c r="BG24" s="51" t="s">
        <v>122</v>
      </c>
      <c r="BH24" s="837">
        <v>14.25</v>
      </c>
      <c r="BI24" s="85">
        <v>4</v>
      </c>
      <c r="BJ24" s="1306">
        <f>BH24-12</f>
        <v>2.25</v>
      </c>
      <c r="BL24" s="97"/>
      <c r="BM24" s="97"/>
      <c r="BN24" s="42" t="s">
        <v>123</v>
      </c>
      <c r="BO24" s="134">
        <v>15</v>
      </c>
      <c r="BP24" s="97">
        <v>3</v>
      </c>
      <c r="BQ24" s="1306">
        <f t="shared" si="13"/>
        <v>3</v>
      </c>
      <c r="BS24" s="1209"/>
      <c r="BT24" s="1209"/>
      <c r="BU24" s="1305" t="s">
        <v>123</v>
      </c>
      <c r="BV24" s="1306">
        <v>16.333333333333332</v>
      </c>
      <c r="BW24" s="1307">
        <v>3</v>
      </c>
      <c r="BX24" s="1306">
        <f>BV24-12</f>
        <v>4.3333333333333321</v>
      </c>
      <c r="BZ24" s="871"/>
      <c r="CA24" s="871"/>
      <c r="CB24" s="872" t="s">
        <v>126</v>
      </c>
      <c r="CC24" s="873">
        <v>12.909090909090908</v>
      </c>
      <c r="CD24" s="874">
        <v>11</v>
      </c>
      <c r="CE24" s="778">
        <f t="shared" si="16"/>
        <v>0.90909090909090828</v>
      </c>
      <c r="CG24" s="614"/>
      <c r="CH24" s="614"/>
      <c r="CI24" s="614"/>
      <c r="CJ24" s="389" t="s">
        <v>126</v>
      </c>
      <c r="CK24" s="391">
        <v>12.428571428571429</v>
      </c>
      <c r="CL24" s="390">
        <v>7</v>
      </c>
      <c r="CM24" s="690">
        <v>1.511857892036909</v>
      </c>
      <c r="CN24" s="390">
        <f>CK24-12</f>
        <v>0.42857142857142883</v>
      </c>
      <c r="CO24" s="36"/>
      <c r="CP24" s="875"/>
      <c r="CQ24" s="875"/>
      <c r="CR24" s="876" t="s">
        <v>124</v>
      </c>
      <c r="CS24" s="877">
        <v>13.5</v>
      </c>
      <c r="CT24" s="877">
        <f t="shared" si="4"/>
        <v>1.5</v>
      </c>
      <c r="CU24" s="878">
        <v>4</v>
      </c>
      <c r="CV24" s="879">
        <v>21</v>
      </c>
      <c r="CW24" s="880">
        <f t="shared" si="5"/>
        <v>9</v>
      </c>
      <c r="CX24" s="36"/>
      <c r="CY24" s="42"/>
      <c r="CZ24" s="42"/>
      <c r="DA24" s="42" t="s">
        <v>124</v>
      </c>
      <c r="DB24" s="97">
        <v>15</v>
      </c>
      <c r="DC24" s="134">
        <v>13.2</v>
      </c>
      <c r="DD24" s="97">
        <v>12</v>
      </c>
      <c r="DE24" s="134">
        <f>+DC24-DD24</f>
        <v>1.1999999999999993</v>
      </c>
      <c r="DF24" s="42"/>
      <c r="DG24" s="42"/>
      <c r="DH24" s="881"/>
      <c r="DI24" s="882"/>
      <c r="DJ24" s="881" t="s">
        <v>124</v>
      </c>
      <c r="DK24" s="883">
        <v>13.125</v>
      </c>
      <c r="DL24" s="882">
        <v>8</v>
      </c>
      <c r="DM24" s="884">
        <v>12</v>
      </c>
      <c r="DN24" s="883">
        <f t="shared" si="11"/>
        <v>1.125</v>
      </c>
    </row>
    <row r="25" spans="1:118">
      <c r="A25" s="5812">
        <v>2</v>
      </c>
      <c r="B25" s="5812">
        <v>1</v>
      </c>
      <c r="C25" s="5811" t="s">
        <v>121</v>
      </c>
      <c r="D25" s="5813">
        <v>16.25</v>
      </c>
      <c r="E25" s="5812">
        <v>4</v>
      </c>
      <c r="F25" s="1281">
        <f t="shared" si="0"/>
        <v>4.25</v>
      </c>
      <c r="G25" s="97">
        <v>12</v>
      </c>
      <c r="I25" s="5047"/>
      <c r="J25" s="5047"/>
      <c r="K25" s="4884" t="s">
        <v>482</v>
      </c>
      <c r="L25" s="5049"/>
      <c r="M25" s="5051">
        <f>SUM(M20:M24)</f>
        <v>15</v>
      </c>
      <c r="N25" s="1675">
        <f>+(M20*N20+M21*N21+M22*N22+M23*N23+M24*N24)/M25</f>
        <v>4.5777777777777775</v>
      </c>
      <c r="O25" s="97"/>
      <c r="Q25" s="4615">
        <v>2</v>
      </c>
      <c r="R25" s="4615">
        <v>1</v>
      </c>
      <c r="S25" s="4602" t="s">
        <v>121</v>
      </c>
      <c r="T25" s="4603">
        <v>22</v>
      </c>
      <c r="U25" s="4604">
        <v>1</v>
      </c>
      <c r="V25" s="1346">
        <f t="shared" si="2"/>
        <v>10</v>
      </c>
      <c r="W25" s="95">
        <v>12</v>
      </c>
      <c r="Y25" s="36"/>
      <c r="Z25" s="36"/>
      <c r="AA25" s="393" t="s">
        <v>482</v>
      </c>
      <c r="AB25" s="1361">
        <v>18.329999999999998</v>
      </c>
      <c r="AC25" s="4170">
        <v>15</v>
      </c>
      <c r="AD25" s="1675">
        <f>+(AC18*AD18+AC19*AD19+AC20*AD20+AC21*AD21+AC22*AD22+AC23*AD23+AC24*AD24)/AC25</f>
        <v>6.3340000000000005</v>
      </c>
      <c r="AG25" s="36"/>
      <c r="AH25" s="36"/>
      <c r="AI25" s="36" t="s">
        <v>123</v>
      </c>
      <c r="AJ25" s="1346">
        <v>17.5</v>
      </c>
      <c r="AK25" s="95">
        <v>2</v>
      </c>
      <c r="AL25" s="1281">
        <f t="shared" si="14"/>
        <v>5.5</v>
      </c>
      <c r="AM25" s="97">
        <v>12</v>
      </c>
      <c r="AN25" s="97"/>
      <c r="AO25" s="4215"/>
      <c r="AP25" s="4215"/>
      <c r="AQ25" s="4215" t="s">
        <v>123</v>
      </c>
      <c r="AR25" s="4221">
        <v>12</v>
      </c>
      <c r="AS25" s="4221">
        <v>1</v>
      </c>
      <c r="AT25" s="4263">
        <f t="shared" si="15"/>
        <v>0</v>
      </c>
      <c r="AU25" s="4263">
        <v>12</v>
      </c>
      <c r="AW25" s="36"/>
      <c r="AX25" s="36"/>
      <c r="AY25" s="36" t="s">
        <v>123</v>
      </c>
      <c r="AZ25" s="1345">
        <v>21.33</v>
      </c>
      <c r="BA25" s="95">
        <v>3</v>
      </c>
      <c r="BB25" s="134">
        <f t="shared" si="7"/>
        <v>9.3299999999999983</v>
      </c>
      <c r="BC25" s="97">
        <v>12</v>
      </c>
      <c r="BD25" s="97"/>
      <c r="BE25" s="51"/>
      <c r="BF25" s="85"/>
      <c r="BG25" s="51" t="s">
        <v>123</v>
      </c>
      <c r="BH25" s="837">
        <v>16.170000000000002</v>
      </c>
      <c r="BI25" s="85">
        <v>6</v>
      </c>
      <c r="BJ25" s="1306">
        <f>BH25-12</f>
        <v>4.1700000000000017</v>
      </c>
      <c r="BL25" s="97"/>
      <c r="BM25" s="97"/>
      <c r="BN25" s="42" t="s">
        <v>388</v>
      </c>
      <c r="BO25" s="134">
        <v>13</v>
      </c>
      <c r="BP25" s="97">
        <v>2</v>
      </c>
      <c r="BQ25" s="1306">
        <f t="shared" si="13"/>
        <v>1</v>
      </c>
      <c r="BS25" s="1209"/>
      <c r="BT25" s="1209"/>
      <c r="BU25" s="1305"/>
      <c r="BV25" s="1306"/>
      <c r="BW25" s="1307"/>
      <c r="BX25" s="1306"/>
      <c r="BZ25" s="871"/>
      <c r="CA25" s="871"/>
      <c r="CB25" s="872" t="s">
        <v>127</v>
      </c>
      <c r="CC25" s="873">
        <v>14.333333333333334</v>
      </c>
      <c r="CD25" s="874">
        <v>3</v>
      </c>
      <c r="CE25" s="778">
        <f t="shared" si="16"/>
        <v>2.3333333333333339</v>
      </c>
      <c r="CG25" s="614"/>
      <c r="CH25" s="614"/>
      <c r="CI25" s="614"/>
      <c r="CJ25" s="389" t="s">
        <v>127</v>
      </c>
      <c r="CK25" s="391">
        <v>14.333333333333334</v>
      </c>
      <c r="CL25" s="390">
        <v>3</v>
      </c>
      <c r="CM25" s="690">
        <v>1.1547005383792515</v>
      </c>
      <c r="CN25" s="390">
        <f>CK25-12</f>
        <v>2.3333333333333339</v>
      </c>
      <c r="CO25" s="36"/>
      <c r="CP25" s="875"/>
      <c r="CQ25" s="875"/>
      <c r="CR25" s="876" t="s">
        <v>125</v>
      </c>
      <c r="CS25" s="877">
        <v>10.176470588235295</v>
      </c>
      <c r="CT25" s="877">
        <f t="shared" si="4"/>
        <v>-1.8235294117647047</v>
      </c>
      <c r="CU25" s="878">
        <v>17</v>
      </c>
      <c r="CV25" s="879">
        <v>11.352941176470587</v>
      </c>
      <c r="CW25" s="880">
        <f t="shared" si="5"/>
        <v>-0.64705882352941302</v>
      </c>
      <c r="CX25" s="36"/>
      <c r="CY25" s="42"/>
      <c r="CZ25" s="42"/>
      <c r="DA25" s="42" t="s">
        <v>125</v>
      </c>
      <c r="DB25" s="97">
        <v>17</v>
      </c>
      <c r="DC25" s="134">
        <v>12.176470588235293</v>
      </c>
      <c r="DD25" s="97">
        <v>12</v>
      </c>
      <c r="DE25" s="134">
        <f>+DC25-DD25</f>
        <v>0.17647058823529349</v>
      </c>
      <c r="DF25" s="895">
        <f>AVERAGE(DE23:DE27)</f>
        <v>0.4086274509803921</v>
      </c>
      <c r="DG25" s="42"/>
      <c r="DH25" s="881"/>
      <c r="DI25" s="882"/>
      <c r="DJ25" s="881" t="s">
        <v>125</v>
      </c>
      <c r="DK25" s="883">
        <v>16.333333333333336</v>
      </c>
      <c r="DL25" s="882">
        <v>12</v>
      </c>
      <c r="DM25" s="884">
        <v>12</v>
      </c>
      <c r="DN25" s="883">
        <f t="shared" si="11"/>
        <v>4.3333333333333357</v>
      </c>
    </row>
    <row r="26" spans="1:118">
      <c r="A26" s="5812"/>
      <c r="B26" s="5812"/>
      <c r="C26" s="135" t="s">
        <v>4</v>
      </c>
      <c r="D26" s="5050"/>
      <c r="E26" s="5051">
        <f>SUM(E20:E25)</f>
        <v>16</v>
      </c>
      <c r="F26" s="1675">
        <f>+(E20*F20+E21*F21+E22*F22+E23*F23+E24*F24+E25*F25)/E26</f>
        <v>4.6041666666666661</v>
      </c>
      <c r="G26" s="97"/>
      <c r="I26" s="5047">
        <v>2</v>
      </c>
      <c r="J26" s="5047">
        <v>2</v>
      </c>
      <c r="K26" s="5048" t="s">
        <v>2725</v>
      </c>
      <c r="L26" s="5049">
        <v>13.9</v>
      </c>
      <c r="M26" s="5047">
        <v>11</v>
      </c>
      <c r="N26" s="1346">
        <f t="shared" si="1"/>
        <v>1.9000000000000004</v>
      </c>
      <c r="O26" s="97">
        <v>12</v>
      </c>
      <c r="Q26" s="4615"/>
      <c r="R26" s="4615"/>
      <c r="S26" s="4520" t="s">
        <v>482</v>
      </c>
      <c r="T26" s="4603"/>
      <c r="U26" s="4613">
        <f>SUM(U20:U25)</f>
        <v>14</v>
      </c>
      <c r="V26" s="1675">
        <f>+(U20*V20+U21*V21+U22*V22+U23*V23+U24*V24+U25*V25)/U26</f>
        <v>7.8571428571428568</v>
      </c>
      <c r="Y26" s="36"/>
      <c r="Z26" s="36" t="s">
        <v>16</v>
      </c>
      <c r="AA26" s="36" t="s">
        <v>124</v>
      </c>
      <c r="AB26" s="1346">
        <v>12</v>
      </c>
      <c r="AC26" s="95">
        <v>1</v>
      </c>
      <c r="AD26" s="1281">
        <f>AB26-AE26</f>
        <v>0</v>
      </c>
      <c r="AE26" s="97">
        <v>12</v>
      </c>
      <c r="AG26" s="36"/>
      <c r="AH26" s="36"/>
      <c r="AI26" s="36" t="s">
        <v>388</v>
      </c>
      <c r="AJ26" s="1346">
        <v>15.33</v>
      </c>
      <c r="AK26" s="95">
        <v>3</v>
      </c>
      <c r="AL26" s="1281">
        <f t="shared" si="14"/>
        <v>3.33</v>
      </c>
      <c r="AM26" s="97">
        <v>12</v>
      </c>
      <c r="AN26" s="97"/>
      <c r="AO26" s="4215"/>
      <c r="AP26" s="4215"/>
      <c r="AQ26" s="4215" t="s">
        <v>388</v>
      </c>
      <c r="AR26" s="4221">
        <v>22</v>
      </c>
      <c r="AS26" s="4221">
        <v>1</v>
      </c>
      <c r="AT26" s="4263">
        <f t="shared" si="15"/>
        <v>10</v>
      </c>
      <c r="AU26" s="4263">
        <v>12</v>
      </c>
      <c r="AW26" s="36"/>
      <c r="AX26" s="36"/>
      <c r="AY26" s="36" t="s">
        <v>388</v>
      </c>
      <c r="AZ26" s="1345">
        <v>15</v>
      </c>
      <c r="BA26" s="95">
        <v>2</v>
      </c>
      <c r="BB26" s="134">
        <f t="shared" si="7"/>
        <v>3</v>
      </c>
      <c r="BC26" s="97">
        <v>12</v>
      </c>
      <c r="BD26" s="97"/>
      <c r="BE26" s="51"/>
      <c r="BF26" s="85"/>
      <c r="BG26" s="51" t="s">
        <v>388</v>
      </c>
      <c r="BH26" s="837">
        <v>15.2</v>
      </c>
      <c r="BI26" s="85">
        <v>5</v>
      </c>
      <c r="BJ26" s="1306">
        <f>BH26-12</f>
        <v>3.1999999999999993</v>
      </c>
      <c r="BL26" s="97"/>
      <c r="BM26" s="97"/>
      <c r="BN26" s="893" t="s">
        <v>482</v>
      </c>
      <c r="BO26" s="894">
        <v>15.97</v>
      </c>
      <c r="BP26" s="135">
        <v>36</v>
      </c>
      <c r="BQ26" s="800">
        <f>+(BP20*BQ20+BP21*BQ21+BP22*BQ22+BP23*BQ23+BP24*BQ24+BP25*BQ25)/BP26</f>
        <v>3.9719444444444445</v>
      </c>
      <c r="BS26" s="1209"/>
      <c r="BT26" s="1209"/>
      <c r="BU26" s="1308" t="s">
        <v>482</v>
      </c>
      <c r="BV26" s="1309">
        <v>17.478260869565215</v>
      </c>
      <c r="BW26" s="1310">
        <v>23</v>
      </c>
      <c r="BX26" s="800">
        <f>+(BW20*BX20+BW21*BX21+BW22*BX22+BW23*BX23+BW24*BX24)/BW26</f>
        <v>5.4782608695652177</v>
      </c>
      <c r="BZ26" s="871"/>
      <c r="CA26" s="871"/>
      <c r="CB26" s="885" t="s">
        <v>483</v>
      </c>
      <c r="CC26" s="886">
        <v>12.714285714285714</v>
      </c>
      <c r="CD26" s="887">
        <v>77</v>
      </c>
      <c r="CE26" s="800">
        <f t="shared" si="16"/>
        <v>0.71428571428571352</v>
      </c>
      <c r="CG26" s="614"/>
      <c r="CH26" s="614"/>
      <c r="CI26" s="614"/>
      <c r="CJ26" s="709" t="s">
        <v>483</v>
      </c>
      <c r="CK26" s="394">
        <v>11.965517241379311</v>
      </c>
      <c r="CL26" s="395">
        <v>58</v>
      </c>
      <c r="CM26" s="710">
        <v>2.6020607032131853</v>
      </c>
      <c r="CN26" s="888">
        <f>+(CL21*CN21+CL22*CN22+CL23*CN23+CL24*CN24+CL25*CN25)/CL26</f>
        <v>-3.4482758620688031E-2</v>
      </c>
      <c r="CO26" s="36"/>
      <c r="CP26" s="875"/>
      <c r="CQ26" s="875"/>
      <c r="CR26" s="876" t="s">
        <v>126</v>
      </c>
      <c r="CS26" s="877">
        <v>11.928571428571429</v>
      </c>
      <c r="CT26" s="877">
        <f t="shared" si="4"/>
        <v>-7.1428571428571175E-2</v>
      </c>
      <c r="CU26" s="878">
        <v>14</v>
      </c>
      <c r="CV26" s="879">
        <v>11.928571428571429</v>
      </c>
      <c r="CW26" s="880">
        <f t="shared" si="5"/>
        <v>-7.1428571428571175E-2</v>
      </c>
      <c r="CX26" s="36"/>
      <c r="CY26" s="42"/>
      <c r="CZ26" s="42"/>
      <c r="DA26" s="42" t="s">
        <v>126</v>
      </c>
      <c r="DB26" s="97">
        <v>12</v>
      </c>
      <c r="DC26" s="134">
        <v>11.083333333333334</v>
      </c>
      <c r="DD26" s="97">
        <v>12</v>
      </c>
      <c r="DE26" s="134">
        <f>+DC26-DD26</f>
        <v>-0.91666666666666607</v>
      </c>
      <c r="DF26" s="42"/>
      <c r="DG26" s="42"/>
      <c r="DH26" s="881"/>
      <c r="DI26" s="882"/>
      <c r="DJ26" s="881" t="s">
        <v>126</v>
      </c>
      <c r="DK26" s="883">
        <v>11.545454545454545</v>
      </c>
      <c r="DL26" s="882">
        <v>11</v>
      </c>
      <c r="DM26" s="884">
        <v>12</v>
      </c>
      <c r="DN26" s="883">
        <f t="shared" si="11"/>
        <v>-0.45454545454545503</v>
      </c>
    </row>
    <row r="27" spans="1:118">
      <c r="A27" s="5812">
        <v>2</v>
      </c>
      <c r="B27" s="5812">
        <v>2</v>
      </c>
      <c r="C27" s="5811" t="s">
        <v>2725</v>
      </c>
      <c r="D27" s="5813">
        <v>14.7</v>
      </c>
      <c r="E27" s="5812">
        <v>10</v>
      </c>
      <c r="F27" s="1281">
        <f t="shared" si="0"/>
        <v>2.6999999999999993</v>
      </c>
      <c r="G27" s="97">
        <v>12</v>
      </c>
      <c r="I27" s="5047">
        <v>2</v>
      </c>
      <c r="J27" s="5047">
        <v>2</v>
      </c>
      <c r="K27" s="5048" t="s">
        <v>2737</v>
      </c>
      <c r="L27" s="5049">
        <v>14</v>
      </c>
      <c r="M27" s="5047">
        <v>4</v>
      </c>
      <c r="N27" s="1346">
        <f t="shared" si="1"/>
        <v>2</v>
      </c>
      <c r="O27" s="97">
        <v>12</v>
      </c>
      <c r="Q27" s="4615">
        <v>2</v>
      </c>
      <c r="R27" s="4615">
        <v>2</v>
      </c>
      <c r="S27" s="4602" t="s">
        <v>2725</v>
      </c>
      <c r="T27" s="4603">
        <v>12</v>
      </c>
      <c r="U27" s="4604">
        <v>2</v>
      </c>
      <c r="V27" s="1346">
        <f t="shared" si="2"/>
        <v>0</v>
      </c>
      <c r="W27" s="95">
        <v>12</v>
      </c>
      <c r="Y27" s="36"/>
      <c r="Z27" s="36"/>
      <c r="AA27" s="36" t="s">
        <v>125</v>
      </c>
      <c r="AB27" s="1346">
        <v>12.87</v>
      </c>
      <c r="AC27" s="95">
        <v>15</v>
      </c>
      <c r="AD27" s="1281">
        <f>AB27-AE27</f>
        <v>0.86999999999999922</v>
      </c>
      <c r="AE27" s="97">
        <v>12</v>
      </c>
      <c r="AG27" s="36"/>
      <c r="AH27" s="36"/>
      <c r="AI27" s="36" t="s">
        <v>681</v>
      </c>
      <c r="AJ27" s="1346">
        <v>12</v>
      </c>
      <c r="AK27" s="95">
        <v>2</v>
      </c>
      <c r="AL27" s="1281">
        <f t="shared" si="14"/>
        <v>0</v>
      </c>
      <c r="AM27" s="97">
        <v>12</v>
      </c>
      <c r="AN27" s="97"/>
      <c r="AO27" s="4215"/>
      <c r="AP27" s="4215"/>
      <c r="AQ27" s="4215" t="s">
        <v>681</v>
      </c>
      <c r="AR27" s="4221">
        <v>12</v>
      </c>
      <c r="AS27" s="4221">
        <v>2</v>
      </c>
      <c r="AT27" s="4263">
        <f t="shared" si="15"/>
        <v>0</v>
      </c>
      <c r="AU27" s="4263">
        <v>12</v>
      </c>
      <c r="AW27" s="36"/>
      <c r="AX27" s="36"/>
      <c r="AY27" s="36" t="s">
        <v>681</v>
      </c>
      <c r="AZ27" s="1345">
        <v>15.5</v>
      </c>
      <c r="BA27" s="95">
        <v>2</v>
      </c>
      <c r="BB27" s="134">
        <f t="shared" si="7"/>
        <v>3.5</v>
      </c>
      <c r="BC27" s="97">
        <v>12</v>
      </c>
      <c r="BD27" s="97"/>
      <c r="BE27" s="51"/>
      <c r="BF27" s="85"/>
      <c r="BG27" s="1689" t="s">
        <v>482</v>
      </c>
      <c r="BH27" s="1690">
        <v>16.329999999999998</v>
      </c>
      <c r="BI27" s="1691">
        <v>36</v>
      </c>
      <c r="BJ27" s="800">
        <f>+(BI22*BJ22+BI23*BJ23+BI24*BJ24+BI25*BJ25+BI26*BJ26)/BI27</f>
        <v>4.3344444444444443</v>
      </c>
      <c r="BL27" s="97"/>
      <c r="BM27" s="97" t="s">
        <v>16</v>
      </c>
      <c r="BN27" s="42" t="s">
        <v>106</v>
      </c>
      <c r="BO27" s="134">
        <v>15.58</v>
      </c>
      <c r="BP27" s="97">
        <v>12</v>
      </c>
      <c r="BQ27" s="1306">
        <f>BO27-12</f>
        <v>3.58</v>
      </c>
      <c r="BS27" s="1209"/>
      <c r="BT27" s="1209" t="s">
        <v>16</v>
      </c>
      <c r="BU27" s="1305" t="s">
        <v>106</v>
      </c>
      <c r="BV27" s="1306">
        <v>14.555555555555555</v>
      </c>
      <c r="BW27" s="1307">
        <v>9</v>
      </c>
      <c r="BX27" s="1306">
        <f>BV27-12</f>
        <v>2.5555555555555554</v>
      </c>
      <c r="BZ27" s="871"/>
      <c r="CA27" s="871" t="s">
        <v>41</v>
      </c>
      <c r="CB27" s="872" t="s">
        <v>128</v>
      </c>
      <c r="CC27" s="873">
        <v>13.772727272727273</v>
      </c>
      <c r="CD27" s="874">
        <v>22</v>
      </c>
      <c r="CE27" s="778">
        <f t="shared" si="16"/>
        <v>1.7727272727272734</v>
      </c>
      <c r="CG27" s="614"/>
      <c r="CH27" s="614"/>
      <c r="CI27" s="614" t="s">
        <v>41</v>
      </c>
      <c r="CJ27" s="389" t="s">
        <v>128</v>
      </c>
      <c r="CK27" s="391">
        <v>14.769230769230768</v>
      </c>
      <c r="CL27" s="390">
        <v>13</v>
      </c>
      <c r="CM27" s="690">
        <v>3.4678006035008733</v>
      </c>
      <c r="CN27" s="390">
        <f>CK27-12</f>
        <v>2.7692307692307683</v>
      </c>
      <c r="CO27" s="36"/>
      <c r="CP27" s="875"/>
      <c r="CQ27" s="875"/>
      <c r="CR27" s="876" t="s">
        <v>127</v>
      </c>
      <c r="CS27" s="877">
        <v>13</v>
      </c>
      <c r="CT27" s="877">
        <f t="shared" si="4"/>
        <v>1</v>
      </c>
      <c r="CU27" s="878">
        <v>1</v>
      </c>
      <c r="CV27" s="879">
        <v>13</v>
      </c>
      <c r="CW27" s="880">
        <f t="shared" si="5"/>
        <v>1</v>
      </c>
      <c r="CX27" s="36"/>
      <c r="CY27" s="42"/>
      <c r="CZ27" s="42"/>
      <c r="DA27" s="42" t="s">
        <v>127</v>
      </c>
      <c r="DB27" s="97">
        <v>4</v>
      </c>
      <c r="DC27" s="134">
        <v>11</v>
      </c>
      <c r="DD27" s="97">
        <v>12</v>
      </c>
      <c r="DE27" s="134">
        <f>+DC27-DD27</f>
        <v>-1</v>
      </c>
      <c r="DF27" s="42"/>
      <c r="DG27" s="42"/>
      <c r="DH27" s="881"/>
      <c r="DI27" s="882"/>
      <c r="DJ27" s="881" t="s">
        <v>127</v>
      </c>
      <c r="DK27" s="883">
        <v>12</v>
      </c>
      <c r="DL27" s="882">
        <v>1</v>
      </c>
      <c r="DM27" s="884">
        <v>12</v>
      </c>
      <c r="DN27" s="883">
        <f t="shared" si="11"/>
        <v>0</v>
      </c>
    </row>
    <row r="28" spans="1:118">
      <c r="A28" s="5812">
        <v>2</v>
      </c>
      <c r="B28" s="5812">
        <v>2</v>
      </c>
      <c r="C28" s="5811" t="s">
        <v>2737</v>
      </c>
      <c r="D28" s="5813">
        <v>14.5</v>
      </c>
      <c r="E28" s="5812">
        <v>4</v>
      </c>
      <c r="F28" s="1281">
        <f t="shared" si="0"/>
        <v>2.5</v>
      </c>
      <c r="G28" s="97">
        <v>12</v>
      </c>
      <c r="I28" s="5047">
        <v>2</v>
      </c>
      <c r="J28" s="5047">
        <v>2</v>
      </c>
      <c r="K28" s="5048" t="s">
        <v>2749</v>
      </c>
      <c r="L28" s="5049">
        <v>13.6</v>
      </c>
      <c r="M28" s="5047">
        <v>6</v>
      </c>
      <c r="N28" s="1346">
        <f t="shared" si="1"/>
        <v>1.5999999999999996</v>
      </c>
      <c r="O28" s="97">
        <v>12</v>
      </c>
      <c r="Q28" s="4615">
        <v>2</v>
      </c>
      <c r="R28" s="4615">
        <v>2</v>
      </c>
      <c r="S28" s="4602" t="s">
        <v>2737</v>
      </c>
      <c r="T28" s="4603">
        <v>13.2</v>
      </c>
      <c r="U28" s="4604">
        <v>6</v>
      </c>
      <c r="V28" s="1346">
        <f t="shared" si="2"/>
        <v>1.1999999999999993</v>
      </c>
      <c r="W28" s="95">
        <v>12</v>
      </c>
      <c r="Y28" s="36"/>
      <c r="Z28" s="36"/>
      <c r="AA28" s="36" t="s">
        <v>126</v>
      </c>
      <c r="AB28" s="1346">
        <v>18.5</v>
      </c>
      <c r="AC28" s="95">
        <v>2</v>
      </c>
      <c r="AD28" s="1281">
        <f>AB28-AE28</f>
        <v>6.5</v>
      </c>
      <c r="AE28" s="97">
        <v>12</v>
      </c>
      <c r="AG28" s="36"/>
      <c r="AH28" s="36"/>
      <c r="AI28" s="393" t="s">
        <v>482</v>
      </c>
      <c r="AJ28" s="1361">
        <v>16.940000000000001</v>
      </c>
      <c r="AK28" s="3794">
        <v>36</v>
      </c>
      <c r="AL28" s="1675">
        <f>+(AK21*AL21+AK22*AL22+AK23*AL23+AK24*AL24+AK25*AL25+AK26*AL26+AK27*AL27)/AK28</f>
        <v>4.9461111111111116</v>
      </c>
      <c r="AM28" s="97"/>
      <c r="AN28" s="97"/>
      <c r="AO28" s="4215"/>
      <c r="AP28" s="4215"/>
      <c r="AQ28" s="4222" t="s">
        <v>482</v>
      </c>
      <c r="AR28" s="4223">
        <v>16.25</v>
      </c>
      <c r="AS28" s="4223">
        <v>24</v>
      </c>
      <c r="AT28" s="4437">
        <f>+(AS21*AT21+AS22*AT22+AS23*AT23+AS24*AT24+AS25*AT25+AS26*AT26+AS27*AT27)/AS28</f>
        <v>4.251666666666666</v>
      </c>
      <c r="AU28" s="4263"/>
      <c r="AW28" s="36"/>
      <c r="AX28" s="36"/>
      <c r="AY28" s="393" t="s">
        <v>482</v>
      </c>
      <c r="AZ28" s="1360">
        <v>17.02</v>
      </c>
      <c r="BA28" s="2041">
        <v>41</v>
      </c>
      <c r="BB28" s="800">
        <f>+(BA21*BB21+BA22*BB22+BA23*BB23+BA24*BB24+BA25*BB25+BA26*BB26+BA27*BB27)/BA28</f>
        <v>5.0263414634146342</v>
      </c>
      <c r="BC28" s="97"/>
      <c r="BD28" s="97"/>
      <c r="BE28" s="51"/>
      <c r="BF28" s="85" t="s">
        <v>16</v>
      </c>
      <c r="BG28" s="51" t="s">
        <v>106</v>
      </c>
      <c r="BH28" s="837">
        <v>14.83</v>
      </c>
      <c r="BI28" s="85">
        <v>6</v>
      </c>
      <c r="BJ28" s="1306">
        <f>BH28-12</f>
        <v>2.83</v>
      </c>
      <c r="BL28" s="97"/>
      <c r="BM28" s="97"/>
      <c r="BN28" s="42" t="s">
        <v>124</v>
      </c>
      <c r="BO28" s="134">
        <v>13.62</v>
      </c>
      <c r="BP28" s="97">
        <v>13</v>
      </c>
      <c r="BQ28" s="1306">
        <f>BO28-12</f>
        <v>1.6199999999999992</v>
      </c>
      <c r="BS28" s="1209"/>
      <c r="BT28" s="1209"/>
      <c r="BU28" s="1305" t="s">
        <v>124</v>
      </c>
      <c r="BV28" s="1306">
        <v>15.333333333333336</v>
      </c>
      <c r="BW28" s="1307">
        <v>9</v>
      </c>
      <c r="BX28" s="1306">
        <f>BV28-12</f>
        <v>3.3333333333333357</v>
      </c>
      <c r="BZ28" s="871"/>
      <c r="CA28" s="871"/>
      <c r="CB28" s="872" t="s">
        <v>129</v>
      </c>
      <c r="CC28" s="873">
        <v>13</v>
      </c>
      <c r="CD28" s="874">
        <v>8</v>
      </c>
      <c r="CE28" s="778">
        <f t="shared" si="16"/>
        <v>1</v>
      </c>
      <c r="CG28" s="614"/>
      <c r="CH28" s="614"/>
      <c r="CI28" s="614"/>
      <c r="CJ28" s="389" t="s">
        <v>129</v>
      </c>
      <c r="CK28" s="391">
        <v>16.444444444444443</v>
      </c>
      <c r="CL28" s="390">
        <v>9</v>
      </c>
      <c r="CM28" s="690">
        <v>4.585605497399202</v>
      </c>
      <c r="CN28" s="390">
        <f>CK28-12</f>
        <v>4.4444444444444429</v>
      </c>
      <c r="CO28" s="36"/>
      <c r="CP28" s="875"/>
      <c r="CQ28" s="875"/>
      <c r="CR28" s="889" t="s">
        <v>483</v>
      </c>
      <c r="CS28" s="888">
        <v>11.346938775510205</v>
      </c>
      <c r="CT28" s="888">
        <f>+(CU23*CT23+CU24*CT24+CU25*CT25+CU26*CT26+CU27*CT27)/CU28</f>
        <v>-0.65306122448979531</v>
      </c>
      <c r="CU28" s="890">
        <v>49</v>
      </c>
      <c r="CV28" s="891">
        <v>12.530612244897961</v>
      </c>
      <c r="CW28" s="892">
        <f>+(CU23*CW23+CU24*CW24+CU25*CW25+CU26*CW26+CU27*CW27)/CU28</f>
        <v>0.53061224489795922</v>
      </c>
      <c r="CX28" s="36"/>
      <c r="CY28" s="42"/>
      <c r="CZ28" s="42"/>
      <c r="DA28" s="893" t="s">
        <v>15</v>
      </c>
      <c r="DB28" s="135">
        <v>60</v>
      </c>
      <c r="DC28" s="894">
        <v>12.616666666666664</v>
      </c>
      <c r="DD28" s="135"/>
      <c r="DE28" s="894">
        <f>+(DB23*DE23+DB24*DE24+DB25*DE25+DB26*DE26+DB27*DE27)/DB28</f>
        <v>0.61666666666666659</v>
      </c>
      <c r="DF28" s="42"/>
      <c r="DG28" s="42"/>
      <c r="DH28" s="881"/>
      <c r="DI28" s="882"/>
      <c r="DJ28" s="882" t="s">
        <v>15</v>
      </c>
      <c r="DK28" s="883">
        <v>13.489361702127658</v>
      </c>
      <c r="DL28" s="882">
        <v>47</v>
      </c>
      <c r="DM28" s="884"/>
      <c r="DN28" s="896">
        <f>AVERAGE(DN23:DN27)</f>
        <v>1.1874242424242429</v>
      </c>
    </row>
    <row r="29" spans="1:118">
      <c r="A29" s="5812">
        <v>2</v>
      </c>
      <c r="B29" s="5812">
        <v>2</v>
      </c>
      <c r="C29" s="5811" t="s">
        <v>2749</v>
      </c>
      <c r="D29" s="5813">
        <v>13.6</v>
      </c>
      <c r="E29" s="5812">
        <v>6</v>
      </c>
      <c r="F29" s="1281">
        <f t="shared" si="0"/>
        <v>1.5999999999999996</v>
      </c>
      <c r="G29" s="97">
        <v>12</v>
      </c>
      <c r="I29" s="5047">
        <v>2</v>
      </c>
      <c r="J29" s="5047">
        <v>2</v>
      </c>
      <c r="K29" s="5048" t="s">
        <v>2736</v>
      </c>
      <c r="L29" s="5049">
        <v>13</v>
      </c>
      <c r="M29" s="5047">
        <v>11</v>
      </c>
      <c r="N29" s="1346">
        <f t="shared" si="1"/>
        <v>1</v>
      </c>
      <c r="O29" s="97">
        <v>12</v>
      </c>
      <c r="Q29" s="4615">
        <v>2</v>
      </c>
      <c r="R29" s="4615">
        <v>2</v>
      </c>
      <c r="S29" s="4602" t="s">
        <v>2749</v>
      </c>
      <c r="T29" s="4603">
        <v>12.8</v>
      </c>
      <c r="U29" s="4604">
        <v>5</v>
      </c>
      <c r="V29" s="1346">
        <f t="shared" si="2"/>
        <v>0.80000000000000071</v>
      </c>
      <c r="W29" s="95">
        <v>12</v>
      </c>
      <c r="Y29" s="36"/>
      <c r="Z29" s="36"/>
      <c r="AA29" s="36" t="s">
        <v>127</v>
      </c>
      <c r="AB29" s="1346">
        <v>14</v>
      </c>
      <c r="AC29" s="95">
        <v>6</v>
      </c>
      <c r="AD29" s="1281">
        <f>AB29-AE29</f>
        <v>2</v>
      </c>
      <c r="AE29" s="97">
        <v>12</v>
      </c>
      <c r="AG29" s="36"/>
      <c r="AH29" s="36" t="s">
        <v>16</v>
      </c>
      <c r="AI29" s="36" t="s">
        <v>106</v>
      </c>
      <c r="AJ29" s="1346">
        <v>14.69</v>
      </c>
      <c r="AK29" s="95">
        <v>13</v>
      </c>
      <c r="AL29" s="1281">
        <f>AJ29-AM29</f>
        <v>2.6899999999999995</v>
      </c>
      <c r="AM29" s="97">
        <v>12</v>
      </c>
      <c r="AN29" s="97"/>
      <c r="AO29" s="4215"/>
      <c r="AP29" s="4215" t="s">
        <v>16</v>
      </c>
      <c r="AQ29" s="4215" t="s">
        <v>106</v>
      </c>
      <c r="AR29" s="4221">
        <v>14.69</v>
      </c>
      <c r="AS29" s="4221">
        <v>13</v>
      </c>
      <c r="AT29" s="4263">
        <f t="shared" si="15"/>
        <v>2.6899999999999995</v>
      </c>
      <c r="AU29" s="4263">
        <v>12</v>
      </c>
      <c r="AW29" s="36"/>
      <c r="AX29" s="36" t="s">
        <v>16</v>
      </c>
      <c r="AY29" s="36" t="s">
        <v>106</v>
      </c>
      <c r="AZ29" s="1345">
        <v>14</v>
      </c>
      <c r="BA29" s="95">
        <v>8</v>
      </c>
      <c r="BB29" s="134">
        <f t="shared" si="7"/>
        <v>2</v>
      </c>
      <c r="BC29" s="97">
        <v>12</v>
      </c>
      <c r="BD29" s="97"/>
      <c r="BE29" s="51"/>
      <c r="BF29" s="85"/>
      <c r="BG29" s="51" t="s">
        <v>124</v>
      </c>
      <c r="BH29" s="837">
        <v>16.8</v>
      </c>
      <c r="BI29" s="85">
        <v>5</v>
      </c>
      <c r="BJ29" s="1306">
        <f>BH29-12</f>
        <v>4.8000000000000007</v>
      </c>
      <c r="BL29" s="97"/>
      <c r="BM29" s="97"/>
      <c r="BN29" s="42" t="s">
        <v>125</v>
      </c>
      <c r="BO29" s="134">
        <v>13.22</v>
      </c>
      <c r="BP29" s="97">
        <v>23</v>
      </c>
      <c r="BQ29" s="1306">
        <f>BO29-9</f>
        <v>4.2200000000000006</v>
      </c>
      <c r="BS29" s="1209"/>
      <c r="BT29" s="1209"/>
      <c r="BU29" s="1305" t="s">
        <v>125</v>
      </c>
      <c r="BV29" s="1306">
        <v>12.411764705882353</v>
      </c>
      <c r="BW29" s="1307">
        <v>17</v>
      </c>
      <c r="BX29" s="1306">
        <f>BV29-9</f>
        <v>3.4117647058823533</v>
      </c>
      <c r="BZ29" s="871"/>
      <c r="CA29" s="871"/>
      <c r="CB29" s="872" t="s">
        <v>320</v>
      </c>
      <c r="CC29" s="873">
        <v>15.125</v>
      </c>
      <c r="CD29" s="874">
        <v>8</v>
      </c>
      <c r="CE29" s="778">
        <f t="shared" si="16"/>
        <v>3.125</v>
      </c>
      <c r="CG29" s="614"/>
      <c r="CH29" s="614"/>
      <c r="CI29" s="614"/>
      <c r="CJ29" s="389" t="s">
        <v>320</v>
      </c>
      <c r="CK29" s="391">
        <v>14</v>
      </c>
      <c r="CL29" s="390">
        <v>11</v>
      </c>
      <c r="CM29" s="690">
        <v>2.7568097504180447</v>
      </c>
      <c r="CN29" s="390">
        <f>CK29-9</f>
        <v>5</v>
      </c>
      <c r="CO29" s="36"/>
      <c r="CP29" s="875"/>
      <c r="CQ29" s="875" t="s">
        <v>41</v>
      </c>
      <c r="CR29" s="876" t="s">
        <v>128</v>
      </c>
      <c r="CS29" s="877">
        <v>14.666666666666666</v>
      </c>
      <c r="CT29" s="877">
        <f t="shared" si="4"/>
        <v>2.6666666666666661</v>
      </c>
      <c r="CU29" s="878">
        <v>15</v>
      </c>
      <c r="CV29" s="879">
        <v>14.866666666666669</v>
      </c>
      <c r="CW29" s="880">
        <f t="shared" si="5"/>
        <v>2.8666666666666689</v>
      </c>
      <c r="CX29" s="36"/>
      <c r="CY29" s="42"/>
      <c r="CZ29" s="42" t="s">
        <v>41</v>
      </c>
      <c r="DA29" s="42" t="s">
        <v>128</v>
      </c>
      <c r="DB29" s="97">
        <v>17</v>
      </c>
      <c r="DC29" s="134">
        <v>15.588235294117643</v>
      </c>
      <c r="DD29" s="97">
        <v>12</v>
      </c>
      <c r="DE29" s="134">
        <f>+DC29-DD29</f>
        <v>3.5882352941176432</v>
      </c>
      <c r="DF29" s="895">
        <f>AVERAGE(DE29:DE31)</f>
        <v>7.1405228758169912</v>
      </c>
      <c r="DG29" s="42"/>
      <c r="DH29" s="881"/>
      <c r="DI29" s="882" t="s">
        <v>41</v>
      </c>
      <c r="DJ29" s="881" t="s">
        <v>128</v>
      </c>
      <c r="DK29" s="883">
        <v>13.263157894736844</v>
      </c>
      <c r="DL29" s="882">
        <v>19</v>
      </c>
      <c r="DM29" s="884">
        <v>12</v>
      </c>
      <c r="DN29" s="883">
        <f t="shared" si="11"/>
        <v>1.2631578947368443</v>
      </c>
    </row>
    <row r="30" spans="1:118">
      <c r="A30" s="5812">
        <v>2</v>
      </c>
      <c r="B30" s="5812">
        <v>2</v>
      </c>
      <c r="C30" s="5811" t="s">
        <v>2736</v>
      </c>
      <c r="D30" s="5813">
        <v>13</v>
      </c>
      <c r="E30" s="5812">
        <v>11</v>
      </c>
      <c r="F30" s="1281">
        <f t="shared" si="0"/>
        <v>1</v>
      </c>
      <c r="G30" s="97">
        <v>12</v>
      </c>
      <c r="I30" s="5047">
        <v>2</v>
      </c>
      <c r="J30" s="5047">
        <v>2</v>
      </c>
      <c r="K30" s="5048" t="s">
        <v>2735</v>
      </c>
      <c r="L30" s="5049">
        <v>13.192307692307693</v>
      </c>
      <c r="M30" s="5047">
        <v>14</v>
      </c>
      <c r="N30" s="1346">
        <f t="shared" si="1"/>
        <v>1.1923076923076934</v>
      </c>
      <c r="O30" s="97">
        <v>12</v>
      </c>
      <c r="Q30" s="4615">
        <v>2</v>
      </c>
      <c r="R30" s="4615">
        <v>2</v>
      </c>
      <c r="S30" s="4602" t="s">
        <v>2736</v>
      </c>
      <c r="T30" s="4603">
        <v>18.75</v>
      </c>
      <c r="U30" s="4604">
        <v>3</v>
      </c>
      <c r="V30" s="1346">
        <f t="shared" si="2"/>
        <v>6.75</v>
      </c>
      <c r="W30" s="95">
        <v>12</v>
      </c>
      <c r="Y30" s="36"/>
      <c r="Z30" s="36"/>
      <c r="AA30" s="393" t="s">
        <v>483</v>
      </c>
      <c r="AB30" s="1361">
        <v>13.58</v>
      </c>
      <c r="AC30" s="4170">
        <v>24</v>
      </c>
      <c r="AD30" s="1675">
        <f>+(AC26*AD26+AC27*AD27+AC28*AD28+AC29*AD29)/AC30</f>
        <v>1.5854166666666663</v>
      </c>
      <c r="AG30" s="36"/>
      <c r="AH30" s="36"/>
      <c r="AI30" s="36" t="s">
        <v>124</v>
      </c>
      <c r="AJ30" s="1346">
        <v>13</v>
      </c>
      <c r="AK30" s="95">
        <v>2</v>
      </c>
      <c r="AL30" s="1281">
        <f>AJ30-AM30</f>
        <v>1</v>
      </c>
      <c r="AM30" s="97">
        <v>12</v>
      </c>
      <c r="AN30" s="97"/>
      <c r="AO30" s="4215"/>
      <c r="AP30" s="4215"/>
      <c r="AQ30" s="4215" t="s">
        <v>124</v>
      </c>
      <c r="AR30" s="4221">
        <v>13</v>
      </c>
      <c r="AS30" s="4221">
        <v>2</v>
      </c>
      <c r="AT30" s="4263">
        <f t="shared" si="15"/>
        <v>1</v>
      </c>
      <c r="AU30" s="4263">
        <v>12</v>
      </c>
      <c r="AW30" s="36"/>
      <c r="AX30" s="36"/>
      <c r="AY30" s="36" t="s">
        <v>124</v>
      </c>
      <c r="AZ30" s="1345">
        <v>11.88</v>
      </c>
      <c r="BA30" s="95">
        <v>25</v>
      </c>
      <c r="BB30" s="134">
        <f t="shared" si="7"/>
        <v>-0.11999999999999922</v>
      </c>
      <c r="BC30" s="97">
        <v>12</v>
      </c>
      <c r="BD30" s="97"/>
      <c r="BE30" s="51"/>
      <c r="BF30" s="85"/>
      <c r="BG30" s="51" t="s">
        <v>125</v>
      </c>
      <c r="BH30" s="837">
        <v>13.93</v>
      </c>
      <c r="BI30" s="85">
        <v>15</v>
      </c>
      <c r="BJ30" s="1306">
        <f>BH30-12</f>
        <v>1.9299999999999997</v>
      </c>
      <c r="BL30" s="97"/>
      <c r="BM30" s="97"/>
      <c r="BN30" s="42" t="s">
        <v>126</v>
      </c>
      <c r="BO30" s="134">
        <v>12.2</v>
      </c>
      <c r="BP30" s="97">
        <v>15</v>
      </c>
      <c r="BQ30" s="1306">
        <f>BO30-12</f>
        <v>0.19999999999999929</v>
      </c>
      <c r="BS30" s="1209"/>
      <c r="BT30" s="1209"/>
      <c r="BU30" s="1305" t="s">
        <v>126</v>
      </c>
      <c r="BV30" s="1306">
        <v>14.5</v>
      </c>
      <c r="BW30" s="1307">
        <v>2</v>
      </c>
      <c r="BX30" s="1306">
        <f>BV30-12</f>
        <v>2.5</v>
      </c>
      <c r="BZ30" s="871"/>
      <c r="CA30" s="871"/>
      <c r="CB30" s="885" t="s">
        <v>485</v>
      </c>
      <c r="CC30" s="886">
        <v>13.894736842105264</v>
      </c>
      <c r="CD30" s="887">
        <v>38</v>
      </c>
      <c r="CE30" s="800">
        <f t="shared" si="16"/>
        <v>1.8947368421052637</v>
      </c>
      <c r="CG30" s="614"/>
      <c r="CH30" s="614"/>
      <c r="CI30" s="614"/>
      <c r="CJ30" s="709" t="s">
        <v>485</v>
      </c>
      <c r="CK30" s="394">
        <v>14.969696969696971</v>
      </c>
      <c r="CL30" s="395">
        <v>33</v>
      </c>
      <c r="CM30" s="710">
        <v>3.6183978540651172</v>
      </c>
      <c r="CN30" s="888">
        <f>+(CL27*CN27+CL28*CN28+CL29*CN29)/CL30</f>
        <v>3.9696969696969688</v>
      </c>
      <c r="CO30" s="36"/>
      <c r="CP30" s="875"/>
      <c r="CQ30" s="875"/>
      <c r="CR30" s="876" t="s">
        <v>129</v>
      </c>
      <c r="CS30" s="877">
        <v>15.333333333333334</v>
      </c>
      <c r="CT30" s="877">
        <f t="shared" si="4"/>
        <v>3.3333333333333339</v>
      </c>
      <c r="CU30" s="878">
        <v>9</v>
      </c>
      <c r="CV30" s="879">
        <v>15.333333333333334</v>
      </c>
      <c r="CW30" s="880">
        <f t="shared" si="5"/>
        <v>3.3333333333333339</v>
      </c>
      <c r="CX30" s="36"/>
      <c r="CY30" s="42"/>
      <c r="CZ30" s="42"/>
      <c r="DA30" s="42" t="s">
        <v>129</v>
      </c>
      <c r="DB30" s="97">
        <v>4</v>
      </c>
      <c r="DC30" s="134">
        <v>16.5</v>
      </c>
      <c r="DD30" s="97">
        <v>12</v>
      </c>
      <c r="DE30" s="134">
        <f>+DC30-DD30</f>
        <v>4.5</v>
      </c>
      <c r="DF30" s="42"/>
      <c r="DG30" s="42"/>
      <c r="DH30" s="881"/>
      <c r="DI30" s="882"/>
      <c r="DJ30" s="881" t="s">
        <v>728</v>
      </c>
      <c r="DK30" s="883">
        <v>19</v>
      </c>
      <c r="DL30" s="882">
        <v>8</v>
      </c>
      <c r="DM30" s="884">
        <v>9</v>
      </c>
      <c r="DN30" s="883">
        <f t="shared" si="11"/>
        <v>10</v>
      </c>
    </row>
    <row r="31" spans="1:118">
      <c r="A31" s="5812">
        <v>2</v>
      </c>
      <c r="B31" s="5812">
        <v>2</v>
      </c>
      <c r="C31" s="5811" t="s">
        <v>2735</v>
      </c>
      <c r="D31" s="5813">
        <v>14.214285714285714</v>
      </c>
      <c r="E31" s="5812">
        <v>14</v>
      </c>
      <c r="F31" s="1281">
        <f t="shared" si="0"/>
        <v>2.2142857142857135</v>
      </c>
      <c r="G31" s="97">
        <v>12</v>
      </c>
      <c r="I31" s="5047"/>
      <c r="J31" s="5047"/>
      <c r="K31" s="4884" t="s">
        <v>483</v>
      </c>
      <c r="L31" s="5049"/>
      <c r="M31" s="5051">
        <f>SUM(M26:M30)</f>
        <v>46</v>
      </c>
      <c r="N31" s="1675">
        <f>+(M26*N26+M27*N27+M28*N28+M29*N29+M30*N30)/M31</f>
        <v>1.4389632107023416</v>
      </c>
      <c r="O31" s="97"/>
      <c r="Q31" s="4615">
        <v>2</v>
      </c>
      <c r="R31" s="4615">
        <v>2</v>
      </c>
      <c r="S31" s="4602" t="s">
        <v>2735</v>
      </c>
      <c r="T31" s="4603">
        <v>13.111111111111111</v>
      </c>
      <c r="U31" s="4604">
        <v>18</v>
      </c>
      <c r="V31" s="1346">
        <f t="shared" si="2"/>
        <v>1.1111111111111107</v>
      </c>
      <c r="W31" s="95">
        <v>12</v>
      </c>
      <c r="Y31" s="36"/>
      <c r="Z31" s="36" t="s">
        <v>41</v>
      </c>
      <c r="AA31" s="36" t="s">
        <v>128</v>
      </c>
      <c r="AB31" s="1346">
        <v>12.83</v>
      </c>
      <c r="AC31" s="95">
        <v>6</v>
      </c>
      <c r="AD31" s="1281">
        <f>AB31-AE31</f>
        <v>0.83000000000000007</v>
      </c>
      <c r="AE31" s="97">
        <v>12</v>
      </c>
      <c r="AG31" s="36"/>
      <c r="AH31" s="36"/>
      <c r="AI31" s="36" t="s">
        <v>125</v>
      </c>
      <c r="AJ31" s="1346">
        <v>13.35</v>
      </c>
      <c r="AK31" s="95">
        <v>26</v>
      </c>
      <c r="AL31" s="1281">
        <f>AJ31-AM31</f>
        <v>1.3499999999999996</v>
      </c>
      <c r="AM31" s="97">
        <v>12</v>
      </c>
      <c r="AN31" s="97"/>
      <c r="AO31" s="4215"/>
      <c r="AP31" s="4215"/>
      <c r="AQ31" s="4215" t="s">
        <v>125</v>
      </c>
      <c r="AR31" s="4221">
        <v>13.64</v>
      </c>
      <c r="AS31" s="4221">
        <v>14</v>
      </c>
      <c r="AT31" s="4263">
        <f t="shared" si="15"/>
        <v>1.6400000000000006</v>
      </c>
      <c r="AU31" s="4263">
        <v>12</v>
      </c>
      <c r="AW31" s="36"/>
      <c r="AX31" s="36"/>
      <c r="AY31" s="36" t="s">
        <v>125</v>
      </c>
      <c r="AZ31" s="1345">
        <v>13.36</v>
      </c>
      <c r="BA31" s="95">
        <v>14</v>
      </c>
      <c r="BB31" s="134">
        <f t="shared" si="7"/>
        <v>1.3599999999999994</v>
      </c>
      <c r="BC31" s="97">
        <v>12</v>
      </c>
      <c r="BD31" s="97"/>
      <c r="BE31" s="51"/>
      <c r="BF31" s="85"/>
      <c r="BG31" s="51" t="s">
        <v>126</v>
      </c>
      <c r="BH31" s="837">
        <v>12.86</v>
      </c>
      <c r="BI31" s="85">
        <v>7</v>
      </c>
      <c r="BJ31" s="1306">
        <f>BH31-12</f>
        <v>0.85999999999999943</v>
      </c>
      <c r="BL31" s="97"/>
      <c r="BM31" s="97"/>
      <c r="BN31" s="42" t="s">
        <v>127</v>
      </c>
      <c r="BO31" s="134">
        <v>14.75</v>
      </c>
      <c r="BP31" s="97">
        <v>4</v>
      </c>
      <c r="BQ31" s="1306">
        <f>BO31-12</f>
        <v>2.75</v>
      </c>
      <c r="BS31" s="1209"/>
      <c r="BT31" s="1209"/>
      <c r="BU31" s="1305" t="s">
        <v>127</v>
      </c>
      <c r="BV31" s="1306">
        <v>15</v>
      </c>
      <c r="BW31" s="1307">
        <v>3</v>
      </c>
      <c r="BX31" s="1306">
        <f>BV31-12</f>
        <v>3</v>
      </c>
      <c r="BZ31" s="871"/>
      <c r="CA31" s="871"/>
      <c r="CB31" s="897" t="s">
        <v>109</v>
      </c>
      <c r="CC31" s="898">
        <v>14.131578947368416</v>
      </c>
      <c r="CD31" s="899">
        <v>152</v>
      </c>
      <c r="CE31" s="824">
        <f t="shared" si="16"/>
        <v>2.1315789473684159</v>
      </c>
      <c r="CG31" s="614"/>
      <c r="CH31" s="614"/>
      <c r="CI31" s="614"/>
      <c r="CJ31" s="803" t="s">
        <v>109</v>
      </c>
      <c r="CK31" s="804">
        <v>13.765217391304342</v>
      </c>
      <c r="CL31" s="805">
        <v>115</v>
      </c>
      <c r="CM31" s="806">
        <v>3.8918052339039564</v>
      </c>
      <c r="CN31" s="900">
        <f>+(CL20*CN20+CL26*CN26+CL30*CN30)/CL31</f>
        <v>2.0521739130434788</v>
      </c>
      <c r="CO31" s="36"/>
      <c r="CP31" s="875"/>
      <c r="CQ31" s="875"/>
      <c r="CR31" s="876" t="s">
        <v>320</v>
      </c>
      <c r="CS31" s="877">
        <v>13.875</v>
      </c>
      <c r="CT31" s="877">
        <f t="shared" si="4"/>
        <v>4.875</v>
      </c>
      <c r="CU31" s="878">
        <v>8</v>
      </c>
      <c r="CV31" s="879">
        <v>15.375</v>
      </c>
      <c r="CW31" s="880">
        <f t="shared" si="5"/>
        <v>6.375</v>
      </c>
      <c r="CX31" s="36"/>
      <c r="CY31" s="42"/>
      <c r="CZ31" s="42"/>
      <c r="DA31" s="42" t="s">
        <v>320</v>
      </c>
      <c r="DB31" s="97">
        <v>9</v>
      </c>
      <c r="DC31" s="134">
        <v>22.333333333333332</v>
      </c>
      <c r="DD31" s="97">
        <v>9</v>
      </c>
      <c r="DE31" s="134">
        <f>+DC31-DD31</f>
        <v>13.333333333333332</v>
      </c>
      <c r="DF31" s="42"/>
      <c r="DG31" s="42"/>
      <c r="DH31" s="881"/>
      <c r="DI31" s="882"/>
      <c r="DJ31" s="881" t="s">
        <v>129</v>
      </c>
      <c r="DK31" s="883">
        <v>16</v>
      </c>
      <c r="DL31" s="882">
        <v>4</v>
      </c>
      <c r="DM31" s="884">
        <v>12</v>
      </c>
      <c r="DN31" s="883">
        <f t="shared" si="11"/>
        <v>4</v>
      </c>
    </row>
    <row r="32" spans="1:118">
      <c r="A32" s="5812">
        <v>2</v>
      </c>
      <c r="B32" s="5812">
        <v>2</v>
      </c>
      <c r="C32" s="5811" t="s">
        <v>2058</v>
      </c>
      <c r="D32" s="5813">
        <v>13</v>
      </c>
      <c r="E32" s="5812">
        <v>1</v>
      </c>
      <c r="F32" s="1281">
        <f t="shared" si="0"/>
        <v>13</v>
      </c>
      <c r="G32" s="97"/>
      <c r="I32" s="5047">
        <v>2</v>
      </c>
      <c r="J32" s="5047">
        <v>3</v>
      </c>
      <c r="K32" s="5048" t="s">
        <v>381</v>
      </c>
      <c r="L32" s="5049">
        <v>16.216666666666669</v>
      </c>
      <c r="M32" s="5047">
        <v>17</v>
      </c>
      <c r="N32" s="1346">
        <f t="shared" si="1"/>
        <v>4.2166666666666686</v>
      </c>
      <c r="O32" s="97">
        <v>12</v>
      </c>
      <c r="Q32" s="4615"/>
      <c r="R32" s="4615"/>
      <c r="S32" s="4520" t="s">
        <v>483</v>
      </c>
      <c r="T32" s="4603"/>
      <c r="U32" s="4613">
        <f>SUM(U27:U31)</f>
        <v>34</v>
      </c>
      <c r="V32" s="1675">
        <f>+(U27*V27+U28*V28+U29*V29+U30*V30+U31*V31)/U32</f>
        <v>1.5132352941176468</v>
      </c>
      <c r="Y32" s="36"/>
      <c r="Z32" s="36"/>
      <c r="AA32" s="36" t="s">
        <v>129</v>
      </c>
      <c r="AB32" s="1346">
        <v>11</v>
      </c>
      <c r="AC32" s="95">
        <v>1</v>
      </c>
      <c r="AD32" s="1281">
        <f>AB32-AE32</f>
        <v>-1</v>
      </c>
      <c r="AE32" s="97">
        <v>12</v>
      </c>
      <c r="AG32" s="36"/>
      <c r="AH32" s="36"/>
      <c r="AI32" s="36" t="s">
        <v>126</v>
      </c>
      <c r="AJ32" s="1346">
        <v>14.29</v>
      </c>
      <c r="AK32" s="95">
        <v>7</v>
      </c>
      <c r="AL32" s="1281">
        <f>AJ32-AM32</f>
        <v>2.2899999999999991</v>
      </c>
      <c r="AM32" s="97">
        <v>12</v>
      </c>
      <c r="AN32" s="97"/>
      <c r="AO32" s="4215"/>
      <c r="AP32" s="4215"/>
      <c r="AQ32" s="4215" t="s">
        <v>126</v>
      </c>
      <c r="AR32" s="4221">
        <v>14.17</v>
      </c>
      <c r="AS32" s="4221">
        <v>6</v>
      </c>
      <c r="AT32" s="4263">
        <f t="shared" si="15"/>
        <v>2.17</v>
      </c>
      <c r="AU32" s="4263">
        <v>12</v>
      </c>
      <c r="AW32" s="36"/>
      <c r="AX32" s="36"/>
      <c r="AY32" s="36" t="s">
        <v>126</v>
      </c>
      <c r="AZ32" s="1345">
        <v>13.94</v>
      </c>
      <c r="BA32" s="95">
        <v>18</v>
      </c>
      <c r="BB32" s="134">
        <f t="shared" si="7"/>
        <v>1.9399999999999995</v>
      </c>
      <c r="BC32" s="97">
        <v>12</v>
      </c>
      <c r="BD32" s="97"/>
      <c r="BE32" s="51"/>
      <c r="BF32" s="85"/>
      <c r="BG32" s="51" t="s">
        <v>127</v>
      </c>
      <c r="BH32" s="837">
        <v>16.670000000000002</v>
      </c>
      <c r="BI32" s="85">
        <v>12</v>
      </c>
      <c r="BJ32" s="1306">
        <f>BH32-12</f>
        <v>4.6700000000000017</v>
      </c>
      <c r="BL32" s="97"/>
      <c r="BM32" s="97"/>
      <c r="BN32" s="893" t="s">
        <v>483</v>
      </c>
      <c r="BO32" s="894">
        <v>13.58</v>
      </c>
      <c r="BP32" s="135">
        <v>67</v>
      </c>
      <c r="BQ32" s="800">
        <f>+(BP27*BQ27+BP28*BQ28+BP29*BQ29+BP30*BQ30+BP31*BQ31)/BP32</f>
        <v>2.6131343283582087</v>
      </c>
      <c r="BS32" s="1209"/>
      <c r="BT32" s="1209"/>
      <c r="BU32" s="1308" t="s">
        <v>483</v>
      </c>
      <c r="BV32" s="1309">
        <v>13.850000000000003</v>
      </c>
      <c r="BW32" s="1310">
        <v>40</v>
      </c>
      <c r="BX32" s="800">
        <f>+(BW27*BX27+BW28*BX28+BW29*BX29+BW30*BX30+BW31*BX31)/BW32</f>
        <v>3.1250000000000009</v>
      </c>
      <c r="BZ32" s="871" t="s">
        <v>48</v>
      </c>
      <c r="CA32" s="871" t="s">
        <v>16</v>
      </c>
      <c r="CB32" s="872" t="s">
        <v>143</v>
      </c>
      <c r="CC32" s="873">
        <v>13.111111111111112</v>
      </c>
      <c r="CD32" s="874">
        <v>18</v>
      </c>
      <c r="CE32" s="778">
        <f t="shared" si="16"/>
        <v>1.1111111111111125</v>
      </c>
      <c r="CG32" s="614"/>
      <c r="CH32" s="614" t="s">
        <v>48</v>
      </c>
      <c r="CI32" s="614" t="s">
        <v>16</v>
      </c>
      <c r="CJ32" s="389" t="s">
        <v>143</v>
      </c>
      <c r="CK32" s="391">
        <v>13.136363636363635</v>
      </c>
      <c r="CL32" s="390">
        <v>22</v>
      </c>
      <c r="CM32" s="690">
        <v>2.7132032473576064</v>
      </c>
      <c r="CN32" s="390">
        <f>CK32-12</f>
        <v>1.1363636363636349</v>
      </c>
      <c r="CO32" s="36"/>
      <c r="CP32" s="875"/>
      <c r="CQ32" s="875"/>
      <c r="CR32" s="889" t="s">
        <v>485</v>
      </c>
      <c r="CS32" s="888">
        <v>14.656249999999998</v>
      </c>
      <c r="CT32" s="888">
        <f>+(CU29*CT29+CU30*CT30+CU31*CT31)/CU32</f>
        <v>3.40625</v>
      </c>
      <c r="CU32" s="890">
        <v>32</v>
      </c>
      <c r="CV32" s="891">
        <v>15.125</v>
      </c>
      <c r="CW32" s="892">
        <f>+(CU29*CW29+CU30*CW30+CU31*CW31)/CU32</f>
        <v>3.8750000000000013</v>
      </c>
      <c r="CX32" s="36"/>
      <c r="CY32" s="42"/>
      <c r="CZ32" s="42"/>
      <c r="DA32" s="893" t="s">
        <v>15</v>
      </c>
      <c r="DB32" s="135">
        <v>30</v>
      </c>
      <c r="DC32" s="894">
        <v>17.733333333333331</v>
      </c>
      <c r="DD32" s="135"/>
      <c r="DE32" s="894">
        <f>+(DB29*DE29+DB30*DE30+DB31*DE31)/DB32</f>
        <v>6.6333333333333311</v>
      </c>
      <c r="DF32" s="42"/>
      <c r="DG32" s="42"/>
      <c r="DH32" s="881"/>
      <c r="DI32" s="882"/>
      <c r="DJ32" s="882" t="s">
        <v>15</v>
      </c>
      <c r="DK32" s="883">
        <v>15.096774193548388</v>
      </c>
      <c r="DL32" s="882">
        <v>31</v>
      </c>
      <c r="DM32" s="884"/>
      <c r="DN32" s="896">
        <f>AVERAGE(DN29:DN31)</f>
        <v>5.0877192982456148</v>
      </c>
    </row>
    <row r="33" spans="1:118">
      <c r="A33" s="5812"/>
      <c r="B33" s="5812"/>
      <c r="C33" s="135" t="s">
        <v>16</v>
      </c>
      <c r="D33" s="5050"/>
      <c r="E33" s="5051">
        <f>SUM(E27:E32)</f>
        <v>46</v>
      </c>
      <c r="F33" s="1675">
        <f>+(E28*F28+E29*F29+E30*F30+E31*F31+E32*F32)/E33</f>
        <v>1.6217391304347826</v>
      </c>
      <c r="G33" s="97">
        <v>12</v>
      </c>
      <c r="I33" s="5047">
        <v>2</v>
      </c>
      <c r="J33" s="5047">
        <v>3</v>
      </c>
      <c r="K33" s="5048" t="s">
        <v>129</v>
      </c>
      <c r="L33" s="5049">
        <v>13.9</v>
      </c>
      <c r="M33" s="5047">
        <v>10</v>
      </c>
      <c r="N33" s="1346">
        <f t="shared" si="1"/>
        <v>1.9000000000000004</v>
      </c>
      <c r="O33" s="97">
        <v>12</v>
      </c>
      <c r="Q33" s="4615">
        <v>2</v>
      </c>
      <c r="R33" s="4615">
        <v>3</v>
      </c>
      <c r="S33" s="4602" t="s">
        <v>381</v>
      </c>
      <c r="T33" s="4603">
        <v>18.45</v>
      </c>
      <c r="U33" s="4604">
        <v>7</v>
      </c>
      <c r="V33" s="1346">
        <f t="shared" si="2"/>
        <v>6.4499999999999993</v>
      </c>
      <c r="W33" s="95">
        <v>12</v>
      </c>
      <c r="Y33" s="36"/>
      <c r="Z33" s="36"/>
      <c r="AA33" s="36" t="s">
        <v>320</v>
      </c>
      <c r="AB33" s="1346">
        <v>17.5</v>
      </c>
      <c r="AC33" s="95">
        <v>4</v>
      </c>
      <c r="AD33" s="1281">
        <f>AB33-AE33</f>
        <v>5.5</v>
      </c>
      <c r="AE33" s="97">
        <v>12</v>
      </c>
      <c r="AG33" s="36"/>
      <c r="AH33" s="36"/>
      <c r="AI33" s="36" t="s">
        <v>127</v>
      </c>
      <c r="AJ33" s="1346">
        <v>14.5</v>
      </c>
      <c r="AK33" s="95">
        <v>8</v>
      </c>
      <c r="AL33" s="1281">
        <f>AJ33-AM33</f>
        <v>2.5</v>
      </c>
      <c r="AM33" s="97">
        <v>12</v>
      </c>
      <c r="AN33" s="97"/>
      <c r="AO33" s="4215"/>
      <c r="AP33" s="4215"/>
      <c r="AQ33" s="4215" t="s">
        <v>127</v>
      </c>
      <c r="AR33" s="4221">
        <v>16.329999999999998</v>
      </c>
      <c r="AS33" s="4221">
        <v>3</v>
      </c>
      <c r="AT33" s="4263">
        <f t="shared" si="15"/>
        <v>4.3299999999999983</v>
      </c>
      <c r="AU33" s="4263">
        <v>12</v>
      </c>
      <c r="AW33" s="36"/>
      <c r="AX33" s="36"/>
      <c r="AY33" s="36" t="s">
        <v>127</v>
      </c>
      <c r="AZ33" s="1345">
        <v>12.33</v>
      </c>
      <c r="BA33" s="95">
        <v>3</v>
      </c>
      <c r="BB33" s="134">
        <f t="shared" si="7"/>
        <v>0.33000000000000007</v>
      </c>
      <c r="BC33" s="97">
        <v>12</v>
      </c>
      <c r="BD33" s="97"/>
      <c r="BE33" s="51"/>
      <c r="BF33" s="85"/>
      <c r="BG33" s="1689" t="s">
        <v>483</v>
      </c>
      <c r="BH33" s="1690">
        <v>14.93</v>
      </c>
      <c r="BI33" s="1691">
        <v>45</v>
      </c>
      <c r="BJ33" s="800">
        <f>+(BI28*BJ28+BI29*BJ29+BI30*BJ30+BI31*BJ31+BI32*BJ32)/BI33</f>
        <v>2.9331111111111112</v>
      </c>
      <c r="BL33" s="97"/>
      <c r="BM33" s="97" t="s">
        <v>41</v>
      </c>
      <c r="BN33" s="42" t="s">
        <v>128</v>
      </c>
      <c r="BO33" s="134">
        <v>14.5</v>
      </c>
      <c r="BP33" s="97">
        <v>14</v>
      </c>
      <c r="BQ33" s="1306">
        <f>BO33-12</f>
        <v>2.5</v>
      </c>
      <c r="BS33" s="1209"/>
      <c r="BT33" s="1209" t="s">
        <v>41</v>
      </c>
      <c r="BU33" s="1305" t="s">
        <v>128</v>
      </c>
      <c r="BV33" s="1306">
        <v>13.714285714285714</v>
      </c>
      <c r="BW33" s="1307">
        <v>14</v>
      </c>
      <c r="BX33" s="1306">
        <f>BV33-12</f>
        <v>1.7142857142857135</v>
      </c>
      <c r="BZ33" s="871"/>
      <c r="CA33" s="871"/>
      <c r="CB33" s="872" t="s">
        <v>127</v>
      </c>
      <c r="CC33" s="873">
        <v>12</v>
      </c>
      <c r="CD33" s="874">
        <v>2</v>
      </c>
      <c r="CE33" s="778">
        <f t="shared" si="16"/>
        <v>0</v>
      </c>
      <c r="CG33" s="614"/>
      <c r="CH33" s="614"/>
      <c r="CI33" s="614"/>
      <c r="CJ33" s="389" t="s">
        <v>127</v>
      </c>
      <c r="CK33" s="391">
        <v>13.75</v>
      </c>
      <c r="CL33" s="390">
        <v>4</v>
      </c>
      <c r="CM33" s="690">
        <v>2.8722813232690143</v>
      </c>
      <c r="CN33" s="390">
        <f>CK33-12</f>
        <v>1.75</v>
      </c>
      <c r="CO33" s="36"/>
      <c r="CP33" s="901"/>
      <c r="CQ33" s="901"/>
      <c r="CR33" s="902"/>
      <c r="CS33" s="902"/>
      <c r="CT33" s="902"/>
      <c r="CU33" s="902"/>
      <c r="CV33" s="902"/>
      <c r="CW33" s="902"/>
      <c r="CX33" s="36"/>
      <c r="CY33" s="903"/>
      <c r="CZ33" s="903"/>
      <c r="DA33" s="904"/>
      <c r="DB33" s="905"/>
      <c r="DC33" s="906"/>
      <c r="DD33" s="905"/>
      <c r="DE33" s="906"/>
      <c r="DF33" s="895">
        <f>AVERAGE(DE34:DE36)</f>
        <v>5.7142857142859311E-3</v>
      </c>
      <c r="DG33" s="42"/>
      <c r="DH33" s="881"/>
      <c r="DI33" s="882"/>
      <c r="DJ33" s="907" t="s">
        <v>109</v>
      </c>
      <c r="DK33" s="896">
        <v>15.52631578947369</v>
      </c>
      <c r="DL33" s="908">
        <v>114</v>
      </c>
      <c r="DM33" s="884"/>
      <c r="DN33" s="896">
        <f>AVERAGE(DN22,DN28,DN32)</f>
        <v>3.753541112883219</v>
      </c>
    </row>
    <row r="34" spans="1:118">
      <c r="A34" s="5812">
        <v>2</v>
      </c>
      <c r="B34" s="5812">
        <v>3</v>
      </c>
      <c r="C34" s="5811" t="s">
        <v>381</v>
      </c>
      <c r="D34" s="5813">
        <v>16.466666666666669</v>
      </c>
      <c r="E34" s="5812">
        <v>18</v>
      </c>
      <c r="F34" s="1281">
        <f t="shared" si="0"/>
        <v>4.4666666666666686</v>
      </c>
      <c r="G34" s="97">
        <v>12</v>
      </c>
      <c r="I34" s="5047">
        <v>2</v>
      </c>
      <c r="J34" s="5047">
        <v>3</v>
      </c>
      <c r="K34" s="5048" t="s">
        <v>128</v>
      </c>
      <c r="L34" s="5049">
        <v>14.576923076923077</v>
      </c>
      <c r="M34" s="5047">
        <v>15</v>
      </c>
      <c r="N34" s="1346">
        <f t="shared" si="1"/>
        <v>2.5769230769230766</v>
      </c>
      <c r="O34" s="97">
        <v>12</v>
      </c>
      <c r="Q34" s="4615">
        <v>2</v>
      </c>
      <c r="R34" s="4615">
        <v>3</v>
      </c>
      <c r="S34" s="4602" t="s">
        <v>129</v>
      </c>
      <c r="T34" s="4603">
        <v>15.5</v>
      </c>
      <c r="U34" s="4604">
        <v>3</v>
      </c>
      <c r="V34" s="1346">
        <f t="shared" si="2"/>
        <v>3.5</v>
      </c>
      <c r="W34" s="95">
        <v>12</v>
      </c>
      <c r="Y34" s="36"/>
      <c r="Z34" s="36"/>
      <c r="AA34" s="393" t="s">
        <v>485</v>
      </c>
      <c r="AB34" s="1361">
        <v>14.36</v>
      </c>
      <c r="AC34" s="4170">
        <v>11</v>
      </c>
      <c r="AD34" s="1675">
        <f>+(AC31*AD31+AC32*AD32+AC33*AD33)/AC34</f>
        <v>2.3618181818181818</v>
      </c>
      <c r="AG34" s="36"/>
      <c r="AH34" s="36"/>
      <c r="AI34" s="393" t="s">
        <v>483</v>
      </c>
      <c r="AJ34" s="1361">
        <v>13.93</v>
      </c>
      <c r="AK34" s="3794">
        <v>56</v>
      </c>
      <c r="AL34" s="1675">
        <f>+(AK29*AL29+AK30*AL30+AK31*AL31+AK32*AL32+AK33*AL33)/AK34</f>
        <v>1.9303571428571427</v>
      </c>
      <c r="AM34" s="97"/>
      <c r="AN34" s="97"/>
      <c r="AO34" s="4215"/>
      <c r="AP34" s="4215"/>
      <c r="AQ34" s="4222" t="s">
        <v>483</v>
      </c>
      <c r="AR34" s="4223">
        <v>14.26</v>
      </c>
      <c r="AS34" s="4223">
        <v>38</v>
      </c>
      <c r="AT34" s="4437">
        <f>+(AS29*AT29+AS30*AT30+AS31*AT31+AS32*AT32+AS33*AT33)/AS34</f>
        <v>2.2615789473684211</v>
      </c>
      <c r="AU34" s="4263"/>
      <c r="AW34" s="36"/>
      <c r="AX34" s="36"/>
      <c r="AY34" s="393" t="s">
        <v>483</v>
      </c>
      <c r="AZ34" s="1360">
        <v>13</v>
      </c>
      <c r="BA34" s="2041">
        <v>68</v>
      </c>
      <c r="BB34" s="800">
        <f>+(BA29*BB29+BA30*BB30+BA31*BB31+BA32*BB32+BA33*BB33)/BA34</f>
        <v>0.99926470588235294</v>
      </c>
      <c r="BC34" s="97"/>
      <c r="BD34" s="97"/>
      <c r="BE34" s="51"/>
      <c r="BF34" s="85" t="s">
        <v>41</v>
      </c>
      <c r="BG34" s="51" t="s">
        <v>128</v>
      </c>
      <c r="BH34" s="837">
        <v>16.07</v>
      </c>
      <c r="BI34" s="85">
        <v>14</v>
      </c>
      <c r="BJ34" s="1306">
        <f>BH34-12</f>
        <v>4.07</v>
      </c>
      <c r="BL34" s="97"/>
      <c r="BM34" s="97"/>
      <c r="BN34" s="42" t="s">
        <v>129</v>
      </c>
      <c r="BO34" s="134">
        <v>13.33</v>
      </c>
      <c r="BP34" s="97">
        <v>12</v>
      </c>
      <c r="BQ34" s="1306">
        <f>BO34-12</f>
        <v>1.33</v>
      </c>
      <c r="BS34" s="1209"/>
      <c r="BT34" s="1209"/>
      <c r="BU34" s="1305" t="s">
        <v>129</v>
      </c>
      <c r="BV34" s="1306">
        <v>16.642857142857142</v>
      </c>
      <c r="BW34" s="1307">
        <v>14</v>
      </c>
      <c r="BX34" s="1306">
        <f>BV34-12</f>
        <v>4.6428571428571423</v>
      </c>
      <c r="BZ34" s="871"/>
      <c r="CA34" s="871"/>
      <c r="CB34" s="872" t="s">
        <v>110</v>
      </c>
      <c r="CC34" s="873">
        <v>11.833333333333334</v>
      </c>
      <c r="CD34" s="874">
        <v>6</v>
      </c>
      <c r="CE34" s="778">
        <f t="shared" si="16"/>
        <v>-0.16666666666666607</v>
      </c>
      <c r="CG34" s="614"/>
      <c r="CH34" s="614"/>
      <c r="CI34" s="614"/>
      <c r="CJ34" s="389" t="s">
        <v>110</v>
      </c>
      <c r="CK34" s="391">
        <v>11</v>
      </c>
      <c r="CL34" s="390">
        <v>4</v>
      </c>
      <c r="CM34" s="690">
        <v>2</v>
      </c>
      <c r="CN34" s="390">
        <f>CK34-12</f>
        <v>-1</v>
      </c>
      <c r="CO34" s="36"/>
      <c r="CP34" s="875" t="s">
        <v>48</v>
      </c>
      <c r="CQ34" s="875" t="s">
        <v>16</v>
      </c>
      <c r="CR34" s="876" t="s">
        <v>143</v>
      </c>
      <c r="CS34" s="877">
        <v>12.375000000000002</v>
      </c>
      <c r="CT34" s="877">
        <f t="shared" si="4"/>
        <v>0.37500000000000178</v>
      </c>
      <c r="CU34" s="878">
        <v>16</v>
      </c>
      <c r="CV34" s="879">
        <v>12.8125</v>
      </c>
      <c r="CW34" s="880">
        <f t="shared" si="5"/>
        <v>0.8125</v>
      </c>
      <c r="CX34" s="36"/>
      <c r="CY34" s="42" t="s">
        <v>48</v>
      </c>
      <c r="CZ34" s="42" t="s">
        <v>16</v>
      </c>
      <c r="DA34" s="42" t="s">
        <v>143</v>
      </c>
      <c r="DB34" s="97">
        <v>25</v>
      </c>
      <c r="DC34" s="134">
        <v>13.16</v>
      </c>
      <c r="DD34" s="97">
        <v>12</v>
      </c>
      <c r="DE34" s="134">
        <f>+DC34-DD34</f>
        <v>1.1600000000000001</v>
      </c>
      <c r="DF34" s="42"/>
      <c r="DG34" s="42"/>
      <c r="DH34" s="881" t="s">
        <v>48</v>
      </c>
      <c r="DI34" s="882" t="s">
        <v>16</v>
      </c>
      <c r="DJ34" s="881" t="s">
        <v>143</v>
      </c>
      <c r="DK34" s="883">
        <v>13.256410256410255</v>
      </c>
      <c r="DL34" s="882">
        <v>39</v>
      </c>
      <c r="DM34" s="884">
        <v>12</v>
      </c>
      <c r="DN34" s="883">
        <f t="shared" ref="DN34:DN39" si="17">DK34-DM34</f>
        <v>1.2564102564102555</v>
      </c>
    </row>
    <row r="35" spans="1:118">
      <c r="A35" s="5812">
        <v>2</v>
      </c>
      <c r="B35" s="5812">
        <v>3</v>
      </c>
      <c r="C35" s="5811" t="s">
        <v>129</v>
      </c>
      <c r="D35" s="5813">
        <v>13.9</v>
      </c>
      <c r="E35" s="5812">
        <v>10</v>
      </c>
      <c r="F35" s="1281">
        <f t="shared" si="0"/>
        <v>1.9000000000000004</v>
      </c>
      <c r="G35" s="97">
        <v>12</v>
      </c>
      <c r="I35" s="5047"/>
      <c r="J35" s="5047"/>
      <c r="K35" s="4884" t="s">
        <v>485</v>
      </c>
      <c r="L35" s="5049"/>
      <c r="M35" s="5051">
        <f>SUM(M32:M34)</f>
        <v>42</v>
      </c>
      <c r="N35" s="1675">
        <f>+(M32*N32+M33*N33+M34*N34)/M35</f>
        <v>3.0794566544566555</v>
      </c>
      <c r="O35" s="97"/>
      <c r="Q35" s="4615">
        <v>2</v>
      </c>
      <c r="R35" s="4615">
        <v>3</v>
      </c>
      <c r="S35" s="4602" t="s">
        <v>128</v>
      </c>
      <c r="T35" s="4603">
        <v>14.5</v>
      </c>
      <c r="U35" s="4604">
        <v>10</v>
      </c>
      <c r="V35" s="1346">
        <f t="shared" si="2"/>
        <v>2.5</v>
      </c>
      <c r="W35" s="95">
        <v>12</v>
      </c>
      <c r="Y35" s="4177"/>
      <c r="Z35" s="4177"/>
      <c r="AA35" s="4166" t="s">
        <v>109</v>
      </c>
      <c r="AB35" s="4178">
        <v>15.18</v>
      </c>
      <c r="AC35" s="4167">
        <v>50</v>
      </c>
      <c r="AD35" s="3863">
        <f>+(AC25*AD25+AC30*AD30+AC34*AD34)/AC35</f>
        <v>3.1807999999999996</v>
      </c>
      <c r="AE35" s="3749"/>
      <c r="AG35" s="36"/>
      <c r="AH35" s="36" t="s">
        <v>41</v>
      </c>
      <c r="AI35" s="36" t="s">
        <v>128</v>
      </c>
      <c r="AJ35" s="1346">
        <v>15.67</v>
      </c>
      <c r="AK35" s="95">
        <v>12</v>
      </c>
      <c r="AL35" s="1281">
        <f>AJ35-AM35</f>
        <v>3.67</v>
      </c>
      <c r="AM35" s="97">
        <v>12</v>
      </c>
      <c r="AN35" s="97"/>
      <c r="AO35" s="4215"/>
      <c r="AP35" s="4215" t="s">
        <v>41</v>
      </c>
      <c r="AQ35" s="4215" t="s">
        <v>128</v>
      </c>
      <c r="AR35" s="4221">
        <v>16.78</v>
      </c>
      <c r="AS35" s="4221">
        <v>9</v>
      </c>
      <c r="AT35" s="4263">
        <f t="shared" si="15"/>
        <v>4.7800000000000011</v>
      </c>
      <c r="AU35" s="4263">
        <v>12</v>
      </c>
      <c r="AW35" s="36"/>
      <c r="AX35" s="36" t="s">
        <v>41</v>
      </c>
      <c r="AY35" s="36" t="s">
        <v>128</v>
      </c>
      <c r="AZ35" s="1345">
        <v>14.55</v>
      </c>
      <c r="BA35" s="95">
        <v>20</v>
      </c>
      <c r="BB35" s="134">
        <f t="shared" si="7"/>
        <v>2.5500000000000007</v>
      </c>
      <c r="BC35" s="97">
        <v>12</v>
      </c>
      <c r="BD35" s="97"/>
      <c r="BE35" s="51"/>
      <c r="BF35" s="85"/>
      <c r="BG35" s="51" t="s">
        <v>129</v>
      </c>
      <c r="BH35" s="837">
        <v>16</v>
      </c>
      <c r="BI35" s="85">
        <v>15</v>
      </c>
      <c r="BJ35" s="1306">
        <f>BH35-12</f>
        <v>4</v>
      </c>
      <c r="BL35" s="97"/>
      <c r="BM35" s="97"/>
      <c r="BN35" s="42" t="s">
        <v>320</v>
      </c>
      <c r="BO35" s="134">
        <v>14.57</v>
      </c>
      <c r="BP35" s="97">
        <v>7</v>
      </c>
      <c r="BQ35" s="1306">
        <f>BO35-12</f>
        <v>2.5700000000000003</v>
      </c>
      <c r="BS35" s="1209"/>
      <c r="BT35" s="1209"/>
      <c r="BU35" s="1305" t="s">
        <v>320</v>
      </c>
      <c r="BV35" s="1306">
        <v>13.916666666666668</v>
      </c>
      <c r="BW35" s="1307">
        <v>12</v>
      </c>
      <c r="BX35" s="1306">
        <f>BV35-12</f>
        <v>1.9166666666666679</v>
      </c>
      <c r="BZ35" s="871"/>
      <c r="CA35" s="871"/>
      <c r="CB35" s="885" t="s">
        <v>483</v>
      </c>
      <c r="CC35" s="886">
        <v>12.730769230769226</v>
      </c>
      <c r="CD35" s="887">
        <v>26</v>
      </c>
      <c r="CE35" s="800">
        <f t="shared" si="16"/>
        <v>0.7307692307692264</v>
      </c>
      <c r="CG35" s="614"/>
      <c r="CH35" s="614"/>
      <c r="CI35" s="614"/>
      <c r="CJ35" s="709" t="s">
        <v>483</v>
      </c>
      <c r="CK35" s="394">
        <v>12.933333333333332</v>
      </c>
      <c r="CL35" s="395">
        <v>30</v>
      </c>
      <c r="CM35" s="710">
        <v>2.6901266901756502</v>
      </c>
      <c r="CN35" s="888">
        <f>+(CL32*CN32+CL33*CN33+CL34*CN34)/CL35</f>
        <v>0.93333333333333224</v>
      </c>
      <c r="CO35" s="36"/>
      <c r="CP35" s="875"/>
      <c r="CQ35" s="875"/>
      <c r="CR35" s="876" t="s">
        <v>127</v>
      </c>
      <c r="CS35" s="877">
        <v>10</v>
      </c>
      <c r="CT35" s="877">
        <f t="shared" si="4"/>
        <v>-2</v>
      </c>
      <c r="CU35" s="878">
        <v>2</v>
      </c>
      <c r="CV35" s="879">
        <v>10</v>
      </c>
      <c r="CW35" s="880">
        <f t="shared" si="5"/>
        <v>-2</v>
      </c>
      <c r="CX35" s="36"/>
      <c r="CY35" s="42"/>
      <c r="CZ35" s="42"/>
      <c r="DA35" s="42" t="s">
        <v>127</v>
      </c>
      <c r="DB35" s="97">
        <v>1</v>
      </c>
      <c r="DC35" s="134">
        <v>12</v>
      </c>
      <c r="DD35" s="97">
        <v>12</v>
      </c>
      <c r="DE35" s="134">
        <f>+DC35-DD35</f>
        <v>0</v>
      </c>
      <c r="DF35" s="42"/>
      <c r="DG35" s="42"/>
      <c r="DH35" s="881"/>
      <c r="DI35" s="882"/>
      <c r="DJ35" s="881" t="s">
        <v>110</v>
      </c>
      <c r="DK35" s="883">
        <v>10.625</v>
      </c>
      <c r="DL35" s="882">
        <v>8</v>
      </c>
      <c r="DM35" s="884">
        <v>12</v>
      </c>
      <c r="DN35" s="883">
        <f t="shared" si="17"/>
        <v>-1.375</v>
      </c>
    </row>
    <row r="36" spans="1:118">
      <c r="A36" s="5812">
        <v>2</v>
      </c>
      <c r="B36" s="5812">
        <v>3</v>
      </c>
      <c r="C36" s="5811" t="s">
        <v>128</v>
      </c>
      <c r="D36" s="5813">
        <v>16.423076923076923</v>
      </c>
      <c r="E36" s="5812">
        <v>14</v>
      </c>
      <c r="F36" s="1281">
        <f t="shared" si="0"/>
        <v>16.423076923076923</v>
      </c>
      <c r="G36" s="1"/>
      <c r="I36" s="5055"/>
      <c r="J36" s="5055"/>
      <c r="K36" s="4609" t="s">
        <v>109</v>
      </c>
      <c r="L36" s="5058"/>
      <c r="M36" s="5057">
        <f>SUM(M35,M31,M25)</f>
        <v>103</v>
      </c>
      <c r="N36" s="3863">
        <f>+(M25*N25+M31*N31+M35*N35)/M36</f>
        <v>2.5650112023898437</v>
      </c>
      <c r="O36" s="4381"/>
      <c r="Q36" s="4615"/>
      <c r="R36" s="4615"/>
      <c r="S36" s="4520" t="s">
        <v>485</v>
      </c>
      <c r="T36" s="4603"/>
      <c r="U36" s="4613">
        <f>SUM(U33:U35)</f>
        <v>20</v>
      </c>
      <c r="V36" s="1675">
        <f>+(U33*V33+U34*V34+U35*V35)/U36</f>
        <v>4.0324999999999998</v>
      </c>
      <c r="Y36" s="36" t="s">
        <v>48</v>
      </c>
      <c r="Z36" s="36" t="s">
        <v>16</v>
      </c>
      <c r="AA36" s="36" t="s">
        <v>143</v>
      </c>
      <c r="AB36" s="1346">
        <v>14.2</v>
      </c>
      <c r="AC36" s="95">
        <v>10</v>
      </c>
      <c r="AD36" s="1281">
        <f>AB36-AE36</f>
        <v>2.1999999999999993</v>
      </c>
      <c r="AE36" s="97">
        <v>12</v>
      </c>
      <c r="AG36" s="36"/>
      <c r="AH36" s="36"/>
      <c r="AI36" s="36" t="s">
        <v>129</v>
      </c>
      <c r="AJ36" s="1346">
        <v>13.6</v>
      </c>
      <c r="AK36" s="95">
        <v>10</v>
      </c>
      <c r="AL36" s="1281">
        <f>AJ36-AM36</f>
        <v>1.5999999999999996</v>
      </c>
      <c r="AM36" s="97">
        <v>12</v>
      </c>
      <c r="AN36" s="97"/>
      <c r="AO36" s="4215"/>
      <c r="AP36" s="4215"/>
      <c r="AQ36" s="4215" t="s">
        <v>129</v>
      </c>
      <c r="AR36" s="4221">
        <v>13.6</v>
      </c>
      <c r="AS36" s="4221">
        <v>10</v>
      </c>
      <c r="AT36" s="4263">
        <f t="shared" si="15"/>
        <v>1.5999999999999996</v>
      </c>
      <c r="AU36" s="4263">
        <v>12</v>
      </c>
      <c r="AW36" s="36"/>
      <c r="AX36" s="36"/>
      <c r="AY36" s="36" t="s">
        <v>129</v>
      </c>
      <c r="AZ36" s="1345">
        <v>13.75</v>
      </c>
      <c r="BA36" s="95">
        <v>8</v>
      </c>
      <c r="BB36" s="134">
        <f t="shared" si="7"/>
        <v>1.75</v>
      </c>
      <c r="BC36" s="97">
        <v>12</v>
      </c>
      <c r="BD36" s="97"/>
      <c r="BE36" s="51"/>
      <c r="BF36" s="85"/>
      <c r="BG36" s="51" t="s">
        <v>320</v>
      </c>
      <c r="BH36" s="837">
        <v>16</v>
      </c>
      <c r="BI36" s="85">
        <v>4</v>
      </c>
      <c r="BJ36" s="1306">
        <f>BH36-12</f>
        <v>4</v>
      </c>
      <c r="BL36" s="97"/>
      <c r="BM36" s="97"/>
      <c r="BN36" s="893" t="s">
        <v>485</v>
      </c>
      <c r="BO36" s="894">
        <v>14.09</v>
      </c>
      <c r="BP36" s="135">
        <v>33</v>
      </c>
      <c r="BQ36" s="800">
        <f>+(BP33*BQ33+BP34*BQ34+BP35*BQ35)/BP36</f>
        <v>2.0893939393939394</v>
      </c>
      <c r="BS36" s="1209"/>
      <c r="BT36" s="1209"/>
      <c r="BU36" s="1308" t="s">
        <v>485</v>
      </c>
      <c r="BV36" s="1309">
        <v>14.800000000000004</v>
      </c>
      <c r="BW36" s="1310">
        <v>40</v>
      </c>
      <c r="BX36" s="800">
        <f>+(BW33*BX33+BW34*BX34+BW35*BX35)/BW36</f>
        <v>2.8</v>
      </c>
      <c r="BZ36" s="871"/>
      <c r="CA36" s="871" t="s">
        <v>41</v>
      </c>
      <c r="CB36" s="872" t="s">
        <v>144</v>
      </c>
      <c r="CC36" s="873">
        <v>12.5</v>
      </c>
      <c r="CD36" s="874">
        <v>6</v>
      </c>
      <c r="CE36" s="778">
        <f>CC36-9</f>
        <v>3.5</v>
      </c>
      <c r="CG36" s="614"/>
      <c r="CH36" s="614"/>
      <c r="CI36" s="614" t="s">
        <v>41</v>
      </c>
      <c r="CJ36" s="389" t="s">
        <v>144</v>
      </c>
      <c r="CK36" s="391">
        <v>10.4</v>
      </c>
      <c r="CL36" s="390">
        <v>5</v>
      </c>
      <c r="CM36" s="690">
        <v>2.0736441353327724</v>
      </c>
      <c r="CN36" s="390">
        <f>CK36-8</f>
        <v>2.4000000000000004</v>
      </c>
      <c r="CO36" s="36"/>
      <c r="CP36" s="875"/>
      <c r="CQ36" s="875"/>
      <c r="CR36" s="876" t="s">
        <v>110</v>
      </c>
      <c r="CS36" s="877">
        <v>12</v>
      </c>
      <c r="CT36" s="877">
        <f t="shared" si="4"/>
        <v>0</v>
      </c>
      <c r="CU36" s="878">
        <v>6</v>
      </c>
      <c r="CV36" s="879">
        <v>12.166666666666666</v>
      </c>
      <c r="CW36" s="880">
        <f t="shared" si="5"/>
        <v>0.16666666666666607</v>
      </c>
      <c r="CX36" s="36"/>
      <c r="CY36" s="42"/>
      <c r="CZ36" s="42"/>
      <c r="DA36" s="42" t="s">
        <v>110</v>
      </c>
      <c r="DB36" s="97">
        <v>7</v>
      </c>
      <c r="DC36" s="134">
        <v>10.857142857142858</v>
      </c>
      <c r="DD36" s="97">
        <v>12</v>
      </c>
      <c r="DE36" s="134">
        <f>+DC36-DD36</f>
        <v>-1.1428571428571423</v>
      </c>
      <c r="DF36" s="895">
        <f>AVERAGE(DE38:DE39)</f>
        <v>6.125</v>
      </c>
      <c r="DG36" s="42"/>
      <c r="DH36" s="881"/>
      <c r="DI36" s="882"/>
      <c r="DJ36" s="882" t="s">
        <v>15</v>
      </c>
      <c r="DK36" s="883">
        <v>12.808510638297872</v>
      </c>
      <c r="DL36" s="882">
        <v>47</v>
      </c>
      <c r="DM36" s="884"/>
      <c r="DN36" s="896">
        <f>AVERAGE(DN34:DN35)</f>
        <v>-5.929487179487225E-2</v>
      </c>
    </row>
    <row r="37" spans="1:118">
      <c r="A37" s="5812"/>
      <c r="B37" s="5812"/>
      <c r="C37" s="135" t="s">
        <v>41</v>
      </c>
      <c r="D37" s="5050"/>
      <c r="E37" s="5051">
        <f>SUM(E34:E36)</f>
        <v>42</v>
      </c>
      <c r="F37" s="1675">
        <f>+(E34*F34+E35*F35+E36*F36)/E37</f>
        <v>7.8410256410256425</v>
      </c>
      <c r="G37" s="1"/>
      <c r="I37" s="5052">
        <v>3</v>
      </c>
      <c r="J37" s="5052">
        <v>2</v>
      </c>
      <c r="K37" s="5053" t="s">
        <v>291</v>
      </c>
      <c r="L37" s="5054">
        <v>12.773809523809524</v>
      </c>
      <c r="M37" s="5052">
        <v>13</v>
      </c>
      <c r="N37" s="1346">
        <f t="shared" si="1"/>
        <v>0.77380952380952372</v>
      </c>
      <c r="O37" s="97">
        <v>12</v>
      </c>
      <c r="Q37" s="4616"/>
      <c r="R37" s="4616"/>
      <c r="S37" s="4609" t="s">
        <v>109</v>
      </c>
      <c r="T37" s="4610"/>
      <c r="U37" s="4614">
        <f>SUM(U36,U32,U26)</f>
        <v>68</v>
      </c>
      <c r="V37" s="3863">
        <f>+(U26*V26+U32*V32+U36*V36)/U37</f>
        <v>3.5602941176470582</v>
      </c>
      <c r="W37" s="4612"/>
      <c r="Y37" s="36"/>
      <c r="Z37" s="36"/>
      <c r="AA37" s="36" t="s">
        <v>127</v>
      </c>
      <c r="AB37" s="1346">
        <v>20</v>
      </c>
      <c r="AC37" s="95">
        <v>1</v>
      </c>
      <c r="AD37" s="1281">
        <f>AB37-AE37</f>
        <v>8</v>
      </c>
      <c r="AE37" s="97">
        <v>12</v>
      </c>
      <c r="AG37" s="36"/>
      <c r="AH37" s="36"/>
      <c r="AI37" s="36" t="s">
        <v>320</v>
      </c>
      <c r="AJ37" s="1346">
        <v>15.6</v>
      </c>
      <c r="AK37" s="95">
        <v>15</v>
      </c>
      <c r="AL37" s="1281">
        <f>AJ37-AM37</f>
        <v>3.5999999999999996</v>
      </c>
      <c r="AM37" s="97">
        <v>12</v>
      </c>
      <c r="AN37" s="97"/>
      <c r="AO37" s="4215"/>
      <c r="AP37" s="4215"/>
      <c r="AQ37" s="4215" t="s">
        <v>320</v>
      </c>
      <c r="AR37" s="4221">
        <v>15.69</v>
      </c>
      <c r="AS37" s="4221">
        <v>13</v>
      </c>
      <c r="AT37" s="4263">
        <f t="shared" si="15"/>
        <v>3.6899999999999995</v>
      </c>
      <c r="AU37" s="4263">
        <v>12</v>
      </c>
      <c r="AW37" s="36"/>
      <c r="AX37" s="36"/>
      <c r="AY37" s="36" t="s">
        <v>320</v>
      </c>
      <c r="AZ37" s="1345">
        <v>14.3</v>
      </c>
      <c r="BA37" s="95">
        <v>10</v>
      </c>
      <c r="BB37" s="134">
        <f t="shared" si="7"/>
        <v>2.3000000000000007</v>
      </c>
      <c r="BC37" s="97">
        <v>12</v>
      </c>
      <c r="BD37" s="97"/>
      <c r="BE37" s="51"/>
      <c r="BF37" s="85"/>
      <c r="BG37" s="1689" t="s">
        <v>485</v>
      </c>
      <c r="BH37" s="1690">
        <v>16.03</v>
      </c>
      <c r="BI37" s="1691">
        <v>33</v>
      </c>
      <c r="BJ37" s="800">
        <f>+(BI34*BJ34+BI35*BJ35+BI36*BJ36)/BI37</f>
        <v>4.0296969696969702</v>
      </c>
      <c r="BL37" s="1501"/>
      <c r="BM37" s="1501"/>
      <c r="BN37" s="1498" t="s">
        <v>109</v>
      </c>
      <c r="BO37" s="1499">
        <v>14.34</v>
      </c>
      <c r="BP37" s="1500">
        <v>136</v>
      </c>
      <c r="BQ37" s="1502">
        <f>+(BP26*BQ26+BP32*BQ32+BP36*BQ36)/BP37</f>
        <v>2.845735294117647</v>
      </c>
      <c r="BS37" s="1209"/>
      <c r="BT37" s="1209"/>
      <c r="BU37" s="1308" t="s">
        <v>109</v>
      </c>
      <c r="BV37" s="1309">
        <v>15.029126213592232</v>
      </c>
      <c r="BW37" s="1310">
        <v>103</v>
      </c>
      <c r="BX37" s="800">
        <f>+(BW26*BX26+BW32*BX32+BW36*BX36)/BW37</f>
        <v>3.5242718446601948</v>
      </c>
      <c r="BZ37" s="871"/>
      <c r="CA37" s="871"/>
      <c r="CB37" s="872" t="s">
        <v>320</v>
      </c>
      <c r="CC37" s="873">
        <v>14.142857142857142</v>
      </c>
      <c r="CD37" s="874">
        <v>7</v>
      </c>
      <c r="CE37" s="778">
        <f t="shared" si="16"/>
        <v>2.1428571428571423</v>
      </c>
      <c r="CG37" s="614"/>
      <c r="CH37" s="614"/>
      <c r="CI37" s="614"/>
      <c r="CJ37" s="389" t="s">
        <v>320</v>
      </c>
      <c r="CK37" s="391">
        <v>13.714285714285714</v>
      </c>
      <c r="CL37" s="390">
        <v>7</v>
      </c>
      <c r="CM37" s="690">
        <v>4.8550415622761216</v>
      </c>
      <c r="CN37" s="390">
        <f>CK37-9</f>
        <v>4.7142857142857135</v>
      </c>
      <c r="CO37" s="36"/>
      <c r="CP37" s="875"/>
      <c r="CQ37" s="875"/>
      <c r="CR37" s="889" t="s">
        <v>483</v>
      </c>
      <c r="CS37" s="888">
        <v>12.083333333333334</v>
      </c>
      <c r="CT37" s="888">
        <f>+(CU34*CT34+CU35*CT35+CU36*CT36)/CU37</f>
        <v>8.3333333333334522E-2</v>
      </c>
      <c r="CU37" s="890">
        <v>24</v>
      </c>
      <c r="CV37" s="891">
        <v>12.416666666666666</v>
      </c>
      <c r="CW37" s="892">
        <f>+(CU34*CW34+CU35*CW35+CU36*CW36)/CU37</f>
        <v>0.41666666666666652</v>
      </c>
      <c r="CX37" s="36"/>
      <c r="CY37" s="42"/>
      <c r="CZ37" s="42"/>
      <c r="DA37" s="893" t="s">
        <v>15</v>
      </c>
      <c r="DB37" s="135">
        <v>33</v>
      </c>
      <c r="DC37" s="894">
        <v>12.636363636363637</v>
      </c>
      <c r="DD37" s="135"/>
      <c r="DE37" s="894">
        <f>+(DB34*DE34+DB35*DE35+DB36*DE36)/DB37</f>
        <v>0.63636363636363658</v>
      </c>
      <c r="DF37" s="42"/>
      <c r="DG37" s="42"/>
      <c r="DH37" s="881"/>
      <c r="DI37" s="882"/>
      <c r="DJ37" s="882"/>
      <c r="DK37" s="883"/>
      <c r="DL37" s="882"/>
      <c r="DM37" s="884"/>
      <c r="DN37" s="896"/>
    </row>
    <row r="38" spans="1:118">
      <c r="A38" s="5654"/>
      <c r="B38" s="5654"/>
      <c r="C38" s="5818" t="s">
        <v>73</v>
      </c>
      <c r="D38" s="5819"/>
      <c r="E38" s="5820">
        <f>SUM(E37,E33,E26)</f>
        <v>104</v>
      </c>
      <c r="F38" s="3863">
        <f>+(E26*F26+E33*F33+E37*F37)/E38</f>
        <v>4.5922090729783047</v>
      </c>
      <c r="G38" s="5806"/>
      <c r="I38" s="5047">
        <v>3</v>
      </c>
      <c r="J38" s="5047">
        <v>2</v>
      </c>
      <c r="K38" s="5048" t="s">
        <v>2738</v>
      </c>
      <c r="L38" s="5049">
        <v>10.7</v>
      </c>
      <c r="M38" s="5047">
        <v>6</v>
      </c>
      <c r="N38" s="1346">
        <f t="shared" si="1"/>
        <v>-1.3000000000000007</v>
      </c>
      <c r="O38" s="97">
        <v>12</v>
      </c>
      <c r="Q38" s="4617">
        <v>3</v>
      </c>
      <c r="R38" s="4617">
        <v>2</v>
      </c>
      <c r="S38" s="4606" t="s">
        <v>291</v>
      </c>
      <c r="T38" s="4607">
        <v>15.066666666666666</v>
      </c>
      <c r="U38" s="4608">
        <v>8</v>
      </c>
      <c r="V38" s="1346">
        <f t="shared" si="2"/>
        <v>3.0666666666666664</v>
      </c>
      <c r="W38" s="95">
        <v>12</v>
      </c>
      <c r="Y38" s="36"/>
      <c r="Z38" s="36"/>
      <c r="AA38" s="36" t="s">
        <v>110</v>
      </c>
      <c r="AB38" s="1346">
        <v>11.57</v>
      </c>
      <c r="AC38" s="95">
        <v>14</v>
      </c>
      <c r="AD38" s="1281">
        <f>AB38-AE38</f>
        <v>-0.42999999999999972</v>
      </c>
      <c r="AE38" s="97">
        <v>12</v>
      </c>
      <c r="AG38" s="36"/>
      <c r="AH38" s="36"/>
      <c r="AI38" s="393" t="s">
        <v>485</v>
      </c>
      <c r="AJ38" s="1361">
        <v>15.08</v>
      </c>
      <c r="AK38" s="3794">
        <v>37</v>
      </c>
      <c r="AL38" s="1675">
        <f>+(AK35*AL35+AK36*AL36+AK37*AL37)/AK38</f>
        <v>3.0821621621621618</v>
      </c>
      <c r="AM38" s="97"/>
      <c r="AN38" s="97"/>
      <c r="AO38" s="4215"/>
      <c r="AP38" s="4215"/>
      <c r="AQ38" s="4222" t="s">
        <v>485</v>
      </c>
      <c r="AR38" s="4223">
        <v>15.34</v>
      </c>
      <c r="AS38" s="4223">
        <v>32</v>
      </c>
      <c r="AT38" s="4437">
        <f>+(AS35*AT35+AS36*AT36+AS37*AT37)/AS38</f>
        <v>3.3434375000000003</v>
      </c>
      <c r="AU38" s="4263"/>
      <c r="AW38" s="36"/>
      <c r="AX38" s="36"/>
      <c r="AY38" s="393" t="s">
        <v>485</v>
      </c>
      <c r="AZ38" s="1360">
        <v>14.32</v>
      </c>
      <c r="BA38" s="2041">
        <v>38</v>
      </c>
      <c r="BB38" s="800">
        <f>+(BA35*BB35+BA36*BB36+BA37*BB37)/BA38</f>
        <v>2.3157894736842111</v>
      </c>
      <c r="BC38" s="97"/>
      <c r="BD38" s="97"/>
      <c r="BE38" s="1692"/>
      <c r="BF38" s="1688"/>
      <c r="BG38" s="1693" t="s">
        <v>109</v>
      </c>
      <c r="BH38" s="1694">
        <v>15.69</v>
      </c>
      <c r="BI38" s="1695">
        <v>114</v>
      </c>
      <c r="BJ38" s="1502">
        <f>+(BI27*BJ27+BI33*BJ33+BI37*BJ37)/BI38</f>
        <v>3.6930701754385966</v>
      </c>
      <c r="BL38" s="97" t="s">
        <v>48</v>
      </c>
      <c r="BM38" s="97" t="s">
        <v>16</v>
      </c>
      <c r="BN38" s="42" t="s">
        <v>143</v>
      </c>
      <c r="BO38" s="134">
        <v>12.14</v>
      </c>
      <c r="BP38" s="97">
        <v>14</v>
      </c>
      <c r="BQ38" s="1313">
        <f>BO38-12</f>
        <v>0.14000000000000057</v>
      </c>
      <c r="BS38" s="1311" t="s">
        <v>48</v>
      </c>
      <c r="BT38" s="1311" t="s">
        <v>16</v>
      </c>
      <c r="BU38" s="1312" t="s">
        <v>143</v>
      </c>
      <c r="BV38" s="1313">
        <v>12.772727272727273</v>
      </c>
      <c r="BW38" s="1314">
        <v>22</v>
      </c>
      <c r="BX38" s="1313">
        <f>BV38-12</f>
        <v>0.77272727272727337</v>
      </c>
      <c r="BZ38" s="871"/>
      <c r="CA38" s="871"/>
      <c r="CB38" s="885" t="s">
        <v>485</v>
      </c>
      <c r="CC38" s="886">
        <v>13.384615384615383</v>
      </c>
      <c r="CD38" s="887">
        <v>13</v>
      </c>
      <c r="CE38" s="800">
        <f>+(CD36*CE36+CD37*CE37)/CD38</f>
        <v>2.7692307692307692</v>
      </c>
      <c r="CG38" s="614"/>
      <c r="CH38" s="614"/>
      <c r="CI38" s="614"/>
      <c r="CJ38" s="709" t="s">
        <v>485</v>
      </c>
      <c r="CK38" s="394">
        <v>12.333333333333334</v>
      </c>
      <c r="CL38" s="395">
        <v>12</v>
      </c>
      <c r="CM38" s="710">
        <v>4.1633319989322652</v>
      </c>
      <c r="CN38" s="888">
        <f>+(CL36*CN36+CL37*CN37)/CL38</f>
        <v>3.7499999999999996</v>
      </c>
      <c r="CO38" s="36"/>
      <c r="CP38" s="875"/>
      <c r="CQ38" s="875" t="s">
        <v>41</v>
      </c>
      <c r="CR38" s="876" t="s">
        <v>144</v>
      </c>
      <c r="CS38" s="877">
        <v>10.5</v>
      </c>
      <c r="CT38" s="877">
        <f t="shared" si="4"/>
        <v>2.5</v>
      </c>
      <c r="CU38" s="878">
        <v>2</v>
      </c>
      <c r="CV38" s="879">
        <v>14.5</v>
      </c>
      <c r="CW38" s="880">
        <f t="shared" si="5"/>
        <v>6.5</v>
      </c>
      <c r="CX38" s="36"/>
      <c r="CY38" s="42"/>
      <c r="CZ38" s="42" t="s">
        <v>41</v>
      </c>
      <c r="DA38" s="42" t="s">
        <v>144</v>
      </c>
      <c r="DB38" s="97">
        <v>4</v>
      </c>
      <c r="DC38" s="134">
        <v>9.25</v>
      </c>
      <c r="DD38" s="97">
        <v>8</v>
      </c>
      <c r="DE38" s="134">
        <f>+DC38-DD38</f>
        <v>1.25</v>
      </c>
      <c r="DF38" s="895">
        <f>+DE42</f>
        <v>5</v>
      </c>
      <c r="DG38" s="42"/>
      <c r="DH38" s="881"/>
      <c r="DI38" s="882" t="s">
        <v>41</v>
      </c>
      <c r="DJ38" s="881" t="s">
        <v>728</v>
      </c>
      <c r="DK38" s="883">
        <v>11.636363636363637</v>
      </c>
      <c r="DL38" s="882">
        <v>11</v>
      </c>
      <c r="DM38" s="884">
        <v>9</v>
      </c>
      <c r="DN38" s="883">
        <f t="shared" si="17"/>
        <v>2.6363636363636367</v>
      </c>
    </row>
    <row r="39" spans="1:118">
      <c r="A39" s="5814">
        <v>3</v>
      </c>
      <c r="B39" s="5814">
        <v>2</v>
      </c>
      <c r="C39" s="5815" t="s">
        <v>291</v>
      </c>
      <c r="D39" s="5816">
        <v>12.7</v>
      </c>
      <c r="E39" s="5814">
        <v>13</v>
      </c>
      <c r="F39" s="1281">
        <f t="shared" si="0"/>
        <v>0.69999999999999929</v>
      </c>
      <c r="G39" s="97">
        <v>12</v>
      </c>
      <c r="I39" s="5047">
        <v>3</v>
      </c>
      <c r="J39" s="5047">
        <v>2</v>
      </c>
      <c r="K39" s="5048" t="s">
        <v>2737</v>
      </c>
      <c r="L39" s="5049">
        <v>13</v>
      </c>
      <c r="M39" s="5047">
        <v>1</v>
      </c>
      <c r="N39" s="1346">
        <f t="shared" si="1"/>
        <v>1</v>
      </c>
      <c r="O39" s="97">
        <v>12</v>
      </c>
      <c r="Q39" s="4615">
        <v>3</v>
      </c>
      <c r="R39" s="4615">
        <v>2</v>
      </c>
      <c r="S39" s="4602" t="s">
        <v>2738</v>
      </c>
      <c r="T39" s="4603">
        <v>11.736111111111111</v>
      </c>
      <c r="U39" s="4604">
        <v>13</v>
      </c>
      <c r="V39" s="1346">
        <f t="shared" si="2"/>
        <v>-0.26388888888888928</v>
      </c>
      <c r="W39" s="95">
        <v>12</v>
      </c>
      <c r="Y39" s="36"/>
      <c r="Z39" s="36"/>
      <c r="AA39" s="393" t="s">
        <v>483</v>
      </c>
      <c r="AB39" s="1361">
        <v>12.96</v>
      </c>
      <c r="AC39" s="4170">
        <v>25</v>
      </c>
      <c r="AD39" s="1675">
        <f>+(AC36*AD36+AC37*AD37+AC38*AD38)/AC39</f>
        <v>0.95919999999999983</v>
      </c>
      <c r="AG39" s="3747"/>
      <c r="AH39" s="3747"/>
      <c r="AI39" s="3748" t="s">
        <v>109</v>
      </c>
      <c r="AJ39" s="3865">
        <v>15.1</v>
      </c>
      <c r="AK39" s="3746">
        <v>129</v>
      </c>
      <c r="AL39" s="3863">
        <f>+(AK28*AL28+AK34*AL34+AK38*AL38)/AK39</f>
        <v>3.1023255813953483</v>
      </c>
      <c r="AM39" s="3749"/>
      <c r="AN39" s="97"/>
      <c r="AO39" s="4438"/>
      <c r="AP39" s="4438"/>
      <c r="AQ39" s="4439" t="s">
        <v>109</v>
      </c>
      <c r="AR39" s="4440">
        <v>15.14</v>
      </c>
      <c r="AS39" s="4440">
        <v>94</v>
      </c>
      <c r="AT39" s="4443">
        <f>+(AS28*AT28+AS34*AT34+AS38*AT38)/AS39</f>
        <v>3.1379787234042555</v>
      </c>
      <c r="AU39" s="4442"/>
      <c r="AW39" s="2022"/>
      <c r="AX39" s="2022"/>
      <c r="AY39" s="2023" t="s">
        <v>109</v>
      </c>
      <c r="AZ39" s="2024">
        <v>14.46</v>
      </c>
      <c r="BA39" s="2025">
        <v>147</v>
      </c>
      <c r="BB39" s="2065">
        <f>+(BA28*BB28+BA34*BB34+BA38*BB38)/BA39</f>
        <v>2.4627891156462587</v>
      </c>
      <c r="BC39" s="2066"/>
      <c r="BD39" s="97"/>
      <c r="BE39" s="51" t="s">
        <v>48</v>
      </c>
      <c r="BF39" s="85" t="s">
        <v>16</v>
      </c>
      <c r="BG39" s="51" t="s">
        <v>143</v>
      </c>
      <c r="BH39" s="837">
        <v>12.96</v>
      </c>
      <c r="BI39" s="85">
        <v>23</v>
      </c>
      <c r="BJ39" s="1306">
        <f>BH39-9</f>
        <v>3.9600000000000009</v>
      </c>
      <c r="BL39" s="97"/>
      <c r="BM39" s="97"/>
      <c r="BN39" s="42" t="s">
        <v>110</v>
      </c>
      <c r="BO39" s="134">
        <v>11.75</v>
      </c>
      <c r="BP39" s="97">
        <v>4</v>
      </c>
      <c r="BQ39" s="1306">
        <f>BO39-9</f>
        <v>2.75</v>
      </c>
      <c r="BS39" s="1209"/>
      <c r="BT39" s="1209"/>
      <c r="BU39" s="1305" t="s">
        <v>110</v>
      </c>
      <c r="BV39" s="1306">
        <v>11.555555555555555</v>
      </c>
      <c r="BW39" s="1307">
        <v>9</v>
      </c>
      <c r="BX39" s="1306">
        <f>BV39-9</f>
        <v>2.5555555555555554</v>
      </c>
      <c r="BZ39" s="871"/>
      <c r="CA39" s="871" t="s">
        <v>103</v>
      </c>
      <c r="CB39" s="872" t="s">
        <v>145</v>
      </c>
      <c r="CC39" s="873">
        <v>16.166666666666668</v>
      </c>
      <c r="CD39" s="874">
        <v>6</v>
      </c>
      <c r="CE39" s="778">
        <f t="shared" si="16"/>
        <v>4.1666666666666679</v>
      </c>
      <c r="CG39" s="614"/>
      <c r="CH39" s="614"/>
      <c r="CI39" s="614" t="s">
        <v>103</v>
      </c>
      <c r="CJ39" s="389" t="s">
        <v>145</v>
      </c>
      <c r="CK39" s="391">
        <v>14.5</v>
      </c>
      <c r="CL39" s="390">
        <v>2</v>
      </c>
      <c r="CM39" s="690">
        <v>3.5355339059327378</v>
      </c>
      <c r="CN39" s="390">
        <f>CK39-8</f>
        <v>6.5</v>
      </c>
      <c r="CO39" s="36"/>
      <c r="CP39" s="875"/>
      <c r="CQ39" s="875"/>
      <c r="CR39" s="876" t="s">
        <v>320</v>
      </c>
      <c r="CS39" s="877">
        <v>14.799999999999997</v>
      </c>
      <c r="CT39" s="877">
        <f t="shared" si="4"/>
        <v>5.7999999999999972</v>
      </c>
      <c r="CU39" s="878">
        <v>15</v>
      </c>
      <c r="CV39" s="879">
        <v>17.266666666666662</v>
      </c>
      <c r="CW39" s="880">
        <f t="shared" si="5"/>
        <v>8.2666666666666622</v>
      </c>
      <c r="CX39" s="36"/>
      <c r="CY39" s="42"/>
      <c r="CZ39" s="42"/>
      <c r="DA39" s="42" t="s">
        <v>320</v>
      </c>
      <c r="DB39" s="97">
        <v>14</v>
      </c>
      <c r="DC39" s="134">
        <v>20</v>
      </c>
      <c r="DD39" s="97">
        <v>9</v>
      </c>
      <c r="DE39" s="134">
        <f>+DC39-DD39</f>
        <v>11</v>
      </c>
      <c r="DF39" s="42"/>
      <c r="DG39" s="42"/>
      <c r="DH39" s="881"/>
      <c r="DI39" s="882"/>
      <c r="DJ39" s="881" t="s">
        <v>144</v>
      </c>
      <c r="DK39" s="883">
        <v>11.4</v>
      </c>
      <c r="DL39" s="882">
        <v>5</v>
      </c>
      <c r="DM39" s="884">
        <v>8</v>
      </c>
      <c r="DN39" s="883">
        <f t="shared" si="17"/>
        <v>3.4000000000000004</v>
      </c>
    </row>
    <row r="40" spans="1:118">
      <c r="A40" s="5812">
        <v>3</v>
      </c>
      <c r="B40" s="5812">
        <v>2</v>
      </c>
      <c r="C40" s="5811" t="s">
        <v>2738</v>
      </c>
      <c r="D40" s="5813">
        <v>11.125</v>
      </c>
      <c r="E40" s="5812">
        <v>8</v>
      </c>
      <c r="F40" s="1281">
        <f t="shared" si="0"/>
        <v>-0.875</v>
      </c>
      <c r="G40" s="97">
        <v>12</v>
      </c>
      <c r="I40" s="5047"/>
      <c r="J40" s="5047"/>
      <c r="K40" s="4884" t="s">
        <v>483</v>
      </c>
      <c r="L40" s="5049"/>
      <c r="M40" s="5051">
        <f>SUM(M37:M39)</f>
        <v>20</v>
      </c>
      <c r="N40" s="1675">
        <f>+(M37*N37+M38*N38+M39*N39)/M40</f>
        <v>0.16297619047619022</v>
      </c>
      <c r="O40" s="97"/>
      <c r="Q40" s="4615">
        <v>3</v>
      </c>
      <c r="R40" s="4615">
        <v>2</v>
      </c>
      <c r="S40" s="4602" t="s">
        <v>2737</v>
      </c>
      <c r="T40" s="4603">
        <v>20</v>
      </c>
      <c r="U40" s="4604">
        <v>1</v>
      </c>
      <c r="V40" s="1346">
        <f t="shared" si="2"/>
        <v>8</v>
      </c>
      <c r="W40" s="95">
        <v>12</v>
      </c>
      <c r="Y40" s="36"/>
      <c r="Z40" s="36" t="s">
        <v>41</v>
      </c>
      <c r="AA40" s="36" t="s">
        <v>144</v>
      </c>
      <c r="AB40" s="1346">
        <v>9.5</v>
      </c>
      <c r="AC40" s="95">
        <v>4</v>
      </c>
      <c r="AD40" s="1281">
        <f>AB40-AE40</f>
        <v>0.5</v>
      </c>
      <c r="AE40" s="97">
        <v>9</v>
      </c>
      <c r="AG40" s="36" t="s">
        <v>48</v>
      </c>
      <c r="AH40" s="36" t="s">
        <v>16</v>
      </c>
      <c r="AI40" s="36" t="s">
        <v>143</v>
      </c>
      <c r="AJ40" s="1346">
        <v>13.17</v>
      </c>
      <c r="AK40" s="95">
        <v>18</v>
      </c>
      <c r="AL40" s="1281">
        <f>AJ40-AM40</f>
        <v>1.17</v>
      </c>
      <c r="AM40" s="97">
        <v>12</v>
      </c>
      <c r="AN40" s="97"/>
      <c r="AO40" s="4215" t="s">
        <v>48</v>
      </c>
      <c r="AP40" s="4215" t="s">
        <v>16</v>
      </c>
      <c r="AQ40" s="4215" t="s">
        <v>143</v>
      </c>
      <c r="AR40" s="4221">
        <v>12.83</v>
      </c>
      <c r="AS40" s="4221">
        <v>12</v>
      </c>
      <c r="AT40" s="4263">
        <f>AR40-AU40</f>
        <v>0.83000000000000007</v>
      </c>
      <c r="AU40" s="4263">
        <v>12</v>
      </c>
      <c r="AW40" s="36" t="s">
        <v>48</v>
      </c>
      <c r="AX40" s="36" t="s">
        <v>16</v>
      </c>
      <c r="AY40" s="36" t="s">
        <v>143</v>
      </c>
      <c r="AZ40" s="1345">
        <v>13.33</v>
      </c>
      <c r="BA40" s="95">
        <v>18</v>
      </c>
      <c r="BB40" s="134">
        <f t="shared" si="7"/>
        <v>1.33</v>
      </c>
      <c r="BC40" s="97">
        <v>12</v>
      </c>
      <c r="BD40" s="97"/>
      <c r="BE40" s="51"/>
      <c r="BF40" s="85"/>
      <c r="BG40" s="51" t="s">
        <v>110</v>
      </c>
      <c r="BH40" s="837">
        <v>11.25</v>
      </c>
      <c r="BI40" s="85">
        <v>8</v>
      </c>
      <c r="BJ40" s="1306">
        <f>BH40-9</f>
        <v>2.25</v>
      </c>
      <c r="BL40" s="97"/>
      <c r="BM40" s="97"/>
      <c r="BN40" s="893" t="s">
        <v>483</v>
      </c>
      <c r="BO40" s="894">
        <v>12.06</v>
      </c>
      <c r="BP40" s="135">
        <v>18</v>
      </c>
      <c r="BQ40" s="800">
        <f>+(BP38*BQ38+BP39*BQ39)/BP40</f>
        <v>0.72000000000000042</v>
      </c>
      <c r="BS40" s="1209"/>
      <c r="BT40" s="1209"/>
      <c r="BU40" s="1308" t="s">
        <v>483</v>
      </c>
      <c r="BV40" s="1309">
        <v>12.419354838709676</v>
      </c>
      <c r="BW40" s="1310">
        <v>31</v>
      </c>
      <c r="BX40" s="800">
        <f>+(BW38*BX38+BW39*BX39)/BW40</f>
        <v>1.2903225806451617</v>
      </c>
      <c r="BZ40" s="871"/>
      <c r="CA40" s="871"/>
      <c r="CB40" s="885" t="s">
        <v>726</v>
      </c>
      <c r="CC40" s="886">
        <v>16.166666666666668</v>
      </c>
      <c r="CD40" s="887">
        <v>6</v>
      </c>
      <c r="CE40" s="800">
        <f t="shared" si="16"/>
        <v>4.1666666666666679</v>
      </c>
      <c r="CG40" s="614"/>
      <c r="CH40" s="614"/>
      <c r="CI40" s="614"/>
      <c r="CJ40" s="709" t="s">
        <v>726</v>
      </c>
      <c r="CK40" s="394">
        <v>14.5</v>
      </c>
      <c r="CL40" s="395">
        <v>2</v>
      </c>
      <c r="CM40" s="710">
        <v>3.5355339059327378</v>
      </c>
      <c r="CN40" s="888">
        <f>+(CL39*CN39)/CL40</f>
        <v>6.5</v>
      </c>
      <c r="CO40" s="36"/>
      <c r="CP40" s="875"/>
      <c r="CQ40" s="875"/>
      <c r="CR40" s="889" t="s">
        <v>485</v>
      </c>
      <c r="CS40" s="888">
        <v>14.294117647058822</v>
      </c>
      <c r="CT40" s="888">
        <f>+(CU38*CT38+CU39*CT39)/CU40</f>
        <v>5.4117647058823506</v>
      </c>
      <c r="CU40" s="890">
        <v>17</v>
      </c>
      <c r="CV40" s="891">
        <v>16.941176470588236</v>
      </c>
      <c r="CW40" s="892">
        <f>+(CU38*CW38+CU39*CW39)/CU40</f>
        <v>8.0588235294117609</v>
      </c>
      <c r="CX40" s="36"/>
      <c r="CY40" s="42"/>
      <c r="CZ40" s="42"/>
      <c r="DA40" s="893" t="s">
        <v>15</v>
      </c>
      <c r="DB40" s="135">
        <v>18</v>
      </c>
      <c r="DC40" s="894">
        <v>17.611111111111111</v>
      </c>
      <c r="DD40" s="135"/>
      <c r="DE40" s="894">
        <f>+(DB38*DE38+DB39*DE39)/DB40</f>
        <v>8.8333333333333339</v>
      </c>
      <c r="DF40" s="42"/>
      <c r="DG40" s="42"/>
      <c r="DH40" s="881"/>
      <c r="DI40" s="882"/>
      <c r="DJ40" s="882" t="s">
        <v>15</v>
      </c>
      <c r="DK40" s="883">
        <v>11.5625</v>
      </c>
      <c r="DL40" s="882">
        <v>16</v>
      </c>
      <c r="DM40" s="884"/>
      <c r="DN40" s="896">
        <f>AVERAGE(DN38:DN39)</f>
        <v>3.0181818181818185</v>
      </c>
    </row>
    <row r="41" spans="1:118">
      <c r="A41" s="5812">
        <v>3</v>
      </c>
      <c r="B41" s="5812">
        <v>2</v>
      </c>
      <c r="C41" s="5811" t="s">
        <v>2737</v>
      </c>
      <c r="D41" s="5813">
        <v>13</v>
      </c>
      <c r="E41" s="5812">
        <v>1</v>
      </c>
      <c r="F41" s="1281">
        <f t="shared" si="0"/>
        <v>1</v>
      </c>
      <c r="G41" s="97">
        <v>12</v>
      </c>
      <c r="I41" s="5047">
        <v>3</v>
      </c>
      <c r="J41" s="5047">
        <v>3</v>
      </c>
      <c r="K41" s="5048" t="s">
        <v>525</v>
      </c>
      <c r="L41" s="5049">
        <v>11.75</v>
      </c>
      <c r="M41" s="5047">
        <v>4</v>
      </c>
      <c r="N41" s="1346">
        <f t="shared" si="1"/>
        <v>-0.25</v>
      </c>
      <c r="O41" s="97">
        <v>12</v>
      </c>
      <c r="Q41" s="4615"/>
      <c r="R41" s="4615"/>
      <c r="S41" s="4520" t="s">
        <v>483</v>
      </c>
      <c r="T41" s="4603"/>
      <c r="U41" s="4613">
        <f>SUM(U38:U40)</f>
        <v>22</v>
      </c>
      <c r="V41" s="1675">
        <f>+(U38*V38+U39*V39+U40*V40)/U41</f>
        <v>1.3228535353535351</v>
      </c>
      <c r="Y41" s="36"/>
      <c r="Z41" s="36"/>
      <c r="AA41" s="36" t="s">
        <v>320</v>
      </c>
      <c r="AB41" s="1346">
        <v>14.67</v>
      </c>
      <c r="AC41" s="95">
        <v>9</v>
      </c>
      <c r="AD41" s="1281">
        <f>AB41-AE41</f>
        <v>2.67</v>
      </c>
      <c r="AE41" s="97">
        <v>12</v>
      </c>
      <c r="AG41" s="36"/>
      <c r="AH41" s="36"/>
      <c r="AI41" s="36" t="s">
        <v>127</v>
      </c>
      <c r="AJ41" s="1346">
        <v>16</v>
      </c>
      <c r="AK41" s="95">
        <v>2</v>
      </c>
      <c r="AL41" s="1281">
        <f>AJ41-AM41</f>
        <v>4</v>
      </c>
      <c r="AM41" s="97">
        <v>12</v>
      </c>
      <c r="AN41" s="97"/>
      <c r="AO41" s="4215"/>
      <c r="AP41" s="4215"/>
      <c r="AQ41" s="4215" t="s">
        <v>127</v>
      </c>
      <c r="AR41" s="4221">
        <v>12</v>
      </c>
      <c r="AS41" s="4221">
        <v>1</v>
      </c>
      <c r="AT41" s="4263">
        <f t="shared" ref="AT41:AT53" si="18">AR41-AU41</f>
        <v>0</v>
      </c>
      <c r="AU41" s="4263">
        <v>12</v>
      </c>
      <c r="AW41" s="36"/>
      <c r="AX41" s="36"/>
      <c r="AY41" s="36" t="s">
        <v>127</v>
      </c>
      <c r="AZ41" s="1345">
        <v>12.75</v>
      </c>
      <c r="BA41" s="95">
        <v>4</v>
      </c>
      <c r="BB41" s="134">
        <f t="shared" si="7"/>
        <v>0.75</v>
      </c>
      <c r="BC41" s="97">
        <v>12</v>
      </c>
      <c r="BD41" s="97"/>
      <c r="BE41" s="51"/>
      <c r="BF41" s="85"/>
      <c r="BG41" s="1689" t="s">
        <v>483</v>
      </c>
      <c r="BH41" s="1690">
        <v>12.52</v>
      </c>
      <c r="BI41" s="1691">
        <v>31</v>
      </c>
      <c r="BJ41" s="800">
        <f>+(BI39*BJ39+BI40*BJ40)/BI41</f>
        <v>3.5187096774193551</v>
      </c>
      <c r="BL41" s="97"/>
      <c r="BM41" s="97" t="s">
        <v>41</v>
      </c>
      <c r="BN41" s="42" t="s">
        <v>144</v>
      </c>
      <c r="BO41" s="134">
        <v>11</v>
      </c>
      <c r="BP41" s="97">
        <v>4</v>
      </c>
      <c r="BQ41" s="1306">
        <f>BO41-9</f>
        <v>2</v>
      </c>
      <c r="BS41" s="1209"/>
      <c r="BT41" s="1209" t="s">
        <v>41</v>
      </c>
      <c r="BU41" s="1305" t="s">
        <v>144</v>
      </c>
      <c r="BV41" s="1306">
        <v>10</v>
      </c>
      <c r="BW41" s="1307">
        <v>1</v>
      </c>
      <c r="BX41" s="1306">
        <f>BV41-9</f>
        <v>1</v>
      </c>
      <c r="BZ41" s="871"/>
      <c r="CA41" s="871"/>
      <c r="CB41" s="897" t="s">
        <v>412</v>
      </c>
      <c r="CC41" s="898">
        <v>13.37777777777778</v>
      </c>
      <c r="CD41" s="899">
        <v>45</v>
      </c>
      <c r="CE41" s="824">
        <f>+(CD35*CE35+CD38*CE38+CD40*CE40)/CD41</f>
        <v>1.7777777777777752</v>
      </c>
      <c r="CG41" s="614"/>
      <c r="CH41" s="614"/>
      <c r="CI41" s="614"/>
      <c r="CJ41" s="709" t="s">
        <v>412</v>
      </c>
      <c r="CK41" s="394">
        <v>12.84090909090909</v>
      </c>
      <c r="CL41" s="395">
        <v>44</v>
      </c>
      <c r="CM41" s="710">
        <v>3.1323011959645606</v>
      </c>
      <c r="CN41" s="888">
        <f>+(CL35*CN35+CL38*CN38+CL40*CN40)/CL41</f>
        <v>1.9545454545454535</v>
      </c>
      <c r="CO41" s="36"/>
      <c r="CP41" s="875"/>
      <c r="CQ41" s="875" t="s">
        <v>103</v>
      </c>
      <c r="CR41" s="876" t="s">
        <v>145</v>
      </c>
      <c r="CS41" s="877">
        <v>14.5</v>
      </c>
      <c r="CT41" s="877">
        <f t="shared" si="4"/>
        <v>6.5</v>
      </c>
      <c r="CU41" s="878">
        <v>6</v>
      </c>
      <c r="CV41" s="879">
        <v>15.5</v>
      </c>
      <c r="CW41" s="880">
        <f t="shared" si="5"/>
        <v>7.5</v>
      </c>
      <c r="CX41" s="36"/>
      <c r="CY41" s="42"/>
      <c r="CZ41" s="42" t="s">
        <v>103</v>
      </c>
      <c r="DA41" s="42" t="s">
        <v>145</v>
      </c>
      <c r="DB41" s="97">
        <v>3</v>
      </c>
      <c r="DC41" s="134">
        <v>13</v>
      </c>
      <c r="DD41" s="97">
        <v>8</v>
      </c>
      <c r="DE41" s="134">
        <f>+DC41-DD41</f>
        <v>5</v>
      </c>
      <c r="DF41" s="42"/>
      <c r="DG41" s="42"/>
      <c r="DH41" s="881"/>
      <c r="DI41" s="882" t="s">
        <v>103</v>
      </c>
      <c r="DJ41" s="881" t="s">
        <v>145</v>
      </c>
      <c r="DK41" s="883">
        <v>12</v>
      </c>
      <c r="DL41" s="882">
        <v>3</v>
      </c>
      <c r="DM41" s="884">
        <v>8</v>
      </c>
      <c r="DN41" s="883">
        <f>DK41-8</f>
        <v>4</v>
      </c>
    </row>
    <row r="42" spans="1:118" ht="15" thickBot="1">
      <c r="A42" s="5812"/>
      <c r="B42" s="5812"/>
      <c r="C42" s="135" t="s">
        <v>16</v>
      </c>
      <c r="D42" s="5050"/>
      <c r="E42" s="5051">
        <f>SUM(E39:E41)</f>
        <v>22</v>
      </c>
      <c r="F42" s="1675">
        <f>+(E39*F39+E40*F40+E41*F41)/E42</f>
        <v>0.14090909090909048</v>
      </c>
      <c r="G42" s="97"/>
      <c r="I42" s="5047">
        <v>3</v>
      </c>
      <c r="J42" s="5047">
        <v>3</v>
      </c>
      <c r="K42" s="5048" t="s">
        <v>381</v>
      </c>
      <c r="L42" s="5049">
        <v>14.727272727272727</v>
      </c>
      <c r="M42" s="5047">
        <v>18</v>
      </c>
      <c r="N42" s="1346">
        <f t="shared" si="1"/>
        <v>2.7272727272727266</v>
      </c>
      <c r="O42" s="97">
        <v>12</v>
      </c>
      <c r="Q42" s="4615">
        <v>3</v>
      </c>
      <c r="R42" s="4615">
        <v>3</v>
      </c>
      <c r="S42" s="4602" t="s">
        <v>525</v>
      </c>
      <c r="T42" s="4603">
        <v>11.75</v>
      </c>
      <c r="U42" s="4604">
        <v>4</v>
      </c>
      <c r="V42" s="1346">
        <f t="shared" si="2"/>
        <v>-0.25</v>
      </c>
      <c r="W42" s="95">
        <v>12</v>
      </c>
      <c r="Y42" s="36"/>
      <c r="Z42" s="36"/>
      <c r="AA42" s="36" t="s">
        <v>1743</v>
      </c>
      <c r="AB42" s="1346">
        <v>11.75</v>
      </c>
      <c r="AC42" s="95">
        <v>4</v>
      </c>
      <c r="AD42" s="1281">
        <f>AB42-AE42</f>
        <v>-0.25</v>
      </c>
      <c r="AE42" s="97">
        <v>12</v>
      </c>
      <c r="AG42" s="36"/>
      <c r="AH42" s="36"/>
      <c r="AI42" s="36" t="s">
        <v>110</v>
      </c>
      <c r="AJ42" s="1346">
        <v>11.71</v>
      </c>
      <c r="AK42" s="95">
        <v>14</v>
      </c>
      <c r="AL42" s="1281">
        <f>AJ42-AM42</f>
        <v>-0.28999999999999915</v>
      </c>
      <c r="AM42" s="97">
        <v>12</v>
      </c>
      <c r="AN42" s="97"/>
      <c r="AO42" s="4215"/>
      <c r="AP42" s="4215"/>
      <c r="AQ42" s="4215" t="s">
        <v>110</v>
      </c>
      <c r="AR42" s="4221">
        <v>11</v>
      </c>
      <c r="AS42" s="4221">
        <v>2</v>
      </c>
      <c r="AT42" s="4263">
        <f t="shared" si="18"/>
        <v>-1</v>
      </c>
      <c r="AU42" s="4263">
        <v>12</v>
      </c>
      <c r="AW42" s="36"/>
      <c r="AX42" s="36"/>
      <c r="AY42" s="36" t="s">
        <v>110</v>
      </c>
      <c r="AZ42" s="1345">
        <v>10.75</v>
      </c>
      <c r="BA42" s="95">
        <v>4</v>
      </c>
      <c r="BB42" s="134">
        <f t="shared" si="7"/>
        <v>-1.25</v>
      </c>
      <c r="BC42" s="97">
        <v>12</v>
      </c>
      <c r="BD42" s="97"/>
      <c r="BE42" s="51"/>
      <c r="BF42" s="85" t="s">
        <v>41</v>
      </c>
      <c r="BG42" s="51" t="s">
        <v>144</v>
      </c>
      <c r="BH42" s="837">
        <v>10.25</v>
      </c>
      <c r="BI42" s="85">
        <v>4</v>
      </c>
      <c r="BJ42" s="1306">
        <f>BH42-9</f>
        <v>1.25</v>
      </c>
      <c r="BL42" s="97"/>
      <c r="BM42" s="97"/>
      <c r="BN42" s="42" t="s">
        <v>320</v>
      </c>
      <c r="BO42" s="134">
        <v>12.82</v>
      </c>
      <c r="BP42" s="97">
        <v>11</v>
      </c>
      <c r="BQ42" s="1306">
        <f>BO42-12</f>
        <v>0.82000000000000028</v>
      </c>
      <c r="BS42" s="1209"/>
      <c r="BT42" s="1209"/>
      <c r="BU42" s="1305" t="s">
        <v>320</v>
      </c>
      <c r="BV42" s="1306">
        <v>12.916666666666668</v>
      </c>
      <c r="BW42" s="1307">
        <v>12</v>
      </c>
      <c r="BX42" s="1306">
        <f>BV42-12</f>
        <v>0.91666666666666785</v>
      </c>
      <c r="BZ42" s="871" t="s">
        <v>59</v>
      </c>
      <c r="CA42" s="871" t="s">
        <v>16</v>
      </c>
      <c r="CB42" s="872" t="s">
        <v>608</v>
      </c>
      <c r="CC42" s="873">
        <v>9</v>
      </c>
      <c r="CD42" s="874">
        <v>2</v>
      </c>
      <c r="CE42" s="778">
        <f>CC42-9</f>
        <v>0</v>
      </c>
      <c r="CG42" s="909"/>
      <c r="CH42" s="909"/>
      <c r="CI42" s="909"/>
      <c r="CJ42" s="719" t="s">
        <v>112</v>
      </c>
      <c r="CK42" s="400">
        <v>13.058201058201057</v>
      </c>
      <c r="CL42" s="399">
        <v>189</v>
      </c>
      <c r="CM42" s="720">
        <v>3.8387441072651254</v>
      </c>
      <c r="CN42" s="910">
        <f>+(CL14*CN14+CL31*CN31+CL41*CN41)/CL42</f>
        <v>2.2857142857142856</v>
      </c>
      <c r="CO42" s="36"/>
      <c r="CP42" s="911"/>
      <c r="CQ42" s="911"/>
      <c r="CR42" s="912" t="s">
        <v>726</v>
      </c>
      <c r="CS42" s="910">
        <v>14.5</v>
      </c>
      <c r="CT42" s="910">
        <f>+(CU41*CT41)/CU42</f>
        <v>6.5</v>
      </c>
      <c r="CU42" s="913">
        <v>6</v>
      </c>
      <c r="CV42" s="914">
        <v>15.5</v>
      </c>
      <c r="CW42" s="915">
        <f>+(CU41*CW41)/CU42</f>
        <v>7.5</v>
      </c>
      <c r="CX42" s="36"/>
      <c r="CY42" s="916"/>
      <c r="CZ42" s="916"/>
      <c r="DA42" s="866" t="s">
        <v>15</v>
      </c>
      <c r="DB42" s="388">
        <v>3</v>
      </c>
      <c r="DC42" s="917">
        <v>13</v>
      </c>
      <c r="DD42" s="388"/>
      <c r="DE42" s="917">
        <f>+DE41</f>
        <v>5</v>
      </c>
      <c r="DF42" s="895">
        <f>AVERAGE(DE9,DE21)</f>
        <v>6.4940711462450587</v>
      </c>
      <c r="DG42" s="42"/>
      <c r="DH42" s="881"/>
      <c r="DI42" s="882"/>
      <c r="DJ42" s="882" t="s">
        <v>15</v>
      </c>
      <c r="DK42" s="883">
        <v>12</v>
      </c>
      <c r="DL42" s="882">
        <v>3</v>
      </c>
      <c r="DM42" s="884"/>
      <c r="DN42" s="896">
        <f>DK42-8</f>
        <v>4</v>
      </c>
    </row>
    <row r="43" spans="1:118">
      <c r="A43" s="5812">
        <v>3</v>
      </c>
      <c r="B43" s="5812">
        <v>3</v>
      </c>
      <c r="C43" s="5811" t="s">
        <v>525</v>
      </c>
      <c r="D43" s="5813">
        <v>11.833333333333332</v>
      </c>
      <c r="E43" s="5812">
        <v>4</v>
      </c>
      <c r="F43" s="1281">
        <f t="shared" si="0"/>
        <v>-0.16666666666666785</v>
      </c>
      <c r="G43" s="97">
        <v>12</v>
      </c>
      <c r="I43" s="5047">
        <v>3</v>
      </c>
      <c r="J43" s="5047">
        <v>3</v>
      </c>
      <c r="K43" s="5048" t="s">
        <v>296</v>
      </c>
      <c r="L43" s="5049">
        <v>9</v>
      </c>
      <c r="M43" s="5047">
        <v>1</v>
      </c>
      <c r="N43" s="1346">
        <f t="shared" si="1"/>
        <v>0</v>
      </c>
      <c r="O43" s="97">
        <v>9</v>
      </c>
      <c r="Q43" s="4615">
        <v>3</v>
      </c>
      <c r="R43" s="4615">
        <v>3</v>
      </c>
      <c r="S43" s="4602" t="s">
        <v>381</v>
      </c>
      <c r="T43" s="4603">
        <v>14.25</v>
      </c>
      <c r="U43" s="4604">
        <v>10</v>
      </c>
      <c r="V43" s="1346">
        <f t="shared" si="2"/>
        <v>2.25</v>
      </c>
      <c r="W43" s="95">
        <v>12</v>
      </c>
      <c r="Y43" s="36"/>
      <c r="Z43" s="36"/>
      <c r="AA43" s="393" t="s">
        <v>485</v>
      </c>
      <c r="AB43" s="1361">
        <v>12.76</v>
      </c>
      <c r="AC43" s="4170">
        <v>17</v>
      </c>
      <c r="AD43" s="1675">
        <f>+(AC40*AD40+AC41*AD41+AC42*AD42)/AC43</f>
        <v>1.4723529411764706</v>
      </c>
      <c r="AG43" s="36"/>
      <c r="AH43" s="36"/>
      <c r="AI43" s="393" t="s">
        <v>483</v>
      </c>
      <c r="AJ43" s="1361">
        <v>12.74</v>
      </c>
      <c r="AK43" s="3794">
        <v>34</v>
      </c>
      <c r="AL43" s="1675">
        <f>+(AK40*AL40+AK41*AL41+AK42*AL42)/AK43</f>
        <v>0.7352941176470591</v>
      </c>
      <c r="AM43" s="97"/>
      <c r="AN43" s="97"/>
      <c r="AO43" s="4215"/>
      <c r="AP43" s="4215"/>
      <c r="AQ43" s="4222" t="s">
        <v>483</v>
      </c>
      <c r="AR43" s="4223">
        <v>12.53</v>
      </c>
      <c r="AS43" s="4223">
        <v>15</v>
      </c>
      <c r="AT43" s="4437">
        <f>+(AS40*AT40+AS41*AT41+AS42*AT42)/AS43</f>
        <v>0.53066666666666673</v>
      </c>
      <c r="AU43" s="4263"/>
      <c r="AW43" s="36"/>
      <c r="AX43" s="36"/>
      <c r="AY43" s="393" t="s">
        <v>483</v>
      </c>
      <c r="AZ43" s="1360">
        <v>12.85</v>
      </c>
      <c r="BA43" s="2041">
        <v>26</v>
      </c>
      <c r="BB43" s="800">
        <f>+(BA40*BB40+BA41*BB41+BA42*BB42)/BA43</f>
        <v>0.84384615384615391</v>
      </c>
      <c r="BC43" s="97"/>
      <c r="BD43" s="97"/>
      <c r="BE43" s="51"/>
      <c r="BF43" s="85"/>
      <c r="BG43" s="51" t="s">
        <v>320</v>
      </c>
      <c r="BH43" s="837">
        <v>15.56</v>
      </c>
      <c r="BI43" s="85">
        <v>9</v>
      </c>
      <c r="BJ43" s="1306">
        <f>BH43-12</f>
        <v>3.5600000000000005</v>
      </c>
      <c r="BL43" s="97"/>
      <c r="BM43" s="97"/>
      <c r="BN43" s="42" t="s">
        <v>1743</v>
      </c>
      <c r="BO43" s="134">
        <v>12</v>
      </c>
      <c r="BP43" s="97">
        <v>1</v>
      </c>
      <c r="BQ43" s="1306">
        <f>BO43-12</f>
        <v>0</v>
      </c>
      <c r="BS43" s="1209"/>
      <c r="BT43" s="1209"/>
      <c r="BU43" s="1305"/>
      <c r="BV43" s="1306"/>
      <c r="BW43" s="1307"/>
      <c r="BX43" s="1306"/>
      <c r="BZ43" s="871"/>
      <c r="CA43" s="871"/>
      <c r="CB43" s="885" t="s">
        <v>483</v>
      </c>
      <c r="CC43" s="886">
        <v>9</v>
      </c>
      <c r="CD43" s="887">
        <v>2</v>
      </c>
      <c r="CE43" s="800">
        <f>CC43-9</f>
        <v>0</v>
      </c>
      <c r="CG43" s="614"/>
      <c r="CH43" s="614"/>
      <c r="CI43" s="614"/>
      <c r="CJ43" s="389"/>
      <c r="CK43" s="722"/>
      <c r="CL43" s="723"/>
      <c r="CM43" s="724"/>
      <c r="CN43" s="390"/>
      <c r="CO43" s="36"/>
      <c r="CP43" s="36"/>
      <c r="CQ43" s="36"/>
      <c r="CR43" s="36"/>
      <c r="CS43" s="36"/>
      <c r="CT43" s="36"/>
      <c r="CU43" s="36"/>
      <c r="CV43" s="36"/>
      <c r="CW43" s="36"/>
      <c r="CX43" s="36"/>
      <c r="CY43" s="42"/>
      <c r="CZ43" s="42"/>
      <c r="DA43" s="42"/>
      <c r="DB43" s="42"/>
      <c r="DC43" s="42"/>
      <c r="DD43" s="42"/>
      <c r="DE43" s="42"/>
      <c r="DF43" s="895">
        <f>AVERAGE(DE12,DE28,DE37)</f>
        <v>0.36212121212121234</v>
      </c>
      <c r="DG43" s="42"/>
      <c r="DH43" s="881"/>
      <c r="DI43" s="882"/>
      <c r="DJ43" s="907" t="s">
        <v>412</v>
      </c>
      <c r="DK43" s="896">
        <v>12.469696969696965</v>
      </c>
      <c r="DL43" s="908">
        <v>66</v>
      </c>
      <c r="DM43" s="884"/>
      <c r="DN43" s="896">
        <f>AVERAGE(DN36,DN40,DN42)</f>
        <v>2.3196289821289819</v>
      </c>
    </row>
    <row r="44" spans="1:118">
      <c r="A44" s="5812">
        <v>3</v>
      </c>
      <c r="B44" s="5812">
        <v>3</v>
      </c>
      <c r="C44" s="5811" t="s">
        <v>381</v>
      </c>
      <c r="D44" s="5813">
        <v>15.244444444444444</v>
      </c>
      <c r="E44" s="5812">
        <v>19</v>
      </c>
      <c r="F44" s="1281">
        <f t="shared" si="0"/>
        <v>3.2444444444444436</v>
      </c>
      <c r="G44" s="97">
        <v>12</v>
      </c>
      <c r="I44" s="5047"/>
      <c r="J44" s="5047"/>
      <c r="K44" s="4884" t="s">
        <v>485</v>
      </c>
      <c r="L44" s="5049"/>
      <c r="M44" s="5051">
        <f>SUM(M41:M43)</f>
        <v>23</v>
      </c>
      <c r="N44" s="1675">
        <f>+(M41*N41+M42*N42+M43*N43)/M44</f>
        <v>2.0909090909090904</v>
      </c>
      <c r="O44" s="97"/>
      <c r="Q44" s="4615">
        <v>3</v>
      </c>
      <c r="R44" s="4615">
        <v>3</v>
      </c>
      <c r="S44" s="4602" t="s">
        <v>296</v>
      </c>
      <c r="T44" s="4603">
        <v>9</v>
      </c>
      <c r="U44" s="4604">
        <v>2</v>
      </c>
      <c r="V44" s="1346">
        <f t="shared" si="2"/>
        <v>0</v>
      </c>
      <c r="W44" s="95">
        <v>9</v>
      </c>
      <c r="Y44" s="36"/>
      <c r="Z44" s="36" t="s">
        <v>21</v>
      </c>
      <c r="AA44" s="36" t="s">
        <v>145</v>
      </c>
      <c r="AB44" s="1346">
        <v>15.75</v>
      </c>
      <c r="AC44" s="95">
        <v>4</v>
      </c>
      <c r="AD44" s="1281">
        <f>AB44-AE44</f>
        <v>3.75</v>
      </c>
      <c r="AE44" s="97">
        <v>12</v>
      </c>
      <c r="AG44" s="36"/>
      <c r="AH44" s="36" t="s">
        <v>41</v>
      </c>
      <c r="AI44" s="36" t="s">
        <v>144</v>
      </c>
      <c r="AJ44" s="1346">
        <v>9.67</v>
      </c>
      <c r="AK44" s="95">
        <v>3</v>
      </c>
      <c r="AL44" s="1281">
        <f>AJ44-AM44</f>
        <v>0.66999999999999993</v>
      </c>
      <c r="AM44" s="97">
        <v>9</v>
      </c>
      <c r="AN44" s="97"/>
      <c r="AO44" s="4215"/>
      <c r="AP44" s="4215"/>
      <c r="AQ44" s="4222"/>
      <c r="AR44" s="4223"/>
      <c r="AS44" s="4223"/>
      <c r="AT44" s="4263"/>
      <c r="AU44" s="4263"/>
      <c r="AW44" s="36"/>
      <c r="AX44" s="36" t="s">
        <v>41</v>
      </c>
      <c r="AY44" s="36" t="s">
        <v>144</v>
      </c>
      <c r="AZ44" s="1345">
        <v>11.8</v>
      </c>
      <c r="BA44" s="95">
        <v>15</v>
      </c>
      <c r="BB44" s="134">
        <f t="shared" si="7"/>
        <v>2.8000000000000007</v>
      </c>
      <c r="BC44" s="97">
        <v>9</v>
      </c>
      <c r="BD44" s="97"/>
      <c r="BE44" s="51"/>
      <c r="BF44" s="85"/>
      <c r="BG44" s="51" t="s">
        <v>1743</v>
      </c>
      <c r="BH44" s="837">
        <v>12.75</v>
      </c>
      <c r="BI44" s="85">
        <v>4</v>
      </c>
      <c r="BJ44" s="1306">
        <f>BH44-12</f>
        <v>0.75</v>
      </c>
      <c r="BL44" s="97"/>
      <c r="BM44" s="97"/>
      <c r="BN44" s="893" t="s">
        <v>485</v>
      </c>
      <c r="BO44" s="894">
        <v>12.31</v>
      </c>
      <c r="BP44" s="135">
        <v>16</v>
      </c>
      <c r="BQ44" s="800">
        <f>+(BP41*BQ41+BP42*BQ42+BP43*BQ43)/BP44</f>
        <v>1.0637500000000002</v>
      </c>
      <c r="BS44" s="1209"/>
      <c r="BT44" s="1209"/>
      <c r="BU44" s="1308" t="s">
        <v>485</v>
      </c>
      <c r="BV44" s="1309">
        <v>12.692307692307693</v>
      </c>
      <c r="BW44" s="1310">
        <v>13</v>
      </c>
      <c r="BX44" s="800">
        <f>+(BW41*BX41+BW42*BX42)/BW44</f>
        <v>0.92307692307692413</v>
      </c>
      <c r="BZ44" s="871"/>
      <c r="CA44" s="871"/>
      <c r="CB44" s="885" t="s">
        <v>256</v>
      </c>
      <c r="CC44" s="886">
        <v>9</v>
      </c>
      <c r="CD44" s="887">
        <v>2</v>
      </c>
      <c r="CE44" s="800">
        <f>CC44-9</f>
        <v>0</v>
      </c>
      <c r="CG44" s="614"/>
      <c r="CH44" s="614"/>
      <c r="CI44" s="614"/>
      <c r="CJ44" s="389"/>
      <c r="CK44" s="722"/>
      <c r="CL44" s="723"/>
      <c r="CM44" s="724"/>
      <c r="CN44" s="390"/>
      <c r="CO44" s="36"/>
      <c r="CP44" s="918"/>
      <c r="CQ44" s="918"/>
      <c r="CR44" s="876"/>
      <c r="CS44" s="877"/>
      <c r="CT44" s="877"/>
      <c r="CU44" s="878"/>
      <c r="CV44" s="919"/>
      <c r="CW44" s="36"/>
      <c r="CX44" s="36"/>
      <c r="CY44" s="42"/>
      <c r="CZ44" s="42"/>
      <c r="DA44" s="42"/>
      <c r="DB44" s="42"/>
      <c r="DC44" s="42"/>
      <c r="DD44" s="42"/>
      <c r="DE44" s="42"/>
      <c r="DF44" s="895">
        <f>AVERAGE(DE32,DE40)</f>
        <v>7.7333333333333325</v>
      </c>
      <c r="DG44" s="42"/>
      <c r="DH44" s="920"/>
      <c r="DI44" s="868"/>
      <c r="DJ44" s="920" t="s">
        <v>112</v>
      </c>
      <c r="DK44" s="921">
        <v>14.092783505154635</v>
      </c>
      <c r="DL44" s="868">
        <v>194</v>
      </c>
      <c r="DM44" s="922"/>
      <c r="DN44" s="923">
        <f>AVERAGE(DN15,DN33,DN43)</f>
        <v>2.6799455872262894</v>
      </c>
    </row>
    <row r="45" spans="1:118" ht="15" thickBot="1">
      <c r="A45" s="5812">
        <v>3</v>
      </c>
      <c r="B45" s="5812">
        <v>3</v>
      </c>
      <c r="C45" s="5811" t="s">
        <v>296</v>
      </c>
      <c r="D45" s="5813">
        <v>9</v>
      </c>
      <c r="E45" s="5812">
        <v>1</v>
      </c>
      <c r="F45" s="1281">
        <f t="shared" si="0"/>
        <v>0</v>
      </c>
      <c r="G45" s="97">
        <v>9</v>
      </c>
      <c r="I45" s="5047">
        <v>3</v>
      </c>
      <c r="J45" s="5047">
        <v>4</v>
      </c>
      <c r="K45" s="5048" t="s">
        <v>298</v>
      </c>
      <c r="L45" s="5049">
        <v>12.25</v>
      </c>
      <c r="M45" s="5047">
        <v>3</v>
      </c>
      <c r="N45" s="1346">
        <f t="shared" si="1"/>
        <v>0.25</v>
      </c>
      <c r="O45" s="97">
        <v>12</v>
      </c>
      <c r="Q45" s="4615"/>
      <c r="R45" s="4615"/>
      <c r="S45" s="4520" t="s">
        <v>485</v>
      </c>
      <c r="T45" s="4603"/>
      <c r="U45" s="4613">
        <f>SUM(U42:U44)</f>
        <v>16</v>
      </c>
      <c r="V45" s="1675">
        <f>+(U42*V42+U43*V43+U44*V44)/U45</f>
        <v>1.34375</v>
      </c>
      <c r="Y45" s="36"/>
      <c r="Z45" s="36"/>
      <c r="AA45" s="393" t="s">
        <v>484</v>
      </c>
      <c r="AB45" s="1361">
        <v>15.75</v>
      </c>
      <c r="AC45" s="4170">
        <v>4</v>
      </c>
      <c r="AD45" s="3864">
        <f>AB45-12</f>
        <v>3.75</v>
      </c>
      <c r="AE45" s="97">
        <v>12</v>
      </c>
      <c r="AG45" s="36"/>
      <c r="AI45" s="36" t="s">
        <v>320</v>
      </c>
      <c r="AJ45" s="1346">
        <v>13.13</v>
      </c>
      <c r="AK45" s="95">
        <v>8</v>
      </c>
      <c r="AL45" s="1281">
        <f>AJ45-AM45</f>
        <v>1.1300000000000008</v>
      </c>
      <c r="AM45" s="97">
        <v>12</v>
      </c>
      <c r="AN45" s="97"/>
      <c r="AO45" s="4215"/>
      <c r="AP45" s="4215" t="s">
        <v>41</v>
      </c>
      <c r="AQ45" s="4215" t="s">
        <v>320</v>
      </c>
      <c r="AR45" s="4221">
        <v>13.29</v>
      </c>
      <c r="AS45" s="4221">
        <v>7</v>
      </c>
      <c r="AT45" s="4263">
        <f t="shared" si="18"/>
        <v>1.2899999999999991</v>
      </c>
      <c r="AU45" s="4263">
        <v>12</v>
      </c>
      <c r="AW45" s="36"/>
      <c r="AX45" s="36"/>
      <c r="AY45" s="36" t="s">
        <v>320</v>
      </c>
      <c r="AZ45" s="1345">
        <v>14.13</v>
      </c>
      <c r="BA45" s="95">
        <v>8</v>
      </c>
      <c r="BB45" s="134">
        <f t="shared" si="7"/>
        <v>2.1300000000000008</v>
      </c>
      <c r="BC45" s="97">
        <v>12</v>
      </c>
      <c r="BD45" s="97"/>
      <c r="BE45" s="51"/>
      <c r="BF45" s="85"/>
      <c r="BG45" s="1689" t="s">
        <v>485</v>
      </c>
      <c r="BH45" s="1690">
        <v>13.65</v>
      </c>
      <c r="BI45" s="1691">
        <v>17</v>
      </c>
      <c r="BJ45" s="800">
        <f>+(BI42*BJ42+BI43*BJ43+BI44*BJ44)/BI45</f>
        <v>2.355294117647059</v>
      </c>
      <c r="BL45" s="97"/>
      <c r="BM45" s="97" t="s">
        <v>103</v>
      </c>
      <c r="BN45" s="42" t="s">
        <v>145</v>
      </c>
      <c r="BO45" s="134">
        <v>15.2</v>
      </c>
      <c r="BP45" s="97">
        <v>5</v>
      </c>
      <c r="BQ45" s="1306">
        <f>BO45-12</f>
        <v>3.1999999999999993</v>
      </c>
      <c r="BS45" s="1209"/>
      <c r="BT45" s="1209" t="s">
        <v>103</v>
      </c>
      <c r="BU45" s="1305" t="s">
        <v>145</v>
      </c>
      <c r="BV45" s="1306">
        <v>13.333333333333334</v>
      </c>
      <c r="BW45" s="1307">
        <v>6</v>
      </c>
      <c r="BX45" s="1306">
        <f>BV45-12</f>
        <v>1.3333333333333339</v>
      </c>
      <c r="BZ45" s="924"/>
      <c r="CA45" s="924"/>
      <c r="CB45" s="925" t="s">
        <v>112</v>
      </c>
      <c r="CC45" s="926">
        <v>13.479999999999988</v>
      </c>
      <c r="CD45" s="927">
        <v>225</v>
      </c>
      <c r="CE45" s="850">
        <f>+(CD14*CE14+CD31*CE31+CD41*CE41+CD44*CE44)/CD45</f>
        <v>2.0533333333333292</v>
      </c>
      <c r="CG45" s="614"/>
      <c r="CH45" s="614"/>
      <c r="CI45" s="614"/>
      <c r="CJ45" s="389"/>
      <c r="CK45" s="722"/>
      <c r="CL45" s="723"/>
      <c r="CM45" s="724"/>
      <c r="CN45" s="390"/>
      <c r="CO45" s="36"/>
      <c r="CP45" s="918"/>
      <c r="CQ45" s="918"/>
      <c r="CR45" s="876"/>
      <c r="CS45" s="877"/>
      <c r="CT45" s="877"/>
      <c r="CU45" s="878"/>
      <c r="CV45" s="919"/>
      <c r="CW45" s="36"/>
      <c r="CX45" s="36"/>
      <c r="CY45" s="42"/>
      <c r="CZ45" s="42"/>
      <c r="DA45" s="42"/>
      <c r="DB45" s="42"/>
      <c r="DC45" s="42"/>
      <c r="DD45" s="42"/>
      <c r="DE45" s="42"/>
      <c r="DF45" s="895">
        <f>AVERAGE(DE14,DE42)</f>
        <v>3.2857142857142856</v>
      </c>
      <c r="DG45" s="42"/>
      <c r="DH45" s="881" t="s">
        <v>1193</v>
      </c>
      <c r="DI45" s="882"/>
      <c r="DJ45" s="881"/>
      <c r="DK45" s="881"/>
      <c r="DL45" s="882"/>
      <c r="DM45" s="882"/>
      <c r="DN45" s="881"/>
    </row>
    <row r="46" spans="1:118" ht="13.95" customHeight="1" thickBot="1">
      <c r="C46" s="135" t="s">
        <v>41</v>
      </c>
      <c r="D46" s="5050"/>
      <c r="E46" s="5051">
        <f>SUM(E43:E45)</f>
        <v>24</v>
      </c>
      <c r="F46" s="1675">
        <f>+(E43*F43+E44*F44+E45*F45)/E46</f>
        <v>2.5407407407407399</v>
      </c>
      <c r="G46" s="97"/>
      <c r="I46" s="5047"/>
      <c r="J46" s="5047"/>
      <c r="K46" s="4884" t="s">
        <v>484</v>
      </c>
      <c r="L46" s="5049"/>
      <c r="M46" s="5051">
        <f>SUM(M45)</f>
        <v>3</v>
      </c>
      <c r="N46" s="1675">
        <f>+(M45*N45)/M46</f>
        <v>0.25</v>
      </c>
      <c r="O46" s="97"/>
      <c r="Q46" s="4617">
        <v>3</v>
      </c>
      <c r="R46" s="4617">
        <v>4</v>
      </c>
      <c r="S46" s="4606" t="s">
        <v>298</v>
      </c>
      <c r="T46" s="4607">
        <v>17</v>
      </c>
      <c r="U46" s="4608">
        <v>3</v>
      </c>
      <c r="V46" s="1346">
        <f t="shared" si="2"/>
        <v>5</v>
      </c>
      <c r="W46" s="95">
        <v>12</v>
      </c>
      <c r="Y46" s="4177"/>
      <c r="Z46" s="4177"/>
      <c r="AA46" s="4166" t="s">
        <v>412</v>
      </c>
      <c r="AB46" s="4178">
        <v>13.13</v>
      </c>
      <c r="AC46" s="4167">
        <v>46</v>
      </c>
      <c r="AD46" s="3863">
        <f>+(AC39*AD39+AC43*AD43+AC45*AD45)/AC46</f>
        <v>1.3915217391304346</v>
      </c>
      <c r="AE46" s="3749"/>
      <c r="AG46" s="36"/>
      <c r="AH46" s="36"/>
      <c r="AI46" s="36" t="s">
        <v>1743</v>
      </c>
      <c r="AJ46" s="1346">
        <v>12.67</v>
      </c>
      <c r="AK46" s="95">
        <v>6</v>
      </c>
      <c r="AL46" s="1281">
        <f>AJ46-AM46</f>
        <v>0.66999999999999993</v>
      </c>
      <c r="AM46" s="97">
        <v>12</v>
      </c>
      <c r="AN46" s="97"/>
      <c r="AO46" s="4215"/>
      <c r="AP46" s="4215"/>
      <c r="AQ46" s="4215" t="s">
        <v>1743</v>
      </c>
      <c r="AR46" s="4221">
        <v>13.67</v>
      </c>
      <c r="AS46" s="4221">
        <v>3</v>
      </c>
      <c r="AT46" s="4263">
        <f t="shared" si="18"/>
        <v>1.67</v>
      </c>
      <c r="AU46" s="4263">
        <v>12</v>
      </c>
      <c r="AW46" s="36"/>
      <c r="AX46" s="36"/>
      <c r="AY46" s="36" t="s">
        <v>1743</v>
      </c>
      <c r="AZ46" s="1345">
        <v>13.25</v>
      </c>
      <c r="BA46" s="95">
        <v>4</v>
      </c>
      <c r="BB46" s="134">
        <f t="shared" si="7"/>
        <v>1.25</v>
      </c>
      <c r="BC46" s="97">
        <v>12</v>
      </c>
      <c r="BD46" s="97"/>
      <c r="BE46" s="51"/>
      <c r="BF46" s="85" t="s">
        <v>21</v>
      </c>
      <c r="BG46" s="51" t="s">
        <v>145</v>
      </c>
      <c r="BH46" s="837">
        <v>14</v>
      </c>
      <c r="BI46" s="85">
        <v>7</v>
      </c>
      <c r="BJ46" s="1309">
        <f>BH46-12</f>
        <v>2</v>
      </c>
      <c r="BL46" s="97"/>
      <c r="BM46" s="97"/>
      <c r="BN46" s="893" t="s">
        <v>726</v>
      </c>
      <c r="BO46" s="894">
        <v>15.2</v>
      </c>
      <c r="BP46" s="135">
        <v>5</v>
      </c>
      <c r="BQ46" s="1309">
        <f>BO46-12</f>
        <v>3.1999999999999993</v>
      </c>
      <c r="BS46" s="1209"/>
      <c r="BT46" s="1209"/>
      <c r="BU46" s="1308" t="s">
        <v>726</v>
      </c>
      <c r="BV46" s="1309">
        <v>13.333333333333334</v>
      </c>
      <c r="BW46" s="1310">
        <v>6</v>
      </c>
      <c r="BX46" s="1309">
        <f>BV46-12</f>
        <v>1.3333333333333339</v>
      </c>
      <c r="BZ46" s="928"/>
      <c r="CA46" s="928"/>
      <c r="CB46" s="89"/>
      <c r="CC46" s="89"/>
      <c r="CD46" s="89"/>
      <c r="CE46" s="89"/>
      <c r="CG46" s="597" t="s">
        <v>878</v>
      </c>
      <c r="CH46" s="739"/>
      <c r="CI46" s="739"/>
      <c r="CJ46" s="597" t="s">
        <v>1</v>
      </c>
      <c r="CK46" s="597" t="s">
        <v>1014</v>
      </c>
      <c r="CL46" s="597" t="s">
        <v>1185</v>
      </c>
      <c r="CM46" s="597" t="s">
        <v>1186</v>
      </c>
      <c r="CN46" s="597" t="s">
        <v>1122</v>
      </c>
      <c r="CO46" s="36"/>
      <c r="CP46" s="918"/>
      <c r="CQ46" s="36"/>
      <c r="CR46" s="679" t="s">
        <v>1206</v>
      </c>
      <c r="CS46" s="679" t="s">
        <v>1187</v>
      </c>
      <c r="CT46" s="679" t="s">
        <v>1122</v>
      </c>
      <c r="CU46" s="865" t="s">
        <v>1185</v>
      </c>
      <c r="CV46" s="679" t="s">
        <v>1188</v>
      </c>
      <c r="CW46" s="679" t="s">
        <v>1122</v>
      </c>
      <c r="CX46" s="36"/>
      <c r="CY46" s="42"/>
      <c r="CZ46" s="42"/>
      <c r="DA46" s="388" t="s">
        <v>1</v>
      </c>
      <c r="DB46" s="388" t="s">
        <v>1185</v>
      </c>
      <c r="DC46" s="653" t="s">
        <v>1189</v>
      </c>
      <c r="DD46" s="653" t="s">
        <v>1190</v>
      </c>
      <c r="DE46" s="653" t="s">
        <v>1122</v>
      </c>
      <c r="DF46" s="895"/>
      <c r="DG46" s="42"/>
      <c r="DH46" s="42"/>
      <c r="DI46" s="882"/>
      <c r="DJ46" s="881"/>
      <c r="DK46" s="881"/>
      <c r="DL46" s="882"/>
      <c r="DM46" s="882"/>
      <c r="DN46" s="881"/>
    </row>
    <row r="47" spans="1:118">
      <c r="A47" s="5812">
        <v>3</v>
      </c>
      <c r="B47" s="5812">
        <v>4</v>
      </c>
      <c r="C47" s="5811" t="s">
        <v>298</v>
      </c>
      <c r="D47" s="5813">
        <v>12.25</v>
      </c>
      <c r="E47" s="5812">
        <v>3</v>
      </c>
      <c r="F47" s="1281">
        <f t="shared" si="0"/>
        <v>0.25</v>
      </c>
      <c r="G47" s="97">
        <v>12</v>
      </c>
      <c r="I47" s="5055"/>
      <c r="J47" s="5055"/>
      <c r="K47" s="4575" t="s">
        <v>412</v>
      </c>
      <c r="L47" s="5058"/>
      <c r="M47" s="5057">
        <f>SUM(M46,M44,M40)</f>
        <v>46</v>
      </c>
      <c r="N47" s="3863">
        <f>+(M40*N40+M44*N44+M46*N46)/M47</f>
        <v>1.1326181065311496</v>
      </c>
      <c r="O47" s="4381"/>
      <c r="Q47" s="4617"/>
      <c r="R47" s="4617"/>
      <c r="S47" s="4520" t="s">
        <v>484</v>
      </c>
      <c r="T47" s="4607"/>
      <c r="U47" s="4621">
        <f>SUM(U46)</f>
        <v>3</v>
      </c>
      <c r="V47" s="1675">
        <f>+(U46*V46)/U47</f>
        <v>5</v>
      </c>
      <c r="Y47" s="36" t="s">
        <v>59</v>
      </c>
      <c r="Z47" s="36" t="s">
        <v>16</v>
      </c>
      <c r="AA47" s="36" t="s">
        <v>608</v>
      </c>
      <c r="AB47" s="1346">
        <v>12</v>
      </c>
      <c r="AC47" s="95">
        <v>2</v>
      </c>
      <c r="AD47" s="1281">
        <f>AB47-AE47</f>
        <v>0</v>
      </c>
      <c r="AE47" s="97">
        <v>12</v>
      </c>
      <c r="AG47" s="36"/>
      <c r="AH47" s="36"/>
      <c r="AI47" s="393" t="s">
        <v>485</v>
      </c>
      <c r="AJ47" s="1361">
        <v>12.35</v>
      </c>
      <c r="AK47" s="3794">
        <v>17</v>
      </c>
      <c r="AL47" s="1675">
        <f>+(AK44*AL44+AK45*AL45+AK46*AL46)/AK47</f>
        <v>0.88647058823529445</v>
      </c>
      <c r="AM47" s="97"/>
      <c r="AN47" s="97"/>
      <c r="AO47" s="4215"/>
      <c r="AP47" s="4215"/>
      <c r="AQ47" s="4222" t="s">
        <v>485</v>
      </c>
      <c r="AR47" s="4223">
        <v>13.4</v>
      </c>
      <c r="AS47" s="4223">
        <v>10</v>
      </c>
      <c r="AT47" s="4437">
        <f>+(AS45*AT45+AS46*AT46)/AS47</f>
        <v>1.4039999999999995</v>
      </c>
      <c r="AU47" s="4263"/>
      <c r="AW47" s="36"/>
      <c r="AX47" s="36"/>
      <c r="AY47" s="393" t="s">
        <v>485</v>
      </c>
      <c r="AZ47" s="1360">
        <v>12.7</v>
      </c>
      <c r="BA47" s="2041">
        <v>27</v>
      </c>
      <c r="BB47" s="800">
        <f>+(BA44*BB44+BA45*BB45+BA46*BB46)/BA47</f>
        <v>2.3718518518518525</v>
      </c>
      <c r="BC47" s="97"/>
      <c r="BD47" s="97"/>
      <c r="BE47" s="51"/>
      <c r="BF47" s="85"/>
      <c r="BG47" s="1689" t="s">
        <v>484</v>
      </c>
      <c r="BH47" s="1690">
        <v>14</v>
      </c>
      <c r="BI47" s="1691">
        <v>7</v>
      </c>
      <c r="BJ47" s="1309">
        <f>BH47-12</f>
        <v>2</v>
      </c>
      <c r="BL47" s="1501"/>
      <c r="BM47" s="1501"/>
      <c r="BN47" s="1498" t="s">
        <v>412</v>
      </c>
      <c r="BO47" s="1499">
        <v>12.56</v>
      </c>
      <c r="BP47" s="1500">
        <v>39</v>
      </c>
      <c r="BQ47" s="1502">
        <f>+(BP41*BQ41+BP44*BQ44+BP46*BQ46)/BP47</f>
        <v>1.0517948717948717</v>
      </c>
      <c r="BS47" s="1209"/>
      <c r="BT47" s="1209"/>
      <c r="BU47" s="1308" t="s">
        <v>412</v>
      </c>
      <c r="BV47" s="1309">
        <v>12.600000000000005</v>
      </c>
      <c r="BW47" s="1310">
        <v>50</v>
      </c>
      <c r="BX47" s="800">
        <f>+(BW40*BX40+BW44*BX44+BW46*BX46)/BW47</f>
        <v>1.2000000000000006</v>
      </c>
      <c r="CG47" s="614" t="s">
        <v>1204</v>
      </c>
      <c r="CH47" s="614"/>
      <c r="CI47" s="95"/>
      <c r="CJ47" s="614" t="s">
        <v>4</v>
      </c>
      <c r="CK47" s="391">
        <v>15.189189189189182</v>
      </c>
      <c r="CL47" s="390">
        <v>37</v>
      </c>
      <c r="CM47" s="690">
        <v>4.8867043986596777</v>
      </c>
      <c r="CN47" s="877">
        <f>+(CL9*CN9+CL20*CN20)/CL47</f>
        <v>5.1351351351351333</v>
      </c>
      <c r="CO47" s="36"/>
      <c r="CP47" s="918"/>
      <c r="CQ47" s="36"/>
      <c r="CR47" s="875" t="s">
        <v>4</v>
      </c>
      <c r="CS47" s="877">
        <v>16.035714285714292</v>
      </c>
      <c r="CT47" s="877">
        <f>+(CU9*CT9+CU21*CT21)/CU47</f>
        <v>5.2142857142857144</v>
      </c>
      <c r="CU47" s="878">
        <v>28</v>
      </c>
      <c r="CV47" s="879">
        <v>17.5</v>
      </c>
      <c r="CW47" s="880">
        <f>+(CU9*CW9+CU21*CW21)/CU47</f>
        <v>6.6785714285714288</v>
      </c>
      <c r="CX47" s="36"/>
      <c r="CY47" s="42"/>
      <c r="CZ47" s="42"/>
      <c r="DA47" s="97" t="s">
        <v>4</v>
      </c>
      <c r="DB47" s="97">
        <v>34</v>
      </c>
      <c r="DC47" s="134">
        <v>16.205882352941185</v>
      </c>
      <c r="DD47" s="42"/>
      <c r="DE47" s="134">
        <f>+(DB9*DE9+DB21*DE21)/DB47</f>
        <v>6.0588235294117627</v>
      </c>
      <c r="DF47" s="895">
        <f>AVERAGE(DF42:DF45)</f>
        <v>4.4688099943534718</v>
      </c>
      <c r="DG47" s="42"/>
      <c r="DH47" s="42"/>
      <c r="DI47" s="42"/>
      <c r="DJ47" s="42"/>
      <c r="DK47" s="42"/>
      <c r="DL47" s="42"/>
      <c r="DM47" s="42"/>
      <c r="DN47" s="42"/>
    </row>
    <row r="48" spans="1:118">
      <c r="A48" s="5060"/>
      <c r="B48" s="5060"/>
      <c r="C48" s="135" t="s">
        <v>21</v>
      </c>
      <c r="D48" s="5050"/>
      <c r="E48" s="5051">
        <f>SUM(E47)</f>
        <v>3</v>
      </c>
      <c r="F48" s="1675">
        <f>+(E47*F47)/E48</f>
        <v>0.25</v>
      </c>
      <c r="G48" s="97"/>
      <c r="I48" s="5052">
        <v>4</v>
      </c>
      <c r="J48" s="5052">
        <v>2</v>
      </c>
      <c r="K48" s="5053" t="s">
        <v>608</v>
      </c>
      <c r="L48" s="5054">
        <v>12</v>
      </c>
      <c r="M48" s="5052">
        <v>5</v>
      </c>
      <c r="N48" s="1346">
        <f t="shared" si="1"/>
        <v>0</v>
      </c>
      <c r="O48" s="97">
        <v>12</v>
      </c>
      <c r="Q48" s="4616"/>
      <c r="R48" s="4616"/>
      <c r="S48" s="4575" t="s">
        <v>412</v>
      </c>
      <c r="T48" s="4610"/>
      <c r="U48" s="4614">
        <f>SUM(U41,U45,U47)</f>
        <v>41</v>
      </c>
      <c r="V48" s="3863">
        <f>+(U41*V41+U45*V45+U47*V47)/U48</f>
        <v>1.6000677506775067</v>
      </c>
      <c r="W48" s="4612"/>
      <c r="Y48" s="36"/>
      <c r="Z48" s="36"/>
      <c r="AA48" s="393" t="s">
        <v>483</v>
      </c>
      <c r="AB48" s="1361">
        <v>12</v>
      </c>
      <c r="AC48" s="4170">
        <v>2</v>
      </c>
      <c r="AD48" s="1675">
        <f>AB48-AE48</f>
        <v>0</v>
      </c>
      <c r="AE48" s="135">
        <v>12</v>
      </c>
      <c r="AG48" s="36"/>
      <c r="AH48" s="36" t="s">
        <v>21</v>
      </c>
      <c r="AI48" s="36" t="s">
        <v>145</v>
      </c>
      <c r="AJ48" s="1346">
        <v>12</v>
      </c>
      <c r="AK48" s="95">
        <v>3</v>
      </c>
      <c r="AL48" s="1281">
        <f>AJ48-AM48</f>
        <v>0</v>
      </c>
      <c r="AM48" s="97">
        <v>12</v>
      </c>
      <c r="AN48" s="97"/>
      <c r="AO48" s="4215"/>
      <c r="AP48" s="4215" t="s">
        <v>21</v>
      </c>
      <c r="AQ48" s="4215" t="s">
        <v>145</v>
      </c>
      <c r="AR48" s="4221">
        <v>12</v>
      </c>
      <c r="AS48" s="4221">
        <v>1</v>
      </c>
      <c r="AT48" s="4263">
        <f t="shared" si="18"/>
        <v>0</v>
      </c>
      <c r="AU48" s="4263">
        <v>12</v>
      </c>
      <c r="AW48" s="36"/>
      <c r="AX48" s="36" t="s">
        <v>21</v>
      </c>
      <c r="AY48" s="36" t="s">
        <v>145</v>
      </c>
      <c r="AZ48" s="1345">
        <v>12.25</v>
      </c>
      <c r="BA48" s="95">
        <v>4</v>
      </c>
      <c r="BB48" s="134">
        <f t="shared" si="7"/>
        <v>0.25</v>
      </c>
      <c r="BC48" s="97">
        <v>12</v>
      </c>
      <c r="BD48" s="97"/>
      <c r="BE48" s="1692"/>
      <c r="BF48" s="1688"/>
      <c r="BG48" s="1693" t="s">
        <v>412</v>
      </c>
      <c r="BH48" s="1694">
        <v>13.05</v>
      </c>
      <c r="BI48" s="1695">
        <v>55</v>
      </c>
      <c r="BJ48" s="1502">
        <f>+(BI41*BJ41+BI45*BJ45+BI47*BJ47)/BI48</f>
        <v>2.9658181818181819</v>
      </c>
      <c r="BL48" s="97" t="s">
        <v>59</v>
      </c>
      <c r="BM48" s="97" t="s">
        <v>16</v>
      </c>
      <c r="BN48" s="42" t="s">
        <v>608</v>
      </c>
      <c r="BO48" s="134">
        <v>9.1999999999999993</v>
      </c>
      <c r="BP48" s="97">
        <v>5</v>
      </c>
      <c r="BQ48" s="1313">
        <f>BO48-9</f>
        <v>0.19999999999999929</v>
      </c>
      <c r="BS48" s="1311" t="s">
        <v>59</v>
      </c>
      <c r="BT48" s="1311" t="s">
        <v>16</v>
      </c>
      <c r="BU48" s="1312" t="s">
        <v>608</v>
      </c>
      <c r="BV48" s="1313">
        <v>9</v>
      </c>
      <c r="BW48" s="1314">
        <v>1</v>
      </c>
      <c r="BX48" s="1313">
        <f>BV48-9</f>
        <v>0</v>
      </c>
      <c r="CG48" s="614"/>
      <c r="CH48" s="614"/>
      <c r="CI48" s="95"/>
      <c r="CJ48" s="614" t="s">
        <v>16</v>
      </c>
      <c r="CK48" s="391">
        <v>12.083333333333334</v>
      </c>
      <c r="CL48" s="390">
        <v>96</v>
      </c>
      <c r="CM48" s="690">
        <v>2.6464143235574098</v>
      </c>
      <c r="CN48" s="877">
        <f>+(CL11*CN11+CL26*CN26+CL35*CN35)/CL48</f>
        <v>0.33333333333333387</v>
      </c>
      <c r="CO48" s="36"/>
      <c r="CP48" s="918"/>
      <c r="CQ48" s="36"/>
      <c r="CR48" s="875" t="s">
        <v>16</v>
      </c>
      <c r="CS48" s="877">
        <v>11.417721518987342</v>
      </c>
      <c r="CT48" s="877">
        <f>+(CU12*CT12+CU28*CT28+CU37*CT37)/CU48</f>
        <v>-0.35443037974683472</v>
      </c>
      <c r="CU48" s="878">
        <v>79</v>
      </c>
      <c r="CV48" s="879">
        <v>12.30379746835443</v>
      </c>
      <c r="CW48" s="880">
        <f>+(CU12*CW12+CU28*CW28+CU37*CW37)/CU48</f>
        <v>0.53164556962025311</v>
      </c>
      <c r="CX48" s="36"/>
      <c r="CY48" s="42"/>
      <c r="CZ48" s="42"/>
      <c r="DA48" s="97" t="s">
        <v>16</v>
      </c>
      <c r="DB48" s="97">
        <v>99</v>
      </c>
      <c r="DC48" s="134">
        <v>12.393939393939396</v>
      </c>
      <c r="DD48" s="42"/>
      <c r="DE48" s="134">
        <f>+(DB12*DE12+DB28*DE28+DB37*DE37)/DB48</f>
        <v>0.5757575757575758</v>
      </c>
      <c r="DF48" s="42"/>
      <c r="DG48" s="42"/>
      <c r="DH48" s="42"/>
      <c r="DI48" s="42"/>
      <c r="DJ48" s="42"/>
      <c r="DK48" s="42"/>
      <c r="DL48" s="42"/>
      <c r="DM48" s="42"/>
      <c r="DN48" s="42"/>
    </row>
    <row r="49" spans="1:118">
      <c r="A49" s="5654"/>
      <c r="B49" s="5654"/>
      <c r="C49" s="5818" t="s">
        <v>74</v>
      </c>
      <c r="D49" s="5819"/>
      <c r="E49" s="5820">
        <f>SUM(E48,E46,E42)</f>
        <v>49</v>
      </c>
      <c r="F49" s="3863">
        <f>+(E42*F42+E46*F46+E48*F48)/E49</f>
        <v>1.3230158730158725</v>
      </c>
      <c r="G49" s="5806"/>
      <c r="I49" s="5052"/>
      <c r="J49" s="5052"/>
      <c r="K49" s="5053"/>
      <c r="L49" s="5054"/>
      <c r="M49" s="5063">
        <f>SUM(M48)</f>
        <v>5</v>
      </c>
      <c r="N49" s="1361">
        <v>0</v>
      </c>
      <c r="O49" s="97"/>
      <c r="Q49" s="4615">
        <v>4</v>
      </c>
      <c r="R49" s="4615">
        <v>2</v>
      </c>
      <c r="S49" s="4602" t="s">
        <v>608</v>
      </c>
      <c r="T49" s="4603">
        <v>14</v>
      </c>
      <c r="U49" s="4604">
        <v>5</v>
      </c>
      <c r="V49" s="1346">
        <f t="shared" si="2"/>
        <v>2</v>
      </c>
      <c r="W49" s="95">
        <v>12</v>
      </c>
      <c r="Y49" s="36"/>
      <c r="Z49" s="36" t="s">
        <v>64</v>
      </c>
      <c r="AA49" s="36" t="s">
        <v>609</v>
      </c>
      <c r="AB49" s="1346">
        <v>14</v>
      </c>
      <c r="AC49" s="95">
        <v>4</v>
      </c>
      <c r="AD49" s="1281">
        <f>AB49-AE49</f>
        <v>2</v>
      </c>
      <c r="AE49" s="97">
        <v>12</v>
      </c>
      <c r="AG49" s="36"/>
      <c r="AH49" s="36"/>
      <c r="AI49" s="393" t="s">
        <v>484</v>
      </c>
      <c r="AJ49" s="1361">
        <v>12</v>
      </c>
      <c r="AK49" s="3794">
        <v>3</v>
      </c>
      <c r="AL49" s="3864">
        <f>AJ49-12</f>
        <v>0</v>
      </c>
      <c r="AM49" s="97"/>
      <c r="AN49" s="97"/>
      <c r="AO49" s="4215"/>
      <c r="AP49" s="4215"/>
      <c r="AQ49" s="4222" t="s">
        <v>484</v>
      </c>
      <c r="AR49" s="4223">
        <v>12</v>
      </c>
      <c r="AS49" s="4223">
        <v>1</v>
      </c>
      <c r="AT49" s="4444">
        <f>AR49-12</f>
        <v>0</v>
      </c>
      <c r="AU49" s="4263"/>
      <c r="AW49" s="36"/>
      <c r="AX49" s="36"/>
      <c r="AY49" s="393" t="s">
        <v>484</v>
      </c>
      <c r="AZ49" s="1360">
        <v>12.25</v>
      </c>
      <c r="BA49" s="2041">
        <v>4</v>
      </c>
      <c r="BB49" s="1309">
        <f>AZ49-12</f>
        <v>0.25</v>
      </c>
      <c r="BC49" s="97"/>
      <c r="BD49" s="97"/>
      <c r="BE49" s="51" t="s">
        <v>59</v>
      </c>
      <c r="BF49" s="85" t="s">
        <v>16</v>
      </c>
      <c r="BG49" s="51" t="s">
        <v>608</v>
      </c>
      <c r="BH49" s="837">
        <v>10</v>
      </c>
      <c r="BI49" s="85">
        <v>9</v>
      </c>
      <c r="BJ49" s="1306">
        <f>BH49-9</f>
        <v>1</v>
      </c>
      <c r="BL49" s="97"/>
      <c r="BM49" s="97"/>
      <c r="BN49" s="893" t="s">
        <v>483</v>
      </c>
      <c r="BO49" s="894">
        <v>9.1999999999999993</v>
      </c>
      <c r="BP49" s="135">
        <v>5</v>
      </c>
      <c r="BQ49" s="1309">
        <f>BO49-9</f>
        <v>0.19999999999999929</v>
      </c>
      <c r="BS49" s="1209"/>
      <c r="BT49" s="1209"/>
      <c r="BU49" s="1308" t="s">
        <v>483</v>
      </c>
      <c r="BV49" s="1309">
        <v>9</v>
      </c>
      <c r="BW49" s="1310">
        <v>1</v>
      </c>
      <c r="BX49" s="1309">
        <f>BV49-9</f>
        <v>0</v>
      </c>
      <c r="CG49" s="614"/>
      <c r="CH49" s="614"/>
      <c r="CI49" s="95"/>
      <c r="CJ49" s="614" t="s">
        <v>41</v>
      </c>
      <c r="CK49" s="391">
        <v>14.266666666666667</v>
      </c>
      <c r="CL49" s="390">
        <v>45</v>
      </c>
      <c r="CM49" s="690">
        <v>3.9045428087619354</v>
      </c>
      <c r="CN49" s="877">
        <f>+(CL30*CN30+CL38*CN38)/CL49</f>
        <v>3.9111111111111105</v>
      </c>
      <c r="CO49" s="36"/>
      <c r="CP49" s="918"/>
      <c r="CQ49" s="36"/>
      <c r="CR49" s="875" t="s">
        <v>41</v>
      </c>
      <c r="CS49" s="877">
        <v>14.530612244897958</v>
      </c>
      <c r="CT49" s="877">
        <f>+(CU32*CT32+CU40*CT40)/CU49</f>
        <v>4.1020408163265296</v>
      </c>
      <c r="CU49" s="878">
        <v>49</v>
      </c>
      <c r="CV49" s="879">
        <v>15.755102040816322</v>
      </c>
      <c r="CW49" s="880">
        <f>+(CU32*CW32+CU40*CW40)/CU49</f>
        <v>5.3265306122448983</v>
      </c>
      <c r="CX49" s="36"/>
      <c r="CY49" s="42"/>
      <c r="CZ49" s="42"/>
      <c r="DA49" s="97" t="s">
        <v>41</v>
      </c>
      <c r="DB49" s="97">
        <v>48</v>
      </c>
      <c r="DC49" s="134">
        <v>17.687500000000004</v>
      </c>
      <c r="DD49" s="42"/>
      <c r="DE49" s="134">
        <f>+(DB32*DE32+DB40*DE40)/DB49</f>
        <v>7.4583333333333321</v>
      </c>
      <c r="DF49" s="42"/>
      <c r="DG49" s="42"/>
      <c r="DH49" s="42"/>
      <c r="DI49" s="42"/>
      <c r="DJ49" s="42"/>
      <c r="DK49" s="42"/>
      <c r="DL49" s="42"/>
      <c r="DM49" s="42"/>
      <c r="DN49" s="42"/>
    </row>
    <row r="50" spans="1:118">
      <c r="A50" s="5814">
        <v>4</v>
      </c>
      <c r="B50" s="5814">
        <v>2</v>
      </c>
      <c r="C50" s="5815" t="s">
        <v>608</v>
      </c>
      <c r="D50" s="5816">
        <v>12</v>
      </c>
      <c r="E50" s="5814">
        <v>5</v>
      </c>
      <c r="F50" s="1281">
        <f t="shared" si="0"/>
        <v>0</v>
      </c>
      <c r="G50" s="97">
        <v>12</v>
      </c>
      <c r="I50" s="5047">
        <v>4</v>
      </c>
      <c r="J50" s="5047">
        <v>6</v>
      </c>
      <c r="K50" s="5048" t="s">
        <v>381</v>
      </c>
      <c r="L50" s="5049">
        <v>19</v>
      </c>
      <c r="M50" s="5047">
        <v>1</v>
      </c>
      <c r="N50" s="1346">
        <f t="shared" si="1"/>
        <v>7</v>
      </c>
      <c r="O50" s="97">
        <v>12</v>
      </c>
      <c r="Q50" s="4615">
        <v>4</v>
      </c>
      <c r="R50" s="4615">
        <v>6</v>
      </c>
      <c r="S50" s="4602" t="s">
        <v>609</v>
      </c>
      <c r="T50" s="4603">
        <v>13.75</v>
      </c>
      <c r="U50" s="4604">
        <v>4</v>
      </c>
      <c r="V50" s="1346">
        <f t="shared" si="2"/>
        <v>1.75</v>
      </c>
      <c r="W50" s="95">
        <v>12</v>
      </c>
      <c r="Y50" s="36"/>
      <c r="Z50" s="36"/>
      <c r="AA50" s="2019" t="s">
        <v>487</v>
      </c>
      <c r="AB50" s="4176">
        <v>14</v>
      </c>
      <c r="AC50" s="4171">
        <v>4</v>
      </c>
      <c r="AD50" s="1675">
        <f>AB50-AE50</f>
        <v>2</v>
      </c>
      <c r="AE50" s="135">
        <v>12</v>
      </c>
      <c r="AG50" s="3747"/>
      <c r="AH50" s="3747"/>
      <c r="AI50" s="3748" t="s">
        <v>412</v>
      </c>
      <c r="AJ50" s="3865">
        <v>12.57</v>
      </c>
      <c r="AK50" s="3746">
        <v>54</v>
      </c>
      <c r="AL50" s="3863">
        <f>+(AK43*AL43+AK47*AL47+AK49*AL49)/AK50</f>
        <v>0.74203703703703727</v>
      </c>
      <c r="AM50" s="3749"/>
      <c r="AN50" s="97"/>
      <c r="AO50" s="4438"/>
      <c r="AP50" s="4438"/>
      <c r="AQ50" s="4439" t="s">
        <v>412</v>
      </c>
      <c r="AR50" s="4440">
        <v>12.85</v>
      </c>
      <c r="AS50" s="4440">
        <v>26</v>
      </c>
      <c r="AT50" s="4443">
        <f>+(AS43*AT43+AS47*AT47+AS49*AT49)/AS50</f>
        <v>0.84615384615384603</v>
      </c>
      <c r="AU50" s="4442"/>
      <c r="AW50" s="2022"/>
      <c r="AX50" s="2022"/>
      <c r="AY50" s="2023" t="s">
        <v>412</v>
      </c>
      <c r="AZ50" s="2024">
        <v>12.74</v>
      </c>
      <c r="BA50" s="2025">
        <v>57</v>
      </c>
      <c r="BB50" s="2065">
        <f>+(BA43*BB43+BA47*BB47+BA49*BB49)/BA50</f>
        <v>1.525964912280702</v>
      </c>
      <c r="BC50" s="2066"/>
      <c r="BD50" s="97"/>
      <c r="BE50" s="51"/>
      <c r="BF50" s="85"/>
      <c r="BG50" s="1689" t="s">
        <v>483</v>
      </c>
      <c r="BH50" s="1690">
        <v>10</v>
      </c>
      <c r="BI50" s="1691">
        <v>9</v>
      </c>
      <c r="BJ50" s="1309">
        <f>BH50-9</f>
        <v>1</v>
      </c>
      <c r="BL50" s="97"/>
      <c r="BM50" s="97"/>
      <c r="BN50" s="893"/>
      <c r="BO50" s="894"/>
      <c r="BP50" s="135"/>
      <c r="BQ50" s="1309"/>
      <c r="BS50" s="1209"/>
      <c r="BT50" s="1209" t="s">
        <v>64</v>
      </c>
      <c r="BU50" s="1305" t="s">
        <v>320</v>
      </c>
      <c r="BV50" s="1306">
        <v>18</v>
      </c>
      <c r="BW50" s="1307">
        <v>1</v>
      </c>
      <c r="BX50" s="1306">
        <f>BV50-12</f>
        <v>6</v>
      </c>
      <c r="CG50" s="614"/>
      <c r="CH50" s="614"/>
      <c r="CI50" s="95"/>
      <c r="CJ50" s="614" t="s">
        <v>103</v>
      </c>
      <c r="CK50" s="391">
        <v>9.454545454545455</v>
      </c>
      <c r="CL50" s="390">
        <v>11</v>
      </c>
      <c r="CM50" s="690">
        <v>3.2669140289770824</v>
      </c>
      <c r="CN50" s="877">
        <f>+(CL13*CN13+CL40*CN40)/CL50</f>
        <v>3.0909090909090917</v>
      </c>
      <c r="CO50" s="36"/>
      <c r="CP50" s="918"/>
      <c r="CQ50" s="36"/>
      <c r="CR50" s="875" t="s">
        <v>103</v>
      </c>
      <c r="CS50" s="877">
        <v>12.375</v>
      </c>
      <c r="CT50" s="877">
        <f>+(CU14*CT14+CU42*CT42)/CU50</f>
        <v>4.875</v>
      </c>
      <c r="CU50" s="878">
        <v>8</v>
      </c>
      <c r="CV50" s="879">
        <v>13.125</v>
      </c>
      <c r="CW50" s="880">
        <f>+(CU14*CW14+CU42*CW42)/CU50</f>
        <v>5.625</v>
      </c>
      <c r="CX50" s="36"/>
      <c r="CY50" s="42"/>
      <c r="CZ50" s="42"/>
      <c r="DA50" s="97" t="s">
        <v>103</v>
      </c>
      <c r="DB50" s="97">
        <v>10</v>
      </c>
      <c r="DC50" s="134">
        <v>9.2000000000000011</v>
      </c>
      <c r="DD50" s="42"/>
      <c r="DE50" s="134">
        <f>+(DB14*DE14+DB42*DE42)/DB50</f>
        <v>2.6</v>
      </c>
      <c r="DF50" s="42"/>
      <c r="DG50" s="42"/>
      <c r="DH50" s="42"/>
      <c r="DI50" s="42"/>
      <c r="DJ50" s="42"/>
      <c r="DK50" s="42"/>
      <c r="DL50" s="42"/>
      <c r="DM50" s="42"/>
      <c r="DN50" s="42"/>
    </row>
    <row r="51" spans="1:118" ht="15" thickBot="1">
      <c r="A51" s="5812"/>
      <c r="B51" s="5812"/>
      <c r="C51" s="135" t="s">
        <v>16</v>
      </c>
      <c r="D51" s="5050"/>
      <c r="E51" s="5051">
        <f>SUM(E50)</f>
        <v>5</v>
      </c>
      <c r="F51" s="1361">
        <v>0</v>
      </c>
      <c r="G51" s="97"/>
      <c r="I51" s="5047">
        <v>4</v>
      </c>
      <c r="J51" s="5047">
        <v>6</v>
      </c>
      <c r="K51" s="5048" t="s">
        <v>609</v>
      </c>
      <c r="L51" s="5049">
        <v>14</v>
      </c>
      <c r="M51" s="5047">
        <v>2</v>
      </c>
      <c r="N51" s="1346">
        <f t="shared" si="1"/>
        <v>2</v>
      </c>
      <c r="O51" s="97">
        <v>12</v>
      </c>
      <c r="Q51" s="4618"/>
      <c r="R51" s="4618"/>
      <c r="S51" s="4575" t="s">
        <v>256</v>
      </c>
      <c r="T51" s="4611"/>
      <c r="U51" s="4575">
        <f>SUM(U49:U50)</f>
        <v>9</v>
      </c>
      <c r="V51" s="5043">
        <f>+(U49*V49+U50*V50)/U51</f>
        <v>1.8888888888888888</v>
      </c>
      <c r="W51" s="4612"/>
      <c r="Y51" s="4177"/>
      <c r="Z51" s="4177"/>
      <c r="AA51" s="4166" t="s">
        <v>256</v>
      </c>
      <c r="AB51" s="4178">
        <v>13.33</v>
      </c>
      <c r="AC51" s="4167">
        <v>6</v>
      </c>
      <c r="AD51" s="3863">
        <f>+(AC48*AD48+AC50*AD50)/AC51</f>
        <v>1.3333333333333333</v>
      </c>
      <c r="AG51" s="36" t="s">
        <v>59</v>
      </c>
      <c r="AH51" s="36" t="s">
        <v>16</v>
      </c>
      <c r="AI51" s="36" t="s">
        <v>608</v>
      </c>
      <c r="AJ51" s="1346">
        <v>11.4</v>
      </c>
      <c r="AK51" s="95">
        <v>5</v>
      </c>
      <c r="AL51" s="1281">
        <f>AJ51-AM51</f>
        <v>-0.59999999999999964</v>
      </c>
      <c r="AM51" s="97">
        <v>12</v>
      </c>
      <c r="AN51" s="97"/>
      <c r="AO51" s="4215" t="s">
        <v>59</v>
      </c>
      <c r="AP51" s="4215" t="s">
        <v>16</v>
      </c>
      <c r="AQ51" s="4215" t="s">
        <v>608</v>
      </c>
      <c r="AR51" s="4221">
        <v>11</v>
      </c>
      <c r="AS51" s="4221">
        <v>3</v>
      </c>
      <c r="AT51" s="4263">
        <f t="shared" si="18"/>
        <v>-1</v>
      </c>
      <c r="AU51" s="4263">
        <v>12</v>
      </c>
      <c r="AW51" s="36" t="s">
        <v>59</v>
      </c>
      <c r="AX51" s="36" t="s">
        <v>16</v>
      </c>
      <c r="AY51" s="36" t="s">
        <v>608</v>
      </c>
      <c r="AZ51" s="1345">
        <v>9.7100000000000009</v>
      </c>
      <c r="BA51" s="95">
        <v>7</v>
      </c>
      <c r="BB51" s="134">
        <f t="shared" si="7"/>
        <v>-2.2899999999999991</v>
      </c>
      <c r="BC51" s="97">
        <v>12</v>
      </c>
      <c r="BD51" s="97"/>
      <c r="BE51" s="51"/>
      <c r="BF51" s="85" t="s">
        <v>64</v>
      </c>
      <c r="BG51" s="51" t="s">
        <v>609</v>
      </c>
      <c r="BH51" s="837">
        <v>13.5</v>
      </c>
      <c r="BI51" s="85">
        <v>2</v>
      </c>
      <c r="BJ51" s="1306">
        <f>BH51-12</f>
        <v>1.5</v>
      </c>
      <c r="BL51" s="97"/>
      <c r="BM51" s="97"/>
      <c r="BN51" s="893"/>
      <c r="BO51" s="894"/>
      <c r="BP51" s="135"/>
      <c r="BQ51" s="1309"/>
      <c r="BS51" s="1209"/>
      <c r="BT51" s="1209"/>
      <c r="BU51" s="1305" t="s">
        <v>609</v>
      </c>
      <c r="BV51" s="1306">
        <v>10</v>
      </c>
      <c r="BW51" s="1307">
        <v>1</v>
      </c>
      <c r="BX51" s="1306">
        <f>BV51-9</f>
        <v>1</v>
      </c>
      <c r="CG51" s="639"/>
      <c r="CH51" s="639"/>
      <c r="CI51" s="639"/>
      <c r="CJ51" s="639" t="s">
        <v>15</v>
      </c>
      <c r="CK51" s="400">
        <v>13.058201058201057</v>
      </c>
      <c r="CL51" s="399">
        <v>189</v>
      </c>
      <c r="CM51" s="720">
        <v>3.8387441072651254</v>
      </c>
      <c r="CN51" s="929">
        <f>+(CL47*CN47+CL48*CN48+CL49*CN49+CL50*CN50)/CL51</f>
        <v>2.2857142857142856</v>
      </c>
      <c r="CO51" s="36"/>
      <c r="CP51" s="918"/>
      <c r="CQ51" s="36"/>
      <c r="CR51" s="875"/>
      <c r="CS51" s="877"/>
      <c r="CT51" s="877"/>
      <c r="CU51" s="878"/>
      <c r="CV51" s="919"/>
      <c r="CW51" s="615"/>
      <c r="CX51" s="36"/>
      <c r="CY51" s="42"/>
      <c r="CZ51" s="42"/>
      <c r="DA51" s="97"/>
      <c r="DB51" s="97"/>
      <c r="DC51" s="134"/>
      <c r="DD51" s="42"/>
      <c r="DE51" s="894"/>
      <c r="DF51" s="895">
        <f>AVERAGE(DE9,DE12,DE14)</f>
        <v>3.0440115440115441</v>
      </c>
      <c r="DG51" s="42"/>
      <c r="DH51" s="42"/>
      <c r="DI51" s="42"/>
      <c r="DJ51" s="42"/>
      <c r="DK51" s="42"/>
      <c r="DL51" s="42"/>
      <c r="DM51" s="42"/>
      <c r="DN51" s="42"/>
    </row>
    <row r="52" spans="1:118" ht="15" thickBot="1">
      <c r="A52" s="5812">
        <v>4</v>
      </c>
      <c r="B52" s="5812">
        <v>6</v>
      </c>
      <c r="C52" s="5811" t="s">
        <v>381</v>
      </c>
      <c r="D52" s="5813">
        <v>19</v>
      </c>
      <c r="E52" s="5812">
        <v>1</v>
      </c>
      <c r="F52" s="1281">
        <f t="shared" si="0"/>
        <v>7</v>
      </c>
      <c r="G52" s="97">
        <v>12</v>
      </c>
      <c r="I52" s="5060"/>
      <c r="J52" s="5060"/>
      <c r="K52" s="4884" t="s">
        <v>487</v>
      </c>
      <c r="L52" s="5061"/>
      <c r="M52" s="5062">
        <f>SUM(M50:M51)</f>
        <v>3</v>
      </c>
      <c r="N52" s="1361">
        <f>+(M50*N50+M51*N51)/M52</f>
        <v>3.6666666666666665</v>
      </c>
      <c r="O52" s="97"/>
      <c r="Q52" s="2137"/>
      <c r="R52" s="2137"/>
      <c r="S52" s="4885"/>
      <c r="T52" s="4830"/>
      <c r="U52" s="4885"/>
      <c r="V52" s="1675"/>
      <c r="W52" s="5059"/>
      <c r="Y52" s="401"/>
      <c r="Z52" s="401"/>
      <c r="AA52" s="397" t="s">
        <v>112</v>
      </c>
      <c r="AB52" s="1392">
        <v>13.98</v>
      </c>
      <c r="AC52" s="398">
        <v>113</v>
      </c>
      <c r="AD52" s="1416">
        <f>+(AC17*AD17+AC35*AD35+AC46*AD46+AC51*AD51)/AC52</f>
        <v>2.2481415929203541</v>
      </c>
      <c r="AG52" s="36"/>
      <c r="AH52" s="36"/>
      <c r="AI52" s="393" t="s">
        <v>483</v>
      </c>
      <c r="AJ52" s="1361">
        <v>11.4</v>
      </c>
      <c r="AK52" s="3794">
        <v>5</v>
      </c>
      <c r="AL52" s="1281">
        <f>AJ52-AM52</f>
        <v>-0.59999999999999964</v>
      </c>
      <c r="AM52" s="97">
        <v>12</v>
      </c>
      <c r="AN52" s="97"/>
      <c r="AO52" s="4215"/>
      <c r="AP52" s="4215"/>
      <c r="AQ52" s="4222" t="s">
        <v>483</v>
      </c>
      <c r="AR52" s="4223">
        <v>11</v>
      </c>
      <c r="AS52" s="4223">
        <v>3</v>
      </c>
      <c r="AT52" s="4263">
        <f t="shared" si="18"/>
        <v>-1</v>
      </c>
      <c r="AU52" s="4263">
        <v>12</v>
      </c>
      <c r="AW52" s="36"/>
      <c r="AX52" s="36"/>
      <c r="AY52" s="393" t="s">
        <v>483</v>
      </c>
      <c r="AZ52" s="1360">
        <v>9.7100000000000009</v>
      </c>
      <c r="BA52" s="2041">
        <v>7</v>
      </c>
      <c r="BB52" s="894">
        <f t="shared" si="7"/>
        <v>-2.2899999999999991</v>
      </c>
      <c r="BC52" s="97">
        <v>12</v>
      </c>
      <c r="BD52" s="97"/>
      <c r="BE52" s="1689"/>
      <c r="BF52" s="1691"/>
      <c r="BG52" s="1689" t="s">
        <v>487</v>
      </c>
      <c r="BH52" s="1690">
        <v>13.5</v>
      </c>
      <c r="BI52" s="1691">
        <v>2</v>
      </c>
      <c r="BJ52" s="1309">
        <f>BH52-12</f>
        <v>1.5</v>
      </c>
      <c r="BL52" s="97"/>
      <c r="BM52" s="97"/>
      <c r="BN52" s="893"/>
      <c r="BO52" s="894"/>
      <c r="BP52" s="135"/>
      <c r="BQ52" s="1309"/>
      <c r="BS52" s="1209"/>
      <c r="BT52" s="1209"/>
      <c r="BU52" s="1308" t="s">
        <v>487</v>
      </c>
      <c r="BV52" s="1309">
        <v>14</v>
      </c>
      <c r="BW52" s="1310">
        <v>2</v>
      </c>
      <c r="BX52" s="800">
        <f>+(BW50*BX50+BW51*BX51)/BW52</f>
        <v>3.5</v>
      </c>
      <c r="CG52" s="95"/>
      <c r="CH52" s="95"/>
      <c r="CI52" s="95"/>
      <c r="CJ52" s="36"/>
      <c r="CK52" s="36"/>
      <c r="CL52" s="36"/>
      <c r="CM52" s="36"/>
      <c r="CN52" s="36"/>
      <c r="CO52" s="36"/>
      <c r="CP52" s="918"/>
      <c r="CQ52" s="36"/>
      <c r="CR52" s="864" t="s">
        <v>75</v>
      </c>
      <c r="CS52" s="914">
        <v>13.182926829268288</v>
      </c>
      <c r="CT52" s="930">
        <f>+(CU47*CT47+CU48*CT48+CU49*CT49+CU50*CT50)/CU52</f>
        <v>2.1829268292682928</v>
      </c>
      <c r="CU52" s="931">
        <v>164</v>
      </c>
      <c r="CV52" s="914">
        <v>14.262195121951216</v>
      </c>
      <c r="CW52" s="930">
        <f>+(CU47*CW47+CU48*CW48+CU49*CW49+CU50*CW50)/CU52</f>
        <v>3.2621951219512195</v>
      </c>
      <c r="CX52" s="36"/>
      <c r="CY52" s="42"/>
      <c r="CZ52" s="42"/>
      <c r="DA52" s="388" t="s">
        <v>75</v>
      </c>
      <c r="DB52" s="388">
        <v>191</v>
      </c>
      <c r="DC52" s="917">
        <v>14.235602094240834</v>
      </c>
      <c r="DD52" s="866"/>
      <c r="DE52" s="917">
        <f>+(DB47*DE47+DB48*DE48+DB49*DE49+DB50*DE50)/DB52</f>
        <v>3.3874345549738214</v>
      </c>
      <c r="DF52" s="895">
        <f>AVERAGE(DE21,DE28,DE32)</f>
        <v>4.1702898550724621</v>
      </c>
      <c r="DG52" s="42"/>
      <c r="DH52" s="42"/>
      <c r="DI52" s="42"/>
      <c r="DJ52" s="42"/>
      <c r="DK52" s="42"/>
      <c r="DL52" s="42"/>
      <c r="DM52" s="42"/>
      <c r="DN52" s="42"/>
    </row>
    <row r="53" spans="1:118" ht="15" thickBot="1">
      <c r="A53" s="5812">
        <v>4</v>
      </c>
      <c r="B53" s="5812">
        <v>6</v>
      </c>
      <c r="C53" s="5811" t="s">
        <v>609</v>
      </c>
      <c r="D53" s="5813">
        <v>14</v>
      </c>
      <c r="E53" s="5812">
        <v>2</v>
      </c>
      <c r="F53" s="1281">
        <f t="shared" si="0"/>
        <v>2</v>
      </c>
      <c r="G53" s="97">
        <v>12</v>
      </c>
      <c r="I53" s="4618"/>
      <c r="J53" s="4618"/>
      <c r="K53" s="4575" t="s">
        <v>256</v>
      </c>
      <c r="L53" s="4618"/>
      <c r="M53" s="4575">
        <f>SUM(M48,M52)</f>
        <v>8</v>
      </c>
      <c r="N53" s="5043">
        <f>+(M49*N49+M52*N52)/M53</f>
        <v>1.375</v>
      </c>
      <c r="O53" s="4448"/>
      <c r="Q53" s="2887"/>
      <c r="R53" s="2887"/>
      <c r="S53" s="398" t="s">
        <v>112</v>
      </c>
      <c r="T53" s="396"/>
      <c r="U53" s="398">
        <f>SUM(U19,U37,U48,U51)</f>
        <v>131</v>
      </c>
      <c r="V53" s="1416">
        <f>+(U19*V19+U37*V37+U48*V48+U51*V51)/U53</f>
        <v>2.5282654792196775</v>
      </c>
      <c r="W53" s="396"/>
      <c r="Y53" s="36"/>
      <c r="Z53" s="36"/>
      <c r="AA53" s="36"/>
      <c r="AB53" s="1346"/>
      <c r="AC53" s="95"/>
      <c r="AG53" s="36"/>
      <c r="AH53" s="36" t="s">
        <v>64</v>
      </c>
      <c r="AI53" s="36" t="s">
        <v>609</v>
      </c>
      <c r="AJ53" s="1346">
        <v>15</v>
      </c>
      <c r="AK53" s="95">
        <v>6</v>
      </c>
      <c r="AL53" s="1281">
        <f>AJ53-AM53</f>
        <v>3</v>
      </c>
      <c r="AM53" s="97">
        <v>12</v>
      </c>
      <c r="AN53" s="97"/>
      <c r="AO53" s="4215"/>
      <c r="AP53" s="4215" t="s">
        <v>64</v>
      </c>
      <c r="AQ53" s="4215" t="s">
        <v>609</v>
      </c>
      <c r="AR53" s="4221">
        <v>14</v>
      </c>
      <c r="AS53" s="4221">
        <v>1</v>
      </c>
      <c r="AT53" s="4263">
        <f t="shared" si="18"/>
        <v>2</v>
      </c>
      <c r="AU53" s="4263">
        <v>12</v>
      </c>
      <c r="AW53" s="36"/>
      <c r="AX53" s="36" t="s">
        <v>64</v>
      </c>
      <c r="AY53" s="36" t="s">
        <v>609</v>
      </c>
      <c r="AZ53" s="1345">
        <v>13.75</v>
      </c>
      <c r="BA53" s="95">
        <v>4</v>
      </c>
      <c r="BB53" s="134">
        <f t="shared" si="7"/>
        <v>1.75</v>
      </c>
      <c r="BC53" s="97">
        <v>12</v>
      </c>
      <c r="BD53" s="97"/>
      <c r="BE53" s="1689"/>
      <c r="BF53" s="1691"/>
      <c r="BG53" s="1689" t="s">
        <v>256</v>
      </c>
      <c r="BH53" s="1690">
        <v>10.64</v>
      </c>
      <c r="BI53" s="1691">
        <v>11</v>
      </c>
      <c r="BJ53" s="800">
        <f>+(BI50*BJ50+BI52*BJ52)/BI53</f>
        <v>1.0909090909090908</v>
      </c>
      <c r="BL53" s="97"/>
      <c r="BM53" s="97"/>
      <c r="BN53" s="893" t="s">
        <v>256</v>
      </c>
      <c r="BO53" s="894">
        <v>9.1999999999999993</v>
      </c>
      <c r="BP53" s="135">
        <v>5</v>
      </c>
      <c r="BQ53" s="800">
        <f>+(BP49*BQ49+BP52*BQ52)/BP53</f>
        <v>0.19999999999999929</v>
      </c>
      <c r="BS53" s="1209"/>
      <c r="BT53" s="1209"/>
      <c r="BU53" s="1308" t="s">
        <v>256</v>
      </c>
      <c r="BV53" s="1309">
        <v>12.333333333333334</v>
      </c>
      <c r="BW53" s="1310">
        <v>3</v>
      </c>
      <c r="BX53" s="800">
        <f>+(BW49*BX49+BW52*BX52)/BW53</f>
        <v>2.3333333333333335</v>
      </c>
      <c r="CG53" s="95"/>
      <c r="CH53" s="95"/>
      <c r="CI53" s="95"/>
      <c r="CJ53" s="36"/>
      <c r="CK53" s="36"/>
      <c r="CL53" s="36"/>
      <c r="CM53" s="36"/>
      <c r="CN53" s="36"/>
      <c r="CO53" s="36"/>
      <c r="CP53" s="918"/>
      <c r="CQ53" s="36"/>
      <c r="CR53" s="36"/>
      <c r="CS53" s="36"/>
      <c r="CT53" s="36"/>
      <c r="CU53" s="36"/>
      <c r="CV53" s="36"/>
      <c r="CW53" s="36"/>
      <c r="CX53" s="36"/>
      <c r="CY53" s="42"/>
      <c r="CZ53" s="42"/>
      <c r="DA53" s="97"/>
      <c r="DB53" s="42"/>
      <c r="DC53" s="42"/>
      <c r="DD53" s="42"/>
      <c r="DE53" s="42"/>
      <c r="DF53" s="895">
        <f>AVERAGE(DE37,DE40,DE42)</f>
        <v>4.8232323232323235</v>
      </c>
      <c r="DG53" s="42"/>
      <c r="DH53" s="42"/>
      <c r="DI53" s="42"/>
      <c r="DJ53" s="42"/>
      <c r="DK53" s="42"/>
      <c r="DL53" s="42"/>
      <c r="DM53" s="42"/>
      <c r="DN53" s="42"/>
    </row>
    <row r="54" spans="1:118" ht="15" thickBot="1">
      <c r="C54" s="135" t="s">
        <v>64</v>
      </c>
      <c r="D54" s="5050"/>
      <c r="E54" s="5051">
        <f>SUM(E52:E53)</f>
        <v>3</v>
      </c>
      <c r="F54" s="1361">
        <f>+(E52*F52+E53*F53)/E54</f>
        <v>3.6666666666666665</v>
      </c>
      <c r="G54" s="1"/>
      <c r="I54" s="157"/>
      <c r="J54" s="157"/>
      <c r="K54" s="157"/>
      <c r="L54" s="157"/>
      <c r="M54" s="157"/>
      <c r="N54" s="1346"/>
      <c r="Y54" s="36"/>
      <c r="Z54" s="36"/>
      <c r="AA54" s="36"/>
      <c r="AB54" s="1346"/>
      <c r="AC54" s="95"/>
      <c r="AG54" s="36"/>
      <c r="AH54" s="36"/>
      <c r="AI54" s="393" t="s">
        <v>487</v>
      </c>
      <c r="AJ54" s="1361">
        <v>15</v>
      </c>
      <c r="AK54" s="3794">
        <v>6</v>
      </c>
      <c r="AL54" s="1281">
        <f>AJ54-AM54</f>
        <v>3</v>
      </c>
      <c r="AM54" s="97">
        <v>12</v>
      </c>
      <c r="AN54" s="97"/>
      <c r="AO54" s="4215"/>
      <c r="AP54" s="4215"/>
      <c r="AQ54" s="4222" t="s">
        <v>487</v>
      </c>
      <c r="AR54" s="4223">
        <v>14</v>
      </c>
      <c r="AS54" s="4223">
        <v>1</v>
      </c>
      <c r="AT54" s="4263">
        <f>AR54-AU54</f>
        <v>2</v>
      </c>
      <c r="AU54" s="4263">
        <v>12</v>
      </c>
      <c r="AW54" s="36"/>
      <c r="AX54" s="36"/>
      <c r="AY54" s="2019" t="s">
        <v>487</v>
      </c>
      <c r="AZ54" s="2020">
        <v>13.75</v>
      </c>
      <c r="BA54" s="2021">
        <v>4</v>
      </c>
      <c r="BB54" s="894">
        <f t="shared" si="7"/>
        <v>1.75</v>
      </c>
      <c r="BC54" s="97">
        <v>12</v>
      </c>
      <c r="BD54" s="97"/>
      <c r="BE54" s="1700"/>
      <c r="BF54" s="681"/>
      <c r="BG54" s="1700" t="s">
        <v>112</v>
      </c>
      <c r="BH54" s="826">
        <v>14.26</v>
      </c>
      <c r="BI54" s="681">
        <v>199</v>
      </c>
      <c r="BJ54" s="1319">
        <f>+(BI21*BJ21+BI38*BJ38+BI48*BJ48+BI53*BJ53)/BI54</f>
        <v>3.1764824120603015</v>
      </c>
      <c r="BL54" s="1015"/>
      <c r="BM54" s="1015"/>
      <c r="BN54" s="866" t="s">
        <v>112</v>
      </c>
      <c r="BO54" s="917">
        <v>13.45</v>
      </c>
      <c r="BP54" s="388">
        <v>205</v>
      </c>
      <c r="BQ54" s="1319">
        <f>+(BP19*BQ19+BP37*BQ37+BP47*BQ47+BP53*BQ53)/BP54</f>
        <v>2.4195609756097562</v>
      </c>
      <c r="BS54" s="1315"/>
      <c r="BT54" s="1315"/>
      <c r="BU54" s="1316" t="s">
        <v>112</v>
      </c>
      <c r="BV54" s="1317">
        <v>13.901162790697667</v>
      </c>
      <c r="BW54" s="1318">
        <v>172</v>
      </c>
      <c r="BX54" s="1319">
        <f>+(BW19*BX19+BW37*BX37+BW47*BX47+BW53*BX53)/BW54</f>
        <v>2.7093023255813962</v>
      </c>
      <c r="CG54" s="95"/>
      <c r="CH54" s="95"/>
      <c r="CI54" s="95"/>
      <c r="CJ54" s="36"/>
      <c r="CK54" s="36"/>
      <c r="CL54" s="36"/>
      <c r="CM54" s="36"/>
      <c r="CN54" s="36"/>
      <c r="CO54" s="36"/>
      <c r="CP54" s="36"/>
      <c r="CQ54" s="36"/>
      <c r="CR54" s="36"/>
      <c r="CS54" s="36"/>
      <c r="CT54" s="36"/>
      <c r="CU54" s="36"/>
      <c r="CV54" s="36"/>
      <c r="CW54" s="36"/>
      <c r="CX54" s="36"/>
      <c r="CY54" s="42"/>
      <c r="CZ54" s="42"/>
      <c r="DA54" s="97"/>
      <c r="DB54" s="42"/>
      <c r="DC54" s="42"/>
      <c r="DD54" s="42"/>
      <c r="DE54" s="42"/>
      <c r="DF54" s="42"/>
      <c r="DG54" s="42"/>
      <c r="DH54" s="42"/>
      <c r="DI54" s="42"/>
      <c r="DJ54" s="42"/>
      <c r="DK54" s="42"/>
      <c r="DL54" s="42"/>
      <c r="DM54" s="42"/>
      <c r="DN54" s="42"/>
    </row>
    <row r="55" spans="1:118" ht="24.6" thickBot="1">
      <c r="A55" s="5654"/>
      <c r="B55" s="5654"/>
      <c r="C55" s="5818" t="s">
        <v>72</v>
      </c>
      <c r="D55" s="5819"/>
      <c r="E55" s="5820">
        <f>SUM(E54,E51)</f>
        <v>8</v>
      </c>
      <c r="F55" s="5043">
        <f>+(E51*F51+E54*F54)/E55</f>
        <v>1.375</v>
      </c>
      <c r="G55" s="5806"/>
      <c r="I55" s="157"/>
      <c r="J55" s="157"/>
      <c r="K55" s="398" t="s">
        <v>112</v>
      </c>
      <c r="L55" s="396"/>
      <c r="M55" s="388">
        <f>SUM(M19,M36,M47,M53)</f>
        <v>178</v>
      </c>
      <c r="N55" s="1416">
        <f>+(M19*N19+M36*N36+M47*N47+M53*N53)/M55</f>
        <v>2.1477336334077908</v>
      </c>
      <c r="O55" s="396"/>
      <c r="Y55" s="36"/>
      <c r="Z55" s="2019"/>
      <c r="AA55" s="2019" t="s">
        <v>15</v>
      </c>
      <c r="AB55" s="4176"/>
      <c r="AC55" s="4171"/>
      <c r="AG55" s="3747"/>
      <c r="AH55" s="3747"/>
      <c r="AI55" s="3748" t="s">
        <v>256</v>
      </c>
      <c r="AJ55" s="3865">
        <v>13.36</v>
      </c>
      <c r="AK55" s="3746">
        <v>11</v>
      </c>
      <c r="AL55" s="3863">
        <f>+(AK52*AL52+AK54*AL54)/AK55</f>
        <v>1.3636363636363638</v>
      </c>
      <c r="AM55" s="97"/>
      <c r="AN55" s="97"/>
      <c r="AO55" s="4438"/>
      <c r="AP55" s="4438"/>
      <c r="AQ55" s="4439" t="s">
        <v>256</v>
      </c>
      <c r="AR55" s="4440">
        <v>11.75</v>
      </c>
      <c r="AS55" s="4440">
        <v>4</v>
      </c>
      <c r="AT55" s="4443">
        <f>+(AS52*AT52+AS54*AT54)/AS55</f>
        <v>-0.25</v>
      </c>
      <c r="AU55" s="4263"/>
      <c r="AW55" s="2022"/>
      <c r="AX55" s="2022"/>
      <c r="AY55" s="2023" t="s">
        <v>256</v>
      </c>
      <c r="AZ55" s="2024">
        <v>11.18</v>
      </c>
      <c r="BA55" s="2025">
        <v>11</v>
      </c>
      <c r="BB55" s="2065">
        <f>+(BA52*BB52+BA54*BB54)/BA55</f>
        <v>-0.82090909090909037</v>
      </c>
      <c r="BC55" s="2066"/>
      <c r="BD55" s="97"/>
      <c r="BL55" s="42"/>
      <c r="BM55" s="97"/>
      <c r="BN55" s="42"/>
      <c r="BO55" s="134"/>
      <c r="BP55" s="97"/>
      <c r="BQ55" s="1306"/>
      <c r="CG55" s="95"/>
      <c r="CH55" s="95"/>
      <c r="CI55" s="95"/>
      <c r="CJ55" s="36"/>
      <c r="CK55" s="36"/>
      <c r="CL55" s="36"/>
      <c r="CM55" s="36"/>
      <c r="CN55" s="36"/>
      <c r="CO55" s="36"/>
      <c r="CP55" s="36"/>
      <c r="CQ55" s="36"/>
      <c r="CR55" s="679" t="s">
        <v>0</v>
      </c>
      <c r="CS55" s="679" t="s">
        <v>1187</v>
      </c>
      <c r="CT55" s="679" t="s">
        <v>1122</v>
      </c>
      <c r="CU55" s="865" t="s">
        <v>1185</v>
      </c>
      <c r="CV55" s="679" t="s">
        <v>1188</v>
      </c>
      <c r="CW55" s="679" t="s">
        <v>1122</v>
      </c>
      <c r="CX55" s="36"/>
      <c r="CY55" s="42"/>
      <c r="CZ55" s="42"/>
      <c r="DA55" s="388" t="s">
        <v>0</v>
      </c>
      <c r="DB55" s="388" t="s">
        <v>1185</v>
      </c>
      <c r="DC55" s="653" t="s">
        <v>1189</v>
      </c>
      <c r="DD55" s="653" t="s">
        <v>1190</v>
      </c>
      <c r="DE55" s="653" t="s">
        <v>1122</v>
      </c>
      <c r="DF55" s="895">
        <f>AVERAGE(DE56:DE58)</f>
        <v>3.5762454932808914</v>
      </c>
      <c r="DG55" s="932"/>
      <c r="DH55" s="42"/>
      <c r="DI55" s="42"/>
      <c r="DJ55" s="42"/>
      <c r="DK55" s="42"/>
      <c r="DL55" s="42"/>
      <c r="DM55" s="42"/>
      <c r="DN55" s="42"/>
    </row>
    <row r="56" spans="1:118" ht="15" thickBot="1">
      <c r="A56" s="5794"/>
      <c r="B56" s="5794"/>
      <c r="C56" s="5030" t="s">
        <v>75</v>
      </c>
      <c r="D56" s="5821"/>
      <c r="E56" s="5822">
        <f>SUM(E55,E49,E38,E19)</f>
        <v>177</v>
      </c>
      <c r="F56" s="1416">
        <f>+(E19*F19+E38*F38+E49*F49+E55*F55)/E56</f>
        <v>3.3700613259935301</v>
      </c>
      <c r="G56" s="4581"/>
      <c r="I56" s="157"/>
      <c r="J56" s="157"/>
      <c r="K56" s="157"/>
      <c r="L56" s="157"/>
      <c r="M56" s="157"/>
      <c r="Y56" s="36"/>
      <c r="Z56" s="2019" t="s">
        <v>4</v>
      </c>
      <c r="AA56" s="2019" t="s">
        <v>15</v>
      </c>
      <c r="AB56" s="4176">
        <v>17.21</v>
      </c>
      <c r="AC56" s="4171">
        <v>19</v>
      </c>
      <c r="AG56" s="401"/>
      <c r="AH56" s="401"/>
      <c r="AI56" s="397" t="s">
        <v>112</v>
      </c>
      <c r="AJ56" s="1392">
        <v>13.99</v>
      </c>
      <c r="AK56" s="398">
        <v>219</v>
      </c>
      <c r="AL56" s="1416">
        <f>+(AK20*AL20+AK39*AL39+AK50*AL50+AK55*AL55)/AK56</f>
        <v>2.2341095890410956</v>
      </c>
      <c r="AM56" s="97"/>
      <c r="AN56" s="97"/>
      <c r="AO56" s="4345"/>
      <c r="AP56" s="4345"/>
      <c r="AQ56" s="4219" t="s">
        <v>112</v>
      </c>
      <c r="AR56" s="4218">
        <v>14.15</v>
      </c>
      <c r="AS56" s="4218">
        <v>144</v>
      </c>
      <c r="AT56" s="4445">
        <f>+(AS20*AT20+AS39*AT39+AS50*AT50+AS55*AT55)/AS56</f>
        <v>2.4165277777777781</v>
      </c>
      <c r="AU56" s="4263"/>
      <c r="AW56" s="401"/>
      <c r="AX56" s="401"/>
      <c r="AY56" s="397" t="s">
        <v>112</v>
      </c>
      <c r="AZ56" s="1391">
        <v>13.6</v>
      </c>
      <c r="BA56" s="398">
        <v>234</v>
      </c>
      <c r="BB56" s="850">
        <f>+(BA20*BB20+BA39*BB39+BA50*BB50+BA55*BB55)/BA56</f>
        <v>1.9444444444444446</v>
      </c>
      <c r="BC56" s="97"/>
      <c r="BD56" s="97"/>
      <c r="BL56" s="42"/>
      <c r="BM56" s="97"/>
      <c r="BN56" s="42"/>
      <c r="BO56" s="134"/>
      <c r="BP56" s="97"/>
      <c r="BQ56" s="1306"/>
      <c r="CG56" s="95"/>
      <c r="CH56" s="95"/>
      <c r="CI56" s="95"/>
      <c r="CJ56" s="36"/>
      <c r="CK56" s="36"/>
      <c r="CL56" s="36"/>
      <c r="CM56" s="36"/>
      <c r="CN56" s="36"/>
      <c r="CO56" s="36"/>
      <c r="CP56" s="36"/>
      <c r="CQ56" s="36"/>
      <c r="CR56" s="876" t="s">
        <v>105</v>
      </c>
      <c r="CS56" s="877">
        <v>9.3571428571428577</v>
      </c>
      <c r="CT56" s="877">
        <f>+(CU9*CT9+CU12*CT12+CU14*CT14)/CU56</f>
        <v>1.8571428571428572</v>
      </c>
      <c r="CU56" s="878">
        <v>14</v>
      </c>
      <c r="CV56" s="879">
        <v>10.714285714285715</v>
      </c>
      <c r="CW56" s="880">
        <f>+(CU9*CW9+CU12*CW12+CU14*CW14)/CU56</f>
        <v>3.2142857142857144</v>
      </c>
      <c r="CX56" s="36"/>
      <c r="CY56" s="42"/>
      <c r="CZ56" s="42"/>
      <c r="DA56" s="97" t="s">
        <v>3</v>
      </c>
      <c r="DB56" s="97">
        <v>24</v>
      </c>
      <c r="DC56" s="134">
        <v>10.833333333333334</v>
      </c>
      <c r="DD56" s="42"/>
      <c r="DE56" s="894">
        <f>+(DB9*DE9+DB12*DE12+DB14*DE14)/DB56</f>
        <v>3.9583333333333335</v>
      </c>
      <c r="DF56" s="42"/>
      <c r="DG56" s="42"/>
      <c r="DH56" s="42"/>
      <c r="DI56" s="42"/>
      <c r="DJ56" s="42"/>
      <c r="DK56" s="42"/>
      <c r="DL56" s="42"/>
      <c r="DM56" s="42"/>
      <c r="DN56" s="42"/>
    </row>
    <row r="57" spans="1:118">
      <c r="I57" s="157"/>
      <c r="J57" s="157"/>
      <c r="K57" s="157"/>
      <c r="L57" s="157"/>
      <c r="M57" s="157"/>
      <c r="U57" s="4520"/>
      <c r="V57" s="4520"/>
      <c r="Y57" s="36"/>
      <c r="Z57" s="2019" t="s">
        <v>16</v>
      </c>
      <c r="AA57" s="2019" t="s">
        <v>15</v>
      </c>
      <c r="AB57" s="4176">
        <v>13.15</v>
      </c>
      <c r="AC57" s="4171">
        <v>53</v>
      </c>
      <c r="AN57" s="97"/>
      <c r="AO57" s="4215"/>
      <c r="AP57" s="4215"/>
      <c r="AQ57" s="4222"/>
      <c r="AR57" s="4223"/>
      <c r="AS57" s="4223"/>
      <c r="AT57" s="4263"/>
      <c r="AU57" s="4263"/>
      <c r="BL57" s="42"/>
      <c r="BM57" s="97"/>
      <c r="BN57" s="42"/>
      <c r="BO57" s="134"/>
      <c r="BP57" s="97"/>
      <c r="BQ57" s="1306"/>
      <c r="CG57" s="95"/>
      <c r="CH57" s="95"/>
      <c r="CI57" s="95"/>
      <c r="CJ57" s="36"/>
      <c r="CK57" s="36"/>
      <c r="CL57" s="36"/>
      <c r="CM57" s="36"/>
      <c r="CN57" s="36"/>
      <c r="CO57" s="36"/>
      <c r="CP57" s="36"/>
      <c r="CQ57" s="36"/>
      <c r="CR57" s="876" t="s">
        <v>109</v>
      </c>
      <c r="CS57" s="877">
        <v>13.69902912621359</v>
      </c>
      <c r="CT57" s="877">
        <f>+(CU21*CT21+CU28*CT28+CU32*CT32)/CU57</f>
        <v>1.9320388349514568</v>
      </c>
      <c r="CU57" s="878">
        <v>103</v>
      </c>
      <c r="CV57" s="879">
        <v>14.660194174757281</v>
      </c>
      <c r="CW57" s="880">
        <f>+(CU21*CW21+CU28*CW28+CU32*CW32)/CU57</f>
        <v>2.8932038834951461</v>
      </c>
      <c r="CX57" s="36"/>
      <c r="CY57" s="42"/>
      <c r="CZ57" s="42"/>
      <c r="DA57" s="97" t="s">
        <v>25</v>
      </c>
      <c r="DB57" s="97">
        <v>113</v>
      </c>
      <c r="DC57" s="134">
        <v>14.920353982300893</v>
      </c>
      <c r="DD57" s="42"/>
      <c r="DE57" s="894">
        <f>+(DB21*DE21+DB28*DE28+DB32*DE32)/DB57</f>
        <v>3.159292035398229</v>
      </c>
      <c r="DF57" s="42"/>
      <c r="DG57" s="42"/>
      <c r="DH57" s="42"/>
      <c r="DI57" s="42"/>
      <c r="DJ57" s="42"/>
      <c r="DK57" s="42"/>
      <c r="DL57" s="42"/>
      <c r="DM57" s="42"/>
      <c r="DN57" s="42"/>
    </row>
    <row r="58" spans="1:118" ht="15" thickBot="1">
      <c r="I58" s="157"/>
      <c r="J58" s="157"/>
      <c r="K58" s="157"/>
      <c r="L58" s="157"/>
      <c r="M58" s="157"/>
      <c r="Y58" s="36"/>
      <c r="Z58" s="2019" t="s">
        <v>41</v>
      </c>
      <c r="AA58" s="2019" t="s">
        <v>15</v>
      </c>
      <c r="AB58" s="4176">
        <v>13.39</v>
      </c>
      <c r="AC58" s="4171">
        <v>28</v>
      </c>
      <c r="AN58" s="97"/>
      <c r="AO58" s="4215"/>
      <c r="AP58" s="4215"/>
      <c r="AQ58" s="4222"/>
      <c r="AR58" s="4223"/>
      <c r="AS58" s="4223"/>
      <c r="AT58" s="4263"/>
      <c r="AU58" s="4263"/>
      <c r="BL58" s="42"/>
      <c r="BM58" s="97"/>
      <c r="BN58" s="388" t="s">
        <v>1</v>
      </c>
      <c r="BO58" s="388" t="s">
        <v>1738</v>
      </c>
      <c r="BP58" s="388" t="s">
        <v>1185</v>
      </c>
      <c r="BQ58" s="863" t="s">
        <v>1122</v>
      </c>
      <c r="CG58" s="95"/>
      <c r="CH58" s="95"/>
      <c r="CI58" s="95"/>
      <c r="CJ58" s="36"/>
      <c r="CK58" s="36"/>
      <c r="CL58" s="36"/>
      <c r="CM58" s="36"/>
      <c r="CN58" s="36"/>
      <c r="CO58" s="36"/>
      <c r="CP58" s="36"/>
      <c r="CQ58" s="36"/>
      <c r="CR58" s="876" t="s">
        <v>412</v>
      </c>
      <c r="CS58" s="877">
        <v>13.191489361702127</v>
      </c>
      <c r="CT58" s="877">
        <f>+(CU37*CT37+CU40*CT40+CU42*CT42)/CU58</f>
        <v>2.8297872340425534</v>
      </c>
      <c r="CU58" s="878">
        <v>47</v>
      </c>
      <c r="CV58" s="879">
        <v>14.446808510638297</v>
      </c>
      <c r="CW58" s="880">
        <f>+(CU37*CW37+CU40*CW40+CU42*CW42)/CU58</f>
        <v>4.0851063829787222</v>
      </c>
      <c r="CX58" s="36"/>
      <c r="CY58" s="42"/>
      <c r="CZ58" s="42"/>
      <c r="DA58" s="97" t="s">
        <v>48</v>
      </c>
      <c r="DB58" s="97">
        <v>54</v>
      </c>
      <c r="DC58" s="134">
        <v>14.314814814814815</v>
      </c>
      <c r="DD58" s="42"/>
      <c r="DE58" s="894">
        <f>+(DB37*DE37+DB40*DE40+DB42*DE42)/DB58</f>
        <v>3.6111111111111112</v>
      </c>
      <c r="DF58" s="42"/>
      <c r="DG58" s="42"/>
      <c r="DH58" s="42"/>
      <c r="DI58" s="42"/>
      <c r="DJ58" s="42"/>
      <c r="DK58" s="42"/>
      <c r="DL58" s="42"/>
      <c r="DM58" s="42"/>
      <c r="DN58" s="42"/>
    </row>
    <row r="59" spans="1:118">
      <c r="I59" s="157"/>
      <c r="J59" s="157"/>
      <c r="K59" s="157"/>
      <c r="L59" s="157"/>
      <c r="M59" s="157"/>
      <c r="Y59" s="36"/>
      <c r="Z59" s="2019" t="s">
        <v>21</v>
      </c>
      <c r="AA59" s="2019" t="s">
        <v>15</v>
      </c>
      <c r="AB59" s="4176">
        <v>13.89</v>
      </c>
      <c r="AC59" s="4171">
        <v>9</v>
      </c>
      <c r="AN59" s="97"/>
      <c r="AO59" s="4215"/>
      <c r="AP59" s="4215"/>
      <c r="AQ59" s="4222"/>
      <c r="AR59" s="4223"/>
      <c r="AS59" s="4223"/>
      <c r="AT59" s="4263"/>
      <c r="AU59" s="4263"/>
      <c r="BL59" s="42"/>
      <c r="BM59" s="97"/>
      <c r="BN59" s="97" t="s">
        <v>4</v>
      </c>
      <c r="BO59" s="134">
        <v>15.26</v>
      </c>
      <c r="BP59" s="97">
        <v>43</v>
      </c>
      <c r="BQ59" s="800">
        <f>+(BP9*BQ9+BP26*BQ26)/BP59</f>
        <v>4.232093023255814</v>
      </c>
      <c r="CG59" s="95"/>
      <c r="CH59" s="95"/>
      <c r="CI59" s="95"/>
      <c r="CJ59" s="36"/>
      <c r="CK59" s="36"/>
      <c r="CL59" s="36"/>
      <c r="CM59" s="36"/>
      <c r="CN59" s="36"/>
      <c r="CO59" s="36"/>
      <c r="CP59" s="36"/>
      <c r="CQ59" s="36"/>
      <c r="CR59" s="36"/>
      <c r="CS59" s="36"/>
      <c r="CT59" s="36"/>
      <c r="CU59" s="36"/>
      <c r="CV59" s="36"/>
      <c r="CW59" s="36"/>
      <c r="CX59" s="36"/>
      <c r="CY59" s="42"/>
      <c r="CZ59" s="42"/>
      <c r="DA59" s="97"/>
      <c r="DB59" s="42"/>
      <c r="DC59" s="42"/>
      <c r="DD59" s="42"/>
      <c r="DE59" s="97"/>
      <c r="DF59" s="42"/>
      <c r="DG59" s="42"/>
      <c r="DH59" s="42"/>
      <c r="DI59" s="42"/>
      <c r="DJ59" s="42"/>
      <c r="DK59" s="42"/>
      <c r="DL59" s="42"/>
      <c r="DM59" s="42"/>
      <c r="DN59" s="42"/>
    </row>
    <row r="60" spans="1:118" ht="15" thickBot="1">
      <c r="M60" s="5046"/>
      <c r="Y60" s="36"/>
      <c r="Z60" s="2019" t="s">
        <v>64</v>
      </c>
      <c r="AA60" s="2019" t="s">
        <v>15</v>
      </c>
      <c r="AB60" s="4176">
        <v>14</v>
      </c>
      <c r="AC60" s="4171">
        <v>4</v>
      </c>
      <c r="AN60" s="97"/>
      <c r="AO60" s="4215"/>
      <c r="AP60" s="4215"/>
      <c r="AQ60" s="4222"/>
      <c r="AR60" s="4223"/>
      <c r="AS60" s="4223"/>
      <c r="AT60" s="4263"/>
      <c r="AU60" s="4263"/>
      <c r="BL60" s="42"/>
      <c r="BM60" s="97"/>
      <c r="BN60" s="97" t="s">
        <v>16</v>
      </c>
      <c r="BO60" s="134">
        <v>12.86</v>
      </c>
      <c r="BP60" s="97">
        <v>101</v>
      </c>
      <c r="BQ60" s="800">
        <f>+(BP13*BQ13+BP32*BQ32+BP40*BQ40+BP49*BQ49)/BP60</f>
        <v>2.1388118811881189</v>
      </c>
      <c r="CG60" s="95"/>
      <c r="CH60" s="95"/>
      <c r="CI60" s="95"/>
      <c r="CJ60" s="36"/>
      <c r="CK60" s="36"/>
      <c r="CL60" s="36"/>
      <c r="CM60" s="36"/>
      <c r="CN60" s="36"/>
      <c r="CO60" s="36"/>
      <c r="CP60" s="36"/>
      <c r="CQ60" s="36"/>
      <c r="CR60" s="864" t="s">
        <v>75</v>
      </c>
      <c r="CS60" s="914">
        <v>13.182926829268288</v>
      </c>
      <c r="CT60" s="930" t="e">
        <f>+(CU55*CT55+CU56*CT56+CU57*CT57+CU58*CT58)/CU60</f>
        <v>#VALUE!</v>
      </c>
      <c r="CU60" s="931">
        <v>164</v>
      </c>
      <c r="CV60" s="914">
        <v>14.262195121951216</v>
      </c>
      <c r="CW60" s="930">
        <f>+(CU47*CW47+CU48*CW48+CU49*CW49+CU50*CW50)/CU52</f>
        <v>3.2621951219512195</v>
      </c>
      <c r="CX60" s="36"/>
      <c r="CY60" s="42"/>
      <c r="CZ60" s="42"/>
      <c r="DA60" s="388" t="s">
        <v>75</v>
      </c>
      <c r="DB60" s="388">
        <v>191</v>
      </c>
      <c r="DC60" s="917">
        <v>14.235602094240834</v>
      </c>
      <c r="DD60" s="866"/>
      <c r="DE60" s="933">
        <f>+(DB56*DE56+DB57*DE57+DB58*DE58)/DB60</f>
        <v>3.3874345549738214</v>
      </c>
      <c r="DF60" s="42"/>
      <c r="DG60" s="42"/>
      <c r="DH60" s="42"/>
      <c r="DI60" s="42"/>
      <c r="DJ60" s="42"/>
      <c r="DK60" s="42"/>
      <c r="DL60" s="42"/>
      <c r="DM60" s="42"/>
      <c r="DN60" s="42"/>
    </row>
    <row r="61" spans="1:118" ht="15" thickBot="1">
      <c r="Y61" s="401"/>
      <c r="Z61" s="397" t="s">
        <v>75</v>
      </c>
      <c r="AA61" s="397" t="s">
        <v>15</v>
      </c>
      <c r="AB61" s="1392">
        <v>13.98</v>
      </c>
      <c r="AC61" s="398">
        <v>113</v>
      </c>
      <c r="AN61" s="97"/>
      <c r="AO61" s="4215"/>
      <c r="AP61" s="4215"/>
      <c r="AQ61" s="4219" t="s">
        <v>1</v>
      </c>
      <c r="AR61" s="4218" t="s">
        <v>2546</v>
      </c>
      <c r="AS61" s="4218" t="s">
        <v>1185</v>
      </c>
      <c r="AT61" s="4263"/>
      <c r="AU61" s="4263"/>
      <c r="BL61" s="42"/>
      <c r="BM61" s="97"/>
      <c r="BN61" s="97" t="s">
        <v>41</v>
      </c>
      <c r="BO61" s="134">
        <v>13.51</v>
      </c>
      <c r="BP61" s="97">
        <v>49</v>
      </c>
      <c r="BQ61" s="800">
        <f>+(BP36*BQ36+BP44*BQ44)/BP61</f>
        <v>1.7544897959183674</v>
      </c>
      <c r="CG61" s="95"/>
      <c r="CH61" s="95"/>
      <c r="CI61" s="95"/>
      <c r="CJ61" s="36"/>
      <c r="CK61" s="36"/>
      <c r="CL61" s="36"/>
      <c r="CM61" s="36"/>
      <c r="CN61" s="36"/>
      <c r="CO61" s="36"/>
      <c r="CP61" s="36"/>
      <c r="CQ61" s="36"/>
      <c r="CR61" s="36"/>
      <c r="CS61" s="36"/>
      <c r="CT61" s="36"/>
      <c r="CU61" s="36"/>
      <c r="CV61" s="36"/>
      <c r="CW61" s="36"/>
      <c r="CX61" s="36"/>
      <c r="CY61" s="42"/>
      <c r="CZ61" s="42"/>
      <c r="DA61" s="934" t="s">
        <v>1154</v>
      </c>
      <c r="DB61" s="42"/>
      <c r="DC61" s="42"/>
      <c r="DD61" s="42"/>
      <c r="DE61" s="42"/>
      <c r="DF61" s="42"/>
      <c r="DG61" s="42"/>
      <c r="DH61" s="42"/>
      <c r="DI61" s="42"/>
      <c r="DJ61" s="42"/>
      <c r="DK61" s="42"/>
      <c r="DL61" s="42"/>
      <c r="DM61" s="42"/>
      <c r="DN61" s="42"/>
    </row>
    <row r="62" spans="1:118">
      <c r="AN62" s="97"/>
      <c r="AO62" s="4215"/>
      <c r="AP62" s="4215"/>
      <c r="AQ62" s="4215" t="s">
        <v>4</v>
      </c>
      <c r="AR62" s="4221">
        <v>15.48</v>
      </c>
      <c r="AS62" s="4221">
        <v>29</v>
      </c>
      <c r="AT62" s="4263"/>
      <c r="AU62" s="4263"/>
      <c r="BL62" s="42"/>
      <c r="BM62" s="97"/>
      <c r="BN62" s="97" t="s">
        <v>103</v>
      </c>
      <c r="BO62" s="134">
        <v>11.67</v>
      </c>
      <c r="BP62" s="97">
        <v>12</v>
      </c>
      <c r="BQ62" s="800">
        <f>+(BP18*BQ18+BP46*BQ46)/BP62</f>
        <v>1.4166666666666663</v>
      </c>
      <c r="CG62" s="95"/>
      <c r="CH62" s="95"/>
      <c r="CI62" s="95"/>
      <c r="CJ62" s="36"/>
      <c r="CK62" s="36"/>
      <c r="CL62" s="36"/>
      <c r="CM62" s="36"/>
      <c r="CN62" s="36"/>
      <c r="CO62" s="36"/>
      <c r="CP62" s="36"/>
      <c r="CQ62" s="36"/>
      <c r="CR62" s="36"/>
      <c r="CS62" s="36"/>
      <c r="CT62" s="36"/>
      <c r="CU62" s="36"/>
      <c r="CV62" s="36"/>
      <c r="CW62" s="36"/>
      <c r="CX62" s="36"/>
      <c r="CY62" s="42"/>
      <c r="CZ62" s="42"/>
      <c r="DA62" s="42"/>
      <c r="DB62" s="42"/>
      <c r="DC62" s="42"/>
      <c r="DD62" s="42"/>
      <c r="DE62" s="42"/>
      <c r="DF62" s="42"/>
      <c r="DG62" s="42"/>
      <c r="DH62" s="42"/>
      <c r="DI62" s="42"/>
      <c r="DJ62" s="42"/>
      <c r="DK62" s="42"/>
      <c r="DL62" s="42"/>
      <c r="DM62" s="42"/>
      <c r="DN62" s="42"/>
    </row>
    <row r="63" spans="1:118" ht="15" thickBot="1">
      <c r="AN63" s="97"/>
      <c r="AO63" s="4215"/>
      <c r="AP63" s="4215"/>
      <c r="AQ63" s="4215" t="s">
        <v>16</v>
      </c>
      <c r="AR63" s="4221">
        <v>13.61</v>
      </c>
      <c r="AS63" s="4221">
        <v>61</v>
      </c>
      <c r="AT63" s="4263"/>
      <c r="AU63" s="4263"/>
      <c r="BL63" s="42"/>
      <c r="BM63" s="97"/>
      <c r="BN63" s="388" t="s">
        <v>112</v>
      </c>
      <c r="BO63" s="917">
        <v>13.45</v>
      </c>
      <c r="BP63" s="388">
        <v>205</v>
      </c>
      <c r="BQ63" s="1503">
        <v>2.4195609756097562</v>
      </c>
      <c r="CG63" s="95"/>
      <c r="CH63" s="95"/>
      <c r="CI63" s="95"/>
      <c r="CJ63" s="36"/>
      <c r="CK63" s="36"/>
      <c r="CL63" s="36"/>
      <c r="CM63" s="36"/>
      <c r="CN63" s="36"/>
      <c r="CO63" s="36"/>
      <c r="CP63" s="36"/>
      <c r="CQ63" s="36"/>
      <c r="CR63" s="36"/>
      <c r="CS63" s="36"/>
      <c r="CT63" s="36"/>
      <c r="CU63" s="36"/>
      <c r="CV63" s="36"/>
      <c r="CW63" s="36"/>
      <c r="CX63" s="36"/>
      <c r="CY63" s="42"/>
      <c r="CZ63" s="42"/>
      <c r="DA63" s="42"/>
      <c r="DB63" s="42"/>
      <c r="DC63" s="42"/>
      <c r="DD63" s="42"/>
      <c r="DE63" s="42"/>
      <c r="DF63" s="42"/>
      <c r="DG63" s="42"/>
      <c r="DH63" s="42"/>
      <c r="DI63" s="42"/>
      <c r="DJ63" s="42"/>
      <c r="DK63" s="42"/>
      <c r="DL63" s="42"/>
      <c r="DM63" s="42"/>
      <c r="DN63" s="42"/>
    </row>
    <row r="64" spans="1:118" ht="32.25" customHeight="1">
      <c r="AN64" s="97"/>
      <c r="AO64" s="4215"/>
      <c r="AP64" s="4215"/>
      <c r="AQ64" s="4215" t="s">
        <v>41</v>
      </c>
      <c r="AR64" s="4221">
        <v>14.88</v>
      </c>
      <c r="AS64" s="4221">
        <v>42</v>
      </c>
      <c r="AT64" s="4263"/>
      <c r="AU64" s="4263"/>
      <c r="BL64" s="1"/>
      <c r="BM64" s="157"/>
      <c r="BN64" s="1"/>
      <c r="BO64" s="1"/>
      <c r="BP64" s="1"/>
      <c r="BQ64" s="1"/>
      <c r="CG64" s="95"/>
      <c r="CH64" s="95"/>
      <c r="CI64" s="95"/>
      <c r="CJ64" s="36"/>
      <c r="CK64" s="36"/>
      <c r="CL64" s="36"/>
      <c r="CM64" s="36"/>
      <c r="CN64" s="36"/>
      <c r="CO64" s="36"/>
      <c r="CP64" s="36"/>
      <c r="CQ64" s="36"/>
      <c r="CR64" s="36"/>
      <c r="CS64" s="36"/>
      <c r="CT64" s="36"/>
      <c r="CU64" s="36"/>
      <c r="CV64" s="36"/>
      <c r="CW64" s="36"/>
      <c r="CX64" s="36"/>
      <c r="CY64" s="7049" t="s">
        <v>1195</v>
      </c>
      <c r="CZ64" s="7049"/>
      <c r="DA64" s="7049"/>
      <c r="DB64" s="7049"/>
      <c r="DC64" s="7049"/>
      <c r="DD64" s="7049"/>
      <c r="DE64" s="7049"/>
      <c r="DF64" s="42"/>
      <c r="DG64" s="42"/>
      <c r="DH64" s="42"/>
      <c r="DI64" s="42"/>
      <c r="DJ64" s="42"/>
      <c r="DK64" s="42"/>
      <c r="DL64" s="42"/>
      <c r="DM64" s="42"/>
      <c r="DN64" s="42"/>
    </row>
    <row r="65" spans="40:118">
      <c r="AN65" s="97"/>
      <c r="AO65" s="4215"/>
      <c r="AP65" s="4215"/>
      <c r="AQ65" s="4215" t="s">
        <v>21</v>
      </c>
      <c r="AR65" s="4221">
        <v>10.82</v>
      </c>
      <c r="AS65" s="4221">
        <v>11</v>
      </c>
      <c r="AT65" s="4263"/>
      <c r="AU65" s="4263"/>
      <c r="BL65" s="1"/>
      <c r="BM65" s="157"/>
      <c r="BN65" s="1"/>
      <c r="BO65" s="1"/>
      <c r="BP65" s="1"/>
      <c r="BQ65" s="1"/>
      <c r="CG65" s="95"/>
      <c r="CH65" s="95"/>
      <c r="CI65" s="95"/>
      <c r="CJ65" s="36"/>
      <c r="CK65" s="36"/>
      <c r="CL65" s="36"/>
      <c r="CM65" s="36"/>
      <c r="CN65" s="36"/>
      <c r="CO65" s="36"/>
      <c r="CP65" s="36"/>
      <c r="CQ65" s="36"/>
      <c r="CR65" s="36"/>
      <c r="CS65" s="36"/>
      <c r="CT65" s="36"/>
      <c r="CU65" s="36"/>
      <c r="CV65" s="36"/>
      <c r="CW65" s="36"/>
      <c r="CX65" s="36"/>
      <c r="CY65" s="42"/>
      <c r="CZ65" s="42"/>
      <c r="DA65" s="42"/>
      <c r="DB65" s="42"/>
      <c r="DC65" s="42"/>
      <c r="DD65" s="42"/>
      <c r="DE65" s="42"/>
      <c r="DF65" s="42"/>
      <c r="DG65" s="42"/>
      <c r="DH65" s="42"/>
      <c r="DI65" s="42"/>
      <c r="DJ65" s="42"/>
      <c r="DK65" s="42"/>
      <c r="DL65" s="42"/>
      <c r="DM65" s="42"/>
      <c r="DN65" s="42"/>
    </row>
    <row r="66" spans="40:118" ht="31.5" customHeight="1">
      <c r="AN66" s="97"/>
      <c r="AO66" s="4215"/>
      <c r="AP66" s="4215"/>
      <c r="AQ66" s="4215" t="s">
        <v>64</v>
      </c>
      <c r="AR66" s="4221">
        <v>14</v>
      </c>
      <c r="AS66" s="4221">
        <v>1</v>
      </c>
      <c r="AT66" s="4263"/>
      <c r="AU66" s="4263"/>
      <c r="BL66" s="1"/>
      <c r="BM66" s="157"/>
      <c r="BN66" s="1"/>
      <c r="BO66" s="1"/>
      <c r="BP66" s="1"/>
      <c r="BQ66" s="1"/>
      <c r="CG66" s="95"/>
      <c r="CH66" s="95"/>
      <c r="CI66" s="95"/>
      <c r="CJ66" s="36"/>
      <c r="CK66" s="36"/>
      <c r="CL66" s="36"/>
      <c r="CM66" s="36"/>
      <c r="CN66" s="36"/>
      <c r="CO66" s="36"/>
      <c r="CP66" s="36"/>
      <c r="CQ66" s="36"/>
      <c r="CR66" s="36"/>
      <c r="CS66" s="36"/>
      <c r="CT66" s="36"/>
      <c r="CU66" s="36"/>
      <c r="CV66" s="36"/>
      <c r="CW66" s="36"/>
      <c r="CX66" s="36"/>
      <c r="CY66" s="7049" t="s">
        <v>1196</v>
      </c>
      <c r="CZ66" s="7049"/>
      <c r="DA66" s="7049"/>
      <c r="DB66" s="7049"/>
      <c r="DC66" s="7049"/>
      <c r="DD66" s="7049"/>
      <c r="DE66" s="7049"/>
      <c r="DF66" s="42"/>
      <c r="DG66" s="42"/>
      <c r="DH66" s="42"/>
      <c r="DI66" s="42"/>
      <c r="DJ66" s="42"/>
      <c r="DK66" s="42"/>
      <c r="DL66" s="42"/>
      <c r="DM66" s="42"/>
      <c r="DN66" s="42"/>
    </row>
    <row r="67" spans="40:118" ht="15" thickBot="1">
      <c r="AN67" s="97"/>
      <c r="AO67" s="4215"/>
      <c r="AP67" s="4215"/>
      <c r="AQ67" s="4219" t="s">
        <v>112</v>
      </c>
      <c r="AR67" s="4218">
        <v>14.15</v>
      </c>
      <c r="AS67" s="4218">
        <v>144</v>
      </c>
      <c r="AT67" s="4263"/>
      <c r="AU67" s="4263"/>
      <c r="BL67" s="1"/>
      <c r="BM67" s="157"/>
      <c r="BN67" s="1"/>
      <c r="BO67" s="1"/>
      <c r="BP67" s="1"/>
      <c r="BQ67" s="1"/>
      <c r="CG67" s="95"/>
      <c r="CH67" s="95"/>
      <c r="CI67" s="95"/>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row>
    <row r="68" spans="40:118">
      <c r="AN68" s="97"/>
      <c r="BL68" s="1"/>
      <c r="BM68" s="157"/>
      <c r="BN68" s="1"/>
      <c r="BO68" s="1"/>
      <c r="BP68" s="1"/>
      <c r="BQ68" s="1"/>
      <c r="CG68" s="95"/>
      <c r="CH68" s="95"/>
      <c r="CI68" s="95"/>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row>
    <row r="69" spans="40:118">
      <c r="AN69" s="97"/>
      <c r="BL69" s="1"/>
      <c r="BM69" s="157"/>
      <c r="BN69" s="1"/>
      <c r="BO69" s="1"/>
      <c r="BP69" s="1"/>
      <c r="BQ69" s="1"/>
      <c r="CG69" s="95"/>
      <c r="CH69" s="95"/>
      <c r="CI69" s="95"/>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row>
    <row r="70" spans="40:118">
      <c r="AN70" s="97"/>
      <c r="BL70" s="1"/>
      <c r="BM70" s="157"/>
      <c r="BN70" s="1"/>
      <c r="BO70" s="1"/>
      <c r="BP70" s="1"/>
      <c r="BQ70" s="1"/>
      <c r="CG70" s="95"/>
      <c r="CH70" s="95"/>
      <c r="CI70" s="95"/>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row>
    <row r="71" spans="40:118">
      <c r="AN71" s="97"/>
      <c r="BL71" s="1"/>
      <c r="BM71" s="157"/>
      <c r="BN71" s="1"/>
      <c r="BO71" s="1"/>
      <c r="BP71" s="1"/>
      <c r="BQ71" s="1"/>
      <c r="CG71" s="95"/>
      <c r="CH71" s="95"/>
      <c r="CI71" s="95"/>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row>
    <row r="72" spans="40:118">
      <c r="AN72" s="97"/>
      <c r="BL72" s="1"/>
      <c r="BM72" s="157"/>
      <c r="BN72" s="1"/>
      <c r="BO72" s="1"/>
      <c r="BP72" s="1"/>
      <c r="BQ72" s="1"/>
      <c r="CG72" s="95"/>
      <c r="CH72" s="95"/>
      <c r="CI72" s="95"/>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row>
    <row r="73" spans="40:118">
      <c r="AN73" s="97"/>
      <c r="BL73" s="1"/>
      <c r="BM73" s="157"/>
      <c r="BN73" s="1"/>
      <c r="BO73" s="1"/>
      <c r="BP73" s="1"/>
      <c r="BQ73" s="1"/>
      <c r="CG73" s="95"/>
      <c r="CH73" s="95"/>
      <c r="CI73" s="95"/>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row>
    <row r="74" spans="40:118">
      <c r="AN74" s="97"/>
      <c r="BL74" s="1"/>
      <c r="BM74" s="157"/>
      <c r="BN74" s="1"/>
      <c r="BO74" s="1"/>
      <c r="BP74" s="1"/>
      <c r="BQ74" s="1"/>
      <c r="CG74" s="95"/>
      <c r="CH74" s="95"/>
      <c r="CI74" s="95"/>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row>
    <row r="75" spans="40:118">
      <c r="AN75" s="97"/>
      <c r="BL75" s="1"/>
      <c r="BM75" s="157"/>
      <c r="BN75" s="1"/>
      <c r="BO75" s="1"/>
      <c r="BP75" s="1"/>
      <c r="BQ75" s="1"/>
      <c r="CG75" s="95"/>
      <c r="CH75" s="95"/>
      <c r="CI75" s="95"/>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row>
    <row r="76" spans="40:118">
      <c r="AN76" s="97"/>
      <c r="BL76" s="1"/>
      <c r="BM76" s="157"/>
      <c r="BN76" s="1"/>
      <c r="BO76" s="1"/>
      <c r="BP76" s="1"/>
      <c r="BQ76" s="1"/>
      <c r="CG76" s="95"/>
      <c r="CH76" s="95"/>
      <c r="CI76" s="95"/>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row>
    <row r="77" spans="40:118">
      <c r="AN77" s="97"/>
      <c r="BL77" s="1"/>
      <c r="BM77" s="157"/>
      <c r="BN77" s="1"/>
      <c r="BO77" s="1"/>
      <c r="BP77" s="1"/>
      <c r="BQ77" s="1"/>
      <c r="CG77" s="95"/>
      <c r="CH77" s="95"/>
      <c r="CI77" s="95"/>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row>
    <row r="78" spans="40:118">
      <c r="AN78" s="97"/>
      <c r="BL78" s="1"/>
      <c r="BM78" s="157"/>
      <c r="BN78" s="1"/>
      <c r="BO78" s="1"/>
      <c r="BP78" s="1"/>
      <c r="BQ78" s="1"/>
      <c r="CG78" s="95"/>
      <c r="CH78" s="95"/>
      <c r="CI78" s="95"/>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row>
    <row r="79" spans="40:118">
      <c r="AN79" s="97"/>
      <c r="BL79" s="1"/>
      <c r="BM79" s="157"/>
      <c r="BN79" s="1"/>
      <c r="BO79" s="1"/>
      <c r="BP79" s="1"/>
      <c r="BQ79" s="1"/>
      <c r="CG79" s="95"/>
      <c r="CH79" s="95"/>
      <c r="CI79" s="95"/>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row>
    <row r="80" spans="40:118">
      <c r="AN80" s="97"/>
      <c r="BL80" s="1"/>
      <c r="BM80" s="157"/>
      <c r="BN80" s="1"/>
      <c r="BO80" s="1"/>
      <c r="BP80" s="1"/>
      <c r="BQ80" s="1"/>
      <c r="CG80" s="95"/>
      <c r="CH80" s="95"/>
      <c r="CI80" s="95"/>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row>
    <row r="81" spans="40:118">
      <c r="AN81" s="97"/>
      <c r="BL81" s="1"/>
      <c r="BM81" s="157"/>
      <c r="BN81" s="1"/>
      <c r="BO81" s="1"/>
      <c r="BP81" s="1"/>
      <c r="BQ81" s="1"/>
      <c r="CG81" s="95"/>
      <c r="CH81" s="95"/>
      <c r="CI81" s="95"/>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row>
    <row r="82" spans="40:118">
      <c r="AN82" s="97"/>
      <c r="BL82" s="1"/>
      <c r="BM82" s="157"/>
      <c r="BN82" s="1"/>
      <c r="BO82" s="1"/>
      <c r="BP82" s="1"/>
      <c r="BQ82" s="1"/>
      <c r="CG82" s="95"/>
      <c r="CH82" s="95"/>
      <c r="CI82" s="95"/>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row>
    <row r="83" spans="40:118">
      <c r="BL83" s="1"/>
      <c r="BM83" s="157"/>
      <c r="BN83" s="1"/>
      <c r="BO83" s="1"/>
      <c r="BP83" s="1"/>
      <c r="BQ83" s="1"/>
      <c r="CG83" s="95"/>
      <c r="CH83" s="95"/>
      <c r="CI83" s="95"/>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row>
    <row r="84" spans="40:118">
      <c r="BL84" s="1"/>
      <c r="BM84" s="157"/>
      <c r="BN84" s="1"/>
      <c r="BO84" s="1"/>
      <c r="BP84" s="1"/>
      <c r="BQ84" s="1"/>
      <c r="CG84" s="95"/>
      <c r="CH84" s="95"/>
      <c r="CI84" s="95"/>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row>
    <row r="85" spans="40:118">
      <c r="BL85" s="1"/>
      <c r="BM85" s="157"/>
      <c r="BN85" s="1"/>
      <c r="BO85" s="1"/>
      <c r="BP85" s="1"/>
      <c r="BQ85" s="1"/>
      <c r="CG85" s="95"/>
      <c r="CH85" s="95"/>
      <c r="CI85" s="95"/>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row>
    <row r="86" spans="40:118">
      <c r="BL86" s="1"/>
      <c r="BM86" s="157"/>
      <c r="BN86" s="1"/>
      <c r="BO86" s="1"/>
      <c r="BP86" s="1"/>
      <c r="BQ86" s="1"/>
      <c r="CG86" s="95"/>
      <c r="CH86" s="95"/>
      <c r="CI86" s="95"/>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row>
    <row r="87" spans="40:118">
      <c r="BL87" s="1"/>
      <c r="BM87" s="157"/>
      <c r="BN87" s="1"/>
      <c r="BO87" s="1"/>
      <c r="BP87" s="1"/>
      <c r="BQ87" s="1"/>
      <c r="CG87" s="95"/>
      <c r="CH87" s="95"/>
      <c r="CI87" s="95"/>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row>
    <row r="88" spans="40:118">
      <c r="BL88" s="1"/>
      <c r="BM88" s="157"/>
      <c r="BN88" s="1"/>
      <c r="BO88" s="1"/>
      <c r="BP88" s="1"/>
      <c r="BQ88" s="1"/>
      <c r="CG88" s="95"/>
      <c r="CH88" s="95"/>
      <c r="CI88" s="95"/>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row>
    <row r="89" spans="40:118">
      <c r="BL89" s="1"/>
      <c r="BM89" s="157"/>
      <c r="BN89" s="1"/>
      <c r="BO89" s="1"/>
      <c r="BP89" s="1"/>
      <c r="BQ89" s="1"/>
      <c r="CG89" s="95"/>
      <c r="CH89" s="95"/>
      <c r="CI89" s="95"/>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row>
    <row r="90" spans="40:118">
      <c r="BL90" s="1"/>
      <c r="BM90" s="157"/>
      <c r="BN90" s="1"/>
      <c r="BO90" s="1"/>
      <c r="BP90" s="1"/>
      <c r="BQ90" s="1"/>
      <c r="CG90" s="95"/>
      <c r="CH90" s="95"/>
      <c r="CI90" s="95"/>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row>
    <row r="91" spans="40:118">
      <c r="CG91" s="95"/>
      <c r="CH91" s="95"/>
      <c r="CI91" s="95"/>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row>
    <row r="92" spans="40:118">
      <c r="CG92" s="95"/>
      <c r="CH92" s="95"/>
      <c r="CI92" s="95"/>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row>
    <row r="93" spans="40:118">
      <c r="CG93" s="95"/>
      <c r="CH93" s="95"/>
      <c r="CI93" s="95"/>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row>
    <row r="94" spans="40:118">
      <c r="CG94" s="95"/>
      <c r="CH94" s="95"/>
      <c r="CI94" s="95"/>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row>
    <row r="95" spans="40:118">
      <c r="CG95" s="95"/>
      <c r="CH95" s="95"/>
      <c r="CI95" s="95"/>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row>
    <row r="96" spans="40:118">
      <c r="CG96" s="95"/>
      <c r="CH96" s="95"/>
      <c r="CI96" s="95"/>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row>
    <row r="97" spans="85:118">
      <c r="CG97" s="95"/>
      <c r="CH97" s="95"/>
      <c r="CI97" s="95"/>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row>
    <row r="98" spans="85:118">
      <c r="CG98" s="95"/>
      <c r="CH98" s="95"/>
      <c r="CI98" s="95"/>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row>
    <row r="99" spans="85:118">
      <c r="CG99" s="95"/>
      <c r="CH99" s="95"/>
      <c r="CI99" s="95"/>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row>
    <row r="100" spans="85:118">
      <c r="CG100" s="95"/>
      <c r="CH100" s="95"/>
      <c r="CI100" s="95"/>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row>
    <row r="101" spans="85:118">
      <c r="CG101" s="95"/>
      <c r="CH101" s="95"/>
      <c r="CI101" s="95"/>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row>
    <row r="102" spans="85:118">
      <c r="CG102" s="95"/>
      <c r="CH102" s="95"/>
      <c r="CI102" s="95"/>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row>
    <row r="103" spans="85:118">
      <c r="CG103" s="95"/>
      <c r="CH103" s="95"/>
      <c r="CI103" s="95"/>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row>
    <row r="104" spans="85:118">
      <c r="CG104" s="95"/>
      <c r="CH104" s="95"/>
      <c r="CI104" s="95"/>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row>
    <row r="105" spans="85:118">
      <c r="CG105" s="95"/>
      <c r="CH105" s="95"/>
      <c r="CI105" s="95"/>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row>
    <row r="106" spans="85:118">
      <c r="CG106" s="95"/>
      <c r="CH106" s="95"/>
      <c r="CI106" s="95"/>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row>
    <row r="107" spans="85:118">
      <c r="CG107" s="95"/>
      <c r="CH107" s="95"/>
      <c r="CI107" s="95"/>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row>
    <row r="108" spans="85:118">
      <c r="CG108" s="95"/>
      <c r="CH108" s="95"/>
      <c r="CI108" s="95"/>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row>
    <row r="109" spans="85:118">
      <c r="CG109" s="95"/>
      <c r="CH109" s="95"/>
      <c r="CI109" s="95"/>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row>
    <row r="110" spans="85:118">
      <c r="CG110" s="95"/>
      <c r="CH110" s="95"/>
      <c r="CI110" s="95"/>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row>
    <row r="111" spans="85:118">
      <c r="CG111" s="95"/>
      <c r="CH111" s="95"/>
      <c r="CI111" s="95"/>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row>
    <row r="112" spans="85:118">
      <c r="CG112" s="95"/>
      <c r="CH112" s="95"/>
      <c r="CI112" s="95"/>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row>
    <row r="113" spans="85:118">
      <c r="CG113" s="95"/>
      <c r="CH113" s="95"/>
      <c r="CI113" s="95"/>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row>
    <row r="114" spans="85:118">
      <c r="CG114" s="95"/>
      <c r="CH114" s="95"/>
      <c r="CI114" s="95"/>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row>
    <row r="115" spans="85:118">
      <c r="CG115" s="95"/>
      <c r="CH115" s="95"/>
      <c r="CI115" s="95"/>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row>
    <row r="116" spans="85:118">
      <c r="CG116" s="95"/>
      <c r="CH116" s="95"/>
      <c r="CI116" s="95"/>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row>
    <row r="117" spans="85:118">
      <c r="CG117" s="95"/>
      <c r="CH117" s="95"/>
      <c r="CI117" s="95"/>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row>
    <row r="118" spans="85:118">
      <c r="CG118" s="95"/>
      <c r="CH118" s="95"/>
      <c r="CI118" s="95"/>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row>
    <row r="119" spans="85:118">
      <c r="CG119" s="95"/>
      <c r="CH119" s="95"/>
      <c r="CI119" s="95"/>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row>
    <row r="120" spans="85:118">
      <c r="CG120" s="95"/>
      <c r="CH120" s="95"/>
      <c r="CI120" s="95"/>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row>
    <row r="121" spans="85:118">
      <c r="CG121" s="95"/>
      <c r="CH121" s="95"/>
      <c r="CI121" s="95"/>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row>
    <row r="122" spans="85:118">
      <c r="CG122" s="95"/>
      <c r="CH122" s="95"/>
      <c r="CI122" s="95"/>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row>
    <row r="123" spans="85:118">
      <c r="CG123" s="95"/>
      <c r="CH123" s="95"/>
      <c r="CI123" s="95"/>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row>
    <row r="124" spans="85:118">
      <c r="CG124" s="95"/>
      <c r="CH124" s="95"/>
      <c r="CI124" s="95"/>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row>
    <row r="125" spans="85:118">
      <c r="CG125" s="95"/>
      <c r="CH125" s="95"/>
      <c r="CI125" s="95"/>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row>
    <row r="126" spans="85:118">
      <c r="CG126" s="95"/>
      <c r="CH126" s="95"/>
      <c r="CI126" s="95"/>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row>
    <row r="127" spans="85:118">
      <c r="CG127" s="95"/>
      <c r="CH127" s="95"/>
      <c r="CI127" s="95"/>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row>
    <row r="128" spans="85:118">
      <c r="CG128" s="95"/>
      <c r="CH128" s="95"/>
      <c r="CI128" s="95"/>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row>
    <row r="129" spans="85:118">
      <c r="CG129" s="95"/>
      <c r="CH129" s="95"/>
      <c r="CI129" s="95"/>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row>
    <row r="130" spans="85:118">
      <c r="CG130" s="95"/>
      <c r="CH130" s="95"/>
      <c r="CI130" s="95"/>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row>
    <row r="131" spans="85:118">
      <c r="CG131" s="95"/>
      <c r="CH131" s="95"/>
      <c r="CI131" s="95"/>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c r="DL131" s="36"/>
      <c r="DM131" s="36"/>
      <c r="DN131" s="36"/>
    </row>
    <row r="132" spans="85:118">
      <c r="CG132" s="95"/>
      <c r="CH132" s="95"/>
      <c r="CI132" s="95"/>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c r="DL132" s="36"/>
      <c r="DM132" s="36"/>
      <c r="DN132" s="36"/>
    </row>
    <row r="133" spans="85:118">
      <c r="CG133" s="95"/>
      <c r="CH133" s="95"/>
      <c r="CI133" s="95"/>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row>
    <row r="134" spans="85:118">
      <c r="CG134" s="95"/>
      <c r="CH134" s="95"/>
      <c r="CI134" s="95"/>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c r="DL134" s="36"/>
      <c r="DM134" s="36"/>
      <c r="DN134" s="36"/>
    </row>
    <row r="135" spans="85:118">
      <c r="CG135" s="95"/>
      <c r="CH135" s="95"/>
      <c r="CI135" s="95"/>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row>
    <row r="136" spans="85:118">
      <c r="CG136" s="95"/>
      <c r="CH136" s="95"/>
      <c r="CI136" s="95"/>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c r="DL136" s="36"/>
      <c r="DM136" s="36"/>
      <c r="DN136" s="36"/>
    </row>
    <row r="137" spans="85:118">
      <c r="CG137" s="95"/>
      <c r="CH137" s="95"/>
      <c r="CI137" s="95"/>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row>
    <row r="138" spans="85:118">
      <c r="CG138" s="95"/>
      <c r="CH138" s="95"/>
      <c r="CI138" s="95"/>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c r="DL138" s="36"/>
      <c r="DM138" s="36"/>
      <c r="DN138" s="36"/>
    </row>
    <row r="139" spans="85:118">
      <c r="CG139" s="95"/>
      <c r="CH139" s="95"/>
      <c r="CI139" s="95"/>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c r="DL139" s="36"/>
      <c r="DM139" s="36"/>
      <c r="DN139" s="36"/>
    </row>
    <row r="140" spans="85:118">
      <c r="CG140" s="95"/>
      <c r="CH140" s="95"/>
      <c r="CI140" s="95"/>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row>
    <row r="141" spans="85:118">
      <c r="CG141" s="95"/>
      <c r="CH141" s="95"/>
      <c r="CI141" s="95"/>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row>
    <row r="142" spans="85:118">
      <c r="CG142" s="95"/>
      <c r="CH142" s="95"/>
      <c r="CI142" s="95"/>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c r="DL142" s="36"/>
      <c r="DM142" s="36"/>
      <c r="DN142" s="36"/>
    </row>
    <row r="143" spans="85:118">
      <c r="CG143" s="95"/>
      <c r="CH143" s="95"/>
      <c r="CI143" s="95"/>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c r="DL143" s="36"/>
      <c r="DM143" s="36"/>
      <c r="DN143" s="36"/>
    </row>
    <row r="144" spans="85:118">
      <c r="CG144" s="95"/>
      <c r="CH144" s="95"/>
      <c r="CI144" s="95"/>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c r="DL144" s="36"/>
      <c r="DM144" s="36"/>
      <c r="DN144" s="36"/>
    </row>
    <row r="145" spans="85:118">
      <c r="CG145" s="95"/>
      <c r="CH145" s="95"/>
      <c r="CI145" s="95"/>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c r="DL145" s="36"/>
      <c r="DM145" s="36"/>
      <c r="DN145" s="36"/>
    </row>
    <row r="146" spans="85:118">
      <c r="CG146" s="95"/>
      <c r="CH146" s="95"/>
      <c r="CI146" s="95"/>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c r="DI146" s="36"/>
      <c r="DJ146" s="36"/>
      <c r="DK146" s="36"/>
      <c r="DL146" s="36"/>
      <c r="DM146" s="36"/>
      <c r="DN146" s="36"/>
    </row>
    <row r="147" spans="85:118">
      <c r="CG147" s="95"/>
      <c r="CH147" s="95"/>
      <c r="CI147" s="95"/>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c r="DH147" s="36"/>
      <c r="DI147" s="36"/>
      <c r="DJ147" s="36"/>
      <c r="DK147" s="36"/>
      <c r="DL147" s="36"/>
      <c r="DM147" s="36"/>
      <c r="DN147" s="36"/>
    </row>
    <row r="148" spans="85:118">
      <c r="CG148" s="95"/>
      <c r="CH148" s="95"/>
      <c r="CI148" s="95"/>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c r="DH148" s="36"/>
      <c r="DI148" s="36"/>
      <c r="DJ148" s="36"/>
      <c r="DK148" s="36"/>
      <c r="DL148" s="36"/>
      <c r="DM148" s="36"/>
      <c r="DN148" s="36"/>
    </row>
    <row r="149" spans="85:118">
      <c r="CG149" s="95"/>
      <c r="CH149" s="95"/>
      <c r="CI149" s="95"/>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c r="DG149" s="36"/>
      <c r="DH149" s="36"/>
      <c r="DI149" s="36"/>
      <c r="DJ149" s="36"/>
      <c r="DK149" s="36"/>
      <c r="DL149" s="36"/>
      <c r="DM149" s="36"/>
      <c r="DN149" s="36"/>
    </row>
    <row r="150" spans="85:118">
      <c r="CG150" s="95"/>
      <c r="CH150" s="95"/>
      <c r="CI150" s="95"/>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c r="DG150" s="36"/>
      <c r="DH150" s="36"/>
      <c r="DI150" s="36"/>
      <c r="DJ150" s="36"/>
      <c r="DK150" s="36"/>
      <c r="DL150" s="36"/>
      <c r="DM150" s="36"/>
      <c r="DN150" s="36"/>
    </row>
    <row r="151" spans="85:118">
      <c r="CG151" s="95"/>
      <c r="CH151" s="95"/>
      <c r="CI151" s="95"/>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c r="DL151" s="36"/>
      <c r="DM151" s="36"/>
      <c r="DN151" s="36"/>
    </row>
    <row r="152" spans="85:118">
      <c r="CG152" s="95"/>
      <c r="CH152" s="95"/>
      <c r="CI152" s="95"/>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6"/>
      <c r="DJ152" s="36"/>
      <c r="DK152" s="36"/>
      <c r="DL152" s="36"/>
      <c r="DM152" s="36"/>
      <c r="DN152" s="36"/>
    </row>
    <row r="153" spans="85:118">
      <c r="CG153" s="95"/>
      <c r="CH153" s="95"/>
      <c r="CI153" s="95"/>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row>
    <row r="154" spans="85:118">
      <c r="CG154" s="95"/>
      <c r="CH154" s="95"/>
      <c r="CI154" s="95"/>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c r="DL154" s="36"/>
      <c r="DM154" s="36"/>
      <c r="DN154" s="36"/>
    </row>
    <row r="155" spans="85:118">
      <c r="CG155" s="95"/>
      <c r="CH155" s="95"/>
      <c r="CI155" s="95"/>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row>
    <row r="156" spans="85:118">
      <c r="CG156" s="95"/>
      <c r="CH156" s="95"/>
      <c r="CI156" s="95"/>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row>
    <row r="157" spans="85:118">
      <c r="CG157" s="95"/>
      <c r="CH157" s="95"/>
      <c r="CI157" s="95"/>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row>
    <row r="158" spans="85:118">
      <c r="CG158" s="95"/>
      <c r="CH158" s="95"/>
      <c r="CI158" s="95"/>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c r="DL158" s="36"/>
      <c r="DM158" s="36"/>
      <c r="DN158" s="36"/>
    </row>
    <row r="159" spans="85:118">
      <c r="CG159" s="95"/>
      <c r="CH159" s="95"/>
      <c r="CI159" s="95"/>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c r="DL159" s="36"/>
      <c r="DM159" s="36"/>
      <c r="DN159" s="36"/>
    </row>
    <row r="160" spans="85:118">
      <c r="CG160" s="95"/>
      <c r="CH160" s="95"/>
      <c r="CI160" s="95"/>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row>
    <row r="161" spans="85:118">
      <c r="CG161" s="95"/>
      <c r="CH161" s="95"/>
      <c r="CI161" s="95"/>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c r="DL161" s="36"/>
      <c r="DM161" s="36"/>
      <c r="DN161" s="36"/>
    </row>
    <row r="162" spans="85:118">
      <c r="CG162" s="95"/>
      <c r="CH162" s="95"/>
      <c r="CI162" s="95"/>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c r="DL162" s="36"/>
      <c r="DM162" s="36"/>
      <c r="DN162" s="36"/>
    </row>
    <row r="163" spans="85:118">
      <c r="CG163" s="95"/>
      <c r="CH163" s="95"/>
      <c r="CI163" s="95"/>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row>
    <row r="164" spans="85:118">
      <c r="CG164" s="95"/>
      <c r="CH164" s="95"/>
      <c r="CI164" s="95"/>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row>
    <row r="165" spans="85:118">
      <c r="CG165" s="95"/>
      <c r="CH165" s="95"/>
      <c r="CI165" s="95"/>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c r="DL165" s="36"/>
      <c r="DM165" s="36"/>
      <c r="DN165" s="36"/>
    </row>
    <row r="166" spans="85:118">
      <c r="CG166" s="95"/>
      <c r="CH166" s="95"/>
      <c r="CI166" s="95"/>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row>
    <row r="167" spans="85:118">
      <c r="CG167" s="95"/>
      <c r="CH167" s="95"/>
      <c r="CI167" s="95"/>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c r="DL167" s="36"/>
      <c r="DM167" s="36"/>
      <c r="DN167" s="36"/>
    </row>
    <row r="168" spans="85:118">
      <c r="CG168" s="95"/>
      <c r="CH168" s="95"/>
      <c r="CI168" s="95"/>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c r="DL168" s="36"/>
      <c r="DM168" s="36"/>
      <c r="DN168" s="36"/>
    </row>
    <row r="169" spans="85:118">
      <c r="CG169" s="95"/>
      <c r="CH169" s="95"/>
      <c r="CI169" s="95"/>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c r="DL169" s="36"/>
      <c r="DM169" s="36"/>
      <c r="DN169" s="36"/>
    </row>
    <row r="170" spans="85:118">
      <c r="CG170" s="95"/>
      <c r="CH170" s="95"/>
      <c r="CI170" s="95"/>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row>
    <row r="171" spans="85:118">
      <c r="CG171" s="95"/>
      <c r="CH171" s="95"/>
      <c r="CI171" s="95"/>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c r="DL171" s="36"/>
      <c r="DM171" s="36"/>
      <c r="DN171" s="36"/>
    </row>
    <row r="172" spans="85:118">
      <c r="CG172" s="95"/>
      <c r="CH172" s="95"/>
      <c r="CI172" s="95"/>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row>
    <row r="173" spans="85:118">
      <c r="CG173" s="95"/>
      <c r="CH173" s="95"/>
      <c r="CI173" s="95"/>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row>
    <row r="174" spans="85:118">
      <c r="CG174" s="95"/>
      <c r="CH174" s="95"/>
      <c r="CI174" s="95"/>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c r="DL174" s="36"/>
      <c r="DM174" s="36"/>
      <c r="DN174" s="36"/>
    </row>
    <row r="175" spans="85:118">
      <c r="CG175" s="95"/>
      <c r="CH175" s="95"/>
      <c r="CI175" s="95"/>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c r="DL175" s="36"/>
      <c r="DM175" s="36"/>
      <c r="DN175" s="36"/>
    </row>
    <row r="176" spans="85:118">
      <c r="CG176" s="95"/>
      <c r="CH176" s="95"/>
      <c r="CI176" s="95"/>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c r="DL176" s="36"/>
      <c r="DM176" s="36"/>
      <c r="DN176" s="36"/>
    </row>
    <row r="177" spans="85:118">
      <c r="CG177" s="95"/>
      <c r="CH177" s="95"/>
      <c r="CI177" s="95"/>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row>
    <row r="178" spans="85:118">
      <c r="CG178" s="95"/>
      <c r="CH178" s="95"/>
      <c r="CI178" s="95"/>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row>
    <row r="179" spans="85:118">
      <c r="CG179" s="95"/>
      <c r="CH179" s="95"/>
      <c r="CI179" s="95"/>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row>
    <row r="180" spans="85:118">
      <c r="CG180" s="95"/>
      <c r="CH180" s="95"/>
      <c r="CI180" s="95"/>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row>
    <row r="181" spans="85:118">
      <c r="CG181" s="95"/>
      <c r="CH181" s="95"/>
      <c r="CI181" s="95"/>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c r="DL181" s="36"/>
      <c r="DM181" s="36"/>
      <c r="DN181" s="36"/>
    </row>
    <row r="182" spans="85:118">
      <c r="CG182" s="95"/>
      <c r="CH182" s="95"/>
      <c r="CI182" s="95"/>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c r="DL182" s="36"/>
      <c r="DM182" s="36"/>
      <c r="DN182" s="36"/>
    </row>
    <row r="183" spans="85:118">
      <c r="CG183" s="95"/>
      <c r="CH183" s="95"/>
      <c r="CI183" s="95"/>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c r="DL183" s="36"/>
      <c r="DM183" s="36"/>
      <c r="DN183" s="36"/>
    </row>
    <row r="184" spans="85:118">
      <c r="CG184" s="95"/>
      <c r="CH184" s="95"/>
      <c r="CI184" s="95"/>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c r="DL184" s="36"/>
      <c r="DM184" s="36"/>
      <c r="DN184" s="36"/>
    </row>
    <row r="185" spans="85:118">
      <c r="CG185" s="95"/>
      <c r="CH185" s="95"/>
      <c r="CI185" s="95"/>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c r="DL185" s="36"/>
      <c r="DM185" s="36"/>
      <c r="DN185" s="36"/>
    </row>
    <row r="186" spans="85:118">
      <c r="CG186" s="95"/>
      <c r="CH186" s="95"/>
      <c r="CI186" s="95"/>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c r="DL186" s="36"/>
      <c r="DM186" s="36"/>
      <c r="DN186" s="36"/>
    </row>
    <row r="187" spans="85:118">
      <c r="CG187" s="95"/>
      <c r="CH187" s="95"/>
      <c r="CI187" s="95"/>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c r="DL187" s="36"/>
      <c r="DM187" s="36"/>
      <c r="DN187" s="36"/>
    </row>
    <row r="188" spans="85:118">
      <c r="CG188" s="95"/>
      <c r="CH188" s="95"/>
      <c r="CI188" s="95"/>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c r="DG188" s="36"/>
      <c r="DH188" s="36"/>
      <c r="DI188" s="36"/>
      <c r="DJ188" s="36"/>
      <c r="DK188" s="36"/>
      <c r="DL188" s="36"/>
      <c r="DM188" s="36"/>
      <c r="DN188" s="36"/>
    </row>
    <row r="189" spans="85:118">
      <c r="CG189" s="95"/>
      <c r="CH189" s="95"/>
      <c r="CI189" s="95"/>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c r="DL189" s="36"/>
      <c r="DM189" s="36"/>
      <c r="DN189" s="36"/>
    </row>
    <row r="190" spans="85:118">
      <c r="CG190" s="95"/>
      <c r="CH190" s="95"/>
      <c r="CI190" s="95"/>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c r="DG190" s="36"/>
      <c r="DH190" s="36"/>
      <c r="DI190" s="36"/>
      <c r="DJ190" s="36"/>
      <c r="DK190" s="36"/>
      <c r="DL190" s="36"/>
      <c r="DM190" s="36"/>
      <c r="DN190" s="36"/>
    </row>
    <row r="191" spans="85:118">
      <c r="CG191" s="95"/>
      <c r="CH191" s="95"/>
      <c r="CI191" s="95"/>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c r="DI191" s="36"/>
      <c r="DJ191" s="36"/>
      <c r="DK191" s="36"/>
      <c r="DL191" s="36"/>
      <c r="DM191" s="36"/>
      <c r="DN191" s="36"/>
    </row>
    <row r="192" spans="85:118">
      <c r="CG192" s="95"/>
      <c r="CH192" s="95"/>
      <c r="CI192" s="95"/>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c r="DH192" s="36"/>
      <c r="DI192" s="36"/>
      <c r="DJ192" s="36"/>
      <c r="DK192" s="36"/>
      <c r="DL192" s="36"/>
      <c r="DM192" s="36"/>
      <c r="DN192" s="36"/>
    </row>
    <row r="193" spans="85:118">
      <c r="CG193" s="95"/>
      <c r="CH193" s="95"/>
      <c r="CI193" s="95"/>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c r="DL193" s="36"/>
      <c r="DM193" s="36"/>
      <c r="DN193" s="36"/>
    </row>
    <row r="194" spans="85:118">
      <c r="CG194" s="95"/>
      <c r="CH194" s="95"/>
      <c r="CI194" s="95"/>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c r="DG194" s="36"/>
      <c r="DH194" s="36"/>
      <c r="DI194" s="36"/>
      <c r="DJ194" s="36"/>
      <c r="DK194" s="36"/>
      <c r="DL194" s="36"/>
      <c r="DM194" s="36"/>
      <c r="DN194" s="36"/>
    </row>
    <row r="195" spans="85:118">
      <c r="CG195" s="95"/>
      <c r="CH195" s="95"/>
      <c r="CI195" s="95"/>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c r="DG195" s="36"/>
      <c r="DH195" s="36"/>
      <c r="DI195" s="36"/>
      <c r="DJ195" s="36"/>
      <c r="DK195" s="36"/>
      <c r="DL195" s="36"/>
      <c r="DM195" s="36"/>
      <c r="DN195" s="36"/>
    </row>
    <row r="196" spans="85:118">
      <c r="CG196" s="95"/>
      <c r="CH196" s="95"/>
      <c r="CI196" s="95"/>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c r="DG196" s="36"/>
      <c r="DH196" s="36"/>
      <c r="DI196" s="36"/>
      <c r="DJ196" s="36"/>
      <c r="DK196" s="36"/>
      <c r="DL196" s="36"/>
      <c r="DM196" s="36"/>
      <c r="DN196" s="36"/>
    </row>
    <row r="197" spans="85:118">
      <c r="CG197" s="95"/>
      <c r="CH197" s="95"/>
      <c r="CI197" s="95"/>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c r="DL197" s="36"/>
      <c r="DM197" s="36"/>
      <c r="DN197" s="36"/>
    </row>
    <row r="198" spans="85:118">
      <c r="CG198" s="95"/>
      <c r="CH198" s="95"/>
      <c r="CI198" s="95"/>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c r="DH198" s="36"/>
      <c r="DI198" s="36"/>
      <c r="DJ198" s="36"/>
      <c r="DK198" s="36"/>
      <c r="DL198" s="36"/>
      <c r="DM198" s="36"/>
      <c r="DN198" s="36"/>
    </row>
    <row r="199" spans="85:118">
      <c r="CG199" s="95"/>
      <c r="CH199" s="95"/>
      <c r="CI199" s="95"/>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c r="DH199" s="36"/>
      <c r="DI199" s="36"/>
      <c r="DJ199" s="36"/>
      <c r="DK199" s="36"/>
      <c r="DL199" s="36"/>
      <c r="DM199" s="36"/>
      <c r="DN199" s="36"/>
    </row>
    <row r="200" spans="85:118">
      <c r="CG200" s="95"/>
      <c r="CH200" s="95"/>
      <c r="CI200" s="95"/>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c r="DI200" s="36"/>
      <c r="DJ200" s="36"/>
      <c r="DK200" s="36"/>
      <c r="DL200" s="36"/>
      <c r="DM200" s="36"/>
      <c r="DN200" s="36"/>
    </row>
    <row r="201" spans="85:118">
      <c r="CG201" s="95"/>
      <c r="CH201" s="95"/>
      <c r="CI201" s="95"/>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row>
    <row r="202" spans="85:118">
      <c r="CG202" s="95"/>
      <c r="CH202" s="95"/>
      <c r="CI202" s="95"/>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row>
    <row r="203" spans="85:118">
      <c r="CG203" s="95"/>
      <c r="CH203" s="95"/>
      <c r="CI203" s="95"/>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c r="DL203" s="36"/>
      <c r="DM203" s="36"/>
      <c r="DN203" s="36"/>
    </row>
    <row r="204" spans="85:118">
      <c r="CG204" s="95"/>
      <c r="CH204" s="95"/>
      <c r="CI204" s="95"/>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c r="DL204" s="36"/>
      <c r="DM204" s="36"/>
      <c r="DN204" s="36"/>
    </row>
    <row r="205" spans="85:118">
      <c r="CG205" s="95"/>
      <c r="CH205" s="95"/>
      <c r="CI205" s="95"/>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row>
    <row r="206" spans="85:118">
      <c r="CG206" s="95"/>
      <c r="CH206" s="95"/>
      <c r="CI206" s="95"/>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c r="DL206" s="36"/>
      <c r="DM206" s="36"/>
      <c r="DN206" s="36"/>
    </row>
    <row r="207" spans="85:118">
      <c r="CG207" s="95"/>
      <c r="CH207" s="95"/>
      <c r="CI207" s="95"/>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row>
    <row r="208" spans="85:118">
      <c r="CG208" s="95"/>
      <c r="CH208" s="95"/>
      <c r="CI208" s="95"/>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c r="DL208" s="36"/>
      <c r="DM208" s="36"/>
      <c r="DN208" s="36"/>
    </row>
    <row r="209" spans="85:118">
      <c r="CG209" s="95"/>
      <c r="CH209" s="95"/>
      <c r="CI209" s="95"/>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c r="DL209" s="36"/>
      <c r="DM209" s="36"/>
      <c r="DN209" s="36"/>
    </row>
    <row r="210" spans="85:118">
      <c r="CG210" s="95"/>
      <c r="CH210" s="95"/>
      <c r="CI210" s="95"/>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row>
    <row r="211" spans="85:118">
      <c r="CG211" s="95"/>
      <c r="CH211" s="95"/>
      <c r="CI211" s="95"/>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c r="DL211" s="36"/>
      <c r="DM211" s="36"/>
      <c r="DN211" s="36"/>
    </row>
    <row r="212" spans="85:118">
      <c r="CG212" s="95"/>
      <c r="CH212" s="95"/>
      <c r="CI212" s="95"/>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c r="DL212" s="36"/>
      <c r="DM212" s="36"/>
      <c r="DN212" s="36"/>
    </row>
    <row r="213" spans="85:118">
      <c r="CG213" s="95"/>
      <c r="CH213" s="95"/>
      <c r="CI213" s="95"/>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row>
    <row r="214" spans="85:118">
      <c r="CG214" s="95"/>
      <c r="CH214" s="95"/>
      <c r="CI214" s="95"/>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c r="DL214" s="36"/>
      <c r="DM214" s="36"/>
      <c r="DN214" s="36"/>
    </row>
    <row r="215" spans="85:118">
      <c r="CG215" s="95"/>
      <c r="CH215" s="95"/>
      <c r="CI215" s="95"/>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c r="DG215" s="36"/>
      <c r="DH215" s="36"/>
      <c r="DI215" s="36"/>
      <c r="DJ215" s="36"/>
      <c r="DK215" s="36"/>
      <c r="DL215" s="36"/>
      <c r="DM215" s="36"/>
      <c r="DN215" s="36"/>
    </row>
    <row r="216" spans="85:118">
      <c r="CG216" s="95"/>
      <c r="CH216" s="95"/>
      <c r="CI216" s="95"/>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c r="DG216" s="36"/>
      <c r="DH216" s="36"/>
      <c r="DI216" s="36"/>
      <c r="DJ216" s="36"/>
      <c r="DK216" s="36"/>
      <c r="DL216" s="36"/>
      <c r="DM216" s="36"/>
      <c r="DN216" s="36"/>
    </row>
    <row r="217" spans="85:118">
      <c r="CG217" s="95"/>
      <c r="CH217" s="95"/>
      <c r="CI217" s="95"/>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c r="DG217" s="36"/>
      <c r="DH217" s="36"/>
      <c r="DI217" s="36"/>
      <c r="DJ217" s="36"/>
      <c r="DK217" s="36"/>
      <c r="DL217" s="36"/>
      <c r="DM217" s="36"/>
      <c r="DN217" s="36"/>
    </row>
    <row r="218" spans="85:118">
      <c r="CG218" s="95"/>
      <c r="CH218" s="95"/>
      <c r="CI218" s="95"/>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c r="DH218" s="36"/>
      <c r="DI218" s="36"/>
      <c r="DJ218" s="36"/>
      <c r="DK218" s="36"/>
      <c r="DL218" s="36"/>
      <c r="DM218" s="36"/>
      <c r="DN218" s="36"/>
    </row>
    <row r="219" spans="85:118">
      <c r="CG219" s="95"/>
      <c r="CH219" s="95"/>
      <c r="CI219" s="95"/>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6"/>
      <c r="DJ219" s="36"/>
      <c r="DK219" s="36"/>
      <c r="DL219" s="36"/>
      <c r="DM219" s="36"/>
      <c r="DN219" s="36"/>
    </row>
    <row r="220" spans="85:118">
      <c r="CG220" s="95"/>
      <c r="CH220" s="95"/>
      <c r="CI220" s="95"/>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c r="DH220" s="36"/>
      <c r="DI220" s="36"/>
      <c r="DJ220" s="36"/>
      <c r="DK220" s="36"/>
      <c r="DL220" s="36"/>
      <c r="DM220" s="36"/>
      <c r="DN220" s="36"/>
    </row>
    <row r="221" spans="85:118">
      <c r="CG221" s="95"/>
      <c r="CH221" s="95"/>
      <c r="CI221" s="95"/>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c r="DL221" s="36"/>
      <c r="DM221" s="36"/>
      <c r="DN221" s="36"/>
    </row>
    <row r="222" spans="85:118">
      <c r="CG222" s="95"/>
      <c r="CH222" s="95"/>
      <c r="CI222" s="95"/>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c r="DH222" s="36"/>
      <c r="DI222" s="36"/>
      <c r="DJ222" s="36"/>
      <c r="DK222" s="36"/>
      <c r="DL222" s="36"/>
      <c r="DM222" s="36"/>
      <c r="DN222" s="36"/>
    </row>
    <row r="223" spans="85:118">
      <c r="CG223" s="95"/>
      <c r="CH223" s="95"/>
      <c r="CI223" s="95"/>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c r="DL223" s="36"/>
      <c r="DM223" s="36"/>
      <c r="DN223" s="36"/>
    </row>
    <row r="224" spans="85:118">
      <c r="CG224" s="95"/>
      <c r="CH224" s="95"/>
      <c r="CI224" s="95"/>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c r="DG224" s="36"/>
      <c r="DH224" s="36"/>
      <c r="DI224" s="36"/>
      <c r="DJ224" s="36"/>
      <c r="DK224" s="36"/>
      <c r="DL224" s="36"/>
      <c r="DM224" s="36"/>
      <c r="DN224" s="36"/>
    </row>
    <row r="225" spans="85:118">
      <c r="CG225" s="95"/>
      <c r="CH225" s="95"/>
      <c r="CI225" s="95"/>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c r="DG225" s="36"/>
      <c r="DH225" s="36"/>
      <c r="DI225" s="36"/>
      <c r="DJ225" s="36"/>
      <c r="DK225" s="36"/>
      <c r="DL225" s="36"/>
      <c r="DM225" s="36"/>
      <c r="DN225" s="36"/>
    </row>
    <row r="226" spans="85:118">
      <c r="CG226" s="95"/>
      <c r="CH226" s="95"/>
      <c r="CI226" s="95"/>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c r="DL226" s="36"/>
      <c r="DM226" s="36"/>
      <c r="DN226" s="36"/>
    </row>
    <row r="227" spans="85:118">
      <c r="CG227" s="95"/>
      <c r="CH227" s="95"/>
      <c r="CI227" s="95"/>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c r="DL227" s="36"/>
      <c r="DM227" s="36"/>
      <c r="DN227" s="36"/>
    </row>
    <row r="228" spans="85:118">
      <c r="CG228" s="95"/>
      <c r="CH228" s="95"/>
      <c r="CI228" s="95"/>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c r="DL228" s="36"/>
      <c r="DM228" s="36"/>
      <c r="DN228" s="36"/>
    </row>
    <row r="229" spans="85:118">
      <c r="CG229" s="95"/>
      <c r="CH229" s="95"/>
      <c r="CI229" s="95"/>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c r="DL229" s="36"/>
      <c r="DM229" s="36"/>
      <c r="DN229" s="36"/>
    </row>
    <row r="230" spans="85:118">
      <c r="CG230" s="95"/>
      <c r="CH230" s="95"/>
      <c r="CI230" s="95"/>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c r="DG230" s="36"/>
      <c r="DH230" s="36"/>
      <c r="DI230" s="36"/>
      <c r="DJ230" s="36"/>
      <c r="DK230" s="36"/>
      <c r="DL230" s="36"/>
      <c r="DM230" s="36"/>
      <c r="DN230" s="36"/>
    </row>
    <row r="231" spans="85:118">
      <c r="CG231" s="95"/>
      <c r="CH231" s="95"/>
      <c r="CI231" s="95"/>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c r="DI231" s="36"/>
      <c r="DJ231" s="36"/>
      <c r="DK231" s="36"/>
      <c r="DL231" s="36"/>
      <c r="DM231" s="36"/>
      <c r="DN231" s="36"/>
    </row>
    <row r="232" spans="85:118">
      <c r="CG232" s="95"/>
      <c r="CH232" s="95"/>
      <c r="CI232" s="95"/>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c r="DH232" s="36"/>
      <c r="DI232" s="36"/>
      <c r="DJ232" s="36"/>
      <c r="DK232" s="36"/>
      <c r="DL232" s="36"/>
      <c r="DM232" s="36"/>
      <c r="DN232" s="36"/>
    </row>
    <row r="233" spans="85:118">
      <c r="CG233" s="95"/>
      <c r="CH233" s="95"/>
      <c r="CI233" s="95"/>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c r="DG233" s="36"/>
      <c r="DH233" s="36"/>
      <c r="DI233" s="36"/>
      <c r="DJ233" s="36"/>
      <c r="DK233" s="36"/>
      <c r="DL233" s="36"/>
      <c r="DM233" s="36"/>
      <c r="DN233" s="36"/>
    </row>
    <row r="234" spans="85:118">
      <c r="CG234" s="95"/>
      <c r="CH234" s="95"/>
      <c r="CI234" s="95"/>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c r="DL234" s="36"/>
      <c r="DM234" s="36"/>
      <c r="DN234" s="36"/>
    </row>
    <row r="235" spans="85:118">
      <c r="CG235" s="95"/>
      <c r="CH235" s="95"/>
      <c r="CI235" s="95"/>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c r="DG235" s="36"/>
      <c r="DH235" s="36"/>
      <c r="DI235" s="36"/>
      <c r="DJ235" s="36"/>
      <c r="DK235" s="36"/>
      <c r="DL235" s="36"/>
      <c r="DM235" s="36"/>
      <c r="DN235" s="36"/>
    </row>
    <row r="236" spans="85:118">
      <c r="CG236" s="95"/>
      <c r="CH236" s="95"/>
      <c r="CI236" s="95"/>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c r="DG236" s="36"/>
      <c r="DH236" s="36"/>
      <c r="DI236" s="36"/>
      <c r="DJ236" s="36"/>
      <c r="DK236" s="36"/>
      <c r="DL236" s="36"/>
      <c r="DM236" s="36"/>
      <c r="DN236" s="36"/>
    </row>
    <row r="237" spans="85:118">
      <c r="CG237" s="95"/>
      <c r="CH237" s="95"/>
      <c r="CI237" s="95"/>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c r="DL237" s="36"/>
      <c r="DM237" s="36"/>
      <c r="DN237" s="36"/>
    </row>
    <row r="238" spans="85:118">
      <c r="CG238" s="95"/>
      <c r="CH238" s="95"/>
      <c r="CI238" s="95"/>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c r="DL238" s="36"/>
      <c r="DM238" s="36"/>
      <c r="DN238" s="36"/>
    </row>
    <row r="239" spans="85:118">
      <c r="CG239" s="95"/>
      <c r="CH239" s="95"/>
      <c r="CI239" s="95"/>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c r="DI239" s="36"/>
      <c r="DJ239" s="36"/>
      <c r="DK239" s="36"/>
      <c r="DL239" s="36"/>
      <c r="DM239" s="36"/>
      <c r="DN239" s="36"/>
    </row>
    <row r="240" spans="85:118">
      <c r="CG240" s="95"/>
      <c r="CH240" s="95"/>
      <c r="CI240" s="95"/>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c r="DG240" s="36"/>
      <c r="DH240" s="36"/>
      <c r="DI240" s="36"/>
      <c r="DJ240" s="36"/>
      <c r="DK240" s="36"/>
      <c r="DL240" s="36"/>
      <c r="DM240" s="36"/>
      <c r="DN240" s="36"/>
    </row>
    <row r="241" spans="85:118">
      <c r="CG241" s="95"/>
      <c r="CH241" s="95"/>
      <c r="CI241" s="95"/>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c r="DL241" s="36"/>
      <c r="DM241" s="36"/>
      <c r="DN241" s="36"/>
    </row>
    <row r="242" spans="85:118">
      <c r="CG242" s="95"/>
      <c r="CH242" s="95"/>
      <c r="CI242" s="95"/>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c r="DG242" s="36"/>
      <c r="DH242" s="36"/>
      <c r="DI242" s="36"/>
      <c r="DJ242" s="36"/>
      <c r="DK242" s="36"/>
      <c r="DL242" s="36"/>
      <c r="DM242" s="36"/>
      <c r="DN242" s="36"/>
    </row>
    <row r="243" spans="85:118">
      <c r="CG243" s="95"/>
      <c r="CH243" s="95"/>
      <c r="CI243" s="95"/>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c r="DH243" s="36"/>
      <c r="DI243" s="36"/>
      <c r="DJ243" s="36"/>
      <c r="DK243" s="36"/>
      <c r="DL243" s="36"/>
      <c r="DM243" s="36"/>
      <c r="DN243" s="36"/>
    </row>
    <row r="244" spans="85:118">
      <c r="CG244" s="95"/>
      <c r="CH244" s="95"/>
      <c r="CI244" s="95"/>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c r="DL244" s="36"/>
      <c r="DM244" s="36"/>
      <c r="DN244" s="36"/>
    </row>
    <row r="245" spans="85:118">
      <c r="CG245" s="95"/>
      <c r="CH245" s="95"/>
      <c r="CI245" s="95"/>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c r="DH245" s="36"/>
      <c r="DI245" s="36"/>
      <c r="DJ245" s="36"/>
      <c r="DK245" s="36"/>
      <c r="DL245" s="36"/>
      <c r="DM245" s="36"/>
      <c r="DN245" s="36"/>
    </row>
    <row r="246" spans="85:118">
      <c r="CG246" s="95"/>
      <c r="CH246" s="95"/>
      <c r="CI246" s="95"/>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c r="DH246" s="36"/>
      <c r="DI246" s="36"/>
      <c r="DJ246" s="36"/>
      <c r="DK246" s="36"/>
      <c r="DL246" s="36"/>
      <c r="DM246" s="36"/>
      <c r="DN246" s="36"/>
    </row>
    <row r="247" spans="85:118">
      <c r="CG247" s="95"/>
      <c r="CH247" s="95"/>
      <c r="CI247" s="95"/>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c r="DL247" s="36"/>
      <c r="DM247" s="36"/>
      <c r="DN247" s="36"/>
    </row>
    <row r="248" spans="85:118">
      <c r="CG248" s="95"/>
      <c r="CH248" s="95"/>
      <c r="CI248" s="95"/>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c r="DH248" s="36"/>
      <c r="DI248" s="36"/>
      <c r="DJ248" s="36"/>
      <c r="DK248" s="36"/>
      <c r="DL248" s="36"/>
      <c r="DM248" s="36"/>
      <c r="DN248" s="36"/>
    </row>
    <row r="249" spans="85:118">
      <c r="CG249" s="95"/>
      <c r="CH249" s="95"/>
      <c r="CI249" s="95"/>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c r="DL249" s="36"/>
      <c r="DM249" s="36"/>
      <c r="DN249" s="36"/>
    </row>
    <row r="250" spans="85:118">
      <c r="CG250" s="95"/>
      <c r="CH250" s="95"/>
      <c r="CI250" s="95"/>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row>
    <row r="251" spans="85:118">
      <c r="CG251" s="95"/>
      <c r="CH251" s="95"/>
      <c r="CI251" s="95"/>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c r="DG251" s="36"/>
      <c r="DH251" s="36"/>
      <c r="DI251" s="36"/>
      <c r="DJ251" s="36"/>
      <c r="DK251" s="36"/>
      <c r="DL251" s="36"/>
      <c r="DM251" s="36"/>
      <c r="DN251" s="36"/>
    </row>
    <row r="252" spans="85:118">
      <c r="CG252" s="95"/>
      <c r="CH252" s="95"/>
      <c r="CI252" s="95"/>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c r="DG252" s="36"/>
      <c r="DH252" s="36"/>
      <c r="DI252" s="36"/>
      <c r="DJ252" s="36"/>
      <c r="DK252" s="36"/>
      <c r="DL252" s="36"/>
      <c r="DM252" s="36"/>
      <c r="DN252" s="36"/>
    </row>
    <row r="253" spans="85:118">
      <c r="CG253" s="95"/>
      <c r="CH253" s="95"/>
      <c r="CI253" s="95"/>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c r="DL253" s="36"/>
      <c r="DM253" s="36"/>
      <c r="DN253" s="36"/>
    </row>
    <row r="254" spans="85:118">
      <c r="CG254" s="95"/>
      <c r="CH254" s="95"/>
      <c r="CI254" s="95"/>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c r="DG254" s="36"/>
      <c r="DH254" s="36"/>
      <c r="DI254" s="36"/>
      <c r="DJ254" s="36"/>
      <c r="DK254" s="36"/>
      <c r="DL254" s="36"/>
      <c r="DM254" s="36"/>
      <c r="DN254" s="36"/>
    </row>
    <row r="255" spans="85:118">
      <c r="CG255" s="95"/>
      <c r="CH255" s="95"/>
      <c r="CI255" s="95"/>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c r="DG255" s="36"/>
      <c r="DH255" s="36"/>
      <c r="DI255" s="36"/>
      <c r="DJ255" s="36"/>
      <c r="DK255" s="36"/>
      <c r="DL255" s="36"/>
      <c r="DM255" s="36"/>
      <c r="DN255" s="36"/>
    </row>
    <row r="256" spans="85:118">
      <c r="CG256" s="95"/>
      <c r="CH256" s="95"/>
      <c r="CI256" s="95"/>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c r="DG256" s="36"/>
      <c r="DH256" s="36"/>
      <c r="DI256" s="36"/>
      <c r="DJ256" s="36"/>
      <c r="DK256" s="36"/>
      <c r="DL256" s="36"/>
      <c r="DM256" s="36"/>
      <c r="DN256" s="36"/>
    </row>
    <row r="257" spans="85:118">
      <c r="CG257" s="95"/>
      <c r="CH257" s="95"/>
      <c r="CI257" s="95"/>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c r="DG257" s="36"/>
      <c r="DH257" s="36"/>
      <c r="DI257" s="36"/>
      <c r="DJ257" s="36"/>
      <c r="DK257" s="36"/>
      <c r="DL257" s="36"/>
      <c r="DM257" s="36"/>
      <c r="DN257" s="36"/>
    </row>
    <row r="258" spans="85:118">
      <c r="CG258" s="95"/>
      <c r="CH258" s="95"/>
      <c r="CI258" s="95"/>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c r="DG258" s="36"/>
      <c r="DH258" s="36"/>
      <c r="DI258" s="36"/>
      <c r="DJ258" s="36"/>
      <c r="DK258" s="36"/>
      <c r="DL258" s="36"/>
      <c r="DM258" s="36"/>
      <c r="DN258" s="36"/>
    </row>
    <row r="259" spans="85:118">
      <c r="CG259" s="95"/>
      <c r="CH259" s="95"/>
      <c r="CI259" s="95"/>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c r="DL259" s="36"/>
      <c r="DM259" s="36"/>
      <c r="DN259" s="36"/>
    </row>
    <row r="260" spans="85:118">
      <c r="CG260" s="95"/>
      <c r="CH260" s="95"/>
      <c r="CI260" s="95"/>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c r="DI260" s="36"/>
      <c r="DJ260" s="36"/>
      <c r="DK260" s="36"/>
      <c r="DL260" s="36"/>
      <c r="DM260" s="36"/>
      <c r="DN260" s="36"/>
    </row>
    <row r="261" spans="85:118">
      <c r="CG261" s="95"/>
      <c r="CH261" s="95"/>
      <c r="CI261" s="95"/>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c r="DG261" s="36"/>
      <c r="DH261" s="36"/>
      <c r="DI261" s="36"/>
      <c r="DJ261" s="36"/>
      <c r="DK261" s="36"/>
      <c r="DL261" s="36"/>
      <c r="DM261" s="36"/>
      <c r="DN261" s="36"/>
    </row>
    <row r="262" spans="85:118">
      <c r="CG262" s="95"/>
      <c r="CH262" s="95"/>
      <c r="CI262" s="95"/>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c r="DI262" s="36"/>
      <c r="DJ262" s="36"/>
      <c r="DK262" s="36"/>
      <c r="DL262" s="36"/>
      <c r="DM262" s="36"/>
      <c r="DN262" s="36"/>
    </row>
    <row r="263" spans="85:118">
      <c r="CG263" s="95"/>
      <c r="CH263" s="95"/>
      <c r="CI263" s="95"/>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c r="DL263" s="36"/>
      <c r="DM263" s="36"/>
      <c r="DN263" s="36"/>
    </row>
    <row r="264" spans="85:118">
      <c r="CG264" s="95"/>
      <c r="CH264" s="95"/>
      <c r="CI264" s="95"/>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c r="DL264" s="36"/>
      <c r="DM264" s="36"/>
      <c r="DN264" s="36"/>
    </row>
    <row r="265" spans="85:118">
      <c r="CG265" s="95"/>
      <c r="CH265" s="95"/>
      <c r="CI265" s="95"/>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c r="DL265" s="36"/>
      <c r="DM265" s="36"/>
      <c r="DN265" s="36"/>
    </row>
    <row r="266" spans="85:118">
      <c r="CG266" s="95"/>
      <c r="CH266" s="95"/>
      <c r="CI266" s="95"/>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c r="DL266" s="36"/>
      <c r="DM266" s="36"/>
      <c r="DN266" s="36"/>
    </row>
    <row r="267" spans="85:118">
      <c r="CG267" s="95"/>
      <c r="CH267" s="95"/>
      <c r="CI267" s="95"/>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row>
    <row r="268" spans="85:118">
      <c r="CG268" s="95"/>
      <c r="CH268" s="95"/>
      <c r="CI268" s="95"/>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row>
    <row r="269" spans="85:118">
      <c r="CG269" s="95"/>
      <c r="CH269" s="95"/>
      <c r="CI269" s="95"/>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c r="DL269" s="36"/>
      <c r="DM269" s="36"/>
      <c r="DN269" s="36"/>
    </row>
    <row r="270" spans="85:118">
      <c r="CG270" s="95"/>
      <c r="CH270" s="95"/>
      <c r="CI270" s="95"/>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row>
    <row r="271" spans="85:118">
      <c r="CG271" s="95"/>
      <c r="CH271" s="95"/>
      <c r="CI271" s="95"/>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c r="DL271" s="36"/>
      <c r="DM271" s="36"/>
      <c r="DN271" s="36"/>
    </row>
    <row r="272" spans="85:118">
      <c r="CG272" s="95"/>
      <c r="CH272" s="95"/>
      <c r="CI272" s="95"/>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c r="DL272" s="36"/>
      <c r="DM272" s="36"/>
      <c r="DN272" s="36"/>
    </row>
    <row r="273" spans="85:118">
      <c r="CG273" s="95"/>
      <c r="CH273" s="95"/>
      <c r="CI273" s="95"/>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row>
    <row r="274" spans="85:118">
      <c r="CG274" s="95"/>
      <c r="CH274" s="95"/>
      <c r="CI274" s="95"/>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row>
    <row r="275" spans="85:118">
      <c r="CG275" s="95"/>
      <c r="CH275" s="95"/>
      <c r="CI275" s="95"/>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c r="DL275" s="36"/>
      <c r="DM275" s="36"/>
      <c r="DN275" s="36"/>
    </row>
    <row r="276" spans="85:118">
      <c r="CG276" s="95"/>
      <c r="CH276" s="95"/>
      <c r="CI276" s="95"/>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row>
    <row r="277" spans="85:118">
      <c r="CG277" s="95"/>
      <c r="CH277" s="95"/>
      <c r="CI277" s="95"/>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row>
    <row r="278" spans="85:118">
      <c r="CG278" s="95"/>
      <c r="CH278" s="95"/>
      <c r="CI278" s="95"/>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row>
    <row r="279" spans="85:118">
      <c r="CG279" s="95"/>
      <c r="CH279" s="95"/>
      <c r="CI279" s="95"/>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row>
    <row r="280" spans="85:118">
      <c r="CG280" s="95"/>
      <c r="CH280" s="95"/>
      <c r="CI280" s="95"/>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c r="DL280" s="36"/>
      <c r="DM280" s="36"/>
      <c r="DN280" s="36"/>
    </row>
    <row r="281" spans="85:118">
      <c r="CG281" s="95"/>
      <c r="CH281" s="95"/>
      <c r="CI281" s="95"/>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c r="DL281" s="36"/>
      <c r="DM281" s="36"/>
      <c r="DN281" s="36"/>
    </row>
    <row r="282" spans="85:118">
      <c r="CG282" s="95"/>
      <c r="CH282" s="95"/>
      <c r="CI282" s="95"/>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c r="DL282" s="36"/>
      <c r="DM282" s="36"/>
      <c r="DN282" s="36"/>
    </row>
    <row r="283" spans="85:118">
      <c r="CG283" s="95"/>
      <c r="CH283" s="95"/>
      <c r="CI283" s="95"/>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c r="DL283" s="36"/>
      <c r="DM283" s="36"/>
      <c r="DN283" s="36"/>
    </row>
    <row r="284" spans="85:118">
      <c r="CG284" s="95"/>
      <c r="CH284" s="95"/>
      <c r="CI284" s="95"/>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c r="DL284" s="36"/>
      <c r="DM284" s="36"/>
      <c r="DN284" s="36"/>
    </row>
    <row r="285" spans="85:118">
      <c r="CG285" s="95"/>
      <c r="CH285" s="95"/>
      <c r="CI285" s="95"/>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c r="DL285" s="36"/>
      <c r="DM285" s="36"/>
      <c r="DN285" s="36"/>
    </row>
    <row r="286" spans="85:118">
      <c r="CG286" s="95"/>
      <c r="CH286" s="95"/>
      <c r="CI286" s="95"/>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c r="DL286" s="36"/>
      <c r="DM286" s="36"/>
      <c r="DN286" s="36"/>
    </row>
    <row r="287" spans="85:118">
      <c r="CG287" s="95"/>
      <c r="CH287" s="95"/>
      <c r="CI287" s="95"/>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c r="DL287" s="36"/>
      <c r="DM287" s="36"/>
      <c r="DN287" s="36"/>
    </row>
    <row r="288" spans="85:118">
      <c r="CG288" s="95"/>
      <c r="CH288" s="95"/>
      <c r="CI288" s="95"/>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c r="DL288" s="36"/>
      <c r="DM288" s="36"/>
      <c r="DN288" s="36"/>
    </row>
    <row r="289" spans="85:118">
      <c r="CG289" s="95"/>
      <c r="CH289" s="95"/>
      <c r="CI289" s="95"/>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c r="DL289" s="36"/>
      <c r="DM289" s="36"/>
      <c r="DN289" s="36"/>
    </row>
    <row r="290" spans="85:118">
      <c r="CG290" s="95"/>
      <c r="CH290" s="95"/>
      <c r="CI290" s="95"/>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c r="DL290" s="36"/>
      <c r="DM290" s="36"/>
      <c r="DN290" s="36"/>
    </row>
    <row r="291" spans="85:118">
      <c r="CG291" s="95"/>
      <c r="CH291" s="95"/>
      <c r="CI291" s="95"/>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c r="DL291" s="36"/>
      <c r="DM291" s="36"/>
      <c r="DN291" s="36"/>
    </row>
    <row r="292" spans="85:118">
      <c r="CG292" s="95"/>
      <c r="CH292" s="95"/>
      <c r="CI292" s="95"/>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row>
    <row r="293" spans="85:118">
      <c r="CG293" s="95"/>
      <c r="CH293" s="95"/>
      <c r="CI293" s="95"/>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row>
    <row r="294" spans="85:118">
      <c r="CG294" s="95"/>
      <c r="CH294" s="95"/>
      <c r="CI294" s="95"/>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c r="DL294" s="36"/>
      <c r="DM294" s="36"/>
      <c r="DN294" s="36"/>
    </row>
    <row r="295" spans="85:118">
      <c r="CG295" s="95"/>
      <c r="CH295" s="95"/>
      <c r="CI295" s="95"/>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c r="DL295" s="36"/>
      <c r="DM295" s="36"/>
      <c r="DN295" s="36"/>
    </row>
    <row r="296" spans="85:118">
      <c r="CG296" s="95"/>
      <c r="CH296" s="95"/>
      <c r="CI296" s="95"/>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c r="DL296" s="36"/>
      <c r="DM296" s="36"/>
      <c r="DN296" s="36"/>
    </row>
    <row r="297" spans="85:118">
      <c r="CG297" s="95"/>
      <c r="CH297" s="95"/>
      <c r="CI297" s="95"/>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c r="DL297" s="36"/>
      <c r="DM297" s="36"/>
      <c r="DN297" s="36"/>
    </row>
    <row r="298" spans="85:118">
      <c r="CG298" s="95"/>
      <c r="CH298" s="95"/>
      <c r="CI298" s="95"/>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c r="DL298" s="36"/>
      <c r="DM298" s="36"/>
      <c r="DN298" s="36"/>
    </row>
    <row r="299" spans="85:118">
      <c r="CG299" s="95"/>
      <c r="CH299" s="95"/>
      <c r="CI299" s="95"/>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c r="DL299" s="36"/>
      <c r="DM299" s="36"/>
      <c r="DN299" s="36"/>
    </row>
    <row r="300" spans="85:118">
      <c r="CG300" s="95"/>
      <c r="CH300" s="95"/>
      <c r="CI300" s="95"/>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c r="DL300" s="36"/>
      <c r="DM300" s="36"/>
      <c r="DN300" s="36"/>
    </row>
    <row r="301" spans="85:118">
      <c r="CG301" s="95"/>
      <c r="CH301" s="95"/>
      <c r="CI301" s="95"/>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c r="DL301" s="36"/>
      <c r="DM301" s="36"/>
      <c r="DN301" s="36"/>
    </row>
    <row r="302" spans="85:118">
      <c r="CG302" s="95"/>
      <c r="CH302" s="95"/>
      <c r="CI302" s="95"/>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c r="DL302" s="36"/>
      <c r="DM302" s="36"/>
      <c r="DN302" s="36"/>
    </row>
    <row r="303" spans="85:118">
      <c r="CG303" s="95"/>
      <c r="CH303" s="95"/>
      <c r="CI303" s="95"/>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c r="DL303" s="36"/>
      <c r="DM303" s="36"/>
      <c r="DN303" s="36"/>
    </row>
    <row r="304" spans="85:118">
      <c r="CG304" s="95"/>
      <c r="CH304" s="95"/>
      <c r="CI304" s="95"/>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c r="DG304" s="36"/>
      <c r="DH304" s="36"/>
      <c r="DI304" s="36"/>
      <c r="DJ304" s="36"/>
      <c r="DK304" s="36"/>
      <c r="DL304" s="36"/>
      <c r="DM304" s="36"/>
      <c r="DN304" s="36"/>
    </row>
    <row r="305" spans="85:118">
      <c r="CG305" s="95"/>
      <c r="CH305" s="95"/>
      <c r="CI305" s="95"/>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c r="DG305" s="36"/>
      <c r="DH305" s="36"/>
      <c r="DI305" s="36"/>
      <c r="DJ305" s="36"/>
      <c r="DK305" s="36"/>
      <c r="DL305" s="36"/>
      <c r="DM305" s="36"/>
      <c r="DN305" s="36"/>
    </row>
    <row r="306" spans="85:118">
      <c r="CG306" s="95"/>
      <c r="CH306" s="95"/>
      <c r="CI306" s="95"/>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c r="DG306" s="36"/>
      <c r="DH306" s="36"/>
      <c r="DI306" s="36"/>
      <c r="DJ306" s="36"/>
      <c r="DK306" s="36"/>
      <c r="DL306" s="36"/>
      <c r="DM306" s="36"/>
      <c r="DN306" s="36"/>
    </row>
    <row r="307" spans="85:118">
      <c r="CG307" s="95"/>
      <c r="CH307" s="95"/>
      <c r="CI307" s="95"/>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c r="DG307" s="36"/>
      <c r="DH307" s="36"/>
      <c r="DI307" s="36"/>
      <c r="DJ307" s="36"/>
      <c r="DK307" s="36"/>
      <c r="DL307" s="36"/>
      <c r="DM307" s="36"/>
      <c r="DN307" s="36"/>
    </row>
    <row r="308" spans="85:118">
      <c r="CG308" s="95"/>
      <c r="CH308" s="95"/>
      <c r="CI308" s="95"/>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c r="DG308" s="36"/>
      <c r="DH308" s="36"/>
      <c r="DI308" s="36"/>
      <c r="DJ308" s="36"/>
      <c r="DK308" s="36"/>
      <c r="DL308" s="36"/>
      <c r="DM308" s="36"/>
      <c r="DN308" s="36"/>
    </row>
    <row r="309" spans="85:118">
      <c r="CG309" s="95"/>
      <c r="CH309" s="95"/>
      <c r="CI309" s="95"/>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c r="DL309" s="36"/>
      <c r="DM309" s="36"/>
      <c r="DN309" s="36"/>
    </row>
    <row r="310" spans="85:118">
      <c r="CG310" s="95"/>
      <c r="CH310" s="95"/>
      <c r="CI310" s="95"/>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c r="DL310" s="36"/>
      <c r="DM310" s="36"/>
      <c r="DN310" s="36"/>
    </row>
    <row r="311" spans="85:118">
      <c r="CG311" s="95"/>
      <c r="CH311" s="95"/>
      <c r="CI311" s="95"/>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c r="DG311" s="36"/>
      <c r="DH311" s="36"/>
      <c r="DI311" s="36"/>
      <c r="DJ311" s="36"/>
      <c r="DK311" s="36"/>
      <c r="DL311" s="36"/>
      <c r="DM311" s="36"/>
      <c r="DN311" s="36"/>
    </row>
    <row r="312" spans="85:118">
      <c r="CG312" s="95"/>
      <c r="CH312" s="95"/>
      <c r="CI312" s="95"/>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c r="DG312" s="36"/>
      <c r="DH312" s="36"/>
      <c r="DI312" s="36"/>
      <c r="DJ312" s="36"/>
      <c r="DK312" s="36"/>
      <c r="DL312" s="36"/>
      <c r="DM312" s="36"/>
      <c r="DN312" s="36"/>
    </row>
    <row r="313" spans="85:118">
      <c r="CG313" s="95"/>
      <c r="CH313" s="95"/>
      <c r="CI313" s="95"/>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c r="DG313" s="36"/>
      <c r="DH313" s="36"/>
      <c r="DI313" s="36"/>
      <c r="DJ313" s="36"/>
      <c r="DK313" s="36"/>
      <c r="DL313" s="36"/>
      <c r="DM313" s="36"/>
      <c r="DN313" s="36"/>
    </row>
    <row r="314" spans="85:118">
      <c r="CG314" s="95"/>
      <c r="CH314" s="95"/>
      <c r="CI314" s="95"/>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c r="DL314" s="36"/>
      <c r="DM314" s="36"/>
      <c r="DN314" s="36"/>
    </row>
    <row r="315" spans="85:118">
      <c r="CG315" s="95"/>
      <c r="CH315" s="95"/>
      <c r="CI315" s="95"/>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c r="DG315" s="36"/>
      <c r="DH315" s="36"/>
      <c r="DI315" s="36"/>
      <c r="DJ315" s="36"/>
      <c r="DK315" s="36"/>
      <c r="DL315" s="36"/>
      <c r="DM315" s="36"/>
      <c r="DN315" s="36"/>
    </row>
    <row r="316" spans="85:118">
      <c r="CG316" s="95"/>
      <c r="CH316" s="95"/>
      <c r="CI316" s="95"/>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c r="DG316" s="36"/>
      <c r="DH316" s="36"/>
      <c r="DI316" s="36"/>
      <c r="DJ316" s="36"/>
      <c r="DK316" s="36"/>
      <c r="DL316" s="36"/>
      <c r="DM316" s="36"/>
      <c r="DN316" s="36"/>
    </row>
    <row r="317" spans="85:118">
      <c r="CG317" s="95"/>
      <c r="CH317" s="95"/>
      <c r="CI317" s="95"/>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c r="DG317" s="36"/>
      <c r="DH317" s="36"/>
      <c r="DI317" s="36"/>
      <c r="DJ317" s="36"/>
      <c r="DK317" s="36"/>
      <c r="DL317" s="36"/>
      <c r="DM317" s="36"/>
      <c r="DN317" s="36"/>
    </row>
    <row r="318" spans="85:118">
      <c r="CG318" s="95"/>
      <c r="CH318" s="95"/>
      <c r="CI318" s="95"/>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c r="DG318" s="36"/>
      <c r="DH318" s="36"/>
      <c r="DI318" s="36"/>
      <c r="DJ318" s="36"/>
      <c r="DK318" s="36"/>
      <c r="DL318" s="36"/>
      <c r="DM318" s="36"/>
      <c r="DN318" s="36"/>
    </row>
    <row r="319" spans="85:118">
      <c r="CG319" s="95"/>
      <c r="CH319" s="95"/>
      <c r="CI319" s="95"/>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c r="DG319" s="36"/>
      <c r="DH319" s="36"/>
      <c r="DI319" s="36"/>
      <c r="DJ319" s="36"/>
      <c r="DK319" s="36"/>
      <c r="DL319" s="36"/>
      <c r="DM319" s="36"/>
      <c r="DN319" s="36"/>
    </row>
    <row r="320" spans="85:118">
      <c r="CG320" s="95"/>
      <c r="CH320" s="95"/>
      <c r="CI320" s="95"/>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c r="DG320" s="36"/>
      <c r="DH320" s="36"/>
      <c r="DI320" s="36"/>
      <c r="DJ320" s="36"/>
      <c r="DK320" s="36"/>
      <c r="DL320" s="36"/>
      <c r="DM320" s="36"/>
      <c r="DN320" s="36"/>
    </row>
    <row r="321" spans="85:118">
      <c r="CG321" s="95"/>
      <c r="CH321" s="95"/>
      <c r="CI321" s="95"/>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c r="DG321" s="36"/>
      <c r="DH321" s="36"/>
      <c r="DI321" s="36"/>
      <c r="DJ321" s="36"/>
      <c r="DK321" s="36"/>
      <c r="DL321" s="36"/>
      <c r="DM321" s="36"/>
      <c r="DN321" s="36"/>
    </row>
    <row r="322" spans="85:118">
      <c r="CG322" s="95"/>
      <c r="CH322" s="95"/>
      <c r="CI322" s="95"/>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c r="DG322" s="36"/>
      <c r="DH322" s="36"/>
      <c r="DI322" s="36"/>
      <c r="DJ322" s="36"/>
      <c r="DK322" s="36"/>
      <c r="DL322" s="36"/>
      <c r="DM322" s="36"/>
      <c r="DN322" s="36"/>
    </row>
    <row r="323" spans="85:118">
      <c r="CG323" s="95"/>
      <c r="CH323" s="95"/>
      <c r="CI323" s="95"/>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c r="DG323" s="36"/>
      <c r="DH323" s="36"/>
      <c r="DI323" s="36"/>
      <c r="DJ323" s="36"/>
      <c r="DK323" s="36"/>
      <c r="DL323" s="36"/>
      <c r="DM323" s="36"/>
      <c r="DN323" s="36"/>
    </row>
    <row r="324" spans="85:118">
      <c r="CG324" s="95"/>
      <c r="CH324" s="95"/>
      <c r="CI324" s="95"/>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c r="DG324" s="36"/>
      <c r="DH324" s="36"/>
      <c r="DI324" s="36"/>
      <c r="DJ324" s="36"/>
      <c r="DK324" s="36"/>
      <c r="DL324" s="36"/>
      <c r="DM324" s="36"/>
      <c r="DN324" s="36"/>
    </row>
    <row r="325" spans="85:118">
      <c r="CG325" s="95"/>
      <c r="CH325" s="95"/>
      <c r="CI325" s="95"/>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c r="DG325" s="36"/>
      <c r="DH325" s="36"/>
      <c r="DI325" s="36"/>
      <c r="DJ325" s="36"/>
      <c r="DK325" s="36"/>
      <c r="DL325" s="36"/>
      <c r="DM325" s="36"/>
      <c r="DN325" s="36"/>
    </row>
    <row r="326" spans="85:118">
      <c r="CG326" s="95"/>
      <c r="CH326" s="95"/>
      <c r="CI326" s="95"/>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c r="DG326" s="36"/>
      <c r="DH326" s="36"/>
      <c r="DI326" s="36"/>
      <c r="DJ326" s="36"/>
      <c r="DK326" s="36"/>
      <c r="DL326" s="36"/>
      <c r="DM326" s="36"/>
      <c r="DN326" s="36"/>
    </row>
    <row r="327" spans="85:118">
      <c r="CG327" s="95"/>
      <c r="CH327" s="95"/>
      <c r="CI327" s="95"/>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c r="DL327" s="36"/>
      <c r="DM327" s="36"/>
      <c r="DN327" s="36"/>
    </row>
    <row r="328" spans="85:118">
      <c r="CG328" s="95"/>
      <c r="CH328" s="95"/>
      <c r="CI328" s="95"/>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c r="DL328" s="36"/>
      <c r="DM328" s="36"/>
      <c r="DN328" s="36"/>
    </row>
    <row r="329" spans="85:118">
      <c r="CG329" s="95"/>
      <c r="CH329" s="95"/>
      <c r="CI329" s="95"/>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c r="DG329" s="36"/>
      <c r="DH329" s="36"/>
      <c r="DI329" s="36"/>
      <c r="DJ329" s="36"/>
      <c r="DK329" s="36"/>
      <c r="DL329" s="36"/>
      <c r="DM329" s="36"/>
      <c r="DN329" s="36"/>
    </row>
    <row r="330" spans="85:118">
      <c r="CG330" s="95"/>
      <c r="CH330" s="95"/>
      <c r="CI330" s="95"/>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c r="DI330" s="36"/>
      <c r="DJ330" s="36"/>
      <c r="DK330" s="36"/>
      <c r="DL330" s="36"/>
      <c r="DM330" s="36"/>
      <c r="DN330" s="36"/>
    </row>
    <row r="331" spans="85:118">
      <c r="CG331" s="95"/>
      <c r="CH331" s="95"/>
      <c r="CI331" s="95"/>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c r="DG331" s="36"/>
      <c r="DH331" s="36"/>
      <c r="DI331" s="36"/>
      <c r="DJ331" s="36"/>
      <c r="DK331" s="36"/>
      <c r="DL331" s="36"/>
      <c r="DM331" s="36"/>
      <c r="DN331" s="36"/>
    </row>
    <row r="332" spans="85:118">
      <c r="CG332" s="95"/>
      <c r="CH332" s="95"/>
      <c r="CI332" s="95"/>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c r="DG332" s="36"/>
      <c r="DH332" s="36"/>
      <c r="DI332" s="36"/>
      <c r="DJ332" s="36"/>
      <c r="DK332" s="36"/>
      <c r="DL332" s="36"/>
      <c r="DM332" s="36"/>
      <c r="DN332" s="36"/>
    </row>
    <row r="333" spans="85:118">
      <c r="CG333" s="95"/>
      <c r="CH333" s="95"/>
      <c r="CI333" s="95"/>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c r="DG333" s="36"/>
      <c r="DH333" s="36"/>
      <c r="DI333" s="36"/>
      <c r="DJ333" s="36"/>
      <c r="DK333" s="36"/>
      <c r="DL333" s="36"/>
      <c r="DM333" s="36"/>
      <c r="DN333" s="36"/>
    </row>
    <row r="334" spans="85:118">
      <c r="CG334" s="95"/>
      <c r="CH334" s="95"/>
      <c r="CI334" s="95"/>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row>
    <row r="335" spans="85:118">
      <c r="CG335" s="95"/>
      <c r="CH335" s="95"/>
      <c r="CI335" s="95"/>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row>
    <row r="336" spans="85:118">
      <c r="CG336" s="95"/>
      <c r="CH336" s="95"/>
      <c r="CI336" s="95"/>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c r="DG336" s="36"/>
      <c r="DH336" s="36"/>
      <c r="DI336" s="36"/>
      <c r="DJ336" s="36"/>
      <c r="DK336" s="36"/>
      <c r="DL336" s="36"/>
      <c r="DM336" s="36"/>
      <c r="DN336" s="36"/>
    </row>
    <row r="337" spans="85:118">
      <c r="CG337" s="95"/>
      <c r="CH337" s="95"/>
      <c r="CI337" s="95"/>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c r="DG337" s="36"/>
      <c r="DH337" s="36"/>
      <c r="DI337" s="36"/>
      <c r="DJ337" s="36"/>
      <c r="DK337" s="36"/>
      <c r="DL337" s="36"/>
      <c r="DM337" s="36"/>
      <c r="DN337" s="36"/>
    </row>
    <row r="338" spans="85:118">
      <c r="CG338" s="95"/>
      <c r="CH338" s="95"/>
      <c r="CI338" s="95"/>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c r="DG338" s="36"/>
      <c r="DH338" s="36"/>
      <c r="DI338" s="36"/>
      <c r="DJ338" s="36"/>
      <c r="DK338" s="36"/>
      <c r="DL338" s="36"/>
      <c r="DM338" s="36"/>
      <c r="DN338" s="36"/>
    </row>
    <row r="339" spans="85:118">
      <c r="CG339" s="95"/>
      <c r="CH339" s="95"/>
      <c r="CI339" s="95"/>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c r="DG339" s="36"/>
      <c r="DH339" s="36"/>
      <c r="DI339" s="36"/>
      <c r="DJ339" s="36"/>
      <c r="DK339" s="36"/>
      <c r="DL339" s="36"/>
      <c r="DM339" s="36"/>
      <c r="DN339" s="36"/>
    </row>
    <row r="340" spans="85:118">
      <c r="CG340" s="95"/>
      <c r="CH340" s="95"/>
      <c r="CI340" s="95"/>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row>
    <row r="341" spans="85:118">
      <c r="CG341" s="95"/>
      <c r="CH341" s="95"/>
      <c r="CI341" s="95"/>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c r="DL341" s="36"/>
      <c r="DM341" s="36"/>
      <c r="DN341" s="36"/>
    </row>
    <row r="342" spans="85:118">
      <c r="CG342" s="95"/>
      <c r="CH342" s="95"/>
      <c r="CI342" s="95"/>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c r="DL342" s="36"/>
      <c r="DM342" s="36"/>
      <c r="DN342" s="36"/>
    </row>
    <row r="343" spans="85:118">
      <c r="CG343" s="95"/>
      <c r="CH343" s="95"/>
      <c r="CI343" s="95"/>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row>
    <row r="344" spans="85:118">
      <c r="CG344" s="95"/>
      <c r="CH344" s="95"/>
      <c r="CI344" s="95"/>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36"/>
      <c r="DL344" s="36"/>
      <c r="DM344" s="36"/>
      <c r="DN344" s="36"/>
    </row>
    <row r="345" spans="85:118">
      <c r="CG345" s="95"/>
      <c r="CH345" s="95"/>
      <c r="CI345" s="95"/>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36"/>
      <c r="DL345" s="36"/>
      <c r="DM345" s="36"/>
      <c r="DN345" s="36"/>
    </row>
    <row r="346" spans="85:118">
      <c r="CG346" s="95"/>
      <c r="CH346" s="95"/>
      <c r="CI346" s="95"/>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row>
    <row r="347" spans="85:118">
      <c r="CG347" s="95"/>
      <c r="CH347" s="95"/>
      <c r="CI347" s="95"/>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c r="DG347" s="36"/>
      <c r="DH347" s="36"/>
      <c r="DI347" s="36"/>
      <c r="DJ347" s="36"/>
      <c r="DK347" s="36"/>
      <c r="DL347" s="36"/>
      <c r="DM347" s="36"/>
      <c r="DN347" s="36"/>
    </row>
    <row r="348" spans="85:118">
      <c r="CG348" s="95"/>
      <c r="CH348" s="95"/>
      <c r="CI348" s="95"/>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c r="DG348" s="36"/>
      <c r="DH348" s="36"/>
      <c r="DI348" s="36"/>
      <c r="DJ348" s="36"/>
      <c r="DK348" s="36"/>
      <c r="DL348" s="36"/>
      <c r="DM348" s="36"/>
      <c r="DN348" s="36"/>
    </row>
    <row r="349" spans="85:118">
      <c r="CG349" s="95"/>
      <c r="CH349" s="95"/>
      <c r="CI349" s="95"/>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c r="DG349" s="36"/>
      <c r="DH349" s="36"/>
      <c r="DI349" s="36"/>
      <c r="DJ349" s="36"/>
      <c r="DK349" s="36"/>
      <c r="DL349" s="36"/>
      <c r="DM349" s="36"/>
      <c r="DN349" s="36"/>
    </row>
    <row r="350" spans="85:118">
      <c r="CG350" s="95"/>
      <c r="CH350" s="95"/>
      <c r="CI350" s="95"/>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c r="DG350" s="36"/>
      <c r="DH350" s="36"/>
      <c r="DI350" s="36"/>
      <c r="DJ350" s="36"/>
      <c r="DK350" s="36"/>
      <c r="DL350" s="36"/>
      <c r="DM350" s="36"/>
      <c r="DN350" s="36"/>
    </row>
    <row r="351" spans="85:118">
      <c r="CG351" s="95"/>
      <c r="CH351" s="95"/>
      <c r="CI351" s="95"/>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c r="DG351" s="36"/>
      <c r="DH351" s="36"/>
      <c r="DI351" s="36"/>
      <c r="DJ351" s="36"/>
      <c r="DK351" s="36"/>
      <c r="DL351" s="36"/>
      <c r="DM351" s="36"/>
      <c r="DN351" s="36"/>
    </row>
    <row r="352" spans="85:118">
      <c r="CG352" s="95"/>
      <c r="CH352" s="95"/>
      <c r="CI352" s="95"/>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c r="DI352" s="36"/>
      <c r="DJ352" s="36"/>
      <c r="DK352" s="36"/>
      <c r="DL352" s="36"/>
      <c r="DM352" s="36"/>
      <c r="DN352" s="36"/>
    </row>
    <row r="353" spans="85:118">
      <c r="CG353" s="95"/>
      <c r="CH353" s="95"/>
      <c r="CI353" s="95"/>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6"/>
      <c r="DJ353" s="36"/>
      <c r="DK353" s="36"/>
      <c r="DL353" s="36"/>
      <c r="DM353" s="36"/>
      <c r="DN353" s="36"/>
    </row>
    <row r="354" spans="85:118">
      <c r="CG354" s="95"/>
      <c r="CH354" s="95"/>
      <c r="CI354" s="95"/>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c r="DG354" s="36"/>
      <c r="DH354" s="36"/>
      <c r="DI354" s="36"/>
      <c r="DJ354" s="36"/>
      <c r="DK354" s="36"/>
      <c r="DL354" s="36"/>
      <c r="DM354" s="36"/>
      <c r="DN354" s="36"/>
    </row>
    <row r="355" spans="85:118">
      <c r="CG355" s="95"/>
      <c r="CH355" s="95"/>
      <c r="CI355" s="95"/>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c r="DG355" s="36"/>
      <c r="DH355" s="36"/>
      <c r="DI355" s="36"/>
      <c r="DJ355" s="36"/>
      <c r="DK355" s="36"/>
      <c r="DL355" s="36"/>
      <c r="DM355" s="36"/>
      <c r="DN355" s="36"/>
    </row>
    <row r="356" spans="85:118">
      <c r="CG356" s="95"/>
      <c r="CH356" s="95"/>
      <c r="CI356" s="95"/>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c r="DG356" s="36"/>
      <c r="DH356" s="36"/>
      <c r="DI356" s="36"/>
      <c r="DJ356" s="36"/>
      <c r="DK356" s="36"/>
      <c r="DL356" s="36"/>
      <c r="DM356" s="36"/>
      <c r="DN356" s="36"/>
    </row>
    <row r="357" spans="85:118">
      <c r="CG357" s="95"/>
      <c r="CH357" s="95"/>
      <c r="CI357" s="95"/>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c r="DG357" s="36"/>
      <c r="DH357" s="36"/>
      <c r="DI357" s="36"/>
      <c r="DJ357" s="36"/>
      <c r="DK357" s="36"/>
      <c r="DL357" s="36"/>
      <c r="DM357" s="36"/>
      <c r="DN357" s="36"/>
    </row>
    <row r="358" spans="85:118">
      <c r="CG358" s="95"/>
      <c r="CH358" s="95"/>
      <c r="CI358" s="95"/>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c r="DG358" s="36"/>
      <c r="DH358" s="36"/>
      <c r="DI358" s="36"/>
      <c r="DJ358" s="36"/>
      <c r="DK358" s="36"/>
      <c r="DL358" s="36"/>
      <c r="DM358" s="36"/>
      <c r="DN358" s="36"/>
    </row>
    <row r="359" spans="85:118">
      <c r="CG359" s="95"/>
      <c r="CH359" s="95"/>
      <c r="CI359" s="95"/>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c r="DG359" s="36"/>
      <c r="DH359" s="36"/>
      <c r="DI359" s="36"/>
      <c r="DJ359" s="36"/>
      <c r="DK359" s="36"/>
      <c r="DL359" s="36"/>
      <c r="DM359" s="36"/>
      <c r="DN359" s="36"/>
    </row>
    <row r="360" spans="85:118">
      <c r="CG360" s="95"/>
      <c r="CH360" s="95"/>
      <c r="CI360" s="95"/>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c r="DG360" s="36"/>
      <c r="DH360" s="36"/>
      <c r="DI360" s="36"/>
      <c r="DJ360" s="36"/>
      <c r="DK360" s="36"/>
      <c r="DL360" s="36"/>
      <c r="DM360" s="36"/>
      <c r="DN360" s="36"/>
    </row>
    <row r="361" spans="85:118">
      <c r="CG361" s="95"/>
      <c r="CH361" s="95"/>
      <c r="CI361" s="95"/>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c r="DG361" s="36"/>
      <c r="DH361" s="36"/>
      <c r="DI361" s="36"/>
      <c r="DJ361" s="36"/>
      <c r="DK361" s="36"/>
      <c r="DL361" s="36"/>
      <c r="DM361" s="36"/>
      <c r="DN361" s="36"/>
    </row>
    <row r="362" spans="85:118">
      <c r="CG362" s="95"/>
      <c r="CH362" s="95"/>
      <c r="CI362" s="95"/>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c r="DL362" s="36"/>
      <c r="DM362" s="36"/>
      <c r="DN362" s="36"/>
    </row>
    <row r="363" spans="85:118">
      <c r="CG363" s="95"/>
      <c r="CH363" s="95"/>
      <c r="CI363" s="95"/>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c r="DL363" s="36"/>
      <c r="DM363" s="36"/>
      <c r="DN363" s="36"/>
    </row>
    <row r="364" spans="85:118">
      <c r="CG364" s="95"/>
      <c r="CH364" s="95"/>
      <c r="CI364" s="95"/>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c r="DG364" s="36"/>
      <c r="DH364" s="36"/>
      <c r="DI364" s="36"/>
      <c r="DJ364" s="36"/>
      <c r="DK364" s="36"/>
      <c r="DL364" s="36"/>
      <c r="DM364" s="36"/>
      <c r="DN364" s="36"/>
    </row>
    <row r="365" spans="85:118">
      <c r="CG365" s="95"/>
      <c r="CH365" s="95"/>
      <c r="CI365" s="95"/>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c r="DG365" s="36"/>
      <c r="DH365" s="36"/>
      <c r="DI365" s="36"/>
      <c r="DJ365" s="36"/>
      <c r="DK365" s="36"/>
      <c r="DL365" s="36"/>
      <c r="DM365" s="36"/>
      <c r="DN365" s="36"/>
    </row>
    <row r="366" spans="85:118">
      <c r="CG366" s="95"/>
      <c r="CH366" s="95"/>
      <c r="CI366" s="95"/>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c r="DG366" s="36"/>
      <c r="DH366" s="36"/>
      <c r="DI366" s="36"/>
      <c r="DJ366" s="36"/>
      <c r="DK366" s="36"/>
      <c r="DL366" s="36"/>
      <c r="DM366" s="36"/>
      <c r="DN366" s="36"/>
    </row>
    <row r="367" spans="85:118">
      <c r="CG367" s="95"/>
      <c r="CH367" s="95"/>
      <c r="CI367" s="95"/>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c r="DG367" s="36"/>
      <c r="DH367" s="36"/>
      <c r="DI367" s="36"/>
      <c r="DJ367" s="36"/>
      <c r="DK367" s="36"/>
      <c r="DL367" s="36"/>
      <c r="DM367" s="36"/>
      <c r="DN367" s="36"/>
    </row>
    <row r="368" spans="85:118">
      <c r="CG368" s="95"/>
      <c r="CH368" s="95"/>
      <c r="CI368" s="95"/>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c r="DG368" s="36"/>
      <c r="DH368" s="36"/>
      <c r="DI368" s="36"/>
      <c r="DJ368" s="36"/>
      <c r="DK368" s="36"/>
      <c r="DL368" s="36"/>
      <c r="DM368" s="36"/>
      <c r="DN368" s="36"/>
    </row>
    <row r="369" spans="85:118">
      <c r="CG369" s="95"/>
      <c r="CH369" s="95"/>
      <c r="CI369" s="95"/>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c r="DG369" s="36"/>
      <c r="DH369" s="36"/>
      <c r="DI369" s="36"/>
      <c r="DJ369" s="36"/>
      <c r="DK369" s="36"/>
      <c r="DL369" s="36"/>
      <c r="DM369" s="36"/>
      <c r="DN369" s="36"/>
    </row>
    <row r="370" spans="85:118">
      <c r="CG370" s="95"/>
      <c r="CH370" s="95"/>
      <c r="CI370" s="95"/>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c r="DL370" s="36"/>
      <c r="DM370" s="36"/>
      <c r="DN370" s="36"/>
    </row>
    <row r="371" spans="85:118">
      <c r="CG371" s="95"/>
      <c r="CH371" s="95"/>
      <c r="CI371" s="95"/>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c r="DL371" s="36"/>
      <c r="DM371" s="36"/>
      <c r="DN371" s="36"/>
    </row>
    <row r="372" spans="85:118">
      <c r="CG372" s="95"/>
      <c r="CH372" s="95"/>
      <c r="CI372" s="95"/>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c r="DG372" s="36"/>
      <c r="DH372" s="36"/>
      <c r="DI372" s="36"/>
      <c r="DJ372" s="36"/>
      <c r="DK372" s="36"/>
      <c r="DL372" s="36"/>
      <c r="DM372" s="36"/>
      <c r="DN372" s="36"/>
    </row>
    <row r="373" spans="85:118">
      <c r="CG373" s="95"/>
      <c r="CH373" s="95"/>
      <c r="CI373" s="95"/>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c r="DL373" s="36"/>
      <c r="DM373" s="36"/>
      <c r="DN373" s="36"/>
    </row>
    <row r="374" spans="85:118">
      <c r="CG374" s="95"/>
      <c r="CH374" s="95"/>
      <c r="CI374" s="95"/>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c r="DL374" s="36"/>
      <c r="DM374" s="36"/>
      <c r="DN374" s="36"/>
    </row>
    <row r="375" spans="85:118">
      <c r="CG375" s="95"/>
      <c r="CH375" s="95"/>
      <c r="CI375" s="95"/>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c r="DL375" s="36"/>
      <c r="DM375" s="36"/>
      <c r="DN375" s="36"/>
    </row>
    <row r="376" spans="85:118">
      <c r="CG376" s="95"/>
      <c r="CH376" s="95"/>
      <c r="CI376" s="95"/>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c r="DG376" s="36"/>
      <c r="DH376" s="36"/>
      <c r="DI376" s="36"/>
      <c r="DJ376" s="36"/>
      <c r="DK376" s="36"/>
      <c r="DL376" s="36"/>
      <c r="DM376" s="36"/>
      <c r="DN376" s="36"/>
    </row>
    <row r="377" spans="85:118">
      <c r="CG377" s="95"/>
      <c r="CH377" s="95"/>
      <c r="CI377" s="95"/>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c r="DG377" s="36"/>
      <c r="DH377" s="36"/>
      <c r="DI377" s="36"/>
      <c r="DJ377" s="36"/>
      <c r="DK377" s="36"/>
      <c r="DL377" s="36"/>
      <c r="DM377" s="36"/>
      <c r="DN377" s="36"/>
    </row>
    <row r="378" spans="85:118">
      <c r="CG378" s="95"/>
      <c r="CH378" s="95"/>
      <c r="CI378" s="95"/>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c r="DI378" s="36"/>
      <c r="DJ378" s="36"/>
      <c r="DK378" s="36"/>
      <c r="DL378" s="36"/>
      <c r="DM378" s="36"/>
      <c r="DN378" s="36"/>
    </row>
    <row r="379" spans="85:118">
      <c r="CG379" s="95"/>
      <c r="CH379" s="95"/>
      <c r="CI379" s="95"/>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c r="DL379" s="36"/>
      <c r="DM379" s="36"/>
      <c r="DN379" s="36"/>
    </row>
    <row r="380" spans="85:118">
      <c r="CG380" s="95"/>
      <c r="CH380" s="95"/>
      <c r="CI380" s="95"/>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c r="DG380" s="36"/>
      <c r="DH380" s="36"/>
      <c r="DI380" s="36"/>
      <c r="DJ380" s="36"/>
      <c r="DK380" s="36"/>
      <c r="DL380" s="36"/>
      <c r="DM380" s="36"/>
      <c r="DN380" s="36"/>
    </row>
    <row r="381" spans="85:118">
      <c r="CG381" s="95"/>
      <c r="CH381" s="95"/>
      <c r="CI381" s="95"/>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c r="DG381" s="36"/>
      <c r="DH381" s="36"/>
      <c r="DI381" s="36"/>
      <c r="DJ381" s="36"/>
      <c r="DK381" s="36"/>
      <c r="DL381" s="36"/>
      <c r="DM381" s="36"/>
      <c r="DN381" s="36"/>
    </row>
    <row r="382" spans="85:118">
      <c r="CG382" s="95"/>
      <c r="CH382" s="95"/>
      <c r="CI382" s="95"/>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c r="DG382" s="36"/>
      <c r="DH382" s="36"/>
      <c r="DI382" s="36"/>
      <c r="DJ382" s="36"/>
      <c r="DK382" s="36"/>
      <c r="DL382" s="36"/>
      <c r="DM382" s="36"/>
      <c r="DN382" s="36"/>
    </row>
    <row r="383" spans="85:118">
      <c r="CG383" s="95"/>
      <c r="CH383" s="95"/>
      <c r="CI383" s="95"/>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c r="DL383" s="36"/>
      <c r="DM383" s="36"/>
      <c r="DN383" s="36"/>
    </row>
    <row r="384" spans="85:118">
      <c r="CG384" s="95"/>
      <c r="CH384" s="95"/>
      <c r="CI384" s="95"/>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c r="DG384" s="36"/>
      <c r="DH384" s="36"/>
      <c r="DI384" s="36"/>
      <c r="DJ384" s="36"/>
      <c r="DK384" s="36"/>
      <c r="DL384" s="36"/>
      <c r="DM384" s="36"/>
      <c r="DN384" s="36"/>
    </row>
    <row r="385" spans="85:118">
      <c r="CG385" s="95"/>
      <c r="CH385" s="95"/>
      <c r="CI385" s="95"/>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c r="DL385" s="36"/>
      <c r="DM385" s="36"/>
      <c r="DN385" s="36"/>
    </row>
    <row r="386" spans="85:118">
      <c r="CG386" s="95"/>
      <c r="CH386" s="95"/>
      <c r="CI386" s="95"/>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c r="DL386" s="36"/>
      <c r="DM386" s="36"/>
      <c r="DN386" s="36"/>
    </row>
    <row r="387" spans="85:118">
      <c r="CG387" s="95"/>
      <c r="CH387" s="95"/>
      <c r="CI387" s="95"/>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c r="DI387" s="36"/>
      <c r="DJ387" s="36"/>
      <c r="DK387" s="36"/>
      <c r="DL387" s="36"/>
      <c r="DM387" s="36"/>
      <c r="DN387" s="36"/>
    </row>
    <row r="388" spans="85:118">
      <c r="CG388" s="95"/>
      <c r="CH388" s="95"/>
      <c r="CI388" s="95"/>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c r="DG388" s="36"/>
      <c r="DH388" s="36"/>
      <c r="DI388" s="36"/>
      <c r="DJ388" s="36"/>
      <c r="DK388" s="36"/>
      <c r="DL388" s="36"/>
      <c r="DM388" s="36"/>
      <c r="DN388" s="36"/>
    </row>
    <row r="389" spans="85:118">
      <c r="CG389" s="95"/>
      <c r="CH389" s="95"/>
      <c r="CI389" s="95"/>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c r="DG389" s="36"/>
      <c r="DH389" s="36"/>
      <c r="DI389" s="36"/>
      <c r="DJ389" s="36"/>
      <c r="DK389" s="36"/>
      <c r="DL389" s="36"/>
      <c r="DM389" s="36"/>
      <c r="DN389" s="36"/>
    </row>
    <row r="390" spans="85:118">
      <c r="CG390" s="95"/>
      <c r="CH390" s="95"/>
      <c r="CI390" s="95"/>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c r="DG390" s="36"/>
      <c r="DH390" s="36"/>
      <c r="DI390" s="36"/>
      <c r="DJ390" s="36"/>
      <c r="DK390" s="36"/>
      <c r="DL390" s="36"/>
      <c r="DM390" s="36"/>
      <c r="DN390" s="36"/>
    </row>
    <row r="391" spans="85:118">
      <c r="CG391" s="95"/>
      <c r="CH391" s="95"/>
      <c r="CI391" s="95"/>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c r="DG391" s="36"/>
      <c r="DH391" s="36"/>
      <c r="DI391" s="36"/>
      <c r="DJ391" s="36"/>
      <c r="DK391" s="36"/>
      <c r="DL391" s="36"/>
      <c r="DM391" s="36"/>
      <c r="DN391" s="36"/>
    </row>
    <row r="392" spans="85:118">
      <c r="CG392" s="95"/>
      <c r="CH392" s="95"/>
      <c r="CI392" s="95"/>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c r="DG392" s="36"/>
      <c r="DH392" s="36"/>
      <c r="DI392" s="36"/>
      <c r="DJ392" s="36"/>
      <c r="DK392" s="36"/>
      <c r="DL392" s="36"/>
      <c r="DM392" s="36"/>
      <c r="DN392" s="36"/>
    </row>
    <row r="393" spans="85:118">
      <c r="CG393" s="95"/>
      <c r="CH393" s="95"/>
      <c r="CI393" s="95"/>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c r="DG393" s="36"/>
      <c r="DH393" s="36"/>
      <c r="DI393" s="36"/>
      <c r="DJ393" s="36"/>
      <c r="DK393" s="36"/>
      <c r="DL393" s="36"/>
      <c r="DM393" s="36"/>
      <c r="DN393" s="36"/>
    </row>
    <row r="394" spans="85:118">
      <c r="CG394" s="95"/>
      <c r="CH394" s="95"/>
      <c r="CI394" s="95"/>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c r="DG394" s="36"/>
      <c r="DH394" s="36"/>
      <c r="DI394" s="36"/>
      <c r="DJ394" s="36"/>
      <c r="DK394" s="36"/>
      <c r="DL394" s="36"/>
      <c r="DM394" s="36"/>
      <c r="DN394" s="36"/>
    </row>
    <row r="395" spans="85:118">
      <c r="CG395" s="95"/>
      <c r="CH395" s="95"/>
      <c r="CI395" s="95"/>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c r="DG395" s="36"/>
      <c r="DH395" s="36"/>
      <c r="DI395" s="36"/>
      <c r="DJ395" s="36"/>
      <c r="DK395" s="36"/>
      <c r="DL395" s="36"/>
      <c r="DM395" s="36"/>
      <c r="DN395" s="36"/>
    </row>
    <row r="396" spans="85:118">
      <c r="CG396" s="95"/>
      <c r="CH396" s="95"/>
      <c r="CI396" s="95"/>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c r="DI396" s="36"/>
      <c r="DJ396" s="36"/>
      <c r="DK396" s="36"/>
      <c r="DL396" s="36"/>
      <c r="DM396" s="36"/>
      <c r="DN396" s="36"/>
    </row>
    <row r="397" spans="85:118">
      <c r="CG397" s="95"/>
      <c r="CH397" s="95"/>
      <c r="CI397" s="95"/>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c r="DL397" s="36"/>
      <c r="DM397" s="36"/>
      <c r="DN397" s="36"/>
    </row>
    <row r="398" spans="85:118">
      <c r="CG398" s="95"/>
      <c r="CH398" s="95"/>
      <c r="CI398" s="95"/>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c r="DL398" s="36"/>
      <c r="DM398" s="36"/>
      <c r="DN398" s="36"/>
    </row>
    <row r="399" spans="85:118">
      <c r="CG399" s="95"/>
      <c r="CH399" s="95"/>
      <c r="CI399" s="95"/>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c r="DG399" s="36"/>
      <c r="DH399" s="36"/>
      <c r="DI399" s="36"/>
      <c r="DJ399" s="36"/>
      <c r="DK399" s="36"/>
      <c r="DL399" s="36"/>
      <c r="DM399" s="36"/>
      <c r="DN399" s="36"/>
    </row>
    <row r="400" spans="85:118">
      <c r="CG400" s="95"/>
      <c r="CH400" s="95"/>
      <c r="CI400" s="95"/>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row>
    <row r="401" spans="85:118">
      <c r="CG401" s="95"/>
      <c r="CH401" s="95"/>
      <c r="CI401" s="95"/>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c r="DG401" s="36"/>
      <c r="DH401" s="36"/>
      <c r="DI401" s="36"/>
      <c r="DJ401" s="36"/>
      <c r="DK401" s="36"/>
      <c r="DL401" s="36"/>
      <c r="DM401" s="36"/>
      <c r="DN401" s="36"/>
    </row>
    <row r="402" spans="85:118">
      <c r="CG402" s="95"/>
      <c r="CH402" s="95"/>
      <c r="CI402" s="95"/>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row>
    <row r="403" spans="85:118">
      <c r="CG403" s="95"/>
      <c r="CH403" s="95"/>
      <c r="CI403" s="95"/>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c r="DG403" s="36"/>
      <c r="DH403" s="36"/>
      <c r="DI403" s="36"/>
      <c r="DJ403" s="36"/>
      <c r="DK403" s="36"/>
      <c r="DL403" s="36"/>
      <c r="DM403" s="36"/>
      <c r="DN403" s="36"/>
    </row>
    <row r="404" spans="85:118">
      <c r="CG404" s="95"/>
      <c r="CH404" s="95"/>
      <c r="CI404" s="95"/>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36"/>
      <c r="DI404" s="36"/>
      <c r="DJ404" s="36"/>
      <c r="DK404" s="36"/>
      <c r="DL404" s="36"/>
      <c r="DM404" s="36"/>
      <c r="DN404" s="36"/>
    </row>
    <row r="405" spans="85:118">
      <c r="CG405" s="95"/>
      <c r="CH405" s="95"/>
      <c r="CI405" s="95"/>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row>
    <row r="406" spans="85:118">
      <c r="CG406" s="95"/>
      <c r="CH406" s="95"/>
      <c r="CI406" s="95"/>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row>
    <row r="407" spans="85:118">
      <c r="CG407" s="95"/>
      <c r="CH407" s="95"/>
      <c r="CI407" s="95"/>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c r="DL407" s="36"/>
      <c r="DM407" s="36"/>
      <c r="DN407" s="36"/>
    </row>
    <row r="408" spans="85:118">
      <c r="CG408" s="95"/>
      <c r="CH408" s="95"/>
      <c r="CI408" s="95"/>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36"/>
      <c r="DL408" s="36"/>
      <c r="DM408" s="36"/>
      <c r="DN408" s="36"/>
    </row>
    <row r="409" spans="85:118">
      <c r="CG409" s="95"/>
      <c r="CH409" s="95"/>
      <c r="CI409" s="95"/>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row>
    <row r="410" spans="85:118">
      <c r="CG410" s="95"/>
      <c r="CH410" s="95"/>
      <c r="CI410" s="95"/>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36"/>
      <c r="DL410" s="36"/>
      <c r="DM410" s="36"/>
      <c r="DN410" s="36"/>
    </row>
    <row r="411" spans="85:118">
      <c r="CG411" s="95"/>
      <c r="CH411" s="95"/>
      <c r="CI411" s="95"/>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36"/>
      <c r="DL411" s="36"/>
      <c r="DM411" s="36"/>
      <c r="DN411" s="36"/>
    </row>
    <row r="412" spans="85:118">
      <c r="CG412" s="95"/>
      <c r="CH412" s="95"/>
      <c r="CI412" s="95"/>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row>
    <row r="413" spans="85:118">
      <c r="CG413" s="95"/>
      <c r="CH413" s="95"/>
      <c r="CI413" s="95"/>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c r="DG413" s="36"/>
      <c r="DH413" s="36"/>
      <c r="DI413" s="36"/>
      <c r="DJ413" s="36"/>
      <c r="DK413" s="36"/>
      <c r="DL413" s="36"/>
      <c r="DM413" s="36"/>
      <c r="DN413" s="36"/>
    </row>
    <row r="414" spans="85:118">
      <c r="CG414" s="95"/>
      <c r="CH414" s="95"/>
      <c r="CI414" s="95"/>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c r="DG414" s="36"/>
      <c r="DH414" s="36"/>
      <c r="DI414" s="36"/>
      <c r="DJ414" s="36"/>
      <c r="DK414" s="36"/>
      <c r="DL414" s="36"/>
      <c r="DM414" s="36"/>
      <c r="DN414" s="36"/>
    </row>
    <row r="415" spans="85:118">
      <c r="CG415" s="95"/>
      <c r="CH415" s="95"/>
      <c r="CI415" s="95"/>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c r="DG415" s="36"/>
      <c r="DH415" s="36"/>
      <c r="DI415" s="36"/>
      <c r="DJ415" s="36"/>
      <c r="DK415" s="36"/>
      <c r="DL415" s="36"/>
      <c r="DM415" s="36"/>
      <c r="DN415" s="36"/>
    </row>
    <row r="416" spans="85:118">
      <c r="CG416" s="95"/>
      <c r="CH416" s="95"/>
      <c r="CI416" s="95"/>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c r="DG416" s="36"/>
      <c r="DH416" s="36"/>
      <c r="DI416" s="36"/>
      <c r="DJ416" s="36"/>
      <c r="DK416" s="36"/>
      <c r="DL416" s="36"/>
      <c r="DM416" s="36"/>
      <c r="DN416" s="36"/>
    </row>
    <row r="417" spans="85:118">
      <c r="CG417" s="95"/>
      <c r="CH417" s="95"/>
      <c r="CI417" s="95"/>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c r="DG417" s="36"/>
      <c r="DH417" s="36"/>
      <c r="DI417" s="36"/>
      <c r="DJ417" s="36"/>
      <c r="DK417" s="36"/>
      <c r="DL417" s="36"/>
      <c r="DM417" s="36"/>
      <c r="DN417" s="36"/>
    </row>
    <row r="418" spans="85:118">
      <c r="CG418" s="95"/>
      <c r="CH418" s="95"/>
      <c r="CI418" s="95"/>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c r="DG418" s="36"/>
      <c r="DH418" s="36"/>
      <c r="DI418" s="36"/>
      <c r="DJ418" s="36"/>
      <c r="DK418" s="36"/>
      <c r="DL418" s="36"/>
      <c r="DM418" s="36"/>
      <c r="DN418" s="36"/>
    </row>
    <row r="419" spans="85:118">
      <c r="CG419" s="95"/>
      <c r="CH419" s="95"/>
      <c r="CI419" s="95"/>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c r="DL419" s="36"/>
      <c r="DM419" s="36"/>
      <c r="DN419" s="36"/>
    </row>
    <row r="420" spans="85:118">
      <c r="CG420" s="95"/>
      <c r="CH420" s="95"/>
      <c r="CI420" s="95"/>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6"/>
      <c r="DJ420" s="36"/>
      <c r="DK420" s="36"/>
      <c r="DL420" s="36"/>
      <c r="DM420" s="36"/>
      <c r="DN420" s="36"/>
    </row>
    <row r="421" spans="85:118">
      <c r="CG421" s="95"/>
      <c r="CH421" s="95"/>
      <c r="CI421" s="95"/>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c r="DG421" s="36"/>
      <c r="DH421" s="36"/>
      <c r="DI421" s="36"/>
      <c r="DJ421" s="36"/>
      <c r="DK421" s="36"/>
      <c r="DL421" s="36"/>
      <c r="DM421" s="36"/>
      <c r="DN421" s="36"/>
    </row>
    <row r="422" spans="85:118">
      <c r="CG422" s="95"/>
      <c r="CH422" s="95"/>
      <c r="CI422" s="95"/>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c r="DG422" s="36"/>
      <c r="DH422" s="36"/>
      <c r="DI422" s="36"/>
      <c r="DJ422" s="36"/>
      <c r="DK422" s="36"/>
      <c r="DL422" s="36"/>
      <c r="DM422" s="36"/>
      <c r="DN422" s="36"/>
    </row>
    <row r="423" spans="85:118">
      <c r="CG423" s="95"/>
      <c r="CH423" s="95"/>
      <c r="CI423" s="95"/>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c r="DG423" s="36"/>
      <c r="DH423" s="36"/>
      <c r="DI423" s="36"/>
      <c r="DJ423" s="36"/>
      <c r="DK423" s="36"/>
      <c r="DL423" s="36"/>
      <c r="DM423" s="36"/>
      <c r="DN423" s="36"/>
    </row>
    <row r="424" spans="85:118">
      <c r="CG424" s="95"/>
      <c r="CH424" s="95"/>
      <c r="CI424" s="95"/>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c r="DG424" s="36"/>
      <c r="DH424" s="36"/>
      <c r="DI424" s="36"/>
      <c r="DJ424" s="36"/>
      <c r="DK424" s="36"/>
      <c r="DL424" s="36"/>
      <c r="DM424" s="36"/>
      <c r="DN424" s="36"/>
    </row>
    <row r="425" spans="85:118">
      <c r="CG425" s="95"/>
      <c r="CH425" s="95"/>
      <c r="CI425" s="95"/>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c r="DG425" s="36"/>
      <c r="DH425" s="36"/>
      <c r="DI425" s="36"/>
      <c r="DJ425" s="36"/>
      <c r="DK425" s="36"/>
      <c r="DL425" s="36"/>
      <c r="DM425" s="36"/>
      <c r="DN425" s="36"/>
    </row>
    <row r="426" spans="85:118">
      <c r="CG426" s="95"/>
      <c r="CH426" s="95"/>
      <c r="CI426" s="95"/>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c r="DG426" s="36"/>
      <c r="DH426" s="36"/>
      <c r="DI426" s="36"/>
      <c r="DJ426" s="36"/>
      <c r="DK426" s="36"/>
      <c r="DL426" s="36"/>
      <c r="DM426" s="36"/>
      <c r="DN426" s="36"/>
    </row>
    <row r="427" spans="85:118">
      <c r="CG427" s="95"/>
      <c r="CH427" s="95"/>
      <c r="CI427" s="95"/>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c r="DG427" s="36"/>
      <c r="DH427" s="36"/>
      <c r="DI427" s="36"/>
      <c r="DJ427" s="36"/>
      <c r="DK427" s="36"/>
      <c r="DL427" s="36"/>
      <c r="DM427" s="36"/>
      <c r="DN427" s="36"/>
    </row>
    <row r="428" spans="85:118">
      <c r="CG428" s="95"/>
      <c r="CH428" s="95"/>
      <c r="CI428" s="95"/>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c r="DG428" s="36"/>
      <c r="DH428" s="36"/>
      <c r="DI428" s="36"/>
      <c r="DJ428" s="36"/>
      <c r="DK428" s="36"/>
      <c r="DL428" s="36"/>
      <c r="DM428" s="36"/>
      <c r="DN428" s="36"/>
    </row>
    <row r="429" spans="85:118">
      <c r="CG429" s="95"/>
      <c r="CH429" s="95"/>
      <c r="CI429" s="95"/>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c r="DG429" s="36"/>
      <c r="DH429" s="36"/>
      <c r="DI429" s="36"/>
      <c r="DJ429" s="36"/>
      <c r="DK429" s="36"/>
      <c r="DL429" s="36"/>
      <c r="DM429" s="36"/>
      <c r="DN429" s="36"/>
    </row>
    <row r="430" spans="85:118">
      <c r="CG430" s="95"/>
      <c r="CH430" s="95"/>
      <c r="CI430" s="95"/>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c r="DG430" s="36"/>
      <c r="DH430" s="36"/>
      <c r="DI430" s="36"/>
      <c r="DJ430" s="36"/>
      <c r="DK430" s="36"/>
      <c r="DL430" s="36"/>
      <c r="DM430" s="36"/>
      <c r="DN430" s="36"/>
    </row>
    <row r="431" spans="85:118">
      <c r="CG431" s="95"/>
      <c r="CH431" s="95"/>
      <c r="CI431" s="95"/>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c r="DG431" s="36"/>
      <c r="DH431" s="36"/>
      <c r="DI431" s="36"/>
      <c r="DJ431" s="36"/>
      <c r="DK431" s="36"/>
      <c r="DL431" s="36"/>
      <c r="DM431" s="36"/>
      <c r="DN431" s="36"/>
    </row>
    <row r="432" spans="85:118">
      <c r="CG432" s="95"/>
      <c r="CH432" s="95"/>
      <c r="CI432" s="95"/>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c r="DG432" s="36"/>
      <c r="DH432" s="36"/>
      <c r="DI432" s="36"/>
      <c r="DJ432" s="36"/>
      <c r="DK432" s="36"/>
      <c r="DL432" s="36"/>
      <c r="DM432" s="36"/>
      <c r="DN432" s="36"/>
    </row>
    <row r="433" spans="85:118">
      <c r="CG433" s="95"/>
      <c r="CH433" s="95"/>
      <c r="CI433" s="95"/>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c r="DL433" s="36"/>
      <c r="DM433" s="36"/>
      <c r="DN433" s="36"/>
    </row>
    <row r="434" spans="85:118">
      <c r="CG434" s="95"/>
      <c r="CH434" s="95"/>
      <c r="CI434" s="95"/>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c r="DL434" s="36"/>
      <c r="DM434" s="36"/>
      <c r="DN434" s="36"/>
    </row>
    <row r="435" spans="85:118">
      <c r="CG435" s="95"/>
      <c r="CH435" s="95"/>
      <c r="CI435" s="95"/>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c r="DG435" s="36"/>
      <c r="DH435" s="36"/>
      <c r="DI435" s="36"/>
      <c r="DJ435" s="36"/>
      <c r="DK435" s="36"/>
      <c r="DL435" s="36"/>
      <c r="DM435" s="36"/>
      <c r="DN435" s="36"/>
    </row>
    <row r="436" spans="85:118">
      <c r="CG436" s="95"/>
      <c r="CH436" s="95"/>
      <c r="CI436" s="95"/>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c r="DG436" s="36"/>
      <c r="DH436" s="36"/>
      <c r="DI436" s="36"/>
      <c r="DJ436" s="36"/>
      <c r="DK436" s="36"/>
      <c r="DL436" s="36"/>
      <c r="DM436" s="36"/>
      <c r="DN436" s="36"/>
    </row>
    <row r="437" spans="85:118">
      <c r="CG437" s="95"/>
      <c r="CH437" s="95"/>
      <c r="CI437" s="95"/>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c r="DG437" s="36"/>
      <c r="DH437" s="36"/>
      <c r="DI437" s="36"/>
      <c r="DJ437" s="36"/>
      <c r="DK437" s="36"/>
      <c r="DL437" s="36"/>
      <c r="DM437" s="36"/>
      <c r="DN437" s="36"/>
    </row>
    <row r="438" spans="85:118">
      <c r="CG438" s="95"/>
      <c r="CH438" s="95"/>
      <c r="CI438" s="95"/>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c r="DG438" s="36"/>
      <c r="DH438" s="36"/>
      <c r="DI438" s="36"/>
      <c r="DJ438" s="36"/>
      <c r="DK438" s="36"/>
      <c r="DL438" s="36"/>
      <c r="DM438" s="36"/>
      <c r="DN438" s="36"/>
    </row>
    <row r="439" spans="85:118">
      <c r="CG439" s="95"/>
      <c r="CH439" s="95"/>
      <c r="CI439" s="95"/>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c r="DG439" s="36"/>
      <c r="DH439" s="36"/>
      <c r="DI439" s="36"/>
      <c r="DJ439" s="36"/>
      <c r="DK439" s="36"/>
      <c r="DL439" s="36"/>
      <c r="DM439" s="36"/>
      <c r="DN439" s="36"/>
    </row>
    <row r="440" spans="85:118">
      <c r="CG440" s="95"/>
      <c r="CH440" s="95"/>
      <c r="CI440" s="95"/>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c r="DG440" s="36"/>
      <c r="DH440" s="36"/>
      <c r="DI440" s="36"/>
      <c r="DJ440" s="36"/>
      <c r="DK440" s="36"/>
      <c r="DL440" s="36"/>
      <c r="DM440" s="36"/>
      <c r="DN440" s="36"/>
    </row>
    <row r="441" spans="85:118">
      <c r="CG441" s="95"/>
      <c r="CH441" s="95"/>
      <c r="CI441" s="95"/>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c r="DL441" s="36"/>
      <c r="DM441" s="36"/>
      <c r="DN441" s="36"/>
    </row>
    <row r="442" spans="85:118">
      <c r="CG442" s="95"/>
      <c r="CH442" s="95"/>
      <c r="CI442" s="95"/>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c r="DG442" s="36"/>
      <c r="DH442" s="36"/>
      <c r="DI442" s="36"/>
      <c r="DJ442" s="36"/>
      <c r="DK442" s="36"/>
      <c r="DL442" s="36"/>
      <c r="DM442" s="36"/>
      <c r="DN442" s="36"/>
    </row>
    <row r="443" spans="85:118">
      <c r="CG443" s="95"/>
      <c r="CH443" s="95"/>
      <c r="CI443" s="95"/>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c r="DG443" s="36"/>
      <c r="DH443" s="36"/>
      <c r="DI443" s="36"/>
      <c r="DJ443" s="36"/>
      <c r="DK443" s="36"/>
      <c r="DL443" s="36"/>
      <c r="DM443" s="36"/>
      <c r="DN443" s="36"/>
    </row>
    <row r="444" spans="85:118">
      <c r="CG444" s="95"/>
      <c r="CH444" s="95"/>
      <c r="CI444" s="95"/>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c r="DG444" s="36"/>
      <c r="DH444" s="36"/>
      <c r="DI444" s="36"/>
      <c r="DJ444" s="36"/>
      <c r="DK444" s="36"/>
      <c r="DL444" s="36"/>
      <c r="DM444" s="36"/>
      <c r="DN444" s="36"/>
    </row>
    <row r="445" spans="85:118">
      <c r="CG445" s="95"/>
      <c r="CH445" s="95"/>
      <c r="CI445" s="95"/>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c r="DG445" s="36"/>
      <c r="DH445" s="36"/>
      <c r="DI445" s="36"/>
      <c r="DJ445" s="36"/>
      <c r="DK445" s="36"/>
      <c r="DL445" s="36"/>
      <c r="DM445" s="36"/>
      <c r="DN445" s="36"/>
    </row>
    <row r="446" spans="85:118">
      <c r="CG446" s="95"/>
      <c r="CH446" s="95"/>
      <c r="CI446" s="95"/>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c r="DG446" s="36"/>
      <c r="DH446" s="36"/>
      <c r="DI446" s="36"/>
      <c r="DJ446" s="36"/>
      <c r="DK446" s="36"/>
      <c r="DL446" s="36"/>
      <c r="DM446" s="36"/>
      <c r="DN446" s="36"/>
    </row>
    <row r="447" spans="85:118">
      <c r="CG447" s="95"/>
      <c r="CH447" s="95"/>
      <c r="CI447" s="95"/>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c r="DG447" s="36"/>
      <c r="DH447" s="36"/>
      <c r="DI447" s="36"/>
      <c r="DJ447" s="36"/>
      <c r="DK447" s="36"/>
      <c r="DL447" s="36"/>
      <c r="DM447" s="36"/>
      <c r="DN447" s="36"/>
    </row>
    <row r="448" spans="85:118">
      <c r="CG448" s="95"/>
      <c r="CH448" s="95"/>
      <c r="CI448" s="95"/>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c r="DG448" s="36"/>
      <c r="DH448" s="36"/>
      <c r="DI448" s="36"/>
      <c r="DJ448" s="36"/>
      <c r="DK448" s="36"/>
      <c r="DL448" s="36"/>
      <c r="DM448" s="36"/>
      <c r="DN448" s="36"/>
    </row>
    <row r="449" spans="85:118">
      <c r="CG449" s="95"/>
      <c r="CH449" s="95"/>
      <c r="CI449" s="95"/>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c r="DG449" s="36"/>
      <c r="DH449" s="36"/>
      <c r="DI449" s="36"/>
      <c r="DJ449" s="36"/>
      <c r="DK449" s="36"/>
      <c r="DL449" s="36"/>
      <c r="DM449" s="36"/>
      <c r="DN449" s="36"/>
    </row>
    <row r="450" spans="85:118">
      <c r="CG450" s="95"/>
      <c r="CH450" s="95"/>
      <c r="CI450" s="95"/>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c r="DG450" s="36"/>
      <c r="DH450" s="36"/>
      <c r="DI450" s="36"/>
      <c r="DJ450" s="36"/>
      <c r="DK450" s="36"/>
      <c r="DL450" s="36"/>
      <c r="DM450" s="36"/>
      <c r="DN450" s="36"/>
    </row>
    <row r="451" spans="85:118">
      <c r="CG451" s="95"/>
      <c r="CH451" s="95"/>
      <c r="CI451" s="95"/>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c r="DG451" s="36"/>
      <c r="DH451" s="36"/>
      <c r="DI451" s="36"/>
      <c r="DJ451" s="36"/>
      <c r="DK451" s="36"/>
      <c r="DL451" s="36"/>
      <c r="DM451" s="36"/>
      <c r="DN451" s="36"/>
    </row>
    <row r="452" spans="85:118">
      <c r="CG452" s="95"/>
      <c r="CH452" s="95"/>
      <c r="CI452" s="95"/>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c r="DG452" s="36"/>
      <c r="DH452" s="36"/>
      <c r="DI452" s="36"/>
      <c r="DJ452" s="36"/>
      <c r="DK452" s="36"/>
      <c r="DL452" s="36"/>
      <c r="DM452" s="36"/>
      <c r="DN452" s="36"/>
    </row>
    <row r="453" spans="85:118">
      <c r="CG453" s="95"/>
      <c r="CH453" s="95"/>
      <c r="CI453" s="95"/>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c r="DG453" s="36"/>
      <c r="DH453" s="36"/>
      <c r="DI453" s="36"/>
      <c r="DJ453" s="36"/>
      <c r="DK453" s="36"/>
      <c r="DL453" s="36"/>
      <c r="DM453" s="36"/>
      <c r="DN453" s="36"/>
    </row>
    <row r="454" spans="85:118">
      <c r="CG454" s="95"/>
      <c r="CH454" s="95"/>
      <c r="CI454" s="95"/>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c r="DL454" s="36"/>
      <c r="DM454" s="36"/>
      <c r="DN454" s="36"/>
    </row>
    <row r="455" spans="85:118">
      <c r="CG455" s="95"/>
      <c r="CH455" s="95"/>
      <c r="CI455" s="95"/>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c r="DG455" s="36"/>
      <c r="DH455" s="36"/>
      <c r="DI455" s="36"/>
      <c r="DJ455" s="36"/>
      <c r="DK455" s="36"/>
      <c r="DL455" s="36"/>
      <c r="DM455" s="36"/>
      <c r="DN455" s="36"/>
    </row>
    <row r="456" spans="85:118">
      <c r="CG456" s="95"/>
      <c r="CH456" s="95"/>
      <c r="CI456" s="95"/>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c r="DG456" s="36"/>
      <c r="DH456" s="36"/>
      <c r="DI456" s="36"/>
      <c r="DJ456" s="36"/>
      <c r="DK456" s="36"/>
      <c r="DL456" s="36"/>
      <c r="DM456" s="36"/>
      <c r="DN456" s="36"/>
    </row>
    <row r="457" spans="85:118">
      <c r="CG457" s="95"/>
      <c r="CH457" s="95"/>
      <c r="CI457" s="95"/>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c r="DG457" s="36"/>
      <c r="DH457" s="36"/>
      <c r="DI457" s="36"/>
      <c r="DJ457" s="36"/>
      <c r="DK457" s="36"/>
      <c r="DL457" s="36"/>
      <c r="DM457" s="36"/>
      <c r="DN457" s="36"/>
    </row>
    <row r="458" spans="85:118">
      <c r="CG458" s="95"/>
      <c r="CH458" s="95"/>
      <c r="CI458" s="95"/>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c r="DG458" s="36"/>
      <c r="DH458" s="36"/>
      <c r="DI458" s="36"/>
      <c r="DJ458" s="36"/>
      <c r="DK458" s="36"/>
      <c r="DL458" s="36"/>
      <c r="DM458" s="36"/>
      <c r="DN458" s="36"/>
    </row>
    <row r="459" spans="85:118">
      <c r="CG459" s="95"/>
      <c r="CH459" s="95"/>
      <c r="CI459" s="95"/>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c r="DG459" s="36"/>
      <c r="DH459" s="36"/>
      <c r="DI459" s="36"/>
      <c r="DJ459" s="36"/>
      <c r="DK459" s="36"/>
      <c r="DL459" s="36"/>
      <c r="DM459" s="36"/>
      <c r="DN459" s="36"/>
    </row>
    <row r="460" spans="85:118">
      <c r="CG460" s="95"/>
      <c r="CH460" s="95"/>
      <c r="CI460" s="95"/>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c r="DG460" s="36"/>
      <c r="DH460" s="36"/>
      <c r="DI460" s="36"/>
      <c r="DJ460" s="36"/>
      <c r="DK460" s="36"/>
      <c r="DL460" s="36"/>
      <c r="DM460" s="36"/>
      <c r="DN460" s="36"/>
    </row>
    <row r="461" spans="85:118">
      <c r="CG461" s="95"/>
      <c r="CH461" s="95"/>
      <c r="CI461" s="95"/>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c r="DG461" s="36"/>
      <c r="DH461" s="36"/>
      <c r="DI461" s="36"/>
      <c r="DJ461" s="36"/>
      <c r="DK461" s="36"/>
      <c r="DL461" s="36"/>
      <c r="DM461" s="36"/>
      <c r="DN461" s="36"/>
    </row>
    <row r="462" spans="85:118">
      <c r="CG462" s="95"/>
      <c r="CH462" s="95"/>
      <c r="CI462" s="95"/>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c r="DG462" s="36"/>
      <c r="DH462" s="36"/>
      <c r="DI462" s="36"/>
      <c r="DJ462" s="36"/>
      <c r="DK462" s="36"/>
      <c r="DL462" s="36"/>
      <c r="DM462" s="36"/>
      <c r="DN462" s="36"/>
    </row>
    <row r="463" spans="85:118">
      <c r="CG463" s="95"/>
      <c r="CH463" s="95"/>
      <c r="CI463" s="95"/>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c r="DG463" s="36"/>
      <c r="DH463" s="36"/>
      <c r="DI463" s="36"/>
      <c r="DJ463" s="36"/>
      <c r="DK463" s="36"/>
      <c r="DL463" s="36"/>
      <c r="DM463" s="36"/>
      <c r="DN463" s="36"/>
    </row>
    <row r="464" spans="85:118">
      <c r="CG464" s="95"/>
      <c r="CH464" s="95"/>
      <c r="CI464" s="95"/>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c r="DG464" s="36"/>
      <c r="DH464" s="36"/>
      <c r="DI464" s="36"/>
      <c r="DJ464" s="36"/>
      <c r="DK464" s="36"/>
      <c r="DL464" s="36"/>
      <c r="DM464" s="36"/>
      <c r="DN464" s="36"/>
    </row>
    <row r="465" spans="85:118">
      <c r="CG465" s="95"/>
      <c r="CH465" s="95"/>
      <c r="CI465" s="95"/>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c r="DG465" s="36"/>
      <c r="DH465" s="36"/>
      <c r="DI465" s="36"/>
      <c r="DJ465" s="36"/>
      <c r="DK465" s="36"/>
      <c r="DL465" s="36"/>
      <c r="DM465" s="36"/>
      <c r="DN465" s="36"/>
    </row>
    <row r="466" spans="85:118">
      <c r="CG466" s="95"/>
      <c r="CH466" s="95"/>
      <c r="CI466" s="95"/>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row>
    <row r="467" spans="85:118">
      <c r="CG467" s="95"/>
      <c r="CH467" s="95"/>
      <c r="CI467" s="95"/>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c r="DG467" s="36"/>
      <c r="DH467" s="36"/>
      <c r="DI467" s="36"/>
      <c r="DJ467" s="36"/>
      <c r="DK467" s="36"/>
      <c r="DL467" s="36"/>
      <c r="DM467" s="36"/>
      <c r="DN467" s="36"/>
    </row>
    <row r="468" spans="85:118">
      <c r="CG468" s="95"/>
      <c r="CH468" s="95"/>
      <c r="CI468" s="95"/>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row>
    <row r="469" spans="85:118">
      <c r="CG469" s="95"/>
      <c r="CH469" s="95"/>
      <c r="CI469" s="95"/>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row>
    <row r="470" spans="85:118">
      <c r="CG470" s="95"/>
      <c r="CH470" s="95"/>
      <c r="CI470" s="95"/>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row>
    <row r="471" spans="85:118">
      <c r="CG471" s="95"/>
      <c r="CH471" s="95"/>
      <c r="CI471" s="95"/>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row>
    <row r="472" spans="85:118">
      <c r="CG472" s="95"/>
      <c r="CH472" s="95"/>
      <c r="CI472" s="95"/>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row>
    <row r="473" spans="85:118">
      <c r="CG473" s="95"/>
      <c r="CH473" s="95"/>
      <c r="CI473" s="95"/>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row>
    <row r="474" spans="85:118">
      <c r="CG474" s="95"/>
      <c r="CH474" s="95"/>
      <c r="CI474" s="95"/>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row>
    <row r="475" spans="85:118">
      <c r="CG475" s="95"/>
      <c r="CH475" s="95"/>
      <c r="CI475" s="95"/>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row>
    <row r="476" spans="85:118">
      <c r="CG476" s="95"/>
      <c r="CH476" s="95"/>
      <c r="CI476" s="95"/>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row>
    <row r="477" spans="85:118">
      <c r="CG477" s="95"/>
      <c r="CH477" s="95"/>
      <c r="CI477" s="95"/>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row>
    <row r="478" spans="85:118">
      <c r="CG478" s="95"/>
      <c r="CH478" s="95"/>
      <c r="CI478" s="95"/>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row>
    <row r="479" spans="85:118">
      <c r="CG479" s="95"/>
      <c r="CH479" s="95"/>
      <c r="CI479" s="95"/>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c r="DG479" s="36"/>
      <c r="DH479" s="36"/>
      <c r="DI479" s="36"/>
      <c r="DJ479" s="36"/>
      <c r="DK479" s="36"/>
      <c r="DL479" s="36"/>
      <c r="DM479" s="36"/>
      <c r="DN479" s="36"/>
    </row>
    <row r="480" spans="85:118">
      <c r="CG480" s="95"/>
      <c r="CH480" s="95"/>
      <c r="CI480" s="95"/>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c r="DG480" s="36"/>
      <c r="DH480" s="36"/>
      <c r="DI480" s="36"/>
      <c r="DJ480" s="36"/>
      <c r="DK480" s="36"/>
      <c r="DL480" s="36"/>
      <c r="DM480" s="36"/>
      <c r="DN480" s="36"/>
    </row>
    <row r="481" spans="85:118">
      <c r="CG481" s="95"/>
      <c r="CH481" s="95"/>
      <c r="CI481" s="95"/>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c r="DG481" s="36"/>
      <c r="DH481" s="36"/>
      <c r="DI481" s="36"/>
      <c r="DJ481" s="36"/>
      <c r="DK481" s="36"/>
      <c r="DL481" s="36"/>
      <c r="DM481" s="36"/>
      <c r="DN481" s="36"/>
    </row>
    <row r="482" spans="85:118">
      <c r="CG482" s="95"/>
      <c r="CH482" s="95"/>
      <c r="CI482" s="95"/>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c r="DG482" s="36"/>
      <c r="DH482" s="36"/>
      <c r="DI482" s="36"/>
      <c r="DJ482" s="36"/>
      <c r="DK482" s="36"/>
      <c r="DL482" s="36"/>
      <c r="DM482" s="36"/>
      <c r="DN482" s="36"/>
    </row>
    <row r="483" spans="85:118">
      <c r="CG483" s="95"/>
      <c r="CH483" s="95"/>
      <c r="CI483" s="95"/>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c r="DL483" s="36"/>
      <c r="DM483" s="36"/>
      <c r="DN483" s="36"/>
    </row>
    <row r="484" spans="85:118">
      <c r="CG484" s="95"/>
      <c r="CH484" s="95"/>
      <c r="CI484" s="95"/>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c r="DL484" s="36"/>
      <c r="DM484" s="36"/>
      <c r="DN484" s="36"/>
    </row>
    <row r="485" spans="85:118">
      <c r="CG485" s="95"/>
      <c r="CH485" s="95"/>
      <c r="CI485" s="95"/>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c r="DL485" s="36"/>
      <c r="DM485" s="36"/>
      <c r="DN485" s="36"/>
    </row>
    <row r="486" spans="85:118">
      <c r="CG486" s="95"/>
      <c r="CH486" s="95"/>
      <c r="CI486" s="95"/>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row>
    <row r="487" spans="85:118">
      <c r="CG487" s="95"/>
      <c r="CH487" s="95"/>
      <c r="CI487" s="95"/>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6"/>
      <c r="DJ487" s="36"/>
      <c r="DK487" s="36"/>
      <c r="DL487" s="36"/>
      <c r="DM487" s="36"/>
      <c r="DN487" s="36"/>
    </row>
    <row r="488" spans="85:118">
      <c r="CG488" s="95"/>
      <c r="CH488" s="95"/>
      <c r="CI488" s="95"/>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c r="DG488" s="36"/>
      <c r="DH488" s="36"/>
      <c r="DI488" s="36"/>
      <c r="DJ488" s="36"/>
      <c r="DK488" s="36"/>
      <c r="DL488" s="36"/>
      <c r="DM488" s="36"/>
      <c r="DN488" s="36"/>
    </row>
    <row r="489" spans="85:118">
      <c r="CG489" s="95"/>
      <c r="CH489" s="95"/>
      <c r="CI489" s="95"/>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c r="DG489" s="36"/>
      <c r="DH489" s="36"/>
      <c r="DI489" s="36"/>
      <c r="DJ489" s="36"/>
      <c r="DK489" s="36"/>
      <c r="DL489" s="36"/>
      <c r="DM489" s="36"/>
      <c r="DN489" s="36"/>
    </row>
    <row r="490" spans="85:118">
      <c r="CG490" s="95"/>
      <c r="CH490" s="95"/>
      <c r="CI490" s="95"/>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c r="DG490" s="36"/>
      <c r="DH490" s="36"/>
      <c r="DI490" s="36"/>
      <c r="DJ490" s="36"/>
      <c r="DK490" s="36"/>
      <c r="DL490" s="36"/>
      <c r="DM490" s="36"/>
      <c r="DN490" s="36"/>
    </row>
    <row r="491" spans="85:118">
      <c r="CG491" s="95"/>
      <c r="CH491" s="95"/>
      <c r="CI491" s="95"/>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c r="DG491" s="36"/>
      <c r="DH491" s="36"/>
      <c r="DI491" s="36"/>
      <c r="DJ491" s="36"/>
      <c r="DK491" s="36"/>
      <c r="DL491" s="36"/>
      <c r="DM491" s="36"/>
      <c r="DN491" s="36"/>
    </row>
    <row r="492" spans="85:118">
      <c r="CG492" s="95"/>
      <c r="CH492" s="95"/>
      <c r="CI492" s="95"/>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row>
    <row r="493" spans="85:118">
      <c r="CG493" s="95"/>
      <c r="CH493" s="95"/>
      <c r="CI493" s="95"/>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c r="DG493" s="36"/>
      <c r="DH493" s="36"/>
      <c r="DI493" s="36"/>
      <c r="DJ493" s="36"/>
      <c r="DK493" s="36"/>
      <c r="DL493" s="36"/>
      <c r="DM493" s="36"/>
      <c r="DN493" s="36"/>
    </row>
    <row r="494" spans="85:118">
      <c r="CG494" s="95"/>
      <c r="CH494" s="95"/>
      <c r="CI494" s="95"/>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row>
    <row r="495" spans="85:118">
      <c r="CG495" s="95"/>
      <c r="CH495" s="95"/>
      <c r="CI495" s="95"/>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c r="DG495" s="36"/>
      <c r="DH495" s="36"/>
      <c r="DI495" s="36"/>
      <c r="DJ495" s="36"/>
      <c r="DK495" s="36"/>
      <c r="DL495" s="36"/>
      <c r="DM495" s="36"/>
      <c r="DN495" s="36"/>
    </row>
    <row r="496" spans="85:118">
      <c r="CG496" s="95"/>
      <c r="CH496" s="95"/>
      <c r="CI496" s="95"/>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c r="DL496" s="36"/>
      <c r="DM496" s="36"/>
      <c r="DN496" s="36"/>
    </row>
    <row r="497" spans="85:118">
      <c r="CG497" s="95"/>
      <c r="CH497" s="95"/>
      <c r="CI497" s="95"/>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c r="DG497" s="36"/>
      <c r="DH497" s="36"/>
      <c r="DI497" s="36"/>
      <c r="DJ497" s="36"/>
      <c r="DK497" s="36"/>
      <c r="DL497" s="36"/>
      <c r="DM497" s="36"/>
      <c r="DN497" s="36"/>
    </row>
    <row r="498" spans="85:118">
      <c r="CG498" s="95"/>
      <c r="CH498" s="95"/>
      <c r="CI498" s="95"/>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c r="DG498" s="36"/>
      <c r="DH498" s="36"/>
      <c r="DI498" s="36"/>
      <c r="DJ498" s="36"/>
      <c r="DK498" s="36"/>
      <c r="DL498" s="36"/>
      <c r="DM498" s="36"/>
      <c r="DN498" s="36"/>
    </row>
    <row r="499" spans="85:118">
      <c r="CG499" s="95"/>
      <c r="CH499" s="95"/>
      <c r="CI499" s="95"/>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c r="DL499" s="36"/>
      <c r="DM499" s="36"/>
      <c r="DN499" s="36"/>
    </row>
    <row r="500" spans="85:118">
      <c r="CG500" s="95"/>
      <c r="CH500" s="95"/>
      <c r="CI500" s="95"/>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row>
    <row r="501" spans="85:118">
      <c r="CG501" s="95"/>
      <c r="CH501" s="95"/>
      <c r="CI501" s="95"/>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row>
    <row r="502" spans="85:118">
      <c r="CG502" s="95"/>
      <c r="CH502" s="95"/>
      <c r="CI502" s="95"/>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row>
    <row r="503" spans="85:118">
      <c r="CG503" s="95"/>
      <c r="CH503" s="95"/>
      <c r="CI503" s="95"/>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row>
  </sheetData>
  <mergeCells count="12">
    <mergeCell ref="DK5:DN5"/>
    <mergeCell ref="CY64:DE64"/>
    <mergeCell ref="CY66:DE66"/>
    <mergeCell ref="CC5:CE5"/>
    <mergeCell ref="CK5:CN5"/>
    <mergeCell ref="CS5:CW5"/>
    <mergeCell ref="DB5:DE5"/>
    <mergeCell ref="F4:G4"/>
    <mergeCell ref="Y3:Z3"/>
    <mergeCell ref="N4:O4"/>
    <mergeCell ref="BO5:BQ5"/>
    <mergeCell ref="BV5:BX5"/>
  </mergeCells>
  <pageMargins left="0.7" right="0.7" top="0.75" bottom="0.75" header="0.3" footer="0.3"/>
  <pageSetup paperSize="9" orientation="portrait" r:id="rId1"/>
  <ignoredErrors>
    <ignoredError sqref="BJ12:BJ16 BJ27:BJ33 BJ41:BJ45 BB12:BB15 BB28:BB34 BB44:BB47 AT11:AT14 AT28:AT34 AD10 AD39 V10:V13 V26:V32 V41 V4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714"/>
  <sheetViews>
    <sheetView showGridLines="0" zoomScaleNormal="100" workbookViewId="0">
      <selection activeCell="H7" sqref="H7"/>
    </sheetView>
  </sheetViews>
  <sheetFormatPr baseColWidth="10" defaultRowHeight="14.4"/>
  <cols>
    <col min="1" max="1" width="15.6640625" style="4189" customWidth="1"/>
    <col min="2" max="2" width="17.33203125" style="4189" customWidth="1"/>
    <col min="3" max="3" width="13.88671875" style="4189" customWidth="1"/>
    <col min="4" max="4" width="15.33203125" style="4189" customWidth="1"/>
    <col min="5" max="5" width="12.109375" style="4189" customWidth="1"/>
    <col min="6" max="6" width="12.5546875" style="4189" customWidth="1"/>
    <col min="7" max="7" width="13.88671875" style="4189" customWidth="1"/>
    <col min="8" max="8" width="11.5546875" style="4189"/>
    <col min="9" max="9" width="11.6640625" style="36" customWidth="1"/>
    <col min="10" max="10" width="11.6640625" style="95" customWidth="1"/>
    <col min="11" max="11" width="30.33203125" style="36" customWidth="1"/>
    <col min="12" max="21" width="11.6640625" style="36" customWidth="1"/>
    <col min="258" max="258" width="35.33203125" customWidth="1"/>
    <col min="259" max="259" width="29.44140625" customWidth="1"/>
    <col min="260" max="260" width="12.6640625" customWidth="1"/>
    <col min="263" max="263" width="16.44140625" bestFit="1" customWidth="1"/>
    <col min="514" max="514" width="35.33203125" customWidth="1"/>
    <col min="515" max="515" width="29.44140625" customWidth="1"/>
    <col min="516" max="516" width="12.6640625" customWidth="1"/>
    <col min="519" max="519" width="16.44140625" bestFit="1" customWidth="1"/>
    <col min="770" max="770" width="35.33203125" customWidth="1"/>
    <col min="771" max="771" width="29.44140625" customWidth="1"/>
    <col min="772" max="772" width="12.6640625" customWidth="1"/>
    <col min="775" max="775" width="16.44140625" bestFit="1" customWidth="1"/>
    <col min="1026" max="1026" width="35.33203125" customWidth="1"/>
    <col min="1027" max="1027" width="29.44140625" customWidth="1"/>
    <col min="1028" max="1028" width="12.6640625" customWidth="1"/>
    <col min="1031" max="1031" width="16.44140625" bestFit="1" customWidth="1"/>
    <col min="1282" max="1282" width="35.33203125" customWidth="1"/>
    <col min="1283" max="1283" width="29.44140625" customWidth="1"/>
    <col min="1284" max="1284" width="12.6640625" customWidth="1"/>
    <col min="1287" max="1287" width="16.44140625" bestFit="1" customWidth="1"/>
    <col min="1538" max="1538" width="35.33203125" customWidth="1"/>
    <col min="1539" max="1539" width="29.44140625" customWidth="1"/>
    <col min="1540" max="1540" width="12.6640625" customWidth="1"/>
    <col min="1543" max="1543" width="16.44140625" bestFit="1" customWidth="1"/>
    <col min="1794" max="1794" width="35.33203125" customWidth="1"/>
    <col min="1795" max="1795" width="29.44140625" customWidth="1"/>
    <col min="1796" max="1796" width="12.6640625" customWidth="1"/>
    <col min="1799" max="1799" width="16.44140625" bestFit="1" customWidth="1"/>
    <col min="2050" max="2050" width="35.33203125" customWidth="1"/>
    <col min="2051" max="2051" width="29.44140625" customWidth="1"/>
    <col min="2052" max="2052" width="12.6640625" customWidth="1"/>
    <col min="2055" max="2055" width="16.44140625" bestFit="1" customWidth="1"/>
    <col min="2306" max="2306" width="35.33203125" customWidth="1"/>
    <col min="2307" max="2307" width="29.44140625" customWidth="1"/>
    <col min="2308" max="2308" width="12.6640625" customWidth="1"/>
    <col min="2311" max="2311" width="16.44140625" bestFit="1" customWidth="1"/>
    <col min="2562" max="2562" width="35.33203125" customWidth="1"/>
    <col min="2563" max="2563" width="29.44140625" customWidth="1"/>
    <col min="2564" max="2564" width="12.6640625" customWidth="1"/>
    <col min="2567" max="2567" width="16.44140625" bestFit="1" customWidth="1"/>
    <col min="2818" max="2818" width="35.33203125" customWidth="1"/>
    <col min="2819" max="2819" width="29.44140625" customWidth="1"/>
    <col min="2820" max="2820" width="12.6640625" customWidth="1"/>
    <col min="2823" max="2823" width="16.44140625" bestFit="1" customWidth="1"/>
    <col min="3074" max="3074" width="35.33203125" customWidth="1"/>
    <col min="3075" max="3075" width="29.44140625" customWidth="1"/>
    <col min="3076" max="3076" width="12.6640625" customWidth="1"/>
    <col min="3079" max="3079" width="16.44140625" bestFit="1" customWidth="1"/>
    <col min="3330" max="3330" width="35.33203125" customWidth="1"/>
    <col min="3331" max="3331" width="29.44140625" customWidth="1"/>
    <col min="3332" max="3332" width="12.6640625" customWidth="1"/>
    <col min="3335" max="3335" width="16.44140625" bestFit="1" customWidth="1"/>
    <col min="3586" max="3586" width="35.33203125" customWidth="1"/>
    <col min="3587" max="3587" width="29.44140625" customWidth="1"/>
    <col min="3588" max="3588" width="12.6640625" customWidth="1"/>
    <col min="3591" max="3591" width="16.44140625" bestFit="1" customWidth="1"/>
    <col min="3842" max="3842" width="35.33203125" customWidth="1"/>
    <col min="3843" max="3843" width="29.44140625" customWidth="1"/>
    <col min="3844" max="3844" width="12.6640625" customWidth="1"/>
    <col min="3847" max="3847" width="16.44140625" bestFit="1" customWidth="1"/>
    <col min="4098" max="4098" width="35.33203125" customWidth="1"/>
    <col min="4099" max="4099" width="29.44140625" customWidth="1"/>
    <col min="4100" max="4100" width="12.6640625" customWidth="1"/>
    <col min="4103" max="4103" width="16.44140625" bestFit="1" customWidth="1"/>
    <col min="4354" max="4354" width="35.33203125" customWidth="1"/>
    <col min="4355" max="4355" width="29.44140625" customWidth="1"/>
    <col min="4356" max="4356" width="12.6640625" customWidth="1"/>
    <col min="4359" max="4359" width="16.44140625" bestFit="1" customWidth="1"/>
    <col min="4610" max="4610" width="35.33203125" customWidth="1"/>
    <col min="4611" max="4611" width="29.44140625" customWidth="1"/>
    <col min="4612" max="4612" width="12.6640625" customWidth="1"/>
    <col min="4615" max="4615" width="16.44140625" bestFit="1" customWidth="1"/>
    <col min="4866" max="4866" width="35.33203125" customWidth="1"/>
    <col min="4867" max="4867" width="29.44140625" customWidth="1"/>
    <col min="4868" max="4868" width="12.6640625" customWidth="1"/>
    <col min="4871" max="4871" width="16.44140625" bestFit="1" customWidth="1"/>
    <col min="5122" max="5122" width="35.33203125" customWidth="1"/>
    <col min="5123" max="5123" width="29.44140625" customWidth="1"/>
    <col min="5124" max="5124" width="12.6640625" customWidth="1"/>
    <col min="5127" max="5127" width="16.44140625" bestFit="1" customWidth="1"/>
    <col min="5378" max="5378" width="35.33203125" customWidth="1"/>
    <col min="5379" max="5379" width="29.44140625" customWidth="1"/>
    <col min="5380" max="5380" width="12.6640625" customWidth="1"/>
    <col min="5383" max="5383" width="16.44140625" bestFit="1" customWidth="1"/>
    <col min="5634" max="5634" width="35.33203125" customWidth="1"/>
    <col min="5635" max="5635" width="29.44140625" customWidth="1"/>
    <col min="5636" max="5636" width="12.6640625" customWidth="1"/>
    <col min="5639" max="5639" width="16.44140625" bestFit="1" customWidth="1"/>
    <col min="5890" max="5890" width="35.33203125" customWidth="1"/>
    <col min="5891" max="5891" width="29.44140625" customWidth="1"/>
    <col min="5892" max="5892" width="12.6640625" customWidth="1"/>
    <col min="5895" max="5895" width="16.44140625" bestFit="1" customWidth="1"/>
    <col min="6146" max="6146" width="35.33203125" customWidth="1"/>
    <col min="6147" max="6147" width="29.44140625" customWidth="1"/>
    <col min="6148" max="6148" width="12.6640625" customWidth="1"/>
    <col min="6151" max="6151" width="16.44140625" bestFit="1" customWidth="1"/>
    <col min="6402" max="6402" width="35.33203125" customWidth="1"/>
    <col min="6403" max="6403" width="29.44140625" customWidth="1"/>
    <col min="6404" max="6404" width="12.6640625" customWidth="1"/>
    <col min="6407" max="6407" width="16.44140625" bestFit="1" customWidth="1"/>
    <col min="6658" max="6658" width="35.33203125" customWidth="1"/>
    <col min="6659" max="6659" width="29.44140625" customWidth="1"/>
    <col min="6660" max="6660" width="12.6640625" customWidth="1"/>
    <col min="6663" max="6663" width="16.44140625" bestFit="1" customWidth="1"/>
    <col min="6914" max="6914" width="35.33203125" customWidth="1"/>
    <col min="6915" max="6915" width="29.44140625" customWidth="1"/>
    <col min="6916" max="6916" width="12.6640625" customWidth="1"/>
    <col min="6919" max="6919" width="16.44140625" bestFit="1" customWidth="1"/>
    <col min="7170" max="7170" width="35.33203125" customWidth="1"/>
    <col min="7171" max="7171" width="29.44140625" customWidth="1"/>
    <col min="7172" max="7172" width="12.6640625" customWidth="1"/>
    <col min="7175" max="7175" width="16.44140625" bestFit="1" customWidth="1"/>
    <col min="7426" max="7426" width="35.33203125" customWidth="1"/>
    <col min="7427" max="7427" width="29.44140625" customWidth="1"/>
    <col min="7428" max="7428" width="12.6640625" customWidth="1"/>
    <col min="7431" max="7431" width="16.44140625" bestFit="1" customWidth="1"/>
    <col min="7682" max="7682" width="35.33203125" customWidth="1"/>
    <col min="7683" max="7683" width="29.44140625" customWidth="1"/>
    <col min="7684" max="7684" width="12.6640625" customWidth="1"/>
    <col min="7687" max="7687" width="16.44140625" bestFit="1" customWidth="1"/>
    <col min="7938" max="7938" width="35.33203125" customWidth="1"/>
    <col min="7939" max="7939" width="29.44140625" customWidth="1"/>
    <col min="7940" max="7940" width="12.6640625" customWidth="1"/>
    <col min="7943" max="7943" width="16.44140625" bestFit="1" customWidth="1"/>
    <col min="8194" max="8194" width="35.33203125" customWidth="1"/>
    <col min="8195" max="8195" width="29.44140625" customWidth="1"/>
    <col min="8196" max="8196" width="12.6640625" customWidth="1"/>
    <col min="8199" max="8199" width="16.44140625" bestFit="1" customWidth="1"/>
    <col min="8450" max="8450" width="35.33203125" customWidth="1"/>
    <col min="8451" max="8451" width="29.44140625" customWidth="1"/>
    <col min="8452" max="8452" width="12.6640625" customWidth="1"/>
    <col min="8455" max="8455" width="16.44140625" bestFit="1" customWidth="1"/>
    <col min="8706" max="8706" width="35.33203125" customWidth="1"/>
    <col min="8707" max="8707" width="29.44140625" customWidth="1"/>
    <col min="8708" max="8708" width="12.6640625" customWidth="1"/>
    <col min="8711" max="8711" width="16.44140625" bestFit="1" customWidth="1"/>
    <col min="8962" max="8962" width="35.33203125" customWidth="1"/>
    <col min="8963" max="8963" width="29.44140625" customWidth="1"/>
    <col min="8964" max="8964" width="12.6640625" customWidth="1"/>
    <col min="8967" max="8967" width="16.44140625" bestFit="1" customWidth="1"/>
    <col min="9218" max="9218" width="35.33203125" customWidth="1"/>
    <col min="9219" max="9219" width="29.44140625" customWidth="1"/>
    <col min="9220" max="9220" width="12.6640625" customWidth="1"/>
    <col min="9223" max="9223" width="16.44140625" bestFit="1" customWidth="1"/>
    <col min="9474" max="9474" width="35.33203125" customWidth="1"/>
    <col min="9475" max="9475" width="29.44140625" customWidth="1"/>
    <col min="9476" max="9476" width="12.6640625" customWidth="1"/>
    <col min="9479" max="9479" width="16.44140625" bestFit="1" customWidth="1"/>
    <col min="9730" max="9730" width="35.33203125" customWidth="1"/>
    <col min="9731" max="9731" width="29.44140625" customWidth="1"/>
    <col min="9732" max="9732" width="12.6640625" customWidth="1"/>
    <col min="9735" max="9735" width="16.44140625" bestFit="1" customWidth="1"/>
    <col min="9986" max="9986" width="35.33203125" customWidth="1"/>
    <col min="9987" max="9987" width="29.44140625" customWidth="1"/>
    <col min="9988" max="9988" width="12.6640625" customWidth="1"/>
    <col min="9991" max="9991" width="16.44140625" bestFit="1" customWidth="1"/>
    <col min="10242" max="10242" width="35.33203125" customWidth="1"/>
    <col min="10243" max="10243" width="29.44140625" customWidth="1"/>
    <col min="10244" max="10244" width="12.6640625" customWidth="1"/>
    <col min="10247" max="10247" width="16.44140625" bestFit="1" customWidth="1"/>
    <col min="10498" max="10498" width="35.33203125" customWidth="1"/>
    <col min="10499" max="10499" width="29.44140625" customWidth="1"/>
    <col min="10500" max="10500" width="12.6640625" customWidth="1"/>
    <col min="10503" max="10503" width="16.44140625" bestFit="1" customWidth="1"/>
    <col min="10754" max="10754" width="35.33203125" customWidth="1"/>
    <col min="10755" max="10755" width="29.44140625" customWidth="1"/>
    <col min="10756" max="10756" width="12.6640625" customWidth="1"/>
    <col min="10759" max="10759" width="16.44140625" bestFit="1" customWidth="1"/>
    <col min="11010" max="11010" width="35.33203125" customWidth="1"/>
    <col min="11011" max="11011" width="29.44140625" customWidth="1"/>
    <col min="11012" max="11012" width="12.6640625" customWidth="1"/>
    <col min="11015" max="11015" width="16.44140625" bestFit="1" customWidth="1"/>
    <col min="11266" max="11266" width="35.33203125" customWidth="1"/>
    <col min="11267" max="11267" width="29.44140625" customWidth="1"/>
    <col min="11268" max="11268" width="12.6640625" customWidth="1"/>
    <col min="11271" max="11271" width="16.44140625" bestFit="1" customWidth="1"/>
    <col min="11522" max="11522" width="35.33203125" customWidth="1"/>
    <col min="11523" max="11523" width="29.44140625" customWidth="1"/>
    <col min="11524" max="11524" width="12.6640625" customWidth="1"/>
    <col min="11527" max="11527" width="16.44140625" bestFit="1" customWidth="1"/>
    <col min="11778" max="11778" width="35.33203125" customWidth="1"/>
    <col min="11779" max="11779" width="29.44140625" customWidth="1"/>
    <col min="11780" max="11780" width="12.6640625" customWidth="1"/>
    <col min="11783" max="11783" width="16.44140625" bestFit="1" customWidth="1"/>
    <col min="12034" max="12034" width="35.33203125" customWidth="1"/>
    <col min="12035" max="12035" width="29.44140625" customWidth="1"/>
    <col min="12036" max="12036" width="12.6640625" customWidth="1"/>
    <col min="12039" max="12039" width="16.44140625" bestFit="1" customWidth="1"/>
    <col min="12290" max="12290" width="35.33203125" customWidth="1"/>
    <col min="12291" max="12291" width="29.44140625" customWidth="1"/>
    <col min="12292" max="12292" width="12.6640625" customWidth="1"/>
    <col min="12295" max="12295" width="16.44140625" bestFit="1" customWidth="1"/>
    <col min="12546" max="12546" width="35.33203125" customWidth="1"/>
    <col min="12547" max="12547" width="29.44140625" customWidth="1"/>
    <col min="12548" max="12548" width="12.6640625" customWidth="1"/>
    <col min="12551" max="12551" width="16.44140625" bestFit="1" customWidth="1"/>
    <col min="12802" max="12802" width="35.33203125" customWidth="1"/>
    <col min="12803" max="12803" width="29.44140625" customWidth="1"/>
    <col min="12804" max="12804" width="12.6640625" customWidth="1"/>
    <col min="12807" max="12807" width="16.44140625" bestFit="1" customWidth="1"/>
    <col min="13058" max="13058" width="35.33203125" customWidth="1"/>
    <col min="13059" max="13059" width="29.44140625" customWidth="1"/>
    <col min="13060" max="13060" width="12.6640625" customWidth="1"/>
    <col min="13063" max="13063" width="16.44140625" bestFit="1" customWidth="1"/>
    <col min="13314" max="13314" width="35.33203125" customWidth="1"/>
    <col min="13315" max="13315" width="29.44140625" customWidth="1"/>
    <col min="13316" max="13316" width="12.6640625" customWidth="1"/>
    <col min="13319" max="13319" width="16.44140625" bestFit="1" customWidth="1"/>
    <col min="13570" max="13570" width="35.33203125" customWidth="1"/>
    <col min="13571" max="13571" width="29.44140625" customWidth="1"/>
    <col min="13572" max="13572" width="12.6640625" customWidth="1"/>
    <col min="13575" max="13575" width="16.44140625" bestFit="1" customWidth="1"/>
    <col min="13826" max="13826" width="35.33203125" customWidth="1"/>
    <col min="13827" max="13827" width="29.44140625" customWidth="1"/>
    <col min="13828" max="13828" width="12.6640625" customWidth="1"/>
    <col min="13831" max="13831" width="16.44140625" bestFit="1" customWidth="1"/>
    <col min="14082" max="14082" width="35.33203125" customWidth="1"/>
    <col min="14083" max="14083" width="29.44140625" customWidth="1"/>
    <col min="14084" max="14084" width="12.6640625" customWidth="1"/>
    <col min="14087" max="14087" width="16.44140625" bestFit="1" customWidth="1"/>
    <col min="14338" max="14338" width="35.33203125" customWidth="1"/>
    <col min="14339" max="14339" width="29.44140625" customWidth="1"/>
    <col min="14340" max="14340" width="12.6640625" customWidth="1"/>
    <col min="14343" max="14343" width="16.44140625" bestFit="1" customWidth="1"/>
    <col min="14594" max="14594" width="35.33203125" customWidth="1"/>
    <col min="14595" max="14595" width="29.44140625" customWidth="1"/>
    <col min="14596" max="14596" width="12.6640625" customWidth="1"/>
    <col min="14599" max="14599" width="16.44140625" bestFit="1" customWidth="1"/>
    <col min="14850" max="14850" width="35.33203125" customWidth="1"/>
    <col min="14851" max="14851" width="29.44140625" customWidth="1"/>
    <col min="14852" max="14852" width="12.6640625" customWidth="1"/>
    <col min="14855" max="14855" width="16.44140625" bestFit="1" customWidth="1"/>
    <col min="15106" max="15106" width="35.33203125" customWidth="1"/>
    <col min="15107" max="15107" width="29.44140625" customWidth="1"/>
    <col min="15108" max="15108" width="12.6640625" customWidth="1"/>
    <col min="15111" max="15111" width="16.44140625" bestFit="1" customWidth="1"/>
    <col min="15362" max="15362" width="35.33203125" customWidth="1"/>
    <col min="15363" max="15363" width="29.44140625" customWidth="1"/>
    <col min="15364" max="15364" width="12.6640625" customWidth="1"/>
    <col min="15367" max="15367" width="16.44140625" bestFit="1" customWidth="1"/>
    <col min="15618" max="15618" width="35.33203125" customWidth="1"/>
    <col min="15619" max="15619" width="29.44140625" customWidth="1"/>
    <col min="15620" max="15620" width="12.6640625" customWidth="1"/>
    <col min="15623" max="15623" width="16.44140625" bestFit="1" customWidth="1"/>
    <col min="15874" max="15874" width="35.33203125" customWidth="1"/>
    <col min="15875" max="15875" width="29.44140625" customWidth="1"/>
    <col min="15876" max="15876" width="12.6640625" customWidth="1"/>
    <col min="15879" max="15879" width="16.44140625" bestFit="1" customWidth="1"/>
    <col min="16130" max="16130" width="35.33203125" customWidth="1"/>
    <col min="16131" max="16131" width="29.44140625" customWidth="1"/>
    <col min="16132" max="16132" width="12.6640625" customWidth="1"/>
    <col min="16135" max="16135" width="16.44140625" bestFit="1" customWidth="1"/>
  </cols>
  <sheetData>
    <row r="1" spans="1:33" s="3527" customFormat="1" ht="15.6">
      <c r="A1" s="4189"/>
      <c r="B1" s="4189"/>
      <c r="C1" s="4189"/>
      <c r="D1" s="4189"/>
      <c r="E1" s="4189"/>
      <c r="F1" s="4189"/>
      <c r="G1" s="6489" t="s">
        <v>903</v>
      </c>
      <c r="H1" s="4189"/>
      <c r="I1" s="5856"/>
      <c r="J1" s="95"/>
      <c r="K1" s="5856"/>
      <c r="L1" s="5856"/>
      <c r="M1" s="5856"/>
      <c r="N1" s="5856"/>
      <c r="O1" s="5856"/>
      <c r="P1" s="5856"/>
      <c r="Q1" s="5856"/>
      <c r="R1" s="5856"/>
      <c r="S1" s="5856"/>
      <c r="T1" s="5856"/>
      <c r="U1" s="5856"/>
      <c r="V1" s="5317"/>
      <c r="W1" s="5317"/>
      <c r="X1" s="5317"/>
      <c r="Y1" s="5317"/>
      <c r="Z1" s="5317"/>
      <c r="AA1" s="5317"/>
      <c r="AB1" s="5317"/>
      <c r="AC1" s="5317"/>
      <c r="AD1" s="5317"/>
      <c r="AE1" s="5317"/>
      <c r="AF1" s="5317"/>
      <c r="AG1" s="5317"/>
    </row>
    <row r="2" spans="1:33" s="5317" customFormat="1" ht="15.6">
      <c r="A2" s="3637"/>
      <c r="I2" s="5856"/>
      <c r="J2" s="95"/>
      <c r="K2" s="5856"/>
      <c r="L2" s="5856"/>
      <c r="M2" s="5856"/>
      <c r="N2" s="5856"/>
      <c r="O2" s="5856"/>
      <c r="P2" s="5856"/>
      <c r="Q2" s="5856"/>
      <c r="R2" s="5856"/>
      <c r="S2" s="5856"/>
      <c r="T2" s="5856"/>
      <c r="U2" s="5856"/>
    </row>
    <row r="3" spans="1:33" s="5317" customFormat="1">
      <c r="A3" s="7085" t="s">
        <v>3317</v>
      </c>
      <c r="B3" s="7085"/>
      <c r="C3" s="7085"/>
      <c r="D3" s="7085"/>
      <c r="E3" s="7085"/>
      <c r="F3" s="7086" t="s">
        <v>2167</v>
      </c>
      <c r="G3" s="7086"/>
      <c r="I3" s="6470"/>
      <c r="J3" s="95"/>
      <c r="K3" s="6470"/>
      <c r="L3" s="6470"/>
      <c r="M3" s="6470"/>
      <c r="N3" s="6470"/>
      <c r="O3" s="6470"/>
      <c r="P3" s="6470"/>
      <c r="Q3" s="6470"/>
      <c r="R3" s="6470"/>
      <c r="S3" s="6470"/>
      <c r="T3" s="6470"/>
      <c r="U3" s="6470"/>
    </row>
    <row r="4" spans="1:33" s="5317" customFormat="1" ht="24">
      <c r="A4" s="3959" t="s">
        <v>0</v>
      </c>
      <c r="B4" s="3969" t="s">
        <v>1893</v>
      </c>
      <c r="C4" s="3959" t="s">
        <v>1894</v>
      </c>
      <c r="D4" s="3969" t="s">
        <v>2981</v>
      </c>
      <c r="E4" s="3969" t="s">
        <v>2169</v>
      </c>
      <c r="F4" s="6471" t="s">
        <v>932</v>
      </c>
      <c r="G4" s="3959" t="s">
        <v>908</v>
      </c>
      <c r="I4" s="6470"/>
      <c r="J4" s="95"/>
      <c r="K4" s="6470"/>
      <c r="L4" s="6470"/>
      <c r="M4" s="6470"/>
      <c r="N4" s="6470"/>
      <c r="O4" s="6470"/>
      <c r="P4" s="6470"/>
      <c r="Q4" s="6470"/>
      <c r="R4" s="6470"/>
      <c r="S4" s="6470"/>
      <c r="T4" s="6470"/>
      <c r="U4" s="6470"/>
    </row>
    <row r="5" spans="1:33" s="5317" customFormat="1">
      <c r="A5" s="6131" t="s">
        <v>3</v>
      </c>
      <c r="B5" s="6131">
        <v>4501</v>
      </c>
      <c r="C5" s="6876">
        <v>2008.5700000000002</v>
      </c>
      <c r="D5" s="6133">
        <v>1412</v>
      </c>
      <c r="E5" s="6134">
        <v>70.298769771528995</v>
      </c>
      <c r="F5" s="6135">
        <v>0.76899696048632227</v>
      </c>
      <c r="G5" s="6135">
        <v>0.23100303951367782</v>
      </c>
      <c r="I5" s="6470"/>
      <c r="J5" s="95"/>
      <c r="K5" s="6470"/>
      <c r="L5" s="6470"/>
      <c r="M5" s="6470"/>
      <c r="N5" s="6470"/>
      <c r="O5" s="6470"/>
      <c r="P5" s="6470"/>
      <c r="Q5" s="6470"/>
      <c r="R5" s="6470"/>
      <c r="S5" s="6470"/>
      <c r="T5" s="6470"/>
      <c r="U5" s="6470"/>
    </row>
    <row r="6" spans="1:33" s="5317" customFormat="1">
      <c r="A6" s="6131" t="s">
        <v>25</v>
      </c>
      <c r="B6" s="6131">
        <v>658</v>
      </c>
      <c r="C6" s="6876">
        <v>621</v>
      </c>
      <c r="D6" s="6133">
        <v>343</v>
      </c>
      <c r="E6" s="6134">
        <v>55.233494363929147</v>
      </c>
      <c r="F6" s="6135">
        <v>0.70607028753993606</v>
      </c>
      <c r="G6" s="6135">
        <v>0.29392971246006389</v>
      </c>
      <c r="I6" s="6470"/>
      <c r="J6" s="95"/>
      <c r="K6" s="6470"/>
      <c r="L6" s="6470"/>
      <c r="M6" s="6470"/>
      <c r="N6" s="6470"/>
      <c r="O6" s="6470"/>
      <c r="P6" s="6470"/>
      <c r="Q6" s="6470"/>
      <c r="R6" s="6470"/>
      <c r="S6" s="6470"/>
      <c r="T6" s="6470"/>
      <c r="U6" s="6470"/>
    </row>
    <row r="7" spans="1:33" s="5317" customFormat="1">
      <c r="A7" s="6131" t="s">
        <v>48</v>
      </c>
      <c r="B7" s="6131">
        <v>3806</v>
      </c>
      <c r="C7" s="6876">
        <v>2074.38</v>
      </c>
      <c r="D7" s="6133">
        <v>1294</v>
      </c>
      <c r="E7" s="6134">
        <v>62.380084651799571</v>
      </c>
      <c r="F7" s="6135">
        <v>0.65427830596369918</v>
      </c>
      <c r="G7" s="6135">
        <v>0.34572169403630076</v>
      </c>
      <c r="I7" s="6470"/>
      <c r="J7" s="95"/>
      <c r="K7" s="6470"/>
      <c r="L7" s="6470"/>
      <c r="M7" s="6470"/>
      <c r="N7" s="6470"/>
      <c r="O7" s="6470"/>
      <c r="P7" s="6470"/>
      <c r="Q7" s="6470"/>
      <c r="R7" s="6470"/>
      <c r="S7" s="6470"/>
      <c r="T7" s="6470"/>
      <c r="U7" s="6470"/>
    </row>
    <row r="8" spans="1:33" s="5317" customFormat="1">
      <c r="A8" s="6131" t="s">
        <v>59</v>
      </c>
      <c r="B8" s="6131">
        <v>163</v>
      </c>
      <c r="C8" s="6876">
        <v>163</v>
      </c>
      <c r="D8" s="6133">
        <v>83</v>
      </c>
      <c r="E8" s="6134">
        <v>50.920245398773005</v>
      </c>
      <c r="F8" s="6135">
        <v>0.70886075949367078</v>
      </c>
      <c r="G8" s="6135">
        <v>0.29113924050632911</v>
      </c>
      <c r="I8" s="6470"/>
      <c r="J8" s="95"/>
      <c r="K8" s="6470"/>
      <c r="L8" s="6470"/>
      <c r="M8" s="6470"/>
      <c r="N8" s="6470"/>
      <c r="O8" s="6470"/>
      <c r="P8" s="6470"/>
      <c r="Q8" s="6470"/>
      <c r="R8" s="6470"/>
      <c r="S8" s="6470"/>
      <c r="T8" s="6470"/>
      <c r="U8" s="6470"/>
    </row>
    <row r="9" spans="1:33" s="5317" customFormat="1">
      <c r="A9" s="6131" t="s">
        <v>240</v>
      </c>
      <c r="B9" s="6131">
        <v>7291</v>
      </c>
      <c r="C9" s="6876">
        <v>2276.1</v>
      </c>
      <c r="D9" s="6133">
        <v>1859</v>
      </c>
      <c r="E9" s="6134">
        <v>81.674794604806465</v>
      </c>
      <c r="F9" s="6136">
        <v>0.70017740981667653</v>
      </c>
      <c r="G9" s="6136">
        <v>0.29982259018332347</v>
      </c>
      <c r="I9" s="6470"/>
      <c r="J9" s="95"/>
      <c r="K9" s="6470"/>
      <c r="L9" s="6470"/>
      <c r="M9" s="6470"/>
      <c r="N9" s="6470"/>
      <c r="O9" s="6470"/>
      <c r="P9" s="6470"/>
      <c r="Q9" s="6470"/>
      <c r="R9" s="6470"/>
      <c r="S9" s="6470"/>
      <c r="T9" s="6470"/>
      <c r="U9" s="6470"/>
    </row>
    <row r="10" spans="1:33" s="5317" customFormat="1">
      <c r="A10" s="3959" t="s">
        <v>15</v>
      </c>
      <c r="B10" s="3959">
        <v>16419</v>
      </c>
      <c r="C10" s="3966">
        <v>7143.0500000000011</v>
      </c>
      <c r="D10" s="6137">
        <v>4991</v>
      </c>
      <c r="E10" s="6138">
        <v>69.872113452936759</v>
      </c>
      <c r="F10" s="3967">
        <v>0.70895522388059706</v>
      </c>
      <c r="G10" s="3968">
        <v>0.29104477611940299</v>
      </c>
      <c r="I10" s="6470"/>
      <c r="J10" s="95"/>
      <c r="K10" s="6470"/>
      <c r="L10" s="6470"/>
      <c r="M10" s="6470"/>
      <c r="N10" s="6470"/>
      <c r="O10" s="6470"/>
      <c r="P10" s="6470"/>
      <c r="Q10" s="6470"/>
      <c r="R10" s="6470"/>
      <c r="S10" s="6470"/>
      <c r="T10" s="6470"/>
      <c r="U10" s="6470"/>
    </row>
    <row r="11" spans="1:33" s="5317" customFormat="1" ht="15.6">
      <c r="A11" s="3637"/>
      <c r="I11" s="6470"/>
      <c r="J11" s="95"/>
      <c r="K11" s="6470"/>
      <c r="L11" s="6470"/>
      <c r="M11" s="6470"/>
      <c r="N11" s="6470"/>
      <c r="O11" s="6470"/>
      <c r="P11" s="6470"/>
      <c r="Q11" s="6470"/>
      <c r="R11" s="6470"/>
      <c r="S11" s="6470"/>
      <c r="T11" s="6470"/>
      <c r="U11" s="6470"/>
    </row>
    <row r="12" spans="1:33" s="5317" customFormat="1" ht="15.6">
      <c r="A12" s="3637"/>
      <c r="I12" s="6470"/>
      <c r="J12" s="95"/>
      <c r="K12" s="6470"/>
      <c r="L12" s="6470"/>
      <c r="M12" s="6470"/>
      <c r="N12" s="6470"/>
      <c r="O12" s="6470"/>
      <c r="P12" s="6470"/>
      <c r="Q12" s="6470"/>
      <c r="R12" s="6470"/>
      <c r="S12" s="6470"/>
      <c r="T12" s="6470"/>
      <c r="U12" s="6470"/>
    </row>
    <row r="13" spans="1:33" s="5317" customFormat="1">
      <c r="A13" s="7085" t="s">
        <v>3185</v>
      </c>
      <c r="B13" s="7085"/>
      <c r="C13" s="7085"/>
      <c r="D13" s="7085"/>
      <c r="E13" s="7085"/>
      <c r="F13" s="7086" t="s">
        <v>2167</v>
      </c>
      <c r="G13" s="7086"/>
      <c r="I13" s="5856"/>
      <c r="J13" s="95"/>
      <c r="K13" s="5856"/>
      <c r="L13" s="5856"/>
      <c r="M13" s="5856"/>
      <c r="N13" s="5856"/>
      <c r="O13" s="5856"/>
      <c r="P13" s="5856"/>
      <c r="Q13" s="5856"/>
      <c r="R13" s="5856"/>
      <c r="S13" s="5856"/>
      <c r="T13" s="5856"/>
      <c r="U13" s="5856"/>
    </row>
    <row r="14" spans="1:33" s="5317" customFormat="1" ht="24">
      <c r="A14" s="3959" t="s">
        <v>0</v>
      </c>
      <c r="B14" s="3969" t="s">
        <v>1893</v>
      </c>
      <c r="C14" s="3959" t="s">
        <v>1894</v>
      </c>
      <c r="D14" s="3969" t="s">
        <v>2981</v>
      </c>
      <c r="E14" s="3969" t="s">
        <v>2169</v>
      </c>
      <c r="F14" s="6128" t="s">
        <v>932</v>
      </c>
      <c r="G14" s="3959" t="s">
        <v>908</v>
      </c>
      <c r="I14" s="5856"/>
      <c r="J14" s="95"/>
      <c r="K14" s="5856"/>
      <c r="L14" s="5856"/>
      <c r="M14" s="5856"/>
      <c r="N14" s="5856"/>
      <c r="O14" s="5856"/>
      <c r="P14" s="5856"/>
      <c r="Q14" s="5856"/>
      <c r="R14" s="5856"/>
      <c r="S14" s="5856"/>
      <c r="T14" s="5856"/>
      <c r="U14" s="5856"/>
    </row>
    <row r="15" spans="1:33" s="5317" customFormat="1">
      <c r="A15" s="6131" t="s">
        <v>3</v>
      </c>
      <c r="B15" s="6131">
        <v>4691</v>
      </c>
      <c r="C15" s="6132">
        <v>2041</v>
      </c>
      <c r="D15" s="6133">
        <v>1690</v>
      </c>
      <c r="E15" s="6134">
        <v>82.802547770700642</v>
      </c>
      <c r="F15" s="6135">
        <v>0.78288231592196345</v>
      </c>
      <c r="G15" s="6135">
        <v>0.2171176840780365</v>
      </c>
      <c r="I15" s="5856"/>
      <c r="J15" s="95"/>
      <c r="K15" s="5856"/>
      <c r="L15" s="5856"/>
      <c r="M15" s="5856"/>
      <c r="N15" s="5856"/>
      <c r="O15" s="5856"/>
      <c r="P15" s="5856"/>
      <c r="Q15" s="5856"/>
      <c r="R15" s="5856"/>
      <c r="S15" s="5856"/>
      <c r="T15" s="5856"/>
      <c r="U15" s="5856"/>
    </row>
    <row r="16" spans="1:33" s="5317" customFormat="1">
      <c r="A16" s="6131" t="s">
        <v>25</v>
      </c>
      <c r="B16" s="6131">
        <v>3672</v>
      </c>
      <c r="C16" s="6132">
        <v>2024</v>
      </c>
      <c r="D16" s="6133">
        <v>1505</v>
      </c>
      <c r="E16" s="6134">
        <v>74.357707509881422</v>
      </c>
      <c r="F16" s="6135">
        <v>0.65588235294117647</v>
      </c>
      <c r="G16" s="6135">
        <v>0.34411764705882353</v>
      </c>
      <c r="I16" s="5856"/>
      <c r="J16" s="95"/>
      <c r="K16" s="5856"/>
      <c r="L16" s="5856"/>
      <c r="M16" s="5856"/>
      <c r="N16" s="5856"/>
      <c r="O16" s="5856"/>
      <c r="P16" s="5856"/>
      <c r="Q16" s="5856"/>
      <c r="R16" s="5856"/>
      <c r="S16" s="5856"/>
      <c r="T16" s="5856"/>
      <c r="U16" s="5856"/>
    </row>
    <row r="17" spans="1:33" s="5317" customFormat="1">
      <c r="A17" s="6131" t="s">
        <v>48</v>
      </c>
      <c r="B17" s="6131">
        <v>7144</v>
      </c>
      <c r="C17" s="6132">
        <v>2258</v>
      </c>
      <c r="D17" s="6133">
        <v>2232</v>
      </c>
      <c r="E17" s="6134">
        <v>98.848538529672282</v>
      </c>
      <c r="F17" s="6135">
        <v>0.716301703163017</v>
      </c>
      <c r="G17" s="6135">
        <v>0.28369829683698294</v>
      </c>
      <c r="I17" s="5856"/>
      <c r="J17" s="95"/>
      <c r="K17" s="5856"/>
      <c r="L17" s="5856"/>
      <c r="M17" s="5856"/>
      <c r="N17" s="5856"/>
      <c r="O17" s="5856"/>
      <c r="P17" s="5856"/>
      <c r="Q17" s="5856"/>
      <c r="R17" s="5856"/>
      <c r="S17" s="5856"/>
      <c r="T17" s="5856"/>
      <c r="U17" s="5856"/>
    </row>
    <row r="18" spans="1:33" s="5317" customFormat="1">
      <c r="A18" s="6131" t="s">
        <v>59</v>
      </c>
      <c r="B18" s="6131">
        <v>493</v>
      </c>
      <c r="C18" s="6132">
        <v>476</v>
      </c>
      <c r="D18" s="6133">
        <v>374</v>
      </c>
      <c r="E18" s="6134">
        <v>78.571428571428569</v>
      </c>
      <c r="F18" s="6135">
        <v>0.716374269005848</v>
      </c>
      <c r="G18" s="6135">
        <v>0.28362573099415206</v>
      </c>
      <c r="I18" s="5856"/>
      <c r="J18" s="95"/>
      <c r="K18" s="5856"/>
      <c r="L18" s="5856"/>
      <c r="M18" s="5856"/>
      <c r="N18" s="5856"/>
      <c r="O18" s="5856"/>
      <c r="P18" s="5856"/>
      <c r="Q18" s="5856"/>
      <c r="R18" s="5856"/>
      <c r="S18" s="5856"/>
      <c r="T18" s="5856"/>
      <c r="U18" s="5856"/>
    </row>
    <row r="19" spans="1:33" s="5317" customFormat="1">
      <c r="A19" s="6131" t="s">
        <v>240</v>
      </c>
      <c r="B19" s="6131">
        <v>163</v>
      </c>
      <c r="C19" s="6132">
        <v>160</v>
      </c>
      <c r="D19" s="6133">
        <v>125</v>
      </c>
      <c r="E19" s="6134">
        <v>78.125</v>
      </c>
      <c r="F19" s="6136">
        <v>0.74380165289256195</v>
      </c>
      <c r="G19" s="6136">
        <v>0.256198347107438</v>
      </c>
      <c r="I19" s="5856"/>
      <c r="J19" s="95"/>
      <c r="K19" s="5856"/>
      <c r="L19" s="5856"/>
      <c r="M19" s="5856"/>
      <c r="N19" s="5856"/>
      <c r="O19" s="5856"/>
      <c r="P19" s="5856"/>
      <c r="Q19" s="5856"/>
      <c r="R19" s="5856"/>
      <c r="S19" s="5856"/>
      <c r="T19" s="5856"/>
      <c r="U19" s="5856"/>
    </row>
    <row r="20" spans="1:33" s="5317" customFormat="1">
      <c r="A20" s="3959" t="s">
        <v>15</v>
      </c>
      <c r="B20" s="3959">
        <v>16163</v>
      </c>
      <c r="C20" s="3966">
        <v>6959</v>
      </c>
      <c r="D20" s="6137">
        <v>5926</v>
      </c>
      <c r="E20" s="6138">
        <v>85.155913205920385</v>
      </c>
      <c r="F20" s="3967">
        <v>0.72123650996890432</v>
      </c>
      <c r="G20" s="3968">
        <v>0.27876349003109568</v>
      </c>
      <c r="I20" s="5856"/>
      <c r="J20" s="95"/>
      <c r="K20" s="5856"/>
      <c r="L20" s="5856"/>
      <c r="M20" s="5856"/>
      <c r="N20" s="5856"/>
      <c r="O20" s="5856"/>
      <c r="P20" s="5856"/>
      <c r="Q20" s="5856"/>
      <c r="R20" s="5856"/>
      <c r="S20" s="5856"/>
      <c r="T20" s="5856"/>
      <c r="U20" s="5856"/>
    </row>
    <row r="21" spans="1:33" s="5317" customFormat="1">
      <c r="I21" s="6129"/>
      <c r="J21" s="95"/>
      <c r="K21" s="6129"/>
      <c r="L21" s="6129"/>
      <c r="M21" s="6129"/>
      <c r="N21" s="6129"/>
      <c r="O21" s="6129"/>
      <c r="P21" s="6129"/>
      <c r="Q21" s="6129"/>
      <c r="R21" s="6129"/>
      <c r="S21" s="6129"/>
      <c r="T21" s="6129"/>
      <c r="U21" s="6129"/>
    </row>
    <row r="22" spans="1:33" s="3890" customFormat="1">
      <c r="A22" s="4189"/>
      <c r="B22" s="4189"/>
      <c r="C22" s="4189"/>
      <c r="D22" s="4189"/>
      <c r="E22" s="4189"/>
      <c r="F22" s="4189"/>
      <c r="G22" s="4189"/>
      <c r="H22" s="4189"/>
      <c r="I22" s="5856"/>
      <c r="J22" s="95"/>
      <c r="K22" s="5856"/>
      <c r="L22" s="5856"/>
      <c r="M22" s="5856"/>
      <c r="N22" s="5856"/>
      <c r="O22" s="5856"/>
      <c r="P22" s="5856"/>
      <c r="Q22" s="5856"/>
      <c r="R22" s="5856"/>
      <c r="S22" s="5856"/>
      <c r="T22" s="5856"/>
      <c r="U22" s="5856"/>
      <c r="V22" s="5317"/>
      <c r="W22" s="5317"/>
      <c r="X22" s="5317"/>
      <c r="Y22" s="5317"/>
      <c r="Z22" s="5317"/>
      <c r="AA22" s="5317"/>
      <c r="AB22" s="5317"/>
      <c r="AC22" s="5317"/>
      <c r="AD22" s="5317"/>
      <c r="AE22" s="5317"/>
      <c r="AF22" s="5317"/>
      <c r="AG22" s="5317"/>
    </row>
    <row r="23" spans="1:33" s="5317" customFormat="1">
      <c r="A23" s="4198" t="s">
        <v>2979</v>
      </c>
      <c r="B23" s="4197"/>
      <c r="C23" s="4197"/>
      <c r="D23" s="4197"/>
      <c r="E23" s="1834"/>
      <c r="F23" s="7086" t="s">
        <v>2167</v>
      </c>
      <c r="G23" s="7086"/>
      <c r="I23" s="5856"/>
      <c r="J23" s="95"/>
      <c r="K23" s="5856"/>
      <c r="L23" s="5856"/>
      <c r="M23" s="5856"/>
      <c r="N23" s="5856"/>
      <c r="O23" s="5856"/>
      <c r="P23" s="5856"/>
      <c r="Q23" s="5856"/>
      <c r="R23" s="5856"/>
      <c r="S23" s="5856"/>
      <c r="T23" s="5856"/>
      <c r="U23" s="5856"/>
    </row>
    <row r="24" spans="1:33" s="5317" customFormat="1" ht="24">
      <c r="A24" s="3959" t="s">
        <v>0</v>
      </c>
      <c r="B24" s="3969" t="s">
        <v>2980</v>
      </c>
      <c r="C24" s="3959" t="s">
        <v>1894</v>
      </c>
      <c r="D24" s="3969" t="s">
        <v>2981</v>
      </c>
      <c r="E24" s="3632" t="s">
        <v>2169</v>
      </c>
      <c r="F24" s="5318" t="s">
        <v>932</v>
      </c>
      <c r="G24" s="3959" t="s">
        <v>908</v>
      </c>
      <c r="I24" s="5856"/>
      <c r="J24" s="95"/>
      <c r="K24" s="5856"/>
      <c r="L24" s="5856"/>
      <c r="M24" s="5856"/>
      <c r="N24" s="5856"/>
      <c r="O24" s="5856"/>
      <c r="P24" s="5856"/>
      <c r="Q24" s="5856"/>
      <c r="R24" s="5856"/>
      <c r="S24" s="5856"/>
      <c r="T24" s="5856"/>
      <c r="U24" s="5856"/>
    </row>
    <row r="25" spans="1:33" s="5317" customFormat="1">
      <c r="A25" s="4185" t="s">
        <v>3</v>
      </c>
      <c r="B25" s="4185">
        <v>4691</v>
      </c>
      <c r="C25" s="3963">
        <v>2041</v>
      </c>
      <c r="D25" s="4185">
        <v>1534</v>
      </c>
      <c r="E25" s="3535">
        <v>0.75159235668789803</v>
      </c>
      <c r="F25" s="3964">
        <v>0.78063642518618825</v>
      </c>
      <c r="G25" s="3964">
        <v>0.21936357481381175</v>
      </c>
      <c r="I25" s="5856"/>
      <c r="J25" s="95"/>
      <c r="K25" s="5856"/>
      <c r="L25" s="5856"/>
      <c r="M25" s="5856"/>
      <c r="N25" s="5856"/>
      <c r="O25" s="5856"/>
      <c r="P25" s="5856"/>
      <c r="Q25" s="5856"/>
      <c r="R25" s="5856"/>
      <c r="S25" s="5856"/>
      <c r="T25" s="5856"/>
      <c r="U25" s="5856"/>
    </row>
    <row r="26" spans="1:33" s="5317" customFormat="1">
      <c r="A26" s="4185" t="s">
        <v>59</v>
      </c>
      <c r="B26" s="4185">
        <v>3672</v>
      </c>
      <c r="C26" s="3963">
        <v>2024</v>
      </c>
      <c r="D26" s="4185">
        <v>1234</v>
      </c>
      <c r="E26" s="3535">
        <v>0.60968379446640308</v>
      </c>
      <c r="F26" s="3964">
        <v>0.66383701188455002</v>
      </c>
      <c r="G26" s="3964">
        <v>0.33616298811544992</v>
      </c>
      <c r="I26" s="5856"/>
      <c r="J26" s="95"/>
      <c r="K26" s="5856"/>
      <c r="L26" s="5856"/>
      <c r="M26" s="5856"/>
      <c r="N26" s="5856"/>
      <c r="O26" s="5856"/>
      <c r="P26" s="5856"/>
      <c r="Q26" s="5856"/>
      <c r="R26" s="5856"/>
      <c r="S26" s="5856"/>
      <c r="T26" s="5856"/>
      <c r="U26" s="5856"/>
    </row>
    <row r="27" spans="1:33" s="5317" customFormat="1">
      <c r="A27" s="4185" t="s">
        <v>25</v>
      </c>
      <c r="B27" s="4185">
        <v>7144</v>
      </c>
      <c r="C27" s="3963">
        <v>2258</v>
      </c>
      <c r="D27" s="4185">
        <v>1952</v>
      </c>
      <c r="E27" s="3535">
        <v>0.86448184233835246</v>
      </c>
      <c r="F27" s="3964">
        <v>0.72036637931034486</v>
      </c>
      <c r="G27" s="3964">
        <v>0.27963362068965519</v>
      </c>
      <c r="I27" s="5856"/>
      <c r="J27" s="95"/>
      <c r="K27" s="5856"/>
      <c r="L27" s="5856"/>
      <c r="M27" s="5856"/>
      <c r="N27" s="5856"/>
      <c r="O27" s="5856"/>
      <c r="P27" s="5856"/>
      <c r="Q27" s="5856"/>
      <c r="R27" s="5856"/>
      <c r="S27" s="5856"/>
      <c r="T27" s="5856"/>
      <c r="U27" s="5856"/>
    </row>
    <row r="28" spans="1:33" s="5317" customFormat="1">
      <c r="A28" s="4185" t="s">
        <v>240</v>
      </c>
      <c r="B28" s="4185">
        <v>493</v>
      </c>
      <c r="C28" s="3963">
        <v>476</v>
      </c>
      <c r="D28" s="4185">
        <v>331</v>
      </c>
      <c r="E28" s="3535">
        <v>0.69537815126050417</v>
      </c>
      <c r="F28" s="3964">
        <v>0.70569620253164556</v>
      </c>
      <c r="G28" s="3964">
        <v>0.29430379746835444</v>
      </c>
      <c r="I28" s="5856"/>
      <c r="J28" s="95"/>
      <c r="K28" s="5856"/>
      <c r="L28" s="5856"/>
      <c r="M28" s="5856"/>
      <c r="N28" s="5856"/>
      <c r="O28" s="5856"/>
      <c r="P28" s="5856"/>
      <c r="Q28" s="5856"/>
      <c r="R28" s="5856"/>
      <c r="S28" s="5856"/>
      <c r="T28" s="5856"/>
      <c r="U28" s="5856"/>
    </row>
    <row r="29" spans="1:33" s="5317" customFormat="1">
      <c r="A29" s="4185" t="s">
        <v>48</v>
      </c>
      <c r="B29" s="4185">
        <v>163</v>
      </c>
      <c r="C29" s="3963">
        <v>160</v>
      </c>
      <c r="D29" s="4185">
        <v>104</v>
      </c>
      <c r="E29" s="3535">
        <v>0.65</v>
      </c>
      <c r="F29" s="3965">
        <v>0.74257425742574257</v>
      </c>
      <c r="G29" s="3965">
        <v>0.25742574257425743</v>
      </c>
      <c r="I29" s="5856"/>
      <c r="J29" s="95"/>
      <c r="K29" s="5856"/>
      <c r="L29" s="5856"/>
      <c r="M29" s="5856"/>
      <c r="N29" s="5856"/>
      <c r="O29" s="5856"/>
      <c r="P29" s="5856"/>
      <c r="Q29" s="5856"/>
      <c r="R29" s="5856"/>
      <c r="S29" s="5856"/>
      <c r="T29" s="5856"/>
      <c r="U29" s="5856"/>
    </row>
    <row r="30" spans="1:33" s="5317" customFormat="1">
      <c r="A30" s="3959" t="s">
        <v>15</v>
      </c>
      <c r="B30" s="3959">
        <v>16163</v>
      </c>
      <c r="C30" s="3966">
        <v>6959</v>
      </c>
      <c r="D30" s="3959">
        <v>5155</v>
      </c>
      <c r="E30" s="3635">
        <v>0.74076735163098151</v>
      </c>
      <c r="F30" s="3967">
        <v>0.72443181818181823</v>
      </c>
      <c r="G30" s="3968">
        <v>0.27556818181818182</v>
      </c>
      <c r="I30" s="5426" t="s">
        <v>903</v>
      </c>
      <c r="J30" s="124"/>
      <c r="K30" s="5427"/>
      <c r="L30" s="5427"/>
      <c r="M30" s="5427"/>
      <c r="N30" s="5427"/>
      <c r="O30" s="5427"/>
      <c r="P30" s="5427"/>
      <c r="Q30" s="124"/>
      <c r="R30" s="124"/>
      <c r="S30" s="124"/>
      <c r="T30" s="124"/>
      <c r="U30" s="124"/>
      <c r="V30" s="3527"/>
      <c r="W30" s="3527"/>
      <c r="X30" s="3527"/>
      <c r="Y30" s="3527"/>
      <c r="Z30" s="3527"/>
      <c r="AA30" s="3527"/>
      <c r="AB30" s="3527"/>
      <c r="AC30" s="3527"/>
      <c r="AD30" s="3527"/>
      <c r="AE30" s="3527"/>
      <c r="AF30" s="3527"/>
      <c r="AG30" s="3527"/>
    </row>
    <row r="31" spans="1:33" s="3890" customFormat="1">
      <c r="A31" s="4189"/>
      <c r="B31" s="4189"/>
      <c r="C31" s="4189"/>
      <c r="D31" s="4189"/>
      <c r="E31" s="4189"/>
      <c r="F31" s="4189"/>
      <c r="G31" s="4189"/>
      <c r="H31" s="4189"/>
      <c r="I31" s="124"/>
      <c r="J31" s="124"/>
      <c r="K31" s="124"/>
      <c r="L31" s="124"/>
      <c r="M31" s="5355"/>
      <c r="N31" s="5355"/>
      <c r="O31" s="5355"/>
      <c r="P31" s="124"/>
      <c r="Q31" s="124"/>
      <c r="R31" s="124"/>
      <c r="S31" s="124"/>
      <c r="T31" s="124"/>
      <c r="U31" s="124"/>
      <c r="V31" s="3527"/>
      <c r="W31" s="3527"/>
      <c r="X31" s="3527"/>
      <c r="Y31" s="3527"/>
      <c r="Z31" s="3527"/>
      <c r="AA31" s="3527"/>
      <c r="AB31" s="3527"/>
      <c r="AC31" s="3527"/>
      <c r="AD31" s="3527"/>
      <c r="AE31" s="3527"/>
      <c r="AF31" s="3527"/>
      <c r="AG31" s="3527"/>
    </row>
    <row r="32" spans="1:33" s="3890" customFormat="1" ht="14.4" customHeight="1">
      <c r="A32" s="4189"/>
      <c r="B32" s="4189"/>
      <c r="C32" s="4189"/>
      <c r="D32" s="4189"/>
      <c r="E32" s="4189"/>
      <c r="F32" s="4189"/>
      <c r="G32" s="4189"/>
      <c r="H32" s="4189"/>
      <c r="I32" s="5333"/>
      <c r="J32" s="5333"/>
      <c r="K32" s="5356">
        <v>2020</v>
      </c>
      <c r="L32" s="5333"/>
      <c r="M32" s="5333"/>
      <c r="N32" s="5333"/>
      <c r="O32" s="5334"/>
      <c r="P32" s="7050" t="s">
        <v>2167</v>
      </c>
      <c r="Q32" s="7050"/>
      <c r="R32" s="7051" t="s">
        <v>2168</v>
      </c>
      <c r="S32" s="7051"/>
      <c r="T32" s="7051"/>
      <c r="U32" s="7051"/>
    </row>
    <row r="33" spans="1:33" s="3890" customFormat="1" ht="24">
      <c r="A33" s="4198" t="s">
        <v>2690</v>
      </c>
      <c r="B33" s="4197"/>
      <c r="C33" s="4197"/>
      <c r="D33" s="4197"/>
      <c r="E33" s="1834"/>
      <c r="F33" s="7086" t="s">
        <v>2167</v>
      </c>
      <c r="G33" s="7086"/>
      <c r="H33" s="4189"/>
      <c r="I33" s="5335" t="s">
        <v>0</v>
      </c>
      <c r="J33" s="5335" t="s">
        <v>1</v>
      </c>
      <c r="K33" s="5335" t="s">
        <v>2183</v>
      </c>
      <c r="L33" s="5335" t="s">
        <v>1893</v>
      </c>
      <c r="M33" s="5335" t="s">
        <v>1894</v>
      </c>
      <c r="N33" s="5336" t="s">
        <v>2981</v>
      </c>
      <c r="O33" s="5336" t="s">
        <v>2169</v>
      </c>
      <c r="P33" s="5337" t="s">
        <v>932</v>
      </c>
      <c r="Q33" s="5335" t="s">
        <v>908</v>
      </c>
      <c r="R33" s="5338" t="s">
        <v>2982</v>
      </c>
      <c r="S33" s="5338" t="s">
        <v>2983</v>
      </c>
      <c r="T33" s="5339" t="s">
        <v>1426</v>
      </c>
      <c r="U33" s="5338" t="s">
        <v>2984</v>
      </c>
      <c r="V33" s="5317"/>
      <c r="W33" s="5317"/>
      <c r="X33" s="5317"/>
      <c r="Y33" s="5317"/>
      <c r="Z33" s="5317"/>
      <c r="AA33" s="5317"/>
      <c r="AB33" s="5317"/>
      <c r="AC33" s="5317"/>
      <c r="AD33" s="5317"/>
      <c r="AE33" s="5317"/>
      <c r="AF33" s="5317"/>
      <c r="AG33" s="5317"/>
    </row>
    <row r="34" spans="1:33" s="3890" customFormat="1" ht="24">
      <c r="A34" s="3959" t="s">
        <v>0</v>
      </c>
      <c r="B34" s="3959" t="s">
        <v>1893</v>
      </c>
      <c r="C34" s="3959" t="s">
        <v>1894</v>
      </c>
      <c r="D34" s="3959" t="s">
        <v>1898</v>
      </c>
      <c r="E34" s="3632" t="s">
        <v>2169</v>
      </c>
      <c r="F34" s="4187" t="s">
        <v>907</v>
      </c>
      <c r="G34" s="3959" t="s">
        <v>908</v>
      </c>
      <c r="H34" s="4189"/>
      <c r="I34" s="7052" t="s">
        <v>3</v>
      </c>
      <c r="J34" s="7053" t="s">
        <v>2176</v>
      </c>
      <c r="K34" s="5340" t="s">
        <v>474</v>
      </c>
      <c r="L34" s="5341">
        <v>205</v>
      </c>
      <c r="M34" s="5341">
        <v>82</v>
      </c>
      <c r="N34" s="5342">
        <v>73</v>
      </c>
      <c r="O34" s="5343">
        <v>0.8902439024390244</v>
      </c>
      <c r="P34" s="5344">
        <v>0.71830985915492962</v>
      </c>
      <c r="Q34" s="5344">
        <v>0.28169014084507044</v>
      </c>
      <c r="R34" s="5344">
        <v>8.6956521739130432E-2</v>
      </c>
      <c r="S34" s="5345">
        <v>0.13043478260869565</v>
      </c>
      <c r="T34" s="5344">
        <v>0.43478260869565216</v>
      </c>
      <c r="U34" s="5344">
        <v>0.34782608695652173</v>
      </c>
      <c r="V34" s="5317"/>
      <c r="W34" s="5317"/>
      <c r="X34" s="5317"/>
      <c r="Y34" s="5317"/>
      <c r="Z34" s="5317"/>
      <c r="AA34" s="5317"/>
      <c r="AB34" s="5317"/>
      <c r="AC34" s="5317"/>
      <c r="AD34" s="5317"/>
      <c r="AE34" s="5317"/>
      <c r="AF34" s="5317"/>
      <c r="AG34" s="5317"/>
    </row>
    <row r="35" spans="1:33" s="3890" customFormat="1">
      <c r="A35" s="4185" t="s">
        <v>3</v>
      </c>
      <c r="B35" s="4185">
        <v>4691</v>
      </c>
      <c r="C35" s="3963">
        <v>2041</v>
      </c>
      <c r="D35" s="4185">
        <v>1065</v>
      </c>
      <c r="E35" s="3535">
        <f t="shared" ref="E35:E40" si="0">D35*100/C35</f>
        <v>52.180303772660459</v>
      </c>
      <c r="F35" s="3964">
        <v>0.78200000000000003</v>
      </c>
      <c r="G35" s="3964">
        <v>0.218</v>
      </c>
      <c r="H35" s="4189"/>
      <c r="I35" s="7052"/>
      <c r="J35" s="7054"/>
      <c r="K35" s="5340" t="s">
        <v>475</v>
      </c>
      <c r="L35" s="5341">
        <v>229</v>
      </c>
      <c r="M35" s="5341">
        <v>93</v>
      </c>
      <c r="N35" s="5342">
        <v>70</v>
      </c>
      <c r="O35" s="5346">
        <v>0.75268817204301075</v>
      </c>
      <c r="P35" s="5344">
        <v>0.83823529411764708</v>
      </c>
      <c r="Q35" s="5344">
        <v>0.16176470588235292</v>
      </c>
      <c r="R35" s="5344">
        <v>3.5087719298245612E-2</v>
      </c>
      <c r="S35" s="5344">
        <v>8.771929824561403E-2</v>
      </c>
      <c r="T35" s="5344">
        <v>0.31578947368421051</v>
      </c>
      <c r="U35" s="5344">
        <v>0.56140350877192979</v>
      </c>
      <c r="V35" s="5317"/>
      <c r="W35" s="5317"/>
      <c r="X35" s="5317"/>
      <c r="Y35" s="5317"/>
      <c r="Z35" s="5317"/>
      <c r="AA35" s="5317"/>
      <c r="AB35" s="5317"/>
      <c r="AC35" s="5317"/>
      <c r="AD35" s="5317"/>
      <c r="AE35" s="5317"/>
      <c r="AF35" s="5317"/>
      <c r="AG35" s="5317"/>
    </row>
    <row r="36" spans="1:33" s="3890" customFormat="1">
      <c r="A36" s="4185" t="s">
        <v>59</v>
      </c>
      <c r="B36" s="4185">
        <v>493</v>
      </c>
      <c r="C36" s="3963">
        <v>476</v>
      </c>
      <c r="D36" s="4185">
        <v>182</v>
      </c>
      <c r="E36" s="3535">
        <f t="shared" si="0"/>
        <v>38.235294117647058</v>
      </c>
      <c r="F36" s="3964">
        <v>0.68799999999999994</v>
      </c>
      <c r="G36" s="3964">
        <v>0.312</v>
      </c>
      <c r="H36" s="4189"/>
      <c r="I36" s="7052"/>
      <c r="J36" s="7054"/>
      <c r="K36" s="5347" t="s">
        <v>673</v>
      </c>
      <c r="L36" s="5341">
        <v>87</v>
      </c>
      <c r="M36" s="5341">
        <v>64</v>
      </c>
      <c r="N36" s="5342">
        <v>28</v>
      </c>
      <c r="O36" s="5346">
        <v>0.4375</v>
      </c>
      <c r="P36" s="5344">
        <v>0.8571428571428571</v>
      </c>
      <c r="Q36" s="5344">
        <v>0.14285714285714285</v>
      </c>
      <c r="R36" s="5344">
        <v>8.3333333333333315E-2</v>
      </c>
      <c r="S36" s="5344">
        <v>4.1666666666666657E-2</v>
      </c>
      <c r="T36" s="5345">
        <v>0.5</v>
      </c>
      <c r="U36" s="5344">
        <v>0.375</v>
      </c>
      <c r="V36" s="5317"/>
      <c r="W36" s="5317"/>
      <c r="X36" s="5317"/>
      <c r="Y36" s="5317"/>
      <c r="Z36" s="5317"/>
      <c r="AA36" s="5317"/>
      <c r="AB36" s="5317"/>
      <c r="AC36" s="5317"/>
      <c r="AD36" s="5317"/>
      <c r="AE36" s="5317"/>
      <c r="AF36" s="5317"/>
      <c r="AG36" s="5317"/>
    </row>
    <row r="37" spans="1:33" s="3890" customFormat="1">
      <c r="A37" s="4185" t="s">
        <v>25</v>
      </c>
      <c r="B37" s="4185">
        <v>3672</v>
      </c>
      <c r="C37" s="3963">
        <v>2024</v>
      </c>
      <c r="D37" s="4185">
        <v>834</v>
      </c>
      <c r="E37" s="3535">
        <f t="shared" si="0"/>
        <v>41.205533596837945</v>
      </c>
      <c r="F37" s="3964">
        <v>0.63</v>
      </c>
      <c r="G37" s="3964">
        <v>0.37</v>
      </c>
      <c r="H37" s="4189"/>
      <c r="I37" s="7052"/>
      <c r="J37" s="7054"/>
      <c r="K37" s="5347" t="s">
        <v>477</v>
      </c>
      <c r="L37" s="5341">
        <v>76</v>
      </c>
      <c r="M37" s="5341">
        <v>55</v>
      </c>
      <c r="N37" s="5342">
        <v>30</v>
      </c>
      <c r="O37" s="5346">
        <v>0.54545454545454541</v>
      </c>
      <c r="P37" s="5344">
        <v>0.53333333333333333</v>
      </c>
      <c r="Q37" s="5344">
        <v>0.46666666666666662</v>
      </c>
      <c r="R37" s="5344">
        <v>6.6666666666666666E-2</v>
      </c>
      <c r="S37" s="5344">
        <v>0.13333333333333333</v>
      </c>
      <c r="T37" s="5345">
        <v>0.6</v>
      </c>
      <c r="U37" s="5345">
        <v>0.2</v>
      </c>
      <c r="V37" s="5317"/>
      <c r="W37" s="5317"/>
      <c r="X37" s="5317"/>
      <c r="Y37" s="5317"/>
      <c r="Z37" s="5317"/>
      <c r="AA37" s="5317"/>
      <c r="AB37" s="5317"/>
      <c r="AC37" s="5317"/>
      <c r="AD37" s="5317"/>
      <c r="AE37" s="5317"/>
      <c r="AF37" s="5317"/>
      <c r="AG37" s="5317"/>
    </row>
    <row r="38" spans="1:33" s="3890" customFormat="1">
      <c r="A38" s="4185" t="s">
        <v>240</v>
      </c>
      <c r="B38" s="4185">
        <v>163</v>
      </c>
      <c r="C38" s="3963">
        <v>160</v>
      </c>
      <c r="D38" s="4185">
        <v>39</v>
      </c>
      <c r="E38" s="3535">
        <f t="shared" si="0"/>
        <v>24.375</v>
      </c>
      <c r="F38" s="3964">
        <v>0.65500000000000003</v>
      </c>
      <c r="G38" s="3964">
        <v>0.34499999999999997</v>
      </c>
      <c r="H38" s="4189"/>
      <c r="I38" s="7052"/>
      <c r="J38" s="7054"/>
      <c r="K38" s="5347" t="s">
        <v>674</v>
      </c>
      <c r="L38" s="5341">
        <v>267</v>
      </c>
      <c r="M38" s="5341">
        <v>107</v>
      </c>
      <c r="N38" s="5342">
        <v>83</v>
      </c>
      <c r="O38" s="5346">
        <v>0.77570093457943923</v>
      </c>
      <c r="P38" s="5344">
        <v>0.90243902439024393</v>
      </c>
      <c r="Q38" s="5344">
        <v>9.7560975609756101E-2</v>
      </c>
      <c r="R38" s="5344">
        <v>2.7397260273972601E-2</v>
      </c>
      <c r="S38" s="5344">
        <v>9.5890410958904104E-2</v>
      </c>
      <c r="T38" s="5344">
        <v>0.39726027397260277</v>
      </c>
      <c r="U38" s="5344">
        <v>0.47945205479452047</v>
      </c>
      <c r="V38" s="5317"/>
      <c r="W38" s="5317"/>
      <c r="X38" s="5317"/>
      <c r="Y38" s="5317"/>
      <c r="Z38" s="5317"/>
      <c r="AA38" s="5317"/>
      <c r="AB38" s="5317"/>
      <c r="AC38" s="5317"/>
      <c r="AD38" s="5317"/>
      <c r="AE38" s="5317"/>
      <c r="AF38" s="5317"/>
      <c r="AG38" s="5317"/>
    </row>
    <row r="39" spans="1:33" s="3890" customFormat="1">
      <c r="A39" s="4185" t="s">
        <v>48</v>
      </c>
      <c r="B39" s="4185">
        <v>7144</v>
      </c>
      <c r="C39" s="3963">
        <v>2258</v>
      </c>
      <c r="D39" s="4185">
        <v>1358</v>
      </c>
      <c r="E39" s="3535">
        <f t="shared" si="0"/>
        <v>60.141718334809568</v>
      </c>
      <c r="F39" s="3965">
        <v>0.67200000000000004</v>
      </c>
      <c r="G39" s="3965">
        <v>0.32800000000000001</v>
      </c>
      <c r="H39" s="4189"/>
      <c r="I39" s="7052"/>
      <c r="J39" s="7054"/>
      <c r="K39" s="5347" t="s">
        <v>675</v>
      </c>
      <c r="L39" s="5341">
        <v>171</v>
      </c>
      <c r="M39" s="5341">
        <v>69</v>
      </c>
      <c r="N39" s="5342">
        <v>61</v>
      </c>
      <c r="O39" s="5346">
        <v>0.88405797101449279</v>
      </c>
      <c r="P39" s="5344">
        <v>0.78333333333333333</v>
      </c>
      <c r="Q39" s="5344">
        <v>0.21666666666666667</v>
      </c>
      <c r="R39" s="5344">
        <v>2.1276595744680851E-2</v>
      </c>
      <c r="S39" s="5344">
        <v>0.19148936170212769</v>
      </c>
      <c r="T39" s="5344">
        <v>0.27659574468085107</v>
      </c>
      <c r="U39" s="5344">
        <v>0.51063829787234039</v>
      </c>
      <c r="V39" s="5317"/>
      <c r="W39" s="5317"/>
      <c r="X39" s="5317"/>
      <c r="Y39" s="5317"/>
      <c r="Z39" s="5317"/>
      <c r="AA39" s="5317"/>
      <c r="AB39" s="5317"/>
      <c r="AC39" s="5317"/>
      <c r="AD39" s="5317"/>
      <c r="AE39" s="5317"/>
      <c r="AF39" s="5317"/>
      <c r="AG39" s="5317"/>
    </row>
    <row r="40" spans="1:33" s="3890" customFormat="1">
      <c r="A40" s="3959" t="s">
        <v>15</v>
      </c>
      <c r="B40" s="3959">
        <f>SUM(B35:B39)</f>
        <v>16163</v>
      </c>
      <c r="C40" s="3966">
        <f>SUM(C35:C39)</f>
        <v>6959</v>
      </c>
      <c r="D40" s="3959">
        <f>SUM(D35:D39)</f>
        <v>3478</v>
      </c>
      <c r="E40" s="3635">
        <f t="shared" si="0"/>
        <v>49.978445178905012</v>
      </c>
      <c r="F40" s="3967">
        <v>0.7</v>
      </c>
      <c r="G40" s="3968">
        <v>0.3</v>
      </c>
      <c r="H40" s="4189"/>
      <c r="I40" s="7052"/>
      <c r="J40" s="7054"/>
      <c r="K40" s="5347" t="s">
        <v>676</v>
      </c>
      <c r="L40" s="5341">
        <v>52</v>
      </c>
      <c r="M40" s="5341">
        <v>52</v>
      </c>
      <c r="N40" s="5342">
        <v>16</v>
      </c>
      <c r="O40" s="5346">
        <v>0.30769230769230771</v>
      </c>
      <c r="P40" s="5344">
        <v>0.66666666666666652</v>
      </c>
      <c r="Q40" s="5344">
        <v>0.33333333333333326</v>
      </c>
      <c r="R40" s="5345">
        <v>0.2</v>
      </c>
      <c r="S40" s="5345">
        <v>0.1</v>
      </c>
      <c r="T40" s="5345">
        <v>0.3</v>
      </c>
      <c r="U40" s="5345">
        <v>0.4</v>
      </c>
      <c r="V40" s="5317"/>
      <c r="W40" s="5317"/>
      <c r="X40" s="5317"/>
      <c r="Y40" s="5317"/>
      <c r="Z40" s="5317"/>
      <c r="AA40" s="5317"/>
      <c r="AB40" s="5317"/>
      <c r="AC40" s="5317"/>
      <c r="AD40" s="5317"/>
      <c r="AE40" s="5317"/>
      <c r="AF40" s="5317"/>
      <c r="AG40" s="5317"/>
    </row>
    <row r="41" spans="1:33" s="3890" customFormat="1">
      <c r="A41" s="4189"/>
      <c r="B41" s="4189"/>
      <c r="C41" s="4189"/>
      <c r="D41" s="4189"/>
      <c r="E41" s="4189"/>
      <c r="F41" s="4189"/>
      <c r="G41" s="4189"/>
      <c r="H41" s="4189"/>
      <c r="I41" s="7052"/>
      <c r="J41" s="7054"/>
      <c r="K41" s="5347" t="s">
        <v>478</v>
      </c>
      <c r="L41" s="5341">
        <v>196</v>
      </c>
      <c r="M41" s="5341">
        <v>80</v>
      </c>
      <c r="N41" s="5342">
        <v>57</v>
      </c>
      <c r="O41" s="5346">
        <v>0.71250000000000002</v>
      </c>
      <c r="P41" s="5344">
        <v>0.71698113207547165</v>
      </c>
      <c r="Q41" s="5344">
        <v>0.28301886792452829</v>
      </c>
      <c r="R41" s="5344">
        <v>8.1081081081081086E-2</v>
      </c>
      <c r="S41" s="5344">
        <v>0.13513513513513514</v>
      </c>
      <c r="T41" s="5344">
        <v>0.48648648648648651</v>
      </c>
      <c r="U41" s="5344">
        <v>0.29729729729729731</v>
      </c>
    </row>
    <row r="42" spans="1:33" s="3890" customFormat="1">
      <c r="B42" s="1834"/>
      <c r="C42" s="1834"/>
      <c r="D42" s="1834"/>
      <c r="E42" s="1834"/>
      <c r="F42" s="1834"/>
      <c r="G42" s="1834"/>
      <c r="H42" s="4189"/>
      <c r="I42" s="7052"/>
      <c r="J42" s="7054"/>
      <c r="K42" s="5347" t="s">
        <v>677</v>
      </c>
      <c r="L42" s="5341">
        <v>174</v>
      </c>
      <c r="M42" s="5341">
        <v>71</v>
      </c>
      <c r="N42" s="5342">
        <v>56</v>
      </c>
      <c r="O42" s="5346">
        <v>0.78873239436619713</v>
      </c>
      <c r="P42" s="5344">
        <v>0.86792452830188682</v>
      </c>
      <c r="Q42" s="5344">
        <v>0.13207547169811321</v>
      </c>
      <c r="R42" s="5345">
        <v>0</v>
      </c>
      <c r="S42" s="5344">
        <v>0.24444444444444444</v>
      </c>
      <c r="T42" s="5344">
        <v>0.53333333333333333</v>
      </c>
      <c r="U42" s="5344">
        <v>0.22222222222222221</v>
      </c>
    </row>
    <row r="43" spans="1:33" s="3890" customFormat="1" ht="14.4" customHeight="1">
      <c r="A43" s="4199" t="s">
        <v>2691</v>
      </c>
      <c r="B43" s="1834"/>
      <c r="C43" s="1834"/>
      <c r="D43" s="1834"/>
      <c r="E43" s="1834"/>
      <c r="F43" s="7087" t="s">
        <v>2167</v>
      </c>
      <c r="G43" s="7087"/>
      <c r="H43" s="4189"/>
      <c r="I43" s="7052"/>
      <c r="J43" s="7054"/>
      <c r="K43" s="5347" t="s">
        <v>476</v>
      </c>
      <c r="L43" s="5341">
        <v>235</v>
      </c>
      <c r="M43" s="5341">
        <v>94</v>
      </c>
      <c r="N43" s="5342">
        <v>84</v>
      </c>
      <c r="O43" s="5346">
        <v>0.8936170212765957</v>
      </c>
      <c r="P43" s="5344">
        <v>0.88888888888888884</v>
      </c>
      <c r="Q43" s="5344">
        <v>0.1111111111111111</v>
      </c>
      <c r="R43" s="5344">
        <v>1.4285714285714285E-2</v>
      </c>
      <c r="S43" s="5344">
        <v>7.1428571428571425E-2</v>
      </c>
      <c r="T43" s="5344">
        <v>0.21428571428571427</v>
      </c>
      <c r="U43" s="5345">
        <v>0.7</v>
      </c>
    </row>
    <row r="44" spans="1:33" s="3890" customFormat="1" ht="24">
      <c r="A44" s="3607" t="s">
        <v>0</v>
      </c>
      <c r="B44" s="3607" t="s">
        <v>1893</v>
      </c>
      <c r="C44" s="3607" t="s">
        <v>1894</v>
      </c>
      <c r="D44" s="3607" t="s">
        <v>1898</v>
      </c>
      <c r="E44" s="3632" t="s">
        <v>2169</v>
      </c>
      <c r="F44" s="4188" t="s">
        <v>907</v>
      </c>
      <c r="G44" s="3607" t="s">
        <v>908</v>
      </c>
      <c r="H44" s="4189"/>
      <c r="I44" s="7052"/>
      <c r="J44" s="7055"/>
      <c r="K44" s="5348" t="s">
        <v>15</v>
      </c>
      <c r="L44" s="5335">
        <f>SUM(L34:L43)</f>
        <v>1692</v>
      </c>
      <c r="M44" s="5335">
        <f>SUM(M34:M43)</f>
        <v>767</v>
      </c>
      <c r="N44" s="5349">
        <v>558</v>
      </c>
      <c r="O44" s="5350">
        <v>0.72750977835723607</v>
      </c>
      <c r="P44" s="5351">
        <v>0.8040665434380776</v>
      </c>
      <c r="Q44" s="5351">
        <v>0.19593345656192238</v>
      </c>
      <c r="R44" s="5351">
        <v>4.245283018867925E-2</v>
      </c>
      <c r="S44" s="5351">
        <v>0.12264150943396226</v>
      </c>
      <c r="T44" s="5352">
        <v>0.37971698113207547</v>
      </c>
      <c r="U44" s="5351">
        <v>0.455188679245283</v>
      </c>
    </row>
    <row r="45" spans="1:33" s="3890" customFormat="1">
      <c r="A45" s="3533" t="s">
        <v>3</v>
      </c>
      <c r="B45" s="2545">
        <v>2802</v>
      </c>
      <c r="C45" s="3534">
        <v>1301</v>
      </c>
      <c r="D45" s="2545">
        <v>1301</v>
      </c>
      <c r="E45" s="3535">
        <f t="shared" ref="E45:E50" si="1">D45*100/C45</f>
        <v>100</v>
      </c>
      <c r="F45" s="3536">
        <v>0.78800000000000003</v>
      </c>
      <c r="G45" s="3536">
        <v>0.21199999999999999</v>
      </c>
      <c r="H45" s="4189"/>
      <c r="I45" s="7052"/>
      <c r="J45" s="7056" t="s">
        <v>2171</v>
      </c>
      <c r="K45" s="5347" t="s">
        <v>17</v>
      </c>
      <c r="L45" s="5341">
        <v>565</v>
      </c>
      <c r="M45" s="5341">
        <v>210</v>
      </c>
      <c r="N45" s="5342">
        <v>174</v>
      </c>
      <c r="O45" s="5346">
        <v>0.82857142857142863</v>
      </c>
      <c r="P45" s="5345">
        <v>0.80952380952380953</v>
      </c>
      <c r="Q45" s="5345">
        <v>0.19047619047619047</v>
      </c>
      <c r="R45" s="5344">
        <v>2.3255813953488372E-2</v>
      </c>
      <c r="S45" s="5344">
        <v>0.1705426356589147</v>
      </c>
      <c r="T45" s="5344">
        <v>0.51162790697674421</v>
      </c>
      <c r="U45" s="5344">
        <v>0.29457364341085274</v>
      </c>
    </row>
    <row r="46" spans="1:33" s="3890" customFormat="1">
      <c r="A46" s="3533" t="s">
        <v>59</v>
      </c>
      <c r="B46" s="2545">
        <v>285</v>
      </c>
      <c r="C46" s="3534">
        <v>285</v>
      </c>
      <c r="D46" s="2545">
        <v>222</v>
      </c>
      <c r="E46" s="3535">
        <f t="shared" si="1"/>
        <v>77.89473684210526</v>
      </c>
      <c r="F46" s="3536">
        <v>0.73899999999999999</v>
      </c>
      <c r="G46" s="3536">
        <v>0.26100000000000001</v>
      </c>
      <c r="H46" s="4189"/>
      <c r="I46" s="7052"/>
      <c r="J46" s="7056"/>
      <c r="K46" s="5347" t="s">
        <v>18</v>
      </c>
      <c r="L46" s="5341">
        <v>897</v>
      </c>
      <c r="M46" s="5341">
        <v>333</v>
      </c>
      <c r="N46" s="5342">
        <v>290</v>
      </c>
      <c r="O46" s="5346">
        <v>0.87087087087087089</v>
      </c>
      <c r="P46" s="5345">
        <v>0.73992673992673996</v>
      </c>
      <c r="Q46" s="5345">
        <v>0.26007326007326009</v>
      </c>
      <c r="R46" s="5344">
        <v>6.6666666666666666E-2</v>
      </c>
      <c r="S46" s="5344">
        <v>6.6666666666666666E-2</v>
      </c>
      <c r="T46" s="5344">
        <v>0.26153846153846155</v>
      </c>
      <c r="U46" s="5344">
        <v>0.60512820512820509</v>
      </c>
    </row>
    <row r="47" spans="1:33" s="3890" customFormat="1">
      <c r="A47" s="3533" t="s">
        <v>25</v>
      </c>
      <c r="B47" s="2545">
        <v>2309</v>
      </c>
      <c r="C47" s="3534">
        <v>1305</v>
      </c>
      <c r="D47" s="2545">
        <v>1141</v>
      </c>
      <c r="E47" s="3535">
        <f t="shared" si="1"/>
        <v>87.432950191570882</v>
      </c>
      <c r="F47" s="3536">
        <v>0.64600000000000002</v>
      </c>
      <c r="G47" s="3536">
        <v>0.35399999999999998</v>
      </c>
      <c r="H47" s="4189"/>
      <c r="I47" s="7052"/>
      <c r="J47" s="7056"/>
      <c r="K47" s="5347" t="s">
        <v>19</v>
      </c>
      <c r="L47" s="5341">
        <v>223</v>
      </c>
      <c r="M47" s="5341">
        <v>83</v>
      </c>
      <c r="N47" s="5342">
        <v>70</v>
      </c>
      <c r="O47" s="5346">
        <v>0.84337349397590355</v>
      </c>
      <c r="P47" s="5344">
        <v>0.83582089552238803</v>
      </c>
      <c r="Q47" s="5344">
        <v>0.16417910447761194</v>
      </c>
      <c r="R47" s="5344">
        <v>0.13207547169811321</v>
      </c>
      <c r="S47" s="5344">
        <v>0.15094339622641509</v>
      </c>
      <c r="T47" s="5344">
        <v>0.49056603773584906</v>
      </c>
      <c r="U47" s="5344">
        <v>0.22641509433962267</v>
      </c>
    </row>
    <row r="48" spans="1:33" s="3890" customFormat="1">
      <c r="A48" s="3533" t="s">
        <v>240</v>
      </c>
      <c r="B48" s="2545">
        <v>30</v>
      </c>
      <c r="C48" s="3534">
        <v>30</v>
      </c>
      <c r="D48" s="2545">
        <v>30</v>
      </c>
      <c r="E48" s="3535">
        <f t="shared" si="1"/>
        <v>100</v>
      </c>
      <c r="F48" s="3536">
        <v>0.65500000000000003</v>
      </c>
      <c r="G48" s="3536">
        <v>0.34499999999999997</v>
      </c>
      <c r="H48" s="4189"/>
      <c r="I48" s="7052"/>
      <c r="J48" s="7056"/>
      <c r="K48" s="5347" t="s">
        <v>20</v>
      </c>
      <c r="L48" s="5341">
        <v>263</v>
      </c>
      <c r="M48" s="5341">
        <v>98</v>
      </c>
      <c r="N48" s="5342">
        <v>79</v>
      </c>
      <c r="O48" s="5346">
        <v>0.80612244897959184</v>
      </c>
      <c r="P48" s="5344">
        <v>0.65384615384615385</v>
      </c>
      <c r="Q48" s="5344">
        <v>0.34615384615384615</v>
      </c>
      <c r="R48" s="5344">
        <v>0.17647058823529413</v>
      </c>
      <c r="S48" s="5344">
        <v>0.19607843137254904</v>
      </c>
      <c r="T48" s="5344">
        <v>0.37254901960784315</v>
      </c>
      <c r="U48" s="5344">
        <v>0.25490196078431371</v>
      </c>
    </row>
    <row r="49" spans="1:21" s="3890" customFormat="1" ht="22.2" customHeight="1">
      <c r="A49" s="3533" t="s">
        <v>48</v>
      </c>
      <c r="B49" s="2545">
        <v>4739</v>
      </c>
      <c r="C49" s="3534">
        <v>1689</v>
      </c>
      <c r="D49" s="2545">
        <v>1689</v>
      </c>
      <c r="E49" s="3535">
        <f t="shared" si="1"/>
        <v>100</v>
      </c>
      <c r="F49" s="3537">
        <v>0.70899999999999996</v>
      </c>
      <c r="G49" s="3537">
        <v>0.29099999999999998</v>
      </c>
      <c r="H49" s="4189"/>
      <c r="I49" s="7052"/>
      <c r="J49" s="7056"/>
      <c r="K49" s="5348" t="s">
        <v>15</v>
      </c>
      <c r="L49" s="5335">
        <f>SUM(L45:L48)</f>
        <v>1948</v>
      </c>
      <c r="M49" s="5335">
        <f>SUM(M45:M48)</f>
        <v>724</v>
      </c>
      <c r="N49" s="5349">
        <v>613</v>
      </c>
      <c r="O49" s="5350">
        <v>0.84668508287292821</v>
      </c>
      <c r="P49" s="5351">
        <v>0.75938566552901021</v>
      </c>
      <c r="Q49" s="5351">
        <v>0.24061433447098979</v>
      </c>
      <c r="R49" s="5351">
        <v>7.476635514018691E-2</v>
      </c>
      <c r="S49" s="5351">
        <v>0.12383177570093458</v>
      </c>
      <c r="T49" s="5351">
        <v>0.37850467289719625</v>
      </c>
      <c r="U49" s="5351">
        <v>0.42289719626168226</v>
      </c>
    </row>
    <row r="50" spans="1:21" s="3890" customFormat="1">
      <c r="A50" s="3633" t="s">
        <v>15</v>
      </c>
      <c r="B50" s="3607">
        <v>10165</v>
      </c>
      <c r="C50" s="3634">
        <v>4397</v>
      </c>
      <c r="D50" s="3607">
        <v>4383</v>
      </c>
      <c r="E50" s="3635">
        <f t="shared" si="1"/>
        <v>99.681601091653405</v>
      </c>
      <c r="F50" s="3540">
        <v>0.71699999999999997</v>
      </c>
      <c r="G50" s="3636">
        <v>0.28299999999999997</v>
      </c>
      <c r="H50" s="4189"/>
      <c r="I50" s="7052"/>
      <c r="J50" s="7056" t="s">
        <v>2172</v>
      </c>
      <c r="K50" s="5347" t="s">
        <v>22</v>
      </c>
      <c r="L50" s="5341">
        <v>362</v>
      </c>
      <c r="M50" s="5341">
        <v>189</v>
      </c>
      <c r="N50" s="5342">
        <v>117</v>
      </c>
      <c r="O50" s="5346">
        <v>0.61904761904761907</v>
      </c>
      <c r="P50" s="5345">
        <v>0.8</v>
      </c>
      <c r="Q50" s="5345">
        <v>0.2</v>
      </c>
      <c r="R50" s="5344">
        <v>3.3333333333333333E-2</v>
      </c>
      <c r="S50" s="5344">
        <v>3.3333333333333333E-2</v>
      </c>
      <c r="T50" s="5344">
        <v>0.26666666666666666</v>
      </c>
      <c r="U50" s="5344">
        <v>0.66666666666666652</v>
      </c>
    </row>
    <row r="51" spans="1:21" s="3890" customFormat="1">
      <c r="A51" s="4189"/>
      <c r="B51" s="4189"/>
      <c r="C51" s="4189"/>
      <c r="D51" s="4189"/>
      <c r="E51" s="4189"/>
      <c r="F51" s="4189"/>
      <c r="G51" s="4189"/>
      <c r="H51" s="4189"/>
      <c r="I51" s="7052"/>
      <c r="J51" s="7056"/>
      <c r="K51" s="5347" t="s">
        <v>23</v>
      </c>
      <c r="L51" s="5341">
        <v>396</v>
      </c>
      <c r="M51" s="5341">
        <v>207</v>
      </c>
      <c r="N51" s="5342">
        <v>151</v>
      </c>
      <c r="O51" s="5346">
        <v>0.72946859903381633</v>
      </c>
      <c r="P51" s="5344">
        <v>0.78082191780821919</v>
      </c>
      <c r="Q51" s="5344">
        <v>0.21917808219178081</v>
      </c>
      <c r="R51" s="5344">
        <v>2.7522935779816519E-2</v>
      </c>
      <c r="S51" s="5344">
        <v>7.3394495412844041E-2</v>
      </c>
      <c r="T51" s="5344">
        <v>0.39449541284403672</v>
      </c>
      <c r="U51" s="5344">
        <v>0.50458715596330272</v>
      </c>
    </row>
    <row r="52" spans="1:21" s="3890" customFormat="1">
      <c r="A52" s="4189"/>
      <c r="B52" s="4189"/>
      <c r="C52" s="4189"/>
      <c r="D52" s="4189"/>
      <c r="E52" s="4189"/>
      <c r="F52" s="4189"/>
      <c r="G52" s="4189"/>
      <c r="H52" s="4189"/>
      <c r="I52" s="7052"/>
      <c r="J52" s="7056"/>
      <c r="K52" s="5347" t="s">
        <v>24</v>
      </c>
      <c r="L52" s="5341">
        <v>293</v>
      </c>
      <c r="M52" s="5341">
        <v>154</v>
      </c>
      <c r="N52" s="5342">
        <v>95</v>
      </c>
      <c r="O52" s="5346">
        <v>0.61688311688311681</v>
      </c>
      <c r="P52" s="5344">
        <v>0.7528089887640449</v>
      </c>
      <c r="Q52" s="5344">
        <v>0.24719101123595505</v>
      </c>
      <c r="R52" s="5344">
        <v>4.7619047619047616E-2</v>
      </c>
      <c r="S52" s="5344">
        <v>0.1111111111111111</v>
      </c>
      <c r="T52" s="5344">
        <v>0.38095238095238093</v>
      </c>
      <c r="U52" s="5345">
        <v>0.46031746031746029</v>
      </c>
    </row>
    <row r="53" spans="1:21" s="3890" customFormat="1">
      <c r="A53" s="4199" t="s">
        <v>2692</v>
      </c>
      <c r="B53" s="1834"/>
      <c r="C53" s="1834"/>
      <c r="D53" s="1834"/>
      <c r="E53" s="1834"/>
      <c r="F53" s="7088" t="s">
        <v>2167</v>
      </c>
      <c r="G53" s="7088"/>
      <c r="H53" s="4189"/>
      <c r="I53" s="7052"/>
      <c r="J53" s="7056"/>
      <c r="K53" s="5348" t="s">
        <v>15</v>
      </c>
      <c r="L53" s="5335">
        <f>SUM(L50:L52)</f>
        <v>1051</v>
      </c>
      <c r="M53" s="5335">
        <f>SUM(M50:M52)</f>
        <v>550</v>
      </c>
      <c r="N53" s="5349">
        <v>363</v>
      </c>
      <c r="O53" s="5353">
        <v>0.66</v>
      </c>
      <c r="P53" s="5352">
        <v>0.78</v>
      </c>
      <c r="Q53" s="5352">
        <v>0.22</v>
      </c>
      <c r="R53" s="5351">
        <v>3.4351145038167941E-2</v>
      </c>
      <c r="S53" s="5351">
        <v>6.8702290076335881E-2</v>
      </c>
      <c r="T53" s="5351">
        <v>0.34732824427480918</v>
      </c>
      <c r="U53" s="5352">
        <v>0.54961832061068705</v>
      </c>
    </row>
    <row r="54" spans="1:21" s="3890" customFormat="1" ht="24">
      <c r="A54" s="2525" t="s">
        <v>1897</v>
      </c>
      <c r="B54" s="2525" t="s">
        <v>1893</v>
      </c>
      <c r="C54" s="2525" t="s">
        <v>1894</v>
      </c>
      <c r="D54" s="2525" t="s">
        <v>1898</v>
      </c>
      <c r="E54" s="2524" t="s">
        <v>2169</v>
      </c>
      <c r="F54" s="1836" t="s">
        <v>907</v>
      </c>
      <c r="G54" s="2525" t="s">
        <v>908</v>
      </c>
      <c r="H54" s="4189"/>
      <c r="I54" s="7052" t="s">
        <v>25</v>
      </c>
      <c r="J54" s="7053" t="s">
        <v>2176</v>
      </c>
      <c r="K54" s="5347" t="s">
        <v>479</v>
      </c>
      <c r="L54" s="5341">
        <v>108</v>
      </c>
      <c r="M54" s="5341">
        <v>83</v>
      </c>
      <c r="N54" s="5342">
        <v>60</v>
      </c>
      <c r="O54" s="5346">
        <v>0.72289156626506024</v>
      </c>
      <c r="P54" s="5344">
        <v>0.75862068965517238</v>
      </c>
      <c r="Q54" s="5344">
        <v>0.24137931034482757</v>
      </c>
      <c r="R54" s="5345">
        <v>0</v>
      </c>
      <c r="S54" s="5344">
        <v>0.13953488372093023</v>
      </c>
      <c r="T54" s="5344">
        <v>0.44186046511627908</v>
      </c>
      <c r="U54" s="5344">
        <v>0.41860465116279072</v>
      </c>
    </row>
    <row r="55" spans="1:21" s="3890" customFormat="1">
      <c r="A55" s="2530" t="s">
        <v>3</v>
      </c>
      <c r="B55" s="2531">
        <v>2802</v>
      </c>
      <c r="C55" s="2532">
        <v>1283</v>
      </c>
      <c r="D55" s="2531">
        <v>1119</v>
      </c>
      <c r="E55" s="2533">
        <f t="shared" ref="E55:E60" si="2">D55*100/C55</f>
        <v>87.217459080280591</v>
      </c>
      <c r="F55" s="2534">
        <v>0.78799249530956839</v>
      </c>
      <c r="G55" s="2534">
        <v>0.2120075046904315</v>
      </c>
      <c r="H55" s="4189"/>
      <c r="I55" s="7052"/>
      <c r="J55" s="7054"/>
      <c r="K55" s="5347" t="s">
        <v>678</v>
      </c>
      <c r="L55" s="5341">
        <v>21</v>
      </c>
      <c r="M55" s="5341">
        <v>21</v>
      </c>
      <c r="N55" s="5342">
        <v>16</v>
      </c>
      <c r="O55" s="5346">
        <v>0.76190476190476186</v>
      </c>
      <c r="P55" s="5344">
        <v>0.7857142857142857</v>
      </c>
      <c r="Q55" s="5344">
        <v>0.21428571428571427</v>
      </c>
      <c r="R55" s="5344">
        <v>9.0909090909090912E-2</v>
      </c>
      <c r="S55" s="5344">
        <v>0.27272727272727271</v>
      </c>
      <c r="T55" s="5344">
        <v>9.0909090909090912E-2</v>
      </c>
      <c r="U55" s="5344">
        <v>0.54545454545454541</v>
      </c>
    </row>
    <row r="56" spans="1:21" s="3890" customFormat="1">
      <c r="A56" s="2535" t="s">
        <v>59</v>
      </c>
      <c r="B56" s="2536">
        <v>285</v>
      </c>
      <c r="C56" s="2537">
        <v>285</v>
      </c>
      <c r="D56" s="2536">
        <v>192</v>
      </c>
      <c r="E56" s="2538">
        <f t="shared" si="2"/>
        <v>67.368421052631575</v>
      </c>
      <c r="F56" s="2539">
        <v>0.75977653631284925</v>
      </c>
      <c r="G56" s="2539">
        <v>0.24022346368715083</v>
      </c>
      <c r="H56" s="4189"/>
      <c r="I56" s="7052"/>
      <c r="J56" s="7054"/>
      <c r="K56" s="5347" t="s">
        <v>478</v>
      </c>
      <c r="L56" s="5341">
        <v>101</v>
      </c>
      <c r="M56" s="5341">
        <v>68</v>
      </c>
      <c r="N56" s="5342">
        <v>51</v>
      </c>
      <c r="O56" s="5343">
        <v>0.75</v>
      </c>
      <c r="P56" s="5344">
        <v>0.63829787234042556</v>
      </c>
      <c r="Q56" s="5344">
        <v>0.36170212765957449</v>
      </c>
      <c r="R56" s="5344">
        <v>0.17241379310344829</v>
      </c>
      <c r="S56" s="5344">
        <v>0.10344827586206896</v>
      </c>
      <c r="T56" s="5344">
        <v>0.48275862068965514</v>
      </c>
      <c r="U56" s="5344">
        <v>0.24137931034482757</v>
      </c>
    </row>
    <row r="57" spans="1:21" s="3890" customFormat="1">
      <c r="A57" s="2535" t="s">
        <v>25</v>
      </c>
      <c r="B57" s="2536">
        <v>2309</v>
      </c>
      <c r="C57" s="2537">
        <v>1305</v>
      </c>
      <c r="D57" s="2536">
        <v>956</v>
      </c>
      <c r="E57" s="2538">
        <f t="shared" si="2"/>
        <v>73.256704980842912</v>
      </c>
      <c r="F57" s="2539">
        <v>0.63806380638063809</v>
      </c>
      <c r="G57" s="2539">
        <v>0.36193619361936191</v>
      </c>
      <c r="H57" s="4189"/>
      <c r="I57" s="7052"/>
      <c r="J57" s="7054"/>
      <c r="K57" s="5347" t="s">
        <v>261</v>
      </c>
      <c r="L57" s="5341">
        <v>96</v>
      </c>
      <c r="M57" s="5341">
        <v>78</v>
      </c>
      <c r="N57" s="5342">
        <v>42</v>
      </c>
      <c r="O57" s="5346">
        <v>0.53846153846153844</v>
      </c>
      <c r="P57" s="5344">
        <v>0.65853658536585369</v>
      </c>
      <c r="Q57" s="5344">
        <v>0.34146341463414637</v>
      </c>
      <c r="R57" s="5345">
        <v>0</v>
      </c>
      <c r="S57" s="5344">
        <v>0.19230769230769235</v>
      </c>
      <c r="T57" s="5344">
        <v>0.38461538461538469</v>
      </c>
      <c r="U57" s="5344">
        <v>0.42307692307692307</v>
      </c>
    </row>
    <row r="58" spans="1:21" s="3890" customFormat="1">
      <c r="A58" s="2535" t="s">
        <v>240</v>
      </c>
      <c r="B58" s="2536">
        <v>30</v>
      </c>
      <c r="C58" s="2537">
        <v>30</v>
      </c>
      <c r="D58" s="2536">
        <v>24</v>
      </c>
      <c r="E58" s="2538">
        <f t="shared" si="2"/>
        <v>80</v>
      </c>
      <c r="F58" s="2539">
        <v>0.59090909090909094</v>
      </c>
      <c r="G58" s="2539">
        <v>0.40909090909090906</v>
      </c>
      <c r="H58" s="4189"/>
      <c r="I58" s="7052"/>
      <c r="J58" s="7054"/>
      <c r="K58" s="5347" t="s">
        <v>29</v>
      </c>
      <c r="L58" s="5341">
        <v>78</v>
      </c>
      <c r="M58" s="5341">
        <v>78</v>
      </c>
      <c r="N58" s="5342">
        <v>45</v>
      </c>
      <c r="O58" s="5346">
        <v>0.57692307692307698</v>
      </c>
      <c r="P58" s="5344">
        <v>0.53488372093023251</v>
      </c>
      <c r="Q58" s="5344">
        <v>0.46511627906976744</v>
      </c>
      <c r="R58" s="5344">
        <v>0.18181818181818182</v>
      </c>
      <c r="S58" s="5344">
        <v>4.5454545454545456E-2</v>
      </c>
      <c r="T58" s="5344">
        <v>0.45454545454545453</v>
      </c>
      <c r="U58" s="5344">
        <v>0.31818181818181818</v>
      </c>
    </row>
    <row r="59" spans="1:21" s="3890" customFormat="1">
      <c r="A59" s="2540" t="s">
        <v>48</v>
      </c>
      <c r="B59" s="2541">
        <v>4739</v>
      </c>
      <c r="C59" s="2542">
        <v>1494</v>
      </c>
      <c r="D59" s="2541">
        <v>1587</v>
      </c>
      <c r="E59" s="2543">
        <f t="shared" si="2"/>
        <v>106.22489959839358</v>
      </c>
      <c r="F59" s="2544">
        <v>0.70838881491344874</v>
      </c>
      <c r="G59" s="2544">
        <v>0.29161118508655126</v>
      </c>
      <c r="H59" s="4189"/>
      <c r="I59" s="7052"/>
      <c r="J59" s="7054"/>
      <c r="K59" s="5347" t="s">
        <v>677</v>
      </c>
      <c r="L59" s="5341">
        <v>83</v>
      </c>
      <c r="M59" s="5341">
        <v>83</v>
      </c>
      <c r="N59" s="5342">
        <v>54</v>
      </c>
      <c r="O59" s="5346">
        <v>0.6506024096385542</v>
      </c>
      <c r="P59" s="5344">
        <v>0.80392156862745101</v>
      </c>
      <c r="Q59" s="5344">
        <v>0.19607843137254904</v>
      </c>
      <c r="R59" s="5344">
        <v>8.1081081081081086E-2</v>
      </c>
      <c r="S59" s="5344">
        <v>0.3783783783783784</v>
      </c>
      <c r="T59" s="5344">
        <v>0.29729729729729731</v>
      </c>
      <c r="U59" s="5344">
        <v>0.24324324324324326</v>
      </c>
    </row>
    <row r="60" spans="1:21" s="3890" customFormat="1" ht="14.4" customHeight="1">
      <c r="A60" s="2526" t="s">
        <v>15</v>
      </c>
      <c r="B60" s="2525">
        <f>SUM(B55:B59)</f>
        <v>10165</v>
      </c>
      <c r="C60" s="2527">
        <f>SUM(C55:C59)</f>
        <v>4397</v>
      </c>
      <c r="D60" s="2525">
        <f>SUM(D55:D59)</f>
        <v>3878</v>
      </c>
      <c r="E60" s="2528">
        <f t="shared" si="2"/>
        <v>88.196497612008187</v>
      </c>
      <c r="F60" s="1835">
        <v>0.71587819467101677</v>
      </c>
      <c r="G60" s="2529">
        <v>0.28412180532898312</v>
      </c>
      <c r="H60" s="4189"/>
      <c r="I60" s="7052"/>
      <c r="J60" s="7054"/>
      <c r="K60" s="5347" t="s">
        <v>30</v>
      </c>
      <c r="L60" s="5341">
        <v>53</v>
      </c>
      <c r="M60" s="5341">
        <v>53</v>
      </c>
      <c r="N60" s="5342">
        <v>32</v>
      </c>
      <c r="O60" s="5346">
        <v>0.60377358490566035</v>
      </c>
      <c r="P60" s="5344">
        <v>0.66666666666666652</v>
      </c>
      <c r="Q60" s="5344">
        <v>0.33333333333333326</v>
      </c>
      <c r="R60" s="5344">
        <v>5.8823529411764698E-2</v>
      </c>
      <c r="S60" s="5344">
        <v>0.1176470588235294</v>
      </c>
      <c r="T60" s="5344">
        <v>0.41176470588235292</v>
      </c>
      <c r="U60" s="5344">
        <v>0.41176470588235292</v>
      </c>
    </row>
    <row r="61" spans="1:21" s="3890" customFormat="1">
      <c r="A61" s="4189"/>
      <c r="B61" s="4189"/>
      <c r="C61" s="4189"/>
      <c r="D61" s="4189"/>
      <c r="E61" s="4189"/>
      <c r="F61" s="4189"/>
      <c r="G61" s="4189"/>
      <c r="H61" s="4189"/>
      <c r="I61" s="7052"/>
      <c r="J61" s="7054"/>
      <c r="K61" s="5347" t="s">
        <v>31</v>
      </c>
      <c r="L61" s="5341">
        <v>54</v>
      </c>
      <c r="M61" s="5341">
        <v>54</v>
      </c>
      <c r="N61" s="5342">
        <v>27</v>
      </c>
      <c r="O61" s="5343">
        <v>0.5</v>
      </c>
      <c r="P61" s="5344">
        <v>0.38461538461538469</v>
      </c>
      <c r="Q61" s="5344">
        <v>0.61538461538461542</v>
      </c>
      <c r="R61" s="5345">
        <v>0.1</v>
      </c>
      <c r="S61" s="5345">
        <v>0.1</v>
      </c>
      <c r="T61" s="5345">
        <v>0.3</v>
      </c>
      <c r="U61" s="5345">
        <v>0.5</v>
      </c>
    </row>
    <row r="62" spans="1:21" s="3890" customFormat="1">
      <c r="A62" s="4189"/>
      <c r="B62" s="4189"/>
      <c r="C62" s="4189"/>
      <c r="D62" s="4189"/>
      <c r="E62" s="4189"/>
      <c r="F62" s="4189"/>
      <c r="G62" s="4189"/>
      <c r="H62" s="4189"/>
      <c r="I62" s="7052"/>
      <c r="J62" s="7054"/>
      <c r="K62" s="5347" t="s">
        <v>32</v>
      </c>
      <c r="L62" s="5341">
        <v>118</v>
      </c>
      <c r="M62" s="5341">
        <v>80</v>
      </c>
      <c r="N62" s="5342">
        <v>53</v>
      </c>
      <c r="O62" s="5346">
        <v>0.66249999999999998</v>
      </c>
      <c r="P62" s="5344">
        <v>0.76470588235294112</v>
      </c>
      <c r="Q62" s="5344">
        <v>0.23529411764705879</v>
      </c>
      <c r="R62" s="5344">
        <v>2.6315789473684209E-2</v>
      </c>
      <c r="S62" s="5344">
        <v>5.2631578947368418E-2</v>
      </c>
      <c r="T62" s="5344">
        <v>0.36842105263157893</v>
      </c>
      <c r="U62" s="5344">
        <v>0.55263157894736847</v>
      </c>
    </row>
    <row r="63" spans="1:21" s="3890" customFormat="1">
      <c r="A63" s="416" t="s">
        <v>2693</v>
      </c>
      <c r="B63" s="4189"/>
      <c r="C63" s="4189"/>
      <c r="D63" s="4189"/>
      <c r="E63" s="4189"/>
      <c r="F63" s="7089" t="s">
        <v>2167</v>
      </c>
      <c r="G63" s="7089"/>
      <c r="H63" s="4189"/>
      <c r="I63" s="7052"/>
      <c r="J63" s="7055"/>
      <c r="K63" s="5348" t="s">
        <v>15</v>
      </c>
      <c r="L63" s="5335">
        <f>SUM(L54:L62)</f>
        <v>712</v>
      </c>
      <c r="M63" s="5335">
        <f>SUM(M54:M62)</f>
        <v>598</v>
      </c>
      <c r="N63" s="5349">
        <v>380</v>
      </c>
      <c r="O63" s="5350">
        <v>0.63545150501672243</v>
      </c>
      <c r="P63" s="5351">
        <v>0.67877094972067042</v>
      </c>
      <c r="Q63" s="5351">
        <v>0.32122905027932963</v>
      </c>
      <c r="R63" s="5351">
        <v>6.8669527896995708E-2</v>
      </c>
      <c r="S63" s="5351">
        <v>0.15879828326180256</v>
      </c>
      <c r="T63" s="5351">
        <v>0.38197424892703863</v>
      </c>
      <c r="U63" s="5351">
        <v>0.3905579399141631</v>
      </c>
    </row>
    <row r="64" spans="1:21" s="3890" customFormat="1">
      <c r="A64" s="1632" t="s">
        <v>1897</v>
      </c>
      <c r="B64" s="1632" t="s">
        <v>1893</v>
      </c>
      <c r="C64" s="1515" t="s">
        <v>1894</v>
      </c>
      <c r="D64" s="1632" t="s">
        <v>1898</v>
      </c>
      <c r="E64" s="1633" t="s">
        <v>2169</v>
      </c>
      <c r="F64" s="1634" t="s">
        <v>907</v>
      </c>
      <c r="G64" s="1634" t="s">
        <v>908</v>
      </c>
      <c r="H64" s="4189"/>
      <c r="I64" s="7052"/>
      <c r="J64" s="7053" t="s">
        <v>2171</v>
      </c>
      <c r="K64" s="5347" t="s">
        <v>17</v>
      </c>
      <c r="L64" s="5341">
        <v>421</v>
      </c>
      <c r="M64" s="5341">
        <v>170</v>
      </c>
      <c r="N64" s="5342">
        <v>107</v>
      </c>
      <c r="O64" s="5346">
        <v>0.62941176470588234</v>
      </c>
      <c r="P64" s="5344">
        <v>0.80392156862745101</v>
      </c>
      <c r="Q64" s="5344">
        <v>0.19607843137254904</v>
      </c>
      <c r="R64" s="5345">
        <v>0.05</v>
      </c>
      <c r="S64" s="5345">
        <v>0.2</v>
      </c>
      <c r="T64" s="5344">
        <v>0.41249999999999998</v>
      </c>
      <c r="U64" s="5344">
        <v>0.33750000000000002</v>
      </c>
    </row>
    <row r="65" spans="1:21" s="3890" customFormat="1">
      <c r="A65" s="2549" t="s">
        <v>3</v>
      </c>
      <c r="B65" s="2549">
        <v>1191</v>
      </c>
      <c r="C65" s="2550">
        <v>599</v>
      </c>
      <c r="D65" s="2549">
        <v>597</v>
      </c>
      <c r="E65" s="2551">
        <v>99.7</v>
      </c>
      <c r="F65" s="2552">
        <v>79.5</v>
      </c>
      <c r="G65" s="2552">
        <v>20.5</v>
      </c>
      <c r="H65" s="4189"/>
      <c r="I65" s="7052"/>
      <c r="J65" s="7054"/>
      <c r="K65" s="5347" t="s">
        <v>33</v>
      </c>
      <c r="L65" s="5341">
        <v>96</v>
      </c>
      <c r="M65" s="5341">
        <v>54</v>
      </c>
      <c r="N65" s="5342">
        <v>27</v>
      </c>
      <c r="O65" s="5343">
        <v>0.5</v>
      </c>
      <c r="P65" s="5345">
        <v>0.5</v>
      </c>
      <c r="Q65" s="5345">
        <v>0.5</v>
      </c>
      <c r="R65" s="5344">
        <v>0.23076923076923075</v>
      </c>
      <c r="S65" s="5344">
        <v>7.6923076923076927E-2</v>
      </c>
      <c r="T65" s="5344">
        <v>0.61538461538461542</v>
      </c>
      <c r="U65" s="5344">
        <v>7.6923076923076927E-2</v>
      </c>
    </row>
    <row r="66" spans="1:21" s="3890" customFormat="1">
      <c r="A66" s="2553" t="s">
        <v>59</v>
      </c>
      <c r="B66" s="2553">
        <v>124</v>
      </c>
      <c r="C66" s="2554">
        <v>124</v>
      </c>
      <c r="D66" s="2553">
        <v>86</v>
      </c>
      <c r="E66" s="2555">
        <v>69.400000000000006</v>
      </c>
      <c r="F66" s="2556">
        <v>81.400000000000006</v>
      </c>
      <c r="G66" s="2556">
        <v>18.600000000000001</v>
      </c>
      <c r="H66" s="4189"/>
      <c r="I66" s="7052"/>
      <c r="J66" s="7054"/>
      <c r="K66" s="5347" t="s">
        <v>34</v>
      </c>
      <c r="L66" s="5341">
        <v>83</v>
      </c>
      <c r="M66" s="5341">
        <v>64</v>
      </c>
      <c r="N66" s="5342">
        <v>29</v>
      </c>
      <c r="O66" s="5346">
        <v>0.453125</v>
      </c>
      <c r="P66" s="5344">
        <v>0.72413793103448265</v>
      </c>
      <c r="Q66" s="5344">
        <v>0.27586206896551724</v>
      </c>
      <c r="R66" s="5345">
        <v>0.05</v>
      </c>
      <c r="S66" s="5345">
        <v>0.15</v>
      </c>
      <c r="T66" s="5345">
        <v>0.35</v>
      </c>
      <c r="U66" s="5345">
        <v>0.45</v>
      </c>
    </row>
    <row r="67" spans="1:21" s="3890" customFormat="1">
      <c r="A67" s="2553" t="s">
        <v>25</v>
      </c>
      <c r="B67" s="2553">
        <v>1077</v>
      </c>
      <c r="C67" s="2554">
        <v>623</v>
      </c>
      <c r="D67" s="2553">
        <v>511</v>
      </c>
      <c r="E67" s="2555">
        <v>82</v>
      </c>
      <c r="F67" s="2556">
        <v>66.5</v>
      </c>
      <c r="G67" s="2556">
        <v>33.5</v>
      </c>
      <c r="H67" s="4189"/>
      <c r="I67" s="7052"/>
      <c r="J67" s="7054"/>
      <c r="K67" s="5347" t="s">
        <v>35</v>
      </c>
      <c r="L67" s="5341">
        <v>116</v>
      </c>
      <c r="M67" s="5341">
        <v>47</v>
      </c>
      <c r="N67" s="5342">
        <v>35</v>
      </c>
      <c r="O67" s="5346">
        <v>0.74468085106382975</v>
      </c>
      <c r="P67" s="5344">
        <v>0.67647058823529416</v>
      </c>
      <c r="Q67" s="5344">
        <v>0.32352941176470584</v>
      </c>
      <c r="R67" s="5344">
        <v>0.375</v>
      </c>
      <c r="S67" s="5345">
        <v>0.25</v>
      </c>
      <c r="T67" s="5344">
        <v>0.16666666666666663</v>
      </c>
      <c r="U67" s="5344">
        <v>0.20833333333333337</v>
      </c>
    </row>
    <row r="68" spans="1:21" s="3890" customFormat="1">
      <c r="A68" s="2553" t="s">
        <v>48</v>
      </c>
      <c r="B68" s="2553">
        <v>2352</v>
      </c>
      <c r="C68" s="2554">
        <v>737</v>
      </c>
      <c r="D68" s="2553">
        <v>824</v>
      </c>
      <c r="E68" s="2555">
        <v>100</v>
      </c>
      <c r="F68" s="2556">
        <v>74.5</v>
      </c>
      <c r="G68" s="2556">
        <v>25.5</v>
      </c>
      <c r="H68" s="4189"/>
      <c r="I68" s="7052"/>
      <c r="J68" s="7054"/>
      <c r="K68" s="5347" t="s">
        <v>19</v>
      </c>
      <c r="L68" s="5341">
        <v>134</v>
      </c>
      <c r="M68" s="5341">
        <v>54</v>
      </c>
      <c r="N68" s="5342">
        <v>42</v>
      </c>
      <c r="O68" s="5346">
        <v>0.77777777777777768</v>
      </c>
      <c r="P68" s="5345">
        <v>0.78048780487804881</v>
      </c>
      <c r="Q68" s="5345">
        <v>0.21951219512195125</v>
      </c>
      <c r="R68" s="5344">
        <v>9.375E-2</v>
      </c>
      <c r="S68" s="5344">
        <v>0.1875</v>
      </c>
      <c r="T68" s="5344">
        <v>0.65625</v>
      </c>
      <c r="U68" s="5344">
        <v>6.25E-2</v>
      </c>
    </row>
    <row r="69" spans="1:21" s="3890" customFormat="1">
      <c r="A69" s="2557" t="s">
        <v>240</v>
      </c>
      <c r="B69" s="2557">
        <v>109</v>
      </c>
      <c r="C69" s="2558">
        <v>109</v>
      </c>
      <c r="D69" s="2557">
        <v>100</v>
      </c>
      <c r="E69" s="2559">
        <f>D69*100/B69</f>
        <v>91.743119266055047</v>
      </c>
      <c r="F69" s="2560">
        <v>59</v>
      </c>
      <c r="G69" s="2560">
        <v>41</v>
      </c>
      <c r="H69" s="4189"/>
      <c r="I69" s="7052"/>
      <c r="J69" s="7054"/>
      <c r="K69" s="5347" t="s">
        <v>20</v>
      </c>
      <c r="L69" s="5341">
        <v>127</v>
      </c>
      <c r="M69" s="5341">
        <v>51</v>
      </c>
      <c r="N69" s="5342">
        <v>34</v>
      </c>
      <c r="O69" s="5346">
        <v>0.66666666666666674</v>
      </c>
      <c r="P69" s="5344">
        <v>0.66666666666666652</v>
      </c>
      <c r="Q69" s="5344">
        <v>0.33333333333333326</v>
      </c>
      <c r="R69" s="5344">
        <v>0.18181818181818182</v>
      </c>
      <c r="S69" s="5344">
        <v>0.22727272727272727</v>
      </c>
      <c r="T69" s="5345">
        <v>0.5</v>
      </c>
      <c r="U69" s="5344">
        <v>9.0909090909090912E-2</v>
      </c>
    </row>
    <row r="70" spans="1:21" s="3890" customFormat="1" ht="14.4" customHeight="1">
      <c r="A70" s="2547" t="s">
        <v>15</v>
      </c>
      <c r="B70" s="2547">
        <f>SUM(B65:B69)</f>
        <v>4853</v>
      </c>
      <c r="C70" s="1662">
        <f>SUM(C65:C69)</f>
        <v>2192</v>
      </c>
      <c r="D70" s="2547">
        <f>SUM(D65:D69)</f>
        <v>2118</v>
      </c>
      <c r="E70" s="2548">
        <v>96.9</v>
      </c>
      <c r="F70" s="4190">
        <v>73.5</v>
      </c>
      <c r="G70" s="1510">
        <v>26.5</v>
      </c>
      <c r="H70" s="4189"/>
      <c r="I70" s="7052"/>
      <c r="J70" s="7054"/>
      <c r="K70" s="5347" t="s">
        <v>36</v>
      </c>
      <c r="L70" s="5341">
        <v>111</v>
      </c>
      <c r="M70" s="5341">
        <v>45</v>
      </c>
      <c r="N70" s="5342">
        <v>37</v>
      </c>
      <c r="O70" s="5346">
        <v>0.8222222222222223</v>
      </c>
      <c r="P70" s="5344">
        <v>0.63636363636363635</v>
      </c>
      <c r="Q70" s="5344">
        <v>0.36363636363636365</v>
      </c>
      <c r="R70" s="5345">
        <v>0.15</v>
      </c>
      <c r="S70" s="5345">
        <v>0</v>
      </c>
      <c r="T70" s="5345">
        <v>0.25</v>
      </c>
      <c r="U70" s="5345">
        <v>0.6</v>
      </c>
    </row>
    <row r="71" spans="1:21" s="3890" customFormat="1">
      <c r="A71" s="4189"/>
      <c r="B71" s="4189"/>
      <c r="C71" s="4189"/>
      <c r="D71" s="4189"/>
      <c r="E71" s="4189"/>
      <c r="F71" s="4189"/>
      <c r="G71" s="4189"/>
      <c r="H71" s="4189"/>
      <c r="I71" s="7052"/>
      <c r="J71" s="7054"/>
      <c r="K71" s="5347" t="s">
        <v>480</v>
      </c>
      <c r="L71" s="5341">
        <v>67</v>
      </c>
      <c r="M71" s="5341">
        <v>67</v>
      </c>
      <c r="N71" s="5342">
        <v>22</v>
      </c>
      <c r="O71" s="5346">
        <v>0.32835820895522388</v>
      </c>
      <c r="P71" s="5344">
        <v>0.66666666666666652</v>
      </c>
      <c r="Q71" s="5344">
        <v>0.33333333333333326</v>
      </c>
      <c r="R71" s="5344">
        <v>0.23076923076923075</v>
      </c>
      <c r="S71" s="5344">
        <v>0.15384615384615385</v>
      </c>
      <c r="T71" s="5344">
        <v>0.30769230769230771</v>
      </c>
      <c r="U71" s="5344">
        <v>0.30769230769230771</v>
      </c>
    </row>
    <row r="72" spans="1:21" s="3890" customFormat="1">
      <c r="A72" s="4189"/>
      <c r="B72" s="4189"/>
      <c r="C72" s="4189"/>
      <c r="D72" s="4189"/>
      <c r="E72" s="4189"/>
      <c r="F72" s="4189"/>
      <c r="G72" s="4189"/>
      <c r="H72" s="4189"/>
      <c r="I72" s="7052"/>
      <c r="J72" s="7054"/>
      <c r="K72" s="5347" t="s">
        <v>38</v>
      </c>
      <c r="L72" s="5341">
        <v>164</v>
      </c>
      <c r="M72" s="5341">
        <v>67</v>
      </c>
      <c r="N72" s="5342">
        <v>57</v>
      </c>
      <c r="O72" s="5346">
        <v>0.85074626865671643</v>
      </c>
      <c r="P72" s="5344">
        <v>0.6428571428571429</v>
      </c>
      <c r="Q72" s="5344">
        <v>0.35714285714285715</v>
      </c>
      <c r="R72" s="5344">
        <v>0.1111111111111111</v>
      </c>
      <c r="S72" s="5344">
        <v>0.1388888888888889</v>
      </c>
      <c r="T72" s="5344">
        <v>0.44444444444444442</v>
      </c>
      <c r="U72" s="5344">
        <v>0.30555555555555558</v>
      </c>
    </row>
    <row r="73" spans="1:21" s="3890" customFormat="1">
      <c r="D73" s="4189"/>
      <c r="E73" s="4201">
        <v>2016</v>
      </c>
      <c r="F73" s="7090" t="s">
        <v>905</v>
      </c>
      <c r="G73" s="7091"/>
      <c r="H73" s="4189"/>
      <c r="I73" s="7052"/>
      <c r="J73" s="7054"/>
      <c r="K73" s="5347" t="s">
        <v>39</v>
      </c>
      <c r="L73" s="5341">
        <v>322</v>
      </c>
      <c r="M73" s="5341">
        <v>131</v>
      </c>
      <c r="N73" s="5342">
        <v>99</v>
      </c>
      <c r="O73" s="5346">
        <v>0.75572519083969469</v>
      </c>
      <c r="P73" s="5344">
        <v>0.73404255319148926</v>
      </c>
      <c r="Q73" s="5344">
        <v>0.26595744680851063</v>
      </c>
      <c r="R73" s="5344">
        <v>0.19402985074626866</v>
      </c>
      <c r="S73" s="5344">
        <v>0.28358208955223879</v>
      </c>
      <c r="T73" s="5344">
        <v>0.37313432835820898</v>
      </c>
      <c r="U73" s="5344">
        <v>0.14925373134328357</v>
      </c>
    </row>
    <row r="74" spans="1:21" s="3890" customFormat="1" ht="14.4" customHeight="1">
      <c r="D74" s="4189"/>
      <c r="E74" s="4200" t="s">
        <v>1899</v>
      </c>
      <c r="F74" s="1552" t="s">
        <v>907</v>
      </c>
      <c r="G74" s="4052" t="s">
        <v>908</v>
      </c>
      <c r="H74" s="4189"/>
      <c r="I74" s="7052"/>
      <c r="J74" s="7054"/>
      <c r="K74" s="5347" t="s">
        <v>40</v>
      </c>
      <c r="L74" s="5341">
        <v>46</v>
      </c>
      <c r="M74" s="5341">
        <v>46</v>
      </c>
      <c r="N74" s="5342">
        <v>14</v>
      </c>
      <c r="O74" s="5346">
        <v>0.30434782608695654</v>
      </c>
      <c r="P74" s="5344">
        <v>0.6428571428571429</v>
      </c>
      <c r="Q74" s="5344">
        <v>0.35714285714285715</v>
      </c>
      <c r="R74" s="5344">
        <v>0.1111111111111111</v>
      </c>
      <c r="S74" s="5344">
        <v>0.33333333333333326</v>
      </c>
      <c r="T74" s="5344">
        <v>0.22222222222222221</v>
      </c>
      <c r="U74" s="5344">
        <v>0.33333333333333326</v>
      </c>
    </row>
    <row r="75" spans="1:21" s="3890" customFormat="1">
      <c r="D75" s="4189"/>
      <c r="E75" s="1516">
        <f>SUM(F75:G75)</f>
        <v>1</v>
      </c>
      <c r="F75" s="1519">
        <v>0.74199999999999999</v>
      </c>
      <c r="G75" s="4202">
        <v>0.25800000000000001</v>
      </c>
      <c r="H75" s="4189"/>
      <c r="I75" s="7052"/>
      <c r="J75" s="7055"/>
      <c r="K75" s="5348" t="s">
        <v>15</v>
      </c>
      <c r="L75" s="5335">
        <f>SUM(L64:L74)</f>
        <v>1687</v>
      </c>
      <c r="M75" s="5335">
        <f>SUM(M64:M74)</f>
        <v>796</v>
      </c>
      <c r="N75" s="5349">
        <v>503</v>
      </c>
      <c r="O75" s="5350">
        <v>0.63190954773869346</v>
      </c>
      <c r="P75" s="5351">
        <v>0.70807453416149069</v>
      </c>
      <c r="Q75" s="5351">
        <v>0.29192546583850931</v>
      </c>
      <c r="R75" s="5351">
        <v>0.14285714285714285</v>
      </c>
      <c r="S75" s="5351">
        <v>0.19642857142857142</v>
      </c>
      <c r="T75" s="5351">
        <v>0.40476190476190477</v>
      </c>
      <c r="U75" s="5351">
        <v>0.25595238095238093</v>
      </c>
    </row>
    <row r="76" spans="1:21" s="3890" customFormat="1">
      <c r="A76" s="4189"/>
      <c r="B76" s="4189"/>
      <c r="C76" s="4189"/>
      <c r="D76" s="4189"/>
      <c r="E76" s="4189"/>
      <c r="F76" s="4189"/>
      <c r="G76" s="4189"/>
      <c r="H76" s="4189"/>
      <c r="I76" s="7052"/>
      <c r="J76" s="7053" t="s">
        <v>2173</v>
      </c>
      <c r="K76" s="5347" t="s">
        <v>42</v>
      </c>
      <c r="L76" s="5341">
        <v>290</v>
      </c>
      <c r="M76" s="5341">
        <v>139</v>
      </c>
      <c r="N76" s="5342">
        <v>80</v>
      </c>
      <c r="O76" s="5346">
        <v>0.57553956834532372</v>
      </c>
      <c r="P76" s="5344">
        <v>0.51315789473684215</v>
      </c>
      <c r="Q76" s="5344">
        <v>0.48684210526315785</v>
      </c>
      <c r="R76" s="5344">
        <v>0.2162162162162162</v>
      </c>
      <c r="S76" s="5344">
        <v>0.2162162162162162</v>
      </c>
      <c r="T76" s="5345">
        <v>0.27027027027027029</v>
      </c>
      <c r="U76" s="5344">
        <v>0.29729729729729731</v>
      </c>
    </row>
    <row r="77" spans="1:21" s="3890" customFormat="1" ht="14.4" customHeight="1">
      <c r="A77" s="4189"/>
      <c r="B77" s="4189"/>
      <c r="C77" s="4189"/>
      <c r="D77" s="4189"/>
      <c r="E77" s="4189"/>
      <c r="F77" s="4189"/>
      <c r="G77" s="4189"/>
      <c r="H77" s="4189"/>
      <c r="I77" s="7052"/>
      <c r="J77" s="7054"/>
      <c r="K77" s="5347" t="s">
        <v>43</v>
      </c>
      <c r="L77" s="5341">
        <v>193</v>
      </c>
      <c r="M77" s="5341">
        <v>91</v>
      </c>
      <c r="N77" s="5342">
        <v>58</v>
      </c>
      <c r="O77" s="5346">
        <v>0.63736263736263732</v>
      </c>
      <c r="P77" s="5344">
        <v>0.38596491228070173</v>
      </c>
      <c r="Q77" s="5344">
        <v>0.61403508771929827</v>
      </c>
      <c r="R77" s="5345">
        <v>0.19047619047619047</v>
      </c>
      <c r="S77" s="5344">
        <v>0.23809523809523805</v>
      </c>
      <c r="T77" s="5344">
        <v>0.2857142857142857</v>
      </c>
      <c r="U77" s="5344">
        <v>0.2857142857142857</v>
      </c>
    </row>
    <row r="78" spans="1:21" s="3890" customFormat="1">
      <c r="A78" s="4189"/>
      <c r="B78" s="4189"/>
      <c r="C78" s="4189"/>
      <c r="D78" s="4189"/>
      <c r="E78" s="4189"/>
      <c r="F78" s="4189"/>
      <c r="G78" s="4189"/>
      <c r="H78" s="4189"/>
      <c r="I78" s="7052"/>
      <c r="J78" s="7054"/>
      <c r="K78" s="5347" t="s">
        <v>44</v>
      </c>
      <c r="L78" s="5341">
        <v>146</v>
      </c>
      <c r="M78" s="5341">
        <v>69</v>
      </c>
      <c r="N78" s="5342">
        <v>44</v>
      </c>
      <c r="O78" s="5346">
        <v>0.6376811594202898</v>
      </c>
      <c r="P78" s="5344">
        <v>0.53658536585365857</v>
      </c>
      <c r="Q78" s="5344">
        <v>0.46341463414634149</v>
      </c>
      <c r="R78" s="5344">
        <v>0.27272727272727271</v>
      </c>
      <c r="S78" s="5344">
        <v>0.31818181818181818</v>
      </c>
      <c r="T78" s="5344">
        <v>0.22727272727272727</v>
      </c>
      <c r="U78" s="5344">
        <v>0.18181818181818182</v>
      </c>
    </row>
    <row r="79" spans="1:21" s="3890" customFormat="1">
      <c r="A79" s="4189"/>
      <c r="B79" s="4189"/>
      <c r="C79" s="4189"/>
      <c r="D79" s="4189"/>
      <c r="E79" s="4189"/>
      <c r="F79" s="4189"/>
      <c r="G79" s="4189"/>
      <c r="H79" s="4189"/>
      <c r="I79" s="7052"/>
      <c r="J79" s="7054"/>
      <c r="K79" s="5347" t="s">
        <v>45</v>
      </c>
      <c r="L79" s="5341">
        <v>102</v>
      </c>
      <c r="M79" s="5341">
        <v>73</v>
      </c>
      <c r="N79" s="5342">
        <v>30</v>
      </c>
      <c r="O79" s="5346">
        <v>0.41095890410958902</v>
      </c>
      <c r="P79" s="5344">
        <v>0.53333333333333333</v>
      </c>
      <c r="Q79" s="5344">
        <v>0.46666666666666662</v>
      </c>
      <c r="R79" s="5345">
        <v>0.4</v>
      </c>
      <c r="S79" s="5344">
        <v>0.13333333333333333</v>
      </c>
      <c r="T79" s="5344">
        <v>6.6666666666666666E-2</v>
      </c>
      <c r="U79" s="5345">
        <v>0.4</v>
      </c>
    </row>
    <row r="80" spans="1:21" s="3890" customFormat="1">
      <c r="A80" s="4189"/>
      <c r="B80" s="4189"/>
      <c r="C80" s="4189"/>
      <c r="D80" s="4189"/>
      <c r="E80" s="4189"/>
      <c r="F80" s="4189"/>
      <c r="G80" s="4189"/>
      <c r="H80" s="4189"/>
      <c r="I80" s="7052"/>
      <c r="J80" s="7054"/>
      <c r="K80" s="5347" t="s">
        <v>262</v>
      </c>
      <c r="L80" s="5341">
        <v>284</v>
      </c>
      <c r="M80" s="5341">
        <v>135</v>
      </c>
      <c r="N80" s="5342">
        <v>68</v>
      </c>
      <c r="O80" s="5346">
        <v>0.50370370370370376</v>
      </c>
      <c r="P80" s="5344">
        <v>0.7777777777777779</v>
      </c>
      <c r="Q80" s="5344">
        <v>0.22222222222222221</v>
      </c>
      <c r="R80" s="5344">
        <v>0.17391304347826086</v>
      </c>
      <c r="S80" s="5345">
        <v>0.13043478260869565</v>
      </c>
      <c r="T80" s="5344">
        <v>0.41304347826086951</v>
      </c>
      <c r="U80" s="5344">
        <v>0.28260869565217389</v>
      </c>
    </row>
    <row r="81" spans="1:21" s="3890" customFormat="1" ht="14.4" customHeight="1">
      <c r="A81" s="4189"/>
      <c r="B81" s="4189"/>
      <c r="C81" s="4189"/>
      <c r="D81" s="4189"/>
      <c r="E81" s="4189"/>
      <c r="F81" s="4189"/>
      <c r="G81" s="4189"/>
      <c r="H81" s="4189"/>
      <c r="I81" s="7052"/>
      <c r="J81" s="7054"/>
      <c r="K81" s="5347" t="s">
        <v>263</v>
      </c>
      <c r="L81" s="5341">
        <v>258</v>
      </c>
      <c r="M81" s="5341">
        <v>123</v>
      </c>
      <c r="N81" s="5342">
        <v>71</v>
      </c>
      <c r="O81" s="5346">
        <v>0.57723577235772361</v>
      </c>
      <c r="P81" s="5345">
        <v>0.7</v>
      </c>
      <c r="Q81" s="5345">
        <v>0.3</v>
      </c>
      <c r="R81" s="5344">
        <v>0.10416666666666669</v>
      </c>
      <c r="S81" s="5344">
        <v>0.10416666666666669</v>
      </c>
      <c r="T81" s="5345">
        <v>0.25</v>
      </c>
      <c r="U81" s="5344">
        <v>0.54166666666666663</v>
      </c>
    </row>
    <row r="82" spans="1:21" s="3890" customFormat="1">
      <c r="A82" s="4189"/>
      <c r="B82" s="4189"/>
      <c r="C82" s="4189"/>
      <c r="D82" s="4189"/>
      <c r="E82" s="4189"/>
      <c r="F82" s="4189"/>
      <c r="G82" s="4189"/>
      <c r="H82" s="4189"/>
      <c r="I82" s="7052"/>
      <c r="J82" s="7055"/>
      <c r="K82" s="5348" t="s">
        <v>15</v>
      </c>
      <c r="L82" s="5335">
        <f>SUM(L76:L81)</f>
        <v>1273</v>
      </c>
      <c r="M82" s="5335">
        <f>SUM(M76:M81)</f>
        <v>630</v>
      </c>
      <c r="N82" s="5349">
        <v>351</v>
      </c>
      <c r="O82" s="5350">
        <v>0.55714285714285716</v>
      </c>
      <c r="P82" s="5351">
        <v>0.58456973293768544</v>
      </c>
      <c r="Q82" s="5351">
        <v>0.41543026706231456</v>
      </c>
      <c r="R82" s="5351">
        <v>0.19576719576719576</v>
      </c>
      <c r="S82" s="5351">
        <v>0.17460317460317459</v>
      </c>
      <c r="T82" s="5352">
        <v>0.28042328042328041</v>
      </c>
      <c r="U82" s="5351">
        <v>0.34920634920634919</v>
      </c>
    </row>
    <row r="83" spans="1:21" s="3890" customFormat="1">
      <c r="A83" s="4189"/>
      <c r="B83" s="4189"/>
      <c r="C83" s="4189"/>
      <c r="D83" s="4189"/>
      <c r="E83" s="4189"/>
      <c r="F83" s="4189"/>
      <c r="G83" s="4189"/>
      <c r="H83" s="4189"/>
      <c r="I83" s="7052" t="s">
        <v>48</v>
      </c>
      <c r="J83" s="7053" t="s">
        <v>2171</v>
      </c>
      <c r="K83" s="5347" t="s">
        <v>17</v>
      </c>
      <c r="L83" s="5341">
        <v>376</v>
      </c>
      <c r="M83" s="5341">
        <v>117</v>
      </c>
      <c r="N83" s="5342">
        <v>98</v>
      </c>
      <c r="O83" s="5346">
        <v>0.83760683760683763</v>
      </c>
      <c r="P83" s="5344">
        <v>0.91489361702127647</v>
      </c>
      <c r="Q83" s="5344">
        <v>8.5106382978723402E-2</v>
      </c>
      <c r="R83" s="5344">
        <v>1.2195121951219513E-2</v>
      </c>
      <c r="S83" s="5344">
        <v>0.14634146341463414</v>
      </c>
      <c r="T83" s="5344">
        <v>0.51219512195121952</v>
      </c>
      <c r="U83" s="5344">
        <v>0.32926829268292684</v>
      </c>
    </row>
    <row r="84" spans="1:21" s="3890" customFormat="1" ht="14.4" customHeight="1">
      <c r="A84" s="4189"/>
      <c r="B84" s="4189"/>
      <c r="C84" s="4189"/>
      <c r="D84" s="4189"/>
      <c r="E84" s="4189"/>
      <c r="F84" s="4189"/>
      <c r="G84" s="4189"/>
      <c r="H84" s="4189"/>
      <c r="I84" s="7052"/>
      <c r="J84" s="7054"/>
      <c r="K84" s="5347" t="s">
        <v>49</v>
      </c>
      <c r="L84" s="5341">
        <v>513</v>
      </c>
      <c r="M84" s="5341">
        <v>161</v>
      </c>
      <c r="N84" s="5342">
        <v>136</v>
      </c>
      <c r="O84" s="5346">
        <v>0.84472049689440998</v>
      </c>
      <c r="P84" s="5344">
        <v>0.79545454545454541</v>
      </c>
      <c r="Q84" s="5344">
        <v>0.20454545454545456</v>
      </c>
      <c r="R84" s="5344">
        <v>6.7961165048543687E-2</v>
      </c>
      <c r="S84" s="5344">
        <v>0.10679611650485436</v>
      </c>
      <c r="T84" s="5344">
        <v>0.42718446601941745</v>
      </c>
      <c r="U84" s="5344">
        <v>0.39805825242718451</v>
      </c>
    </row>
    <row r="85" spans="1:21" s="3890" customFormat="1">
      <c r="A85" s="4189"/>
      <c r="B85" s="4189"/>
      <c r="C85" s="4189"/>
      <c r="D85" s="4189"/>
      <c r="E85" s="4189"/>
      <c r="F85" s="4189"/>
      <c r="G85" s="4189"/>
      <c r="H85" s="4189"/>
      <c r="I85" s="7052"/>
      <c r="J85" s="7054"/>
      <c r="K85" s="5347" t="s">
        <v>19</v>
      </c>
      <c r="L85" s="5341">
        <v>306</v>
      </c>
      <c r="M85" s="5341">
        <v>95</v>
      </c>
      <c r="N85" s="5342">
        <v>72</v>
      </c>
      <c r="O85" s="5346">
        <v>0.75789473684210518</v>
      </c>
      <c r="P85" s="5344">
        <v>0.78873239436619713</v>
      </c>
      <c r="Q85" s="5344">
        <v>0.21126760563380281</v>
      </c>
      <c r="R85" s="5344">
        <v>0.11320754716981134</v>
      </c>
      <c r="S85" s="5344">
        <v>0.24528301886792453</v>
      </c>
      <c r="T85" s="5344">
        <v>0.54716981132075471</v>
      </c>
      <c r="U85" s="5344">
        <v>9.4339622641509441E-2</v>
      </c>
    </row>
    <row r="86" spans="1:21" s="3890" customFormat="1">
      <c r="A86" s="4189"/>
      <c r="B86" s="4189"/>
      <c r="C86" s="4189"/>
      <c r="D86" s="4189"/>
      <c r="E86" s="4189"/>
      <c r="F86" s="4189"/>
      <c r="G86" s="4189"/>
      <c r="H86" s="4189"/>
      <c r="I86" s="7052"/>
      <c r="J86" s="7054"/>
      <c r="K86" s="5347" t="s">
        <v>50</v>
      </c>
      <c r="L86" s="5341">
        <v>848</v>
      </c>
      <c r="M86" s="5341">
        <v>266</v>
      </c>
      <c r="N86" s="5342">
        <v>254</v>
      </c>
      <c r="O86" s="5346">
        <v>0.95488721804511267</v>
      </c>
      <c r="P86" s="5344">
        <v>0.6875</v>
      </c>
      <c r="Q86" s="5344">
        <v>0.3125</v>
      </c>
      <c r="R86" s="5344">
        <v>9.9378881987577633E-2</v>
      </c>
      <c r="S86" s="5344">
        <v>0.25465838509316768</v>
      </c>
      <c r="T86" s="5344">
        <v>0.3105590062111801</v>
      </c>
      <c r="U86" s="5344">
        <v>0.33540372670807456</v>
      </c>
    </row>
    <row r="87" spans="1:21" s="3890" customFormat="1">
      <c r="A87" s="4189"/>
      <c r="B87" s="4189"/>
      <c r="C87" s="4189"/>
      <c r="D87" s="4189"/>
      <c r="E87" s="4189"/>
      <c r="F87" s="4189"/>
      <c r="G87" s="4189"/>
      <c r="H87" s="4189"/>
      <c r="I87" s="7052"/>
      <c r="J87" s="7054"/>
      <c r="K87" s="5347" t="s">
        <v>20</v>
      </c>
      <c r="L87" s="5341">
        <v>363</v>
      </c>
      <c r="M87" s="5341">
        <v>114</v>
      </c>
      <c r="N87" s="5342">
        <v>109</v>
      </c>
      <c r="O87" s="5346">
        <v>0.95614035087719307</v>
      </c>
      <c r="P87" s="5344">
        <v>0.63551401869158874</v>
      </c>
      <c r="Q87" s="5344">
        <v>0.3644859813084112</v>
      </c>
      <c r="R87" s="5344">
        <v>0.16923076923076924</v>
      </c>
      <c r="S87" s="5344">
        <v>0.18461538461538463</v>
      </c>
      <c r="T87" s="5344">
        <v>0.46153846153846151</v>
      </c>
      <c r="U87" s="5344">
        <v>0.18461538461538463</v>
      </c>
    </row>
    <row r="88" spans="1:21" s="3890" customFormat="1" ht="14.4" customHeight="1">
      <c r="A88" s="4189"/>
      <c r="B88" s="4189"/>
      <c r="C88" s="4189"/>
      <c r="D88" s="4189"/>
      <c r="E88" s="4189"/>
      <c r="F88" s="4189"/>
      <c r="G88" s="4189"/>
      <c r="H88" s="4189"/>
      <c r="I88" s="7052"/>
      <c r="J88" s="7054"/>
      <c r="K88" s="5347" t="s">
        <v>51</v>
      </c>
      <c r="L88" s="5341">
        <v>122</v>
      </c>
      <c r="M88" s="5341">
        <v>39</v>
      </c>
      <c r="N88" s="5342">
        <v>43</v>
      </c>
      <c r="O88" s="5346">
        <v>1.1025641025641026</v>
      </c>
      <c r="P88" s="5344">
        <v>0.66666666666666652</v>
      </c>
      <c r="Q88" s="5344">
        <v>0.33333333333333326</v>
      </c>
      <c r="R88" s="5344">
        <v>7.407407407407407E-2</v>
      </c>
      <c r="S88" s="5344">
        <v>0.1111111111111111</v>
      </c>
      <c r="T88" s="5344">
        <v>0.40740740740740738</v>
      </c>
      <c r="U88" s="5344">
        <v>0.40740740740740738</v>
      </c>
    </row>
    <row r="89" spans="1:21" s="3890" customFormat="1">
      <c r="A89" s="4189"/>
      <c r="B89" s="4189"/>
      <c r="C89" s="4189"/>
      <c r="D89" s="4189"/>
      <c r="E89" s="4189"/>
      <c r="F89" s="4189"/>
      <c r="G89" s="4189"/>
      <c r="H89" s="4189"/>
      <c r="I89" s="7052"/>
      <c r="J89" s="7055"/>
      <c r="K89" s="5348" t="s">
        <v>15</v>
      </c>
      <c r="L89" s="5335">
        <f>SUM(L83:L88)</f>
        <v>2528</v>
      </c>
      <c r="M89" s="5335">
        <f>SUM(M83:M88)</f>
        <v>792</v>
      </c>
      <c r="N89" s="5349">
        <v>712</v>
      </c>
      <c r="O89" s="5350">
        <v>0.89898989898989901</v>
      </c>
      <c r="P89" s="5351">
        <v>0.74052478134110788</v>
      </c>
      <c r="Q89" s="5351">
        <v>0.25947521865889212</v>
      </c>
      <c r="R89" s="5351">
        <v>8.7576374745417518E-2</v>
      </c>
      <c r="S89" s="5351">
        <v>0.18737270875763748</v>
      </c>
      <c r="T89" s="5352">
        <v>0.41955193482688391</v>
      </c>
      <c r="U89" s="5351">
        <v>0.30549898167006112</v>
      </c>
    </row>
    <row r="90" spans="1:21" s="3890" customFormat="1">
      <c r="A90" s="4189"/>
      <c r="B90" s="4189"/>
      <c r="C90" s="4189"/>
      <c r="D90" s="4189"/>
      <c r="E90" s="4189"/>
      <c r="F90" s="4189"/>
      <c r="G90" s="4189"/>
      <c r="H90" s="4189"/>
      <c r="I90" s="7052"/>
      <c r="J90" s="7053" t="s">
        <v>2173</v>
      </c>
      <c r="K90" s="5347" t="s">
        <v>42</v>
      </c>
      <c r="L90" s="5341">
        <v>407</v>
      </c>
      <c r="M90" s="5341">
        <v>105</v>
      </c>
      <c r="N90" s="5342">
        <v>123</v>
      </c>
      <c r="O90" s="5343">
        <v>1</v>
      </c>
      <c r="P90" s="5344">
        <v>0.51818181818181819</v>
      </c>
      <c r="Q90" s="5344">
        <v>0.48181818181818181</v>
      </c>
      <c r="R90" s="5344">
        <v>0.10714285714285714</v>
      </c>
      <c r="S90" s="5344">
        <v>0.125</v>
      </c>
      <c r="T90" s="5344">
        <v>0.44642857142857145</v>
      </c>
      <c r="U90" s="5344">
        <v>0.32142857142857145</v>
      </c>
    </row>
    <row r="91" spans="1:21" s="3890" customFormat="1">
      <c r="A91" s="4189"/>
      <c r="B91" s="4189"/>
      <c r="C91" s="4189"/>
      <c r="D91" s="4189"/>
      <c r="E91" s="4189"/>
      <c r="F91" s="4189"/>
      <c r="G91" s="4189"/>
      <c r="H91" s="4189"/>
      <c r="I91" s="7052"/>
      <c r="J91" s="7054"/>
      <c r="K91" s="5347" t="s">
        <v>52</v>
      </c>
      <c r="L91" s="5341">
        <v>302</v>
      </c>
      <c r="M91" s="5341">
        <v>78</v>
      </c>
      <c r="N91" s="5342">
        <v>82</v>
      </c>
      <c r="O91" s="5343">
        <v>1</v>
      </c>
      <c r="P91" s="5344">
        <v>0.71621621621621623</v>
      </c>
      <c r="Q91" s="5344">
        <v>0.28378378378378377</v>
      </c>
      <c r="R91" s="5345">
        <v>0.08</v>
      </c>
      <c r="S91" s="5345">
        <v>0.04</v>
      </c>
      <c r="T91" s="5345">
        <v>0.2</v>
      </c>
      <c r="U91" s="5345">
        <v>0.68</v>
      </c>
    </row>
    <row r="92" spans="1:21" s="3890" customFormat="1">
      <c r="A92" s="4189"/>
      <c r="B92" s="4189"/>
      <c r="C92" s="4189"/>
      <c r="D92" s="4189"/>
      <c r="E92" s="4189"/>
      <c r="F92" s="4189"/>
      <c r="G92" s="4189"/>
      <c r="H92" s="4189"/>
      <c r="I92" s="7052"/>
      <c r="J92" s="7054"/>
      <c r="K92" s="5347" t="s">
        <v>53</v>
      </c>
      <c r="L92" s="5341">
        <v>471</v>
      </c>
      <c r="M92" s="5341">
        <v>121</v>
      </c>
      <c r="N92" s="5342">
        <v>104</v>
      </c>
      <c r="O92" s="5343">
        <v>0.85950413223140498</v>
      </c>
      <c r="P92" s="5344">
        <v>0.69072164948453607</v>
      </c>
      <c r="Q92" s="5344">
        <v>0.30927835051546393</v>
      </c>
      <c r="R92" s="5344">
        <v>0.13333333333333333</v>
      </c>
      <c r="S92" s="5345">
        <v>0.05</v>
      </c>
      <c r="T92" s="5344">
        <v>0.16666666666666663</v>
      </c>
      <c r="U92" s="5345">
        <v>0.65</v>
      </c>
    </row>
    <row r="93" spans="1:21" s="3890" customFormat="1">
      <c r="A93" s="4189"/>
      <c r="B93" s="4189"/>
      <c r="C93" s="4189"/>
      <c r="D93" s="4189"/>
      <c r="E93" s="4189"/>
      <c r="F93" s="4189"/>
      <c r="G93" s="4189"/>
      <c r="H93" s="4189"/>
      <c r="I93" s="7052"/>
      <c r="J93" s="7054"/>
      <c r="K93" s="5347" t="s">
        <v>54</v>
      </c>
      <c r="L93" s="5341">
        <v>533</v>
      </c>
      <c r="M93" s="5341">
        <v>137</v>
      </c>
      <c r="N93" s="5342">
        <v>124</v>
      </c>
      <c r="O93" s="5346">
        <v>0.9051094890510949</v>
      </c>
      <c r="P93" s="5345">
        <v>0.75</v>
      </c>
      <c r="Q93" s="5344">
        <v>0.25</v>
      </c>
      <c r="R93" s="5344">
        <v>2.197802197802198E-2</v>
      </c>
      <c r="S93" s="5345">
        <v>0.10989010989010989</v>
      </c>
      <c r="T93" s="5344">
        <v>0.35164835164835168</v>
      </c>
      <c r="U93" s="5344">
        <v>0.51648351648351654</v>
      </c>
    </row>
    <row r="94" spans="1:21" s="3890" customFormat="1">
      <c r="A94" s="4189"/>
      <c r="B94" s="4189"/>
      <c r="C94" s="4189"/>
      <c r="D94" s="4189"/>
      <c r="E94" s="4189"/>
      <c r="F94" s="4189"/>
      <c r="G94" s="4189"/>
      <c r="H94" s="4189"/>
      <c r="I94" s="7052"/>
      <c r="J94" s="7054"/>
      <c r="K94" s="5347" t="s">
        <v>2609</v>
      </c>
      <c r="L94" s="5341">
        <v>450</v>
      </c>
      <c r="M94" s="5341">
        <v>116</v>
      </c>
      <c r="N94" s="5342">
        <v>103</v>
      </c>
      <c r="O94" s="5346">
        <v>0.88793103448275856</v>
      </c>
      <c r="P94" s="5344">
        <v>0.69387755102040816</v>
      </c>
      <c r="Q94" s="5344">
        <v>0.30612244897959184</v>
      </c>
      <c r="R94" s="5344">
        <v>4.4776119402985072E-2</v>
      </c>
      <c r="S94" s="5344">
        <v>0.13432835820895522</v>
      </c>
      <c r="T94" s="5344">
        <v>0.2537313432835821</v>
      </c>
      <c r="U94" s="5344">
        <v>0.56716417910447758</v>
      </c>
    </row>
    <row r="95" spans="1:21" s="3890" customFormat="1">
      <c r="A95" s="4189"/>
      <c r="B95" s="4189"/>
      <c r="C95" s="4189"/>
      <c r="D95" s="4189"/>
      <c r="E95" s="4189"/>
      <c r="F95" s="4189"/>
      <c r="G95" s="4189"/>
      <c r="H95" s="4189"/>
      <c r="I95" s="7052"/>
      <c r="J95" s="7054"/>
      <c r="K95" s="5347" t="s">
        <v>56</v>
      </c>
      <c r="L95" s="5341">
        <v>340</v>
      </c>
      <c r="M95" s="5341">
        <v>87</v>
      </c>
      <c r="N95" s="5342">
        <v>75</v>
      </c>
      <c r="O95" s="5346">
        <v>0.86206896551724144</v>
      </c>
      <c r="P95" s="5344">
        <v>0.68571428571428572</v>
      </c>
      <c r="Q95" s="5344">
        <v>0.31428571428571428</v>
      </c>
      <c r="R95" s="5344">
        <v>0.17391304347826086</v>
      </c>
      <c r="S95" s="5345">
        <v>0.13043478260869565</v>
      </c>
      <c r="T95" s="5344">
        <v>0.2608695652173913</v>
      </c>
      <c r="U95" s="5344">
        <v>0.43478260869565216</v>
      </c>
    </row>
    <row r="96" spans="1:21" s="3890" customFormat="1">
      <c r="A96" s="4189"/>
      <c r="B96" s="4189"/>
      <c r="C96" s="4189"/>
      <c r="D96" s="4189"/>
      <c r="E96" s="4189"/>
      <c r="F96" s="4189"/>
      <c r="G96" s="4189"/>
      <c r="H96" s="4189"/>
      <c r="I96" s="7052"/>
      <c r="J96" s="7054"/>
      <c r="K96" s="5347" t="s">
        <v>255</v>
      </c>
      <c r="L96" s="5341">
        <v>450</v>
      </c>
      <c r="M96" s="5341">
        <v>116</v>
      </c>
      <c r="N96" s="5342">
        <v>113</v>
      </c>
      <c r="O96" s="5346">
        <v>0.97413793103448265</v>
      </c>
      <c r="P96" s="5344">
        <v>0.70754716981132082</v>
      </c>
      <c r="Q96" s="5344">
        <v>0.29245283018867924</v>
      </c>
      <c r="R96" s="5344">
        <v>6.8493150684931503E-2</v>
      </c>
      <c r="S96" s="5344">
        <v>4.1095890410958902E-2</v>
      </c>
      <c r="T96" s="5344">
        <v>0.15068493150684931</v>
      </c>
      <c r="U96" s="5345">
        <v>0.73972602739726023</v>
      </c>
    </row>
    <row r="97" spans="1:21" s="3890" customFormat="1" ht="14.4" customHeight="1">
      <c r="A97" s="4189"/>
      <c r="B97" s="4189"/>
      <c r="C97" s="4189"/>
      <c r="D97" s="4189"/>
      <c r="E97" s="4189"/>
      <c r="F97" s="4189"/>
      <c r="G97" s="4189"/>
      <c r="H97" s="4189"/>
      <c r="I97" s="7052"/>
      <c r="J97" s="7054"/>
      <c r="K97" s="5347" t="s">
        <v>264</v>
      </c>
      <c r="L97" s="5341">
        <v>367</v>
      </c>
      <c r="M97" s="5341">
        <v>95</v>
      </c>
      <c r="N97" s="5342">
        <v>93</v>
      </c>
      <c r="O97" s="5346">
        <v>0.97894736842105257</v>
      </c>
      <c r="P97" s="5344">
        <v>0.71590909090909094</v>
      </c>
      <c r="Q97" s="5344">
        <v>0.28409090909090912</v>
      </c>
      <c r="R97" s="5344">
        <v>0.14754098360655737</v>
      </c>
      <c r="S97" s="5344">
        <v>0.19672131147540983</v>
      </c>
      <c r="T97" s="5345">
        <v>0.18032786885245902</v>
      </c>
      <c r="U97" s="5344">
        <v>0.47540983606557374</v>
      </c>
    </row>
    <row r="98" spans="1:21" s="3890" customFormat="1">
      <c r="A98" s="4189"/>
      <c r="B98" s="4189"/>
      <c r="C98" s="4189"/>
      <c r="D98" s="4189"/>
      <c r="E98" s="4189"/>
      <c r="F98" s="4189"/>
      <c r="G98" s="4189"/>
      <c r="H98" s="4189"/>
      <c r="I98" s="7052"/>
      <c r="J98" s="7055"/>
      <c r="K98" s="5348" t="s">
        <v>15</v>
      </c>
      <c r="L98" s="5335">
        <f>SUM(L90:L97)</f>
        <v>3320</v>
      </c>
      <c r="M98" s="5335">
        <f>SUM(M90:M97)</f>
        <v>855</v>
      </c>
      <c r="N98" s="5349">
        <v>817</v>
      </c>
      <c r="O98" s="5350">
        <v>0.9555555555555556</v>
      </c>
      <c r="P98" s="5351">
        <v>0.68318122555410676</v>
      </c>
      <c r="Q98" s="5351">
        <v>0.31681877444589307</v>
      </c>
      <c r="R98" s="5351">
        <v>8.9285714285714288E-2</v>
      </c>
      <c r="S98" s="5351">
        <v>0.10317460317460317</v>
      </c>
      <c r="T98" s="5351">
        <v>0.25396825396825395</v>
      </c>
      <c r="U98" s="5351">
        <v>0.5535714285714286</v>
      </c>
    </row>
    <row r="99" spans="1:21" s="3890" customFormat="1">
      <c r="A99" s="4189"/>
      <c r="B99" s="4189"/>
      <c r="C99" s="4189"/>
      <c r="D99" s="4189"/>
      <c r="E99" s="4189"/>
      <c r="F99" s="4189"/>
      <c r="G99" s="4189"/>
      <c r="H99" s="4189"/>
      <c r="I99" s="7052"/>
      <c r="J99" s="7053" t="s">
        <v>2172</v>
      </c>
      <c r="K99" s="5347" t="s">
        <v>22</v>
      </c>
      <c r="L99" s="5341">
        <v>514</v>
      </c>
      <c r="M99" s="5341">
        <v>242</v>
      </c>
      <c r="N99" s="5342">
        <v>161</v>
      </c>
      <c r="O99" s="5346">
        <v>0.66528925619834711</v>
      </c>
      <c r="P99" s="5344">
        <v>0.78947368421052633</v>
      </c>
      <c r="Q99" s="5344">
        <v>0.21052631578947367</v>
      </c>
      <c r="R99" s="5344">
        <v>3.4782608695652174E-2</v>
      </c>
      <c r="S99" s="5344">
        <v>0.10434782608695653</v>
      </c>
      <c r="T99" s="5344">
        <v>0.31304347826086959</v>
      </c>
      <c r="U99" s="5344">
        <v>0.54782608695652169</v>
      </c>
    </row>
    <row r="100" spans="1:21" s="3890" customFormat="1">
      <c r="A100" s="4189"/>
      <c r="B100" s="4189"/>
      <c r="C100" s="4189"/>
      <c r="D100" s="4189"/>
      <c r="E100" s="4189"/>
      <c r="F100" s="4189"/>
      <c r="G100" s="4189"/>
      <c r="H100" s="4189"/>
      <c r="I100" s="7052"/>
      <c r="J100" s="7054"/>
      <c r="K100" s="5347" t="s">
        <v>23</v>
      </c>
      <c r="L100" s="5341">
        <v>316</v>
      </c>
      <c r="M100" s="5341">
        <v>149</v>
      </c>
      <c r="N100" s="5342">
        <v>108</v>
      </c>
      <c r="O100" s="5346">
        <v>0.72483221476510062</v>
      </c>
      <c r="P100" s="5345">
        <v>0.75</v>
      </c>
      <c r="Q100" s="5345">
        <v>0.25</v>
      </c>
      <c r="R100" s="5344">
        <v>7.792207792207792E-2</v>
      </c>
      <c r="S100" s="5344">
        <v>3.896103896103896E-2</v>
      </c>
      <c r="T100" s="5344">
        <v>0.2857142857142857</v>
      </c>
      <c r="U100" s="5344">
        <v>0.59740259740259738</v>
      </c>
    </row>
    <row r="101" spans="1:21" s="3890" customFormat="1">
      <c r="A101" s="4189"/>
      <c r="B101" s="4189"/>
      <c r="C101" s="4189"/>
      <c r="D101" s="4189"/>
      <c r="E101" s="4189"/>
      <c r="F101" s="4189"/>
      <c r="G101" s="4189"/>
      <c r="H101" s="4189"/>
      <c r="I101" s="7052"/>
      <c r="J101" s="7054"/>
      <c r="K101" s="5347" t="s">
        <v>24</v>
      </c>
      <c r="L101" s="5341">
        <v>247</v>
      </c>
      <c r="M101" s="5341">
        <v>116</v>
      </c>
      <c r="N101" s="5342">
        <v>79</v>
      </c>
      <c r="O101" s="5346">
        <v>0.68103448275862066</v>
      </c>
      <c r="P101" s="5344">
        <v>0.81578947368421051</v>
      </c>
      <c r="Q101" s="5344">
        <v>0.18421052631578946</v>
      </c>
      <c r="R101" s="5344">
        <v>6.4516129032258063E-2</v>
      </c>
      <c r="S101" s="5344">
        <v>0.14516129032258066</v>
      </c>
      <c r="T101" s="5344">
        <v>0.37096774193548382</v>
      </c>
      <c r="U101" s="5344">
        <v>0.41935483870967744</v>
      </c>
    </row>
    <row r="102" spans="1:21" s="3890" customFormat="1">
      <c r="A102" s="4189"/>
      <c r="B102" s="4189"/>
      <c r="C102" s="4189"/>
      <c r="D102" s="4189"/>
      <c r="E102" s="4189"/>
      <c r="F102" s="4189"/>
      <c r="G102" s="4189"/>
      <c r="H102" s="4189"/>
      <c r="I102" s="7052"/>
      <c r="J102" s="7054"/>
      <c r="K102" s="5347" t="s">
        <v>58</v>
      </c>
      <c r="L102" s="5341">
        <v>219</v>
      </c>
      <c r="M102" s="5341">
        <v>104</v>
      </c>
      <c r="N102" s="5342">
        <v>75</v>
      </c>
      <c r="O102" s="5346">
        <v>0.72115384615384615</v>
      </c>
      <c r="P102" s="5344">
        <v>0.63380281690140849</v>
      </c>
      <c r="Q102" s="5344">
        <v>0.36619718309859162</v>
      </c>
      <c r="R102" s="5344">
        <v>0.15555555555555556</v>
      </c>
      <c r="S102" s="5344">
        <v>0.13333333333333333</v>
      </c>
      <c r="T102" s="5344">
        <v>0.42222222222222222</v>
      </c>
      <c r="U102" s="5344">
        <v>0.28888888888888886</v>
      </c>
    </row>
    <row r="103" spans="1:21" s="3890" customFormat="1">
      <c r="A103" s="4189"/>
      <c r="B103" s="4189"/>
      <c r="C103" s="4189"/>
      <c r="D103" s="4189"/>
      <c r="E103" s="4189"/>
      <c r="F103" s="4189"/>
      <c r="G103" s="4189"/>
      <c r="H103" s="4189"/>
      <c r="I103" s="7052"/>
      <c r="J103" s="7055"/>
      <c r="K103" s="5348" t="s">
        <v>15</v>
      </c>
      <c r="L103" s="5335">
        <f>SUM(L99:L102)</f>
        <v>1296</v>
      </c>
      <c r="M103" s="5335">
        <f>SUM(M99:M102)</f>
        <v>611</v>
      </c>
      <c r="N103" s="5349">
        <v>423</v>
      </c>
      <c r="O103" s="5350">
        <v>0.69230769230769229</v>
      </c>
      <c r="P103" s="5351">
        <v>0.7568238213399503</v>
      </c>
      <c r="Q103" s="5351">
        <v>0.24317617866004962</v>
      </c>
      <c r="R103" s="5352">
        <v>7.0234113712374577E-2</v>
      </c>
      <c r="S103" s="5352">
        <v>0.10033444816053512</v>
      </c>
      <c r="T103" s="5351">
        <v>0.33444816053511706</v>
      </c>
      <c r="U103" s="5351">
        <v>0.49498327759197325</v>
      </c>
    </row>
    <row r="104" spans="1:21" s="3890" customFormat="1">
      <c r="A104" s="4189"/>
      <c r="B104" s="4189"/>
      <c r="C104" s="4189"/>
      <c r="D104" s="4189"/>
      <c r="E104" s="4189"/>
      <c r="F104" s="4189"/>
      <c r="G104" s="4189"/>
      <c r="H104" s="4189"/>
      <c r="I104" s="7052" t="s">
        <v>59</v>
      </c>
      <c r="J104" s="7053" t="s">
        <v>2171</v>
      </c>
      <c r="K104" s="5347" t="s">
        <v>17</v>
      </c>
      <c r="L104" s="5341">
        <v>89</v>
      </c>
      <c r="M104" s="5341">
        <v>83</v>
      </c>
      <c r="N104" s="5342">
        <v>57</v>
      </c>
      <c r="O104" s="5346">
        <v>0.68674698795180722</v>
      </c>
      <c r="P104" s="5344">
        <v>0.77192982456140347</v>
      </c>
      <c r="Q104" s="5344">
        <v>0.22807017543859648</v>
      </c>
      <c r="R104" s="5344">
        <v>2.3809523809523808E-2</v>
      </c>
      <c r="S104" s="5345">
        <v>0.19047619047619047</v>
      </c>
      <c r="T104" s="5344">
        <v>0.52380952380952384</v>
      </c>
      <c r="U104" s="5344">
        <v>0.26190476190476192</v>
      </c>
    </row>
    <row r="105" spans="1:21" s="3890" customFormat="1">
      <c r="A105" s="4189"/>
      <c r="B105" s="4189"/>
      <c r="C105" s="4189"/>
      <c r="D105" s="4189"/>
      <c r="E105" s="4189"/>
      <c r="F105" s="4189"/>
      <c r="G105" s="4189"/>
      <c r="H105" s="4189"/>
      <c r="I105" s="7052"/>
      <c r="J105" s="7054"/>
      <c r="K105" s="5347" t="s">
        <v>60</v>
      </c>
      <c r="L105" s="5341">
        <v>23</v>
      </c>
      <c r="M105" s="5341">
        <v>23</v>
      </c>
      <c r="N105" s="5342">
        <v>15</v>
      </c>
      <c r="O105" s="5346">
        <v>0.65217391304347827</v>
      </c>
      <c r="P105" s="5344">
        <v>0.42857142857142855</v>
      </c>
      <c r="Q105" s="5344">
        <v>0.5714285714285714</v>
      </c>
      <c r="R105" s="5344">
        <v>0.14285714285714285</v>
      </c>
      <c r="S105" s="5345">
        <v>0</v>
      </c>
      <c r="T105" s="5344">
        <v>0.5714285714285714</v>
      </c>
      <c r="U105" s="5344">
        <v>0.2857142857142857</v>
      </c>
    </row>
    <row r="106" spans="1:21" s="3890" customFormat="1">
      <c r="A106" s="4189"/>
      <c r="B106" s="4189"/>
      <c r="C106" s="4189"/>
      <c r="D106" s="4189"/>
      <c r="E106" s="4189"/>
      <c r="F106" s="4189"/>
      <c r="G106" s="4189"/>
      <c r="H106" s="4189"/>
      <c r="I106" s="7052"/>
      <c r="J106" s="7054"/>
      <c r="K106" s="5347" t="s">
        <v>384</v>
      </c>
      <c r="L106" s="5341">
        <v>29</v>
      </c>
      <c r="M106" s="5341">
        <v>29</v>
      </c>
      <c r="N106" s="5342">
        <v>15</v>
      </c>
      <c r="O106" s="5346">
        <v>0.51724137931034486</v>
      </c>
      <c r="P106" s="5344">
        <v>0.6428571428571429</v>
      </c>
      <c r="Q106" s="5344">
        <v>0.35714285714285715</v>
      </c>
      <c r="R106" s="5344">
        <v>0.22222222222222221</v>
      </c>
      <c r="S106" s="5344">
        <v>0.22222222222222221</v>
      </c>
      <c r="T106" s="5344">
        <v>0.22222222222222221</v>
      </c>
      <c r="U106" s="5344">
        <v>0.33333333333333326</v>
      </c>
    </row>
    <row r="107" spans="1:21" s="3890" customFormat="1">
      <c r="A107" s="4189"/>
      <c r="B107" s="4189"/>
      <c r="C107" s="4189"/>
      <c r="D107" s="4189"/>
      <c r="E107" s="4189"/>
      <c r="F107" s="4189"/>
      <c r="G107" s="4189"/>
      <c r="H107" s="4189"/>
      <c r="I107" s="7052"/>
      <c r="J107" s="7054"/>
      <c r="K107" s="5347" t="s">
        <v>18</v>
      </c>
      <c r="L107" s="5341" t="s">
        <v>2607</v>
      </c>
      <c r="M107" s="5341" t="s">
        <v>2607</v>
      </c>
      <c r="N107" s="5341" t="s">
        <v>2607</v>
      </c>
      <c r="O107" s="5341" t="s">
        <v>2607</v>
      </c>
      <c r="P107" s="5341" t="s">
        <v>2607</v>
      </c>
      <c r="Q107" s="5341" t="s">
        <v>2607</v>
      </c>
      <c r="R107" s="5341" t="s">
        <v>2607</v>
      </c>
      <c r="S107" s="5341" t="s">
        <v>2607</v>
      </c>
      <c r="T107" s="5341" t="s">
        <v>2607</v>
      </c>
      <c r="U107" s="5341" t="s">
        <v>2607</v>
      </c>
    </row>
    <row r="108" spans="1:21" s="3890" customFormat="1" ht="14.4" customHeight="1">
      <c r="A108" s="4189"/>
      <c r="B108" s="4189"/>
      <c r="C108" s="4189"/>
      <c r="D108" s="4189"/>
      <c r="E108" s="4189"/>
      <c r="F108" s="4189"/>
      <c r="G108" s="4189"/>
      <c r="H108" s="4189"/>
      <c r="I108" s="7052"/>
      <c r="J108" s="7055"/>
      <c r="K108" s="5348" t="s">
        <v>15</v>
      </c>
      <c r="L108" s="5335">
        <f>SUM(L104:L107)</f>
        <v>141</v>
      </c>
      <c r="M108" s="5335">
        <f>SUM(M104:M107)</f>
        <v>135</v>
      </c>
      <c r="N108" s="5349">
        <v>87</v>
      </c>
      <c r="O108" s="5350">
        <v>0.64444444444444438</v>
      </c>
      <c r="P108" s="5351">
        <v>0.69411764705882351</v>
      </c>
      <c r="Q108" s="5351">
        <v>0.30588235294117649</v>
      </c>
      <c r="R108" s="5351">
        <v>6.8965517241379309E-2</v>
      </c>
      <c r="S108" s="5351">
        <v>0.17241379310344829</v>
      </c>
      <c r="T108" s="5351">
        <v>0.48275862068965514</v>
      </c>
      <c r="U108" s="5351">
        <v>0.27586206896551724</v>
      </c>
    </row>
    <row r="109" spans="1:21" s="3890" customFormat="1">
      <c r="A109" s="4189"/>
      <c r="B109" s="4189"/>
      <c r="C109" s="4189"/>
      <c r="D109" s="4189"/>
      <c r="E109" s="4189"/>
      <c r="F109" s="4189"/>
      <c r="G109" s="4189"/>
      <c r="H109" s="4189"/>
      <c r="I109" s="7052"/>
      <c r="J109" s="7053" t="s">
        <v>2174</v>
      </c>
      <c r="K109" s="5347" t="s">
        <v>62</v>
      </c>
      <c r="L109" s="5341">
        <v>64</v>
      </c>
      <c r="M109" s="5341">
        <v>64</v>
      </c>
      <c r="N109" s="5342">
        <v>41</v>
      </c>
      <c r="O109" s="5346">
        <v>0.640625</v>
      </c>
      <c r="P109" s="5344">
        <v>0.82051282051282048</v>
      </c>
      <c r="Q109" s="5344">
        <v>0.17948717948717949</v>
      </c>
      <c r="R109" s="5344">
        <v>0.125</v>
      </c>
      <c r="S109" s="5345">
        <v>0.25</v>
      </c>
      <c r="T109" s="5344">
        <v>0.375</v>
      </c>
      <c r="U109" s="5345">
        <v>0.25</v>
      </c>
    </row>
    <row r="110" spans="1:21" s="3890" customFormat="1">
      <c r="A110" s="4189"/>
      <c r="B110" s="4189"/>
      <c r="C110" s="4189"/>
      <c r="D110" s="4189"/>
      <c r="E110" s="4189"/>
      <c r="F110" s="4189"/>
      <c r="G110" s="4189"/>
      <c r="H110" s="4189"/>
      <c r="I110" s="7052"/>
      <c r="J110" s="7054"/>
      <c r="K110" s="5347" t="s">
        <v>385</v>
      </c>
      <c r="L110" s="5341">
        <v>29</v>
      </c>
      <c r="M110" s="5341">
        <v>29</v>
      </c>
      <c r="N110" s="5342">
        <v>17</v>
      </c>
      <c r="O110" s="5346">
        <v>0.58620689655172409</v>
      </c>
      <c r="P110" s="5345">
        <v>1</v>
      </c>
      <c r="Q110" s="5345">
        <v>0</v>
      </c>
      <c r="R110" s="5345">
        <v>0</v>
      </c>
      <c r="S110" s="5345">
        <v>0.2</v>
      </c>
      <c r="T110" s="5344">
        <v>0.13333333333333333</v>
      </c>
      <c r="U110" s="5344">
        <v>0.66666666666666652</v>
      </c>
    </row>
    <row r="111" spans="1:21" s="3890" customFormat="1">
      <c r="A111" s="4189"/>
      <c r="B111" s="4189"/>
      <c r="C111" s="4189"/>
      <c r="D111" s="4189"/>
      <c r="E111" s="4189"/>
      <c r="F111" s="4189"/>
      <c r="G111" s="4189"/>
      <c r="H111" s="4189"/>
      <c r="I111" s="7052"/>
      <c r="J111" s="7054"/>
      <c r="K111" s="5347" t="s">
        <v>63</v>
      </c>
      <c r="L111" s="5341">
        <v>83</v>
      </c>
      <c r="M111" s="5341">
        <v>78</v>
      </c>
      <c r="N111" s="5342">
        <v>51</v>
      </c>
      <c r="O111" s="5346">
        <v>0.65384615384615385</v>
      </c>
      <c r="P111" s="5345">
        <v>0.68</v>
      </c>
      <c r="Q111" s="5345">
        <v>0.32</v>
      </c>
      <c r="R111" s="5344">
        <v>5.8823529411764698E-2</v>
      </c>
      <c r="S111" s="5344">
        <v>0.1176470588235294</v>
      </c>
      <c r="T111" s="5344">
        <v>0.47058823529411759</v>
      </c>
      <c r="U111" s="5344">
        <v>0.35294117647058826</v>
      </c>
    </row>
    <row r="112" spans="1:21" s="3890" customFormat="1">
      <c r="A112" s="4189"/>
      <c r="B112" s="4189"/>
      <c r="C112" s="4189"/>
      <c r="D112" s="4189"/>
      <c r="E112" s="4189"/>
      <c r="F112" s="4189"/>
      <c r="G112" s="4189"/>
      <c r="H112" s="4189"/>
      <c r="I112" s="7052"/>
      <c r="J112" s="7055"/>
      <c r="K112" s="5348" t="s">
        <v>15</v>
      </c>
      <c r="L112" s="5335">
        <f>SUM(L109:L111)</f>
        <v>176</v>
      </c>
      <c r="M112" s="5335">
        <f>SUM(M109:M111)</f>
        <v>171</v>
      </c>
      <c r="N112" s="5349">
        <v>109</v>
      </c>
      <c r="O112" s="5350">
        <v>0.63742690058479534</v>
      </c>
      <c r="P112" s="5351">
        <v>0.78095238095238106</v>
      </c>
      <c r="Q112" s="5351">
        <v>0.21904761904761905</v>
      </c>
      <c r="R112" s="5351">
        <v>7.407407407407407E-2</v>
      </c>
      <c r="S112" s="5351">
        <v>0.1851851851851852</v>
      </c>
      <c r="T112" s="5352">
        <v>0.37037037037037041</v>
      </c>
      <c r="U112" s="5352">
        <v>0.37037037037037041</v>
      </c>
    </row>
    <row r="113" spans="1:33" s="3890" customFormat="1">
      <c r="A113" s="4189"/>
      <c r="B113" s="4189"/>
      <c r="C113" s="4189"/>
      <c r="D113" s="4189"/>
      <c r="E113" s="4189"/>
      <c r="F113" s="4189"/>
      <c r="G113" s="4189"/>
      <c r="H113" s="4189"/>
      <c r="I113" s="7052"/>
      <c r="J113" s="7053" t="s">
        <v>2175</v>
      </c>
      <c r="K113" s="5347" t="s">
        <v>476</v>
      </c>
      <c r="L113" s="5341">
        <v>49</v>
      </c>
      <c r="M113" s="5341">
        <v>49</v>
      </c>
      <c r="N113" s="5342">
        <v>31</v>
      </c>
      <c r="O113" s="5346">
        <v>0.63265306122448972</v>
      </c>
      <c r="P113" s="5344">
        <v>0.93103448275862066</v>
      </c>
      <c r="Q113" s="5344">
        <v>6.8965517241379309E-2</v>
      </c>
      <c r="R113" s="5344">
        <v>0.11538461538461538</v>
      </c>
      <c r="S113" s="5344">
        <v>7.6923076923076927E-2</v>
      </c>
      <c r="T113" s="5344">
        <v>0.30769230769230771</v>
      </c>
      <c r="U113" s="5345">
        <v>0.5</v>
      </c>
    </row>
    <row r="114" spans="1:33" s="3890" customFormat="1" ht="14.4" customHeight="1">
      <c r="A114" s="4189"/>
      <c r="B114" s="4189"/>
      <c r="C114" s="4189"/>
      <c r="D114" s="4189"/>
      <c r="E114" s="4189"/>
      <c r="F114" s="4189"/>
      <c r="G114" s="4189"/>
      <c r="H114" s="4189"/>
      <c r="I114" s="7052"/>
      <c r="J114" s="7054"/>
      <c r="K114" s="5347" t="s">
        <v>65</v>
      </c>
      <c r="L114" s="5341">
        <v>23</v>
      </c>
      <c r="M114" s="5341">
        <v>23</v>
      </c>
      <c r="N114" s="5342">
        <v>20</v>
      </c>
      <c r="O114" s="5343">
        <v>0.86956521739130432</v>
      </c>
      <c r="P114" s="5344">
        <v>0.94117647058823517</v>
      </c>
      <c r="Q114" s="5344">
        <v>5.8823529411764698E-2</v>
      </c>
      <c r="R114" s="5344"/>
      <c r="S114" s="5345">
        <v>0.25</v>
      </c>
      <c r="T114" s="5344">
        <v>0.625</v>
      </c>
      <c r="U114" s="5344">
        <v>0.125</v>
      </c>
    </row>
    <row r="115" spans="1:33" s="3890" customFormat="1">
      <c r="A115" s="4189"/>
      <c r="B115" s="4189"/>
      <c r="C115" s="4189"/>
      <c r="D115" s="4189"/>
      <c r="E115" s="4189"/>
      <c r="F115" s="4189"/>
      <c r="G115" s="4189"/>
      <c r="H115" s="4189"/>
      <c r="I115" s="7052"/>
      <c r="J115" s="7054"/>
      <c r="K115" s="5347" t="s">
        <v>386</v>
      </c>
      <c r="L115" s="5341">
        <v>40</v>
      </c>
      <c r="M115" s="5341">
        <v>40</v>
      </c>
      <c r="N115" s="5342">
        <v>35</v>
      </c>
      <c r="O115" s="5346">
        <v>0.875</v>
      </c>
      <c r="P115" s="5344">
        <v>0.55882352941176472</v>
      </c>
      <c r="Q115" s="5344">
        <v>0.44117647058823528</v>
      </c>
      <c r="R115" s="5344">
        <v>5.5555555555555552E-2</v>
      </c>
      <c r="S115" s="5345">
        <v>0.5</v>
      </c>
      <c r="T115" s="5344">
        <v>0.44444444444444442</v>
      </c>
      <c r="U115" s="5345">
        <v>0</v>
      </c>
    </row>
    <row r="116" spans="1:33" s="3890" customFormat="1">
      <c r="A116" s="4189"/>
      <c r="B116" s="4189"/>
      <c r="C116" s="4189"/>
      <c r="D116" s="4189"/>
      <c r="E116" s="4189"/>
      <c r="F116" s="4189"/>
      <c r="G116" s="4189"/>
      <c r="H116" s="4189"/>
      <c r="I116" s="7052"/>
      <c r="J116" s="7054"/>
      <c r="K116" s="5347" t="s">
        <v>81</v>
      </c>
      <c r="L116" s="5341">
        <v>64</v>
      </c>
      <c r="M116" s="5341">
        <v>58</v>
      </c>
      <c r="N116" s="5342">
        <v>49</v>
      </c>
      <c r="O116" s="5346">
        <v>0.84482758620689646</v>
      </c>
      <c r="P116" s="5344">
        <v>0.43478260869565216</v>
      </c>
      <c r="Q116" s="5344">
        <v>0.56521739130434778</v>
      </c>
      <c r="R116" s="5344">
        <v>5.2631578947368418E-2</v>
      </c>
      <c r="S116" s="5344">
        <v>0.26315789473684209</v>
      </c>
      <c r="T116" s="5344">
        <v>0.42105263157894735</v>
      </c>
      <c r="U116" s="5344">
        <v>0.26315789473684209</v>
      </c>
    </row>
    <row r="117" spans="1:33" s="3890" customFormat="1">
      <c r="A117" s="4189"/>
      <c r="B117" s="4189"/>
      <c r="C117" s="4189"/>
      <c r="D117" s="4189"/>
      <c r="E117" s="4189"/>
      <c r="F117" s="4189"/>
      <c r="G117" s="4189"/>
      <c r="H117" s="4189"/>
      <c r="I117" s="7052"/>
      <c r="J117" s="7055"/>
      <c r="K117" s="5348" t="s">
        <v>15</v>
      </c>
      <c r="L117" s="5335">
        <f>SUM(L113:L116)</f>
        <v>176</v>
      </c>
      <c r="M117" s="5335">
        <f>SUM(M113:M116)</f>
        <v>170</v>
      </c>
      <c r="N117" s="5349">
        <v>135</v>
      </c>
      <c r="O117" s="5350">
        <v>0.79411764705882348</v>
      </c>
      <c r="P117" s="5351">
        <v>0.6507936507936507</v>
      </c>
      <c r="Q117" s="5351">
        <v>0.34920634920634919</v>
      </c>
      <c r="R117" s="5351">
        <v>6.3291139240506333E-2</v>
      </c>
      <c r="S117" s="5351">
        <v>0.25316455696202533</v>
      </c>
      <c r="T117" s="5352">
        <v>0.43037974683544306</v>
      </c>
      <c r="U117" s="5351">
        <v>0.25316455696202533</v>
      </c>
    </row>
    <row r="118" spans="1:33" s="3527" customFormat="1">
      <c r="A118" s="4189"/>
      <c r="B118" s="4189"/>
      <c r="C118" s="4189"/>
      <c r="D118" s="4189"/>
      <c r="E118" s="4189"/>
      <c r="F118" s="4189"/>
      <c r="G118" s="4189"/>
      <c r="H118" s="4189"/>
      <c r="I118" s="7052" t="s">
        <v>240</v>
      </c>
      <c r="J118" s="7053" t="s">
        <v>2176</v>
      </c>
      <c r="K118" s="5347" t="s">
        <v>2054</v>
      </c>
      <c r="L118" s="5341">
        <v>41</v>
      </c>
      <c r="M118" s="5341">
        <v>41</v>
      </c>
      <c r="N118" s="5342">
        <v>23</v>
      </c>
      <c r="O118" s="5346">
        <v>0.5609756097560975</v>
      </c>
      <c r="P118" s="5344">
        <v>0.78260869565217395</v>
      </c>
      <c r="Q118" s="5344">
        <v>0.21739130434782608</v>
      </c>
      <c r="R118" s="5344">
        <v>0.22222222222222221</v>
      </c>
      <c r="S118" s="5344">
        <v>0.16666666666666663</v>
      </c>
      <c r="T118" s="5344">
        <v>0.38888888888888895</v>
      </c>
      <c r="U118" s="5344">
        <v>0.22222222222222221</v>
      </c>
      <c r="V118" s="3890"/>
      <c r="W118" s="3890"/>
      <c r="X118" s="3890"/>
      <c r="Y118" s="3890"/>
      <c r="Z118" s="3890"/>
      <c r="AA118" s="3890"/>
      <c r="AB118" s="3890"/>
      <c r="AC118" s="3890"/>
      <c r="AD118" s="3890"/>
      <c r="AE118" s="3890"/>
      <c r="AF118" s="3890"/>
      <c r="AG118" s="3890"/>
    </row>
    <row r="119" spans="1:33" s="3527" customFormat="1">
      <c r="A119" s="4189"/>
      <c r="B119" s="4189"/>
      <c r="C119" s="4189"/>
      <c r="D119" s="4189"/>
      <c r="E119" s="4189"/>
      <c r="F119" s="4189"/>
      <c r="G119" s="4189"/>
      <c r="H119" s="4189"/>
      <c r="I119" s="7052"/>
      <c r="J119" s="7055"/>
      <c r="K119" s="5348" t="s">
        <v>15</v>
      </c>
      <c r="L119" s="5335">
        <v>41</v>
      </c>
      <c r="M119" s="5335">
        <v>41</v>
      </c>
      <c r="N119" s="5349">
        <v>23</v>
      </c>
      <c r="O119" s="5350">
        <v>0.5609756097560975</v>
      </c>
      <c r="P119" s="5351">
        <v>0.78260869565217395</v>
      </c>
      <c r="Q119" s="5351">
        <v>0.21739130434782608</v>
      </c>
      <c r="R119" s="5351">
        <v>0.22222222222222221</v>
      </c>
      <c r="S119" s="5351">
        <v>0.16666666666666663</v>
      </c>
      <c r="T119" s="5351">
        <v>0.38888888888888895</v>
      </c>
      <c r="U119" s="5351">
        <v>0.22222222222222221</v>
      </c>
      <c r="V119" s="3890"/>
      <c r="W119" s="3890"/>
      <c r="X119" s="3890"/>
      <c r="Y119" s="3890"/>
      <c r="Z119" s="3890"/>
      <c r="AA119" s="3890"/>
      <c r="AB119" s="3890"/>
      <c r="AC119" s="3890"/>
      <c r="AD119" s="3890"/>
      <c r="AE119" s="3890"/>
      <c r="AF119" s="3890"/>
      <c r="AG119" s="3890"/>
    </row>
    <row r="120" spans="1:33" s="3527" customFormat="1">
      <c r="A120" s="4189"/>
      <c r="B120" s="4189"/>
      <c r="C120" s="4189"/>
      <c r="D120" s="4189"/>
      <c r="E120" s="4189"/>
      <c r="F120" s="4189"/>
      <c r="G120" s="4189"/>
      <c r="H120" s="4189"/>
      <c r="I120" s="7052"/>
      <c r="J120" s="7053" t="s">
        <v>2171</v>
      </c>
      <c r="K120" s="5347" t="s">
        <v>679</v>
      </c>
      <c r="L120" s="5341">
        <v>60</v>
      </c>
      <c r="M120" s="5341">
        <v>57</v>
      </c>
      <c r="N120" s="5342">
        <v>39</v>
      </c>
      <c r="O120" s="5346">
        <v>0.68421052631578949</v>
      </c>
      <c r="P120" s="5344">
        <v>0.78947368421052633</v>
      </c>
      <c r="Q120" s="5344">
        <v>0.21052631578947367</v>
      </c>
      <c r="R120" s="5344">
        <v>0.19354838709677419</v>
      </c>
      <c r="S120" s="5344">
        <v>0.25806451612903225</v>
      </c>
      <c r="T120" s="5344">
        <v>0.32258064516129031</v>
      </c>
      <c r="U120" s="5344">
        <v>0.22580645161290319</v>
      </c>
      <c r="V120" s="3890"/>
      <c r="W120" s="3890"/>
      <c r="X120" s="3890"/>
      <c r="Y120" s="3890"/>
      <c r="Z120" s="3890"/>
      <c r="AA120" s="3890"/>
      <c r="AB120" s="3890"/>
      <c r="AC120" s="3890"/>
      <c r="AD120" s="3890"/>
      <c r="AE120" s="3890"/>
      <c r="AF120" s="3890"/>
      <c r="AG120" s="3890"/>
    </row>
    <row r="121" spans="1:33" s="3527" customFormat="1">
      <c r="A121" s="4189"/>
      <c r="B121" s="4189"/>
      <c r="C121" s="4189"/>
      <c r="D121" s="4189"/>
      <c r="E121" s="4189"/>
      <c r="F121" s="4189"/>
      <c r="G121" s="4189"/>
      <c r="H121" s="4189"/>
      <c r="I121" s="7052"/>
      <c r="J121" s="7054"/>
      <c r="K121" s="5347" t="s">
        <v>489</v>
      </c>
      <c r="L121" s="5341">
        <v>6</v>
      </c>
      <c r="M121" s="5341">
        <v>6</v>
      </c>
      <c r="N121" s="5342">
        <v>4</v>
      </c>
      <c r="O121" s="5346">
        <v>0.66666666666666674</v>
      </c>
      <c r="P121" s="5345">
        <v>0.25</v>
      </c>
      <c r="Q121" s="5345">
        <v>0.75</v>
      </c>
      <c r="R121" s="5345">
        <v>0</v>
      </c>
      <c r="S121" s="5345">
        <v>0</v>
      </c>
      <c r="T121" s="5345">
        <v>1</v>
      </c>
      <c r="U121" s="5345">
        <v>0</v>
      </c>
      <c r="V121" s="3890"/>
      <c r="W121" s="3890"/>
      <c r="X121" s="3890"/>
      <c r="Y121" s="3890"/>
      <c r="Z121" s="3890"/>
      <c r="AA121" s="3890"/>
      <c r="AB121" s="3890"/>
      <c r="AC121" s="3890"/>
      <c r="AD121" s="3890"/>
      <c r="AE121" s="3890"/>
      <c r="AF121" s="3890"/>
      <c r="AG121" s="3890"/>
    </row>
    <row r="122" spans="1:33" s="3527" customFormat="1">
      <c r="A122" s="4189"/>
      <c r="B122" s="4189"/>
      <c r="C122" s="4189"/>
      <c r="D122" s="4189"/>
      <c r="E122" s="4189"/>
      <c r="F122" s="4189"/>
      <c r="G122" s="4189"/>
      <c r="H122" s="4189"/>
      <c r="I122" s="7052"/>
      <c r="J122" s="7055"/>
      <c r="K122" s="5348" t="s">
        <v>15</v>
      </c>
      <c r="L122" s="5335">
        <v>66</v>
      </c>
      <c r="M122" s="5335">
        <v>63</v>
      </c>
      <c r="N122" s="5349">
        <v>43</v>
      </c>
      <c r="O122" s="5350">
        <v>0.68253968253968256</v>
      </c>
      <c r="P122" s="5351">
        <v>0.73809523809523814</v>
      </c>
      <c r="Q122" s="5351">
        <v>0.26190476190476192</v>
      </c>
      <c r="R122" s="5351">
        <v>0.1875</v>
      </c>
      <c r="S122" s="5352">
        <v>0.25</v>
      </c>
      <c r="T122" s="5351">
        <v>0.34375</v>
      </c>
      <c r="U122" s="5351">
        <v>0.21875</v>
      </c>
      <c r="V122" s="3890"/>
      <c r="W122" s="3890"/>
      <c r="X122" s="3890"/>
      <c r="Y122" s="3890"/>
      <c r="Z122" s="3890"/>
      <c r="AA122" s="3890"/>
      <c r="AB122" s="3890"/>
      <c r="AC122" s="3890"/>
      <c r="AD122" s="3890"/>
      <c r="AE122" s="3890"/>
      <c r="AF122" s="3890"/>
      <c r="AG122" s="3890"/>
    </row>
    <row r="123" spans="1:33" s="3527" customFormat="1">
      <c r="A123" s="4189"/>
      <c r="B123" s="4189"/>
      <c r="C123" s="4189"/>
      <c r="D123" s="4189"/>
      <c r="E123" s="4189"/>
      <c r="F123" s="4189"/>
      <c r="G123" s="4189"/>
      <c r="H123" s="4189"/>
      <c r="I123" s="7052"/>
      <c r="J123" s="7053" t="s">
        <v>2173</v>
      </c>
      <c r="K123" s="5347" t="s">
        <v>680</v>
      </c>
      <c r="L123" s="5341">
        <v>56</v>
      </c>
      <c r="M123" s="5341">
        <v>56</v>
      </c>
      <c r="N123" s="5342">
        <v>38</v>
      </c>
      <c r="O123" s="5346">
        <v>0.6785714285714286</v>
      </c>
      <c r="P123" s="5344">
        <v>0.7222222222222221</v>
      </c>
      <c r="Q123" s="5344">
        <v>0.27777777777777779</v>
      </c>
      <c r="R123" s="5344">
        <v>0.25925925925925924</v>
      </c>
      <c r="S123" s="5344">
        <v>0.25925925925925924</v>
      </c>
      <c r="T123" s="5344">
        <v>0.40740740740740738</v>
      </c>
      <c r="U123" s="5344">
        <v>7.407407407407407E-2</v>
      </c>
      <c r="V123" s="3890"/>
      <c r="W123" s="3890"/>
      <c r="X123" s="3890"/>
      <c r="Y123" s="3890"/>
      <c r="Z123" s="3890"/>
      <c r="AA123" s="3890"/>
      <c r="AB123" s="3890"/>
      <c r="AC123" s="3890"/>
      <c r="AD123" s="3890"/>
      <c r="AE123" s="3890"/>
      <c r="AF123" s="3890"/>
      <c r="AG123" s="3890"/>
    </row>
    <row r="124" spans="1:33" s="3527" customFormat="1">
      <c r="A124" s="4189"/>
      <c r="B124" s="4189"/>
      <c r="C124" s="4189"/>
      <c r="D124" s="4189"/>
      <c r="E124" s="4189"/>
      <c r="F124" s="4189"/>
      <c r="G124" s="4189"/>
      <c r="H124" s="4189"/>
      <c r="I124" s="7052"/>
      <c r="J124" s="7055"/>
      <c r="K124" s="5348" t="s">
        <v>15</v>
      </c>
      <c r="L124" s="5335">
        <v>56</v>
      </c>
      <c r="M124" s="5335">
        <v>56</v>
      </c>
      <c r="N124" s="5349">
        <v>38</v>
      </c>
      <c r="O124" s="5350">
        <v>0.6785714285714286</v>
      </c>
      <c r="P124" s="5351">
        <v>0.7222222222222221</v>
      </c>
      <c r="Q124" s="5351">
        <v>0.27777777777777779</v>
      </c>
      <c r="R124" s="5351">
        <v>0.25925925925925924</v>
      </c>
      <c r="S124" s="5351">
        <v>0.25925925925925924</v>
      </c>
      <c r="T124" s="5351">
        <v>0.40740740740740738</v>
      </c>
      <c r="U124" s="5351">
        <v>7.407407407407407E-2</v>
      </c>
      <c r="V124" s="3890"/>
      <c r="W124" s="3890"/>
      <c r="X124" s="3890"/>
      <c r="Y124" s="3890"/>
      <c r="Z124" s="3890"/>
      <c r="AA124" s="3890"/>
      <c r="AB124" s="3890"/>
      <c r="AC124" s="3890"/>
      <c r="AD124" s="3890"/>
      <c r="AE124" s="3890"/>
      <c r="AF124" s="3890"/>
      <c r="AG124" s="3890"/>
    </row>
    <row r="125" spans="1:33" s="3527" customFormat="1">
      <c r="A125" s="4189"/>
      <c r="B125" s="4189"/>
      <c r="C125" s="4189"/>
      <c r="D125" s="4189"/>
      <c r="E125" s="4189"/>
      <c r="F125" s="4189"/>
      <c r="G125" s="4189"/>
      <c r="H125" s="4189"/>
      <c r="I125" s="7093" t="s">
        <v>15</v>
      </c>
      <c r="J125" s="7093"/>
      <c r="K125" s="7093"/>
      <c r="L125" s="5335">
        <v>16163</v>
      </c>
      <c r="M125" s="5335">
        <v>6959</v>
      </c>
      <c r="N125" s="5349">
        <v>5155</v>
      </c>
      <c r="O125" s="5350">
        <v>0.74076735163098151</v>
      </c>
      <c r="P125" s="5354">
        <v>0.72443181818181823</v>
      </c>
      <c r="Q125" s="5351">
        <v>0.27556818181818182</v>
      </c>
      <c r="R125" s="5351">
        <v>8.696908407974574E-2</v>
      </c>
      <c r="S125" s="5351">
        <v>0.14331118173938168</v>
      </c>
      <c r="T125" s="5352">
        <v>0.36030049118751806</v>
      </c>
      <c r="U125" s="5351">
        <v>0.40941924299335453</v>
      </c>
      <c r="V125" s="3890"/>
      <c r="W125" s="3890"/>
      <c r="X125" s="3890"/>
      <c r="Y125" s="3890"/>
      <c r="Z125" s="3890"/>
      <c r="AA125" s="3890"/>
      <c r="AB125" s="3890"/>
      <c r="AC125" s="3890"/>
      <c r="AD125" s="3890"/>
      <c r="AE125" s="3890"/>
      <c r="AF125" s="3890"/>
      <c r="AG125" s="3890"/>
    </row>
    <row r="126" spans="1:33" s="3527" customFormat="1" ht="14.4" customHeight="1">
      <c r="A126" s="4189"/>
      <c r="B126" s="4189"/>
      <c r="C126" s="4189"/>
      <c r="D126" s="4189"/>
      <c r="E126" s="4189"/>
      <c r="F126" s="4189"/>
      <c r="G126" s="4189"/>
      <c r="H126" s="4189"/>
      <c r="I126" s="124"/>
      <c r="J126" s="124"/>
      <c r="K126" s="124"/>
      <c r="L126" s="124"/>
      <c r="M126" s="5355"/>
      <c r="N126" s="5355"/>
      <c r="O126" s="5355"/>
      <c r="P126" s="124"/>
      <c r="Q126" s="124"/>
      <c r="R126" s="124"/>
      <c r="S126" s="124"/>
      <c r="T126" s="124"/>
      <c r="U126" s="124"/>
      <c r="V126" s="3890"/>
      <c r="W126" s="3890"/>
      <c r="X126" s="3890"/>
      <c r="Y126" s="3890"/>
      <c r="Z126" s="3890"/>
      <c r="AA126" s="3890"/>
      <c r="AB126" s="3890"/>
      <c r="AC126" s="3890"/>
      <c r="AD126" s="3890"/>
      <c r="AE126" s="3890"/>
      <c r="AF126" s="3890"/>
      <c r="AG126" s="3890"/>
    </row>
    <row r="127" spans="1:33" s="3527" customFormat="1">
      <c r="A127" s="4189"/>
      <c r="B127" s="4189"/>
      <c r="C127" s="4189"/>
      <c r="D127" s="4189"/>
      <c r="E127" s="4189"/>
      <c r="F127" s="4189"/>
      <c r="G127" s="4189"/>
      <c r="H127" s="4189"/>
      <c r="I127" s="124"/>
      <c r="J127" s="124"/>
      <c r="K127" s="124"/>
      <c r="L127" s="124"/>
      <c r="M127" s="5355"/>
      <c r="N127" s="5355"/>
      <c r="O127" s="5355"/>
      <c r="P127" s="124"/>
      <c r="Q127" s="124"/>
      <c r="R127" s="124"/>
      <c r="S127" s="124"/>
      <c r="T127" s="124"/>
      <c r="U127" s="124"/>
      <c r="V127" s="3890"/>
      <c r="W127" s="3890"/>
      <c r="X127" s="3890"/>
      <c r="Y127" s="3890"/>
      <c r="Z127" s="3890"/>
      <c r="AA127" s="3890"/>
      <c r="AB127" s="3890"/>
      <c r="AC127" s="3890"/>
      <c r="AD127" s="3890"/>
      <c r="AE127" s="3890"/>
      <c r="AF127" s="3890"/>
      <c r="AG127" s="3890"/>
    </row>
    <row r="128" spans="1:33" s="3527" customFormat="1" ht="18">
      <c r="A128" s="4189"/>
      <c r="B128" s="4189"/>
      <c r="C128" s="4189"/>
      <c r="D128" s="4189"/>
      <c r="E128" s="4189"/>
      <c r="F128" s="4189"/>
      <c r="G128" s="4189"/>
      <c r="H128" s="4189"/>
      <c r="I128" s="124"/>
      <c r="J128" s="124"/>
      <c r="K128" s="5356">
        <v>2020</v>
      </c>
      <c r="L128" s="124"/>
      <c r="M128" s="5355"/>
      <c r="N128" s="5355"/>
      <c r="O128" s="5355"/>
      <c r="P128" s="124"/>
      <c r="Q128" s="124"/>
      <c r="R128" s="124"/>
      <c r="S128" s="124"/>
      <c r="T128" s="124"/>
      <c r="U128" s="124"/>
    </row>
    <row r="129" spans="1:21" s="3527" customFormat="1">
      <c r="A129" s="4189"/>
      <c r="B129" s="4189"/>
      <c r="C129" s="4189"/>
      <c r="D129" s="4189"/>
      <c r="E129" s="4189"/>
      <c r="F129" s="4189"/>
      <c r="G129" s="4189"/>
      <c r="H129" s="4189"/>
      <c r="I129" s="7063" t="s">
        <v>2602</v>
      </c>
      <c r="J129" s="7063"/>
      <c r="K129" s="7063"/>
      <c r="L129" s="7063"/>
      <c r="M129" s="7063"/>
      <c r="N129" s="7063"/>
      <c r="O129" s="7063"/>
      <c r="P129" s="7063"/>
      <c r="Q129" s="7063"/>
      <c r="R129" s="7063"/>
      <c r="S129" s="7063"/>
      <c r="T129" s="7063"/>
      <c r="U129" s="124"/>
    </row>
    <row r="130" spans="1:21" s="3527" customFormat="1" ht="27.75" customHeight="1">
      <c r="A130" s="4189"/>
      <c r="B130" s="4189"/>
      <c r="C130" s="4189"/>
      <c r="D130" s="4189"/>
      <c r="E130" s="4189"/>
      <c r="F130" s="4189"/>
      <c r="G130" s="4189"/>
      <c r="H130" s="4189"/>
      <c r="I130" s="7063"/>
      <c r="J130" s="7063"/>
      <c r="K130" s="7063"/>
      <c r="L130" s="7063"/>
      <c r="M130" s="7063"/>
      <c r="N130" s="7063"/>
      <c r="O130" s="7063"/>
      <c r="P130" s="7063"/>
      <c r="Q130" s="7063"/>
      <c r="R130" s="7063"/>
      <c r="S130" s="7063"/>
      <c r="T130" s="7063"/>
      <c r="U130" s="124"/>
    </row>
    <row r="131" spans="1:21" s="3527" customFormat="1">
      <c r="A131" s="4189"/>
      <c r="B131" s="4189"/>
      <c r="C131" s="4189"/>
      <c r="D131" s="4189"/>
      <c r="E131" s="4189"/>
      <c r="F131" s="4189"/>
      <c r="G131" s="4189"/>
      <c r="H131" s="4189"/>
      <c r="I131" s="7063"/>
      <c r="J131" s="7063"/>
      <c r="K131" s="7063"/>
      <c r="L131" s="7063"/>
      <c r="M131" s="7063"/>
      <c r="N131" s="7063"/>
      <c r="O131" s="7063"/>
      <c r="P131" s="7063"/>
      <c r="Q131" s="7063"/>
      <c r="R131" s="7063"/>
      <c r="S131" s="7063"/>
      <c r="T131" s="7063"/>
      <c r="U131" s="124"/>
    </row>
    <row r="132" spans="1:21" s="3527" customFormat="1">
      <c r="A132" s="4189"/>
      <c r="B132" s="4189"/>
      <c r="C132" s="4189"/>
      <c r="D132" s="4189"/>
      <c r="E132" s="4189"/>
      <c r="F132" s="4189"/>
      <c r="G132" s="4189"/>
      <c r="H132" s="4189"/>
      <c r="I132" s="7063"/>
      <c r="J132" s="7063"/>
      <c r="K132" s="7063"/>
      <c r="L132" s="7063"/>
      <c r="M132" s="7063"/>
      <c r="N132" s="7063"/>
      <c r="O132" s="7063"/>
      <c r="P132" s="7063"/>
      <c r="Q132" s="7063"/>
      <c r="R132" s="7063"/>
      <c r="S132" s="7063"/>
      <c r="T132" s="7063"/>
      <c r="U132" s="124"/>
    </row>
    <row r="133" spans="1:21" s="3527" customFormat="1">
      <c r="A133" s="4189"/>
      <c r="B133" s="4189"/>
      <c r="C133" s="4189"/>
      <c r="D133" s="4189"/>
      <c r="E133" s="4189"/>
      <c r="F133" s="4189"/>
      <c r="G133" s="4189"/>
      <c r="H133" s="4189"/>
      <c r="I133" s="5357"/>
      <c r="J133" s="5357"/>
      <c r="K133" s="5357"/>
      <c r="L133" s="5357"/>
      <c r="M133" s="5357"/>
      <c r="N133" s="5357"/>
      <c r="O133" s="5357"/>
      <c r="P133" s="5357"/>
      <c r="Q133" s="5357"/>
      <c r="R133" s="5357"/>
      <c r="S133" s="5357"/>
      <c r="T133" s="5357"/>
      <c r="U133" s="124"/>
    </row>
    <row r="134" spans="1:21" s="3527" customFormat="1">
      <c r="A134" s="4189"/>
      <c r="B134" s="4189"/>
      <c r="C134" s="4189"/>
      <c r="D134" s="4189"/>
      <c r="E134" s="4189"/>
      <c r="F134" s="4189"/>
      <c r="G134" s="4189"/>
      <c r="H134" s="4189"/>
      <c r="I134" s="5358"/>
      <c r="J134" s="5358"/>
      <c r="K134" s="5358"/>
      <c r="L134" s="5358"/>
      <c r="M134" s="5358"/>
      <c r="N134" s="5358"/>
      <c r="O134" s="5358"/>
      <c r="P134" s="5358"/>
      <c r="Q134" s="5358"/>
      <c r="R134" s="5358"/>
      <c r="S134" s="5358"/>
      <c r="T134" s="5358"/>
      <c r="U134" s="124"/>
    </row>
    <row r="135" spans="1:21" s="3527" customFormat="1">
      <c r="A135" s="4189"/>
      <c r="B135" s="4189"/>
      <c r="C135" s="4189"/>
      <c r="D135" s="4189"/>
      <c r="E135" s="4189"/>
      <c r="F135" s="4189"/>
      <c r="G135" s="4189"/>
      <c r="H135" s="4189"/>
      <c r="I135" s="7062" t="s">
        <v>2343</v>
      </c>
      <c r="J135" s="7062"/>
      <c r="K135" s="1094"/>
      <c r="L135" s="1094"/>
      <c r="M135" s="1094"/>
      <c r="N135" s="1094"/>
      <c r="O135" s="1094"/>
      <c r="P135" s="1094"/>
      <c r="Q135" s="124"/>
      <c r="R135" s="124"/>
      <c r="S135" s="124"/>
      <c r="T135" s="124"/>
      <c r="U135" s="124"/>
    </row>
    <row r="136" spans="1:21" s="3527" customFormat="1">
      <c r="A136" s="4189"/>
      <c r="B136" s="4189"/>
      <c r="C136" s="4189"/>
      <c r="D136" s="4189"/>
      <c r="E136" s="4189"/>
      <c r="F136" s="4189"/>
      <c r="G136" s="4189"/>
      <c r="H136" s="4189"/>
      <c r="I136" s="1094"/>
      <c r="J136" s="1094"/>
      <c r="K136" s="1094"/>
      <c r="L136" s="1094"/>
      <c r="M136" s="5357"/>
      <c r="N136" s="5357"/>
      <c r="O136" s="1094"/>
      <c r="P136" s="1094"/>
      <c r="Q136" s="124"/>
      <c r="R136" s="124"/>
      <c r="S136" s="124"/>
      <c r="T136" s="124"/>
      <c r="U136" s="124"/>
    </row>
    <row r="137" spans="1:21" s="3527" customFormat="1">
      <c r="A137" s="4189"/>
      <c r="B137" s="4189"/>
      <c r="C137" s="4189"/>
      <c r="D137" s="4189"/>
      <c r="E137" s="4189"/>
      <c r="F137" s="4189"/>
      <c r="G137" s="4189"/>
      <c r="H137" s="4189"/>
      <c r="I137" s="5359" t="s">
        <v>2603</v>
      </c>
      <c r="J137" s="5360">
        <v>2016</v>
      </c>
      <c r="K137" s="5360" t="s">
        <v>2604</v>
      </c>
      <c r="L137" s="5359" t="s">
        <v>15</v>
      </c>
      <c r="M137" s="36"/>
      <c r="N137" s="5357"/>
      <c r="O137" s="124"/>
      <c r="P137" s="1094"/>
      <c r="Q137" s="124"/>
      <c r="R137" s="124"/>
      <c r="S137" s="124"/>
      <c r="T137" s="124"/>
      <c r="U137" s="124"/>
    </row>
    <row r="138" spans="1:21" s="3527" customFormat="1">
      <c r="A138" s="4189"/>
      <c r="B138" s="4189"/>
      <c r="C138" s="4189"/>
      <c r="D138" s="4189"/>
      <c r="E138" s="4189"/>
      <c r="F138" s="4189"/>
      <c r="G138" s="4189"/>
      <c r="H138" s="4189"/>
      <c r="I138" s="5359" t="s">
        <v>1898</v>
      </c>
      <c r="J138" s="5361">
        <v>2365</v>
      </c>
      <c r="K138" s="5361">
        <v>1113</v>
      </c>
      <c r="L138" s="5359">
        <f>J138+K138</f>
        <v>3478</v>
      </c>
      <c r="M138" s="36"/>
      <c r="N138" s="5357"/>
      <c r="O138" s="124"/>
      <c r="P138" s="1094"/>
      <c r="Q138" s="124"/>
      <c r="R138" s="124"/>
      <c r="S138" s="124"/>
      <c r="T138" s="124"/>
      <c r="U138" s="124"/>
    </row>
    <row r="139" spans="1:21" s="3527" customFormat="1">
      <c r="A139" s="4189"/>
      <c r="B139" s="4189"/>
      <c r="C139" s="4189"/>
      <c r="D139" s="4189"/>
      <c r="E139" s="4189"/>
      <c r="F139" s="4189"/>
      <c r="G139" s="4189"/>
      <c r="H139" s="4189"/>
      <c r="I139" s="1094"/>
      <c r="J139" s="1094"/>
      <c r="K139" s="1094"/>
      <c r="L139" s="1094"/>
      <c r="M139" s="5357"/>
      <c r="N139" s="5357"/>
      <c r="O139" s="1094"/>
      <c r="P139" s="1094"/>
      <c r="Q139" s="124"/>
      <c r="R139" s="124"/>
      <c r="S139" s="124"/>
      <c r="T139" s="124"/>
      <c r="U139" s="124"/>
    </row>
    <row r="140" spans="1:21" s="3527" customFormat="1">
      <c r="A140" s="4189"/>
      <c r="B140" s="4189"/>
      <c r="C140" s="4189"/>
      <c r="D140" s="4189"/>
      <c r="E140" s="4189"/>
      <c r="F140" s="4189"/>
      <c r="G140" s="4189"/>
      <c r="H140" s="4189"/>
      <c r="I140" s="7063" t="s">
        <v>2605</v>
      </c>
      <c r="J140" s="7063"/>
      <c r="K140" s="7063"/>
      <c r="L140" s="7063"/>
      <c r="M140" s="7063"/>
      <c r="N140" s="7063"/>
      <c r="O140" s="7063"/>
      <c r="P140" s="7063"/>
      <c r="Q140" s="7063"/>
      <c r="R140" s="7063"/>
      <c r="S140" s="7063"/>
      <c r="T140" s="124"/>
      <c r="U140" s="124"/>
    </row>
    <row r="141" spans="1:21" s="3527" customFormat="1">
      <c r="A141" s="4189"/>
      <c r="B141" s="4189"/>
      <c r="C141" s="4189"/>
      <c r="D141" s="4189"/>
      <c r="E141" s="4189"/>
      <c r="F141" s="4189"/>
      <c r="G141" s="4189"/>
      <c r="H141" s="4189"/>
      <c r="I141" s="7063"/>
      <c r="J141" s="7063"/>
      <c r="K141" s="7063"/>
      <c r="L141" s="7063"/>
      <c r="M141" s="7063"/>
      <c r="N141" s="7063"/>
      <c r="O141" s="7063"/>
      <c r="P141" s="7063"/>
      <c r="Q141" s="7063"/>
      <c r="R141" s="7063"/>
      <c r="S141" s="7063"/>
      <c r="T141" s="124"/>
      <c r="U141" s="124"/>
    </row>
    <row r="142" spans="1:21" s="3527" customFormat="1">
      <c r="A142" s="4189"/>
      <c r="B142" s="4189"/>
      <c r="C142" s="4189"/>
      <c r="D142" s="4189"/>
      <c r="E142" s="4189"/>
      <c r="F142" s="4189"/>
      <c r="G142" s="4189"/>
      <c r="H142" s="4189"/>
      <c r="I142" s="1094"/>
      <c r="J142" s="1094"/>
      <c r="K142" s="1094"/>
      <c r="L142" s="1094"/>
      <c r="M142" s="1094"/>
      <c r="N142" s="1094"/>
      <c r="O142" s="1094"/>
      <c r="P142" s="1094"/>
      <c r="Q142" s="1094"/>
      <c r="R142" s="1094"/>
      <c r="S142" s="1094"/>
      <c r="T142" s="124"/>
      <c r="U142" s="124"/>
    </row>
    <row r="143" spans="1:21" s="3527" customFormat="1">
      <c r="A143" s="4189"/>
      <c r="B143" s="4189"/>
      <c r="C143" s="4189"/>
      <c r="D143" s="4189"/>
      <c r="E143" s="4189"/>
      <c r="F143" s="4189"/>
      <c r="G143" s="4189"/>
      <c r="H143" s="4189"/>
      <c r="I143" s="5362" t="s">
        <v>2606</v>
      </c>
      <c r="J143" s="1094"/>
      <c r="K143" s="1094"/>
      <c r="L143" s="1094"/>
      <c r="M143" s="1094"/>
      <c r="N143" s="1094"/>
      <c r="O143" s="1094"/>
      <c r="P143" s="1094"/>
      <c r="Q143" s="1094"/>
      <c r="R143" s="1094"/>
      <c r="S143" s="1094"/>
      <c r="T143" s="124"/>
      <c r="U143" s="124"/>
    </row>
    <row r="144" spans="1:21" s="3527" customFormat="1">
      <c r="A144" s="4189"/>
      <c r="B144" s="4189"/>
      <c r="C144" s="4189"/>
      <c r="D144" s="4189"/>
      <c r="E144" s="4189"/>
      <c r="F144" s="4189"/>
      <c r="G144" s="4189"/>
      <c r="H144" s="4189"/>
      <c r="I144" s="124"/>
      <c r="J144" s="124"/>
      <c r="K144" s="124"/>
      <c r="L144" s="124"/>
      <c r="M144" s="124"/>
      <c r="N144" s="124"/>
      <c r="O144" s="124"/>
      <c r="P144" s="7064" t="s">
        <v>2167</v>
      </c>
      <c r="Q144" s="7065"/>
      <c r="R144" s="7066" t="s">
        <v>2168</v>
      </c>
      <c r="S144" s="7067"/>
      <c r="T144" s="7067"/>
      <c r="U144" s="7068"/>
    </row>
    <row r="145" spans="1:21" s="3527" customFormat="1" ht="24">
      <c r="A145" s="4189"/>
      <c r="B145" s="4189"/>
      <c r="C145" s="4189"/>
      <c r="D145" s="4189"/>
      <c r="E145" s="4189"/>
      <c r="F145" s="4189"/>
      <c r="G145" s="4189"/>
      <c r="H145" s="4189"/>
      <c r="I145" s="5369" t="s">
        <v>0</v>
      </c>
      <c r="J145" s="5370" t="s">
        <v>1</v>
      </c>
      <c r="K145" s="5371" t="s">
        <v>2183</v>
      </c>
      <c r="L145" s="5372" t="s">
        <v>1893</v>
      </c>
      <c r="M145" s="5363" t="s">
        <v>1894</v>
      </c>
      <c r="N145" s="5363" t="s">
        <v>1898</v>
      </c>
      <c r="O145" s="5373" t="s">
        <v>2169</v>
      </c>
      <c r="P145" s="5364" t="s">
        <v>907</v>
      </c>
      <c r="Q145" s="5363" t="s">
        <v>908</v>
      </c>
      <c r="R145" s="5365" t="s">
        <v>1424</v>
      </c>
      <c r="S145" s="5365" t="s">
        <v>1425</v>
      </c>
      <c r="T145" s="5366" t="s">
        <v>1426</v>
      </c>
      <c r="U145" s="5365" t="s">
        <v>1427</v>
      </c>
    </row>
    <row r="146" spans="1:21" s="3527" customFormat="1">
      <c r="A146" s="4189"/>
      <c r="B146" s="4189"/>
      <c r="C146" s="4189"/>
      <c r="D146" s="4189"/>
      <c r="E146" s="4189"/>
      <c r="F146" s="4189"/>
      <c r="G146" s="4189"/>
      <c r="H146" s="4189"/>
      <c r="I146" s="7060" t="s">
        <v>3</v>
      </c>
      <c r="J146" s="7060" t="s">
        <v>2176</v>
      </c>
      <c r="K146" s="5374" t="s">
        <v>474</v>
      </c>
      <c r="L146" s="5367">
        <v>205</v>
      </c>
      <c r="M146" s="5367">
        <v>82</v>
      </c>
      <c r="N146" s="5367">
        <v>46</v>
      </c>
      <c r="O146" s="5375">
        <f t="shared" ref="O146:O165" si="3">N146*100/M146</f>
        <v>56.097560975609753</v>
      </c>
      <c r="P146" s="5376">
        <v>0.7</v>
      </c>
      <c r="Q146" s="5376">
        <v>0.3</v>
      </c>
      <c r="R146" s="5376">
        <v>0.15</v>
      </c>
      <c r="S146" s="5376">
        <v>0.2</v>
      </c>
      <c r="T146" s="5376">
        <v>0.45</v>
      </c>
      <c r="U146" s="5376">
        <v>0.2</v>
      </c>
    </row>
    <row r="147" spans="1:21" s="3527" customFormat="1">
      <c r="A147" s="4189"/>
      <c r="B147" s="4189"/>
      <c r="C147" s="4189"/>
      <c r="D147" s="4189"/>
      <c r="E147" s="4189"/>
      <c r="F147" s="4189"/>
      <c r="G147" s="4189"/>
      <c r="H147" s="4189"/>
      <c r="I147" s="7069"/>
      <c r="J147" s="7069"/>
      <c r="K147" s="5374" t="s">
        <v>475</v>
      </c>
      <c r="L147" s="5367">
        <v>229</v>
      </c>
      <c r="M147" s="5367">
        <v>93</v>
      </c>
      <c r="N147" s="5377">
        <v>49</v>
      </c>
      <c r="O147" s="5375">
        <f t="shared" si="3"/>
        <v>52.688172043010752</v>
      </c>
      <c r="P147" s="5378">
        <v>0.8</v>
      </c>
      <c r="Q147" s="5378">
        <v>0.2</v>
      </c>
      <c r="R147" s="5379">
        <v>0</v>
      </c>
      <c r="S147" s="5380">
        <v>0.10714285714285714</v>
      </c>
      <c r="T147" s="5380">
        <v>0.35714285714285715</v>
      </c>
      <c r="U147" s="5380">
        <v>0.5357142857142857</v>
      </c>
    </row>
    <row r="148" spans="1:21" s="3527" customFormat="1">
      <c r="A148" s="4189"/>
      <c r="B148" s="4189"/>
      <c r="C148" s="4189"/>
      <c r="D148" s="4189"/>
      <c r="E148" s="4189"/>
      <c r="F148" s="4189"/>
      <c r="G148" s="4189"/>
      <c r="H148" s="4189"/>
      <c r="I148" s="7069"/>
      <c r="J148" s="7069"/>
      <c r="K148" s="5374" t="s">
        <v>673</v>
      </c>
      <c r="L148" s="5367">
        <v>87</v>
      </c>
      <c r="M148" s="5367">
        <v>64</v>
      </c>
      <c r="N148" s="5377">
        <v>21</v>
      </c>
      <c r="O148" s="5375">
        <f t="shared" si="3"/>
        <v>32.8125</v>
      </c>
      <c r="P148" s="5378">
        <v>0.88888888888888884</v>
      </c>
      <c r="Q148" s="5378">
        <v>0.1111111111111111</v>
      </c>
      <c r="R148" s="5380">
        <v>6.25E-2</v>
      </c>
      <c r="S148" s="5380">
        <v>6.25E-2</v>
      </c>
      <c r="T148" s="5380">
        <v>0.4375</v>
      </c>
      <c r="U148" s="5380">
        <v>0.4375</v>
      </c>
    </row>
    <row r="149" spans="1:21" s="3527" customFormat="1">
      <c r="A149" s="4189"/>
      <c r="B149" s="4189"/>
      <c r="C149" s="4189"/>
      <c r="D149" s="4189"/>
      <c r="E149" s="4189"/>
      <c r="F149" s="4189"/>
      <c r="G149" s="4189"/>
      <c r="H149" s="4189"/>
      <c r="I149" s="7069"/>
      <c r="J149" s="7069"/>
      <c r="K149" s="5374" t="s">
        <v>477</v>
      </c>
      <c r="L149" s="5367">
        <v>76</v>
      </c>
      <c r="M149" s="5367">
        <v>55</v>
      </c>
      <c r="N149" s="5377">
        <v>20</v>
      </c>
      <c r="O149" s="5375">
        <f t="shared" si="3"/>
        <v>36.363636363636367</v>
      </c>
      <c r="P149" s="5378">
        <v>0.46153846153846151</v>
      </c>
      <c r="Q149" s="5378">
        <v>0.53846153846153844</v>
      </c>
      <c r="R149" s="5379">
        <v>0</v>
      </c>
      <c r="S149" s="5379">
        <v>0</v>
      </c>
      <c r="T149" s="5380">
        <v>0.66666666666666652</v>
      </c>
      <c r="U149" s="5380">
        <v>0.33333333333333326</v>
      </c>
    </row>
    <row r="150" spans="1:21" s="3527" customFormat="1">
      <c r="A150" s="4189"/>
      <c r="B150" s="4189"/>
      <c r="C150" s="4189"/>
      <c r="D150" s="4189"/>
      <c r="E150" s="4189"/>
      <c r="F150" s="4189"/>
      <c r="G150" s="4189"/>
      <c r="H150" s="4189"/>
      <c r="I150" s="7069"/>
      <c r="J150" s="7069"/>
      <c r="K150" s="5374" t="s">
        <v>674</v>
      </c>
      <c r="L150" s="5367">
        <v>267</v>
      </c>
      <c r="M150" s="5367">
        <v>107</v>
      </c>
      <c r="N150" s="5377">
        <v>58</v>
      </c>
      <c r="O150" s="5375">
        <f t="shared" si="3"/>
        <v>54.205607476635514</v>
      </c>
      <c r="P150" s="5378">
        <v>0.88095238095238093</v>
      </c>
      <c r="Q150" s="5378">
        <v>0.11904761904761903</v>
      </c>
      <c r="R150" s="5380">
        <v>2.7027027027027025E-2</v>
      </c>
      <c r="S150" s="5380">
        <v>8.1081081081081086E-2</v>
      </c>
      <c r="T150" s="5380">
        <v>0.45945945945945948</v>
      </c>
      <c r="U150" s="5380">
        <v>0.4324324324324324</v>
      </c>
    </row>
    <row r="151" spans="1:21" s="3527" customFormat="1">
      <c r="A151" s="4189"/>
      <c r="B151" s="4189"/>
      <c r="C151" s="4189"/>
      <c r="D151" s="4189"/>
      <c r="E151" s="4189"/>
      <c r="F151" s="4189"/>
      <c r="G151" s="4189"/>
      <c r="H151" s="4189"/>
      <c r="I151" s="7069"/>
      <c r="J151" s="7069"/>
      <c r="K151" s="5374" t="s">
        <v>675</v>
      </c>
      <c r="L151" s="5367">
        <v>171</v>
      </c>
      <c r="M151" s="5367">
        <v>69</v>
      </c>
      <c r="N151" s="5377">
        <v>38</v>
      </c>
      <c r="O151" s="5375">
        <f t="shared" si="3"/>
        <v>55.072463768115945</v>
      </c>
      <c r="P151" s="5378">
        <v>0.81481481481481477</v>
      </c>
      <c r="Q151" s="5378">
        <v>0.1851851851851852</v>
      </c>
      <c r="R151" s="5379">
        <v>0</v>
      </c>
      <c r="S151" s="5380">
        <v>9.0909090909090912E-2</v>
      </c>
      <c r="T151" s="5380">
        <v>0.22727272727272727</v>
      </c>
      <c r="U151" s="5380">
        <v>0.68181818181818177</v>
      </c>
    </row>
    <row r="152" spans="1:21" s="3527" customFormat="1">
      <c r="A152" s="4189"/>
      <c r="B152" s="4189"/>
      <c r="C152" s="4189"/>
      <c r="D152" s="4189"/>
      <c r="E152" s="4189"/>
      <c r="F152" s="4189"/>
      <c r="G152" s="4189"/>
      <c r="H152" s="4189"/>
      <c r="I152" s="7069"/>
      <c r="J152" s="7069"/>
      <c r="K152" s="5374" t="s">
        <v>676</v>
      </c>
      <c r="L152" s="5367">
        <v>52</v>
      </c>
      <c r="M152" s="5367">
        <v>52</v>
      </c>
      <c r="N152" s="5377">
        <v>12</v>
      </c>
      <c r="O152" s="5375">
        <f t="shared" si="3"/>
        <v>23.076923076923077</v>
      </c>
      <c r="P152" s="5378">
        <v>0.75</v>
      </c>
      <c r="Q152" s="5378">
        <v>0.25</v>
      </c>
      <c r="R152" s="5379">
        <v>0</v>
      </c>
      <c r="S152" s="5380">
        <v>0.16666666666666663</v>
      </c>
      <c r="T152" s="5380">
        <v>0.5</v>
      </c>
      <c r="U152" s="5380">
        <v>0.33333333333333326</v>
      </c>
    </row>
    <row r="153" spans="1:21" s="3527" customFormat="1">
      <c r="A153" s="4189"/>
      <c r="B153" s="4189"/>
      <c r="C153" s="4189"/>
      <c r="D153" s="4189"/>
      <c r="E153" s="4189"/>
      <c r="F153" s="4189"/>
      <c r="G153" s="4189"/>
      <c r="H153" s="4189"/>
      <c r="I153" s="7069"/>
      <c r="J153" s="7069"/>
      <c r="K153" s="5374" t="s">
        <v>478</v>
      </c>
      <c r="L153" s="5367">
        <v>196</v>
      </c>
      <c r="M153" s="5367">
        <v>80</v>
      </c>
      <c r="N153" s="5377">
        <v>41</v>
      </c>
      <c r="O153" s="5375">
        <f t="shared" si="3"/>
        <v>51.25</v>
      </c>
      <c r="P153" s="5378">
        <v>0.60869565217391308</v>
      </c>
      <c r="Q153" s="5378">
        <v>0.39130434782608697</v>
      </c>
      <c r="R153" s="5380">
        <v>7.1428571428571425E-2</v>
      </c>
      <c r="S153" s="5380">
        <v>7.1428571428571425E-2</v>
      </c>
      <c r="T153" s="5380">
        <v>0.35714285714285715</v>
      </c>
      <c r="U153" s="5380">
        <v>0.5</v>
      </c>
    </row>
    <row r="154" spans="1:21" s="3527" customFormat="1">
      <c r="A154" s="4189"/>
      <c r="B154" s="4189"/>
      <c r="C154" s="4189"/>
      <c r="D154" s="4189"/>
      <c r="E154" s="4189"/>
      <c r="F154" s="4189"/>
      <c r="G154" s="4189"/>
      <c r="H154" s="4189"/>
      <c r="I154" s="7069"/>
      <c r="J154" s="7069"/>
      <c r="K154" s="5374" t="s">
        <v>677</v>
      </c>
      <c r="L154" s="5367">
        <v>174</v>
      </c>
      <c r="M154" s="5367">
        <v>71</v>
      </c>
      <c r="N154" s="5377">
        <v>38</v>
      </c>
      <c r="O154" s="5375">
        <f t="shared" si="3"/>
        <v>53.521126760563384</v>
      </c>
      <c r="P154" s="5378">
        <v>0.8571428571428571</v>
      </c>
      <c r="Q154" s="5378">
        <v>0.14285714285714285</v>
      </c>
      <c r="R154" s="5380">
        <v>0</v>
      </c>
      <c r="S154" s="5380">
        <v>0.30434782608695654</v>
      </c>
      <c r="T154" s="5380">
        <v>0.47826086956521741</v>
      </c>
      <c r="U154" s="5380">
        <v>0.21739130434782608</v>
      </c>
    </row>
    <row r="155" spans="1:21" s="3527" customFormat="1">
      <c r="A155" s="4189"/>
      <c r="B155" s="4189"/>
      <c r="C155" s="4189"/>
      <c r="D155" s="4189"/>
      <c r="E155" s="4189"/>
      <c r="F155" s="4189"/>
      <c r="G155" s="4189"/>
      <c r="H155" s="4189"/>
      <c r="I155" s="7069"/>
      <c r="J155" s="7061"/>
      <c r="K155" s="5374" t="s">
        <v>476</v>
      </c>
      <c r="L155" s="5367">
        <v>235</v>
      </c>
      <c r="M155" s="5367">
        <v>94</v>
      </c>
      <c r="N155" s="5377">
        <v>66</v>
      </c>
      <c r="O155" s="5375">
        <f t="shared" si="3"/>
        <v>70.212765957446805</v>
      </c>
      <c r="P155" s="5378">
        <v>0.8648648648648648</v>
      </c>
      <c r="Q155" s="5378">
        <v>0.13513513513513514</v>
      </c>
      <c r="R155" s="5379">
        <v>0</v>
      </c>
      <c r="S155" s="5380">
        <v>9.6774193548387094E-2</v>
      </c>
      <c r="T155" s="5380">
        <v>0.16129032258064516</v>
      </c>
      <c r="U155" s="5380">
        <v>0.74193548387096764</v>
      </c>
    </row>
    <row r="156" spans="1:21" s="3527" customFormat="1">
      <c r="A156" s="4189"/>
      <c r="B156" s="4189"/>
      <c r="C156" s="4189"/>
      <c r="D156" s="4189"/>
      <c r="E156" s="4189"/>
      <c r="F156" s="4189"/>
      <c r="G156" s="4189"/>
      <c r="H156" s="4189"/>
      <c r="I156" s="7069"/>
      <c r="J156" s="7060" t="s">
        <v>2171</v>
      </c>
      <c r="K156" s="5374" t="s">
        <v>17</v>
      </c>
      <c r="L156" s="5367">
        <v>565</v>
      </c>
      <c r="M156" s="5367">
        <v>210</v>
      </c>
      <c r="N156" s="5377">
        <v>120</v>
      </c>
      <c r="O156" s="5375">
        <f t="shared" si="3"/>
        <v>57.142857142857146</v>
      </c>
      <c r="P156" s="5378">
        <v>0.83870967741935487</v>
      </c>
      <c r="Q156" s="5378">
        <v>0.16129032258064516</v>
      </c>
      <c r="R156" s="5380">
        <v>0</v>
      </c>
      <c r="S156" s="5380">
        <v>0.14893617021276595</v>
      </c>
      <c r="T156" s="5380">
        <v>0.57446808510638303</v>
      </c>
      <c r="U156" s="5380">
        <v>0.27659574468085107</v>
      </c>
    </row>
    <row r="157" spans="1:21" s="3527" customFormat="1">
      <c r="A157" s="4189"/>
      <c r="B157" s="4189"/>
      <c r="C157" s="4189"/>
      <c r="D157" s="4189"/>
      <c r="E157" s="4189"/>
      <c r="F157" s="4189"/>
      <c r="G157" s="4189"/>
      <c r="H157" s="4189"/>
      <c r="I157" s="7069"/>
      <c r="J157" s="7069"/>
      <c r="K157" s="5374" t="s">
        <v>18</v>
      </c>
      <c r="L157" s="5367">
        <v>897</v>
      </c>
      <c r="M157" s="5367">
        <v>333</v>
      </c>
      <c r="N157" s="5377">
        <v>195</v>
      </c>
      <c r="O157" s="5375">
        <f t="shared" si="3"/>
        <v>58.558558558558559</v>
      </c>
      <c r="P157" s="5378">
        <v>0.63207547169811318</v>
      </c>
      <c r="Q157" s="5378">
        <v>0.36792452830188682</v>
      </c>
      <c r="R157" s="5380">
        <v>7.9365079365079361E-2</v>
      </c>
      <c r="S157" s="5380">
        <v>7.9365079365079361E-2</v>
      </c>
      <c r="T157" s="5380">
        <v>0.20634920634920634</v>
      </c>
      <c r="U157" s="5380">
        <v>0.63492063492063489</v>
      </c>
    </row>
    <row r="158" spans="1:21" s="3527" customFormat="1">
      <c r="A158" s="4189"/>
      <c r="B158" s="4189"/>
      <c r="C158" s="4189"/>
      <c r="D158" s="4189"/>
      <c r="E158" s="4189"/>
      <c r="F158" s="4189"/>
      <c r="G158" s="4189"/>
      <c r="H158" s="4189"/>
      <c r="I158" s="7069"/>
      <c r="J158" s="7069"/>
      <c r="K158" s="5374" t="s">
        <v>19</v>
      </c>
      <c r="L158" s="5367">
        <v>223</v>
      </c>
      <c r="M158" s="5367">
        <v>83</v>
      </c>
      <c r="N158" s="5377">
        <v>42</v>
      </c>
      <c r="O158" s="5375">
        <f t="shared" si="3"/>
        <v>50.602409638554214</v>
      </c>
      <c r="P158" s="5378">
        <v>0.9285714285714286</v>
      </c>
      <c r="Q158" s="5378">
        <v>7.1428571428571425E-2</v>
      </c>
      <c r="R158" s="5380">
        <v>0.2</v>
      </c>
      <c r="S158" s="5380">
        <v>0.2</v>
      </c>
      <c r="T158" s="5380">
        <v>0.4</v>
      </c>
      <c r="U158" s="5380">
        <v>0.2</v>
      </c>
    </row>
    <row r="159" spans="1:21" s="3527" customFormat="1">
      <c r="A159" s="4189"/>
      <c r="B159" s="4189"/>
      <c r="C159" s="4189"/>
      <c r="D159" s="4189"/>
      <c r="E159" s="4189"/>
      <c r="F159" s="4189"/>
      <c r="G159" s="4189"/>
      <c r="H159" s="4189"/>
      <c r="I159" s="7069"/>
      <c r="J159" s="7061"/>
      <c r="K159" s="5374" t="s">
        <v>20</v>
      </c>
      <c r="L159" s="5367">
        <v>263</v>
      </c>
      <c r="M159" s="5367">
        <v>98</v>
      </c>
      <c r="N159" s="5377">
        <v>58</v>
      </c>
      <c r="O159" s="5375">
        <f t="shared" si="3"/>
        <v>59.183673469387756</v>
      </c>
      <c r="P159" s="5378">
        <v>0.64516129032258063</v>
      </c>
      <c r="Q159" s="5378">
        <v>0.35483870967741937</v>
      </c>
      <c r="R159" s="5380">
        <v>0.1</v>
      </c>
      <c r="S159" s="5380">
        <v>0.2</v>
      </c>
      <c r="T159" s="5380">
        <v>0.55000000000000004</v>
      </c>
      <c r="U159" s="5380">
        <v>0.15</v>
      </c>
    </row>
    <row r="160" spans="1:21" s="3527" customFormat="1">
      <c r="A160" s="4189"/>
      <c r="B160" s="4189"/>
      <c r="C160" s="4189"/>
      <c r="D160" s="4189"/>
      <c r="E160" s="4189"/>
      <c r="F160" s="4189"/>
      <c r="G160" s="4189"/>
      <c r="H160" s="4189"/>
      <c r="I160" s="7069"/>
      <c r="J160" s="7060" t="s">
        <v>2172</v>
      </c>
      <c r="K160" s="5374" t="s">
        <v>22</v>
      </c>
      <c r="L160" s="5367">
        <v>362</v>
      </c>
      <c r="M160" s="5367">
        <v>189</v>
      </c>
      <c r="N160" s="5377">
        <v>87</v>
      </c>
      <c r="O160" s="5375">
        <f t="shared" si="3"/>
        <v>46.031746031746032</v>
      </c>
      <c r="P160" s="5378">
        <v>0.88235294117647056</v>
      </c>
      <c r="Q160" s="5378">
        <v>0.1176470588235294</v>
      </c>
      <c r="R160" s="5380">
        <v>2.2727272727272728E-2</v>
      </c>
      <c r="S160" s="5380">
        <v>2.2727272727272728E-2</v>
      </c>
      <c r="T160" s="5380">
        <v>0.22727272727272727</v>
      </c>
      <c r="U160" s="5380">
        <v>0.72727272727272729</v>
      </c>
    </row>
    <row r="161" spans="1:21" s="3527" customFormat="1">
      <c r="A161" s="4189"/>
      <c r="B161" s="4189"/>
      <c r="C161" s="4189"/>
      <c r="D161" s="4189"/>
      <c r="E161" s="4189"/>
      <c r="F161" s="4189"/>
      <c r="G161" s="4189"/>
      <c r="H161" s="4189"/>
      <c r="I161" s="7069"/>
      <c r="J161" s="7069"/>
      <c r="K161" s="5374" t="s">
        <v>1906</v>
      </c>
      <c r="L161" s="5367">
        <v>396</v>
      </c>
      <c r="M161" s="5367">
        <v>207</v>
      </c>
      <c r="N161" s="5377">
        <v>104</v>
      </c>
      <c r="O161" s="5375">
        <f t="shared" si="3"/>
        <v>50.24154589371981</v>
      </c>
      <c r="P161" s="5378">
        <v>0.83116883116883111</v>
      </c>
      <c r="Q161" s="5378">
        <v>0.16883116883116883</v>
      </c>
      <c r="R161" s="5380">
        <v>3.3333333333333333E-2</v>
      </c>
      <c r="S161" s="5380">
        <v>0.05</v>
      </c>
      <c r="T161" s="5380">
        <v>0.4</v>
      </c>
      <c r="U161" s="5380">
        <v>0.51666666666666672</v>
      </c>
    </row>
    <row r="162" spans="1:21" s="3527" customFormat="1">
      <c r="A162" s="4189"/>
      <c r="B162" s="4189"/>
      <c r="C162" s="4189"/>
      <c r="D162" s="4189"/>
      <c r="E162" s="4189"/>
      <c r="F162" s="4189"/>
      <c r="G162" s="4189"/>
      <c r="H162" s="4189"/>
      <c r="I162" s="7061"/>
      <c r="J162" s="7061"/>
      <c r="K162" s="5374" t="s">
        <v>24</v>
      </c>
      <c r="L162" s="5367">
        <v>293</v>
      </c>
      <c r="M162" s="5367">
        <v>154</v>
      </c>
      <c r="N162" s="5377">
        <v>70</v>
      </c>
      <c r="O162" s="5375">
        <f t="shared" si="3"/>
        <v>45.454545454545453</v>
      </c>
      <c r="P162" s="5378">
        <v>0.81632653061224492</v>
      </c>
      <c r="Q162" s="5378">
        <v>0.18367346938775511</v>
      </c>
      <c r="R162" s="5380">
        <v>7.6923076923076927E-2</v>
      </c>
      <c r="S162" s="5380">
        <v>0.12820512820512819</v>
      </c>
      <c r="T162" s="5380">
        <v>0.33333333333333326</v>
      </c>
      <c r="U162" s="5380">
        <v>0.46153846153846151</v>
      </c>
    </row>
    <row r="163" spans="1:21" s="3527" customFormat="1">
      <c r="A163" s="4189"/>
      <c r="B163" s="4189"/>
      <c r="C163" s="4189"/>
      <c r="D163" s="4189"/>
      <c r="E163" s="4189"/>
      <c r="F163" s="4189"/>
      <c r="G163" s="4189"/>
      <c r="H163" s="4189"/>
      <c r="I163" s="7057" t="s">
        <v>59</v>
      </c>
      <c r="J163" s="7060" t="s">
        <v>2171</v>
      </c>
      <c r="K163" s="5374" t="s">
        <v>17</v>
      </c>
      <c r="L163" s="5367">
        <v>89</v>
      </c>
      <c r="M163" s="5367">
        <v>83</v>
      </c>
      <c r="N163" s="5377">
        <v>33</v>
      </c>
      <c r="O163" s="5375">
        <f t="shared" si="3"/>
        <v>39.75903614457831</v>
      </c>
      <c r="P163" s="5378">
        <v>0.64</v>
      </c>
      <c r="Q163" s="5378">
        <v>0.36</v>
      </c>
      <c r="R163" s="5380">
        <v>6.25E-2</v>
      </c>
      <c r="S163" s="5380">
        <v>0.25</v>
      </c>
      <c r="T163" s="5380">
        <v>0.375</v>
      </c>
      <c r="U163" s="5380">
        <v>0.3125</v>
      </c>
    </row>
    <row r="164" spans="1:21" s="3527" customFormat="1">
      <c r="A164" s="4189"/>
      <c r="B164" s="4189"/>
      <c r="C164" s="4189"/>
      <c r="D164" s="4189"/>
      <c r="E164" s="4189"/>
      <c r="F164" s="4189"/>
      <c r="G164" s="4189"/>
      <c r="H164" s="4189"/>
      <c r="I164" s="7058"/>
      <c r="J164" s="7069"/>
      <c r="K164" s="5374" t="s">
        <v>60</v>
      </c>
      <c r="L164" s="5367">
        <v>23</v>
      </c>
      <c r="M164" s="5367">
        <v>23</v>
      </c>
      <c r="N164" s="5377">
        <v>9</v>
      </c>
      <c r="O164" s="5375">
        <f t="shared" si="3"/>
        <v>39.130434782608695</v>
      </c>
      <c r="P164" s="5378">
        <v>0.75</v>
      </c>
      <c r="Q164" s="5378">
        <v>0.25</v>
      </c>
      <c r="R164" s="5380">
        <v>0.33333333333333326</v>
      </c>
      <c r="S164" s="5380">
        <v>0</v>
      </c>
      <c r="T164" s="5380">
        <v>0.66666666666666652</v>
      </c>
      <c r="U164" s="5380">
        <v>0</v>
      </c>
    </row>
    <row r="165" spans="1:21" s="3527" customFormat="1">
      <c r="A165" s="4189"/>
      <c r="B165" s="4189"/>
      <c r="C165" s="4189"/>
      <c r="D165" s="4189"/>
      <c r="E165" s="4189"/>
      <c r="F165" s="4189"/>
      <c r="G165" s="4189"/>
      <c r="H165" s="4189"/>
      <c r="I165" s="7058"/>
      <c r="J165" s="7069"/>
      <c r="K165" s="5374" t="s">
        <v>384</v>
      </c>
      <c r="L165" s="5367">
        <v>29</v>
      </c>
      <c r="M165" s="5367">
        <v>29</v>
      </c>
      <c r="N165" s="5377">
        <v>8</v>
      </c>
      <c r="O165" s="5375">
        <f t="shared" si="3"/>
        <v>27.586206896551722</v>
      </c>
      <c r="P165" s="5378">
        <v>0.5</v>
      </c>
      <c r="Q165" s="5378">
        <v>0.5</v>
      </c>
      <c r="R165" s="5380">
        <v>0</v>
      </c>
      <c r="S165" s="5380">
        <v>0</v>
      </c>
      <c r="T165" s="5380">
        <v>0.5</v>
      </c>
      <c r="U165" s="5380">
        <v>0.5</v>
      </c>
    </row>
    <row r="166" spans="1:21" s="3527" customFormat="1">
      <c r="A166" s="4189"/>
      <c r="B166" s="4189"/>
      <c r="C166" s="4189"/>
      <c r="D166" s="4189"/>
      <c r="E166" s="4189"/>
      <c r="F166" s="4189"/>
      <c r="G166" s="4189"/>
      <c r="H166" s="4189"/>
      <c r="I166" s="7058"/>
      <c r="J166" s="7061"/>
      <c r="K166" s="5374" t="s">
        <v>18</v>
      </c>
      <c r="L166" s="5367" t="s">
        <v>2607</v>
      </c>
      <c r="M166" s="5367" t="s">
        <v>2607</v>
      </c>
      <c r="N166" s="5367" t="s">
        <v>2608</v>
      </c>
      <c r="O166" s="5375" t="s">
        <v>2608</v>
      </c>
      <c r="P166" s="5376" t="s">
        <v>2608</v>
      </c>
      <c r="Q166" s="5376" t="s">
        <v>2608</v>
      </c>
      <c r="R166" s="5379" t="s">
        <v>2608</v>
      </c>
      <c r="S166" s="5379" t="s">
        <v>2608</v>
      </c>
      <c r="T166" s="5379" t="s">
        <v>2608</v>
      </c>
      <c r="U166" s="5379" t="s">
        <v>2608</v>
      </c>
    </row>
    <row r="167" spans="1:21" s="3527" customFormat="1">
      <c r="A167" s="4189"/>
      <c r="B167" s="4189"/>
      <c r="C167" s="4189"/>
      <c r="D167" s="4189"/>
      <c r="E167" s="4189"/>
      <c r="F167" s="4189"/>
      <c r="G167" s="4189"/>
      <c r="H167" s="4189"/>
      <c r="I167" s="7058"/>
      <c r="J167" s="7060" t="s">
        <v>2174</v>
      </c>
      <c r="K167" s="5374" t="s">
        <v>62</v>
      </c>
      <c r="L167" s="5367">
        <v>64</v>
      </c>
      <c r="M167" s="5367">
        <v>64</v>
      </c>
      <c r="N167" s="5377">
        <v>24</v>
      </c>
      <c r="O167" s="5375">
        <f t="shared" ref="O167:O198" si="4">N167*100/M167</f>
        <v>37.5</v>
      </c>
      <c r="P167" s="5378">
        <v>0.89473684210526316</v>
      </c>
      <c r="Q167" s="5378">
        <v>0.10526315789473684</v>
      </c>
      <c r="R167" s="5380">
        <v>0.1176470588235294</v>
      </c>
      <c r="S167" s="5380">
        <v>0.17647058823529413</v>
      </c>
      <c r="T167" s="5380">
        <v>0.41176470588235292</v>
      </c>
      <c r="U167" s="5380">
        <v>0.29411764705882354</v>
      </c>
    </row>
    <row r="168" spans="1:21" s="3527" customFormat="1">
      <c r="A168" s="4189"/>
      <c r="B168" s="4189"/>
      <c r="C168" s="4189"/>
      <c r="D168" s="4189"/>
      <c r="E168" s="4189"/>
      <c r="F168" s="4189"/>
      <c r="G168" s="4189"/>
      <c r="H168" s="4189"/>
      <c r="I168" s="7058"/>
      <c r="J168" s="7069"/>
      <c r="K168" s="5374" t="s">
        <v>385</v>
      </c>
      <c r="L168" s="5367">
        <v>29</v>
      </c>
      <c r="M168" s="5367">
        <v>29</v>
      </c>
      <c r="N168" s="5377">
        <v>11</v>
      </c>
      <c r="O168" s="5375">
        <f t="shared" si="4"/>
        <v>37.931034482758619</v>
      </c>
      <c r="P168" s="5378">
        <v>1</v>
      </c>
      <c r="Q168" s="5376">
        <v>0</v>
      </c>
      <c r="R168" s="5379">
        <v>0</v>
      </c>
      <c r="S168" s="5379">
        <v>0</v>
      </c>
      <c r="T168" s="5380">
        <v>0.2</v>
      </c>
      <c r="U168" s="5380">
        <v>0.8</v>
      </c>
    </row>
    <row r="169" spans="1:21" s="3527" customFormat="1">
      <c r="A169" s="4189"/>
      <c r="B169" s="4189"/>
      <c r="C169" s="4189"/>
      <c r="D169" s="4189"/>
      <c r="E169" s="4189"/>
      <c r="F169" s="4189"/>
      <c r="G169" s="4189"/>
      <c r="H169" s="4189"/>
      <c r="I169" s="7058"/>
      <c r="J169" s="7061"/>
      <c r="K169" s="5374" t="s">
        <v>63</v>
      </c>
      <c r="L169" s="5367">
        <v>83</v>
      </c>
      <c r="M169" s="5367">
        <v>78</v>
      </c>
      <c r="N169" s="5377">
        <v>25</v>
      </c>
      <c r="O169" s="5375">
        <f t="shared" si="4"/>
        <v>32.051282051282051</v>
      </c>
      <c r="P169" s="5378">
        <v>0.80952380952380953</v>
      </c>
      <c r="Q169" s="5378">
        <v>0.19047619047619047</v>
      </c>
      <c r="R169" s="5380">
        <v>0.1176470588235294</v>
      </c>
      <c r="S169" s="5380">
        <v>5.8823529411764698E-2</v>
      </c>
      <c r="T169" s="5380">
        <v>0.41176470588235292</v>
      </c>
      <c r="U169" s="5380">
        <v>0.41176470588235292</v>
      </c>
    </row>
    <row r="170" spans="1:21" s="3527" customFormat="1">
      <c r="A170" s="4189"/>
      <c r="B170" s="4189"/>
      <c r="C170" s="4189"/>
      <c r="D170" s="4189"/>
      <c r="E170" s="4189"/>
      <c r="F170" s="4189"/>
      <c r="G170" s="4189"/>
      <c r="H170" s="4189"/>
      <c r="I170" s="7058"/>
      <c r="J170" s="7060" t="s">
        <v>2175</v>
      </c>
      <c r="K170" s="5374" t="s">
        <v>476</v>
      </c>
      <c r="L170" s="5367">
        <v>49</v>
      </c>
      <c r="M170" s="5367">
        <v>49</v>
      </c>
      <c r="N170" s="5377">
        <v>12</v>
      </c>
      <c r="O170" s="5375">
        <f t="shared" si="4"/>
        <v>24.489795918367346</v>
      </c>
      <c r="P170" s="5378">
        <v>0.83333333333333348</v>
      </c>
      <c r="Q170" s="5378">
        <v>0.16666666666666663</v>
      </c>
      <c r="R170" s="5379">
        <v>0</v>
      </c>
      <c r="S170" s="5380">
        <v>0</v>
      </c>
      <c r="T170" s="5380">
        <v>0.2</v>
      </c>
      <c r="U170" s="5380">
        <v>0.8</v>
      </c>
    </row>
    <row r="171" spans="1:21" s="3527" customFormat="1">
      <c r="A171" s="4189"/>
      <c r="B171" s="4189"/>
      <c r="C171" s="4189"/>
      <c r="D171" s="4189"/>
      <c r="E171" s="4189"/>
      <c r="F171" s="4189"/>
      <c r="G171" s="4189"/>
      <c r="H171" s="4189"/>
      <c r="I171" s="7058"/>
      <c r="J171" s="7069"/>
      <c r="K171" s="5374" t="s">
        <v>65</v>
      </c>
      <c r="L171" s="5367">
        <v>23</v>
      </c>
      <c r="M171" s="5367">
        <v>23</v>
      </c>
      <c r="N171" s="5377">
        <v>11</v>
      </c>
      <c r="O171" s="5375">
        <f t="shared" si="4"/>
        <v>47.826086956521742</v>
      </c>
      <c r="P171" s="5378">
        <v>0.83333333333333348</v>
      </c>
      <c r="Q171" s="5378">
        <v>0.16666666666666663</v>
      </c>
      <c r="R171" s="5379">
        <v>0</v>
      </c>
      <c r="S171" s="5380">
        <v>0.4</v>
      </c>
      <c r="T171" s="5380">
        <v>0.4</v>
      </c>
      <c r="U171" s="5380">
        <v>0.2</v>
      </c>
    </row>
    <row r="172" spans="1:21" s="3527" customFormat="1">
      <c r="A172" s="4189"/>
      <c r="B172" s="4189"/>
      <c r="C172" s="4189"/>
      <c r="D172" s="4189"/>
      <c r="E172" s="4189"/>
      <c r="F172" s="4189"/>
      <c r="G172" s="4189"/>
      <c r="H172" s="4189"/>
      <c r="I172" s="7058"/>
      <c r="J172" s="7069"/>
      <c r="K172" s="5374" t="s">
        <v>386</v>
      </c>
      <c r="L172" s="5367">
        <v>40</v>
      </c>
      <c r="M172" s="5367">
        <v>40</v>
      </c>
      <c r="N172" s="5377">
        <v>20</v>
      </c>
      <c r="O172" s="5375">
        <f t="shared" si="4"/>
        <v>50</v>
      </c>
      <c r="P172" s="5378">
        <v>0.58333333333333337</v>
      </c>
      <c r="Q172" s="5378">
        <v>0.41666666666666674</v>
      </c>
      <c r="R172" s="5379">
        <v>0</v>
      </c>
      <c r="S172" s="5380">
        <v>0.5714285714285714</v>
      </c>
      <c r="T172" s="5380">
        <v>0.42857142857142855</v>
      </c>
      <c r="U172" s="5379">
        <v>0</v>
      </c>
    </row>
    <row r="173" spans="1:21" s="3527" customFormat="1">
      <c r="A173" s="4189"/>
      <c r="B173" s="4189"/>
      <c r="C173" s="4189"/>
      <c r="D173" s="4189"/>
      <c r="E173" s="4189"/>
      <c r="F173" s="4189"/>
      <c r="G173" s="4189"/>
      <c r="H173" s="4189"/>
      <c r="I173" s="7059"/>
      <c r="J173" s="7061"/>
      <c r="K173" s="5374" t="s">
        <v>81</v>
      </c>
      <c r="L173" s="5367">
        <v>64</v>
      </c>
      <c r="M173" s="5367">
        <v>58</v>
      </c>
      <c r="N173" s="5377">
        <v>29</v>
      </c>
      <c r="O173" s="5375">
        <f t="shared" si="4"/>
        <v>50</v>
      </c>
      <c r="P173" s="5378">
        <v>0.36363636363636365</v>
      </c>
      <c r="Q173" s="5378">
        <v>0.63636363636363635</v>
      </c>
      <c r="R173" s="5379">
        <v>0</v>
      </c>
      <c r="S173" s="5380">
        <v>0.375</v>
      </c>
      <c r="T173" s="5380">
        <v>0.375</v>
      </c>
      <c r="U173" s="5380">
        <v>0.25</v>
      </c>
    </row>
    <row r="174" spans="1:21" s="3527" customFormat="1">
      <c r="A174" s="4189"/>
      <c r="B174" s="4189"/>
      <c r="C174" s="4189"/>
      <c r="D174" s="4189"/>
      <c r="E174" s="4189"/>
      <c r="F174" s="4189"/>
      <c r="G174" s="4189"/>
      <c r="H174" s="4189"/>
      <c r="I174" s="7057" t="s">
        <v>25</v>
      </c>
      <c r="J174" s="7060" t="s">
        <v>2176</v>
      </c>
      <c r="K174" s="5374" t="s">
        <v>479</v>
      </c>
      <c r="L174" s="5367">
        <v>108</v>
      </c>
      <c r="M174" s="5367">
        <v>83</v>
      </c>
      <c r="N174" s="5377">
        <v>32</v>
      </c>
      <c r="O174" s="5375">
        <f t="shared" si="4"/>
        <v>38.554216867469883</v>
      </c>
      <c r="P174" s="5378">
        <v>0.77272727272727271</v>
      </c>
      <c r="Q174" s="5378">
        <v>0.22727272727272727</v>
      </c>
      <c r="R174" s="5379">
        <v>0</v>
      </c>
      <c r="S174" s="5380">
        <v>0.1176470588235294</v>
      </c>
      <c r="T174" s="5380">
        <v>0.41176470588235292</v>
      </c>
      <c r="U174" s="5380">
        <v>0.47058823529411759</v>
      </c>
    </row>
    <row r="175" spans="1:21" s="3527" customFormat="1">
      <c r="A175" s="4189"/>
      <c r="B175" s="4189"/>
      <c r="C175" s="4189"/>
      <c r="D175" s="4189"/>
      <c r="E175" s="4189"/>
      <c r="F175" s="4189"/>
      <c r="G175" s="4189"/>
      <c r="H175" s="4189"/>
      <c r="I175" s="7058"/>
      <c r="J175" s="7069"/>
      <c r="K175" s="5374" t="s">
        <v>678</v>
      </c>
      <c r="L175" s="5367">
        <v>21</v>
      </c>
      <c r="M175" s="5367">
        <v>21</v>
      </c>
      <c r="N175" s="5377">
        <v>11</v>
      </c>
      <c r="O175" s="5375">
        <f t="shared" si="4"/>
        <v>52.38095238095238</v>
      </c>
      <c r="P175" s="5378">
        <v>1</v>
      </c>
      <c r="Q175" s="5378">
        <v>0</v>
      </c>
      <c r="R175" s="5379">
        <v>0</v>
      </c>
      <c r="S175" s="5380">
        <v>0.4</v>
      </c>
      <c r="T175" s="5380">
        <v>0.2</v>
      </c>
      <c r="U175" s="5380">
        <v>0.4</v>
      </c>
    </row>
    <row r="176" spans="1:21" s="3527" customFormat="1">
      <c r="A176" s="4189"/>
      <c r="B176" s="4189"/>
      <c r="C176" s="4189"/>
      <c r="D176" s="4189"/>
      <c r="E176" s="4189"/>
      <c r="F176" s="4189"/>
      <c r="G176" s="4189"/>
      <c r="H176" s="4189"/>
      <c r="I176" s="7058"/>
      <c r="J176" s="7069"/>
      <c r="K176" s="5374" t="s">
        <v>478</v>
      </c>
      <c r="L176" s="5367">
        <v>101</v>
      </c>
      <c r="M176" s="5367">
        <v>68</v>
      </c>
      <c r="N176" s="5377">
        <v>28</v>
      </c>
      <c r="O176" s="5375">
        <f t="shared" si="4"/>
        <v>41.176470588235297</v>
      </c>
      <c r="P176" s="5378">
        <v>0.6</v>
      </c>
      <c r="Q176" s="5378">
        <v>0.4</v>
      </c>
      <c r="R176" s="5380">
        <v>0.27272727272727271</v>
      </c>
      <c r="S176" s="5380">
        <v>9.0909090909090912E-2</v>
      </c>
      <c r="T176" s="5380">
        <v>0.45454545454545453</v>
      </c>
      <c r="U176" s="5380">
        <v>0.18181818181818182</v>
      </c>
    </row>
    <row r="177" spans="1:21" s="3527" customFormat="1">
      <c r="A177" s="4189"/>
      <c r="B177" s="4189"/>
      <c r="C177" s="4189"/>
      <c r="D177" s="4189"/>
      <c r="E177" s="4189"/>
      <c r="F177" s="4189"/>
      <c r="G177" s="4189"/>
      <c r="H177" s="4189"/>
      <c r="I177" s="7058"/>
      <c r="J177" s="7069"/>
      <c r="K177" s="5374" t="s">
        <v>261</v>
      </c>
      <c r="L177" s="5367">
        <v>96</v>
      </c>
      <c r="M177" s="5367">
        <v>78</v>
      </c>
      <c r="N177" s="5377">
        <v>29</v>
      </c>
      <c r="O177" s="5375">
        <f t="shared" si="4"/>
        <v>37.179487179487182</v>
      </c>
      <c r="P177" s="5378">
        <v>0.6</v>
      </c>
      <c r="Q177" s="5378">
        <v>0.4</v>
      </c>
      <c r="R177" s="5379">
        <v>0</v>
      </c>
      <c r="S177" s="5380">
        <v>0.2857142857142857</v>
      </c>
      <c r="T177" s="5380">
        <v>0.21428571428571427</v>
      </c>
      <c r="U177" s="5380">
        <v>0.5</v>
      </c>
    </row>
    <row r="178" spans="1:21" s="3527" customFormat="1">
      <c r="A178" s="4189"/>
      <c r="B178" s="4189"/>
      <c r="C178" s="4189"/>
      <c r="D178" s="4189"/>
      <c r="E178" s="4189"/>
      <c r="F178" s="4189"/>
      <c r="G178" s="4189"/>
      <c r="H178" s="4189"/>
      <c r="I178" s="7058"/>
      <c r="J178" s="7069"/>
      <c r="K178" s="5374" t="s">
        <v>29</v>
      </c>
      <c r="L178" s="5367">
        <v>78</v>
      </c>
      <c r="M178" s="5367">
        <v>78</v>
      </c>
      <c r="N178" s="5377">
        <v>25</v>
      </c>
      <c r="O178" s="5375">
        <f t="shared" si="4"/>
        <v>32.051282051282051</v>
      </c>
      <c r="P178" s="5378">
        <v>0.36842105263157893</v>
      </c>
      <c r="Q178" s="5378">
        <v>0.63157894736842102</v>
      </c>
      <c r="R178" s="5380">
        <v>0.2857142857142857</v>
      </c>
      <c r="S178" s="5379">
        <v>0</v>
      </c>
      <c r="T178" s="5380">
        <v>0.5714285714285714</v>
      </c>
      <c r="U178" s="5380">
        <v>0.14285714285714285</v>
      </c>
    </row>
    <row r="179" spans="1:21" s="3527" customFormat="1">
      <c r="A179" s="4189"/>
      <c r="B179" s="4189"/>
      <c r="C179" s="4189"/>
      <c r="D179" s="4189"/>
      <c r="E179" s="4189"/>
      <c r="F179" s="4189"/>
      <c r="G179" s="4189"/>
      <c r="H179" s="4189"/>
      <c r="I179" s="7058"/>
      <c r="J179" s="7069"/>
      <c r="K179" s="5374" t="s">
        <v>677</v>
      </c>
      <c r="L179" s="5367">
        <v>83</v>
      </c>
      <c r="M179" s="5367">
        <v>83</v>
      </c>
      <c r="N179" s="5377">
        <v>32</v>
      </c>
      <c r="O179" s="5375">
        <f t="shared" si="4"/>
        <v>38.554216867469883</v>
      </c>
      <c r="P179" s="5378">
        <v>0.77272727272727271</v>
      </c>
      <c r="Q179" s="5378">
        <v>0.22727272727272727</v>
      </c>
      <c r="R179" s="5380">
        <v>0.17647058823529413</v>
      </c>
      <c r="S179" s="5380">
        <v>0.29411764705882354</v>
      </c>
      <c r="T179" s="5380">
        <v>0.29411764705882354</v>
      </c>
      <c r="U179" s="5380">
        <v>0.23529411764705879</v>
      </c>
    </row>
    <row r="180" spans="1:21" s="3527" customFormat="1">
      <c r="A180" s="4189"/>
      <c r="B180" s="4189"/>
      <c r="C180" s="4189"/>
      <c r="D180" s="4189"/>
      <c r="E180" s="4189"/>
      <c r="F180" s="4189"/>
      <c r="G180" s="4189"/>
      <c r="H180" s="4189"/>
      <c r="I180" s="7058"/>
      <c r="J180" s="7069"/>
      <c r="K180" s="5374" t="s">
        <v>30</v>
      </c>
      <c r="L180" s="5367">
        <v>53</v>
      </c>
      <c r="M180" s="5367">
        <v>53</v>
      </c>
      <c r="N180" s="5377">
        <v>20</v>
      </c>
      <c r="O180" s="5375">
        <f t="shared" si="4"/>
        <v>37.735849056603776</v>
      </c>
      <c r="P180" s="5378">
        <v>0.70588235294117652</v>
      </c>
      <c r="Q180" s="5378">
        <v>0.29411764705882354</v>
      </c>
      <c r="R180" s="5380">
        <v>9.0909090909090912E-2</v>
      </c>
      <c r="S180" s="5380">
        <v>0.18181818181818182</v>
      </c>
      <c r="T180" s="5380">
        <v>0.27272727272727271</v>
      </c>
      <c r="U180" s="5380">
        <v>0.45454545454545453</v>
      </c>
    </row>
    <row r="181" spans="1:21" s="3527" customFormat="1">
      <c r="A181" s="4189"/>
      <c r="B181" s="4189"/>
      <c r="C181" s="4189"/>
      <c r="D181" s="4189"/>
      <c r="E181" s="4189"/>
      <c r="F181" s="4189"/>
      <c r="G181" s="4189"/>
      <c r="H181" s="4189"/>
      <c r="I181" s="7058"/>
      <c r="J181" s="7069"/>
      <c r="K181" s="5374" t="s">
        <v>31</v>
      </c>
      <c r="L181" s="5367">
        <v>54</v>
      </c>
      <c r="M181" s="5367">
        <v>54</v>
      </c>
      <c r="N181" s="5377">
        <v>15</v>
      </c>
      <c r="O181" s="5375">
        <f t="shared" si="4"/>
        <v>27.777777777777779</v>
      </c>
      <c r="P181" s="5378">
        <v>0.33333333333333326</v>
      </c>
      <c r="Q181" s="5378">
        <v>0.66666666666666652</v>
      </c>
      <c r="R181" s="5379">
        <v>0</v>
      </c>
      <c r="S181" s="5380">
        <v>0.25</v>
      </c>
      <c r="T181" s="5380">
        <v>0.25</v>
      </c>
      <c r="U181" s="5380">
        <v>0.5</v>
      </c>
    </row>
    <row r="182" spans="1:21" s="3527" customFormat="1">
      <c r="A182" s="4189"/>
      <c r="B182" s="4189"/>
      <c r="C182" s="4189"/>
      <c r="D182" s="4189"/>
      <c r="E182" s="4189"/>
      <c r="F182" s="4189"/>
      <c r="G182" s="4189"/>
      <c r="H182" s="4189"/>
      <c r="I182" s="7058"/>
      <c r="J182" s="7061"/>
      <c r="K182" s="5374" t="s">
        <v>32</v>
      </c>
      <c r="L182" s="5367">
        <v>118</v>
      </c>
      <c r="M182" s="5367">
        <v>80</v>
      </c>
      <c r="N182" s="5377">
        <v>33</v>
      </c>
      <c r="O182" s="5375">
        <f t="shared" si="4"/>
        <v>41.25</v>
      </c>
      <c r="P182" s="5378">
        <v>0.70833333333333348</v>
      </c>
      <c r="Q182" s="5378">
        <v>0.29166666666666669</v>
      </c>
      <c r="R182" s="5380">
        <v>6.25E-2</v>
      </c>
      <c r="S182" s="5380">
        <v>6.25E-2</v>
      </c>
      <c r="T182" s="5380">
        <v>0.25</v>
      </c>
      <c r="U182" s="5380">
        <v>0.625</v>
      </c>
    </row>
    <row r="183" spans="1:21" s="3527" customFormat="1">
      <c r="A183" s="4189"/>
      <c r="B183" s="4189"/>
      <c r="C183" s="4189"/>
      <c r="D183" s="4189"/>
      <c r="E183" s="4189"/>
      <c r="F183" s="4189"/>
      <c r="G183" s="4189"/>
      <c r="H183" s="4189"/>
      <c r="I183" s="7058"/>
      <c r="J183" s="7060" t="s">
        <v>2171</v>
      </c>
      <c r="K183" s="5374" t="s">
        <v>17</v>
      </c>
      <c r="L183" s="5367">
        <v>421</v>
      </c>
      <c r="M183" s="5367">
        <v>170</v>
      </c>
      <c r="N183" s="5377">
        <v>68</v>
      </c>
      <c r="O183" s="5375">
        <f t="shared" si="4"/>
        <v>40</v>
      </c>
      <c r="P183" s="5378">
        <v>0.7021276595744681</v>
      </c>
      <c r="Q183" s="5378">
        <v>0.2978723404255319</v>
      </c>
      <c r="R183" s="5380">
        <v>6.0606060606060608E-2</v>
      </c>
      <c r="S183" s="5380">
        <v>6.0606060606060608E-2</v>
      </c>
      <c r="T183" s="5380">
        <v>0.48484848484848486</v>
      </c>
      <c r="U183" s="5380">
        <v>0.39393939393939392</v>
      </c>
    </row>
    <row r="184" spans="1:21" s="3527" customFormat="1">
      <c r="A184" s="4189"/>
      <c r="B184" s="4189"/>
      <c r="C184" s="4189"/>
      <c r="D184" s="4189"/>
      <c r="E184" s="4189"/>
      <c r="F184" s="4189"/>
      <c r="G184" s="4189"/>
      <c r="H184" s="4189"/>
      <c r="I184" s="7058"/>
      <c r="J184" s="7069"/>
      <c r="K184" s="5374" t="s">
        <v>33</v>
      </c>
      <c r="L184" s="5367">
        <v>96</v>
      </c>
      <c r="M184" s="5367">
        <v>54</v>
      </c>
      <c r="N184" s="5377">
        <v>22</v>
      </c>
      <c r="O184" s="5375">
        <f t="shared" si="4"/>
        <v>40.74074074074074</v>
      </c>
      <c r="P184" s="5378">
        <v>0.6</v>
      </c>
      <c r="Q184" s="5378">
        <v>0.4</v>
      </c>
      <c r="R184" s="5380">
        <v>0.22222222222222221</v>
      </c>
      <c r="S184" s="5380">
        <v>0</v>
      </c>
      <c r="T184" s="5380">
        <v>0.7777777777777779</v>
      </c>
      <c r="U184" s="5380">
        <v>0</v>
      </c>
    </row>
    <row r="185" spans="1:21" s="3527" customFormat="1">
      <c r="A185" s="4189"/>
      <c r="B185" s="4189"/>
      <c r="C185" s="4189"/>
      <c r="D185" s="4189"/>
      <c r="E185" s="4189"/>
      <c r="F185" s="4189"/>
      <c r="G185" s="4189"/>
      <c r="H185" s="4189"/>
      <c r="I185" s="7058"/>
      <c r="J185" s="7069"/>
      <c r="K185" s="5374" t="s">
        <v>34</v>
      </c>
      <c r="L185" s="5367">
        <v>83</v>
      </c>
      <c r="M185" s="5367">
        <v>64</v>
      </c>
      <c r="N185" s="5377">
        <v>21</v>
      </c>
      <c r="O185" s="5375">
        <f t="shared" si="4"/>
        <v>32.8125</v>
      </c>
      <c r="P185" s="5378">
        <v>0.76923076923076938</v>
      </c>
      <c r="Q185" s="5378">
        <v>0.23076923076923075</v>
      </c>
      <c r="R185" s="5380">
        <v>0</v>
      </c>
      <c r="S185" s="5380">
        <v>0.2</v>
      </c>
      <c r="T185" s="5380">
        <v>0.3</v>
      </c>
      <c r="U185" s="5380">
        <v>0.5</v>
      </c>
    </row>
    <row r="186" spans="1:21" s="3527" customFormat="1">
      <c r="A186" s="4189"/>
      <c r="B186" s="4189"/>
      <c r="C186" s="4189"/>
      <c r="D186" s="4189"/>
      <c r="E186" s="4189"/>
      <c r="F186" s="4189"/>
      <c r="G186" s="4189"/>
      <c r="H186" s="4189"/>
      <c r="I186" s="7058"/>
      <c r="J186" s="7069"/>
      <c r="K186" s="5374" t="s">
        <v>35</v>
      </c>
      <c r="L186" s="5367">
        <v>116</v>
      </c>
      <c r="M186" s="5367">
        <v>47</v>
      </c>
      <c r="N186" s="5377">
        <v>21</v>
      </c>
      <c r="O186" s="5375">
        <f t="shared" si="4"/>
        <v>44.680851063829785</v>
      </c>
      <c r="P186" s="5378">
        <v>0.82352941176470584</v>
      </c>
      <c r="Q186" s="5378">
        <v>0.17647058823529413</v>
      </c>
      <c r="R186" s="5380">
        <v>0.2857142857142857</v>
      </c>
      <c r="S186" s="5380">
        <v>0.2857142857142857</v>
      </c>
      <c r="T186" s="5380">
        <v>0.14285714285714285</v>
      </c>
      <c r="U186" s="5380">
        <v>0.2857142857142857</v>
      </c>
    </row>
    <row r="187" spans="1:21" s="3527" customFormat="1">
      <c r="A187" s="4189"/>
      <c r="B187" s="4189"/>
      <c r="C187" s="4189"/>
      <c r="D187" s="4189"/>
      <c r="E187" s="4189"/>
      <c r="F187" s="4189"/>
      <c r="G187" s="4189"/>
      <c r="H187" s="4189"/>
      <c r="I187" s="7058"/>
      <c r="J187" s="7069"/>
      <c r="K187" s="5374" t="s">
        <v>19</v>
      </c>
      <c r="L187" s="5367">
        <v>134</v>
      </c>
      <c r="M187" s="5367">
        <v>54</v>
      </c>
      <c r="N187" s="5377">
        <v>28</v>
      </c>
      <c r="O187" s="5375">
        <f t="shared" si="4"/>
        <v>51.851851851851855</v>
      </c>
      <c r="P187" s="5378">
        <v>0.75</v>
      </c>
      <c r="Q187" s="5378">
        <v>0.25</v>
      </c>
      <c r="R187" s="5380">
        <v>0.16666666666666663</v>
      </c>
      <c r="S187" s="5380">
        <v>0</v>
      </c>
      <c r="T187" s="5380">
        <v>0.75</v>
      </c>
      <c r="U187" s="5380">
        <v>8.3333333333333315E-2</v>
      </c>
    </row>
    <row r="188" spans="1:21" s="3527" customFormat="1">
      <c r="A188" s="4189"/>
      <c r="B188" s="4189"/>
      <c r="C188" s="4189"/>
      <c r="D188" s="4189"/>
      <c r="E188" s="4189"/>
      <c r="F188" s="4189"/>
      <c r="G188" s="4189"/>
      <c r="H188" s="4189"/>
      <c r="I188" s="7058"/>
      <c r="J188" s="7069"/>
      <c r="K188" s="5374" t="s">
        <v>20</v>
      </c>
      <c r="L188" s="5367">
        <v>127</v>
      </c>
      <c r="M188" s="5367">
        <v>51</v>
      </c>
      <c r="N188" s="5377">
        <v>23</v>
      </c>
      <c r="O188" s="5375">
        <f t="shared" si="4"/>
        <v>45.098039215686278</v>
      </c>
      <c r="P188" s="5378">
        <v>0.6875</v>
      </c>
      <c r="Q188" s="5378">
        <v>0.3125</v>
      </c>
      <c r="R188" s="5380">
        <v>0.18181818181818182</v>
      </c>
      <c r="S188" s="5380">
        <v>0.27272727272727271</v>
      </c>
      <c r="T188" s="5380">
        <v>0.45454545454545453</v>
      </c>
      <c r="U188" s="5380">
        <v>9.0909090909090912E-2</v>
      </c>
    </row>
    <row r="189" spans="1:21" s="3527" customFormat="1">
      <c r="A189" s="4189"/>
      <c r="B189" s="4189"/>
      <c r="C189" s="4189"/>
      <c r="D189" s="4189"/>
      <c r="E189" s="4189"/>
      <c r="F189" s="4189"/>
      <c r="G189" s="4189"/>
      <c r="H189" s="4189"/>
      <c r="I189" s="7058"/>
      <c r="J189" s="7069"/>
      <c r="K189" s="5374" t="s">
        <v>36</v>
      </c>
      <c r="L189" s="5367">
        <v>111</v>
      </c>
      <c r="M189" s="5367">
        <v>45</v>
      </c>
      <c r="N189" s="5377">
        <v>26</v>
      </c>
      <c r="O189" s="5375">
        <f t="shared" si="4"/>
        <v>57.777777777777779</v>
      </c>
      <c r="P189" s="5378">
        <v>0.58333333333333337</v>
      </c>
      <c r="Q189" s="5378">
        <v>0.41666666666666674</v>
      </c>
      <c r="R189" s="5379">
        <v>0</v>
      </c>
      <c r="S189" s="5379">
        <v>0</v>
      </c>
      <c r="T189" s="5380">
        <v>0.14285714285714285</v>
      </c>
      <c r="U189" s="5380">
        <v>0.8571428571428571</v>
      </c>
    </row>
    <row r="190" spans="1:21" s="3527" customFormat="1">
      <c r="A190" s="4189"/>
      <c r="B190" s="4189"/>
      <c r="C190" s="4189"/>
      <c r="D190" s="4189"/>
      <c r="E190" s="4189"/>
      <c r="F190" s="4189"/>
      <c r="G190" s="4189"/>
      <c r="H190" s="4189"/>
      <c r="I190" s="7058"/>
      <c r="J190" s="7069"/>
      <c r="K190" s="5374" t="s">
        <v>480</v>
      </c>
      <c r="L190" s="5367">
        <v>67</v>
      </c>
      <c r="M190" s="5367">
        <v>67</v>
      </c>
      <c r="N190" s="5377">
        <v>16</v>
      </c>
      <c r="O190" s="5375">
        <f t="shared" si="4"/>
        <v>23.880597014925375</v>
      </c>
      <c r="P190" s="5378">
        <v>0.4</v>
      </c>
      <c r="Q190" s="5378">
        <v>0.6</v>
      </c>
      <c r="R190" s="5380">
        <v>0.5</v>
      </c>
      <c r="S190" s="5380">
        <v>0</v>
      </c>
      <c r="T190" s="5380">
        <v>0.5</v>
      </c>
      <c r="U190" s="5380">
        <v>0</v>
      </c>
    </row>
    <row r="191" spans="1:21" s="3527" customFormat="1">
      <c r="A191" s="4189"/>
      <c r="B191" s="4189"/>
      <c r="C191" s="4189"/>
      <c r="D191" s="4189"/>
      <c r="E191" s="4189"/>
      <c r="F191" s="4189"/>
      <c r="G191" s="4189"/>
      <c r="H191" s="4189"/>
      <c r="I191" s="7058"/>
      <c r="J191" s="7069"/>
      <c r="K191" s="5374" t="s">
        <v>38</v>
      </c>
      <c r="L191" s="5367">
        <v>164</v>
      </c>
      <c r="M191" s="5367">
        <v>67</v>
      </c>
      <c r="N191" s="5377">
        <v>38</v>
      </c>
      <c r="O191" s="5375">
        <f t="shared" si="4"/>
        <v>56.71641791044776</v>
      </c>
      <c r="P191" s="5378">
        <v>0.5714285714285714</v>
      </c>
      <c r="Q191" s="5378">
        <v>0.42857142857142855</v>
      </c>
      <c r="R191" s="5380">
        <v>8.3333333333333315E-2</v>
      </c>
      <c r="S191" s="5380">
        <v>0.25</v>
      </c>
      <c r="T191" s="5380">
        <v>0.33333333333333326</v>
      </c>
      <c r="U191" s="5380">
        <v>0.33333333333333326</v>
      </c>
    </row>
    <row r="192" spans="1:21" s="3527" customFormat="1">
      <c r="A192" s="4189"/>
      <c r="B192" s="4189"/>
      <c r="C192" s="4189"/>
      <c r="D192" s="4189"/>
      <c r="E192" s="4189"/>
      <c r="F192" s="4189"/>
      <c r="G192" s="4189"/>
      <c r="H192" s="4189"/>
      <c r="I192" s="7058"/>
      <c r="J192" s="7069"/>
      <c r="K192" s="5374" t="s">
        <v>39</v>
      </c>
      <c r="L192" s="5367">
        <v>322</v>
      </c>
      <c r="M192" s="5367">
        <v>131</v>
      </c>
      <c r="N192" s="5377">
        <v>72</v>
      </c>
      <c r="O192" s="5375">
        <f t="shared" si="4"/>
        <v>54.961832061068705</v>
      </c>
      <c r="P192" s="5378">
        <v>0.69230769230769229</v>
      </c>
      <c r="Q192" s="5378">
        <v>0.30769230769230771</v>
      </c>
      <c r="R192" s="5380">
        <v>0.16666666666666663</v>
      </c>
      <c r="S192" s="5380">
        <v>0.30555555555555558</v>
      </c>
      <c r="T192" s="5380">
        <v>0.36111111111111105</v>
      </c>
      <c r="U192" s="5380">
        <v>0.16666666666666663</v>
      </c>
    </row>
    <row r="193" spans="1:33" s="3527" customFormat="1">
      <c r="A193" s="4189"/>
      <c r="B193" s="4189"/>
      <c r="C193" s="4189"/>
      <c r="D193" s="4189"/>
      <c r="E193" s="4189"/>
      <c r="F193" s="4189"/>
      <c r="G193" s="4189"/>
      <c r="H193" s="4189"/>
      <c r="I193" s="7058"/>
      <c r="J193" s="7061"/>
      <c r="K193" s="5374" t="s">
        <v>40</v>
      </c>
      <c r="L193" s="5367">
        <v>46</v>
      </c>
      <c r="M193" s="5367">
        <v>46</v>
      </c>
      <c r="N193" s="5377">
        <v>9</v>
      </c>
      <c r="O193" s="5375">
        <f t="shared" si="4"/>
        <v>19.565217391304348</v>
      </c>
      <c r="P193" s="5378">
        <v>0.75</v>
      </c>
      <c r="Q193" s="5378">
        <v>0.25</v>
      </c>
      <c r="R193" s="5379">
        <v>0</v>
      </c>
      <c r="S193" s="5380">
        <v>0.66666666666666652</v>
      </c>
      <c r="T193" s="5380">
        <v>0</v>
      </c>
      <c r="U193" s="5380">
        <v>0.33333333333333326</v>
      </c>
    </row>
    <row r="194" spans="1:33" s="3527" customFormat="1">
      <c r="A194" s="4189"/>
      <c r="B194" s="4189"/>
      <c r="C194" s="4189"/>
      <c r="D194" s="4189"/>
      <c r="E194" s="4189"/>
      <c r="F194" s="4189"/>
      <c r="G194" s="4189"/>
      <c r="H194" s="4189"/>
      <c r="I194" s="7058"/>
      <c r="J194" s="7060" t="s">
        <v>2173</v>
      </c>
      <c r="K194" s="5374" t="s">
        <v>42</v>
      </c>
      <c r="L194" s="5367">
        <v>290</v>
      </c>
      <c r="M194" s="5367">
        <v>139</v>
      </c>
      <c r="N194" s="5377">
        <v>61</v>
      </c>
      <c r="O194" s="5375">
        <f t="shared" si="4"/>
        <v>43.884892086330936</v>
      </c>
      <c r="P194" s="5378">
        <v>0.44</v>
      </c>
      <c r="Q194" s="5378">
        <v>0.56000000000000005</v>
      </c>
      <c r="R194" s="5380">
        <v>0.19047619047619047</v>
      </c>
      <c r="S194" s="5380">
        <v>0.2857142857142857</v>
      </c>
      <c r="T194" s="5380">
        <v>0.2857142857142857</v>
      </c>
      <c r="U194" s="5380">
        <v>0.23809523809523805</v>
      </c>
    </row>
    <row r="195" spans="1:33" s="3527" customFormat="1">
      <c r="A195" s="4189"/>
      <c r="B195" s="4189"/>
      <c r="C195" s="4189"/>
      <c r="D195" s="4189"/>
      <c r="E195" s="4189"/>
      <c r="F195" s="4189"/>
      <c r="G195" s="4189"/>
      <c r="H195" s="4189"/>
      <c r="I195" s="7058"/>
      <c r="J195" s="7069"/>
      <c r="K195" s="5374" t="s">
        <v>43</v>
      </c>
      <c r="L195" s="5367">
        <v>193</v>
      </c>
      <c r="M195" s="5367">
        <v>91</v>
      </c>
      <c r="N195" s="5377">
        <v>40</v>
      </c>
      <c r="O195" s="5375">
        <f t="shared" si="4"/>
        <v>43.956043956043956</v>
      </c>
      <c r="P195" s="5378">
        <v>0.29032258064516131</v>
      </c>
      <c r="Q195" s="5378">
        <v>0.70967741935483875</v>
      </c>
      <c r="R195" s="5380">
        <v>0.22222222222222221</v>
      </c>
      <c r="S195" s="5380">
        <v>0.33333333333333326</v>
      </c>
      <c r="T195" s="5380">
        <v>0.1111111111111111</v>
      </c>
      <c r="U195" s="5380">
        <v>0.33333333333333326</v>
      </c>
    </row>
    <row r="196" spans="1:33" s="3527" customFormat="1">
      <c r="A196" s="4189"/>
      <c r="B196" s="4189"/>
      <c r="C196" s="4189"/>
      <c r="D196" s="4189"/>
      <c r="E196" s="4189"/>
      <c r="F196" s="4189"/>
      <c r="G196" s="4189"/>
      <c r="H196" s="4189"/>
      <c r="I196" s="7058"/>
      <c r="J196" s="7069"/>
      <c r="K196" s="5374" t="s">
        <v>44</v>
      </c>
      <c r="L196" s="5367">
        <v>146</v>
      </c>
      <c r="M196" s="5367">
        <v>69</v>
      </c>
      <c r="N196" s="5377">
        <v>32</v>
      </c>
      <c r="O196" s="5375">
        <f t="shared" si="4"/>
        <v>46.376811594202898</v>
      </c>
      <c r="P196" s="5378">
        <v>0.5</v>
      </c>
      <c r="Q196" s="5378">
        <v>0.5</v>
      </c>
      <c r="R196" s="5380">
        <v>0</v>
      </c>
      <c r="S196" s="5380">
        <v>0.41666666666666674</v>
      </c>
      <c r="T196" s="5380">
        <v>0.33333333333333326</v>
      </c>
      <c r="U196" s="5380">
        <v>0.25</v>
      </c>
    </row>
    <row r="197" spans="1:33" s="3527" customFormat="1">
      <c r="A197" s="4189"/>
      <c r="B197" s="4189"/>
      <c r="C197" s="4189"/>
      <c r="D197" s="4189"/>
      <c r="E197" s="4189"/>
      <c r="F197" s="4189"/>
      <c r="G197" s="4189"/>
      <c r="H197" s="4189"/>
      <c r="I197" s="7058"/>
      <c r="J197" s="7069"/>
      <c r="K197" s="5374" t="s">
        <v>45</v>
      </c>
      <c r="L197" s="5367">
        <v>102</v>
      </c>
      <c r="M197" s="5367">
        <v>73</v>
      </c>
      <c r="N197" s="5377">
        <v>21</v>
      </c>
      <c r="O197" s="5375">
        <f t="shared" si="4"/>
        <v>28.767123287671232</v>
      </c>
      <c r="P197" s="5378">
        <v>0.7</v>
      </c>
      <c r="Q197" s="5378">
        <v>0.3</v>
      </c>
      <c r="R197" s="5380">
        <v>0.2857142857142857</v>
      </c>
      <c r="S197" s="5380">
        <v>0.2857142857142857</v>
      </c>
      <c r="T197" s="5380">
        <v>0.14285714285714285</v>
      </c>
      <c r="U197" s="5380">
        <v>0.2857142857142857</v>
      </c>
    </row>
    <row r="198" spans="1:33" s="3527" customFormat="1">
      <c r="A198" s="4189"/>
      <c r="B198" s="4189"/>
      <c r="C198" s="4189"/>
      <c r="D198" s="4189"/>
      <c r="E198" s="4189"/>
      <c r="F198" s="4189"/>
      <c r="G198" s="4189"/>
      <c r="H198" s="4189"/>
      <c r="I198" s="7058"/>
      <c r="J198" s="7069"/>
      <c r="K198" s="5374" t="s">
        <v>262</v>
      </c>
      <c r="L198" s="5367">
        <v>284</v>
      </c>
      <c r="M198" s="5367">
        <v>135</v>
      </c>
      <c r="N198" s="5377">
        <v>54</v>
      </c>
      <c r="O198" s="5375">
        <f t="shared" si="4"/>
        <v>40</v>
      </c>
      <c r="P198" s="5378">
        <v>0.75</v>
      </c>
      <c r="Q198" s="5378">
        <v>0.25</v>
      </c>
      <c r="R198" s="5380">
        <v>0.16666666666666663</v>
      </c>
      <c r="S198" s="5380">
        <v>0.2</v>
      </c>
      <c r="T198" s="5380">
        <v>0.53333333333333333</v>
      </c>
      <c r="U198" s="5380">
        <v>0.1</v>
      </c>
    </row>
    <row r="199" spans="1:33" s="3527" customFormat="1">
      <c r="A199" s="4189"/>
      <c r="B199" s="4189"/>
      <c r="C199" s="4189"/>
      <c r="D199" s="4189"/>
      <c r="E199" s="4189"/>
      <c r="F199" s="4189"/>
      <c r="G199" s="4189"/>
      <c r="H199" s="4189"/>
      <c r="I199" s="7059"/>
      <c r="J199" s="7061"/>
      <c r="K199" s="5374" t="s">
        <v>263</v>
      </c>
      <c r="L199" s="5367">
        <v>258</v>
      </c>
      <c r="M199" s="5367">
        <v>123</v>
      </c>
      <c r="N199" s="5377">
        <v>57</v>
      </c>
      <c r="O199" s="5375">
        <f t="shared" ref="O199:O222" si="5">N199*100/M199</f>
        <v>46.341463414634148</v>
      </c>
      <c r="P199" s="5378">
        <v>0.75</v>
      </c>
      <c r="Q199" s="5378">
        <v>0.25</v>
      </c>
      <c r="R199" s="5380">
        <v>0.15151515151515152</v>
      </c>
      <c r="S199" s="5380">
        <v>0.12121212121212122</v>
      </c>
      <c r="T199" s="5380">
        <v>0.24242424242424243</v>
      </c>
      <c r="U199" s="5380">
        <v>0.48484848484848486</v>
      </c>
    </row>
    <row r="200" spans="1:33" s="3527" customFormat="1">
      <c r="A200" s="4189"/>
      <c r="B200" s="4189"/>
      <c r="C200" s="4189"/>
      <c r="D200" s="4189"/>
      <c r="E200" s="4189"/>
      <c r="F200" s="4189"/>
      <c r="G200" s="4189"/>
      <c r="H200" s="4189"/>
      <c r="I200" s="7057" t="s">
        <v>48</v>
      </c>
      <c r="J200" s="7060" t="s">
        <v>2171</v>
      </c>
      <c r="K200" s="5374" t="s">
        <v>17</v>
      </c>
      <c r="L200" s="5367">
        <v>376</v>
      </c>
      <c r="M200" s="5367">
        <v>117</v>
      </c>
      <c r="N200" s="5377">
        <v>60</v>
      </c>
      <c r="O200" s="5375">
        <f t="shared" si="5"/>
        <v>51.282051282051285</v>
      </c>
      <c r="P200" s="5378">
        <v>0.91428571428571426</v>
      </c>
      <c r="Q200" s="5378">
        <v>8.5714285714285715E-2</v>
      </c>
      <c r="R200" s="5380">
        <v>0</v>
      </c>
      <c r="S200" s="5380">
        <v>9.375E-2</v>
      </c>
      <c r="T200" s="5380">
        <v>0.59375</v>
      </c>
      <c r="U200" s="5380">
        <v>0.3125</v>
      </c>
    </row>
    <row r="201" spans="1:33" s="3527" customFormat="1">
      <c r="A201" s="4189"/>
      <c r="B201" s="4189"/>
      <c r="C201" s="4189"/>
      <c r="D201" s="4189"/>
      <c r="E201" s="4189"/>
      <c r="F201" s="4189"/>
      <c r="G201" s="4189"/>
      <c r="H201" s="4189"/>
      <c r="I201" s="7058"/>
      <c r="J201" s="7069"/>
      <c r="K201" s="5374" t="s">
        <v>49</v>
      </c>
      <c r="L201" s="5367">
        <v>513</v>
      </c>
      <c r="M201" s="5367">
        <v>161</v>
      </c>
      <c r="N201" s="5377">
        <v>96</v>
      </c>
      <c r="O201" s="5375">
        <f t="shared" si="5"/>
        <v>59.627329192546583</v>
      </c>
      <c r="P201" s="5378">
        <v>0.73333333333333328</v>
      </c>
      <c r="Q201" s="5378">
        <v>0.26666666666666666</v>
      </c>
      <c r="R201" s="5380">
        <v>2.3255813953488372E-2</v>
      </c>
      <c r="S201" s="5380">
        <v>0.11627906976744186</v>
      </c>
      <c r="T201" s="5380">
        <v>0.32558139534883723</v>
      </c>
      <c r="U201" s="5380">
        <v>0.53488372093023251</v>
      </c>
    </row>
    <row r="202" spans="1:33" s="3527" customFormat="1">
      <c r="A202" s="4189"/>
      <c r="B202" s="4189"/>
      <c r="C202" s="4189"/>
      <c r="D202" s="4189"/>
      <c r="E202" s="4189"/>
      <c r="F202" s="4189"/>
      <c r="G202" s="4189"/>
      <c r="H202" s="4189"/>
      <c r="I202" s="7058"/>
      <c r="J202" s="7069"/>
      <c r="K202" s="5374" t="s">
        <v>19</v>
      </c>
      <c r="L202" s="5367">
        <v>306</v>
      </c>
      <c r="M202" s="5367">
        <v>95</v>
      </c>
      <c r="N202" s="5377">
        <v>55</v>
      </c>
      <c r="O202" s="5375">
        <f t="shared" si="5"/>
        <v>57.89473684210526</v>
      </c>
      <c r="P202" s="5378">
        <v>0.6875</v>
      </c>
      <c r="Q202" s="5378">
        <v>0.3125</v>
      </c>
      <c r="R202" s="5380">
        <v>4.5454545454545456E-2</v>
      </c>
      <c r="S202" s="5380">
        <v>0.18181818181818182</v>
      </c>
      <c r="T202" s="5380">
        <v>0.63636363636363635</v>
      </c>
      <c r="U202" s="5380">
        <v>0.13636363636363635</v>
      </c>
    </row>
    <row r="203" spans="1:33" s="3527" customFormat="1">
      <c r="A203" s="4189"/>
      <c r="B203" s="4189"/>
      <c r="C203" s="4189"/>
      <c r="D203" s="4189"/>
      <c r="E203" s="4189"/>
      <c r="F203" s="4189"/>
      <c r="G203" s="4189"/>
      <c r="H203" s="4189"/>
      <c r="I203" s="7058"/>
      <c r="J203" s="7069"/>
      <c r="K203" s="5374" t="s">
        <v>50</v>
      </c>
      <c r="L203" s="5367">
        <v>848</v>
      </c>
      <c r="M203" s="5367">
        <v>266</v>
      </c>
      <c r="N203" s="5377">
        <v>169</v>
      </c>
      <c r="O203" s="5375">
        <f t="shared" si="5"/>
        <v>63.533834586466163</v>
      </c>
      <c r="P203" s="5378">
        <v>0.65625</v>
      </c>
      <c r="Q203" s="5378">
        <v>0.34375</v>
      </c>
      <c r="R203" s="5380">
        <v>6.3492063492063489E-2</v>
      </c>
      <c r="S203" s="5380">
        <v>0.23809523809523805</v>
      </c>
      <c r="T203" s="5380">
        <v>0.38095238095238093</v>
      </c>
      <c r="U203" s="5380">
        <v>0.31746031746031744</v>
      </c>
    </row>
    <row r="204" spans="1:33" s="3527" customFormat="1">
      <c r="A204" s="4189"/>
      <c r="B204" s="4189"/>
      <c r="C204" s="4189"/>
      <c r="D204" s="4189"/>
      <c r="E204" s="4189"/>
      <c r="F204" s="4189"/>
      <c r="G204" s="4189"/>
      <c r="H204" s="4189"/>
      <c r="I204" s="7058"/>
      <c r="J204" s="7069"/>
      <c r="K204" s="5374" t="s">
        <v>20</v>
      </c>
      <c r="L204" s="5367">
        <v>363</v>
      </c>
      <c r="M204" s="5367">
        <v>114</v>
      </c>
      <c r="N204" s="5377">
        <v>76</v>
      </c>
      <c r="O204" s="5375">
        <f t="shared" si="5"/>
        <v>66.666666666666671</v>
      </c>
      <c r="P204" s="5378">
        <v>0.57446808510638303</v>
      </c>
      <c r="Q204" s="5378">
        <v>0.42553191489361702</v>
      </c>
      <c r="R204" s="5380">
        <v>0.15384615384615385</v>
      </c>
      <c r="S204" s="5380">
        <v>0.15384615384615385</v>
      </c>
      <c r="T204" s="5380">
        <v>0.61538461538461542</v>
      </c>
      <c r="U204" s="5380">
        <v>7.6923076923076927E-2</v>
      </c>
    </row>
    <row r="205" spans="1:33" s="3527" customFormat="1">
      <c r="A205" s="4189"/>
      <c r="B205" s="4189"/>
      <c r="C205" s="4189"/>
      <c r="D205" s="4189"/>
      <c r="E205" s="4189"/>
      <c r="F205" s="4189"/>
      <c r="G205" s="4189"/>
      <c r="H205" s="4189"/>
      <c r="I205" s="7058"/>
      <c r="J205" s="7061"/>
      <c r="K205" s="5374" t="s">
        <v>51</v>
      </c>
      <c r="L205" s="5367">
        <v>122</v>
      </c>
      <c r="M205" s="5367">
        <v>39</v>
      </c>
      <c r="N205" s="5377">
        <v>35</v>
      </c>
      <c r="O205" s="5375">
        <f t="shared" si="5"/>
        <v>89.743589743589737</v>
      </c>
      <c r="P205" s="5378">
        <v>0.6428571428571429</v>
      </c>
      <c r="Q205" s="5378">
        <v>0.35714285714285715</v>
      </c>
      <c r="R205" s="5380">
        <v>0</v>
      </c>
      <c r="S205" s="5380">
        <v>0.1111111111111111</v>
      </c>
      <c r="T205" s="5380">
        <v>0.66666666666666652</v>
      </c>
      <c r="U205" s="5380">
        <v>0.22222222222222221</v>
      </c>
    </row>
    <row r="206" spans="1:33" s="3527" customFormat="1">
      <c r="A206" s="4189"/>
      <c r="B206" s="4189"/>
      <c r="C206" s="4189"/>
      <c r="D206" s="4189"/>
      <c r="E206" s="4189"/>
      <c r="F206" s="4189"/>
      <c r="G206" s="4189"/>
      <c r="H206" s="4189"/>
      <c r="I206" s="7058"/>
      <c r="J206" s="7060" t="s">
        <v>2173</v>
      </c>
      <c r="K206" s="5374" t="s">
        <v>42</v>
      </c>
      <c r="L206" s="5367">
        <v>407</v>
      </c>
      <c r="M206" s="5367">
        <v>105</v>
      </c>
      <c r="N206" s="5377">
        <v>85</v>
      </c>
      <c r="O206" s="5375">
        <f t="shared" si="5"/>
        <v>80.952380952380949</v>
      </c>
      <c r="P206" s="5378">
        <v>0.4375</v>
      </c>
      <c r="Q206" s="5378">
        <v>0.5625</v>
      </c>
      <c r="R206" s="5380">
        <v>0.05</v>
      </c>
      <c r="S206" s="5380">
        <v>0.1</v>
      </c>
      <c r="T206" s="5380">
        <v>0.5</v>
      </c>
      <c r="U206" s="5380">
        <v>0.35</v>
      </c>
    </row>
    <row r="207" spans="1:33" s="3527" customFormat="1">
      <c r="A207" s="4189"/>
      <c r="B207" s="4189"/>
      <c r="C207" s="4189"/>
      <c r="D207" s="4189"/>
      <c r="E207" s="4189"/>
      <c r="F207" s="4189"/>
      <c r="G207" s="4189"/>
      <c r="H207" s="4189"/>
      <c r="I207" s="7058"/>
      <c r="J207" s="7069"/>
      <c r="K207" s="5374" t="s">
        <v>52</v>
      </c>
      <c r="L207" s="5367">
        <v>302</v>
      </c>
      <c r="M207" s="5367">
        <v>78</v>
      </c>
      <c r="N207" s="5377">
        <v>60</v>
      </c>
      <c r="O207" s="5375">
        <f t="shared" si="5"/>
        <v>76.92307692307692</v>
      </c>
      <c r="P207" s="5378">
        <v>0.53333333333333333</v>
      </c>
      <c r="Q207" s="5378">
        <v>0.46666666666666662</v>
      </c>
      <c r="R207" s="5380">
        <v>7.1428571428571425E-2</v>
      </c>
      <c r="S207" s="5379">
        <v>0</v>
      </c>
      <c r="T207" s="5380">
        <v>0.5</v>
      </c>
      <c r="U207" s="5380">
        <v>0.42857142857142855</v>
      </c>
    </row>
    <row r="208" spans="1:33">
      <c r="I208" s="7058"/>
      <c r="J208" s="7069"/>
      <c r="K208" s="5374" t="s">
        <v>53</v>
      </c>
      <c r="L208" s="5367">
        <v>471</v>
      </c>
      <c r="M208" s="5367">
        <v>121</v>
      </c>
      <c r="N208" s="5377">
        <v>77</v>
      </c>
      <c r="O208" s="5375">
        <f t="shared" si="5"/>
        <v>63.636363636363633</v>
      </c>
      <c r="P208" s="5378">
        <v>0.63636363636363635</v>
      </c>
      <c r="Q208" s="5378">
        <v>0.36363636363636365</v>
      </c>
      <c r="R208" s="5380">
        <v>7.6923076923076927E-2</v>
      </c>
      <c r="S208" s="5380">
        <v>0.11538461538461538</v>
      </c>
      <c r="T208" s="5380">
        <v>0.23076923076923075</v>
      </c>
      <c r="U208" s="5380">
        <v>0.57692307692307687</v>
      </c>
      <c r="V208" s="3527"/>
      <c r="W208" s="3527"/>
      <c r="X208" s="3527"/>
      <c r="Y208" s="3527"/>
      <c r="Z208" s="3527"/>
      <c r="AA208" s="3527"/>
      <c r="AB208" s="3527"/>
      <c r="AC208" s="3527"/>
      <c r="AD208" s="3527"/>
      <c r="AE208" s="3527"/>
      <c r="AF208" s="3527"/>
      <c r="AG208" s="3527"/>
    </row>
    <row r="209" spans="9:33">
      <c r="I209" s="7058"/>
      <c r="J209" s="7069"/>
      <c r="K209" s="5374" t="s">
        <v>54</v>
      </c>
      <c r="L209" s="5367">
        <v>533</v>
      </c>
      <c r="M209" s="5367">
        <v>137</v>
      </c>
      <c r="N209" s="5377">
        <v>74</v>
      </c>
      <c r="O209" s="5375">
        <f t="shared" si="5"/>
        <v>54.014598540145982</v>
      </c>
      <c r="P209" s="5378">
        <v>0.6097560975609756</v>
      </c>
      <c r="Q209" s="5378">
        <v>0.3902439024390244</v>
      </c>
      <c r="R209" s="5380">
        <v>0.04</v>
      </c>
      <c r="S209" s="5380">
        <v>0.12</v>
      </c>
      <c r="T209" s="5380">
        <v>0.28000000000000003</v>
      </c>
      <c r="U209" s="5380">
        <v>0.56000000000000005</v>
      </c>
      <c r="V209" s="3527"/>
      <c r="W209" s="3527"/>
      <c r="X209" s="3527"/>
      <c r="Y209" s="3527"/>
      <c r="Z209" s="3527"/>
      <c r="AA209" s="3527"/>
      <c r="AB209" s="3527"/>
      <c r="AC209" s="3527"/>
      <c r="AD209" s="3527"/>
      <c r="AE209" s="3527"/>
      <c r="AF209" s="3527"/>
      <c r="AG209" s="3527"/>
    </row>
    <row r="210" spans="9:33">
      <c r="I210" s="7058"/>
      <c r="J210" s="7069"/>
      <c r="K210" s="5374" t="s">
        <v>2609</v>
      </c>
      <c r="L210" s="5367">
        <v>450</v>
      </c>
      <c r="M210" s="5367">
        <v>116</v>
      </c>
      <c r="N210" s="5377">
        <v>78</v>
      </c>
      <c r="O210" s="5375">
        <f t="shared" si="5"/>
        <v>67.241379310344826</v>
      </c>
      <c r="P210" s="5378">
        <v>0.73913043478260865</v>
      </c>
      <c r="Q210" s="5378">
        <v>0.2608695652173913</v>
      </c>
      <c r="R210" s="5380">
        <v>3.0303030303030304E-2</v>
      </c>
      <c r="S210" s="5380">
        <v>0.15151515151515152</v>
      </c>
      <c r="T210" s="5380">
        <v>0.2121212121212121</v>
      </c>
      <c r="U210" s="5380">
        <v>0.60606060606060608</v>
      </c>
      <c r="V210" s="3527"/>
      <c r="W210" s="3527"/>
      <c r="X210" s="3527"/>
      <c r="Y210" s="3527"/>
      <c r="Z210" s="3527"/>
      <c r="AA210" s="3527"/>
      <c r="AB210" s="3527"/>
      <c r="AC210" s="3527"/>
      <c r="AD210" s="3527"/>
      <c r="AE210" s="3527"/>
      <c r="AF210" s="3527"/>
      <c r="AG210" s="3527"/>
    </row>
    <row r="211" spans="9:33">
      <c r="I211" s="7058"/>
      <c r="J211" s="7069"/>
      <c r="K211" s="5374" t="s">
        <v>56</v>
      </c>
      <c r="L211" s="5367">
        <v>340</v>
      </c>
      <c r="M211" s="5367">
        <v>87</v>
      </c>
      <c r="N211" s="5377">
        <v>52</v>
      </c>
      <c r="O211" s="5375">
        <f t="shared" si="5"/>
        <v>59.770114942528735</v>
      </c>
      <c r="P211" s="5378">
        <v>0.6333333333333333</v>
      </c>
      <c r="Q211" s="5378">
        <v>0.36666666666666664</v>
      </c>
      <c r="R211" s="5380">
        <v>0.21052631578947367</v>
      </c>
      <c r="S211" s="5380">
        <v>0.21052631578947367</v>
      </c>
      <c r="T211" s="5380">
        <v>0.26315789473684209</v>
      </c>
      <c r="U211" s="5380">
        <v>0.31578947368421051</v>
      </c>
      <c r="V211" s="3527"/>
      <c r="W211" s="3527"/>
      <c r="X211" s="3527"/>
      <c r="Y211" s="3527"/>
      <c r="Z211" s="3527"/>
      <c r="AA211" s="3527"/>
      <c r="AB211" s="3527"/>
      <c r="AC211" s="3527"/>
      <c r="AD211" s="3527"/>
      <c r="AE211" s="3527"/>
      <c r="AF211" s="3527"/>
      <c r="AG211" s="3527"/>
    </row>
    <row r="212" spans="9:33">
      <c r="I212" s="7058"/>
      <c r="J212" s="7069"/>
      <c r="K212" s="5374" t="s">
        <v>255</v>
      </c>
      <c r="L212" s="5367">
        <v>450</v>
      </c>
      <c r="M212" s="5367">
        <v>116</v>
      </c>
      <c r="N212" s="5377">
        <v>76</v>
      </c>
      <c r="O212" s="5375">
        <f t="shared" si="5"/>
        <v>65.517241379310349</v>
      </c>
      <c r="P212" s="5378">
        <v>0.5641025641025641</v>
      </c>
      <c r="Q212" s="5378">
        <v>0.4358974358974359</v>
      </c>
      <c r="R212" s="5380">
        <v>9.0909090909090912E-2</v>
      </c>
      <c r="S212" s="5380">
        <v>4.5454545454545456E-2</v>
      </c>
      <c r="T212" s="5380">
        <v>9.0909090909090912E-2</v>
      </c>
      <c r="U212" s="5380">
        <v>0.77272727272727271</v>
      </c>
      <c r="V212" s="3527"/>
      <c r="W212" s="3527"/>
      <c r="X212" s="3527"/>
      <c r="Y212" s="3527"/>
      <c r="Z212" s="3527"/>
      <c r="AA212" s="3527"/>
      <c r="AB212" s="3527"/>
      <c r="AC212" s="3527"/>
      <c r="AD212" s="3527"/>
      <c r="AE212" s="3527"/>
      <c r="AF212" s="3527"/>
      <c r="AG212" s="3527"/>
    </row>
    <row r="213" spans="9:33">
      <c r="I213" s="7058"/>
      <c r="J213" s="7061"/>
      <c r="K213" s="5374" t="s">
        <v>264</v>
      </c>
      <c r="L213" s="5367">
        <v>367</v>
      </c>
      <c r="M213" s="5367">
        <v>95</v>
      </c>
      <c r="N213" s="5377">
        <v>69</v>
      </c>
      <c r="O213" s="5375">
        <f t="shared" si="5"/>
        <v>72.631578947368425</v>
      </c>
      <c r="P213" s="5378">
        <v>0.67500000000000004</v>
      </c>
      <c r="Q213" s="5378">
        <v>0.32500000000000001</v>
      </c>
      <c r="R213" s="5380">
        <v>0.12</v>
      </c>
      <c r="S213" s="5380">
        <v>0.24</v>
      </c>
      <c r="T213" s="5380">
        <v>0.16</v>
      </c>
      <c r="U213" s="5380">
        <v>0.48</v>
      </c>
      <c r="V213" s="3527"/>
      <c r="W213" s="3527"/>
      <c r="X213" s="3527"/>
      <c r="Y213" s="3527"/>
      <c r="Z213" s="3527"/>
      <c r="AA213" s="3527"/>
      <c r="AB213" s="3527"/>
      <c r="AC213" s="3527"/>
      <c r="AD213" s="3527"/>
      <c r="AE213" s="3527"/>
      <c r="AF213" s="3527"/>
      <c r="AG213" s="3527"/>
    </row>
    <row r="214" spans="9:33">
      <c r="I214" s="7058"/>
      <c r="J214" s="7060" t="s">
        <v>2172</v>
      </c>
      <c r="K214" s="5374" t="s">
        <v>22</v>
      </c>
      <c r="L214" s="5367">
        <v>514</v>
      </c>
      <c r="M214" s="5367">
        <v>242</v>
      </c>
      <c r="N214" s="5377">
        <v>103</v>
      </c>
      <c r="O214" s="5375">
        <f t="shared" si="5"/>
        <v>42.561983471074377</v>
      </c>
      <c r="P214" s="5378">
        <v>0.7777777777777779</v>
      </c>
      <c r="Q214" s="5378">
        <v>0.22222222222222221</v>
      </c>
      <c r="R214" s="5379">
        <v>0</v>
      </c>
      <c r="S214" s="5380">
        <v>8.1632653061224497E-2</v>
      </c>
      <c r="T214" s="5380">
        <v>0.38775510204081631</v>
      </c>
      <c r="U214" s="5380">
        <v>0.53061224489795922</v>
      </c>
      <c r="V214" s="3527"/>
      <c r="W214" s="3527"/>
      <c r="X214" s="3527"/>
      <c r="Y214" s="3527"/>
      <c r="Z214" s="3527"/>
      <c r="AA214" s="3527"/>
      <c r="AB214" s="3527"/>
      <c r="AC214" s="3527"/>
      <c r="AD214" s="3527"/>
      <c r="AE214" s="3527"/>
      <c r="AF214" s="3527"/>
      <c r="AG214" s="3527"/>
    </row>
    <row r="215" spans="9:33">
      <c r="I215" s="7058"/>
      <c r="J215" s="7069"/>
      <c r="K215" s="5374" t="s">
        <v>23</v>
      </c>
      <c r="L215" s="5367">
        <v>316</v>
      </c>
      <c r="M215" s="5367">
        <v>149</v>
      </c>
      <c r="N215" s="5377">
        <v>81</v>
      </c>
      <c r="O215" s="5375">
        <f t="shared" si="5"/>
        <v>54.36241610738255</v>
      </c>
      <c r="P215" s="5378">
        <v>0.73684210526315785</v>
      </c>
      <c r="Q215" s="5378">
        <v>0.26315789473684209</v>
      </c>
      <c r="R215" s="5380">
        <v>2.4390243902439025E-2</v>
      </c>
      <c r="S215" s="5380">
        <v>2.4390243902439025E-2</v>
      </c>
      <c r="T215" s="5380">
        <v>0.34146341463414637</v>
      </c>
      <c r="U215" s="5380">
        <v>0.6097560975609756</v>
      </c>
      <c r="V215" s="3527"/>
      <c r="W215" s="3527"/>
      <c r="X215" s="3527"/>
      <c r="Y215" s="3527"/>
      <c r="Z215" s="3527"/>
      <c r="AA215" s="3527"/>
      <c r="AB215" s="3527"/>
      <c r="AC215" s="3527"/>
      <c r="AD215" s="3527"/>
      <c r="AE215" s="3527"/>
      <c r="AF215" s="3527"/>
      <c r="AG215" s="3527"/>
    </row>
    <row r="216" spans="9:33">
      <c r="I216" s="7058"/>
      <c r="J216" s="7069"/>
      <c r="K216" s="5374" t="s">
        <v>24</v>
      </c>
      <c r="L216" s="5367">
        <v>247</v>
      </c>
      <c r="M216" s="5367">
        <v>116</v>
      </c>
      <c r="N216" s="5377">
        <v>57</v>
      </c>
      <c r="O216" s="5375">
        <f t="shared" si="5"/>
        <v>49.137931034482762</v>
      </c>
      <c r="P216" s="5378">
        <v>0.81395348837209303</v>
      </c>
      <c r="Q216" s="5378">
        <v>0.18604651162790697</v>
      </c>
      <c r="R216" s="5380">
        <v>8.5714285714285715E-2</v>
      </c>
      <c r="S216" s="5380">
        <v>0.11428571428571428</v>
      </c>
      <c r="T216" s="5380">
        <v>0.37142857142857144</v>
      </c>
      <c r="U216" s="5380">
        <v>0.42857142857142855</v>
      </c>
      <c r="V216" s="3527"/>
      <c r="W216" s="3527"/>
      <c r="X216" s="3527"/>
      <c r="Y216" s="3527"/>
      <c r="Z216" s="3527"/>
      <c r="AA216" s="3527"/>
      <c r="AB216" s="3527"/>
      <c r="AC216" s="3527"/>
      <c r="AD216" s="3527"/>
      <c r="AE216" s="3527"/>
      <c r="AF216" s="3527"/>
      <c r="AG216" s="3527"/>
    </row>
    <row r="217" spans="9:33">
      <c r="I217" s="7059"/>
      <c r="J217" s="7061"/>
      <c r="K217" s="5374" t="s">
        <v>58</v>
      </c>
      <c r="L217" s="5367">
        <v>219</v>
      </c>
      <c r="M217" s="5367">
        <v>104</v>
      </c>
      <c r="N217" s="5377">
        <v>55</v>
      </c>
      <c r="O217" s="5375">
        <f t="shared" si="5"/>
        <v>52.884615384615387</v>
      </c>
      <c r="P217" s="5378">
        <v>0.64864864864864868</v>
      </c>
      <c r="Q217" s="5378">
        <v>0.35135135135135137</v>
      </c>
      <c r="R217" s="5380">
        <v>0.16666666666666663</v>
      </c>
      <c r="S217" s="5380">
        <v>0.125</v>
      </c>
      <c r="T217" s="5380">
        <v>0.41666666666666674</v>
      </c>
      <c r="U217" s="5380">
        <v>0.29166666666666669</v>
      </c>
      <c r="V217" s="3527"/>
      <c r="W217" s="3527"/>
      <c r="X217" s="3527"/>
      <c r="Y217" s="3527"/>
      <c r="Z217" s="3527"/>
      <c r="AA217" s="3527"/>
      <c r="AB217" s="3527"/>
      <c r="AC217" s="3527"/>
      <c r="AD217" s="3527"/>
      <c r="AE217" s="3527"/>
      <c r="AF217" s="3527"/>
      <c r="AG217" s="3527"/>
    </row>
    <row r="218" spans="9:33" ht="22.95" customHeight="1">
      <c r="I218" s="7057" t="s">
        <v>240</v>
      </c>
      <c r="J218" s="5381" t="s">
        <v>2176</v>
      </c>
      <c r="K218" s="5382" t="s">
        <v>2054</v>
      </c>
      <c r="L218" s="5367">
        <v>41</v>
      </c>
      <c r="M218" s="5367">
        <v>41</v>
      </c>
      <c r="N218" s="5367">
        <v>9</v>
      </c>
      <c r="O218" s="5375">
        <f t="shared" si="5"/>
        <v>21.951219512195124</v>
      </c>
      <c r="P218" s="5378">
        <v>0.6</v>
      </c>
      <c r="Q218" s="5378">
        <v>0.4</v>
      </c>
      <c r="R218" s="5379">
        <v>0</v>
      </c>
      <c r="S218" s="5379">
        <v>0</v>
      </c>
      <c r="T218" s="5380">
        <v>0.66666666666666652</v>
      </c>
      <c r="U218" s="5380">
        <v>0.33333333333333326</v>
      </c>
    </row>
    <row r="219" spans="9:33">
      <c r="I219" s="7058"/>
      <c r="J219" s="7060" t="s">
        <v>2171</v>
      </c>
      <c r="K219" s="5382" t="s">
        <v>679</v>
      </c>
      <c r="L219" s="5367">
        <v>60</v>
      </c>
      <c r="M219" s="5367">
        <v>57</v>
      </c>
      <c r="N219" s="5367">
        <v>15</v>
      </c>
      <c r="O219" s="5375">
        <f t="shared" si="5"/>
        <v>26.315789473684209</v>
      </c>
      <c r="P219" s="5378">
        <v>0.63636363636363635</v>
      </c>
      <c r="Q219" s="5378">
        <v>0.36363636363636365</v>
      </c>
      <c r="R219" s="5379">
        <v>0.14285714285714285</v>
      </c>
      <c r="S219" s="5379">
        <v>0.5714285714285714</v>
      </c>
      <c r="T219" s="5380">
        <v>0.14285714285714285</v>
      </c>
      <c r="U219" s="5380">
        <v>0.14285714285714285</v>
      </c>
    </row>
    <row r="220" spans="9:33">
      <c r="I220" s="7058"/>
      <c r="J220" s="7061"/>
      <c r="K220" s="5382" t="s">
        <v>489</v>
      </c>
      <c r="L220" s="5383">
        <v>6</v>
      </c>
      <c r="M220" s="5367">
        <v>6</v>
      </c>
      <c r="N220" s="5367">
        <v>0</v>
      </c>
      <c r="O220" s="5375">
        <f t="shared" si="5"/>
        <v>0</v>
      </c>
      <c r="P220" s="5378">
        <v>0</v>
      </c>
      <c r="Q220" s="5378">
        <v>0</v>
      </c>
      <c r="R220" s="5380">
        <v>0</v>
      </c>
      <c r="S220" s="5380">
        <v>0</v>
      </c>
      <c r="T220" s="5380">
        <v>0</v>
      </c>
      <c r="U220" s="5380">
        <v>0</v>
      </c>
    </row>
    <row r="221" spans="9:33" ht="36">
      <c r="I221" s="7059"/>
      <c r="J221" s="5384" t="s">
        <v>2173</v>
      </c>
      <c r="K221" s="5382" t="s">
        <v>680</v>
      </c>
      <c r="L221" s="5367">
        <v>56</v>
      </c>
      <c r="M221" s="5367">
        <v>56</v>
      </c>
      <c r="N221" s="5367">
        <v>15</v>
      </c>
      <c r="O221" s="5375">
        <f t="shared" si="5"/>
        <v>26.785714285714285</v>
      </c>
      <c r="P221" s="5378">
        <v>0.69230769230769229</v>
      </c>
      <c r="Q221" s="5378">
        <v>0.30769230769230771</v>
      </c>
      <c r="R221" s="5380">
        <v>0.22222222222222221</v>
      </c>
      <c r="S221" s="5380">
        <v>0.44444444444444442</v>
      </c>
      <c r="T221" s="5380">
        <v>0.22222222222222221</v>
      </c>
      <c r="U221" s="5380">
        <v>0.1111111111111111</v>
      </c>
    </row>
    <row r="222" spans="9:33">
      <c r="I222" s="7120" t="s">
        <v>15</v>
      </c>
      <c r="J222" s="7121"/>
      <c r="K222" s="7122"/>
      <c r="L222" s="5385">
        <f>SUM(L146:L221)</f>
        <v>16163</v>
      </c>
      <c r="M222" s="5363">
        <f>SUM(M146:M221)</f>
        <v>6959</v>
      </c>
      <c r="N222" s="5368">
        <f>SUM(N146:N221)</f>
        <v>3478</v>
      </c>
      <c r="O222" s="5386">
        <f t="shared" si="5"/>
        <v>49.978445178905012</v>
      </c>
      <c r="P222" s="5387">
        <v>0.7</v>
      </c>
      <c r="Q222" s="5388">
        <v>0.3</v>
      </c>
      <c r="R222" s="5389">
        <v>7.6769025367156213E-2</v>
      </c>
      <c r="S222" s="5389">
        <v>0.14619492656875835</v>
      </c>
      <c r="T222" s="5389">
        <v>0.36715620827770368</v>
      </c>
      <c r="U222" s="5389">
        <v>0.40987983978638182</v>
      </c>
    </row>
    <row r="223" spans="9:33">
      <c r="I223" s="124"/>
      <c r="J223" s="124"/>
      <c r="K223" s="124"/>
      <c r="L223" s="124"/>
      <c r="M223" s="5355"/>
      <c r="N223" s="5355"/>
      <c r="O223" s="5355"/>
      <c r="P223" s="124"/>
      <c r="Q223" s="124"/>
      <c r="R223" s="124"/>
      <c r="S223" s="124"/>
      <c r="T223" s="124"/>
      <c r="U223" s="124"/>
    </row>
    <row r="224" spans="9:33">
      <c r="I224" s="124"/>
      <c r="J224" s="124"/>
      <c r="K224" s="124"/>
      <c r="L224" s="124"/>
      <c r="M224" s="5355"/>
      <c r="N224" s="5355"/>
      <c r="O224" s="5355"/>
      <c r="P224" s="124"/>
      <c r="Q224" s="124"/>
      <c r="R224" s="124"/>
      <c r="S224" s="124"/>
      <c r="T224" s="124"/>
      <c r="U224" s="124"/>
    </row>
    <row r="225" spans="9:21" ht="15.6">
      <c r="I225" s="124"/>
      <c r="J225" s="124"/>
      <c r="K225" s="276">
        <v>2019</v>
      </c>
      <c r="L225" s="124"/>
      <c r="M225" s="5355"/>
      <c r="N225" s="5355"/>
      <c r="O225" s="5355"/>
      <c r="P225" s="124"/>
      <c r="Q225" s="124"/>
      <c r="R225" s="124"/>
      <c r="S225" s="124"/>
      <c r="T225" s="124"/>
      <c r="U225" s="124"/>
    </row>
    <row r="226" spans="9:21">
      <c r="I226" s="7063" t="s">
        <v>2518</v>
      </c>
      <c r="J226" s="7063"/>
      <c r="K226" s="7063"/>
      <c r="L226" s="7063"/>
      <c r="M226" s="7063"/>
      <c r="N226" s="7063"/>
      <c r="O226" s="7063"/>
      <c r="P226" s="7063"/>
      <c r="Q226" s="7063"/>
      <c r="R226" s="7063"/>
      <c r="S226" s="7063"/>
      <c r="T226" s="124"/>
      <c r="U226" s="124"/>
    </row>
    <row r="227" spans="9:21">
      <c r="I227" s="7063"/>
      <c r="J227" s="7063"/>
      <c r="K227" s="7063"/>
      <c r="L227" s="7063"/>
      <c r="M227" s="7063"/>
      <c r="N227" s="7063"/>
      <c r="O227" s="7063"/>
      <c r="P227" s="7063"/>
      <c r="Q227" s="7063"/>
      <c r="R227" s="7063"/>
      <c r="S227" s="7063"/>
      <c r="T227" s="124"/>
      <c r="U227" s="124"/>
    </row>
    <row r="228" spans="9:21">
      <c r="I228" s="7063"/>
      <c r="J228" s="7063"/>
      <c r="K228" s="7063"/>
      <c r="L228" s="7063"/>
      <c r="M228" s="7063"/>
      <c r="N228" s="7063"/>
      <c r="O228" s="7063"/>
      <c r="P228" s="7063"/>
      <c r="Q228" s="7063"/>
      <c r="R228" s="7063"/>
      <c r="S228" s="7063"/>
      <c r="T228" s="124"/>
      <c r="U228" s="124"/>
    </row>
    <row r="229" spans="9:21">
      <c r="I229" s="5357"/>
      <c r="J229" s="5357"/>
      <c r="K229" s="5357"/>
      <c r="L229" s="5357"/>
      <c r="M229" s="5357"/>
      <c r="N229" s="5357"/>
      <c r="O229" s="5357"/>
      <c r="P229" s="5357"/>
      <c r="Q229" s="124"/>
      <c r="R229" s="124"/>
      <c r="S229" s="124"/>
      <c r="T229" s="124"/>
      <c r="U229" s="124"/>
    </row>
    <row r="230" spans="9:21">
      <c r="I230" s="7062" t="s">
        <v>2343</v>
      </c>
      <c r="J230" s="7062"/>
      <c r="K230" s="1094"/>
      <c r="L230" s="1094"/>
      <c r="M230" s="1094"/>
      <c r="N230" s="1094"/>
      <c r="O230" s="1094"/>
      <c r="P230" s="1094"/>
      <c r="Q230" s="124"/>
      <c r="R230" s="124"/>
      <c r="S230" s="124"/>
      <c r="T230" s="124"/>
      <c r="U230" s="124"/>
    </row>
    <row r="231" spans="9:21">
      <c r="I231" s="1094"/>
      <c r="J231" s="1094"/>
      <c r="K231" s="1094"/>
      <c r="L231" s="1094"/>
      <c r="M231" s="5357"/>
      <c r="N231" s="5357"/>
      <c r="O231" s="1094"/>
      <c r="P231" s="1094"/>
      <c r="Q231" s="124"/>
      <c r="R231" s="124"/>
      <c r="S231" s="124"/>
      <c r="T231" s="124"/>
      <c r="U231" s="124"/>
    </row>
    <row r="232" spans="9:21">
      <c r="I232" s="5390" t="s">
        <v>2344</v>
      </c>
      <c r="J232" s="5391">
        <v>2012</v>
      </c>
      <c r="K232" s="5391">
        <v>2016</v>
      </c>
      <c r="L232" s="5390" t="s">
        <v>15</v>
      </c>
      <c r="N232" s="5357"/>
      <c r="O232" s="124"/>
      <c r="P232" s="1094"/>
      <c r="Q232" s="124"/>
      <c r="R232" s="124"/>
      <c r="S232" s="124"/>
      <c r="T232" s="124"/>
      <c r="U232" s="124"/>
    </row>
    <row r="233" spans="9:21">
      <c r="I233" s="5390" t="s">
        <v>1898</v>
      </c>
      <c r="J233" s="5392">
        <v>2018</v>
      </c>
      <c r="K233" s="5392">
        <v>2365</v>
      </c>
      <c r="L233" s="5390">
        <v>4383</v>
      </c>
      <c r="N233" s="5357"/>
      <c r="O233" s="124"/>
      <c r="P233" s="1094"/>
      <c r="Q233" s="124"/>
      <c r="R233" s="124"/>
      <c r="S233" s="124"/>
      <c r="T233" s="124"/>
      <c r="U233" s="124"/>
    </row>
    <row r="234" spans="9:21">
      <c r="I234" s="1094"/>
      <c r="J234" s="1094"/>
      <c r="K234" s="1094"/>
      <c r="L234" s="1094"/>
      <c r="M234" s="5357"/>
      <c r="N234" s="5357"/>
      <c r="O234" s="1094"/>
      <c r="P234" s="1094"/>
      <c r="Q234" s="124"/>
      <c r="R234" s="124"/>
      <c r="S234" s="124"/>
      <c r="T234" s="124"/>
      <c r="U234" s="124"/>
    </row>
    <row r="235" spans="9:21">
      <c r="I235" s="7063" t="s">
        <v>2519</v>
      </c>
      <c r="J235" s="7063"/>
      <c r="K235" s="7063"/>
      <c r="L235" s="7063"/>
      <c r="M235" s="7063"/>
      <c r="N235" s="7063"/>
      <c r="O235" s="7063"/>
      <c r="P235" s="7063"/>
      <c r="Q235" s="7063"/>
      <c r="R235" s="124"/>
      <c r="S235" s="124"/>
      <c r="T235" s="124"/>
      <c r="U235" s="124"/>
    </row>
    <row r="236" spans="9:21">
      <c r="I236" s="7063"/>
      <c r="J236" s="7063"/>
      <c r="K236" s="7063"/>
      <c r="L236" s="7063"/>
      <c r="M236" s="7063"/>
      <c r="N236" s="7063"/>
      <c r="O236" s="7063"/>
      <c r="P236" s="7063"/>
      <c r="Q236" s="7063"/>
      <c r="R236" s="124"/>
      <c r="S236" s="124"/>
      <c r="T236" s="124"/>
      <c r="U236" s="124"/>
    </row>
    <row r="237" spans="9:21">
      <c r="I237" s="124"/>
      <c r="J237" s="124"/>
      <c r="K237" s="124"/>
      <c r="L237" s="124"/>
      <c r="M237" s="124"/>
      <c r="N237" s="124"/>
      <c r="O237" s="124"/>
      <c r="P237" s="7117" t="s">
        <v>2167</v>
      </c>
      <c r="Q237" s="7117"/>
      <c r="R237" s="7123" t="s">
        <v>2168</v>
      </c>
      <c r="S237" s="7124"/>
      <c r="T237" s="7124"/>
      <c r="U237" s="7125"/>
    </row>
    <row r="238" spans="9:21" ht="24">
      <c r="I238" s="5369" t="s">
        <v>0</v>
      </c>
      <c r="J238" s="5370" t="s">
        <v>1</v>
      </c>
      <c r="K238" s="5371" t="s">
        <v>2183</v>
      </c>
      <c r="L238" s="5372" t="s">
        <v>1893</v>
      </c>
      <c r="M238" s="5393" t="s">
        <v>1894</v>
      </c>
      <c r="N238" s="5393" t="s">
        <v>1898</v>
      </c>
      <c r="O238" s="5428" t="s">
        <v>2169</v>
      </c>
      <c r="P238" s="5394" t="s">
        <v>907</v>
      </c>
      <c r="Q238" s="5393" t="s">
        <v>908</v>
      </c>
      <c r="R238" s="5395" t="s">
        <v>1424</v>
      </c>
      <c r="S238" s="5395" t="s">
        <v>1425</v>
      </c>
      <c r="T238" s="5396" t="s">
        <v>1426</v>
      </c>
      <c r="U238" s="5395" t="s">
        <v>1427</v>
      </c>
    </row>
    <row r="239" spans="9:21">
      <c r="I239" s="7095" t="s">
        <v>3</v>
      </c>
      <c r="J239" s="7113" t="s">
        <v>2176</v>
      </c>
      <c r="K239" s="5429" t="s">
        <v>474</v>
      </c>
      <c r="L239" s="5397">
        <v>122</v>
      </c>
      <c r="M239" s="5397">
        <v>51</v>
      </c>
      <c r="N239" s="5397">
        <v>51</v>
      </c>
      <c r="O239" s="5430">
        <f>N239*100/M239</f>
        <v>100</v>
      </c>
      <c r="P239" s="5431">
        <v>0.67300000000000004</v>
      </c>
      <c r="Q239" s="5431">
        <v>0.32700000000000001</v>
      </c>
      <c r="R239" s="5431">
        <v>8.3000000000000004E-2</v>
      </c>
      <c r="S239" s="5431">
        <v>0.222</v>
      </c>
      <c r="T239" s="5431">
        <v>0.44400000000000001</v>
      </c>
      <c r="U239" s="5431">
        <v>0.25</v>
      </c>
    </row>
    <row r="240" spans="9:21">
      <c r="I240" s="7095"/>
      <c r="J240" s="7113"/>
      <c r="K240" s="5429" t="s">
        <v>475</v>
      </c>
      <c r="L240" s="5397">
        <v>103</v>
      </c>
      <c r="M240" s="5397">
        <v>54</v>
      </c>
      <c r="N240" s="5432">
        <v>54</v>
      </c>
      <c r="O240" s="5430">
        <f t="shared" ref="O240:O303" si="6">N240*100/M240</f>
        <v>100</v>
      </c>
      <c r="P240" s="5433">
        <v>0.83018867924528306</v>
      </c>
      <c r="Q240" s="5433">
        <v>0.169811320754717</v>
      </c>
      <c r="R240" s="5434">
        <v>0</v>
      </c>
      <c r="S240" s="5435">
        <v>9.0909090909090912E-2</v>
      </c>
      <c r="T240" s="5435">
        <v>0.29545454545454547</v>
      </c>
      <c r="U240" s="5435">
        <v>0.61363636363636365</v>
      </c>
    </row>
    <row r="241" spans="9:21">
      <c r="I241" s="7095"/>
      <c r="J241" s="7113"/>
      <c r="K241" s="5429" t="s">
        <v>673</v>
      </c>
      <c r="L241" s="5397">
        <v>47</v>
      </c>
      <c r="M241" s="5397">
        <v>24</v>
      </c>
      <c r="N241" s="5432">
        <v>24</v>
      </c>
      <c r="O241" s="5430">
        <f t="shared" si="6"/>
        <v>100</v>
      </c>
      <c r="P241" s="5433">
        <v>0.91666666666666674</v>
      </c>
      <c r="Q241" s="5433">
        <v>8.3333333333333343E-2</v>
      </c>
      <c r="R241" s="5435">
        <v>4.5454545454545456E-2</v>
      </c>
      <c r="S241" s="5435">
        <v>4.5454545454545456E-2</v>
      </c>
      <c r="T241" s="5435">
        <v>0.40909090909090906</v>
      </c>
      <c r="U241" s="5435">
        <v>0.5</v>
      </c>
    </row>
    <row r="242" spans="9:21">
      <c r="I242" s="7095"/>
      <c r="J242" s="7113"/>
      <c r="K242" s="5429" t="s">
        <v>477</v>
      </c>
      <c r="L242" s="5397">
        <v>36</v>
      </c>
      <c r="M242" s="5397">
        <v>36</v>
      </c>
      <c r="N242" s="5432">
        <v>26</v>
      </c>
      <c r="O242" s="5430">
        <f t="shared" si="6"/>
        <v>72.222222222222229</v>
      </c>
      <c r="P242" s="5433">
        <v>0.42307692307692307</v>
      </c>
      <c r="Q242" s="5433">
        <v>0.57692307692307698</v>
      </c>
      <c r="R242" s="5434">
        <v>0</v>
      </c>
      <c r="S242" s="5434">
        <v>0</v>
      </c>
      <c r="T242" s="5435">
        <v>0.54545454545454541</v>
      </c>
      <c r="U242" s="5435">
        <v>0.45454545454545453</v>
      </c>
    </row>
    <row r="243" spans="9:21">
      <c r="I243" s="7095"/>
      <c r="J243" s="7113"/>
      <c r="K243" s="5429" t="s">
        <v>674</v>
      </c>
      <c r="L243" s="5397">
        <v>183</v>
      </c>
      <c r="M243" s="5397">
        <v>81</v>
      </c>
      <c r="N243" s="5432">
        <v>81</v>
      </c>
      <c r="O243" s="5430">
        <f t="shared" si="6"/>
        <v>100</v>
      </c>
      <c r="P243" s="5433">
        <v>0.91249999999999998</v>
      </c>
      <c r="Q243" s="5433">
        <v>8.7499999999999994E-2</v>
      </c>
      <c r="R243" s="5435">
        <v>2.7397260273972601E-2</v>
      </c>
      <c r="S243" s="5435">
        <v>0.1095890410958904</v>
      </c>
      <c r="T243" s="5435">
        <v>0.39726027397260277</v>
      </c>
      <c r="U243" s="5435">
        <v>0.46575342465753422</v>
      </c>
    </row>
    <row r="244" spans="9:21">
      <c r="I244" s="7095"/>
      <c r="J244" s="7113"/>
      <c r="K244" s="5429" t="s">
        <v>675</v>
      </c>
      <c r="L244" s="5397">
        <v>107</v>
      </c>
      <c r="M244" s="5397">
        <v>48</v>
      </c>
      <c r="N244" s="5432">
        <v>48</v>
      </c>
      <c r="O244" s="5430">
        <f t="shared" si="6"/>
        <v>100</v>
      </c>
      <c r="P244" s="5433">
        <v>0.8085106382978724</v>
      </c>
      <c r="Q244" s="5433">
        <v>0.19148936170212769</v>
      </c>
      <c r="R244" s="5434">
        <v>0</v>
      </c>
      <c r="S244" s="5435">
        <v>0.15789473684210525</v>
      </c>
      <c r="T244" s="5435">
        <v>0.28947368421052633</v>
      </c>
      <c r="U244" s="5435">
        <v>0.55263157894736847</v>
      </c>
    </row>
    <row r="245" spans="9:21">
      <c r="I245" s="7095"/>
      <c r="J245" s="7113"/>
      <c r="K245" s="5429" t="s">
        <v>676</v>
      </c>
      <c r="L245" s="5397">
        <v>21</v>
      </c>
      <c r="M245" s="5397">
        <v>21</v>
      </c>
      <c r="N245" s="5432">
        <v>9</v>
      </c>
      <c r="O245" s="5430">
        <f t="shared" si="6"/>
        <v>42.857142857142854</v>
      </c>
      <c r="P245" s="5433">
        <v>0.77777777777777768</v>
      </c>
      <c r="Q245" s="5433">
        <v>0.22222222222222221</v>
      </c>
      <c r="R245" s="5434">
        <v>0</v>
      </c>
      <c r="S245" s="5435">
        <v>0.14285714285714288</v>
      </c>
      <c r="T245" s="5435">
        <v>0.57142857142857151</v>
      </c>
      <c r="U245" s="5435">
        <v>0.28571428571428575</v>
      </c>
    </row>
    <row r="246" spans="9:21">
      <c r="I246" s="7095"/>
      <c r="J246" s="7113"/>
      <c r="K246" s="5429" t="s">
        <v>478</v>
      </c>
      <c r="L246" s="5397">
        <v>103</v>
      </c>
      <c r="M246" s="5397">
        <v>44</v>
      </c>
      <c r="N246" s="5432">
        <v>44</v>
      </c>
      <c r="O246" s="5430">
        <f t="shared" si="6"/>
        <v>100</v>
      </c>
      <c r="P246" s="5433">
        <v>0.625</v>
      </c>
      <c r="Q246" s="5433">
        <v>0.375</v>
      </c>
      <c r="R246" s="5435">
        <v>0.04</v>
      </c>
      <c r="S246" s="5435">
        <v>0.08</v>
      </c>
      <c r="T246" s="5435">
        <v>0.44</v>
      </c>
      <c r="U246" s="5435">
        <v>0.44</v>
      </c>
    </row>
    <row r="247" spans="9:21">
      <c r="I247" s="7095"/>
      <c r="J247" s="7113"/>
      <c r="K247" s="5429" t="s">
        <v>677</v>
      </c>
      <c r="L247" s="5397">
        <v>136</v>
      </c>
      <c r="M247" s="5397">
        <v>66</v>
      </c>
      <c r="N247" s="5432">
        <v>66</v>
      </c>
      <c r="O247" s="5430">
        <f t="shared" si="6"/>
        <v>100</v>
      </c>
      <c r="P247" s="5433">
        <v>0.83076923076923082</v>
      </c>
      <c r="Q247" s="5433">
        <v>0.16923076923076924</v>
      </c>
      <c r="R247" s="5435">
        <v>1.8867924528301886E-2</v>
      </c>
      <c r="S247" s="5435">
        <v>0.24528301886792453</v>
      </c>
      <c r="T247" s="5435">
        <v>0.49056603773584906</v>
      </c>
      <c r="U247" s="5435">
        <v>0.24528301886792453</v>
      </c>
    </row>
    <row r="248" spans="9:21">
      <c r="I248" s="7095"/>
      <c r="J248" s="7113"/>
      <c r="K248" s="5429" t="s">
        <v>476</v>
      </c>
      <c r="L248" s="5397">
        <v>158</v>
      </c>
      <c r="M248" s="5397">
        <v>73</v>
      </c>
      <c r="N248" s="5432">
        <v>73</v>
      </c>
      <c r="O248" s="5430">
        <f t="shared" si="6"/>
        <v>100</v>
      </c>
      <c r="P248" s="5433">
        <v>0.88732394366197187</v>
      </c>
      <c r="Q248" s="5433">
        <v>0.11267605633802816</v>
      </c>
      <c r="R248" s="5434">
        <v>0</v>
      </c>
      <c r="S248" s="5435">
        <v>8.0645161290322578E-2</v>
      </c>
      <c r="T248" s="5435">
        <v>0.19354838709677419</v>
      </c>
      <c r="U248" s="5435">
        <v>0.72580645161290325</v>
      </c>
    </row>
    <row r="249" spans="9:21">
      <c r="I249" s="7095"/>
      <c r="J249" s="7113" t="s">
        <v>2171</v>
      </c>
      <c r="K249" s="5429" t="s">
        <v>17</v>
      </c>
      <c r="L249" s="5397">
        <v>353</v>
      </c>
      <c r="M249" s="5397">
        <v>143</v>
      </c>
      <c r="N249" s="5432">
        <v>143</v>
      </c>
      <c r="O249" s="5430">
        <f t="shared" si="6"/>
        <v>100</v>
      </c>
      <c r="P249" s="5433">
        <v>0.84782608695652173</v>
      </c>
      <c r="Q249" s="5433">
        <v>0.15217391304347827</v>
      </c>
      <c r="R249" s="5435">
        <v>2.6785714285714284E-2</v>
      </c>
      <c r="S249" s="5435">
        <v>0.125</v>
      </c>
      <c r="T249" s="5435">
        <v>0.51785714285714279</v>
      </c>
      <c r="U249" s="5435">
        <v>0.33035714285714285</v>
      </c>
    </row>
    <row r="250" spans="9:21">
      <c r="I250" s="7095"/>
      <c r="J250" s="7113"/>
      <c r="K250" s="5429" t="s">
        <v>18</v>
      </c>
      <c r="L250" s="5397">
        <v>529</v>
      </c>
      <c r="M250" s="5397">
        <v>220</v>
      </c>
      <c r="N250" s="5432">
        <v>220</v>
      </c>
      <c r="O250" s="5430">
        <f t="shared" si="6"/>
        <v>100</v>
      </c>
      <c r="P250" s="5433">
        <v>0.71980676328502413</v>
      </c>
      <c r="Q250" s="5433">
        <v>0.28019323671497587</v>
      </c>
      <c r="R250" s="5435">
        <v>5.5172413793103454E-2</v>
      </c>
      <c r="S250" s="5435">
        <v>0.10344827586206896</v>
      </c>
      <c r="T250" s="5435">
        <v>0.19310344827586207</v>
      </c>
      <c r="U250" s="5435">
        <v>0.64827586206896559</v>
      </c>
    </row>
    <row r="251" spans="9:21">
      <c r="I251" s="7095"/>
      <c r="J251" s="7113"/>
      <c r="K251" s="5429" t="s">
        <v>19</v>
      </c>
      <c r="L251" s="5397">
        <v>142</v>
      </c>
      <c r="M251" s="5397">
        <v>57</v>
      </c>
      <c r="N251" s="5432">
        <v>57</v>
      </c>
      <c r="O251" s="5430">
        <f t="shared" si="6"/>
        <v>100</v>
      </c>
      <c r="P251" s="5433">
        <v>0.8214285714285714</v>
      </c>
      <c r="Q251" s="5433">
        <v>0.17857142857142858</v>
      </c>
      <c r="R251" s="5435">
        <v>0.2</v>
      </c>
      <c r="S251" s="5435">
        <v>0.15555555555555556</v>
      </c>
      <c r="T251" s="5435">
        <v>0.33333333333333337</v>
      </c>
      <c r="U251" s="5435">
        <v>0.31111111111111112</v>
      </c>
    </row>
    <row r="252" spans="9:21">
      <c r="I252" s="7095"/>
      <c r="J252" s="7113"/>
      <c r="K252" s="5429" t="s">
        <v>20</v>
      </c>
      <c r="L252" s="5397">
        <v>147</v>
      </c>
      <c r="M252" s="5397">
        <v>63</v>
      </c>
      <c r="N252" s="5432">
        <v>63</v>
      </c>
      <c r="O252" s="5430">
        <f t="shared" si="6"/>
        <v>100</v>
      </c>
      <c r="P252" s="5433">
        <v>0.61904761904761907</v>
      </c>
      <c r="Q252" s="5433">
        <v>0.38095238095238093</v>
      </c>
      <c r="R252" s="5435">
        <v>0.10256410256410257</v>
      </c>
      <c r="S252" s="5435">
        <v>0.25641025641025644</v>
      </c>
      <c r="T252" s="5435">
        <v>0.48717948717948717</v>
      </c>
      <c r="U252" s="5435">
        <v>0.15384615384615385</v>
      </c>
    </row>
    <row r="253" spans="9:21">
      <c r="I253" s="7095"/>
      <c r="J253" s="7113" t="s">
        <v>2172</v>
      </c>
      <c r="K253" s="5429" t="s">
        <v>22</v>
      </c>
      <c r="L253" s="5397">
        <v>203</v>
      </c>
      <c r="M253" s="5397">
        <v>112</v>
      </c>
      <c r="N253" s="5432">
        <v>100</v>
      </c>
      <c r="O253" s="5430">
        <f t="shared" si="6"/>
        <v>89.285714285714292</v>
      </c>
      <c r="P253" s="5433">
        <v>0.86734693877551028</v>
      </c>
      <c r="Q253" s="5433">
        <v>0.1326530612244898</v>
      </c>
      <c r="R253" s="5435">
        <v>3.5714285714285719E-2</v>
      </c>
      <c r="S253" s="5435">
        <v>2.3809523809523808E-2</v>
      </c>
      <c r="T253" s="5435">
        <v>0.22619047619047619</v>
      </c>
      <c r="U253" s="5435">
        <v>0.7142857142857143</v>
      </c>
    </row>
    <row r="254" spans="9:21">
      <c r="I254" s="7095"/>
      <c r="J254" s="7113"/>
      <c r="K254" s="5429" t="s">
        <v>1906</v>
      </c>
      <c r="L254" s="5397">
        <v>246</v>
      </c>
      <c r="M254" s="5397">
        <v>146</v>
      </c>
      <c r="N254" s="5432">
        <v>146</v>
      </c>
      <c r="O254" s="5430">
        <f t="shared" si="6"/>
        <v>100</v>
      </c>
      <c r="P254" s="5433">
        <v>0.82269503546099287</v>
      </c>
      <c r="Q254" s="5433">
        <v>0.1773049645390071</v>
      </c>
      <c r="R254" s="5435">
        <v>3.6036036036036036E-2</v>
      </c>
      <c r="S254" s="5435">
        <v>8.1081081081081086E-2</v>
      </c>
      <c r="T254" s="5435">
        <v>0.27027027027027029</v>
      </c>
      <c r="U254" s="5435">
        <v>0.61261261261261257</v>
      </c>
    </row>
    <row r="255" spans="9:21">
      <c r="I255" s="7095"/>
      <c r="J255" s="7113"/>
      <c r="K255" s="5429" t="s">
        <v>1907</v>
      </c>
      <c r="L255" s="5397">
        <v>166</v>
      </c>
      <c r="M255" s="5397">
        <v>91</v>
      </c>
      <c r="N255" s="5432">
        <v>91</v>
      </c>
      <c r="O255" s="5430">
        <f t="shared" si="6"/>
        <v>100</v>
      </c>
      <c r="P255" s="5433">
        <v>0.77011494252873558</v>
      </c>
      <c r="Q255" s="5433">
        <v>0.22988505747126436</v>
      </c>
      <c r="R255" s="5435">
        <v>7.575757575757576E-2</v>
      </c>
      <c r="S255" s="5435">
        <v>0.12121212121212122</v>
      </c>
      <c r="T255" s="5435">
        <v>0.31818181818181818</v>
      </c>
      <c r="U255" s="5435">
        <v>0.48484848484848486</v>
      </c>
    </row>
    <row r="256" spans="9:21">
      <c r="I256" s="7094" t="s">
        <v>59</v>
      </c>
      <c r="J256" s="7095" t="s">
        <v>2171</v>
      </c>
      <c r="K256" s="5429" t="s">
        <v>17</v>
      </c>
      <c r="L256" s="5397">
        <v>58</v>
      </c>
      <c r="M256" s="5397">
        <v>58</v>
      </c>
      <c r="N256" s="5432">
        <v>45</v>
      </c>
      <c r="O256" s="5430">
        <f t="shared" si="6"/>
        <v>77.58620689655173</v>
      </c>
      <c r="P256" s="5433">
        <v>0.71111111111111114</v>
      </c>
      <c r="Q256" s="5433">
        <v>0.28888888888888892</v>
      </c>
      <c r="R256" s="5435">
        <v>9.6774193548387094E-2</v>
      </c>
      <c r="S256" s="5435">
        <v>0.19354838709677419</v>
      </c>
      <c r="T256" s="5435">
        <v>0.35483870967741937</v>
      </c>
      <c r="U256" s="5435">
        <v>0.35483870967741937</v>
      </c>
    </row>
    <row r="257" spans="9:21">
      <c r="I257" s="7094"/>
      <c r="J257" s="7095"/>
      <c r="K257" s="5429" t="s">
        <v>60</v>
      </c>
      <c r="L257" s="5397">
        <v>23</v>
      </c>
      <c r="M257" s="5397">
        <v>23</v>
      </c>
      <c r="N257" s="5432">
        <v>20</v>
      </c>
      <c r="O257" s="5430">
        <f t="shared" si="6"/>
        <v>86.956521739130437</v>
      </c>
      <c r="P257" s="5433">
        <v>0.73684210526315796</v>
      </c>
      <c r="Q257" s="5433">
        <v>0.26315789473684209</v>
      </c>
      <c r="R257" s="5435">
        <v>0.23076923076923075</v>
      </c>
      <c r="S257" s="5435">
        <v>0.15384615384615385</v>
      </c>
      <c r="T257" s="5435">
        <v>0.46153846153846151</v>
      </c>
      <c r="U257" s="5435">
        <v>0.15384615384615385</v>
      </c>
    </row>
    <row r="258" spans="9:21">
      <c r="I258" s="7094"/>
      <c r="J258" s="7095"/>
      <c r="K258" s="5429" t="s">
        <v>384</v>
      </c>
      <c r="L258" s="5397">
        <v>15</v>
      </c>
      <c r="M258" s="5397">
        <v>15</v>
      </c>
      <c r="N258" s="5432">
        <v>11</v>
      </c>
      <c r="O258" s="5430">
        <f t="shared" si="6"/>
        <v>73.333333333333329</v>
      </c>
      <c r="P258" s="5433">
        <v>0.7</v>
      </c>
      <c r="Q258" s="5433">
        <v>0.3</v>
      </c>
      <c r="R258" s="5435">
        <v>0.14285714285714288</v>
      </c>
      <c r="S258" s="5435">
        <v>0.28571428571428575</v>
      </c>
      <c r="T258" s="5435">
        <v>0.14285714285714288</v>
      </c>
      <c r="U258" s="5435">
        <v>0.42857142857142855</v>
      </c>
    </row>
    <row r="259" spans="9:21">
      <c r="I259" s="7094"/>
      <c r="J259" s="7095"/>
      <c r="K259" s="5429" t="s">
        <v>18</v>
      </c>
      <c r="L259" s="5397">
        <v>0</v>
      </c>
      <c r="M259" s="5397">
        <v>0</v>
      </c>
      <c r="N259" s="5397">
        <v>0</v>
      </c>
      <c r="O259" s="5430">
        <v>0</v>
      </c>
      <c r="P259" s="5431">
        <v>0</v>
      </c>
      <c r="Q259" s="5431">
        <v>0</v>
      </c>
      <c r="R259" s="5434">
        <v>0</v>
      </c>
      <c r="S259" s="5434">
        <v>0</v>
      </c>
      <c r="T259" s="5434">
        <v>0</v>
      </c>
      <c r="U259" s="5434">
        <v>0</v>
      </c>
    </row>
    <row r="260" spans="9:21">
      <c r="I260" s="7094"/>
      <c r="J260" s="7095" t="s">
        <v>2174</v>
      </c>
      <c r="K260" s="5429" t="s">
        <v>62</v>
      </c>
      <c r="L260" s="5397">
        <v>45</v>
      </c>
      <c r="M260" s="5397">
        <v>45</v>
      </c>
      <c r="N260" s="5432">
        <v>31</v>
      </c>
      <c r="O260" s="5430">
        <f t="shared" si="6"/>
        <v>68.888888888888886</v>
      </c>
      <c r="P260" s="5433">
        <v>0.9</v>
      </c>
      <c r="Q260" s="5433">
        <v>0.1</v>
      </c>
      <c r="R260" s="5435">
        <v>0.1111111111111111</v>
      </c>
      <c r="S260" s="5435">
        <v>0.14814814814814814</v>
      </c>
      <c r="T260" s="5435">
        <v>0.33333333333333337</v>
      </c>
      <c r="U260" s="5435">
        <v>0.40740740740740738</v>
      </c>
    </row>
    <row r="261" spans="9:21">
      <c r="I261" s="7094"/>
      <c r="J261" s="7095"/>
      <c r="K261" s="5429" t="s">
        <v>1928</v>
      </c>
      <c r="L261" s="5397">
        <v>11</v>
      </c>
      <c r="M261" s="5397">
        <v>11</v>
      </c>
      <c r="N261" s="5432">
        <v>10</v>
      </c>
      <c r="O261" s="5430">
        <f t="shared" si="6"/>
        <v>90.909090909090907</v>
      </c>
      <c r="P261" s="5433">
        <v>1</v>
      </c>
      <c r="Q261" s="5431">
        <v>0</v>
      </c>
      <c r="R261" s="5434">
        <v>0</v>
      </c>
      <c r="S261" s="5434">
        <v>0</v>
      </c>
      <c r="T261" s="5435">
        <v>0.125</v>
      </c>
      <c r="U261" s="5435">
        <v>0.875</v>
      </c>
    </row>
    <row r="262" spans="9:21">
      <c r="I262" s="7094"/>
      <c r="J262" s="7095"/>
      <c r="K262" s="5429" t="s">
        <v>63</v>
      </c>
      <c r="L262" s="5397">
        <v>57</v>
      </c>
      <c r="M262" s="5397">
        <v>57</v>
      </c>
      <c r="N262" s="5432">
        <v>39</v>
      </c>
      <c r="O262" s="5430">
        <f t="shared" si="6"/>
        <v>68.421052631578945</v>
      </c>
      <c r="P262" s="5433">
        <v>0.81578947368421051</v>
      </c>
      <c r="Q262" s="5433">
        <v>0.18421052631578949</v>
      </c>
      <c r="R262" s="5435">
        <v>6.4516129032258063E-2</v>
      </c>
      <c r="S262" s="5435">
        <v>9.6774193548387094E-2</v>
      </c>
      <c r="T262" s="5435">
        <v>0.41935483870967744</v>
      </c>
      <c r="U262" s="5435">
        <v>0.41935483870967744</v>
      </c>
    </row>
    <row r="263" spans="9:21">
      <c r="I263" s="7094"/>
      <c r="J263" s="7095" t="s">
        <v>2175</v>
      </c>
      <c r="K263" s="5429" t="s">
        <v>476</v>
      </c>
      <c r="L263" s="5397">
        <v>23</v>
      </c>
      <c r="M263" s="5397">
        <v>23</v>
      </c>
      <c r="N263" s="5432">
        <v>18</v>
      </c>
      <c r="O263" s="5430">
        <f t="shared" si="6"/>
        <v>78.260869565217391</v>
      </c>
      <c r="P263" s="5433">
        <v>0.94117647058823539</v>
      </c>
      <c r="Q263" s="5433">
        <v>5.8823529411764712E-2</v>
      </c>
      <c r="R263" s="5434">
        <v>0</v>
      </c>
      <c r="S263" s="5435">
        <v>6.25E-2</v>
      </c>
      <c r="T263" s="5435">
        <v>0.125</v>
      </c>
      <c r="U263" s="5435">
        <v>0.8125</v>
      </c>
    </row>
    <row r="264" spans="9:21">
      <c r="I264" s="7094"/>
      <c r="J264" s="7095"/>
      <c r="K264" s="5429" t="s">
        <v>65</v>
      </c>
      <c r="L264" s="5397">
        <v>12</v>
      </c>
      <c r="M264" s="5397">
        <v>12</v>
      </c>
      <c r="N264" s="5432">
        <v>10</v>
      </c>
      <c r="O264" s="5430">
        <f t="shared" si="6"/>
        <v>83.333333333333329</v>
      </c>
      <c r="P264" s="5433">
        <v>0.625</v>
      </c>
      <c r="Q264" s="5433">
        <v>0.375</v>
      </c>
      <c r="R264" s="5434">
        <v>0</v>
      </c>
      <c r="S264" s="5435">
        <v>0.4</v>
      </c>
      <c r="T264" s="5435">
        <v>0.4</v>
      </c>
      <c r="U264" s="5435">
        <v>0.2</v>
      </c>
    </row>
    <row r="265" spans="9:21">
      <c r="I265" s="7094"/>
      <c r="J265" s="7095"/>
      <c r="K265" s="5429" t="s">
        <v>386</v>
      </c>
      <c r="L265" s="5397">
        <v>15</v>
      </c>
      <c r="M265" s="5397">
        <v>15</v>
      </c>
      <c r="N265" s="5432">
        <v>14</v>
      </c>
      <c r="O265" s="5430">
        <f t="shared" si="6"/>
        <v>93.333333333333329</v>
      </c>
      <c r="P265" s="5433">
        <v>0.53846153846153844</v>
      </c>
      <c r="Q265" s="5433">
        <v>0.46153846153846151</v>
      </c>
      <c r="R265" s="5434">
        <v>0</v>
      </c>
      <c r="S265" s="5435">
        <v>0.57142857142857151</v>
      </c>
      <c r="T265" s="5435">
        <v>0.42857142857142855</v>
      </c>
      <c r="U265" s="5434">
        <v>0</v>
      </c>
    </row>
    <row r="266" spans="9:21">
      <c r="I266" s="7094"/>
      <c r="J266" s="7095"/>
      <c r="K266" s="5429" t="s">
        <v>81</v>
      </c>
      <c r="L266" s="5397">
        <v>26</v>
      </c>
      <c r="M266" s="5397">
        <v>26</v>
      </c>
      <c r="N266" s="5432">
        <v>24</v>
      </c>
      <c r="O266" s="5430">
        <f t="shared" si="6"/>
        <v>92.307692307692307</v>
      </c>
      <c r="P266" s="5433">
        <v>0.36363636363636365</v>
      </c>
      <c r="Q266" s="5433">
        <v>0.63636363636363635</v>
      </c>
      <c r="R266" s="5434">
        <v>0</v>
      </c>
      <c r="S266" s="5435">
        <v>0.375</v>
      </c>
      <c r="T266" s="5435">
        <v>0.375</v>
      </c>
      <c r="U266" s="5435">
        <v>0.25</v>
      </c>
    </row>
    <row r="267" spans="9:21">
      <c r="I267" s="7096" t="s">
        <v>25</v>
      </c>
      <c r="J267" s="7098" t="s">
        <v>2176</v>
      </c>
      <c r="K267" s="5429" t="s">
        <v>479</v>
      </c>
      <c r="L267" s="5397">
        <v>57</v>
      </c>
      <c r="M267" s="5397">
        <v>57</v>
      </c>
      <c r="N267" s="5432">
        <v>37</v>
      </c>
      <c r="O267" s="5430">
        <f t="shared" si="6"/>
        <v>64.912280701754383</v>
      </c>
      <c r="P267" s="5433">
        <v>0.8</v>
      </c>
      <c r="Q267" s="5433">
        <v>0.2</v>
      </c>
      <c r="R267" s="5434">
        <v>0</v>
      </c>
      <c r="S267" s="5435">
        <v>0.14285714285714288</v>
      </c>
      <c r="T267" s="5435">
        <v>0.35714285714285715</v>
      </c>
      <c r="U267" s="5435">
        <v>0.5</v>
      </c>
    </row>
    <row r="268" spans="9:21">
      <c r="I268" s="7097"/>
      <c r="J268" s="7099"/>
      <c r="K268" s="5429" t="s">
        <v>678</v>
      </c>
      <c r="L268" s="5397">
        <v>12</v>
      </c>
      <c r="M268" s="5397">
        <v>12</v>
      </c>
      <c r="N268" s="5432">
        <v>8</v>
      </c>
      <c r="O268" s="5430">
        <f t="shared" si="6"/>
        <v>66.666666666666671</v>
      </c>
      <c r="P268" s="5433">
        <v>0.8571428571428571</v>
      </c>
      <c r="Q268" s="5433">
        <v>0.14285714285714288</v>
      </c>
      <c r="R268" s="5434">
        <v>0</v>
      </c>
      <c r="S268" s="5435">
        <v>0.33333333333333337</v>
      </c>
      <c r="T268" s="5435">
        <v>0.16666666666666669</v>
      </c>
      <c r="U268" s="5435">
        <v>0.5</v>
      </c>
    </row>
    <row r="269" spans="9:21">
      <c r="I269" s="7097"/>
      <c r="J269" s="7099"/>
      <c r="K269" s="5429" t="s">
        <v>478</v>
      </c>
      <c r="L269" s="5397">
        <v>60</v>
      </c>
      <c r="M269" s="5397">
        <v>46</v>
      </c>
      <c r="N269" s="5432">
        <v>37</v>
      </c>
      <c r="O269" s="5430">
        <f t="shared" si="6"/>
        <v>80.434782608695656</v>
      </c>
      <c r="P269" s="5433">
        <v>0.63636363636363635</v>
      </c>
      <c r="Q269" s="5433">
        <v>0.36363636363636365</v>
      </c>
      <c r="R269" s="5435">
        <v>0.16666666666666669</v>
      </c>
      <c r="S269" s="5435">
        <v>0.1111111111111111</v>
      </c>
      <c r="T269" s="5435">
        <v>0.44444444444444442</v>
      </c>
      <c r="U269" s="5435">
        <v>0.27777777777777779</v>
      </c>
    </row>
    <row r="270" spans="9:21">
      <c r="I270" s="7097"/>
      <c r="J270" s="7099"/>
      <c r="K270" s="5429" t="s">
        <v>261</v>
      </c>
      <c r="L270" s="5397">
        <v>49</v>
      </c>
      <c r="M270" s="5397">
        <v>49</v>
      </c>
      <c r="N270" s="5432">
        <v>33</v>
      </c>
      <c r="O270" s="5430">
        <f t="shared" si="6"/>
        <v>67.34693877551021</v>
      </c>
      <c r="P270" s="5433">
        <v>0.5757575757575758</v>
      </c>
      <c r="Q270" s="5433">
        <v>0.4242424242424242</v>
      </c>
      <c r="R270" s="5434">
        <v>0</v>
      </c>
      <c r="S270" s="5435">
        <v>0.27777777777777779</v>
      </c>
      <c r="T270" s="5435">
        <v>0.22222222222222221</v>
      </c>
      <c r="U270" s="5435">
        <v>0.5</v>
      </c>
    </row>
    <row r="271" spans="9:21">
      <c r="I271" s="7097"/>
      <c r="J271" s="7099"/>
      <c r="K271" s="5429" t="s">
        <v>29</v>
      </c>
      <c r="L271" s="5397">
        <v>38</v>
      </c>
      <c r="M271" s="5397">
        <v>38</v>
      </c>
      <c r="N271" s="5432">
        <v>24</v>
      </c>
      <c r="O271" s="5430">
        <f t="shared" si="6"/>
        <v>63.157894736842103</v>
      </c>
      <c r="P271" s="5433">
        <v>0.43478260869565216</v>
      </c>
      <c r="Q271" s="5433">
        <v>0.56521739130434778</v>
      </c>
      <c r="R271" s="5435">
        <v>0.2</v>
      </c>
      <c r="S271" s="5434">
        <v>0</v>
      </c>
      <c r="T271" s="5435">
        <v>0.6</v>
      </c>
      <c r="U271" s="5435">
        <v>0.2</v>
      </c>
    </row>
    <row r="272" spans="9:21">
      <c r="I272" s="7097"/>
      <c r="J272" s="7099"/>
      <c r="K272" s="5429" t="s">
        <v>677</v>
      </c>
      <c r="L272" s="5397">
        <v>74</v>
      </c>
      <c r="M272" s="5397">
        <v>58</v>
      </c>
      <c r="N272" s="5432">
        <v>42</v>
      </c>
      <c r="O272" s="5430">
        <f t="shared" si="6"/>
        <v>72.41379310344827</v>
      </c>
      <c r="P272" s="5433">
        <v>0.80952380952380953</v>
      </c>
      <c r="Q272" s="5433">
        <v>0.19047619047619047</v>
      </c>
      <c r="R272" s="5435">
        <v>0.14705882352941177</v>
      </c>
      <c r="S272" s="5435">
        <v>0.23529411764705885</v>
      </c>
      <c r="T272" s="5435">
        <v>0.35294117647058826</v>
      </c>
      <c r="U272" s="5435">
        <v>0.26470588235294118</v>
      </c>
    </row>
    <row r="273" spans="9:21">
      <c r="I273" s="7097"/>
      <c r="J273" s="7099"/>
      <c r="K273" s="5429" t="s">
        <v>30</v>
      </c>
      <c r="L273" s="5397">
        <v>36</v>
      </c>
      <c r="M273" s="5397">
        <v>36</v>
      </c>
      <c r="N273" s="5432">
        <v>32</v>
      </c>
      <c r="O273" s="5430">
        <f t="shared" si="6"/>
        <v>88.888888888888886</v>
      </c>
      <c r="P273" s="5433">
        <v>0.6</v>
      </c>
      <c r="Q273" s="5433">
        <v>0.4</v>
      </c>
      <c r="R273" s="5435">
        <v>0.11764705882352942</v>
      </c>
      <c r="S273" s="5435">
        <v>0.23529411764705885</v>
      </c>
      <c r="T273" s="5435">
        <v>0.35294117647058826</v>
      </c>
      <c r="U273" s="5435">
        <v>0.29411764705882354</v>
      </c>
    </row>
    <row r="274" spans="9:21">
      <c r="I274" s="7097"/>
      <c r="J274" s="7099"/>
      <c r="K274" s="5429" t="s">
        <v>31</v>
      </c>
      <c r="L274" s="5397">
        <v>31</v>
      </c>
      <c r="M274" s="5397">
        <v>31</v>
      </c>
      <c r="N274" s="5432">
        <v>22</v>
      </c>
      <c r="O274" s="5430">
        <f t="shared" si="6"/>
        <v>70.967741935483872</v>
      </c>
      <c r="P274" s="5433">
        <v>0.19047619047619047</v>
      </c>
      <c r="Q274" s="5433">
        <v>0.80952380952380953</v>
      </c>
      <c r="R274" s="5434">
        <v>0</v>
      </c>
      <c r="S274" s="5435">
        <v>0.25</v>
      </c>
      <c r="T274" s="5435">
        <v>0.25</v>
      </c>
      <c r="U274" s="5435">
        <v>0.5</v>
      </c>
    </row>
    <row r="275" spans="9:21">
      <c r="I275" s="7097"/>
      <c r="J275" s="7061"/>
      <c r="K275" s="5429" t="s">
        <v>32</v>
      </c>
      <c r="L275" s="5397">
        <v>85</v>
      </c>
      <c r="M275" s="5397">
        <v>54</v>
      </c>
      <c r="N275" s="5432">
        <v>54</v>
      </c>
      <c r="O275" s="5430">
        <f t="shared" si="6"/>
        <v>100</v>
      </c>
      <c r="P275" s="5433">
        <v>0.79629629629629628</v>
      </c>
      <c r="Q275" s="5433">
        <v>0.20370370370370369</v>
      </c>
      <c r="R275" s="5435">
        <v>7.1428571428571438E-2</v>
      </c>
      <c r="S275" s="5435">
        <v>7.1428571428571438E-2</v>
      </c>
      <c r="T275" s="5435">
        <v>0.19047619047619047</v>
      </c>
      <c r="U275" s="5435">
        <v>0.66666666666666674</v>
      </c>
    </row>
    <row r="276" spans="9:21">
      <c r="I276" s="7097"/>
      <c r="J276" s="7095" t="s">
        <v>2171</v>
      </c>
      <c r="K276" s="5429" t="s">
        <v>17</v>
      </c>
      <c r="L276" s="5397">
        <v>256</v>
      </c>
      <c r="M276" s="5397">
        <v>103</v>
      </c>
      <c r="N276" s="5432">
        <v>99</v>
      </c>
      <c r="O276" s="5430">
        <f t="shared" si="6"/>
        <v>96.116504854368927</v>
      </c>
      <c r="P276" s="5433">
        <v>0.74736842105263168</v>
      </c>
      <c r="Q276" s="5433">
        <v>0.25263157894736843</v>
      </c>
      <c r="R276" s="5435">
        <v>2.8169014084507039E-2</v>
      </c>
      <c r="S276" s="5435">
        <v>8.4507042253521125E-2</v>
      </c>
      <c r="T276" s="5435">
        <v>0.45070422535211263</v>
      </c>
      <c r="U276" s="5435">
        <v>0.43661971830985913</v>
      </c>
    </row>
    <row r="277" spans="9:21">
      <c r="I277" s="7097"/>
      <c r="J277" s="7095"/>
      <c r="K277" s="5429" t="s">
        <v>33</v>
      </c>
      <c r="L277" s="5397">
        <v>79</v>
      </c>
      <c r="M277" s="5397">
        <v>32</v>
      </c>
      <c r="N277" s="5432">
        <v>32</v>
      </c>
      <c r="O277" s="5430">
        <f t="shared" si="6"/>
        <v>100</v>
      </c>
      <c r="P277" s="5433">
        <v>0.58064516129032251</v>
      </c>
      <c r="Q277" s="5433">
        <v>0.41935483870967744</v>
      </c>
      <c r="R277" s="5435">
        <v>0.1111111111111111</v>
      </c>
      <c r="S277" s="5435">
        <v>0.16666666666666669</v>
      </c>
      <c r="T277" s="5435">
        <v>0.5</v>
      </c>
      <c r="U277" s="5435">
        <v>0.22222222222222221</v>
      </c>
    </row>
    <row r="278" spans="9:21">
      <c r="I278" s="7097"/>
      <c r="J278" s="7095"/>
      <c r="K278" s="5429" t="s">
        <v>34</v>
      </c>
      <c r="L278" s="5397">
        <v>60</v>
      </c>
      <c r="M278" s="5397">
        <v>36</v>
      </c>
      <c r="N278" s="5432">
        <v>33</v>
      </c>
      <c r="O278" s="5430">
        <f t="shared" si="6"/>
        <v>91.666666666666671</v>
      </c>
      <c r="P278" s="5433">
        <v>0.72727272727272729</v>
      </c>
      <c r="Q278" s="5433">
        <v>0.27272727272727271</v>
      </c>
      <c r="R278" s="5435">
        <v>8.3333333333333343E-2</v>
      </c>
      <c r="S278" s="5435">
        <v>8.3333333333333343E-2</v>
      </c>
      <c r="T278" s="5435">
        <v>0.20833333333333331</v>
      </c>
      <c r="U278" s="5435">
        <v>0.625</v>
      </c>
    </row>
    <row r="279" spans="9:21">
      <c r="I279" s="7097"/>
      <c r="J279" s="7095"/>
      <c r="K279" s="5429" t="s">
        <v>35</v>
      </c>
      <c r="L279" s="5397">
        <v>67</v>
      </c>
      <c r="M279" s="5397">
        <v>43</v>
      </c>
      <c r="N279" s="5432">
        <v>30</v>
      </c>
      <c r="O279" s="5430">
        <f t="shared" si="6"/>
        <v>69.767441860465112</v>
      </c>
      <c r="P279" s="5433">
        <v>0.8</v>
      </c>
      <c r="Q279" s="5433">
        <v>0.2</v>
      </c>
      <c r="R279" s="5435">
        <v>0.20833333333333331</v>
      </c>
      <c r="S279" s="5435">
        <v>0.20833333333333331</v>
      </c>
      <c r="T279" s="5435">
        <v>0.33333333333333337</v>
      </c>
      <c r="U279" s="5435">
        <v>0.25</v>
      </c>
    </row>
    <row r="280" spans="9:21">
      <c r="I280" s="7097"/>
      <c r="J280" s="7095"/>
      <c r="K280" s="5429" t="s">
        <v>19</v>
      </c>
      <c r="L280" s="5397">
        <v>80</v>
      </c>
      <c r="M280" s="5397">
        <v>32</v>
      </c>
      <c r="N280" s="5432">
        <v>32</v>
      </c>
      <c r="O280" s="5430">
        <f t="shared" si="6"/>
        <v>100</v>
      </c>
      <c r="P280" s="5433">
        <v>0.70967741935483875</v>
      </c>
      <c r="Q280" s="5433">
        <v>0.29032258064516125</v>
      </c>
      <c r="R280" s="5435">
        <v>9.0909090909090912E-2</v>
      </c>
      <c r="S280" s="5435">
        <v>0.13636363636363635</v>
      </c>
      <c r="T280" s="5435">
        <v>0.59090909090909094</v>
      </c>
      <c r="U280" s="5435">
        <v>0.18181818181818182</v>
      </c>
    </row>
    <row r="281" spans="9:21">
      <c r="I281" s="7097"/>
      <c r="J281" s="7095"/>
      <c r="K281" s="5429" t="s">
        <v>20</v>
      </c>
      <c r="L281" s="5397">
        <v>70</v>
      </c>
      <c r="M281" s="5397">
        <v>44</v>
      </c>
      <c r="N281" s="5432">
        <v>28</v>
      </c>
      <c r="O281" s="5430">
        <f t="shared" si="6"/>
        <v>63.636363636363633</v>
      </c>
      <c r="P281" s="5433">
        <v>0.74074074074074081</v>
      </c>
      <c r="Q281" s="5433">
        <v>0.2592592592592593</v>
      </c>
      <c r="R281" s="5435">
        <v>0.2</v>
      </c>
      <c r="S281" s="5435">
        <v>0.25</v>
      </c>
      <c r="T281" s="5435">
        <v>0.35</v>
      </c>
      <c r="U281" s="5435">
        <v>0.2</v>
      </c>
    </row>
    <row r="282" spans="9:21">
      <c r="I282" s="7097"/>
      <c r="J282" s="7095"/>
      <c r="K282" s="5429" t="s">
        <v>36</v>
      </c>
      <c r="L282" s="5397">
        <v>72</v>
      </c>
      <c r="M282" s="5397">
        <v>32</v>
      </c>
      <c r="N282" s="5432">
        <v>32</v>
      </c>
      <c r="O282" s="5430">
        <f t="shared" si="6"/>
        <v>100</v>
      </c>
      <c r="P282" s="5433">
        <v>0.44827586206896552</v>
      </c>
      <c r="Q282" s="5433">
        <v>0.55172413793103448</v>
      </c>
      <c r="R282" s="5434">
        <v>0</v>
      </c>
      <c r="S282" s="5434">
        <v>0</v>
      </c>
      <c r="T282" s="5435">
        <v>0.38461538461538458</v>
      </c>
      <c r="U282" s="5435">
        <v>0.61538461538461542</v>
      </c>
    </row>
    <row r="283" spans="9:21">
      <c r="I283" s="7097"/>
      <c r="J283" s="7095"/>
      <c r="K283" s="5429" t="s">
        <v>480</v>
      </c>
      <c r="L283" s="5397">
        <v>38</v>
      </c>
      <c r="M283" s="5397">
        <v>38</v>
      </c>
      <c r="N283" s="5432">
        <v>18</v>
      </c>
      <c r="O283" s="5430">
        <f t="shared" si="6"/>
        <v>47.368421052631582</v>
      </c>
      <c r="P283" s="5433">
        <v>0.55555555555555558</v>
      </c>
      <c r="Q283" s="5433">
        <v>0.44444444444444442</v>
      </c>
      <c r="R283" s="5435">
        <v>0.3</v>
      </c>
      <c r="S283" s="5435">
        <v>0.1</v>
      </c>
      <c r="T283" s="5435">
        <v>0.3</v>
      </c>
      <c r="U283" s="5435">
        <v>0.3</v>
      </c>
    </row>
    <row r="284" spans="9:21">
      <c r="I284" s="7097"/>
      <c r="J284" s="7095"/>
      <c r="K284" s="5429" t="s">
        <v>38</v>
      </c>
      <c r="L284" s="5397">
        <v>105</v>
      </c>
      <c r="M284" s="5397">
        <v>51</v>
      </c>
      <c r="N284" s="5432">
        <v>51</v>
      </c>
      <c r="O284" s="5430">
        <f t="shared" si="6"/>
        <v>100</v>
      </c>
      <c r="P284" s="5433">
        <v>0.67346938775510212</v>
      </c>
      <c r="Q284" s="5433">
        <v>0.32653061224489799</v>
      </c>
      <c r="R284" s="5435">
        <v>0.12121212121212122</v>
      </c>
      <c r="S284" s="5435">
        <v>0.27272727272727271</v>
      </c>
      <c r="T284" s="5435">
        <v>0.30303030303030304</v>
      </c>
      <c r="U284" s="5435">
        <v>0.30303030303030304</v>
      </c>
    </row>
    <row r="285" spans="9:21">
      <c r="I285" s="7097"/>
      <c r="J285" s="7095"/>
      <c r="K285" s="5429" t="s">
        <v>39</v>
      </c>
      <c r="L285" s="5397">
        <v>286</v>
      </c>
      <c r="M285" s="5397">
        <v>120</v>
      </c>
      <c r="N285" s="5432">
        <v>120</v>
      </c>
      <c r="O285" s="5430">
        <f t="shared" si="6"/>
        <v>100</v>
      </c>
      <c r="P285" s="5433">
        <v>0.75652173913043486</v>
      </c>
      <c r="Q285" s="5433">
        <v>0.24347826086956523</v>
      </c>
      <c r="R285" s="5435">
        <v>0.14117647058823529</v>
      </c>
      <c r="S285" s="5435">
        <v>0.18823529411764706</v>
      </c>
      <c r="T285" s="5435">
        <v>0.41176470588235298</v>
      </c>
      <c r="U285" s="5435">
        <v>0.25882352941176473</v>
      </c>
    </row>
    <row r="286" spans="9:21">
      <c r="I286" s="7097"/>
      <c r="J286" s="7095"/>
      <c r="K286" s="5429" t="s">
        <v>40</v>
      </c>
      <c r="L286" s="5397">
        <v>18</v>
      </c>
      <c r="M286" s="5397">
        <v>18</v>
      </c>
      <c r="N286" s="5432">
        <v>8</v>
      </c>
      <c r="O286" s="5430">
        <f t="shared" si="6"/>
        <v>44.444444444444443</v>
      </c>
      <c r="P286" s="5433">
        <v>0.875</v>
      </c>
      <c r="Q286" s="5433">
        <v>0.125</v>
      </c>
      <c r="R286" s="5434">
        <v>0</v>
      </c>
      <c r="S286" s="5435">
        <v>0.28571428571428575</v>
      </c>
      <c r="T286" s="5435">
        <v>0.28571428571428575</v>
      </c>
      <c r="U286" s="5435">
        <v>0.42857142857142855</v>
      </c>
    </row>
    <row r="287" spans="9:21">
      <c r="I287" s="7097"/>
      <c r="J287" s="7095" t="s">
        <v>2173</v>
      </c>
      <c r="K287" s="5429" t="s">
        <v>42</v>
      </c>
      <c r="L287" s="5397">
        <v>182</v>
      </c>
      <c r="M287" s="5397">
        <v>92</v>
      </c>
      <c r="N287" s="5432">
        <v>88</v>
      </c>
      <c r="O287" s="5430">
        <f t="shared" si="6"/>
        <v>95.652173913043484</v>
      </c>
      <c r="P287" s="5433">
        <v>0.50588235294117645</v>
      </c>
      <c r="Q287" s="5433">
        <v>0.49411764705882355</v>
      </c>
      <c r="R287" s="5435">
        <v>0.11904761904761905</v>
      </c>
      <c r="S287" s="5435">
        <v>0.26190476190476192</v>
      </c>
      <c r="T287" s="5435">
        <v>0.28571428571428575</v>
      </c>
      <c r="U287" s="5435">
        <v>0.33333333333333337</v>
      </c>
    </row>
    <row r="288" spans="9:21">
      <c r="I288" s="7097"/>
      <c r="J288" s="7095"/>
      <c r="K288" s="5429" t="s">
        <v>43</v>
      </c>
      <c r="L288" s="5397">
        <v>105</v>
      </c>
      <c r="M288" s="5397">
        <v>55</v>
      </c>
      <c r="N288" s="5432">
        <v>55</v>
      </c>
      <c r="O288" s="5430">
        <f t="shared" si="6"/>
        <v>100</v>
      </c>
      <c r="P288" s="5433">
        <v>0.2592592592592593</v>
      </c>
      <c r="Q288" s="5433">
        <v>0.74074074074074081</v>
      </c>
      <c r="R288" s="5435">
        <v>0.21428571428571427</v>
      </c>
      <c r="S288" s="5435">
        <v>0.21428571428571427</v>
      </c>
      <c r="T288" s="5435">
        <v>0.28571428571428575</v>
      </c>
      <c r="U288" s="5435">
        <v>0.28571428571428575</v>
      </c>
    </row>
    <row r="289" spans="9:21">
      <c r="I289" s="7097"/>
      <c r="J289" s="7095"/>
      <c r="K289" s="5429" t="s">
        <v>44</v>
      </c>
      <c r="L289" s="5397">
        <v>78</v>
      </c>
      <c r="M289" s="5397">
        <v>40</v>
      </c>
      <c r="N289" s="5432">
        <v>40</v>
      </c>
      <c r="O289" s="5430">
        <f t="shared" si="6"/>
        <v>100</v>
      </c>
      <c r="P289" s="5433">
        <v>0.44736842105263158</v>
      </c>
      <c r="Q289" s="5433">
        <v>0.55263157894736847</v>
      </c>
      <c r="R289" s="5435">
        <v>5.8823529411764712E-2</v>
      </c>
      <c r="S289" s="5435">
        <v>0.35294117647058826</v>
      </c>
      <c r="T289" s="5435">
        <v>0.29411764705882354</v>
      </c>
      <c r="U289" s="5435">
        <v>0.29411764705882354</v>
      </c>
    </row>
    <row r="290" spans="9:21">
      <c r="I290" s="7097"/>
      <c r="J290" s="7095"/>
      <c r="K290" s="5429" t="s">
        <v>45</v>
      </c>
      <c r="L290" s="5397">
        <v>38</v>
      </c>
      <c r="M290" s="5397">
        <v>38</v>
      </c>
      <c r="N290" s="5432">
        <v>15</v>
      </c>
      <c r="O290" s="5430">
        <f t="shared" si="6"/>
        <v>39.473684210526315</v>
      </c>
      <c r="P290" s="5433">
        <v>0.8</v>
      </c>
      <c r="Q290" s="5433">
        <v>0.2</v>
      </c>
      <c r="R290" s="5435">
        <v>0.18181818181818182</v>
      </c>
      <c r="S290" s="5435">
        <v>0.27272727272727271</v>
      </c>
      <c r="T290" s="5435">
        <v>0.18181818181818182</v>
      </c>
      <c r="U290" s="5435">
        <v>0.36363636363636365</v>
      </c>
    </row>
    <row r="291" spans="9:21">
      <c r="I291" s="7097"/>
      <c r="J291" s="7095"/>
      <c r="K291" s="5429" t="s">
        <v>262</v>
      </c>
      <c r="L291" s="5397">
        <v>164</v>
      </c>
      <c r="M291" s="5397">
        <v>83</v>
      </c>
      <c r="N291" s="5432">
        <v>83</v>
      </c>
      <c r="O291" s="5430">
        <f t="shared" si="6"/>
        <v>100</v>
      </c>
      <c r="P291" s="5433">
        <v>0.68354430379746833</v>
      </c>
      <c r="Q291" s="5433">
        <v>0.31645569620253167</v>
      </c>
      <c r="R291" s="5435">
        <v>9.8039215686274522E-2</v>
      </c>
      <c r="S291" s="5435">
        <v>0.17647058823529413</v>
      </c>
      <c r="T291" s="5435">
        <v>0.41176470588235298</v>
      </c>
      <c r="U291" s="5435">
        <v>0.31372549019607843</v>
      </c>
    </row>
    <row r="292" spans="9:21">
      <c r="I292" s="7097"/>
      <c r="J292" s="7095"/>
      <c r="K292" s="5429" t="s">
        <v>263</v>
      </c>
      <c r="L292" s="5397">
        <v>169</v>
      </c>
      <c r="M292" s="5397">
        <v>88</v>
      </c>
      <c r="N292" s="5432">
        <v>88</v>
      </c>
      <c r="O292" s="5430">
        <f t="shared" si="6"/>
        <v>100</v>
      </c>
      <c r="P292" s="5433">
        <v>0.68965517241379315</v>
      </c>
      <c r="Q292" s="5433">
        <v>0.31034482758620691</v>
      </c>
      <c r="R292" s="5435">
        <v>0.13333333333333333</v>
      </c>
      <c r="S292" s="5435">
        <v>0.15</v>
      </c>
      <c r="T292" s="5435">
        <v>0.25</v>
      </c>
      <c r="U292" s="5435">
        <v>0.46666666666666662</v>
      </c>
    </row>
    <row r="293" spans="9:21">
      <c r="I293" s="7094" t="s">
        <v>48</v>
      </c>
      <c r="J293" s="7095" t="s">
        <v>2171</v>
      </c>
      <c r="K293" s="5429" t="s">
        <v>17</v>
      </c>
      <c r="L293" s="5397">
        <v>254</v>
      </c>
      <c r="M293" s="5397">
        <v>85</v>
      </c>
      <c r="N293" s="5432">
        <v>85</v>
      </c>
      <c r="O293" s="5430">
        <f t="shared" si="6"/>
        <v>100</v>
      </c>
      <c r="P293" s="5433">
        <v>0.86419753086419748</v>
      </c>
      <c r="Q293" s="5433">
        <v>0.13580246913580246</v>
      </c>
      <c r="R293" s="5435">
        <v>2.8571428571428571E-2</v>
      </c>
      <c r="S293" s="5435">
        <v>0.11428571428571428</v>
      </c>
      <c r="T293" s="5435">
        <v>0.52857142857142858</v>
      </c>
      <c r="U293" s="5435">
        <v>0.32857142857142851</v>
      </c>
    </row>
    <row r="294" spans="9:21">
      <c r="I294" s="7094"/>
      <c r="J294" s="7095"/>
      <c r="K294" s="5429" t="s">
        <v>49</v>
      </c>
      <c r="L294" s="5397">
        <v>352</v>
      </c>
      <c r="M294" s="5397">
        <v>123</v>
      </c>
      <c r="N294" s="5432">
        <v>123</v>
      </c>
      <c r="O294" s="5430">
        <f t="shared" si="6"/>
        <v>100</v>
      </c>
      <c r="P294" s="5433">
        <v>0.76470588235294112</v>
      </c>
      <c r="Q294" s="5433">
        <v>0.23529411764705885</v>
      </c>
      <c r="R294" s="5435">
        <v>6.6666666666666666E-2</v>
      </c>
      <c r="S294" s="5435">
        <v>8.8888888888888892E-2</v>
      </c>
      <c r="T294" s="5435">
        <v>0.28888888888888892</v>
      </c>
      <c r="U294" s="5435">
        <v>0.55555555555555558</v>
      </c>
    </row>
    <row r="295" spans="9:21">
      <c r="I295" s="7094"/>
      <c r="J295" s="7095"/>
      <c r="K295" s="5429" t="s">
        <v>19</v>
      </c>
      <c r="L295" s="5397">
        <v>176</v>
      </c>
      <c r="M295" s="5397">
        <v>58</v>
      </c>
      <c r="N295" s="5432">
        <v>58</v>
      </c>
      <c r="O295" s="5430">
        <f t="shared" si="6"/>
        <v>100</v>
      </c>
      <c r="P295" s="5433">
        <v>0.7068965517241379</v>
      </c>
      <c r="Q295" s="5433">
        <v>0.29310344827586204</v>
      </c>
      <c r="R295" s="5435">
        <v>4.878048780487805E-2</v>
      </c>
      <c r="S295" s="5435">
        <v>0.21951219512195125</v>
      </c>
      <c r="T295" s="5435">
        <v>0.51219512195121952</v>
      </c>
      <c r="U295" s="5435">
        <v>0.21951219512195125</v>
      </c>
    </row>
    <row r="296" spans="9:21">
      <c r="I296" s="7094"/>
      <c r="J296" s="7095"/>
      <c r="K296" s="5429" t="s">
        <v>50</v>
      </c>
      <c r="L296" s="5397">
        <v>565</v>
      </c>
      <c r="M296" s="5397">
        <v>194</v>
      </c>
      <c r="N296" s="5432">
        <v>194</v>
      </c>
      <c r="O296" s="5430">
        <f t="shared" si="6"/>
        <v>100</v>
      </c>
      <c r="P296" s="5433">
        <v>0.72282608695652173</v>
      </c>
      <c r="Q296" s="5433">
        <v>0.27717391304347827</v>
      </c>
      <c r="R296" s="5435">
        <v>9.7744360902255634E-2</v>
      </c>
      <c r="S296" s="5435">
        <v>0.21804511278195488</v>
      </c>
      <c r="T296" s="5435">
        <v>0.35338345864661652</v>
      </c>
      <c r="U296" s="5435">
        <v>0.33082706766917291</v>
      </c>
    </row>
    <row r="297" spans="9:21">
      <c r="I297" s="7094"/>
      <c r="J297" s="7095"/>
      <c r="K297" s="5429" t="s">
        <v>20</v>
      </c>
      <c r="L297" s="5397">
        <v>222</v>
      </c>
      <c r="M297" s="5397">
        <v>82</v>
      </c>
      <c r="N297" s="5432">
        <v>82</v>
      </c>
      <c r="O297" s="5430">
        <f t="shared" si="6"/>
        <v>100</v>
      </c>
      <c r="P297" s="5433">
        <v>0.59756097560975607</v>
      </c>
      <c r="Q297" s="5433">
        <v>0.40243902439024387</v>
      </c>
      <c r="R297" s="5435">
        <v>0.14583333333333334</v>
      </c>
      <c r="S297" s="5435">
        <v>0.16666666666666669</v>
      </c>
      <c r="T297" s="5435">
        <v>0.5</v>
      </c>
      <c r="U297" s="5435">
        <v>0.1875</v>
      </c>
    </row>
    <row r="298" spans="9:21">
      <c r="I298" s="7094"/>
      <c r="J298" s="7095"/>
      <c r="K298" s="5429" t="s">
        <v>51</v>
      </c>
      <c r="L298" s="5397">
        <v>91</v>
      </c>
      <c r="M298" s="5397">
        <v>31</v>
      </c>
      <c r="N298" s="5432">
        <v>31</v>
      </c>
      <c r="O298" s="5430">
        <f t="shared" si="6"/>
        <v>100</v>
      </c>
      <c r="P298" s="5433">
        <v>0.76666666666666672</v>
      </c>
      <c r="Q298" s="5433">
        <v>0.23333333333333331</v>
      </c>
      <c r="R298" s="5435">
        <v>8.6956521739130432E-2</v>
      </c>
      <c r="S298" s="5435">
        <v>0.13043478260869565</v>
      </c>
      <c r="T298" s="5435">
        <v>0.43478260869565216</v>
      </c>
      <c r="U298" s="5435">
        <v>0.34782608695652173</v>
      </c>
    </row>
    <row r="299" spans="9:21" ht="20.399999999999999" customHeight="1">
      <c r="I299" s="7094"/>
      <c r="J299" s="7095" t="s">
        <v>2173</v>
      </c>
      <c r="K299" s="5429" t="s">
        <v>42</v>
      </c>
      <c r="L299" s="5397">
        <v>281</v>
      </c>
      <c r="M299" s="5397">
        <v>107</v>
      </c>
      <c r="N299" s="5432">
        <v>107</v>
      </c>
      <c r="O299" s="5430">
        <f t="shared" si="6"/>
        <v>100</v>
      </c>
      <c r="P299" s="5433">
        <v>0.41176470588235298</v>
      </c>
      <c r="Q299" s="5433">
        <v>0.58823529411764708</v>
      </c>
      <c r="R299" s="5435">
        <v>7.3170731707317083E-2</v>
      </c>
      <c r="S299" s="5435">
        <v>9.7560975609756101E-2</v>
      </c>
      <c r="T299" s="5435">
        <v>0.3902439024390244</v>
      </c>
      <c r="U299" s="5435">
        <v>0.4390243902439025</v>
      </c>
    </row>
    <row r="300" spans="9:21">
      <c r="I300" s="7094"/>
      <c r="J300" s="7095"/>
      <c r="K300" s="5429" t="s">
        <v>52</v>
      </c>
      <c r="L300" s="5397">
        <v>241</v>
      </c>
      <c r="M300" s="5397">
        <v>79</v>
      </c>
      <c r="N300" s="5432">
        <v>79</v>
      </c>
      <c r="O300" s="5430">
        <f t="shared" si="6"/>
        <v>100</v>
      </c>
      <c r="P300" s="5433">
        <v>0.71232876712328763</v>
      </c>
      <c r="Q300" s="5433">
        <v>0.28767123287671231</v>
      </c>
      <c r="R300" s="5435">
        <v>0.02</v>
      </c>
      <c r="S300" s="5434">
        <v>0</v>
      </c>
      <c r="T300" s="5435">
        <v>0.2</v>
      </c>
      <c r="U300" s="5435">
        <v>0.78</v>
      </c>
    </row>
    <row r="301" spans="9:21">
      <c r="I301" s="7094"/>
      <c r="J301" s="7095"/>
      <c r="K301" s="5429" t="s">
        <v>53</v>
      </c>
      <c r="L301" s="5397">
        <v>307</v>
      </c>
      <c r="M301" s="5397">
        <v>90</v>
      </c>
      <c r="N301" s="5432">
        <v>90</v>
      </c>
      <c r="O301" s="5430">
        <f t="shared" si="6"/>
        <v>100</v>
      </c>
      <c r="P301" s="5433">
        <v>0.69047619047619047</v>
      </c>
      <c r="Q301" s="5433">
        <v>0.30952380952380953</v>
      </c>
      <c r="R301" s="5435">
        <v>7.1428571428571438E-2</v>
      </c>
      <c r="S301" s="5435">
        <v>7.1428571428571438E-2</v>
      </c>
      <c r="T301" s="5435">
        <v>0.17857142857142858</v>
      </c>
      <c r="U301" s="5435">
        <v>0.6785714285714286</v>
      </c>
    </row>
    <row r="302" spans="9:21">
      <c r="I302" s="7094"/>
      <c r="J302" s="7095"/>
      <c r="K302" s="5429" t="s">
        <v>54</v>
      </c>
      <c r="L302" s="5397">
        <v>380</v>
      </c>
      <c r="M302" s="5397">
        <v>106</v>
      </c>
      <c r="N302" s="5432">
        <v>106</v>
      </c>
      <c r="O302" s="5430">
        <f t="shared" si="6"/>
        <v>100</v>
      </c>
      <c r="P302" s="5433">
        <v>0.71698113207547165</v>
      </c>
      <c r="Q302" s="5433">
        <v>0.28301886792452829</v>
      </c>
      <c r="R302" s="5435">
        <v>2.6315789473684213E-2</v>
      </c>
      <c r="S302" s="5435">
        <v>6.5789473684210523E-2</v>
      </c>
      <c r="T302" s="5435">
        <v>0.3289473684210526</v>
      </c>
      <c r="U302" s="5435">
        <v>0.57894736842105265</v>
      </c>
    </row>
    <row r="303" spans="9:21">
      <c r="I303" s="7094"/>
      <c r="J303" s="7095"/>
      <c r="K303" s="5429" t="s">
        <v>55</v>
      </c>
      <c r="L303" s="5397">
        <v>334</v>
      </c>
      <c r="M303" s="5397">
        <v>102</v>
      </c>
      <c r="N303" s="5432">
        <v>102</v>
      </c>
      <c r="O303" s="5430">
        <f t="shared" si="6"/>
        <v>100</v>
      </c>
      <c r="P303" s="5433">
        <v>0.70707070707070718</v>
      </c>
      <c r="Q303" s="5433">
        <v>0.29292929292929293</v>
      </c>
      <c r="R303" s="5435">
        <v>7.3529411764705885E-2</v>
      </c>
      <c r="S303" s="5435">
        <v>7.3529411764705885E-2</v>
      </c>
      <c r="T303" s="5435">
        <v>0.19117647058823528</v>
      </c>
      <c r="U303" s="5435">
        <v>0.66176470588235292</v>
      </c>
    </row>
    <row r="304" spans="9:21">
      <c r="I304" s="7094"/>
      <c r="J304" s="7095"/>
      <c r="K304" s="5429" t="s">
        <v>56</v>
      </c>
      <c r="L304" s="5397">
        <v>230</v>
      </c>
      <c r="M304" s="5397">
        <v>73</v>
      </c>
      <c r="N304" s="5432">
        <v>73</v>
      </c>
      <c r="O304" s="5430">
        <f t="shared" ref="O304:O314" si="7">N304*100/M304</f>
        <v>100</v>
      </c>
      <c r="P304" s="5433">
        <v>0.66666666666666674</v>
      </c>
      <c r="Q304" s="5433">
        <v>0.33333333333333337</v>
      </c>
      <c r="R304" s="5435">
        <v>0.21739130434782608</v>
      </c>
      <c r="S304" s="5435">
        <v>0.13043478260869565</v>
      </c>
      <c r="T304" s="5435">
        <v>0.2608695652173913</v>
      </c>
      <c r="U304" s="5435">
        <v>0.39130434782608697</v>
      </c>
    </row>
    <row r="305" spans="9:21">
      <c r="I305" s="7094"/>
      <c r="J305" s="7095"/>
      <c r="K305" s="5429" t="s">
        <v>255</v>
      </c>
      <c r="L305" s="5397">
        <v>265</v>
      </c>
      <c r="M305" s="5397">
        <v>77</v>
      </c>
      <c r="N305" s="5432">
        <v>77</v>
      </c>
      <c r="O305" s="5430">
        <f t="shared" si="7"/>
        <v>100</v>
      </c>
      <c r="P305" s="5433">
        <v>0.6133333333333334</v>
      </c>
      <c r="Q305" s="5433">
        <v>0.38666666666666666</v>
      </c>
      <c r="R305" s="5435">
        <v>4.3478260869565216E-2</v>
      </c>
      <c r="S305" s="5435">
        <v>2.1739130434782608E-2</v>
      </c>
      <c r="T305" s="5435">
        <v>0.10869565217391304</v>
      </c>
      <c r="U305" s="5435">
        <v>0.82608695652173902</v>
      </c>
    </row>
    <row r="306" spans="9:21">
      <c r="I306" s="7094"/>
      <c r="J306" s="7095"/>
      <c r="K306" s="5429" t="s">
        <v>264</v>
      </c>
      <c r="L306" s="5397">
        <v>219</v>
      </c>
      <c r="M306" s="5397">
        <v>69</v>
      </c>
      <c r="N306" s="5432">
        <v>69</v>
      </c>
      <c r="O306" s="5430">
        <f t="shared" si="7"/>
        <v>100</v>
      </c>
      <c r="P306" s="5433">
        <v>0.68656716417910446</v>
      </c>
      <c r="Q306" s="5433">
        <v>0.31343283582089554</v>
      </c>
      <c r="R306" s="5435">
        <v>9.0909090909090912E-2</v>
      </c>
      <c r="S306" s="5435">
        <v>0.18181818181818182</v>
      </c>
      <c r="T306" s="5435">
        <v>0.20454545454545453</v>
      </c>
      <c r="U306" s="5435">
        <v>0.52272727272727271</v>
      </c>
    </row>
    <row r="307" spans="9:21">
      <c r="I307" s="7094"/>
      <c r="J307" s="7095" t="s">
        <v>2172</v>
      </c>
      <c r="K307" s="5429" t="s">
        <v>22</v>
      </c>
      <c r="L307" s="5397">
        <v>327</v>
      </c>
      <c r="M307" s="5397">
        <v>167</v>
      </c>
      <c r="N307" s="5432">
        <v>167</v>
      </c>
      <c r="O307" s="5430">
        <f t="shared" si="7"/>
        <v>100</v>
      </c>
      <c r="P307" s="5433">
        <v>0.82389937106918243</v>
      </c>
      <c r="Q307" s="5433">
        <v>0.1761006289308176</v>
      </c>
      <c r="R307" s="5434">
        <v>0</v>
      </c>
      <c r="S307" s="5435">
        <v>9.9236641221374045E-2</v>
      </c>
      <c r="T307" s="5435">
        <v>0.29007633587786258</v>
      </c>
      <c r="U307" s="5435">
        <v>0.61068702290076338</v>
      </c>
    </row>
    <row r="308" spans="9:21">
      <c r="I308" s="7094"/>
      <c r="J308" s="7095"/>
      <c r="K308" s="5429" t="s">
        <v>23</v>
      </c>
      <c r="L308" s="5397">
        <v>219</v>
      </c>
      <c r="M308" s="5397">
        <v>110</v>
      </c>
      <c r="N308" s="5432">
        <v>110</v>
      </c>
      <c r="O308" s="5430">
        <f t="shared" si="7"/>
        <v>100</v>
      </c>
      <c r="P308" s="5433">
        <v>0.7570093457943925</v>
      </c>
      <c r="Q308" s="5433">
        <v>0.24299065420560748</v>
      </c>
      <c r="R308" s="5435">
        <v>2.5000000000000001E-2</v>
      </c>
      <c r="S308" s="5435">
        <v>6.25E-2</v>
      </c>
      <c r="T308" s="5435">
        <v>0.28749999999999998</v>
      </c>
      <c r="U308" s="5435">
        <v>0.625</v>
      </c>
    </row>
    <row r="309" spans="9:21">
      <c r="I309" s="7094"/>
      <c r="J309" s="7095"/>
      <c r="K309" s="5429" t="s">
        <v>24</v>
      </c>
      <c r="L309" s="5397">
        <v>141</v>
      </c>
      <c r="M309" s="5397">
        <v>69</v>
      </c>
      <c r="N309" s="5432">
        <v>69</v>
      </c>
      <c r="O309" s="5430">
        <f t="shared" si="7"/>
        <v>100</v>
      </c>
      <c r="P309" s="5433">
        <v>0.8484848484848484</v>
      </c>
      <c r="Q309" s="5433">
        <v>0.15151515151515152</v>
      </c>
      <c r="R309" s="5435">
        <v>8.9285714285714288E-2</v>
      </c>
      <c r="S309" s="5435">
        <v>8.9285714285714288E-2</v>
      </c>
      <c r="T309" s="5435">
        <v>0.28571428571428575</v>
      </c>
      <c r="U309" s="5435">
        <v>0.5357142857142857</v>
      </c>
    </row>
    <row r="310" spans="9:21">
      <c r="I310" s="7094"/>
      <c r="J310" s="7095"/>
      <c r="K310" s="5429" t="s">
        <v>58</v>
      </c>
      <c r="L310" s="5397">
        <v>135</v>
      </c>
      <c r="M310" s="5397">
        <v>67</v>
      </c>
      <c r="N310" s="5432">
        <v>67</v>
      </c>
      <c r="O310" s="5430">
        <f t="shared" si="7"/>
        <v>100</v>
      </c>
      <c r="P310" s="5433">
        <v>0.640625</v>
      </c>
      <c r="Q310" s="5433">
        <v>0.359375</v>
      </c>
      <c r="R310" s="5435">
        <v>0.21951219512195125</v>
      </c>
      <c r="S310" s="5435">
        <v>9.7560975609756101E-2</v>
      </c>
      <c r="T310" s="5435">
        <v>0.3902439024390244</v>
      </c>
      <c r="U310" s="5435">
        <v>0.29268292682926833</v>
      </c>
    </row>
    <row r="311" spans="9:21" ht="24">
      <c r="I311" s="7094" t="s">
        <v>240</v>
      </c>
      <c r="J311" s="5381" t="s">
        <v>2176</v>
      </c>
      <c r="K311" s="5436" t="s">
        <v>2054</v>
      </c>
      <c r="L311" s="5397">
        <v>5</v>
      </c>
      <c r="M311" s="5397">
        <v>5</v>
      </c>
      <c r="N311" s="5397">
        <v>5</v>
      </c>
      <c r="O311" s="5430">
        <f t="shared" si="7"/>
        <v>100</v>
      </c>
      <c r="P311" s="5433">
        <v>0.6</v>
      </c>
      <c r="Q311" s="5433">
        <v>0.4</v>
      </c>
      <c r="R311" s="5434">
        <v>0</v>
      </c>
      <c r="S311" s="5434">
        <v>0</v>
      </c>
      <c r="T311" s="5435">
        <v>0.66666666666666674</v>
      </c>
      <c r="U311" s="5435">
        <v>0.33333333333333337</v>
      </c>
    </row>
    <row r="312" spans="9:21" ht="36">
      <c r="I312" s="7094"/>
      <c r="J312" s="5437" t="s">
        <v>2171</v>
      </c>
      <c r="K312" s="5436" t="s">
        <v>679</v>
      </c>
      <c r="L312" s="5397">
        <v>11</v>
      </c>
      <c r="M312" s="5397">
        <v>11</v>
      </c>
      <c r="N312" s="5397">
        <v>11</v>
      </c>
      <c r="O312" s="5430">
        <f t="shared" si="7"/>
        <v>100</v>
      </c>
      <c r="P312" s="5433">
        <v>0.63636363636363635</v>
      </c>
      <c r="Q312" s="5433">
        <v>0.36363636363636365</v>
      </c>
      <c r="R312" s="5435">
        <v>0.14285714285714288</v>
      </c>
      <c r="S312" s="5435">
        <v>0.57142857142857151</v>
      </c>
      <c r="T312" s="5435">
        <v>0.14285714285714288</v>
      </c>
      <c r="U312" s="5435">
        <v>0.14285714285714288</v>
      </c>
    </row>
    <row r="313" spans="9:21" ht="36">
      <c r="I313" s="7094"/>
      <c r="J313" s="5437" t="s">
        <v>2173</v>
      </c>
      <c r="K313" s="5436" t="s">
        <v>680</v>
      </c>
      <c r="L313" s="5397">
        <v>14</v>
      </c>
      <c r="M313" s="5397">
        <v>14</v>
      </c>
      <c r="N313" s="5397">
        <v>14</v>
      </c>
      <c r="O313" s="5430">
        <f t="shared" si="7"/>
        <v>100</v>
      </c>
      <c r="P313" s="5433">
        <v>0.69230769230769229</v>
      </c>
      <c r="Q313" s="5433">
        <v>0.30769230769230771</v>
      </c>
      <c r="R313" s="5435">
        <v>0.22222222222222221</v>
      </c>
      <c r="S313" s="5435">
        <v>0.44444444444444442</v>
      </c>
      <c r="T313" s="5435">
        <v>0.22222222222222221</v>
      </c>
      <c r="U313" s="5435">
        <v>0.1111111111111111</v>
      </c>
    </row>
    <row r="314" spans="9:21">
      <c r="I314" s="7126" t="s">
        <v>15</v>
      </c>
      <c r="J314" s="7126"/>
      <c r="K314" s="7126"/>
      <c r="L314" s="5385">
        <v>10165</v>
      </c>
      <c r="M314" s="5393">
        <v>4397</v>
      </c>
      <c r="N314" s="5398">
        <v>4383</v>
      </c>
      <c r="O314" s="5438">
        <f t="shared" si="7"/>
        <v>99.681601091653405</v>
      </c>
      <c r="P314" s="5439">
        <v>0.71729358883368821</v>
      </c>
      <c r="Q314" s="5440">
        <v>0.28270641116631179</v>
      </c>
      <c r="R314" s="5441">
        <v>7.0999999999999994E-2</v>
      </c>
      <c r="S314" s="5441">
        <v>0.13200000000000001</v>
      </c>
      <c r="T314" s="5441">
        <v>0.33</v>
      </c>
      <c r="U314" s="5441">
        <v>0.46600000000000003</v>
      </c>
    </row>
    <row r="315" spans="9:21">
      <c r="I315" s="5442"/>
      <c r="J315" s="124"/>
      <c r="L315" s="5427"/>
      <c r="M315" s="5427"/>
      <c r="N315" s="5427"/>
      <c r="O315" s="5427"/>
      <c r="P315" s="5427"/>
      <c r="Q315" s="124"/>
      <c r="R315" s="124"/>
      <c r="S315" s="124"/>
      <c r="T315" s="124"/>
      <c r="U315" s="124"/>
    </row>
    <row r="316" spans="9:21">
      <c r="I316" s="5442"/>
      <c r="J316" s="124"/>
      <c r="L316" s="5427"/>
      <c r="M316" s="5427"/>
      <c r="N316" s="5427"/>
      <c r="O316" s="5427"/>
      <c r="P316" s="5427"/>
      <c r="Q316" s="124"/>
      <c r="R316" s="124"/>
      <c r="S316" s="124"/>
      <c r="T316" s="124"/>
      <c r="U316" s="124"/>
    </row>
    <row r="317" spans="9:21" ht="18">
      <c r="I317" s="124"/>
      <c r="J317" s="124"/>
      <c r="K317" s="5356">
        <v>2018</v>
      </c>
      <c r="L317" s="124"/>
      <c r="M317" s="5355"/>
      <c r="N317" s="5355"/>
      <c r="O317" s="5355"/>
      <c r="P317" s="124"/>
      <c r="Q317" s="124"/>
      <c r="R317" s="124"/>
      <c r="S317" s="124"/>
      <c r="T317" s="124"/>
      <c r="U317" s="124"/>
    </row>
    <row r="318" spans="9:21">
      <c r="I318" s="7063" t="s">
        <v>2342</v>
      </c>
      <c r="J318" s="7063"/>
      <c r="K318" s="7063"/>
      <c r="L318" s="7063"/>
      <c r="M318" s="7063"/>
      <c r="N318" s="7118"/>
      <c r="O318" s="7118"/>
      <c r="P318" s="7118"/>
      <c r="Q318" s="7118"/>
      <c r="R318" s="7118"/>
      <c r="S318" s="124"/>
      <c r="T318" s="124"/>
      <c r="U318" s="124"/>
    </row>
    <row r="319" spans="9:21">
      <c r="I319" s="7063"/>
      <c r="J319" s="7063"/>
      <c r="K319" s="7063"/>
      <c r="L319" s="7063"/>
      <c r="M319" s="7063"/>
      <c r="N319" s="7118"/>
      <c r="O319" s="7118"/>
      <c r="P319" s="7118"/>
      <c r="Q319" s="7118"/>
      <c r="R319" s="7118"/>
      <c r="S319" s="124"/>
      <c r="T319" s="124"/>
      <c r="U319" s="124"/>
    </row>
    <row r="320" spans="9:21">
      <c r="J320" s="5399"/>
      <c r="K320" s="1094"/>
      <c r="L320" s="1094"/>
      <c r="M320" s="1094"/>
      <c r="N320" s="1094"/>
      <c r="O320" s="1094"/>
      <c r="P320" s="1094"/>
      <c r="Q320" s="124"/>
      <c r="R320" s="124"/>
      <c r="S320" s="124"/>
      <c r="T320" s="124"/>
      <c r="U320" s="124"/>
    </row>
    <row r="321" spans="9:21" ht="24">
      <c r="I321" s="5399" t="s">
        <v>2343</v>
      </c>
      <c r="J321" s="1094"/>
      <c r="K321" s="1094"/>
      <c r="L321" s="1094"/>
      <c r="M321" s="1094"/>
      <c r="N321" s="1094"/>
      <c r="O321" s="1094"/>
      <c r="P321" s="1094"/>
      <c r="Q321" s="124"/>
      <c r="R321" s="124"/>
      <c r="S321" s="124"/>
      <c r="T321" s="124"/>
      <c r="U321" s="124"/>
    </row>
    <row r="322" spans="9:21">
      <c r="I322" s="5400" t="s">
        <v>2344</v>
      </c>
      <c r="J322" s="5401">
        <v>2016</v>
      </c>
      <c r="K322" s="5401">
        <v>2012</v>
      </c>
      <c r="L322" s="5402" t="s">
        <v>15</v>
      </c>
      <c r="M322" s="5403"/>
      <c r="N322" s="5404"/>
      <c r="O322" s="124"/>
      <c r="P322" s="1094"/>
      <c r="Q322" s="124"/>
      <c r="R322" s="124"/>
      <c r="S322" s="124"/>
      <c r="T322" s="124"/>
      <c r="U322" s="124"/>
    </row>
    <row r="323" spans="9:21">
      <c r="I323" s="5405" t="s">
        <v>1898</v>
      </c>
      <c r="J323" s="5406">
        <v>1860</v>
      </c>
      <c r="K323" s="5406">
        <v>2018</v>
      </c>
      <c r="L323" s="5407">
        <v>3878</v>
      </c>
      <c r="M323" s="5408"/>
      <c r="N323" s="5409"/>
      <c r="O323" s="124"/>
      <c r="P323" s="1094"/>
      <c r="Q323" s="124"/>
      <c r="R323" s="124"/>
      <c r="S323" s="124"/>
      <c r="T323" s="124"/>
      <c r="U323" s="124"/>
    </row>
    <row r="324" spans="9:21">
      <c r="I324" s="1094"/>
      <c r="J324" s="1094"/>
      <c r="K324" s="1094"/>
      <c r="L324" s="1094"/>
      <c r="M324" s="1094"/>
      <c r="N324" s="1094"/>
      <c r="O324" s="1094"/>
      <c r="P324" s="1094"/>
      <c r="Q324" s="124"/>
      <c r="R324" s="124"/>
      <c r="S324" s="124"/>
      <c r="T324" s="124"/>
      <c r="U324" s="124"/>
    </row>
    <row r="325" spans="9:21">
      <c r="I325" s="5362" t="s">
        <v>2345</v>
      </c>
      <c r="J325" s="1094"/>
      <c r="K325" s="1094"/>
      <c r="L325" s="1094"/>
      <c r="M325" s="1094"/>
      <c r="N325" s="1094"/>
      <c r="O325" s="1094"/>
      <c r="P325" s="1094"/>
      <c r="Q325" s="124"/>
      <c r="R325" s="124"/>
      <c r="S325" s="124"/>
      <c r="T325" s="124"/>
      <c r="U325" s="124"/>
    </row>
    <row r="326" spans="9:21">
      <c r="I326" s="124"/>
      <c r="J326" s="124"/>
      <c r="K326" s="124"/>
      <c r="L326" s="124"/>
      <c r="M326" s="124"/>
      <c r="N326" s="124"/>
      <c r="O326" s="124"/>
      <c r="P326" s="7119" t="s">
        <v>2167</v>
      </c>
      <c r="Q326" s="7119"/>
      <c r="R326" s="7119" t="s">
        <v>2168</v>
      </c>
      <c r="S326" s="7119"/>
      <c r="T326" s="7119"/>
      <c r="U326" s="7119"/>
    </row>
    <row r="327" spans="9:21" ht="24">
      <c r="I327" s="5443" t="s">
        <v>0</v>
      </c>
      <c r="J327" s="5444" t="s">
        <v>1</v>
      </c>
      <c r="K327" s="5445" t="s">
        <v>2346</v>
      </c>
      <c r="L327" s="5446" t="s">
        <v>1893</v>
      </c>
      <c r="M327" s="5410" t="s">
        <v>1894</v>
      </c>
      <c r="N327" s="5410" t="s">
        <v>1898</v>
      </c>
      <c r="O327" s="5400" t="s">
        <v>2169</v>
      </c>
      <c r="P327" s="5410" t="s">
        <v>907</v>
      </c>
      <c r="Q327" s="5410" t="s">
        <v>908</v>
      </c>
      <c r="R327" s="5411" t="s">
        <v>1424</v>
      </c>
      <c r="S327" s="5411" t="s">
        <v>1425</v>
      </c>
      <c r="T327" s="5412" t="s">
        <v>1426</v>
      </c>
      <c r="U327" s="5411" t="s">
        <v>1427</v>
      </c>
    </row>
    <row r="328" spans="9:21">
      <c r="I328" s="7092" t="s">
        <v>3</v>
      </c>
      <c r="J328" s="7115" t="s">
        <v>2176</v>
      </c>
      <c r="K328" s="5447" t="s">
        <v>474</v>
      </c>
      <c r="L328" s="2688">
        <v>122</v>
      </c>
      <c r="M328" s="2688">
        <v>51</v>
      </c>
      <c r="N328" s="5413">
        <v>58</v>
      </c>
      <c r="O328" s="5448">
        <v>100</v>
      </c>
      <c r="P328" s="5414">
        <v>0.65384615384615385</v>
      </c>
      <c r="Q328" s="5414">
        <v>0.34615384615384615</v>
      </c>
      <c r="R328" s="5449">
        <v>6.0606060606060608E-2</v>
      </c>
      <c r="S328" s="5449">
        <v>0.2121212121212121</v>
      </c>
      <c r="T328" s="5449">
        <v>0.45454545454545453</v>
      </c>
      <c r="U328" s="5449">
        <v>0.27272727272727271</v>
      </c>
    </row>
    <row r="329" spans="9:21">
      <c r="I329" s="7092"/>
      <c r="J329" s="7115"/>
      <c r="K329" s="5450" t="s">
        <v>475</v>
      </c>
      <c r="L329" s="2697">
        <v>103</v>
      </c>
      <c r="M329" s="2697">
        <v>53</v>
      </c>
      <c r="N329" s="5415">
        <v>38</v>
      </c>
      <c r="O329" s="5451">
        <f t="shared" ref="O329:O382" si="8">N329*100/M329</f>
        <v>71.698113207547166</v>
      </c>
      <c r="P329" s="5416">
        <v>0.875</v>
      </c>
      <c r="Q329" s="5416">
        <v>0.125</v>
      </c>
      <c r="R329" s="5452">
        <v>0</v>
      </c>
      <c r="S329" s="5452">
        <v>8.5714285714285715E-2</v>
      </c>
      <c r="T329" s="5452">
        <v>0.31428571428571428</v>
      </c>
      <c r="U329" s="5452">
        <v>0.6</v>
      </c>
    </row>
    <row r="330" spans="9:21">
      <c r="I330" s="7092"/>
      <c r="J330" s="7115"/>
      <c r="K330" s="5450" t="s">
        <v>673</v>
      </c>
      <c r="L330" s="2697">
        <v>47</v>
      </c>
      <c r="M330" s="2697">
        <v>24</v>
      </c>
      <c r="N330" s="5415">
        <v>14</v>
      </c>
      <c r="O330" s="5451">
        <f t="shared" si="8"/>
        <v>58.333333333333336</v>
      </c>
      <c r="P330" s="5416">
        <v>0.9285714285714286</v>
      </c>
      <c r="Q330" s="5416">
        <v>7.1428571428571438E-2</v>
      </c>
      <c r="R330" s="5452">
        <v>7.6923076923076927E-2</v>
      </c>
      <c r="S330" s="5452">
        <v>0</v>
      </c>
      <c r="T330" s="5452">
        <v>0.46153846153846151</v>
      </c>
      <c r="U330" s="5452">
        <v>0.46153846153846151</v>
      </c>
    </row>
    <row r="331" spans="9:21">
      <c r="I331" s="7092"/>
      <c r="J331" s="7115"/>
      <c r="K331" s="5450" t="s">
        <v>477</v>
      </c>
      <c r="L331" s="2697">
        <v>36</v>
      </c>
      <c r="M331" s="2697">
        <v>36</v>
      </c>
      <c r="N331" s="5415">
        <v>19</v>
      </c>
      <c r="O331" s="5451">
        <f t="shared" si="8"/>
        <v>52.777777777777779</v>
      </c>
      <c r="P331" s="5416">
        <v>0.4210526315789474</v>
      </c>
      <c r="Q331" s="5416">
        <v>0.57894736842105265</v>
      </c>
      <c r="R331" s="5452">
        <v>0</v>
      </c>
      <c r="S331" s="5452">
        <v>0</v>
      </c>
      <c r="T331" s="5452">
        <v>0.375</v>
      </c>
      <c r="U331" s="5452">
        <v>0.625</v>
      </c>
    </row>
    <row r="332" spans="9:21">
      <c r="I332" s="7092"/>
      <c r="J332" s="7115"/>
      <c r="K332" s="5450" t="s">
        <v>674</v>
      </c>
      <c r="L332" s="2697">
        <v>183</v>
      </c>
      <c r="M332" s="2697">
        <v>78</v>
      </c>
      <c r="N332" s="5415">
        <v>70</v>
      </c>
      <c r="O332" s="5451">
        <f t="shared" si="8"/>
        <v>89.743589743589737</v>
      </c>
      <c r="P332" s="5416">
        <v>0.89705882352941169</v>
      </c>
      <c r="Q332" s="5416">
        <v>0.10294117647058824</v>
      </c>
      <c r="R332" s="5452">
        <v>3.2786885245901641E-2</v>
      </c>
      <c r="S332" s="5452">
        <v>8.1967213114754092E-2</v>
      </c>
      <c r="T332" s="5452">
        <v>0.4098360655737705</v>
      </c>
      <c r="U332" s="5452">
        <v>0.47540983606557374</v>
      </c>
    </row>
    <row r="333" spans="9:21">
      <c r="I333" s="7092"/>
      <c r="J333" s="7115"/>
      <c r="K333" s="5450" t="s">
        <v>675</v>
      </c>
      <c r="L333" s="2697">
        <v>107</v>
      </c>
      <c r="M333" s="2697">
        <v>45</v>
      </c>
      <c r="N333" s="5415">
        <v>40</v>
      </c>
      <c r="O333" s="5451">
        <f t="shared" si="8"/>
        <v>88.888888888888886</v>
      </c>
      <c r="P333" s="5416">
        <v>0.79487179487179493</v>
      </c>
      <c r="Q333" s="5416">
        <v>0.20512820512820515</v>
      </c>
      <c r="R333" s="5452">
        <v>0</v>
      </c>
      <c r="S333" s="5452">
        <v>0.12903225806451613</v>
      </c>
      <c r="T333" s="5452">
        <v>0.32258064516129031</v>
      </c>
      <c r="U333" s="5452">
        <v>0.54838709677419351</v>
      </c>
    </row>
    <row r="334" spans="9:21">
      <c r="I334" s="7092"/>
      <c r="J334" s="7115"/>
      <c r="K334" s="5450" t="s">
        <v>676</v>
      </c>
      <c r="L334" s="2697">
        <v>21</v>
      </c>
      <c r="M334" s="2697">
        <v>21</v>
      </c>
      <c r="N334" s="5415">
        <v>6</v>
      </c>
      <c r="O334" s="5451">
        <f t="shared" si="8"/>
        <v>28.571428571428573</v>
      </c>
      <c r="P334" s="5416">
        <v>1</v>
      </c>
      <c r="Q334" s="5416">
        <v>0</v>
      </c>
      <c r="R334" s="5452">
        <v>0</v>
      </c>
      <c r="S334" s="5452">
        <v>0</v>
      </c>
      <c r="T334" s="5452">
        <v>0.66666666666666674</v>
      </c>
      <c r="U334" s="5452">
        <v>0.33333333333333337</v>
      </c>
    </row>
    <row r="335" spans="9:21">
      <c r="I335" s="7092"/>
      <c r="J335" s="7115"/>
      <c r="K335" s="5450" t="s">
        <v>478</v>
      </c>
      <c r="L335" s="2697">
        <v>103</v>
      </c>
      <c r="M335" s="2697">
        <v>44</v>
      </c>
      <c r="N335" s="5415">
        <v>44</v>
      </c>
      <c r="O335" s="5451">
        <f t="shared" si="8"/>
        <v>100</v>
      </c>
      <c r="P335" s="5416">
        <v>0.625</v>
      </c>
      <c r="Q335" s="5416">
        <v>0.375</v>
      </c>
      <c r="R335" s="5452">
        <v>0.04</v>
      </c>
      <c r="S335" s="5452">
        <v>0.08</v>
      </c>
      <c r="T335" s="5452">
        <v>0.44</v>
      </c>
      <c r="U335" s="5452">
        <v>0.44</v>
      </c>
    </row>
    <row r="336" spans="9:21">
      <c r="I336" s="7092"/>
      <c r="J336" s="7115"/>
      <c r="K336" s="5450" t="s">
        <v>677</v>
      </c>
      <c r="L336" s="2697">
        <v>136</v>
      </c>
      <c r="M336" s="2697">
        <v>60</v>
      </c>
      <c r="N336" s="5415">
        <v>53</v>
      </c>
      <c r="O336" s="5451">
        <f t="shared" si="8"/>
        <v>88.333333333333329</v>
      </c>
      <c r="P336" s="5416">
        <v>0.84615384615384615</v>
      </c>
      <c r="Q336" s="5416">
        <v>0.15384615384615385</v>
      </c>
      <c r="R336" s="5452">
        <v>2.3255813953488372E-2</v>
      </c>
      <c r="S336" s="5452">
        <v>0.20930232558139536</v>
      </c>
      <c r="T336" s="5452">
        <v>0.51162790697674421</v>
      </c>
      <c r="U336" s="5452">
        <v>0.2558139534883721</v>
      </c>
    </row>
    <row r="337" spans="9:21">
      <c r="I337" s="7092"/>
      <c r="J337" s="7115"/>
      <c r="K337" s="5453" t="s">
        <v>476</v>
      </c>
      <c r="L337" s="2764">
        <v>158</v>
      </c>
      <c r="M337" s="2764">
        <v>67</v>
      </c>
      <c r="N337" s="5417">
        <v>57</v>
      </c>
      <c r="O337" s="5454">
        <f t="shared" si="8"/>
        <v>85.074626865671647</v>
      </c>
      <c r="P337" s="5455">
        <v>0.92727272727272736</v>
      </c>
      <c r="Q337" s="5455">
        <v>7.2727272727272724E-2</v>
      </c>
      <c r="R337" s="5456">
        <v>0</v>
      </c>
      <c r="S337" s="5456">
        <v>0.08</v>
      </c>
      <c r="T337" s="5456">
        <v>0.18</v>
      </c>
      <c r="U337" s="5456">
        <v>0.74</v>
      </c>
    </row>
    <row r="338" spans="9:21">
      <c r="I338" s="7092"/>
      <c r="J338" s="7115" t="s">
        <v>2171</v>
      </c>
      <c r="K338" s="5457" t="s">
        <v>17</v>
      </c>
      <c r="L338" s="5458">
        <v>353</v>
      </c>
      <c r="M338" s="5458">
        <v>141</v>
      </c>
      <c r="N338" s="5459">
        <v>144</v>
      </c>
      <c r="O338" s="5460">
        <v>100</v>
      </c>
      <c r="P338" s="5461">
        <v>0.84671532846715325</v>
      </c>
      <c r="Q338" s="5461">
        <v>0.15328467153284672</v>
      </c>
      <c r="R338" s="5461">
        <v>2.7027027027027025E-2</v>
      </c>
      <c r="S338" s="5461">
        <v>0.11711711711711711</v>
      </c>
      <c r="T338" s="5461">
        <v>0.52252252252252251</v>
      </c>
      <c r="U338" s="5461">
        <v>0.33333333333333337</v>
      </c>
    </row>
    <row r="339" spans="9:21">
      <c r="I339" s="7092"/>
      <c r="J339" s="7115"/>
      <c r="K339" s="5450" t="s">
        <v>18</v>
      </c>
      <c r="L339" s="2697">
        <v>529</v>
      </c>
      <c r="M339" s="2697">
        <v>209</v>
      </c>
      <c r="N339" s="5415">
        <v>201</v>
      </c>
      <c r="O339" s="5451">
        <f t="shared" si="8"/>
        <v>96.172248803827756</v>
      </c>
      <c r="P339" s="5452">
        <v>0.71505376344086014</v>
      </c>
      <c r="Q339" s="5452">
        <v>0.28494623655913981</v>
      </c>
      <c r="R339" s="5452">
        <v>6.0606060606060608E-2</v>
      </c>
      <c r="S339" s="5452">
        <v>0.10606060606060605</v>
      </c>
      <c r="T339" s="5452">
        <v>0.18939393939393936</v>
      </c>
      <c r="U339" s="5452">
        <v>0.64393939393939392</v>
      </c>
    </row>
    <row r="340" spans="9:21">
      <c r="I340" s="7092"/>
      <c r="J340" s="7115"/>
      <c r="K340" s="5450" t="s">
        <v>19</v>
      </c>
      <c r="L340" s="2697">
        <v>142</v>
      </c>
      <c r="M340" s="2697">
        <v>56</v>
      </c>
      <c r="N340" s="5415">
        <v>54</v>
      </c>
      <c r="O340" s="5451">
        <f t="shared" si="8"/>
        <v>96.428571428571431</v>
      </c>
      <c r="P340" s="5452">
        <v>0.80769230769230771</v>
      </c>
      <c r="Q340" s="5452">
        <v>0.19230769230769229</v>
      </c>
      <c r="R340" s="5452">
        <v>0.21428571428571427</v>
      </c>
      <c r="S340" s="5452">
        <v>0.16666666666666669</v>
      </c>
      <c r="T340" s="5452">
        <v>0.30952380952380953</v>
      </c>
      <c r="U340" s="5452">
        <v>0.30952380952380953</v>
      </c>
    </row>
    <row r="341" spans="9:21">
      <c r="I341" s="7092"/>
      <c r="J341" s="7115"/>
      <c r="K341" s="5453" t="s">
        <v>20</v>
      </c>
      <c r="L341" s="2764">
        <v>147</v>
      </c>
      <c r="M341" s="2764">
        <v>59</v>
      </c>
      <c r="N341" s="5417">
        <v>61</v>
      </c>
      <c r="O341" s="5454">
        <v>100</v>
      </c>
      <c r="P341" s="5456">
        <v>0.6271186440677966</v>
      </c>
      <c r="Q341" s="5456">
        <v>0.3728813559322034</v>
      </c>
      <c r="R341" s="5456">
        <v>0.1081081081081081</v>
      </c>
      <c r="S341" s="5456">
        <v>0.24324324324324323</v>
      </c>
      <c r="T341" s="5456">
        <v>0.48648648648648646</v>
      </c>
      <c r="U341" s="5456">
        <v>0.16216216216216217</v>
      </c>
    </row>
    <row r="342" spans="9:21">
      <c r="I342" s="7092"/>
      <c r="J342" s="7115" t="s">
        <v>2172</v>
      </c>
      <c r="K342" s="5457" t="s">
        <v>22</v>
      </c>
      <c r="L342" s="5458">
        <v>203</v>
      </c>
      <c r="M342" s="5458">
        <v>112</v>
      </c>
      <c r="N342" s="5459">
        <v>80</v>
      </c>
      <c r="O342" s="5460">
        <f t="shared" si="8"/>
        <v>71.428571428571431</v>
      </c>
      <c r="P342" s="5461">
        <v>0.88461538461538469</v>
      </c>
      <c r="Q342" s="5461">
        <v>0.11538461538461538</v>
      </c>
      <c r="R342" s="5461">
        <v>4.3478260869565216E-2</v>
      </c>
      <c r="S342" s="5461">
        <v>2.8985507246376812E-2</v>
      </c>
      <c r="T342" s="5461">
        <v>0.24637681159420288</v>
      </c>
      <c r="U342" s="5461">
        <v>0.68115942028985499</v>
      </c>
    </row>
    <row r="343" spans="9:21">
      <c r="I343" s="7092"/>
      <c r="J343" s="7115"/>
      <c r="K343" s="5450" t="s">
        <v>1906</v>
      </c>
      <c r="L343" s="2697">
        <v>246</v>
      </c>
      <c r="M343" s="2697">
        <v>136</v>
      </c>
      <c r="N343" s="5415">
        <v>106</v>
      </c>
      <c r="O343" s="5451">
        <f t="shared" si="8"/>
        <v>77.941176470588232</v>
      </c>
      <c r="P343" s="5452">
        <v>0.8</v>
      </c>
      <c r="Q343" s="5452">
        <v>0.2</v>
      </c>
      <c r="R343" s="5452">
        <v>3.7974683544303799E-2</v>
      </c>
      <c r="S343" s="5452">
        <v>7.5949367088607597E-2</v>
      </c>
      <c r="T343" s="5452">
        <v>0.24050632911392406</v>
      </c>
      <c r="U343" s="5452">
        <v>0.64556962025316456</v>
      </c>
    </row>
    <row r="344" spans="9:21">
      <c r="I344" s="7092"/>
      <c r="J344" s="7115"/>
      <c r="K344" s="5453" t="s">
        <v>1907</v>
      </c>
      <c r="L344" s="2764">
        <v>166</v>
      </c>
      <c r="M344" s="2764">
        <v>91</v>
      </c>
      <c r="N344" s="5417">
        <v>74</v>
      </c>
      <c r="O344" s="5454">
        <f t="shared" si="8"/>
        <v>81.318681318681314</v>
      </c>
      <c r="P344" s="5456">
        <v>0.79710144927536231</v>
      </c>
      <c r="Q344" s="5456">
        <v>0.20289855072463769</v>
      </c>
      <c r="R344" s="5456">
        <v>7.407407407407407E-2</v>
      </c>
      <c r="S344" s="5456">
        <v>0.12962962962962965</v>
      </c>
      <c r="T344" s="5456">
        <v>0.31481481481481483</v>
      </c>
      <c r="U344" s="5456">
        <v>0.48148148148148145</v>
      </c>
    </row>
    <row r="345" spans="9:21">
      <c r="I345" s="7114" t="s">
        <v>59</v>
      </c>
      <c r="J345" s="7092" t="s">
        <v>2171</v>
      </c>
      <c r="K345" s="5457" t="s">
        <v>17</v>
      </c>
      <c r="L345" s="5458">
        <v>58</v>
      </c>
      <c r="M345" s="5458">
        <v>58</v>
      </c>
      <c r="N345" s="5459">
        <v>39</v>
      </c>
      <c r="O345" s="5460">
        <f t="shared" si="8"/>
        <v>67.241379310344826</v>
      </c>
      <c r="P345" s="5462">
        <v>0.74358974358974361</v>
      </c>
      <c r="Q345" s="5462">
        <v>0.25641025641025644</v>
      </c>
      <c r="R345" s="5461">
        <v>0.10714285714285714</v>
      </c>
      <c r="S345" s="5461">
        <v>0.21428571428571427</v>
      </c>
      <c r="T345" s="5461">
        <v>0.35714285714285715</v>
      </c>
      <c r="U345" s="5461">
        <v>0.32142857142857145</v>
      </c>
    </row>
    <row r="346" spans="9:21">
      <c r="I346" s="7114"/>
      <c r="J346" s="7092"/>
      <c r="K346" s="5450" t="s">
        <v>60</v>
      </c>
      <c r="L346" s="2697">
        <v>23</v>
      </c>
      <c r="M346" s="2697">
        <v>23</v>
      </c>
      <c r="N346" s="5415">
        <v>18</v>
      </c>
      <c r="O346" s="5451">
        <f t="shared" si="8"/>
        <v>78.260869565217391</v>
      </c>
      <c r="P346" s="5416">
        <v>0.76470588235294112</v>
      </c>
      <c r="Q346" s="5416">
        <v>0.23529411764705885</v>
      </c>
      <c r="R346" s="5452">
        <v>0.25</v>
      </c>
      <c r="S346" s="5452">
        <v>0.16666666666666669</v>
      </c>
      <c r="T346" s="5452">
        <v>0.41666666666666663</v>
      </c>
      <c r="U346" s="5452">
        <v>0.16666666666666669</v>
      </c>
    </row>
    <row r="347" spans="9:21">
      <c r="I347" s="7114"/>
      <c r="J347" s="7092"/>
      <c r="K347" s="5450" t="s">
        <v>384</v>
      </c>
      <c r="L347" s="2697">
        <v>15</v>
      </c>
      <c r="M347" s="2697">
        <v>15</v>
      </c>
      <c r="N347" s="5415">
        <v>11</v>
      </c>
      <c r="O347" s="5451">
        <f t="shared" si="8"/>
        <v>73.333333333333329</v>
      </c>
      <c r="P347" s="5416">
        <v>0.77777777777777768</v>
      </c>
      <c r="Q347" s="5416">
        <v>0.22222222222222221</v>
      </c>
      <c r="R347" s="5452">
        <v>0.14285714285714288</v>
      </c>
      <c r="S347" s="5452">
        <v>0.28571428571428575</v>
      </c>
      <c r="T347" s="5452">
        <v>0.14285714285714288</v>
      </c>
      <c r="U347" s="5452">
        <v>0.42857142857142855</v>
      </c>
    </row>
    <row r="348" spans="9:21">
      <c r="I348" s="7114"/>
      <c r="J348" s="7092"/>
      <c r="K348" s="5453" t="s">
        <v>18</v>
      </c>
      <c r="L348" s="2764">
        <v>0</v>
      </c>
      <c r="M348" s="2764">
        <v>0</v>
      </c>
      <c r="N348" s="5417">
        <v>0</v>
      </c>
      <c r="O348" s="5454">
        <v>0</v>
      </c>
      <c r="P348" s="5455">
        <v>0</v>
      </c>
      <c r="Q348" s="5455">
        <v>0</v>
      </c>
      <c r="R348" s="5456">
        <v>0</v>
      </c>
      <c r="S348" s="5456">
        <v>0</v>
      </c>
      <c r="T348" s="5456">
        <v>0</v>
      </c>
      <c r="U348" s="5456">
        <v>0</v>
      </c>
    </row>
    <row r="349" spans="9:21">
      <c r="I349" s="7114"/>
      <c r="J349" s="7092" t="s">
        <v>2174</v>
      </c>
      <c r="K349" s="5457" t="s">
        <v>62</v>
      </c>
      <c r="L349" s="5458">
        <v>45</v>
      </c>
      <c r="M349" s="5458">
        <v>45</v>
      </c>
      <c r="N349" s="5459">
        <v>28</v>
      </c>
      <c r="O349" s="5460">
        <f t="shared" si="8"/>
        <v>62.222222222222221</v>
      </c>
      <c r="P349" s="5462">
        <v>0.88888888888888884</v>
      </c>
      <c r="Q349" s="5462">
        <v>0.1111111111111111</v>
      </c>
      <c r="R349" s="5461">
        <v>8.3333333333333343E-2</v>
      </c>
      <c r="S349" s="5461">
        <v>0.16666666666666669</v>
      </c>
      <c r="T349" s="5461">
        <v>0.33333333333333337</v>
      </c>
      <c r="U349" s="5461">
        <v>0.41666666666666663</v>
      </c>
    </row>
    <row r="350" spans="9:21">
      <c r="I350" s="7114"/>
      <c r="J350" s="7092"/>
      <c r="K350" s="5450" t="s">
        <v>1928</v>
      </c>
      <c r="L350" s="2697">
        <v>11</v>
      </c>
      <c r="M350" s="2697">
        <v>11</v>
      </c>
      <c r="N350" s="5415">
        <v>7</v>
      </c>
      <c r="O350" s="5451">
        <f t="shared" si="8"/>
        <v>63.636363636363633</v>
      </c>
      <c r="P350" s="5416">
        <v>1</v>
      </c>
      <c r="Q350" s="5416">
        <v>0</v>
      </c>
      <c r="R350" s="5452">
        <v>0</v>
      </c>
      <c r="S350" s="5452">
        <v>0</v>
      </c>
      <c r="T350" s="5452">
        <v>0.16666666666666669</v>
      </c>
      <c r="U350" s="5452">
        <v>0.83333333333333326</v>
      </c>
    </row>
    <row r="351" spans="9:21">
      <c r="I351" s="7114"/>
      <c r="J351" s="7092"/>
      <c r="K351" s="5453" t="s">
        <v>63</v>
      </c>
      <c r="L351" s="2764">
        <v>57</v>
      </c>
      <c r="M351" s="2764">
        <v>57</v>
      </c>
      <c r="N351" s="5417">
        <v>38</v>
      </c>
      <c r="O351" s="5454">
        <f t="shared" si="8"/>
        <v>66.666666666666671</v>
      </c>
      <c r="P351" s="5455">
        <v>0.83333333333333326</v>
      </c>
      <c r="Q351" s="5455">
        <v>0.16666666666666669</v>
      </c>
      <c r="R351" s="5456">
        <v>6.6666666666666666E-2</v>
      </c>
      <c r="S351" s="5456">
        <v>0.1</v>
      </c>
      <c r="T351" s="5456">
        <v>0.4</v>
      </c>
      <c r="U351" s="5456">
        <v>0.43333333333333335</v>
      </c>
    </row>
    <row r="352" spans="9:21">
      <c r="I352" s="7114"/>
      <c r="J352" s="7092" t="s">
        <v>2175</v>
      </c>
      <c r="K352" s="5457" t="s">
        <v>476</v>
      </c>
      <c r="L352" s="5458">
        <v>23</v>
      </c>
      <c r="M352" s="5458">
        <v>23</v>
      </c>
      <c r="N352" s="5459">
        <v>17</v>
      </c>
      <c r="O352" s="5460">
        <f t="shared" si="8"/>
        <v>73.913043478260875</v>
      </c>
      <c r="P352" s="5462">
        <v>0.93333333333333324</v>
      </c>
      <c r="Q352" s="5462">
        <v>6.6666666666666666E-2</v>
      </c>
      <c r="R352" s="5461">
        <v>0</v>
      </c>
      <c r="S352" s="5461">
        <v>7.1428571428571438E-2</v>
      </c>
      <c r="T352" s="5461">
        <v>0.14285714285714288</v>
      </c>
      <c r="U352" s="5461">
        <v>0.7857142857142857</v>
      </c>
    </row>
    <row r="353" spans="9:21">
      <c r="I353" s="7114"/>
      <c r="J353" s="7092"/>
      <c r="K353" s="5450" t="s">
        <v>65</v>
      </c>
      <c r="L353" s="2697">
        <v>12</v>
      </c>
      <c r="M353" s="2697">
        <v>12</v>
      </c>
      <c r="N353" s="5415">
        <v>8</v>
      </c>
      <c r="O353" s="5451">
        <f t="shared" si="8"/>
        <v>66.666666666666671</v>
      </c>
      <c r="P353" s="5416">
        <v>0.57142857142857151</v>
      </c>
      <c r="Q353" s="5416">
        <v>0.42857142857142855</v>
      </c>
      <c r="R353" s="5452">
        <v>0</v>
      </c>
      <c r="S353" s="5452">
        <v>0.25</v>
      </c>
      <c r="T353" s="5452">
        <v>0.5</v>
      </c>
      <c r="U353" s="5452">
        <v>0.25</v>
      </c>
    </row>
    <row r="354" spans="9:21">
      <c r="I354" s="7114"/>
      <c r="J354" s="7092"/>
      <c r="K354" s="5450" t="s">
        <v>386</v>
      </c>
      <c r="L354" s="2697">
        <v>15</v>
      </c>
      <c r="M354" s="2697">
        <v>15</v>
      </c>
      <c r="N354" s="5415">
        <v>8</v>
      </c>
      <c r="O354" s="5451">
        <f t="shared" si="8"/>
        <v>53.333333333333336</v>
      </c>
      <c r="P354" s="5452">
        <v>0.42857142857142855</v>
      </c>
      <c r="Q354" s="5452">
        <v>0.57142857142857151</v>
      </c>
      <c r="R354" s="5452">
        <v>0</v>
      </c>
      <c r="S354" s="5452">
        <v>0.66666666666666674</v>
      </c>
      <c r="T354" s="5452">
        <v>0.33333333333333337</v>
      </c>
      <c r="U354" s="5452">
        <v>0</v>
      </c>
    </row>
    <row r="355" spans="9:21">
      <c r="I355" s="7114"/>
      <c r="J355" s="7092"/>
      <c r="K355" s="5453" t="s">
        <v>81</v>
      </c>
      <c r="L355" s="2764">
        <v>26</v>
      </c>
      <c r="M355" s="2764">
        <v>26</v>
      </c>
      <c r="N355" s="5417">
        <v>18</v>
      </c>
      <c r="O355" s="5454">
        <f t="shared" si="8"/>
        <v>69.230769230769226</v>
      </c>
      <c r="P355" s="5456">
        <v>0.375</v>
      </c>
      <c r="Q355" s="5456">
        <v>0.625</v>
      </c>
      <c r="R355" s="5456">
        <v>0</v>
      </c>
      <c r="S355" s="5456">
        <v>0.33333333333333337</v>
      </c>
      <c r="T355" s="5456">
        <v>0.33333333333333337</v>
      </c>
      <c r="U355" s="5456">
        <v>0.33333333333333337</v>
      </c>
    </row>
    <row r="356" spans="9:21">
      <c r="I356" s="7114" t="s">
        <v>25</v>
      </c>
      <c r="J356" s="7092" t="s">
        <v>2176</v>
      </c>
      <c r="K356" s="5457" t="s">
        <v>32</v>
      </c>
      <c r="L356" s="5458">
        <v>85</v>
      </c>
      <c r="M356" s="5458">
        <v>54</v>
      </c>
      <c r="N356" s="5459">
        <v>47</v>
      </c>
      <c r="O356" s="5460">
        <f t="shared" si="8"/>
        <v>87.037037037037038</v>
      </c>
      <c r="P356" s="5461">
        <v>0.8085106382978724</v>
      </c>
      <c r="Q356" s="5461">
        <v>0.19148936170212769</v>
      </c>
      <c r="R356" s="5463">
        <v>5.405405405405405E-2</v>
      </c>
      <c r="S356" s="5463">
        <v>5.405405405405405E-2</v>
      </c>
      <c r="T356" s="5463">
        <v>0.1891891891891892</v>
      </c>
      <c r="U356" s="5463">
        <v>0.70270270270270274</v>
      </c>
    </row>
    <row r="357" spans="9:21">
      <c r="I357" s="7114"/>
      <c r="J357" s="7092"/>
      <c r="K357" s="5450" t="s">
        <v>29</v>
      </c>
      <c r="L357" s="2697">
        <v>38</v>
      </c>
      <c r="M357" s="2697">
        <v>38</v>
      </c>
      <c r="N357" s="5415">
        <v>18</v>
      </c>
      <c r="O357" s="5451">
        <f t="shared" si="8"/>
        <v>47.368421052631582</v>
      </c>
      <c r="P357" s="5452">
        <v>0.41176470588235298</v>
      </c>
      <c r="Q357" s="5452">
        <v>0.58823529411764708</v>
      </c>
      <c r="R357" s="5464">
        <v>0</v>
      </c>
      <c r="S357" s="5464">
        <v>0</v>
      </c>
      <c r="T357" s="5465">
        <v>0.8571428571428571</v>
      </c>
      <c r="U357" s="5465">
        <v>0.14285714285714288</v>
      </c>
    </row>
    <row r="358" spans="9:21">
      <c r="I358" s="7114"/>
      <c r="J358" s="7092"/>
      <c r="K358" s="5450" t="s">
        <v>479</v>
      </c>
      <c r="L358" s="2697">
        <v>57</v>
      </c>
      <c r="M358" s="2697">
        <v>57</v>
      </c>
      <c r="N358" s="5415">
        <v>26</v>
      </c>
      <c r="O358" s="5451">
        <f t="shared" si="8"/>
        <v>45.614035087719301</v>
      </c>
      <c r="P358" s="5452">
        <v>0.82608695652173902</v>
      </c>
      <c r="Q358" s="5452">
        <v>0.17391304347826086</v>
      </c>
      <c r="R358" s="5464">
        <v>0</v>
      </c>
      <c r="S358" s="5465">
        <v>0.15789473684210525</v>
      </c>
      <c r="T358" s="5465">
        <v>0.31578947368421051</v>
      </c>
      <c r="U358" s="5465">
        <v>0.52631578947368418</v>
      </c>
    </row>
    <row r="359" spans="9:21">
      <c r="I359" s="7114"/>
      <c r="J359" s="7092"/>
      <c r="K359" s="5450" t="s">
        <v>677</v>
      </c>
      <c r="L359" s="2697">
        <v>74</v>
      </c>
      <c r="M359" s="2697">
        <v>58</v>
      </c>
      <c r="N359" s="5415">
        <v>37</v>
      </c>
      <c r="O359" s="5451">
        <f t="shared" si="8"/>
        <v>63.793103448275865</v>
      </c>
      <c r="P359" s="5452">
        <v>0.80555555555555558</v>
      </c>
      <c r="Q359" s="5452">
        <v>0.19444444444444442</v>
      </c>
      <c r="R359" s="5465">
        <v>0.17241379310344829</v>
      </c>
      <c r="S359" s="5465">
        <v>0.24137931034482757</v>
      </c>
      <c r="T359" s="5465">
        <v>0.34482758620689657</v>
      </c>
      <c r="U359" s="5465">
        <v>0.24137931034482757</v>
      </c>
    </row>
    <row r="360" spans="9:21">
      <c r="I360" s="7114"/>
      <c r="J360" s="7092"/>
      <c r="K360" s="5450" t="s">
        <v>261</v>
      </c>
      <c r="L360" s="2697">
        <v>49</v>
      </c>
      <c r="M360" s="2697">
        <v>49</v>
      </c>
      <c r="N360" s="5415">
        <v>25</v>
      </c>
      <c r="O360" s="5451">
        <f t="shared" si="8"/>
        <v>51.020408163265309</v>
      </c>
      <c r="P360" s="5452">
        <v>0.48</v>
      </c>
      <c r="Q360" s="5452">
        <v>0.52</v>
      </c>
      <c r="R360" s="5464">
        <v>0</v>
      </c>
      <c r="S360" s="5465">
        <v>0.25</v>
      </c>
      <c r="T360" s="5465">
        <v>0.33333333333333337</v>
      </c>
      <c r="U360" s="5465">
        <v>0.41666666666666663</v>
      </c>
    </row>
    <row r="361" spans="9:21">
      <c r="I361" s="7114"/>
      <c r="J361" s="7092"/>
      <c r="K361" s="5450" t="s">
        <v>678</v>
      </c>
      <c r="L361" s="2697">
        <v>12</v>
      </c>
      <c r="M361" s="2697">
        <v>12</v>
      </c>
      <c r="N361" s="5415">
        <v>6</v>
      </c>
      <c r="O361" s="5451">
        <f t="shared" si="8"/>
        <v>50</v>
      </c>
      <c r="P361" s="5452">
        <v>0.75</v>
      </c>
      <c r="Q361" s="5452">
        <v>0.25</v>
      </c>
      <c r="R361" s="5464">
        <v>0</v>
      </c>
      <c r="S361" s="5464">
        <v>0</v>
      </c>
      <c r="T361" s="5464">
        <v>0</v>
      </c>
      <c r="U361" s="5465">
        <v>1</v>
      </c>
    </row>
    <row r="362" spans="9:21">
      <c r="I362" s="7114"/>
      <c r="J362" s="7092"/>
      <c r="K362" s="5450" t="s">
        <v>478</v>
      </c>
      <c r="L362" s="2697">
        <v>60</v>
      </c>
      <c r="M362" s="2697">
        <v>46</v>
      </c>
      <c r="N362" s="5415">
        <v>31</v>
      </c>
      <c r="O362" s="5451">
        <f t="shared" si="8"/>
        <v>67.391304347826093</v>
      </c>
      <c r="P362" s="5452">
        <v>0.62962962962962965</v>
      </c>
      <c r="Q362" s="5452">
        <v>0.37037037037037041</v>
      </c>
      <c r="R362" s="5465">
        <v>0.15384615384615385</v>
      </c>
      <c r="S362" s="5465">
        <v>7.6923076923076927E-2</v>
      </c>
      <c r="T362" s="5465">
        <v>0.46153846153846151</v>
      </c>
      <c r="U362" s="5465">
        <v>0.30769230769230771</v>
      </c>
    </row>
    <row r="363" spans="9:21">
      <c r="I363" s="7114"/>
      <c r="J363" s="7092"/>
      <c r="K363" s="5450" t="s">
        <v>30</v>
      </c>
      <c r="L363" s="2697">
        <v>36</v>
      </c>
      <c r="M363" s="2697">
        <v>36</v>
      </c>
      <c r="N363" s="5415">
        <v>17</v>
      </c>
      <c r="O363" s="5451">
        <f t="shared" si="8"/>
        <v>47.222222222222221</v>
      </c>
      <c r="P363" s="5452">
        <v>0.5</v>
      </c>
      <c r="Q363" s="5452">
        <v>0.5</v>
      </c>
      <c r="R363" s="5465">
        <v>0.125</v>
      </c>
      <c r="S363" s="5465">
        <v>0.25</v>
      </c>
      <c r="T363" s="5465">
        <v>0.375</v>
      </c>
      <c r="U363" s="5465">
        <v>0.25</v>
      </c>
    </row>
    <row r="364" spans="9:21">
      <c r="I364" s="7114"/>
      <c r="J364" s="7092"/>
      <c r="K364" s="5453" t="s">
        <v>31</v>
      </c>
      <c r="L364" s="2764">
        <v>31</v>
      </c>
      <c r="M364" s="2764">
        <v>31</v>
      </c>
      <c r="N364" s="5417">
        <v>13</v>
      </c>
      <c r="O364" s="5454">
        <f t="shared" si="8"/>
        <v>41.935483870967744</v>
      </c>
      <c r="P364" s="5456">
        <v>0</v>
      </c>
      <c r="Q364" s="5456">
        <v>1</v>
      </c>
      <c r="R364" s="5456">
        <v>0</v>
      </c>
      <c r="S364" s="5466">
        <v>0</v>
      </c>
      <c r="T364" s="5466">
        <v>0</v>
      </c>
      <c r="U364" s="5456">
        <v>0</v>
      </c>
    </row>
    <row r="365" spans="9:21">
      <c r="I365" s="7114"/>
      <c r="J365" s="7092" t="s">
        <v>2171</v>
      </c>
      <c r="K365" s="5457" t="s">
        <v>17</v>
      </c>
      <c r="L365" s="5458">
        <v>256</v>
      </c>
      <c r="M365" s="5458">
        <v>103</v>
      </c>
      <c r="N365" s="5459">
        <v>93</v>
      </c>
      <c r="O365" s="5460">
        <f t="shared" si="8"/>
        <v>90.291262135922324</v>
      </c>
      <c r="P365" s="5461">
        <v>0.72727272727272729</v>
      </c>
      <c r="Q365" s="5461">
        <v>0.27272727272727271</v>
      </c>
      <c r="R365" s="5461">
        <v>3.125E-2</v>
      </c>
      <c r="S365" s="5461">
        <v>7.8125E-2</v>
      </c>
      <c r="T365" s="5461">
        <v>0.4375</v>
      </c>
      <c r="U365" s="5461">
        <v>0.453125</v>
      </c>
    </row>
    <row r="366" spans="9:21">
      <c r="I366" s="7114"/>
      <c r="J366" s="7092"/>
      <c r="K366" s="5450" t="s">
        <v>33</v>
      </c>
      <c r="L366" s="2697">
        <v>79</v>
      </c>
      <c r="M366" s="2697">
        <v>32</v>
      </c>
      <c r="N366" s="5415">
        <v>25</v>
      </c>
      <c r="O366" s="5451">
        <f t="shared" si="8"/>
        <v>78.125</v>
      </c>
      <c r="P366" s="5452">
        <v>0.48</v>
      </c>
      <c r="Q366" s="5452">
        <v>0.52</v>
      </c>
      <c r="R366" s="5452">
        <v>0</v>
      </c>
      <c r="S366" s="5452">
        <v>0.25</v>
      </c>
      <c r="T366" s="5452">
        <v>0.41666666666666663</v>
      </c>
      <c r="U366" s="5452">
        <v>0.33333333333333337</v>
      </c>
    </row>
    <row r="367" spans="9:21">
      <c r="I367" s="7114"/>
      <c r="J367" s="7092"/>
      <c r="K367" s="5450" t="s">
        <v>38</v>
      </c>
      <c r="L367" s="2697">
        <v>105</v>
      </c>
      <c r="M367" s="2697">
        <v>42</v>
      </c>
      <c r="N367" s="5415">
        <v>51</v>
      </c>
      <c r="O367" s="5451">
        <v>100</v>
      </c>
      <c r="P367" s="5452">
        <v>0.67346938775510212</v>
      </c>
      <c r="Q367" s="5452">
        <v>0.32653061224489799</v>
      </c>
      <c r="R367" s="5452">
        <v>0.12121212121212122</v>
      </c>
      <c r="S367" s="5452">
        <v>0.27272727272727271</v>
      </c>
      <c r="T367" s="5452">
        <v>0.30303030303030304</v>
      </c>
      <c r="U367" s="5452">
        <v>0.30303030303030304</v>
      </c>
    </row>
    <row r="368" spans="9:21">
      <c r="I368" s="7114"/>
      <c r="J368" s="7092"/>
      <c r="K368" s="5450" t="s">
        <v>19</v>
      </c>
      <c r="L368" s="2697">
        <v>80</v>
      </c>
      <c r="M368" s="2697">
        <v>32</v>
      </c>
      <c r="N368" s="5415">
        <v>28</v>
      </c>
      <c r="O368" s="5451">
        <f t="shared" si="8"/>
        <v>87.5</v>
      </c>
      <c r="P368" s="5452">
        <v>0.70370370370370372</v>
      </c>
      <c r="Q368" s="5452">
        <v>0.29629629629629628</v>
      </c>
      <c r="R368" s="5452">
        <v>0.10526315789473685</v>
      </c>
      <c r="S368" s="5452">
        <v>0.15789473684210525</v>
      </c>
      <c r="T368" s="5452">
        <v>0.57894736842105265</v>
      </c>
      <c r="U368" s="5452">
        <v>0.15789473684210525</v>
      </c>
    </row>
    <row r="369" spans="9:21">
      <c r="I369" s="7114"/>
      <c r="J369" s="7092"/>
      <c r="K369" s="5450" t="s">
        <v>35</v>
      </c>
      <c r="L369" s="2697">
        <v>67</v>
      </c>
      <c r="M369" s="2697">
        <v>43</v>
      </c>
      <c r="N369" s="5415">
        <v>26</v>
      </c>
      <c r="O369" s="5451">
        <f t="shared" si="8"/>
        <v>60.465116279069768</v>
      </c>
      <c r="P369" s="5452">
        <v>0.76923076923076916</v>
      </c>
      <c r="Q369" s="5452">
        <v>0.23076923076923075</v>
      </c>
      <c r="R369" s="5452">
        <v>0.2</v>
      </c>
      <c r="S369" s="5452">
        <v>0.1</v>
      </c>
      <c r="T369" s="5452">
        <v>0.4</v>
      </c>
      <c r="U369" s="5452">
        <v>0.3</v>
      </c>
    </row>
    <row r="370" spans="9:21">
      <c r="I370" s="7114"/>
      <c r="J370" s="7092"/>
      <c r="K370" s="5450" t="s">
        <v>36</v>
      </c>
      <c r="L370" s="2697">
        <v>72</v>
      </c>
      <c r="M370" s="2697">
        <v>29</v>
      </c>
      <c r="N370" s="5415">
        <v>32</v>
      </c>
      <c r="O370" s="5451">
        <v>100</v>
      </c>
      <c r="P370" s="5452">
        <v>0.44827586206896552</v>
      </c>
      <c r="Q370" s="5452">
        <v>0.55172413793103448</v>
      </c>
      <c r="R370" s="5452">
        <v>0</v>
      </c>
      <c r="S370" s="5452">
        <v>0</v>
      </c>
      <c r="T370" s="5452">
        <v>0.38461538461538458</v>
      </c>
      <c r="U370" s="5452">
        <v>0.61538461538461542</v>
      </c>
    </row>
    <row r="371" spans="9:21">
      <c r="I371" s="7114"/>
      <c r="J371" s="7092"/>
      <c r="K371" s="5450" t="s">
        <v>34</v>
      </c>
      <c r="L371" s="2697">
        <v>60</v>
      </c>
      <c r="M371" s="2697">
        <v>36</v>
      </c>
      <c r="N371" s="5415">
        <v>32</v>
      </c>
      <c r="O371" s="5451">
        <f t="shared" si="8"/>
        <v>88.888888888888886</v>
      </c>
      <c r="P371" s="5452">
        <v>0.74193548387096764</v>
      </c>
      <c r="Q371" s="5452">
        <v>0.25806451612903225</v>
      </c>
      <c r="R371" s="5452">
        <v>8.6956521739130432E-2</v>
      </c>
      <c r="S371" s="5452">
        <v>4.3478260869565216E-2</v>
      </c>
      <c r="T371" s="5452">
        <v>0.21739130434782608</v>
      </c>
      <c r="U371" s="5452">
        <v>0.65217391304347827</v>
      </c>
    </row>
    <row r="372" spans="9:21">
      <c r="I372" s="7114"/>
      <c r="J372" s="7092"/>
      <c r="K372" s="5450" t="s">
        <v>480</v>
      </c>
      <c r="L372" s="2697">
        <v>38</v>
      </c>
      <c r="M372" s="2697">
        <v>38</v>
      </c>
      <c r="N372" s="5415">
        <v>12</v>
      </c>
      <c r="O372" s="5451">
        <f t="shared" si="8"/>
        <v>31.578947368421051</v>
      </c>
      <c r="P372" s="5452">
        <v>0.66666666666666674</v>
      </c>
      <c r="Q372" s="5452">
        <v>0.33333333333333337</v>
      </c>
      <c r="R372" s="5452">
        <v>0.25</v>
      </c>
      <c r="S372" s="5452">
        <v>0.125</v>
      </c>
      <c r="T372" s="5452">
        <v>0.25</v>
      </c>
      <c r="U372" s="5452">
        <v>0.375</v>
      </c>
    </row>
    <row r="373" spans="9:21">
      <c r="I373" s="7114"/>
      <c r="J373" s="7092"/>
      <c r="K373" s="5450" t="s">
        <v>39</v>
      </c>
      <c r="L373" s="2697">
        <v>286</v>
      </c>
      <c r="M373" s="2697">
        <v>116</v>
      </c>
      <c r="N373" s="5415">
        <v>88</v>
      </c>
      <c r="O373" s="5451">
        <f t="shared" si="8"/>
        <v>75.862068965517238</v>
      </c>
      <c r="P373" s="5452">
        <v>0.79518072289156616</v>
      </c>
      <c r="Q373" s="5452">
        <v>0.20481927710843373</v>
      </c>
      <c r="R373" s="5452">
        <v>0.15625</v>
      </c>
      <c r="S373" s="5452">
        <v>0.140625</v>
      </c>
      <c r="T373" s="5452">
        <v>0.421875</v>
      </c>
      <c r="U373" s="5452">
        <v>0.28125</v>
      </c>
    </row>
    <row r="374" spans="9:21">
      <c r="I374" s="7114"/>
      <c r="J374" s="7092"/>
      <c r="K374" s="5450" t="s">
        <v>20</v>
      </c>
      <c r="L374" s="2697">
        <v>70</v>
      </c>
      <c r="M374" s="2697">
        <v>44</v>
      </c>
      <c r="N374" s="5415">
        <v>28</v>
      </c>
      <c r="O374" s="5451">
        <f t="shared" si="8"/>
        <v>63.636363636363633</v>
      </c>
      <c r="P374" s="5452">
        <v>0.74074074074074081</v>
      </c>
      <c r="Q374" s="5452">
        <v>0.2592592592592593</v>
      </c>
      <c r="R374" s="5452">
        <v>0.2</v>
      </c>
      <c r="S374" s="5452">
        <v>0.25</v>
      </c>
      <c r="T374" s="5452">
        <v>0.35</v>
      </c>
      <c r="U374" s="5452">
        <v>0.2</v>
      </c>
    </row>
    <row r="375" spans="9:21">
      <c r="I375" s="7114"/>
      <c r="J375" s="7092"/>
      <c r="K375" s="5453" t="s">
        <v>40</v>
      </c>
      <c r="L375" s="2764">
        <v>18</v>
      </c>
      <c r="M375" s="2764">
        <v>18</v>
      </c>
      <c r="N375" s="5417">
        <v>7</v>
      </c>
      <c r="O375" s="5454">
        <f t="shared" si="8"/>
        <v>38.888888888888886</v>
      </c>
      <c r="P375" s="5456">
        <v>0.8571428571428571</v>
      </c>
      <c r="Q375" s="5456">
        <v>0.14285714285714288</v>
      </c>
      <c r="R375" s="5456">
        <v>0</v>
      </c>
      <c r="S375" s="5456">
        <v>0.33333333333333337</v>
      </c>
      <c r="T375" s="5456">
        <v>0.33333333333333337</v>
      </c>
      <c r="U375" s="5456">
        <v>0.33333333333333337</v>
      </c>
    </row>
    <row r="376" spans="9:21">
      <c r="I376" s="7114"/>
      <c r="J376" s="7092" t="s">
        <v>2173</v>
      </c>
      <c r="K376" s="5457" t="s">
        <v>42</v>
      </c>
      <c r="L376" s="5458">
        <v>182</v>
      </c>
      <c r="M376" s="5458">
        <v>92</v>
      </c>
      <c r="N376" s="5459">
        <v>82</v>
      </c>
      <c r="O376" s="5460">
        <f t="shared" si="8"/>
        <v>89.130434782608702</v>
      </c>
      <c r="P376" s="5461">
        <v>0.51948051948051943</v>
      </c>
      <c r="Q376" s="5461">
        <v>0.48051948051948051</v>
      </c>
      <c r="R376" s="5461">
        <v>0.12820512820512822</v>
      </c>
      <c r="S376" s="5461">
        <v>0.25641025641025644</v>
      </c>
      <c r="T376" s="5461">
        <v>0.30769230769230771</v>
      </c>
      <c r="U376" s="5461">
        <v>0.30769230769230771</v>
      </c>
    </row>
    <row r="377" spans="9:21">
      <c r="I377" s="7114"/>
      <c r="J377" s="7092"/>
      <c r="K377" s="5450" t="s">
        <v>43</v>
      </c>
      <c r="L377" s="2697">
        <v>105</v>
      </c>
      <c r="M377" s="2697">
        <v>53</v>
      </c>
      <c r="N377" s="5415">
        <v>46</v>
      </c>
      <c r="O377" s="5451">
        <f t="shared" si="8"/>
        <v>86.79245283018868</v>
      </c>
      <c r="P377" s="5452">
        <v>0.21739130434782608</v>
      </c>
      <c r="Q377" s="5452">
        <v>0.78260869565217395</v>
      </c>
      <c r="R377" s="5452">
        <v>0.1</v>
      </c>
      <c r="S377" s="5452">
        <v>0.2</v>
      </c>
      <c r="T377" s="5452">
        <v>0.4</v>
      </c>
      <c r="U377" s="5452">
        <v>0.3</v>
      </c>
    </row>
    <row r="378" spans="9:21">
      <c r="I378" s="7114"/>
      <c r="J378" s="7092"/>
      <c r="K378" s="5450" t="s">
        <v>44</v>
      </c>
      <c r="L378" s="2697">
        <v>78</v>
      </c>
      <c r="M378" s="2697">
        <v>39</v>
      </c>
      <c r="N378" s="5415">
        <v>30</v>
      </c>
      <c r="O378" s="5451">
        <f t="shared" si="8"/>
        <v>76.92307692307692</v>
      </c>
      <c r="P378" s="5452">
        <v>0.4642857142857143</v>
      </c>
      <c r="Q378" s="5452">
        <v>0.5357142857142857</v>
      </c>
      <c r="R378" s="5452">
        <v>7.6923076923076927E-2</v>
      </c>
      <c r="S378" s="5452">
        <v>0.23076923076923075</v>
      </c>
      <c r="T378" s="5452">
        <v>0.38461538461538458</v>
      </c>
      <c r="U378" s="5452">
        <v>0.30769230769230771</v>
      </c>
    </row>
    <row r="379" spans="9:21" ht="31.5" customHeight="1">
      <c r="I379" s="7114"/>
      <c r="J379" s="7092"/>
      <c r="K379" s="5450" t="s">
        <v>262</v>
      </c>
      <c r="L379" s="2697">
        <v>164</v>
      </c>
      <c r="M379" s="2697">
        <v>83</v>
      </c>
      <c r="N379" s="5415">
        <v>70</v>
      </c>
      <c r="O379" s="5451">
        <f t="shared" si="8"/>
        <v>84.337349397590359</v>
      </c>
      <c r="P379" s="5452">
        <v>0.68181818181818188</v>
      </c>
      <c r="Q379" s="5452">
        <v>0.31818181818181818</v>
      </c>
      <c r="R379" s="5452">
        <v>6.9767441860465115E-2</v>
      </c>
      <c r="S379" s="5452">
        <v>0.18604651162790697</v>
      </c>
      <c r="T379" s="5452">
        <v>0.37209302325581395</v>
      </c>
      <c r="U379" s="5452">
        <v>0.37209302325581395</v>
      </c>
    </row>
    <row r="380" spans="9:21" ht="53.25" customHeight="1">
      <c r="I380" s="7114"/>
      <c r="J380" s="7092"/>
      <c r="K380" s="5450" t="s">
        <v>263</v>
      </c>
      <c r="L380" s="2697">
        <v>169</v>
      </c>
      <c r="M380" s="2697">
        <v>86</v>
      </c>
      <c r="N380" s="5415">
        <v>75</v>
      </c>
      <c r="O380" s="5451">
        <f t="shared" si="8"/>
        <v>87.20930232558139</v>
      </c>
      <c r="P380" s="5452">
        <v>0.6619718309859155</v>
      </c>
      <c r="Q380" s="5452">
        <v>0.3380281690140845</v>
      </c>
      <c r="R380" s="5452">
        <v>0.1276595744680851</v>
      </c>
      <c r="S380" s="5452">
        <v>0.1702127659574468</v>
      </c>
      <c r="T380" s="5452">
        <v>0.27659574468085107</v>
      </c>
      <c r="U380" s="5452">
        <v>0.42553191489361702</v>
      </c>
    </row>
    <row r="381" spans="9:21" ht="15" customHeight="1">
      <c r="I381" s="7114"/>
      <c r="J381" s="7092"/>
      <c r="K381" s="5453" t="s">
        <v>45</v>
      </c>
      <c r="L381" s="2764">
        <v>38</v>
      </c>
      <c r="M381" s="2764">
        <v>38</v>
      </c>
      <c r="N381" s="5417">
        <v>11</v>
      </c>
      <c r="O381" s="5454">
        <f t="shared" si="8"/>
        <v>28.94736842105263</v>
      </c>
      <c r="P381" s="5456">
        <v>0.8</v>
      </c>
      <c r="Q381" s="5456">
        <v>0.2</v>
      </c>
      <c r="R381" s="5456">
        <v>0.28571428571428575</v>
      </c>
      <c r="S381" s="5456">
        <v>0.14285714285714288</v>
      </c>
      <c r="T381" s="5456">
        <v>0.28571428571428575</v>
      </c>
      <c r="U381" s="5456">
        <v>0.28571428571428575</v>
      </c>
    </row>
    <row r="382" spans="9:21" ht="22.5" customHeight="1">
      <c r="I382" s="7114" t="s">
        <v>48</v>
      </c>
      <c r="J382" s="7092" t="s">
        <v>2171</v>
      </c>
      <c r="K382" s="5457" t="s">
        <v>17</v>
      </c>
      <c r="L382" s="5458">
        <v>254</v>
      </c>
      <c r="M382" s="5458">
        <v>80</v>
      </c>
      <c r="N382" s="5459">
        <v>85</v>
      </c>
      <c r="O382" s="5460">
        <f t="shared" si="8"/>
        <v>106.25</v>
      </c>
      <c r="P382" s="5461">
        <v>0.86250000000000004</v>
      </c>
      <c r="Q382" s="5461">
        <v>0.13750000000000001</v>
      </c>
      <c r="R382" s="5461">
        <v>2.8985507246376812E-2</v>
      </c>
      <c r="S382" s="5461">
        <v>0.11594202898550725</v>
      </c>
      <c r="T382" s="5461">
        <v>0.52173913043478259</v>
      </c>
      <c r="U382" s="5461">
        <v>0.33333333333333337</v>
      </c>
    </row>
    <row r="383" spans="9:21">
      <c r="I383" s="7114"/>
      <c r="J383" s="7092"/>
      <c r="K383" s="5450" t="s">
        <v>49</v>
      </c>
      <c r="L383" s="2697">
        <v>352</v>
      </c>
      <c r="M383" s="2697">
        <v>111</v>
      </c>
      <c r="N383" s="5415">
        <v>127</v>
      </c>
      <c r="O383" s="5451">
        <v>100</v>
      </c>
      <c r="P383" s="5452">
        <v>0.76470588235294112</v>
      </c>
      <c r="Q383" s="5452">
        <v>0.23529411764705885</v>
      </c>
      <c r="R383" s="5452">
        <v>6.6666666666666666E-2</v>
      </c>
      <c r="S383" s="5452">
        <v>8.8888888888888892E-2</v>
      </c>
      <c r="T383" s="5452">
        <v>0.28888888888888892</v>
      </c>
      <c r="U383" s="5452">
        <v>0.55555555555555558</v>
      </c>
    </row>
    <row r="384" spans="9:21">
      <c r="I384" s="7114"/>
      <c r="J384" s="7092"/>
      <c r="K384" s="5450" t="s">
        <v>19</v>
      </c>
      <c r="L384" s="2697">
        <v>176</v>
      </c>
      <c r="M384" s="2697">
        <v>55</v>
      </c>
      <c r="N384" s="5415">
        <v>59</v>
      </c>
      <c r="O384" s="5451">
        <v>100</v>
      </c>
      <c r="P384" s="5452">
        <v>0.7068965517241379</v>
      </c>
      <c r="Q384" s="5452">
        <v>0.29310344827586204</v>
      </c>
      <c r="R384" s="5452">
        <v>4.878048780487805E-2</v>
      </c>
      <c r="S384" s="5452">
        <v>0.21951219512195125</v>
      </c>
      <c r="T384" s="5452">
        <v>0.51219512195121952</v>
      </c>
      <c r="U384" s="5452">
        <v>0.21951219512195125</v>
      </c>
    </row>
    <row r="385" spans="9:21">
      <c r="I385" s="7114"/>
      <c r="J385" s="7092"/>
      <c r="K385" s="5450" t="s">
        <v>51</v>
      </c>
      <c r="L385" s="2697">
        <v>91</v>
      </c>
      <c r="M385" s="2697">
        <v>29</v>
      </c>
      <c r="N385" s="5415">
        <v>30</v>
      </c>
      <c r="O385" s="5451">
        <v>100</v>
      </c>
      <c r="P385" s="5452">
        <v>0.76666666666666672</v>
      </c>
      <c r="Q385" s="5452">
        <v>0.23333333333333331</v>
      </c>
      <c r="R385" s="5452">
        <v>8.6956521739130432E-2</v>
      </c>
      <c r="S385" s="5452">
        <v>0.13043478260869565</v>
      </c>
      <c r="T385" s="5452">
        <v>0.43478260869565216</v>
      </c>
      <c r="U385" s="5452">
        <v>0.34782608695652173</v>
      </c>
    </row>
    <row r="386" spans="9:21">
      <c r="I386" s="7114"/>
      <c r="J386" s="7092"/>
      <c r="K386" s="5450" t="s">
        <v>50</v>
      </c>
      <c r="L386" s="2697">
        <v>565</v>
      </c>
      <c r="M386" s="2697">
        <v>179</v>
      </c>
      <c r="N386" s="5415">
        <v>184</v>
      </c>
      <c r="O386" s="5451">
        <v>100</v>
      </c>
      <c r="P386" s="5452">
        <v>0.72941176470588232</v>
      </c>
      <c r="Q386" s="5452">
        <v>0.27058823529411763</v>
      </c>
      <c r="R386" s="5452">
        <v>0.1056910569105691</v>
      </c>
      <c r="S386" s="5452">
        <v>0.2113821138211382</v>
      </c>
      <c r="T386" s="5452">
        <v>0.34959349593495936</v>
      </c>
      <c r="U386" s="5452">
        <v>0.33333333333333337</v>
      </c>
    </row>
    <row r="387" spans="9:21">
      <c r="I387" s="7114"/>
      <c r="J387" s="7092"/>
      <c r="K387" s="5453" t="s">
        <v>20</v>
      </c>
      <c r="L387" s="2764">
        <v>222</v>
      </c>
      <c r="M387" s="2764">
        <v>70</v>
      </c>
      <c r="N387" s="5417">
        <v>82</v>
      </c>
      <c r="O387" s="5454">
        <v>100</v>
      </c>
      <c r="P387" s="5456">
        <v>0.6</v>
      </c>
      <c r="Q387" s="5456">
        <v>0.4</v>
      </c>
      <c r="R387" s="5456">
        <v>0.14893617021276595</v>
      </c>
      <c r="S387" s="5456">
        <v>0.1702127659574468</v>
      </c>
      <c r="T387" s="5456">
        <v>0.48936170212765956</v>
      </c>
      <c r="U387" s="5456">
        <v>0.19148936170212769</v>
      </c>
    </row>
    <row r="388" spans="9:21">
      <c r="I388" s="7114"/>
      <c r="J388" s="7092" t="s">
        <v>2173</v>
      </c>
      <c r="K388" s="5457" t="s">
        <v>56</v>
      </c>
      <c r="L388" s="5458">
        <v>230</v>
      </c>
      <c r="M388" s="5458">
        <v>58</v>
      </c>
      <c r="N388" s="5459">
        <v>71</v>
      </c>
      <c r="O388" s="5460">
        <v>100</v>
      </c>
      <c r="P388" s="5461">
        <v>0.6515151515151516</v>
      </c>
      <c r="Q388" s="5461">
        <v>0.34848484848484851</v>
      </c>
      <c r="R388" s="5461">
        <v>0.20930232558139536</v>
      </c>
      <c r="S388" s="5461">
        <v>0.11627906976744186</v>
      </c>
      <c r="T388" s="5461">
        <v>0.27906976744186046</v>
      </c>
      <c r="U388" s="5461">
        <v>0.39534883720930231</v>
      </c>
    </row>
    <row r="389" spans="9:21">
      <c r="I389" s="7114"/>
      <c r="J389" s="7092"/>
      <c r="K389" s="5450" t="s">
        <v>42</v>
      </c>
      <c r="L389" s="2697">
        <v>281</v>
      </c>
      <c r="M389" s="2697">
        <v>71</v>
      </c>
      <c r="N389" s="5415">
        <v>108</v>
      </c>
      <c r="O389" s="5451">
        <v>100</v>
      </c>
      <c r="P389" s="5452">
        <v>0.40594059405940591</v>
      </c>
      <c r="Q389" s="5452">
        <v>0.59405940594059414</v>
      </c>
      <c r="R389" s="5452">
        <v>7.4999999999999997E-2</v>
      </c>
      <c r="S389" s="5452">
        <v>0.1</v>
      </c>
      <c r="T389" s="5452">
        <v>0.375</v>
      </c>
      <c r="U389" s="5452">
        <v>0.45</v>
      </c>
    </row>
    <row r="390" spans="9:21">
      <c r="I390" s="7114"/>
      <c r="J390" s="7092"/>
      <c r="K390" s="5450" t="s">
        <v>52</v>
      </c>
      <c r="L390" s="2697">
        <v>241</v>
      </c>
      <c r="M390" s="2697">
        <v>61</v>
      </c>
      <c r="N390" s="5415">
        <v>82</v>
      </c>
      <c r="O390" s="5451">
        <v>100</v>
      </c>
      <c r="P390" s="5452">
        <v>0.71232876712328763</v>
      </c>
      <c r="Q390" s="5452">
        <v>0.28767123287671231</v>
      </c>
      <c r="R390" s="5452">
        <v>0.02</v>
      </c>
      <c r="S390" s="5452">
        <v>0</v>
      </c>
      <c r="T390" s="5452">
        <v>0.2</v>
      </c>
      <c r="U390" s="5452">
        <v>0.78</v>
      </c>
    </row>
    <row r="391" spans="9:21">
      <c r="I391" s="7114"/>
      <c r="J391" s="7092"/>
      <c r="K391" s="5450" t="s">
        <v>53</v>
      </c>
      <c r="L391" s="2697">
        <v>307</v>
      </c>
      <c r="M391" s="2697">
        <v>78</v>
      </c>
      <c r="N391" s="5415">
        <v>79</v>
      </c>
      <c r="O391" s="5451">
        <v>100</v>
      </c>
      <c r="P391" s="5452">
        <v>0.69333333333333325</v>
      </c>
      <c r="Q391" s="5452">
        <v>0.3066666666666667</v>
      </c>
      <c r="R391" s="5452">
        <v>0.08</v>
      </c>
      <c r="S391" s="5452">
        <v>0.08</v>
      </c>
      <c r="T391" s="5452">
        <v>0.18</v>
      </c>
      <c r="U391" s="5452">
        <v>0.66</v>
      </c>
    </row>
    <row r="392" spans="9:21">
      <c r="I392" s="7114"/>
      <c r="J392" s="7092"/>
      <c r="K392" s="5450" t="s">
        <v>255</v>
      </c>
      <c r="L392" s="2697">
        <v>265</v>
      </c>
      <c r="M392" s="2697">
        <v>68</v>
      </c>
      <c r="N392" s="5415">
        <v>71</v>
      </c>
      <c r="O392" s="5451">
        <v>100</v>
      </c>
      <c r="P392" s="5452">
        <v>0.6</v>
      </c>
      <c r="Q392" s="5452">
        <v>0.4</v>
      </c>
      <c r="R392" s="5452">
        <v>0</v>
      </c>
      <c r="S392" s="5452">
        <v>2.3809523809523808E-2</v>
      </c>
      <c r="T392" s="5452">
        <v>0.11904761904761905</v>
      </c>
      <c r="U392" s="5452">
        <v>0.8571428571428571</v>
      </c>
    </row>
    <row r="393" spans="9:21">
      <c r="I393" s="7114"/>
      <c r="J393" s="7092"/>
      <c r="K393" s="5450" t="s">
        <v>55</v>
      </c>
      <c r="L393" s="2697">
        <v>334</v>
      </c>
      <c r="M393" s="2697">
        <v>85</v>
      </c>
      <c r="N393" s="5415">
        <v>105</v>
      </c>
      <c r="O393" s="5451">
        <v>100</v>
      </c>
      <c r="P393" s="5452">
        <v>0.70707070707070718</v>
      </c>
      <c r="Q393" s="5452">
        <v>0.29292929292929293</v>
      </c>
      <c r="R393" s="5452">
        <v>7.3529411764705885E-2</v>
      </c>
      <c r="S393" s="5452">
        <v>7.3529411764705885E-2</v>
      </c>
      <c r="T393" s="5452">
        <v>0.19117647058823528</v>
      </c>
      <c r="U393" s="5452">
        <v>0.66176470588235292</v>
      </c>
    </row>
    <row r="394" spans="9:21">
      <c r="I394" s="7114"/>
      <c r="J394" s="7092"/>
      <c r="K394" s="5450" t="s">
        <v>54</v>
      </c>
      <c r="L394" s="2697">
        <v>380</v>
      </c>
      <c r="M394" s="2697">
        <v>96</v>
      </c>
      <c r="N394" s="5415">
        <v>108</v>
      </c>
      <c r="O394" s="5451">
        <v>100</v>
      </c>
      <c r="P394" s="5452">
        <v>0.71698113207547165</v>
      </c>
      <c r="Q394" s="5452">
        <v>0.28301886792452829</v>
      </c>
      <c r="R394" s="5452">
        <v>2.6315789473684213E-2</v>
      </c>
      <c r="S394" s="5452">
        <v>6.5789473684210523E-2</v>
      </c>
      <c r="T394" s="5452">
        <v>0.3289473684210526</v>
      </c>
      <c r="U394" s="5452">
        <v>0.57894736842105265</v>
      </c>
    </row>
    <row r="395" spans="9:21">
      <c r="I395" s="7114"/>
      <c r="J395" s="7092"/>
      <c r="K395" s="5453" t="s">
        <v>264</v>
      </c>
      <c r="L395" s="2764">
        <v>219</v>
      </c>
      <c r="M395" s="2764">
        <v>56</v>
      </c>
      <c r="N395" s="5417">
        <v>70</v>
      </c>
      <c r="O395" s="5454">
        <v>100</v>
      </c>
      <c r="P395" s="5456">
        <v>0.68656716417910446</v>
      </c>
      <c r="Q395" s="5456">
        <v>0.31343283582089554</v>
      </c>
      <c r="R395" s="5456">
        <v>9.0909090909090912E-2</v>
      </c>
      <c r="S395" s="5456">
        <v>0.20454545454545453</v>
      </c>
      <c r="T395" s="5456">
        <v>0.20454545454545453</v>
      </c>
      <c r="U395" s="5456">
        <v>0.5</v>
      </c>
    </row>
    <row r="396" spans="9:21">
      <c r="I396" s="7114"/>
      <c r="J396" s="7092" t="s">
        <v>2172</v>
      </c>
      <c r="K396" s="5457" t="s">
        <v>22</v>
      </c>
      <c r="L396" s="5458">
        <v>327</v>
      </c>
      <c r="M396" s="5458">
        <v>159</v>
      </c>
      <c r="N396" s="5459">
        <v>141</v>
      </c>
      <c r="O396" s="5460">
        <f>N396*100/M396</f>
        <v>88.679245283018872</v>
      </c>
      <c r="P396" s="5461">
        <v>0.84444444444444444</v>
      </c>
      <c r="Q396" s="5461">
        <v>0.15555555555555556</v>
      </c>
      <c r="R396" s="5461">
        <v>0</v>
      </c>
      <c r="S396" s="5461">
        <v>0.10526315789473685</v>
      </c>
      <c r="T396" s="5461">
        <v>0.2807017543859649</v>
      </c>
      <c r="U396" s="5461">
        <v>0.61403508771929827</v>
      </c>
    </row>
    <row r="397" spans="9:21">
      <c r="I397" s="7114"/>
      <c r="J397" s="7092"/>
      <c r="K397" s="5450" t="s">
        <v>58</v>
      </c>
      <c r="L397" s="2697">
        <v>135</v>
      </c>
      <c r="M397" s="2697">
        <v>65</v>
      </c>
      <c r="N397" s="5415">
        <v>47</v>
      </c>
      <c r="O397" s="5451">
        <f t="shared" ref="O397:O403" si="9">N397*100/M397</f>
        <v>72.307692307692307</v>
      </c>
      <c r="P397" s="5452">
        <v>0.6428571428571429</v>
      </c>
      <c r="Q397" s="5452">
        <v>0.35714285714285715</v>
      </c>
      <c r="R397" s="5452">
        <v>0.2592592592592593</v>
      </c>
      <c r="S397" s="5452">
        <v>7.407407407407407E-2</v>
      </c>
      <c r="T397" s="5452">
        <v>0.33333333333333337</v>
      </c>
      <c r="U397" s="5452">
        <v>0.33333333333333337</v>
      </c>
    </row>
    <row r="398" spans="9:21">
      <c r="I398" s="7114"/>
      <c r="J398" s="7092"/>
      <c r="K398" s="5450" t="s">
        <v>23</v>
      </c>
      <c r="L398" s="2697">
        <v>219</v>
      </c>
      <c r="M398" s="2697">
        <v>106</v>
      </c>
      <c r="N398" s="5415">
        <v>86</v>
      </c>
      <c r="O398" s="5451">
        <f t="shared" si="9"/>
        <v>81.132075471698116</v>
      </c>
      <c r="P398" s="5452">
        <v>0.76190476190476186</v>
      </c>
      <c r="Q398" s="5452">
        <v>0.23809523809523811</v>
      </c>
      <c r="R398" s="5452">
        <v>3.1746031746031744E-2</v>
      </c>
      <c r="S398" s="5452">
        <v>7.9365079365079361E-2</v>
      </c>
      <c r="T398" s="5452">
        <v>0.23809523809523811</v>
      </c>
      <c r="U398" s="5452">
        <v>0.6507936507936507</v>
      </c>
    </row>
    <row r="399" spans="9:21">
      <c r="I399" s="7114"/>
      <c r="J399" s="7092"/>
      <c r="K399" s="5453" t="s">
        <v>24</v>
      </c>
      <c r="L399" s="2764">
        <v>141</v>
      </c>
      <c r="M399" s="2764">
        <v>67</v>
      </c>
      <c r="N399" s="5417">
        <v>52</v>
      </c>
      <c r="O399" s="5454">
        <f t="shared" si="9"/>
        <v>77.611940298507463</v>
      </c>
      <c r="P399" s="5456">
        <v>0.87234042553191482</v>
      </c>
      <c r="Q399" s="5456">
        <v>0.1276595744680851</v>
      </c>
      <c r="R399" s="5456">
        <v>7.3170731707317083E-2</v>
      </c>
      <c r="S399" s="5456">
        <v>7.3170731707317083E-2</v>
      </c>
      <c r="T399" s="5456">
        <v>0.26829268292682928</v>
      </c>
      <c r="U399" s="5456">
        <v>0.58536585365853666</v>
      </c>
    </row>
    <row r="400" spans="9:21" ht="24">
      <c r="I400" s="7114" t="s">
        <v>240</v>
      </c>
      <c r="J400" s="5467" t="s">
        <v>2176</v>
      </c>
      <c r="K400" s="5468" t="s">
        <v>2054</v>
      </c>
      <c r="L400" s="5397">
        <v>5</v>
      </c>
      <c r="M400" s="5397">
        <v>5</v>
      </c>
      <c r="N400" s="5397">
        <v>3</v>
      </c>
      <c r="O400" s="5430">
        <f t="shared" si="9"/>
        <v>60</v>
      </c>
      <c r="P400" s="5431">
        <v>0.66666666666666674</v>
      </c>
      <c r="Q400" s="5431">
        <v>0.33333333333333337</v>
      </c>
      <c r="R400" s="5469">
        <v>0</v>
      </c>
      <c r="S400" s="5469">
        <v>0</v>
      </c>
      <c r="T400" s="5470">
        <v>1</v>
      </c>
      <c r="U400" s="5469">
        <v>0</v>
      </c>
    </row>
    <row r="401" spans="9:21" ht="36">
      <c r="I401" s="7114"/>
      <c r="J401" s="5471" t="s">
        <v>2171</v>
      </c>
      <c r="K401" s="5468" t="s">
        <v>679</v>
      </c>
      <c r="L401" s="5397">
        <v>11</v>
      </c>
      <c r="M401" s="5397">
        <v>11</v>
      </c>
      <c r="N401" s="5397">
        <v>9</v>
      </c>
      <c r="O401" s="5430">
        <f t="shared" si="9"/>
        <v>81.818181818181813</v>
      </c>
      <c r="P401" s="5431">
        <v>0.55555555555555558</v>
      </c>
      <c r="Q401" s="5431">
        <v>0.44444444444444442</v>
      </c>
      <c r="R401" s="5469">
        <v>0</v>
      </c>
      <c r="S401" s="5470">
        <v>0.6</v>
      </c>
      <c r="T401" s="5470">
        <v>0.2</v>
      </c>
      <c r="U401" s="5470">
        <v>0.2</v>
      </c>
    </row>
    <row r="402" spans="9:21" ht="36">
      <c r="I402" s="7114"/>
      <c r="J402" s="5471" t="s">
        <v>2173</v>
      </c>
      <c r="K402" s="5472" t="s">
        <v>680</v>
      </c>
      <c r="L402" s="5473">
        <v>14</v>
      </c>
      <c r="M402" s="5473">
        <v>14</v>
      </c>
      <c r="N402" s="5473">
        <v>12</v>
      </c>
      <c r="O402" s="5474">
        <f t="shared" si="9"/>
        <v>85.714285714285708</v>
      </c>
      <c r="P402" s="5475">
        <v>0.6</v>
      </c>
      <c r="Q402" s="5475">
        <v>0.4</v>
      </c>
      <c r="R402" s="5476">
        <v>0.16666666666666669</v>
      </c>
      <c r="S402" s="5476">
        <v>0.33333333333333337</v>
      </c>
      <c r="T402" s="5476">
        <v>0.33333333333333337</v>
      </c>
      <c r="U402" s="5476">
        <v>0.16666666666666669</v>
      </c>
    </row>
    <row r="403" spans="9:21">
      <c r="I403" s="7116" t="s">
        <v>15</v>
      </c>
      <c r="J403" s="7116"/>
      <c r="K403" s="7116"/>
      <c r="L403" s="5477">
        <f>SUM(L328:L402)</f>
        <v>10165</v>
      </c>
      <c r="M403" s="5410">
        <f>SUM(M328:M402)</f>
        <v>4397</v>
      </c>
      <c r="N403" s="5418">
        <f>SUM(N328:N402)</f>
        <v>3878</v>
      </c>
      <c r="O403" s="5478">
        <f t="shared" si="9"/>
        <v>88.196497612008187</v>
      </c>
      <c r="P403" s="5479">
        <v>0.71587819467101677</v>
      </c>
      <c r="Q403" s="5479">
        <v>0.28412180532898312</v>
      </c>
      <c r="R403" s="5480">
        <v>7.0493066255778128E-2</v>
      </c>
      <c r="S403" s="5480">
        <v>0.12596302003081664</v>
      </c>
      <c r="T403" s="5480">
        <v>0.33127889060092452</v>
      </c>
      <c r="U403" s="5480">
        <v>0.47226502311248075</v>
      </c>
    </row>
    <row r="404" spans="9:21">
      <c r="I404" s="5427"/>
      <c r="J404" s="5427"/>
      <c r="K404" s="5427"/>
      <c r="L404" s="5427"/>
      <c r="M404" s="594"/>
    </row>
    <row r="405" spans="9:21">
      <c r="I405" s="5427"/>
      <c r="J405" s="5427"/>
      <c r="K405" s="5427"/>
      <c r="L405" s="5427"/>
      <c r="M405" s="594"/>
    </row>
    <row r="406" spans="9:21" ht="18">
      <c r="J406" s="36"/>
      <c r="K406" s="5615">
        <v>2017</v>
      </c>
      <c r="M406" s="95"/>
      <c r="N406" s="95"/>
      <c r="O406" s="95"/>
    </row>
    <row r="407" spans="9:21">
      <c r="I407" s="95"/>
      <c r="J407" s="36"/>
      <c r="P407" s="7104" t="s">
        <v>2167</v>
      </c>
      <c r="Q407" s="7105"/>
      <c r="R407" s="5482" t="s">
        <v>2168</v>
      </c>
      <c r="S407" s="5483"/>
      <c r="T407" s="5483"/>
      <c r="U407" s="5484"/>
    </row>
    <row r="408" spans="9:21" ht="24">
      <c r="I408" s="5481" t="s">
        <v>0</v>
      </c>
      <c r="J408" s="5481" t="s">
        <v>1</v>
      </c>
      <c r="K408" s="5481" t="s">
        <v>1423</v>
      </c>
      <c r="L408" s="5481" t="s">
        <v>1893</v>
      </c>
      <c r="M408" s="5481" t="s">
        <v>1894</v>
      </c>
      <c r="N408" s="5485" t="s">
        <v>1898</v>
      </c>
      <c r="O408" s="5485" t="s">
        <v>2169</v>
      </c>
      <c r="P408" s="5481" t="s">
        <v>907</v>
      </c>
      <c r="Q408" s="5481" t="s">
        <v>908</v>
      </c>
      <c r="R408" s="5486" t="s">
        <v>1424</v>
      </c>
      <c r="S408" s="5486" t="s">
        <v>1425</v>
      </c>
      <c r="T408" s="5487" t="s">
        <v>1426</v>
      </c>
      <c r="U408" s="5486" t="s">
        <v>1427</v>
      </c>
    </row>
    <row r="409" spans="9:21">
      <c r="I409" s="7083" t="s">
        <v>3</v>
      </c>
      <c r="J409" s="7073" t="s">
        <v>2170</v>
      </c>
      <c r="K409" s="5488" t="s">
        <v>474</v>
      </c>
      <c r="L409" s="5489">
        <v>42</v>
      </c>
      <c r="M409" s="5489">
        <v>21</v>
      </c>
      <c r="N409" s="5489">
        <v>25</v>
      </c>
      <c r="O409" s="5490">
        <v>100</v>
      </c>
      <c r="P409" s="5491">
        <v>64</v>
      </c>
      <c r="Q409" s="5491">
        <v>36</v>
      </c>
      <c r="R409" s="5492">
        <v>0</v>
      </c>
      <c r="S409" s="5492">
        <v>25</v>
      </c>
      <c r="T409" s="5492">
        <v>43.75</v>
      </c>
      <c r="U409" s="5492">
        <v>31.25</v>
      </c>
    </row>
    <row r="410" spans="9:21">
      <c r="I410" s="7081"/>
      <c r="J410" s="7074"/>
      <c r="K410" s="5493" t="s">
        <v>475</v>
      </c>
      <c r="L410" s="5494">
        <v>22</v>
      </c>
      <c r="M410" s="5494">
        <v>22</v>
      </c>
      <c r="N410" s="5494">
        <v>18</v>
      </c>
      <c r="O410" s="5495">
        <v>81.8</v>
      </c>
      <c r="P410" s="5496">
        <v>83.33</v>
      </c>
      <c r="Q410" s="5496">
        <v>16.670000000000002</v>
      </c>
      <c r="R410" s="5497">
        <v>0</v>
      </c>
      <c r="S410" s="5497">
        <v>6.25</v>
      </c>
      <c r="T410" s="5497">
        <v>18.75</v>
      </c>
      <c r="U410" s="5497">
        <v>75</v>
      </c>
    </row>
    <row r="411" spans="9:21">
      <c r="I411" s="7081"/>
      <c r="J411" s="7074"/>
      <c r="K411" s="5493" t="s">
        <v>673</v>
      </c>
      <c r="L411" s="5494">
        <v>10</v>
      </c>
      <c r="M411" s="5494">
        <v>10</v>
      </c>
      <c r="N411" s="5494">
        <v>6</v>
      </c>
      <c r="O411" s="5495">
        <v>60</v>
      </c>
      <c r="P411" s="5496">
        <v>100</v>
      </c>
      <c r="Q411" s="5496">
        <v>0</v>
      </c>
      <c r="R411" s="5497">
        <v>0</v>
      </c>
      <c r="S411" s="5497">
        <v>0</v>
      </c>
      <c r="T411" s="5497">
        <v>33.33</v>
      </c>
      <c r="U411" s="5497">
        <v>66.67</v>
      </c>
    </row>
    <row r="412" spans="9:21">
      <c r="I412" s="7081"/>
      <c r="J412" s="7074"/>
      <c r="K412" s="5493" t="s">
        <v>477</v>
      </c>
      <c r="L412" s="5494">
        <v>17</v>
      </c>
      <c r="M412" s="5494">
        <v>17</v>
      </c>
      <c r="N412" s="5494">
        <v>13</v>
      </c>
      <c r="O412" s="5495">
        <v>76.5</v>
      </c>
      <c r="P412" s="5496">
        <v>41.67</v>
      </c>
      <c r="Q412" s="5496">
        <v>58.33</v>
      </c>
      <c r="R412" s="5497">
        <v>0</v>
      </c>
      <c r="S412" s="5497">
        <v>0</v>
      </c>
      <c r="T412" s="5497">
        <v>40</v>
      </c>
      <c r="U412" s="5497">
        <v>60</v>
      </c>
    </row>
    <row r="413" spans="9:21">
      <c r="I413" s="7081"/>
      <c r="J413" s="7074"/>
      <c r="K413" s="5493" t="s">
        <v>674</v>
      </c>
      <c r="L413" s="5494">
        <v>77</v>
      </c>
      <c r="M413" s="5494">
        <v>38</v>
      </c>
      <c r="N413" s="5494">
        <v>38</v>
      </c>
      <c r="O413" s="5495">
        <v>100</v>
      </c>
      <c r="P413" s="5496">
        <v>94.74</v>
      </c>
      <c r="Q413" s="5496">
        <v>5.26</v>
      </c>
      <c r="R413" s="5498">
        <v>2.7777777777777777</v>
      </c>
      <c r="S413" s="5498">
        <v>13.888888888888889</v>
      </c>
      <c r="T413" s="5498">
        <v>33.333333333333336</v>
      </c>
      <c r="U413" s="5498">
        <v>50</v>
      </c>
    </row>
    <row r="414" spans="9:21">
      <c r="I414" s="7081"/>
      <c r="J414" s="7074"/>
      <c r="K414" s="5493" t="s">
        <v>675</v>
      </c>
      <c r="L414" s="5494">
        <v>41</v>
      </c>
      <c r="M414" s="5494">
        <v>20</v>
      </c>
      <c r="N414" s="5494">
        <v>20</v>
      </c>
      <c r="O414" s="5495">
        <v>100</v>
      </c>
      <c r="P414" s="5496">
        <v>78.95</v>
      </c>
      <c r="Q414" s="5496">
        <v>21.05</v>
      </c>
      <c r="R414" s="5498">
        <v>0</v>
      </c>
      <c r="S414" s="5498">
        <v>25</v>
      </c>
      <c r="T414" s="5498">
        <v>37.5</v>
      </c>
      <c r="U414" s="5498">
        <v>37.5</v>
      </c>
    </row>
    <row r="415" spans="9:21">
      <c r="I415" s="7081"/>
      <c r="J415" s="7074"/>
      <c r="K415" s="5493" t="s">
        <v>676</v>
      </c>
      <c r="L415" s="5494">
        <v>5</v>
      </c>
      <c r="M415" s="5494">
        <v>5</v>
      </c>
      <c r="N415" s="5494">
        <v>1</v>
      </c>
      <c r="O415" s="5495">
        <v>20</v>
      </c>
      <c r="P415" s="5496">
        <v>100</v>
      </c>
      <c r="Q415" s="5496">
        <v>0</v>
      </c>
      <c r="R415" s="5498">
        <v>0</v>
      </c>
      <c r="S415" s="5498">
        <v>0</v>
      </c>
      <c r="T415" s="5498">
        <v>100</v>
      </c>
      <c r="U415" s="5498">
        <v>0</v>
      </c>
    </row>
    <row r="416" spans="9:21">
      <c r="I416" s="7081"/>
      <c r="J416" s="7074"/>
      <c r="K416" s="5493" t="s">
        <v>478</v>
      </c>
      <c r="L416" s="5494">
        <v>38</v>
      </c>
      <c r="M416" s="5494">
        <v>19</v>
      </c>
      <c r="N416" s="5494">
        <v>19</v>
      </c>
      <c r="O416" s="5495">
        <v>100</v>
      </c>
      <c r="P416" s="5496">
        <v>64.709999999999994</v>
      </c>
      <c r="Q416" s="5496">
        <v>35.29</v>
      </c>
      <c r="R416" s="5498">
        <v>0</v>
      </c>
      <c r="S416" s="5498">
        <v>9.0909090909090917</v>
      </c>
      <c r="T416" s="5498">
        <v>54.545454545454547</v>
      </c>
      <c r="U416" s="5498">
        <v>36.363636363636367</v>
      </c>
    </row>
    <row r="417" spans="9:21">
      <c r="I417" s="7081"/>
      <c r="J417" s="7074"/>
      <c r="K417" s="5493" t="s">
        <v>677</v>
      </c>
      <c r="L417" s="5494">
        <v>71</v>
      </c>
      <c r="M417" s="5494">
        <v>35</v>
      </c>
      <c r="N417" s="5494">
        <v>37</v>
      </c>
      <c r="O417" s="5495">
        <v>100</v>
      </c>
      <c r="P417" s="5496">
        <v>81.08</v>
      </c>
      <c r="Q417" s="5496">
        <v>18.920000000000002</v>
      </c>
      <c r="R417" s="5498">
        <v>3.3333333333333335</v>
      </c>
      <c r="S417" s="5498">
        <v>20</v>
      </c>
      <c r="T417" s="5498">
        <v>50</v>
      </c>
      <c r="U417" s="5498">
        <v>26.666666666666668</v>
      </c>
    </row>
    <row r="418" spans="9:21">
      <c r="I418" s="7081"/>
      <c r="J418" s="7075"/>
      <c r="K418" s="5499" t="s">
        <v>476</v>
      </c>
      <c r="L418" s="5500">
        <v>63</v>
      </c>
      <c r="M418" s="5500">
        <v>31</v>
      </c>
      <c r="N418" s="5500">
        <v>34</v>
      </c>
      <c r="O418" s="5501">
        <v>100</v>
      </c>
      <c r="P418" s="5502">
        <v>91.18</v>
      </c>
      <c r="Q418" s="5502">
        <v>8.82</v>
      </c>
      <c r="R418" s="5503">
        <v>0</v>
      </c>
      <c r="S418" s="5503">
        <v>6.45</v>
      </c>
      <c r="T418" s="5503">
        <v>22.58</v>
      </c>
      <c r="U418" s="5503">
        <v>70.97</v>
      </c>
    </row>
    <row r="419" spans="9:21">
      <c r="I419" s="7081"/>
      <c r="J419" s="7073" t="s">
        <v>2171</v>
      </c>
      <c r="K419" s="5504" t="s">
        <v>17</v>
      </c>
      <c r="L419" s="5505">
        <v>183</v>
      </c>
      <c r="M419" s="5505">
        <v>76</v>
      </c>
      <c r="N419" s="5505">
        <v>76</v>
      </c>
      <c r="O419" s="5506">
        <v>100</v>
      </c>
      <c r="P419" s="5507">
        <v>85.33</v>
      </c>
      <c r="Q419" s="5507">
        <v>14.67</v>
      </c>
      <c r="R419" s="5508">
        <v>4.615384615384615</v>
      </c>
      <c r="S419" s="5508">
        <v>10.76923076923077</v>
      </c>
      <c r="T419" s="5508">
        <v>47.692307692307693</v>
      </c>
      <c r="U419" s="5508">
        <v>36.92307692307692</v>
      </c>
    </row>
    <row r="420" spans="9:21">
      <c r="I420" s="7081"/>
      <c r="J420" s="7074"/>
      <c r="K420" s="5493" t="s">
        <v>18</v>
      </c>
      <c r="L420" s="5494">
        <v>233</v>
      </c>
      <c r="M420" s="5494">
        <v>96</v>
      </c>
      <c r="N420" s="5494">
        <v>101</v>
      </c>
      <c r="O420" s="5495">
        <v>100</v>
      </c>
      <c r="P420" s="5509">
        <v>79.209999999999994</v>
      </c>
      <c r="Q420" s="5509">
        <v>20.79</v>
      </c>
      <c r="R420" s="5498">
        <v>3.6585365853658538</v>
      </c>
      <c r="S420" s="5498">
        <v>12.195121951219512</v>
      </c>
      <c r="T420" s="5498">
        <v>18.292682926829269</v>
      </c>
      <c r="U420" s="5498">
        <v>65.853658536585371</v>
      </c>
    </row>
    <row r="421" spans="9:21">
      <c r="I421" s="7081"/>
      <c r="J421" s="7074"/>
      <c r="K421" s="5493" t="s">
        <v>19</v>
      </c>
      <c r="L421" s="5494">
        <v>69</v>
      </c>
      <c r="M421" s="5494">
        <v>28</v>
      </c>
      <c r="N421" s="5494">
        <v>28</v>
      </c>
      <c r="O421" s="5495">
        <v>100</v>
      </c>
      <c r="P421" s="5509">
        <v>71.430000000000007</v>
      </c>
      <c r="Q421" s="5509">
        <v>28.57</v>
      </c>
      <c r="R421" s="5498">
        <v>20</v>
      </c>
      <c r="S421" s="5498">
        <v>10</v>
      </c>
      <c r="T421" s="5498">
        <v>25</v>
      </c>
      <c r="U421" s="5498">
        <v>45</v>
      </c>
    </row>
    <row r="422" spans="9:21">
      <c r="I422" s="7081"/>
      <c r="J422" s="7075"/>
      <c r="K422" s="5499" t="s">
        <v>20</v>
      </c>
      <c r="L422" s="5500">
        <v>65</v>
      </c>
      <c r="M422" s="5500">
        <v>28</v>
      </c>
      <c r="N422" s="5500">
        <v>32</v>
      </c>
      <c r="O422" s="5501">
        <v>100</v>
      </c>
      <c r="P422" s="5510">
        <v>59.38</v>
      </c>
      <c r="Q422" s="5510">
        <v>40.619999999999997</v>
      </c>
      <c r="R422" s="5511">
        <v>10.526315789473685</v>
      </c>
      <c r="S422" s="5511">
        <v>31.578947368421051</v>
      </c>
      <c r="T422" s="5511">
        <v>42.10526315789474</v>
      </c>
      <c r="U422" s="5511">
        <v>15.789473684210526</v>
      </c>
    </row>
    <row r="423" spans="9:21">
      <c r="I423" s="7081"/>
      <c r="J423" s="7073" t="s">
        <v>2172</v>
      </c>
      <c r="K423" s="3903" t="s">
        <v>22</v>
      </c>
      <c r="L423" s="5512">
        <v>86</v>
      </c>
      <c r="M423" s="5513">
        <v>52</v>
      </c>
      <c r="N423" s="5513">
        <v>47</v>
      </c>
      <c r="O423" s="5514">
        <v>90.4</v>
      </c>
      <c r="P423" s="5507">
        <v>85.11</v>
      </c>
      <c r="Q423" s="5507">
        <v>14.89</v>
      </c>
      <c r="R423" s="5508">
        <v>5</v>
      </c>
      <c r="S423" s="5508">
        <v>2.5</v>
      </c>
      <c r="T423" s="5508">
        <v>22.5</v>
      </c>
      <c r="U423" s="5508">
        <v>70</v>
      </c>
    </row>
    <row r="424" spans="9:21">
      <c r="I424" s="7081"/>
      <c r="J424" s="7074"/>
      <c r="K424" s="2800" t="s">
        <v>1906</v>
      </c>
      <c r="L424" s="5515">
        <v>105</v>
      </c>
      <c r="M424" s="5420">
        <v>63</v>
      </c>
      <c r="N424" s="5420">
        <v>64</v>
      </c>
      <c r="O424" s="5516">
        <v>100</v>
      </c>
      <c r="P424" s="5509">
        <v>78.13</v>
      </c>
      <c r="Q424" s="5509">
        <v>21.87</v>
      </c>
      <c r="R424" s="5498">
        <v>3.9215686274509802</v>
      </c>
      <c r="S424" s="5498">
        <v>11.764705882352942</v>
      </c>
      <c r="T424" s="5498">
        <v>11.764705882352942</v>
      </c>
      <c r="U424" s="5498">
        <v>72.549019607843135</v>
      </c>
    </row>
    <row r="425" spans="9:21">
      <c r="I425" s="7084"/>
      <c r="J425" s="7075"/>
      <c r="K425" s="5517" t="s">
        <v>1907</v>
      </c>
      <c r="L425" s="5518">
        <v>64</v>
      </c>
      <c r="M425" s="5421">
        <v>38</v>
      </c>
      <c r="N425" s="5421">
        <v>38</v>
      </c>
      <c r="O425" s="5519">
        <v>100</v>
      </c>
      <c r="P425" s="5510">
        <v>68.42</v>
      </c>
      <c r="Q425" s="5510">
        <v>31.58</v>
      </c>
      <c r="R425" s="5511">
        <v>7.4074074074074074</v>
      </c>
      <c r="S425" s="5511">
        <v>11.111111111111111</v>
      </c>
      <c r="T425" s="5511">
        <v>29.62962962962963</v>
      </c>
      <c r="U425" s="5511">
        <v>51.851851851851855</v>
      </c>
    </row>
    <row r="426" spans="9:21">
      <c r="I426" s="7083" t="s">
        <v>25</v>
      </c>
      <c r="J426" s="7073" t="s">
        <v>2170</v>
      </c>
      <c r="K426" s="3903" t="s">
        <v>32</v>
      </c>
      <c r="L426" s="5512">
        <v>46</v>
      </c>
      <c r="M426" s="5513">
        <v>30</v>
      </c>
      <c r="N426" s="5513">
        <v>30</v>
      </c>
      <c r="O426" s="5514">
        <v>100</v>
      </c>
      <c r="P426" s="5507">
        <v>86.67</v>
      </c>
      <c r="Q426" s="5507">
        <v>13.33</v>
      </c>
      <c r="R426" s="5508">
        <v>7.6923076923076925</v>
      </c>
      <c r="S426" s="5508">
        <v>7.6923076923076925</v>
      </c>
      <c r="T426" s="5508">
        <v>15.384615384615385</v>
      </c>
      <c r="U426" s="5508">
        <v>69.230769230769226</v>
      </c>
    </row>
    <row r="427" spans="9:21">
      <c r="I427" s="7081"/>
      <c r="J427" s="7074"/>
      <c r="K427" s="2800" t="s">
        <v>29</v>
      </c>
      <c r="L427" s="5515">
        <v>9</v>
      </c>
      <c r="M427" s="5420">
        <v>9</v>
      </c>
      <c r="N427" s="5420">
        <v>4</v>
      </c>
      <c r="O427" s="5516">
        <v>44.4</v>
      </c>
      <c r="P427" s="5497">
        <v>75</v>
      </c>
      <c r="Q427" s="5497">
        <v>25</v>
      </c>
      <c r="R427" s="5498">
        <v>0</v>
      </c>
      <c r="S427" s="5498">
        <v>0</v>
      </c>
      <c r="T427" s="5498">
        <v>66.666666666666671</v>
      </c>
      <c r="U427" s="5498">
        <v>33.333333333333336</v>
      </c>
    </row>
    <row r="428" spans="9:21">
      <c r="I428" s="7081"/>
      <c r="J428" s="7074"/>
      <c r="K428" s="2800" t="s">
        <v>479</v>
      </c>
      <c r="L428" s="5515">
        <v>27</v>
      </c>
      <c r="M428" s="5420">
        <v>27</v>
      </c>
      <c r="N428" s="5420">
        <v>13</v>
      </c>
      <c r="O428" s="5516">
        <v>59.3</v>
      </c>
      <c r="P428" s="5497">
        <v>84.615384615384613</v>
      </c>
      <c r="Q428" s="5497">
        <v>15.384615384615385</v>
      </c>
      <c r="R428" s="5498">
        <v>0</v>
      </c>
      <c r="S428" s="5498">
        <v>18.181818181818183</v>
      </c>
      <c r="T428" s="5498">
        <v>27.272727272727273</v>
      </c>
      <c r="U428" s="5498">
        <v>54.545454545454547</v>
      </c>
    </row>
    <row r="429" spans="9:21">
      <c r="I429" s="7081"/>
      <c r="J429" s="7074"/>
      <c r="K429" s="2800" t="s">
        <v>677</v>
      </c>
      <c r="L429" s="5515">
        <v>45</v>
      </c>
      <c r="M429" s="5420">
        <v>29</v>
      </c>
      <c r="N429" s="5420">
        <v>20</v>
      </c>
      <c r="O429" s="5516">
        <v>69</v>
      </c>
      <c r="P429" s="5497">
        <v>85</v>
      </c>
      <c r="Q429" s="5497">
        <v>15</v>
      </c>
      <c r="R429" s="5498">
        <v>11.764705882352942</v>
      </c>
      <c r="S429" s="5498">
        <v>17.647058823529413</v>
      </c>
      <c r="T429" s="5498">
        <v>41.176470588235297</v>
      </c>
      <c r="U429" s="5498">
        <v>29.411764705882351</v>
      </c>
    </row>
    <row r="430" spans="9:21">
      <c r="I430" s="7081"/>
      <c r="J430" s="7074"/>
      <c r="K430" s="2800" t="s">
        <v>261</v>
      </c>
      <c r="L430" s="5515">
        <v>20</v>
      </c>
      <c r="M430" s="5420">
        <v>20</v>
      </c>
      <c r="N430" s="5420">
        <v>8</v>
      </c>
      <c r="O430" s="5516">
        <v>40</v>
      </c>
      <c r="P430" s="5497">
        <v>37.5</v>
      </c>
      <c r="Q430" s="5497">
        <v>62.5</v>
      </c>
      <c r="R430" s="5498">
        <v>0</v>
      </c>
      <c r="S430" s="5498">
        <v>25</v>
      </c>
      <c r="T430" s="5498">
        <v>25</v>
      </c>
      <c r="U430" s="5498">
        <v>50</v>
      </c>
    </row>
    <row r="431" spans="9:21">
      <c r="I431" s="7081"/>
      <c r="J431" s="7074"/>
      <c r="K431" s="2800" t="s">
        <v>678</v>
      </c>
      <c r="L431" s="5515">
        <v>6</v>
      </c>
      <c r="M431" s="5420">
        <v>6</v>
      </c>
      <c r="N431" s="5420">
        <v>2</v>
      </c>
      <c r="O431" s="5516">
        <v>33.299999999999997</v>
      </c>
      <c r="P431" s="5497">
        <v>50</v>
      </c>
      <c r="Q431" s="5497">
        <v>50</v>
      </c>
      <c r="R431" s="5498">
        <v>0</v>
      </c>
      <c r="S431" s="5498">
        <v>0</v>
      </c>
      <c r="T431" s="5498">
        <v>0</v>
      </c>
      <c r="U431" s="5498">
        <v>100</v>
      </c>
    </row>
    <row r="432" spans="9:21">
      <c r="I432" s="7081"/>
      <c r="J432" s="7074"/>
      <c r="K432" s="2800" t="s">
        <v>478</v>
      </c>
      <c r="L432" s="5515">
        <v>22</v>
      </c>
      <c r="M432" s="5420">
        <v>22</v>
      </c>
      <c r="N432" s="5420">
        <v>13</v>
      </c>
      <c r="O432" s="5516">
        <v>59.1</v>
      </c>
      <c r="P432" s="5497">
        <v>69.230769230769226</v>
      </c>
      <c r="Q432" s="5497">
        <v>30.76923076923077</v>
      </c>
      <c r="R432" s="5498">
        <v>0</v>
      </c>
      <c r="S432" s="5498">
        <v>14.285714285714286</v>
      </c>
      <c r="T432" s="5498">
        <v>42.857142857142854</v>
      </c>
      <c r="U432" s="5498">
        <v>42.857142857142854</v>
      </c>
    </row>
    <row r="433" spans="9:21">
      <c r="I433" s="7081"/>
      <c r="J433" s="7074"/>
      <c r="K433" s="2800" t="s">
        <v>30</v>
      </c>
      <c r="L433" s="5515">
        <v>17</v>
      </c>
      <c r="M433" s="5420">
        <v>17</v>
      </c>
      <c r="N433" s="5420">
        <v>13</v>
      </c>
      <c r="O433" s="5516">
        <v>64.7</v>
      </c>
      <c r="P433" s="5497">
        <v>45.5</v>
      </c>
      <c r="Q433" s="5497">
        <v>54.5</v>
      </c>
      <c r="R433" s="5498">
        <v>33.333333333333336</v>
      </c>
      <c r="S433" s="5498">
        <v>66.666666666666671</v>
      </c>
      <c r="T433" s="5498">
        <v>0</v>
      </c>
      <c r="U433" s="5498">
        <v>0</v>
      </c>
    </row>
    <row r="434" spans="9:21">
      <c r="I434" s="7081"/>
      <c r="J434" s="7075"/>
      <c r="K434" s="5517" t="s">
        <v>31</v>
      </c>
      <c r="L434" s="5518">
        <v>14</v>
      </c>
      <c r="M434" s="5421">
        <v>14</v>
      </c>
      <c r="N434" s="5421">
        <v>9</v>
      </c>
      <c r="O434" s="5519">
        <v>64.3</v>
      </c>
      <c r="P434" s="5503">
        <v>0</v>
      </c>
      <c r="Q434" s="5503">
        <v>100</v>
      </c>
      <c r="R434" s="5511">
        <v>0</v>
      </c>
      <c r="S434" s="5511">
        <v>0</v>
      </c>
      <c r="T434" s="5511">
        <v>0</v>
      </c>
      <c r="U434" s="5511">
        <v>0</v>
      </c>
    </row>
    <row r="435" spans="9:21">
      <c r="I435" s="7081"/>
      <c r="J435" s="7073" t="s">
        <v>2171</v>
      </c>
      <c r="K435" s="3903" t="s">
        <v>17</v>
      </c>
      <c r="L435" s="5512">
        <v>130</v>
      </c>
      <c r="M435" s="5513">
        <v>52</v>
      </c>
      <c r="N435" s="5513">
        <v>48</v>
      </c>
      <c r="O435" s="5514">
        <v>92.3</v>
      </c>
      <c r="P435" s="5520">
        <v>79.2</v>
      </c>
      <c r="Q435" s="5520">
        <v>20.8</v>
      </c>
      <c r="R435" s="5508">
        <v>0</v>
      </c>
      <c r="S435" s="5508">
        <v>10.810810810810811</v>
      </c>
      <c r="T435" s="5508">
        <v>43.243243243243242</v>
      </c>
      <c r="U435" s="5508">
        <v>45.945945945945944</v>
      </c>
    </row>
    <row r="436" spans="9:21">
      <c r="I436" s="7081"/>
      <c r="J436" s="7074"/>
      <c r="K436" s="2800" t="s">
        <v>33</v>
      </c>
      <c r="L436" s="5515">
        <v>40</v>
      </c>
      <c r="M436" s="5420">
        <v>16</v>
      </c>
      <c r="N436" s="5420">
        <v>16</v>
      </c>
      <c r="O436" s="5516">
        <v>100</v>
      </c>
      <c r="P436" s="5497">
        <v>56.25</v>
      </c>
      <c r="Q436" s="5497">
        <v>43.75</v>
      </c>
      <c r="R436" s="5498">
        <v>0</v>
      </c>
      <c r="S436" s="5498">
        <v>33.333333333333336</v>
      </c>
      <c r="T436" s="5498">
        <v>22.222222222222221</v>
      </c>
      <c r="U436" s="5498">
        <v>44.444444444444443</v>
      </c>
    </row>
    <row r="437" spans="9:21">
      <c r="I437" s="7081"/>
      <c r="J437" s="7074"/>
      <c r="K437" s="2800" t="s">
        <v>38</v>
      </c>
      <c r="L437" s="5515">
        <v>58</v>
      </c>
      <c r="M437" s="5420">
        <v>23</v>
      </c>
      <c r="N437" s="5420">
        <v>29</v>
      </c>
      <c r="O437" s="5516">
        <v>100</v>
      </c>
      <c r="P437" s="5497">
        <v>75</v>
      </c>
      <c r="Q437" s="5497">
        <v>25</v>
      </c>
      <c r="R437" s="5498">
        <v>14.285714285714286</v>
      </c>
      <c r="S437" s="5498">
        <v>28.571428571428573</v>
      </c>
      <c r="T437" s="5498">
        <v>28.571428571428573</v>
      </c>
      <c r="U437" s="5498">
        <v>28.571428571428573</v>
      </c>
    </row>
    <row r="438" spans="9:21">
      <c r="I438" s="7081"/>
      <c r="J438" s="7074"/>
      <c r="K438" s="2800" t="s">
        <v>19</v>
      </c>
      <c r="L438" s="5515">
        <v>38</v>
      </c>
      <c r="M438" s="5420">
        <v>15</v>
      </c>
      <c r="N438" s="5420">
        <v>15</v>
      </c>
      <c r="O438" s="5516">
        <v>100</v>
      </c>
      <c r="P438" s="5497">
        <v>66.666666666666671</v>
      </c>
      <c r="Q438" s="5497">
        <v>33.333333333333336</v>
      </c>
      <c r="R438" s="5498">
        <v>0</v>
      </c>
      <c r="S438" s="5498">
        <v>30</v>
      </c>
      <c r="T438" s="5498">
        <v>40</v>
      </c>
      <c r="U438" s="5498">
        <v>30</v>
      </c>
    </row>
    <row r="439" spans="9:21">
      <c r="I439" s="7081"/>
      <c r="J439" s="7074"/>
      <c r="K439" s="2800" t="s">
        <v>35</v>
      </c>
      <c r="L439" s="5515">
        <v>26</v>
      </c>
      <c r="M439" s="5420">
        <v>26</v>
      </c>
      <c r="N439" s="5420">
        <v>13</v>
      </c>
      <c r="O439" s="5516">
        <v>50</v>
      </c>
      <c r="P439" s="5497">
        <v>76.92307692307692</v>
      </c>
      <c r="Q439" s="5497">
        <v>23.076923076923077</v>
      </c>
      <c r="R439" s="5498">
        <v>10</v>
      </c>
      <c r="S439" s="5498">
        <v>10</v>
      </c>
      <c r="T439" s="5498">
        <v>60</v>
      </c>
      <c r="U439" s="5498">
        <v>20</v>
      </c>
    </row>
    <row r="440" spans="9:21">
      <c r="I440" s="7081"/>
      <c r="J440" s="7074"/>
      <c r="K440" s="2800" t="s">
        <v>36</v>
      </c>
      <c r="L440" s="5515">
        <v>39</v>
      </c>
      <c r="M440" s="5420">
        <v>16</v>
      </c>
      <c r="N440" s="5420">
        <v>17</v>
      </c>
      <c r="O440" s="5516">
        <v>100</v>
      </c>
      <c r="P440" s="5497">
        <v>35.294117647058826</v>
      </c>
      <c r="Q440" s="5497">
        <v>64.705882352941174</v>
      </c>
      <c r="R440" s="5498">
        <v>0</v>
      </c>
      <c r="S440" s="5498">
        <v>0</v>
      </c>
      <c r="T440" s="5498">
        <v>66.666666666666671</v>
      </c>
      <c r="U440" s="5498">
        <v>33.333333333333336</v>
      </c>
    </row>
    <row r="441" spans="9:21">
      <c r="I441" s="7081"/>
      <c r="J441" s="7074"/>
      <c r="K441" s="2800" t="s">
        <v>34</v>
      </c>
      <c r="L441" s="5515">
        <v>40</v>
      </c>
      <c r="M441" s="5420">
        <v>16</v>
      </c>
      <c r="N441" s="5420">
        <v>20</v>
      </c>
      <c r="O441" s="5516">
        <v>100</v>
      </c>
      <c r="P441" s="5497">
        <v>70</v>
      </c>
      <c r="Q441" s="5497">
        <v>30</v>
      </c>
      <c r="R441" s="5498">
        <v>14.285714285714286</v>
      </c>
      <c r="S441" s="5498">
        <v>0</v>
      </c>
      <c r="T441" s="5498">
        <v>14.285714285714286</v>
      </c>
      <c r="U441" s="5498">
        <v>71.428571428571431</v>
      </c>
    </row>
    <row r="442" spans="9:21">
      <c r="I442" s="7081"/>
      <c r="J442" s="7074"/>
      <c r="K442" s="2800" t="s">
        <v>480</v>
      </c>
      <c r="L442" s="5515">
        <v>17</v>
      </c>
      <c r="M442" s="5420">
        <v>17</v>
      </c>
      <c r="N442" s="5420">
        <v>8</v>
      </c>
      <c r="O442" s="5516">
        <v>47.1</v>
      </c>
      <c r="P442" s="5497">
        <v>75</v>
      </c>
      <c r="Q442" s="5497">
        <v>25</v>
      </c>
      <c r="R442" s="5498">
        <v>16.666666666666668</v>
      </c>
      <c r="S442" s="5498">
        <v>16.666666666666668</v>
      </c>
      <c r="T442" s="5498">
        <v>16.666666666666668</v>
      </c>
      <c r="U442" s="5498">
        <v>50</v>
      </c>
    </row>
    <row r="443" spans="9:21">
      <c r="I443" s="7081"/>
      <c r="J443" s="7074"/>
      <c r="K443" s="2800" t="s">
        <v>39</v>
      </c>
      <c r="L443" s="5515">
        <v>149</v>
      </c>
      <c r="M443" s="5420">
        <v>60</v>
      </c>
      <c r="N443" s="5420">
        <v>63</v>
      </c>
      <c r="O443" s="5516">
        <v>100</v>
      </c>
      <c r="P443" s="5497">
        <v>79.365079365079367</v>
      </c>
      <c r="Q443" s="5497">
        <v>20.634920634920636</v>
      </c>
      <c r="R443" s="5498">
        <v>12.244897959183673</v>
      </c>
      <c r="S443" s="5498">
        <v>10.204081632653061</v>
      </c>
      <c r="T443" s="5498">
        <v>44.897959183673471</v>
      </c>
      <c r="U443" s="5498">
        <v>32.653061224489797</v>
      </c>
    </row>
    <row r="444" spans="9:21">
      <c r="I444" s="7081"/>
      <c r="J444" s="7074"/>
      <c r="K444" s="2800" t="s">
        <v>20</v>
      </c>
      <c r="L444" s="5515">
        <v>27</v>
      </c>
      <c r="M444" s="5420">
        <v>27</v>
      </c>
      <c r="N444" s="5420">
        <v>11</v>
      </c>
      <c r="O444" s="5516">
        <v>40.700000000000003</v>
      </c>
      <c r="P444" s="5497">
        <v>81.818181818181813</v>
      </c>
      <c r="Q444" s="5497">
        <v>18.181818181818183</v>
      </c>
      <c r="R444" s="5498">
        <v>22.222222222222221</v>
      </c>
      <c r="S444" s="5498">
        <v>22.222222222222221</v>
      </c>
      <c r="T444" s="5498">
        <v>22.222222222222221</v>
      </c>
      <c r="U444" s="5498">
        <v>33.333333333333336</v>
      </c>
    </row>
    <row r="445" spans="9:21">
      <c r="I445" s="7081"/>
      <c r="J445" s="7075"/>
      <c r="K445" s="5517" t="s">
        <v>40</v>
      </c>
      <c r="L445" s="5518">
        <v>7</v>
      </c>
      <c r="M445" s="5421">
        <v>7</v>
      </c>
      <c r="N445" s="5421">
        <v>4</v>
      </c>
      <c r="O445" s="5519">
        <v>57.1</v>
      </c>
      <c r="P445" s="5503">
        <v>100</v>
      </c>
      <c r="Q445" s="5503">
        <v>0</v>
      </c>
      <c r="R445" s="5511">
        <v>0</v>
      </c>
      <c r="S445" s="5511">
        <v>0</v>
      </c>
      <c r="T445" s="5511">
        <v>50</v>
      </c>
      <c r="U445" s="5511">
        <v>50</v>
      </c>
    </row>
    <row r="446" spans="9:21">
      <c r="I446" s="7081"/>
      <c r="J446" s="7073" t="s">
        <v>2173</v>
      </c>
      <c r="K446" s="3903" t="s">
        <v>42</v>
      </c>
      <c r="L446" s="5512">
        <v>72</v>
      </c>
      <c r="M446" s="5513">
        <v>40</v>
      </c>
      <c r="N446" s="5513">
        <v>35</v>
      </c>
      <c r="O446" s="5514">
        <v>87.5</v>
      </c>
      <c r="P446" s="5520">
        <v>57.142857142857146</v>
      </c>
      <c r="Q446" s="5520">
        <v>42.857142857142854</v>
      </c>
      <c r="R446" s="5508">
        <v>4.7619047619047619</v>
      </c>
      <c r="S446" s="5508">
        <v>23.80952380952381</v>
      </c>
      <c r="T446" s="5508">
        <v>28.571428571428573</v>
      </c>
      <c r="U446" s="5508">
        <v>42.857142857142854</v>
      </c>
    </row>
    <row r="447" spans="9:21">
      <c r="I447" s="7081"/>
      <c r="J447" s="7074"/>
      <c r="K447" s="2800" t="s">
        <v>43</v>
      </c>
      <c r="L447" s="5515">
        <v>41</v>
      </c>
      <c r="M447" s="5420">
        <v>23</v>
      </c>
      <c r="N447" s="5420">
        <v>23</v>
      </c>
      <c r="O447" s="5516">
        <v>100</v>
      </c>
      <c r="P447" s="5497">
        <v>21.739130434782609</v>
      </c>
      <c r="Q447" s="5497">
        <v>78.260869565217391</v>
      </c>
      <c r="R447" s="5498">
        <v>20</v>
      </c>
      <c r="S447" s="5498">
        <v>0</v>
      </c>
      <c r="T447" s="5498">
        <v>60</v>
      </c>
      <c r="U447" s="5498">
        <v>20</v>
      </c>
    </row>
    <row r="448" spans="9:21">
      <c r="I448" s="7081"/>
      <c r="J448" s="7074"/>
      <c r="K448" s="2800" t="s">
        <v>44</v>
      </c>
      <c r="L448" s="5515">
        <v>31</v>
      </c>
      <c r="M448" s="5420">
        <v>17</v>
      </c>
      <c r="N448" s="5420">
        <v>14</v>
      </c>
      <c r="O448" s="5516">
        <v>82.4</v>
      </c>
      <c r="P448" s="5497">
        <v>35.714285714285715</v>
      </c>
      <c r="Q448" s="5497">
        <v>64.285714285714292</v>
      </c>
      <c r="R448" s="5498">
        <v>20</v>
      </c>
      <c r="S448" s="5498">
        <v>20</v>
      </c>
      <c r="T448" s="5498">
        <v>20</v>
      </c>
      <c r="U448" s="5498">
        <v>40</v>
      </c>
    </row>
    <row r="449" spans="1:33">
      <c r="I449" s="7081"/>
      <c r="J449" s="7074"/>
      <c r="K449" s="2800" t="s">
        <v>262</v>
      </c>
      <c r="L449" s="5515">
        <v>69</v>
      </c>
      <c r="M449" s="5420">
        <v>39</v>
      </c>
      <c r="N449" s="5420">
        <v>35</v>
      </c>
      <c r="O449" s="5516">
        <v>79.5</v>
      </c>
      <c r="P449" s="5497">
        <v>57.142857142857146</v>
      </c>
      <c r="Q449" s="5497">
        <v>42.857142857142854</v>
      </c>
      <c r="R449" s="5498">
        <v>0</v>
      </c>
      <c r="S449" s="5498">
        <v>14.285714285714286</v>
      </c>
      <c r="T449" s="5498">
        <v>23.80952380952381</v>
      </c>
      <c r="U449" s="5498">
        <v>61.904761904761905</v>
      </c>
    </row>
    <row r="450" spans="1:33">
      <c r="I450" s="7081"/>
      <c r="J450" s="7074"/>
      <c r="K450" s="2800" t="s">
        <v>263</v>
      </c>
      <c r="L450" s="5515">
        <v>73</v>
      </c>
      <c r="M450" s="5420">
        <v>41</v>
      </c>
      <c r="N450" s="5420">
        <v>43</v>
      </c>
      <c r="O450" s="5516">
        <v>100</v>
      </c>
      <c r="P450" s="5497">
        <v>62.790697674418603</v>
      </c>
      <c r="Q450" s="5497">
        <v>37.209302325581397</v>
      </c>
      <c r="R450" s="5498">
        <v>11.111111111111111</v>
      </c>
      <c r="S450" s="5498">
        <v>18.518518518518519</v>
      </c>
      <c r="T450" s="5498">
        <v>25.925925925925927</v>
      </c>
      <c r="U450" s="5498">
        <v>44.444444444444443</v>
      </c>
    </row>
    <row r="451" spans="1:33">
      <c r="I451" s="7084"/>
      <c r="J451" s="7075"/>
      <c r="K451" s="5517" t="s">
        <v>45</v>
      </c>
      <c r="L451" s="5518">
        <v>14</v>
      </c>
      <c r="M451" s="5421">
        <v>14</v>
      </c>
      <c r="N451" s="5421">
        <v>5</v>
      </c>
      <c r="O451" s="5519">
        <v>35.700000000000003</v>
      </c>
      <c r="P451" s="5503">
        <v>100</v>
      </c>
      <c r="Q451" s="5503">
        <v>0</v>
      </c>
      <c r="R451" s="5511">
        <v>0</v>
      </c>
      <c r="S451" s="5511">
        <v>25</v>
      </c>
      <c r="T451" s="5511">
        <v>25</v>
      </c>
      <c r="U451" s="5511">
        <v>50</v>
      </c>
    </row>
    <row r="452" spans="1:33">
      <c r="I452" s="7083" t="s">
        <v>48</v>
      </c>
      <c r="J452" s="7073" t="s">
        <v>2171</v>
      </c>
      <c r="K452" s="3903" t="s">
        <v>17</v>
      </c>
      <c r="L452" s="5512">
        <v>130</v>
      </c>
      <c r="M452" s="5513">
        <v>42</v>
      </c>
      <c r="N452" s="5513">
        <v>46</v>
      </c>
      <c r="O452" s="5514">
        <v>100</v>
      </c>
      <c r="P452" s="5520">
        <v>82.608695652173907</v>
      </c>
      <c r="Q452" s="5520">
        <v>17.391304347826086</v>
      </c>
      <c r="R452" s="5508">
        <v>5.2631578947368425</v>
      </c>
      <c r="S452" s="5508">
        <v>13.157894736842104</v>
      </c>
      <c r="T452" s="5508">
        <v>47.368421052631582</v>
      </c>
      <c r="U452" s="5508">
        <v>34.210526315789473</v>
      </c>
    </row>
    <row r="453" spans="1:33">
      <c r="I453" s="7081"/>
      <c r="J453" s="7074"/>
      <c r="K453" s="2800" t="s">
        <v>49</v>
      </c>
      <c r="L453" s="5515">
        <v>170</v>
      </c>
      <c r="M453" s="5420">
        <v>55</v>
      </c>
      <c r="N453" s="5420">
        <v>59</v>
      </c>
      <c r="O453" s="5516">
        <v>100</v>
      </c>
      <c r="P453" s="5497">
        <v>79.310344827586206</v>
      </c>
      <c r="Q453" s="5497">
        <v>20.689655172413794</v>
      </c>
      <c r="R453" s="5498">
        <v>10.638297872340425</v>
      </c>
      <c r="S453" s="5498">
        <v>6.3829787234042552</v>
      </c>
      <c r="T453" s="5498">
        <v>25.531914893617021</v>
      </c>
      <c r="U453" s="5498">
        <v>57.446808510638299</v>
      </c>
    </row>
    <row r="454" spans="1:33">
      <c r="I454" s="7081"/>
      <c r="J454" s="7074"/>
      <c r="K454" s="2800" t="s">
        <v>19</v>
      </c>
      <c r="L454" s="5515">
        <v>81</v>
      </c>
      <c r="M454" s="5420">
        <v>26</v>
      </c>
      <c r="N454" s="5420">
        <v>26</v>
      </c>
      <c r="O454" s="5516">
        <v>100</v>
      </c>
      <c r="P454" s="5497">
        <v>73.07692307692308</v>
      </c>
      <c r="Q454" s="5497">
        <v>26.923076923076923</v>
      </c>
      <c r="R454" s="5498">
        <v>5.2631578947368425</v>
      </c>
      <c r="S454" s="5498">
        <v>26.315789473684209</v>
      </c>
      <c r="T454" s="5498">
        <v>36.842105263157897</v>
      </c>
      <c r="U454" s="5498">
        <v>31.578947368421051</v>
      </c>
    </row>
    <row r="455" spans="1:33">
      <c r="I455" s="7081"/>
      <c r="J455" s="7074"/>
      <c r="K455" s="2800" t="s">
        <v>51</v>
      </c>
      <c r="L455" s="5515">
        <v>46</v>
      </c>
      <c r="M455" s="5420">
        <v>15</v>
      </c>
      <c r="N455" s="5420">
        <v>16</v>
      </c>
      <c r="O455" s="5516">
        <v>100</v>
      </c>
      <c r="P455" s="5497">
        <v>87.5</v>
      </c>
      <c r="Q455" s="5497">
        <v>12.5</v>
      </c>
      <c r="R455" s="5498">
        <v>14.285714285714286</v>
      </c>
      <c r="S455" s="5498">
        <v>14.285714285714286</v>
      </c>
      <c r="T455" s="5498">
        <v>28.571428571428573</v>
      </c>
      <c r="U455" s="5498">
        <v>42.857142857142854</v>
      </c>
    </row>
    <row r="456" spans="1:33">
      <c r="I456" s="7081"/>
      <c r="J456" s="7074"/>
      <c r="K456" s="2800" t="s">
        <v>50</v>
      </c>
      <c r="L456" s="5515">
        <v>260</v>
      </c>
      <c r="M456" s="5420">
        <v>85</v>
      </c>
      <c r="N456" s="5420">
        <v>89</v>
      </c>
      <c r="O456" s="5516">
        <v>100</v>
      </c>
      <c r="P456" s="5497">
        <v>77.272727272727266</v>
      </c>
      <c r="Q456" s="5497">
        <v>22.727272727272727</v>
      </c>
      <c r="R456" s="5498">
        <v>12.857142857142858</v>
      </c>
      <c r="S456" s="5498">
        <v>20</v>
      </c>
      <c r="T456" s="5498">
        <v>32.857142857142854</v>
      </c>
      <c r="U456" s="5498">
        <v>34.285714285714285</v>
      </c>
    </row>
    <row r="457" spans="1:33">
      <c r="I457" s="7081"/>
      <c r="J457" s="7075"/>
      <c r="K457" s="5517" t="s">
        <v>20</v>
      </c>
      <c r="L457" s="5518">
        <v>107</v>
      </c>
      <c r="M457" s="5421">
        <v>35</v>
      </c>
      <c r="N457" s="5421">
        <v>35</v>
      </c>
      <c r="O457" s="5519">
        <v>100</v>
      </c>
      <c r="P457" s="5503">
        <v>62.857142857142854</v>
      </c>
      <c r="Q457" s="5503">
        <v>37.142857142857146</v>
      </c>
      <c r="R457" s="5511">
        <v>13.636363636363637</v>
      </c>
      <c r="S457" s="5511">
        <v>18.181818181818183</v>
      </c>
      <c r="T457" s="5511">
        <v>36.363636363636367</v>
      </c>
      <c r="U457" s="5511">
        <v>31.818181818181817</v>
      </c>
    </row>
    <row r="458" spans="1:33">
      <c r="I458" s="7081"/>
      <c r="J458" s="7073" t="s">
        <v>2173</v>
      </c>
      <c r="K458" s="3903" t="s">
        <v>56</v>
      </c>
      <c r="L458" s="5512">
        <v>111</v>
      </c>
      <c r="M458" s="5513">
        <v>27</v>
      </c>
      <c r="N458" s="5513">
        <v>39</v>
      </c>
      <c r="O458" s="5514">
        <v>100</v>
      </c>
      <c r="P458" s="5520">
        <v>68.421052631578945</v>
      </c>
      <c r="Q458" s="5520">
        <v>31.578947368421051</v>
      </c>
      <c r="R458" s="5508">
        <v>22.222222222222221</v>
      </c>
      <c r="S458" s="5508">
        <v>7.4074074074074074</v>
      </c>
      <c r="T458" s="5508">
        <v>25.925925925925927</v>
      </c>
      <c r="U458" s="5508">
        <v>44.444444444444443</v>
      </c>
    </row>
    <row r="459" spans="1:33">
      <c r="I459" s="7081"/>
      <c r="J459" s="7074"/>
      <c r="K459" s="2800" t="s">
        <v>42</v>
      </c>
      <c r="L459" s="5515">
        <v>151</v>
      </c>
      <c r="M459" s="5420">
        <v>37</v>
      </c>
      <c r="N459" s="5420">
        <v>54</v>
      </c>
      <c r="O459" s="5516">
        <v>100</v>
      </c>
      <c r="P459" s="5497">
        <v>38.888888888888886</v>
      </c>
      <c r="Q459" s="5497">
        <v>61.111111111111114</v>
      </c>
      <c r="R459" s="5498">
        <v>9.5238095238095237</v>
      </c>
      <c r="S459" s="5498">
        <v>9.5238095238095237</v>
      </c>
      <c r="T459" s="5498">
        <v>28.571428571428573</v>
      </c>
      <c r="U459" s="5498">
        <v>52.38095238095238</v>
      </c>
    </row>
    <row r="460" spans="1:33">
      <c r="I460" s="7081"/>
      <c r="J460" s="7074"/>
      <c r="K460" s="2800" t="s">
        <v>52</v>
      </c>
      <c r="L460" s="5515">
        <v>140</v>
      </c>
      <c r="M460" s="5420">
        <v>34</v>
      </c>
      <c r="N460" s="5420">
        <v>43</v>
      </c>
      <c r="O460" s="5516">
        <v>100</v>
      </c>
      <c r="P460" s="5497">
        <v>83.720930232558146</v>
      </c>
      <c r="Q460" s="5497">
        <v>16.279069767441861</v>
      </c>
      <c r="R460" s="5498">
        <v>0</v>
      </c>
      <c r="S460" s="5498">
        <v>0</v>
      </c>
      <c r="T460" s="5498">
        <v>8.3333333333333339</v>
      </c>
      <c r="U460" s="5498">
        <v>91.666666666666671</v>
      </c>
    </row>
    <row r="461" spans="1:33">
      <c r="I461" s="7081"/>
      <c r="J461" s="7074"/>
      <c r="K461" s="2800" t="s">
        <v>53</v>
      </c>
      <c r="L461" s="5515">
        <v>163</v>
      </c>
      <c r="M461" s="5420">
        <v>40</v>
      </c>
      <c r="N461" s="5420">
        <v>40</v>
      </c>
      <c r="O461" s="5516">
        <v>100</v>
      </c>
      <c r="P461" s="5497">
        <v>75</v>
      </c>
      <c r="Q461" s="5497">
        <v>25</v>
      </c>
      <c r="R461" s="5498">
        <v>6.666666666666667</v>
      </c>
      <c r="S461" s="5498">
        <v>3.3333333333333335</v>
      </c>
      <c r="T461" s="5498">
        <v>13.333333333333334</v>
      </c>
      <c r="U461" s="5498">
        <v>76.666666666666671</v>
      </c>
    </row>
    <row r="462" spans="1:33" s="2413" customFormat="1">
      <c r="A462" s="4189"/>
      <c r="B462" s="4189"/>
      <c r="C462" s="4189"/>
      <c r="D462" s="4189"/>
      <c r="E462" s="4189"/>
      <c r="F462" s="4189"/>
      <c r="G462" s="4189"/>
      <c r="H462" s="4189"/>
      <c r="I462" s="7081"/>
      <c r="J462" s="7074"/>
      <c r="K462" s="2800" t="s">
        <v>255</v>
      </c>
      <c r="L462" s="5515">
        <v>134</v>
      </c>
      <c r="M462" s="5420">
        <v>33</v>
      </c>
      <c r="N462" s="5420">
        <v>36</v>
      </c>
      <c r="O462" s="5516">
        <v>100</v>
      </c>
      <c r="P462" s="5497">
        <v>62.857142857142854</v>
      </c>
      <c r="Q462" s="5497">
        <v>37.142857142857146</v>
      </c>
      <c r="R462" s="5498">
        <v>0</v>
      </c>
      <c r="S462" s="5498">
        <v>0</v>
      </c>
      <c r="T462" s="5498">
        <v>12.5</v>
      </c>
      <c r="U462" s="5498">
        <v>87.5</v>
      </c>
      <c r="V462"/>
      <c r="W462"/>
      <c r="X462"/>
      <c r="Y462"/>
      <c r="Z462"/>
      <c r="AA462"/>
      <c r="AB462"/>
      <c r="AC462"/>
      <c r="AD462"/>
      <c r="AE462"/>
      <c r="AF462"/>
      <c r="AG462"/>
    </row>
    <row r="463" spans="1:33">
      <c r="I463" s="7081"/>
      <c r="J463" s="7074"/>
      <c r="K463" s="2800" t="s">
        <v>55</v>
      </c>
      <c r="L463" s="5515">
        <v>152</v>
      </c>
      <c r="M463" s="5420">
        <v>37</v>
      </c>
      <c r="N463" s="5420">
        <v>53</v>
      </c>
      <c r="O463" s="5516">
        <v>100</v>
      </c>
      <c r="P463" s="5497">
        <v>66.037735849056602</v>
      </c>
      <c r="Q463" s="5497">
        <v>33.962264150943398</v>
      </c>
      <c r="R463" s="5498">
        <v>11.428571428571429</v>
      </c>
      <c r="S463" s="5498">
        <v>0</v>
      </c>
      <c r="T463" s="5498">
        <v>17.142857142857142</v>
      </c>
      <c r="U463" s="5498">
        <v>71.428571428571431</v>
      </c>
    </row>
    <row r="464" spans="1:33">
      <c r="I464" s="7081"/>
      <c r="J464" s="7074"/>
      <c r="K464" s="2800" t="s">
        <v>54</v>
      </c>
      <c r="L464" s="5515">
        <v>228</v>
      </c>
      <c r="M464" s="5420">
        <v>56</v>
      </c>
      <c r="N464" s="5420">
        <v>65</v>
      </c>
      <c r="O464" s="5516">
        <v>100</v>
      </c>
      <c r="P464" s="5497">
        <v>76.92307692307692</v>
      </c>
      <c r="Q464" s="5497">
        <v>23.076923076923077</v>
      </c>
      <c r="R464" s="5498">
        <v>1.9607843137254901</v>
      </c>
      <c r="S464" s="5498">
        <v>3.9215686274509802</v>
      </c>
      <c r="T464" s="5498">
        <v>35.294117647058826</v>
      </c>
      <c r="U464" s="5498">
        <v>58.823529411764703</v>
      </c>
    </row>
    <row r="465" spans="9:33">
      <c r="I465" s="7081"/>
      <c r="J465" s="7075"/>
      <c r="K465" s="5517" t="s">
        <v>264</v>
      </c>
      <c r="L465" s="5518">
        <v>107</v>
      </c>
      <c r="M465" s="5421">
        <v>26</v>
      </c>
      <c r="N465" s="5421">
        <v>27</v>
      </c>
      <c r="O465" s="5519">
        <v>100</v>
      </c>
      <c r="P465" s="5503">
        <v>70.370370370370367</v>
      </c>
      <c r="Q465" s="5503">
        <v>29.62962962962963</v>
      </c>
      <c r="R465" s="5511">
        <v>5.2631578947368425</v>
      </c>
      <c r="S465" s="5511">
        <v>10.526315789473685</v>
      </c>
      <c r="T465" s="5511">
        <v>26.315789473684209</v>
      </c>
      <c r="U465" s="5511">
        <v>57.89473684210526</v>
      </c>
    </row>
    <row r="466" spans="9:33">
      <c r="I466" s="7081"/>
      <c r="J466" s="7073" t="s">
        <v>2172</v>
      </c>
      <c r="K466" s="3903" t="s">
        <v>22</v>
      </c>
      <c r="L466" s="5512">
        <v>181</v>
      </c>
      <c r="M466" s="5513">
        <v>92</v>
      </c>
      <c r="N466" s="5513">
        <v>96</v>
      </c>
      <c r="O466" s="5514">
        <v>100</v>
      </c>
      <c r="P466" s="5520">
        <v>84.375</v>
      </c>
      <c r="Q466" s="5520">
        <v>15.625</v>
      </c>
      <c r="R466" s="5508">
        <v>0</v>
      </c>
      <c r="S466" s="5508">
        <v>10.975609756097562</v>
      </c>
      <c r="T466" s="5508">
        <v>23.170731707317074</v>
      </c>
      <c r="U466" s="5508">
        <v>65.853658536585371</v>
      </c>
    </row>
    <row r="467" spans="9:33">
      <c r="I467" s="7081"/>
      <c r="J467" s="7074"/>
      <c r="K467" s="2800" t="s">
        <v>58</v>
      </c>
      <c r="L467" s="5515">
        <v>51</v>
      </c>
      <c r="M467" s="5420">
        <v>26</v>
      </c>
      <c r="N467" s="5420">
        <v>27</v>
      </c>
      <c r="O467" s="5516">
        <v>100</v>
      </c>
      <c r="P467" s="5497">
        <v>62.962962962962962</v>
      </c>
      <c r="Q467" s="5497">
        <v>37.037037037037038</v>
      </c>
      <c r="R467" s="5498">
        <v>29.411764705882351</v>
      </c>
      <c r="S467" s="5498">
        <v>5.882352941176471</v>
      </c>
      <c r="T467" s="5498">
        <v>35.294117647058826</v>
      </c>
      <c r="U467" s="5498">
        <v>29.411764705882351</v>
      </c>
    </row>
    <row r="468" spans="9:33">
      <c r="I468" s="7081"/>
      <c r="J468" s="7074"/>
      <c r="K468" s="2800" t="s">
        <v>23</v>
      </c>
      <c r="L468" s="5515">
        <v>94</v>
      </c>
      <c r="M468" s="5420">
        <v>48</v>
      </c>
      <c r="N468" s="5420">
        <v>50</v>
      </c>
      <c r="O468" s="5516">
        <v>100</v>
      </c>
      <c r="P468" s="5497">
        <v>76</v>
      </c>
      <c r="Q468" s="5497">
        <v>24</v>
      </c>
      <c r="R468" s="5498">
        <v>2.5641025641025643</v>
      </c>
      <c r="S468" s="5498">
        <v>10.256410256410257</v>
      </c>
      <c r="T468" s="5498">
        <v>23.076923076923077</v>
      </c>
      <c r="U468" s="5498">
        <v>64.102564102564102</v>
      </c>
    </row>
    <row r="469" spans="9:33">
      <c r="I469" s="7084"/>
      <c r="J469" s="7075"/>
      <c r="K469" s="2800" t="s">
        <v>24</v>
      </c>
      <c r="L469" s="5515">
        <v>46</v>
      </c>
      <c r="M469" s="5420">
        <v>23</v>
      </c>
      <c r="N469" s="5420">
        <v>23</v>
      </c>
      <c r="O469" s="5516">
        <v>100</v>
      </c>
      <c r="P469" s="5497">
        <v>91.304347826086953</v>
      </c>
      <c r="Q469" s="5497">
        <v>8.695652173913043</v>
      </c>
      <c r="R469" s="5498">
        <v>9.5238095238095237</v>
      </c>
      <c r="S469" s="5498">
        <v>4.7619047619047619</v>
      </c>
      <c r="T469" s="5498">
        <v>14.285714285714286</v>
      </c>
      <c r="U469" s="5498">
        <v>71.428571428571431</v>
      </c>
    </row>
    <row r="470" spans="9:33">
      <c r="I470" s="7083" t="s">
        <v>59</v>
      </c>
      <c r="J470" s="7073" t="s">
        <v>2171</v>
      </c>
      <c r="K470" s="2800" t="s">
        <v>17</v>
      </c>
      <c r="L470" s="5515">
        <v>30</v>
      </c>
      <c r="M470" s="5420">
        <v>30</v>
      </c>
      <c r="N470" s="5420">
        <v>20</v>
      </c>
      <c r="O470" s="5516">
        <v>66.67</v>
      </c>
      <c r="P470" s="5497">
        <v>80</v>
      </c>
      <c r="Q470" s="5497">
        <v>20</v>
      </c>
      <c r="R470" s="5498">
        <v>15.384615384615385</v>
      </c>
      <c r="S470" s="5498">
        <v>15.384615384615385</v>
      </c>
      <c r="T470" s="5498">
        <v>30.76923076923077</v>
      </c>
      <c r="U470" s="5498">
        <v>38.46153846153846</v>
      </c>
    </row>
    <row r="471" spans="9:33">
      <c r="I471" s="7081"/>
      <c r="J471" s="7074"/>
      <c r="K471" s="2800" t="s">
        <v>60</v>
      </c>
      <c r="L471" s="5515">
        <v>18</v>
      </c>
      <c r="M471" s="5420">
        <v>18</v>
      </c>
      <c r="N471" s="5420">
        <v>15</v>
      </c>
      <c r="O471" s="5516">
        <v>77.8</v>
      </c>
      <c r="P471" s="5497">
        <v>71.428571428571431</v>
      </c>
      <c r="Q471" s="5497">
        <v>28.571428571428573</v>
      </c>
      <c r="R471" s="5498">
        <v>22.222222222222221</v>
      </c>
      <c r="S471" s="5498">
        <v>22.222222222222221</v>
      </c>
      <c r="T471" s="5498">
        <v>44.444444444444443</v>
      </c>
      <c r="U471" s="5498">
        <v>11.111111111111111</v>
      </c>
    </row>
    <row r="472" spans="9:33">
      <c r="I472" s="7081"/>
      <c r="J472" s="7075"/>
      <c r="K472" s="5517" t="s">
        <v>384</v>
      </c>
      <c r="L472" s="5518">
        <v>7</v>
      </c>
      <c r="M472" s="5421">
        <v>7</v>
      </c>
      <c r="N472" s="5421">
        <v>6</v>
      </c>
      <c r="O472" s="5519">
        <v>85.71</v>
      </c>
      <c r="P472" s="5503">
        <v>83.3</v>
      </c>
      <c r="Q472" s="5503">
        <v>16.7</v>
      </c>
      <c r="R472" s="5511">
        <v>20</v>
      </c>
      <c r="S472" s="5511">
        <v>40</v>
      </c>
      <c r="T472" s="5511">
        <v>0</v>
      </c>
      <c r="U472" s="5511">
        <v>40</v>
      </c>
      <c r="V472" s="2413"/>
      <c r="W472" s="2413"/>
      <c r="X472" s="2413"/>
      <c r="Y472" s="2413"/>
      <c r="Z472" s="2413"/>
      <c r="AA472" s="2413"/>
      <c r="AB472" s="2413"/>
      <c r="AC472" s="2413"/>
      <c r="AD472" s="2413"/>
      <c r="AE472" s="2413"/>
      <c r="AF472" s="2413"/>
      <c r="AG472" s="2413"/>
    </row>
    <row r="473" spans="9:33">
      <c r="I473" s="7081"/>
      <c r="J473" s="7073" t="s">
        <v>2174</v>
      </c>
      <c r="K473" s="3903" t="s">
        <v>62</v>
      </c>
      <c r="L473" s="5513">
        <v>21</v>
      </c>
      <c r="M473" s="5513">
        <v>21</v>
      </c>
      <c r="N473" s="5513">
        <v>11</v>
      </c>
      <c r="O473" s="5514">
        <v>52.4</v>
      </c>
      <c r="P473" s="5520">
        <v>90</v>
      </c>
      <c r="Q473" s="5520">
        <v>10</v>
      </c>
      <c r="R473" s="5508">
        <v>0</v>
      </c>
      <c r="S473" s="5508">
        <v>11.111111111111111</v>
      </c>
      <c r="T473" s="5508">
        <v>22.222222222222221</v>
      </c>
      <c r="U473" s="5508">
        <v>66.666666666666671</v>
      </c>
    </row>
    <row r="474" spans="9:33">
      <c r="I474" s="7081"/>
      <c r="J474" s="7074"/>
      <c r="K474" s="2800" t="s">
        <v>1928</v>
      </c>
      <c r="L474" s="5420">
        <v>3</v>
      </c>
      <c r="M474" s="5420">
        <v>3</v>
      </c>
      <c r="N474" s="5420">
        <v>3</v>
      </c>
      <c r="O474" s="5516">
        <v>100</v>
      </c>
      <c r="P474" s="5497">
        <v>100</v>
      </c>
      <c r="Q474" s="5497">
        <v>0</v>
      </c>
      <c r="R474" s="5498">
        <v>0</v>
      </c>
      <c r="S474" s="5498">
        <v>0</v>
      </c>
      <c r="T474" s="5498">
        <v>0</v>
      </c>
      <c r="U474" s="5498">
        <v>100</v>
      </c>
    </row>
    <row r="475" spans="9:33">
      <c r="I475" s="7081"/>
      <c r="J475" s="7075"/>
      <c r="K475" s="5517" t="s">
        <v>63</v>
      </c>
      <c r="L475" s="5421">
        <v>27</v>
      </c>
      <c r="M475" s="5421">
        <v>27</v>
      </c>
      <c r="N475" s="5421">
        <v>17</v>
      </c>
      <c r="O475" s="5519">
        <v>63</v>
      </c>
      <c r="P475" s="5503">
        <v>82.352941176470594</v>
      </c>
      <c r="Q475" s="5503">
        <v>17.647058823529413</v>
      </c>
      <c r="R475" s="5511">
        <v>0</v>
      </c>
      <c r="S475" s="5511">
        <v>14.285714285714286</v>
      </c>
      <c r="T475" s="5511">
        <v>42.857142857142854</v>
      </c>
      <c r="U475" s="5511">
        <v>42.857142857142854</v>
      </c>
    </row>
    <row r="476" spans="9:33">
      <c r="I476" s="7081"/>
      <c r="J476" s="7073" t="s">
        <v>2175</v>
      </c>
      <c r="K476" s="3903" t="s">
        <v>476</v>
      </c>
      <c r="L476" s="5513">
        <v>13</v>
      </c>
      <c r="M476" s="5513">
        <v>13</v>
      </c>
      <c r="N476" s="5513">
        <v>11</v>
      </c>
      <c r="O476" s="5514">
        <v>84.6</v>
      </c>
      <c r="P476" s="5520">
        <v>90</v>
      </c>
      <c r="Q476" s="5520">
        <v>10</v>
      </c>
      <c r="R476" s="5508">
        <v>0</v>
      </c>
      <c r="S476" s="5508">
        <v>9.0909090909090917</v>
      </c>
      <c r="T476" s="5508">
        <v>9.0909090909090917</v>
      </c>
      <c r="U476" s="5508">
        <v>81.818181818181813</v>
      </c>
    </row>
    <row r="477" spans="9:33">
      <c r="I477" s="7081"/>
      <c r="J477" s="7074"/>
      <c r="K477" s="2800" t="s">
        <v>65</v>
      </c>
      <c r="L477" s="5420">
        <v>4</v>
      </c>
      <c r="M477" s="5420">
        <v>4</v>
      </c>
      <c r="N477" s="5420">
        <v>2</v>
      </c>
      <c r="O477" s="5516">
        <v>50</v>
      </c>
      <c r="P477" s="5497">
        <v>0</v>
      </c>
      <c r="Q477" s="5497">
        <v>100</v>
      </c>
      <c r="R477" s="5509">
        <v>0</v>
      </c>
      <c r="S477" s="5509">
        <v>0</v>
      </c>
      <c r="T477" s="5509">
        <v>0</v>
      </c>
      <c r="U477" s="5509">
        <v>0</v>
      </c>
    </row>
    <row r="478" spans="9:33">
      <c r="I478" s="7084"/>
      <c r="J478" s="7075"/>
      <c r="K478" s="5517" t="s">
        <v>386</v>
      </c>
      <c r="L478" s="5421">
        <v>1</v>
      </c>
      <c r="M478" s="5421">
        <v>1</v>
      </c>
      <c r="N478" s="5421">
        <v>1</v>
      </c>
      <c r="O478" s="5519">
        <v>100</v>
      </c>
      <c r="P478" s="5503">
        <v>0</v>
      </c>
      <c r="Q478" s="5503">
        <v>100</v>
      </c>
      <c r="R478" s="5510">
        <v>0</v>
      </c>
      <c r="S478" s="5510">
        <v>0</v>
      </c>
      <c r="T478" s="5510">
        <v>0</v>
      </c>
      <c r="U478" s="5510">
        <v>0</v>
      </c>
    </row>
    <row r="479" spans="9:33" ht="24">
      <c r="I479" s="7083" t="s">
        <v>240</v>
      </c>
      <c r="J479" s="5521" t="s">
        <v>2176</v>
      </c>
      <c r="K479" s="5522" t="s">
        <v>2177</v>
      </c>
      <c r="L479" s="5523">
        <v>30</v>
      </c>
      <c r="M479" s="5524">
        <v>30</v>
      </c>
      <c r="N479" s="5525">
        <v>27</v>
      </c>
      <c r="O479" s="5526">
        <f>N479*100/M479</f>
        <v>90</v>
      </c>
      <c r="P479" s="5527">
        <v>70.400000000000006</v>
      </c>
      <c r="Q479" s="5527">
        <v>29.6</v>
      </c>
      <c r="R479" s="5527">
        <v>5.6</v>
      </c>
      <c r="S479" s="5527">
        <v>16.7</v>
      </c>
      <c r="T479" s="5527">
        <v>22.2</v>
      </c>
      <c r="U479" s="5527">
        <v>55.6</v>
      </c>
    </row>
    <row r="480" spans="9:33" ht="36">
      <c r="I480" s="7081"/>
      <c r="J480" s="5528" t="s">
        <v>2171</v>
      </c>
      <c r="K480" s="5522" t="s">
        <v>679</v>
      </c>
      <c r="L480" s="5523">
        <v>43</v>
      </c>
      <c r="M480" s="5524">
        <v>43</v>
      </c>
      <c r="N480" s="5525">
        <v>39</v>
      </c>
      <c r="O480" s="5526">
        <f>N480*100/M480</f>
        <v>90.697674418604649</v>
      </c>
      <c r="P480" s="5527">
        <v>61.5</v>
      </c>
      <c r="Q480" s="5527">
        <v>38.5</v>
      </c>
      <c r="R480" s="5527">
        <v>12.5</v>
      </c>
      <c r="S480" s="5527">
        <v>20.8</v>
      </c>
      <c r="T480" s="5527">
        <v>33.299999999999997</v>
      </c>
      <c r="U480" s="5527">
        <v>33.299999999999997</v>
      </c>
    </row>
    <row r="481" spans="9:21" ht="36">
      <c r="I481" s="7084"/>
      <c r="J481" s="5528" t="s">
        <v>2173</v>
      </c>
      <c r="K481" s="5522" t="s">
        <v>680</v>
      </c>
      <c r="L481" s="5523">
        <v>36</v>
      </c>
      <c r="M481" s="5524">
        <v>36</v>
      </c>
      <c r="N481" s="5525">
        <v>34</v>
      </c>
      <c r="O481" s="5526">
        <f>N481*100/M481</f>
        <v>94.444444444444443</v>
      </c>
      <c r="P481" s="5524">
        <v>47.1</v>
      </c>
      <c r="Q481" s="5524">
        <v>52.9</v>
      </c>
      <c r="R481" s="5524">
        <v>26.7</v>
      </c>
      <c r="S481" s="5524">
        <v>33.299999999999997</v>
      </c>
      <c r="T481" s="5524">
        <v>20</v>
      </c>
      <c r="U481" s="5524">
        <v>20</v>
      </c>
    </row>
    <row r="482" spans="9:21">
      <c r="I482" s="95"/>
      <c r="J482" s="36"/>
      <c r="K482" s="5481" t="s">
        <v>15</v>
      </c>
      <c r="L482" s="5481">
        <f>SUM(L409:L481)</f>
        <v>4853</v>
      </c>
      <c r="M482" s="5481">
        <f>SUM(M409:M481)</f>
        <v>2192</v>
      </c>
      <c r="N482" s="5481">
        <f>SUM(N409:N481)</f>
        <v>2118</v>
      </c>
      <c r="O482" s="5529">
        <v>96.9</v>
      </c>
      <c r="P482" s="5530">
        <v>0.73499999999999999</v>
      </c>
      <c r="Q482" s="5531">
        <v>0.26500000000000001</v>
      </c>
      <c r="R482" s="5532">
        <v>6.9000000000000006E-2</v>
      </c>
      <c r="S482" s="5532">
        <v>0.122</v>
      </c>
      <c r="T482" s="5532">
        <v>0.29199999999999998</v>
      </c>
      <c r="U482" s="5532">
        <v>0.51700000000000002</v>
      </c>
    </row>
    <row r="483" spans="9:21">
      <c r="I483" s="5427"/>
      <c r="J483" s="5427"/>
      <c r="K483" s="5427"/>
      <c r="L483" s="5427"/>
      <c r="M483" s="594"/>
    </row>
    <row r="484" spans="9:21">
      <c r="I484" s="5427"/>
      <c r="J484" s="5427"/>
      <c r="K484" s="5427"/>
      <c r="L484" s="5427"/>
      <c r="M484" s="594"/>
    </row>
    <row r="485" spans="9:21" ht="18">
      <c r="J485" s="36"/>
      <c r="K485" s="5422">
        <v>2016</v>
      </c>
      <c r="L485" s="5427"/>
      <c r="M485" s="5427"/>
      <c r="N485" s="5427"/>
      <c r="O485" s="5427"/>
    </row>
    <row r="486" spans="9:21">
      <c r="I486" s="393" t="s">
        <v>2985</v>
      </c>
      <c r="J486" s="36"/>
      <c r="L486" s="95"/>
      <c r="M486" s="95"/>
      <c r="N486" s="95"/>
    </row>
    <row r="487" spans="9:21">
      <c r="I487" s="5534" t="s">
        <v>2986</v>
      </c>
    </row>
    <row r="488" spans="9:21">
      <c r="I488" s="7049" t="s">
        <v>1891</v>
      </c>
      <c r="J488" s="7049"/>
      <c r="K488" s="7049"/>
      <c r="L488" s="7049"/>
      <c r="M488" s="7049"/>
      <c r="N488" s="7049"/>
      <c r="O488" s="7049"/>
    </row>
    <row r="489" spans="9:21">
      <c r="I489" s="7106" t="s">
        <v>2987</v>
      </c>
      <c r="J489" s="7106"/>
      <c r="K489" s="7106"/>
      <c r="L489" s="7106"/>
      <c r="M489" s="7106"/>
      <c r="N489" s="7106"/>
      <c r="O489" s="7106"/>
    </row>
    <row r="490" spans="9:21">
      <c r="I490" s="7100" t="s">
        <v>1892</v>
      </c>
      <c r="J490" s="7100"/>
      <c r="K490" s="7100"/>
      <c r="L490" s="7100"/>
      <c r="M490" s="7100"/>
      <c r="N490" s="7100"/>
      <c r="O490" s="7100"/>
    </row>
    <row r="491" spans="9:21">
      <c r="I491" s="7100"/>
      <c r="J491" s="7100"/>
      <c r="K491" s="7100"/>
      <c r="L491" s="7100"/>
      <c r="M491" s="7100"/>
      <c r="N491" s="7100"/>
      <c r="O491" s="7100"/>
    </row>
    <row r="492" spans="9:21">
      <c r="I492" s="1488"/>
      <c r="J492" s="5535"/>
      <c r="K492" s="5535"/>
      <c r="L492" s="5536"/>
      <c r="M492" s="5536"/>
      <c r="N492" s="5536"/>
      <c r="O492" s="5535"/>
    </row>
    <row r="493" spans="9:21">
      <c r="I493" s="7101" t="s">
        <v>1419</v>
      </c>
      <c r="J493" s="7102"/>
      <c r="K493" s="7102"/>
      <c r="L493" s="7102"/>
      <c r="M493" s="7103"/>
      <c r="N493" s="5536"/>
      <c r="O493" s="5535"/>
    </row>
    <row r="494" spans="9:21" ht="24">
      <c r="I494" s="5485" t="s">
        <v>1420</v>
      </c>
      <c r="J494" s="5537" t="s">
        <v>1893</v>
      </c>
      <c r="K494" s="5537" t="s">
        <v>1894</v>
      </c>
      <c r="L494" s="5537" t="s">
        <v>1895</v>
      </c>
      <c r="M494" s="5537" t="s">
        <v>1896</v>
      </c>
      <c r="N494" s="5536"/>
      <c r="O494" s="5535"/>
      <c r="P494" s="5538"/>
      <c r="Q494" s="5538"/>
      <c r="R494" s="5538"/>
    </row>
    <row r="495" spans="9:21">
      <c r="I495" s="5539">
        <v>2012</v>
      </c>
      <c r="J495" s="5539">
        <v>4744</v>
      </c>
      <c r="K495" s="5540">
        <v>2083</v>
      </c>
      <c r="L495" s="5423">
        <v>2015</v>
      </c>
      <c r="M495" s="5424">
        <f>L495*100/K495</f>
        <v>96.735477676428232</v>
      </c>
      <c r="N495" s="5536"/>
      <c r="O495" s="5535"/>
      <c r="P495" s="5541"/>
      <c r="Q495" s="5541"/>
      <c r="R495" s="5541"/>
    </row>
    <row r="496" spans="9:21">
      <c r="I496" s="5542"/>
      <c r="J496" s="5542"/>
      <c r="K496" s="5543"/>
      <c r="L496" s="5425"/>
      <c r="M496" s="5425"/>
      <c r="N496" s="5536"/>
      <c r="O496" s="5535"/>
    </row>
    <row r="497" spans="9:18">
      <c r="I497" s="95"/>
      <c r="J497" s="36"/>
      <c r="P497" s="7104" t="s">
        <v>905</v>
      </c>
      <c r="Q497" s="7105"/>
    </row>
    <row r="498" spans="9:18" ht="24">
      <c r="I498" s="5481" t="s">
        <v>0</v>
      </c>
      <c r="J498" s="5481" t="s">
        <v>1</v>
      </c>
      <c r="K498" s="5481" t="s">
        <v>1423</v>
      </c>
      <c r="L498" s="5481" t="s">
        <v>1900</v>
      </c>
      <c r="M498" s="5481" t="s">
        <v>1894</v>
      </c>
      <c r="N498" s="5485" t="s">
        <v>1901</v>
      </c>
      <c r="O498" s="5485" t="s">
        <v>1902</v>
      </c>
      <c r="P498" s="5481" t="s">
        <v>907</v>
      </c>
      <c r="Q498" s="5481" t="s">
        <v>908</v>
      </c>
      <c r="R498" s="5485" t="s">
        <v>1899</v>
      </c>
    </row>
    <row r="499" spans="9:18">
      <c r="I499" s="7080" t="s">
        <v>3</v>
      </c>
      <c r="J499" s="7080" t="s">
        <v>4</v>
      </c>
      <c r="K499" s="5488" t="s">
        <v>474</v>
      </c>
      <c r="L499" s="5489">
        <v>42</v>
      </c>
      <c r="M499" s="5489">
        <v>21</v>
      </c>
      <c r="N499" s="5489">
        <v>25</v>
      </c>
      <c r="O499" s="5545">
        <v>119</v>
      </c>
      <c r="P499" s="5546">
        <v>64</v>
      </c>
      <c r="Q499" s="5546">
        <v>36</v>
      </c>
      <c r="R499" s="5546">
        <f t="shared" ref="R499:R562" si="10">P499+Q499</f>
        <v>100</v>
      </c>
    </row>
    <row r="500" spans="9:18">
      <c r="I500" s="7081"/>
      <c r="J500" s="7081"/>
      <c r="K500" s="5493" t="s">
        <v>2988</v>
      </c>
      <c r="L500" s="5494">
        <v>22</v>
      </c>
      <c r="M500" s="5494">
        <v>22</v>
      </c>
      <c r="N500" s="5494">
        <v>18</v>
      </c>
      <c r="O500" s="5547">
        <v>81.8</v>
      </c>
      <c r="P500" s="5548">
        <v>83.33</v>
      </c>
      <c r="Q500" s="5548">
        <v>16.670000000000002</v>
      </c>
      <c r="R500" s="5548">
        <f t="shared" si="10"/>
        <v>100</v>
      </c>
    </row>
    <row r="501" spans="9:18">
      <c r="I501" s="7081"/>
      <c r="J501" s="7081"/>
      <c r="K501" s="5493" t="s">
        <v>2989</v>
      </c>
      <c r="L501" s="5494">
        <v>10</v>
      </c>
      <c r="M501" s="5494">
        <v>10</v>
      </c>
      <c r="N501" s="5494">
        <v>6</v>
      </c>
      <c r="O501" s="5547">
        <v>60</v>
      </c>
      <c r="P501" s="5548">
        <v>100</v>
      </c>
      <c r="Q501" s="5548">
        <v>0</v>
      </c>
      <c r="R501" s="5548">
        <f t="shared" si="10"/>
        <v>100</v>
      </c>
    </row>
    <row r="502" spans="9:18">
      <c r="I502" s="7081"/>
      <c r="J502" s="7081"/>
      <c r="K502" s="5493" t="s">
        <v>1903</v>
      </c>
      <c r="L502" s="5494">
        <v>17</v>
      </c>
      <c r="M502" s="5494">
        <v>17</v>
      </c>
      <c r="N502" s="5494">
        <v>13</v>
      </c>
      <c r="O502" s="5547">
        <v>76.5</v>
      </c>
      <c r="P502" s="5548">
        <v>41.67</v>
      </c>
      <c r="Q502" s="5548">
        <v>58.33</v>
      </c>
      <c r="R502" s="5548">
        <f t="shared" si="10"/>
        <v>100</v>
      </c>
    </row>
    <row r="503" spans="9:18">
      <c r="I503" s="7081"/>
      <c r="J503" s="7081"/>
      <c r="K503" s="5493" t="s">
        <v>674</v>
      </c>
      <c r="L503" s="5494">
        <v>77</v>
      </c>
      <c r="M503" s="5494">
        <v>38</v>
      </c>
      <c r="N503" s="5494">
        <v>38</v>
      </c>
      <c r="O503" s="5547">
        <v>100</v>
      </c>
      <c r="P503" s="5548">
        <v>94.74</v>
      </c>
      <c r="Q503" s="5548">
        <v>5.26</v>
      </c>
      <c r="R503" s="5548">
        <f t="shared" si="10"/>
        <v>100</v>
      </c>
    </row>
    <row r="504" spans="9:18">
      <c r="I504" s="7081"/>
      <c r="J504" s="7081"/>
      <c r="K504" s="5493" t="s">
        <v>675</v>
      </c>
      <c r="L504" s="5494">
        <v>41</v>
      </c>
      <c r="M504" s="5494">
        <v>20</v>
      </c>
      <c r="N504" s="5494">
        <v>20</v>
      </c>
      <c r="O504" s="5547">
        <v>100</v>
      </c>
      <c r="P504" s="5548">
        <v>78.95</v>
      </c>
      <c r="Q504" s="5548">
        <v>21.05</v>
      </c>
      <c r="R504" s="5548">
        <f t="shared" si="10"/>
        <v>100</v>
      </c>
    </row>
    <row r="505" spans="9:18">
      <c r="I505" s="7081"/>
      <c r="J505" s="7081"/>
      <c r="K505" s="5493" t="s">
        <v>1904</v>
      </c>
      <c r="L505" s="5494">
        <v>5</v>
      </c>
      <c r="M505" s="5494">
        <v>5</v>
      </c>
      <c r="N505" s="5494">
        <v>1</v>
      </c>
      <c r="O505" s="5547">
        <v>20</v>
      </c>
      <c r="P505" s="5548">
        <v>100</v>
      </c>
      <c r="Q505" s="5548">
        <v>0</v>
      </c>
      <c r="R505" s="5548">
        <f t="shared" si="10"/>
        <v>100</v>
      </c>
    </row>
    <row r="506" spans="9:18">
      <c r="I506" s="7081"/>
      <c r="J506" s="7081"/>
      <c r="K506" s="5493" t="s">
        <v>478</v>
      </c>
      <c r="L506" s="5494">
        <v>38</v>
      </c>
      <c r="M506" s="5494">
        <v>19</v>
      </c>
      <c r="N506" s="5494">
        <v>19</v>
      </c>
      <c r="O506" s="5547">
        <v>100</v>
      </c>
      <c r="P506" s="5548">
        <v>64.709999999999994</v>
      </c>
      <c r="Q506" s="5548">
        <v>35.29</v>
      </c>
      <c r="R506" s="5548">
        <f t="shared" si="10"/>
        <v>100</v>
      </c>
    </row>
    <row r="507" spans="9:18">
      <c r="I507" s="7081"/>
      <c r="J507" s="7081"/>
      <c r="K507" s="5493" t="s">
        <v>677</v>
      </c>
      <c r="L507" s="5494">
        <v>71</v>
      </c>
      <c r="M507" s="5494">
        <v>35</v>
      </c>
      <c r="N507" s="5494">
        <v>37</v>
      </c>
      <c r="O507" s="5547">
        <v>105.7</v>
      </c>
      <c r="P507" s="5548">
        <v>81.08</v>
      </c>
      <c r="Q507" s="5548">
        <v>18.920000000000002</v>
      </c>
      <c r="R507" s="5548">
        <f t="shared" si="10"/>
        <v>100</v>
      </c>
    </row>
    <row r="508" spans="9:18">
      <c r="I508" s="7081"/>
      <c r="J508" s="7082"/>
      <c r="K508" s="5499" t="s">
        <v>476</v>
      </c>
      <c r="L508" s="5500">
        <v>63</v>
      </c>
      <c r="M508" s="5500">
        <v>31</v>
      </c>
      <c r="N508" s="5500">
        <v>34</v>
      </c>
      <c r="O508" s="5549">
        <v>109.7</v>
      </c>
      <c r="P508" s="5550">
        <v>91.18</v>
      </c>
      <c r="Q508" s="5550">
        <v>8.82</v>
      </c>
      <c r="R508" s="5550">
        <f t="shared" si="10"/>
        <v>100</v>
      </c>
    </row>
    <row r="509" spans="9:18">
      <c r="I509" s="7081"/>
      <c r="J509" s="7080" t="s">
        <v>16</v>
      </c>
      <c r="K509" s="5504" t="s">
        <v>17</v>
      </c>
      <c r="L509" s="5505">
        <v>183</v>
      </c>
      <c r="M509" s="5505">
        <v>76</v>
      </c>
      <c r="N509" s="5505">
        <v>76</v>
      </c>
      <c r="O509" s="5551">
        <v>100</v>
      </c>
      <c r="P509" s="5552">
        <v>85.33</v>
      </c>
      <c r="Q509" s="5552">
        <v>14.67</v>
      </c>
      <c r="R509" s="5553">
        <f t="shared" si="10"/>
        <v>100</v>
      </c>
    </row>
    <row r="510" spans="9:18">
      <c r="I510" s="7081"/>
      <c r="J510" s="7081"/>
      <c r="K510" s="5493" t="s">
        <v>18</v>
      </c>
      <c r="L510" s="5494">
        <v>233</v>
      </c>
      <c r="M510" s="5494">
        <v>96</v>
      </c>
      <c r="N510" s="5494">
        <v>101</v>
      </c>
      <c r="O510" s="5547">
        <v>105.2</v>
      </c>
      <c r="P510" s="5554">
        <v>79.209999999999994</v>
      </c>
      <c r="Q510" s="5554">
        <v>20.79</v>
      </c>
      <c r="R510" s="5548">
        <f t="shared" si="10"/>
        <v>100</v>
      </c>
    </row>
    <row r="511" spans="9:18">
      <c r="I511" s="7081"/>
      <c r="J511" s="7081"/>
      <c r="K511" s="5493" t="s">
        <v>19</v>
      </c>
      <c r="L511" s="5494">
        <v>69</v>
      </c>
      <c r="M511" s="5494">
        <v>28</v>
      </c>
      <c r="N511" s="5494">
        <v>28</v>
      </c>
      <c r="O511" s="5547">
        <v>100</v>
      </c>
      <c r="P511" s="5554">
        <v>71.430000000000007</v>
      </c>
      <c r="Q511" s="5554">
        <v>28.57</v>
      </c>
      <c r="R511" s="5548">
        <f t="shared" si="10"/>
        <v>100</v>
      </c>
    </row>
    <row r="512" spans="9:18">
      <c r="I512" s="7081"/>
      <c r="J512" s="7082"/>
      <c r="K512" s="5499" t="s">
        <v>20</v>
      </c>
      <c r="L512" s="5500">
        <v>65</v>
      </c>
      <c r="M512" s="5500">
        <v>28</v>
      </c>
      <c r="N512" s="5500">
        <v>32</v>
      </c>
      <c r="O512" s="5549">
        <v>114.3</v>
      </c>
      <c r="P512" s="5555">
        <v>59.38</v>
      </c>
      <c r="Q512" s="5555">
        <v>40.619999999999997</v>
      </c>
      <c r="R512" s="5550">
        <f t="shared" si="10"/>
        <v>100</v>
      </c>
    </row>
    <row r="513" spans="9:18">
      <c r="I513" s="7081"/>
      <c r="J513" s="7080" t="s">
        <v>21</v>
      </c>
      <c r="K513" s="3903" t="s">
        <v>1905</v>
      </c>
      <c r="L513" s="5513">
        <v>86</v>
      </c>
      <c r="M513" s="5513">
        <v>52</v>
      </c>
      <c r="N513" s="5513">
        <v>47</v>
      </c>
      <c r="O513" s="5552">
        <v>90.4</v>
      </c>
      <c r="P513" s="5552">
        <v>85.11</v>
      </c>
      <c r="Q513" s="5552">
        <v>14.89</v>
      </c>
      <c r="R513" s="5553">
        <f t="shared" si="10"/>
        <v>100</v>
      </c>
    </row>
    <row r="514" spans="9:18">
      <c r="I514" s="7081"/>
      <c r="J514" s="7081"/>
      <c r="K514" s="2800" t="s">
        <v>1906</v>
      </c>
      <c r="L514" s="5420">
        <v>105</v>
      </c>
      <c r="M514" s="5420">
        <v>63</v>
      </c>
      <c r="N514" s="5420">
        <v>64</v>
      </c>
      <c r="O514" s="5554">
        <v>101.6</v>
      </c>
      <c r="P514" s="5554">
        <v>78.13</v>
      </c>
      <c r="Q514" s="5554">
        <v>21.87</v>
      </c>
      <c r="R514" s="5548">
        <f t="shared" si="10"/>
        <v>100</v>
      </c>
    </row>
    <row r="515" spans="9:18">
      <c r="I515" s="7082"/>
      <c r="J515" s="7082"/>
      <c r="K515" s="5517" t="s">
        <v>1907</v>
      </c>
      <c r="L515" s="5421">
        <v>64</v>
      </c>
      <c r="M515" s="5421">
        <v>38</v>
      </c>
      <c r="N515" s="5421">
        <v>38</v>
      </c>
      <c r="O515" s="5555">
        <v>100</v>
      </c>
      <c r="P515" s="5555">
        <v>68.42</v>
      </c>
      <c r="Q515" s="5555">
        <v>31.58</v>
      </c>
      <c r="R515" s="5550">
        <f t="shared" si="10"/>
        <v>100</v>
      </c>
    </row>
    <row r="516" spans="9:18">
      <c r="I516" s="7080" t="s">
        <v>25</v>
      </c>
      <c r="J516" s="7080" t="s">
        <v>4</v>
      </c>
      <c r="K516" s="5556" t="s">
        <v>32</v>
      </c>
      <c r="L516" s="5419">
        <v>46</v>
      </c>
      <c r="M516" s="5419">
        <v>30</v>
      </c>
      <c r="N516" s="5419">
        <v>30</v>
      </c>
      <c r="O516" s="5557">
        <v>100</v>
      </c>
      <c r="P516" s="5419">
        <v>86.67</v>
      </c>
      <c r="Q516" s="5419">
        <v>13.33</v>
      </c>
      <c r="R516" s="5546">
        <f t="shared" si="10"/>
        <v>100</v>
      </c>
    </row>
    <row r="517" spans="9:18">
      <c r="I517" s="7081"/>
      <c r="J517" s="7081"/>
      <c r="K517" s="2800" t="s">
        <v>1908</v>
      </c>
      <c r="L517" s="5420">
        <v>9</v>
      </c>
      <c r="M517" s="5420">
        <v>9</v>
      </c>
      <c r="N517" s="5420">
        <v>4</v>
      </c>
      <c r="O517" s="5554">
        <v>44.4</v>
      </c>
      <c r="P517" s="5558">
        <v>75</v>
      </c>
      <c r="Q517" s="5558">
        <v>25</v>
      </c>
      <c r="R517" s="5548">
        <f t="shared" si="10"/>
        <v>100</v>
      </c>
    </row>
    <row r="518" spans="9:18">
      <c r="I518" s="7081"/>
      <c r="J518" s="7081"/>
      <c r="K518" s="2800" t="s">
        <v>1909</v>
      </c>
      <c r="L518" s="5420">
        <v>27</v>
      </c>
      <c r="M518" s="5420">
        <v>27</v>
      </c>
      <c r="N518" s="5420">
        <v>13</v>
      </c>
      <c r="O518" s="5554">
        <v>59.3</v>
      </c>
      <c r="P518" s="5558">
        <v>84.615384615384613</v>
      </c>
      <c r="Q518" s="5558">
        <v>15.384615384615385</v>
      </c>
      <c r="R518" s="5548">
        <f t="shared" si="10"/>
        <v>100</v>
      </c>
    </row>
    <row r="519" spans="9:18">
      <c r="I519" s="7081"/>
      <c r="J519" s="7081"/>
      <c r="K519" s="2800" t="s">
        <v>1910</v>
      </c>
      <c r="L519" s="5420">
        <v>45</v>
      </c>
      <c r="M519" s="5420">
        <v>29</v>
      </c>
      <c r="N519" s="5420">
        <v>20</v>
      </c>
      <c r="O519" s="5554">
        <v>69</v>
      </c>
      <c r="P519" s="5558">
        <v>85</v>
      </c>
      <c r="Q519" s="5558">
        <v>15</v>
      </c>
      <c r="R519" s="5548">
        <f t="shared" si="10"/>
        <v>100</v>
      </c>
    </row>
    <row r="520" spans="9:18">
      <c r="I520" s="7081"/>
      <c r="J520" s="7081"/>
      <c r="K520" s="2800" t="s">
        <v>1911</v>
      </c>
      <c r="L520" s="5420">
        <v>20</v>
      </c>
      <c r="M520" s="5420">
        <v>20</v>
      </c>
      <c r="N520" s="5420">
        <v>8</v>
      </c>
      <c r="O520" s="5554">
        <v>40</v>
      </c>
      <c r="P520" s="5558">
        <v>37.5</v>
      </c>
      <c r="Q520" s="5558">
        <v>62.5</v>
      </c>
      <c r="R520" s="5548">
        <f t="shared" si="10"/>
        <v>100</v>
      </c>
    </row>
    <row r="521" spans="9:18">
      <c r="I521" s="7081"/>
      <c r="J521" s="7081"/>
      <c r="K521" s="2800" t="s">
        <v>1912</v>
      </c>
      <c r="L521" s="5420">
        <v>6</v>
      </c>
      <c r="M521" s="5420">
        <v>6</v>
      </c>
      <c r="N521" s="5420">
        <v>2</v>
      </c>
      <c r="O521" s="5554">
        <v>33.299999999999997</v>
      </c>
      <c r="P521" s="5558">
        <v>50</v>
      </c>
      <c r="Q521" s="5558">
        <v>50</v>
      </c>
      <c r="R521" s="5548">
        <f t="shared" si="10"/>
        <v>100</v>
      </c>
    </row>
    <row r="522" spans="9:18">
      <c r="I522" s="7081"/>
      <c r="J522" s="7081"/>
      <c r="K522" s="2800" t="s">
        <v>1913</v>
      </c>
      <c r="L522" s="5420">
        <v>22</v>
      </c>
      <c r="M522" s="5420">
        <v>22</v>
      </c>
      <c r="N522" s="5420">
        <v>13</v>
      </c>
      <c r="O522" s="5554">
        <v>59.1</v>
      </c>
      <c r="P522" s="5558">
        <v>69.230769230769226</v>
      </c>
      <c r="Q522" s="5558">
        <v>30.76923076923077</v>
      </c>
      <c r="R522" s="5548">
        <f t="shared" si="10"/>
        <v>100</v>
      </c>
    </row>
    <row r="523" spans="9:18">
      <c r="I523" s="7081"/>
      <c r="J523" s="7081"/>
      <c r="K523" s="2800" t="s">
        <v>1914</v>
      </c>
      <c r="L523" s="5420">
        <v>17</v>
      </c>
      <c r="M523" s="5420">
        <v>17</v>
      </c>
      <c r="N523" s="5420">
        <v>11</v>
      </c>
      <c r="O523" s="5554">
        <v>64.7</v>
      </c>
      <c r="P523" s="5558">
        <v>45.5</v>
      </c>
      <c r="Q523" s="5558">
        <v>54.5</v>
      </c>
      <c r="R523" s="5548">
        <f t="shared" si="10"/>
        <v>100</v>
      </c>
    </row>
    <row r="524" spans="9:18">
      <c r="I524" s="7081"/>
      <c r="J524" s="7082"/>
      <c r="K524" s="5517" t="s">
        <v>1915</v>
      </c>
      <c r="L524" s="5421">
        <v>14</v>
      </c>
      <c r="M524" s="5421">
        <v>14</v>
      </c>
      <c r="N524" s="5421">
        <v>9</v>
      </c>
      <c r="O524" s="5555">
        <v>64.3</v>
      </c>
      <c r="P524" s="5559">
        <v>0</v>
      </c>
      <c r="Q524" s="5559">
        <v>100</v>
      </c>
      <c r="R524" s="5550">
        <f t="shared" si="10"/>
        <v>100</v>
      </c>
    </row>
    <row r="525" spans="9:18">
      <c r="I525" s="7081"/>
      <c r="J525" s="7080" t="s">
        <v>16</v>
      </c>
      <c r="K525" s="3903" t="s">
        <v>1916</v>
      </c>
      <c r="L525" s="5513">
        <v>130</v>
      </c>
      <c r="M525" s="5513">
        <v>52</v>
      </c>
      <c r="N525" s="5513">
        <v>48</v>
      </c>
      <c r="O525" s="5552">
        <v>92.3</v>
      </c>
      <c r="P525" s="5560">
        <v>79.2</v>
      </c>
      <c r="Q525" s="5560">
        <v>20.8</v>
      </c>
      <c r="R525" s="5553">
        <f t="shared" si="10"/>
        <v>100</v>
      </c>
    </row>
    <row r="526" spans="9:18">
      <c r="I526" s="7081"/>
      <c r="J526" s="7081"/>
      <c r="K526" s="2800" t="s">
        <v>33</v>
      </c>
      <c r="L526" s="5420">
        <v>40</v>
      </c>
      <c r="M526" s="5420">
        <v>16</v>
      </c>
      <c r="N526" s="5420">
        <v>16</v>
      </c>
      <c r="O526" s="5554">
        <v>100</v>
      </c>
      <c r="P526" s="5558">
        <v>56.25</v>
      </c>
      <c r="Q526" s="5558">
        <v>43.75</v>
      </c>
      <c r="R526" s="5548">
        <f t="shared" si="10"/>
        <v>100</v>
      </c>
    </row>
    <row r="527" spans="9:18">
      <c r="I527" s="7081"/>
      <c r="J527" s="7081"/>
      <c r="K527" s="2800" t="s">
        <v>38</v>
      </c>
      <c r="L527" s="5420">
        <v>58</v>
      </c>
      <c r="M527" s="5420">
        <v>23</v>
      </c>
      <c r="N527" s="5420">
        <v>29</v>
      </c>
      <c r="O527" s="5554">
        <v>126.1</v>
      </c>
      <c r="P527" s="5558">
        <v>75</v>
      </c>
      <c r="Q527" s="5558">
        <v>25</v>
      </c>
      <c r="R527" s="5548">
        <f t="shared" si="10"/>
        <v>100</v>
      </c>
    </row>
    <row r="528" spans="9:18">
      <c r="I528" s="7081"/>
      <c r="J528" s="7081"/>
      <c r="K528" s="2800" t="s">
        <v>19</v>
      </c>
      <c r="L528" s="5420">
        <v>38</v>
      </c>
      <c r="M528" s="5420">
        <v>15</v>
      </c>
      <c r="N528" s="5420">
        <v>15</v>
      </c>
      <c r="O528" s="5554">
        <v>100</v>
      </c>
      <c r="P528" s="5558">
        <v>66.666666666666671</v>
      </c>
      <c r="Q528" s="5558">
        <v>33.333333333333336</v>
      </c>
      <c r="R528" s="5548">
        <f t="shared" si="10"/>
        <v>100</v>
      </c>
    </row>
    <row r="529" spans="1:33">
      <c r="I529" s="7081"/>
      <c r="J529" s="7081"/>
      <c r="K529" s="2800" t="s">
        <v>1917</v>
      </c>
      <c r="L529" s="5420">
        <v>26</v>
      </c>
      <c r="M529" s="5420">
        <v>26</v>
      </c>
      <c r="N529" s="5420">
        <v>13</v>
      </c>
      <c r="O529" s="5554">
        <v>50</v>
      </c>
      <c r="P529" s="5558">
        <v>76.92307692307692</v>
      </c>
      <c r="Q529" s="5558">
        <v>23.076923076923077</v>
      </c>
      <c r="R529" s="5548">
        <f t="shared" si="10"/>
        <v>100</v>
      </c>
    </row>
    <row r="530" spans="1:33">
      <c r="I530" s="7081"/>
      <c r="J530" s="7081"/>
      <c r="K530" s="2800" t="s">
        <v>36</v>
      </c>
      <c r="L530" s="5420">
        <v>39</v>
      </c>
      <c r="M530" s="5420">
        <v>16</v>
      </c>
      <c r="N530" s="5420">
        <v>17</v>
      </c>
      <c r="O530" s="5554">
        <v>106.3</v>
      </c>
      <c r="P530" s="5558">
        <v>35.294117647058826</v>
      </c>
      <c r="Q530" s="5558">
        <v>64.705882352941174</v>
      </c>
      <c r="R530" s="5548">
        <f t="shared" si="10"/>
        <v>100</v>
      </c>
    </row>
    <row r="531" spans="1:33">
      <c r="I531" s="7081"/>
      <c r="J531" s="7081"/>
      <c r="K531" s="2800" t="s">
        <v>34</v>
      </c>
      <c r="L531" s="5420">
        <v>40</v>
      </c>
      <c r="M531" s="5420">
        <v>16</v>
      </c>
      <c r="N531" s="5420">
        <v>20</v>
      </c>
      <c r="O531" s="5554">
        <v>125</v>
      </c>
      <c r="P531" s="5558">
        <v>70</v>
      </c>
      <c r="Q531" s="5558">
        <v>30</v>
      </c>
      <c r="R531" s="5548">
        <f t="shared" si="10"/>
        <v>100</v>
      </c>
    </row>
    <row r="532" spans="1:33">
      <c r="I532" s="7081"/>
      <c r="J532" s="7081"/>
      <c r="K532" s="2800" t="s">
        <v>1918</v>
      </c>
      <c r="L532" s="5420">
        <v>17</v>
      </c>
      <c r="M532" s="5420">
        <v>17</v>
      </c>
      <c r="N532" s="5420">
        <v>8</v>
      </c>
      <c r="O532" s="5554">
        <v>47.1</v>
      </c>
      <c r="P532" s="5558">
        <v>75</v>
      </c>
      <c r="Q532" s="5558">
        <v>25</v>
      </c>
      <c r="R532" s="5548">
        <f t="shared" si="10"/>
        <v>100</v>
      </c>
    </row>
    <row r="533" spans="1:33">
      <c r="I533" s="7081"/>
      <c r="J533" s="7081"/>
      <c r="K533" s="2800" t="s">
        <v>39</v>
      </c>
      <c r="L533" s="5420">
        <v>149</v>
      </c>
      <c r="M533" s="5420">
        <v>60</v>
      </c>
      <c r="N533" s="5420">
        <v>63</v>
      </c>
      <c r="O533" s="5554">
        <v>105</v>
      </c>
      <c r="P533" s="5558">
        <v>79.365079365079367</v>
      </c>
      <c r="Q533" s="5558">
        <v>20.634920634920636</v>
      </c>
      <c r="R533" s="5548">
        <f t="shared" si="10"/>
        <v>100</v>
      </c>
    </row>
    <row r="534" spans="1:33">
      <c r="I534" s="7081"/>
      <c r="J534" s="7081"/>
      <c r="K534" s="2800" t="s">
        <v>1919</v>
      </c>
      <c r="L534" s="5420">
        <v>27</v>
      </c>
      <c r="M534" s="5420">
        <v>27</v>
      </c>
      <c r="N534" s="5420">
        <v>11</v>
      </c>
      <c r="O534" s="5554">
        <v>40.700000000000003</v>
      </c>
      <c r="P534" s="5558">
        <v>81.818181818181813</v>
      </c>
      <c r="Q534" s="5558">
        <v>18.181818181818183</v>
      </c>
      <c r="R534" s="5548">
        <f t="shared" si="10"/>
        <v>100</v>
      </c>
    </row>
    <row r="535" spans="1:33" s="2413" customFormat="1">
      <c r="A535" s="4189"/>
      <c r="B535" s="4189"/>
      <c r="C535" s="4189"/>
      <c r="D535" s="4189"/>
      <c r="E535" s="4189"/>
      <c r="F535" s="4189"/>
      <c r="G535" s="4189"/>
      <c r="H535" s="4189"/>
      <c r="I535" s="7081"/>
      <c r="J535" s="7082"/>
      <c r="K535" s="5517" t="s">
        <v>1920</v>
      </c>
      <c r="L535" s="5421">
        <v>7</v>
      </c>
      <c r="M535" s="5421">
        <v>7</v>
      </c>
      <c r="N535" s="5421">
        <v>4</v>
      </c>
      <c r="O535" s="5555">
        <v>57.1</v>
      </c>
      <c r="P535" s="5559">
        <v>100</v>
      </c>
      <c r="Q535" s="5559">
        <v>0</v>
      </c>
      <c r="R535" s="5550">
        <f t="shared" si="10"/>
        <v>100</v>
      </c>
      <c r="S535" s="36"/>
      <c r="T535" s="36"/>
      <c r="U535" s="36"/>
      <c r="V535"/>
      <c r="W535"/>
      <c r="X535"/>
      <c r="Y535"/>
      <c r="Z535"/>
      <c r="AA535"/>
      <c r="AB535"/>
      <c r="AC535"/>
      <c r="AD535"/>
      <c r="AE535"/>
      <c r="AF535"/>
      <c r="AG535"/>
    </row>
    <row r="536" spans="1:33">
      <c r="I536" s="7081"/>
      <c r="J536" s="7080" t="s">
        <v>41</v>
      </c>
      <c r="K536" s="3903" t="s">
        <v>1921</v>
      </c>
      <c r="L536" s="5513">
        <v>72</v>
      </c>
      <c r="M536" s="5513">
        <v>40</v>
      </c>
      <c r="N536" s="5513">
        <v>35</v>
      </c>
      <c r="O536" s="5552">
        <v>87.5</v>
      </c>
      <c r="P536" s="5560">
        <v>57.142857142857146</v>
      </c>
      <c r="Q536" s="5560">
        <v>42.857142857142854</v>
      </c>
      <c r="R536" s="5553">
        <f t="shared" si="10"/>
        <v>100</v>
      </c>
    </row>
    <row r="537" spans="1:33">
      <c r="I537" s="7081"/>
      <c r="J537" s="7081"/>
      <c r="K537" s="2800" t="s">
        <v>43</v>
      </c>
      <c r="L537" s="5420">
        <v>41</v>
      </c>
      <c r="M537" s="5420">
        <v>23</v>
      </c>
      <c r="N537" s="5420">
        <v>23</v>
      </c>
      <c r="O537" s="5554">
        <v>100</v>
      </c>
      <c r="P537" s="5558">
        <v>21.739130434782609</v>
      </c>
      <c r="Q537" s="5558">
        <v>78.260869565217391</v>
      </c>
      <c r="R537" s="5548">
        <f t="shared" si="10"/>
        <v>100</v>
      </c>
    </row>
    <row r="538" spans="1:33">
      <c r="I538" s="7081"/>
      <c r="J538" s="7081"/>
      <c r="K538" s="2800" t="s">
        <v>1922</v>
      </c>
      <c r="L538" s="5420">
        <v>31</v>
      </c>
      <c r="M538" s="5420">
        <v>17</v>
      </c>
      <c r="N538" s="5420">
        <v>14</v>
      </c>
      <c r="O538" s="5554">
        <v>82.4</v>
      </c>
      <c r="P538" s="5558">
        <v>35.714285714285715</v>
      </c>
      <c r="Q538" s="5558">
        <v>64.285714285714292</v>
      </c>
      <c r="R538" s="5548">
        <f t="shared" si="10"/>
        <v>100</v>
      </c>
    </row>
    <row r="539" spans="1:33">
      <c r="I539" s="7081"/>
      <c r="J539" s="7081"/>
      <c r="K539" s="2800" t="s">
        <v>1923</v>
      </c>
      <c r="L539" s="5420">
        <v>69</v>
      </c>
      <c r="M539" s="5420">
        <v>39</v>
      </c>
      <c r="N539" s="5420">
        <v>35</v>
      </c>
      <c r="O539" s="5554">
        <v>79.5</v>
      </c>
      <c r="P539" s="5558">
        <v>57.142857142857146</v>
      </c>
      <c r="Q539" s="5558">
        <v>42.857142857142854</v>
      </c>
      <c r="R539" s="5548">
        <f t="shared" si="10"/>
        <v>100</v>
      </c>
    </row>
    <row r="540" spans="1:33">
      <c r="I540" s="7081"/>
      <c r="J540" s="7081"/>
      <c r="K540" s="2800" t="s">
        <v>263</v>
      </c>
      <c r="L540" s="5420">
        <v>73</v>
      </c>
      <c r="M540" s="5420">
        <v>41</v>
      </c>
      <c r="N540" s="5420">
        <v>43</v>
      </c>
      <c r="O540" s="5554">
        <v>104.9</v>
      </c>
      <c r="P540" s="5558">
        <v>62.790697674418603</v>
      </c>
      <c r="Q540" s="5558">
        <v>37.209302325581397</v>
      </c>
      <c r="R540" s="5548">
        <f t="shared" si="10"/>
        <v>100</v>
      </c>
    </row>
    <row r="541" spans="1:33">
      <c r="I541" s="7082"/>
      <c r="J541" s="7082"/>
      <c r="K541" s="5517" t="s">
        <v>1924</v>
      </c>
      <c r="L541" s="5421">
        <v>14</v>
      </c>
      <c r="M541" s="5421">
        <v>14</v>
      </c>
      <c r="N541" s="5421">
        <v>5</v>
      </c>
      <c r="O541" s="5555">
        <v>35.700000000000003</v>
      </c>
      <c r="P541" s="5559">
        <v>100</v>
      </c>
      <c r="Q541" s="5559">
        <v>0</v>
      </c>
      <c r="R541" s="5550">
        <f t="shared" si="10"/>
        <v>100</v>
      </c>
    </row>
    <row r="542" spans="1:33">
      <c r="I542" s="7080" t="s">
        <v>48</v>
      </c>
      <c r="J542" s="7080" t="s">
        <v>16</v>
      </c>
      <c r="K542" s="5561" t="s">
        <v>17</v>
      </c>
      <c r="L542" s="2689">
        <v>130</v>
      </c>
      <c r="M542" s="2689">
        <v>42</v>
      </c>
      <c r="N542" s="2689">
        <v>46</v>
      </c>
      <c r="O542" s="5546">
        <v>109.5</v>
      </c>
      <c r="P542" s="5562">
        <v>82.608695652173907</v>
      </c>
      <c r="Q542" s="5562">
        <v>17.391304347826086</v>
      </c>
      <c r="R542" s="5546">
        <f t="shared" si="10"/>
        <v>100</v>
      </c>
    </row>
    <row r="543" spans="1:33">
      <c r="I543" s="7081"/>
      <c r="J543" s="7081"/>
      <c r="K543" s="5563" t="s">
        <v>49</v>
      </c>
      <c r="L543" s="2698">
        <v>170</v>
      </c>
      <c r="M543" s="2698">
        <v>55</v>
      </c>
      <c r="N543" s="2698">
        <v>59</v>
      </c>
      <c r="O543" s="5548">
        <v>107.3</v>
      </c>
      <c r="P543" s="5558">
        <v>79.310344827586206</v>
      </c>
      <c r="Q543" s="5558">
        <v>20.689655172413794</v>
      </c>
      <c r="R543" s="5548">
        <f t="shared" si="10"/>
        <v>100</v>
      </c>
    </row>
    <row r="544" spans="1:33">
      <c r="I544" s="7081"/>
      <c r="J544" s="7081"/>
      <c r="K544" s="5563" t="s">
        <v>19</v>
      </c>
      <c r="L544" s="2698">
        <v>81</v>
      </c>
      <c r="M544" s="2698">
        <v>26</v>
      </c>
      <c r="N544" s="2698">
        <v>26</v>
      </c>
      <c r="O544" s="5548">
        <v>100</v>
      </c>
      <c r="P544" s="5558">
        <v>73.07692307692308</v>
      </c>
      <c r="Q544" s="5558">
        <v>26.923076923076923</v>
      </c>
      <c r="R544" s="5548">
        <f t="shared" si="10"/>
        <v>100</v>
      </c>
    </row>
    <row r="545" spans="9:33" ht="20.25" customHeight="1">
      <c r="I545" s="7081"/>
      <c r="J545" s="7081"/>
      <c r="K545" s="5563" t="s">
        <v>51</v>
      </c>
      <c r="L545" s="2698">
        <v>46</v>
      </c>
      <c r="M545" s="2698">
        <v>15</v>
      </c>
      <c r="N545" s="2698">
        <v>16</v>
      </c>
      <c r="O545" s="5548">
        <v>106.7</v>
      </c>
      <c r="P545" s="5558">
        <v>87.5</v>
      </c>
      <c r="Q545" s="5558">
        <v>12.5</v>
      </c>
      <c r="R545" s="5548">
        <f t="shared" si="10"/>
        <v>100</v>
      </c>
      <c r="V545" s="2413"/>
      <c r="W545" s="2413"/>
      <c r="X545" s="2413"/>
      <c r="Y545" s="2413"/>
      <c r="Z545" s="2413"/>
      <c r="AA545" s="2413"/>
      <c r="AB545" s="2413"/>
      <c r="AC545" s="2413"/>
      <c r="AD545" s="2413"/>
      <c r="AE545" s="2413"/>
      <c r="AF545" s="2413"/>
      <c r="AG545" s="2413"/>
    </row>
    <row r="546" spans="9:33" ht="20.25" customHeight="1">
      <c r="I546" s="7081"/>
      <c r="J546" s="7081"/>
      <c r="K546" s="5563" t="s">
        <v>50</v>
      </c>
      <c r="L546" s="2698">
        <v>260</v>
      </c>
      <c r="M546" s="2698">
        <v>85</v>
      </c>
      <c r="N546" s="2698">
        <v>89</v>
      </c>
      <c r="O546" s="5548">
        <v>104.7</v>
      </c>
      <c r="P546" s="5558">
        <v>77.272727272727266</v>
      </c>
      <c r="Q546" s="5558">
        <v>22.727272727272727</v>
      </c>
      <c r="R546" s="5548">
        <f t="shared" si="10"/>
        <v>100</v>
      </c>
    </row>
    <row r="547" spans="9:33">
      <c r="I547" s="7081"/>
      <c r="J547" s="7082"/>
      <c r="K547" s="5564" t="s">
        <v>20</v>
      </c>
      <c r="L547" s="5565">
        <v>107</v>
      </c>
      <c r="M547" s="5565">
        <v>35</v>
      </c>
      <c r="N547" s="5565">
        <v>35</v>
      </c>
      <c r="O547" s="5550">
        <v>100</v>
      </c>
      <c r="P547" s="5559">
        <v>62.857142857142854</v>
      </c>
      <c r="Q547" s="5559">
        <v>37.142857142857146</v>
      </c>
      <c r="R547" s="5550">
        <f t="shared" si="10"/>
        <v>100</v>
      </c>
    </row>
    <row r="548" spans="9:33">
      <c r="I548" s="7081"/>
      <c r="J548" s="7080" t="s">
        <v>41</v>
      </c>
      <c r="K548" s="5556" t="s">
        <v>56</v>
      </c>
      <c r="L548" s="5419">
        <v>111</v>
      </c>
      <c r="M548" s="5419">
        <v>27</v>
      </c>
      <c r="N548" s="5419">
        <v>39</v>
      </c>
      <c r="O548" s="5557">
        <v>144.4</v>
      </c>
      <c r="P548" s="5562">
        <v>68.421052631578945</v>
      </c>
      <c r="Q548" s="5562">
        <v>31.578947368421051</v>
      </c>
      <c r="R548" s="5546">
        <f t="shared" si="10"/>
        <v>100</v>
      </c>
    </row>
    <row r="549" spans="9:33">
      <c r="I549" s="7081"/>
      <c r="J549" s="7081"/>
      <c r="K549" s="2800" t="s">
        <v>42</v>
      </c>
      <c r="L549" s="5420">
        <v>151</v>
      </c>
      <c r="M549" s="5420">
        <v>37</v>
      </c>
      <c r="N549" s="5420">
        <v>54</v>
      </c>
      <c r="O549" s="5554">
        <v>145.9</v>
      </c>
      <c r="P549" s="5558">
        <v>38.888888888888886</v>
      </c>
      <c r="Q549" s="5558">
        <v>61.111111111111114</v>
      </c>
      <c r="R549" s="5548">
        <f t="shared" si="10"/>
        <v>100</v>
      </c>
    </row>
    <row r="550" spans="9:33">
      <c r="I550" s="7081"/>
      <c r="J550" s="7081"/>
      <c r="K550" s="2800" t="s">
        <v>52</v>
      </c>
      <c r="L550" s="5420">
        <v>140</v>
      </c>
      <c r="M550" s="5420">
        <v>34</v>
      </c>
      <c r="N550" s="5420">
        <v>43</v>
      </c>
      <c r="O550" s="5554">
        <v>126.5</v>
      </c>
      <c r="P550" s="5558">
        <v>83.720930232558146</v>
      </c>
      <c r="Q550" s="5558">
        <v>16.279069767441861</v>
      </c>
      <c r="R550" s="5548">
        <f t="shared" si="10"/>
        <v>100</v>
      </c>
    </row>
    <row r="551" spans="9:33">
      <c r="I551" s="7081"/>
      <c r="J551" s="7081"/>
      <c r="K551" s="2800" t="s">
        <v>53</v>
      </c>
      <c r="L551" s="5420">
        <v>163</v>
      </c>
      <c r="M551" s="5420">
        <v>40</v>
      </c>
      <c r="N551" s="5420">
        <v>40</v>
      </c>
      <c r="O551" s="5554">
        <v>100</v>
      </c>
      <c r="P551" s="5558">
        <v>75</v>
      </c>
      <c r="Q551" s="5558">
        <v>25</v>
      </c>
      <c r="R551" s="5548">
        <f t="shared" si="10"/>
        <v>100</v>
      </c>
    </row>
    <row r="552" spans="9:33">
      <c r="I552" s="7081"/>
      <c r="J552" s="7081"/>
      <c r="K552" s="2800" t="s">
        <v>255</v>
      </c>
      <c r="L552" s="5420">
        <v>134</v>
      </c>
      <c r="M552" s="5420">
        <v>33</v>
      </c>
      <c r="N552" s="5420">
        <v>36</v>
      </c>
      <c r="O552" s="5554">
        <v>109.1</v>
      </c>
      <c r="P552" s="5558">
        <v>62.857142857142854</v>
      </c>
      <c r="Q552" s="5558">
        <v>37.142857142857146</v>
      </c>
      <c r="R552" s="5548">
        <f t="shared" si="10"/>
        <v>100</v>
      </c>
    </row>
    <row r="553" spans="9:33">
      <c r="I553" s="7081"/>
      <c r="J553" s="7081"/>
      <c r="K553" s="2800" t="s">
        <v>55</v>
      </c>
      <c r="L553" s="5420">
        <v>152</v>
      </c>
      <c r="M553" s="5420">
        <v>37</v>
      </c>
      <c r="N553" s="5420">
        <v>53</v>
      </c>
      <c r="O553" s="5554">
        <v>143.19999999999999</v>
      </c>
      <c r="P553" s="5558">
        <v>66.037735849056602</v>
      </c>
      <c r="Q553" s="5558">
        <v>33.962264150943398</v>
      </c>
      <c r="R553" s="5548">
        <f t="shared" si="10"/>
        <v>100</v>
      </c>
    </row>
    <row r="554" spans="9:33">
      <c r="I554" s="7081"/>
      <c r="J554" s="7081"/>
      <c r="K554" s="2800" t="s">
        <v>54</v>
      </c>
      <c r="L554" s="5420">
        <v>228</v>
      </c>
      <c r="M554" s="5420">
        <v>56</v>
      </c>
      <c r="N554" s="5420">
        <v>65</v>
      </c>
      <c r="O554" s="5554">
        <v>116.1</v>
      </c>
      <c r="P554" s="5558">
        <v>76.92307692307692</v>
      </c>
      <c r="Q554" s="5558">
        <v>23.076923076923077</v>
      </c>
      <c r="R554" s="5548">
        <f t="shared" si="10"/>
        <v>100</v>
      </c>
    </row>
    <row r="555" spans="9:33">
      <c r="I555" s="7081"/>
      <c r="J555" s="7082"/>
      <c r="K555" s="5517" t="s">
        <v>264</v>
      </c>
      <c r="L555" s="5421">
        <v>107</v>
      </c>
      <c r="M555" s="5421">
        <v>26</v>
      </c>
      <c r="N555" s="5421">
        <v>27</v>
      </c>
      <c r="O555" s="5555">
        <v>103.8</v>
      </c>
      <c r="P555" s="5559">
        <v>70.370370370370367</v>
      </c>
      <c r="Q555" s="5559">
        <v>29.62962962962963</v>
      </c>
      <c r="R555" s="5550">
        <f t="shared" si="10"/>
        <v>100</v>
      </c>
    </row>
    <row r="556" spans="9:33" ht="15.75" customHeight="1">
      <c r="I556" s="7081"/>
      <c r="J556" s="7080" t="s">
        <v>21</v>
      </c>
      <c r="K556" s="3903" t="s">
        <v>22</v>
      </c>
      <c r="L556" s="5513">
        <v>181</v>
      </c>
      <c r="M556" s="5513">
        <v>92</v>
      </c>
      <c r="N556" s="5513">
        <v>96</v>
      </c>
      <c r="O556" s="5552">
        <v>104.3</v>
      </c>
      <c r="P556" s="5560">
        <v>84.375</v>
      </c>
      <c r="Q556" s="5560">
        <v>15.625</v>
      </c>
      <c r="R556" s="5553">
        <f t="shared" si="10"/>
        <v>100</v>
      </c>
    </row>
    <row r="557" spans="9:33">
      <c r="I557" s="7081"/>
      <c r="J557" s="7081"/>
      <c r="K557" s="2800" t="s">
        <v>58</v>
      </c>
      <c r="L557" s="5420">
        <v>51</v>
      </c>
      <c r="M557" s="5420">
        <v>26</v>
      </c>
      <c r="N557" s="5420">
        <v>27</v>
      </c>
      <c r="O557" s="5554">
        <v>103.8</v>
      </c>
      <c r="P557" s="5558">
        <v>62.962962962962962</v>
      </c>
      <c r="Q557" s="5558">
        <v>37.037037037037038</v>
      </c>
      <c r="R557" s="5548">
        <f t="shared" si="10"/>
        <v>100</v>
      </c>
    </row>
    <row r="558" spans="9:33">
      <c r="I558" s="7081"/>
      <c r="J558" s="7081"/>
      <c r="K558" s="2800" t="s">
        <v>23</v>
      </c>
      <c r="L558" s="5420">
        <v>94</v>
      </c>
      <c r="M558" s="5420">
        <v>48</v>
      </c>
      <c r="N558" s="5420">
        <v>50</v>
      </c>
      <c r="O558" s="5554">
        <v>104.2</v>
      </c>
      <c r="P558" s="5558">
        <v>76</v>
      </c>
      <c r="Q558" s="5558">
        <v>24</v>
      </c>
      <c r="R558" s="5548">
        <f t="shared" si="10"/>
        <v>100</v>
      </c>
    </row>
    <row r="559" spans="9:33">
      <c r="I559" s="7082"/>
      <c r="J559" s="7082"/>
      <c r="K559" s="5517" t="s">
        <v>24</v>
      </c>
      <c r="L559" s="5421">
        <v>46</v>
      </c>
      <c r="M559" s="5421">
        <v>23</v>
      </c>
      <c r="N559" s="5421">
        <v>23</v>
      </c>
      <c r="O559" s="5555">
        <v>100</v>
      </c>
      <c r="P559" s="5559">
        <v>91.304347826086953</v>
      </c>
      <c r="Q559" s="5559">
        <v>8.695652173913043</v>
      </c>
      <c r="R559" s="5550">
        <f t="shared" si="10"/>
        <v>100</v>
      </c>
    </row>
    <row r="560" spans="9:33">
      <c r="I560" s="7080" t="s">
        <v>59</v>
      </c>
      <c r="J560" s="7080" t="s">
        <v>16</v>
      </c>
      <c r="K560" s="5561" t="s">
        <v>1916</v>
      </c>
      <c r="L560" s="2689">
        <v>30</v>
      </c>
      <c r="M560" s="2689">
        <v>30</v>
      </c>
      <c r="N560" s="2689">
        <v>20</v>
      </c>
      <c r="O560" s="5546">
        <v>66.67</v>
      </c>
      <c r="P560" s="5562">
        <v>80</v>
      </c>
      <c r="Q560" s="5562">
        <v>20</v>
      </c>
      <c r="R560" s="5546">
        <f t="shared" si="10"/>
        <v>100</v>
      </c>
    </row>
    <row r="561" spans="9:18">
      <c r="I561" s="7081"/>
      <c r="J561" s="7081"/>
      <c r="K561" s="5563" t="s">
        <v>1925</v>
      </c>
      <c r="L561" s="2698">
        <v>18</v>
      </c>
      <c r="M561" s="2698">
        <v>18</v>
      </c>
      <c r="N561" s="2698">
        <v>14</v>
      </c>
      <c r="O561" s="5548">
        <v>77.8</v>
      </c>
      <c r="P561" s="5558">
        <v>71.428571428571431</v>
      </c>
      <c r="Q561" s="5558">
        <v>28.571428571428573</v>
      </c>
      <c r="R561" s="5548">
        <f t="shared" si="10"/>
        <v>100</v>
      </c>
    </row>
    <row r="562" spans="9:18">
      <c r="I562" s="7081"/>
      <c r="J562" s="7082"/>
      <c r="K562" s="5564" t="s">
        <v>1926</v>
      </c>
      <c r="L562" s="5565">
        <v>7</v>
      </c>
      <c r="M562" s="5565">
        <v>7</v>
      </c>
      <c r="N562" s="5565">
        <v>6</v>
      </c>
      <c r="O562" s="5550">
        <v>85.71</v>
      </c>
      <c r="P562" s="5559">
        <v>83.3</v>
      </c>
      <c r="Q562" s="5559">
        <v>16.7</v>
      </c>
      <c r="R562" s="5550">
        <f t="shared" si="10"/>
        <v>100</v>
      </c>
    </row>
    <row r="563" spans="9:18">
      <c r="I563" s="7081"/>
      <c r="J563" s="7080" t="s">
        <v>61</v>
      </c>
      <c r="K563" s="5556" t="s">
        <v>1927</v>
      </c>
      <c r="L563" s="5419">
        <v>21</v>
      </c>
      <c r="M563" s="5419">
        <v>21</v>
      </c>
      <c r="N563" s="5419">
        <v>11</v>
      </c>
      <c r="O563" s="5557">
        <v>52.4</v>
      </c>
      <c r="P563" s="5562">
        <v>90</v>
      </c>
      <c r="Q563" s="5562">
        <v>10</v>
      </c>
      <c r="R563" s="5546">
        <f t="shared" ref="R563:R568" si="11">P563+Q563</f>
        <v>100</v>
      </c>
    </row>
    <row r="564" spans="9:18">
      <c r="I564" s="7081"/>
      <c r="J564" s="7081"/>
      <c r="K564" s="2800" t="s">
        <v>1928</v>
      </c>
      <c r="L564" s="5420">
        <v>3</v>
      </c>
      <c r="M564" s="5420">
        <v>3</v>
      </c>
      <c r="N564" s="5420">
        <v>3</v>
      </c>
      <c r="O564" s="5554">
        <v>100</v>
      </c>
      <c r="P564" s="5558">
        <v>100</v>
      </c>
      <c r="Q564" s="5558">
        <v>0</v>
      </c>
      <c r="R564" s="5548">
        <f t="shared" si="11"/>
        <v>100</v>
      </c>
    </row>
    <row r="565" spans="9:18">
      <c r="I565" s="7081"/>
      <c r="J565" s="7082"/>
      <c r="K565" s="5517" t="s">
        <v>1929</v>
      </c>
      <c r="L565" s="5421">
        <v>27</v>
      </c>
      <c r="M565" s="5421">
        <v>27</v>
      </c>
      <c r="N565" s="5421">
        <v>17</v>
      </c>
      <c r="O565" s="5555">
        <v>63</v>
      </c>
      <c r="P565" s="5559">
        <v>82.352941176470594</v>
      </c>
      <c r="Q565" s="5559">
        <v>17.647058823529413</v>
      </c>
      <c r="R565" s="5550">
        <f t="shared" si="11"/>
        <v>100</v>
      </c>
    </row>
    <row r="566" spans="9:18">
      <c r="I566" s="7081"/>
      <c r="J566" s="7080" t="s">
        <v>64</v>
      </c>
      <c r="K566" s="3903" t="s">
        <v>1930</v>
      </c>
      <c r="L566" s="5513">
        <v>13</v>
      </c>
      <c r="M566" s="5513">
        <v>13</v>
      </c>
      <c r="N566" s="5513">
        <v>11</v>
      </c>
      <c r="O566" s="5552">
        <v>84.6</v>
      </c>
      <c r="P566" s="5560">
        <v>90</v>
      </c>
      <c r="Q566" s="5560">
        <v>10</v>
      </c>
      <c r="R566" s="5553">
        <f t="shared" si="11"/>
        <v>100</v>
      </c>
    </row>
    <row r="567" spans="9:18">
      <c r="I567" s="7081"/>
      <c r="J567" s="7081"/>
      <c r="K567" s="2800" t="s">
        <v>1931</v>
      </c>
      <c r="L567" s="5420">
        <v>4</v>
      </c>
      <c r="M567" s="5420">
        <v>4</v>
      </c>
      <c r="N567" s="5420">
        <v>2</v>
      </c>
      <c r="O567" s="5554">
        <v>50</v>
      </c>
      <c r="P567" s="5558">
        <v>0</v>
      </c>
      <c r="Q567" s="5558">
        <v>100</v>
      </c>
      <c r="R567" s="5548">
        <f t="shared" si="11"/>
        <v>100</v>
      </c>
    </row>
    <row r="568" spans="9:18">
      <c r="I568" s="7082"/>
      <c r="J568" s="7082"/>
      <c r="K568" s="5517" t="s">
        <v>386</v>
      </c>
      <c r="L568" s="5421">
        <v>1</v>
      </c>
      <c r="M568" s="5421">
        <v>1</v>
      </c>
      <c r="N568" s="5421">
        <v>1</v>
      </c>
      <c r="O568" s="5555">
        <v>100</v>
      </c>
      <c r="P568" s="5559">
        <v>0</v>
      </c>
      <c r="Q568" s="5559">
        <v>100</v>
      </c>
      <c r="R568" s="5550">
        <f t="shared" si="11"/>
        <v>100</v>
      </c>
    </row>
    <row r="569" spans="9:18">
      <c r="I569" s="95"/>
      <c r="J569" s="36"/>
      <c r="K569" s="5481" t="s">
        <v>15</v>
      </c>
      <c r="L569" s="5481">
        <f>SUM(L499:L568)</f>
        <v>4744</v>
      </c>
      <c r="M569" s="5481">
        <f>SUM(M499:M568)</f>
        <v>2083</v>
      </c>
      <c r="N569" s="5481">
        <f>SUM(N499:N568)</f>
        <v>2015</v>
      </c>
      <c r="O569" s="5566">
        <v>96.7</v>
      </c>
      <c r="P569" s="5530">
        <v>0.74199999999999999</v>
      </c>
      <c r="Q569" s="5531">
        <v>0.25800000000000001</v>
      </c>
      <c r="R569" s="5566">
        <v>100</v>
      </c>
    </row>
    <row r="570" spans="9:18">
      <c r="J570" s="36"/>
    </row>
    <row r="571" spans="9:18">
      <c r="I571" s="5427"/>
      <c r="J571" s="5427"/>
      <c r="K571" s="5427"/>
      <c r="L571" s="5427"/>
      <c r="M571" s="594"/>
    </row>
    <row r="572" spans="9:18" ht="18">
      <c r="I572" s="5427"/>
      <c r="J572" s="5427"/>
      <c r="K572" s="5422">
        <v>2015</v>
      </c>
      <c r="L572" s="5427"/>
      <c r="M572" s="5427"/>
    </row>
    <row r="573" spans="9:18">
      <c r="I573" s="1488" t="s">
        <v>2990</v>
      </c>
      <c r="J573" s="36"/>
      <c r="L573" s="95"/>
      <c r="M573" s="95"/>
      <c r="N573" s="95"/>
      <c r="O573" s="95"/>
      <c r="P573" s="95"/>
    </row>
    <row r="574" spans="9:18">
      <c r="I574" s="393" t="s">
        <v>2991</v>
      </c>
      <c r="J574" s="5427"/>
      <c r="K574" s="5427"/>
      <c r="L574" s="95"/>
      <c r="M574" s="95"/>
      <c r="N574" s="95"/>
      <c r="O574" s="95"/>
      <c r="P574" s="95"/>
    </row>
    <row r="575" spans="9:18">
      <c r="I575" s="7110" t="s">
        <v>1419</v>
      </c>
      <c r="J575" s="7111"/>
      <c r="K575" s="7111"/>
      <c r="L575" s="7112"/>
      <c r="M575" s="135"/>
      <c r="N575" s="95"/>
      <c r="O575" s="95"/>
      <c r="P575" s="95"/>
    </row>
    <row r="576" spans="9:18" ht="24">
      <c r="I576" s="5567" t="s">
        <v>1420</v>
      </c>
      <c r="J576" s="5568" t="s">
        <v>922</v>
      </c>
      <c r="K576" s="5568" t="s">
        <v>101</v>
      </c>
      <c r="L576" s="5568" t="s">
        <v>923</v>
      </c>
      <c r="M576" s="5544"/>
      <c r="N576" s="95"/>
      <c r="O576" s="95"/>
      <c r="P576" s="95"/>
    </row>
    <row r="577" spans="9:17">
      <c r="I577" s="5569">
        <v>2005</v>
      </c>
      <c r="J577" s="5569">
        <v>1570</v>
      </c>
      <c r="K577" s="5570">
        <v>46.851686063861536</v>
      </c>
      <c r="L577" s="5571">
        <v>46.851686063861536</v>
      </c>
      <c r="M577" s="5425"/>
      <c r="N577" s="95"/>
      <c r="O577" s="95"/>
      <c r="P577" s="95"/>
    </row>
    <row r="578" spans="9:17">
      <c r="I578" s="5572">
        <v>2008</v>
      </c>
      <c r="J578" s="5572">
        <v>1781</v>
      </c>
      <c r="K578" s="5573">
        <v>53.148313936138464</v>
      </c>
      <c r="L578" s="5574">
        <v>53.148313936138464</v>
      </c>
      <c r="M578" s="5425"/>
      <c r="N578" s="95"/>
      <c r="O578" s="95"/>
      <c r="P578" s="95"/>
    </row>
    <row r="579" spans="9:17">
      <c r="I579" s="5575" t="s">
        <v>15</v>
      </c>
      <c r="J579" s="5575">
        <v>3351</v>
      </c>
      <c r="K579" s="5576">
        <f>SUM(K577:K578)</f>
        <v>100</v>
      </c>
      <c r="L579" s="5577">
        <v>100</v>
      </c>
      <c r="M579" s="5425"/>
      <c r="N579" s="95"/>
      <c r="O579" s="95"/>
      <c r="P579" s="95"/>
    </row>
    <row r="580" spans="9:17">
      <c r="I580" s="1062" t="s">
        <v>1421</v>
      </c>
      <c r="J580" s="5542"/>
      <c r="K580" s="5543"/>
      <c r="L580" s="5425"/>
      <c r="M580" s="5425"/>
      <c r="N580" s="95"/>
      <c r="O580" s="95"/>
      <c r="P580" s="95"/>
    </row>
    <row r="581" spans="9:17">
      <c r="J581" s="36"/>
      <c r="L581" s="95"/>
      <c r="M581" s="95"/>
      <c r="N581" s="95"/>
      <c r="O581" s="95"/>
      <c r="P581" s="95"/>
    </row>
    <row r="582" spans="9:17">
      <c r="J582" s="36"/>
      <c r="L582" s="7110" t="s">
        <v>905</v>
      </c>
      <c r="M582" s="7112"/>
      <c r="N582" s="7076" t="s">
        <v>1422</v>
      </c>
      <c r="O582" s="7077"/>
      <c r="P582" s="7077"/>
      <c r="Q582" s="7078"/>
    </row>
    <row r="583" spans="9:17" ht="24">
      <c r="I583" s="5578" t="s">
        <v>0</v>
      </c>
      <c r="J583" s="5578" t="s">
        <v>1</v>
      </c>
      <c r="K583" s="5578" t="s">
        <v>1423</v>
      </c>
      <c r="L583" s="5567" t="s">
        <v>907</v>
      </c>
      <c r="M583" s="5567" t="s">
        <v>908</v>
      </c>
      <c r="N583" s="5579" t="s">
        <v>1424</v>
      </c>
      <c r="O583" s="5579" t="s">
        <v>1425</v>
      </c>
      <c r="P583" s="5579" t="s">
        <v>1426</v>
      </c>
      <c r="Q583" s="5579" t="s">
        <v>1427</v>
      </c>
    </row>
    <row r="584" spans="9:17">
      <c r="I584" s="7080" t="s">
        <v>3</v>
      </c>
      <c r="J584" s="7080" t="s">
        <v>21</v>
      </c>
      <c r="K584" s="5580" t="s">
        <v>22</v>
      </c>
      <c r="L584" s="5546">
        <v>88.118811881188122</v>
      </c>
      <c r="M584" s="5546">
        <v>11.881188118811881</v>
      </c>
      <c r="N584" s="5557">
        <v>3.3707865168539324</v>
      </c>
      <c r="O584" s="5557">
        <v>15.730337078651685</v>
      </c>
      <c r="P584" s="5557">
        <v>34.831460674157306</v>
      </c>
      <c r="Q584" s="5557">
        <v>46.067415730337082</v>
      </c>
    </row>
    <row r="585" spans="9:17">
      <c r="I585" s="7081"/>
      <c r="J585" s="7081"/>
      <c r="K585" s="5581" t="s">
        <v>1429</v>
      </c>
      <c r="L585" s="5548">
        <v>90.163934426229503</v>
      </c>
      <c r="M585" s="5548">
        <v>9.8360655737704921</v>
      </c>
      <c r="N585" s="5554">
        <v>3.6363636363636362</v>
      </c>
      <c r="O585" s="5554">
        <v>0.90909090909090906</v>
      </c>
      <c r="P585" s="5554">
        <v>15.454545454545455</v>
      </c>
      <c r="Q585" s="5554">
        <v>80</v>
      </c>
    </row>
    <row r="586" spans="9:17">
      <c r="I586" s="7081"/>
      <c r="J586" s="7082"/>
      <c r="K586" s="5582" t="s">
        <v>24</v>
      </c>
      <c r="L586" s="5550">
        <v>85.714285714285708</v>
      </c>
      <c r="M586" s="5550">
        <v>14.285714285714286</v>
      </c>
      <c r="N586" s="5555">
        <v>5.5555555555555554</v>
      </c>
      <c r="O586" s="5555">
        <v>12.962962962962964</v>
      </c>
      <c r="P586" s="5555">
        <v>29.62962962962963</v>
      </c>
      <c r="Q586" s="5555">
        <v>51.851851851851855</v>
      </c>
    </row>
    <row r="587" spans="9:17">
      <c r="I587" s="7081"/>
      <c r="J587" s="7080" t="s">
        <v>4</v>
      </c>
      <c r="K587" s="5580" t="s">
        <v>5</v>
      </c>
      <c r="L587" s="5546">
        <v>78.571428571428569</v>
      </c>
      <c r="M587" s="5546">
        <v>21.428571428571427</v>
      </c>
      <c r="N587" s="5557">
        <v>9.0909090909090917</v>
      </c>
      <c r="O587" s="5557">
        <v>0</v>
      </c>
      <c r="P587" s="5557">
        <v>27.272727272727273</v>
      </c>
      <c r="Q587" s="5557">
        <v>63.636363636363633</v>
      </c>
    </row>
    <row r="588" spans="9:17">
      <c r="I588" s="7081"/>
      <c r="J588" s="7081"/>
      <c r="K588" s="5581" t="s">
        <v>6</v>
      </c>
      <c r="L588" s="5548">
        <v>85.714285714285708</v>
      </c>
      <c r="M588" s="5548">
        <v>14.285714285714286</v>
      </c>
      <c r="N588" s="5554">
        <v>5.5555555555555554</v>
      </c>
      <c r="O588" s="5554">
        <v>0</v>
      </c>
      <c r="P588" s="5554">
        <v>11.111111111111111</v>
      </c>
      <c r="Q588" s="5554">
        <v>83.333333333333329</v>
      </c>
    </row>
    <row r="589" spans="9:17" ht="27" customHeight="1">
      <c r="I589" s="7081"/>
      <c r="J589" s="7081"/>
      <c r="K589" s="5581" t="s">
        <v>7</v>
      </c>
      <c r="L589" s="5548">
        <v>91.304347826086953</v>
      </c>
      <c r="M589" s="5548">
        <v>8.695652173913043</v>
      </c>
      <c r="N589" s="5554">
        <v>4.7619047619047619</v>
      </c>
      <c r="O589" s="5554">
        <v>4.7619047619047619</v>
      </c>
      <c r="P589" s="5554">
        <v>14.285714285714286</v>
      </c>
      <c r="Q589" s="5554">
        <v>76.19047619047619</v>
      </c>
    </row>
    <row r="590" spans="9:17" ht="28.2" customHeight="1">
      <c r="I590" s="7081"/>
      <c r="J590" s="7081"/>
      <c r="K590" s="5581" t="s">
        <v>8</v>
      </c>
      <c r="L590" s="5548">
        <v>52.631578947368418</v>
      </c>
      <c r="M590" s="5548">
        <v>47.368421052631582</v>
      </c>
      <c r="N590" s="5554">
        <v>0</v>
      </c>
      <c r="O590" s="5554">
        <v>0</v>
      </c>
      <c r="P590" s="5554">
        <v>40</v>
      </c>
      <c r="Q590" s="5554">
        <v>60</v>
      </c>
    </row>
    <row r="591" spans="9:17" ht="21.6" customHeight="1">
      <c r="I591" s="7081"/>
      <c r="J591" s="7081"/>
      <c r="K591" s="5581" t="s">
        <v>9</v>
      </c>
      <c r="L591" s="5548">
        <v>85.13513513513513</v>
      </c>
      <c r="M591" s="5548">
        <v>14.864864864864865</v>
      </c>
      <c r="N591" s="5554">
        <v>3.1746031746031744</v>
      </c>
      <c r="O591" s="5554">
        <v>14.285714285714286</v>
      </c>
      <c r="P591" s="5554">
        <v>42.857142857142854</v>
      </c>
      <c r="Q591" s="5554">
        <v>39.682539682539684</v>
      </c>
    </row>
    <row r="592" spans="9:17">
      <c r="I592" s="7081"/>
      <c r="J592" s="7081"/>
      <c r="K592" s="5581" t="s">
        <v>10</v>
      </c>
      <c r="L592" s="5548">
        <v>84.615384615384613</v>
      </c>
      <c r="M592" s="5548">
        <v>15.384615384615385</v>
      </c>
      <c r="N592" s="5554">
        <v>4.5454545454545459</v>
      </c>
      <c r="O592" s="5554">
        <v>4.5454545454545459</v>
      </c>
      <c r="P592" s="5554">
        <v>40.909090909090907</v>
      </c>
      <c r="Q592" s="5554">
        <v>50</v>
      </c>
    </row>
    <row r="593" spans="9:17">
      <c r="I593" s="7081"/>
      <c r="J593" s="7081"/>
      <c r="K593" s="5581" t="s">
        <v>11</v>
      </c>
      <c r="L593" s="5548">
        <v>77.777777777777771</v>
      </c>
      <c r="M593" s="5548">
        <v>22.222222222222221</v>
      </c>
      <c r="N593" s="5554">
        <v>0</v>
      </c>
      <c r="O593" s="5554">
        <v>0</v>
      </c>
      <c r="P593" s="5554">
        <v>71.428571428571431</v>
      </c>
      <c r="Q593" s="5554">
        <v>28.571428571428573</v>
      </c>
    </row>
    <row r="594" spans="9:17" ht="25.2" customHeight="1">
      <c r="I594" s="7081"/>
      <c r="J594" s="7081"/>
      <c r="K594" s="5581" t="s">
        <v>12</v>
      </c>
      <c r="L594" s="5548">
        <v>63.46153846153846</v>
      </c>
      <c r="M594" s="5548">
        <v>36.53846153846154</v>
      </c>
      <c r="N594" s="5554">
        <v>3.0303030303030303</v>
      </c>
      <c r="O594" s="5554">
        <v>18.181818181818183</v>
      </c>
      <c r="P594" s="5554">
        <v>36.363636363636367</v>
      </c>
      <c r="Q594" s="5554">
        <v>42.424242424242422</v>
      </c>
    </row>
    <row r="595" spans="9:17">
      <c r="I595" s="7081"/>
      <c r="J595" s="7081"/>
      <c r="K595" s="5581" t="s">
        <v>13</v>
      </c>
      <c r="L595" s="5548">
        <v>82.089552238805965</v>
      </c>
      <c r="M595" s="5548">
        <v>17.910447761194028</v>
      </c>
      <c r="N595" s="5554">
        <v>3.6363636363636362</v>
      </c>
      <c r="O595" s="5554">
        <v>12.727272727272727</v>
      </c>
      <c r="P595" s="5554">
        <v>30.90909090909091</v>
      </c>
      <c r="Q595" s="5554">
        <v>52.727272727272727</v>
      </c>
    </row>
    <row r="596" spans="9:17">
      <c r="I596" s="7081"/>
      <c r="J596" s="7082"/>
      <c r="K596" s="5582" t="s">
        <v>14</v>
      </c>
      <c r="L596" s="5550">
        <v>85.714285714285708</v>
      </c>
      <c r="M596" s="5550">
        <v>14.285714285714286</v>
      </c>
      <c r="N596" s="5555">
        <v>0</v>
      </c>
      <c r="O596" s="5555">
        <v>0</v>
      </c>
      <c r="P596" s="5555">
        <v>16.666666666666668</v>
      </c>
      <c r="Q596" s="5555">
        <v>83.333333333333329</v>
      </c>
    </row>
    <row r="597" spans="9:17">
      <c r="I597" s="7081"/>
      <c r="J597" s="7080" t="s">
        <v>16</v>
      </c>
      <c r="K597" s="5583" t="s">
        <v>17</v>
      </c>
      <c r="L597" s="5553">
        <v>76.13636363636364</v>
      </c>
      <c r="M597" s="5553">
        <v>23.863636363636363</v>
      </c>
      <c r="N597" s="5552">
        <v>2.9850746268656718</v>
      </c>
      <c r="O597" s="5552">
        <v>10.447761194029852</v>
      </c>
      <c r="P597" s="5552">
        <v>35.820895522388057</v>
      </c>
      <c r="Q597" s="5552">
        <v>50.746268656716417</v>
      </c>
    </row>
    <row r="598" spans="9:17">
      <c r="I598" s="7081"/>
      <c r="J598" s="7081"/>
      <c r="K598" s="5581" t="s">
        <v>18</v>
      </c>
      <c r="L598" s="5548">
        <v>81.875</v>
      </c>
      <c r="M598" s="5548">
        <v>18.125</v>
      </c>
      <c r="N598" s="5554">
        <v>6.9230769230769234</v>
      </c>
      <c r="O598" s="5554">
        <v>7.6923076923076925</v>
      </c>
      <c r="P598" s="5554">
        <v>13.846153846153847</v>
      </c>
      <c r="Q598" s="5554">
        <v>71.538461538461533</v>
      </c>
    </row>
    <row r="599" spans="9:17">
      <c r="I599" s="7081"/>
      <c r="J599" s="7081"/>
      <c r="K599" s="5581" t="s">
        <v>19</v>
      </c>
      <c r="L599" s="5548">
        <v>78</v>
      </c>
      <c r="M599" s="5548">
        <v>22</v>
      </c>
      <c r="N599" s="5554">
        <v>17.5</v>
      </c>
      <c r="O599" s="5554">
        <v>30</v>
      </c>
      <c r="P599" s="5554">
        <v>30</v>
      </c>
      <c r="Q599" s="5554">
        <v>22.5</v>
      </c>
    </row>
    <row r="600" spans="9:17">
      <c r="I600" s="7082"/>
      <c r="J600" s="7082"/>
      <c r="K600" s="5582" t="s">
        <v>1428</v>
      </c>
      <c r="L600" s="5550">
        <v>61.016949152542374</v>
      </c>
      <c r="M600" s="5550">
        <v>38.983050847457626</v>
      </c>
      <c r="N600" s="5555">
        <v>11.111111111111111</v>
      </c>
      <c r="O600" s="5555">
        <v>5.5555555555555554</v>
      </c>
      <c r="P600" s="5555">
        <v>13.888888888888889</v>
      </c>
      <c r="Q600" s="5555">
        <v>69.444444444444443</v>
      </c>
    </row>
    <row r="601" spans="9:17">
      <c r="I601" s="7080" t="s">
        <v>25</v>
      </c>
      <c r="J601" s="7080" t="s">
        <v>4</v>
      </c>
      <c r="K601" s="5580" t="s">
        <v>26</v>
      </c>
      <c r="L601" s="5546">
        <v>80.645161290322577</v>
      </c>
      <c r="M601" s="5546">
        <v>19.35483870967742</v>
      </c>
      <c r="N601" s="5557">
        <v>4</v>
      </c>
      <c r="O601" s="5557">
        <v>8</v>
      </c>
      <c r="P601" s="5557">
        <v>32</v>
      </c>
      <c r="Q601" s="5557">
        <v>56</v>
      </c>
    </row>
    <row r="602" spans="9:17">
      <c r="I602" s="7081"/>
      <c r="J602" s="7081"/>
      <c r="K602" s="5581" t="s">
        <v>27</v>
      </c>
      <c r="L602" s="5548">
        <v>83.333333333333329</v>
      </c>
      <c r="M602" s="5548">
        <v>16.666666666666668</v>
      </c>
      <c r="N602" s="5554">
        <v>0</v>
      </c>
      <c r="O602" s="5554">
        <v>0</v>
      </c>
      <c r="P602" s="5554">
        <v>20</v>
      </c>
      <c r="Q602" s="5554">
        <v>80</v>
      </c>
    </row>
    <row r="603" spans="9:17">
      <c r="I603" s="7081"/>
      <c r="J603" s="7081"/>
      <c r="K603" s="5581" t="s">
        <v>12</v>
      </c>
      <c r="L603" s="5548">
        <v>80.952380952380949</v>
      </c>
      <c r="M603" s="5548">
        <v>19.047619047619047</v>
      </c>
      <c r="N603" s="5554">
        <v>5.882352941176471</v>
      </c>
      <c r="O603" s="5554">
        <v>17.647058823529413</v>
      </c>
      <c r="P603" s="5554">
        <v>41.176470588235297</v>
      </c>
      <c r="Q603" s="5554">
        <v>35.294117647058826</v>
      </c>
    </row>
    <row r="604" spans="9:17">
      <c r="I604" s="7081"/>
      <c r="J604" s="7081"/>
      <c r="K604" s="5581" t="s">
        <v>1430</v>
      </c>
      <c r="L604" s="5548">
        <v>87.5</v>
      </c>
      <c r="M604" s="5548">
        <v>12.5</v>
      </c>
      <c r="N604" s="5554">
        <v>0</v>
      </c>
      <c r="O604" s="5554">
        <v>14.285714285714286</v>
      </c>
      <c r="P604" s="5554">
        <v>57.142857142857146</v>
      </c>
      <c r="Q604" s="5554">
        <v>28.571428571428573</v>
      </c>
    </row>
    <row r="605" spans="9:17">
      <c r="I605" s="7081"/>
      <c r="J605" s="7081"/>
      <c r="K605" s="5581" t="s">
        <v>29</v>
      </c>
      <c r="L605" s="5548">
        <v>25</v>
      </c>
      <c r="M605" s="5548">
        <v>75</v>
      </c>
      <c r="N605" s="5554">
        <v>50</v>
      </c>
      <c r="O605" s="5554">
        <v>0</v>
      </c>
      <c r="P605" s="5554">
        <v>0</v>
      </c>
      <c r="Q605" s="5554">
        <v>50</v>
      </c>
    </row>
    <row r="606" spans="9:17">
      <c r="I606" s="7081"/>
      <c r="J606" s="7081"/>
      <c r="K606" s="5581" t="s">
        <v>13</v>
      </c>
      <c r="L606" s="5548">
        <v>79.487179487179489</v>
      </c>
      <c r="M606" s="5548">
        <v>20.512820512820515</v>
      </c>
      <c r="N606" s="5554">
        <v>6.4516129032258061</v>
      </c>
      <c r="O606" s="5554">
        <v>9.67741935483871</v>
      </c>
      <c r="P606" s="5554">
        <v>38.70967741935484</v>
      </c>
      <c r="Q606" s="5554">
        <v>45.161290322580648</v>
      </c>
    </row>
    <row r="607" spans="9:17">
      <c r="I607" s="7081"/>
      <c r="J607" s="7081"/>
      <c r="K607" s="5581" t="s">
        <v>30</v>
      </c>
      <c r="L607" s="5548">
        <v>78.94736842105263</v>
      </c>
      <c r="M607" s="5548">
        <v>21.05263157894737</v>
      </c>
      <c r="N607" s="5554">
        <v>0</v>
      </c>
      <c r="O607" s="5554">
        <v>0</v>
      </c>
      <c r="P607" s="5554">
        <v>0</v>
      </c>
      <c r="Q607" s="5554">
        <v>100</v>
      </c>
    </row>
    <row r="608" spans="9:17">
      <c r="I608" s="7081"/>
      <c r="J608" s="7081"/>
      <c r="K608" s="5581" t="s">
        <v>31</v>
      </c>
      <c r="L608" s="5548">
        <v>20</v>
      </c>
      <c r="M608" s="5548">
        <v>80</v>
      </c>
      <c r="N608" s="5554">
        <v>0</v>
      </c>
      <c r="O608" s="5554">
        <v>0</v>
      </c>
      <c r="P608" s="5554">
        <v>0</v>
      </c>
      <c r="Q608" s="5554">
        <v>100</v>
      </c>
    </row>
    <row r="609" spans="9:17">
      <c r="I609" s="7081"/>
      <c r="J609" s="7082"/>
      <c r="K609" s="5582" t="s">
        <v>32</v>
      </c>
      <c r="L609" s="5550">
        <v>88.888888888888886</v>
      </c>
      <c r="M609" s="5550">
        <v>11.111111111111111</v>
      </c>
      <c r="N609" s="5555">
        <v>3.125</v>
      </c>
      <c r="O609" s="5555">
        <v>9.375</v>
      </c>
      <c r="P609" s="5555">
        <v>34.375</v>
      </c>
      <c r="Q609" s="5555">
        <v>53.125</v>
      </c>
    </row>
    <row r="610" spans="9:17">
      <c r="I610" s="7081"/>
      <c r="J610" s="7080" t="s">
        <v>41</v>
      </c>
      <c r="K610" s="5580" t="s">
        <v>42</v>
      </c>
      <c r="L610" s="5546">
        <v>62.5</v>
      </c>
      <c r="M610" s="5546">
        <v>37.5</v>
      </c>
      <c r="N610" s="5557">
        <v>25</v>
      </c>
      <c r="O610" s="5557">
        <v>15</v>
      </c>
      <c r="P610" s="5557">
        <v>25</v>
      </c>
      <c r="Q610" s="5557">
        <v>35</v>
      </c>
    </row>
    <row r="611" spans="9:17">
      <c r="I611" s="7081"/>
      <c r="J611" s="7081"/>
      <c r="K611" s="5581" t="s">
        <v>1434</v>
      </c>
      <c r="L611" s="5548">
        <v>41.463414634146339</v>
      </c>
      <c r="M611" s="5548">
        <v>58.536585365853661</v>
      </c>
      <c r="N611" s="5554">
        <v>17.647058823529413</v>
      </c>
      <c r="O611" s="5554">
        <v>17.647058823529413</v>
      </c>
      <c r="P611" s="5554">
        <v>29.411764705882351</v>
      </c>
      <c r="Q611" s="5554">
        <v>35.294117647058826</v>
      </c>
    </row>
    <row r="612" spans="9:17">
      <c r="I612" s="7081"/>
      <c r="J612" s="7081"/>
      <c r="K612" s="5581" t="s">
        <v>44</v>
      </c>
      <c r="L612" s="5548">
        <v>52.38095238095238</v>
      </c>
      <c r="M612" s="5548">
        <v>47.61904761904762</v>
      </c>
      <c r="N612" s="5554">
        <v>18.181818181818183</v>
      </c>
      <c r="O612" s="5554">
        <v>9.0909090909090917</v>
      </c>
      <c r="P612" s="5554">
        <v>63.636363636363633</v>
      </c>
      <c r="Q612" s="5554">
        <v>9.0909090909090917</v>
      </c>
    </row>
    <row r="613" spans="9:17">
      <c r="I613" s="7081"/>
      <c r="J613" s="7081"/>
      <c r="K613" s="5581" t="s">
        <v>1435</v>
      </c>
      <c r="L613" s="5548">
        <v>50</v>
      </c>
      <c r="M613" s="5548">
        <v>50</v>
      </c>
      <c r="N613" s="5554">
        <v>0</v>
      </c>
      <c r="O613" s="5554">
        <v>50</v>
      </c>
      <c r="P613" s="5554">
        <v>50</v>
      </c>
      <c r="Q613" s="5554">
        <v>0</v>
      </c>
    </row>
    <row r="614" spans="9:17">
      <c r="I614" s="7081"/>
      <c r="J614" s="7081"/>
      <c r="K614" s="5581" t="s">
        <v>46</v>
      </c>
      <c r="L614" s="5548">
        <v>78.688524590163937</v>
      </c>
      <c r="M614" s="5548">
        <v>21.311475409836067</v>
      </c>
      <c r="N614" s="5554">
        <v>6.25</v>
      </c>
      <c r="O614" s="5554">
        <v>8.3333333333333339</v>
      </c>
      <c r="P614" s="5554">
        <v>35.416666666666664</v>
      </c>
      <c r="Q614" s="5554">
        <v>50</v>
      </c>
    </row>
    <row r="615" spans="9:17">
      <c r="I615" s="7081"/>
      <c r="J615" s="7082"/>
      <c r="K615" s="5582" t="s">
        <v>1436</v>
      </c>
      <c r="L615" s="5550">
        <v>71.794871794871796</v>
      </c>
      <c r="M615" s="5550">
        <v>28.205128205128204</v>
      </c>
      <c r="N615" s="5555">
        <v>7.1428571428571432</v>
      </c>
      <c r="O615" s="5555">
        <v>14.285714285714286</v>
      </c>
      <c r="P615" s="5555">
        <v>23.214285714285715</v>
      </c>
      <c r="Q615" s="5555">
        <v>55.357142857142854</v>
      </c>
    </row>
    <row r="616" spans="9:17">
      <c r="I616" s="7081"/>
      <c r="J616" s="7080" t="s">
        <v>16</v>
      </c>
      <c r="K616" s="5583" t="s">
        <v>17</v>
      </c>
      <c r="L616" s="5553">
        <v>77.333333333333329</v>
      </c>
      <c r="M616" s="5553">
        <v>22.666666666666668</v>
      </c>
      <c r="N616" s="5552">
        <v>7.0175438596491224</v>
      </c>
      <c r="O616" s="5552">
        <v>17.543859649122808</v>
      </c>
      <c r="P616" s="5552">
        <v>28.07017543859649</v>
      </c>
      <c r="Q616" s="5552">
        <v>47.368421052631582</v>
      </c>
    </row>
    <row r="617" spans="9:17">
      <c r="I617" s="7081"/>
      <c r="J617" s="7081"/>
      <c r="K617" s="5581" t="s">
        <v>1431</v>
      </c>
      <c r="L617" s="5548">
        <v>68.181818181818187</v>
      </c>
      <c r="M617" s="5548">
        <v>31.818181818181817</v>
      </c>
      <c r="N617" s="5554">
        <v>6.666666666666667</v>
      </c>
      <c r="O617" s="5554">
        <v>33.333333333333336</v>
      </c>
      <c r="P617" s="5554">
        <v>40</v>
      </c>
      <c r="Q617" s="5554">
        <v>20</v>
      </c>
    </row>
    <row r="618" spans="9:17">
      <c r="I618" s="7081"/>
      <c r="J618" s="7081"/>
      <c r="K618" s="5581" t="s">
        <v>1432</v>
      </c>
      <c r="L618" s="5548">
        <v>74.193548387096769</v>
      </c>
      <c r="M618" s="5548">
        <v>25.806451612903224</v>
      </c>
      <c r="N618" s="5554">
        <v>4.3478260869565215</v>
      </c>
      <c r="O618" s="5554">
        <v>4.3478260869565215</v>
      </c>
      <c r="P618" s="5554">
        <v>13.043478260869565</v>
      </c>
      <c r="Q618" s="5554">
        <v>78.260869565217391</v>
      </c>
    </row>
    <row r="619" spans="9:17">
      <c r="I619" s="7081"/>
      <c r="J619" s="7081"/>
      <c r="K619" s="5581" t="s">
        <v>35</v>
      </c>
      <c r="L619" s="5548">
        <v>60</v>
      </c>
      <c r="M619" s="5548">
        <v>40</v>
      </c>
      <c r="N619" s="5554">
        <v>33.333333333333336</v>
      </c>
      <c r="O619" s="5554">
        <v>0</v>
      </c>
      <c r="P619" s="5554">
        <v>11.111111111111111</v>
      </c>
      <c r="Q619" s="5554">
        <v>55.555555555555557</v>
      </c>
    </row>
    <row r="620" spans="9:17">
      <c r="I620" s="7081"/>
      <c r="J620" s="7081"/>
      <c r="K620" s="5581" t="s">
        <v>19</v>
      </c>
      <c r="L620" s="5548">
        <v>69.444444444444443</v>
      </c>
      <c r="M620" s="5548">
        <v>30.555555555555557</v>
      </c>
      <c r="N620" s="5554">
        <v>0</v>
      </c>
      <c r="O620" s="5554">
        <v>28</v>
      </c>
      <c r="P620" s="5554">
        <v>48</v>
      </c>
      <c r="Q620" s="5554">
        <v>24</v>
      </c>
    </row>
    <row r="621" spans="9:17">
      <c r="I621" s="7081"/>
      <c r="J621" s="7081"/>
      <c r="K621" s="5581" t="s">
        <v>20</v>
      </c>
      <c r="L621" s="5548">
        <v>85.365853658536579</v>
      </c>
      <c r="M621" s="5548">
        <v>14.634146341463415</v>
      </c>
      <c r="N621" s="5554">
        <v>2.8571428571428572</v>
      </c>
      <c r="O621" s="5554">
        <v>25.714285714285715</v>
      </c>
      <c r="P621" s="5554">
        <v>28.571428571428573</v>
      </c>
      <c r="Q621" s="5554">
        <v>42.857142857142854</v>
      </c>
    </row>
    <row r="622" spans="9:17">
      <c r="I622" s="7081"/>
      <c r="J622" s="7081"/>
      <c r="K622" s="5581" t="s">
        <v>36</v>
      </c>
      <c r="L622" s="5548">
        <v>70.370370370370367</v>
      </c>
      <c r="M622" s="5548">
        <v>29.62962962962963</v>
      </c>
      <c r="N622" s="5554">
        <v>22.222222222222221</v>
      </c>
      <c r="O622" s="5554">
        <v>0</v>
      </c>
      <c r="P622" s="5554">
        <v>11.111111111111111</v>
      </c>
      <c r="Q622" s="5554">
        <v>66.666666666666671</v>
      </c>
    </row>
    <row r="623" spans="9:17">
      <c r="I623" s="7081"/>
      <c r="J623" s="7081"/>
      <c r="K623" s="5581" t="s">
        <v>480</v>
      </c>
      <c r="L623" s="5548">
        <v>66.666666666666671</v>
      </c>
      <c r="M623" s="5548">
        <v>33.333333333333336</v>
      </c>
      <c r="N623" s="5554">
        <v>8.3333333333333339</v>
      </c>
      <c r="O623" s="5554">
        <v>8.3333333333333339</v>
      </c>
      <c r="P623" s="5554">
        <v>8.3333333333333339</v>
      </c>
      <c r="Q623" s="5554">
        <v>75</v>
      </c>
    </row>
    <row r="624" spans="9:17">
      <c r="I624" s="7081"/>
      <c r="J624" s="7081"/>
      <c r="K624" s="5581" t="s">
        <v>1433</v>
      </c>
      <c r="L624" s="5548">
        <v>68.421052631578945</v>
      </c>
      <c r="M624" s="5548">
        <v>31.578947368421051</v>
      </c>
      <c r="N624" s="5554">
        <v>23.076923076923077</v>
      </c>
      <c r="O624" s="5554">
        <v>7.6923076923076925</v>
      </c>
      <c r="P624" s="5554">
        <v>34.615384615384613</v>
      </c>
      <c r="Q624" s="5554">
        <v>34.615384615384613</v>
      </c>
    </row>
    <row r="625" spans="9:17">
      <c r="I625" s="7081"/>
      <c r="J625" s="7081"/>
      <c r="K625" s="5581" t="s">
        <v>39</v>
      </c>
      <c r="L625" s="5548">
        <v>84.090909090909093</v>
      </c>
      <c r="M625" s="5548">
        <v>15.909090909090908</v>
      </c>
      <c r="N625" s="5554">
        <v>5.5555555555555554</v>
      </c>
      <c r="O625" s="5554">
        <v>8.3333333333333339</v>
      </c>
      <c r="P625" s="5554">
        <v>47.222222222222221</v>
      </c>
      <c r="Q625" s="5554">
        <v>38.888888888888886</v>
      </c>
    </row>
    <row r="626" spans="9:17">
      <c r="I626" s="7082"/>
      <c r="J626" s="7082"/>
      <c r="K626" s="5582" t="s">
        <v>40</v>
      </c>
      <c r="L626" s="5550">
        <v>75</v>
      </c>
      <c r="M626" s="5550">
        <v>25</v>
      </c>
      <c r="N626" s="5555">
        <v>0</v>
      </c>
      <c r="O626" s="5555">
        <v>0</v>
      </c>
      <c r="P626" s="5555">
        <v>100</v>
      </c>
      <c r="Q626" s="5555">
        <v>0</v>
      </c>
    </row>
    <row r="627" spans="9:17">
      <c r="I627" s="7080" t="s">
        <v>48</v>
      </c>
      <c r="J627" s="7080" t="s">
        <v>21</v>
      </c>
      <c r="K627" s="5580" t="s">
        <v>22</v>
      </c>
      <c r="L627" s="5546">
        <v>90.510948905109487</v>
      </c>
      <c r="M627" s="5546">
        <v>9.4890510948905114</v>
      </c>
      <c r="N627" s="5557">
        <v>4.8780487804878048</v>
      </c>
      <c r="O627" s="5557">
        <v>12.195121951219512</v>
      </c>
      <c r="P627" s="5557">
        <v>21.13821138211382</v>
      </c>
      <c r="Q627" s="5557">
        <v>61.788617886178862</v>
      </c>
    </row>
    <row r="628" spans="9:17">
      <c r="I628" s="7081"/>
      <c r="J628" s="7081"/>
      <c r="K628" s="5581" t="s">
        <v>1429</v>
      </c>
      <c r="L628" s="5548">
        <v>90.099009900990097</v>
      </c>
      <c r="M628" s="5548">
        <v>9.9009900990099009</v>
      </c>
      <c r="N628" s="5554">
        <v>10.989010989010989</v>
      </c>
      <c r="O628" s="5554">
        <v>7.6923076923076925</v>
      </c>
      <c r="P628" s="5554">
        <v>13.186813186813186</v>
      </c>
      <c r="Q628" s="5554">
        <v>68.131868131868131</v>
      </c>
    </row>
    <row r="629" spans="9:17">
      <c r="I629" s="7081"/>
      <c r="J629" s="7081"/>
      <c r="K629" s="5581" t="s">
        <v>1442</v>
      </c>
      <c r="L629" s="5548">
        <v>83.78378378378379</v>
      </c>
      <c r="M629" s="5548">
        <v>16.216216216216218</v>
      </c>
      <c r="N629" s="5554">
        <v>9.67741935483871</v>
      </c>
      <c r="O629" s="5554">
        <v>11.290322580645162</v>
      </c>
      <c r="P629" s="5554">
        <v>22.580645161290324</v>
      </c>
      <c r="Q629" s="5554">
        <v>56.451612903225808</v>
      </c>
    </row>
    <row r="630" spans="9:17">
      <c r="I630" s="7081"/>
      <c r="J630" s="7082"/>
      <c r="K630" s="5582" t="s">
        <v>1443</v>
      </c>
      <c r="L630" s="5550">
        <v>70</v>
      </c>
      <c r="M630" s="5550">
        <v>30</v>
      </c>
      <c r="N630" s="5555">
        <v>7.1428571428571432</v>
      </c>
      <c r="O630" s="5555">
        <v>17.857142857142858</v>
      </c>
      <c r="P630" s="5555">
        <v>17.857142857142858</v>
      </c>
      <c r="Q630" s="5555">
        <v>57.142857142857146</v>
      </c>
    </row>
    <row r="631" spans="9:17">
      <c r="I631" s="7081"/>
      <c r="J631" s="7080" t="s">
        <v>41</v>
      </c>
      <c r="K631" s="5583" t="s">
        <v>42</v>
      </c>
      <c r="L631" s="5553">
        <v>64.583333333333329</v>
      </c>
      <c r="M631" s="5553">
        <v>35.416666666666664</v>
      </c>
      <c r="N631" s="5552">
        <v>4.838709677419355</v>
      </c>
      <c r="O631" s="5552">
        <v>3.225806451612903</v>
      </c>
      <c r="P631" s="5552">
        <v>22.580645161290324</v>
      </c>
      <c r="Q631" s="5552">
        <v>69.354838709677423</v>
      </c>
    </row>
    <row r="632" spans="9:17">
      <c r="I632" s="7081"/>
      <c r="J632" s="7081"/>
      <c r="K632" s="5581" t="s">
        <v>1438</v>
      </c>
      <c r="L632" s="5548">
        <v>82.352941176470594</v>
      </c>
      <c r="M632" s="5548">
        <v>17.647058823529413</v>
      </c>
      <c r="N632" s="5554">
        <v>1.7857142857142858</v>
      </c>
      <c r="O632" s="5554">
        <v>0</v>
      </c>
      <c r="P632" s="5554">
        <v>3.5714285714285716</v>
      </c>
      <c r="Q632" s="5554">
        <v>94.642857142857139</v>
      </c>
    </row>
    <row r="633" spans="9:17">
      <c r="I633" s="7081"/>
      <c r="J633" s="7081"/>
      <c r="K633" s="5581" t="s">
        <v>53</v>
      </c>
      <c r="L633" s="5548">
        <v>87.128712871287135</v>
      </c>
      <c r="M633" s="5548">
        <v>12.871287128712872</v>
      </c>
      <c r="N633" s="5554">
        <v>2.3255813953488373</v>
      </c>
      <c r="O633" s="5554">
        <v>4.6511627906976747</v>
      </c>
      <c r="P633" s="5554">
        <v>4.6511627906976747</v>
      </c>
      <c r="Q633" s="5554">
        <v>88.372093023255815</v>
      </c>
    </row>
    <row r="634" spans="9:17">
      <c r="I634" s="7081"/>
      <c r="J634" s="7081"/>
      <c r="K634" s="5581" t="s">
        <v>1439</v>
      </c>
      <c r="L634" s="5548">
        <v>80.898876404494388</v>
      </c>
      <c r="M634" s="5548">
        <v>19.101123595505619</v>
      </c>
      <c r="N634" s="5554">
        <v>1.3888888888888888</v>
      </c>
      <c r="O634" s="5554">
        <v>22.222222222222221</v>
      </c>
      <c r="P634" s="5554">
        <v>25</v>
      </c>
      <c r="Q634" s="5554">
        <v>51.388888888888886</v>
      </c>
    </row>
    <row r="635" spans="9:17">
      <c r="I635" s="7081"/>
      <c r="J635" s="7081"/>
      <c r="K635" s="5581" t="s">
        <v>1440</v>
      </c>
      <c r="L635" s="5548">
        <v>73.831775700934585</v>
      </c>
      <c r="M635" s="5548">
        <v>26.168224299065422</v>
      </c>
      <c r="N635" s="5554">
        <v>12.5</v>
      </c>
      <c r="O635" s="5554">
        <v>12.5</v>
      </c>
      <c r="P635" s="5554">
        <v>20</v>
      </c>
      <c r="Q635" s="5554">
        <v>55</v>
      </c>
    </row>
    <row r="636" spans="9:17">
      <c r="I636" s="7081"/>
      <c r="J636" s="7081"/>
      <c r="K636" s="5581" t="s">
        <v>56</v>
      </c>
      <c r="L636" s="5548">
        <v>61.53846153846154</v>
      </c>
      <c r="M636" s="5548">
        <v>38.46153846153846</v>
      </c>
      <c r="N636" s="5554">
        <v>6.25</v>
      </c>
      <c r="O636" s="5554">
        <v>12.5</v>
      </c>
      <c r="P636" s="5554">
        <v>31.25</v>
      </c>
      <c r="Q636" s="5554">
        <v>50</v>
      </c>
    </row>
    <row r="637" spans="9:17">
      <c r="I637" s="7081"/>
      <c r="J637" s="7081"/>
      <c r="K637" s="5581" t="s">
        <v>255</v>
      </c>
      <c r="L637" s="5548">
        <v>77.777777777777771</v>
      </c>
      <c r="M637" s="5548">
        <v>22.222222222222221</v>
      </c>
      <c r="N637" s="5554">
        <v>7.5</v>
      </c>
      <c r="O637" s="5554">
        <v>0</v>
      </c>
      <c r="P637" s="5554">
        <v>20</v>
      </c>
      <c r="Q637" s="5554">
        <v>72.5</v>
      </c>
    </row>
    <row r="638" spans="9:17">
      <c r="I638" s="7081"/>
      <c r="J638" s="7082"/>
      <c r="K638" s="5582" t="s">
        <v>1441</v>
      </c>
      <c r="L638" s="5550">
        <v>93.103448275862064</v>
      </c>
      <c r="M638" s="5550">
        <v>6.8965517241379306</v>
      </c>
      <c r="N638" s="5555">
        <v>5.5555555555555554</v>
      </c>
      <c r="O638" s="5555">
        <v>9.2592592592592595</v>
      </c>
      <c r="P638" s="5555">
        <v>18.518518518518519</v>
      </c>
      <c r="Q638" s="5555">
        <v>66.666666666666671</v>
      </c>
    </row>
    <row r="639" spans="9:17">
      <c r="I639" s="7081"/>
      <c r="J639" s="7080" t="s">
        <v>16</v>
      </c>
      <c r="K639" s="5583" t="s">
        <v>17</v>
      </c>
      <c r="L639" s="5553">
        <v>91.011235955056179</v>
      </c>
      <c r="M639" s="5553">
        <v>8.9887640449438209</v>
      </c>
      <c r="N639" s="5552">
        <v>4.9382716049382713</v>
      </c>
      <c r="O639" s="5552">
        <v>8.6419753086419746</v>
      </c>
      <c r="P639" s="5552">
        <v>43.209876543209873</v>
      </c>
      <c r="Q639" s="5552">
        <v>43.209876543209873</v>
      </c>
    </row>
    <row r="640" spans="9:17">
      <c r="I640" s="7081"/>
      <c r="J640" s="7081"/>
      <c r="K640" s="5581" t="s">
        <v>1437</v>
      </c>
      <c r="L640" s="5548">
        <v>76.229508196721312</v>
      </c>
      <c r="M640" s="5548">
        <v>23.770491803278688</v>
      </c>
      <c r="N640" s="5554">
        <v>8.695652173913043</v>
      </c>
      <c r="O640" s="5554">
        <v>11.956521739130435</v>
      </c>
      <c r="P640" s="5554">
        <v>32.608695652173914</v>
      </c>
      <c r="Q640" s="5554">
        <v>46.739130434782609</v>
      </c>
    </row>
    <row r="641" spans="9:17">
      <c r="I641" s="7081"/>
      <c r="J641" s="7081"/>
      <c r="K641" s="5581" t="s">
        <v>19</v>
      </c>
      <c r="L641" s="5548">
        <v>85.483870967741936</v>
      </c>
      <c r="M641" s="5548">
        <v>14.516129032258064</v>
      </c>
      <c r="N641" s="5554">
        <v>7.6923076923076925</v>
      </c>
      <c r="O641" s="5554">
        <v>28.846153846153847</v>
      </c>
      <c r="P641" s="5554">
        <v>40.384615384615387</v>
      </c>
      <c r="Q641" s="5554">
        <v>23.076923076923077</v>
      </c>
    </row>
    <row r="642" spans="9:17">
      <c r="I642" s="7081"/>
      <c r="J642" s="7081"/>
      <c r="K642" s="5581" t="s">
        <v>50</v>
      </c>
      <c r="L642" s="5548">
        <v>78.645833333333329</v>
      </c>
      <c r="M642" s="5548">
        <v>21.354166666666668</v>
      </c>
      <c r="N642" s="5554">
        <v>9.9337748344370862</v>
      </c>
      <c r="O642" s="5554">
        <v>11.920529801324504</v>
      </c>
      <c r="P642" s="5554">
        <v>42.384105960264904</v>
      </c>
      <c r="Q642" s="5554">
        <v>35.76158940397351</v>
      </c>
    </row>
    <row r="643" spans="9:17">
      <c r="I643" s="7081"/>
      <c r="J643" s="7081"/>
      <c r="K643" s="5581" t="s">
        <v>20</v>
      </c>
      <c r="L643" s="5548">
        <v>74.358974358974365</v>
      </c>
      <c r="M643" s="5548">
        <v>25.641025641025642</v>
      </c>
      <c r="N643" s="5554">
        <v>22.988505747126435</v>
      </c>
      <c r="O643" s="5554">
        <v>13.793103448275861</v>
      </c>
      <c r="P643" s="5554">
        <v>27.586206896551722</v>
      </c>
      <c r="Q643" s="5554">
        <v>35.632183908045974</v>
      </c>
    </row>
    <row r="644" spans="9:17">
      <c r="I644" s="7082"/>
      <c r="J644" s="7082"/>
      <c r="K644" s="5582" t="s">
        <v>1444</v>
      </c>
      <c r="L644" s="5550">
        <v>72.727272727272734</v>
      </c>
      <c r="M644" s="5550">
        <v>27.272727272727273</v>
      </c>
      <c r="N644" s="5555">
        <v>6.25</v>
      </c>
      <c r="O644" s="5555">
        <v>25</v>
      </c>
      <c r="P644" s="5555">
        <v>31.25</v>
      </c>
      <c r="Q644" s="5555">
        <v>37.5</v>
      </c>
    </row>
    <row r="645" spans="9:17">
      <c r="I645" s="7107" t="s">
        <v>15</v>
      </c>
      <c r="J645" s="7108"/>
      <c r="K645" s="7109"/>
      <c r="L645" s="5584">
        <v>78.607860786078604</v>
      </c>
      <c r="M645" s="5585">
        <v>21.392139213921393</v>
      </c>
      <c r="N645" s="5586">
        <v>7.3946360153256707</v>
      </c>
      <c r="O645" s="5586">
        <v>11.226053639846743</v>
      </c>
      <c r="P645" s="5586">
        <v>26.973180076628353</v>
      </c>
      <c r="Q645" s="5586">
        <v>54.406130268199234</v>
      </c>
    </row>
    <row r="646" spans="9:17">
      <c r="I646" s="135"/>
      <c r="J646" s="893"/>
      <c r="K646" s="5587"/>
      <c r="L646" s="134"/>
      <c r="M646" s="134"/>
      <c r="N646" s="1345"/>
      <c r="O646" s="1345"/>
      <c r="P646" s="1345"/>
    </row>
    <row r="647" spans="9:17">
      <c r="I647" s="5427"/>
      <c r="J647" s="5427"/>
      <c r="K647" s="5427"/>
      <c r="L647" s="5427"/>
      <c r="M647" s="5427"/>
    </row>
    <row r="648" spans="9:17">
      <c r="I648" s="5427"/>
      <c r="J648" s="5533">
        <v>2014</v>
      </c>
      <c r="K648" s="5427"/>
      <c r="L648" s="5427"/>
      <c r="M648" s="5427"/>
    </row>
    <row r="649" spans="9:17">
      <c r="I649" s="6960" t="s">
        <v>904</v>
      </c>
      <c r="J649" s="6961"/>
      <c r="K649" s="6962"/>
      <c r="L649" s="5427"/>
      <c r="M649" s="5427"/>
    </row>
    <row r="650" spans="9:17">
      <c r="I650" s="7072" t="s">
        <v>905</v>
      </c>
      <c r="J650" s="7072" t="s">
        <v>906</v>
      </c>
      <c r="K650" s="7072"/>
      <c r="L650" s="5427"/>
      <c r="M650" s="5427"/>
    </row>
    <row r="651" spans="9:17">
      <c r="I651" s="7072"/>
      <c r="J651" s="5588">
        <v>2005</v>
      </c>
      <c r="K651" s="5588">
        <v>2008</v>
      </c>
      <c r="L651" s="5427"/>
      <c r="M651" s="5427"/>
    </row>
    <row r="652" spans="9:17">
      <c r="I652" s="5589" t="s">
        <v>907</v>
      </c>
      <c r="J652" s="5590">
        <v>0.84199999999999997</v>
      </c>
      <c r="K652" s="5591">
        <v>0.73699999999999999</v>
      </c>
      <c r="L652" s="5427"/>
      <c r="M652" s="5427"/>
    </row>
    <row r="653" spans="9:17">
      <c r="I653" s="5592" t="s">
        <v>908</v>
      </c>
      <c r="J653" s="5593">
        <v>0.158</v>
      </c>
      <c r="K653" s="5594">
        <v>0.26300000000000001</v>
      </c>
      <c r="L653" s="5427"/>
      <c r="M653" s="5427"/>
    </row>
    <row r="654" spans="9:17">
      <c r="I654" s="1062" t="s">
        <v>909</v>
      </c>
      <c r="J654" s="5427"/>
      <c r="K654" s="5427"/>
      <c r="L654" s="5427"/>
      <c r="M654" s="5427"/>
    </row>
    <row r="655" spans="9:17">
      <c r="I655" s="1062"/>
      <c r="J655" s="5427"/>
      <c r="K655" s="5427"/>
      <c r="L655" s="5427"/>
      <c r="M655" s="5427"/>
    </row>
    <row r="656" spans="9:17">
      <c r="I656" s="5427"/>
      <c r="J656" s="5427"/>
      <c r="K656" s="5427"/>
      <c r="L656" s="5427"/>
      <c r="M656" s="5427"/>
    </row>
    <row r="657" spans="9:13">
      <c r="I657" s="5427"/>
      <c r="J657" s="5533">
        <v>2013</v>
      </c>
      <c r="K657" s="5427"/>
      <c r="L657" s="5427"/>
      <c r="M657" s="5427"/>
    </row>
    <row r="658" spans="9:13">
      <c r="I658" s="393" t="s">
        <v>2992</v>
      </c>
      <c r="J658" s="5427"/>
      <c r="K658" s="5427"/>
      <c r="L658" s="5427"/>
      <c r="M658" s="5427"/>
    </row>
    <row r="659" spans="9:13">
      <c r="I659" s="393" t="s">
        <v>2993</v>
      </c>
      <c r="J659" s="5427"/>
      <c r="K659" s="5427"/>
      <c r="L659" s="5427"/>
      <c r="M659" s="5427"/>
    </row>
    <row r="660" spans="9:13">
      <c r="I660" s="1488" t="s">
        <v>2990</v>
      </c>
      <c r="J660" s="5427"/>
      <c r="K660" s="5427"/>
      <c r="L660" s="5427"/>
      <c r="M660" s="5427"/>
    </row>
    <row r="661" spans="9:13">
      <c r="I661" s="5427"/>
      <c r="J661" s="5427"/>
      <c r="K661" s="5427"/>
      <c r="L661" s="5427"/>
      <c r="M661" s="5427"/>
    </row>
    <row r="662" spans="9:13">
      <c r="I662" s="6960" t="s">
        <v>904</v>
      </c>
      <c r="J662" s="6961"/>
      <c r="K662" s="6962"/>
      <c r="L662" s="5427"/>
      <c r="M662" s="5427"/>
    </row>
    <row r="663" spans="9:13">
      <c r="I663" s="7072" t="s">
        <v>905</v>
      </c>
      <c r="J663" s="7072" t="s">
        <v>906</v>
      </c>
      <c r="K663" s="7072"/>
      <c r="L663" s="5427"/>
      <c r="M663" s="5427"/>
    </row>
    <row r="664" spans="9:13">
      <c r="I664" s="7072"/>
      <c r="J664" s="5588">
        <v>2005</v>
      </c>
      <c r="K664" s="5588">
        <v>2008</v>
      </c>
      <c r="L664" s="5427"/>
      <c r="M664" s="5427"/>
    </row>
    <row r="665" spans="9:13">
      <c r="I665" s="5595" t="s">
        <v>907</v>
      </c>
      <c r="J665" s="5596">
        <v>0.84199999999999997</v>
      </c>
      <c r="K665" s="5597">
        <v>0.73699999999999999</v>
      </c>
      <c r="L665" s="5427"/>
      <c r="M665" s="5427"/>
    </row>
    <row r="666" spans="9:13">
      <c r="I666" s="5589" t="s">
        <v>908</v>
      </c>
      <c r="J666" s="5594">
        <v>0.158</v>
      </c>
      <c r="K666" s="5596">
        <v>0.26300000000000001</v>
      </c>
      <c r="L666" s="5427"/>
      <c r="M666" s="5427"/>
    </row>
    <row r="667" spans="9:13">
      <c r="I667" s="1062" t="s">
        <v>910</v>
      </c>
      <c r="J667" s="5427"/>
      <c r="K667" s="5427"/>
      <c r="L667" s="5427"/>
      <c r="M667" s="5427"/>
    </row>
    <row r="668" spans="9:13">
      <c r="I668" s="1062"/>
      <c r="J668" s="5427"/>
      <c r="K668" s="5427"/>
      <c r="L668" s="5427"/>
      <c r="M668" s="5427"/>
    </row>
    <row r="669" spans="9:13">
      <c r="I669" s="5427"/>
      <c r="J669" s="5427"/>
      <c r="K669" s="5427"/>
      <c r="L669" s="5427"/>
      <c r="M669" s="5427"/>
    </row>
    <row r="670" spans="9:13">
      <c r="I670" s="5427"/>
      <c r="J670" s="5533">
        <v>2012</v>
      </c>
      <c r="K670" s="5427"/>
      <c r="L670" s="5427"/>
      <c r="M670" s="5427"/>
    </row>
    <row r="671" spans="9:13">
      <c r="I671" s="393" t="s">
        <v>2992</v>
      </c>
      <c r="J671" s="5427"/>
      <c r="K671" s="5427"/>
      <c r="L671" s="5427"/>
      <c r="M671" s="5427"/>
    </row>
    <row r="672" spans="9:13">
      <c r="I672" s="393" t="s">
        <v>2993</v>
      </c>
      <c r="J672" s="5427"/>
      <c r="K672" s="5427"/>
      <c r="L672" s="5427"/>
      <c r="M672" s="5427"/>
    </row>
    <row r="673" spans="9:13">
      <c r="I673" s="1488" t="s">
        <v>2994</v>
      </c>
      <c r="J673" s="5427"/>
      <c r="K673" s="5427"/>
      <c r="L673" s="5427"/>
      <c r="M673" s="5427"/>
    </row>
    <row r="674" spans="9:13">
      <c r="I674" s="5427"/>
      <c r="J674" s="5427"/>
      <c r="K674" s="932"/>
      <c r="L674" s="5598"/>
      <c r="M674" s="5427"/>
    </row>
    <row r="675" spans="9:13">
      <c r="I675" s="6960" t="s">
        <v>904</v>
      </c>
      <c r="J675" s="6961"/>
      <c r="K675" s="6962"/>
      <c r="L675" s="5598"/>
      <c r="M675" s="5427"/>
    </row>
    <row r="676" spans="9:13">
      <c r="I676" s="7072" t="s">
        <v>905</v>
      </c>
      <c r="J676" s="7072" t="s">
        <v>906</v>
      </c>
      <c r="K676" s="7072"/>
      <c r="L676" s="5598"/>
      <c r="M676" s="5427"/>
    </row>
    <row r="677" spans="9:13">
      <c r="I677" s="7072"/>
      <c r="J677" s="5588">
        <v>2005</v>
      </c>
      <c r="K677" s="5588">
        <v>2008</v>
      </c>
      <c r="L677" s="5598"/>
      <c r="M677" s="5427"/>
    </row>
    <row r="678" spans="9:13">
      <c r="I678" s="7071" t="s">
        <v>907</v>
      </c>
      <c r="J678" s="5599">
        <v>1314</v>
      </c>
      <c r="K678" s="5600">
        <v>1301</v>
      </c>
      <c r="L678" s="5598"/>
      <c r="M678" s="5427"/>
    </row>
    <row r="679" spans="9:13">
      <c r="I679" s="7071"/>
      <c r="J679" s="5601">
        <v>0.84199999999999997</v>
      </c>
      <c r="K679" s="5602">
        <v>0.73699999999999999</v>
      </c>
      <c r="L679" s="5598"/>
      <c r="M679" s="5427"/>
    </row>
    <row r="680" spans="9:13">
      <c r="I680" s="7071" t="s">
        <v>908</v>
      </c>
      <c r="J680" s="5599">
        <v>246</v>
      </c>
      <c r="K680" s="5600">
        <v>464</v>
      </c>
      <c r="L680" s="5598"/>
      <c r="M680" s="5427"/>
    </row>
    <row r="681" spans="9:13">
      <c r="I681" s="7071"/>
      <c r="J681" s="5601">
        <v>0.158</v>
      </c>
      <c r="K681" s="5603">
        <v>0.26300000000000001</v>
      </c>
      <c r="L681" s="5598"/>
      <c r="M681" s="5427"/>
    </row>
    <row r="682" spans="9:13">
      <c r="I682" s="1062" t="s">
        <v>909</v>
      </c>
      <c r="J682" s="5427"/>
      <c r="K682" s="932"/>
      <c r="L682" s="5598"/>
      <c r="M682" s="5427"/>
    </row>
    <row r="683" spans="9:13">
      <c r="I683" s="5427"/>
      <c r="J683" s="5427"/>
      <c r="K683" s="5427"/>
      <c r="L683" s="5427"/>
      <c r="M683" s="5427"/>
    </row>
    <row r="684" spans="9:13">
      <c r="I684" s="5427"/>
      <c r="J684" s="5427"/>
      <c r="K684" s="5427"/>
      <c r="L684" s="5427"/>
      <c r="M684" s="5427"/>
    </row>
    <row r="685" spans="9:13">
      <c r="I685" s="5427"/>
      <c r="J685" s="5533">
        <v>2011</v>
      </c>
      <c r="K685" s="5427"/>
      <c r="L685" s="5427"/>
      <c r="M685" s="5427"/>
    </row>
    <row r="686" spans="9:13">
      <c r="I686" s="393" t="s">
        <v>2992</v>
      </c>
      <c r="J686" s="5427"/>
      <c r="K686" s="5427"/>
      <c r="L686" s="5427"/>
      <c r="M686" s="5427"/>
    </row>
    <row r="687" spans="9:13">
      <c r="I687" s="393" t="s">
        <v>2993</v>
      </c>
      <c r="J687" s="5427"/>
      <c r="K687" s="5427"/>
      <c r="L687" s="5427"/>
      <c r="M687" s="5427"/>
    </row>
    <row r="688" spans="9:13">
      <c r="I688" s="1488" t="s">
        <v>2995</v>
      </c>
      <c r="J688" s="5427"/>
      <c r="K688" s="5427"/>
      <c r="L688" s="5427"/>
      <c r="M688" s="5427"/>
    </row>
    <row r="689" spans="9:13">
      <c r="I689" s="5427"/>
      <c r="J689" s="5427"/>
      <c r="K689" s="5427"/>
      <c r="L689" s="5427"/>
      <c r="M689" s="5427"/>
    </row>
    <row r="690" spans="9:13">
      <c r="I690" s="6960" t="s">
        <v>904</v>
      </c>
      <c r="J690" s="6961"/>
      <c r="K690" s="6962"/>
      <c r="L690" s="5427"/>
      <c r="M690" s="5427"/>
    </row>
    <row r="691" spans="9:13">
      <c r="I691" s="7072" t="s">
        <v>905</v>
      </c>
      <c r="J691" s="7072" t="s">
        <v>906</v>
      </c>
      <c r="K691" s="7072"/>
      <c r="L691" s="5427"/>
      <c r="M691" s="5427"/>
    </row>
    <row r="692" spans="9:13">
      <c r="I692" s="7072"/>
      <c r="J692" s="5588">
        <v>2005</v>
      </c>
      <c r="K692" s="5588">
        <v>2008</v>
      </c>
      <c r="L692" s="5427"/>
      <c r="M692" s="5427"/>
    </row>
    <row r="693" spans="9:13">
      <c r="I693" s="7071" t="s">
        <v>907</v>
      </c>
      <c r="J693" s="5599">
        <v>714</v>
      </c>
      <c r="K693" s="5600">
        <v>879</v>
      </c>
      <c r="L693" s="5427"/>
      <c r="M693" s="5427"/>
    </row>
    <row r="694" spans="9:13">
      <c r="I694" s="7071"/>
      <c r="J694" s="5604">
        <v>0.84</v>
      </c>
      <c r="K694" s="5605">
        <v>0.75800000000000001</v>
      </c>
      <c r="L694" s="4368"/>
      <c r="M694" s="5427"/>
    </row>
    <row r="695" spans="9:13">
      <c r="I695" s="7071" t="s">
        <v>908</v>
      </c>
      <c r="J695" s="5599">
        <v>136</v>
      </c>
      <c r="K695" s="5600">
        <v>281</v>
      </c>
      <c r="L695" s="5427"/>
      <c r="M695" s="5427"/>
    </row>
    <row r="696" spans="9:13">
      <c r="I696" s="7071"/>
      <c r="J696" s="5604">
        <v>0.16</v>
      </c>
      <c r="K696" s="5606">
        <v>0.24199999999999999</v>
      </c>
      <c r="L696" s="5427"/>
      <c r="M696" s="5427"/>
    </row>
    <row r="697" spans="9:13">
      <c r="I697" s="1062" t="s">
        <v>909</v>
      </c>
      <c r="J697" s="5427"/>
      <c r="K697" s="5427"/>
      <c r="L697" s="5427"/>
      <c r="M697" s="5427"/>
    </row>
    <row r="698" spans="9:13">
      <c r="I698" s="1062"/>
      <c r="J698" s="5427"/>
      <c r="K698" s="5427"/>
      <c r="L698" s="5427"/>
      <c r="M698" s="5427"/>
    </row>
    <row r="699" spans="9:13">
      <c r="J699" s="36"/>
      <c r="K699" s="594"/>
      <c r="L699" s="5427"/>
      <c r="M699" s="5427"/>
    </row>
    <row r="700" spans="9:13">
      <c r="J700" s="5533">
        <v>2010</v>
      </c>
    </row>
    <row r="701" spans="9:13" ht="24">
      <c r="I701" s="5607" t="s">
        <v>905</v>
      </c>
      <c r="J701" s="5608" t="s">
        <v>259</v>
      </c>
      <c r="K701" s="5608" t="s">
        <v>260</v>
      </c>
      <c r="L701" s="5609"/>
      <c r="M701" s="5609"/>
    </row>
    <row r="702" spans="9:13" ht="24">
      <c r="I702" s="5610" t="s">
        <v>911</v>
      </c>
      <c r="J702" s="5611">
        <v>0.79800000000000004</v>
      </c>
      <c r="K702" s="5611">
        <v>0.20200000000000001</v>
      </c>
      <c r="L702" s="5609"/>
      <c r="M702" s="5609"/>
    </row>
    <row r="703" spans="9:13" ht="24">
      <c r="I703" s="5610" t="s">
        <v>912</v>
      </c>
      <c r="J703" s="5611">
        <v>0.74660000000000004</v>
      </c>
      <c r="K703" s="5611">
        <v>0.25340000000000001</v>
      </c>
      <c r="L703" s="5609"/>
      <c r="M703" s="5609"/>
    </row>
    <row r="704" spans="9:13" ht="24">
      <c r="I704" s="5610" t="s">
        <v>913</v>
      </c>
      <c r="J704" s="5611">
        <v>0.84609999999999996</v>
      </c>
      <c r="K704" s="5611">
        <v>0.15390000000000001</v>
      </c>
      <c r="L704" s="5609"/>
      <c r="M704" s="5609"/>
    </row>
    <row r="705" spans="9:13" ht="24">
      <c r="I705" s="5610" t="s">
        <v>914</v>
      </c>
      <c r="J705" s="5612">
        <v>0.78259999999999996</v>
      </c>
      <c r="K705" s="5611">
        <v>0.21740000000000001</v>
      </c>
      <c r="L705" s="4368"/>
      <c r="M705" s="5609"/>
    </row>
    <row r="706" spans="9:13">
      <c r="I706" s="5613" t="s">
        <v>915</v>
      </c>
    </row>
    <row r="708" spans="9:13">
      <c r="I708" s="5614" t="s">
        <v>916</v>
      </c>
      <c r="J708" s="42"/>
      <c r="K708" s="42"/>
      <c r="L708" s="42"/>
      <c r="M708" s="42"/>
    </row>
    <row r="709" spans="9:13">
      <c r="I709" s="7070" t="s">
        <v>917</v>
      </c>
      <c r="J709" s="7070"/>
      <c r="K709" s="7070"/>
      <c r="L709" s="7070"/>
      <c r="M709" s="7070"/>
    </row>
    <row r="710" spans="9:13">
      <c r="I710" s="7079" t="s">
        <v>2996</v>
      </c>
      <c r="J710" s="7079"/>
      <c r="K710" s="7079"/>
      <c r="L710" s="7079"/>
      <c r="M710" s="7079"/>
    </row>
    <row r="711" spans="9:13">
      <c r="I711" s="7079" t="s">
        <v>2997</v>
      </c>
      <c r="J711" s="7079"/>
      <c r="K711" s="7079"/>
      <c r="L711" s="7079"/>
      <c r="M711" s="7079"/>
    </row>
    <row r="712" spans="9:13">
      <c r="I712" s="5614" t="s">
        <v>2998</v>
      </c>
      <c r="J712" s="42"/>
      <c r="K712" s="42"/>
      <c r="L712" s="42"/>
      <c r="M712" s="42"/>
    </row>
    <row r="713" spans="9:13">
      <c r="I713" s="5614" t="s">
        <v>2999</v>
      </c>
      <c r="J713" s="42"/>
      <c r="K713" s="42"/>
      <c r="L713" s="42"/>
      <c r="M713" s="42"/>
    </row>
    <row r="714" spans="9:13">
      <c r="I714" s="7070" t="s">
        <v>918</v>
      </c>
      <c r="J714" s="7070"/>
      <c r="K714" s="7070"/>
      <c r="L714" s="7070"/>
      <c r="M714" s="7070"/>
    </row>
  </sheetData>
  <sortState ref="I208:Q258">
    <sortCondition ref="I208:I258"/>
    <sortCondition ref="J208:J258"/>
  </sortState>
  <mergeCells count="176">
    <mergeCell ref="A3:E3"/>
    <mergeCell ref="F3:G3"/>
    <mergeCell ref="I83:I103"/>
    <mergeCell ref="J83:J89"/>
    <mergeCell ref="J90:J98"/>
    <mergeCell ref="J99:J103"/>
    <mergeCell ref="I104:I117"/>
    <mergeCell ref="J104:J108"/>
    <mergeCell ref="J109:J112"/>
    <mergeCell ref="J113:J117"/>
    <mergeCell ref="J345:J348"/>
    <mergeCell ref="I230:J230"/>
    <mergeCell ref="I235:Q236"/>
    <mergeCell ref="P237:Q237"/>
    <mergeCell ref="I318:R319"/>
    <mergeCell ref="P326:Q326"/>
    <mergeCell ref="R326:U326"/>
    <mergeCell ref="J123:J124"/>
    <mergeCell ref="I146:I162"/>
    <mergeCell ref="J146:J155"/>
    <mergeCell ref="I222:K222"/>
    <mergeCell ref="I163:I173"/>
    <mergeCell ref="J163:J166"/>
    <mergeCell ref="J167:J169"/>
    <mergeCell ref="J170:J173"/>
    <mergeCell ref="I174:I199"/>
    <mergeCell ref="J174:J182"/>
    <mergeCell ref="J183:J193"/>
    <mergeCell ref="I293:I310"/>
    <mergeCell ref="J293:J298"/>
    <mergeCell ref="I226:S228"/>
    <mergeCell ref="R237:U237"/>
    <mergeCell ref="I311:I313"/>
    <mergeCell ref="I314:K314"/>
    <mergeCell ref="P407:Q407"/>
    <mergeCell ref="I409:I425"/>
    <mergeCell ref="J409:J418"/>
    <mergeCell ref="J419:J422"/>
    <mergeCell ref="J423:J425"/>
    <mergeCell ref="J239:J248"/>
    <mergeCell ref="J249:J252"/>
    <mergeCell ref="J253:J255"/>
    <mergeCell ref="I356:I381"/>
    <mergeCell ref="J356:J364"/>
    <mergeCell ref="J365:J375"/>
    <mergeCell ref="J376:J381"/>
    <mergeCell ref="I382:I399"/>
    <mergeCell ref="J382:J387"/>
    <mergeCell ref="J388:J395"/>
    <mergeCell ref="I328:I344"/>
    <mergeCell ref="J328:J337"/>
    <mergeCell ref="J338:J341"/>
    <mergeCell ref="J299:J306"/>
    <mergeCell ref="I400:I402"/>
    <mergeCell ref="I403:K403"/>
    <mergeCell ref="J342:J344"/>
    <mergeCell ref="I345:I355"/>
    <mergeCell ref="I239:I255"/>
    <mergeCell ref="I663:I664"/>
    <mergeCell ref="J663:K663"/>
    <mergeCell ref="I676:I677"/>
    <mergeCell ref="P497:Q497"/>
    <mergeCell ref="I489:O489"/>
    <mergeCell ref="J676:K676"/>
    <mergeCell ref="I584:I600"/>
    <mergeCell ref="J601:J609"/>
    <mergeCell ref="I662:K662"/>
    <mergeCell ref="J610:J615"/>
    <mergeCell ref="J616:J626"/>
    <mergeCell ref="I627:I644"/>
    <mergeCell ref="J627:J630"/>
    <mergeCell ref="I645:K645"/>
    <mergeCell ref="I649:K649"/>
    <mergeCell ref="I650:I651"/>
    <mergeCell ref="J650:K650"/>
    <mergeCell ref="I499:I515"/>
    <mergeCell ref="J499:J508"/>
    <mergeCell ref="J631:J638"/>
    <mergeCell ref="J639:J644"/>
    <mergeCell ref="I575:L575"/>
    <mergeCell ref="L582:M582"/>
    <mergeCell ref="J525:J535"/>
    <mergeCell ref="J536:J541"/>
    <mergeCell ref="I479:I481"/>
    <mergeCell ref="I542:I559"/>
    <mergeCell ref="J542:J547"/>
    <mergeCell ref="J548:J555"/>
    <mergeCell ref="J556:J559"/>
    <mergeCell ref="I560:I568"/>
    <mergeCell ref="J509:J512"/>
    <mergeCell ref="J513:J515"/>
    <mergeCell ref="I490:O491"/>
    <mergeCell ref="I493:M493"/>
    <mergeCell ref="I516:I541"/>
    <mergeCell ref="J516:J524"/>
    <mergeCell ref="I256:I266"/>
    <mergeCell ref="J256:J259"/>
    <mergeCell ref="J260:J262"/>
    <mergeCell ref="J263:J266"/>
    <mergeCell ref="I267:I292"/>
    <mergeCell ref="J267:J275"/>
    <mergeCell ref="J276:J286"/>
    <mergeCell ref="J287:J292"/>
    <mergeCell ref="J307:J310"/>
    <mergeCell ref="J446:J451"/>
    <mergeCell ref="I452:I469"/>
    <mergeCell ref="J452:J457"/>
    <mergeCell ref="J458:J465"/>
    <mergeCell ref="J466:J469"/>
    <mergeCell ref="I470:I478"/>
    <mergeCell ref="A13:E13"/>
    <mergeCell ref="F13:G13"/>
    <mergeCell ref="F33:G33"/>
    <mergeCell ref="F43:G43"/>
    <mergeCell ref="F53:G53"/>
    <mergeCell ref="F63:G63"/>
    <mergeCell ref="F73:G73"/>
    <mergeCell ref="F23:G23"/>
    <mergeCell ref="I426:I451"/>
    <mergeCell ref="J426:J434"/>
    <mergeCell ref="J435:J445"/>
    <mergeCell ref="J349:J351"/>
    <mergeCell ref="J352:J355"/>
    <mergeCell ref="J120:J122"/>
    <mergeCell ref="J396:J399"/>
    <mergeCell ref="I125:K125"/>
    <mergeCell ref="I129:T132"/>
    <mergeCell ref="I118:I124"/>
    <mergeCell ref="I714:M714"/>
    <mergeCell ref="I680:I681"/>
    <mergeCell ref="I690:K690"/>
    <mergeCell ref="I691:I692"/>
    <mergeCell ref="J691:K691"/>
    <mergeCell ref="I693:I694"/>
    <mergeCell ref="I695:I696"/>
    <mergeCell ref="J470:J472"/>
    <mergeCell ref="J473:J475"/>
    <mergeCell ref="J476:J478"/>
    <mergeCell ref="I488:O488"/>
    <mergeCell ref="N582:Q582"/>
    <mergeCell ref="I709:M709"/>
    <mergeCell ref="I710:M710"/>
    <mergeCell ref="I711:M711"/>
    <mergeCell ref="I678:I679"/>
    <mergeCell ref="I675:K675"/>
    <mergeCell ref="J560:J562"/>
    <mergeCell ref="J563:J565"/>
    <mergeCell ref="J566:J568"/>
    <mergeCell ref="J584:J586"/>
    <mergeCell ref="J587:J596"/>
    <mergeCell ref="J597:J600"/>
    <mergeCell ref="I601:I626"/>
    <mergeCell ref="P32:Q32"/>
    <mergeCell ref="R32:U32"/>
    <mergeCell ref="I34:I53"/>
    <mergeCell ref="J34:J44"/>
    <mergeCell ref="J45:J49"/>
    <mergeCell ref="J50:J53"/>
    <mergeCell ref="I54:I82"/>
    <mergeCell ref="I218:I221"/>
    <mergeCell ref="J219:J220"/>
    <mergeCell ref="I135:J135"/>
    <mergeCell ref="I140:S141"/>
    <mergeCell ref="P144:Q144"/>
    <mergeCell ref="R144:U144"/>
    <mergeCell ref="J156:J159"/>
    <mergeCell ref="J160:J162"/>
    <mergeCell ref="J118:J119"/>
    <mergeCell ref="J194:J199"/>
    <mergeCell ref="I200:I217"/>
    <mergeCell ref="J200:J205"/>
    <mergeCell ref="J206:J213"/>
    <mergeCell ref="J214:J217"/>
    <mergeCell ref="J54:J63"/>
    <mergeCell ref="J64:J75"/>
    <mergeCell ref="J76:J82"/>
  </mergeCells>
  <printOptions horizontalCentered="1" verticalCentered="1"/>
  <pageMargins left="0.70866141732283472" right="0.70866141732283472" top="0.74803149606299213" bottom="0.74803149606299213" header="0.31496062992125984" footer="0.31496062992125984"/>
  <pageSetup scale="60" firstPageNumber="17" orientation="landscape" useFirstPageNumber="1" r:id="rId1"/>
  <headerFooter scaleWithDoc="0" alignWithMargins="0">
    <oddFooter>&amp;R&amp;P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994"/>
  <sheetViews>
    <sheetView showGridLines="0" zoomScaleNormal="100" workbookViewId="0">
      <selection activeCell="H12" sqref="H12"/>
    </sheetView>
  </sheetViews>
  <sheetFormatPr baseColWidth="10" defaultRowHeight="14.4"/>
  <cols>
    <col min="1" max="1" width="15.6640625" style="4189" customWidth="1"/>
    <col min="2" max="2" width="11.5546875" style="4189"/>
    <col min="3" max="3" width="13.109375" style="4189" customWidth="1"/>
    <col min="4" max="4" width="11.5546875" style="4189"/>
    <col min="5" max="6" width="13.6640625" style="4189" customWidth="1"/>
    <col min="7" max="7" width="11.5546875" style="4189"/>
    <col min="8" max="8" width="11.6640625" customWidth="1"/>
    <col min="9" max="9" width="13.44140625" style="119" customWidth="1"/>
    <col min="10" max="10" width="58.33203125" customWidth="1"/>
    <col min="11" max="11" width="14.6640625" customWidth="1"/>
    <col min="12" max="12" width="14.6640625" style="3890" customWidth="1"/>
    <col min="13" max="13" width="17.33203125" customWidth="1"/>
    <col min="14" max="14" width="15" customWidth="1"/>
    <col min="15" max="19" width="15.6640625" customWidth="1"/>
    <col min="265" max="265" width="35.33203125" customWidth="1"/>
    <col min="266" max="266" width="29.44140625" customWidth="1"/>
    <col min="267" max="267" width="12.6640625" customWidth="1"/>
    <col min="270" max="270" width="16.44140625" bestFit="1" customWidth="1"/>
    <col min="521" max="521" width="35.33203125" customWidth="1"/>
    <col min="522" max="522" width="29.44140625" customWidth="1"/>
    <col min="523" max="523" width="12.6640625" customWidth="1"/>
    <col min="526" max="526" width="16.44140625" bestFit="1" customWidth="1"/>
    <col min="777" max="777" width="35.33203125" customWidth="1"/>
    <col min="778" max="778" width="29.44140625" customWidth="1"/>
    <col min="779" max="779" width="12.6640625" customWidth="1"/>
    <col min="782" max="782" width="16.44140625" bestFit="1" customWidth="1"/>
    <col min="1033" max="1033" width="35.33203125" customWidth="1"/>
    <col min="1034" max="1034" width="29.44140625" customWidth="1"/>
    <col min="1035" max="1035" width="12.6640625" customWidth="1"/>
    <col min="1038" max="1038" width="16.44140625" bestFit="1" customWidth="1"/>
    <col min="1289" max="1289" width="35.33203125" customWidth="1"/>
    <col min="1290" max="1290" width="29.44140625" customWidth="1"/>
    <col min="1291" max="1291" width="12.6640625" customWidth="1"/>
    <col min="1294" max="1294" width="16.44140625" bestFit="1" customWidth="1"/>
    <col min="1545" max="1545" width="35.33203125" customWidth="1"/>
    <col min="1546" max="1546" width="29.44140625" customWidth="1"/>
    <col min="1547" max="1547" width="12.6640625" customWidth="1"/>
    <col min="1550" max="1550" width="16.44140625" bestFit="1" customWidth="1"/>
    <col min="1801" max="1801" width="35.33203125" customWidth="1"/>
    <col min="1802" max="1802" width="29.44140625" customWidth="1"/>
    <col min="1803" max="1803" width="12.6640625" customWidth="1"/>
    <col min="1806" max="1806" width="16.44140625" bestFit="1" customWidth="1"/>
    <col min="2057" max="2057" width="35.33203125" customWidth="1"/>
    <col min="2058" max="2058" width="29.44140625" customWidth="1"/>
    <col min="2059" max="2059" width="12.6640625" customWidth="1"/>
    <col min="2062" max="2062" width="16.44140625" bestFit="1" customWidth="1"/>
    <col min="2313" max="2313" width="35.33203125" customWidth="1"/>
    <col min="2314" max="2314" width="29.44140625" customWidth="1"/>
    <col min="2315" max="2315" width="12.6640625" customWidth="1"/>
    <col min="2318" max="2318" width="16.44140625" bestFit="1" customWidth="1"/>
    <col min="2569" max="2569" width="35.33203125" customWidth="1"/>
    <col min="2570" max="2570" width="29.44140625" customWidth="1"/>
    <col min="2571" max="2571" width="12.6640625" customWidth="1"/>
    <col min="2574" max="2574" width="16.44140625" bestFit="1" customWidth="1"/>
    <col min="2825" max="2825" width="35.33203125" customWidth="1"/>
    <col min="2826" max="2826" width="29.44140625" customWidth="1"/>
    <col min="2827" max="2827" width="12.6640625" customWidth="1"/>
    <col min="2830" max="2830" width="16.44140625" bestFit="1" customWidth="1"/>
    <col min="3081" max="3081" width="35.33203125" customWidth="1"/>
    <col min="3082" max="3082" width="29.44140625" customWidth="1"/>
    <col min="3083" max="3083" width="12.6640625" customWidth="1"/>
    <col min="3086" max="3086" width="16.44140625" bestFit="1" customWidth="1"/>
    <col min="3337" max="3337" width="35.33203125" customWidth="1"/>
    <col min="3338" max="3338" width="29.44140625" customWidth="1"/>
    <col min="3339" max="3339" width="12.6640625" customWidth="1"/>
    <col min="3342" max="3342" width="16.44140625" bestFit="1" customWidth="1"/>
    <col min="3593" max="3593" width="35.33203125" customWidth="1"/>
    <col min="3594" max="3594" width="29.44140625" customWidth="1"/>
    <col min="3595" max="3595" width="12.6640625" customWidth="1"/>
    <col min="3598" max="3598" width="16.44140625" bestFit="1" customWidth="1"/>
    <col min="3849" max="3849" width="35.33203125" customWidth="1"/>
    <col min="3850" max="3850" width="29.44140625" customWidth="1"/>
    <col min="3851" max="3851" width="12.6640625" customWidth="1"/>
    <col min="3854" max="3854" width="16.44140625" bestFit="1" customWidth="1"/>
    <col min="4105" max="4105" width="35.33203125" customWidth="1"/>
    <col min="4106" max="4106" width="29.44140625" customWidth="1"/>
    <col min="4107" max="4107" width="12.6640625" customWidth="1"/>
    <col min="4110" max="4110" width="16.44140625" bestFit="1" customWidth="1"/>
    <col min="4361" max="4361" width="35.33203125" customWidth="1"/>
    <col min="4362" max="4362" width="29.44140625" customWidth="1"/>
    <col min="4363" max="4363" width="12.6640625" customWidth="1"/>
    <col min="4366" max="4366" width="16.44140625" bestFit="1" customWidth="1"/>
    <col min="4617" max="4617" width="35.33203125" customWidth="1"/>
    <col min="4618" max="4618" width="29.44140625" customWidth="1"/>
    <col min="4619" max="4619" width="12.6640625" customWidth="1"/>
    <col min="4622" max="4622" width="16.44140625" bestFit="1" customWidth="1"/>
    <col min="4873" max="4873" width="35.33203125" customWidth="1"/>
    <col min="4874" max="4874" width="29.44140625" customWidth="1"/>
    <col min="4875" max="4875" width="12.6640625" customWidth="1"/>
    <col min="4878" max="4878" width="16.44140625" bestFit="1" customWidth="1"/>
    <col min="5129" max="5129" width="35.33203125" customWidth="1"/>
    <col min="5130" max="5130" width="29.44140625" customWidth="1"/>
    <col min="5131" max="5131" width="12.6640625" customWidth="1"/>
    <col min="5134" max="5134" width="16.44140625" bestFit="1" customWidth="1"/>
    <col min="5385" max="5385" width="35.33203125" customWidth="1"/>
    <col min="5386" max="5386" width="29.44140625" customWidth="1"/>
    <col min="5387" max="5387" width="12.6640625" customWidth="1"/>
    <col min="5390" max="5390" width="16.44140625" bestFit="1" customWidth="1"/>
    <col min="5641" max="5641" width="35.33203125" customWidth="1"/>
    <col min="5642" max="5642" width="29.44140625" customWidth="1"/>
    <col min="5643" max="5643" width="12.6640625" customWidth="1"/>
    <col min="5646" max="5646" width="16.44140625" bestFit="1" customWidth="1"/>
    <col min="5897" max="5897" width="35.33203125" customWidth="1"/>
    <col min="5898" max="5898" width="29.44140625" customWidth="1"/>
    <col min="5899" max="5899" width="12.6640625" customWidth="1"/>
    <col min="5902" max="5902" width="16.44140625" bestFit="1" customWidth="1"/>
    <col min="6153" max="6153" width="35.33203125" customWidth="1"/>
    <col min="6154" max="6154" width="29.44140625" customWidth="1"/>
    <col min="6155" max="6155" width="12.6640625" customWidth="1"/>
    <col min="6158" max="6158" width="16.44140625" bestFit="1" customWidth="1"/>
    <col min="6409" max="6409" width="35.33203125" customWidth="1"/>
    <col min="6410" max="6410" width="29.44140625" customWidth="1"/>
    <col min="6411" max="6411" width="12.6640625" customWidth="1"/>
    <col min="6414" max="6414" width="16.44140625" bestFit="1" customWidth="1"/>
    <col min="6665" max="6665" width="35.33203125" customWidth="1"/>
    <col min="6666" max="6666" width="29.44140625" customWidth="1"/>
    <col min="6667" max="6667" width="12.6640625" customWidth="1"/>
    <col min="6670" max="6670" width="16.44140625" bestFit="1" customWidth="1"/>
    <col min="6921" max="6921" width="35.33203125" customWidth="1"/>
    <col min="6922" max="6922" width="29.44140625" customWidth="1"/>
    <col min="6923" max="6923" width="12.6640625" customWidth="1"/>
    <col min="6926" max="6926" width="16.44140625" bestFit="1" customWidth="1"/>
    <col min="7177" max="7177" width="35.33203125" customWidth="1"/>
    <col min="7178" max="7178" width="29.44140625" customWidth="1"/>
    <col min="7179" max="7179" width="12.6640625" customWidth="1"/>
    <col min="7182" max="7182" width="16.44140625" bestFit="1" customWidth="1"/>
    <col min="7433" max="7433" width="35.33203125" customWidth="1"/>
    <col min="7434" max="7434" width="29.44140625" customWidth="1"/>
    <col min="7435" max="7435" width="12.6640625" customWidth="1"/>
    <col min="7438" max="7438" width="16.44140625" bestFit="1" customWidth="1"/>
    <col min="7689" max="7689" width="35.33203125" customWidth="1"/>
    <col min="7690" max="7690" width="29.44140625" customWidth="1"/>
    <col min="7691" max="7691" width="12.6640625" customWidth="1"/>
    <col min="7694" max="7694" width="16.44140625" bestFit="1" customWidth="1"/>
    <col min="7945" max="7945" width="35.33203125" customWidth="1"/>
    <col min="7946" max="7946" width="29.44140625" customWidth="1"/>
    <col min="7947" max="7947" width="12.6640625" customWidth="1"/>
    <col min="7950" max="7950" width="16.44140625" bestFit="1" customWidth="1"/>
    <col min="8201" max="8201" width="35.33203125" customWidth="1"/>
    <col min="8202" max="8202" width="29.44140625" customWidth="1"/>
    <col min="8203" max="8203" width="12.6640625" customWidth="1"/>
    <col min="8206" max="8206" width="16.44140625" bestFit="1" customWidth="1"/>
    <col min="8457" max="8457" width="35.33203125" customWidth="1"/>
    <col min="8458" max="8458" width="29.44140625" customWidth="1"/>
    <col min="8459" max="8459" width="12.6640625" customWidth="1"/>
    <col min="8462" max="8462" width="16.44140625" bestFit="1" customWidth="1"/>
    <col min="8713" max="8713" width="35.33203125" customWidth="1"/>
    <col min="8714" max="8714" width="29.44140625" customWidth="1"/>
    <col min="8715" max="8715" width="12.6640625" customWidth="1"/>
    <col min="8718" max="8718" width="16.44140625" bestFit="1" customWidth="1"/>
    <col min="8969" max="8969" width="35.33203125" customWidth="1"/>
    <col min="8970" max="8970" width="29.44140625" customWidth="1"/>
    <col min="8971" max="8971" width="12.6640625" customWidth="1"/>
    <col min="8974" max="8974" width="16.44140625" bestFit="1" customWidth="1"/>
    <col min="9225" max="9225" width="35.33203125" customWidth="1"/>
    <col min="9226" max="9226" width="29.44140625" customWidth="1"/>
    <col min="9227" max="9227" width="12.6640625" customWidth="1"/>
    <col min="9230" max="9230" width="16.44140625" bestFit="1" customWidth="1"/>
    <col min="9481" max="9481" width="35.33203125" customWidth="1"/>
    <col min="9482" max="9482" width="29.44140625" customWidth="1"/>
    <col min="9483" max="9483" width="12.6640625" customWidth="1"/>
    <col min="9486" max="9486" width="16.44140625" bestFit="1" customWidth="1"/>
    <col min="9737" max="9737" width="35.33203125" customWidth="1"/>
    <col min="9738" max="9738" width="29.44140625" customWidth="1"/>
    <col min="9739" max="9739" width="12.6640625" customWidth="1"/>
    <col min="9742" max="9742" width="16.44140625" bestFit="1" customWidth="1"/>
    <col min="9993" max="9993" width="35.33203125" customWidth="1"/>
    <col min="9994" max="9994" width="29.44140625" customWidth="1"/>
    <col min="9995" max="9995" width="12.6640625" customWidth="1"/>
    <col min="9998" max="9998" width="16.44140625" bestFit="1" customWidth="1"/>
    <col min="10249" max="10249" width="35.33203125" customWidth="1"/>
    <col min="10250" max="10250" width="29.44140625" customWidth="1"/>
    <col min="10251" max="10251" width="12.6640625" customWidth="1"/>
    <col min="10254" max="10254" width="16.44140625" bestFit="1" customWidth="1"/>
    <col min="10505" max="10505" width="35.33203125" customWidth="1"/>
    <col min="10506" max="10506" width="29.44140625" customWidth="1"/>
    <col min="10507" max="10507" width="12.6640625" customWidth="1"/>
    <col min="10510" max="10510" width="16.44140625" bestFit="1" customWidth="1"/>
    <col min="10761" max="10761" width="35.33203125" customWidth="1"/>
    <col min="10762" max="10762" width="29.44140625" customWidth="1"/>
    <col min="10763" max="10763" width="12.6640625" customWidth="1"/>
    <col min="10766" max="10766" width="16.44140625" bestFit="1" customWidth="1"/>
    <col min="11017" max="11017" width="35.33203125" customWidth="1"/>
    <col min="11018" max="11018" width="29.44140625" customWidth="1"/>
    <col min="11019" max="11019" width="12.6640625" customWidth="1"/>
    <col min="11022" max="11022" width="16.44140625" bestFit="1" customWidth="1"/>
    <col min="11273" max="11273" width="35.33203125" customWidth="1"/>
    <col min="11274" max="11274" width="29.44140625" customWidth="1"/>
    <col min="11275" max="11275" width="12.6640625" customWidth="1"/>
    <col min="11278" max="11278" width="16.44140625" bestFit="1" customWidth="1"/>
    <col min="11529" max="11529" width="35.33203125" customWidth="1"/>
    <col min="11530" max="11530" width="29.44140625" customWidth="1"/>
    <col min="11531" max="11531" width="12.6640625" customWidth="1"/>
    <col min="11534" max="11534" width="16.44140625" bestFit="1" customWidth="1"/>
    <col min="11785" max="11785" width="35.33203125" customWidth="1"/>
    <col min="11786" max="11786" width="29.44140625" customWidth="1"/>
    <col min="11787" max="11787" width="12.6640625" customWidth="1"/>
    <col min="11790" max="11790" width="16.44140625" bestFit="1" customWidth="1"/>
    <col min="12041" max="12041" width="35.33203125" customWidth="1"/>
    <col min="12042" max="12042" width="29.44140625" customWidth="1"/>
    <col min="12043" max="12043" width="12.6640625" customWidth="1"/>
    <col min="12046" max="12046" width="16.44140625" bestFit="1" customWidth="1"/>
    <col min="12297" max="12297" width="35.33203125" customWidth="1"/>
    <col min="12298" max="12298" width="29.44140625" customWidth="1"/>
    <col min="12299" max="12299" width="12.6640625" customWidth="1"/>
    <col min="12302" max="12302" width="16.44140625" bestFit="1" customWidth="1"/>
    <col min="12553" max="12553" width="35.33203125" customWidth="1"/>
    <col min="12554" max="12554" width="29.44140625" customWidth="1"/>
    <col min="12555" max="12555" width="12.6640625" customWidth="1"/>
    <col min="12558" max="12558" width="16.44140625" bestFit="1" customWidth="1"/>
    <col min="12809" max="12809" width="35.33203125" customWidth="1"/>
    <col min="12810" max="12810" width="29.44140625" customWidth="1"/>
    <col min="12811" max="12811" width="12.6640625" customWidth="1"/>
    <col min="12814" max="12814" width="16.44140625" bestFit="1" customWidth="1"/>
    <col min="13065" max="13065" width="35.33203125" customWidth="1"/>
    <col min="13066" max="13066" width="29.44140625" customWidth="1"/>
    <col min="13067" max="13067" width="12.6640625" customWidth="1"/>
    <col min="13070" max="13070" width="16.44140625" bestFit="1" customWidth="1"/>
    <col min="13321" max="13321" width="35.33203125" customWidth="1"/>
    <col min="13322" max="13322" width="29.44140625" customWidth="1"/>
    <col min="13323" max="13323" width="12.6640625" customWidth="1"/>
    <col min="13326" max="13326" width="16.44140625" bestFit="1" customWidth="1"/>
    <col min="13577" max="13577" width="35.33203125" customWidth="1"/>
    <col min="13578" max="13578" width="29.44140625" customWidth="1"/>
    <col min="13579" max="13579" width="12.6640625" customWidth="1"/>
    <col min="13582" max="13582" width="16.44140625" bestFit="1" customWidth="1"/>
    <col min="13833" max="13833" width="35.33203125" customWidth="1"/>
    <col min="13834" max="13834" width="29.44140625" customWidth="1"/>
    <col min="13835" max="13835" width="12.6640625" customWidth="1"/>
    <col min="13838" max="13838" width="16.44140625" bestFit="1" customWidth="1"/>
    <col min="14089" max="14089" width="35.33203125" customWidth="1"/>
    <col min="14090" max="14090" width="29.44140625" customWidth="1"/>
    <col min="14091" max="14091" width="12.6640625" customWidth="1"/>
    <col min="14094" max="14094" width="16.44140625" bestFit="1" customWidth="1"/>
    <col min="14345" max="14345" width="35.33203125" customWidth="1"/>
    <col min="14346" max="14346" width="29.44140625" customWidth="1"/>
    <col min="14347" max="14347" width="12.6640625" customWidth="1"/>
    <col min="14350" max="14350" width="16.44140625" bestFit="1" customWidth="1"/>
    <col min="14601" max="14601" width="35.33203125" customWidth="1"/>
    <col min="14602" max="14602" width="29.44140625" customWidth="1"/>
    <col min="14603" max="14603" width="12.6640625" customWidth="1"/>
    <col min="14606" max="14606" width="16.44140625" bestFit="1" customWidth="1"/>
    <col min="14857" max="14857" width="35.33203125" customWidth="1"/>
    <col min="14858" max="14858" width="29.44140625" customWidth="1"/>
    <col min="14859" max="14859" width="12.6640625" customWidth="1"/>
    <col min="14862" max="14862" width="16.44140625" bestFit="1" customWidth="1"/>
    <col min="15113" max="15113" width="35.33203125" customWidth="1"/>
    <col min="15114" max="15114" width="29.44140625" customWidth="1"/>
    <col min="15115" max="15115" width="12.6640625" customWidth="1"/>
    <col min="15118" max="15118" width="16.44140625" bestFit="1" customWidth="1"/>
    <col min="15369" max="15369" width="35.33203125" customWidth="1"/>
    <col min="15370" max="15370" width="29.44140625" customWidth="1"/>
    <col min="15371" max="15371" width="12.6640625" customWidth="1"/>
    <col min="15374" max="15374" width="16.44140625" bestFit="1" customWidth="1"/>
    <col min="15625" max="15625" width="35.33203125" customWidth="1"/>
    <col min="15626" max="15626" width="29.44140625" customWidth="1"/>
    <col min="15627" max="15627" width="12.6640625" customWidth="1"/>
    <col min="15630" max="15630" width="16.44140625" bestFit="1" customWidth="1"/>
    <col min="15881" max="15881" width="35.33203125" customWidth="1"/>
    <col min="15882" max="15882" width="29.44140625" customWidth="1"/>
    <col min="15883" max="15883" width="12.6640625" customWidth="1"/>
    <col min="15886" max="15886" width="16.44140625" bestFit="1" customWidth="1"/>
    <col min="16137" max="16137" width="35.33203125" customWidth="1"/>
    <col min="16138" max="16138" width="29.44140625" customWidth="1"/>
    <col min="16139" max="16139" width="12.6640625" customWidth="1"/>
    <col min="16142" max="16142" width="16.44140625" bestFit="1" customWidth="1"/>
  </cols>
  <sheetData>
    <row r="1" spans="1:34" s="3890" customFormat="1" ht="15.6">
      <c r="B1" s="4189"/>
      <c r="C1" s="4189"/>
      <c r="D1" s="4189"/>
      <c r="E1" s="4189"/>
      <c r="F1" s="6469" t="s">
        <v>919</v>
      </c>
      <c r="H1" s="5317"/>
      <c r="I1" s="2110"/>
      <c r="J1" s="5317"/>
      <c r="K1" s="5317"/>
      <c r="L1" s="5317"/>
      <c r="M1" s="5317"/>
      <c r="N1" s="5317"/>
      <c r="O1" s="5317"/>
      <c r="P1" s="5317"/>
      <c r="Q1" s="5317"/>
      <c r="R1" s="5317"/>
      <c r="S1" s="5317"/>
      <c r="T1" s="5317"/>
      <c r="U1" s="5317"/>
      <c r="V1" s="5317"/>
      <c r="W1" s="5317"/>
      <c r="X1" s="5317"/>
      <c r="Y1" s="5317"/>
      <c r="Z1" s="5317"/>
      <c r="AA1" s="5317"/>
      <c r="AB1" s="5317"/>
      <c r="AC1" s="5317"/>
      <c r="AD1" s="5317"/>
      <c r="AE1" s="5317"/>
      <c r="AF1" s="5317"/>
      <c r="AG1" s="5317"/>
      <c r="AH1" s="5317"/>
    </row>
    <row r="2" spans="1:34" s="5317" customFormat="1" ht="15.6">
      <c r="A2" s="18"/>
      <c r="I2" s="2110"/>
    </row>
    <row r="3" spans="1:34" s="5317" customFormat="1">
      <c r="B3" s="3979"/>
      <c r="C3" s="4203">
        <v>2023</v>
      </c>
      <c r="D3" s="3980"/>
      <c r="E3" s="7127" t="s">
        <v>2181</v>
      </c>
      <c r="F3" s="7128"/>
      <c r="I3" s="2110"/>
    </row>
    <row r="4" spans="1:34" s="5317" customFormat="1" ht="24">
      <c r="A4" s="3969" t="s">
        <v>0</v>
      </c>
      <c r="B4" s="3969" t="s">
        <v>1893</v>
      </c>
      <c r="C4" s="3969" t="s">
        <v>2981</v>
      </c>
      <c r="D4" s="3969" t="s">
        <v>2169</v>
      </c>
      <c r="E4" s="6471" t="s">
        <v>932</v>
      </c>
      <c r="F4" s="3959" t="s">
        <v>908</v>
      </c>
      <c r="I4" s="2110"/>
    </row>
    <row r="5" spans="1:34" s="5317" customFormat="1">
      <c r="A5" s="4186" t="s">
        <v>3</v>
      </c>
      <c r="B5" s="4186">
        <v>3415</v>
      </c>
      <c r="C5" s="4186">
        <v>1661</v>
      </c>
      <c r="D5" s="3985">
        <v>48.63836017569546</v>
      </c>
      <c r="E5" s="6139">
        <v>0.79794933655006028</v>
      </c>
      <c r="F5" s="6139">
        <v>0.20205066344993969</v>
      </c>
      <c r="I5" s="2110"/>
    </row>
    <row r="6" spans="1:34" s="5317" customFormat="1">
      <c r="A6" s="4186" t="s">
        <v>59</v>
      </c>
      <c r="B6" s="4186">
        <v>403</v>
      </c>
      <c r="C6" s="4186">
        <v>248</v>
      </c>
      <c r="D6" s="3985">
        <v>61.53846153846154</v>
      </c>
      <c r="E6" s="6139">
        <v>0.67206477732793535</v>
      </c>
      <c r="F6" s="6139">
        <v>0.32793522267206476</v>
      </c>
      <c r="I6" s="2110"/>
    </row>
    <row r="7" spans="1:34" s="5317" customFormat="1">
      <c r="A7" s="4186" t="s">
        <v>25</v>
      </c>
      <c r="B7" s="4186">
        <v>8492</v>
      </c>
      <c r="C7" s="4186">
        <v>4549</v>
      </c>
      <c r="D7" s="3985">
        <v>53.568064060292038</v>
      </c>
      <c r="E7" s="6139">
        <v>0.77153558052434468</v>
      </c>
      <c r="F7" s="6139">
        <v>0.22846441947565543</v>
      </c>
      <c r="I7" s="2110"/>
    </row>
    <row r="8" spans="1:34" s="5317" customFormat="1">
      <c r="A8" s="4186" t="s">
        <v>240</v>
      </c>
      <c r="B8" s="4186">
        <v>2</v>
      </c>
      <c r="C8" s="4186">
        <v>0</v>
      </c>
      <c r="D8" s="6140">
        <v>0</v>
      </c>
      <c r="E8" s="4186" t="s">
        <v>2607</v>
      </c>
      <c r="F8" s="4186" t="s">
        <v>2607</v>
      </c>
      <c r="I8" s="2110"/>
    </row>
    <row r="9" spans="1:34" s="5317" customFormat="1">
      <c r="A9" s="6141" t="s">
        <v>48</v>
      </c>
      <c r="B9" s="6141">
        <v>5442</v>
      </c>
      <c r="C9" s="6141">
        <v>2924</v>
      </c>
      <c r="D9" s="3985">
        <v>53.730246233002575</v>
      </c>
      <c r="E9" s="6139">
        <v>0.81239301609038006</v>
      </c>
      <c r="F9" s="6139">
        <v>0.18760698390962</v>
      </c>
      <c r="I9" s="2110"/>
    </row>
    <row r="10" spans="1:34" s="5317" customFormat="1">
      <c r="A10" s="3969" t="s">
        <v>15</v>
      </c>
      <c r="B10" s="3969">
        <v>17754</v>
      </c>
      <c r="C10" s="3969">
        <v>9382</v>
      </c>
      <c r="D10" s="6142">
        <v>52.844429424355077</v>
      </c>
      <c r="E10" s="6144">
        <v>0.78633208756006412</v>
      </c>
      <c r="F10" s="6143">
        <v>0.21366791243993594</v>
      </c>
      <c r="I10" s="2110"/>
    </row>
    <row r="11" spans="1:34" s="5317" customFormat="1" ht="15.6">
      <c r="A11" s="18"/>
      <c r="I11" s="2110"/>
    </row>
    <row r="12" spans="1:34" s="5317" customFormat="1" ht="15.6">
      <c r="A12" s="18"/>
      <c r="I12" s="2110"/>
    </row>
    <row r="13" spans="1:34" s="5317" customFormat="1">
      <c r="B13" s="3979"/>
      <c r="C13" s="4203">
        <v>2022</v>
      </c>
      <c r="D13" s="3980"/>
      <c r="E13" s="7127" t="s">
        <v>2181</v>
      </c>
      <c r="F13" s="7128"/>
      <c r="I13" s="2110"/>
    </row>
    <row r="14" spans="1:34" s="5317" customFormat="1" ht="24">
      <c r="A14" s="3969" t="s">
        <v>0</v>
      </c>
      <c r="B14" s="3969" t="s">
        <v>1893</v>
      </c>
      <c r="C14" s="3969" t="s">
        <v>2981</v>
      </c>
      <c r="D14" s="3969" t="s">
        <v>2169</v>
      </c>
      <c r="E14" s="6128" t="s">
        <v>932</v>
      </c>
      <c r="F14" s="3959" t="s">
        <v>908</v>
      </c>
      <c r="I14" s="2110"/>
    </row>
    <row r="15" spans="1:34" s="5317" customFormat="1">
      <c r="A15" s="4186" t="s">
        <v>3</v>
      </c>
      <c r="B15" s="4186">
        <v>3266</v>
      </c>
      <c r="C15" s="4186">
        <v>1661</v>
      </c>
      <c r="D15" s="3985">
        <f>C15*100/B15</f>
        <v>50.857317819963257</v>
      </c>
      <c r="E15" s="6139">
        <v>0.79794933655006028</v>
      </c>
      <c r="F15" s="6139">
        <v>0.20205066344993969</v>
      </c>
      <c r="I15" s="2110"/>
    </row>
    <row r="16" spans="1:34" s="5317" customFormat="1">
      <c r="A16" s="4186" t="s">
        <v>59</v>
      </c>
      <c r="B16" s="4186">
        <v>364</v>
      </c>
      <c r="C16" s="4186">
        <v>248</v>
      </c>
      <c r="D16" s="3985">
        <f t="shared" ref="D16:D20" si="0">C16*100/B16</f>
        <v>68.131868131868131</v>
      </c>
      <c r="E16" s="6139">
        <v>0.67206477732793535</v>
      </c>
      <c r="F16" s="6139">
        <v>0.32793522267206476</v>
      </c>
      <c r="I16" s="2110"/>
    </row>
    <row r="17" spans="1:34" s="5317" customFormat="1">
      <c r="A17" s="4186" t="s">
        <v>25</v>
      </c>
      <c r="B17" s="4186">
        <v>8230</v>
      </c>
      <c r="C17" s="4186">
        <v>4549</v>
      </c>
      <c r="D17" s="3985">
        <f t="shared" si="0"/>
        <v>55.273390036452007</v>
      </c>
      <c r="E17" s="6139">
        <v>0.77153558052434468</v>
      </c>
      <c r="F17" s="6139">
        <v>0.22846441947565543</v>
      </c>
      <c r="I17" s="2110"/>
    </row>
    <row r="18" spans="1:34" s="5317" customFormat="1">
      <c r="A18" s="4186" t="s">
        <v>240</v>
      </c>
      <c r="B18" s="4186">
        <v>1</v>
      </c>
      <c r="C18" s="4186"/>
      <c r="D18" s="6140"/>
      <c r="E18" s="4186" t="s">
        <v>2607</v>
      </c>
      <c r="F18" s="4186" t="s">
        <v>2607</v>
      </c>
      <c r="I18" s="2110"/>
    </row>
    <row r="19" spans="1:34" s="5317" customFormat="1">
      <c r="A19" s="6141" t="s">
        <v>48</v>
      </c>
      <c r="B19" s="6141">
        <v>5261</v>
      </c>
      <c r="C19" s="6141">
        <v>2924</v>
      </c>
      <c r="D19" s="3985">
        <f t="shared" si="0"/>
        <v>55.578787302794147</v>
      </c>
      <c r="E19" s="6139">
        <v>0.81239301609038006</v>
      </c>
      <c r="F19" s="6139">
        <v>0.18760698390962</v>
      </c>
      <c r="I19" s="2110"/>
    </row>
    <row r="20" spans="1:34" s="5317" customFormat="1">
      <c r="A20" s="3969" t="s">
        <v>15</v>
      </c>
      <c r="B20" s="3969">
        <v>17126</v>
      </c>
      <c r="C20" s="3969">
        <v>9382</v>
      </c>
      <c r="D20" s="6142">
        <f t="shared" si="0"/>
        <v>54.782202499124139</v>
      </c>
      <c r="E20" s="6144">
        <v>0.78633208756006412</v>
      </c>
      <c r="F20" s="6143">
        <v>0.21366791243993594</v>
      </c>
      <c r="I20" s="2110"/>
    </row>
    <row r="21" spans="1:34" s="5317" customFormat="1" ht="15.6">
      <c r="A21" s="18"/>
      <c r="I21" s="2110"/>
    </row>
    <row r="22" spans="1:34" s="5317" customFormat="1">
      <c r="I22" s="2110"/>
    </row>
    <row r="23" spans="1:34" s="5317" customFormat="1">
      <c r="B23" s="3979"/>
      <c r="C23" s="4203">
        <v>2021</v>
      </c>
      <c r="D23" s="3980"/>
      <c r="E23" s="7140" t="s">
        <v>2181</v>
      </c>
      <c r="F23" s="7141"/>
      <c r="I23" s="2110"/>
    </row>
    <row r="24" spans="1:34" s="5317" customFormat="1" ht="24">
      <c r="A24" s="3969" t="s">
        <v>0</v>
      </c>
      <c r="B24" s="3969" t="s">
        <v>1893</v>
      </c>
      <c r="C24" s="3969" t="s">
        <v>2981</v>
      </c>
      <c r="D24" s="3969" t="s">
        <v>2169</v>
      </c>
      <c r="E24" s="5318" t="s">
        <v>907</v>
      </c>
      <c r="F24" s="3959" t="s">
        <v>908</v>
      </c>
      <c r="I24" s="2110"/>
    </row>
    <row r="25" spans="1:34" s="5317" customFormat="1">
      <c r="A25" s="4186" t="s">
        <v>3</v>
      </c>
      <c r="B25" s="5617">
        <v>2822</v>
      </c>
      <c r="C25" s="5617">
        <v>1588</v>
      </c>
      <c r="D25" s="5617" t="s">
        <v>3000</v>
      </c>
      <c r="E25" s="5617" t="s">
        <v>3001</v>
      </c>
      <c r="F25" s="5617" t="s">
        <v>3002</v>
      </c>
      <c r="I25" s="2110"/>
    </row>
    <row r="26" spans="1:34" s="5317" customFormat="1">
      <c r="A26" s="4186" t="s">
        <v>25</v>
      </c>
      <c r="B26" s="5617">
        <v>7618</v>
      </c>
      <c r="C26" s="5617">
        <v>4330</v>
      </c>
      <c r="D26" s="5617" t="s">
        <v>3003</v>
      </c>
      <c r="E26" s="5617" t="s">
        <v>3004</v>
      </c>
      <c r="F26" s="5617" t="s">
        <v>3005</v>
      </c>
      <c r="I26" s="2110"/>
    </row>
    <row r="27" spans="1:34" s="5317" customFormat="1">
      <c r="A27" s="4186" t="s">
        <v>48</v>
      </c>
      <c r="B27" s="5617">
        <v>4731</v>
      </c>
      <c r="C27" s="5617">
        <v>2688</v>
      </c>
      <c r="D27" s="5617" t="s">
        <v>3000</v>
      </c>
      <c r="E27" s="5617" t="s">
        <v>3006</v>
      </c>
      <c r="F27" s="5617" t="s">
        <v>3007</v>
      </c>
      <c r="I27" s="2110"/>
    </row>
    <row r="28" spans="1:34" s="5317" customFormat="1">
      <c r="A28" s="4186" t="s">
        <v>59</v>
      </c>
      <c r="B28" s="5617">
        <v>309</v>
      </c>
      <c r="C28" s="5617">
        <v>225</v>
      </c>
      <c r="D28" s="5617" t="s">
        <v>3008</v>
      </c>
      <c r="E28" s="5617" t="s">
        <v>3009</v>
      </c>
      <c r="F28" s="5617" t="s">
        <v>3010</v>
      </c>
      <c r="I28" s="2110"/>
    </row>
    <row r="29" spans="1:34" s="5317" customFormat="1">
      <c r="A29" s="4001" t="s">
        <v>15</v>
      </c>
      <c r="B29" s="5618">
        <v>15480</v>
      </c>
      <c r="C29" s="5618">
        <v>8831</v>
      </c>
      <c r="D29" s="5618" t="s">
        <v>3011</v>
      </c>
      <c r="E29" s="5616" t="s">
        <v>3012</v>
      </c>
      <c r="F29" s="5619" t="s">
        <v>3013</v>
      </c>
      <c r="I29" s="2110"/>
    </row>
    <row r="30" spans="1:34" s="5317" customFormat="1">
      <c r="I30" s="2110"/>
    </row>
    <row r="31" spans="1:34" s="5317" customFormat="1">
      <c r="I31" s="2110"/>
    </row>
    <row r="32" spans="1:34" s="3890" customFormat="1">
      <c r="A32" s="3979"/>
      <c r="B32" s="3979"/>
      <c r="C32" s="4203">
        <v>2020</v>
      </c>
      <c r="D32" s="3980"/>
      <c r="E32" s="7129" t="s">
        <v>2181</v>
      </c>
      <c r="F32" s="7130"/>
      <c r="G32" s="5317"/>
      <c r="H32" s="5317"/>
      <c r="I32" s="2110"/>
      <c r="J32" s="5317"/>
      <c r="K32" s="5317"/>
      <c r="L32" s="5317"/>
      <c r="M32" s="5317"/>
      <c r="N32" s="5317"/>
      <c r="O32" s="5317"/>
      <c r="P32" s="5317"/>
      <c r="Q32" s="5317"/>
      <c r="R32" s="5317"/>
      <c r="S32" s="5317"/>
      <c r="T32" s="5317"/>
      <c r="U32" s="5317"/>
      <c r="V32" s="5317"/>
      <c r="W32" s="5317"/>
      <c r="X32" s="5317"/>
      <c r="Y32" s="5317"/>
      <c r="Z32" s="5317"/>
      <c r="AA32" s="5317"/>
      <c r="AB32" s="5317"/>
      <c r="AC32" s="5317"/>
      <c r="AD32" s="5317"/>
      <c r="AE32" s="5317"/>
      <c r="AF32" s="5317"/>
      <c r="AG32" s="5317"/>
      <c r="AH32" s="5317"/>
    </row>
    <row r="33" spans="1:34" s="3890" customFormat="1" ht="24">
      <c r="A33" s="3969" t="s">
        <v>0</v>
      </c>
      <c r="B33" s="3969" t="s">
        <v>1893</v>
      </c>
      <c r="C33" s="3969" t="s">
        <v>1898</v>
      </c>
      <c r="D33" s="3969" t="s">
        <v>2169</v>
      </c>
      <c r="E33" s="4187" t="s">
        <v>907</v>
      </c>
      <c r="F33" s="3959" t="s">
        <v>908</v>
      </c>
      <c r="G33" s="5317"/>
      <c r="H33" s="5317"/>
      <c r="I33" s="2110"/>
      <c r="J33" s="5317"/>
      <c r="K33" s="5317"/>
      <c r="L33" s="5317"/>
      <c r="M33" s="5317"/>
      <c r="N33" s="5317"/>
      <c r="O33" s="5317"/>
      <c r="P33" s="5317"/>
      <c r="Q33" s="5317"/>
      <c r="R33" s="5317"/>
      <c r="S33" s="5317"/>
      <c r="T33" s="5317"/>
      <c r="U33" s="5317"/>
      <c r="V33" s="5317"/>
      <c r="W33" s="5317"/>
      <c r="X33" s="5317"/>
      <c r="Y33" s="5317"/>
      <c r="Z33" s="5317"/>
      <c r="AA33" s="5317"/>
      <c r="AB33" s="5317"/>
      <c r="AC33" s="5317"/>
      <c r="AD33" s="5317"/>
      <c r="AE33" s="5317"/>
      <c r="AF33" s="5317"/>
      <c r="AG33" s="5317"/>
      <c r="AH33" s="5317"/>
    </row>
    <row r="34" spans="1:34" s="3890" customFormat="1">
      <c r="A34" s="4186" t="s">
        <v>3</v>
      </c>
      <c r="B34" s="3984">
        <v>2720</v>
      </c>
      <c r="C34" s="3984">
        <v>1511</v>
      </c>
      <c r="D34" s="3985">
        <v>55.551470588235297</v>
      </c>
      <c r="E34" s="3986">
        <v>0.79257786613651438</v>
      </c>
      <c r="F34" s="3986">
        <v>0.20742213386348576</v>
      </c>
      <c r="H34" s="5317"/>
      <c r="I34" s="2110"/>
      <c r="J34" s="5317"/>
      <c r="K34" s="5317"/>
      <c r="L34" s="5317"/>
      <c r="M34" s="5317"/>
      <c r="N34" s="5317"/>
      <c r="O34" s="5317"/>
      <c r="P34" s="5317"/>
      <c r="Q34" s="5317"/>
      <c r="R34" s="5317"/>
      <c r="S34" s="5317"/>
      <c r="T34" s="5317"/>
      <c r="U34" s="5317"/>
      <c r="V34" s="5317"/>
      <c r="W34" s="5317"/>
      <c r="X34" s="5317"/>
      <c r="Y34" s="5317"/>
      <c r="Z34" s="5317"/>
      <c r="AA34" s="5317"/>
      <c r="AB34" s="5317"/>
      <c r="AC34" s="5317"/>
      <c r="AD34" s="5317"/>
      <c r="AE34" s="5317"/>
      <c r="AF34" s="5317"/>
      <c r="AG34" s="5317"/>
      <c r="AH34" s="5317"/>
    </row>
    <row r="35" spans="1:34" s="3890" customFormat="1">
      <c r="A35" s="4186" t="s">
        <v>25</v>
      </c>
      <c r="B35" s="3984">
        <v>7225</v>
      </c>
      <c r="C35" s="3984">
        <v>4027</v>
      </c>
      <c r="D35" s="3985">
        <v>55.737024221453289</v>
      </c>
      <c r="E35" s="3986">
        <v>0.76548122357622495</v>
      </c>
      <c r="F35" s="3986">
        <v>0.23451877642377517</v>
      </c>
      <c r="H35" s="5317"/>
      <c r="I35" s="2110"/>
      <c r="J35" s="5317"/>
      <c r="K35" s="5317"/>
      <c r="L35" s="5317"/>
      <c r="M35" s="5317"/>
      <c r="N35" s="5317"/>
      <c r="O35" s="5317"/>
      <c r="P35" s="5317"/>
      <c r="Q35" s="5317"/>
      <c r="R35" s="5317"/>
      <c r="S35" s="5317"/>
      <c r="T35" s="5317"/>
      <c r="U35" s="5317"/>
      <c r="V35" s="5317"/>
      <c r="W35" s="5317"/>
      <c r="X35" s="5317"/>
      <c r="Y35" s="5317"/>
      <c r="Z35" s="5317"/>
      <c r="AA35" s="5317"/>
      <c r="AB35" s="5317"/>
      <c r="AC35" s="5317"/>
      <c r="AD35" s="5317"/>
      <c r="AE35" s="5317"/>
      <c r="AF35" s="5317"/>
      <c r="AG35" s="5317"/>
      <c r="AH35" s="5317"/>
    </row>
    <row r="36" spans="1:34" s="3890" customFormat="1">
      <c r="A36" s="4186" t="s">
        <v>48</v>
      </c>
      <c r="B36" s="3984">
        <v>4459</v>
      </c>
      <c r="C36" s="3984">
        <v>2539</v>
      </c>
      <c r="D36" s="3985">
        <v>56.941018165507963</v>
      </c>
      <c r="E36" s="3986">
        <v>0.80441640378548895</v>
      </c>
      <c r="F36" s="3986">
        <v>0.19558359621451105</v>
      </c>
      <c r="H36" s="5317"/>
      <c r="I36" s="2110"/>
      <c r="J36" s="5317"/>
      <c r="K36" s="5317"/>
      <c r="L36" s="5317"/>
      <c r="M36" s="5317"/>
      <c r="N36" s="5317"/>
      <c r="O36" s="5317"/>
      <c r="P36" s="5317"/>
      <c r="Q36" s="5317"/>
      <c r="R36" s="5317"/>
      <c r="S36" s="5317"/>
      <c r="T36" s="5317"/>
      <c r="U36" s="5317"/>
      <c r="V36" s="5317"/>
      <c r="W36" s="5317"/>
      <c r="X36" s="5317"/>
      <c r="Y36" s="5317"/>
      <c r="Z36" s="5317"/>
      <c r="AA36" s="5317"/>
      <c r="AB36" s="5317"/>
      <c r="AC36" s="5317"/>
      <c r="AD36" s="5317"/>
      <c r="AE36" s="5317"/>
      <c r="AF36" s="5317"/>
      <c r="AG36" s="5317"/>
      <c r="AH36" s="5317"/>
    </row>
    <row r="37" spans="1:34" s="3890" customFormat="1">
      <c r="A37" s="4186" t="s">
        <v>59</v>
      </c>
      <c r="B37" s="3984">
        <v>244</v>
      </c>
      <c r="C37" s="3984">
        <v>182</v>
      </c>
      <c r="D37" s="3985">
        <v>74.590163934426229</v>
      </c>
      <c r="E37" s="3986">
        <v>0.6574585635359117</v>
      </c>
      <c r="F37" s="3986">
        <v>0.34254143646408841</v>
      </c>
      <c r="H37" s="5317"/>
      <c r="I37" s="2110"/>
      <c r="J37" s="5317"/>
      <c r="K37" s="5317"/>
      <c r="L37" s="5317"/>
      <c r="M37" s="5317"/>
      <c r="N37" s="5317"/>
      <c r="O37" s="5317"/>
      <c r="P37" s="5317"/>
      <c r="Q37" s="5317"/>
      <c r="R37" s="5317"/>
      <c r="S37" s="5317"/>
      <c r="T37" s="5317"/>
      <c r="U37" s="5317"/>
      <c r="V37" s="5317"/>
      <c r="W37" s="5317"/>
      <c r="X37" s="5317"/>
      <c r="Y37" s="5317"/>
      <c r="Z37" s="5317"/>
      <c r="AA37" s="5317"/>
      <c r="AB37" s="5317"/>
      <c r="AC37" s="5317"/>
      <c r="AD37" s="5317"/>
      <c r="AE37" s="5317"/>
      <c r="AF37" s="5317"/>
      <c r="AG37" s="5317"/>
      <c r="AH37" s="5317"/>
    </row>
    <row r="38" spans="1:34" s="3890" customFormat="1" ht="14.4" customHeight="1">
      <c r="A38" s="4001" t="s">
        <v>15</v>
      </c>
      <c r="B38" s="4002">
        <v>14648</v>
      </c>
      <c r="C38" s="4002">
        <v>8259</v>
      </c>
      <c r="D38" s="4003">
        <v>56.383123975969418</v>
      </c>
      <c r="E38" s="4204">
        <v>0.78004122711288959</v>
      </c>
      <c r="F38" s="3986">
        <v>0.21995877288711047</v>
      </c>
      <c r="G38" s="4189"/>
      <c r="H38" s="5317"/>
      <c r="I38" s="2110"/>
      <c r="J38" s="5317"/>
      <c r="K38" s="5317"/>
      <c r="L38" s="5317"/>
      <c r="M38" s="5317"/>
      <c r="N38" s="5317"/>
      <c r="O38" s="5317"/>
      <c r="P38" s="5317"/>
      <c r="Q38" s="5317"/>
      <c r="R38" s="5317"/>
      <c r="S38" s="5317"/>
      <c r="T38" s="5317"/>
      <c r="U38" s="5317"/>
      <c r="V38" s="5317"/>
      <c r="W38" s="5317"/>
      <c r="X38" s="5317"/>
      <c r="Y38" s="5317"/>
      <c r="Z38" s="5317"/>
      <c r="AA38" s="5317"/>
      <c r="AB38" s="5317"/>
      <c r="AC38" s="5317"/>
      <c r="AD38" s="5317"/>
      <c r="AE38" s="5317"/>
      <c r="AF38" s="5317"/>
      <c r="AG38" s="5317"/>
      <c r="AH38" s="5317"/>
    </row>
    <row r="39" spans="1:34" s="3890" customFormat="1">
      <c r="A39" s="4189"/>
      <c r="B39" s="4189"/>
      <c r="C39" s="4189"/>
      <c r="D39" s="4189"/>
      <c r="E39" s="4189"/>
      <c r="F39" s="4189"/>
      <c r="G39" s="4189"/>
      <c r="H39" s="5317"/>
      <c r="I39" s="2110"/>
      <c r="J39" s="5317"/>
      <c r="K39" s="5317"/>
      <c r="L39" s="5317"/>
      <c r="M39" s="5317"/>
      <c r="N39" s="5317"/>
      <c r="O39" s="5317"/>
      <c r="P39" s="5317"/>
      <c r="Q39" s="5317"/>
      <c r="R39" s="5317"/>
      <c r="S39" s="5317"/>
      <c r="T39" s="5317"/>
      <c r="U39" s="5317"/>
      <c r="V39" s="5317"/>
      <c r="W39" s="5317"/>
      <c r="X39" s="5317"/>
      <c r="Y39" s="5317"/>
      <c r="Z39" s="5317"/>
      <c r="AA39" s="5317"/>
      <c r="AB39" s="5317"/>
      <c r="AC39" s="5317"/>
      <c r="AD39" s="5317"/>
      <c r="AE39" s="5317"/>
      <c r="AF39" s="5317"/>
      <c r="AG39" s="5317"/>
      <c r="AH39" s="5317"/>
    </row>
    <row r="40" spans="1:34" s="3890" customFormat="1">
      <c r="A40" s="4189"/>
      <c r="B40" s="4189"/>
      <c r="C40" s="4189"/>
      <c r="D40" s="4189"/>
      <c r="E40" s="4189"/>
      <c r="F40" s="4189"/>
      <c r="G40" s="4189"/>
      <c r="H40" s="5317"/>
      <c r="I40" s="2110"/>
      <c r="J40" s="5317"/>
      <c r="K40" s="5317"/>
      <c r="L40" s="5317"/>
      <c r="M40" s="5317"/>
      <c r="N40" s="5317"/>
      <c r="O40" s="5317"/>
      <c r="P40" s="5317"/>
      <c r="Q40" s="5317"/>
      <c r="R40" s="5317"/>
      <c r="S40" s="5317"/>
      <c r="T40" s="5317"/>
      <c r="U40" s="5317"/>
      <c r="V40" s="5317"/>
      <c r="W40" s="5317"/>
      <c r="X40" s="5317"/>
      <c r="Y40" s="5317"/>
      <c r="Z40" s="5317"/>
      <c r="AA40" s="5317"/>
      <c r="AB40" s="5317"/>
      <c r="AC40" s="5317"/>
      <c r="AD40" s="5317"/>
      <c r="AE40" s="5317"/>
      <c r="AF40" s="5317"/>
      <c r="AG40" s="5317"/>
      <c r="AH40" s="5317"/>
    </row>
    <row r="41" spans="1:34" s="3890" customFormat="1" ht="15.6">
      <c r="A41" s="1638"/>
      <c r="B41" s="1638"/>
      <c r="C41" s="4203">
        <v>2019</v>
      </c>
      <c r="D41" s="1636"/>
      <c r="E41" s="7131" t="s">
        <v>2181</v>
      </c>
      <c r="F41" s="7132"/>
      <c r="H41" s="5317"/>
      <c r="I41" s="2110"/>
      <c r="J41" s="5317"/>
      <c r="K41" s="5317"/>
      <c r="L41" s="5317"/>
      <c r="M41" s="5317"/>
      <c r="N41" s="5317"/>
      <c r="O41" s="5317"/>
      <c r="P41" s="5317"/>
      <c r="Q41" s="5317"/>
      <c r="R41" s="5317"/>
      <c r="S41" s="5317"/>
      <c r="T41" s="5317"/>
      <c r="U41" s="5317"/>
      <c r="V41" s="5317"/>
      <c r="W41" s="5317"/>
      <c r="X41" s="5317"/>
      <c r="Y41" s="5317"/>
      <c r="Z41" s="5317"/>
      <c r="AA41" s="5317"/>
      <c r="AB41" s="5317"/>
      <c r="AC41" s="5317"/>
      <c r="AD41" s="5317"/>
      <c r="AE41" s="5317"/>
      <c r="AF41" s="5317"/>
      <c r="AG41" s="5317"/>
      <c r="AH41" s="5317"/>
    </row>
    <row r="42" spans="1:34" s="3890" customFormat="1" ht="24">
      <c r="A42" s="3603" t="s">
        <v>0</v>
      </c>
      <c r="B42" s="3603" t="s">
        <v>1893</v>
      </c>
      <c r="C42" s="3603" t="s">
        <v>1898</v>
      </c>
      <c r="D42" s="3603" t="s">
        <v>2169</v>
      </c>
      <c r="E42" s="3602" t="s">
        <v>907</v>
      </c>
      <c r="F42" s="3601" t="s">
        <v>908</v>
      </c>
      <c r="H42" s="5317"/>
      <c r="I42" s="2110"/>
      <c r="J42" s="5317"/>
      <c r="K42" s="5317"/>
      <c r="L42" s="5317"/>
      <c r="M42" s="5317"/>
      <c r="N42" s="5317"/>
      <c r="O42" s="5317"/>
      <c r="P42" s="5317"/>
      <c r="Q42" s="5317"/>
      <c r="R42" s="5317"/>
      <c r="S42" s="5317"/>
      <c r="T42" s="5317"/>
      <c r="U42" s="5317"/>
      <c r="V42" s="5317"/>
      <c r="W42" s="5317"/>
      <c r="X42" s="5317"/>
      <c r="Y42" s="5317"/>
      <c r="Z42" s="5317"/>
      <c r="AA42" s="5317"/>
      <c r="AB42" s="5317"/>
      <c r="AC42" s="5317"/>
      <c r="AD42" s="5317"/>
      <c r="AE42" s="5317"/>
      <c r="AF42" s="5317"/>
      <c r="AG42" s="5317"/>
      <c r="AH42" s="5317"/>
    </row>
    <row r="43" spans="1:34" s="3890" customFormat="1">
      <c r="A43" s="3594" t="s">
        <v>3</v>
      </c>
      <c r="B43" s="3595">
        <v>2666</v>
      </c>
      <c r="C43" s="3595">
        <v>1391</v>
      </c>
      <c r="D43" s="3596">
        <f>C43*100/B43</f>
        <v>52.175543885971493</v>
      </c>
      <c r="E43" s="3597">
        <v>79.400000000000006</v>
      </c>
      <c r="F43" s="3597">
        <v>20.599999999999998</v>
      </c>
      <c r="H43" s="5317"/>
      <c r="I43" s="2110"/>
      <c r="J43" s="5317"/>
      <c r="K43" s="5317"/>
      <c r="L43" s="5317"/>
      <c r="M43" s="5317"/>
      <c r="N43" s="5317"/>
      <c r="O43" s="5317"/>
      <c r="P43" s="5317"/>
      <c r="Q43" s="5317"/>
      <c r="R43" s="5317"/>
      <c r="S43" s="5317"/>
      <c r="T43" s="5317"/>
      <c r="U43" s="5317"/>
      <c r="V43" s="5317"/>
      <c r="W43" s="5317"/>
      <c r="X43" s="5317"/>
      <c r="Y43" s="5317"/>
      <c r="Z43" s="5317"/>
      <c r="AA43" s="5317"/>
      <c r="AB43" s="5317"/>
      <c r="AC43" s="5317"/>
      <c r="AD43" s="5317"/>
      <c r="AE43" s="5317"/>
      <c r="AF43" s="5317"/>
      <c r="AG43" s="5317"/>
      <c r="AH43" s="5317"/>
    </row>
    <row r="44" spans="1:34" s="3890" customFormat="1">
      <c r="A44" s="3594" t="s">
        <v>25</v>
      </c>
      <c r="B44" s="3595">
        <v>7231</v>
      </c>
      <c r="C44" s="3595">
        <v>3690</v>
      </c>
      <c r="D44" s="3596">
        <f>C44*100/B44</f>
        <v>51.030286267459552</v>
      </c>
      <c r="E44" s="3597">
        <v>75.900000000000006</v>
      </c>
      <c r="F44" s="3597">
        <v>24.099999999999998</v>
      </c>
      <c r="H44" s="5317"/>
      <c r="I44" s="2110"/>
      <c r="J44" s="5317"/>
      <c r="K44" s="5317"/>
      <c r="L44" s="5317"/>
      <c r="M44" s="5317"/>
      <c r="N44" s="5317"/>
      <c r="O44" s="5317"/>
      <c r="P44" s="5317"/>
      <c r="Q44" s="5317"/>
      <c r="R44" s="5317"/>
      <c r="S44" s="5317"/>
      <c r="T44" s="5317"/>
      <c r="U44" s="5317"/>
      <c r="V44" s="5317"/>
      <c r="W44" s="5317"/>
      <c r="X44" s="5317"/>
      <c r="Y44" s="5317"/>
      <c r="Z44" s="5317"/>
      <c r="AA44" s="5317"/>
      <c r="AB44" s="5317"/>
      <c r="AC44" s="5317"/>
      <c r="AD44" s="5317"/>
      <c r="AE44" s="5317"/>
      <c r="AF44" s="5317"/>
      <c r="AG44" s="5317"/>
      <c r="AH44" s="5317"/>
    </row>
    <row r="45" spans="1:34" s="3890" customFormat="1">
      <c r="A45" s="3594" t="s">
        <v>48</v>
      </c>
      <c r="B45" s="3595">
        <v>4254</v>
      </c>
      <c r="C45" s="3595">
        <v>2139</v>
      </c>
      <c r="D45" s="3596">
        <f>C45*100/B45</f>
        <v>50.282087447108601</v>
      </c>
      <c r="E45" s="3597">
        <v>82</v>
      </c>
      <c r="F45" s="3597">
        <v>18</v>
      </c>
      <c r="H45" s="5317"/>
      <c r="I45" s="2110"/>
      <c r="J45" s="5317"/>
      <c r="K45" s="5317"/>
      <c r="L45" s="5317"/>
      <c r="M45" s="5317"/>
      <c r="N45" s="5317"/>
      <c r="O45" s="5317"/>
      <c r="P45" s="5317"/>
      <c r="Q45" s="5317"/>
      <c r="R45" s="5317"/>
      <c r="S45" s="5317"/>
      <c r="T45" s="5317"/>
      <c r="U45" s="5317"/>
      <c r="V45" s="5317"/>
      <c r="W45" s="5317"/>
      <c r="X45" s="5317"/>
      <c r="Y45" s="5317"/>
      <c r="Z45" s="5317"/>
      <c r="AA45" s="5317"/>
      <c r="AB45" s="5317"/>
      <c r="AC45" s="5317"/>
      <c r="AD45" s="5317"/>
      <c r="AE45" s="5317"/>
      <c r="AF45" s="5317"/>
      <c r="AG45" s="5317"/>
      <c r="AH45" s="5317"/>
    </row>
    <row r="46" spans="1:34" s="3890" customFormat="1">
      <c r="A46" s="3594" t="s">
        <v>59</v>
      </c>
      <c r="B46" s="3595">
        <v>222</v>
      </c>
      <c r="C46" s="3595">
        <v>100</v>
      </c>
      <c r="D46" s="3596">
        <f>C46*100/B46</f>
        <v>45.045045045045043</v>
      </c>
      <c r="E46" s="3597">
        <v>76</v>
      </c>
      <c r="F46" s="3597">
        <v>24</v>
      </c>
      <c r="H46" s="5317"/>
      <c r="I46" s="2110"/>
      <c r="J46" s="5317"/>
      <c r="K46" s="5317"/>
      <c r="L46" s="5317"/>
      <c r="M46" s="5317"/>
      <c r="N46" s="5317"/>
      <c r="O46" s="5317"/>
      <c r="P46" s="5317"/>
      <c r="Q46" s="5317"/>
      <c r="R46" s="5317"/>
      <c r="S46" s="5317"/>
      <c r="T46" s="5317"/>
      <c r="U46" s="5317"/>
      <c r="V46" s="5317"/>
      <c r="W46" s="5317"/>
      <c r="X46" s="5317"/>
      <c r="Y46" s="5317"/>
      <c r="Z46" s="5317"/>
      <c r="AA46" s="5317"/>
      <c r="AB46" s="5317"/>
      <c r="AC46" s="5317"/>
      <c r="AD46" s="5317"/>
      <c r="AE46" s="5317"/>
      <c r="AF46" s="5317"/>
      <c r="AG46" s="5317"/>
      <c r="AH46" s="5317"/>
    </row>
    <row r="47" spans="1:34" s="3890" customFormat="1">
      <c r="A47" s="3591" t="s">
        <v>15</v>
      </c>
      <c r="B47" s="3598">
        <f>SUM(B43:B46)</f>
        <v>14373</v>
      </c>
      <c r="C47" s="3598">
        <f>SUM(C43:C46)</f>
        <v>7320</v>
      </c>
      <c r="D47" s="3599">
        <f>C47*100/B47</f>
        <v>50.928824879983303</v>
      </c>
      <c r="E47" s="3602">
        <v>78.400000000000006</v>
      </c>
      <c r="F47" s="3600">
        <v>21.6</v>
      </c>
      <c r="H47" s="5317"/>
      <c r="I47" s="2110"/>
      <c r="J47" s="5317"/>
      <c r="K47" s="5317"/>
      <c r="L47" s="5317"/>
      <c r="M47" s="5317"/>
      <c r="N47" s="5317"/>
      <c r="O47" s="5317"/>
      <c r="P47" s="5317"/>
      <c r="Q47" s="5317"/>
      <c r="R47" s="5317"/>
      <c r="S47" s="5317"/>
      <c r="T47" s="5317"/>
      <c r="U47" s="5317"/>
      <c r="V47" s="5317"/>
      <c r="W47" s="5317"/>
      <c r="X47" s="5317"/>
      <c r="Y47" s="5317"/>
      <c r="Z47" s="5317"/>
      <c r="AA47" s="5317"/>
      <c r="AB47" s="5317"/>
      <c r="AC47" s="5317"/>
      <c r="AD47" s="5317"/>
      <c r="AE47" s="5317"/>
      <c r="AF47" s="5317"/>
      <c r="AG47" s="5317"/>
      <c r="AH47" s="5317"/>
    </row>
    <row r="48" spans="1:34" s="3890" customFormat="1" ht="15.6">
      <c r="A48" s="4189"/>
      <c r="B48" s="4189"/>
      <c r="C48" s="4189"/>
      <c r="D48" s="4189"/>
      <c r="E48" s="1636"/>
      <c r="F48" s="4189"/>
      <c r="G48" s="4189"/>
      <c r="H48" s="5317"/>
      <c r="I48" s="2110"/>
      <c r="J48" s="5317"/>
      <c r="K48" s="5317"/>
      <c r="L48" s="5317"/>
      <c r="M48" s="5317"/>
      <c r="N48" s="5317"/>
      <c r="O48" s="5317"/>
      <c r="P48" s="5317"/>
      <c r="Q48" s="5317"/>
      <c r="R48" s="5317"/>
      <c r="S48" s="5317"/>
      <c r="T48" s="5317"/>
      <c r="U48" s="5317"/>
      <c r="V48" s="5317"/>
      <c r="W48" s="5317"/>
      <c r="X48" s="5317"/>
      <c r="Y48" s="5317"/>
      <c r="Z48" s="5317"/>
      <c r="AA48" s="5317"/>
      <c r="AB48" s="5317"/>
      <c r="AC48" s="5317"/>
      <c r="AD48" s="5317"/>
      <c r="AE48" s="5317"/>
      <c r="AF48" s="5317"/>
      <c r="AG48" s="5317"/>
      <c r="AH48" s="5317"/>
    </row>
    <row r="49" spans="1:34" s="3890" customFormat="1" ht="15.6">
      <c r="A49" s="4189"/>
      <c r="B49" s="4189"/>
      <c r="C49" s="4189"/>
      <c r="D49" s="4189"/>
      <c r="E49" s="1636"/>
      <c r="F49" s="4189"/>
      <c r="G49" s="4189"/>
      <c r="H49" s="5317"/>
      <c r="I49" s="2110"/>
      <c r="J49" s="5317"/>
      <c r="K49" s="5317"/>
      <c r="L49" s="5317"/>
      <c r="M49" s="5317"/>
      <c r="N49" s="5317"/>
      <c r="O49" s="5317"/>
      <c r="P49" s="5317"/>
      <c r="Q49" s="5317"/>
      <c r="R49" s="5317"/>
      <c r="S49" s="5317"/>
      <c r="T49" s="5317"/>
      <c r="U49" s="5317"/>
      <c r="V49" s="5317"/>
      <c r="W49" s="5317"/>
      <c r="X49" s="5317"/>
      <c r="Y49" s="5317"/>
      <c r="Z49" s="5317"/>
      <c r="AA49" s="5317"/>
      <c r="AB49" s="5317"/>
      <c r="AC49" s="5317"/>
      <c r="AD49" s="5317"/>
      <c r="AE49" s="5317"/>
      <c r="AF49" s="5317"/>
      <c r="AG49" s="5317"/>
      <c r="AH49" s="5317"/>
    </row>
    <row r="50" spans="1:34" s="3890" customFormat="1">
      <c r="A50" s="4189"/>
      <c r="B50" s="4189"/>
      <c r="C50" s="4203">
        <v>2018</v>
      </c>
      <c r="D50" s="4189"/>
      <c r="E50" s="7131" t="s">
        <v>2181</v>
      </c>
      <c r="F50" s="7132"/>
      <c r="G50" s="4189"/>
      <c r="H50" s="5317"/>
      <c r="I50" s="2110"/>
      <c r="J50" s="5317"/>
      <c r="K50" s="5317"/>
      <c r="L50" s="5317"/>
      <c r="M50" s="5317"/>
      <c r="N50" s="5317"/>
      <c r="O50" s="5317"/>
      <c r="P50" s="5317"/>
      <c r="Q50" s="5317"/>
      <c r="R50" s="5317"/>
      <c r="S50" s="5317"/>
      <c r="T50" s="5317"/>
      <c r="U50" s="5317"/>
      <c r="V50" s="5317"/>
      <c r="W50" s="5317"/>
      <c r="X50" s="5317"/>
      <c r="Y50" s="5317"/>
      <c r="Z50" s="5317"/>
      <c r="AA50" s="5317"/>
      <c r="AB50" s="5317"/>
      <c r="AC50" s="5317"/>
      <c r="AD50" s="5317"/>
      <c r="AE50" s="5317"/>
      <c r="AF50" s="5317"/>
      <c r="AG50" s="5317"/>
      <c r="AH50" s="5317"/>
    </row>
    <row r="51" spans="1:34" s="3890" customFormat="1" ht="24">
      <c r="A51" s="2561" t="s">
        <v>1897</v>
      </c>
      <c r="B51" s="2561" t="s">
        <v>1893</v>
      </c>
      <c r="C51" s="2561" t="s">
        <v>1898</v>
      </c>
      <c r="D51" s="2561" t="s">
        <v>2169</v>
      </c>
      <c r="E51" s="1839" t="s">
        <v>907</v>
      </c>
      <c r="F51" s="2562" t="s">
        <v>908</v>
      </c>
      <c r="G51" s="4189"/>
      <c r="H51" s="5317"/>
      <c r="I51" s="2110"/>
      <c r="J51" s="5317"/>
      <c r="K51" s="5317"/>
      <c r="L51" s="5317"/>
      <c r="M51" s="5317"/>
      <c r="N51" s="5317"/>
      <c r="O51" s="5317"/>
      <c r="P51" s="5317"/>
      <c r="Q51" s="5317"/>
      <c r="R51" s="5317"/>
      <c r="S51" s="5317"/>
      <c r="T51" s="5317"/>
      <c r="U51" s="5317"/>
      <c r="V51" s="5317"/>
      <c r="W51" s="5317"/>
      <c r="X51" s="5317"/>
      <c r="Y51" s="5317"/>
      <c r="Z51" s="5317"/>
      <c r="AA51" s="5317"/>
      <c r="AB51" s="5317"/>
      <c r="AC51" s="5317"/>
      <c r="AD51" s="5317"/>
      <c r="AE51" s="5317"/>
      <c r="AF51" s="5317"/>
      <c r="AG51" s="5317"/>
      <c r="AH51" s="5317"/>
    </row>
    <row r="52" spans="1:34" s="3890" customFormat="1">
      <c r="A52" s="2571" t="s">
        <v>3</v>
      </c>
      <c r="B52" s="2571">
        <v>2545</v>
      </c>
      <c r="C52" s="2572">
        <v>1239</v>
      </c>
      <c r="D52" s="2573">
        <v>48.683693516699414</v>
      </c>
      <c r="E52" s="2574">
        <v>0.80145278450363189</v>
      </c>
      <c r="F52" s="2574">
        <v>0.19854721549636803</v>
      </c>
      <c r="G52" s="4189"/>
      <c r="H52" s="5317"/>
      <c r="I52" s="2110"/>
      <c r="J52" s="5317"/>
      <c r="K52" s="5317"/>
      <c r="L52" s="5317"/>
      <c r="M52" s="5317"/>
      <c r="N52" s="5317"/>
      <c r="O52" s="5317"/>
      <c r="P52" s="5317"/>
      <c r="Q52" s="5317"/>
      <c r="R52" s="5317"/>
      <c r="S52" s="5317"/>
      <c r="T52" s="5317"/>
      <c r="U52" s="5317"/>
      <c r="V52" s="5317"/>
      <c r="W52" s="5317"/>
      <c r="X52" s="5317"/>
      <c r="Y52" s="5317"/>
      <c r="Z52" s="5317"/>
      <c r="AA52" s="5317"/>
      <c r="AB52" s="5317"/>
      <c r="AC52" s="5317"/>
      <c r="AD52" s="5317"/>
      <c r="AE52" s="5317"/>
      <c r="AF52" s="5317"/>
      <c r="AG52" s="5317"/>
      <c r="AH52" s="5317"/>
    </row>
    <row r="53" spans="1:34" s="3890" customFormat="1">
      <c r="A53" s="2577" t="s">
        <v>25</v>
      </c>
      <c r="B53" s="2577">
        <v>6728</v>
      </c>
      <c r="C53" s="2578">
        <v>3228</v>
      </c>
      <c r="D53" s="2579">
        <v>47.978596908442327</v>
      </c>
      <c r="E53" s="2580">
        <v>0.75512075817792723</v>
      </c>
      <c r="F53" s="2580">
        <v>0.24487924182207277</v>
      </c>
      <c r="G53" s="4189"/>
      <c r="H53" s="5317"/>
      <c r="I53" s="2110"/>
      <c r="J53" s="5317"/>
      <c r="K53" s="5317"/>
      <c r="L53" s="5317"/>
      <c r="M53" s="5317"/>
      <c r="N53" s="5317"/>
      <c r="O53" s="5317"/>
      <c r="P53" s="5317"/>
      <c r="Q53" s="5317"/>
      <c r="R53" s="5317"/>
      <c r="S53" s="5317"/>
      <c r="T53" s="5317"/>
      <c r="U53" s="5317"/>
      <c r="V53" s="5317"/>
      <c r="W53" s="5317"/>
      <c r="X53" s="5317"/>
      <c r="Y53" s="5317"/>
      <c r="Z53" s="5317"/>
      <c r="AA53" s="5317"/>
      <c r="AB53" s="5317"/>
      <c r="AC53" s="5317"/>
      <c r="AD53" s="5317"/>
      <c r="AE53" s="5317"/>
      <c r="AF53" s="5317"/>
      <c r="AG53" s="5317"/>
      <c r="AH53" s="5317"/>
    </row>
    <row r="54" spans="1:34" s="3890" customFormat="1">
      <c r="A54" s="2577" t="s">
        <v>48</v>
      </c>
      <c r="B54" s="2577">
        <v>4210</v>
      </c>
      <c r="C54" s="2578">
        <v>2042</v>
      </c>
      <c r="D54" s="2579">
        <v>48.503562945368174</v>
      </c>
      <c r="E54" s="2580">
        <v>0.82479919678714864</v>
      </c>
      <c r="F54" s="2580">
        <v>0.17520080321285139</v>
      </c>
      <c r="G54" s="4189"/>
      <c r="H54" s="5317"/>
      <c r="I54" s="2110"/>
      <c r="J54" s="5317"/>
      <c r="K54" s="5317"/>
      <c r="L54" s="5317"/>
      <c r="M54" s="5317"/>
      <c r="N54" s="5317"/>
      <c r="O54" s="5317"/>
      <c r="P54" s="5317"/>
      <c r="Q54" s="5317"/>
      <c r="R54" s="5317"/>
      <c r="S54" s="5317"/>
      <c r="T54" s="5317"/>
      <c r="U54" s="5317"/>
      <c r="V54" s="5317"/>
      <c r="W54" s="5317"/>
      <c r="X54" s="5317"/>
      <c r="Y54" s="5317"/>
      <c r="Z54" s="5317"/>
      <c r="AA54" s="5317"/>
      <c r="AB54" s="5317"/>
      <c r="AC54" s="5317"/>
      <c r="AD54" s="5317"/>
      <c r="AE54" s="5317"/>
      <c r="AF54" s="5317"/>
      <c r="AG54" s="5317"/>
      <c r="AH54" s="5317"/>
    </row>
    <row r="55" spans="1:34" s="3890" customFormat="1">
      <c r="A55" s="2583" t="s">
        <v>59</v>
      </c>
      <c r="B55" s="2583">
        <v>180</v>
      </c>
      <c r="C55" s="2584">
        <v>62</v>
      </c>
      <c r="D55" s="2585">
        <v>34.444444444444443</v>
      </c>
      <c r="E55" s="2586">
        <v>0.72131147540983609</v>
      </c>
      <c r="F55" s="2586">
        <v>0.27868852459016397</v>
      </c>
      <c r="G55" s="4189"/>
      <c r="H55" s="5317"/>
      <c r="I55" s="2110"/>
      <c r="J55" s="5317"/>
      <c r="K55" s="5317"/>
      <c r="L55" s="5317"/>
      <c r="M55" s="5317"/>
      <c r="N55" s="5317"/>
      <c r="O55" s="5317"/>
      <c r="P55" s="5317"/>
      <c r="Q55" s="5317"/>
      <c r="R55" s="5317"/>
      <c r="S55" s="5317"/>
      <c r="T55" s="5317"/>
      <c r="U55" s="5317"/>
      <c r="V55" s="5317"/>
      <c r="W55" s="5317"/>
      <c r="X55" s="5317"/>
      <c r="Y55" s="5317"/>
      <c r="Z55" s="5317"/>
      <c r="AA55" s="5317"/>
      <c r="AB55" s="5317"/>
      <c r="AC55" s="5317"/>
      <c r="AD55" s="5317"/>
      <c r="AE55" s="5317"/>
      <c r="AF55" s="5317"/>
      <c r="AG55" s="5317"/>
      <c r="AH55" s="5317"/>
    </row>
    <row r="56" spans="1:34" s="3890" customFormat="1">
      <c r="A56" s="2561" t="s">
        <v>15</v>
      </c>
      <c r="B56" s="2561">
        <v>13663</v>
      </c>
      <c r="C56" s="2566">
        <v>6571</v>
      </c>
      <c r="D56" s="2567">
        <v>48.093390909756273</v>
      </c>
      <c r="E56" s="1840">
        <v>0.78470211793387168</v>
      </c>
      <c r="F56" s="2568">
        <v>0.21529788206612829</v>
      </c>
      <c r="G56" s="4189"/>
      <c r="H56" s="5317"/>
      <c r="I56" s="2110"/>
      <c r="J56" s="5317"/>
      <c r="K56" s="5317"/>
      <c r="L56" s="5317"/>
      <c r="M56" s="5317"/>
      <c r="N56" s="5317"/>
      <c r="O56" s="5317"/>
      <c r="P56" s="5317"/>
      <c r="Q56" s="5317"/>
      <c r="R56" s="5317"/>
      <c r="S56" s="5317"/>
      <c r="T56" s="5317"/>
      <c r="U56" s="5317"/>
      <c r="V56" s="5317"/>
      <c r="W56" s="5317"/>
      <c r="X56" s="5317"/>
      <c r="Y56" s="5317"/>
      <c r="Z56" s="5317"/>
      <c r="AA56" s="5317"/>
      <c r="AB56" s="5317"/>
      <c r="AC56" s="5317"/>
      <c r="AD56" s="5317"/>
      <c r="AE56" s="5317"/>
      <c r="AF56" s="5317"/>
      <c r="AG56" s="5317"/>
      <c r="AH56" s="5317"/>
    </row>
    <row r="57" spans="1:34" s="3890" customFormat="1">
      <c r="A57" s="4189"/>
      <c r="B57" s="4189"/>
      <c r="C57" s="4189"/>
      <c r="D57" s="4189"/>
      <c r="E57" s="4189"/>
      <c r="F57" s="4189"/>
      <c r="G57" s="4189"/>
      <c r="H57" s="5317"/>
      <c r="I57" s="2110"/>
      <c r="J57" s="5317"/>
      <c r="K57" s="5317"/>
      <c r="L57" s="5317"/>
      <c r="M57" s="5317"/>
      <c r="N57" s="5317"/>
      <c r="O57" s="5317"/>
      <c r="P57" s="5317"/>
      <c r="Q57" s="5317"/>
      <c r="R57" s="5317"/>
      <c r="S57" s="5317"/>
      <c r="T57" s="5317"/>
      <c r="U57" s="5317"/>
      <c r="V57" s="5317"/>
      <c r="W57" s="5317"/>
      <c r="X57" s="5317"/>
      <c r="Y57" s="5317"/>
      <c r="Z57" s="5317"/>
      <c r="AA57" s="5317"/>
      <c r="AB57" s="5317"/>
      <c r="AC57" s="5317"/>
      <c r="AD57" s="5317"/>
      <c r="AE57" s="5317"/>
      <c r="AF57" s="5317"/>
      <c r="AG57" s="5317"/>
      <c r="AH57" s="5317"/>
    </row>
    <row r="58" spans="1:34" s="3890" customFormat="1">
      <c r="A58" s="4189"/>
      <c r="B58" s="4189"/>
      <c r="C58" s="4189"/>
      <c r="D58" s="4189"/>
      <c r="E58" s="4189"/>
      <c r="F58" s="4189"/>
      <c r="G58" s="4189"/>
      <c r="H58" s="5317"/>
      <c r="I58" s="2110"/>
      <c r="J58" s="5317"/>
      <c r="K58" s="5317"/>
      <c r="L58" s="5317"/>
      <c r="M58" s="5317"/>
      <c r="N58" s="5317"/>
      <c r="O58" s="5317"/>
      <c r="P58" s="5317"/>
      <c r="Q58" s="5317"/>
      <c r="R58" s="5317"/>
      <c r="S58" s="5317"/>
      <c r="T58" s="5317"/>
      <c r="U58" s="5317"/>
      <c r="V58" s="5317"/>
      <c r="W58" s="5317"/>
      <c r="X58" s="5317"/>
      <c r="Y58" s="5317"/>
      <c r="Z58" s="5317"/>
      <c r="AA58" s="5317"/>
      <c r="AB58" s="5317"/>
      <c r="AC58" s="5317"/>
      <c r="AD58" s="5317"/>
      <c r="AE58" s="5317"/>
      <c r="AF58" s="5317"/>
      <c r="AG58" s="5317"/>
      <c r="AH58" s="5317"/>
    </row>
    <row r="59" spans="1:34" s="3890" customFormat="1">
      <c r="A59" s="4189"/>
      <c r="B59" s="4189"/>
      <c r="C59" s="4203">
        <v>2017</v>
      </c>
      <c r="D59" s="4189"/>
      <c r="E59" s="7131" t="s">
        <v>2181</v>
      </c>
      <c r="F59" s="7132"/>
      <c r="G59" s="4189"/>
      <c r="H59" s="5317"/>
      <c r="I59" s="2110"/>
      <c r="J59" s="5317"/>
      <c r="K59" s="5317"/>
      <c r="L59" s="5317"/>
      <c r="M59" s="5317"/>
      <c r="N59" s="5317"/>
      <c r="O59" s="5317"/>
      <c r="P59" s="5317"/>
      <c r="Q59" s="5317"/>
      <c r="R59" s="5317"/>
      <c r="S59" s="5317"/>
      <c r="T59" s="5317"/>
      <c r="U59" s="5317"/>
      <c r="V59" s="5317"/>
      <c r="W59" s="5317"/>
      <c r="X59" s="5317"/>
      <c r="Y59" s="5317"/>
      <c r="Z59" s="5317"/>
      <c r="AA59" s="5317"/>
      <c r="AB59" s="5317"/>
      <c r="AC59" s="5317"/>
      <c r="AD59" s="5317"/>
      <c r="AE59" s="5317"/>
      <c r="AF59" s="5317"/>
      <c r="AG59" s="5317"/>
      <c r="AH59" s="5317"/>
    </row>
    <row r="60" spans="1:34" s="3890" customFormat="1" ht="24">
      <c r="A60" s="1658" t="s">
        <v>1897</v>
      </c>
      <c r="B60" s="1658" t="s">
        <v>1893</v>
      </c>
      <c r="C60" s="1658" t="s">
        <v>1898</v>
      </c>
      <c r="D60" s="1658" t="s">
        <v>2169</v>
      </c>
      <c r="E60" s="1635" t="s">
        <v>907</v>
      </c>
      <c r="F60" s="1635" t="s">
        <v>908</v>
      </c>
      <c r="G60" s="4189"/>
      <c r="H60" s="5317"/>
      <c r="I60" s="2110"/>
      <c r="J60" s="5317"/>
      <c r="K60" s="5317"/>
      <c r="L60" s="5317"/>
      <c r="M60" s="5317"/>
      <c r="N60" s="5317"/>
      <c r="O60" s="5317"/>
      <c r="P60" s="5317"/>
      <c r="Q60" s="5317"/>
      <c r="R60" s="5317"/>
      <c r="S60" s="5317"/>
      <c r="T60" s="5317"/>
      <c r="U60" s="5317"/>
      <c r="V60" s="5317"/>
      <c r="W60" s="5317"/>
      <c r="X60" s="5317"/>
      <c r="Y60" s="5317"/>
      <c r="Z60" s="5317"/>
      <c r="AA60" s="5317"/>
      <c r="AB60" s="5317"/>
      <c r="AC60" s="5317"/>
      <c r="AD60" s="5317"/>
      <c r="AE60" s="5317"/>
      <c r="AF60" s="5317"/>
      <c r="AG60" s="5317"/>
      <c r="AH60" s="5317"/>
    </row>
    <row r="61" spans="1:34" s="3890" customFormat="1">
      <c r="A61" s="2571" t="s">
        <v>3</v>
      </c>
      <c r="B61" s="2571">
        <v>2346</v>
      </c>
      <c r="C61" s="2572">
        <v>1117</v>
      </c>
      <c r="D61" s="2573">
        <v>47.612958226768967</v>
      </c>
      <c r="E61" s="2574">
        <v>79.3</v>
      </c>
      <c r="F61" s="2574">
        <v>20.7</v>
      </c>
      <c r="G61" s="4189"/>
      <c r="H61" s="5317"/>
      <c r="I61" s="2110"/>
      <c r="J61" s="5317"/>
      <c r="K61" s="5317"/>
      <c r="L61" s="5317"/>
      <c r="M61" s="5317"/>
      <c r="N61" s="5317"/>
      <c r="O61" s="5317"/>
      <c r="P61" s="5317"/>
      <c r="Q61" s="5317"/>
      <c r="R61" s="5317"/>
      <c r="S61" s="5317"/>
      <c r="T61" s="5317"/>
      <c r="U61" s="5317"/>
      <c r="V61" s="5317"/>
      <c r="W61" s="5317"/>
      <c r="X61" s="5317"/>
      <c r="Y61" s="5317"/>
      <c r="Z61" s="5317"/>
      <c r="AA61" s="5317"/>
      <c r="AB61" s="5317"/>
      <c r="AC61" s="5317"/>
      <c r="AD61" s="5317"/>
      <c r="AE61" s="5317"/>
      <c r="AF61" s="5317"/>
      <c r="AG61" s="5317"/>
      <c r="AH61" s="5317"/>
    </row>
    <row r="62" spans="1:34" s="3890" customFormat="1">
      <c r="A62" s="2577" t="s">
        <v>59</v>
      </c>
      <c r="B62" s="2577">
        <v>124</v>
      </c>
      <c r="C62" s="2578">
        <v>61</v>
      </c>
      <c r="D62" s="2579">
        <v>49.193548387096776</v>
      </c>
      <c r="E62" s="2580">
        <v>72.099999999999994</v>
      </c>
      <c r="F62" s="2580">
        <v>27.9</v>
      </c>
      <c r="G62" s="4189"/>
      <c r="H62" s="5317"/>
      <c r="I62" s="2110"/>
      <c r="J62" s="5317"/>
      <c r="K62" s="5317"/>
      <c r="L62" s="5317"/>
      <c r="M62" s="5317"/>
      <c r="N62" s="5317"/>
      <c r="O62" s="5317"/>
      <c r="P62" s="5317"/>
      <c r="Q62" s="5317"/>
      <c r="R62" s="5317"/>
      <c r="S62" s="5317"/>
      <c r="T62"/>
      <c r="U62"/>
      <c r="V62"/>
      <c r="W62"/>
      <c r="X62"/>
      <c r="Y62"/>
      <c r="Z62"/>
      <c r="AA62"/>
      <c r="AB62"/>
      <c r="AC62"/>
      <c r="AD62"/>
      <c r="AE62"/>
      <c r="AF62"/>
      <c r="AG62"/>
      <c r="AH62"/>
    </row>
    <row r="63" spans="1:34" s="3890" customFormat="1" ht="18">
      <c r="A63" s="2577" t="s">
        <v>25</v>
      </c>
      <c r="B63" s="2577">
        <v>6485</v>
      </c>
      <c r="C63" s="2578">
        <v>3057</v>
      </c>
      <c r="D63" s="2579">
        <v>47.139552814186587</v>
      </c>
      <c r="E63" s="2580">
        <v>75.8</v>
      </c>
      <c r="F63" s="2580">
        <v>24.2</v>
      </c>
      <c r="G63" s="4189"/>
      <c r="H63"/>
      <c r="I63" s="119"/>
      <c r="J63" s="94"/>
      <c r="K63" s="94"/>
      <c r="L63" s="94"/>
      <c r="M63" s="94"/>
      <c r="N63" s="94"/>
      <c r="O63" s="88"/>
      <c r="P63"/>
      <c r="Q63"/>
      <c r="R63"/>
      <c r="S63"/>
      <c r="T63" s="1637"/>
      <c r="U63" s="1637"/>
      <c r="V63" s="1637"/>
      <c r="W63"/>
      <c r="X63"/>
      <c r="Y63"/>
      <c r="Z63"/>
      <c r="AA63"/>
      <c r="AB63"/>
      <c r="AC63"/>
      <c r="AD63"/>
      <c r="AE63"/>
      <c r="AF63"/>
      <c r="AG63"/>
      <c r="AH63"/>
    </row>
    <row r="64" spans="1:34" s="3890" customFormat="1" ht="15.6">
      <c r="A64" s="2583" t="s">
        <v>48</v>
      </c>
      <c r="B64" s="2583">
        <v>3649</v>
      </c>
      <c r="C64" s="2584">
        <v>1670</v>
      </c>
      <c r="D64" s="2585">
        <v>45.765963277610304</v>
      </c>
      <c r="E64" s="2586">
        <v>83.1</v>
      </c>
      <c r="F64" s="2586">
        <v>16.899999999999999</v>
      </c>
      <c r="G64" s="4189"/>
      <c r="H64" s="18" t="s">
        <v>919</v>
      </c>
      <c r="I64"/>
      <c r="J64"/>
      <c r="K64" s="218"/>
      <c r="L64" s="3889"/>
      <c r="M64" s="218"/>
      <c r="N64" s="218"/>
      <c r="O64" s="218"/>
      <c r="P64" s="218"/>
      <c r="Q64" s="1636"/>
      <c r="R64" s="1636"/>
      <c r="S64" s="1637"/>
      <c r="T64" s="1834"/>
      <c r="U64" s="1834"/>
      <c r="V64" s="1834"/>
      <c r="W64" s="1834"/>
      <c r="X64" s="1834"/>
      <c r="Y64" s="1834"/>
      <c r="Z64" s="1834"/>
      <c r="AA64" s="1834"/>
      <c r="AB64" s="1834"/>
      <c r="AC64" s="1834"/>
      <c r="AD64" s="1834"/>
      <c r="AE64" s="1834"/>
      <c r="AF64" s="1834"/>
      <c r="AG64" s="1834"/>
      <c r="AH64" s="1834"/>
    </row>
    <row r="65" spans="1:34" s="3890" customFormat="1" ht="21">
      <c r="A65" s="2561" t="s">
        <v>15</v>
      </c>
      <c r="B65" s="2561">
        <v>12604</v>
      </c>
      <c r="C65" s="2566">
        <v>5905</v>
      </c>
      <c r="D65" s="2567">
        <v>46.850206283719452</v>
      </c>
      <c r="E65" s="1840">
        <v>78.599999999999994</v>
      </c>
      <c r="F65" s="2568">
        <v>21.4</v>
      </c>
      <c r="G65" s="4189"/>
      <c r="H65" s="3971"/>
      <c r="I65" s="3971"/>
      <c r="J65" s="3972">
        <v>2020</v>
      </c>
      <c r="K65" s="3973"/>
      <c r="L65" s="3973"/>
      <c r="M65" s="3973"/>
      <c r="N65" s="3973"/>
      <c r="O65" s="3973"/>
      <c r="P65" s="3973"/>
      <c r="Q65" s="1834"/>
      <c r="R65" s="1834"/>
      <c r="S65" s="1834"/>
      <c r="T65" s="1834"/>
      <c r="U65" s="1834"/>
      <c r="V65" s="1834"/>
      <c r="W65" s="1834"/>
      <c r="X65" s="1834"/>
      <c r="Y65" s="1834"/>
      <c r="Z65" s="1834"/>
      <c r="AA65" s="1834"/>
      <c r="AB65" s="1834"/>
      <c r="AC65" s="1834"/>
      <c r="AD65" s="1834"/>
      <c r="AE65" s="1834"/>
      <c r="AF65" s="1834"/>
      <c r="AG65" s="1834"/>
      <c r="AH65" s="1834"/>
    </row>
    <row r="66" spans="1:34" s="3890" customFormat="1">
      <c r="A66" s="4189"/>
      <c r="B66" s="4189"/>
      <c r="C66" s="4189"/>
      <c r="D66" s="4189"/>
      <c r="E66" s="4189"/>
      <c r="F66" s="4189"/>
      <c r="G66" s="4189"/>
      <c r="H66" s="7136" t="s">
        <v>2520</v>
      </c>
      <c r="I66" s="7136"/>
      <c r="J66" s="7136"/>
      <c r="K66" s="7136"/>
      <c r="L66" s="7136"/>
      <c r="M66" s="7136"/>
      <c r="N66" s="7136"/>
      <c r="O66" s="7136"/>
      <c r="P66" s="7136"/>
      <c r="Q66" s="1834"/>
      <c r="R66" s="1834"/>
      <c r="S66" s="1834"/>
      <c r="T66" s="1834"/>
      <c r="U66" s="1834"/>
      <c r="V66" s="1834"/>
      <c r="W66" s="1834"/>
      <c r="X66" s="1834"/>
      <c r="Y66" s="1834"/>
      <c r="Z66" s="1834"/>
      <c r="AA66" s="1834"/>
      <c r="AB66" s="1834"/>
      <c r="AC66" s="1834"/>
      <c r="AD66" s="1834"/>
      <c r="AE66" s="1834"/>
      <c r="AF66" s="1834"/>
      <c r="AG66" s="1834"/>
      <c r="AH66" s="1834"/>
    </row>
    <row r="67" spans="1:34" s="3890" customFormat="1">
      <c r="A67" s="4189"/>
      <c r="B67" s="4189"/>
      <c r="C67" s="4189"/>
      <c r="D67" s="4189"/>
      <c r="E67" s="4189"/>
      <c r="F67" s="4189"/>
      <c r="G67" s="4189"/>
      <c r="H67" s="7136"/>
      <c r="I67" s="7136"/>
      <c r="J67" s="7136"/>
      <c r="K67" s="7136"/>
      <c r="L67" s="7136"/>
      <c r="M67" s="7136"/>
      <c r="N67" s="7136"/>
      <c r="O67" s="7136"/>
      <c r="P67" s="7136"/>
      <c r="Q67" s="1834"/>
      <c r="R67" s="1834"/>
      <c r="S67" s="1834"/>
      <c r="T67" s="1834"/>
      <c r="U67" s="1834"/>
      <c r="V67" s="1834"/>
      <c r="W67" s="1834"/>
      <c r="X67" s="1834"/>
      <c r="Y67" s="1834"/>
      <c r="Z67" s="1834"/>
      <c r="AA67" s="1834"/>
      <c r="AB67" s="1834"/>
      <c r="AC67" s="1834"/>
      <c r="AD67" s="1834"/>
      <c r="AE67" s="1834"/>
      <c r="AF67" s="1834"/>
      <c r="AG67" s="1834"/>
      <c r="AH67" s="1834"/>
    </row>
    <row r="68" spans="1:34" s="3890" customFormat="1">
      <c r="A68" s="4189"/>
      <c r="B68" s="4189"/>
      <c r="C68" s="4189"/>
      <c r="D68" s="4189"/>
      <c r="E68" s="4203">
        <v>2016</v>
      </c>
      <c r="F68" s="4189"/>
      <c r="G68" s="4189"/>
      <c r="H68" s="7136"/>
      <c r="I68" s="7136"/>
      <c r="J68" s="7136"/>
      <c r="K68" s="7136"/>
      <c r="L68" s="7136"/>
      <c r="M68" s="7136"/>
      <c r="N68" s="7136"/>
      <c r="O68" s="7136"/>
      <c r="P68" s="7136"/>
      <c r="Q68" s="1834"/>
      <c r="R68" s="1834"/>
      <c r="S68" s="1834"/>
      <c r="T68" s="1834"/>
      <c r="U68" s="1834"/>
      <c r="V68" s="1834"/>
      <c r="W68" s="1834"/>
      <c r="X68" s="1834"/>
      <c r="Y68" s="1834"/>
      <c r="Z68" s="1834"/>
      <c r="AA68" s="1834"/>
      <c r="AB68" s="1834"/>
      <c r="AC68" s="1834"/>
      <c r="AD68" s="1834"/>
      <c r="AE68" s="1834"/>
      <c r="AF68" s="1834"/>
      <c r="AG68" s="1834"/>
      <c r="AH68" s="1834"/>
    </row>
    <row r="69" spans="1:34" s="3890" customFormat="1" ht="26.4">
      <c r="C69" s="4189"/>
      <c r="D69" s="4189"/>
      <c r="E69" s="1550" t="s">
        <v>905</v>
      </c>
      <c r="F69" s="1514" t="s">
        <v>101</v>
      </c>
      <c r="G69" s="4189"/>
      <c r="H69" s="7136"/>
      <c r="I69" s="7136"/>
      <c r="J69" s="7136"/>
      <c r="K69" s="7136"/>
      <c r="L69" s="7136"/>
      <c r="M69" s="7136"/>
      <c r="N69" s="7136"/>
      <c r="O69" s="7136"/>
      <c r="P69" s="7136"/>
      <c r="Q69" s="1834"/>
      <c r="R69" s="1834"/>
      <c r="S69" s="1834"/>
      <c r="T69" s="1834"/>
      <c r="U69" s="1834"/>
      <c r="V69" s="1834"/>
      <c r="W69" s="1834"/>
      <c r="X69" s="1834"/>
      <c r="Y69" s="1834"/>
      <c r="Z69" s="1834"/>
      <c r="AA69" s="1834"/>
      <c r="AB69" s="1834"/>
      <c r="AC69" s="1834"/>
      <c r="AD69" s="1834"/>
      <c r="AE69" s="1834"/>
      <c r="AF69" s="1834"/>
      <c r="AG69" s="1834"/>
      <c r="AH69" s="1834"/>
    </row>
    <row r="70" spans="1:34" s="3890" customFormat="1" ht="15.6">
      <c r="C70" s="4189"/>
      <c r="D70" s="4189"/>
      <c r="E70" s="1551" t="s">
        <v>907</v>
      </c>
      <c r="F70" s="1549">
        <v>79.52</v>
      </c>
      <c r="G70" s="4189"/>
      <c r="H70" s="3975" t="s">
        <v>2610</v>
      </c>
      <c r="I70" s="3974"/>
      <c r="J70" s="3974"/>
      <c r="K70" s="3974"/>
      <c r="L70" s="3974"/>
      <c r="M70" s="3974"/>
      <c r="N70" s="3974"/>
      <c r="O70" s="3974"/>
      <c r="P70" s="3974"/>
      <c r="Q70" s="1834"/>
      <c r="R70" s="1834"/>
      <c r="S70" s="1834"/>
      <c r="T70" s="1834"/>
      <c r="U70" s="1834"/>
      <c r="V70" s="1834"/>
      <c r="W70" s="1834"/>
      <c r="X70" s="1834"/>
      <c r="Y70" s="1834"/>
      <c r="Z70" s="1834"/>
      <c r="AA70" s="7142" t="s">
        <v>2611</v>
      </c>
      <c r="AB70" s="7142"/>
      <c r="AC70" s="7142"/>
      <c r="AD70" s="7142"/>
      <c r="AE70" s="7142"/>
      <c r="AF70" s="7142"/>
      <c r="AG70" s="7142"/>
      <c r="AH70" s="7142"/>
    </row>
    <row r="71" spans="1:34" s="3890" customFormat="1" ht="15.6">
      <c r="C71" s="4189"/>
      <c r="D71" s="4189"/>
      <c r="E71" s="1536" t="s">
        <v>908</v>
      </c>
      <c r="F71" s="1537">
        <v>20.48</v>
      </c>
      <c r="G71" s="4189"/>
      <c r="H71" s="3975" t="s">
        <v>2180</v>
      </c>
      <c r="I71" s="3974"/>
      <c r="J71" s="3974"/>
      <c r="K71" s="3974"/>
      <c r="L71" s="3974"/>
      <c r="M71" s="3974"/>
      <c r="N71" s="3974"/>
      <c r="O71" s="3974"/>
      <c r="P71" s="3974"/>
      <c r="Q71" s="1834"/>
      <c r="R71" s="1834"/>
      <c r="S71" s="1834"/>
      <c r="T71" s="1834"/>
      <c r="U71" s="1834"/>
      <c r="V71" s="1834"/>
      <c r="W71" s="1834"/>
      <c r="X71" s="1834"/>
      <c r="Y71" s="1834"/>
      <c r="Z71" s="3981"/>
      <c r="AA71" s="7142"/>
      <c r="AB71" s="7142"/>
      <c r="AC71" s="7142"/>
      <c r="AD71" s="7142"/>
      <c r="AE71" s="7142"/>
      <c r="AF71" s="7142"/>
      <c r="AG71" s="7142"/>
      <c r="AH71" s="7142"/>
    </row>
    <row r="72" spans="1:34" s="3890" customFormat="1">
      <c r="C72" s="4189"/>
      <c r="D72" s="4189"/>
      <c r="E72" s="1514" t="s">
        <v>15</v>
      </c>
      <c r="F72" s="1514">
        <f>SUM(F70:F71)</f>
        <v>100</v>
      </c>
      <c r="G72" s="4189"/>
      <c r="H72" s="3979"/>
      <c r="I72" s="3979"/>
      <c r="J72" s="3980"/>
      <c r="K72" s="3980"/>
      <c r="L72" s="3980"/>
      <c r="M72" s="7145" t="s">
        <v>2181</v>
      </c>
      <c r="N72" s="7146"/>
      <c r="O72" s="7137" t="s">
        <v>1319</v>
      </c>
      <c r="P72" s="7138"/>
      <c r="Q72" s="7138"/>
      <c r="R72" s="7138"/>
      <c r="S72" s="7139"/>
      <c r="T72" s="1834"/>
      <c r="U72" s="1834"/>
      <c r="V72" s="1834"/>
      <c r="W72" s="1834"/>
      <c r="X72" s="1834"/>
      <c r="Y72" s="1834"/>
      <c r="Z72" s="3981"/>
      <c r="AA72" s="3983" t="s">
        <v>2612</v>
      </c>
      <c r="AB72" s="3981"/>
      <c r="AC72" s="3981"/>
      <c r="AD72" s="3981"/>
      <c r="AE72" s="3981"/>
      <c r="AF72" s="3981"/>
      <c r="AG72" s="3981"/>
      <c r="AH72" s="3981"/>
    </row>
    <row r="73" spans="1:34" s="3890" customFormat="1">
      <c r="A73" s="4189"/>
      <c r="B73" s="4189"/>
      <c r="C73" s="4189"/>
      <c r="D73" s="4189"/>
      <c r="E73" s="4189"/>
      <c r="F73" s="4189"/>
      <c r="G73" s="4189"/>
      <c r="H73" s="3969" t="s">
        <v>0</v>
      </c>
      <c r="I73" s="3969" t="s">
        <v>1893</v>
      </c>
      <c r="J73" s="3969" t="s">
        <v>1898</v>
      </c>
      <c r="K73" s="3969" t="s">
        <v>2169</v>
      </c>
      <c r="L73" s="3969"/>
      <c r="M73" s="3960" t="s">
        <v>907</v>
      </c>
      <c r="N73" s="3959" t="s">
        <v>908</v>
      </c>
      <c r="O73" s="3961" t="s">
        <v>1320</v>
      </c>
      <c r="P73" s="3961" t="s">
        <v>1321</v>
      </c>
      <c r="Q73" s="3962" t="s">
        <v>2182</v>
      </c>
      <c r="R73" s="3961" t="s">
        <v>1323</v>
      </c>
      <c r="S73" s="3982" t="s">
        <v>15</v>
      </c>
      <c r="T73" s="1834"/>
      <c r="U73" s="1834"/>
      <c r="V73" s="1834"/>
      <c r="W73" s="1834"/>
      <c r="X73" s="1834"/>
      <c r="Y73" s="1834"/>
      <c r="Z73" s="3981"/>
      <c r="AA73" s="3987" t="s">
        <v>2613</v>
      </c>
      <c r="AB73" s="3987"/>
      <c r="AC73" s="7147" t="s">
        <v>2614</v>
      </c>
      <c r="AD73" s="7148"/>
      <c r="AE73" s="7148"/>
      <c r="AF73" s="7148"/>
      <c r="AG73" s="7148"/>
      <c r="AH73" s="3988" t="s">
        <v>15</v>
      </c>
    </row>
    <row r="74" spans="1:34" s="3890" customFormat="1" ht="24">
      <c r="A74" s="4189"/>
      <c r="B74" s="4189"/>
      <c r="C74" s="4189"/>
      <c r="D74" s="4189"/>
      <c r="E74" s="4189"/>
      <c r="F74" s="4189"/>
      <c r="G74" s="4189"/>
      <c r="H74" s="3970" t="s">
        <v>3</v>
      </c>
      <c r="I74" s="3984">
        <v>2720</v>
      </c>
      <c r="J74" s="3984">
        <v>1511</v>
      </c>
      <c r="K74" s="3985">
        <v>55.551470588235297</v>
      </c>
      <c r="L74" s="3985"/>
      <c r="M74" s="3986">
        <v>0.79257786613651438</v>
      </c>
      <c r="N74" s="3986">
        <v>0.20742213386348576</v>
      </c>
      <c r="O74" s="3986">
        <v>4.690117252931323E-2</v>
      </c>
      <c r="P74" s="3986">
        <v>4.2713567839195977E-2</v>
      </c>
      <c r="Q74" s="3986">
        <v>0.13986599664991625</v>
      </c>
      <c r="R74" s="3986">
        <v>0.1968174204355109</v>
      </c>
      <c r="S74" s="3986">
        <v>0.5737018425460636</v>
      </c>
      <c r="T74" s="1834"/>
      <c r="U74" s="1834"/>
      <c r="V74" s="1834"/>
      <c r="W74" s="1834"/>
      <c r="X74" s="1834"/>
      <c r="Y74" s="1834"/>
      <c r="Z74" s="3981"/>
      <c r="AA74" s="3989"/>
      <c r="AB74" s="3989"/>
      <c r="AC74" s="3990" t="s">
        <v>2615</v>
      </c>
      <c r="AD74" s="3991" t="s">
        <v>2616</v>
      </c>
      <c r="AE74" s="3991" t="s">
        <v>2617</v>
      </c>
      <c r="AF74" s="3991" t="s">
        <v>2618</v>
      </c>
      <c r="AG74" s="3991" t="s">
        <v>2619</v>
      </c>
      <c r="AH74" s="3992"/>
    </row>
    <row r="75" spans="1:34" s="3890" customFormat="1" ht="22.8">
      <c r="A75" s="4189"/>
      <c r="B75" s="4189"/>
      <c r="C75" s="4189"/>
      <c r="D75" s="4189"/>
      <c r="E75" s="4189"/>
      <c r="F75" s="4189"/>
      <c r="G75" s="4189"/>
      <c r="H75" s="3970" t="s">
        <v>25</v>
      </c>
      <c r="I75" s="3984">
        <v>7225</v>
      </c>
      <c r="J75" s="3984">
        <v>4027</v>
      </c>
      <c r="K75" s="3985">
        <v>55.737024221453289</v>
      </c>
      <c r="L75" s="3985"/>
      <c r="M75" s="3986">
        <v>0.76548122357622495</v>
      </c>
      <c r="N75" s="3986">
        <v>0.23451877642377517</v>
      </c>
      <c r="O75" s="3986">
        <v>2.8460543337645538E-2</v>
      </c>
      <c r="P75" s="3986">
        <v>4.236739974126779E-2</v>
      </c>
      <c r="Q75" s="3986">
        <v>0.11448900388098318</v>
      </c>
      <c r="R75" s="3986">
        <v>0.18790426908150062</v>
      </c>
      <c r="S75" s="3986">
        <v>0.62677878395860287</v>
      </c>
      <c r="T75" s="1834"/>
      <c r="U75" s="1834"/>
      <c r="V75" s="1834"/>
      <c r="W75" s="1834"/>
      <c r="X75" s="1834"/>
      <c r="Y75" s="1834"/>
      <c r="Z75" s="3981"/>
      <c r="AA75" s="3993" t="s">
        <v>2620</v>
      </c>
      <c r="AB75" s="3993" t="s">
        <v>3</v>
      </c>
      <c r="AC75" s="3994">
        <v>4.690117252931323E-2</v>
      </c>
      <c r="AD75" s="3995">
        <v>4.2713567839195977E-2</v>
      </c>
      <c r="AE75" s="3995">
        <v>0.13986599664991625</v>
      </c>
      <c r="AF75" s="3995">
        <v>0.1968174204355109</v>
      </c>
      <c r="AG75" s="3995">
        <v>0.5737018425460636</v>
      </c>
      <c r="AH75" s="3996">
        <v>1</v>
      </c>
    </row>
    <row r="76" spans="1:34" s="3890" customFormat="1">
      <c r="A76" s="4189"/>
      <c r="B76" s="4189"/>
      <c r="C76" s="4189"/>
      <c r="D76" s="4189"/>
      <c r="E76" s="4189"/>
      <c r="F76" s="4189"/>
      <c r="G76" s="4189"/>
      <c r="H76" s="3970" t="s">
        <v>48</v>
      </c>
      <c r="I76" s="3984">
        <v>4459</v>
      </c>
      <c r="J76" s="3984">
        <v>2539</v>
      </c>
      <c r="K76" s="3985">
        <v>56.941018165507963</v>
      </c>
      <c r="L76" s="3985"/>
      <c r="M76" s="3986">
        <v>0.80441640378548895</v>
      </c>
      <c r="N76" s="3986">
        <v>0.19558359621451105</v>
      </c>
      <c r="O76" s="3986">
        <v>2.9225523623964928E-2</v>
      </c>
      <c r="P76" s="3986">
        <v>3.8480272771553824E-2</v>
      </c>
      <c r="Q76" s="3986">
        <v>0.1130053580126644</v>
      </c>
      <c r="R76" s="3986">
        <v>0.20360448124695568</v>
      </c>
      <c r="S76" s="3986">
        <v>0.61568436434486118</v>
      </c>
      <c r="T76" s="1834"/>
      <c r="U76" s="1834"/>
      <c r="V76" s="1834"/>
      <c r="W76" s="1834"/>
      <c r="X76" s="1834"/>
      <c r="Y76" s="1834"/>
      <c r="Z76" s="3981"/>
      <c r="AA76" s="3997"/>
      <c r="AB76" s="3997" t="s">
        <v>25</v>
      </c>
      <c r="AC76" s="3998">
        <v>2.8460543337645538E-2</v>
      </c>
      <c r="AD76" s="3999">
        <v>4.236739974126779E-2</v>
      </c>
      <c r="AE76" s="3999">
        <v>0.11448900388098318</v>
      </c>
      <c r="AF76" s="3999">
        <v>0.18790426908150062</v>
      </c>
      <c r="AG76" s="3999">
        <v>0.62677878395860287</v>
      </c>
      <c r="AH76" s="4000">
        <v>1</v>
      </c>
    </row>
    <row r="77" spans="1:34" s="3890" customFormat="1">
      <c r="A77" s="4189"/>
      <c r="B77" s="4189"/>
      <c r="C77" s="4189"/>
      <c r="D77" s="4189"/>
      <c r="E77" s="4189"/>
      <c r="F77" s="4189"/>
      <c r="G77" s="4189"/>
      <c r="H77" s="3970" t="s">
        <v>59</v>
      </c>
      <c r="I77" s="3984">
        <v>244</v>
      </c>
      <c r="J77" s="3984">
        <v>182</v>
      </c>
      <c r="K77" s="3985">
        <v>74.590163934426229</v>
      </c>
      <c r="L77" s="3985"/>
      <c r="M77" s="3986">
        <v>0.6574585635359117</v>
      </c>
      <c r="N77" s="3986">
        <v>0.34254143646408841</v>
      </c>
      <c r="O77" s="3986">
        <v>0.04</v>
      </c>
      <c r="P77" s="3986">
        <v>5.6000000000000008E-2</v>
      </c>
      <c r="Q77" s="3986">
        <v>0.192</v>
      </c>
      <c r="R77" s="3986">
        <v>0.33600000000000002</v>
      </c>
      <c r="S77" s="3986">
        <v>0.376</v>
      </c>
      <c r="T77" s="1834"/>
      <c r="U77" s="1834"/>
      <c r="V77" s="1834"/>
      <c r="W77" s="1834"/>
      <c r="X77" s="1834"/>
      <c r="Y77" s="1834"/>
      <c r="Z77" s="3981"/>
      <c r="AA77" s="3997"/>
      <c r="AB77" s="3997" t="s">
        <v>48</v>
      </c>
      <c r="AC77" s="3998">
        <v>2.9225523623964928E-2</v>
      </c>
      <c r="AD77" s="3999">
        <v>3.8480272771553824E-2</v>
      </c>
      <c r="AE77" s="3999">
        <v>0.1130053580126644</v>
      </c>
      <c r="AF77" s="3999">
        <v>0.20360448124695568</v>
      </c>
      <c r="AG77" s="3999">
        <v>0.61568436434486118</v>
      </c>
      <c r="AH77" s="4000">
        <v>1</v>
      </c>
    </row>
    <row r="78" spans="1:34" s="3890" customFormat="1">
      <c r="A78" s="4189"/>
      <c r="B78" s="4189"/>
      <c r="C78" s="4189"/>
      <c r="D78" s="4189"/>
      <c r="E78" s="4189"/>
      <c r="F78" s="4189"/>
      <c r="G78" s="4189"/>
      <c r="H78" s="4001" t="s">
        <v>15</v>
      </c>
      <c r="I78" s="4002">
        <v>14648</v>
      </c>
      <c r="J78" s="4002">
        <v>8259</v>
      </c>
      <c r="K78" s="4003">
        <v>56.383123975969418</v>
      </c>
      <c r="L78" s="4003"/>
      <c r="M78" s="4004">
        <v>0.78004122711288959</v>
      </c>
      <c r="N78" s="3986">
        <v>0.21995877288711047</v>
      </c>
      <c r="O78" s="3986">
        <v>3.2332920792079209E-2</v>
      </c>
      <c r="P78" s="3986">
        <v>4.1460396039603963E-2</v>
      </c>
      <c r="Q78" s="3986">
        <v>0.12020420792079207</v>
      </c>
      <c r="R78" s="3986">
        <v>0.19740099009900991</v>
      </c>
      <c r="S78" s="3986">
        <v>0.60860148514851486</v>
      </c>
      <c r="T78" s="1834"/>
      <c r="U78" s="1834"/>
      <c r="V78" s="1834"/>
      <c r="W78" s="1834"/>
      <c r="X78" s="1834"/>
      <c r="Y78" s="1834"/>
      <c r="Z78" s="3981"/>
      <c r="AA78" s="3997"/>
      <c r="AB78" s="3997" t="s">
        <v>59</v>
      </c>
      <c r="AC78" s="3998">
        <v>0.04</v>
      </c>
      <c r="AD78" s="3999">
        <v>5.6000000000000008E-2</v>
      </c>
      <c r="AE78" s="3999">
        <v>0.192</v>
      </c>
      <c r="AF78" s="3999">
        <v>0.33600000000000002</v>
      </c>
      <c r="AG78" s="3999">
        <v>0.376</v>
      </c>
      <c r="AH78" s="4000">
        <v>1</v>
      </c>
    </row>
    <row r="79" spans="1:34" s="3890" customFormat="1">
      <c r="A79" s="4189"/>
      <c r="B79" s="4189"/>
      <c r="C79" s="4189"/>
      <c r="D79" s="4189"/>
      <c r="E79" s="4189"/>
      <c r="F79" s="4189"/>
      <c r="G79" s="4189"/>
      <c r="H79" s="1834"/>
      <c r="I79" s="1834"/>
      <c r="J79" s="3976"/>
      <c r="K79" s="1834"/>
      <c r="L79" s="1834"/>
      <c r="M79" s="3977"/>
      <c r="N79" s="1834"/>
      <c r="O79" s="3978"/>
      <c r="P79" s="1834"/>
      <c r="Q79" s="1834"/>
      <c r="R79" s="1834"/>
      <c r="S79" s="1834"/>
      <c r="T79" s="1834"/>
      <c r="U79" s="1834"/>
      <c r="V79" s="1834"/>
      <c r="W79" s="1834"/>
      <c r="X79" s="1834"/>
      <c r="Y79" s="1834"/>
      <c r="Z79" s="1834"/>
      <c r="AA79" s="1834"/>
      <c r="AB79" s="1834"/>
      <c r="AC79" s="1834"/>
      <c r="AD79" s="1834"/>
      <c r="AE79" s="1834"/>
      <c r="AF79" s="1834"/>
      <c r="AG79" s="1834"/>
      <c r="AH79" s="1834"/>
    </row>
    <row r="80" spans="1:34" s="3890" customFormat="1">
      <c r="A80" s="4189"/>
      <c r="B80" s="4189"/>
      <c r="C80" s="4189"/>
      <c r="D80" s="4189"/>
      <c r="E80" s="4189"/>
      <c r="F80" s="4189"/>
      <c r="G80" s="4189"/>
      <c r="H80" s="1834"/>
      <c r="I80" s="1834"/>
      <c r="J80" s="3976"/>
      <c r="K80" s="1834"/>
      <c r="L80" s="1834"/>
      <c r="M80" s="3977"/>
      <c r="N80" s="1834"/>
      <c r="O80" s="3978"/>
      <c r="P80" s="1834"/>
      <c r="Q80" s="1834"/>
      <c r="R80" s="1834"/>
      <c r="S80" s="1834"/>
      <c r="T80" s="5330"/>
      <c r="U80" s="5330"/>
      <c r="V80" s="5330"/>
      <c r="W80" s="1834"/>
      <c r="X80" s="1834"/>
      <c r="Y80" s="1834"/>
      <c r="Z80" s="1834"/>
      <c r="AA80" s="1834"/>
      <c r="AB80" s="1834"/>
      <c r="AC80" s="1834"/>
      <c r="AD80" s="1834"/>
      <c r="AE80" s="1834"/>
      <c r="AF80" s="1834"/>
      <c r="AG80" s="1834"/>
      <c r="AH80" s="1834"/>
    </row>
    <row r="81" spans="1:33" s="3890" customFormat="1">
      <c r="A81" s="4189"/>
      <c r="B81" s="4189"/>
      <c r="C81" s="4189"/>
      <c r="D81" s="4189"/>
      <c r="E81" s="4189"/>
      <c r="F81" s="4189"/>
      <c r="G81" s="4189"/>
      <c r="H81" s="4005"/>
      <c r="I81" s="4005"/>
      <c r="J81" s="4006"/>
      <c r="K81" s="4007"/>
      <c r="L81" s="4007"/>
      <c r="M81" s="4008"/>
      <c r="N81" s="4008"/>
      <c r="O81" s="4009"/>
      <c r="P81" s="7149" t="s">
        <v>2181</v>
      </c>
      <c r="Q81" s="7149"/>
      <c r="R81" s="5330" t="s">
        <v>1319</v>
      </c>
      <c r="S81" s="5330"/>
      <c r="T81" s="4010" t="s">
        <v>1323</v>
      </c>
      <c r="U81" s="4010" t="s">
        <v>15</v>
      </c>
      <c r="V81" s="1834"/>
      <c r="W81" s="1834"/>
      <c r="X81" s="1834"/>
      <c r="Y81" s="1834"/>
      <c r="Z81" s="1834"/>
      <c r="AA81" s="1834"/>
      <c r="AB81" s="1834"/>
      <c r="AC81" s="1834"/>
      <c r="AD81" s="1834"/>
      <c r="AE81" s="1834"/>
      <c r="AF81" s="1834"/>
      <c r="AG81" s="1834"/>
    </row>
    <row r="82" spans="1:33" s="3890" customFormat="1">
      <c r="A82" s="4189"/>
      <c r="B82" s="4189"/>
      <c r="C82" s="4189"/>
      <c r="D82" s="4189"/>
      <c r="E82" s="4189"/>
      <c r="F82" s="4189"/>
      <c r="G82" s="4189"/>
      <c r="H82" s="4010" t="s">
        <v>0</v>
      </c>
      <c r="I82" s="4010" t="s">
        <v>1</v>
      </c>
      <c r="J82" s="4010" t="s">
        <v>2183</v>
      </c>
      <c r="K82" s="4011" t="s">
        <v>878</v>
      </c>
      <c r="L82" s="4010" t="s">
        <v>1893</v>
      </c>
      <c r="M82" s="4010" t="s">
        <v>1898</v>
      </c>
      <c r="N82" s="4012" t="s">
        <v>2169</v>
      </c>
      <c r="O82" s="4013" t="s">
        <v>907</v>
      </c>
      <c r="P82" s="4010" t="s">
        <v>908</v>
      </c>
      <c r="Q82" s="4010" t="s">
        <v>1320</v>
      </c>
      <c r="R82" s="4010" t="s">
        <v>1321</v>
      </c>
      <c r="S82" s="4010" t="s">
        <v>2182</v>
      </c>
      <c r="T82" s="4018">
        <v>3.7037037037037035E-2</v>
      </c>
      <c r="U82" s="4018">
        <v>0.85185185185185186</v>
      </c>
      <c r="V82" s="1834"/>
      <c r="W82" s="1834"/>
      <c r="X82" s="1834"/>
      <c r="Y82" s="1834"/>
      <c r="Z82" s="1834"/>
      <c r="AA82" s="1834"/>
      <c r="AB82" s="1834"/>
      <c r="AC82" s="1834"/>
      <c r="AD82" s="1834"/>
      <c r="AE82" s="1834"/>
      <c r="AF82" s="1834"/>
      <c r="AG82" s="1834"/>
    </row>
    <row r="83" spans="1:33" s="3890" customFormat="1">
      <c r="A83" s="4189"/>
      <c r="B83" s="4189"/>
      <c r="C83" s="4189"/>
      <c r="D83" s="4189"/>
      <c r="E83" s="4189"/>
      <c r="F83" s="4189"/>
      <c r="G83" s="4189"/>
      <c r="H83" s="7133" t="s">
        <v>3</v>
      </c>
      <c r="I83" s="7134" t="s">
        <v>2176</v>
      </c>
      <c r="J83" s="4014" t="s">
        <v>265</v>
      </c>
      <c r="K83" s="7133" t="s">
        <v>243</v>
      </c>
      <c r="L83" s="4015">
        <v>104</v>
      </c>
      <c r="M83" s="4016">
        <v>35</v>
      </c>
      <c r="N83" s="4017">
        <f>M83*100/L83</f>
        <v>33.653846153846153</v>
      </c>
      <c r="O83" s="4018">
        <v>0.8</v>
      </c>
      <c r="P83" s="4018">
        <v>0.2</v>
      </c>
      <c r="Q83" s="4015"/>
      <c r="R83" s="4018">
        <v>7.407407407407407E-2</v>
      </c>
      <c r="S83" s="4018">
        <v>3.7037037037037035E-2</v>
      </c>
      <c r="T83" s="4018">
        <v>0.219</v>
      </c>
      <c r="U83" s="4018">
        <v>0.47399999999999998</v>
      </c>
      <c r="V83" s="1834"/>
      <c r="W83" s="1834"/>
      <c r="X83" s="1834"/>
      <c r="Y83" s="1834"/>
      <c r="Z83" s="1834"/>
      <c r="AA83" s="1834"/>
      <c r="AB83" s="1834"/>
      <c r="AC83" s="1834"/>
      <c r="AD83" s="1834"/>
      <c r="AE83" s="1834"/>
      <c r="AF83" s="1834"/>
      <c r="AG83" s="1834"/>
    </row>
    <row r="84" spans="1:33" s="3890" customFormat="1">
      <c r="A84" s="4189"/>
      <c r="B84" s="4189"/>
      <c r="C84" s="4189"/>
      <c r="D84" s="4189"/>
      <c r="E84" s="4189"/>
      <c r="F84" s="4189"/>
      <c r="G84" s="4189"/>
      <c r="H84" s="7133"/>
      <c r="I84" s="7134"/>
      <c r="J84" s="4019" t="s">
        <v>2621</v>
      </c>
      <c r="K84" s="7133"/>
      <c r="L84" s="4015">
        <v>372</v>
      </c>
      <c r="M84" s="4016">
        <v>258</v>
      </c>
      <c r="N84" s="4017">
        <f t="shared" ref="N84:N147" si="1">M84*100/L84</f>
        <v>69.354838709677423</v>
      </c>
      <c r="O84" s="4018">
        <v>0.73699999999999999</v>
      </c>
      <c r="P84" s="4018">
        <v>0.23300000000000001</v>
      </c>
      <c r="Q84" s="4018">
        <v>8.6999999999999994E-2</v>
      </c>
      <c r="R84" s="4018">
        <v>6.0999999999999999E-2</v>
      </c>
      <c r="S84" s="4018">
        <v>0.158</v>
      </c>
      <c r="T84" s="4018">
        <v>8.9743589743589744E-2</v>
      </c>
      <c r="U84" s="4018">
        <v>0.85897435897435903</v>
      </c>
      <c r="V84" s="1834"/>
      <c r="W84" s="1834"/>
      <c r="X84" s="1834"/>
      <c r="Y84" s="1834"/>
      <c r="Z84" s="1834"/>
      <c r="AA84" s="1834"/>
      <c r="AB84" s="1834"/>
      <c r="AC84" s="1834"/>
      <c r="AD84" s="1834"/>
      <c r="AE84" s="1834"/>
      <c r="AF84" s="1834"/>
      <c r="AG84" s="1834"/>
    </row>
    <row r="85" spans="1:33" s="3890" customFormat="1">
      <c r="A85" s="4189"/>
      <c r="B85" s="4189"/>
      <c r="C85" s="4189"/>
      <c r="D85" s="4189"/>
      <c r="E85" s="4189"/>
      <c r="F85" s="4189"/>
      <c r="G85" s="4189"/>
      <c r="H85" s="7133"/>
      <c r="I85" s="7134"/>
      <c r="J85" s="4019" t="s">
        <v>2349</v>
      </c>
      <c r="K85" s="7133"/>
      <c r="L85" s="4015">
        <v>136</v>
      </c>
      <c r="M85" s="4016">
        <v>83</v>
      </c>
      <c r="N85" s="4017">
        <f t="shared" si="1"/>
        <v>61.029411764705884</v>
      </c>
      <c r="O85" s="4018">
        <v>0.95180722891566261</v>
      </c>
      <c r="P85" s="4018">
        <v>4.8192771084337352E-2</v>
      </c>
      <c r="Q85" s="4018">
        <v>2.564102564102564E-2</v>
      </c>
      <c r="R85" s="4020">
        <v>0</v>
      </c>
      <c r="S85" s="4018">
        <v>2.564102564102564E-2</v>
      </c>
      <c r="T85" s="4018">
        <v>0.05</v>
      </c>
      <c r="U85" s="4018">
        <v>0.35</v>
      </c>
      <c r="V85" s="1834"/>
      <c r="W85" s="1834"/>
      <c r="X85" s="1834"/>
      <c r="Y85" s="1834"/>
      <c r="Z85" s="1834"/>
      <c r="AA85" s="1834"/>
      <c r="AB85" s="1834"/>
      <c r="AC85" s="1834"/>
      <c r="AD85" s="1834"/>
      <c r="AE85" s="1834"/>
      <c r="AF85" s="1834"/>
      <c r="AG85" s="1834"/>
    </row>
    <row r="86" spans="1:33" s="3890" customFormat="1">
      <c r="A86" s="4189"/>
      <c r="B86" s="4189"/>
      <c r="C86" s="4189"/>
      <c r="D86" s="4189"/>
      <c r="E86" s="4189"/>
      <c r="F86" s="4189"/>
      <c r="G86" s="4189"/>
      <c r="H86" s="7133"/>
      <c r="I86" s="7134"/>
      <c r="J86" s="4019" t="s">
        <v>607</v>
      </c>
      <c r="K86" s="7133"/>
      <c r="L86" s="4015">
        <v>54</v>
      </c>
      <c r="M86" s="4016">
        <v>33</v>
      </c>
      <c r="N86" s="4017">
        <f t="shared" si="1"/>
        <v>61.111111111111114</v>
      </c>
      <c r="O86" s="4018">
        <v>0.5757575757575758</v>
      </c>
      <c r="P86" s="4018">
        <v>0.4242424242424242</v>
      </c>
      <c r="Q86" s="4018">
        <v>0.15</v>
      </c>
      <c r="R86" s="4018">
        <v>0.15</v>
      </c>
      <c r="S86" s="4018">
        <v>0.3</v>
      </c>
      <c r="T86" s="4018">
        <v>0.18181818181818182</v>
      </c>
      <c r="U86" s="4018">
        <v>0.36363636363636365</v>
      </c>
      <c r="V86" s="1834"/>
      <c r="W86" s="1834"/>
      <c r="X86" s="1834"/>
      <c r="Y86" s="1834"/>
      <c r="Z86" s="1834"/>
      <c r="AA86" s="1834"/>
      <c r="AB86" s="1834"/>
      <c r="AC86" s="1834"/>
      <c r="AD86" s="1834"/>
      <c r="AE86" s="1834"/>
      <c r="AF86" s="1834"/>
      <c r="AG86" s="1834"/>
    </row>
    <row r="87" spans="1:33" s="3890" customFormat="1">
      <c r="A87" s="4189"/>
      <c r="B87" s="4189"/>
      <c r="C87" s="4189"/>
      <c r="D87" s="4189"/>
      <c r="E87" s="4189"/>
      <c r="F87" s="4189"/>
      <c r="G87" s="4189"/>
      <c r="H87" s="7133"/>
      <c r="I87" s="7134"/>
      <c r="J87" s="4019" t="s">
        <v>606</v>
      </c>
      <c r="K87" s="7133"/>
      <c r="L87" s="4015">
        <v>20</v>
      </c>
      <c r="M87" s="4016">
        <v>14</v>
      </c>
      <c r="N87" s="4017">
        <f t="shared" si="1"/>
        <v>70</v>
      </c>
      <c r="O87" s="4018">
        <v>0.7857142857142857</v>
      </c>
      <c r="P87" s="4018">
        <v>0.21428571428571427</v>
      </c>
      <c r="Q87" s="4020">
        <v>0</v>
      </c>
      <c r="R87" s="4018">
        <v>0.18181818181818182</v>
      </c>
      <c r="S87" s="4018">
        <v>0.27272727272727271</v>
      </c>
      <c r="T87" s="4018">
        <v>0.14099999999999999</v>
      </c>
      <c r="U87" s="4018">
        <v>0.76600000000000001</v>
      </c>
      <c r="V87" s="1834"/>
      <c r="W87" s="1834"/>
      <c r="X87" s="1834"/>
      <c r="Y87" s="1834"/>
      <c r="Z87" s="1834"/>
      <c r="AA87" s="1834"/>
      <c r="AB87" s="1834"/>
      <c r="AC87" s="1834"/>
      <c r="AD87" s="1834"/>
      <c r="AE87" s="1834"/>
      <c r="AF87" s="1834"/>
      <c r="AG87" s="1834"/>
    </row>
    <row r="88" spans="1:33" s="3890" customFormat="1">
      <c r="A88" s="4189"/>
      <c r="B88" s="4189"/>
      <c r="C88" s="4189"/>
      <c r="D88" s="4189"/>
      <c r="E88" s="4189"/>
      <c r="F88" s="4189"/>
      <c r="G88" s="4189"/>
      <c r="H88" s="7133"/>
      <c r="I88" s="7134"/>
      <c r="J88" s="4019" t="s">
        <v>2621</v>
      </c>
      <c r="K88" s="7133" t="s">
        <v>244</v>
      </c>
      <c r="L88" s="4015">
        <v>89</v>
      </c>
      <c r="M88" s="4016">
        <v>73</v>
      </c>
      <c r="N88" s="4017">
        <f t="shared" si="1"/>
        <v>82.022471910112358</v>
      </c>
      <c r="O88" s="4018">
        <v>0.86299999999999999</v>
      </c>
      <c r="P88" s="4018">
        <v>0.13700000000000001</v>
      </c>
      <c r="Q88" s="4018">
        <v>3.1E-2</v>
      </c>
      <c r="R88" s="4020">
        <v>0</v>
      </c>
      <c r="S88" s="4018">
        <v>6.3E-2</v>
      </c>
      <c r="T88" s="4018">
        <v>0.25</v>
      </c>
      <c r="U88" s="4018">
        <v>0.625</v>
      </c>
      <c r="V88" s="1834"/>
      <c r="W88" s="1834"/>
      <c r="X88" s="1834"/>
      <c r="Y88" s="1834"/>
      <c r="Z88" s="1834"/>
      <c r="AA88" s="1834"/>
      <c r="AB88" s="1834"/>
      <c r="AC88" s="1834"/>
      <c r="AD88" s="1834"/>
      <c r="AE88" s="1834"/>
      <c r="AF88" s="1834"/>
      <c r="AG88" s="1834"/>
    </row>
    <row r="89" spans="1:33" s="3890" customFormat="1">
      <c r="A89" s="4189"/>
      <c r="B89" s="4189"/>
      <c r="C89" s="4189"/>
      <c r="D89" s="4189"/>
      <c r="E89" s="4189"/>
      <c r="F89" s="4189"/>
      <c r="G89" s="4189"/>
      <c r="H89" s="7133"/>
      <c r="I89" s="7134"/>
      <c r="J89" s="4019" t="s">
        <v>2349</v>
      </c>
      <c r="K89" s="7133"/>
      <c r="L89" s="4015">
        <v>12</v>
      </c>
      <c r="M89" s="4016">
        <v>8</v>
      </c>
      <c r="N89" s="4017">
        <f t="shared" si="1"/>
        <v>66.666666666666671</v>
      </c>
      <c r="O89" s="4018">
        <v>1</v>
      </c>
      <c r="P89" s="4020">
        <v>0</v>
      </c>
      <c r="Q89" s="4020">
        <v>0</v>
      </c>
      <c r="R89" s="4020">
        <v>0</v>
      </c>
      <c r="S89" s="4018">
        <v>0.125</v>
      </c>
      <c r="T89" s="4018">
        <v>0.66666666666666652</v>
      </c>
      <c r="U89" s="4018">
        <v>0.33333333333333326</v>
      </c>
      <c r="V89" s="1834"/>
      <c r="W89" s="1834"/>
      <c r="X89" s="1834"/>
      <c r="Y89" s="1834"/>
      <c r="Z89" s="1834"/>
      <c r="AA89" s="1834"/>
      <c r="AB89" s="1834"/>
      <c r="AC89" s="1834"/>
      <c r="AD89" s="1834"/>
      <c r="AE89" s="1834"/>
      <c r="AF89" s="1834"/>
      <c r="AG89" s="1834"/>
    </row>
    <row r="90" spans="1:33" s="3890" customFormat="1">
      <c r="A90" s="4189"/>
      <c r="B90" s="4189"/>
      <c r="C90" s="4189"/>
      <c r="D90" s="4189"/>
      <c r="E90" s="4189"/>
      <c r="F90" s="4189"/>
      <c r="G90" s="4189"/>
      <c r="H90" s="7133"/>
      <c r="I90" s="7134"/>
      <c r="J90" s="4019" t="s">
        <v>606</v>
      </c>
      <c r="K90" s="7133"/>
      <c r="L90" s="4015">
        <v>3</v>
      </c>
      <c r="M90" s="4016">
        <v>3</v>
      </c>
      <c r="N90" s="4017">
        <f t="shared" si="1"/>
        <v>100</v>
      </c>
      <c r="O90" s="4018">
        <v>1</v>
      </c>
      <c r="P90" s="4020">
        <v>0</v>
      </c>
      <c r="Q90" s="4020">
        <v>0</v>
      </c>
      <c r="R90" s="4020">
        <v>0</v>
      </c>
      <c r="S90" s="4020">
        <v>0</v>
      </c>
      <c r="T90" s="4018">
        <v>0.22674418604651161</v>
      </c>
      <c r="U90" s="4018">
        <v>0.55813953488372092</v>
      </c>
      <c r="V90" s="1834"/>
      <c r="W90" s="1834"/>
      <c r="X90" s="1834"/>
      <c r="Y90" s="1834"/>
      <c r="Z90" s="1834"/>
      <c r="AA90" s="1834"/>
      <c r="AB90" s="1834"/>
      <c r="AC90" s="1834"/>
      <c r="AD90" s="1834"/>
      <c r="AE90" s="1834"/>
      <c r="AF90" s="1834"/>
      <c r="AG90" s="1834"/>
    </row>
    <row r="91" spans="1:33" s="3890" customFormat="1">
      <c r="A91" s="4189"/>
      <c r="B91" s="4189"/>
      <c r="C91" s="4189"/>
      <c r="D91" s="4189"/>
      <c r="E91" s="4189"/>
      <c r="F91" s="4189"/>
      <c r="G91" s="4189"/>
      <c r="H91" s="7133"/>
      <c r="I91" s="7134" t="s">
        <v>2171</v>
      </c>
      <c r="J91" s="4019" t="s">
        <v>2066</v>
      </c>
      <c r="K91" s="7133" t="s">
        <v>257</v>
      </c>
      <c r="L91" s="4015">
        <v>340</v>
      </c>
      <c r="M91" s="4016">
        <v>203</v>
      </c>
      <c r="N91" s="4017">
        <f t="shared" si="1"/>
        <v>59.705882352941174</v>
      </c>
      <c r="O91" s="4018">
        <v>0.84729064039408863</v>
      </c>
      <c r="P91" s="4018">
        <v>0.15270935960591134</v>
      </c>
      <c r="Q91" s="4018">
        <v>6.3953488372093026E-2</v>
      </c>
      <c r="R91" s="4018">
        <v>1.1627906976744186E-2</v>
      </c>
      <c r="S91" s="4018">
        <v>0.13953488372093023</v>
      </c>
      <c r="T91" s="4018">
        <v>0.22222222222222221</v>
      </c>
      <c r="U91" s="4018">
        <v>0.62222222222222223</v>
      </c>
      <c r="V91" s="1834"/>
      <c r="W91" s="1834"/>
      <c r="X91" s="1834"/>
      <c r="Y91" s="1834"/>
      <c r="Z91" s="1834"/>
      <c r="AA91" s="1834"/>
      <c r="AB91" s="1834"/>
      <c r="AC91" s="1834"/>
      <c r="AD91" s="1834"/>
      <c r="AE91" s="1834"/>
      <c r="AF91" s="1834"/>
      <c r="AG91" s="1834"/>
    </row>
    <row r="92" spans="1:33" s="3890" customFormat="1">
      <c r="A92" s="4189"/>
      <c r="B92" s="4189"/>
      <c r="C92" s="4189"/>
      <c r="D92" s="4189"/>
      <c r="E92" s="4189"/>
      <c r="F92" s="4189"/>
      <c r="G92" s="4189"/>
      <c r="H92" s="7133"/>
      <c r="I92" s="7134"/>
      <c r="J92" s="4019" t="s">
        <v>329</v>
      </c>
      <c r="K92" s="7133"/>
      <c r="L92" s="4015">
        <v>76</v>
      </c>
      <c r="M92" s="4016">
        <v>52</v>
      </c>
      <c r="N92" s="4017">
        <f t="shared" si="1"/>
        <v>68.421052631578945</v>
      </c>
      <c r="O92" s="4018">
        <v>0.86538461538461542</v>
      </c>
      <c r="P92" s="4018">
        <v>0.13461538461538461</v>
      </c>
      <c r="Q92" s="4018">
        <v>2.2222222222222223E-2</v>
      </c>
      <c r="R92" s="4018">
        <v>6.6666666666666666E-2</v>
      </c>
      <c r="S92" s="4018">
        <v>6.6666666666666666E-2</v>
      </c>
      <c r="T92" s="4018">
        <v>0.19642857142857142</v>
      </c>
      <c r="U92" s="4018">
        <v>0.4375</v>
      </c>
      <c r="V92" s="1834"/>
      <c r="W92" s="1834"/>
      <c r="X92" s="1834"/>
      <c r="Y92" s="1834"/>
      <c r="Z92" s="1834"/>
      <c r="AA92" s="1834"/>
      <c r="AB92" s="1834"/>
      <c r="AC92" s="1834"/>
      <c r="AD92" s="1834"/>
      <c r="AE92" s="1834"/>
      <c r="AF92" s="1834"/>
      <c r="AG92" s="1834"/>
    </row>
    <row r="93" spans="1:33" s="3890" customFormat="1">
      <c r="A93" s="4189"/>
      <c r="B93" s="4189"/>
      <c r="C93" s="4189"/>
      <c r="D93" s="4189"/>
      <c r="E93" s="4189"/>
      <c r="F93" s="4189"/>
      <c r="G93" s="4189"/>
      <c r="H93" s="7133"/>
      <c r="I93" s="7134"/>
      <c r="J93" s="4019" t="s">
        <v>270</v>
      </c>
      <c r="K93" s="7133" t="s">
        <v>243</v>
      </c>
      <c r="L93" s="4015">
        <v>193</v>
      </c>
      <c r="M93" s="4016">
        <v>147</v>
      </c>
      <c r="N93" s="4017">
        <f t="shared" si="1"/>
        <v>76.165803108808291</v>
      </c>
      <c r="O93" s="4018">
        <v>0.74829931972789121</v>
      </c>
      <c r="P93" s="4018">
        <v>0.25170068027210885</v>
      </c>
      <c r="Q93" s="4018">
        <v>7.1428571428571425E-2</v>
      </c>
      <c r="R93" s="4018">
        <v>6.25E-2</v>
      </c>
      <c r="S93" s="4018">
        <v>0.23214285714285715</v>
      </c>
      <c r="T93" s="4018">
        <v>0.30769230769230771</v>
      </c>
      <c r="U93" s="4018">
        <v>0.42307692307692307</v>
      </c>
      <c r="V93" s="1834"/>
      <c r="W93" s="1834"/>
      <c r="X93" s="1834"/>
      <c r="Y93" s="1834"/>
      <c r="Z93" s="1834"/>
      <c r="AA93" s="1834"/>
      <c r="AB93" s="1834"/>
      <c r="AC93" s="1834"/>
      <c r="AD93" s="1834"/>
      <c r="AE93" s="1834"/>
      <c r="AF93" s="1834"/>
      <c r="AG93" s="1834"/>
    </row>
    <row r="94" spans="1:33" s="3890" customFormat="1">
      <c r="A94" s="4189"/>
      <c r="B94" s="4189"/>
      <c r="C94" s="4189"/>
      <c r="D94" s="4189"/>
      <c r="E94" s="4189"/>
      <c r="F94" s="4189"/>
      <c r="G94" s="4189"/>
      <c r="H94" s="7133"/>
      <c r="I94" s="7134"/>
      <c r="J94" s="4019" t="s">
        <v>2622</v>
      </c>
      <c r="K94" s="7133"/>
      <c r="L94" s="4015">
        <v>164</v>
      </c>
      <c r="M94" s="4016">
        <v>100</v>
      </c>
      <c r="N94" s="4017">
        <f t="shared" si="1"/>
        <v>60.975609756097562</v>
      </c>
      <c r="O94" s="4018">
        <v>0.79</v>
      </c>
      <c r="P94" s="4018">
        <v>0.21</v>
      </c>
      <c r="Q94" s="4018">
        <v>3.8461538461538464E-2</v>
      </c>
      <c r="R94" s="4018">
        <v>3.8461538461538464E-2</v>
      </c>
      <c r="S94" s="4018">
        <v>0.19230769230769235</v>
      </c>
      <c r="T94" s="4018">
        <v>0.125</v>
      </c>
      <c r="U94" s="4018">
        <v>0.66666666666666652</v>
      </c>
      <c r="V94" s="1834"/>
      <c r="W94" s="1834"/>
      <c r="X94" s="1834"/>
      <c r="Y94" s="1834"/>
      <c r="Z94" s="1834"/>
      <c r="AA94" s="1834"/>
      <c r="AB94" s="1834"/>
      <c r="AC94" s="1834"/>
      <c r="AD94" s="1834"/>
      <c r="AE94" s="1834"/>
      <c r="AF94" s="1834"/>
      <c r="AG94" s="1834"/>
    </row>
    <row r="95" spans="1:33" s="3890" customFormat="1">
      <c r="A95" s="4189"/>
      <c r="B95" s="4189"/>
      <c r="C95" s="4189"/>
      <c r="D95" s="4189"/>
      <c r="E95" s="4189"/>
      <c r="F95" s="4189"/>
      <c r="G95" s="4189"/>
      <c r="H95" s="7133"/>
      <c r="I95" s="7134"/>
      <c r="J95" s="4019" t="s">
        <v>437</v>
      </c>
      <c r="K95" s="7133"/>
      <c r="L95" s="4015">
        <v>59</v>
      </c>
      <c r="M95" s="4016">
        <v>34</v>
      </c>
      <c r="N95" s="4017">
        <f t="shared" si="1"/>
        <v>57.627118644067799</v>
      </c>
      <c r="O95" s="4018">
        <v>0.73529411764705888</v>
      </c>
      <c r="P95" s="4018">
        <v>0.26470588235294118</v>
      </c>
      <c r="Q95" s="4020">
        <v>0</v>
      </c>
      <c r="R95" s="4018">
        <v>4.1666666666666657E-2</v>
      </c>
      <c r="S95" s="4018">
        <v>0.16666666666666663</v>
      </c>
      <c r="T95" s="4018">
        <v>0.2</v>
      </c>
      <c r="U95" s="4018">
        <v>0.6</v>
      </c>
      <c r="V95" s="1834"/>
      <c r="W95" s="1834"/>
      <c r="X95" s="1834"/>
      <c r="Y95" s="1834"/>
      <c r="Z95" s="1834"/>
      <c r="AA95" s="1834"/>
      <c r="AB95" s="1834"/>
      <c r="AC95" s="1834"/>
      <c r="AD95" s="1834"/>
      <c r="AE95" s="1834"/>
      <c r="AF95" s="1834"/>
      <c r="AG95" s="1834"/>
    </row>
    <row r="96" spans="1:33" s="3890" customFormat="1">
      <c r="A96" s="4189"/>
      <c r="B96" s="4189"/>
      <c r="C96" s="4189"/>
      <c r="D96" s="4189"/>
      <c r="E96" s="4189"/>
      <c r="F96" s="4189"/>
      <c r="G96" s="4189"/>
      <c r="H96" s="7133"/>
      <c r="I96" s="7134"/>
      <c r="J96" s="4019" t="s">
        <v>2226</v>
      </c>
      <c r="K96" s="7133"/>
      <c r="L96" s="4015">
        <v>8</v>
      </c>
      <c r="M96" s="4016">
        <v>7</v>
      </c>
      <c r="N96" s="4017">
        <f t="shared" si="1"/>
        <v>87.5</v>
      </c>
      <c r="O96" s="4018">
        <v>0.7142857142857143</v>
      </c>
      <c r="P96" s="4018">
        <v>0.2857142857142857</v>
      </c>
      <c r="Q96" s="4020">
        <v>0</v>
      </c>
      <c r="R96" s="4020">
        <v>0</v>
      </c>
      <c r="S96" s="4018">
        <v>0.2</v>
      </c>
      <c r="T96" s="4018">
        <v>0.375</v>
      </c>
      <c r="U96" s="4018">
        <v>0.42499999999999999</v>
      </c>
      <c r="V96" s="1834"/>
      <c r="W96" s="1834"/>
      <c r="X96" s="1834"/>
      <c r="Y96" s="1834"/>
      <c r="Z96" s="1834"/>
      <c r="AA96" s="1834"/>
      <c r="AB96" s="1834"/>
      <c r="AC96" s="1834"/>
      <c r="AD96" s="1834"/>
      <c r="AE96" s="1834"/>
      <c r="AF96" s="1834"/>
      <c r="AG96" s="1834"/>
    </row>
    <row r="97" spans="1:33" s="3890" customFormat="1">
      <c r="A97" s="4189"/>
      <c r="B97" s="4189"/>
      <c r="C97" s="4189"/>
      <c r="D97" s="4189"/>
      <c r="E97" s="4189"/>
      <c r="F97" s="4189"/>
      <c r="G97" s="4189"/>
      <c r="H97" s="7133"/>
      <c r="I97" s="7134"/>
      <c r="J97" s="4019" t="s">
        <v>2350</v>
      </c>
      <c r="K97" s="7133"/>
      <c r="L97" s="4015">
        <v>92</v>
      </c>
      <c r="M97" s="4016">
        <v>66</v>
      </c>
      <c r="N97" s="4017">
        <f t="shared" si="1"/>
        <v>71.739130434782609</v>
      </c>
      <c r="O97" s="4018">
        <v>0.5757575757575758</v>
      </c>
      <c r="P97" s="4018">
        <v>0.4242424242424242</v>
      </c>
      <c r="Q97" s="4020">
        <v>0</v>
      </c>
      <c r="R97" s="4018">
        <v>0.05</v>
      </c>
      <c r="S97" s="4018">
        <v>0.15</v>
      </c>
      <c r="T97" s="4018">
        <v>0.4</v>
      </c>
      <c r="U97" s="4018">
        <v>0.5</v>
      </c>
      <c r="V97" s="1834"/>
      <c r="W97" s="1834"/>
      <c r="X97" s="1834"/>
      <c r="Y97" s="1834"/>
      <c r="Z97" s="1834"/>
      <c r="AA97" s="1834"/>
      <c r="AB97" s="1834"/>
      <c r="AC97" s="1834"/>
      <c r="AD97" s="1834"/>
      <c r="AE97" s="1834"/>
      <c r="AF97" s="1834"/>
      <c r="AG97" s="1834"/>
    </row>
    <row r="98" spans="1:33" s="3890" customFormat="1">
      <c r="A98" s="4189"/>
      <c r="B98" s="4189"/>
      <c r="C98" s="4189"/>
      <c r="D98" s="4189"/>
      <c r="E98" s="4189"/>
      <c r="F98" s="4189"/>
      <c r="G98" s="4189"/>
      <c r="H98" s="7133"/>
      <c r="I98" s="7134"/>
      <c r="J98" s="4019" t="s">
        <v>118</v>
      </c>
      <c r="K98" s="7133"/>
      <c r="L98" s="4015">
        <v>26</v>
      </c>
      <c r="M98" s="4016">
        <v>20</v>
      </c>
      <c r="N98" s="4017">
        <f t="shared" si="1"/>
        <v>76.92307692307692</v>
      </c>
      <c r="O98" s="4018">
        <v>0.55000000000000004</v>
      </c>
      <c r="P98" s="4018">
        <v>0.45</v>
      </c>
      <c r="Q98" s="4020">
        <v>0</v>
      </c>
      <c r="R98" s="4020">
        <v>0</v>
      </c>
      <c r="S98" s="4018">
        <v>0.1</v>
      </c>
      <c r="T98" s="4018">
        <v>0.3</v>
      </c>
      <c r="U98" s="4018">
        <v>0.4</v>
      </c>
      <c r="V98" s="1834"/>
      <c r="W98" s="1834"/>
      <c r="X98" s="1834"/>
      <c r="Y98" s="1834"/>
      <c r="Z98" s="1834"/>
      <c r="AA98" s="1834"/>
      <c r="AB98" s="1834"/>
      <c r="AC98" s="1834"/>
      <c r="AD98" s="1834"/>
      <c r="AE98" s="1834"/>
      <c r="AF98" s="1834"/>
      <c r="AG98" s="1834"/>
    </row>
    <row r="99" spans="1:33" s="3890" customFormat="1">
      <c r="A99" s="4189"/>
      <c r="B99" s="4189"/>
      <c r="C99" s="4189"/>
      <c r="D99" s="4189"/>
      <c r="E99" s="4189"/>
      <c r="F99" s="4189"/>
      <c r="G99" s="4189"/>
      <c r="H99" s="7133"/>
      <c r="I99" s="7134"/>
      <c r="J99" s="4019" t="s">
        <v>2623</v>
      </c>
      <c r="K99" s="7133"/>
      <c r="L99" s="4015">
        <v>38</v>
      </c>
      <c r="M99" s="4016">
        <v>31</v>
      </c>
      <c r="N99" s="4017">
        <f t="shared" si="1"/>
        <v>81.578947368421055</v>
      </c>
      <c r="O99" s="4018">
        <v>1</v>
      </c>
      <c r="P99" s="4020">
        <v>0</v>
      </c>
      <c r="Q99" s="4018">
        <v>3.3333333333333333E-2</v>
      </c>
      <c r="R99" s="4018">
        <v>3.3333333333333333E-2</v>
      </c>
      <c r="S99" s="4018">
        <v>0.23333333333333331</v>
      </c>
      <c r="T99" s="4018">
        <v>0.33333333333333326</v>
      </c>
      <c r="U99" s="4018">
        <v>0.66666666666666652</v>
      </c>
      <c r="V99" s="1834"/>
      <c r="W99" s="1834"/>
      <c r="X99" s="1834"/>
      <c r="Y99" s="1834"/>
      <c r="Z99" s="1834"/>
      <c r="AA99" s="1834"/>
      <c r="AB99" s="1834"/>
      <c r="AC99" s="1834"/>
      <c r="AD99" s="1834"/>
      <c r="AE99" s="1834"/>
      <c r="AF99" s="1834"/>
      <c r="AG99" s="1834"/>
    </row>
    <row r="100" spans="1:33" s="3890" customFormat="1">
      <c r="A100" s="4189"/>
      <c r="B100" s="4189"/>
      <c r="C100" s="4189"/>
      <c r="D100" s="4189"/>
      <c r="E100" s="4189"/>
      <c r="F100" s="4189"/>
      <c r="G100" s="4189"/>
      <c r="H100" s="7133"/>
      <c r="I100" s="7134"/>
      <c r="J100" s="4019" t="s">
        <v>2226</v>
      </c>
      <c r="K100" s="7133" t="s">
        <v>244</v>
      </c>
      <c r="L100" s="4015">
        <v>6</v>
      </c>
      <c r="M100" s="4016">
        <v>3</v>
      </c>
      <c r="N100" s="4017">
        <f t="shared" si="1"/>
        <v>50</v>
      </c>
      <c r="O100" s="4018">
        <v>1</v>
      </c>
      <c r="P100" s="4020">
        <v>0</v>
      </c>
      <c r="Q100" s="4020">
        <v>0</v>
      </c>
      <c r="R100" s="4020">
        <v>0</v>
      </c>
      <c r="S100" s="4020">
        <v>0</v>
      </c>
      <c r="T100" s="4018">
        <v>0.17647058823529413</v>
      </c>
      <c r="U100" s="4018">
        <v>0.76470588235294112</v>
      </c>
      <c r="V100" s="1834"/>
      <c r="W100" s="1834"/>
      <c r="X100" s="1834"/>
      <c r="Y100" s="1834"/>
      <c r="Z100" s="1834"/>
      <c r="AA100" s="1834"/>
      <c r="AB100" s="1834"/>
      <c r="AC100" s="1834"/>
      <c r="AD100" s="1834"/>
      <c r="AE100" s="1834"/>
      <c r="AF100" s="1834"/>
      <c r="AG100" s="1834"/>
    </row>
    <row r="101" spans="1:33" s="3890" customFormat="1">
      <c r="A101" s="4189"/>
      <c r="B101" s="4189"/>
      <c r="C101" s="4189"/>
      <c r="D101" s="4189"/>
      <c r="E101" s="4189"/>
      <c r="F101" s="4189"/>
      <c r="G101" s="4189"/>
      <c r="H101" s="7133"/>
      <c r="I101" s="7134"/>
      <c r="J101" s="4019" t="s">
        <v>2350</v>
      </c>
      <c r="K101" s="7133"/>
      <c r="L101" s="4015">
        <v>42</v>
      </c>
      <c r="M101" s="4016">
        <v>23</v>
      </c>
      <c r="N101" s="4017">
        <f t="shared" si="1"/>
        <v>54.761904761904759</v>
      </c>
      <c r="O101" s="4018">
        <v>0.73913043478260865</v>
      </c>
      <c r="P101" s="4018">
        <v>0.2608695652173913</v>
      </c>
      <c r="Q101" s="4020">
        <v>0</v>
      </c>
      <c r="R101" s="4020">
        <v>0</v>
      </c>
      <c r="S101" s="4018">
        <v>5.8823529411764698E-2</v>
      </c>
      <c r="T101" s="4018">
        <v>0.19047619047619047</v>
      </c>
      <c r="U101" s="4018">
        <v>0.5714285714285714</v>
      </c>
      <c r="V101" s="1834"/>
      <c r="W101" s="1834"/>
      <c r="X101" s="1834"/>
      <c r="Y101" s="1834"/>
      <c r="Z101" s="1834"/>
      <c r="AA101" s="1834"/>
      <c r="AB101" s="1834"/>
      <c r="AC101" s="1834"/>
      <c r="AD101" s="1834"/>
      <c r="AE101" s="1834"/>
      <c r="AF101" s="1834"/>
      <c r="AG101" s="1834"/>
    </row>
    <row r="102" spans="1:33" s="3890" customFormat="1">
      <c r="A102" s="4189"/>
      <c r="B102" s="4189"/>
      <c r="C102" s="4189"/>
      <c r="D102" s="4189"/>
      <c r="E102" s="4189"/>
      <c r="F102" s="4189"/>
      <c r="G102" s="4189"/>
      <c r="H102" s="7133"/>
      <c r="I102" s="7134"/>
      <c r="J102" s="4019" t="s">
        <v>118</v>
      </c>
      <c r="K102" s="7133"/>
      <c r="L102" s="4015">
        <v>30</v>
      </c>
      <c r="M102" s="4016">
        <v>24</v>
      </c>
      <c r="N102" s="4017">
        <f t="shared" si="1"/>
        <v>80</v>
      </c>
      <c r="O102" s="4018">
        <v>0.875</v>
      </c>
      <c r="P102" s="4018">
        <v>0.125</v>
      </c>
      <c r="Q102" s="4020">
        <v>0</v>
      </c>
      <c r="R102" s="4018">
        <v>4.7619047619047616E-2</v>
      </c>
      <c r="S102" s="4018">
        <v>0.19047619047619047</v>
      </c>
      <c r="T102" s="4018">
        <v>7.6923076923076927E-2</v>
      </c>
      <c r="U102" s="4018">
        <v>0.76923076923076938</v>
      </c>
      <c r="V102" s="1834"/>
      <c r="W102" s="1834"/>
      <c r="X102" s="1834"/>
      <c r="Y102" s="1834"/>
      <c r="Z102" s="1834"/>
      <c r="AA102" s="1834"/>
      <c r="AB102" s="1834"/>
      <c r="AC102" s="1834"/>
      <c r="AD102" s="1834"/>
      <c r="AE102" s="1834"/>
      <c r="AF102" s="1834"/>
      <c r="AG102" s="1834"/>
    </row>
    <row r="103" spans="1:33" s="3890" customFormat="1">
      <c r="A103" s="4189"/>
      <c r="B103" s="4189"/>
      <c r="C103" s="4189"/>
      <c r="D103" s="4189"/>
      <c r="E103" s="4189"/>
      <c r="F103" s="4189"/>
      <c r="G103" s="4189"/>
      <c r="H103" s="7133"/>
      <c r="I103" s="7134" t="s">
        <v>2172</v>
      </c>
      <c r="J103" s="4019" t="s">
        <v>2059</v>
      </c>
      <c r="K103" s="7133" t="s">
        <v>257</v>
      </c>
      <c r="L103" s="4015">
        <v>45</v>
      </c>
      <c r="M103" s="4016">
        <v>16</v>
      </c>
      <c r="N103" s="4017">
        <f t="shared" si="1"/>
        <v>35.555555555555557</v>
      </c>
      <c r="O103" s="4018">
        <v>0.8125</v>
      </c>
      <c r="P103" s="4018">
        <v>0.1875</v>
      </c>
      <c r="Q103" s="4020">
        <v>0</v>
      </c>
      <c r="R103" s="4020">
        <v>0</v>
      </c>
      <c r="S103" s="4018">
        <v>0.15384615384615385</v>
      </c>
      <c r="T103" s="4018">
        <v>0.13008130081300814</v>
      </c>
      <c r="U103" s="4018">
        <v>0.69918699186991873</v>
      </c>
      <c r="V103" s="1834"/>
      <c r="W103" s="1834"/>
      <c r="X103" s="1834"/>
      <c r="Y103" s="1834"/>
      <c r="Z103" s="1834"/>
      <c r="AA103" s="1834"/>
      <c r="AB103" s="1834"/>
      <c r="AC103" s="1834"/>
      <c r="AD103" s="1834"/>
      <c r="AE103" s="1834"/>
      <c r="AF103" s="1834"/>
      <c r="AG103" s="1834"/>
    </row>
    <row r="104" spans="1:33" s="3890" customFormat="1">
      <c r="A104" s="4189"/>
      <c r="B104" s="4189"/>
      <c r="C104" s="4189"/>
      <c r="D104" s="4189"/>
      <c r="E104" s="4189"/>
      <c r="F104" s="4189"/>
      <c r="G104" s="4189"/>
      <c r="H104" s="7133"/>
      <c r="I104" s="7134"/>
      <c r="J104" s="4019" t="s">
        <v>2351</v>
      </c>
      <c r="K104" s="7133"/>
      <c r="L104" s="4015">
        <v>374</v>
      </c>
      <c r="M104" s="4016">
        <v>146</v>
      </c>
      <c r="N104" s="4017">
        <f t="shared" si="1"/>
        <v>39.037433155080215</v>
      </c>
      <c r="O104" s="4018">
        <v>0.85616438356164382</v>
      </c>
      <c r="P104" s="4018">
        <v>0.14383561643835616</v>
      </c>
      <c r="Q104" s="4018">
        <v>4.878048780487805E-2</v>
      </c>
      <c r="R104" s="4018">
        <v>2.4390243902439025E-2</v>
      </c>
      <c r="S104" s="4018">
        <v>9.7560975609756101E-2</v>
      </c>
      <c r="T104" s="4020">
        <v>0</v>
      </c>
      <c r="U104" s="4018">
        <v>1</v>
      </c>
      <c r="V104" s="1834"/>
      <c r="W104" s="1834"/>
      <c r="X104" s="1834"/>
      <c r="Y104" s="1834"/>
      <c r="Z104" s="1834"/>
      <c r="AA104" s="1834"/>
      <c r="AB104" s="1834"/>
      <c r="AC104" s="1834"/>
      <c r="AD104" s="1834"/>
      <c r="AE104" s="1834"/>
      <c r="AF104" s="1834"/>
      <c r="AG104" s="1834"/>
    </row>
    <row r="105" spans="1:33" s="3890" customFormat="1">
      <c r="A105" s="4189"/>
      <c r="B105" s="4189"/>
      <c r="C105" s="4189"/>
      <c r="D105" s="4189"/>
      <c r="E105" s="4189"/>
      <c r="F105" s="4189"/>
      <c r="G105" s="4189"/>
      <c r="H105" s="7133"/>
      <c r="I105" s="7134"/>
      <c r="J105" s="4019" t="s">
        <v>1455</v>
      </c>
      <c r="K105" s="7133"/>
      <c r="L105" s="4015">
        <v>13</v>
      </c>
      <c r="M105" s="4016">
        <v>1</v>
      </c>
      <c r="N105" s="4017">
        <f t="shared" si="1"/>
        <v>7.6923076923076925</v>
      </c>
      <c r="O105" s="4018">
        <v>1</v>
      </c>
      <c r="P105" s="4020">
        <v>0</v>
      </c>
      <c r="Q105" s="4020">
        <v>0</v>
      </c>
      <c r="R105" s="4020">
        <v>0</v>
      </c>
      <c r="S105" s="4020">
        <v>0</v>
      </c>
      <c r="T105" s="4018">
        <v>0.25</v>
      </c>
      <c r="U105" s="4018">
        <v>0.75</v>
      </c>
      <c r="V105" s="1834"/>
      <c r="W105" s="1834"/>
      <c r="X105" s="1834"/>
      <c r="Y105" s="1834"/>
      <c r="Z105" s="1834"/>
      <c r="AA105" s="1834"/>
      <c r="AB105" s="1834"/>
      <c r="AC105" s="1834"/>
      <c r="AD105" s="1834"/>
      <c r="AE105" s="1834"/>
      <c r="AF105" s="1834"/>
      <c r="AG105" s="1834"/>
    </row>
    <row r="106" spans="1:33" s="3890" customFormat="1">
      <c r="A106" s="4189"/>
      <c r="B106" s="4189"/>
      <c r="C106" s="4189"/>
      <c r="D106" s="4189"/>
      <c r="E106" s="4189"/>
      <c r="F106" s="4189"/>
      <c r="G106" s="4189"/>
      <c r="H106" s="7133"/>
      <c r="I106" s="7134"/>
      <c r="J106" s="4019" t="s">
        <v>1457</v>
      </c>
      <c r="K106" s="7133"/>
      <c r="L106" s="4015">
        <v>4</v>
      </c>
      <c r="M106" s="4016">
        <v>4</v>
      </c>
      <c r="N106" s="4017">
        <f t="shared" si="1"/>
        <v>100</v>
      </c>
      <c r="O106" s="4018">
        <v>1</v>
      </c>
      <c r="P106" s="4020">
        <v>0</v>
      </c>
      <c r="Q106" s="4020">
        <v>0</v>
      </c>
      <c r="R106" s="4020">
        <v>0</v>
      </c>
      <c r="S106" s="4020">
        <v>0</v>
      </c>
      <c r="T106" s="4018">
        <v>0.25</v>
      </c>
      <c r="U106" s="4018">
        <v>0.5</v>
      </c>
      <c r="V106" s="1834"/>
      <c r="W106" s="1834"/>
      <c r="X106" s="1834"/>
      <c r="Y106" s="1834"/>
      <c r="Z106" s="1834"/>
      <c r="AA106" s="1834"/>
      <c r="AB106" s="1834"/>
      <c r="AC106" s="1834"/>
      <c r="AD106" s="1834"/>
      <c r="AE106" s="1834"/>
      <c r="AF106" s="1834"/>
      <c r="AG106" s="1834"/>
    </row>
    <row r="107" spans="1:33" s="3890" customFormat="1">
      <c r="A107" s="4189"/>
      <c r="B107" s="4189"/>
      <c r="C107" s="4189"/>
      <c r="D107" s="4189"/>
      <c r="E107" s="4189"/>
      <c r="F107" s="4189"/>
      <c r="G107" s="4189"/>
      <c r="H107" s="7133"/>
      <c r="I107" s="7134"/>
      <c r="J107" s="4019" t="s">
        <v>1454</v>
      </c>
      <c r="K107" s="7133"/>
      <c r="L107" s="4015">
        <v>39</v>
      </c>
      <c r="M107" s="4016">
        <v>24</v>
      </c>
      <c r="N107" s="4017">
        <f t="shared" si="1"/>
        <v>61.53846153846154</v>
      </c>
      <c r="O107" s="4018">
        <v>0.5714285714285714</v>
      </c>
      <c r="P107" s="4018">
        <v>0.42857142857142855</v>
      </c>
      <c r="Q107" s="4020">
        <v>0</v>
      </c>
      <c r="R107" s="4018">
        <v>0.25</v>
      </c>
      <c r="S107" s="4020">
        <v>0</v>
      </c>
      <c r="T107" s="4020">
        <v>0</v>
      </c>
      <c r="U107" s="4020">
        <v>0</v>
      </c>
      <c r="V107" s="1834"/>
      <c r="W107" s="1834"/>
      <c r="X107" s="1834"/>
      <c r="Y107" s="1834"/>
      <c r="Z107" s="1834"/>
      <c r="AA107" s="1834"/>
      <c r="AB107" s="1834"/>
      <c r="AC107" s="1834"/>
      <c r="AD107" s="1834"/>
      <c r="AE107" s="1834"/>
      <c r="AF107" s="1834"/>
      <c r="AG107" s="1834"/>
    </row>
    <row r="108" spans="1:33" s="3890" customFormat="1">
      <c r="A108" s="4189"/>
      <c r="B108" s="4189"/>
      <c r="C108" s="4189"/>
      <c r="D108" s="4189"/>
      <c r="E108" s="4189"/>
      <c r="F108" s="4189"/>
      <c r="G108" s="4189"/>
      <c r="H108" s="7133"/>
      <c r="I108" s="7134"/>
      <c r="J108" s="4019" t="s">
        <v>1458</v>
      </c>
      <c r="K108" s="7133"/>
      <c r="L108" s="4015">
        <v>1</v>
      </c>
      <c r="M108" s="4016">
        <v>1</v>
      </c>
      <c r="N108" s="4017">
        <f t="shared" si="1"/>
        <v>100</v>
      </c>
      <c r="O108" s="4018">
        <v>1</v>
      </c>
      <c r="P108" s="4020">
        <v>0</v>
      </c>
      <c r="Q108" s="4020">
        <v>0</v>
      </c>
      <c r="R108" s="4020">
        <v>0</v>
      </c>
      <c r="S108" s="4018">
        <v>1</v>
      </c>
      <c r="T108" s="4018">
        <v>0.22500000000000001</v>
      </c>
      <c r="U108" s="4018">
        <v>0.55000000000000004</v>
      </c>
      <c r="V108" s="1834"/>
      <c r="W108" s="1834"/>
      <c r="X108" s="1834"/>
      <c r="Y108" s="1834"/>
      <c r="Z108" s="1834"/>
      <c r="AA108" s="1834"/>
      <c r="AB108" s="1834"/>
      <c r="AC108" s="1834"/>
      <c r="AD108" s="1834"/>
      <c r="AE108" s="1834"/>
      <c r="AF108" s="1834"/>
      <c r="AG108" s="1834"/>
    </row>
    <row r="109" spans="1:33" s="3890" customFormat="1">
      <c r="A109" s="4189"/>
      <c r="B109" s="4189"/>
      <c r="C109" s="4189"/>
      <c r="D109" s="4189"/>
      <c r="E109" s="4189"/>
      <c r="F109" s="4189"/>
      <c r="G109" s="4189"/>
      <c r="H109" s="7133"/>
      <c r="I109" s="7134"/>
      <c r="J109" s="4019" t="s">
        <v>2351</v>
      </c>
      <c r="K109" s="7133" t="s">
        <v>243</v>
      </c>
      <c r="L109" s="4015">
        <v>200</v>
      </c>
      <c r="M109" s="4016">
        <v>53</v>
      </c>
      <c r="N109" s="4017">
        <f t="shared" si="1"/>
        <v>26.5</v>
      </c>
      <c r="O109" s="4018">
        <v>0.73584905660377364</v>
      </c>
      <c r="P109" s="4018">
        <v>0.26415094339622641</v>
      </c>
      <c r="Q109" s="4018">
        <v>2.5000000000000001E-2</v>
      </c>
      <c r="R109" s="4018">
        <v>7.4999999999999997E-2</v>
      </c>
      <c r="S109" s="4018">
        <v>0.125</v>
      </c>
      <c r="T109" s="4018">
        <v>0.25</v>
      </c>
      <c r="U109" s="4018">
        <v>0.5</v>
      </c>
      <c r="V109" s="1834"/>
      <c r="W109" s="1834"/>
      <c r="X109" s="1834"/>
      <c r="Y109" s="1834"/>
      <c r="Z109" s="1834"/>
      <c r="AA109" s="1834"/>
      <c r="AB109" s="1834"/>
      <c r="AC109" s="1834"/>
      <c r="AD109" s="1834"/>
      <c r="AE109" s="1834"/>
      <c r="AF109" s="1834"/>
      <c r="AG109" s="1834"/>
    </row>
    <row r="110" spans="1:33" s="3890" customFormat="1">
      <c r="A110" s="4189"/>
      <c r="B110" s="4189"/>
      <c r="C110" s="4189"/>
      <c r="D110" s="4189"/>
      <c r="E110" s="4189"/>
      <c r="F110" s="4189"/>
      <c r="G110" s="4189"/>
      <c r="H110" s="7133"/>
      <c r="I110" s="7134"/>
      <c r="J110" s="4019" t="s">
        <v>1455</v>
      </c>
      <c r="K110" s="7133"/>
      <c r="L110" s="4015">
        <v>25</v>
      </c>
      <c r="M110" s="4016">
        <v>4</v>
      </c>
      <c r="N110" s="4017">
        <f t="shared" si="1"/>
        <v>16</v>
      </c>
      <c r="O110" s="4018">
        <v>1</v>
      </c>
      <c r="P110" s="4020">
        <v>0</v>
      </c>
      <c r="Q110" s="4020">
        <v>0</v>
      </c>
      <c r="R110" s="4018">
        <v>0.25</v>
      </c>
      <c r="S110" s="4020">
        <v>0</v>
      </c>
      <c r="T110" s="4018">
        <v>0.5</v>
      </c>
      <c r="U110" s="4018">
        <v>0.5</v>
      </c>
      <c r="V110" s="1834"/>
      <c r="W110" s="1834"/>
      <c r="X110" s="1834"/>
      <c r="Y110" s="1834"/>
      <c r="Z110" s="1834"/>
      <c r="AA110" s="1834"/>
      <c r="AB110" s="1834"/>
      <c r="AC110" s="1834"/>
      <c r="AD110" s="1834"/>
      <c r="AE110" s="1834"/>
      <c r="AF110" s="1834"/>
      <c r="AG110" s="1834"/>
    </row>
    <row r="111" spans="1:33" s="3890" customFormat="1">
      <c r="A111" s="4189"/>
      <c r="B111" s="4189"/>
      <c r="C111" s="4189"/>
      <c r="D111" s="4189"/>
      <c r="E111" s="4189"/>
      <c r="F111" s="4189"/>
      <c r="G111" s="4189"/>
      <c r="H111" s="7133"/>
      <c r="I111" s="7134"/>
      <c r="J111" s="4019" t="s">
        <v>1456</v>
      </c>
      <c r="K111" s="7133"/>
      <c r="L111" s="4015">
        <v>16</v>
      </c>
      <c r="M111" s="4016">
        <v>2</v>
      </c>
      <c r="N111" s="4017">
        <f t="shared" si="1"/>
        <v>12.5</v>
      </c>
      <c r="O111" s="4018">
        <v>1</v>
      </c>
      <c r="P111" s="4020">
        <v>0</v>
      </c>
      <c r="Q111" s="4020">
        <v>0</v>
      </c>
      <c r="R111" s="4020">
        <v>0</v>
      </c>
      <c r="S111" s="4020">
        <v>0</v>
      </c>
      <c r="T111" s="4018">
        <v>0.14285714285714285</v>
      </c>
      <c r="U111" s="4018">
        <v>0.5714285714285714</v>
      </c>
      <c r="V111" s="1834"/>
      <c r="W111" s="1834"/>
      <c r="X111" s="1834"/>
      <c r="Y111" s="1834"/>
      <c r="Z111" s="1834"/>
      <c r="AA111" s="1834"/>
      <c r="AB111" s="1834"/>
      <c r="AC111" s="1834"/>
      <c r="AD111" s="1834"/>
      <c r="AE111" s="1834"/>
      <c r="AF111" s="1834"/>
      <c r="AG111" s="1834"/>
    </row>
    <row r="112" spans="1:33" s="3890" customFormat="1">
      <c r="A112" s="4189"/>
      <c r="B112" s="4189"/>
      <c r="C112" s="4189"/>
      <c r="D112" s="4189"/>
      <c r="E112" s="4189"/>
      <c r="F112" s="4189"/>
      <c r="G112" s="4189"/>
      <c r="H112" s="7133"/>
      <c r="I112" s="7134"/>
      <c r="J112" s="4019" t="s">
        <v>1457</v>
      </c>
      <c r="K112" s="7133"/>
      <c r="L112" s="4015">
        <v>30</v>
      </c>
      <c r="M112" s="4016">
        <v>17</v>
      </c>
      <c r="N112" s="4017">
        <f t="shared" si="1"/>
        <v>56.666666666666664</v>
      </c>
      <c r="O112" s="4018">
        <v>0.41176470588235292</v>
      </c>
      <c r="P112" s="4018">
        <v>0.58823529411764708</v>
      </c>
      <c r="Q112" s="4020">
        <v>0</v>
      </c>
      <c r="R112" s="4018">
        <v>0.14285714285714285</v>
      </c>
      <c r="S112" s="4018">
        <v>0.14285714285714285</v>
      </c>
      <c r="T112" s="4020">
        <v>0</v>
      </c>
      <c r="U112" s="4018">
        <v>0.5</v>
      </c>
      <c r="V112" s="1834"/>
      <c r="W112" s="1834"/>
      <c r="X112" s="1834"/>
      <c r="Y112" s="1834"/>
      <c r="Z112" s="1834"/>
      <c r="AA112" s="1834"/>
      <c r="AB112" s="1834"/>
      <c r="AC112" s="1834"/>
      <c r="AD112" s="1834"/>
      <c r="AE112" s="1834"/>
      <c r="AF112" s="1834"/>
      <c r="AG112" s="1834"/>
    </row>
    <row r="113" spans="1:33" s="3890" customFormat="1">
      <c r="A113" s="4189"/>
      <c r="B113" s="4189"/>
      <c r="C113" s="4189"/>
      <c r="D113" s="4189"/>
      <c r="E113" s="4189"/>
      <c r="F113" s="4189"/>
      <c r="G113" s="4189"/>
      <c r="H113" s="7133"/>
      <c r="I113" s="7134"/>
      <c r="J113" s="4019" t="s">
        <v>1458</v>
      </c>
      <c r="K113" s="7133"/>
      <c r="L113" s="4015">
        <v>20</v>
      </c>
      <c r="M113" s="4016">
        <v>2</v>
      </c>
      <c r="N113" s="4017">
        <f t="shared" si="1"/>
        <v>10</v>
      </c>
      <c r="O113" s="4018">
        <v>1</v>
      </c>
      <c r="P113" s="4020">
        <v>0</v>
      </c>
      <c r="Q113" s="4020">
        <v>0</v>
      </c>
      <c r="R113" s="4020">
        <v>0</v>
      </c>
      <c r="S113" s="4018">
        <v>0.5</v>
      </c>
      <c r="T113" s="4018">
        <v>5.2631578947368418E-2</v>
      </c>
      <c r="U113" s="4018">
        <v>0.68421052631578949</v>
      </c>
      <c r="V113" s="1834"/>
      <c r="W113" s="1834"/>
      <c r="X113" s="1834"/>
      <c r="Y113" s="1834"/>
      <c r="Z113" s="1834"/>
      <c r="AA113" s="1834"/>
      <c r="AB113" s="1834"/>
      <c r="AC113" s="1834"/>
      <c r="AD113" s="1834"/>
      <c r="AE113" s="1834"/>
      <c r="AF113" s="1834"/>
      <c r="AG113" s="1834"/>
    </row>
    <row r="114" spans="1:33" s="3890" customFormat="1">
      <c r="A114" s="4189"/>
      <c r="B114" s="4189"/>
      <c r="C114" s="4189"/>
      <c r="D114" s="4189"/>
      <c r="E114" s="4189"/>
      <c r="F114" s="4189"/>
      <c r="G114" s="4189"/>
      <c r="H114" s="7133"/>
      <c r="I114" s="7134"/>
      <c r="J114" s="4019" t="s">
        <v>2351</v>
      </c>
      <c r="K114" s="7133" t="s">
        <v>244</v>
      </c>
      <c r="L114" s="4015">
        <v>68</v>
      </c>
      <c r="M114" s="4016">
        <v>22</v>
      </c>
      <c r="N114" s="4017">
        <f t="shared" si="1"/>
        <v>32.352941176470587</v>
      </c>
      <c r="O114" s="4018">
        <v>0.90909090909090906</v>
      </c>
      <c r="P114" s="4018">
        <v>9.0909090909090912E-2</v>
      </c>
      <c r="Q114" s="4018">
        <v>5.2631578947368418E-2</v>
      </c>
      <c r="R114" s="4018">
        <v>5.2631578947368418E-2</v>
      </c>
      <c r="S114" s="4018">
        <v>0.15789473684210525</v>
      </c>
      <c r="T114" s="4020">
        <v>0</v>
      </c>
      <c r="U114" s="4020">
        <v>0</v>
      </c>
      <c r="V114" s="1834"/>
      <c r="W114" s="1834"/>
      <c r="X114" s="1834"/>
      <c r="Y114" s="1834"/>
      <c r="Z114" s="1834"/>
      <c r="AA114" s="1834"/>
      <c r="AB114" s="1834"/>
      <c r="AC114" s="1834"/>
      <c r="AD114" s="1834"/>
      <c r="AE114" s="1834"/>
      <c r="AF114" s="1834"/>
      <c r="AG114" s="1834"/>
    </row>
    <row r="115" spans="1:33" s="3890" customFormat="1">
      <c r="A115" s="4189"/>
      <c r="B115" s="4189"/>
      <c r="C115" s="4189"/>
      <c r="D115" s="4189"/>
      <c r="E115" s="4189"/>
      <c r="F115" s="4189"/>
      <c r="G115" s="4189"/>
      <c r="H115" s="7133"/>
      <c r="I115" s="7134"/>
      <c r="J115" s="4019" t="s">
        <v>1457</v>
      </c>
      <c r="K115" s="7133"/>
      <c r="L115" s="4015">
        <v>21</v>
      </c>
      <c r="M115" s="4016">
        <v>2</v>
      </c>
      <c r="N115" s="4017">
        <f t="shared" si="1"/>
        <v>9.5238095238095237</v>
      </c>
      <c r="O115" s="4018">
        <v>1</v>
      </c>
      <c r="P115" s="4020">
        <v>0</v>
      </c>
      <c r="Q115" s="4020">
        <v>0</v>
      </c>
      <c r="R115" s="4018">
        <v>0.5</v>
      </c>
      <c r="S115" s="4018">
        <v>0.5</v>
      </c>
      <c r="T115" s="4018">
        <v>0.3</v>
      </c>
      <c r="U115" s="4018">
        <v>0.6</v>
      </c>
      <c r="V115" s="1834"/>
      <c r="W115" s="1834"/>
      <c r="X115" s="1834"/>
      <c r="Y115" s="1834"/>
      <c r="Z115" s="1834"/>
      <c r="AA115" s="1834"/>
      <c r="AB115" s="1834"/>
      <c r="AC115" s="1834"/>
      <c r="AD115" s="1834"/>
      <c r="AE115" s="1834"/>
      <c r="AF115" s="1834"/>
      <c r="AG115" s="1834"/>
    </row>
    <row r="116" spans="1:33" s="3890" customFormat="1">
      <c r="A116" s="4189"/>
      <c r="B116" s="4189"/>
      <c r="C116" s="4189"/>
      <c r="D116" s="4189"/>
      <c r="E116" s="4189"/>
      <c r="F116" s="4189"/>
      <c r="G116" s="4189"/>
      <c r="H116" s="7133" t="s">
        <v>25</v>
      </c>
      <c r="I116" s="7134" t="s">
        <v>2176</v>
      </c>
      <c r="J116" s="4019" t="s">
        <v>2624</v>
      </c>
      <c r="K116" s="7133" t="s">
        <v>243</v>
      </c>
      <c r="L116" s="4015">
        <v>78</v>
      </c>
      <c r="M116" s="4016">
        <v>27</v>
      </c>
      <c r="N116" s="4017">
        <f t="shared" si="1"/>
        <v>34.615384615384613</v>
      </c>
      <c r="O116" s="4018">
        <v>0.74074074074074081</v>
      </c>
      <c r="P116" s="4018">
        <v>0.25925925925925924</v>
      </c>
      <c r="Q116" s="4020">
        <v>0</v>
      </c>
      <c r="R116" s="4018">
        <v>0.05</v>
      </c>
      <c r="S116" s="4018">
        <v>0.05</v>
      </c>
      <c r="T116" s="4018">
        <v>6.3492063492063489E-2</v>
      </c>
      <c r="U116" s="4018">
        <v>0.7142857142857143</v>
      </c>
      <c r="V116" s="1834"/>
      <c r="W116" s="1834"/>
      <c r="X116" s="1834"/>
      <c r="Y116" s="1834"/>
      <c r="Z116" s="1834"/>
      <c r="AA116" s="1834"/>
      <c r="AB116" s="1834"/>
      <c r="AC116" s="1834"/>
      <c r="AD116" s="1834"/>
      <c r="AE116" s="1834"/>
      <c r="AF116" s="1834"/>
      <c r="AG116" s="1834"/>
    </row>
    <row r="117" spans="1:33" s="3890" customFormat="1">
      <c r="A117" s="4189"/>
      <c r="B117" s="4189"/>
      <c r="C117" s="4189"/>
      <c r="D117" s="4189"/>
      <c r="E117" s="4189"/>
      <c r="F117" s="4189"/>
      <c r="G117" s="4189"/>
      <c r="H117" s="7133"/>
      <c r="I117" s="7134"/>
      <c r="J117" s="4019" t="s">
        <v>2625</v>
      </c>
      <c r="K117" s="7133"/>
      <c r="L117" s="4015">
        <v>159</v>
      </c>
      <c r="M117" s="4016">
        <v>71</v>
      </c>
      <c r="N117" s="4017">
        <f t="shared" si="1"/>
        <v>44.654088050314463</v>
      </c>
      <c r="O117" s="4018">
        <v>0.88732394366197187</v>
      </c>
      <c r="P117" s="4018">
        <v>0.11267605633802819</v>
      </c>
      <c r="Q117" s="4018">
        <v>3.1746031746031744E-2</v>
      </c>
      <c r="R117" s="4018">
        <v>6.3492063492063489E-2</v>
      </c>
      <c r="S117" s="4018">
        <v>0.12698412698412698</v>
      </c>
      <c r="T117" s="4020">
        <v>0</v>
      </c>
      <c r="U117" s="4018">
        <v>1</v>
      </c>
      <c r="V117" s="1834"/>
      <c r="W117" s="1834"/>
      <c r="X117" s="1834"/>
      <c r="Y117" s="1834"/>
      <c r="Z117" s="1834"/>
      <c r="AA117" s="1834"/>
      <c r="AB117" s="1834"/>
      <c r="AC117" s="1834"/>
      <c r="AD117" s="1834"/>
      <c r="AE117" s="1834"/>
      <c r="AF117" s="1834"/>
      <c r="AG117" s="1834"/>
    </row>
    <row r="118" spans="1:33" s="3890" customFormat="1">
      <c r="A118" s="4189"/>
      <c r="B118" s="4189"/>
      <c r="C118" s="4189"/>
      <c r="D118" s="4189"/>
      <c r="E118" s="4189"/>
      <c r="F118" s="4189"/>
      <c r="G118" s="4189"/>
      <c r="H118" s="7133"/>
      <c r="I118" s="7134"/>
      <c r="J118" s="4019" t="s">
        <v>2626</v>
      </c>
      <c r="K118" s="7133"/>
      <c r="L118" s="4015">
        <v>58</v>
      </c>
      <c r="M118" s="4016">
        <v>9</v>
      </c>
      <c r="N118" s="4017">
        <f t="shared" si="1"/>
        <v>15.517241379310345</v>
      </c>
      <c r="O118" s="4018">
        <v>0.7777777777777779</v>
      </c>
      <c r="P118" s="4018">
        <v>0.22222222222222221</v>
      </c>
      <c r="Q118" s="4020">
        <v>0</v>
      </c>
      <c r="R118" s="4020">
        <v>0</v>
      </c>
      <c r="S118" s="4020">
        <v>0</v>
      </c>
      <c r="T118" s="4018">
        <v>8.1081081081081086E-2</v>
      </c>
      <c r="U118" s="4018">
        <v>0.81081081081081086</v>
      </c>
      <c r="V118" s="1834"/>
      <c r="W118" s="1834"/>
      <c r="X118" s="1834"/>
      <c r="Y118" s="1834"/>
      <c r="Z118" s="1834"/>
      <c r="AA118" s="1834"/>
      <c r="AB118" s="1834"/>
      <c r="AC118" s="1834"/>
      <c r="AD118" s="1834"/>
      <c r="AE118" s="1834"/>
      <c r="AF118" s="1834"/>
      <c r="AG118" s="1834"/>
    </row>
    <row r="119" spans="1:33" s="3890" customFormat="1">
      <c r="A119" s="4189"/>
      <c r="B119" s="4189"/>
      <c r="C119" s="4189"/>
      <c r="D119" s="4189"/>
      <c r="E119" s="4189"/>
      <c r="F119" s="4189"/>
      <c r="G119" s="4189"/>
      <c r="H119" s="7133"/>
      <c r="I119" s="7134"/>
      <c r="J119" s="4019" t="s">
        <v>2193</v>
      </c>
      <c r="K119" s="7133"/>
      <c r="L119" s="4015">
        <v>112</v>
      </c>
      <c r="M119" s="4016">
        <v>45</v>
      </c>
      <c r="N119" s="4017">
        <f t="shared" si="1"/>
        <v>40.178571428571431</v>
      </c>
      <c r="O119" s="4018">
        <v>0.84444444444444444</v>
      </c>
      <c r="P119" s="4018">
        <v>0.15555555555555556</v>
      </c>
      <c r="Q119" s="4020">
        <v>0</v>
      </c>
      <c r="R119" s="4020">
        <v>0</v>
      </c>
      <c r="S119" s="4018">
        <v>0.1081081081081081</v>
      </c>
      <c r="T119" s="4018">
        <v>0.21052631578947367</v>
      </c>
      <c r="U119" s="4018">
        <v>0.68421052631578949</v>
      </c>
      <c r="V119" s="1834"/>
      <c r="W119" s="1834"/>
      <c r="X119" s="1834"/>
      <c r="Y119" s="1834"/>
      <c r="Z119" s="1834"/>
      <c r="AA119" s="1834"/>
      <c r="AB119" s="1834"/>
      <c r="AC119" s="1834"/>
      <c r="AD119" s="1834"/>
      <c r="AE119" s="1834"/>
      <c r="AF119" s="1834"/>
      <c r="AG119" s="1834"/>
    </row>
    <row r="120" spans="1:33" s="3890" customFormat="1">
      <c r="A120" s="4189"/>
      <c r="B120" s="4189"/>
      <c r="C120" s="4189"/>
      <c r="D120" s="4189"/>
      <c r="E120" s="4189"/>
      <c r="F120" s="4189"/>
      <c r="G120" s="4189"/>
      <c r="H120" s="7133"/>
      <c r="I120" s="7134"/>
      <c r="J120" s="4019" t="s">
        <v>2627</v>
      </c>
      <c r="K120" s="7133"/>
      <c r="L120" s="4015">
        <v>36</v>
      </c>
      <c r="M120" s="4016">
        <v>25</v>
      </c>
      <c r="N120" s="4017">
        <f t="shared" si="1"/>
        <v>69.444444444444443</v>
      </c>
      <c r="O120" s="4018">
        <v>0.76</v>
      </c>
      <c r="P120" s="4018">
        <v>0.24</v>
      </c>
      <c r="Q120" s="4018">
        <v>5.2631578947368418E-2</v>
      </c>
      <c r="R120" s="4020">
        <v>0</v>
      </c>
      <c r="S120" s="4018">
        <v>5.2631578947368418E-2</v>
      </c>
      <c r="T120" s="4018">
        <v>0.22448979591836735</v>
      </c>
      <c r="U120" s="4018">
        <v>0.44897959183673469</v>
      </c>
      <c r="V120" s="1834"/>
      <c r="W120" s="1834"/>
      <c r="X120" s="1834"/>
      <c r="Y120" s="1834"/>
      <c r="Z120" s="1834"/>
      <c r="AA120" s="1834"/>
      <c r="AB120" s="1834"/>
      <c r="AC120" s="1834"/>
      <c r="AD120" s="1834"/>
      <c r="AE120" s="1834"/>
      <c r="AF120" s="1834"/>
      <c r="AG120" s="1834"/>
    </row>
    <row r="121" spans="1:33" s="3890" customFormat="1">
      <c r="A121" s="4189"/>
      <c r="B121" s="4189"/>
      <c r="C121" s="4189"/>
      <c r="D121" s="4189"/>
      <c r="E121" s="4189"/>
      <c r="F121" s="4189"/>
      <c r="G121" s="4189"/>
      <c r="H121" s="7133"/>
      <c r="I121" s="7134"/>
      <c r="J121" s="4019" t="s">
        <v>119</v>
      </c>
      <c r="K121" s="7133"/>
      <c r="L121" s="4015">
        <v>95</v>
      </c>
      <c r="M121" s="4016">
        <v>84</v>
      </c>
      <c r="N121" s="4017">
        <f t="shared" si="1"/>
        <v>88.421052631578945</v>
      </c>
      <c r="O121" s="4018">
        <v>0.5357142857142857</v>
      </c>
      <c r="P121" s="4018">
        <v>0.4642857142857143</v>
      </c>
      <c r="Q121" s="4018">
        <v>0.10204081632653061</v>
      </c>
      <c r="R121" s="4018">
        <v>4.0816326530612249E-2</v>
      </c>
      <c r="S121" s="4018">
        <v>0.18367346938775511</v>
      </c>
      <c r="T121" s="4018">
        <v>0.28030303030303028</v>
      </c>
      <c r="U121" s="4018">
        <v>0.43181818181818182</v>
      </c>
      <c r="V121" s="1834"/>
      <c r="W121" s="1834"/>
      <c r="X121" s="1834"/>
      <c r="Y121" s="1834"/>
      <c r="Z121" s="1834"/>
      <c r="AA121" s="1834"/>
      <c r="AB121" s="1834"/>
      <c r="AC121" s="1834"/>
      <c r="AD121" s="1834"/>
      <c r="AE121" s="1834"/>
      <c r="AF121" s="1834"/>
      <c r="AG121" s="1834"/>
    </row>
    <row r="122" spans="1:33" s="3890" customFormat="1">
      <c r="A122" s="4189"/>
      <c r="B122" s="4189"/>
      <c r="C122" s="4189"/>
      <c r="D122" s="4189"/>
      <c r="E122" s="4189"/>
      <c r="F122" s="4189"/>
      <c r="G122" s="4189"/>
      <c r="H122" s="7133"/>
      <c r="I122" s="7134"/>
      <c r="J122" s="4019" t="s">
        <v>120</v>
      </c>
      <c r="K122" s="7133"/>
      <c r="L122" s="4015">
        <v>217</v>
      </c>
      <c r="M122" s="4016">
        <v>174</v>
      </c>
      <c r="N122" s="4017">
        <f t="shared" si="1"/>
        <v>80.184331797235018</v>
      </c>
      <c r="O122" s="4018">
        <v>0.75287356321839083</v>
      </c>
      <c r="P122" s="4018">
        <v>0.2471264367816092</v>
      </c>
      <c r="Q122" s="4018">
        <v>3.787878787878788E-2</v>
      </c>
      <c r="R122" s="4018">
        <v>7.575757575757576E-2</v>
      </c>
      <c r="S122" s="4018">
        <v>0.17424242424242425</v>
      </c>
      <c r="T122" s="4018">
        <v>0.17857142857142858</v>
      </c>
      <c r="U122" s="4018">
        <v>0.5</v>
      </c>
      <c r="V122" s="1834"/>
      <c r="W122" s="1834"/>
      <c r="X122" s="1834"/>
      <c r="Y122" s="1834"/>
      <c r="Z122" s="1834"/>
      <c r="AA122" s="1834"/>
      <c r="AB122" s="1834"/>
      <c r="AC122" s="1834"/>
      <c r="AD122" s="1834"/>
      <c r="AE122" s="1834"/>
      <c r="AF122" s="1834"/>
      <c r="AG122" s="1834"/>
    </row>
    <row r="123" spans="1:33" s="3890" customFormat="1">
      <c r="A123" s="4189"/>
      <c r="B123" s="4189"/>
      <c r="C123" s="4189"/>
      <c r="D123" s="4189"/>
      <c r="E123" s="4189"/>
      <c r="F123" s="4189"/>
      <c r="G123" s="4189"/>
      <c r="H123" s="7133"/>
      <c r="I123" s="7134"/>
      <c r="J123" s="4019" t="s">
        <v>121</v>
      </c>
      <c r="K123" s="7133"/>
      <c r="L123" s="4015">
        <v>134</v>
      </c>
      <c r="M123" s="4016">
        <v>97</v>
      </c>
      <c r="N123" s="4017">
        <f t="shared" si="1"/>
        <v>72.388059701492537</v>
      </c>
      <c r="O123" s="4018">
        <v>0.55670103092783507</v>
      </c>
      <c r="P123" s="4018">
        <v>0.44329896907216493</v>
      </c>
      <c r="Q123" s="4018">
        <v>8.9285714285714288E-2</v>
      </c>
      <c r="R123" s="4018">
        <v>8.9285714285714288E-2</v>
      </c>
      <c r="S123" s="4018">
        <v>0.14285714285714285</v>
      </c>
      <c r="T123" s="4018">
        <v>0.20833333333333337</v>
      </c>
      <c r="U123" s="4018">
        <v>0.5625</v>
      </c>
      <c r="V123" s="1834"/>
      <c r="W123" s="1834"/>
      <c r="X123" s="1834"/>
      <c r="Y123" s="1834"/>
      <c r="Z123" s="1834"/>
      <c r="AA123" s="1834"/>
      <c r="AB123" s="1834"/>
      <c r="AC123" s="1834"/>
      <c r="AD123" s="1834"/>
      <c r="AE123" s="1834"/>
      <c r="AF123" s="1834"/>
      <c r="AG123" s="1834"/>
    </row>
    <row r="124" spans="1:33" s="3890" customFormat="1">
      <c r="A124" s="4189"/>
      <c r="B124" s="4189"/>
      <c r="C124" s="4189"/>
      <c r="D124" s="4189"/>
      <c r="E124" s="4189"/>
      <c r="F124" s="4189"/>
      <c r="G124" s="4189"/>
      <c r="H124" s="7133"/>
      <c r="I124" s="7134"/>
      <c r="J124" s="4019" t="s">
        <v>122</v>
      </c>
      <c r="K124" s="7133"/>
      <c r="L124" s="4015">
        <v>189</v>
      </c>
      <c r="M124" s="4016">
        <v>76</v>
      </c>
      <c r="N124" s="4017">
        <f t="shared" si="1"/>
        <v>40.211640211640209</v>
      </c>
      <c r="O124" s="4018">
        <v>0.63157894736842102</v>
      </c>
      <c r="P124" s="4018">
        <v>0.36842105263157893</v>
      </c>
      <c r="Q124" s="4018">
        <v>2.0833333333333329E-2</v>
      </c>
      <c r="R124" s="4018">
        <v>8.3333333333333315E-2</v>
      </c>
      <c r="S124" s="4018">
        <v>0.125</v>
      </c>
      <c r="T124" s="4018">
        <v>0.20930232558139536</v>
      </c>
      <c r="U124" s="4018">
        <v>0.53488372093023251</v>
      </c>
      <c r="V124" s="1834"/>
      <c r="W124" s="1834"/>
      <c r="X124" s="1834"/>
      <c r="Y124" s="1834"/>
      <c r="Z124" s="1834"/>
      <c r="AA124" s="1834"/>
      <c r="AB124" s="1834"/>
      <c r="AC124" s="1834"/>
      <c r="AD124" s="1834"/>
      <c r="AE124" s="1834"/>
      <c r="AF124" s="1834"/>
      <c r="AG124" s="1834"/>
    </row>
    <row r="125" spans="1:33" s="3890" customFormat="1">
      <c r="A125" s="4189"/>
      <c r="B125" s="4189"/>
      <c r="C125" s="4189"/>
      <c r="D125" s="4189"/>
      <c r="E125" s="4189"/>
      <c r="F125" s="4189"/>
      <c r="G125" s="4189"/>
      <c r="H125" s="7133"/>
      <c r="I125" s="7134"/>
      <c r="J125" s="4019" t="s">
        <v>123</v>
      </c>
      <c r="K125" s="7133"/>
      <c r="L125" s="4015">
        <v>157</v>
      </c>
      <c r="M125" s="4016">
        <v>117</v>
      </c>
      <c r="N125" s="4017">
        <f t="shared" si="1"/>
        <v>74.522292993630572</v>
      </c>
      <c r="O125" s="4018">
        <v>0.7350427350427351</v>
      </c>
      <c r="P125" s="4018">
        <v>0.26495726495726496</v>
      </c>
      <c r="Q125" s="4018">
        <v>5.8139534883720929E-2</v>
      </c>
      <c r="R125" s="4018">
        <v>4.6511627906976744E-2</v>
      </c>
      <c r="S125" s="4018">
        <v>0.15116279069767441</v>
      </c>
      <c r="T125" s="4018">
        <v>7.1428571428571425E-2</v>
      </c>
      <c r="U125" s="4018">
        <v>0.6428571428571429</v>
      </c>
      <c r="V125" s="1834"/>
      <c r="W125" s="1834"/>
      <c r="X125" s="1834"/>
      <c r="Y125" s="1834"/>
      <c r="Z125" s="1834"/>
      <c r="AA125" s="1834"/>
      <c r="AB125" s="1834"/>
      <c r="AC125" s="1834"/>
      <c r="AD125" s="1834"/>
      <c r="AE125" s="1834"/>
      <c r="AF125" s="1834"/>
      <c r="AG125" s="1834"/>
    </row>
    <row r="126" spans="1:33" s="3890" customFormat="1">
      <c r="A126" s="4189"/>
      <c r="B126" s="4189"/>
      <c r="C126" s="4189"/>
      <c r="D126" s="4189"/>
      <c r="E126" s="4189"/>
      <c r="F126" s="4189"/>
      <c r="G126" s="4189"/>
      <c r="H126" s="7133"/>
      <c r="I126" s="7134"/>
      <c r="J126" s="4019" t="s">
        <v>273</v>
      </c>
      <c r="K126" s="7133"/>
      <c r="L126" s="4015">
        <v>17</v>
      </c>
      <c r="M126" s="4016">
        <v>15</v>
      </c>
      <c r="N126" s="4017">
        <f t="shared" si="1"/>
        <v>88.235294117647058</v>
      </c>
      <c r="O126" s="4018">
        <v>0.93333333333333324</v>
      </c>
      <c r="P126" s="4018">
        <v>6.6666666666666666E-2</v>
      </c>
      <c r="Q126" s="4020">
        <v>0</v>
      </c>
      <c r="R126" s="4018">
        <v>7.1428571428571425E-2</v>
      </c>
      <c r="S126" s="4018">
        <v>0.21428571428571427</v>
      </c>
      <c r="T126" s="4018">
        <v>0.30952380952380953</v>
      </c>
      <c r="U126" s="4018">
        <v>0.5</v>
      </c>
      <c r="V126" s="1834"/>
      <c r="W126" s="1834"/>
      <c r="X126" s="1834"/>
      <c r="Y126" s="1834"/>
      <c r="Z126" s="1834"/>
      <c r="AA126" s="1834"/>
      <c r="AB126" s="1834"/>
      <c r="AC126" s="1834"/>
      <c r="AD126" s="1834"/>
      <c r="AE126" s="1834"/>
      <c r="AF126" s="1834"/>
      <c r="AG126" s="1834"/>
    </row>
    <row r="127" spans="1:33" s="3890" customFormat="1">
      <c r="A127" s="4189"/>
      <c r="B127" s="4189"/>
      <c r="C127" s="4189"/>
      <c r="D127" s="4189"/>
      <c r="E127" s="4189"/>
      <c r="F127" s="4189"/>
      <c r="G127" s="4189"/>
      <c r="H127" s="7133"/>
      <c r="I127" s="7134"/>
      <c r="J127" s="4019" t="s">
        <v>388</v>
      </c>
      <c r="K127" s="7133"/>
      <c r="L127" s="4015">
        <v>87</v>
      </c>
      <c r="M127" s="4016">
        <v>60</v>
      </c>
      <c r="N127" s="4017">
        <f t="shared" si="1"/>
        <v>68.965517241379317</v>
      </c>
      <c r="O127" s="4018">
        <v>0.7</v>
      </c>
      <c r="P127" s="4018">
        <v>0.3</v>
      </c>
      <c r="Q127" s="4020">
        <v>0</v>
      </c>
      <c r="R127" s="4018">
        <v>7.1428571428571425E-2</v>
      </c>
      <c r="S127" s="4018">
        <v>0.11904761904761903</v>
      </c>
      <c r="T127" s="4018">
        <v>0.20833333333333337</v>
      </c>
      <c r="U127" s="4018">
        <v>0.25</v>
      </c>
      <c r="V127" s="1834"/>
      <c r="W127" s="1834"/>
      <c r="X127" s="1834"/>
      <c r="Y127" s="1834"/>
      <c r="Z127" s="1834"/>
      <c r="AA127" s="1834"/>
      <c r="AB127" s="1834"/>
      <c r="AC127" s="1834"/>
      <c r="AD127" s="1834"/>
      <c r="AE127" s="1834"/>
      <c r="AF127" s="1834"/>
      <c r="AG127" s="1834"/>
    </row>
    <row r="128" spans="1:33" s="3890" customFormat="1">
      <c r="A128" s="4189"/>
      <c r="B128" s="4189"/>
      <c r="C128" s="4189"/>
      <c r="D128" s="4189"/>
      <c r="E128" s="4189"/>
      <c r="F128" s="4189"/>
      <c r="G128" s="4189"/>
      <c r="H128" s="7133"/>
      <c r="I128" s="7134"/>
      <c r="J128" s="4019" t="s">
        <v>681</v>
      </c>
      <c r="K128" s="7133"/>
      <c r="L128" s="4015">
        <v>69</v>
      </c>
      <c r="M128" s="4016">
        <v>45</v>
      </c>
      <c r="N128" s="4017">
        <f t="shared" si="1"/>
        <v>65.217391304347828</v>
      </c>
      <c r="O128" s="4018">
        <v>0.55555555555555558</v>
      </c>
      <c r="P128" s="4018">
        <v>0.44444444444444442</v>
      </c>
      <c r="Q128" s="4018">
        <v>0.125</v>
      </c>
      <c r="R128" s="4018">
        <v>0.16666666666666663</v>
      </c>
      <c r="S128" s="4018">
        <v>0.25</v>
      </c>
      <c r="T128" s="4018">
        <v>0.16788321167883211</v>
      </c>
      <c r="U128" s="4018">
        <v>0.66423357664233573</v>
      </c>
      <c r="V128" s="1834"/>
      <c r="W128" s="1834"/>
      <c r="X128" s="1834"/>
      <c r="Y128" s="1834"/>
      <c r="Z128" s="1834"/>
      <c r="AA128" s="1834"/>
      <c r="AB128" s="1834"/>
      <c r="AC128" s="1834"/>
      <c r="AD128" s="1834"/>
      <c r="AE128" s="1834"/>
      <c r="AF128" s="1834"/>
      <c r="AG128" s="1834"/>
    </row>
    <row r="129" spans="1:33" s="3890" customFormat="1">
      <c r="A129" s="4189"/>
      <c r="B129" s="4189"/>
      <c r="C129" s="4189"/>
      <c r="D129" s="4189"/>
      <c r="E129" s="4189"/>
      <c r="F129" s="4189"/>
      <c r="G129" s="4189"/>
      <c r="H129" s="7133"/>
      <c r="I129" s="7134"/>
      <c r="J129" s="4019" t="s">
        <v>2200</v>
      </c>
      <c r="K129" s="7133" t="s">
        <v>244</v>
      </c>
      <c r="L129" s="4015">
        <v>302</v>
      </c>
      <c r="M129" s="4016">
        <v>180</v>
      </c>
      <c r="N129" s="4017">
        <f t="shared" si="1"/>
        <v>59.602649006622514</v>
      </c>
      <c r="O129" s="4018">
        <v>0.77222222222222225</v>
      </c>
      <c r="P129" s="4018">
        <v>0.22777777777777777</v>
      </c>
      <c r="Q129" s="4018">
        <v>2.9197080291970802E-2</v>
      </c>
      <c r="R129" s="4018">
        <v>5.1094890510948912E-2</v>
      </c>
      <c r="S129" s="4018">
        <v>8.7591240875912413E-2</v>
      </c>
      <c r="T129" s="4018">
        <v>0.23684210526315788</v>
      </c>
      <c r="U129" s="4018">
        <v>0.68421052631578949</v>
      </c>
      <c r="V129" s="1834"/>
      <c r="W129" s="1834"/>
      <c r="X129" s="1834"/>
      <c r="Y129" s="1834"/>
      <c r="Z129" s="1834"/>
      <c r="AA129" s="1834"/>
      <c r="AB129" s="1834"/>
      <c r="AC129" s="1834"/>
      <c r="AD129" s="1834"/>
      <c r="AE129" s="1834"/>
      <c r="AF129" s="1834"/>
      <c r="AG129" s="1834"/>
    </row>
    <row r="130" spans="1:33" s="3890" customFormat="1">
      <c r="A130" s="4189"/>
      <c r="B130" s="4189"/>
      <c r="C130" s="4189"/>
      <c r="D130" s="4189"/>
      <c r="E130" s="4189"/>
      <c r="F130" s="4189"/>
      <c r="G130" s="4189"/>
      <c r="H130" s="7133"/>
      <c r="I130" s="7134"/>
      <c r="J130" s="4019" t="s">
        <v>120</v>
      </c>
      <c r="K130" s="7133"/>
      <c r="L130" s="4015">
        <v>68</v>
      </c>
      <c r="M130" s="4016">
        <v>43</v>
      </c>
      <c r="N130" s="4017">
        <f t="shared" si="1"/>
        <v>63.235294117647058</v>
      </c>
      <c r="O130" s="4018">
        <v>0.88372093023255816</v>
      </c>
      <c r="P130" s="4018">
        <v>0.11627906976744186</v>
      </c>
      <c r="Q130" s="4018">
        <v>2.6315789473684209E-2</v>
      </c>
      <c r="R130" s="4018">
        <v>2.6315789473684209E-2</v>
      </c>
      <c r="S130" s="4018">
        <v>2.6315789473684209E-2</v>
      </c>
      <c r="T130" s="4018">
        <v>0.20353982300884957</v>
      </c>
      <c r="U130" s="4018">
        <v>0.69911504424778759</v>
      </c>
      <c r="V130" s="1834"/>
      <c r="W130" s="1834"/>
      <c r="X130" s="1834"/>
      <c r="Y130" s="1834"/>
      <c r="Z130" s="1834"/>
      <c r="AA130" s="1834"/>
      <c r="AB130" s="1834"/>
      <c r="AC130" s="1834"/>
      <c r="AD130" s="1834"/>
      <c r="AE130" s="1834"/>
      <c r="AF130" s="1834"/>
      <c r="AG130" s="1834"/>
    </row>
    <row r="131" spans="1:33" s="3890" customFormat="1">
      <c r="A131" s="4189"/>
      <c r="B131" s="4189"/>
      <c r="C131" s="4189"/>
      <c r="D131" s="4189"/>
      <c r="E131" s="4189"/>
      <c r="F131" s="4189"/>
      <c r="G131" s="4189"/>
      <c r="H131" s="7133"/>
      <c r="I131" s="7134"/>
      <c r="J131" s="4019" t="s">
        <v>121</v>
      </c>
      <c r="K131" s="7133"/>
      <c r="L131" s="4015">
        <v>173</v>
      </c>
      <c r="M131" s="4016">
        <v>132</v>
      </c>
      <c r="N131" s="4017">
        <f t="shared" si="1"/>
        <v>76.300578034682076</v>
      </c>
      <c r="O131" s="4018">
        <v>0.83969465648854968</v>
      </c>
      <c r="P131" s="4018">
        <v>0.16030534351145037</v>
      </c>
      <c r="Q131" s="4018">
        <v>2.6548672566371681E-2</v>
      </c>
      <c r="R131" s="4018">
        <v>8.8495575221238937E-3</v>
      </c>
      <c r="S131" s="4018">
        <v>6.1946902654867256E-2</v>
      </c>
      <c r="T131" s="4018">
        <v>0.10714285714285714</v>
      </c>
      <c r="U131" s="4018">
        <v>0.7857142857142857</v>
      </c>
      <c r="V131" s="1834"/>
      <c r="W131" s="1834"/>
      <c r="X131" s="1834"/>
      <c r="Y131" s="1834"/>
      <c r="Z131" s="1834"/>
      <c r="AA131" s="1834"/>
      <c r="AB131" s="1834"/>
      <c r="AC131" s="1834"/>
      <c r="AD131" s="1834"/>
      <c r="AE131" s="1834"/>
      <c r="AF131" s="1834"/>
      <c r="AG131" s="1834"/>
    </row>
    <row r="132" spans="1:33" s="3890" customFormat="1">
      <c r="A132" s="4189"/>
      <c r="B132" s="4189"/>
      <c r="C132" s="4189"/>
      <c r="D132" s="4189"/>
      <c r="E132" s="4189"/>
      <c r="F132" s="4189"/>
      <c r="G132" s="4189"/>
      <c r="H132" s="7133"/>
      <c r="I132" s="7134"/>
      <c r="J132" s="4019" t="s">
        <v>122</v>
      </c>
      <c r="K132" s="7133"/>
      <c r="L132" s="4015">
        <v>85</v>
      </c>
      <c r="M132" s="4016">
        <v>32</v>
      </c>
      <c r="N132" s="4017">
        <f t="shared" si="1"/>
        <v>37.647058823529413</v>
      </c>
      <c r="O132" s="4018">
        <v>0.875</v>
      </c>
      <c r="P132" s="4018">
        <v>0.125</v>
      </c>
      <c r="Q132" s="4020">
        <v>0</v>
      </c>
      <c r="R132" s="4018">
        <v>3.5714285714285712E-2</v>
      </c>
      <c r="S132" s="4018">
        <v>7.1428571428571425E-2</v>
      </c>
      <c r="T132" s="4018">
        <v>0.2608695652173913</v>
      </c>
      <c r="U132" s="4018">
        <v>0.69565217391304346</v>
      </c>
      <c r="V132" s="1834"/>
      <c r="W132" s="1834"/>
      <c r="X132" s="1834"/>
      <c r="Y132" s="1834"/>
      <c r="Z132" s="1834"/>
      <c r="AA132" s="1834"/>
      <c r="AB132" s="1834"/>
      <c r="AC132" s="1834"/>
      <c r="AD132" s="1834"/>
      <c r="AE132" s="1834"/>
      <c r="AF132" s="1834"/>
      <c r="AG132" s="1834"/>
    </row>
    <row r="133" spans="1:33" s="3890" customFormat="1">
      <c r="A133" s="4189"/>
      <c r="B133" s="4189"/>
      <c r="C133" s="4189"/>
      <c r="D133" s="4189"/>
      <c r="E133" s="4189"/>
      <c r="F133" s="4189"/>
      <c r="G133" s="4189"/>
      <c r="H133" s="7133"/>
      <c r="I133" s="7134"/>
      <c r="J133" s="4019" t="s">
        <v>123</v>
      </c>
      <c r="K133" s="7133"/>
      <c r="L133" s="4015">
        <v>37</v>
      </c>
      <c r="M133" s="4016">
        <v>23</v>
      </c>
      <c r="N133" s="4017">
        <f t="shared" si="1"/>
        <v>62.162162162162161</v>
      </c>
      <c r="O133" s="4018">
        <v>1</v>
      </c>
      <c r="P133" s="4020">
        <v>0</v>
      </c>
      <c r="Q133" s="4020">
        <v>0</v>
      </c>
      <c r="R133" s="4020">
        <v>0</v>
      </c>
      <c r="S133" s="4018">
        <v>4.3478260869565216E-2</v>
      </c>
      <c r="T133" s="4018">
        <v>0.1111111111111111</v>
      </c>
      <c r="U133" s="4018">
        <v>0.88888888888888884</v>
      </c>
      <c r="V133" s="1834"/>
      <c r="W133" s="1834"/>
      <c r="X133" s="1834"/>
      <c r="Y133" s="1834"/>
      <c r="Z133" s="1834"/>
      <c r="AA133" s="1834"/>
      <c r="AB133" s="1834"/>
      <c r="AC133" s="1834"/>
      <c r="AD133" s="1834"/>
      <c r="AE133" s="1834"/>
      <c r="AF133" s="1834"/>
      <c r="AG133" s="1834"/>
    </row>
    <row r="134" spans="1:33" s="3890" customFormat="1">
      <c r="A134" s="4189"/>
      <c r="B134" s="4189"/>
      <c r="C134" s="4189"/>
      <c r="D134" s="4189"/>
      <c r="E134" s="4189"/>
      <c r="F134" s="4189"/>
      <c r="G134" s="4189"/>
      <c r="H134" s="7133"/>
      <c r="I134" s="7134"/>
      <c r="J134" s="4019" t="s">
        <v>388</v>
      </c>
      <c r="K134" s="7133"/>
      <c r="L134" s="4015">
        <v>12</v>
      </c>
      <c r="M134" s="4016">
        <v>10</v>
      </c>
      <c r="N134" s="4017">
        <f t="shared" si="1"/>
        <v>83.333333333333329</v>
      </c>
      <c r="O134" s="4018">
        <v>0.9</v>
      </c>
      <c r="P134" s="4018">
        <v>0.1</v>
      </c>
      <c r="Q134" s="4020">
        <v>0</v>
      </c>
      <c r="R134" s="4020">
        <v>0</v>
      </c>
      <c r="S134" s="4020">
        <v>0</v>
      </c>
      <c r="T134" s="4018">
        <v>0.5</v>
      </c>
      <c r="U134" s="4018">
        <v>0.5</v>
      </c>
      <c r="V134" s="1834"/>
      <c r="W134" s="1834"/>
      <c r="X134" s="1834"/>
      <c r="Y134" s="1834"/>
      <c r="Z134" s="1834"/>
      <c r="AA134" s="1834"/>
      <c r="AB134" s="1834"/>
      <c r="AC134" s="1834"/>
      <c r="AD134" s="1834"/>
      <c r="AE134" s="1834"/>
      <c r="AF134" s="1834"/>
      <c r="AG134" s="1834"/>
    </row>
    <row r="135" spans="1:33" s="3890" customFormat="1">
      <c r="A135" s="4189"/>
      <c r="B135" s="4189"/>
      <c r="C135" s="4189"/>
      <c r="D135" s="4189"/>
      <c r="E135" s="4189"/>
      <c r="F135" s="4189"/>
      <c r="G135" s="4189"/>
      <c r="H135" s="7133"/>
      <c r="I135" s="7134"/>
      <c r="J135" s="4019" t="s">
        <v>681</v>
      </c>
      <c r="K135" s="7133"/>
      <c r="L135" s="4015">
        <v>4</v>
      </c>
      <c r="M135" s="4016">
        <v>2</v>
      </c>
      <c r="N135" s="4017">
        <f t="shared" si="1"/>
        <v>50</v>
      </c>
      <c r="O135" s="4018">
        <v>0.5</v>
      </c>
      <c r="P135" s="4018">
        <v>0.5</v>
      </c>
      <c r="Q135" s="4020">
        <v>0</v>
      </c>
      <c r="R135" s="4020">
        <v>0</v>
      </c>
      <c r="S135" s="4020">
        <v>0</v>
      </c>
      <c r="T135" s="4018">
        <v>0.1111111111111111</v>
      </c>
      <c r="U135" s="4018">
        <v>0.66666666666666652</v>
      </c>
      <c r="V135" s="1834"/>
      <c r="W135" s="1834"/>
      <c r="X135" s="1834"/>
      <c r="Y135" s="1834"/>
      <c r="Z135" s="1834"/>
      <c r="AA135" s="1834"/>
      <c r="AB135" s="1834"/>
      <c r="AC135" s="1834"/>
      <c r="AD135" s="1834"/>
      <c r="AE135" s="1834"/>
      <c r="AF135" s="1834"/>
      <c r="AG135" s="1834"/>
    </row>
    <row r="136" spans="1:33" s="3890" customFormat="1">
      <c r="A136" s="4189"/>
      <c r="B136" s="4189"/>
      <c r="C136" s="4189"/>
      <c r="D136" s="4189"/>
      <c r="E136" s="4189"/>
      <c r="F136" s="4189"/>
      <c r="G136" s="4189"/>
      <c r="H136" s="7133"/>
      <c r="I136" s="7134" t="s">
        <v>2171</v>
      </c>
      <c r="J136" s="4019" t="s">
        <v>2209</v>
      </c>
      <c r="K136" s="4021" t="s">
        <v>257</v>
      </c>
      <c r="L136" s="4015">
        <v>805</v>
      </c>
      <c r="M136" s="4016">
        <v>129</v>
      </c>
      <c r="N136" s="4017">
        <f t="shared" si="1"/>
        <v>16.024844720496894</v>
      </c>
      <c r="O136" s="4018">
        <v>0.90697674418604646</v>
      </c>
      <c r="P136" s="4018">
        <v>9.3023255813953487E-2</v>
      </c>
      <c r="Q136" s="4018">
        <v>4.2735042735042736E-2</v>
      </c>
      <c r="R136" s="4018">
        <v>4.2735042735042736E-2</v>
      </c>
      <c r="S136" s="4018">
        <v>0.13675213675213677</v>
      </c>
      <c r="T136" s="4020">
        <v>0</v>
      </c>
      <c r="U136" s="4018">
        <v>0.8125</v>
      </c>
      <c r="V136" s="1834"/>
      <c r="W136" s="1834"/>
      <c r="X136" s="1834"/>
      <c r="Y136" s="1834"/>
      <c r="Z136" s="1834"/>
      <c r="AA136" s="1834"/>
      <c r="AB136" s="1834"/>
      <c r="AC136" s="1834"/>
      <c r="AD136" s="1834"/>
      <c r="AE136" s="1834"/>
      <c r="AF136" s="1834"/>
      <c r="AG136" s="1834"/>
    </row>
    <row r="137" spans="1:33" s="3890" customFormat="1">
      <c r="A137" s="4189"/>
      <c r="B137" s="4189"/>
      <c r="C137" s="4189"/>
      <c r="D137" s="4189"/>
      <c r="E137" s="4189"/>
      <c r="F137" s="4189"/>
      <c r="G137" s="4189"/>
      <c r="H137" s="7133"/>
      <c r="I137" s="7134"/>
      <c r="J137" s="4019" t="s">
        <v>2202</v>
      </c>
      <c r="K137" s="7133" t="s">
        <v>243</v>
      </c>
      <c r="L137" s="4015">
        <v>80</v>
      </c>
      <c r="M137" s="4016">
        <v>22</v>
      </c>
      <c r="N137" s="4017">
        <f t="shared" si="1"/>
        <v>27.5</v>
      </c>
      <c r="O137" s="4018">
        <v>0.72727272727272729</v>
      </c>
      <c r="P137" s="4018">
        <v>0.27272727272727271</v>
      </c>
      <c r="Q137" s="4020">
        <v>0</v>
      </c>
      <c r="R137" s="4018">
        <v>6.25E-2</v>
      </c>
      <c r="S137" s="4018">
        <v>0.125</v>
      </c>
      <c r="T137" s="4018">
        <v>6.25E-2</v>
      </c>
      <c r="U137" s="4018">
        <v>0.75</v>
      </c>
      <c r="V137" s="1834"/>
      <c r="W137" s="1834"/>
      <c r="X137" s="1834"/>
      <c r="Y137" s="1834"/>
      <c r="Z137" s="1834"/>
      <c r="AA137" s="1834"/>
      <c r="AB137" s="1834"/>
      <c r="AC137" s="1834"/>
      <c r="AD137" s="1834"/>
      <c r="AE137" s="1834"/>
      <c r="AF137" s="1834"/>
      <c r="AG137" s="1834"/>
    </row>
    <row r="138" spans="1:33" s="3890" customFormat="1">
      <c r="A138" s="4189"/>
      <c r="B138" s="4189"/>
      <c r="C138" s="4189"/>
      <c r="D138" s="4189"/>
      <c r="E138" s="4189"/>
      <c r="F138" s="4189"/>
      <c r="G138" s="4189"/>
      <c r="H138" s="7133"/>
      <c r="I138" s="7134"/>
      <c r="J138" s="4019" t="s">
        <v>439</v>
      </c>
      <c r="K138" s="7133"/>
      <c r="L138" s="4015">
        <v>53</v>
      </c>
      <c r="M138" s="4016">
        <v>18</v>
      </c>
      <c r="N138" s="4017">
        <f t="shared" si="1"/>
        <v>33.962264150943398</v>
      </c>
      <c r="O138" s="4018">
        <v>0.88888888888888884</v>
      </c>
      <c r="P138" s="4018">
        <v>0.1111111111111111</v>
      </c>
      <c r="Q138" s="4020">
        <v>0</v>
      </c>
      <c r="R138" s="4020">
        <v>0</v>
      </c>
      <c r="S138" s="4018">
        <v>0.1875</v>
      </c>
      <c r="T138" s="4020">
        <v>0</v>
      </c>
      <c r="U138" s="4018">
        <v>0.66666666666666652</v>
      </c>
      <c r="V138" s="1834"/>
      <c r="W138" s="1834"/>
      <c r="X138" s="1834"/>
      <c r="Y138" s="1834"/>
      <c r="Z138" s="1834"/>
      <c r="AA138" s="1834"/>
      <c r="AB138" s="1834"/>
      <c r="AC138" s="1834"/>
      <c r="AD138" s="1834"/>
      <c r="AE138" s="1834"/>
      <c r="AF138" s="1834"/>
      <c r="AG138" s="1834"/>
    </row>
    <row r="139" spans="1:33" s="3890" customFormat="1">
      <c r="A139" s="4189"/>
      <c r="B139" s="4189"/>
      <c r="C139" s="4189"/>
      <c r="D139" s="4189"/>
      <c r="E139" s="4189"/>
      <c r="F139" s="4189"/>
      <c r="G139" s="4189"/>
      <c r="H139" s="7133"/>
      <c r="I139" s="7134"/>
      <c r="J139" s="4019" t="s">
        <v>2203</v>
      </c>
      <c r="K139" s="7133"/>
      <c r="L139" s="4015">
        <v>38</v>
      </c>
      <c r="M139" s="4016">
        <v>10</v>
      </c>
      <c r="N139" s="4017">
        <f t="shared" si="1"/>
        <v>26.315789473684209</v>
      </c>
      <c r="O139" s="4018">
        <v>0.9</v>
      </c>
      <c r="P139" s="4018">
        <v>0.1</v>
      </c>
      <c r="Q139" s="4018">
        <v>0.1111111111111111</v>
      </c>
      <c r="R139" s="4020">
        <v>0</v>
      </c>
      <c r="S139" s="4018">
        <v>0.22222222222222221</v>
      </c>
      <c r="T139" s="4018">
        <v>0.24666666666666667</v>
      </c>
      <c r="U139" s="4018">
        <v>0.66</v>
      </c>
      <c r="V139" s="1834"/>
      <c r="W139" s="1834"/>
      <c r="X139" s="1834"/>
      <c r="Y139" s="1834"/>
      <c r="Z139" s="1834"/>
      <c r="AA139" s="1834"/>
      <c r="AB139" s="1834"/>
      <c r="AC139" s="1834"/>
      <c r="AD139" s="1834"/>
      <c r="AE139" s="1834"/>
      <c r="AF139" s="1834"/>
      <c r="AG139" s="1834"/>
    </row>
    <row r="140" spans="1:33" s="3890" customFormat="1">
      <c r="A140" s="4189"/>
      <c r="B140" s="4189"/>
      <c r="C140" s="4189"/>
      <c r="D140" s="4189"/>
      <c r="E140" s="4189"/>
      <c r="F140" s="4189"/>
      <c r="G140" s="4189"/>
      <c r="H140" s="7133"/>
      <c r="I140" s="7134"/>
      <c r="J140" s="4019" t="s">
        <v>2209</v>
      </c>
      <c r="K140" s="7133"/>
      <c r="L140" s="4015">
        <v>274</v>
      </c>
      <c r="M140" s="4016">
        <v>199</v>
      </c>
      <c r="N140" s="4017">
        <f t="shared" si="1"/>
        <v>72.627737226277375</v>
      </c>
      <c r="O140" s="4018">
        <v>0.7587939698492463</v>
      </c>
      <c r="P140" s="4018">
        <v>0.24120603015075376</v>
      </c>
      <c r="Q140" s="4018">
        <v>1.3333333333333334E-2</v>
      </c>
      <c r="R140" s="4018">
        <v>1.3333333333333334E-2</v>
      </c>
      <c r="S140" s="4018">
        <v>6.6666666666666666E-2</v>
      </c>
      <c r="T140" s="4018">
        <v>0.19402985074626866</v>
      </c>
      <c r="U140" s="4018">
        <v>0.58208955223880599</v>
      </c>
      <c r="V140" s="1834"/>
      <c r="W140" s="1834"/>
      <c r="X140" s="1834"/>
      <c r="Y140" s="1834"/>
      <c r="Z140" s="1834"/>
      <c r="AA140" s="1834"/>
      <c r="AB140" s="1834"/>
      <c r="AC140" s="1834"/>
      <c r="AD140" s="1834"/>
      <c r="AE140" s="1834"/>
      <c r="AF140" s="1834"/>
      <c r="AG140" s="1834"/>
    </row>
    <row r="141" spans="1:33" s="3890" customFormat="1">
      <c r="A141" s="4189"/>
      <c r="B141" s="4189"/>
      <c r="C141" s="4189"/>
      <c r="D141" s="4189"/>
      <c r="E141" s="4189"/>
      <c r="F141" s="4189"/>
      <c r="G141" s="4189"/>
      <c r="H141" s="7133"/>
      <c r="I141" s="7134"/>
      <c r="J141" s="4019" t="s">
        <v>2210</v>
      </c>
      <c r="K141" s="7133"/>
      <c r="L141" s="4015">
        <v>191</v>
      </c>
      <c r="M141" s="4016">
        <v>85</v>
      </c>
      <c r="N141" s="4017">
        <f t="shared" si="1"/>
        <v>44.502617801047123</v>
      </c>
      <c r="O141" s="4018">
        <v>0.78823529411764715</v>
      </c>
      <c r="P141" s="4018">
        <v>0.21176470588235294</v>
      </c>
      <c r="Q141" s="4018">
        <v>1.4925373134328356E-2</v>
      </c>
      <c r="R141" s="4018">
        <v>5.9701492537313425E-2</v>
      </c>
      <c r="S141" s="4018">
        <v>0.14925373134328357</v>
      </c>
      <c r="T141" s="4018">
        <v>0.27397260273972601</v>
      </c>
      <c r="U141" s="4018">
        <v>0.43835616438356162</v>
      </c>
      <c r="V141" s="1834"/>
      <c r="W141" s="1834"/>
      <c r="X141" s="1834"/>
      <c r="Y141" s="1834"/>
      <c r="Z141" s="1834"/>
      <c r="AA141" s="1834"/>
      <c r="AB141" s="1834"/>
      <c r="AC141" s="1834"/>
      <c r="AD141" s="1834"/>
      <c r="AE141" s="1834"/>
      <c r="AF141" s="1834"/>
      <c r="AG141" s="1834"/>
    </row>
    <row r="142" spans="1:33" s="3890" customFormat="1">
      <c r="A142" s="4189"/>
      <c r="B142" s="4189"/>
      <c r="C142" s="4189"/>
      <c r="D142" s="4189"/>
      <c r="E142" s="4189"/>
      <c r="F142" s="4189"/>
      <c r="G142" s="4189"/>
      <c r="H142" s="7133"/>
      <c r="I142" s="7134"/>
      <c r="J142" s="4019" t="s">
        <v>2211</v>
      </c>
      <c r="K142" s="7133"/>
      <c r="L142" s="4015">
        <v>429</v>
      </c>
      <c r="M142" s="4016">
        <v>297</v>
      </c>
      <c r="N142" s="4017">
        <f t="shared" si="1"/>
        <v>69.230769230769226</v>
      </c>
      <c r="O142" s="4018">
        <v>0.73310810810810811</v>
      </c>
      <c r="P142" s="4018">
        <v>0.26689189189189189</v>
      </c>
      <c r="Q142" s="4018">
        <v>2.7397260273972601E-2</v>
      </c>
      <c r="R142" s="4018">
        <v>6.8493150684931503E-2</v>
      </c>
      <c r="S142" s="4018">
        <v>0.19178082191780821</v>
      </c>
      <c r="T142" s="4018">
        <v>0.18965517241379309</v>
      </c>
      <c r="U142" s="4018">
        <v>0.59482758620689657</v>
      </c>
      <c r="V142" s="1834"/>
      <c r="W142" s="1834"/>
      <c r="X142" s="1834"/>
      <c r="Y142" s="1834"/>
      <c r="Z142" s="1834"/>
      <c r="AA142" s="1834"/>
      <c r="AB142" s="1834"/>
      <c r="AC142" s="1834"/>
      <c r="AD142" s="1834"/>
      <c r="AE142" s="1834"/>
      <c r="AF142" s="1834"/>
      <c r="AG142" s="1834"/>
    </row>
    <row r="143" spans="1:33" s="3890" customFormat="1">
      <c r="A143" s="4189"/>
      <c r="B143" s="4189"/>
      <c r="C143" s="4189"/>
      <c r="D143" s="4189"/>
      <c r="E143" s="4189"/>
      <c r="F143" s="4189"/>
      <c r="G143" s="4189"/>
      <c r="H143" s="7133"/>
      <c r="I143" s="7134"/>
      <c r="J143" s="4019" t="s">
        <v>2628</v>
      </c>
      <c r="K143" s="7133"/>
      <c r="L143" s="4015">
        <v>237</v>
      </c>
      <c r="M143" s="4016">
        <v>163</v>
      </c>
      <c r="N143" s="4017">
        <f t="shared" si="1"/>
        <v>68.776371308016877</v>
      </c>
      <c r="O143" s="4018">
        <v>0.7116564417177913</v>
      </c>
      <c r="P143" s="4018">
        <v>0.28834355828220859</v>
      </c>
      <c r="Q143" s="4018">
        <v>6.0344827586206892E-2</v>
      </c>
      <c r="R143" s="4018">
        <v>4.3103448275862072E-2</v>
      </c>
      <c r="S143" s="4018">
        <v>0.11206896551724138</v>
      </c>
      <c r="T143" s="4018">
        <v>0.23076923076923075</v>
      </c>
      <c r="U143" s="4018">
        <v>0.48717948717948717</v>
      </c>
      <c r="V143" s="1834"/>
      <c r="W143" s="1834"/>
      <c r="X143" s="1834"/>
      <c r="Y143" s="1834"/>
      <c r="Z143" s="1834"/>
      <c r="AA143" s="1834"/>
      <c r="AB143" s="1834"/>
      <c r="AC143" s="1834"/>
      <c r="AD143" s="1834"/>
      <c r="AE143" s="1834"/>
      <c r="AF143" s="1834"/>
      <c r="AG143" s="1834"/>
    </row>
    <row r="144" spans="1:33" s="3890" customFormat="1">
      <c r="A144" s="4189"/>
      <c r="B144" s="4189"/>
      <c r="C144" s="4189"/>
      <c r="D144" s="4189"/>
      <c r="E144" s="4189"/>
      <c r="F144" s="4189"/>
      <c r="G144" s="4189"/>
      <c r="H144" s="7133"/>
      <c r="I144" s="7134"/>
      <c r="J144" s="4019" t="s">
        <v>2226</v>
      </c>
      <c r="K144" s="7133"/>
      <c r="L144" s="4015">
        <v>101</v>
      </c>
      <c r="M144" s="4016">
        <v>71</v>
      </c>
      <c r="N144" s="4017">
        <f t="shared" si="1"/>
        <v>70.297029702970292</v>
      </c>
      <c r="O144" s="4018">
        <v>0.54929577464788737</v>
      </c>
      <c r="P144" s="4018">
        <v>0.45070422535211274</v>
      </c>
      <c r="Q144" s="4018">
        <v>5.128205128205128E-2</v>
      </c>
      <c r="R144" s="4018">
        <v>0.10256410256410256</v>
      </c>
      <c r="S144" s="4018">
        <v>0.12820512820512819</v>
      </c>
      <c r="T144" s="4020">
        <v>0</v>
      </c>
      <c r="U144" s="4018">
        <v>0.5</v>
      </c>
      <c r="V144" s="1834"/>
      <c r="W144" s="1834"/>
      <c r="X144" s="1834"/>
      <c r="Y144" s="1834"/>
      <c r="Z144" s="1834"/>
      <c r="AA144" s="1834"/>
      <c r="AB144" s="1834"/>
      <c r="AC144" s="1834"/>
      <c r="AD144" s="1834"/>
      <c r="AE144" s="1834"/>
      <c r="AF144" s="1834"/>
      <c r="AG144" s="1834"/>
    </row>
    <row r="145" spans="1:33" s="3890" customFormat="1">
      <c r="A145" s="4189"/>
      <c r="B145" s="4189"/>
      <c r="C145" s="4189"/>
      <c r="D145" s="4189"/>
      <c r="E145" s="4189"/>
      <c r="F145" s="4189"/>
      <c r="G145" s="4189"/>
      <c r="H145" s="7133"/>
      <c r="I145" s="7134"/>
      <c r="J145" s="4019" t="s">
        <v>2629</v>
      </c>
      <c r="K145" s="7133"/>
      <c r="L145" s="4015">
        <v>9</v>
      </c>
      <c r="M145" s="4016">
        <v>9</v>
      </c>
      <c r="N145" s="4017">
        <f t="shared" si="1"/>
        <v>100</v>
      </c>
      <c r="O145" s="4018">
        <v>0.22222222222222221</v>
      </c>
      <c r="P145" s="4018">
        <v>0.7777777777777779</v>
      </c>
      <c r="Q145" s="4020">
        <v>0</v>
      </c>
      <c r="R145" s="4018">
        <v>0.5</v>
      </c>
      <c r="S145" s="4020">
        <v>0</v>
      </c>
      <c r="T145" s="4020">
        <v>0</v>
      </c>
      <c r="U145" s="4020">
        <v>0</v>
      </c>
      <c r="V145" s="1834"/>
      <c r="W145" s="1834"/>
      <c r="X145" s="1834"/>
      <c r="Y145" s="1834"/>
      <c r="Z145" s="1834"/>
      <c r="AA145" s="1834"/>
      <c r="AB145" s="1834"/>
      <c r="AC145" s="1834"/>
      <c r="AD145" s="1834"/>
      <c r="AE145" s="1834"/>
      <c r="AF145" s="1834"/>
      <c r="AG145" s="1834"/>
    </row>
    <row r="146" spans="1:33" s="3890" customFormat="1">
      <c r="A146" s="4189"/>
      <c r="B146" s="4189"/>
      <c r="C146" s="4189"/>
      <c r="D146" s="4189"/>
      <c r="E146" s="4189"/>
      <c r="F146" s="4189"/>
      <c r="G146" s="4189"/>
      <c r="H146" s="7133"/>
      <c r="I146" s="7134"/>
      <c r="J146" s="4019" t="s">
        <v>272</v>
      </c>
      <c r="K146" s="7133" t="s">
        <v>244</v>
      </c>
      <c r="L146" s="4015">
        <v>19</v>
      </c>
      <c r="M146" s="4016">
        <v>4</v>
      </c>
      <c r="N146" s="4017">
        <f t="shared" si="1"/>
        <v>21.05263157894737</v>
      </c>
      <c r="O146" s="4018">
        <v>0.25</v>
      </c>
      <c r="P146" s="4018">
        <v>0.75</v>
      </c>
      <c r="Q146" s="4020">
        <v>0</v>
      </c>
      <c r="R146" s="4020">
        <v>0</v>
      </c>
      <c r="S146" s="4018">
        <v>1</v>
      </c>
      <c r="T146" s="4018">
        <v>0.21238938053097345</v>
      </c>
      <c r="U146" s="4018">
        <v>0.73451327433628322</v>
      </c>
      <c r="V146" s="1834"/>
      <c r="W146" s="1834"/>
      <c r="X146" s="1834"/>
      <c r="Y146" s="1834"/>
      <c r="Z146" s="1834"/>
      <c r="AA146" s="1834"/>
      <c r="AB146" s="1834"/>
      <c r="AC146" s="1834"/>
      <c r="AD146" s="1834"/>
      <c r="AE146" s="1834"/>
      <c r="AF146" s="1834"/>
      <c r="AG146" s="1834"/>
    </row>
    <row r="147" spans="1:33" s="3890" customFormat="1">
      <c r="A147" s="4189"/>
      <c r="B147" s="4189"/>
      <c r="C147" s="4189"/>
      <c r="D147" s="4189"/>
      <c r="E147" s="4189"/>
      <c r="F147" s="4189"/>
      <c r="G147" s="4189"/>
      <c r="H147" s="7133"/>
      <c r="I147" s="7134"/>
      <c r="J147" s="4019" t="s">
        <v>2209</v>
      </c>
      <c r="K147" s="7133"/>
      <c r="L147" s="4015">
        <v>210</v>
      </c>
      <c r="M147" s="4016">
        <v>123</v>
      </c>
      <c r="N147" s="4017">
        <f t="shared" si="1"/>
        <v>58.571428571428569</v>
      </c>
      <c r="O147" s="4018">
        <v>0.92622950819672123</v>
      </c>
      <c r="P147" s="4018">
        <v>7.3770491803278687E-2</v>
      </c>
      <c r="Q147" s="4020">
        <v>0</v>
      </c>
      <c r="R147" s="4018">
        <v>8.8495575221238937E-3</v>
      </c>
      <c r="S147" s="4018">
        <v>4.4247787610619468E-2</v>
      </c>
      <c r="T147" s="4018">
        <v>0.21359223300970873</v>
      </c>
      <c r="U147" s="4018">
        <v>0.68932038834951459</v>
      </c>
      <c r="V147" s="1834"/>
      <c r="W147" s="1834"/>
      <c r="X147" s="1834"/>
      <c r="Y147" s="1834"/>
      <c r="Z147" s="1834"/>
      <c r="AA147" s="1834"/>
      <c r="AB147" s="1834"/>
      <c r="AC147" s="1834"/>
      <c r="AD147" s="1834"/>
      <c r="AE147" s="1834"/>
      <c r="AF147" s="1834"/>
      <c r="AG147" s="1834"/>
    </row>
    <row r="148" spans="1:33" s="3890" customFormat="1">
      <c r="A148" s="4189"/>
      <c r="B148" s="4189"/>
      <c r="C148" s="4189"/>
      <c r="D148" s="4189"/>
      <c r="E148" s="4189"/>
      <c r="F148" s="4189"/>
      <c r="G148" s="4189"/>
      <c r="H148" s="7133"/>
      <c r="I148" s="7134"/>
      <c r="J148" s="4019" t="s">
        <v>2210</v>
      </c>
      <c r="K148" s="7133"/>
      <c r="L148" s="4015">
        <v>241</v>
      </c>
      <c r="M148" s="4016">
        <v>108</v>
      </c>
      <c r="N148" s="4017">
        <f t="shared" ref="N148:O208" si="2">M148*100/L148</f>
        <v>44.813278008298752</v>
      </c>
      <c r="O148" s="4018">
        <v>0.98148148148148151</v>
      </c>
      <c r="P148" s="4018">
        <v>1.8518518518518517E-2</v>
      </c>
      <c r="Q148" s="4018">
        <v>9.7087378640776691E-3</v>
      </c>
      <c r="R148" s="4018">
        <v>1.9417475728155338E-2</v>
      </c>
      <c r="S148" s="4018">
        <v>6.7961165048543687E-2</v>
      </c>
      <c r="T148" s="4018">
        <v>0.21232876712328769</v>
      </c>
      <c r="U148" s="4018">
        <v>0.62328767123287676</v>
      </c>
      <c r="V148" s="1834"/>
      <c r="W148" s="1834"/>
      <c r="X148" s="1834"/>
      <c r="Y148" s="1834"/>
      <c r="Z148" s="1834"/>
      <c r="AA148" s="1834"/>
      <c r="AB148" s="1834"/>
      <c r="AC148" s="1834"/>
      <c r="AD148" s="1834"/>
      <c r="AE148" s="1834"/>
      <c r="AF148" s="1834"/>
      <c r="AG148" s="1834"/>
    </row>
    <row r="149" spans="1:33" s="3890" customFormat="1">
      <c r="A149" s="4189"/>
      <c r="B149" s="4189"/>
      <c r="C149" s="4189"/>
      <c r="D149" s="4189"/>
      <c r="E149" s="4189"/>
      <c r="F149" s="4189"/>
      <c r="G149" s="4189"/>
      <c r="H149" s="7133"/>
      <c r="I149" s="7134"/>
      <c r="J149" s="4019" t="s">
        <v>2211</v>
      </c>
      <c r="K149" s="7133"/>
      <c r="L149" s="4015">
        <v>264</v>
      </c>
      <c r="M149" s="4016">
        <v>160</v>
      </c>
      <c r="N149" s="4017">
        <f t="shared" si="2"/>
        <v>60.606060606060609</v>
      </c>
      <c r="O149" s="4018">
        <v>0.89375000000000004</v>
      </c>
      <c r="P149" s="4018">
        <v>0.10625</v>
      </c>
      <c r="Q149" s="4018">
        <v>1.3698630136986301E-2</v>
      </c>
      <c r="R149" s="4018">
        <v>3.4246575342465752E-2</v>
      </c>
      <c r="S149" s="4018">
        <v>0.11643835616438356</v>
      </c>
      <c r="T149" s="4018">
        <v>0.21276595744680851</v>
      </c>
      <c r="U149" s="4018">
        <v>0.68085106382978722</v>
      </c>
      <c r="V149" s="1834"/>
      <c r="W149" s="1834"/>
      <c r="X149" s="1834"/>
      <c r="Y149" s="1834"/>
      <c r="Z149" s="1834"/>
      <c r="AA149" s="1834"/>
      <c r="AB149" s="1834"/>
      <c r="AC149" s="1834"/>
      <c r="AD149" s="1834"/>
      <c r="AE149" s="1834"/>
      <c r="AF149" s="1834"/>
      <c r="AG149" s="1834"/>
    </row>
    <row r="150" spans="1:33" s="3890" customFormat="1">
      <c r="A150" s="4189"/>
      <c r="B150" s="4189"/>
      <c r="C150" s="4189"/>
      <c r="D150" s="4189"/>
      <c r="E150" s="4189"/>
      <c r="F150" s="4189"/>
      <c r="G150" s="4189"/>
      <c r="H150" s="7133"/>
      <c r="I150" s="7134"/>
      <c r="J150" s="4019" t="s">
        <v>2628</v>
      </c>
      <c r="K150" s="7133"/>
      <c r="L150" s="4015">
        <v>165</v>
      </c>
      <c r="M150" s="4016">
        <v>104</v>
      </c>
      <c r="N150" s="4017">
        <f t="shared" si="2"/>
        <v>63.030303030303031</v>
      </c>
      <c r="O150" s="4018">
        <v>0.91262135922330101</v>
      </c>
      <c r="P150" s="4018">
        <v>8.7378640776699032E-2</v>
      </c>
      <c r="Q150" s="4020">
        <v>0</v>
      </c>
      <c r="R150" s="4018">
        <v>2.1276595744680851E-2</v>
      </c>
      <c r="S150" s="4018">
        <v>8.5106382978723402E-2</v>
      </c>
      <c r="T150" s="4018">
        <v>0.38095238095238093</v>
      </c>
      <c r="U150" s="4018">
        <v>0.52380952380952384</v>
      </c>
      <c r="V150" s="1834"/>
      <c r="W150" s="1834"/>
      <c r="X150" s="1834"/>
      <c r="Y150" s="1834"/>
      <c r="Z150" s="1834"/>
      <c r="AA150" s="1834"/>
      <c r="AB150" s="1834"/>
      <c r="AC150" s="1834"/>
      <c r="AD150" s="1834"/>
      <c r="AE150" s="1834"/>
      <c r="AF150" s="1834"/>
      <c r="AG150" s="1834"/>
    </row>
    <row r="151" spans="1:33" s="3890" customFormat="1">
      <c r="A151" s="4189"/>
      <c r="B151" s="4189"/>
      <c r="C151" s="4189"/>
      <c r="D151" s="4189"/>
      <c r="E151" s="4189"/>
      <c r="F151" s="4189"/>
      <c r="G151" s="4189"/>
      <c r="H151" s="7133"/>
      <c r="I151" s="7134"/>
      <c r="J151" s="4019" t="s">
        <v>2226</v>
      </c>
      <c r="K151" s="7133"/>
      <c r="L151" s="4015">
        <v>48</v>
      </c>
      <c r="M151" s="4016">
        <v>26</v>
      </c>
      <c r="N151" s="4017">
        <f t="shared" si="2"/>
        <v>54.166666666666664</v>
      </c>
      <c r="O151" s="4018">
        <v>0.80769230769230771</v>
      </c>
      <c r="P151" s="4018">
        <v>0.19230769230769235</v>
      </c>
      <c r="Q151" s="4020">
        <v>0</v>
      </c>
      <c r="R151" s="4018">
        <v>4.7619047619047616E-2</v>
      </c>
      <c r="S151" s="4018">
        <v>4.7619047619047616E-2</v>
      </c>
      <c r="T151" s="4020">
        <v>0</v>
      </c>
      <c r="U151" s="4018">
        <v>0.69444444444444442</v>
      </c>
      <c r="V151" s="1834"/>
      <c r="W151" s="1834"/>
      <c r="X151" s="1834"/>
      <c r="Y151" s="1834"/>
      <c r="Z151" s="1834"/>
      <c r="AA151" s="1834"/>
      <c r="AB151" s="1834"/>
      <c r="AC151" s="1834"/>
      <c r="AD151" s="1834"/>
      <c r="AE151" s="1834"/>
      <c r="AF151" s="1834"/>
      <c r="AG151" s="1834"/>
    </row>
    <row r="152" spans="1:33" s="3890" customFormat="1">
      <c r="A152" s="4189"/>
      <c r="B152" s="4189"/>
      <c r="C152" s="4189"/>
      <c r="D152" s="4189"/>
      <c r="E152" s="4189"/>
      <c r="F152" s="4189"/>
      <c r="G152" s="4189"/>
      <c r="H152" s="7133"/>
      <c r="I152" s="7134" t="s">
        <v>2173</v>
      </c>
      <c r="J152" s="4019" t="s">
        <v>283</v>
      </c>
      <c r="K152" s="7133" t="s">
        <v>257</v>
      </c>
      <c r="L152" s="4015">
        <v>229</v>
      </c>
      <c r="M152" s="4016">
        <v>54</v>
      </c>
      <c r="N152" s="4017">
        <f t="shared" si="2"/>
        <v>23.580786026200872</v>
      </c>
      <c r="O152" s="4018">
        <v>0.66666666666666652</v>
      </c>
      <c r="P152" s="4018">
        <v>0.33333333333333326</v>
      </c>
      <c r="Q152" s="4018">
        <v>8.3333333333333315E-2</v>
      </c>
      <c r="R152" s="4018">
        <v>0.1388888888888889</v>
      </c>
      <c r="S152" s="4018">
        <v>8.3333333333333315E-2</v>
      </c>
      <c r="T152" s="4020">
        <v>0</v>
      </c>
      <c r="U152" s="4018">
        <v>0.7857142857142857</v>
      </c>
      <c r="V152" s="1834"/>
      <c r="W152" s="1834"/>
      <c r="X152" s="1834"/>
      <c r="Y152" s="1834"/>
      <c r="Z152" s="1834"/>
      <c r="AA152" s="1834"/>
      <c r="AB152" s="1834"/>
      <c r="AC152" s="1834"/>
      <c r="AD152" s="1834"/>
      <c r="AE152" s="1834"/>
      <c r="AF152" s="1834"/>
      <c r="AG152" s="1834"/>
    </row>
    <row r="153" spans="1:33" s="3890" customFormat="1">
      <c r="A153" s="4189"/>
      <c r="B153" s="4189"/>
      <c r="C153" s="4189"/>
      <c r="D153" s="4189"/>
      <c r="E153" s="4189"/>
      <c r="F153" s="4189"/>
      <c r="G153" s="4189"/>
      <c r="H153" s="7133"/>
      <c r="I153" s="7134"/>
      <c r="J153" s="4019" t="s">
        <v>284</v>
      </c>
      <c r="K153" s="7133"/>
      <c r="L153" s="4015">
        <v>106</v>
      </c>
      <c r="M153" s="4016">
        <v>32</v>
      </c>
      <c r="N153" s="4017">
        <f t="shared" si="2"/>
        <v>30.188679245283019</v>
      </c>
      <c r="O153" s="4018">
        <v>0.875</v>
      </c>
      <c r="P153" s="4018">
        <v>0.125</v>
      </c>
      <c r="Q153" s="4020">
        <v>0</v>
      </c>
      <c r="R153" s="4018">
        <v>7.1428571428571425E-2</v>
      </c>
      <c r="S153" s="4018">
        <v>0.14285714285714285</v>
      </c>
      <c r="T153" s="4018">
        <v>0.1875</v>
      </c>
      <c r="U153" s="4018">
        <v>0.58333333333333337</v>
      </c>
      <c r="V153" s="1834"/>
      <c r="W153" s="1834"/>
      <c r="X153" s="1834"/>
      <c r="Y153" s="1834"/>
      <c r="Z153" s="1834"/>
      <c r="AA153" s="1834"/>
      <c r="AB153" s="1834"/>
      <c r="AC153" s="1834"/>
      <c r="AD153" s="1834"/>
      <c r="AE153" s="1834"/>
      <c r="AF153" s="1834"/>
      <c r="AG153" s="1834"/>
    </row>
    <row r="154" spans="1:33" s="3890" customFormat="1">
      <c r="A154" s="4189"/>
      <c r="B154" s="4189"/>
      <c r="C154" s="4189"/>
      <c r="D154" s="4189"/>
      <c r="E154" s="4189"/>
      <c r="F154" s="4189"/>
      <c r="G154" s="4189"/>
      <c r="H154" s="7133"/>
      <c r="I154" s="7134"/>
      <c r="J154" s="4019" t="s">
        <v>2630</v>
      </c>
      <c r="K154" s="7133" t="s">
        <v>243</v>
      </c>
      <c r="L154" s="4015">
        <v>89</v>
      </c>
      <c r="M154" s="4016">
        <v>55</v>
      </c>
      <c r="N154" s="4017">
        <f t="shared" si="2"/>
        <v>61.797752808988761</v>
      </c>
      <c r="O154" s="4018">
        <v>0.87272727272727268</v>
      </c>
      <c r="P154" s="4018">
        <v>0.12727272727272726</v>
      </c>
      <c r="Q154" s="4018">
        <v>6.25E-2</v>
      </c>
      <c r="R154" s="4018">
        <v>6.25E-2</v>
      </c>
      <c r="S154" s="4018">
        <v>0.10416666666666669</v>
      </c>
      <c r="T154" s="4018">
        <v>6.6666666666666666E-2</v>
      </c>
      <c r="U154" s="4018">
        <v>0.5</v>
      </c>
      <c r="V154" s="1834"/>
      <c r="W154" s="1834"/>
      <c r="X154" s="1834"/>
      <c r="Y154" s="1834"/>
      <c r="Z154" s="1834"/>
      <c r="AA154" s="1834"/>
      <c r="AB154" s="1834"/>
      <c r="AC154" s="1834"/>
      <c r="AD154" s="1834"/>
      <c r="AE154" s="1834"/>
      <c r="AF154" s="1834"/>
      <c r="AG154" s="1834"/>
    </row>
    <row r="155" spans="1:33" s="3890" customFormat="1">
      <c r="A155" s="4189"/>
      <c r="B155" s="4189"/>
      <c r="C155" s="4189"/>
      <c r="D155" s="4189"/>
      <c r="E155" s="4189"/>
      <c r="F155" s="4189"/>
      <c r="G155" s="4189"/>
      <c r="H155" s="7133"/>
      <c r="I155" s="7134"/>
      <c r="J155" s="4019" t="s">
        <v>2214</v>
      </c>
      <c r="K155" s="7133"/>
      <c r="L155" s="4015">
        <v>131</v>
      </c>
      <c r="M155" s="4016">
        <v>48</v>
      </c>
      <c r="N155" s="4017">
        <f t="shared" si="2"/>
        <v>36.641221374045799</v>
      </c>
      <c r="O155" s="4018">
        <v>0.64583333333333348</v>
      </c>
      <c r="P155" s="4018">
        <v>0.35416666666666674</v>
      </c>
      <c r="Q155" s="4018">
        <v>3.3333333333333333E-2</v>
      </c>
      <c r="R155" s="4018">
        <v>6.6666666666666666E-2</v>
      </c>
      <c r="S155" s="4018">
        <v>0.33333333333333326</v>
      </c>
      <c r="T155" s="4018">
        <v>0.16666666666666663</v>
      </c>
      <c r="U155" s="4018">
        <v>0.66666666666666652</v>
      </c>
      <c r="V155" s="1834"/>
      <c r="W155" s="1834"/>
      <c r="X155" s="1834"/>
      <c r="Y155" s="1834"/>
      <c r="Z155" s="1834"/>
      <c r="AA155" s="1834"/>
      <c r="AB155" s="1834"/>
      <c r="AC155" s="1834"/>
      <c r="AD155" s="1834"/>
      <c r="AE155" s="1834"/>
      <c r="AF155" s="1834"/>
      <c r="AG155" s="1834"/>
    </row>
    <row r="156" spans="1:33" s="3890" customFormat="1">
      <c r="A156" s="4189"/>
      <c r="B156" s="4189"/>
      <c r="C156" s="4189"/>
      <c r="D156" s="4189"/>
      <c r="E156" s="4189"/>
      <c r="F156" s="4189"/>
      <c r="G156" s="4189"/>
      <c r="H156" s="7133"/>
      <c r="I156" s="7134"/>
      <c r="J156" s="4019" t="s">
        <v>2631</v>
      </c>
      <c r="K156" s="7133"/>
      <c r="L156" s="4015">
        <v>22</v>
      </c>
      <c r="M156" s="4016">
        <v>7</v>
      </c>
      <c r="N156" s="4017">
        <f t="shared" si="2"/>
        <v>31.818181818181817</v>
      </c>
      <c r="O156" s="4018">
        <v>0.8571428571428571</v>
      </c>
      <c r="P156" s="4018">
        <v>0.14285714285714285</v>
      </c>
      <c r="Q156" s="4018">
        <v>0.16666666666666663</v>
      </c>
      <c r="R156" s="4020">
        <v>0</v>
      </c>
      <c r="S156" s="4020">
        <v>0</v>
      </c>
      <c r="T156" s="4018">
        <v>0.16145833333333337</v>
      </c>
      <c r="U156" s="4018">
        <v>0.6875</v>
      </c>
      <c r="V156" s="1834"/>
      <c r="W156" s="1834"/>
      <c r="X156" s="1834"/>
      <c r="Y156" s="1834"/>
      <c r="Z156" s="1834"/>
      <c r="AA156" s="1834"/>
      <c r="AB156" s="1834"/>
      <c r="AC156" s="1834"/>
      <c r="AD156" s="1834"/>
      <c r="AE156" s="1834"/>
      <c r="AF156" s="1834"/>
      <c r="AG156" s="1834"/>
    </row>
    <row r="157" spans="1:33" s="3890" customFormat="1">
      <c r="A157" s="4189"/>
      <c r="B157" s="4189"/>
      <c r="C157" s="4189"/>
      <c r="D157" s="4189"/>
      <c r="E157" s="4189"/>
      <c r="F157" s="4189"/>
      <c r="G157" s="4189"/>
      <c r="H157" s="7133"/>
      <c r="I157" s="7134"/>
      <c r="J157" s="4019" t="s">
        <v>128</v>
      </c>
      <c r="K157" s="7133"/>
      <c r="L157" s="4015">
        <v>374</v>
      </c>
      <c r="M157" s="4016">
        <v>300</v>
      </c>
      <c r="N157" s="4017">
        <f t="shared" si="2"/>
        <v>80.213903743315512</v>
      </c>
      <c r="O157" s="4018">
        <v>0.6387959866220736</v>
      </c>
      <c r="P157" s="4018">
        <v>0.3612040133779264</v>
      </c>
      <c r="Q157" s="4018">
        <v>1.0416666666666664E-2</v>
      </c>
      <c r="R157" s="4018">
        <v>3.6458333333333336E-2</v>
      </c>
      <c r="S157" s="4018">
        <v>0.10416666666666669</v>
      </c>
      <c r="T157" s="4018">
        <v>0.21428571428571427</v>
      </c>
      <c r="U157" s="4018">
        <v>0.5625</v>
      </c>
      <c r="V157" s="1834"/>
      <c r="W157" s="1834"/>
      <c r="X157" s="1834"/>
      <c r="Y157" s="1834"/>
      <c r="Z157" s="1834"/>
      <c r="AA157" s="1834"/>
      <c r="AB157" s="1834"/>
      <c r="AC157" s="1834"/>
      <c r="AD157" s="1834"/>
      <c r="AE157" s="1834"/>
      <c r="AF157" s="1834"/>
      <c r="AG157" s="1834"/>
    </row>
    <row r="158" spans="1:33" s="3890" customFormat="1">
      <c r="A158" s="4189"/>
      <c r="B158" s="4189"/>
      <c r="C158" s="4189"/>
      <c r="D158" s="4189"/>
      <c r="E158" s="4189"/>
      <c r="F158" s="4189"/>
      <c r="G158" s="4189"/>
      <c r="H158" s="7133"/>
      <c r="I158" s="7134"/>
      <c r="J158" s="4019" t="s">
        <v>129</v>
      </c>
      <c r="K158" s="7133"/>
      <c r="L158" s="4015">
        <v>237</v>
      </c>
      <c r="M158" s="4016">
        <v>185</v>
      </c>
      <c r="N158" s="4017">
        <f t="shared" si="2"/>
        <v>78.059071729957807</v>
      </c>
      <c r="O158" s="4018">
        <v>0.60540540540540544</v>
      </c>
      <c r="P158" s="4018">
        <v>0.39459459459459462</v>
      </c>
      <c r="Q158" s="4018">
        <v>1.7857142857142856E-2</v>
      </c>
      <c r="R158" s="4018">
        <v>4.4642857142857144E-2</v>
      </c>
      <c r="S158" s="4018">
        <v>0.16071428571428573</v>
      </c>
      <c r="T158" s="4018">
        <v>0.17391304347826086</v>
      </c>
      <c r="U158" s="4018">
        <v>0.52173913043478259</v>
      </c>
      <c r="V158" s="1834"/>
      <c r="W158" s="1834"/>
      <c r="X158" s="1834"/>
      <c r="Y158" s="1834"/>
      <c r="Z158" s="1834"/>
      <c r="AA158" s="1834"/>
      <c r="AB158" s="1834"/>
      <c r="AC158" s="1834"/>
      <c r="AD158" s="1834"/>
      <c r="AE158" s="1834"/>
      <c r="AF158" s="1834"/>
      <c r="AG158" s="1834"/>
    </row>
    <row r="159" spans="1:33" s="3890" customFormat="1">
      <c r="A159" s="4189"/>
      <c r="B159" s="4189"/>
      <c r="C159" s="4189"/>
      <c r="D159" s="4189"/>
      <c r="E159" s="4189"/>
      <c r="F159" s="4189"/>
      <c r="G159" s="4189"/>
      <c r="H159" s="7133"/>
      <c r="I159" s="7134"/>
      <c r="J159" s="4019" t="s">
        <v>286</v>
      </c>
      <c r="K159" s="7133"/>
      <c r="L159" s="4015">
        <v>194</v>
      </c>
      <c r="M159" s="4016">
        <v>105</v>
      </c>
      <c r="N159" s="4017">
        <f t="shared" si="2"/>
        <v>54.123711340206185</v>
      </c>
      <c r="O159" s="4018">
        <v>0.61538461538461542</v>
      </c>
      <c r="P159" s="4018">
        <v>0.38461538461538469</v>
      </c>
      <c r="Q159" s="4018">
        <v>0.11594202898550725</v>
      </c>
      <c r="R159" s="4018">
        <v>5.7971014492753624E-2</v>
      </c>
      <c r="S159" s="4018">
        <v>0.13043478260869565</v>
      </c>
      <c r="T159" s="4018">
        <v>0.15686274509803921</v>
      </c>
      <c r="U159" s="4018">
        <v>0.69934640522875813</v>
      </c>
      <c r="V159" s="1834"/>
      <c r="W159" s="1834"/>
      <c r="X159" s="1834"/>
      <c r="Y159" s="1834"/>
      <c r="Z159" s="1834"/>
      <c r="AA159" s="1834"/>
      <c r="AB159" s="1834"/>
      <c r="AC159" s="1834"/>
      <c r="AD159" s="1834"/>
      <c r="AE159" s="1834"/>
      <c r="AF159" s="1834"/>
      <c r="AG159" s="1834"/>
    </row>
    <row r="160" spans="1:33" s="3890" customFormat="1">
      <c r="A160" s="4189"/>
      <c r="B160" s="4189"/>
      <c r="C160" s="4189"/>
      <c r="D160" s="4189"/>
      <c r="E160" s="4189"/>
      <c r="F160" s="4189"/>
      <c r="G160" s="4189"/>
      <c r="H160" s="7133"/>
      <c r="I160" s="7134"/>
      <c r="J160" s="4019" t="s">
        <v>128</v>
      </c>
      <c r="K160" s="7133" t="s">
        <v>244</v>
      </c>
      <c r="L160" s="4015">
        <v>239</v>
      </c>
      <c r="M160" s="4016">
        <v>178</v>
      </c>
      <c r="N160" s="4017">
        <f t="shared" si="2"/>
        <v>74.476987447698747</v>
      </c>
      <c r="O160" s="4018">
        <v>0.848314606741573</v>
      </c>
      <c r="P160" s="4018">
        <v>0.15168539325842698</v>
      </c>
      <c r="Q160" s="4018">
        <v>1.3071895424836602E-2</v>
      </c>
      <c r="R160" s="4018">
        <v>3.2679738562091505E-2</v>
      </c>
      <c r="S160" s="4018">
        <v>9.8039215686274522E-2</v>
      </c>
      <c r="T160" s="4018">
        <v>4.7619047619047616E-2</v>
      </c>
      <c r="U160" s="4018">
        <v>0.92380952380952375</v>
      </c>
      <c r="V160" s="1834"/>
      <c r="W160" s="1834"/>
      <c r="X160" s="1834"/>
      <c r="Y160" s="1834"/>
      <c r="Z160" s="1834"/>
      <c r="AA160" s="1834"/>
      <c r="AB160" s="1834"/>
      <c r="AC160" s="1834"/>
      <c r="AD160" s="1834"/>
      <c r="AE160" s="1834"/>
      <c r="AF160" s="1834"/>
      <c r="AG160" s="1834"/>
    </row>
    <row r="161" spans="1:33" s="3890" customFormat="1">
      <c r="A161" s="4189"/>
      <c r="B161" s="4189"/>
      <c r="C161" s="4189"/>
      <c r="D161" s="4189"/>
      <c r="E161" s="4189"/>
      <c r="F161" s="4189"/>
      <c r="G161" s="4189"/>
      <c r="H161" s="7133"/>
      <c r="I161" s="7134"/>
      <c r="J161" s="4019" t="s">
        <v>441</v>
      </c>
      <c r="K161" s="7133"/>
      <c r="L161" s="4015">
        <v>141</v>
      </c>
      <c r="M161" s="4016">
        <v>108</v>
      </c>
      <c r="N161" s="4017">
        <f t="shared" si="2"/>
        <v>76.59574468085107</v>
      </c>
      <c r="O161" s="4018">
        <v>0.98148148148148151</v>
      </c>
      <c r="P161" s="4018">
        <v>1.8518518518518517E-2</v>
      </c>
      <c r="Q161" s="4020">
        <v>0</v>
      </c>
      <c r="R161" s="4020">
        <v>0</v>
      </c>
      <c r="S161" s="4018">
        <v>2.8571428571428571E-2</v>
      </c>
      <c r="T161" s="4018">
        <v>0.16129032258064516</v>
      </c>
      <c r="U161" s="4018">
        <v>0.69892473118279563</v>
      </c>
      <c r="V161" s="1834"/>
      <c r="W161" s="1834"/>
      <c r="X161" s="1834"/>
      <c r="Y161" s="1834"/>
      <c r="Z161" s="1834"/>
      <c r="AA161" s="1834"/>
      <c r="AB161" s="1834"/>
      <c r="AC161" s="1834"/>
      <c r="AD161" s="1834"/>
      <c r="AE161" s="1834"/>
      <c r="AF161" s="1834"/>
      <c r="AG161" s="1834"/>
    </row>
    <row r="162" spans="1:33" s="3890" customFormat="1">
      <c r="A162" s="4189"/>
      <c r="B162" s="4189"/>
      <c r="C162" s="4189"/>
      <c r="D162" s="4189"/>
      <c r="E162" s="4189"/>
      <c r="F162" s="4189"/>
      <c r="G162" s="4189"/>
      <c r="H162" s="7133"/>
      <c r="I162" s="7134"/>
      <c r="J162" s="4019" t="s">
        <v>129</v>
      </c>
      <c r="K162" s="7133"/>
      <c r="L162" s="4015">
        <v>119</v>
      </c>
      <c r="M162" s="4016">
        <v>103</v>
      </c>
      <c r="N162" s="4017">
        <f t="shared" si="2"/>
        <v>86.554621848739501</v>
      </c>
      <c r="O162" s="4018">
        <v>0.90291262135922334</v>
      </c>
      <c r="P162" s="4018">
        <v>9.7087378640776698E-2</v>
      </c>
      <c r="Q162" s="4018">
        <v>2.1505376344086023E-2</v>
      </c>
      <c r="R162" s="4018">
        <v>1.0752688172043012E-2</v>
      </c>
      <c r="S162" s="4018">
        <v>0.1075268817204301</v>
      </c>
      <c r="T162" s="4018">
        <v>0.22222222222222221</v>
      </c>
      <c r="U162" s="4018">
        <v>0.6</v>
      </c>
      <c r="V162" s="1834"/>
      <c r="W162" s="1834"/>
      <c r="X162" s="1834"/>
      <c r="Y162" s="1834"/>
      <c r="Z162" s="1834"/>
      <c r="AA162" s="1834"/>
      <c r="AB162" s="1834"/>
      <c r="AC162" s="1834"/>
      <c r="AD162" s="1834"/>
      <c r="AE162" s="1834"/>
      <c r="AF162" s="1834"/>
      <c r="AG162" s="1834"/>
    </row>
    <row r="163" spans="1:33" s="3890" customFormat="1">
      <c r="A163" s="4189"/>
      <c r="B163" s="4189"/>
      <c r="C163" s="4189"/>
      <c r="D163" s="4189"/>
      <c r="E163" s="4189"/>
      <c r="F163" s="4189"/>
      <c r="G163" s="4189"/>
      <c r="H163" s="7133"/>
      <c r="I163" s="7134"/>
      <c r="J163" s="4019" t="s">
        <v>381</v>
      </c>
      <c r="K163" s="7133"/>
      <c r="L163" s="4015">
        <v>91</v>
      </c>
      <c r="M163" s="4016">
        <v>57</v>
      </c>
      <c r="N163" s="4017">
        <f t="shared" si="2"/>
        <v>62.637362637362635</v>
      </c>
      <c r="O163" s="4018">
        <v>0.77192982456140347</v>
      </c>
      <c r="P163" s="4018">
        <v>0.22807017543859648</v>
      </c>
      <c r="Q163" s="4018">
        <v>4.4444444444444446E-2</v>
      </c>
      <c r="R163" s="4018">
        <v>2.2222222222222223E-2</v>
      </c>
      <c r="S163" s="4018">
        <v>0.1111111111111111</v>
      </c>
      <c r="T163" s="4018">
        <v>0.109375</v>
      </c>
      <c r="U163" s="4018">
        <v>0.828125</v>
      </c>
      <c r="V163" s="1834"/>
      <c r="W163" s="1834"/>
      <c r="X163" s="1834"/>
      <c r="Y163" s="1834"/>
      <c r="Z163" s="1834"/>
      <c r="AA163" s="1834"/>
      <c r="AB163" s="1834"/>
      <c r="AC163" s="1834"/>
      <c r="AD163" s="1834"/>
      <c r="AE163" s="1834"/>
      <c r="AF163" s="1834"/>
      <c r="AG163" s="1834"/>
    </row>
    <row r="164" spans="1:33" s="3890" customFormat="1">
      <c r="A164" s="4189"/>
      <c r="B164" s="4189"/>
      <c r="C164" s="4189"/>
      <c r="D164" s="4189"/>
      <c r="E164" s="4189"/>
      <c r="F164" s="4189"/>
      <c r="G164" s="4189"/>
      <c r="H164" s="7133" t="s">
        <v>48</v>
      </c>
      <c r="I164" s="7134" t="s">
        <v>2171</v>
      </c>
      <c r="J164" s="4019" t="s">
        <v>2222</v>
      </c>
      <c r="K164" s="7133" t="s">
        <v>257</v>
      </c>
      <c r="L164" s="4015">
        <v>153</v>
      </c>
      <c r="M164" s="4016">
        <v>78</v>
      </c>
      <c r="N164" s="4017">
        <f t="shared" si="2"/>
        <v>50.980392156862742</v>
      </c>
      <c r="O164" s="4018">
        <v>0.80769230769230771</v>
      </c>
      <c r="P164" s="4018">
        <v>0.19230769230769235</v>
      </c>
      <c r="Q164" s="4020">
        <v>0</v>
      </c>
      <c r="R164" s="4018">
        <v>1.5625E-2</v>
      </c>
      <c r="S164" s="4018">
        <v>4.6875E-2</v>
      </c>
      <c r="T164" s="4018">
        <v>0.10204081632653061</v>
      </c>
      <c r="U164" s="4018">
        <v>0.76530612244897955</v>
      </c>
      <c r="V164" s="1834"/>
      <c r="W164" s="1834"/>
      <c r="X164" s="1834"/>
      <c r="Y164" s="1834"/>
      <c r="Z164" s="1834"/>
      <c r="AA164" s="1834"/>
      <c r="AB164" s="1834"/>
      <c r="AC164" s="1834"/>
      <c r="AD164" s="1834"/>
      <c r="AE164" s="1834"/>
      <c r="AF164" s="1834"/>
      <c r="AG164" s="1834"/>
    </row>
    <row r="165" spans="1:33" s="3890" customFormat="1">
      <c r="A165" s="4189"/>
      <c r="B165" s="4189"/>
      <c r="C165" s="4189"/>
      <c r="D165" s="4189"/>
      <c r="E165" s="4189"/>
      <c r="F165" s="4189"/>
      <c r="G165" s="4189"/>
      <c r="H165" s="7133"/>
      <c r="I165" s="7134"/>
      <c r="J165" s="4019" t="s">
        <v>2227</v>
      </c>
      <c r="K165" s="7133"/>
      <c r="L165" s="4015">
        <v>274</v>
      </c>
      <c r="M165" s="4016">
        <v>129</v>
      </c>
      <c r="N165" s="4017">
        <f t="shared" si="2"/>
        <v>47.080291970802918</v>
      </c>
      <c r="O165" s="4018">
        <v>0.76744186046511631</v>
      </c>
      <c r="P165" s="4018">
        <v>0.23255813953488372</v>
      </c>
      <c r="Q165" s="4018">
        <v>2.0408163265306124E-2</v>
      </c>
      <c r="R165" s="4018">
        <v>4.0816326530612249E-2</v>
      </c>
      <c r="S165" s="4018">
        <v>7.1428571428571425E-2</v>
      </c>
      <c r="T165" s="4018">
        <v>5.8823529411764698E-2</v>
      </c>
      <c r="U165" s="4018">
        <v>0.76470588235294112</v>
      </c>
      <c r="V165" s="1834"/>
      <c r="W165" s="1834"/>
      <c r="X165" s="1834"/>
      <c r="Y165" s="1834"/>
      <c r="Z165" s="1834"/>
      <c r="AA165" s="1834"/>
      <c r="AB165" s="1834"/>
      <c r="AC165" s="1834"/>
      <c r="AD165" s="1834"/>
      <c r="AE165" s="1834"/>
      <c r="AF165" s="1834"/>
      <c r="AG165" s="1834"/>
    </row>
    <row r="166" spans="1:33" s="3890" customFormat="1">
      <c r="A166" s="4189"/>
      <c r="B166" s="4189"/>
      <c r="C166" s="4189"/>
      <c r="D166" s="4189"/>
      <c r="E166" s="4189"/>
      <c r="F166" s="4189"/>
      <c r="G166" s="4189"/>
      <c r="H166" s="7133"/>
      <c r="I166" s="7134"/>
      <c r="J166" s="4019" t="s">
        <v>2632</v>
      </c>
      <c r="K166" s="7133" t="s">
        <v>243</v>
      </c>
      <c r="L166" s="4015">
        <v>86</v>
      </c>
      <c r="M166" s="4016">
        <v>22</v>
      </c>
      <c r="N166" s="4017">
        <f t="shared" si="2"/>
        <v>25.581395348837209</v>
      </c>
      <c r="O166" s="4018">
        <v>0.81818181818181823</v>
      </c>
      <c r="P166" s="4018">
        <v>0.18181818181818182</v>
      </c>
      <c r="Q166" s="4020">
        <v>0</v>
      </c>
      <c r="R166" s="4018">
        <v>5.8823529411764698E-2</v>
      </c>
      <c r="S166" s="4018">
        <v>0.1176470588235294</v>
      </c>
      <c r="T166" s="4018">
        <v>6.8965517241379309E-2</v>
      </c>
      <c r="U166" s="4018">
        <v>0.7931034482758621</v>
      </c>
      <c r="V166" s="1834"/>
      <c r="W166" s="1834"/>
      <c r="X166" s="1834"/>
      <c r="Y166" s="1834"/>
      <c r="Z166" s="1834"/>
      <c r="AA166" s="1834"/>
      <c r="AB166" s="1834"/>
      <c r="AC166" s="1834"/>
      <c r="AD166" s="1834"/>
      <c r="AE166" s="1834"/>
      <c r="AF166" s="1834"/>
      <c r="AG166" s="1834"/>
    </row>
    <row r="167" spans="1:33" s="3890" customFormat="1">
      <c r="A167" s="4189"/>
      <c r="B167" s="4189"/>
      <c r="C167" s="4189"/>
      <c r="D167" s="4189"/>
      <c r="E167" s="4189"/>
      <c r="F167" s="4189"/>
      <c r="G167" s="4189"/>
      <c r="H167" s="7133"/>
      <c r="I167" s="7134"/>
      <c r="J167" s="4019" t="s">
        <v>2633</v>
      </c>
      <c r="K167" s="7133"/>
      <c r="L167" s="4015">
        <v>115</v>
      </c>
      <c r="M167" s="4016">
        <v>37</v>
      </c>
      <c r="N167" s="4017">
        <f t="shared" si="2"/>
        <v>32.173913043478258</v>
      </c>
      <c r="O167" s="4018">
        <v>0.78378378378378377</v>
      </c>
      <c r="P167" s="4018">
        <v>0.2162162162162162</v>
      </c>
      <c r="Q167" s="4018">
        <v>6.8965517241379309E-2</v>
      </c>
      <c r="R167" s="4020">
        <v>0</v>
      </c>
      <c r="S167" s="4018">
        <v>6.8965517241379309E-2</v>
      </c>
      <c r="T167" s="4018">
        <v>0.28301886792452829</v>
      </c>
      <c r="U167" s="4018">
        <v>0.56603773584905659</v>
      </c>
      <c r="V167" s="1834"/>
      <c r="W167" s="1834"/>
      <c r="X167" s="1834"/>
      <c r="Y167" s="1834"/>
      <c r="Z167" s="1834"/>
      <c r="AA167" s="1834"/>
      <c r="AB167" s="1834"/>
      <c r="AC167" s="1834"/>
      <c r="AD167" s="1834"/>
      <c r="AE167" s="1834"/>
      <c r="AF167" s="1834"/>
      <c r="AG167" s="1834"/>
    </row>
    <row r="168" spans="1:33" s="3890" customFormat="1">
      <c r="A168" s="4189"/>
      <c r="B168" s="4189"/>
      <c r="C168" s="4189"/>
      <c r="D168" s="4189"/>
      <c r="E168" s="4189"/>
      <c r="F168" s="4189"/>
      <c r="G168" s="4189"/>
      <c r="H168" s="7133"/>
      <c r="I168" s="7134"/>
      <c r="J168" s="4019" t="s">
        <v>382</v>
      </c>
      <c r="K168" s="7133"/>
      <c r="L168" s="4015">
        <v>170</v>
      </c>
      <c r="M168" s="4016">
        <v>119</v>
      </c>
      <c r="N168" s="4017">
        <f t="shared" si="2"/>
        <v>70</v>
      </c>
      <c r="O168" s="4018">
        <v>0.8571428571428571</v>
      </c>
      <c r="P168" s="4018">
        <v>0.14285714285714285</v>
      </c>
      <c r="Q168" s="4020">
        <v>0</v>
      </c>
      <c r="R168" s="4018">
        <v>2.8301886792452834E-2</v>
      </c>
      <c r="S168" s="4018">
        <v>0.12264150943396226</v>
      </c>
      <c r="T168" s="4018">
        <v>0.21739130434782608</v>
      </c>
      <c r="U168" s="4018">
        <v>0.66666666666666652</v>
      </c>
      <c r="V168" s="1834"/>
      <c r="W168" s="1834"/>
      <c r="X168" s="1834"/>
      <c r="Y168" s="1834"/>
      <c r="Z168" s="1834"/>
      <c r="AA168" s="1834"/>
      <c r="AB168" s="1834"/>
      <c r="AC168" s="1834"/>
      <c r="AD168" s="1834"/>
      <c r="AE168" s="1834"/>
      <c r="AF168" s="1834"/>
      <c r="AG168" s="1834"/>
    </row>
    <row r="169" spans="1:33" s="3890" customFormat="1">
      <c r="A169" s="4189"/>
      <c r="B169" s="4189"/>
      <c r="C169" s="4189"/>
      <c r="D169" s="4189"/>
      <c r="E169" s="4189"/>
      <c r="F169" s="4189"/>
      <c r="G169" s="4189"/>
      <c r="H169" s="7133"/>
      <c r="I169" s="7134"/>
      <c r="J169" s="4019" t="s">
        <v>2221</v>
      </c>
      <c r="K169" s="7133"/>
      <c r="L169" s="4015">
        <v>141</v>
      </c>
      <c r="M169" s="4016">
        <v>86</v>
      </c>
      <c r="N169" s="4017">
        <f t="shared" si="2"/>
        <v>60.99290780141844</v>
      </c>
      <c r="O169" s="4018">
        <v>0.82558139534883723</v>
      </c>
      <c r="P169" s="4018">
        <v>0.17441860465116277</v>
      </c>
      <c r="Q169" s="4020">
        <v>0</v>
      </c>
      <c r="R169" s="4018">
        <v>4.3478260869565216E-2</v>
      </c>
      <c r="S169" s="4018">
        <v>7.2463768115942032E-2</v>
      </c>
      <c r="T169" s="4020">
        <v>0</v>
      </c>
      <c r="U169" s="4020">
        <v>0</v>
      </c>
      <c r="V169" s="1834"/>
      <c r="W169" s="1834"/>
      <c r="X169" s="1834"/>
      <c r="Y169" s="1834"/>
      <c r="Z169" s="1834"/>
      <c r="AA169" s="1834"/>
      <c r="AB169" s="1834"/>
      <c r="AC169" s="1834"/>
      <c r="AD169" s="1834"/>
      <c r="AE169" s="1834"/>
      <c r="AF169" s="1834"/>
      <c r="AG169" s="1834"/>
    </row>
    <row r="170" spans="1:33" s="3890" customFormat="1">
      <c r="A170" s="4189"/>
      <c r="B170" s="4189"/>
      <c r="C170" s="4189"/>
      <c r="D170" s="4189"/>
      <c r="E170" s="4189"/>
      <c r="F170" s="4189"/>
      <c r="G170" s="4189"/>
      <c r="H170" s="7133"/>
      <c r="I170" s="7134"/>
      <c r="J170" s="4019" t="s">
        <v>2222</v>
      </c>
      <c r="K170" s="7133"/>
      <c r="L170" s="4015">
        <v>101</v>
      </c>
      <c r="M170" s="4016">
        <v>2</v>
      </c>
      <c r="N170" s="4017">
        <f t="shared" si="2"/>
        <v>1.9801980198019802</v>
      </c>
      <c r="O170" s="4018">
        <v>1</v>
      </c>
      <c r="P170" s="4020">
        <v>0</v>
      </c>
      <c r="Q170" s="4020">
        <v>0</v>
      </c>
      <c r="R170" s="4018">
        <v>0.5</v>
      </c>
      <c r="S170" s="4018">
        <v>0.5</v>
      </c>
      <c r="T170" s="4018">
        <v>0.25</v>
      </c>
      <c r="U170" s="4018">
        <v>0.5714285714285714</v>
      </c>
      <c r="V170" s="1834"/>
      <c r="W170" s="1834"/>
      <c r="X170" s="1834"/>
      <c r="Y170" s="1834"/>
      <c r="Z170" s="1834"/>
      <c r="AA170" s="1834"/>
      <c r="AB170" s="1834"/>
      <c r="AC170" s="1834"/>
      <c r="AD170" s="1834"/>
      <c r="AE170" s="1834"/>
      <c r="AF170" s="1834"/>
      <c r="AG170" s="1834"/>
    </row>
    <row r="171" spans="1:33" s="3890" customFormat="1">
      <c r="A171" s="4189"/>
      <c r="B171" s="4189"/>
      <c r="C171" s="4189"/>
      <c r="D171" s="4189"/>
      <c r="E171" s="4189"/>
      <c r="F171" s="4189"/>
      <c r="G171" s="4189"/>
      <c r="H171" s="7133"/>
      <c r="I171" s="7134"/>
      <c r="J171" s="4019" t="s">
        <v>288</v>
      </c>
      <c r="K171" s="7133"/>
      <c r="L171" s="4015">
        <v>161</v>
      </c>
      <c r="M171" s="4016">
        <v>107</v>
      </c>
      <c r="N171" s="4017">
        <f t="shared" si="2"/>
        <v>66.459627329192543</v>
      </c>
      <c r="O171" s="4018">
        <v>0.78504672897196259</v>
      </c>
      <c r="P171" s="4018">
        <v>0.21495327102803738</v>
      </c>
      <c r="Q171" s="4020">
        <v>0</v>
      </c>
      <c r="R171" s="4018">
        <v>2.3809523809523808E-2</v>
      </c>
      <c r="S171" s="4018">
        <v>0.15476190476190477</v>
      </c>
      <c r="T171" s="4020">
        <v>0</v>
      </c>
      <c r="U171" s="4018">
        <v>1</v>
      </c>
      <c r="V171" s="1834"/>
      <c r="W171" s="1834"/>
      <c r="X171" s="1834"/>
      <c r="Y171" s="1834"/>
      <c r="Z171" s="1834"/>
      <c r="AA171" s="1834"/>
      <c r="AB171" s="1834"/>
      <c r="AC171" s="1834"/>
      <c r="AD171" s="1834"/>
      <c r="AE171" s="1834"/>
      <c r="AF171" s="1834"/>
      <c r="AG171" s="1834"/>
    </row>
    <row r="172" spans="1:33" s="3890" customFormat="1">
      <c r="A172" s="4189"/>
      <c r="B172" s="4189"/>
      <c r="C172" s="4189"/>
      <c r="D172" s="4189"/>
      <c r="E172" s="4189"/>
      <c r="F172" s="4189"/>
      <c r="G172" s="4189"/>
      <c r="H172" s="7133"/>
      <c r="I172" s="7134"/>
      <c r="J172" s="4019" t="s">
        <v>2634</v>
      </c>
      <c r="K172" s="7133"/>
      <c r="L172" s="4015">
        <v>21</v>
      </c>
      <c r="M172" s="4016">
        <v>4</v>
      </c>
      <c r="N172" s="4017">
        <f t="shared" si="2"/>
        <v>19.047619047619047</v>
      </c>
      <c r="O172" s="4018">
        <v>1</v>
      </c>
      <c r="P172" s="4020">
        <v>0</v>
      </c>
      <c r="Q172" s="4020">
        <v>0</v>
      </c>
      <c r="R172" s="4020">
        <v>0</v>
      </c>
      <c r="S172" s="4020">
        <v>0</v>
      </c>
      <c r="T172" s="4018">
        <v>0.32291666666666674</v>
      </c>
      <c r="U172" s="4018">
        <v>0.51041666666666663</v>
      </c>
      <c r="V172" s="1834"/>
      <c r="W172" s="1834"/>
      <c r="X172" s="1834"/>
      <c r="Y172" s="1834"/>
      <c r="Z172" s="1834"/>
      <c r="AA172" s="1834"/>
      <c r="AB172" s="1834"/>
      <c r="AC172" s="1834"/>
      <c r="AD172" s="1834"/>
      <c r="AE172" s="1834"/>
      <c r="AF172" s="1834"/>
      <c r="AG172" s="1834"/>
    </row>
    <row r="173" spans="1:33" s="3890" customFormat="1">
      <c r="A173" s="4189"/>
      <c r="B173" s="4189"/>
      <c r="C173" s="4189"/>
      <c r="D173" s="4189"/>
      <c r="E173" s="4189"/>
      <c r="F173" s="4189"/>
      <c r="G173" s="4189"/>
      <c r="H173" s="7133"/>
      <c r="I173" s="7134"/>
      <c r="J173" s="4019" t="s">
        <v>289</v>
      </c>
      <c r="K173" s="7133"/>
      <c r="L173" s="4015">
        <v>140</v>
      </c>
      <c r="M173" s="4016">
        <v>108</v>
      </c>
      <c r="N173" s="4017">
        <f t="shared" si="2"/>
        <v>77.142857142857139</v>
      </c>
      <c r="O173" s="4018">
        <v>0.88888888888888884</v>
      </c>
      <c r="P173" s="4018">
        <v>0.1111111111111111</v>
      </c>
      <c r="Q173" s="4018">
        <v>3.125E-2</v>
      </c>
      <c r="R173" s="4018">
        <v>3.125E-2</v>
      </c>
      <c r="S173" s="4018">
        <v>0.10416666666666669</v>
      </c>
      <c r="T173" s="4018">
        <v>0.24489795918367346</v>
      </c>
      <c r="U173" s="4018">
        <v>0.5714285714285714</v>
      </c>
      <c r="V173" s="1834"/>
      <c r="W173" s="1834"/>
      <c r="X173" s="1834"/>
      <c r="Y173" s="1834"/>
      <c r="Z173" s="1834"/>
      <c r="AA173" s="1834"/>
      <c r="AB173" s="1834"/>
      <c r="AC173" s="1834"/>
      <c r="AD173" s="1834"/>
      <c r="AE173" s="1834"/>
      <c r="AF173" s="1834"/>
      <c r="AG173" s="1834"/>
    </row>
    <row r="174" spans="1:33" s="3890" customFormat="1">
      <c r="A174" s="4189"/>
      <c r="B174" s="4189"/>
      <c r="C174" s="4189"/>
      <c r="D174" s="4189"/>
      <c r="E174" s="4189"/>
      <c r="F174" s="4189"/>
      <c r="G174" s="4189"/>
      <c r="H174" s="7133"/>
      <c r="I174" s="7134"/>
      <c r="J174" s="4019" t="s">
        <v>443</v>
      </c>
      <c r="K174" s="7133"/>
      <c r="L174" s="4015">
        <v>110</v>
      </c>
      <c r="M174" s="4016">
        <v>65</v>
      </c>
      <c r="N174" s="4017">
        <f t="shared" si="2"/>
        <v>59.090909090909093</v>
      </c>
      <c r="O174" s="4018">
        <v>0.76923076923076938</v>
      </c>
      <c r="P174" s="4018">
        <v>0.23076923076923075</v>
      </c>
      <c r="Q174" s="4018">
        <v>2.0408163265306124E-2</v>
      </c>
      <c r="R174" s="4018">
        <v>2.0408163265306124E-2</v>
      </c>
      <c r="S174" s="4018">
        <v>0.14285714285714285</v>
      </c>
      <c r="T174" s="4018">
        <v>0.14285714285714285</v>
      </c>
      <c r="U174" s="4018">
        <v>0.7142857142857143</v>
      </c>
      <c r="V174" s="1834"/>
      <c r="W174" s="1834"/>
      <c r="X174" s="1834"/>
      <c r="Y174" s="1834"/>
      <c r="Z174" s="1834"/>
      <c r="AA174" s="1834"/>
      <c r="AB174" s="1834"/>
      <c r="AC174" s="1834"/>
      <c r="AD174" s="1834"/>
      <c r="AE174" s="1834"/>
      <c r="AF174" s="1834"/>
      <c r="AG174" s="1834"/>
    </row>
    <row r="175" spans="1:33" s="3890" customFormat="1">
      <c r="A175" s="4189"/>
      <c r="B175" s="4189"/>
      <c r="C175" s="4189"/>
      <c r="D175" s="4189"/>
      <c r="E175" s="4189"/>
      <c r="F175" s="4189"/>
      <c r="G175" s="4189"/>
      <c r="H175" s="7133"/>
      <c r="I175" s="7134"/>
      <c r="J175" s="4019" t="s">
        <v>2226</v>
      </c>
      <c r="K175" s="7133"/>
      <c r="L175" s="4015">
        <v>35</v>
      </c>
      <c r="M175" s="4016">
        <v>27</v>
      </c>
      <c r="N175" s="4017">
        <f t="shared" si="2"/>
        <v>77.142857142857139</v>
      </c>
      <c r="O175" s="4018">
        <v>0.53846153846153844</v>
      </c>
      <c r="P175" s="4018">
        <v>0.46153846153846151</v>
      </c>
      <c r="Q175" s="4020">
        <v>0</v>
      </c>
      <c r="R175" s="4020">
        <v>0</v>
      </c>
      <c r="S175" s="4018">
        <v>0.14285714285714285</v>
      </c>
      <c r="T175" s="4018">
        <v>0.26027397260273971</v>
      </c>
      <c r="U175" s="4018">
        <v>0.56164383561643838</v>
      </c>
      <c r="V175" s="1834"/>
      <c r="W175" s="1834"/>
      <c r="X175" s="1834"/>
      <c r="Y175" s="1834"/>
      <c r="Z175" s="1834"/>
      <c r="AA175" s="1834"/>
      <c r="AB175" s="1834"/>
      <c r="AC175" s="1834"/>
      <c r="AD175" s="1834"/>
      <c r="AE175" s="1834"/>
      <c r="AF175" s="1834"/>
      <c r="AG175" s="1834"/>
    </row>
    <row r="176" spans="1:33" s="3890" customFormat="1">
      <c r="A176" s="4189"/>
      <c r="B176" s="4189"/>
      <c r="C176" s="4189"/>
      <c r="D176" s="4189"/>
      <c r="E176" s="4189"/>
      <c r="F176" s="4189"/>
      <c r="G176" s="4189"/>
      <c r="H176" s="7133"/>
      <c r="I176" s="7134"/>
      <c r="J176" s="4019" t="s">
        <v>2227</v>
      </c>
      <c r="K176" s="7133"/>
      <c r="L176" s="4015">
        <v>315</v>
      </c>
      <c r="M176" s="4016">
        <v>115</v>
      </c>
      <c r="N176" s="4017">
        <f t="shared" si="2"/>
        <v>36.507936507936506</v>
      </c>
      <c r="O176" s="4018">
        <v>0.64035087719298245</v>
      </c>
      <c r="P176" s="4018">
        <v>0.35964912280701755</v>
      </c>
      <c r="Q176" s="4018">
        <v>1.3698630136986301E-2</v>
      </c>
      <c r="R176" s="4018">
        <v>6.8493150684931503E-2</v>
      </c>
      <c r="S176" s="4018">
        <v>9.5890410958904104E-2</v>
      </c>
      <c r="T176" s="4018">
        <v>0.38461538461538469</v>
      </c>
      <c r="U176" s="4018">
        <v>0.23076923076923075</v>
      </c>
      <c r="V176" s="1834"/>
      <c r="W176" s="1834"/>
      <c r="X176" s="1834"/>
      <c r="Y176" s="1834"/>
      <c r="Z176" s="1834"/>
      <c r="AA176" s="1834"/>
      <c r="AB176" s="1834"/>
      <c r="AC176" s="1834"/>
      <c r="AD176" s="1834"/>
      <c r="AE176" s="1834"/>
      <c r="AF176" s="1834"/>
      <c r="AG176" s="1834"/>
    </row>
    <row r="177" spans="1:34" s="3527" customFormat="1">
      <c r="A177" s="4189"/>
      <c r="B177" s="4189"/>
      <c r="C177" s="4189"/>
      <c r="D177" s="4189"/>
      <c r="E177" s="4189"/>
      <c r="F177" s="4189"/>
      <c r="G177" s="4189"/>
      <c r="H177" s="7133"/>
      <c r="I177" s="7134"/>
      <c r="J177" s="4019" t="s">
        <v>2082</v>
      </c>
      <c r="K177" s="7133"/>
      <c r="L177" s="4015">
        <v>48</v>
      </c>
      <c r="M177" s="4016">
        <v>22</v>
      </c>
      <c r="N177" s="4017">
        <f t="shared" si="2"/>
        <v>45.833333333333336</v>
      </c>
      <c r="O177" s="4018">
        <v>0.54545454545454541</v>
      </c>
      <c r="P177" s="4018">
        <v>0.45454545454545453</v>
      </c>
      <c r="Q177" s="4020">
        <v>0</v>
      </c>
      <c r="R177" s="4020">
        <v>0</v>
      </c>
      <c r="S177" s="4018">
        <v>0.38461538461538469</v>
      </c>
      <c r="T177" s="4018">
        <v>0.375</v>
      </c>
      <c r="U177" s="4018">
        <v>0.34375</v>
      </c>
      <c r="V177" s="1834"/>
      <c r="W177" s="1834"/>
      <c r="X177" s="1834"/>
      <c r="Y177" s="1834"/>
      <c r="Z177" s="1834"/>
      <c r="AA177" s="1834"/>
      <c r="AB177" s="1834"/>
      <c r="AC177" s="1834"/>
      <c r="AD177" s="1834"/>
      <c r="AE177" s="1834"/>
      <c r="AF177" s="1834"/>
      <c r="AG177" s="1834"/>
      <c r="AH177" s="3890"/>
    </row>
    <row r="178" spans="1:34" s="3527" customFormat="1" ht="15.75" customHeight="1">
      <c r="A178" s="4189"/>
      <c r="B178" s="4189"/>
      <c r="C178" s="4189"/>
      <c r="D178" s="4189"/>
      <c r="E178" s="4189"/>
      <c r="F178" s="4189"/>
      <c r="G178" s="4189"/>
      <c r="H178" s="7133"/>
      <c r="I178" s="7134"/>
      <c r="J178" s="4019" t="s">
        <v>290</v>
      </c>
      <c r="K178" s="7133"/>
      <c r="L178" s="4015">
        <v>70</v>
      </c>
      <c r="M178" s="4016">
        <v>48</v>
      </c>
      <c r="N178" s="4017">
        <f t="shared" si="2"/>
        <v>68.571428571428569</v>
      </c>
      <c r="O178" s="4018">
        <v>0.6875</v>
      </c>
      <c r="P178" s="4018">
        <v>0.3125</v>
      </c>
      <c r="Q178" s="4018">
        <v>3.125E-2</v>
      </c>
      <c r="R178" s="4018">
        <v>9.375E-2</v>
      </c>
      <c r="S178" s="4018">
        <v>0.15625</v>
      </c>
      <c r="T178" s="4018">
        <v>0.2</v>
      </c>
      <c r="U178" s="4018">
        <v>0.5</v>
      </c>
      <c r="V178" s="1834"/>
      <c r="W178" s="1834"/>
      <c r="X178" s="1834"/>
      <c r="Y178" s="1834"/>
      <c r="Z178" s="1834"/>
      <c r="AA178" s="1834"/>
      <c r="AB178" s="1834"/>
      <c r="AC178" s="1834"/>
      <c r="AD178" s="1834"/>
      <c r="AE178" s="1834"/>
      <c r="AF178" s="1834"/>
      <c r="AG178" s="1834"/>
      <c r="AH178" s="3890"/>
    </row>
    <row r="179" spans="1:34" s="3527" customFormat="1">
      <c r="A179" s="4189"/>
      <c r="B179" s="4189"/>
      <c r="C179" s="4189"/>
      <c r="D179" s="4189"/>
      <c r="E179" s="4189"/>
      <c r="F179" s="4189"/>
      <c r="G179" s="4189"/>
      <c r="H179" s="7133"/>
      <c r="I179" s="7134"/>
      <c r="J179" s="4019" t="s">
        <v>2060</v>
      </c>
      <c r="K179" s="7133"/>
      <c r="L179" s="4015">
        <v>36</v>
      </c>
      <c r="M179" s="4016">
        <v>13</v>
      </c>
      <c r="N179" s="4017">
        <f t="shared" si="2"/>
        <v>36.111111111111114</v>
      </c>
      <c r="O179" s="4018">
        <v>0.76923076923076938</v>
      </c>
      <c r="P179" s="4018">
        <v>0.23076923076923075</v>
      </c>
      <c r="Q179" s="4020">
        <v>0</v>
      </c>
      <c r="R179" s="4018">
        <v>0.1</v>
      </c>
      <c r="S179" s="4018">
        <v>0.2</v>
      </c>
      <c r="T179" s="4018">
        <v>0.16666666666666663</v>
      </c>
      <c r="U179" s="4018">
        <v>0.33333333333333326</v>
      </c>
      <c r="V179" s="1834"/>
      <c r="W179" s="1834"/>
      <c r="X179" s="1834"/>
      <c r="Y179" s="1834"/>
      <c r="Z179" s="1834"/>
      <c r="AA179" s="1834"/>
      <c r="AB179" s="1834"/>
      <c r="AC179" s="1834"/>
      <c r="AD179" s="1834"/>
      <c r="AE179" s="1834"/>
      <c r="AF179" s="1834"/>
      <c r="AG179" s="1834"/>
      <c r="AH179" s="3890"/>
    </row>
    <row r="180" spans="1:34" s="3527" customFormat="1">
      <c r="A180" s="4189"/>
      <c r="B180" s="4189"/>
      <c r="C180" s="4189"/>
      <c r="D180" s="4189"/>
      <c r="E180" s="4189"/>
      <c r="F180" s="4189"/>
      <c r="G180" s="4189"/>
      <c r="H180" s="7133"/>
      <c r="I180" s="7134"/>
      <c r="J180" s="4019" t="s">
        <v>2635</v>
      </c>
      <c r="K180" s="7133"/>
      <c r="L180" s="4015">
        <v>11</v>
      </c>
      <c r="M180" s="4016">
        <v>7</v>
      </c>
      <c r="N180" s="4017">
        <f t="shared" si="2"/>
        <v>63.636363636363633</v>
      </c>
      <c r="O180" s="4018">
        <v>0.8571428571428571</v>
      </c>
      <c r="P180" s="4018">
        <v>0.14285714285714285</v>
      </c>
      <c r="Q180" s="4020">
        <v>0</v>
      </c>
      <c r="R180" s="4020">
        <v>0</v>
      </c>
      <c r="S180" s="4018">
        <v>0.5</v>
      </c>
      <c r="T180" s="4018">
        <v>0.11881188118811881</v>
      </c>
      <c r="U180" s="4018">
        <v>0.84158415841584155</v>
      </c>
      <c r="V180" s="1834"/>
      <c r="W180" s="1834"/>
      <c r="X180" s="1834"/>
      <c r="Y180" s="1834"/>
      <c r="Z180" s="1834"/>
      <c r="AA180" s="1834"/>
      <c r="AB180" s="1834"/>
      <c r="AC180" s="1834"/>
      <c r="AD180" s="1834"/>
      <c r="AE180" s="1834"/>
      <c r="AF180" s="1834"/>
      <c r="AG180" s="1834"/>
      <c r="AH180" s="3890"/>
    </row>
    <row r="181" spans="1:34" s="3527" customFormat="1">
      <c r="A181" s="4189"/>
      <c r="B181" s="4189"/>
      <c r="C181" s="4189"/>
      <c r="D181" s="4189"/>
      <c r="E181" s="4189"/>
      <c r="F181" s="4189"/>
      <c r="G181" s="4189"/>
      <c r="H181" s="7133"/>
      <c r="I181" s="7134"/>
      <c r="J181" s="4019" t="s">
        <v>291</v>
      </c>
      <c r="K181" s="7133" t="s">
        <v>244</v>
      </c>
      <c r="L181" s="4015">
        <v>385</v>
      </c>
      <c r="M181" s="4016">
        <v>103</v>
      </c>
      <c r="N181" s="4017">
        <f t="shared" si="2"/>
        <v>26.753246753246753</v>
      </c>
      <c r="O181" s="4018">
        <v>0.96116504854368945</v>
      </c>
      <c r="P181" s="4018">
        <v>3.8834951456310676E-2</v>
      </c>
      <c r="Q181" s="4018">
        <v>2.9702970297029702E-2</v>
      </c>
      <c r="R181" s="4020">
        <v>0</v>
      </c>
      <c r="S181" s="4018">
        <v>9.9009900990099011E-3</v>
      </c>
      <c r="T181" s="4018">
        <v>7.6923076923076927E-2</v>
      </c>
      <c r="U181" s="4018">
        <v>0.92307692307692302</v>
      </c>
      <c r="V181" s="1834"/>
      <c r="W181" s="1834"/>
      <c r="X181" s="1834"/>
      <c r="Y181" s="1834"/>
      <c r="Z181" s="1834"/>
      <c r="AA181" s="1834"/>
      <c r="AB181" s="1834"/>
      <c r="AC181" s="1834"/>
      <c r="AD181" s="1834"/>
      <c r="AE181" s="1834"/>
      <c r="AF181" s="1834"/>
      <c r="AG181" s="1834"/>
      <c r="AH181" s="3890"/>
    </row>
    <row r="182" spans="1:34" s="3527" customFormat="1">
      <c r="A182" s="4189"/>
      <c r="B182" s="4189"/>
      <c r="C182" s="4189"/>
      <c r="D182" s="4189"/>
      <c r="E182" s="4189"/>
      <c r="F182" s="4189"/>
      <c r="G182" s="4189"/>
      <c r="H182" s="7133"/>
      <c r="I182" s="7134"/>
      <c r="J182" s="4019" t="s">
        <v>2226</v>
      </c>
      <c r="K182" s="7133"/>
      <c r="L182" s="4015">
        <v>24</v>
      </c>
      <c r="M182" s="4016">
        <v>14</v>
      </c>
      <c r="N182" s="4017">
        <f t="shared" si="2"/>
        <v>58.333333333333336</v>
      </c>
      <c r="O182" s="4018">
        <v>0.9285714285714286</v>
      </c>
      <c r="P182" s="4018">
        <v>7.1428571428571425E-2</v>
      </c>
      <c r="Q182" s="4020">
        <v>0</v>
      </c>
      <c r="R182" s="4020">
        <v>0</v>
      </c>
      <c r="S182" s="4020">
        <v>0</v>
      </c>
      <c r="T182" s="4018">
        <v>0.20408163265306123</v>
      </c>
      <c r="U182" s="4018">
        <v>0.73469387755102045</v>
      </c>
      <c r="V182" s="1834"/>
      <c r="W182" s="1834"/>
      <c r="X182" s="1834"/>
      <c r="Y182" s="1834"/>
      <c r="Z182" s="1834"/>
      <c r="AA182" s="1834"/>
      <c r="AB182" s="1834"/>
      <c r="AC182" s="1834"/>
      <c r="AD182" s="1834"/>
      <c r="AE182" s="1834"/>
      <c r="AF182" s="1834"/>
      <c r="AG182" s="1834"/>
      <c r="AH182" s="3890"/>
    </row>
    <row r="183" spans="1:34" s="3527" customFormat="1">
      <c r="A183" s="4189"/>
      <c r="B183" s="4189"/>
      <c r="C183" s="4189"/>
      <c r="D183" s="4189"/>
      <c r="E183" s="4189"/>
      <c r="F183" s="4189"/>
      <c r="G183" s="4189"/>
      <c r="H183" s="7133"/>
      <c r="I183" s="7134"/>
      <c r="J183" s="4019" t="s">
        <v>2227</v>
      </c>
      <c r="K183" s="7133"/>
      <c r="L183" s="4015">
        <v>83</v>
      </c>
      <c r="M183" s="4016">
        <v>56</v>
      </c>
      <c r="N183" s="4017">
        <f t="shared" si="2"/>
        <v>67.46987951807229</v>
      </c>
      <c r="O183" s="4018">
        <v>0.8928571428571429</v>
      </c>
      <c r="P183" s="4018">
        <v>0.10714285714285714</v>
      </c>
      <c r="Q183" s="4020">
        <v>0</v>
      </c>
      <c r="R183" s="4020">
        <v>0</v>
      </c>
      <c r="S183" s="4018">
        <v>6.1224489795918366E-2</v>
      </c>
      <c r="T183" s="4025">
        <v>9.0909090909090912E-2</v>
      </c>
      <c r="U183" s="4025">
        <v>0.75757575757575746</v>
      </c>
      <c r="V183" s="4026"/>
      <c r="W183" s="1834"/>
      <c r="X183" s="1834"/>
      <c r="Y183" s="1834"/>
      <c r="Z183" s="1834"/>
      <c r="AA183" s="1834"/>
      <c r="AB183" s="1834"/>
      <c r="AC183" s="1834"/>
      <c r="AD183" s="1834"/>
      <c r="AE183" s="1834"/>
      <c r="AF183" s="1834"/>
      <c r="AG183" s="1834"/>
      <c r="AH183" s="3890"/>
    </row>
    <row r="184" spans="1:34" s="3527" customFormat="1">
      <c r="A184" s="4189"/>
      <c r="B184" s="4189"/>
      <c r="C184" s="4189"/>
      <c r="D184" s="4189"/>
      <c r="E184" s="4189"/>
      <c r="F184" s="4189"/>
      <c r="G184" s="4189"/>
      <c r="H184" s="7133"/>
      <c r="I184" s="7143" t="s">
        <v>2173</v>
      </c>
      <c r="J184" s="4022" t="s">
        <v>2636</v>
      </c>
      <c r="K184" s="7144" t="s">
        <v>257</v>
      </c>
      <c r="L184" s="4023">
        <v>101</v>
      </c>
      <c r="M184" s="4024">
        <v>79</v>
      </c>
      <c r="N184" s="4017">
        <f t="shared" si="2"/>
        <v>78.21782178217822</v>
      </c>
      <c r="O184" s="4025">
        <v>0.82278481012658233</v>
      </c>
      <c r="P184" s="4025">
        <v>0.17721518987341769</v>
      </c>
      <c r="Q184" s="4020">
        <v>0</v>
      </c>
      <c r="R184" s="4025">
        <v>3.0303030303030304E-2</v>
      </c>
      <c r="S184" s="4025">
        <v>0.12121212121212122</v>
      </c>
      <c r="T184" s="4025">
        <v>0.16666666666666663</v>
      </c>
      <c r="U184" s="4025">
        <v>0.66666666666666652</v>
      </c>
      <c r="V184" s="4026"/>
      <c r="W184" s="1834"/>
      <c r="X184" s="1834"/>
      <c r="Y184" s="1834"/>
      <c r="Z184" s="1834"/>
      <c r="AA184" s="1834"/>
      <c r="AB184" s="1834"/>
      <c r="AC184" s="1834"/>
      <c r="AD184" s="1834"/>
      <c r="AE184" s="1834"/>
      <c r="AF184" s="1834"/>
      <c r="AG184" s="1834"/>
      <c r="AH184" s="3890"/>
    </row>
    <row r="185" spans="1:34" s="3527" customFormat="1">
      <c r="A185" s="4189"/>
      <c r="B185" s="4189"/>
      <c r="C185" s="4189"/>
      <c r="D185" s="4189"/>
      <c r="E185" s="4189"/>
      <c r="F185" s="4189"/>
      <c r="G185" s="4189"/>
      <c r="H185" s="7133"/>
      <c r="I185" s="7143"/>
      <c r="J185" s="4022" t="s">
        <v>2637</v>
      </c>
      <c r="K185" s="7144"/>
      <c r="L185" s="4023">
        <v>76</v>
      </c>
      <c r="M185" s="4024">
        <v>6</v>
      </c>
      <c r="N185" s="4017">
        <f t="shared" si="2"/>
        <v>7.8947368421052628</v>
      </c>
      <c r="O185" s="4025">
        <v>1</v>
      </c>
      <c r="P185" s="4020">
        <v>0</v>
      </c>
      <c r="Q185" s="4020">
        <v>0</v>
      </c>
      <c r="R185" s="4020">
        <v>0</v>
      </c>
      <c r="S185" s="4025">
        <v>0.16666666666666663</v>
      </c>
      <c r="T185" s="4025">
        <v>0.13333333333333333</v>
      </c>
      <c r="U185" s="4025">
        <v>0.7</v>
      </c>
      <c r="V185" s="4026"/>
      <c r="W185" s="1834"/>
      <c r="X185" s="1834"/>
      <c r="Y185" s="1834"/>
      <c r="Z185" s="1834"/>
      <c r="AA185" s="1834"/>
      <c r="AB185" s="1834"/>
      <c r="AC185" s="1834"/>
      <c r="AD185" s="1834"/>
      <c r="AE185" s="1834"/>
      <c r="AF185" s="1834"/>
      <c r="AG185" s="1834"/>
      <c r="AH185" s="3890"/>
    </row>
    <row r="186" spans="1:34" s="3527" customFormat="1">
      <c r="A186" s="4189"/>
      <c r="B186" s="4189"/>
      <c r="C186" s="4189"/>
      <c r="D186" s="4189"/>
      <c r="E186" s="4189"/>
      <c r="F186" s="4189"/>
      <c r="G186" s="4189"/>
      <c r="H186" s="7133"/>
      <c r="I186" s="7143"/>
      <c r="J186" s="4022" t="s">
        <v>2229</v>
      </c>
      <c r="K186" s="7144"/>
      <c r="L186" s="4023">
        <v>45</v>
      </c>
      <c r="M186" s="4024">
        <v>30</v>
      </c>
      <c r="N186" s="4017">
        <f t="shared" si="2"/>
        <v>66.666666666666671</v>
      </c>
      <c r="O186" s="4025">
        <v>1</v>
      </c>
      <c r="P186" s="4020">
        <v>0</v>
      </c>
      <c r="Q186" s="4025">
        <v>6.6666666666666666E-2</v>
      </c>
      <c r="R186" s="4025">
        <v>6.6666666666666666E-2</v>
      </c>
      <c r="S186" s="4025">
        <v>3.3333333333333333E-2</v>
      </c>
      <c r="T186" s="4020">
        <v>0</v>
      </c>
      <c r="U186" s="4025">
        <v>0.9</v>
      </c>
      <c r="V186" s="4027"/>
      <c r="W186" s="1834"/>
      <c r="X186" s="1834"/>
      <c r="Y186" s="1834"/>
      <c r="Z186" s="1834"/>
      <c r="AA186" s="1834"/>
      <c r="AB186" s="1834"/>
      <c r="AC186" s="1834"/>
      <c r="AD186" s="1834"/>
      <c r="AE186" s="1834"/>
      <c r="AF186" s="1834"/>
      <c r="AG186" s="1834"/>
      <c r="AH186" s="3890"/>
    </row>
    <row r="187" spans="1:34" s="3527" customFormat="1">
      <c r="A187" s="4189"/>
      <c r="B187" s="4189"/>
      <c r="C187" s="4189"/>
      <c r="D187" s="4189"/>
      <c r="E187" s="4189"/>
      <c r="F187" s="4189"/>
      <c r="G187" s="4189"/>
      <c r="H187" s="7133"/>
      <c r="I187" s="7143"/>
      <c r="J187" s="4022" t="s">
        <v>444</v>
      </c>
      <c r="K187" s="7144"/>
      <c r="L187" s="4023">
        <v>30</v>
      </c>
      <c r="M187" s="4024">
        <v>12</v>
      </c>
      <c r="N187" s="4017">
        <f t="shared" si="2"/>
        <v>40</v>
      </c>
      <c r="O187" s="4025">
        <v>0.83333333333333348</v>
      </c>
      <c r="P187" s="4025">
        <v>0.16666666666666663</v>
      </c>
      <c r="Q187" s="4025">
        <v>0.1</v>
      </c>
      <c r="R187" s="4020">
        <v>0</v>
      </c>
      <c r="S187" s="4020">
        <v>0</v>
      </c>
      <c r="T187" s="4025">
        <v>0.22772277227722776</v>
      </c>
      <c r="U187" s="4025">
        <v>0.53465346534653468</v>
      </c>
      <c r="V187" s="4026"/>
      <c r="W187" s="1834"/>
      <c r="X187" s="1834"/>
      <c r="Y187" s="1834"/>
      <c r="Z187" s="1834"/>
      <c r="AA187" s="1834"/>
      <c r="AB187" s="1834"/>
      <c r="AC187" s="1834"/>
      <c r="AD187" s="1834"/>
      <c r="AE187" s="1834"/>
      <c r="AF187" s="1834"/>
      <c r="AG187" s="1834"/>
      <c r="AH187" s="3890"/>
    </row>
    <row r="188" spans="1:34" s="3527" customFormat="1">
      <c r="A188" s="4189"/>
      <c r="B188" s="4189"/>
      <c r="C188" s="4189"/>
      <c r="D188" s="4189"/>
      <c r="E188" s="4189"/>
      <c r="F188" s="4189"/>
      <c r="G188" s="4189"/>
      <c r="H188" s="7133"/>
      <c r="I188" s="7143"/>
      <c r="J188" s="4022" t="s">
        <v>2636</v>
      </c>
      <c r="K188" s="7144" t="s">
        <v>243</v>
      </c>
      <c r="L188" s="4023">
        <v>201</v>
      </c>
      <c r="M188" s="4024">
        <v>118</v>
      </c>
      <c r="N188" s="4017">
        <f t="shared" si="2"/>
        <v>58.706467661691541</v>
      </c>
      <c r="O188" s="4025">
        <v>0.85593220338983056</v>
      </c>
      <c r="P188" s="4025">
        <v>0.1440677966101695</v>
      </c>
      <c r="Q188" s="4025">
        <v>2.9702970297029702E-2</v>
      </c>
      <c r="R188" s="4025">
        <v>7.9207920792079209E-2</v>
      </c>
      <c r="S188" s="4025">
        <v>0.12871287128712872</v>
      </c>
      <c r="T188" s="4025">
        <v>0.23595505617977527</v>
      </c>
      <c r="U188" s="4025">
        <v>0.5112359550561798</v>
      </c>
      <c r="V188" s="4026"/>
      <c r="W188" s="1834"/>
      <c r="X188" s="1834"/>
      <c r="Y188" s="1834"/>
      <c r="Z188" s="1834"/>
      <c r="AA188" s="1834"/>
      <c r="AB188" s="1834"/>
      <c r="AC188" s="1834"/>
      <c r="AD188" s="1834"/>
      <c r="AE188" s="1834"/>
      <c r="AF188" s="1834"/>
      <c r="AG188" s="1834"/>
      <c r="AH188" s="3890"/>
    </row>
    <row r="189" spans="1:34" s="3527" customFormat="1">
      <c r="A189" s="4189"/>
      <c r="B189" s="4189"/>
      <c r="C189" s="4189"/>
      <c r="D189" s="4189"/>
      <c r="E189" s="4189"/>
      <c r="F189" s="4189"/>
      <c r="G189" s="4189"/>
      <c r="H189" s="7133"/>
      <c r="I189" s="7143"/>
      <c r="J189" s="4022" t="s">
        <v>293</v>
      </c>
      <c r="K189" s="7144"/>
      <c r="L189" s="4023">
        <v>235</v>
      </c>
      <c r="M189" s="4024">
        <v>191</v>
      </c>
      <c r="N189" s="4017">
        <f t="shared" si="2"/>
        <v>81.276595744680847</v>
      </c>
      <c r="O189" s="4025">
        <v>0.88481675392670156</v>
      </c>
      <c r="P189" s="4025">
        <v>0.11518324607329843</v>
      </c>
      <c r="Q189" s="4025">
        <v>3.9325842696629212E-2</v>
      </c>
      <c r="R189" s="4025">
        <v>3.9325842696629212E-2</v>
      </c>
      <c r="S189" s="4025">
        <v>0.17415730337078653</v>
      </c>
      <c r="T189" s="4025">
        <v>0.23749999999999999</v>
      </c>
      <c r="U189" s="4025">
        <v>0.47499999999999998</v>
      </c>
      <c r="V189" s="4026"/>
      <c r="W189" s="1834"/>
      <c r="X189" s="1834"/>
      <c r="Y189" s="1834"/>
      <c r="Z189" s="1834"/>
      <c r="AA189" s="1834"/>
      <c r="AB189" s="1834"/>
      <c r="AC189" s="1834"/>
      <c r="AD189" s="1834"/>
      <c r="AE189" s="1834"/>
      <c r="AF189" s="1834"/>
      <c r="AG189" s="1834"/>
      <c r="AH189" s="3890"/>
    </row>
    <row r="190" spans="1:34" s="3527" customFormat="1">
      <c r="A190" s="4189"/>
      <c r="B190" s="4189"/>
      <c r="C190" s="4189"/>
      <c r="D190" s="4189"/>
      <c r="E190" s="4189"/>
      <c r="F190" s="4189"/>
      <c r="G190" s="4189"/>
      <c r="H190" s="7133"/>
      <c r="I190" s="7143"/>
      <c r="J190" s="4022" t="s">
        <v>446</v>
      </c>
      <c r="K190" s="7144"/>
      <c r="L190" s="4023">
        <v>126</v>
      </c>
      <c r="M190" s="4024">
        <v>109</v>
      </c>
      <c r="N190" s="4017">
        <f t="shared" si="2"/>
        <v>86.507936507936506</v>
      </c>
      <c r="O190" s="4025">
        <v>0.75229357798165142</v>
      </c>
      <c r="P190" s="4025">
        <v>0.24770642201834864</v>
      </c>
      <c r="Q190" s="4025">
        <v>3.7499999999999999E-2</v>
      </c>
      <c r="R190" s="4025">
        <v>7.4999999999999997E-2</v>
      </c>
      <c r="S190" s="4025">
        <v>0.17499999999999999</v>
      </c>
      <c r="T190" s="4020">
        <v>0</v>
      </c>
      <c r="U190" s="4025">
        <v>1</v>
      </c>
      <c r="V190" s="4026"/>
      <c r="W190" s="1834"/>
      <c r="X190" s="1834"/>
      <c r="Y190" s="1834"/>
      <c r="Z190" s="1834"/>
      <c r="AA190" s="1834"/>
      <c r="AB190" s="1834"/>
      <c r="AC190" s="1834"/>
      <c r="AD190" s="1834"/>
      <c r="AE190" s="1834"/>
      <c r="AF190" s="1834"/>
      <c r="AG190" s="1834"/>
      <c r="AH190" s="3890"/>
    </row>
    <row r="191" spans="1:34" s="3527" customFormat="1">
      <c r="A191" s="4189"/>
      <c r="B191" s="4189"/>
      <c r="C191" s="4189"/>
      <c r="D191" s="4189"/>
      <c r="E191" s="4189"/>
      <c r="F191" s="4189"/>
      <c r="G191" s="4189"/>
      <c r="H191" s="7133"/>
      <c r="I191" s="7143"/>
      <c r="J191" s="4022" t="s">
        <v>330</v>
      </c>
      <c r="K191" s="7144"/>
      <c r="L191" s="4023">
        <v>24</v>
      </c>
      <c r="M191" s="4024">
        <v>3</v>
      </c>
      <c r="N191" s="4017">
        <f t="shared" si="2"/>
        <v>12.5</v>
      </c>
      <c r="O191" s="4025">
        <v>0.66666666666666652</v>
      </c>
      <c r="P191" s="4025">
        <v>0.33333333333333326</v>
      </c>
      <c r="Q191" s="4020">
        <v>0</v>
      </c>
      <c r="R191" s="4020">
        <v>0</v>
      </c>
      <c r="S191" s="4020">
        <v>0</v>
      </c>
      <c r="T191" s="4025">
        <v>0.28712871287128711</v>
      </c>
      <c r="U191" s="4025">
        <v>0.5544554455445545</v>
      </c>
      <c r="V191" s="4026"/>
      <c r="W191" s="1834"/>
      <c r="X191" s="1834"/>
      <c r="Y191" s="1834"/>
      <c r="Z191" s="1834"/>
      <c r="AA191" s="1834"/>
      <c r="AB191" s="1834"/>
      <c r="AC191" s="1834"/>
      <c r="AD191" s="1834"/>
      <c r="AE191" s="1834"/>
      <c r="AF191" s="1834"/>
      <c r="AG191" s="1834"/>
      <c r="AH191" s="3890"/>
    </row>
    <row r="192" spans="1:34" s="3527" customFormat="1">
      <c r="A192" s="4189"/>
      <c r="B192" s="4189"/>
      <c r="C192" s="4189"/>
      <c r="D192" s="4189"/>
      <c r="E192" s="4189"/>
      <c r="F192" s="4189"/>
      <c r="G192" s="4189"/>
      <c r="H192" s="7133"/>
      <c r="I192" s="7143"/>
      <c r="J192" s="4022" t="s">
        <v>295</v>
      </c>
      <c r="K192" s="7144"/>
      <c r="L192" s="4023">
        <v>187</v>
      </c>
      <c r="M192" s="4024">
        <v>137</v>
      </c>
      <c r="N192" s="4017">
        <f t="shared" si="2"/>
        <v>73.262032085561501</v>
      </c>
      <c r="O192" s="4025">
        <v>0.72262773722627738</v>
      </c>
      <c r="P192" s="4025">
        <v>0.27737226277372262</v>
      </c>
      <c r="Q192" s="4025">
        <v>1.9801980198019802E-2</v>
      </c>
      <c r="R192" s="4025">
        <v>1.9801980198019802E-2</v>
      </c>
      <c r="S192" s="4025">
        <v>0.11881188118811881</v>
      </c>
      <c r="T192" s="4025">
        <v>0.23364485981308414</v>
      </c>
      <c r="U192" s="4025">
        <v>0.46728971962616828</v>
      </c>
      <c r="V192" s="4026"/>
      <c r="W192" s="1834"/>
      <c r="X192" s="1834"/>
      <c r="Y192" s="1834"/>
      <c r="Z192" s="1834"/>
      <c r="AA192" s="1834"/>
      <c r="AB192" s="1834"/>
      <c r="AC192" s="1834"/>
      <c r="AD192" s="1834"/>
      <c r="AE192" s="1834"/>
      <c r="AF192" s="1834"/>
      <c r="AG192" s="1834"/>
      <c r="AH192" s="3890"/>
    </row>
    <row r="193" spans="1:34" s="3527" customFormat="1">
      <c r="A193" s="4189"/>
      <c r="B193" s="4189"/>
      <c r="C193" s="4189"/>
      <c r="D193" s="4189"/>
      <c r="E193" s="4189"/>
      <c r="F193" s="4189"/>
      <c r="G193" s="4189"/>
      <c r="H193" s="7133"/>
      <c r="I193" s="7143"/>
      <c r="J193" s="4022" t="s">
        <v>292</v>
      </c>
      <c r="K193" s="7144"/>
      <c r="L193" s="4023">
        <v>212</v>
      </c>
      <c r="M193" s="4024">
        <v>163</v>
      </c>
      <c r="N193" s="4017">
        <f t="shared" si="2"/>
        <v>76.886792452830193</v>
      </c>
      <c r="O193" s="4025">
        <v>0.65030674846625769</v>
      </c>
      <c r="P193" s="4025">
        <v>0.34969325153374231</v>
      </c>
      <c r="Q193" s="4025">
        <v>9.3457943925233641E-2</v>
      </c>
      <c r="R193" s="4025">
        <v>8.4112149532710276E-2</v>
      </c>
      <c r="S193" s="4025">
        <v>0.12149532710280374</v>
      </c>
      <c r="T193" s="4025">
        <v>0.22222222222222221</v>
      </c>
      <c r="U193" s="4025">
        <v>0.7777777777777779</v>
      </c>
      <c r="V193" s="4026"/>
      <c r="W193" s="1834"/>
      <c r="X193" s="1834"/>
      <c r="Y193" s="1834"/>
      <c r="Z193" s="1834"/>
      <c r="AA193" s="1834"/>
      <c r="AB193" s="1834"/>
      <c r="AC193" s="1834"/>
      <c r="AD193" s="1834"/>
      <c r="AE193" s="1834"/>
      <c r="AF193" s="1834"/>
      <c r="AG193" s="1834"/>
      <c r="AH193" s="3890"/>
    </row>
    <row r="194" spans="1:34" s="3527" customFormat="1">
      <c r="A194" s="4189"/>
      <c r="B194" s="4189"/>
      <c r="C194" s="4189"/>
      <c r="D194" s="4189"/>
      <c r="E194" s="4189"/>
      <c r="F194" s="4189"/>
      <c r="G194" s="4189"/>
      <c r="H194" s="7133"/>
      <c r="I194" s="7143"/>
      <c r="J194" s="4022" t="s">
        <v>444</v>
      </c>
      <c r="K194" s="7144"/>
      <c r="L194" s="4023">
        <v>10</v>
      </c>
      <c r="M194" s="4024">
        <v>10</v>
      </c>
      <c r="N194" s="4017">
        <f t="shared" si="2"/>
        <v>100</v>
      </c>
      <c r="O194" s="4025">
        <v>0.9</v>
      </c>
      <c r="P194" s="4025">
        <v>0.1</v>
      </c>
      <c r="Q194" s="4020">
        <v>0</v>
      </c>
      <c r="R194" s="4020">
        <v>0</v>
      </c>
      <c r="S194" s="4020">
        <v>0</v>
      </c>
      <c r="T194" s="4025">
        <v>0.36842105263157893</v>
      </c>
      <c r="U194" s="4025">
        <v>0.52631578947368418</v>
      </c>
      <c r="V194" s="4027"/>
      <c r="W194" s="1834"/>
      <c r="X194" s="1834"/>
      <c r="Y194" s="1834"/>
      <c r="Z194" s="1834"/>
      <c r="AA194" s="1834"/>
      <c r="AB194" s="1834"/>
      <c r="AC194" s="1834"/>
      <c r="AD194" s="1834"/>
      <c r="AE194" s="1834"/>
      <c r="AF194" s="1834"/>
      <c r="AG194" s="1834"/>
      <c r="AH194" s="3890"/>
    </row>
    <row r="195" spans="1:34" s="3527" customFormat="1">
      <c r="A195" s="4189"/>
      <c r="B195" s="4189"/>
      <c r="C195" s="4189"/>
      <c r="D195" s="4189"/>
      <c r="E195" s="4189"/>
      <c r="F195" s="4189"/>
      <c r="G195" s="4189"/>
      <c r="H195" s="7133"/>
      <c r="I195" s="7143"/>
      <c r="J195" s="4022" t="s">
        <v>2085</v>
      </c>
      <c r="K195" s="7144"/>
      <c r="L195" s="4023">
        <v>22</v>
      </c>
      <c r="M195" s="4024">
        <v>19</v>
      </c>
      <c r="N195" s="4017">
        <f t="shared" si="2"/>
        <v>86.36363636363636</v>
      </c>
      <c r="O195" s="4025">
        <v>1</v>
      </c>
      <c r="P195" s="4020">
        <v>0</v>
      </c>
      <c r="Q195" s="4020">
        <v>0</v>
      </c>
      <c r="R195" s="4020">
        <v>0</v>
      </c>
      <c r="S195" s="4025">
        <v>0.10526315789473684</v>
      </c>
      <c r="T195" s="4025">
        <v>4.3478260869565216E-2</v>
      </c>
      <c r="U195" s="4025">
        <v>0.95652173913043481</v>
      </c>
      <c r="V195" s="4026"/>
      <c r="W195" s="1834"/>
      <c r="X195" s="1834"/>
      <c r="Y195" s="1834"/>
      <c r="Z195" s="1834"/>
      <c r="AA195" s="1834"/>
      <c r="AB195" s="1834"/>
      <c r="AC195" s="1834"/>
      <c r="AD195" s="1834"/>
      <c r="AE195" s="1834"/>
      <c r="AF195" s="1834"/>
      <c r="AG195" s="1834"/>
      <c r="AH195" s="3890"/>
    </row>
    <row r="196" spans="1:34" s="3527" customFormat="1" ht="15" customHeight="1">
      <c r="A196" s="4189"/>
      <c r="B196" s="4189"/>
      <c r="C196" s="4189"/>
      <c r="D196" s="4189"/>
      <c r="E196" s="4189"/>
      <c r="F196" s="4189"/>
      <c r="G196" s="4189"/>
      <c r="H196" s="7133"/>
      <c r="I196" s="7143"/>
      <c r="J196" s="4022" t="s">
        <v>441</v>
      </c>
      <c r="K196" s="7144" t="s">
        <v>244</v>
      </c>
      <c r="L196" s="4023">
        <v>86</v>
      </c>
      <c r="M196" s="4024">
        <v>71</v>
      </c>
      <c r="N196" s="4017">
        <f t="shared" si="2"/>
        <v>82.558139534883722</v>
      </c>
      <c r="O196" s="4025">
        <v>0.94366197183098588</v>
      </c>
      <c r="P196" s="4025">
        <v>5.6338028169014093E-2</v>
      </c>
      <c r="Q196" s="4020">
        <v>0</v>
      </c>
      <c r="R196" s="4020">
        <v>0</v>
      </c>
      <c r="S196" s="4020">
        <v>0</v>
      </c>
      <c r="T196" s="4025">
        <v>0.20689655172413793</v>
      </c>
      <c r="U196" s="4025">
        <v>0.72413793103448265</v>
      </c>
      <c r="V196" s="4026"/>
      <c r="W196" s="1834"/>
      <c r="X196" s="1834"/>
      <c r="Y196" s="1834"/>
      <c r="Z196" s="1834"/>
      <c r="AA196" s="1834"/>
      <c r="AB196" s="1834"/>
      <c r="AC196" s="1834"/>
      <c r="AD196" s="1834"/>
      <c r="AE196" s="1834"/>
      <c r="AF196" s="1834"/>
      <c r="AG196" s="1834"/>
      <c r="AH196" s="3890"/>
    </row>
    <row r="197" spans="1:34" s="3527" customFormat="1">
      <c r="A197" s="4189"/>
      <c r="B197" s="4189"/>
      <c r="C197" s="4189"/>
      <c r="D197" s="4189"/>
      <c r="E197" s="4189"/>
      <c r="F197" s="4189"/>
      <c r="G197" s="4189"/>
      <c r="H197" s="7133"/>
      <c r="I197" s="7143"/>
      <c r="J197" s="4022" t="s">
        <v>296</v>
      </c>
      <c r="K197" s="7144"/>
      <c r="L197" s="4023">
        <v>74</v>
      </c>
      <c r="M197" s="4024">
        <v>32</v>
      </c>
      <c r="N197" s="4017">
        <f t="shared" si="2"/>
        <v>43.243243243243242</v>
      </c>
      <c r="O197" s="4025">
        <v>0.96875</v>
      </c>
      <c r="P197" s="4025">
        <v>3.125E-2</v>
      </c>
      <c r="Q197" s="4020">
        <v>0</v>
      </c>
      <c r="R197" s="4025">
        <v>3.4482758620689655E-2</v>
      </c>
      <c r="S197" s="4025">
        <v>3.4482758620689655E-2</v>
      </c>
      <c r="T197" s="4025">
        <v>0.15384615384615385</v>
      </c>
      <c r="U197" s="4025">
        <v>0.78846153846153844</v>
      </c>
      <c r="V197" s="4026"/>
      <c r="W197" s="1834"/>
      <c r="X197" s="1834"/>
      <c r="Y197" s="1834"/>
      <c r="Z197" s="1834"/>
      <c r="AA197" s="1834"/>
      <c r="AB197" s="1834"/>
      <c r="AC197" s="1834"/>
      <c r="AD197" s="1834"/>
      <c r="AE197" s="1834"/>
      <c r="AF197" s="1834"/>
      <c r="AG197" s="1834"/>
      <c r="AH197" s="3890"/>
    </row>
    <row r="198" spans="1:34" s="3527" customFormat="1">
      <c r="A198" s="4189"/>
      <c r="B198" s="4189"/>
      <c r="C198" s="4189"/>
      <c r="D198" s="4189"/>
      <c r="E198" s="4189"/>
      <c r="F198" s="4189"/>
      <c r="G198" s="4189"/>
      <c r="H198" s="7133"/>
      <c r="I198" s="7143"/>
      <c r="J198" s="4022" t="s">
        <v>381</v>
      </c>
      <c r="K198" s="7144"/>
      <c r="L198" s="4023">
        <v>103</v>
      </c>
      <c r="M198" s="4024">
        <v>55</v>
      </c>
      <c r="N198" s="4017">
        <f t="shared" si="2"/>
        <v>53.398058252427184</v>
      </c>
      <c r="O198" s="4025">
        <v>0.94545454545454544</v>
      </c>
      <c r="P198" s="4025">
        <v>5.4545454545454543E-2</v>
      </c>
      <c r="Q198" s="4020">
        <v>0</v>
      </c>
      <c r="R198" s="4020">
        <v>0</v>
      </c>
      <c r="S198" s="4025">
        <v>5.7692307692307689E-2</v>
      </c>
      <c r="T198" s="4020">
        <v>0</v>
      </c>
      <c r="U198" s="4025">
        <v>0.88888888888888884</v>
      </c>
      <c r="V198" s="4027"/>
      <c r="W198" s="1834"/>
      <c r="X198" s="1834"/>
      <c r="Y198" s="1834"/>
      <c r="Z198" s="1834"/>
      <c r="AA198" s="1834"/>
      <c r="AB198" s="1834"/>
      <c r="AC198" s="1834"/>
      <c r="AD198" s="1834"/>
      <c r="AE198" s="1834"/>
      <c r="AF198" s="1834"/>
      <c r="AG198" s="1834"/>
      <c r="AH198" s="3890"/>
    </row>
    <row r="199" spans="1:34" s="3527" customFormat="1">
      <c r="A199" s="4189"/>
      <c r="B199" s="4189"/>
      <c r="C199" s="4189"/>
      <c r="D199" s="4189"/>
      <c r="E199" s="4189"/>
      <c r="F199" s="4189"/>
      <c r="G199" s="4189"/>
      <c r="H199" s="7133"/>
      <c r="I199" s="7143"/>
      <c r="J199" s="4022" t="s">
        <v>525</v>
      </c>
      <c r="K199" s="7144"/>
      <c r="L199" s="4023">
        <v>16</v>
      </c>
      <c r="M199" s="4024">
        <v>10</v>
      </c>
      <c r="N199" s="4017">
        <f t="shared" si="2"/>
        <v>62.5</v>
      </c>
      <c r="O199" s="4025">
        <v>0.9</v>
      </c>
      <c r="P199" s="4025">
        <v>0.1</v>
      </c>
      <c r="Q199" s="4020">
        <v>0</v>
      </c>
      <c r="R199" s="4025">
        <v>0.1111111111111111</v>
      </c>
      <c r="S199" s="4020">
        <v>0</v>
      </c>
      <c r="T199" s="4025">
        <v>0.18134715025906736</v>
      </c>
      <c r="U199" s="4025">
        <v>0.53367875647668395</v>
      </c>
      <c r="V199" s="4026"/>
      <c r="W199" s="1834"/>
      <c r="X199" s="1834"/>
      <c r="Y199" s="1834"/>
      <c r="Z199" s="1834"/>
      <c r="AA199" s="1834"/>
      <c r="AB199" s="1834"/>
      <c r="AC199" s="1834"/>
      <c r="AD199" s="1834"/>
      <c r="AE199" s="1834"/>
      <c r="AF199" s="1834"/>
      <c r="AG199" s="1834"/>
      <c r="AH199" s="3890"/>
    </row>
    <row r="200" spans="1:34" s="3527" customFormat="1">
      <c r="A200" s="4189"/>
      <c r="B200" s="4189"/>
      <c r="C200" s="4189"/>
      <c r="D200" s="4189"/>
      <c r="E200" s="4189"/>
      <c r="F200" s="4189"/>
      <c r="G200" s="4189"/>
      <c r="H200" s="7133"/>
      <c r="I200" s="7143" t="s">
        <v>2172</v>
      </c>
      <c r="J200" s="4022" t="s">
        <v>297</v>
      </c>
      <c r="K200" s="7144" t="s">
        <v>243</v>
      </c>
      <c r="L200" s="4023">
        <v>319</v>
      </c>
      <c r="M200" s="4024">
        <v>260</v>
      </c>
      <c r="N200" s="4017">
        <f t="shared" si="2"/>
        <v>81.504702194357364</v>
      </c>
      <c r="O200" s="4025">
        <v>0.74131274131274127</v>
      </c>
      <c r="P200" s="4025">
        <v>0.25868725868725867</v>
      </c>
      <c r="Q200" s="4025">
        <v>8.2901554404145095E-2</v>
      </c>
      <c r="R200" s="4025">
        <v>4.6632124352331605E-2</v>
      </c>
      <c r="S200" s="4025">
        <v>0.15544041450777202</v>
      </c>
      <c r="T200" s="4025">
        <v>0.22857142857142856</v>
      </c>
      <c r="U200" s="4025">
        <v>0.45714285714285713</v>
      </c>
      <c r="V200" s="4027"/>
      <c r="W200" s="1834"/>
      <c r="X200" s="1834"/>
      <c r="Y200" s="1834"/>
      <c r="Z200" s="1834"/>
      <c r="AA200" s="1834"/>
      <c r="AB200" s="1834"/>
      <c r="AC200" s="1834"/>
      <c r="AD200" s="1834"/>
      <c r="AE200" s="1834"/>
      <c r="AF200" s="1834"/>
      <c r="AG200" s="1834"/>
      <c r="AH200" s="3890"/>
    </row>
    <row r="201" spans="1:34" s="3527" customFormat="1">
      <c r="A201" s="4189"/>
      <c r="B201" s="4189"/>
      <c r="C201" s="4189"/>
      <c r="D201" s="4189"/>
      <c r="E201" s="4189"/>
      <c r="F201" s="4189"/>
      <c r="G201" s="4189"/>
      <c r="H201" s="7133"/>
      <c r="I201" s="7143"/>
      <c r="J201" s="4022" t="s">
        <v>2087</v>
      </c>
      <c r="K201" s="7144"/>
      <c r="L201" s="4023">
        <v>62</v>
      </c>
      <c r="M201" s="4024">
        <v>43</v>
      </c>
      <c r="N201" s="4017">
        <f t="shared" si="2"/>
        <v>69.354838709677423</v>
      </c>
      <c r="O201" s="4025">
        <v>0.81395348837209303</v>
      </c>
      <c r="P201" s="4025">
        <v>0.18604651162790697</v>
      </c>
      <c r="Q201" s="4025">
        <v>5.7142857142857141E-2</v>
      </c>
      <c r="R201" s="4025">
        <v>5.7142857142857141E-2</v>
      </c>
      <c r="S201" s="4025">
        <v>0.2</v>
      </c>
      <c r="T201" s="4025">
        <v>0.25</v>
      </c>
      <c r="U201" s="4025">
        <v>0.4642857142857143</v>
      </c>
      <c r="V201" s="4027"/>
      <c r="W201" s="1834"/>
      <c r="X201" s="1834"/>
      <c r="Y201" s="1834"/>
      <c r="Z201" s="1834"/>
      <c r="AA201" s="1834"/>
      <c r="AB201" s="1834"/>
      <c r="AC201" s="1834"/>
      <c r="AD201" s="1834"/>
      <c r="AE201" s="1834"/>
      <c r="AF201" s="1834"/>
      <c r="AG201" s="1834"/>
      <c r="AH201" s="3890"/>
    </row>
    <row r="202" spans="1:34" s="3527" customFormat="1">
      <c r="A202" s="4189"/>
      <c r="B202" s="4189"/>
      <c r="C202" s="4189"/>
      <c r="D202" s="4189"/>
      <c r="E202" s="4189"/>
      <c r="F202" s="4189"/>
      <c r="G202" s="4189"/>
      <c r="H202" s="7133"/>
      <c r="I202" s="7143"/>
      <c r="J202" s="4022" t="s">
        <v>298</v>
      </c>
      <c r="K202" s="4028" t="s">
        <v>244</v>
      </c>
      <c r="L202" s="4023">
        <v>51</v>
      </c>
      <c r="M202" s="4024">
        <v>29</v>
      </c>
      <c r="N202" s="4017">
        <f t="shared" si="2"/>
        <v>56.862745098039213</v>
      </c>
      <c r="O202" s="4025">
        <v>0.96551724137931028</v>
      </c>
      <c r="P202" s="4025">
        <v>3.4482758620689655E-2</v>
      </c>
      <c r="Q202" s="4025">
        <v>3.5714285714285712E-2</v>
      </c>
      <c r="R202" s="4025">
        <v>7.1428571428571425E-2</v>
      </c>
      <c r="S202" s="4025">
        <v>0.17857142857142858</v>
      </c>
      <c r="T202" s="4018">
        <v>0.3783783783783784</v>
      </c>
      <c r="U202" s="4018">
        <v>0.32432432432432434</v>
      </c>
      <c r="V202" s="1834"/>
      <c r="W202" s="1834"/>
      <c r="X202" s="1834"/>
      <c r="Y202" s="1834"/>
      <c r="Z202" s="1834"/>
      <c r="AA202" s="1834"/>
      <c r="AB202" s="1834"/>
      <c r="AC202" s="1834"/>
      <c r="AD202" s="1834"/>
      <c r="AE202" s="1834"/>
      <c r="AF202" s="1834"/>
      <c r="AG202" s="1834"/>
      <c r="AH202" s="3890"/>
    </row>
    <row r="203" spans="1:34" s="3527" customFormat="1">
      <c r="A203" s="4189"/>
      <c r="B203" s="4189"/>
      <c r="C203" s="4189"/>
      <c r="D203" s="4189"/>
      <c r="E203" s="4189"/>
      <c r="F203" s="4189"/>
      <c r="G203" s="4189"/>
      <c r="H203" s="7133" t="s">
        <v>59</v>
      </c>
      <c r="I203" s="7134" t="s">
        <v>2171</v>
      </c>
      <c r="J203" s="4019" t="s">
        <v>608</v>
      </c>
      <c r="K203" s="4021" t="s">
        <v>243</v>
      </c>
      <c r="L203" s="4015">
        <v>67</v>
      </c>
      <c r="M203" s="4016">
        <v>61</v>
      </c>
      <c r="N203" s="4017">
        <f t="shared" si="2"/>
        <v>91.044776119402982</v>
      </c>
      <c r="O203" s="4018">
        <v>0.57377049180327866</v>
      </c>
      <c r="P203" s="4018">
        <v>0.42622950819672129</v>
      </c>
      <c r="Q203" s="4018">
        <v>8.1081081081081086E-2</v>
      </c>
      <c r="R203" s="4018">
        <v>5.405405405405405E-2</v>
      </c>
      <c r="S203" s="4018">
        <v>0.16216216216216217</v>
      </c>
      <c r="T203" s="4018">
        <v>0.25</v>
      </c>
      <c r="U203" s="4018">
        <v>0.75</v>
      </c>
      <c r="V203" s="1834"/>
      <c r="W203" s="1834"/>
      <c r="X203" s="1834"/>
      <c r="Y203" s="1834"/>
      <c r="Z203" s="1834"/>
      <c r="AA203" s="1834"/>
      <c r="AB203" s="1834"/>
      <c r="AC203" s="1834"/>
      <c r="AD203" s="1834"/>
      <c r="AE203" s="1834"/>
      <c r="AF203" s="1834"/>
      <c r="AG203" s="1834"/>
      <c r="AH203" s="3890"/>
    </row>
    <row r="204" spans="1:34" s="3527" customFormat="1">
      <c r="A204" s="4189"/>
      <c r="B204" s="4189"/>
      <c r="C204" s="4189"/>
      <c r="D204" s="4189"/>
      <c r="E204" s="4189"/>
      <c r="F204" s="4189"/>
      <c r="G204" s="4189"/>
      <c r="H204" s="7133"/>
      <c r="I204" s="7134"/>
      <c r="J204" s="4019" t="s">
        <v>608</v>
      </c>
      <c r="K204" s="4021" t="s">
        <v>244</v>
      </c>
      <c r="L204" s="4015">
        <v>29</v>
      </c>
      <c r="M204" s="4016">
        <v>5</v>
      </c>
      <c r="N204" s="4017">
        <f t="shared" si="2"/>
        <v>17.241379310344829</v>
      </c>
      <c r="O204" s="4018">
        <v>1</v>
      </c>
      <c r="P204" s="4020">
        <v>0</v>
      </c>
      <c r="Q204" s="4020">
        <v>0</v>
      </c>
      <c r="R204" s="4020">
        <v>0</v>
      </c>
      <c r="S204" s="4020">
        <v>0</v>
      </c>
      <c r="T204" s="4018">
        <v>0.31428571428571428</v>
      </c>
      <c r="U204" s="4018">
        <v>0.4</v>
      </c>
      <c r="V204" s="1834"/>
      <c r="W204" s="1834"/>
      <c r="X204" s="1834"/>
      <c r="Y204" s="1834"/>
      <c r="Z204" s="1834"/>
      <c r="AA204" s="1834"/>
      <c r="AB204" s="1834"/>
      <c r="AC204" s="1834"/>
      <c r="AD204" s="1834"/>
      <c r="AE204" s="1834"/>
      <c r="AF204" s="1834"/>
      <c r="AG204" s="1834"/>
      <c r="AH204" s="3890"/>
    </row>
    <row r="205" spans="1:34" s="3527" customFormat="1" ht="15" customHeight="1">
      <c r="A205" s="4189"/>
      <c r="B205" s="4189"/>
      <c r="C205" s="4189"/>
      <c r="D205" s="4189"/>
      <c r="E205" s="4189"/>
      <c r="F205" s="4189"/>
      <c r="G205" s="4189"/>
      <c r="H205" s="7133"/>
      <c r="I205" s="4205" t="s">
        <v>2174</v>
      </c>
      <c r="J205" s="4019" t="s">
        <v>383</v>
      </c>
      <c r="K205" s="4021" t="s">
        <v>243</v>
      </c>
      <c r="L205" s="4015">
        <v>92</v>
      </c>
      <c r="M205" s="4016">
        <v>86</v>
      </c>
      <c r="N205" s="4017">
        <f t="shared" si="2"/>
        <v>93.478260869565219</v>
      </c>
      <c r="O205" s="4018">
        <v>0.76744186046511631</v>
      </c>
      <c r="P205" s="4018">
        <v>0.23255813953488372</v>
      </c>
      <c r="Q205" s="4020">
        <v>0</v>
      </c>
      <c r="R205" s="4018">
        <v>5.7142857142857141E-2</v>
      </c>
      <c r="S205" s="4018">
        <v>0.22857142857142856</v>
      </c>
      <c r="T205" s="4018">
        <v>0.30769230769230771</v>
      </c>
      <c r="U205" s="4018">
        <v>0.30769230769230771</v>
      </c>
      <c r="V205" s="1834"/>
      <c r="W205" s="1834"/>
      <c r="X205" s="1834"/>
      <c r="Y205" s="1834"/>
      <c r="Z205" s="1834"/>
      <c r="AA205" s="1834"/>
      <c r="AB205" s="1834"/>
      <c r="AC205" s="1834"/>
      <c r="AD205" s="1834"/>
      <c r="AE205" s="1834"/>
      <c r="AF205" s="1834"/>
      <c r="AG205" s="1834"/>
      <c r="AH205" s="3890"/>
    </row>
    <row r="206" spans="1:34" s="3527" customFormat="1">
      <c r="A206" s="4189"/>
      <c r="B206" s="4189"/>
      <c r="C206" s="4189"/>
      <c r="D206" s="4189"/>
      <c r="E206" s="4189"/>
      <c r="F206" s="4189"/>
      <c r="G206" s="4189"/>
      <c r="H206" s="7133"/>
      <c r="I206" s="7134" t="s">
        <v>2175</v>
      </c>
      <c r="J206" s="4019" t="s">
        <v>609</v>
      </c>
      <c r="K206" s="4021" t="s">
        <v>243</v>
      </c>
      <c r="L206" s="4015">
        <v>43</v>
      </c>
      <c r="M206" s="4016">
        <v>29</v>
      </c>
      <c r="N206" s="4017">
        <f t="shared" si="2"/>
        <v>67.441860465116278</v>
      </c>
      <c r="O206" s="4018">
        <v>0.44827586206896552</v>
      </c>
      <c r="P206" s="4018">
        <v>0.55172413793103448</v>
      </c>
      <c r="Q206" s="4018">
        <v>0.15384615384615385</v>
      </c>
      <c r="R206" s="4018">
        <v>7.6923076923076927E-2</v>
      </c>
      <c r="S206" s="4018">
        <v>0.15384615384615385</v>
      </c>
      <c r="T206" s="4018">
        <v>1</v>
      </c>
      <c r="U206" s="4020">
        <v>0</v>
      </c>
      <c r="V206" s="1834"/>
      <c r="W206" s="1834"/>
      <c r="X206" s="1834"/>
      <c r="Y206" s="1834"/>
      <c r="Z206" s="1834"/>
      <c r="AA206" s="1834"/>
      <c r="AB206" s="1834"/>
      <c r="AC206" s="1834"/>
      <c r="AD206" s="1834"/>
      <c r="AE206" s="1834"/>
      <c r="AF206" s="1834"/>
      <c r="AG206" s="1834"/>
      <c r="AH206" s="3890"/>
    </row>
    <row r="207" spans="1:34" s="3527" customFormat="1">
      <c r="A207" s="4189"/>
      <c r="B207" s="4189"/>
      <c r="C207" s="4189"/>
      <c r="D207" s="4189"/>
      <c r="E207" s="4189"/>
      <c r="F207" s="4189"/>
      <c r="G207" s="4189"/>
      <c r="H207" s="7133"/>
      <c r="I207" s="7134"/>
      <c r="J207" s="4019" t="s">
        <v>609</v>
      </c>
      <c r="K207" s="4021" t="s">
        <v>244</v>
      </c>
      <c r="L207" s="4015">
        <v>13</v>
      </c>
      <c r="M207" s="4016">
        <v>1</v>
      </c>
      <c r="N207" s="4017">
        <f t="shared" si="2"/>
        <v>7.6923076923076925</v>
      </c>
      <c r="O207" s="4018">
        <v>1</v>
      </c>
      <c r="P207" s="4020">
        <v>0</v>
      </c>
      <c r="Q207" s="4020">
        <v>0</v>
      </c>
      <c r="R207" s="4020">
        <v>0</v>
      </c>
      <c r="S207" s="4020">
        <v>0</v>
      </c>
      <c r="T207" s="4034">
        <v>0.12020420792079207</v>
      </c>
      <c r="U207" s="4034">
        <v>0.19740099009900991</v>
      </c>
      <c r="V207" s="4034">
        <v>0.60860148514851486</v>
      </c>
      <c r="W207" s="1834"/>
      <c r="X207" s="1834"/>
      <c r="Y207" s="1834"/>
      <c r="Z207" s="1834"/>
      <c r="AA207" s="1834"/>
      <c r="AB207" s="1834"/>
      <c r="AC207" s="1834"/>
      <c r="AD207" s="1834"/>
      <c r="AE207" s="1834"/>
      <c r="AF207" s="1834"/>
      <c r="AG207" s="1834"/>
      <c r="AH207" s="1834"/>
    </row>
    <row r="208" spans="1:34" s="3527" customFormat="1" ht="15.6">
      <c r="A208" s="4189"/>
      <c r="B208" s="4189"/>
      <c r="C208" s="4189"/>
      <c r="D208" s="4189"/>
      <c r="E208" s="4189"/>
      <c r="F208" s="4189"/>
      <c r="G208" s="4189"/>
      <c r="H208" s="4029"/>
      <c r="I208" s="4029"/>
      <c r="J208" s="7135" t="s">
        <v>15</v>
      </c>
      <c r="K208" s="7135"/>
      <c r="L208" s="4011"/>
      <c r="M208" s="4030">
        <v>14648</v>
      </c>
      <c r="N208" s="4031">
        <v>8259</v>
      </c>
      <c r="O208" s="4032">
        <f t="shared" si="2"/>
        <v>56.383123975969418</v>
      </c>
      <c r="P208" s="4033">
        <v>0.78004122711288959</v>
      </c>
      <c r="Q208" s="4034">
        <v>0.21995877288711047</v>
      </c>
      <c r="R208" s="4034">
        <v>3.2332920792079209E-2</v>
      </c>
      <c r="S208" s="4034">
        <v>4.1460396039603963E-2</v>
      </c>
      <c r="T208" s="1637"/>
      <c r="U208" s="1637"/>
      <c r="V208" s="1637"/>
      <c r="W208" s="3890"/>
      <c r="X208" s="3890"/>
      <c r="Y208" s="3890"/>
      <c r="Z208" s="3890"/>
      <c r="AA208" s="3890"/>
      <c r="AB208" s="3890"/>
      <c r="AC208" s="3890"/>
      <c r="AD208" s="3890"/>
      <c r="AE208" s="3890"/>
      <c r="AF208" s="3890"/>
      <c r="AG208" s="3890"/>
      <c r="AH208" s="3890"/>
    </row>
    <row r="209" spans="1:34" s="3527" customFormat="1" ht="15.6">
      <c r="A209" s="4189"/>
      <c r="B209" s="4189"/>
      <c r="C209" s="4189"/>
      <c r="D209" s="4189"/>
      <c r="E209" s="4189"/>
      <c r="F209" s="4189"/>
      <c r="G209" s="4189"/>
      <c r="H209" s="1631"/>
      <c r="I209" s="3890"/>
      <c r="J209" s="3890"/>
      <c r="K209" s="3889"/>
      <c r="L209" s="3889"/>
      <c r="M209" s="3889"/>
      <c r="N209" s="3889"/>
      <c r="O209" s="3889"/>
      <c r="P209" s="3889"/>
      <c r="Q209" s="1636"/>
      <c r="R209" s="1636"/>
      <c r="S209" s="1637"/>
      <c r="T209" s="1637"/>
      <c r="U209" s="1637"/>
      <c r="V209" s="1637"/>
      <c r="W209" s="3890"/>
      <c r="X209" s="3890"/>
      <c r="Y209" s="3890"/>
      <c r="Z209" s="3890"/>
      <c r="AA209" s="3890"/>
      <c r="AB209" s="3890"/>
      <c r="AC209" s="3890"/>
      <c r="AD209" s="3890"/>
      <c r="AE209" s="3890"/>
      <c r="AF209" s="3890"/>
      <c r="AG209" s="3890"/>
      <c r="AH209" s="3890"/>
    </row>
    <row r="210" spans="1:34" s="3527" customFormat="1" ht="15.6">
      <c r="A210" s="4189"/>
      <c r="B210" s="4189"/>
      <c r="C210" s="4189"/>
      <c r="D210" s="4189"/>
      <c r="E210" s="4189"/>
      <c r="F210" s="4189"/>
      <c r="G210" s="4189"/>
      <c r="H210" s="1631"/>
      <c r="I210" s="3890"/>
      <c r="J210" s="3890"/>
      <c r="K210" s="3889"/>
      <c r="L210" s="3889"/>
      <c r="M210" s="3889"/>
      <c r="N210" s="3889"/>
      <c r="O210" s="3889"/>
      <c r="P210" s="3889"/>
      <c r="Q210" s="1636"/>
      <c r="R210" s="1636"/>
      <c r="S210" s="1637"/>
      <c r="T210" s="1637"/>
      <c r="U210" s="157"/>
      <c r="V210" s="157"/>
    </row>
    <row r="211" spans="1:34" s="3527" customFormat="1" ht="17.399999999999999">
      <c r="A211" s="4189"/>
      <c r="B211" s="4189"/>
      <c r="C211" s="4189"/>
      <c r="D211" s="4189"/>
      <c r="E211" s="4189"/>
      <c r="F211" s="4189"/>
      <c r="G211" s="4189"/>
      <c r="H211" s="1638"/>
      <c r="I211" s="1638"/>
      <c r="J211" s="2546">
        <v>2019</v>
      </c>
      <c r="K211" s="1636"/>
      <c r="L211" s="1636"/>
      <c r="M211" s="1636"/>
      <c r="N211" s="1636"/>
      <c r="O211" s="1636"/>
      <c r="P211" s="1636"/>
      <c r="Q211" s="1636"/>
      <c r="R211" s="1636"/>
      <c r="S211" s="1636"/>
      <c r="T211" s="1639"/>
      <c r="U211" s="157"/>
      <c r="V211" s="157"/>
    </row>
    <row r="212" spans="1:34" s="3527" customFormat="1" ht="15.6">
      <c r="A212" s="4189"/>
      <c r="B212" s="4189"/>
      <c r="C212" s="4189"/>
      <c r="D212" s="4189"/>
      <c r="E212" s="4189"/>
      <c r="F212" s="4189"/>
      <c r="G212" s="4189"/>
      <c r="H212" s="7156" t="s">
        <v>2520</v>
      </c>
      <c r="I212" s="7157"/>
      <c r="J212" s="7157"/>
      <c r="K212" s="7157"/>
      <c r="L212" s="7157"/>
      <c r="M212" s="7157"/>
      <c r="N212" s="7157"/>
      <c r="O212" s="7157"/>
      <c r="P212" s="7157"/>
      <c r="Q212" s="1639"/>
      <c r="R212" s="1639"/>
      <c r="S212" s="1639"/>
      <c r="T212" s="1639"/>
      <c r="U212" s="157"/>
      <c r="V212" s="157"/>
    </row>
    <row r="213" spans="1:34" s="3527" customFormat="1" ht="15.6">
      <c r="A213" s="4189"/>
      <c r="B213" s="4189"/>
      <c r="C213" s="4189"/>
      <c r="D213" s="4189"/>
      <c r="E213" s="4189"/>
      <c r="F213" s="4189"/>
      <c r="G213" s="4189"/>
      <c r="H213" s="7157"/>
      <c r="I213" s="7157"/>
      <c r="J213" s="7157"/>
      <c r="K213" s="7157"/>
      <c r="L213" s="7157"/>
      <c r="M213" s="7157"/>
      <c r="N213" s="7157"/>
      <c r="O213" s="7157"/>
      <c r="P213" s="7157"/>
      <c r="Q213" s="1639"/>
      <c r="R213" s="1639"/>
      <c r="S213" s="1639"/>
      <c r="T213" s="1639"/>
      <c r="U213" s="157"/>
      <c r="V213" s="157"/>
    </row>
    <row r="214" spans="1:34" s="3527" customFormat="1" ht="15.6">
      <c r="A214" s="4189"/>
      <c r="B214" s="4189"/>
      <c r="C214" s="4189"/>
      <c r="D214" s="4189"/>
      <c r="E214" s="4189"/>
      <c r="F214" s="4189"/>
      <c r="G214" s="4189"/>
      <c r="H214" s="7157"/>
      <c r="I214" s="7157"/>
      <c r="J214" s="7157"/>
      <c r="K214" s="7157"/>
      <c r="L214" s="7157"/>
      <c r="M214" s="7157"/>
      <c r="N214" s="7157"/>
      <c r="O214" s="7157"/>
      <c r="P214" s="7157"/>
      <c r="Q214" s="1639"/>
      <c r="R214" s="1639"/>
      <c r="S214" s="1639"/>
      <c r="T214" s="1639"/>
      <c r="U214" s="157"/>
      <c r="V214" s="157"/>
    </row>
    <row r="215" spans="1:34" s="3527" customFormat="1" ht="15.6">
      <c r="A215" s="4189"/>
      <c r="B215" s="4189"/>
      <c r="C215" s="4189"/>
      <c r="D215" s="4189"/>
      <c r="E215" s="4189"/>
      <c r="F215" s="4189"/>
      <c r="G215" s="4189"/>
      <c r="H215" s="7157"/>
      <c r="I215" s="7157"/>
      <c r="J215" s="7157"/>
      <c r="K215" s="7157"/>
      <c r="L215" s="7157"/>
      <c r="M215" s="7157"/>
      <c r="N215" s="7157"/>
      <c r="O215" s="7157"/>
      <c r="P215" s="7157"/>
      <c r="Q215" s="1639"/>
      <c r="R215" s="1639"/>
      <c r="S215" s="1639"/>
      <c r="T215" s="3529"/>
      <c r="U215" s="157"/>
      <c r="V215" s="157"/>
    </row>
    <row r="216" spans="1:34" s="3527" customFormat="1" ht="15.6">
      <c r="A216" s="4189"/>
      <c r="B216" s="4189"/>
      <c r="C216" s="4189"/>
      <c r="D216" s="4189"/>
      <c r="E216" s="4189"/>
      <c r="F216" s="4189"/>
      <c r="G216" s="4189"/>
      <c r="H216" s="3529"/>
      <c r="I216" s="3529"/>
      <c r="J216" s="3529"/>
      <c r="K216" s="3529"/>
      <c r="L216" s="3894"/>
      <c r="M216" s="3529"/>
      <c r="N216" s="3529"/>
      <c r="O216" s="3529"/>
      <c r="P216" s="3529"/>
      <c r="Q216" s="3529"/>
      <c r="R216" s="3529"/>
      <c r="S216" s="3529"/>
      <c r="T216" s="3529"/>
      <c r="U216" s="157"/>
      <c r="V216" s="157"/>
    </row>
    <row r="217" spans="1:34" s="3527" customFormat="1" ht="15.6">
      <c r="A217" s="4189"/>
      <c r="B217" s="4189"/>
      <c r="C217" s="4189"/>
      <c r="D217" s="4189"/>
      <c r="E217" s="4189"/>
      <c r="F217" s="4189"/>
      <c r="G217" s="4189"/>
      <c r="H217" s="3590" t="s">
        <v>2521</v>
      </c>
      <c r="I217" s="3529"/>
      <c r="J217" s="3529"/>
      <c r="K217" s="3529"/>
      <c r="L217" s="3894"/>
      <c r="M217" s="3529"/>
      <c r="N217" s="3529"/>
      <c r="O217" s="3529"/>
      <c r="P217" s="3529"/>
      <c r="Q217" s="3529"/>
      <c r="R217" s="3529"/>
      <c r="S217" s="3529"/>
      <c r="T217" s="3529"/>
      <c r="U217" s="157"/>
      <c r="V217" s="157"/>
    </row>
    <row r="218" spans="1:34" s="3527" customFormat="1" ht="15.6">
      <c r="A218" s="4189"/>
      <c r="B218" s="4189"/>
      <c r="C218" s="4189"/>
      <c r="D218" s="4189"/>
      <c r="E218" s="4189"/>
      <c r="F218" s="4189"/>
      <c r="G218" s="4189"/>
      <c r="H218" s="3529"/>
      <c r="I218" s="3529"/>
      <c r="J218" s="3529"/>
      <c r="K218" s="3529"/>
      <c r="L218" s="3894"/>
      <c r="M218" s="3529"/>
      <c r="N218" s="3529"/>
      <c r="O218" s="3529"/>
      <c r="P218" s="3529"/>
      <c r="Q218" s="3529"/>
      <c r="R218" s="3529"/>
      <c r="S218" s="3529"/>
      <c r="T218" s="3529"/>
      <c r="U218" s="157"/>
      <c r="V218" s="157"/>
    </row>
    <row r="219" spans="1:34" s="3527" customFormat="1" ht="15" customHeight="1">
      <c r="A219" s="4189"/>
      <c r="B219" s="4189"/>
      <c r="C219" s="4189"/>
      <c r="D219" s="4189"/>
      <c r="E219" s="4189"/>
      <c r="F219" s="4189"/>
      <c r="G219" s="4189"/>
      <c r="H219" s="3590" t="s">
        <v>2180</v>
      </c>
      <c r="I219" s="3529"/>
      <c r="J219" s="3529"/>
      <c r="K219" s="3529"/>
      <c r="L219" s="3894"/>
      <c r="M219" s="3529"/>
      <c r="N219" s="3529"/>
      <c r="O219" s="3529"/>
      <c r="P219" s="3529"/>
      <c r="Q219" s="3529"/>
      <c r="R219" s="3529"/>
      <c r="S219" s="3529"/>
      <c r="T219" s="157"/>
      <c r="U219" s="157"/>
      <c r="V219" s="157"/>
    </row>
    <row r="220" spans="1:34" s="3527" customFormat="1" ht="15.6">
      <c r="A220" s="4189"/>
      <c r="B220" s="4189"/>
      <c r="C220" s="4189"/>
      <c r="D220" s="4189"/>
      <c r="E220" s="4189"/>
      <c r="F220" s="4189"/>
      <c r="G220" s="4189"/>
      <c r="H220" s="1638"/>
      <c r="I220" s="1638"/>
      <c r="J220" s="1636"/>
      <c r="K220" s="1636"/>
      <c r="L220" s="1636"/>
      <c r="M220" s="7159" t="s">
        <v>2181</v>
      </c>
      <c r="N220" s="7160"/>
      <c r="O220" s="7161" t="s">
        <v>1319</v>
      </c>
      <c r="P220" s="7162"/>
      <c r="Q220" s="7162"/>
      <c r="R220" s="7162"/>
      <c r="S220" s="7163"/>
      <c r="T220" s="3593"/>
      <c r="U220" s="3593"/>
      <c r="V220" s="3593"/>
    </row>
    <row r="221" spans="1:34" s="3527" customFormat="1">
      <c r="A221" s="4189"/>
      <c r="B221" s="4189"/>
      <c r="C221" s="4189"/>
      <c r="D221" s="4189"/>
      <c r="E221" s="4189"/>
      <c r="F221" s="4189"/>
      <c r="G221" s="4189"/>
      <c r="H221" s="3603" t="s">
        <v>0</v>
      </c>
      <c r="I221" s="3603" t="s">
        <v>1893</v>
      </c>
      <c r="J221" s="3603" t="s">
        <v>1898</v>
      </c>
      <c r="K221" s="3603" t="s">
        <v>2169</v>
      </c>
      <c r="L221" s="4035"/>
      <c r="M221" s="3602" t="s">
        <v>907</v>
      </c>
      <c r="N221" s="3601" t="s">
        <v>908</v>
      </c>
      <c r="O221" s="3604" t="s">
        <v>1320</v>
      </c>
      <c r="P221" s="3604" t="s">
        <v>1321</v>
      </c>
      <c r="Q221" s="3605" t="s">
        <v>2182</v>
      </c>
      <c r="R221" s="3604" t="s">
        <v>1323</v>
      </c>
      <c r="S221" s="3606" t="s">
        <v>15</v>
      </c>
      <c r="T221" s="3593"/>
      <c r="U221" s="3593"/>
      <c r="V221" s="3593"/>
    </row>
    <row r="222" spans="1:34" s="3527" customFormat="1">
      <c r="A222" s="4189"/>
      <c r="B222" s="4189"/>
      <c r="C222" s="4189"/>
      <c r="D222" s="4189"/>
      <c r="E222" s="4189"/>
      <c r="F222" s="4189"/>
      <c r="G222" s="4189"/>
      <c r="H222" s="3594" t="s">
        <v>3</v>
      </c>
      <c r="I222" s="3595">
        <v>2666</v>
      </c>
      <c r="J222" s="3595">
        <v>1391</v>
      </c>
      <c r="K222" s="3596">
        <f>J222*100/I222</f>
        <v>52.175543885971493</v>
      </c>
      <c r="L222" s="4036"/>
      <c r="M222" s="3597">
        <v>79.400000000000006</v>
      </c>
      <c r="N222" s="3597">
        <v>20.599999999999998</v>
      </c>
      <c r="O222" s="3597">
        <v>4.8</v>
      </c>
      <c r="P222" s="3597">
        <v>4.3</v>
      </c>
      <c r="Q222" s="3597">
        <v>13.700000000000001</v>
      </c>
      <c r="R222" s="3597">
        <v>18.600000000000001</v>
      </c>
      <c r="S222" s="3597">
        <v>58.599999999999994</v>
      </c>
      <c r="T222" s="3593"/>
      <c r="U222" s="3593"/>
      <c r="V222" s="3593"/>
    </row>
    <row r="223" spans="1:34" s="3527" customFormat="1">
      <c r="A223" s="4189"/>
      <c r="B223" s="4189"/>
      <c r="C223" s="4189"/>
      <c r="D223" s="4189"/>
      <c r="E223" s="4189"/>
      <c r="F223" s="4189"/>
      <c r="G223" s="4189"/>
      <c r="H223" s="3594" t="s">
        <v>25</v>
      </c>
      <c r="I223" s="3595">
        <v>7231</v>
      </c>
      <c r="J223" s="3595">
        <v>3690</v>
      </c>
      <c r="K223" s="3596">
        <f>J223*100/I223</f>
        <v>51.030286267459552</v>
      </c>
      <c r="L223" s="4036"/>
      <c r="M223" s="3597">
        <v>75.900000000000006</v>
      </c>
      <c r="N223" s="3597">
        <v>24.099999999999998</v>
      </c>
      <c r="O223" s="3597">
        <v>3</v>
      </c>
      <c r="P223" s="3597">
        <v>4.1000000000000005</v>
      </c>
      <c r="Q223" s="3597">
        <v>11.200000000000001</v>
      </c>
      <c r="R223" s="3597">
        <v>17.8</v>
      </c>
      <c r="S223" s="3597">
        <v>63.9</v>
      </c>
      <c r="T223" s="3593"/>
      <c r="U223" s="3593"/>
      <c r="V223" s="3593"/>
    </row>
    <row r="224" spans="1:34" s="3527" customFormat="1">
      <c r="A224" s="4189"/>
      <c r="B224" s="4189"/>
      <c r="C224" s="4189"/>
      <c r="D224" s="4189"/>
      <c r="E224" s="4189"/>
      <c r="F224" s="4189"/>
      <c r="G224" s="4189"/>
      <c r="H224" s="3594" t="s">
        <v>48</v>
      </c>
      <c r="I224" s="3595">
        <v>4254</v>
      </c>
      <c r="J224" s="3595">
        <v>2139</v>
      </c>
      <c r="K224" s="3596">
        <f>J224*100/I224</f>
        <v>50.282087447108601</v>
      </c>
      <c r="L224" s="4036"/>
      <c r="M224" s="3597">
        <v>82</v>
      </c>
      <c r="N224" s="3597">
        <v>18</v>
      </c>
      <c r="O224" s="3597">
        <v>2.9000000000000004</v>
      </c>
      <c r="P224" s="3597">
        <v>3.6999999999999997</v>
      </c>
      <c r="Q224" s="3597">
        <v>10.7</v>
      </c>
      <c r="R224" s="3597">
        <v>18.8</v>
      </c>
      <c r="S224" s="3597">
        <v>63.800000000000004</v>
      </c>
      <c r="T224" s="3593"/>
      <c r="U224" s="3593"/>
      <c r="V224" s="3593"/>
    </row>
    <row r="225" spans="1:22" s="3527" customFormat="1">
      <c r="A225" s="4189"/>
      <c r="B225" s="4189"/>
      <c r="C225" s="4189"/>
      <c r="D225" s="4189"/>
      <c r="E225" s="4189"/>
      <c r="F225" s="4189"/>
      <c r="G225" s="4189"/>
      <c r="H225" s="3594" t="s">
        <v>59</v>
      </c>
      <c r="I225" s="3595">
        <v>222</v>
      </c>
      <c r="J225" s="3595">
        <v>100</v>
      </c>
      <c r="K225" s="3596">
        <f>J225*100/I225</f>
        <v>45.045045045045043</v>
      </c>
      <c r="L225" s="4036"/>
      <c r="M225" s="3597">
        <v>76</v>
      </c>
      <c r="N225" s="3597">
        <v>24</v>
      </c>
      <c r="O225" s="3597">
        <v>3.8</v>
      </c>
      <c r="P225" s="3597">
        <v>3.8</v>
      </c>
      <c r="Q225" s="3597">
        <v>19.2</v>
      </c>
      <c r="R225" s="3597">
        <v>33.300000000000004</v>
      </c>
      <c r="S225" s="3597">
        <v>39.700000000000003</v>
      </c>
      <c r="T225" s="3593"/>
      <c r="U225" s="3593"/>
      <c r="V225" s="3593"/>
    </row>
    <row r="226" spans="1:22" s="3527" customFormat="1">
      <c r="A226" s="4189"/>
      <c r="B226" s="4189"/>
      <c r="C226" s="4189"/>
      <c r="D226" s="4189"/>
      <c r="E226" s="4189"/>
      <c r="F226" s="4189"/>
      <c r="G226" s="4189"/>
      <c r="H226" s="3591" t="s">
        <v>15</v>
      </c>
      <c r="I226" s="3598">
        <f>SUM(I222:I225)</f>
        <v>14373</v>
      </c>
      <c r="J226" s="3598">
        <f>SUM(J222:J225)</f>
        <v>7320</v>
      </c>
      <c r="K226" s="3599">
        <f>J226*100/I226</f>
        <v>50.928824879983303</v>
      </c>
      <c r="L226" s="4037"/>
      <c r="M226" s="3602">
        <v>78.400000000000006</v>
      </c>
      <c r="N226" s="3600">
        <v>21.6</v>
      </c>
      <c r="O226" s="3592">
        <v>3.3000000000000003</v>
      </c>
      <c r="P226" s="3592">
        <v>4</v>
      </c>
      <c r="Q226" s="3592">
        <v>11.600000000000001</v>
      </c>
      <c r="R226" s="3592">
        <v>18.5</v>
      </c>
      <c r="S226" s="3592">
        <v>62.5</v>
      </c>
      <c r="T226" s="3593"/>
      <c r="U226" s="3593"/>
      <c r="V226" s="3593"/>
    </row>
    <row r="227" spans="1:22" s="3527" customFormat="1">
      <c r="A227" s="4189"/>
      <c r="B227" s="4189"/>
      <c r="C227" s="4189"/>
      <c r="D227" s="4189"/>
      <c r="E227" s="4189"/>
      <c r="F227" s="4189"/>
      <c r="G227" s="4189"/>
      <c r="H227" s="935"/>
      <c r="I227" s="935"/>
      <c r="J227" s="935"/>
      <c r="K227" s="935"/>
      <c r="L227" s="935"/>
      <c r="M227" s="935"/>
      <c r="N227" s="935"/>
      <c r="O227" s="935"/>
      <c r="P227" s="935"/>
      <c r="Q227" s="1468"/>
      <c r="R227" s="1468"/>
      <c r="S227" s="3593"/>
      <c r="T227" s="3538"/>
      <c r="U227" s="3538"/>
      <c r="V227" s="3532"/>
    </row>
    <row r="228" spans="1:22" s="3527" customFormat="1">
      <c r="A228" s="4189"/>
      <c r="B228" s="4189"/>
      <c r="C228" s="4189"/>
      <c r="D228" s="4189"/>
      <c r="E228" s="4189"/>
      <c r="F228" s="4189"/>
      <c r="G228" s="4189"/>
      <c r="H228" s="38"/>
      <c r="I228" s="38"/>
      <c r="J228" s="38"/>
      <c r="K228" s="38"/>
      <c r="L228" s="38"/>
      <c r="M228" s="38"/>
      <c r="N228" s="38"/>
      <c r="O228" s="38"/>
      <c r="P228" s="7164" t="s">
        <v>2167</v>
      </c>
      <c r="Q228" s="7165"/>
      <c r="R228" s="3608" t="s">
        <v>1319</v>
      </c>
      <c r="S228" s="3538"/>
      <c r="T228" s="3615" t="s">
        <v>2182</v>
      </c>
      <c r="U228" s="3614" t="s">
        <v>1323</v>
      </c>
      <c r="V228" s="3614" t="s">
        <v>15</v>
      </c>
    </row>
    <row r="229" spans="1:22" s="3527" customFormat="1">
      <c r="A229" s="4189"/>
      <c r="B229" s="4189"/>
      <c r="C229" s="4189"/>
      <c r="D229" s="4189"/>
      <c r="E229" s="4189"/>
      <c r="F229" s="4189"/>
      <c r="G229" s="4189"/>
      <c r="H229" s="3609" t="s">
        <v>0</v>
      </c>
      <c r="I229" s="3610" t="s">
        <v>1</v>
      </c>
      <c r="J229" s="3611" t="s">
        <v>2183</v>
      </c>
      <c r="K229" s="3609" t="s">
        <v>878</v>
      </c>
      <c r="L229" s="4038"/>
      <c r="M229" s="3609" t="s">
        <v>1893</v>
      </c>
      <c r="N229" s="3609" t="s">
        <v>1898</v>
      </c>
      <c r="O229" s="3609" t="s">
        <v>2169</v>
      </c>
      <c r="P229" s="3612" t="s">
        <v>907</v>
      </c>
      <c r="Q229" s="3613" t="s">
        <v>908</v>
      </c>
      <c r="R229" s="3614" t="s">
        <v>1320</v>
      </c>
      <c r="S229" s="3614" t="s">
        <v>1321</v>
      </c>
      <c r="T229" s="3532">
        <v>17.2</v>
      </c>
      <c r="U229" s="3532">
        <v>22.2</v>
      </c>
      <c r="V229" s="3621">
        <v>44.4</v>
      </c>
    </row>
    <row r="230" spans="1:22" s="3527" customFormat="1">
      <c r="A230" s="4189"/>
      <c r="B230" s="4189"/>
      <c r="C230" s="4189"/>
      <c r="D230" s="4189"/>
      <c r="E230" s="4189"/>
      <c r="F230" s="4189"/>
      <c r="G230" s="4189"/>
      <c r="H230" s="7158" t="s">
        <v>3</v>
      </c>
      <c r="I230" s="7155" t="s">
        <v>2176</v>
      </c>
      <c r="J230" s="3616" t="s">
        <v>2184</v>
      </c>
      <c r="K230" s="7152" t="s">
        <v>243</v>
      </c>
      <c r="L230" s="3892"/>
      <c r="M230" s="3617">
        <f>4+280+70</f>
        <v>354</v>
      </c>
      <c r="N230" s="3618">
        <v>246</v>
      </c>
      <c r="O230" s="3619">
        <f>N230*100/M230</f>
        <v>69.491525423728817</v>
      </c>
      <c r="P230" s="3620">
        <v>72.2</v>
      </c>
      <c r="Q230" s="3620">
        <v>20.8</v>
      </c>
      <c r="R230" s="3532">
        <v>9.1</v>
      </c>
      <c r="S230" s="3532">
        <v>7.1</v>
      </c>
      <c r="T230" s="3532">
        <v>3.7</v>
      </c>
      <c r="U230" s="3532">
        <v>3.7</v>
      </c>
      <c r="V230" s="3532">
        <v>85.2</v>
      </c>
    </row>
    <row r="231" spans="1:22" s="3527" customFormat="1">
      <c r="A231" s="4189"/>
      <c r="B231" s="4189"/>
      <c r="C231" s="4189"/>
      <c r="D231" s="4189"/>
      <c r="E231" s="4189"/>
      <c r="F231" s="4189"/>
      <c r="G231" s="4189"/>
      <c r="H231" s="7158"/>
      <c r="I231" s="7155"/>
      <c r="J231" s="3616" t="s">
        <v>265</v>
      </c>
      <c r="K231" s="7153"/>
      <c r="L231" s="3893"/>
      <c r="M231" s="3617">
        <v>101</v>
      </c>
      <c r="N231" s="3618">
        <v>35</v>
      </c>
      <c r="O231" s="3619">
        <f t="shared" ref="O231:O294" si="3">N231*100/M231</f>
        <v>34.653465346534652</v>
      </c>
      <c r="P231" s="3620">
        <v>80</v>
      </c>
      <c r="Q231" s="3620">
        <v>20</v>
      </c>
      <c r="R231" s="3532">
        <v>0</v>
      </c>
      <c r="S231" s="3532">
        <v>7.4</v>
      </c>
      <c r="T231" s="3532">
        <v>3.4</v>
      </c>
      <c r="U231" s="3532">
        <v>8.5</v>
      </c>
      <c r="V231" s="3532">
        <v>86.4</v>
      </c>
    </row>
    <row r="232" spans="1:22" s="3527" customFormat="1">
      <c r="A232" s="4189"/>
      <c r="B232" s="4189"/>
      <c r="C232" s="4189"/>
      <c r="D232" s="4189"/>
      <c r="E232" s="4189"/>
      <c r="F232" s="4189"/>
      <c r="G232" s="4189"/>
      <c r="H232" s="7158"/>
      <c r="I232" s="7155"/>
      <c r="J232" s="3616" t="s">
        <v>2349</v>
      </c>
      <c r="K232" s="7153"/>
      <c r="L232" s="3893"/>
      <c r="M232" s="3617">
        <v>117</v>
      </c>
      <c r="N232" s="3618">
        <v>64</v>
      </c>
      <c r="O232" s="3619">
        <f t="shared" si="3"/>
        <v>54.700854700854698</v>
      </c>
      <c r="P232" s="3620">
        <v>93.8</v>
      </c>
      <c r="Q232" s="3620">
        <v>6.3</v>
      </c>
      <c r="R232" s="3532">
        <v>1.7</v>
      </c>
      <c r="S232" s="3532">
        <v>0</v>
      </c>
      <c r="T232" s="3532">
        <v>30</v>
      </c>
      <c r="U232" s="3532">
        <v>5</v>
      </c>
      <c r="V232" s="3532">
        <v>35</v>
      </c>
    </row>
    <row r="233" spans="1:22" s="3527" customFormat="1">
      <c r="A233" s="4189"/>
      <c r="B233" s="4189"/>
      <c r="C233" s="4189"/>
      <c r="D233" s="4189"/>
      <c r="E233" s="4189"/>
      <c r="F233" s="4189"/>
      <c r="G233" s="4189"/>
      <c r="H233" s="7158"/>
      <c r="I233" s="7155"/>
      <c r="J233" s="3616" t="s">
        <v>607</v>
      </c>
      <c r="K233" s="7153"/>
      <c r="L233" s="3893"/>
      <c r="M233" s="3617">
        <v>51</v>
      </c>
      <c r="N233" s="3618">
        <v>33</v>
      </c>
      <c r="O233" s="3619">
        <f t="shared" si="3"/>
        <v>64.705882352941174</v>
      </c>
      <c r="P233" s="3620">
        <v>57.6</v>
      </c>
      <c r="Q233" s="3620">
        <v>42.4</v>
      </c>
      <c r="R233" s="3532">
        <v>15</v>
      </c>
      <c r="S233" s="3532">
        <v>15</v>
      </c>
      <c r="T233" s="3532">
        <v>27.3</v>
      </c>
      <c r="U233" s="3532">
        <v>18.2</v>
      </c>
      <c r="V233" s="3532">
        <v>36.4</v>
      </c>
    </row>
    <row r="234" spans="1:22" s="3527" customFormat="1">
      <c r="A234" s="4189"/>
      <c r="B234" s="4189"/>
      <c r="C234" s="4189"/>
      <c r="D234" s="4189"/>
      <c r="E234" s="4189"/>
      <c r="F234" s="4189"/>
      <c r="G234" s="4189"/>
      <c r="H234" s="7158"/>
      <c r="I234" s="7155"/>
      <c r="J234" s="3616" t="s">
        <v>606</v>
      </c>
      <c r="K234" s="7153"/>
      <c r="L234" s="3893"/>
      <c r="M234" s="3617">
        <v>16</v>
      </c>
      <c r="N234" s="3618">
        <v>14</v>
      </c>
      <c r="O234" s="3619">
        <f t="shared" si="3"/>
        <v>87.5</v>
      </c>
      <c r="P234" s="3620">
        <v>78.599999999999994</v>
      </c>
      <c r="Q234" s="3620">
        <v>21.4</v>
      </c>
      <c r="R234" s="3532">
        <v>0</v>
      </c>
      <c r="S234" s="3532">
        <v>18.2</v>
      </c>
      <c r="T234" s="3532">
        <v>0</v>
      </c>
      <c r="U234" s="3532">
        <v>0</v>
      </c>
      <c r="V234" s="3532">
        <v>100</v>
      </c>
    </row>
    <row r="235" spans="1:22" s="3527" customFormat="1">
      <c r="A235" s="4189"/>
      <c r="B235" s="4189"/>
      <c r="C235" s="4189"/>
      <c r="D235" s="4189"/>
      <c r="E235" s="4189"/>
      <c r="F235" s="4189"/>
      <c r="G235" s="4189"/>
      <c r="H235" s="7158"/>
      <c r="I235" s="7155"/>
      <c r="J235" s="3616" t="s">
        <v>2184</v>
      </c>
      <c r="K235" s="7158" t="s">
        <v>244</v>
      </c>
      <c r="L235" s="4039"/>
      <c r="M235" s="3617">
        <v>88</v>
      </c>
      <c r="N235" s="3618">
        <v>72</v>
      </c>
      <c r="O235" s="3619">
        <f t="shared" si="3"/>
        <v>81.818181818181813</v>
      </c>
      <c r="P235" s="3620">
        <v>75</v>
      </c>
      <c r="Q235" s="3620">
        <v>25</v>
      </c>
      <c r="R235" s="3532">
        <v>0</v>
      </c>
      <c r="S235" s="3532">
        <v>0</v>
      </c>
      <c r="T235" s="3532">
        <v>12.5</v>
      </c>
      <c r="U235" s="3532">
        <v>25</v>
      </c>
      <c r="V235" s="3532">
        <v>62.5</v>
      </c>
    </row>
    <row r="236" spans="1:22" s="3527" customFormat="1">
      <c r="A236" s="4189"/>
      <c r="B236" s="4189"/>
      <c r="C236" s="4189"/>
      <c r="D236" s="4189"/>
      <c r="E236" s="4189"/>
      <c r="F236" s="4189"/>
      <c r="G236" s="4189"/>
      <c r="H236" s="7158"/>
      <c r="I236" s="7155"/>
      <c r="J236" s="3616" t="s">
        <v>2349</v>
      </c>
      <c r="K236" s="7158"/>
      <c r="L236" s="4039"/>
      <c r="M236" s="3617">
        <v>9</v>
      </c>
      <c r="N236" s="3618">
        <v>8</v>
      </c>
      <c r="O236" s="3619">
        <f t="shared" si="3"/>
        <v>88.888888888888886</v>
      </c>
      <c r="P236" s="3620">
        <v>100</v>
      </c>
      <c r="Q236" s="3620">
        <v>0</v>
      </c>
      <c r="R236" s="3532">
        <v>0</v>
      </c>
      <c r="S236" s="3532">
        <v>0</v>
      </c>
      <c r="T236" s="3532" t="s">
        <v>556</v>
      </c>
      <c r="U236" s="3532" t="s">
        <v>556</v>
      </c>
      <c r="V236" s="3532" t="s">
        <v>556</v>
      </c>
    </row>
    <row r="237" spans="1:22" s="3527" customFormat="1">
      <c r="A237" s="4189"/>
      <c r="B237" s="4189"/>
      <c r="C237" s="4189"/>
      <c r="D237" s="4189"/>
      <c r="E237" s="4189"/>
      <c r="F237" s="4189"/>
      <c r="G237" s="4189"/>
      <c r="H237" s="7158"/>
      <c r="I237" s="7155"/>
      <c r="J237" s="3616" t="s">
        <v>607</v>
      </c>
      <c r="K237" s="7158"/>
      <c r="L237" s="4039"/>
      <c r="M237" s="3617">
        <v>3</v>
      </c>
      <c r="N237" s="3618">
        <v>0</v>
      </c>
      <c r="O237" s="3619">
        <f t="shared" si="3"/>
        <v>0</v>
      </c>
      <c r="P237" s="3620" t="s">
        <v>556</v>
      </c>
      <c r="Q237" s="3620" t="s">
        <v>556</v>
      </c>
      <c r="R237" s="3532" t="s">
        <v>556</v>
      </c>
      <c r="S237" s="3532" t="s">
        <v>556</v>
      </c>
      <c r="T237" s="3532">
        <v>0</v>
      </c>
      <c r="U237" s="3532">
        <v>66.7</v>
      </c>
      <c r="V237" s="3532">
        <v>33.299999999999997</v>
      </c>
    </row>
    <row r="238" spans="1:22" s="3527" customFormat="1" ht="15" customHeight="1">
      <c r="A238" s="4189"/>
      <c r="B238" s="4189"/>
      <c r="C238" s="4189"/>
      <c r="D238" s="4189"/>
      <c r="E238" s="4189"/>
      <c r="F238" s="4189"/>
      <c r="G238" s="4189"/>
      <c r="H238" s="7158"/>
      <c r="I238" s="7155"/>
      <c r="J238" s="3616" t="s">
        <v>606</v>
      </c>
      <c r="K238" s="7158"/>
      <c r="L238" s="4039"/>
      <c r="M238" s="3617">
        <v>3</v>
      </c>
      <c r="N238" s="3618">
        <v>3</v>
      </c>
      <c r="O238" s="3619">
        <f t="shared" si="3"/>
        <v>100</v>
      </c>
      <c r="P238" s="3620">
        <v>100</v>
      </c>
      <c r="Q238" s="3620">
        <v>0</v>
      </c>
      <c r="R238" s="3532">
        <v>0</v>
      </c>
      <c r="S238" s="3532">
        <v>0</v>
      </c>
      <c r="T238" s="3532">
        <v>14.4</v>
      </c>
      <c r="U238" s="3532">
        <v>21.5</v>
      </c>
      <c r="V238" s="3532">
        <v>56.9</v>
      </c>
    </row>
    <row r="239" spans="1:22" s="3527" customFormat="1">
      <c r="A239" s="4189"/>
      <c r="B239" s="4189"/>
      <c r="C239" s="4189"/>
      <c r="D239" s="4189"/>
      <c r="E239" s="4189"/>
      <c r="F239" s="4189"/>
      <c r="G239" s="4189"/>
      <c r="H239" s="7158"/>
      <c r="I239" s="7155" t="s">
        <v>2171</v>
      </c>
      <c r="J239" s="3616" t="s">
        <v>2066</v>
      </c>
      <c r="K239" s="7158" t="s">
        <v>257</v>
      </c>
      <c r="L239" s="4039"/>
      <c r="M239" s="3617">
        <v>327</v>
      </c>
      <c r="N239" s="3618">
        <v>214</v>
      </c>
      <c r="O239" s="3619">
        <f t="shared" si="3"/>
        <v>65.443425076452598</v>
      </c>
      <c r="P239" s="3620">
        <v>84.1</v>
      </c>
      <c r="Q239" s="3620">
        <v>15.9</v>
      </c>
      <c r="R239" s="3532">
        <v>6.1</v>
      </c>
      <c r="S239" s="3532">
        <v>1.1000000000000001</v>
      </c>
      <c r="T239" s="3532">
        <v>6.7</v>
      </c>
      <c r="U239" s="3532">
        <v>22.2</v>
      </c>
      <c r="V239" s="3532">
        <v>62.2</v>
      </c>
    </row>
    <row r="240" spans="1:22" s="3527" customFormat="1">
      <c r="A240" s="4189"/>
      <c r="B240" s="4189"/>
      <c r="C240" s="4189"/>
      <c r="D240" s="4189"/>
      <c r="E240" s="4189"/>
      <c r="F240" s="4189"/>
      <c r="G240" s="4189"/>
      <c r="H240" s="7158"/>
      <c r="I240" s="7155"/>
      <c r="J240" s="3616" t="s">
        <v>329</v>
      </c>
      <c r="K240" s="7158"/>
      <c r="L240" s="4039"/>
      <c r="M240" s="3617">
        <v>76</v>
      </c>
      <c r="N240" s="3618">
        <v>52</v>
      </c>
      <c r="O240" s="3619">
        <f t="shared" si="3"/>
        <v>68.421052631578945</v>
      </c>
      <c r="P240" s="3618">
        <v>86.5</v>
      </c>
      <c r="Q240" s="3618">
        <v>13.5</v>
      </c>
      <c r="R240" s="3532">
        <v>2.2000000000000002</v>
      </c>
      <c r="S240" s="3532">
        <v>6.7</v>
      </c>
      <c r="T240" s="3532" t="s">
        <v>556</v>
      </c>
      <c r="U240" s="3532" t="s">
        <v>556</v>
      </c>
      <c r="V240" s="3532" t="s">
        <v>556</v>
      </c>
    </row>
    <row r="241" spans="1:22" s="3527" customFormat="1">
      <c r="A241" s="4189"/>
      <c r="B241" s="4189"/>
      <c r="C241" s="4189"/>
      <c r="D241" s="4189"/>
      <c r="E241" s="4189"/>
      <c r="F241" s="4189"/>
      <c r="G241" s="4189"/>
      <c r="H241" s="7158"/>
      <c r="I241" s="7155"/>
      <c r="J241" s="3616" t="s">
        <v>118</v>
      </c>
      <c r="K241" s="7158"/>
      <c r="L241" s="4039"/>
      <c r="M241" s="3617">
        <v>1</v>
      </c>
      <c r="N241" s="3618">
        <v>0</v>
      </c>
      <c r="O241" s="3619">
        <f t="shared" si="3"/>
        <v>0</v>
      </c>
      <c r="P241" s="3618" t="s">
        <v>556</v>
      </c>
      <c r="Q241" s="3618" t="s">
        <v>556</v>
      </c>
      <c r="R241" s="3532" t="s">
        <v>556</v>
      </c>
      <c r="S241" s="3532" t="s">
        <v>556</v>
      </c>
      <c r="T241" s="3532">
        <v>24</v>
      </c>
      <c r="U241" s="3532">
        <v>18</v>
      </c>
      <c r="V241" s="3532">
        <v>45</v>
      </c>
    </row>
    <row r="242" spans="1:22" s="3527" customFormat="1">
      <c r="A242" s="4189"/>
      <c r="B242" s="4189"/>
      <c r="C242" s="4189"/>
      <c r="D242" s="4189"/>
      <c r="E242" s="4189"/>
      <c r="F242" s="4189"/>
      <c r="G242" s="4189"/>
      <c r="H242" s="7158"/>
      <c r="I242" s="7155"/>
      <c r="J242" s="3616" t="s">
        <v>270</v>
      </c>
      <c r="K242" s="7158" t="s">
        <v>243</v>
      </c>
      <c r="L242" s="4039"/>
      <c r="M242" s="3617">
        <v>186</v>
      </c>
      <c r="N242" s="3618">
        <v>131</v>
      </c>
      <c r="O242" s="3619">
        <f t="shared" si="3"/>
        <v>70.430107526881727</v>
      </c>
      <c r="P242" s="3618">
        <v>74.8</v>
      </c>
      <c r="Q242" s="3618">
        <v>25.2</v>
      </c>
      <c r="R242" s="3532">
        <v>7</v>
      </c>
      <c r="S242" s="3532">
        <v>6</v>
      </c>
      <c r="T242" s="3532">
        <v>19.2</v>
      </c>
      <c r="U242" s="3532">
        <v>30.8</v>
      </c>
      <c r="V242" s="3532">
        <v>42.3</v>
      </c>
    </row>
    <row r="243" spans="1:22" s="3527" customFormat="1">
      <c r="A243" s="4189"/>
      <c r="B243" s="4189"/>
      <c r="C243" s="4189"/>
      <c r="D243" s="4189"/>
      <c r="E243" s="4189"/>
      <c r="F243" s="4189"/>
      <c r="G243" s="4189"/>
      <c r="H243" s="7158"/>
      <c r="I243" s="7155"/>
      <c r="J243" s="3616" t="s">
        <v>269</v>
      </c>
      <c r="K243" s="7158"/>
      <c r="L243" s="4039"/>
      <c r="M243" s="3617">
        <v>158</v>
      </c>
      <c r="N243" s="3618">
        <v>100</v>
      </c>
      <c r="O243" s="3619">
        <f t="shared" si="3"/>
        <v>63.291139240506332</v>
      </c>
      <c r="P243" s="3618">
        <v>79</v>
      </c>
      <c r="Q243" s="3618">
        <v>21</v>
      </c>
      <c r="R243" s="3532">
        <v>3.8</v>
      </c>
      <c r="S243" s="3532">
        <v>3.8</v>
      </c>
      <c r="T243" s="3532">
        <v>16.7</v>
      </c>
      <c r="U243" s="3532">
        <v>12.5</v>
      </c>
      <c r="V243" s="3532">
        <v>66.7</v>
      </c>
    </row>
    <row r="244" spans="1:22" s="3527" customFormat="1">
      <c r="A244" s="4189"/>
      <c r="B244" s="4189"/>
      <c r="C244" s="4189"/>
      <c r="D244" s="4189"/>
      <c r="E244" s="4189"/>
      <c r="F244" s="4189"/>
      <c r="G244" s="4189"/>
      <c r="H244" s="7158"/>
      <c r="I244" s="7155"/>
      <c r="J244" s="3616" t="s">
        <v>437</v>
      </c>
      <c r="K244" s="7158"/>
      <c r="L244" s="4039"/>
      <c r="M244" s="3617">
        <v>59</v>
      </c>
      <c r="N244" s="3618">
        <v>34</v>
      </c>
      <c r="O244" s="3619">
        <f t="shared" si="3"/>
        <v>57.627118644067799</v>
      </c>
      <c r="P244" s="3618">
        <v>73.5</v>
      </c>
      <c r="Q244" s="3618">
        <v>26.5</v>
      </c>
      <c r="R244" s="3621">
        <v>0</v>
      </c>
      <c r="S244" s="3532">
        <v>4.2</v>
      </c>
      <c r="T244" s="3532">
        <v>0</v>
      </c>
      <c r="U244" s="3532">
        <v>33.299999999999997</v>
      </c>
      <c r="V244" s="3532">
        <v>66.7</v>
      </c>
    </row>
    <row r="245" spans="1:22" s="3527" customFormat="1">
      <c r="A245" s="4189"/>
      <c r="B245" s="4189"/>
      <c r="C245" s="4189"/>
      <c r="D245" s="4189"/>
      <c r="E245" s="4189"/>
      <c r="F245" s="4189"/>
      <c r="G245" s="4189"/>
      <c r="H245" s="7158"/>
      <c r="I245" s="7155"/>
      <c r="J245" s="3616" t="s">
        <v>2226</v>
      </c>
      <c r="K245" s="7158"/>
      <c r="L245" s="4039"/>
      <c r="M245" s="3617">
        <v>8</v>
      </c>
      <c r="N245" s="3618">
        <v>7</v>
      </c>
      <c r="O245" s="3619">
        <f t="shared" si="3"/>
        <v>87.5</v>
      </c>
      <c r="P245" s="3618">
        <v>42.9</v>
      </c>
      <c r="Q245" s="3618">
        <v>57.1</v>
      </c>
      <c r="R245" s="3532">
        <v>0</v>
      </c>
      <c r="S245" s="3532">
        <v>0</v>
      </c>
      <c r="T245" s="3532">
        <v>9.1</v>
      </c>
      <c r="U245" s="3532">
        <v>40.9</v>
      </c>
      <c r="V245" s="3532">
        <v>45.5</v>
      </c>
    </row>
    <row r="246" spans="1:22" s="3527" customFormat="1">
      <c r="A246" s="4189"/>
      <c r="B246" s="4189"/>
      <c r="C246" s="4189"/>
      <c r="D246" s="4189"/>
      <c r="E246" s="4189"/>
      <c r="F246" s="4189"/>
      <c r="G246" s="4189"/>
      <c r="H246" s="7158"/>
      <c r="I246" s="7155"/>
      <c r="J246" s="3616" t="s">
        <v>2350</v>
      </c>
      <c r="K246" s="7158"/>
      <c r="L246" s="4039"/>
      <c r="M246" s="3617">
        <v>90</v>
      </c>
      <c r="N246" s="3618">
        <v>30</v>
      </c>
      <c r="O246" s="3619">
        <f t="shared" si="3"/>
        <v>33.333333333333336</v>
      </c>
      <c r="P246" s="3618">
        <v>73.3</v>
      </c>
      <c r="Q246" s="3618">
        <v>26.7</v>
      </c>
      <c r="R246" s="3532">
        <v>0</v>
      </c>
      <c r="S246" s="3532">
        <v>4.5</v>
      </c>
      <c r="T246" s="3532">
        <v>10</v>
      </c>
      <c r="U246" s="3532">
        <v>40</v>
      </c>
      <c r="V246" s="3532">
        <v>50</v>
      </c>
    </row>
    <row r="247" spans="1:22" s="3527" customFormat="1">
      <c r="A247" s="4189"/>
      <c r="B247" s="4189"/>
      <c r="C247" s="4189"/>
      <c r="D247" s="4189"/>
      <c r="E247" s="4189"/>
      <c r="F247" s="4189"/>
      <c r="G247" s="4189"/>
      <c r="H247" s="7158"/>
      <c r="I247" s="7155"/>
      <c r="J247" s="3616" t="s">
        <v>118</v>
      </c>
      <c r="K247" s="7158"/>
      <c r="L247" s="4039"/>
      <c r="M247" s="3617">
        <v>29</v>
      </c>
      <c r="N247" s="3618">
        <v>20</v>
      </c>
      <c r="O247" s="3619">
        <f t="shared" si="3"/>
        <v>68.965517241379317</v>
      </c>
      <c r="P247" s="3618">
        <v>55</v>
      </c>
      <c r="Q247" s="3618">
        <v>45</v>
      </c>
      <c r="R247" s="3532">
        <v>0</v>
      </c>
      <c r="S247" s="3532">
        <v>0</v>
      </c>
      <c r="T247" s="3532">
        <v>0</v>
      </c>
      <c r="U247" s="3532">
        <v>20</v>
      </c>
      <c r="V247" s="3532">
        <v>80</v>
      </c>
    </row>
    <row r="248" spans="1:22" s="3527" customFormat="1">
      <c r="A248" s="4189"/>
      <c r="B248" s="4189"/>
      <c r="C248" s="4189"/>
      <c r="D248" s="4189"/>
      <c r="E248" s="4189"/>
      <c r="F248" s="4189"/>
      <c r="G248" s="4189"/>
      <c r="H248" s="7158"/>
      <c r="I248" s="7155"/>
      <c r="J248" s="3616" t="s">
        <v>1706</v>
      </c>
      <c r="K248" s="7158"/>
      <c r="L248" s="4039"/>
      <c r="M248" s="3617">
        <v>34</v>
      </c>
      <c r="N248" s="3618">
        <v>6</v>
      </c>
      <c r="O248" s="3619">
        <f t="shared" si="3"/>
        <v>17.647058823529413</v>
      </c>
      <c r="P248" s="3618">
        <v>83.3</v>
      </c>
      <c r="Q248" s="3618">
        <v>16.7</v>
      </c>
      <c r="R248" s="3532">
        <v>0</v>
      </c>
      <c r="S248" s="3532">
        <v>0</v>
      </c>
      <c r="T248" s="3532" t="s">
        <v>556</v>
      </c>
      <c r="U248" s="3532" t="s">
        <v>556</v>
      </c>
      <c r="V248" s="3532" t="s">
        <v>556</v>
      </c>
    </row>
    <row r="249" spans="1:22" s="3527" customFormat="1">
      <c r="A249" s="4189"/>
      <c r="B249" s="4189"/>
      <c r="C249" s="4189"/>
      <c r="D249" s="4189"/>
      <c r="E249" s="4189"/>
      <c r="F249" s="4189"/>
      <c r="G249" s="4189"/>
      <c r="H249" s="7158"/>
      <c r="I249" s="7155"/>
      <c r="J249" s="3616" t="s">
        <v>2058</v>
      </c>
      <c r="K249" s="7158"/>
      <c r="L249" s="4039"/>
      <c r="M249" s="3617">
        <v>5</v>
      </c>
      <c r="N249" s="3618">
        <v>0</v>
      </c>
      <c r="O249" s="3619">
        <f t="shared" si="3"/>
        <v>0</v>
      </c>
      <c r="P249" s="3618" t="s">
        <v>556</v>
      </c>
      <c r="Q249" s="3618" t="s">
        <v>556</v>
      </c>
      <c r="R249" s="3532" t="s">
        <v>556</v>
      </c>
      <c r="S249" s="3532" t="s">
        <v>556</v>
      </c>
      <c r="T249" s="3532">
        <v>0</v>
      </c>
      <c r="U249" s="3532">
        <v>50</v>
      </c>
      <c r="V249" s="3532">
        <v>50</v>
      </c>
    </row>
    <row r="250" spans="1:22" s="3527" customFormat="1">
      <c r="A250" s="4189"/>
      <c r="B250" s="4189"/>
      <c r="C250" s="4189"/>
      <c r="D250" s="4189"/>
      <c r="E250" s="4189"/>
      <c r="F250" s="4189"/>
      <c r="G250" s="4189"/>
      <c r="H250" s="7158"/>
      <c r="I250" s="7155"/>
      <c r="J250" s="3616" t="s">
        <v>2226</v>
      </c>
      <c r="K250" s="7158" t="s">
        <v>244</v>
      </c>
      <c r="L250" s="4039"/>
      <c r="M250" s="3617">
        <v>6</v>
      </c>
      <c r="N250" s="3618">
        <v>2</v>
      </c>
      <c r="O250" s="3619">
        <f t="shared" si="3"/>
        <v>33.333333333333336</v>
      </c>
      <c r="P250" s="3618">
        <v>100</v>
      </c>
      <c r="Q250" s="3618">
        <v>0</v>
      </c>
      <c r="R250" s="3532">
        <v>0</v>
      </c>
      <c r="S250" s="3532">
        <v>0</v>
      </c>
      <c r="T250" s="3532">
        <v>5.9</v>
      </c>
      <c r="U250" s="3532">
        <v>17.600000000000001</v>
      </c>
      <c r="V250" s="3532">
        <v>76.5</v>
      </c>
    </row>
    <row r="251" spans="1:22" s="3527" customFormat="1">
      <c r="A251" s="4189"/>
      <c r="B251" s="4189"/>
      <c r="C251" s="4189"/>
      <c r="D251" s="4189"/>
      <c r="E251" s="4189"/>
      <c r="F251" s="4189"/>
      <c r="G251" s="4189"/>
      <c r="H251" s="7158"/>
      <c r="I251" s="7155"/>
      <c r="J251" s="3616" t="s">
        <v>2350</v>
      </c>
      <c r="K251" s="7158"/>
      <c r="L251" s="4039"/>
      <c r="M251" s="3617">
        <v>41</v>
      </c>
      <c r="N251" s="3618">
        <v>23</v>
      </c>
      <c r="O251" s="3619">
        <f t="shared" si="3"/>
        <v>56.097560975609753</v>
      </c>
      <c r="P251" s="3618">
        <v>73.900000000000006</v>
      </c>
      <c r="Q251" s="3618">
        <v>26.1</v>
      </c>
      <c r="R251" s="3532">
        <v>0</v>
      </c>
      <c r="S251" s="3532">
        <v>0</v>
      </c>
      <c r="T251" s="3532">
        <v>22.2</v>
      </c>
      <c r="U251" s="3532">
        <v>22.2</v>
      </c>
      <c r="V251" s="3532">
        <v>55.6</v>
      </c>
    </row>
    <row r="252" spans="1:22" s="3527" customFormat="1">
      <c r="A252" s="4189"/>
      <c r="B252" s="4189"/>
      <c r="C252" s="4189"/>
      <c r="D252" s="4189"/>
      <c r="E252" s="4189"/>
      <c r="F252" s="4189"/>
      <c r="G252" s="4189"/>
      <c r="H252" s="7158"/>
      <c r="I252" s="7155"/>
      <c r="J252" s="3616" t="s">
        <v>118</v>
      </c>
      <c r="K252" s="7158"/>
      <c r="L252" s="4039"/>
      <c r="M252" s="3617">
        <v>27</v>
      </c>
      <c r="N252" s="3618">
        <v>11</v>
      </c>
      <c r="O252" s="3619">
        <f t="shared" si="3"/>
        <v>40.74074074074074</v>
      </c>
      <c r="P252" s="3618">
        <v>81.8</v>
      </c>
      <c r="Q252" s="3618">
        <v>18.2</v>
      </c>
      <c r="R252" s="3532">
        <v>0</v>
      </c>
      <c r="S252" s="3532">
        <v>0</v>
      </c>
      <c r="T252" s="3532">
        <v>15.4</v>
      </c>
      <c r="U252" s="3532">
        <v>7.7</v>
      </c>
      <c r="V252" s="3532">
        <v>76.900000000000006</v>
      </c>
    </row>
    <row r="253" spans="1:22" s="3527" customFormat="1">
      <c r="A253" s="4189"/>
      <c r="B253" s="4189"/>
      <c r="C253" s="4189"/>
      <c r="D253" s="4189"/>
      <c r="E253" s="4189"/>
      <c r="F253" s="4189"/>
      <c r="G253" s="4189"/>
      <c r="H253" s="7158"/>
      <c r="I253" s="7155" t="s">
        <v>2172</v>
      </c>
      <c r="J253" s="3616" t="s">
        <v>2059</v>
      </c>
      <c r="K253" s="7158" t="s">
        <v>257</v>
      </c>
      <c r="L253" s="4039"/>
      <c r="M253" s="3617">
        <v>41</v>
      </c>
      <c r="N253" s="3618">
        <v>16</v>
      </c>
      <c r="O253" s="3619">
        <f t="shared" si="3"/>
        <v>39.024390243902438</v>
      </c>
      <c r="P253" s="3618">
        <v>81.3</v>
      </c>
      <c r="Q253" s="3618">
        <v>18.8</v>
      </c>
      <c r="R253" s="3532">
        <v>0</v>
      </c>
      <c r="S253" s="3532">
        <v>0</v>
      </c>
      <c r="T253" s="3532">
        <v>9.4</v>
      </c>
      <c r="U253" s="3532">
        <v>12.8</v>
      </c>
      <c r="V253" s="3532">
        <v>70.900000000000006</v>
      </c>
    </row>
    <row r="254" spans="1:22" s="3527" customFormat="1">
      <c r="A254" s="4189"/>
      <c r="B254" s="4189"/>
      <c r="C254" s="4189"/>
      <c r="D254" s="4189"/>
      <c r="E254" s="4189"/>
      <c r="F254" s="4189"/>
      <c r="G254" s="4189"/>
      <c r="H254" s="7158"/>
      <c r="I254" s="7155"/>
      <c r="J254" s="3616" t="s">
        <v>2351</v>
      </c>
      <c r="K254" s="7158"/>
      <c r="L254" s="4039"/>
      <c r="M254" s="3617">
        <v>374</v>
      </c>
      <c r="N254" s="3618">
        <v>135</v>
      </c>
      <c r="O254" s="3619">
        <f t="shared" si="3"/>
        <v>36.096256684491976</v>
      </c>
      <c r="P254" s="3618">
        <v>88.1</v>
      </c>
      <c r="Q254" s="3618">
        <v>11.9</v>
      </c>
      <c r="R254" s="3532">
        <v>4.3</v>
      </c>
      <c r="S254" s="3532">
        <v>2.6</v>
      </c>
      <c r="T254" s="3532" t="s">
        <v>556</v>
      </c>
      <c r="U254" s="3532" t="s">
        <v>556</v>
      </c>
      <c r="V254" s="3532" t="s">
        <v>556</v>
      </c>
    </row>
    <row r="255" spans="1:22" s="3527" customFormat="1">
      <c r="A255" s="4189"/>
      <c r="B255" s="4189"/>
      <c r="C255" s="4189"/>
      <c r="D255" s="4189"/>
      <c r="E255" s="4189"/>
      <c r="F255" s="4189"/>
      <c r="G255" s="4189"/>
      <c r="H255" s="7158"/>
      <c r="I255" s="7155"/>
      <c r="J255" s="3616" t="s">
        <v>1455</v>
      </c>
      <c r="K255" s="7158"/>
      <c r="L255" s="4039"/>
      <c r="M255" s="3617">
        <v>13</v>
      </c>
      <c r="N255" s="3618">
        <v>0</v>
      </c>
      <c r="O255" s="3619">
        <f t="shared" si="3"/>
        <v>0</v>
      </c>
      <c r="P255" s="3618" t="s">
        <v>556</v>
      </c>
      <c r="Q255" s="3618" t="s">
        <v>556</v>
      </c>
      <c r="R255" s="3532" t="s">
        <v>556</v>
      </c>
      <c r="S255" s="3532" t="s">
        <v>556</v>
      </c>
      <c r="T255" s="3532" t="s">
        <v>556</v>
      </c>
      <c r="U255" s="3532" t="s">
        <v>556</v>
      </c>
      <c r="V255" s="3532" t="s">
        <v>556</v>
      </c>
    </row>
    <row r="256" spans="1:22" s="3527" customFormat="1">
      <c r="A256" s="4189"/>
      <c r="B256" s="4189"/>
      <c r="C256" s="4189"/>
      <c r="D256" s="4189"/>
      <c r="E256" s="4189"/>
      <c r="F256" s="4189"/>
      <c r="G256" s="4189"/>
      <c r="H256" s="7158"/>
      <c r="I256" s="7155"/>
      <c r="J256" s="3616" t="s">
        <v>1456</v>
      </c>
      <c r="K256" s="7158"/>
      <c r="L256" s="4039"/>
      <c r="M256" s="3617">
        <v>1</v>
      </c>
      <c r="N256" s="3618">
        <v>0</v>
      </c>
      <c r="O256" s="3619">
        <f t="shared" si="3"/>
        <v>0</v>
      </c>
      <c r="P256" s="3618" t="s">
        <v>556</v>
      </c>
      <c r="Q256" s="3618" t="s">
        <v>556</v>
      </c>
      <c r="R256" s="3532" t="s">
        <v>556</v>
      </c>
      <c r="S256" s="3532" t="s">
        <v>556</v>
      </c>
      <c r="T256" s="3532" t="s">
        <v>556</v>
      </c>
      <c r="U256" s="3532" t="s">
        <v>556</v>
      </c>
      <c r="V256" s="3532" t="s">
        <v>556</v>
      </c>
    </row>
    <row r="257" spans="1:22" s="3527" customFormat="1">
      <c r="A257" s="4189"/>
      <c r="B257" s="4189"/>
      <c r="C257" s="4189"/>
      <c r="D257" s="4189"/>
      <c r="E257" s="4189"/>
      <c r="F257" s="4189"/>
      <c r="G257" s="4189"/>
      <c r="H257" s="7158"/>
      <c r="I257" s="7155"/>
      <c r="J257" s="3616" t="s">
        <v>1457</v>
      </c>
      <c r="K257" s="7158"/>
      <c r="L257" s="4039"/>
      <c r="M257" s="3617">
        <v>4</v>
      </c>
      <c r="N257" s="3618">
        <v>0</v>
      </c>
      <c r="O257" s="3619">
        <f t="shared" si="3"/>
        <v>0</v>
      </c>
      <c r="P257" s="3618" t="s">
        <v>556</v>
      </c>
      <c r="Q257" s="3618" t="s">
        <v>556</v>
      </c>
      <c r="R257" s="3532" t="s">
        <v>556</v>
      </c>
      <c r="S257" s="3532" t="s">
        <v>556</v>
      </c>
      <c r="T257" s="3532">
        <v>15</v>
      </c>
      <c r="U257" s="3532">
        <v>20</v>
      </c>
      <c r="V257" s="3532">
        <v>55</v>
      </c>
    </row>
    <row r="258" spans="1:22" s="3527" customFormat="1">
      <c r="A258" s="4189"/>
      <c r="B258" s="4189"/>
      <c r="C258" s="4189"/>
      <c r="D258" s="4189"/>
      <c r="E258" s="4189"/>
      <c r="F258" s="4189"/>
      <c r="G258" s="4189"/>
      <c r="H258" s="7158"/>
      <c r="I258" s="7155"/>
      <c r="J258" s="3616" t="s">
        <v>1454</v>
      </c>
      <c r="K258" s="7158"/>
      <c r="L258" s="4039"/>
      <c r="M258" s="3617">
        <v>41</v>
      </c>
      <c r="N258" s="3618">
        <v>37</v>
      </c>
      <c r="O258" s="3619">
        <f t="shared" si="3"/>
        <v>90.243902439024396</v>
      </c>
      <c r="P258" s="3618">
        <v>74.099999999999994</v>
      </c>
      <c r="Q258" s="3618">
        <v>25.9</v>
      </c>
      <c r="R258" s="3532">
        <v>5</v>
      </c>
      <c r="S258" s="3532">
        <v>5</v>
      </c>
      <c r="T258" s="3532" t="s">
        <v>556</v>
      </c>
      <c r="U258" s="3532" t="s">
        <v>556</v>
      </c>
      <c r="V258" s="3532" t="s">
        <v>556</v>
      </c>
    </row>
    <row r="259" spans="1:22" s="3527" customFormat="1">
      <c r="A259" s="4189"/>
      <c r="B259" s="4189"/>
      <c r="C259" s="4189"/>
      <c r="D259" s="4189"/>
      <c r="E259" s="4189"/>
      <c r="F259" s="4189"/>
      <c r="G259" s="4189"/>
      <c r="H259" s="7158"/>
      <c r="I259" s="7155"/>
      <c r="J259" s="3616" t="s">
        <v>1458</v>
      </c>
      <c r="K259" s="7158"/>
      <c r="L259" s="4039"/>
      <c r="M259" s="3617">
        <v>1</v>
      </c>
      <c r="N259" s="3618">
        <v>0</v>
      </c>
      <c r="O259" s="3619">
        <f t="shared" si="3"/>
        <v>0</v>
      </c>
      <c r="P259" s="3618" t="s">
        <v>556</v>
      </c>
      <c r="Q259" s="3618" t="s">
        <v>556</v>
      </c>
      <c r="R259" s="3532" t="s">
        <v>556</v>
      </c>
      <c r="S259" s="3532" t="s">
        <v>556</v>
      </c>
      <c r="T259" s="3532" t="s">
        <v>556</v>
      </c>
      <c r="U259" s="3532" t="s">
        <v>556</v>
      </c>
      <c r="V259" s="3532" t="s">
        <v>556</v>
      </c>
    </row>
    <row r="260" spans="1:22" s="3527" customFormat="1">
      <c r="A260" s="4189"/>
      <c r="B260" s="4189"/>
      <c r="C260" s="4189"/>
      <c r="D260" s="4189"/>
      <c r="E260" s="4189"/>
      <c r="F260" s="4189"/>
      <c r="G260" s="4189"/>
      <c r="H260" s="7158"/>
      <c r="I260" s="7155"/>
      <c r="J260" s="3616" t="s">
        <v>2352</v>
      </c>
      <c r="K260" s="7158" t="s">
        <v>243</v>
      </c>
      <c r="L260" s="4039"/>
      <c r="M260" s="3617">
        <v>3</v>
      </c>
      <c r="N260" s="3618">
        <v>0</v>
      </c>
      <c r="O260" s="3619">
        <f t="shared" si="3"/>
        <v>0</v>
      </c>
      <c r="P260" s="3618" t="s">
        <v>556</v>
      </c>
      <c r="Q260" s="3618" t="s">
        <v>556</v>
      </c>
      <c r="R260" s="3532" t="s">
        <v>556</v>
      </c>
      <c r="S260" s="3532" t="s">
        <v>556</v>
      </c>
      <c r="T260" s="3532">
        <v>10.3</v>
      </c>
      <c r="U260" s="3532">
        <v>20.5</v>
      </c>
      <c r="V260" s="3532">
        <v>59</v>
      </c>
    </row>
    <row r="261" spans="1:22" s="3527" customFormat="1" ht="15" customHeight="1">
      <c r="A261" s="4189"/>
      <c r="B261" s="4189"/>
      <c r="C261" s="4189"/>
      <c r="D261" s="4189"/>
      <c r="E261" s="4189"/>
      <c r="F261" s="4189"/>
      <c r="G261" s="4189"/>
      <c r="H261" s="7158"/>
      <c r="I261" s="7155"/>
      <c r="J261" s="3616" t="s">
        <v>2351</v>
      </c>
      <c r="K261" s="7158"/>
      <c r="L261" s="4039"/>
      <c r="M261" s="3617">
        <v>200</v>
      </c>
      <c r="N261" s="3618">
        <v>50</v>
      </c>
      <c r="O261" s="3619">
        <f t="shared" si="3"/>
        <v>25</v>
      </c>
      <c r="P261" s="3618">
        <v>76</v>
      </c>
      <c r="Q261" s="3618">
        <v>24</v>
      </c>
      <c r="R261" s="3532">
        <v>2.6</v>
      </c>
      <c r="S261" s="3532">
        <v>7.7</v>
      </c>
      <c r="T261" s="3532" t="s">
        <v>556</v>
      </c>
      <c r="U261" s="3532" t="s">
        <v>556</v>
      </c>
      <c r="V261" s="3532" t="s">
        <v>556</v>
      </c>
    </row>
    <row r="262" spans="1:22" s="3527" customFormat="1">
      <c r="A262" s="4189"/>
      <c r="B262" s="4189"/>
      <c r="C262" s="4189"/>
      <c r="D262" s="4189"/>
      <c r="E262" s="4189"/>
      <c r="F262" s="4189"/>
      <c r="G262" s="4189"/>
      <c r="H262" s="7158"/>
      <c r="I262" s="7155"/>
      <c r="J262" s="3616" t="s">
        <v>1455</v>
      </c>
      <c r="K262" s="7158"/>
      <c r="L262" s="4039"/>
      <c r="M262" s="3617">
        <v>24</v>
      </c>
      <c r="N262" s="3618">
        <v>0</v>
      </c>
      <c r="O262" s="3619">
        <f t="shared" si="3"/>
        <v>0</v>
      </c>
      <c r="P262" s="3618" t="s">
        <v>556</v>
      </c>
      <c r="Q262" s="3618" t="s">
        <v>556</v>
      </c>
      <c r="R262" s="3532" t="s">
        <v>556</v>
      </c>
      <c r="S262" s="3532" t="s">
        <v>556</v>
      </c>
      <c r="T262" s="3532" t="s">
        <v>556</v>
      </c>
      <c r="U262" s="3532" t="s">
        <v>556</v>
      </c>
      <c r="V262" s="3532" t="s">
        <v>556</v>
      </c>
    </row>
    <row r="263" spans="1:22" s="3527" customFormat="1">
      <c r="A263" s="4189"/>
      <c r="B263" s="4189"/>
      <c r="C263" s="4189"/>
      <c r="D263" s="4189"/>
      <c r="E263" s="4189"/>
      <c r="F263" s="4189"/>
      <c r="G263" s="4189"/>
      <c r="H263" s="7158"/>
      <c r="I263" s="7155"/>
      <c r="J263" s="3616" t="s">
        <v>1456</v>
      </c>
      <c r="K263" s="7158"/>
      <c r="L263" s="4039"/>
      <c r="M263" s="3617">
        <v>15</v>
      </c>
      <c r="N263" s="3618">
        <v>0</v>
      </c>
      <c r="O263" s="3619">
        <f t="shared" si="3"/>
        <v>0</v>
      </c>
      <c r="P263" s="3618" t="s">
        <v>556</v>
      </c>
      <c r="Q263" s="3618" t="s">
        <v>556</v>
      </c>
      <c r="R263" s="3532" t="s">
        <v>556</v>
      </c>
      <c r="S263" s="3532" t="s">
        <v>556</v>
      </c>
      <c r="T263" s="3532">
        <v>16.7</v>
      </c>
      <c r="U263" s="3532">
        <v>16.7</v>
      </c>
      <c r="V263" s="3532">
        <v>50</v>
      </c>
    </row>
    <row r="264" spans="1:22" s="3527" customFormat="1">
      <c r="A264" s="4189"/>
      <c r="B264" s="4189"/>
      <c r="C264" s="4189"/>
      <c r="D264" s="4189"/>
      <c r="E264" s="4189"/>
      <c r="F264" s="4189"/>
      <c r="G264" s="4189"/>
      <c r="H264" s="7158"/>
      <c r="I264" s="7155"/>
      <c r="J264" s="3616" t="s">
        <v>1457</v>
      </c>
      <c r="K264" s="7158"/>
      <c r="L264" s="4039"/>
      <c r="M264" s="3617">
        <v>28</v>
      </c>
      <c r="N264" s="3618">
        <v>24</v>
      </c>
      <c r="O264" s="3619">
        <f t="shared" si="3"/>
        <v>85.714285714285708</v>
      </c>
      <c r="P264" s="3618">
        <v>50</v>
      </c>
      <c r="Q264" s="3618">
        <v>50</v>
      </c>
      <c r="R264" s="3532">
        <v>0</v>
      </c>
      <c r="S264" s="3532">
        <v>16.7</v>
      </c>
      <c r="T264" s="3532" t="s">
        <v>556</v>
      </c>
      <c r="U264" s="3532" t="s">
        <v>556</v>
      </c>
      <c r="V264" s="3532" t="s">
        <v>556</v>
      </c>
    </row>
    <row r="265" spans="1:22" s="3527" customFormat="1">
      <c r="A265" s="4189"/>
      <c r="B265" s="4189"/>
      <c r="C265" s="4189"/>
      <c r="D265" s="4189"/>
      <c r="E265" s="4189"/>
      <c r="F265" s="4189"/>
      <c r="G265" s="4189"/>
      <c r="H265" s="7158"/>
      <c r="I265" s="7155"/>
      <c r="J265" s="3616" t="s">
        <v>1458</v>
      </c>
      <c r="K265" s="7158"/>
      <c r="L265" s="4039"/>
      <c r="M265" s="3617">
        <v>20</v>
      </c>
      <c r="N265" s="3618">
        <v>0</v>
      </c>
      <c r="O265" s="3619">
        <f t="shared" si="3"/>
        <v>0</v>
      </c>
      <c r="P265" s="3618" t="s">
        <v>556</v>
      </c>
      <c r="Q265" s="3618" t="s">
        <v>556</v>
      </c>
      <c r="R265" s="3532" t="s">
        <v>556</v>
      </c>
      <c r="S265" s="3532" t="s">
        <v>556</v>
      </c>
      <c r="T265" s="3532" t="s">
        <v>556</v>
      </c>
      <c r="U265" s="3532" t="s">
        <v>556</v>
      </c>
      <c r="V265" s="3532" t="s">
        <v>556</v>
      </c>
    </row>
    <row r="266" spans="1:22" s="3527" customFormat="1">
      <c r="A266" s="4189"/>
      <c r="B266" s="4189"/>
      <c r="C266" s="4189"/>
      <c r="D266" s="4189"/>
      <c r="E266" s="4189"/>
      <c r="F266" s="4189"/>
      <c r="G266" s="4189"/>
      <c r="H266" s="7158"/>
      <c r="I266" s="7155"/>
      <c r="J266" s="3616" t="s">
        <v>1527</v>
      </c>
      <c r="K266" s="7158"/>
      <c r="L266" s="4039"/>
      <c r="M266" s="3617">
        <v>7</v>
      </c>
      <c r="N266" s="3618">
        <v>0</v>
      </c>
      <c r="O266" s="3619">
        <f t="shared" si="3"/>
        <v>0</v>
      </c>
      <c r="P266" s="3618" t="s">
        <v>556</v>
      </c>
      <c r="Q266" s="3618" t="s">
        <v>556</v>
      </c>
      <c r="R266" s="3532" t="s">
        <v>556</v>
      </c>
      <c r="S266" s="3532" t="s">
        <v>556</v>
      </c>
      <c r="T266" s="3532">
        <v>15.8</v>
      </c>
      <c r="U266" s="3532">
        <v>5.3</v>
      </c>
      <c r="V266" s="3532">
        <v>68.400000000000006</v>
      </c>
    </row>
    <row r="267" spans="1:22" s="3527" customFormat="1">
      <c r="A267" s="4189"/>
      <c r="B267" s="4189"/>
      <c r="C267" s="4189"/>
      <c r="D267" s="4189"/>
      <c r="E267" s="4189"/>
      <c r="F267" s="4189"/>
      <c r="G267" s="4189"/>
      <c r="H267" s="7158"/>
      <c r="I267" s="7155"/>
      <c r="J267" s="3616" t="s">
        <v>2351</v>
      </c>
      <c r="K267" s="7158" t="s">
        <v>244</v>
      </c>
      <c r="L267" s="4039"/>
      <c r="M267" s="3617">
        <v>68</v>
      </c>
      <c r="N267" s="3618">
        <v>22</v>
      </c>
      <c r="O267" s="3619">
        <f t="shared" si="3"/>
        <v>32.352941176470587</v>
      </c>
      <c r="P267" s="3618">
        <v>90.9</v>
      </c>
      <c r="Q267" s="3618">
        <v>9.1</v>
      </c>
      <c r="R267" s="3532">
        <v>5.3</v>
      </c>
      <c r="S267" s="3532">
        <v>5.3</v>
      </c>
      <c r="T267" s="3532" t="s">
        <v>556</v>
      </c>
      <c r="U267" s="3532" t="s">
        <v>556</v>
      </c>
      <c r="V267" s="3532" t="s">
        <v>556</v>
      </c>
    </row>
    <row r="268" spans="1:22" s="3527" customFormat="1">
      <c r="A268" s="4189"/>
      <c r="B268" s="4189"/>
      <c r="C268" s="4189"/>
      <c r="D268" s="4189"/>
      <c r="E268" s="4189"/>
      <c r="F268" s="4189"/>
      <c r="G268" s="4189"/>
      <c r="H268" s="7158"/>
      <c r="I268" s="7155"/>
      <c r="J268" s="3616" t="s">
        <v>1455</v>
      </c>
      <c r="K268" s="7158"/>
      <c r="L268" s="4039"/>
      <c r="M268" s="3617">
        <v>4</v>
      </c>
      <c r="N268" s="3618">
        <v>0</v>
      </c>
      <c r="O268" s="3619">
        <f t="shared" si="3"/>
        <v>0</v>
      </c>
      <c r="P268" s="3618" t="s">
        <v>556</v>
      </c>
      <c r="Q268" s="3618" t="s">
        <v>556</v>
      </c>
      <c r="R268" s="3532" t="s">
        <v>556</v>
      </c>
      <c r="S268" s="3532" t="s">
        <v>556</v>
      </c>
      <c r="T268" s="3532" t="s">
        <v>556</v>
      </c>
      <c r="U268" s="3532" t="s">
        <v>556</v>
      </c>
      <c r="V268" s="3532" t="s">
        <v>556</v>
      </c>
    </row>
    <row r="269" spans="1:22" s="3527" customFormat="1">
      <c r="A269" s="4189"/>
      <c r="B269" s="4189"/>
      <c r="C269" s="4189"/>
      <c r="D269" s="4189"/>
      <c r="E269" s="4189"/>
      <c r="F269" s="4189"/>
      <c r="G269" s="4189"/>
      <c r="H269" s="7158"/>
      <c r="I269" s="7155"/>
      <c r="J269" s="3616" t="s">
        <v>1456</v>
      </c>
      <c r="K269" s="7158"/>
      <c r="L269" s="4039"/>
      <c r="M269" s="3617">
        <v>4</v>
      </c>
      <c r="N269" s="3618">
        <v>0</v>
      </c>
      <c r="O269" s="3619">
        <f t="shared" si="3"/>
        <v>0</v>
      </c>
      <c r="P269" s="3618" t="s">
        <v>556</v>
      </c>
      <c r="Q269" s="3618" t="s">
        <v>556</v>
      </c>
      <c r="R269" s="3532" t="s">
        <v>556</v>
      </c>
      <c r="S269" s="3532" t="s">
        <v>556</v>
      </c>
      <c r="T269" s="3532">
        <v>50</v>
      </c>
      <c r="U269" s="3532">
        <v>0</v>
      </c>
      <c r="V269" s="3532">
        <v>0</v>
      </c>
    </row>
    <row r="270" spans="1:22" s="3527" customFormat="1">
      <c r="A270" s="4189"/>
      <c r="B270" s="4189"/>
      <c r="C270" s="4189"/>
      <c r="D270" s="4189"/>
      <c r="E270" s="4189"/>
      <c r="F270" s="4189"/>
      <c r="G270" s="4189"/>
      <c r="H270" s="7158"/>
      <c r="I270" s="7155"/>
      <c r="J270" s="3616" t="s">
        <v>1457</v>
      </c>
      <c r="K270" s="7158"/>
      <c r="L270" s="4039"/>
      <c r="M270" s="3617">
        <v>16</v>
      </c>
      <c r="N270" s="3618">
        <v>2</v>
      </c>
      <c r="O270" s="3619">
        <f t="shared" si="3"/>
        <v>12.5</v>
      </c>
      <c r="P270" s="3618">
        <v>100</v>
      </c>
      <c r="Q270" s="3618">
        <v>0</v>
      </c>
      <c r="R270" s="3532">
        <v>0</v>
      </c>
      <c r="S270" s="3532">
        <v>50</v>
      </c>
      <c r="T270" s="3532" t="s">
        <v>556</v>
      </c>
      <c r="U270" s="3532" t="s">
        <v>556</v>
      </c>
      <c r="V270" s="3532" t="s">
        <v>556</v>
      </c>
    </row>
    <row r="271" spans="1:22" s="3527" customFormat="1">
      <c r="A271" s="4189"/>
      <c r="B271" s="4189"/>
      <c r="C271" s="4189"/>
      <c r="D271" s="4189"/>
      <c r="E271" s="4189"/>
      <c r="F271" s="4189"/>
      <c r="G271" s="4189"/>
      <c r="H271" s="7158"/>
      <c r="I271" s="7155"/>
      <c r="J271" s="3616" t="s">
        <v>1458</v>
      </c>
      <c r="K271" s="7158"/>
      <c r="L271" s="4039"/>
      <c r="M271" s="3617">
        <v>13</v>
      </c>
      <c r="N271" s="3618">
        <v>0</v>
      </c>
      <c r="O271" s="3619">
        <f t="shared" si="3"/>
        <v>0</v>
      </c>
      <c r="P271" s="3618" t="s">
        <v>556</v>
      </c>
      <c r="Q271" s="3618" t="s">
        <v>556</v>
      </c>
      <c r="R271" s="3532" t="s">
        <v>556</v>
      </c>
      <c r="S271" s="3532" t="s">
        <v>556</v>
      </c>
      <c r="T271" s="3532" t="s">
        <v>556</v>
      </c>
      <c r="U271" s="3532" t="s">
        <v>556</v>
      </c>
      <c r="V271" s="3532" t="s">
        <v>556</v>
      </c>
    </row>
    <row r="272" spans="1:22" s="3527" customFormat="1">
      <c r="A272" s="4189"/>
      <c r="B272" s="4189"/>
      <c r="C272" s="4189"/>
      <c r="D272" s="4189"/>
      <c r="E272" s="4189"/>
      <c r="F272" s="4189"/>
      <c r="G272" s="4189"/>
      <c r="H272" s="7152" t="s">
        <v>25</v>
      </c>
      <c r="I272" s="7155" t="s">
        <v>2176</v>
      </c>
      <c r="J272" s="3616" t="s">
        <v>1617</v>
      </c>
      <c r="K272" s="3622" t="s">
        <v>257</v>
      </c>
      <c r="L272" s="4039"/>
      <c r="M272" s="3617">
        <v>2</v>
      </c>
      <c r="N272" s="3618">
        <v>0</v>
      </c>
      <c r="O272" s="3619">
        <f t="shared" si="3"/>
        <v>0</v>
      </c>
      <c r="P272" s="3618" t="s">
        <v>556</v>
      </c>
      <c r="Q272" s="3618" t="s">
        <v>556</v>
      </c>
      <c r="R272" s="3532" t="s">
        <v>556</v>
      </c>
      <c r="S272" s="3532" t="s">
        <v>556</v>
      </c>
      <c r="T272" s="3532">
        <v>5</v>
      </c>
      <c r="U272" s="3532">
        <v>30</v>
      </c>
      <c r="V272" s="3532">
        <v>60</v>
      </c>
    </row>
    <row r="273" spans="1:22" s="3527" customFormat="1">
      <c r="A273" s="4189"/>
      <c r="B273" s="4189"/>
      <c r="C273" s="4189"/>
      <c r="D273" s="4189"/>
      <c r="E273" s="4189"/>
      <c r="F273" s="4189"/>
      <c r="G273" s="4189"/>
      <c r="H273" s="7153"/>
      <c r="I273" s="7155"/>
      <c r="J273" s="3616" t="s">
        <v>2190</v>
      </c>
      <c r="K273" s="7158" t="s">
        <v>243</v>
      </c>
      <c r="L273" s="4039"/>
      <c r="M273" s="3617">
        <v>78</v>
      </c>
      <c r="N273" s="3618">
        <v>27</v>
      </c>
      <c r="O273" s="3619">
        <f t="shared" si="3"/>
        <v>34.615384615384613</v>
      </c>
      <c r="P273" s="3618">
        <v>74.099999999999994</v>
      </c>
      <c r="Q273" s="3618">
        <v>25.9</v>
      </c>
      <c r="R273" s="3532">
        <v>0</v>
      </c>
      <c r="S273" s="3532">
        <v>5</v>
      </c>
      <c r="T273" s="3532">
        <v>12.7</v>
      </c>
      <c r="U273" s="3532">
        <v>6.3</v>
      </c>
      <c r="V273" s="3532">
        <v>71.400000000000006</v>
      </c>
    </row>
    <row r="274" spans="1:22" s="3527" customFormat="1">
      <c r="A274" s="4189"/>
      <c r="B274" s="4189"/>
      <c r="C274" s="4189"/>
      <c r="D274" s="4189"/>
      <c r="E274" s="4189"/>
      <c r="F274" s="4189"/>
      <c r="G274" s="4189"/>
      <c r="H274" s="7153"/>
      <c r="I274" s="7155"/>
      <c r="J274" s="3616" t="s">
        <v>2191</v>
      </c>
      <c r="K274" s="7158"/>
      <c r="L274" s="4039"/>
      <c r="M274" s="3617">
        <v>159</v>
      </c>
      <c r="N274" s="3618">
        <v>71</v>
      </c>
      <c r="O274" s="3619">
        <f t="shared" si="3"/>
        <v>44.654088050314463</v>
      </c>
      <c r="P274" s="3618">
        <v>88.7</v>
      </c>
      <c r="Q274" s="3618">
        <v>11.3</v>
      </c>
      <c r="R274" s="3532">
        <v>3.2</v>
      </c>
      <c r="S274" s="3532">
        <v>6.3</v>
      </c>
      <c r="T274" s="3532">
        <v>0</v>
      </c>
      <c r="U274" s="3532">
        <v>0</v>
      </c>
      <c r="V274" s="3532">
        <v>100</v>
      </c>
    </row>
    <row r="275" spans="1:22" s="3527" customFormat="1">
      <c r="A275" s="4189"/>
      <c r="B275" s="4189"/>
      <c r="C275" s="4189"/>
      <c r="D275" s="4189"/>
      <c r="E275" s="4189"/>
      <c r="F275" s="4189"/>
      <c r="G275" s="4189"/>
      <c r="H275" s="7153"/>
      <c r="I275" s="7155"/>
      <c r="J275" s="3616" t="s">
        <v>2192</v>
      </c>
      <c r="K275" s="7158"/>
      <c r="L275" s="4039"/>
      <c r="M275" s="3617">
        <v>58</v>
      </c>
      <c r="N275" s="3618">
        <v>9</v>
      </c>
      <c r="O275" s="3619">
        <f t="shared" si="3"/>
        <v>15.517241379310345</v>
      </c>
      <c r="P275" s="3618">
        <v>77.8</v>
      </c>
      <c r="Q275" s="3618">
        <v>22.2</v>
      </c>
      <c r="R275" s="3532">
        <v>0</v>
      </c>
      <c r="S275" s="3532">
        <v>0</v>
      </c>
      <c r="T275" s="3532">
        <v>10.8</v>
      </c>
      <c r="U275" s="3532">
        <v>8.1</v>
      </c>
      <c r="V275" s="3532">
        <v>81.099999999999994</v>
      </c>
    </row>
    <row r="276" spans="1:22" s="3527" customFormat="1">
      <c r="A276" s="4189"/>
      <c r="B276" s="4189"/>
      <c r="C276" s="4189"/>
      <c r="D276" s="4189"/>
      <c r="E276" s="4189"/>
      <c r="F276" s="4189"/>
      <c r="G276" s="4189"/>
      <c r="H276" s="7153"/>
      <c r="I276" s="7155"/>
      <c r="J276" s="3616" t="s">
        <v>2193</v>
      </c>
      <c r="K276" s="7158"/>
      <c r="L276" s="4039"/>
      <c r="M276" s="3617">
        <v>112</v>
      </c>
      <c r="N276" s="3618">
        <v>45</v>
      </c>
      <c r="O276" s="3619">
        <f t="shared" si="3"/>
        <v>40.178571428571431</v>
      </c>
      <c r="P276" s="3618">
        <v>84.4</v>
      </c>
      <c r="Q276" s="3618">
        <v>15.6</v>
      </c>
      <c r="R276" s="3532">
        <v>0</v>
      </c>
      <c r="S276" s="3532">
        <v>0</v>
      </c>
      <c r="T276" s="3532">
        <v>5.3</v>
      </c>
      <c r="U276" s="3532">
        <v>21.1</v>
      </c>
      <c r="V276" s="3532">
        <v>68.400000000000006</v>
      </c>
    </row>
    <row r="277" spans="1:22" s="3527" customFormat="1">
      <c r="A277" s="4189"/>
      <c r="B277" s="4189"/>
      <c r="C277" s="4189"/>
      <c r="D277" s="4189"/>
      <c r="E277" s="4189"/>
      <c r="F277" s="4189"/>
      <c r="G277" s="4189"/>
      <c r="H277" s="7153"/>
      <c r="I277" s="7155"/>
      <c r="J277" s="3616" t="s">
        <v>2194</v>
      </c>
      <c r="K277" s="7158"/>
      <c r="L277" s="4039"/>
      <c r="M277" s="3617">
        <v>36</v>
      </c>
      <c r="N277" s="3618">
        <v>25</v>
      </c>
      <c r="O277" s="3619">
        <f t="shared" si="3"/>
        <v>69.444444444444443</v>
      </c>
      <c r="P277" s="3618">
        <v>76</v>
      </c>
      <c r="Q277" s="3618">
        <v>24</v>
      </c>
      <c r="R277" s="3532">
        <v>5.3</v>
      </c>
      <c r="S277" s="3532">
        <v>0</v>
      </c>
      <c r="T277" s="3532" t="s">
        <v>556</v>
      </c>
      <c r="U277" s="3532" t="s">
        <v>556</v>
      </c>
      <c r="V277" s="3532" t="s">
        <v>556</v>
      </c>
    </row>
    <row r="278" spans="1:22" s="3527" customFormat="1" ht="15" customHeight="1">
      <c r="A278" s="4189"/>
      <c r="B278" s="4189"/>
      <c r="C278" s="4189"/>
      <c r="D278" s="4189"/>
      <c r="E278" s="4189"/>
      <c r="F278" s="4189"/>
      <c r="G278" s="4189"/>
      <c r="H278" s="7153"/>
      <c r="I278" s="7155"/>
      <c r="J278" s="3616" t="s">
        <v>2200</v>
      </c>
      <c r="K278" s="7158"/>
      <c r="L278" s="4039"/>
      <c r="M278" s="3617">
        <v>1</v>
      </c>
      <c r="N278" s="3618">
        <v>0</v>
      </c>
      <c r="O278" s="3619">
        <f t="shared" si="3"/>
        <v>0</v>
      </c>
      <c r="P278" s="3618" t="s">
        <v>556</v>
      </c>
      <c r="Q278" s="3618" t="s">
        <v>556</v>
      </c>
      <c r="R278" s="3532" t="s">
        <v>556</v>
      </c>
      <c r="S278" s="3532" t="s">
        <v>556</v>
      </c>
      <c r="T278" s="3532">
        <v>17.8</v>
      </c>
      <c r="U278" s="3532">
        <v>20</v>
      </c>
      <c r="V278" s="3532">
        <v>46.7</v>
      </c>
    </row>
    <row r="279" spans="1:22" s="3527" customFormat="1">
      <c r="A279" s="4189"/>
      <c r="B279" s="4189"/>
      <c r="C279" s="4189"/>
      <c r="D279" s="4189"/>
      <c r="E279" s="4189"/>
      <c r="F279" s="4189"/>
      <c r="G279" s="4189"/>
      <c r="H279" s="7153"/>
      <c r="I279" s="7155"/>
      <c r="J279" s="3616" t="s">
        <v>119</v>
      </c>
      <c r="K279" s="7158"/>
      <c r="L279" s="4039"/>
      <c r="M279" s="3617">
        <v>83</v>
      </c>
      <c r="N279" s="3618">
        <v>77</v>
      </c>
      <c r="O279" s="3619">
        <f t="shared" si="3"/>
        <v>92.771084337349393</v>
      </c>
      <c r="P279" s="3618">
        <v>53.2</v>
      </c>
      <c r="Q279" s="3618">
        <v>46.8</v>
      </c>
      <c r="R279" s="3532">
        <v>11.1</v>
      </c>
      <c r="S279" s="3532">
        <v>4.4000000000000004</v>
      </c>
      <c r="T279" s="3532">
        <v>18.600000000000001</v>
      </c>
      <c r="U279" s="3532">
        <v>20.6</v>
      </c>
      <c r="V279" s="3532">
        <v>51.5</v>
      </c>
    </row>
    <row r="280" spans="1:22" s="3527" customFormat="1">
      <c r="A280" s="4189"/>
      <c r="B280" s="4189"/>
      <c r="C280" s="4189"/>
      <c r="D280" s="4189"/>
      <c r="E280" s="4189"/>
      <c r="F280" s="4189"/>
      <c r="G280" s="4189"/>
      <c r="H280" s="7153"/>
      <c r="I280" s="7155"/>
      <c r="J280" s="3616" t="s">
        <v>120</v>
      </c>
      <c r="K280" s="7158"/>
      <c r="L280" s="4039"/>
      <c r="M280" s="3617">
        <v>200</v>
      </c>
      <c r="N280" s="3618">
        <v>127</v>
      </c>
      <c r="O280" s="3619">
        <f t="shared" si="3"/>
        <v>63.5</v>
      </c>
      <c r="P280" s="3618">
        <v>77.2</v>
      </c>
      <c r="Q280" s="3618">
        <v>22.8</v>
      </c>
      <c r="R280" s="3532">
        <v>4.0999999999999996</v>
      </c>
      <c r="S280" s="3532">
        <v>5.2</v>
      </c>
      <c r="T280" s="3532">
        <v>14.3</v>
      </c>
      <c r="U280" s="3532">
        <v>17.899999999999999</v>
      </c>
      <c r="V280" s="3532">
        <v>50</v>
      </c>
    </row>
    <row r="281" spans="1:22" s="3527" customFormat="1">
      <c r="A281" s="4189"/>
      <c r="B281" s="4189"/>
      <c r="C281" s="4189"/>
      <c r="D281" s="4189"/>
      <c r="E281" s="4189"/>
      <c r="F281" s="4189"/>
      <c r="G281" s="4189"/>
      <c r="H281" s="7153"/>
      <c r="I281" s="7155"/>
      <c r="J281" s="3616" t="s">
        <v>121</v>
      </c>
      <c r="K281" s="7158"/>
      <c r="L281" s="4039"/>
      <c r="M281" s="3617">
        <v>128</v>
      </c>
      <c r="N281" s="3618">
        <v>97</v>
      </c>
      <c r="O281" s="3619">
        <f t="shared" si="3"/>
        <v>75.78125</v>
      </c>
      <c r="P281" s="3618">
        <v>55.7</v>
      </c>
      <c r="Q281" s="3618">
        <v>44.3</v>
      </c>
      <c r="R281" s="3532">
        <v>8.9</v>
      </c>
      <c r="S281" s="3532">
        <v>8.9</v>
      </c>
      <c r="T281" s="3532">
        <v>12.5</v>
      </c>
      <c r="U281" s="3532">
        <v>20.8</v>
      </c>
      <c r="V281" s="3532">
        <v>56.3</v>
      </c>
    </row>
    <row r="282" spans="1:22" s="3527" customFormat="1">
      <c r="A282" s="4189"/>
      <c r="B282" s="4189"/>
      <c r="C282" s="4189"/>
      <c r="D282" s="4189"/>
      <c r="E282" s="4189"/>
      <c r="F282" s="4189"/>
      <c r="G282" s="4189"/>
      <c r="H282" s="7153"/>
      <c r="I282" s="7155"/>
      <c r="J282" s="3616" t="s">
        <v>122</v>
      </c>
      <c r="K282" s="7158"/>
      <c r="L282" s="4039"/>
      <c r="M282" s="3617">
        <v>184</v>
      </c>
      <c r="N282" s="3618">
        <v>76</v>
      </c>
      <c r="O282" s="3619">
        <f t="shared" si="3"/>
        <v>41.304347826086953</v>
      </c>
      <c r="P282" s="3618">
        <v>63.2</v>
      </c>
      <c r="Q282" s="3618">
        <v>36.799999999999997</v>
      </c>
      <c r="R282" s="3532">
        <v>2.1</v>
      </c>
      <c r="S282" s="3532">
        <v>8.3000000000000007</v>
      </c>
      <c r="T282" s="3532">
        <v>16.7</v>
      </c>
      <c r="U282" s="3532">
        <v>21.8</v>
      </c>
      <c r="V282" s="3532">
        <v>51.3</v>
      </c>
    </row>
    <row r="283" spans="1:22" s="3527" customFormat="1">
      <c r="A283" s="4189"/>
      <c r="B283" s="4189"/>
      <c r="C283" s="4189"/>
      <c r="D283" s="4189"/>
      <c r="E283" s="4189"/>
      <c r="F283" s="4189"/>
      <c r="G283" s="4189"/>
      <c r="H283" s="7153"/>
      <c r="I283" s="7155"/>
      <c r="J283" s="3616" t="s">
        <v>123</v>
      </c>
      <c r="K283" s="7158"/>
      <c r="L283" s="4039"/>
      <c r="M283" s="3617">
        <v>149</v>
      </c>
      <c r="N283" s="3618">
        <v>107</v>
      </c>
      <c r="O283" s="3619">
        <f t="shared" si="3"/>
        <v>71.812080536912745</v>
      </c>
      <c r="P283" s="3618">
        <v>72.900000000000006</v>
      </c>
      <c r="Q283" s="3618">
        <v>27.1</v>
      </c>
      <c r="R283" s="3532">
        <v>6.4</v>
      </c>
      <c r="S283" s="3532">
        <v>3.8</v>
      </c>
      <c r="T283" s="3532">
        <v>11.1</v>
      </c>
      <c r="U283" s="3532">
        <v>22.2</v>
      </c>
      <c r="V283" s="3532">
        <v>55.6</v>
      </c>
    </row>
    <row r="284" spans="1:22" s="3527" customFormat="1">
      <c r="A284" s="4189"/>
      <c r="B284" s="4189"/>
      <c r="C284" s="4189"/>
      <c r="D284" s="4189"/>
      <c r="E284" s="4189"/>
      <c r="F284" s="4189"/>
      <c r="G284" s="4189"/>
      <c r="H284" s="7153"/>
      <c r="I284" s="7155"/>
      <c r="J284" s="3616" t="s">
        <v>273</v>
      </c>
      <c r="K284" s="7158"/>
      <c r="L284" s="4039"/>
      <c r="M284" s="3617">
        <v>17</v>
      </c>
      <c r="N284" s="3618">
        <v>10</v>
      </c>
      <c r="O284" s="3619">
        <f t="shared" si="3"/>
        <v>58.823529411764703</v>
      </c>
      <c r="P284" s="3618">
        <v>90</v>
      </c>
      <c r="Q284" s="3618">
        <v>10</v>
      </c>
      <c r="R284" s="3532">
        <v>0</v>
      </c>
      <c r="S284" s="3532">
        <v>11.1</v>
      </c>
      <c r="T284" s="3532">
        <v>13.5</v>
      </c>
      <c r="U284" s="3532">
        <v>25</v>
      </c>
      <c r="V284" s="3532">
        <v>55.8</v>
      </c>
    </row>
    <row r="285" spans="1:22" s="3527" customFormat="1">
      <c r="A285" s="4189"/>
      <c r="B285" s="4189"/>
      <c r="C285" s="4189"/>
      <c r="D285" s="4189"/>
      <c r="E285" s="4189"/>
      <c r="F285" s="4189"/>
      <c r="G285" s="4189"/>
      <c r="H285" s="7153"/>
      <c r="I285" s="7155"/>
      <c r="J285" s="3616" t="s">
        <v>388</v>
      </c>
      <c r="K285" s="7158"/>
      <c r="L285" s="4039"/>
      <c r="M285" s="3617">
        <v>78</v>
      </c>
      <c r="N285" s="3618">
        <v>70</v>
      </c>
      <c r="O285" s="3619">
        <f t="shared" si="3"/>
        <v>89.743589743589737</v>
      </c>
      <c r="P285" s="3618">
        <v>74.3</v>
      </c>
      <c r="Q285" s="3618">
        <v>25.7</v>
      </c>
      <c r="R285" s="3532">
        <v>0</v>
      </c>
      <c r="S285" s="3532">
        <v>5.8</v>
      </c>
      <c r="T285" s="3532">
        <v>26.1</v>
      </c>
      <c r="U285" s="3532">
        <v>21.7</v>
      </c>
      <c r="V285" s="3532">
        <v>21.7</v>
      </c>
    </row>
    <row r="286" spans="1:22" s="3527" customFormat="1">
      <c r="A286" s="4189"/>
      <c r="B286" s="4189"/>
      <c r="C286" s="4189"/>
      <c r="D286" s="4189"/>
      <c r="E286" s="4189"/>
      <c r="F286" s="4189"/>
      <c r="G286" s="4189"/>
      <c r="H286" s="7153"/>
      <c r="I286" s="7155"/>
      <c r="J286" s="3616" t="s">
        <v>681</v>
      </c>
      <c r="K286" s="7158"/>
      <c r="L286" s="4039"/>
      <c r="M286" s="3617">
        <v>58</v>
      </c>
      <c r="N286" s="3618">
        <v>40</v>
      </c>
      <c r="O286" s="3619">
        <f t="shared" si="3"/>
        <v>68.965517241379317</v>
      </c>
      <c r="P286" s="3618">
        <v>57.5</v>
      </c>
      <c r="Q286" s="3618">
        <v>42.5</v>
      </c>
      <c r="R286" s="3532">
        <v>13</v>
      </c>
      <c r="S286" s="3532">
        <v>17.399999999999999</v>
      </c>
      <c r="T286" s="3532">
        <v>8.8000000000000007</v>
      </c>
      <c r="U286" s="3532">
        <v>16.8</v>
      </c>
      <c r="V286" s="3532">
        <v>66.400000000000006</v>
      </c>
    </row>
    <row r="287" spans="1:22" s="3527" customFormat="1">
      <c r="A287" s="4189"/>
      <c r="B287" s="4189"/>
      <c r="C287" s="4189"/>
      <c r="D287" s="4189"/>
      <c r="E287" s="4189"/>
      <c r="F287" s="4189"/>
      <c r="G287" s="4189"/>
      <c r="H287" s="7153"/>
      <c r="I287" s="7155"/>
      <c r="J287" s="3616" t="s">
        <v>2200</v>
      </c>
      <c r="K287" s="7158" t="s">
        <v>244</v>
      </c>
      <c r="L287" s="4039"/>
      <c r="M287" s="3617">
        <v>302</v>
      </c>
      <c r="N287" s="3618">
        <v>180</v>
      </c>
      <c r="O287" s="3619">
        <f t="shared" si="3"/>
        <v>59.602649006622514</v>
      </c>
      <c r="P287" s="3618">
        <v>77.2</v>
      </c>
      <c r="Q287" s="3618">
        <v>22.8</v>
      </c>
      <c r="R287" s="3532">
        <v>2.9</v>
      </c>
      <c r="S287" s="3532">
        <v>5.0999999999999996</v>
      </c>
      <c r="T287" s="3532" t="s">
        <v>556</v>
      </c>
      <c r="U287" s="3532" t="s">
        <v>556</v>
      </c>
      <c r="V287" s="3532" t="s">
        <v>556</v>
      </c>
    </row>
    <row r="288" spans="1:22" s="3527" customFormat="1">
      <c r="A288" s="4189"/>
      <c r="B288" s="4189"/>
      <c r="C288" s="4189"/>
      <c r="D288" s="4189"/>
      <c r="E288" s="4189"/>
      <c r="F288" s="4189"/>
      <c r="G288" s="4189"/>
      <c r="H288" s="7153"/>
      <c r="I288" s="7155"/>
      <c r="J288" s="3616" t="s">
        <v>119</v>
      </c>
      <c r="K288" s="7158"/>
      <c r="L288" s="4039"/>
      <c r="M288" s="3617">
        <v>50</v>
      </c>
      <c r="N288" s="3618">
        <v>0</v>
      </c>
      <c r="O288" s="3619">
        <f t="shared" si="3"/>
        <v>0</v>
      </c>
      <c r="P288" s="3618" t="s">
        <v>556</v>
      </c>
      <c r="Q288" s="3618" t="s">
        <v>556</v>
      </c>
      <c r="R288" s="3532" t="s">
        <v>556</v>
      </c>
      <c r="S288" s="3532" t="s">
        <v>556</v>
      </c>
      <c r="T288" s="3532">
        <v>0</v>
      </c>
      <c r="U288" s="3532">
        <v>16.7</v>
      </c>
      <c r="V288" s="3532">
        <v>66.7</v>
      </c>
    </row>
    <row r="289" spans="1:22" s="3527" customFormat="1" ht="15" customHeight="1">
      <c r="A289" s="4189"/>
      <c r="B289" s="4189"/>
      <c r="C289" s="4189"/>
      <c r="D289" s="4189"/>
      <c r="E289" s="4189"/>
      <c r="F289" s="4189"/>
      <c r="G289" s="4189"/>
      <c r="H289" s="7153"/>
      <c r="I289" s="7155"/>
      <c r="J289" s="3616" t="s">
        <v>120</v>
      </c>
      <c r="K289" s="7158"/>
      <c r="L289" s="4039"/>
      <c r="M289" s="3617">
        <v>65</v>
      </c>
      <c r="N289" s="3618">
        <v>10</v>
      </c>
      <c r="O289" s="3619">
        <f t="shared" si="3"/>
        <v>15.384615384615385</v>
      </c>
      <c r="P289" s="3618">
        <v>70</v>
      </c>
      <c r="Q289" s="3618">
        <v>30</v>
      </c>
      <c r="R289" s="3532">
        <v>0</v>
      </c>
      <c r="S289" s="3532">
        <v>16.7</v>
      </c>
      <c r="T289" s="3532">
        <v>6.2</v>
      </c>
      <c r="U289" s="3532">
        <v>20.399999999999999</v>
      </c>
      <c r="V289" s="3532">
        <v>69.900000000000006</v>
      </c>
    </row>
    <row r="290" spans="1:22" s="3527" customFormat="1">
      <c r="A290" s="4189"/>
      <c r="B290" s="4189"/>
      <c r="C290" s="4189"/>
      <c r="D290" s="4189"/>
      <c r="E290" s="4189"/>
      <c r="F290" s="4189"/>
      <c r="G290" s="4189"/>
      <c r="H290" s="7153"/>
      <c r="I290" s="7155"/>
      <c r="J290" s="3616" t="s">
        <v>121</v>
      </c>
      <c r="K290" s="7158"/>
      <c r="L290" s="4039"/>
      <c r="M290" s="3617">
        <v>168</v>
      </c>
      <c r="N290" s="3618">
        <v>132</v>
      </c>
      <c r="O290" s="3619">
        <f t="shared" si="3"/>
        <v>78.571428571428569</v>
      </c>
      <c r="P290" s="3618">
        <v>84</v>
      </c>
      <c r="Q290" s="3618">
        <v>16</v>
      </c>
      <c r="R290" s="3532">
        <v>2.7</v>
      </c>
      <c r="S290" s="3532">
        <v>0.9</v>
      </c>
      <c r="T290" s="3532">
        <v>7.1</v>
      </c>
      <c r="U290" s="3532">
        <v>10.7</v>
      </c>
      <c r="V290" s="3532">
        <v>78.599999999999994</v>
      </c>
    </row>
    <row r="291" spans="1:22" s="3527" customFormat="1">
      <c r="A291" s="4189"/>
      <c r="B291" s="4189"/>
      <c r="C291" s="4189"/>
      <c r="D291" s="4189"/>
      <c r="E291" s="4189"/>
      <c r="F291" s="4189"/>
      <c r="G291" s="4189"/>
      <c r="H291" s="7153"/>
      <c r="I291" s="7155"/>
      <c r="J291" s="3616" t="s">
        <v>122</v>
      </c>
      <c r="K291" s="7158"/>
      <c r="L291" s="4039"/>
      <c r="M291" s="3617">
        <v>80</v>
      </c>
      <c r="N291" s="3618">
        <v>32</v>
      </c>
      <c r="O291" s="3619">
        <f t="shared" si="3"/>
        <v>40</v>
      </c>
      <c r="P291" s="3618">
        <v>87.5</v>
      </c>
      <c r="Q291" s="3618">
        <v>12.5</v>
      </c>
      <c r="R291" s="3532">
        <v>0</v>
      </c>
      <c r="S291" s="3532">
        <v>3.6</v>
      </c>
      <c r="T291" s="3532">
        <v>4.2</v>
      </c>
      <c r="U291" s="3532">
        <v>25</v>
      </c>
      <c r="V291" s="3532">
        <v>70.8</v>
      </c>
    </row>
    <row r="292" spans="1:22" s="3527" customFormat="1">
      <c r="A292" s="4189"/>
      <c r="B292" s="4189"/>
      <c r="C292" s="4189"/>
      <c r="D292" s="4189"/>
      <c r="E292" s="4189"/>
      <c r="F292" s="4189"/>
      <c r="G292" s="4189"/>
      <c r="H292" s="7153"/>
      <c r="I292" s="7155"/>
      <c r="J292" s="3616" t="s">
        <v>123</v>
      </c>
      <c r="K292" s="7158"/>
      <c r="L292" s="4039"/>
      <c r="M292" s="3617">
        <v>35</v>
      </c>
      <c r="N292" s="3618">
        <v>24</v>
      </c>
      <c r="O292" s="3619">
        <f t="shared" si="3"/>
        <v>68.571428571428569</v>
      </c>
      <c r="P292" s="3618">
        <v>100</v>
      </c>
      <c r="Q292" s="3618">
        <v>0</v>
      </c>
      <c r="R292" s="3532">
        <v>0</v>
      </c>
      <c r="S292" s="3532">
        <v>0</v>
      </c>
      <c r="T292" s="3532">
        <v>0</v>
      </c>
      <c r="U292" s="3532">
        <v>0</v>
      </c>
      <c r="V292" s="3532">
        <v>100</v>
      </c>
    </row>
    <row r="293" spans="1:22" s="3527" customFormat="1">
      <c r="A293" s="4189"/>
      <c r="B293" s="4189"/>
      <c r="C293" s="4189"/>
      <c r="D293" s="4189"/>
      <c r="E293" s="4189"/>
      <c r="F293" s="4189"/>
      <c r="G293" s="4189"/>
      <c r="H293" s="7153"/>
      <c r="I293" s="7155"/>
      <c r="J293" s="3616" t="s">
        <v>388</v>
      </c>
      <c r="K293" s="7158"/>
      <c r="L293" s="4039"/>
      <c r="M293" s="3617">
        <v>10</v>
      </c>
      <c r="N293" s="3618">
        <v>7</v>
      </c>
      <c r="O293" s="3619">
        <f t="shared" si="3"/>
        <v>70</v>
      </c>
      <c r="P293" s="3618">
        <v>100</v>
      </c>
      <c r="Q293" s="3618">
        <v>0</v>
      </c>
      <c r="R293" s="3532">
        <v>0</v>
      </c>
      <c r="S293" s="3532">
        <v>0</v>
      </c>
      <c r="T293" s="3532">
        <v>0</v>
      </c>
      <c r="U293" s="3532">
        <v>50</v>
      </c>
      <c r="V293" s="3532">
        <v>50</v>
      </c>
    </row>
    <row r="294" spans="1:22" s="3527" customFormat="1">
      <c r="A294" s="4189"/>
      <c r="B294" s="4189"/>
      <c r="C294" s="4189"/>
      <c r="D294" s="4189"/>
      <c r="E294" s="4189"/>
      <c r="F294" s="4189"/>
      <c r="G294" s="4189"/>
      <c r="H294" s="7153"/>
      <c r="I294" s="7155"/>
      <c r="J294" s="3616" t="s">
        <v>681</v>
      </c>
      <c r="K294" s="7158"/>
      <c r="L294" s="4039"/>
      <c r="M294" s="3617">
        <v>2</v>
      </c>
      <c r="N294" s="3618">
        <v>2</v>
      </c>
      <c r="O294" s="3619">
        <f t="shared" si="3"/>
        <v>100</v>
      </c>
      <c r="P294" s="3618">
        <v>50</v>
      </c>
      <c r="Q294" s="3618">
        <v>50</v>
      </c>
      <c r="R294" s="3532">
        <v>0</v>
      </c>
      <c r="S294" s="3532">
        <v>0</v>
      </c>
      <c r="T294" s="3532" t="s">
        <v>556</v>
      </c>
      <c r="U294" s="3532" t="s">
        <v>556</v>
      </c>
      <c r="V294" s="3532" t="s">
        <v>556</v>
      </c>
    </row>
    <row r="295" spans="1:22" s="3527" customFormat="1">
      <c r="A295" s="4189"/>
      <c r="B295" s="4189"/>
      <c r="C295" s="4189"/>
      <c r="D295" s="4189"/>
      <c r="E295" s="4189"/>
      <c r="F295" s="4189"/>
      <c r="G295" s="4189"/>
      <c r="H295" s="7153"/>
      <c r="I295" s="7155" t="s">
        <v>2171</v>
      </c>
      <c r="J295" s="3616" t="s">
        <v>2202</v>
      </c>
      <c r="K295" s="7158" t="s">
        <v>257</v>
      </c>
      <c r="L295" s="4039"/>
      <c r="M295" s="3617">
        <v>6</v>
      </c>
      <c r="N295" s="3618">
        <v>0</v>
      </c>
      <c r="O295" s="3619">
        <f t="shared" ref="O295:O358" si="4">N295*100/M295</f>
        <v>0</v>
      </c>
      <c r="P295" s="3618" t="s">
        <v>556</v>
      </c>
      <c r="Q295" s="3618" t="s">
        <v>556</v>
      </c>
      <c r="R295" s="3532" t="s">
        <v>556</v>
      </c>
      <c r="S295" s="3532" t="s">
        <v>556</v>
      </c>
      <c r="T295" s="3532">
        <v>14.4</v>
      </c>
      <c r="U295" s="3532">
        <v>11</v>
      </c>
      <c r="V295" s="3532">
        <v>66.099999999999994</v>
      </c>
    </row>
    <row r="296" spans="1:22" s="3527" customFormat="1">
      <c r="A296" s="4189"/>
      <c r="B296" s="4189"/>
      <c r="C296" s="4189"/>
      <c r="D296" s="4189"/>
      <c r="E296" s="4189"/>
      <c r="F296" s="4189"/>
      <c r="G296" s="4189"/>
      <c r="H296" s="7153"/>
      <c r="I296" s="7155"/>
      <c r="J296" s="3616" t="s">
        <v>2209</v>
      </c>
      <c r="K296" s="7158"/>
      <c r="L296" s="4039"/>
      <c r="M296" s="3617">
        <v>795</v>
      </c>
      <c r="N296" s="3618">
        <v>130</v>
      </c>
      <c r="O296" s="3619">
        <f t="shared" si="4"/>
        <v>16.352201257861637</v>
      </c>
      <c r="P296" s="3618">
        <v>90.8</v>
      </c>
      <c r="Q296" s="3618">
        <v>9.1999999999999993</v>
      </c>
      <c r="R296" s="3532">
        <v>4.2</v>
      </c>
      <c r="S296" s="3532">
        <v>4.2</v>
      </c>
      <c r="T296" s="3532">
        <v>12.5</v>
      </c>
      <c r="U296" s="3532">
        <v>0</v>
      </c>
      <c r="V296" s="3532">
        <v>81.3</v>
      </c>
    </row>
    <row r="297" spans="1:22" s="3527" customFormat="1">
      <c r="A297" s="4189"/>
      <c r="B297" s="4189"/>
      <c r="C297" s="4189"/>
      <c r="D297" s="4189"/>
      <c r="E297" s="4189"/>
      <c r="F297" s="4189"/>
      <c r="G297" s="4189"/>
      <c r="H297" s="7153"/>
      <c r="I297" s="7155"/>
      <c r="J297" s="3616" t="s">
        <v>2202</v>
      </c>
      <c r="K297" s="7158" t="s">
        <v>243</v>
      </c>
      <c r="L297" s="4039"/>
      <c r="M297" s="3617">
        <v>80</v>
      </c>
      <c r="N297" s="3618">
        <v>22</v>
      </c>
      <c r="O297" s="3619">
        <f t="shared" si="4"/>
        <v>27.5</v>
      </c>
      <c r="P297" s="3618">
        <v>72.7</v>
      </c>
      <c r="Q297" s="3618">
        <v>27.3</v>
      </c>
      <c r="R297" s="3532">
        <v>0</v>
      </c>
      <c r="S297" s="3532">
        <v>6.3</v>
      </c>
      <c r="T297" s="3532">
        <v>18.8</v>
      </c>
      <c r="U297" s="3532">
        <v>6.3</v>
      </c>
      <c r="V297" s="3532">
        <v>75</v>
      </c>
    </row>
    <row r="298" spans="1:22" s="3527" customFormat="1">
      <c r="A298" s="4189"/>
      <c r="B298" s="4189"/>
      <c r="C298" s="4189"/>
      <c r="D298" s="4189"/>
      <c r="E298" s="4189"/>
      <c r="F298" s="4189"/>
      <c r="G298" s="4189"/>
      <c r="H298" s="7153"/>
      <c r="I298" s="7155"/>
      <c r="J298" s="3616" t="s">
        <v>439</v>
      </c>
      <c r="K298" s="7158"/>
      <c r="L298" s="4039"/>
      <c r="M298" s="3617">
        <v>53</v>
      </c>
      <c r="N298" s="3618">
        <v>18</v>
      </c>
      <c r="O298" s="3619">
        <f t="shared" si="4"/>
        <v>33.962264150943398</v>
      </c>
      <c r="P298" s="3618">
        <v>88.9</v>
      </c>
      <c r="Q298" s="3618">
        <v>11.1</v>
      </c>
      <c r="R298" s="3532">
        <v>0</v>
      </c>
      <c r="S298" s="3532">
        <v>0</v>
      </c>
      <c r="T298" s="3532">
        <v>22.2</v>
      </c>
      <c r="U298" s="3532">
        <v>0</v>
      </c>
      <c r="V298" s="3532">
        <v>66.7</v>
      </c>
    </row>
    <row r="299" spans="1:22" s="3527" customFormat="1">
      <c r="A299" s="4189"/>
      <c r="B299" s="4189"/>
      <c r="C299" s="4189"/>
      <c r="D299" s="4189"/>
      <c r="E299" s="4189"/>
      <c r="F299" s="4189"/>
      <c r="G299" s="4189"/>
      <c r="H299" s="7153"/>
      <c r="I299" s="7155"/>
      <c r="J299" s="3616" t="s">
        <v>2203</v>
      </c>
      <c r="K299" s="7158"/>
      <c r="L299" s="4039"/>
      <c r="M299" s="3617">
        <v>38</v>
      </c>
      <c r="N299" s="3618">
        <v>10</v>
      </c>
      <c r="O299" s="3619">
        <f t="shared" si="4"/>
        <v>26.315789473684209</v>
      </c>
      <c r="P299" s="3618">
        <v>90</v>
      </c>
      <c r="Q299" s="3618">
        <v>10</v>
      </c>
      <c r="R299" s="3532">
        <v>11.1</v>
      </c>
      <c r="S299" s="3532">
        <v>0</v>
      </c>
      <c r="T299" s="3532">
        <v>6.7</v>
      </c>
      <c r="U299" s="3532">
        <v>24.7</v>
      </c>
      <c r="V299" s="3532">
        <v>66</v>
      </c>
    </row>
    <row r="300" spans="1:22" s="3527" customFormat="1">
      <c r="A300" s="4189"/>
      <c r="B300" s="4189"/>
      <c r="C300" s="4189"/>
      <c r="D300" s="4189"/>
      <c r="E300" s="4189"/>
      <c r="F300" s="4189"/>
      <c r="G300" s="4189"/>
      <c r="H300" s="7153"/>
      <c r="I300" s="7155"/>
      <c r="J300" s="3616" t="s">
        <v>2209</v>
      </c>
      <c r="K300" s="7158"/>
      <c r="L300" s="4039"/>
      <c r="M300" s="3617">
        <v>273</v>
      </c>
      <c r="N300" s="3618">
        <v>199</v>
      </c>
      <c r="O300" s="3619">
        <f t="shared" si="4"/>
        <v>72.893772893772891</v>
      </c>
      <c r="P300" s="3618">
        <v>75.900000000000006</v>
      </c>
      <c r="Q300" s="3618">
        <v>24.1</v>
      </c>
      <c r="R300" s="3532">
        <v>1.3</v>
      </c>
      <c r="S300" s="3532">
        <v>1.3</v>
      </c>
      <c r="T300" s="3532">
        <v>14.9</v>
      </c>
      <c r="U300" s="3532">
        <v>19.399999999999999</v>
      </c>
      <c r="V300" s="3532">
        <v>58.2</v>
      </c>
    </row>
    <row r="301" spans="1:22" s="3527" customFormat="1">
      <c r="A301" s="4189"/>
      <c r="B301" s="4189"/>
      <c r="C301" s="4189"/>
      <c r="D301" s="4189"/>
      <c r="E301" s="4189"/>
      <c r="F301" s="4189"/>
      <c r="G301" s="4189"/>
      <c r="H301" s="7153"/>
      <c r="I301" s="7155"/>
      <c r="J301" s="3616" t="s">
        <v>2210</v>
      </c>
      <c r="K301" s="7158"/>
      <c r="L301" s="4039"/>
      <c r="M301" s="3617">
        <v>173</v>
      </c>
      <c r="N301" s="3618">
        <v>85</v>
      </c>
      <c r="O301" s="3619">
        <f t="shared" si="4"/>
        <v>49.132947976878611</v>
      </c>
      <c r="P301" s="3618">
        <v>78.599999999999994</v>
      </c>
      <c r="Q301" s="3618">
        <v>21.4</v>
      </c>
      <c r="R301" s="3532">
        <v>1.5</v>
      </c>
      <c r="S301" s="3532">
        <v>6</v>
      </c>
      <c r="T301" s="3532">
        <v>19.399999999999999</v>
      </c>
      <c r="U301" s="3532">
        <v>27.2</v>
      </c>
      <c r="V301" s="3532">
        <v>44.7</v>
      </c>
    </row>
    <row r="302" spans="1:22" s="3527" customFormat="1">
      <c r="A302" s="4189"/>
      <c r="B302" s="4189"/>
      <c r="C302" s="4189"/>
      <c r="D302" s="4189"/>
      <c r="E302" s="4189"/>
      <c r="F302" s="4189"/>
      <c r="G302" s="4189"/>
      <c r="H302" s="7153"/>
      <c r="I302" s="7155"/>
      <c r="J302" s="3616" t="s">
        <v>2211</v>
      </c>
      <c r="K302" s="7158"/>
      <c r="L302" s="4039"/>
      <c r="M302" s="3617">
        <v>427</v>
      </c>
      <c r="N302" s="3618">
        <v>282</v>
      </c>
      <c r="O302" s="3619">
        <f t="shared" si="4"/>
        <v>66.042154566744728</v>
      </c>
      <c r="P302" s="3618">
        <v>72.599999999999994</v>
      </c>
      <c r="Q302" s="3618">
        <v>27.4</v>
      </c>
      <c r="R302" s="3532">
        <v>1.9</v>
      </c>
      <c r="S302" s="3532">
        <v>6.8</v>
      </c>
      <c r="T302" s="3532">
        <v>11</v>
      </c>
      <c r="U302" s="3532">
        <v>18.600000000000001</v>
      </c>
      <c r="V302" s="3532">
        <v>60.2</v>
      </c>
    </row>
    <row r="303" spans="1:22" s="3527" customFormat="1">
      <c r="A303" s="4189"/>
      <c r="B303" s="4189"/>
      <c r="C303" s="4189"/>
      <c r="D303" s="4189"/>
      <c r="E303" s="4189"/>
      <c r="F303" s="4189"/>
      <c r="G303" s="4189"/>
      <c r="H303" s="7153"/>
      <c r="I303" s="7155"/>
      <c r="J303" s="3616" t="s">
        <v>2212</v>
      </c>
      <c r="K303" s="7158"/>
      <c r="L303" s="4039"/>
      <c r="M303" s="3617">
        <v>237</v>
      </c>
      <c r="N303" s="3618">
        <v>165</v>
      </c>
      <c r="O303" s="3619">
        <f t="shared" si="4"/>
        <v>69.620253164556956</v>
      </c>
      <c r="P303" s="3618">
        <v>71.5</v>
      </c>
      <c r="Q303" s="3618">
        <v>28.5</v>
      </c>
      <c r="R303" s="3532">
        <v>5.9</v>
      </c>
      <c r="S303" s="3532">
        <v>4.2</v>
      </c>
      <c r="T303" s="3532">
        <v>10</v>
      </c>
      <c r="U303" s="3532">
        <v>30</v>
      </c>
      <c r="V303" s="3532">
        <v>60</v>
      </c>
    </row>
    <row r="304" spans="1:22" s="3527" customFormat="1">
      <c r="A304" s="4189"/>
      <c r="B304" s="4189"/>
      <c r="C304" s="4189"/>
      <c r="D304" s="4189"/>
      <c r="E304" s="4189"/>
      <c r="F304" s="4189"/>
      <c r="G304" s="4189"/>
      <c r="H304" s="7153"/>
      <c r="I304" s="7155"/>
      <c r="J304" s="3616" t="s">
        <v>2226</v>
      </c>
      <c r="K304" s="7158"/>
      <c r="L304" s="4039"/>
      <c r="M304" s="3617">
        <v>100</v>
      </c>
      <c r="N304" s="3618">
        <v>45</v>
      </c>
      <c r="O304" s="3619">
        <f t="shared" si="4"/>
        <v>45</v>
      </c>
      <c r="P304" s="3618">
        <v>22.2</v>
      </c>
      <c r="Q304" s="3618">
        <v>77.8</v>
      </c>
      <c r="R304" s="3532">
        <v>0</v>
      </c>
      <c r="S304" s="3532">
        <v>0</v>
      </c>
      <c r="T304" s="3532" t="s">
        <v>556</v>
      </c>
      <c r="U304" s="3532" t="s">
        <v>556</v>
      </c>
      <c r="V304" s="3532" t="s">
        <v>556</v>
      </c>
    </row>
    <row r="305" spans="1:22" s="3527" customFormat="1">
      <c r="A305" s="4189"/>
      <c r="B305" s="4189"/>
      <c r="C305" s="4189"/>
      <c r="D305" s="4189"/>
      <c r="E305" s="4189"/>
      <c r="F305" s="4189"/>
      <c r="G305" s="4189"/>
      <c r="H305" s="7153"/>
      <c r="I305" s="7155"/>
      <c r="J305" s="3616" t="s">
        <v>2058</v>
      </c>
      <c r="K305" s="7158"/>
      <c r="L305" s="4039"/>
      <c r="M305" s="3617">
        <v>2</v>
      </c>
      <c r="N305" s="3618">
        <v>0</v>
      </c>
      <c r="O305" s="3619">
        <f t="shared" si="4"/>
        <v>0</v>
      </c>
      <c r="P305" s="3618" t="s">
        <v>556</v>
      </c>
      <c r="Q305" s="3618" t="s">
        <v>556</v>
      </c>
      <c r="R305" s="3532" t="s">
        <v>556</v>
      </c>
      <c r="S305" s="3532" t="s">
        <v>556</v>
      </c>
      <c r="T305" s="3532">
        <v>100</v>
      </c>
      <c r="U305" s="3532">
        <v>0</v>
      </c>
      <c r="V305" s="3532">
        <v>0</v>
      </c>
    </row>
    <row r="306" spans="1:22" s="3527" customFormat="1">
      <c r="A306" s="4189"/>
      <c r="B306" s="4189"/>
      <c r="C306" s="4189"/>
      <c r="D306" s="4189"/>
      <c r="E306" s="4189"/>
      <c r="F306" s="4189"/>
      <c r="G306" s="4189"/>
      <c r="H306" s="7153"/>
      <c r="I306" s="7155"/>
      <c r="J306" s="3616" t="s">
        <v>272</v>
      </c>
      <c r="K306" s="7158" t="s">
        <v>244</v>
      </c>
      <c r="L306" s="4039"/>
      <c r="M306" s="3617">
        <v>19</v>
      </c>
      <c r="N306" s="3618">
        <v>4</v>
      </c>
      <c r="O306" s="3619">
        <f t="shared" si="4"/>
        <v>21.05263157894737</v>
      </c>
      <c r="P306" s="3618">
        <v>25</v>
      </c>
      <c r="Q306" s="3618">
        <v>75</v>
      </c>
      <c r="R306" s="3532">
        <v>0</v>
      </c>
      <c r="S306" s="3532">
        <v>0</v>
      </c>
      <c r="T306" s="3532">
        <v>4.4000000000000004</v>
      </c>
      <c r="U306" s="3532">
        <v>21.2</v>
      </c>
      <c r="V306" s="3532">
        <v>73.5</v>
      </c>
    </row>
    <row r="307" spans="1:22" s="3527" customFormat="1">
      <c r="A307" s="4189"/>
      <c r="B307" s="4189"/>
      <c r="C307" s="4189"/>
      <c r="D307" s="4189"/>
      <c r="E307" s="4189"/>
      <c r="F307" s="4189"/>
      <c r="G307" s="4189"/>
      <c r="H307" s="7153"/>
      <c r="I307" s="7155"/>
      <c r="J307" s="3616" t="s">
        <v>2209</v>
      </c>
      <c r="K307" s="7158"/>
      <c r="L307" s="4039"/>
      <c r="M307" s="3617">
        <v>208</v>
      </c>
      <c r="N307" s="3618">
        <v>123</v>
      </c>
      <c r="O307" s="3619">
        <f t="shared" si="4"/>
        <v>59.134615384615387</v>
      </c>
      <c r="P307" s="3618">
        <v>92.6</v>
      </c>
      <c r="Q307" s="3618">
        <v>7.4</v>
      </c>
      <c r="R307" s="3532">
        <v>0</v>
      </c>
      <c r="S307" s="3532">
        <v>0.9</v>
      </c>
      <c r="T307" s="3532">
        <v>6.8</v>
      </c>
      <c r="U307" s="3532">
        <v>21.4</v>
      </c>
      <c r="V307" s="3532">
        <v>68.900000000000006</v>
      </c>
    </row>
    <row r="308" spans="1:22" s="3527" customFormat="1">
      <c r="A308" s="4189"/>
      <c r="B308" s="4189"/>
      <c r="C308" s="4189"/>
      <c r="D308" s="4189"/>
      <c r="E308" s="4189"/>
      <c r="F308" s="4189"/>
      <c r="G308" s="4189"/>
      <c r="H308" s="7153"/>
      <c r="I308" s="7155"/>
      <c r="J308" s="3616" t="s">
        <v>2210</v>
      </c>
      <c r="K308" s="7158"/>
      <c r="L308" s="4039"/>
      <c r="M308" s="3617">
        <v>240</v>
      </c>
      <c r="N308" s="3618">
        <v>108</v>
      </c>
      <c r="O308" s="3619">
        <f t="shared" si="4"/>
        <v>45</v>
      </c>
      <c r="P308" s="3618">
        <v>98.1</v>
      </c>
      <c r="Q308" s="3618">
        <v>1.9</v>
      </c>
      <c r="R308" s="3532">
        <v>1</v>
      </c>
      <c r="S308" s="3532">
        <v>1.9</v>
      </c>
      <c r="T308" s="3532">
        <v>11.6</v>
      </c>
      <c r="U308" s="3532">
        <v>21.1</v>
      </c>
      <c r="V308" s="3532">
        <v>62.6</v>
      </c>
    </row>
    <row r="309" spans="1:22" s="3527" customFormat="1">
      <c r="A309" s="4189"/>
      <c r="B309" s="4189"/>
      <c r="C309" s="4189"/>
      <c r="D309" s="4189"/>
      <c r="E309" s="4189"/>
      <c r="F309" s="4189"/>
      <c r="G309" s="4189"/>
      <c r="H309" s="7153"/>
      <c r="I309" s="7155"/>
      <c r="J309" s="3616" t="s">
        <v>2211</v>
      </c>
      <c r="K309" s="7158"/>
      <c r="L309" s="4039"/>
      <c r="M309" s="3617">
        <v>245</v>
      </c>
      <c r="N309" s="3618">
        <v>163</v>
      </c>
      <c r="O309" s="3619">
        <f t="shared" si="4"/>
        <v>66.530612244897952</v>
      </c>
      <c r="P309" s="3618">
        <v>88.3</v>
      </c>
      <c r="Q309" s="3618">
        <v>11.7</v>
      </c>
      <c r="R309" s="3532">
        <v>1.4</v>
      </c>
      <c r="S309" s="3532">
        <v>3.4</v>
      </c>
      <c r="T309" s="3532">
        <v>13.6</v>
      </c>
      <c r="U309" s="3532">
        <v>9.1</v>
      </c>
      <c r="V309" s="3532">
        <v>72.7</v>
      </c>
    </row>
    <row r="310" spans="1:22" s="3527" customFormat="1" ht="15" customHeight="1">
      <c r="A310" s="4189"/>
      <c r="B310" s="4189"/>
      <c r="C310" s="4189"/>
      <c r="D310" s="4189"/>
      <c r="E310" s="4189"/>
      <c r="F310" s="4189"/>
      <c r="G310" s="4189"/>
      <c r="H310" s="7153"/>
      <c r="I310" s="7155"/>
      <c r="J310" s="3616" t="s">
        <v>2212</v>
      </c>
      <c r="K310" s="7158"/>
      <c r="L310" s="4039"/>
      <c r="M310" s="3617">
        <v>161</v>
      </c>
      <c r="N310" s="3618">
        <v>25</v>
      </c>
      <c r="O310" s="3619">
        <f t="shared" si="4"/>
        <v>15.527950310559007</v>
      </c>
      <c r="P310" s="3618">
        <v>88</v>
      </c>
      <c r="Q310" s="3618">
        <v>12</v>
      </c>
      <c r="R310" s="3532">
        <v>0</v>
      </c>
      <c r="S310" s="3532">
        <v>4.5</v>
      </c>
      <c r="T310" s="3532">
        <v>5.3</v>
      </c>
      <c r="U310" s="3532">
        <v>31.6</v>
      </c>
      <c r="V310" s="3532">
        <v>57.9</v>
      </c>
    </row>
    <row r="311" spans="1:22" s="3527" customFormat="1">
      <c r="A311" s="4189"/>
      <c r="B311" s="4189"/>
      <c r="C311" s="4189"/>
      <c r="D311" s="4189"/>
      <c r="E311" s="4189"/>
      <c r="F311" s="4189"/>
      <c r="G311" s="4189"/>
      <c r="H311" s="7153"/>
      <c r="I311" s="7155"/>
      <c r="J311" s="3616" t="s">
        <v>2226</v>
      </c>
      <c r="K311" s="7158"/>
      <c r="L311" s="4039"/>
      <c r="M311" s="3617">
        <v>41</v>
      </c>
      <c r="N311" s="3618">
        <v>24</v>
      </c>
      <c r="O311" s="3619">
        <f t="shared" si="4"/>
        <v>58.536585365853661</v>
      </c>
      <c r="P311" s="3618">
        <v>79.2</v>
      </c>
      <c r="Q311" s="3618">
        <v>20.8</v>
      </c>
      <c r="R311" s="3532">
        <v>0</v>
      </c>
      <c r="S311" s="3532">
        <v>5.3</v>
      </c>
      <c r="T311" s="3532">
        <v>8.3000000000000007</v>
      </c>
      <c r="U311" s="3532">
        <v>0</v>
      </c>
      <c r="V311" s="3532">
        <v>69.400000000000006</v>
      </c>
    </row>
    <row r="312" spans="1:22" s="3527" customFormat="1">
      <c r="A312" s="4189"/>
      <c r="B312" s="4189"/>
      <c r="C312" s="4189"/>
      <c r="D312" s="4189"/>
      <c r="E312" s="4189"/>
      <c r="F312" s="4189"/>
      <c r="G312" s="4189"/>
      <c r="H312" s="7153"/>
      <c r="I312" s="7155" t="s">
        <v>2173</v>
      </c>
      <c r="J312" s="3616" t="s">
        <v>283</v>
      </c>
      <c r="K312" s="7158" t="s">
        <v>257</v>
      </c>
      <c r="L312" s="4039"/>
      <c r="M312" s="3617">
        <v>224</v>
      </c>
      <c r="N312" s="3618">
        <v>54</v>
      </c>
      <c r="O312" s="3619">
        <f t="shared" si="4"/>
        <v>24.107142857142858</v>
      </c>
      <c r="P312" s="3618">
        <v>66.7</v>
      </c>
      <c r="Q312" s="3618">
        <v>33.299999999999997</v>
      </c>
      <c r="R312" s="3532">
        <v>8.3000000000000007</v>
      </c>
      <c r="S312" s="3532">
        <v>13.9</v>
      </c>
      <c r="T312" s="3532">
        <v>14.3</v>
      </c>
      <c r="U312" s="3532">
        <v>0</v>
      </c>
      <c r="V312" s="3532">
        <v>78.599999999999994</v>
      </c>
    </row>
    <row r="313" spans="1:22" s="3527" customFormat="1">
      <c r="A313" s="4189"/>
      <c r="B313" s="4189"/>
      <c r="C313" s="4189"/>
      <c r="D313" s="4189"/>
      <c r="E313" s="4189"/>
      <c r="F313" s="4189"/>
      <c r="G313" s="4189"/>
      <c r="H313" s="7153"/>
      <c r="I313" s="7155"/>
      <c r="J313" s="3616" t="s">
        <v>284</v>
      </c>
      <c r="K313" s="7158"/>
      <c r="L313" s="4039"/>
      <c r="M313" s="3617">
        <v>106</v>
      </c>
      <c r="N313" s="3618">
        <v>32</v>
      </c>
      <c r="O313" s="3619">
        <f t="shared" si="4"/>
        <v>30.188679245283019</v>
      </c>
      <c r="P313" s="3618">
        <v>87.5</v>
      </c>
      <c r="Q313" s="3618">
        <v>12.5</v>
      </c>
      <c r="R313" s="3532">
        <v>0</v>
      </c>
      <c r="S313" s="3532">
        <v>7.1</v>
      </c>
      <c r="T313" s="3532">
        <v>10.4</v>
      </c>
      <c r="U313" s="3532">
        <v>18.8</v>
      </c>
      <c r="V313" s="3532">
        <v>58.3</v>
      </c>
    </row>
    <row r="314" spans="1:22" s="3527" customFormat="1">
      <c r="A314" s="4189"/>
      <c r="B314" s="4189"/>
      <c r="C314" s="4189"/>
      <c r="D314" s="4189"/>
      <c r="E314" s="4189"/>
      <c r="F314" s="4189"/>
      <c r="G314" s="4189"/>
      <c r="H314" s="7153"/>
      <c r="I314" s="7155"/>
      <c r="J314" s="3616" t="s">
        <v>2080</v>
      </c>
      <c r="K314" s="7158" t="s">
        <v>243</v>
      </c>
      <c r="L314" s="4039"/>
      <c r="M314" s="3617">
        <v>89</v>
      </c>
      <c r="N314" s="3618">
        <v>55</v>
      </c>
      <c r="O314" s="3619">
        <f t="shared" si="4"/>
        <v>61.797752808988761</v>
      </c>
      <c r="P314" s="3618">
        <v>87.3</v>
      </c>
      <c r="Q314" s="3618">
        <v>12.7</v>
      </c>
      <c r="R314" s="3532">
        <v>6.3</v>
      </c>
      <c r="S314" s="3532">
        <v>6.3</v>
      </c>
      <c r="T314" s="3532">
        <v>33.299999999999997</v>
      </c>
      <c r="U314" s="3532">
        <v>6.7</v>
      </c>
      <c r="V314" s="3532">
        <v>50</v>
      </c>
    </row>
    <row r="315" spans="1:22" s="3527" customFormat="1">
      <c r="A315" s="4189"/>
      <c r="B315" s="4189"/>
      <c r="C315" s="4189"/>
      <c r="D315" s="4189"/>
      <c r="E315" s="4189"/>
      <c r="F315" s="4189"/>
      <c r="G315" s="4189"/>
      <c r="H315" s="7153"/>
      <c r="I315" s="7155"/>
      <c r="J315" s="3616" t="s">
        <v>2214</v>
      </c>
      <c r="K315" s="7158"/>
      <c r="L315" s="4039"/>
      <c r="M315" s="3617">
        <v>119</v>
      </c>
      <c r="N315" s="3618">
        <v>48</v>
      </c>
      <c r="O315" s="3619">
        <f t="shared" si="4"/>
        <v>40.336134453781511</v>
      </c>
      <c r="P315" s="3618">
        <v>64.599999999999994</v>
      </c>
      <c r="Q315" s="3618">
        <v>35.4</v>
      </c>
      <c r="R315" s="3532">
        <v>3.3</v>
      </c>
      <c r="S315" s="3532">
        <v>6.7</v>
      </c>
      <c r="T315" s="3532">
        <v>0</v>
      </c>
      <c r="U315" s="3532">
        <v>16.7</v>
      </c>
      <c r="V315" s="3532">
        <v>66.7</v>
      </c>
    </row>
    <row r="316" spans="1:22" s="3527" customFormat="1">
      <c r="A316" s="4189"/>
      <c r="B316" s="4189"/>
      <c r="C316" s="4189"/>
      <c r="D316" s="4189"/>
      <c r="E316" s="4189"/>
      <c r="F316" s="4189"/>
      <c r="G316" s="4189"/>
      <c r="H316" s="7153"/>
      <c r="I316" s="7155"/>
      <c r="J316" s="3616" t="s">
        <v>2215</v>
      </c>
      <c r="K316" s="7158"/>
      <c r="L316" s="4039"/>
      <c r="M316" s="3617">
        <v>22</v>
      </c>
      <c r="N316" s="3618">
        <v>7</v>
      </c>
      <c r="O316" s="3619">
        <f t="shared" si="4"/>
        <v>31.818181818181817</v>
      </c>
      <c r="P316" s="3618">
        <v>85.7</v>
      </c>
      <c r="Q316" s="3618">
        <v>14.3</v>
      </c>
      <c r="R316" s="3532">
        <v>16.7</v>
      </c>
      <c r="S316" s="3532">
        <v>0</v>
      </c>
      <c r="T316" s="3532">
        <v>10.8</v>
      </c>
      <c r="U316" s="3532">
        <v>13.9</v>
      </c>
      <c r="V316" s="3532">
        <v>70.5</v>
      </c>
    </row>
    <row r="317" spans="1:22" s="3527" customFormat="1">
      <c r="A317" s="4189"/>
      <c r="B317" s="4189"/>
      <c r="C317" s="4189"/>
      <c r="D317" s="4189"/>
      <c r="E317" s="4189"/>
      <c r="F317" s="4189"/>
      <c r="G317" s="4189"/>
      <c r="H317" s="7153"/>
      <c r="I317" s="7155"/>
      <c r="J317" s="3616" t="s">
        <v>128</v>
      </c>
      <c r="K317" s="7158"/>
      <c r="L317" s="4039"/>
      <c r="M317" s="3617">
        <v>362</v>
      </c>
      <c r="N317" s="3618">
        <v>265</v>
      </c>
      <c r="O317" s="3619">
        <f t="shared" si="4"/>
        <v>73.204419889502759</v>
      </c>
      <c r="P317" s="3618">
        <v>64.5</v>
      </c>
      <c r="Q317" s="3618">
        <v>35.5</v>
      </c>
      <c r="R317" s="3532">
        <v>1.8</v>
      </c>
      <c r="S317" s="3532">
        <v>3</v>
      </c>
      <c r="T317" s="3532">
        <v>3.6</v>
      </c>
      <c r="U317" s="3532">
        <v>10.9</v>
      </c>
      <c r="V317" s="3532">
        <v>72.7</v>
      </c>
    </row>
    <row r="318" spans="1:22" s="3527" customFormat="1">
      <c r="A318" s="4189"/>
      <c r="B318" s="4189"/>
      <c r="C318" s="4189"/>
      <c r="D318" s="4189"/>
      <c r="E318" s="4189"/>
      <c r="F318" s="4189"/>
      <c r="G318" s="4189"/>
      <c r="H318" s="7153"/>
      <c r="I318" s="7155"/>
      <c r="J318" s="3616" t="s">
        <v>129</v>
      </c>
      <c r="K318" s="7158"/>
      <c r="L318" s="4039"/>
      <c r="M318" s="3617">
        <v>228</v>
      </c>
      <c r="N318" s="3618">
        <v>106</v>
      </c>
      <c r="O318" s="3619">
        <f t="shared" si="4"/>
        <v>46.491228070175438</v>
      </c>
      <c r="P318" s="3618">
        <v>51.9</v>
      </c>
      <c r="Q318" s="3618">
        <v>48.1</v>
      </c>
      <c r="R318" s="3532">
        <v>1.8</v>
      </c>
      <c r="S318" s="3532">
        <v>10.9</v>
      </c>
      <c r="T318" s="3532">
        <v>13</v>
      </c>
      <c r="U318" s="3532">
        <v>17.399999999999999</v>
      </c>
      <c r="V318" s="3532">
        <v>52.2</v>
      </c>
    </row>
    <row r="319" spans="1:22" s="3527" customFormat="1">
      <c r="A319" s="4189"/>
      <c r="B319" s="4189"/>
      <c r="C319" s="4189"/>
      <c r="D319" s="4189"/>
      <c r="E319" s="4189"/>
      <c r="F319" s="4189"/>
      <c r="G319" s="4189"/>
      <c r="H319" s="7153"/>
      <c r="I319" s="7155"/>
      <c r="J319" s="3616" t="s">
        <v>286</v>
      </c>
      <c r="K319" s="7158"/>
      <c r="L319" s="4039"/>
      <c r="M319" s="3617">
        <v>188</v>
      </c>
      <c r="N319" s="3618">
        <v>105</v>
      </c>
      <c r="O319" s="3619">
        <f t="shared" si="4"/>
        <v>55.851063829787236</v>
      </c>
      <c r="P319" s="3618">
        <v>61.5</v>
      </c>
      <c r="Q319" s="3618">
        <v>38.5</v>
      </c>
      <c r="R319" s="3532">
        <v>11.6</v>
      </c>
      <c r="S319" s="3532">
        <v>5.8</v>
      </c>
      <c r="T319" s="3532">
        <v>10.1</v>
      </c>
      <c r="U319" s="3532">
        <v>16.100000000000001</v>
      </c>
      <c r="V319" s="3532">
        <v>69.8</v>
      </c>
    </row>
    <row r="320" spans="1:22" s="3527" customFormat="1">
      <c r="A320" s="4189"/>
      <c r="B320" s="4189"/>
      <c r="C320" s="4189"/>
      <c r="D320" s="4189"/>
      <c r="E320" s="4189"/>
      <c r="F320" s="4189"/>
      <c r="G320" s="4189"/>
      <c r="H320" s="7153"/>
      <c r="I320" s="7155"/>
      <c r="J320" s="3616" t="s">
        <v>128</v>
      </c>
      <c r="K320" s="7158" t="s">
        <v>244</v>
      </c>
      <c r="L320" s="4039"/>
      <c r="M320" s="3617">
        <v>227</v>
      </c>
      <c r="N320" s="3618">
        <v>175</v>
      </c>
      <c r="O320" s="3619">
        <f t="shared" si="4"/>
        <v>77.092511013215855</v>
      </c>
      <c r="P320" s="3618">
        <v>84</v>
      </c>
      <c r="Q320" s="3618">
        <v>16</v>
      </c>
      <c r="R320" s="3532">
        <v>1.3</v>
      </c>
      <c r="S320" s="3532">
        <v>2.7</v>
      </c>
      <c r="T320" s="3532">
        <v>7.1</v>
      </c>
      <c r="U320" s="3532">
        <v>21.4</v>
      </c>
      <c r="V320" s="3532">
        <v>67.099999999999994</v>
      </c>
    </row>
    <row r="321" spans="1:22" s="3527" customFormat="1">
      <c r="A321" s="4189"/>
      <c r="B321" s="4189"/>
      <c r="C321" s="4189"/>
      <c r="D321" s="4189"/>
      <c r="E321" s="4189"/>
      <c r="F321" s="4189"/>
      <c r="G321" s="4189"/>
      <c r="H321" s="7153"/>
      <c r="I321" s="7155"/>
      <c r="J321" s="3616" t="s">
        <v>129</v>
      </c>
      <c r="K321" s="7158"/>
      <c r="L321" s="4039"/>
      <c r="M321" s="3617">
        <v>114</v>
      </c>
      <c r="N321" s="3618">
        <v>82</v>
      </c>
      <c r="O321" s="3619">
        <f t="shared" si="4"/>
        <v>71.929824561403507</v>
      </c>
      <c r="P321" s="3618">
        <v>87.8</v>
      </c>
      <c r="Q321" s="3618">
        <v>12.2</v>
      </c>
      <c r="R321" s="3532">
        <v>2.9</v>
      </c>
      <c r="S321" s="3532">
        <v>1.4</v>
      </c>
      <c r="T321" s="3532">
        <v>2.9</v>
      </c>
      <c r="U321" s="3532">
        <v>6.7</v>
      </c>
      <c r="V321" s="3532">
        <v>90.4</v>
      </c>
    </row>
    <row r="322" spans="1:22" s="3527" customFormat="1">
      <c r="A322" s="4189"/>
      <c r="B322" s="4189"/>
      <c r="C322" s="4189"/>
      <c r="D322" s="4189"/>
      <c r="E322" s="4189"/>
      <c r="F322" s="4189"/>
      <c r="G322" s="4189"/>
      <c r="H322" s="7154"/>
      <c r="I322" s="7155"/>
      <c r="J322" s="3616" t="s">
        <v>381</v>
      </c>
      <c r="K322" s="7158"/>
      <c r="L322" s="4039"/>
      <c r="M322" s="3617">
        <v>399</v>
      </c>
      <c r="N322" s="3618">
        <v>190</v>
      </c>
      <c r="O322" s="3619">
        <f t="shared" si="4"/>
        <v>47.61904761904762</v>
      </c>
      <c r="P322" s="3618">
        <v>98.1</v>
      </c>
      <c r="Q322" s="3618">
        <v>1.9</v>
      </c>
      <c r="R322" s="3532">
        <v>0</v>
      </c>
      <c r="S322" s="3532">
        <v>0</v>
      </c>
      <c r="T322" s="3532">
        <v>4.7</v>
      </c>
      <c r="U322" s="3532">
        <v>10.9</v>
      </c>
      <c r="V322" s="3532">
        <v>82.8</v>
      </c>
    </row>
    <row r="323" spans="1:22" s="3527" customFormat="1">
      <c r="A323" s="4189"/>
      <c r="B323" s="4189"/>
      <c r="C323" s="4189"/>
      <c r="D323" s="4189"/>
      <c r="E323" s="4189"/>
      <c r="F323" s="4189"/>
      <c r="G323" s="4189"/>
      <c r="H323" s="7152" t="s">
        <v>48</v>
      </c>
      <c r="I323" s="7155" t="s">
        <v>2171</v>
      </c>
      <c r="J323" s="3616" t="s">
        <v>2222</v>
      </c>
      <c r="K323" s="7158" t="s">
        <v>257</v>
      </c>
      <c r="L323" s="4039"/>
      <c r="M323" s="3617">
        <v>154</v>
      </c>
      <c r="N323" s="3618">
        <v>78</v>
      </c>
      <c r="O323" s="3619">
        <f t="shared" si="4"/>
        <v>50.649350649350652</v>
      </c>
      <c r="P323" s="3618">
        <v>80.8</v>
      </c>
      <c r="Q323" s="3618">
        <v>19.2</v>
      </c>
      <c r="R323" s="3532">
        <v>0</v>
      </c>
      <c r="S323" s="3532">
        <v>1.6</v>
      </c>
      <c r="T323" s="3532">
        <v>7.1</v>
      </c>
      <c r="U323" s="3532">
        <v>10.199999999999999</v>
      </c>
      <c r="V323" s="3532">
        <v>76.5</v>
      </c>
    </row>
    <row r="324" spans="1:22" s="3527" customFormat="1">
      <c r="A324" s="4189"/>
      <c r="B324" s="4189"/>
      <c r="C324" s="4189"/>
      <c r="D324" s="4189"/>
      <c r="E324" s="4189"/>
      <c r="F324" s="4189"/>
      <c r="G324" s="4189"/>
      <c r="H324" s="7153"/>
      <c r="I324" s="7155"/>
      <c r="J324" s="3616" t="s">
        <v>2227</v>
      </c>
      <c r="K324" s="7158"/>
      <c r="L324" s="4039"/>
      <c r="M324" s="3617">
        <v>272</v>
      </c>
      <c r="N324" s="3618">
        <v>129</v>
      </c>
      <c r="O324" s="3619">
        <f t="shared" si="4"/>
        <v>47.426470588235297</v>
      </c>
      <c r="P324" s="3618">
        <v>76.7</v>
      </c>
      <c r="Q324" s="3618">
        <v>23.3</v>
      </c>
      <c r="R324" s="3532">
        <v>2</v>
      </c>
      <c r="S324" s="3532">
        <v>4.0999999999999996</v>
      </c>
      <c r="T324" s="3532" t="s">
        <v>556</v>
      </c>
      <c r="U324" s="3532" t="s">
        <v>556</v>
      </c>
      <c r="V324" s="3532" t="s">
        <v>556</v>
      </c>
    </row>
    <row r="325" spans="1:22" s="3527" customFormat="1">
      <c r="A325" s="4189"/>
      <c r="B325" s="4189"/>
      <c r="C325" s="4189"/>
      <c r="D325" s="4189"/>
      <c r="E325" s="4189"/>
      <c r="F325" s="4189"/>
      <c r="G325" s="4189"/>
      <c r="H325" s="7153"/>
      <c r="I325" s="7155"/>
      <c r="J325" s="3616" t="s">
        <v>290</v>
      </c>
      <c r="K325" s="7158"/>
      <c r="L325" s="4039"/>
      <c r="M325" s="3617">
        <v>16</v>
      </c>
      <c r="N325" s="3618">
        <v>0</v>
      </c>
      <c r="O325" s="3619">
        <f t="shared" si="4"/>
        <v>0</v>
      </c>
      <c r="P325" s="3618" t="s">
        <v>556</v>
      </c>
      <c r="Q325" s="3618" t="s">
        <v>556</v>
      </c>
      <c r="R325" s="3532" t="s">
        <v>556</v>
      </c>
      <c r="S325" s="3532" t="s">
        <v>556</v>
      </c>
      <c r="T325" s="3532">
        <v>11.8</v>
      </c>
      <c r="U325" s="3532">
        <v>5.9</v>
      </c>
      <c r="V325" s="3532">
        <v>76.5</v>
      </c>
    </row>
    <row r="326" spans="1:22" s="3527" customFormat="1">
      <c r="A326" s="4189"/>
      <c r="B326" s="4189"/>
      <c r="C326" s="4189"/>
      <c r="D326" s="4189"/>
      <c r="E326" s="4189"/>
      <c r="F326" s="4189"/>
      <c r="G326" s="4189"/>
      <c r="H326" s="7153"/>
      <c r="I326" s="7155"/>
      <c r="J326" s="3616" t="s">
        <v>2220</v>
      </c>
      <c r="K326" s="7158" t="s">
        <v>243</v>
      </c>
      <c r="L326" s="4039"/>
      <c r="M326" s="3617">
        <v>86</v>
      </c>
      <c r="N326" s="3618">
        <v>22</v>
      </c>
      <c r="O326" s="3619">
        <f t="shared" si="4"/>
        <v>25.581395348837209</v>
      </c>
      <c r="P326" s="3618">
        <v>81.8</v>
      </c>
      <c r="Q326" s="3618">
        <v>18.2</v>
      </c>
      <c r="R326" s="3532">
        <v>0</v>
      </c>
      <c r="S326" s="3532">
        <v>5.9</v>
      </c>
      <c r="T326" s="3532">
        <v>6.9</v>
      </c>
      <c r="U326" s="3532">
        <v>6.9</v>
      </c>
      <c r="V326" s="3532">
        <v>79.3</v>
      </c>
    </row>
    <row r="327" spans="1:22" s="3527" customFormat="1">
      <c r="A327" s="4189"/>
      <c r="B327" s="4189"/>
      <c r="C327" s="4189"/>
      <c r="D327" s="4189"/>
      <c r="E327" s="4189"/>
      <c r="F327" s="4189"/>
      <c r="G327" s="4189"/>
      <c r="H327" s="7153"/>
      <c r="I327" s="7155"/>
      <c r="J327" s="3616" t="s">
        <v>442</v>
      </c>
      <c r="K327" s="7158"/>
      <c r="L327" s="4039"/>
      <c r="M327" s="3617">
        <v>115</v>
      </c>
      <c r="N327" s="3618">
        <v>37</v>
      </c>
      <c r="O327" s="3619">
        <f t="shared" si="4"/>
        <v>32.173913043478258</v>
      </c>
      <c r="P327" s="3618">
        <v>78.400000000000006</v>
      </c>
      <c r="Q327" s="3618">
        <v>21.6</v>
      </c>
      <c r="R327" s="3532">
        <v>6.9</v>
      </c>
      <c r="S327" s="3532">
        <v>0</v>
      </c>
      <c r="T327" s="3532">
        <v>13.6</v>
      </c>
      <c r="U327" s="3532">
        <v>22.7</v>
      </c>
      <c r="V327" s="3532">
        <v>62.1</v>
      </c>
    </row>
    <row r="328" spans="1:22" s="3527" customFormat="1" ht="15" customHeight="1">
      <c r="A328" s="4189"/>
      <c r="B328" s="4189"/>
      <c r="C328" s="4189"/>
      <c r="D328" s="4189"/>
      <c r="E328" s="4189"/>
      <c r="F328" s="4189"/>
      <c r="G328" s="4189"/>
      <c r="H328" s="7153"/>
      <c r="I328" s="7155"/>
      <c r="J328" s="3616" t="s">
        <v>382</v>
      </c>
      <c r="K328" s="7158"/>
      <c r="L328" s="4039"/>
      <c r="M328" s="3617">
        <v>166</v>
      </c>
      <c r="N328" s="3618">
        <v>76</v>
      </c>
      <c r="O328" s="3619">
        <f t="shared" si="4"/>
        <v>45.783132530120483</v>
      </c>
      <c r="P328" s="3618">
        <v>86.8</v>
      </c>
      <c r="Q328" s="3618">
        <v>13.2</v>
      </c>
      <c r="R328" s="3532">
        <v>1.5</v>
      </c>
      <c r="S328" s="3532">
        <v>0</v>
      </c>
      <c r="T328" s="3532">
        <v>50</v>
      </c>
      <c r="U328" s="3532">
        <v>0</v>
      </c>
      <c r="V328" s="3532">
        <v>0</v>
      </c>
    </row>
    <row r="329" spans="1:22" s="3527" customFormat="1">
      <c r="A329" s="4189"/>
      <c r="B329" s="4189"/>
      <c r="C329" s="4189"/>
      <c r="D329" s="4189"/>
      <c r="E329" s="4189"/>
      <c r="F329" s="4189"/>
      <c r="G329" s="4189"/>
      <c r="H329" s="7153"/>
      <c r="I329" s="7155"/>
      <c r="J329" s="3616" t="s">
        <v>2222</v>
      </c>
      <c r="K329" s="7158"/>
      <c r="L329" s="4039"/>
      <c r="M329" s="3617">
        <v>101</v>
      </c>
      <c r="N329" s="3618">
        <v>2</v>
      </c>
      <c r="O329" s="3619">
        <f t="shared" si="4"/>
        <v>1.9801980198019802</v>
      </c>
      <c r="P329" s="3618">
        <v>100</v>
      </c>
      <c r="Q329" s="3618">
        <v>0</v>
      </c>
      <c r="R329" s="3532">
        <v>0</v>
      </c>
      <c r="S329" s="3532">
        <v>50</v>
      </c>
      <c r="T329" s="3532">
        <v>13.9</v>
      </c>
      <c r="U329" s="3532">
        <v>25.3</v>
      </c>
      <c r="V329" s="3532">
        <v>58.2</v>
      </c>
    </row>
    <row r="330" spans="1:22" s="3527" customFormat="1">
      <c r="A330" s="4189"/>
      <c r="B330" s="4189"/>
      <c r="C330" s="4189"/>
      <c r="D330" s="4189"/>
      <c r="E330" s="4189"/>
      <c r="F330" s="4189"/>
      <c r="G330" s="4189"/>
      <c r="H330" s="7153"/>
      <c r="I330" s="7155"/>
      <c r="J330" s="3616" t="s">
        <v>288</v>
      </c>
      <c r="K330" s="7158"/>
      <c r="L330" s="4039"/>
      <c r="M330" s="3617">
        <v>159</v>
      </c>
      <c r="N330" s="3618">
        <v>95</v>
      </c>
      <c r="O330" s="3619">
        <f t="shared" si="4"/>
        <v>59.748427672955977</v>
      </c>
      <c r="P330" s="3618">
        <v>83.2</v>
      </c>
      <c r="Q330" s="3618">
        <v>16.8</v>
      </c>
      <c r="R330" s="3532">
        <v>0</v>
      </c>
      <c r="S330" s="3532">
        <v>2.5</v>
      </c>
      <c r="T330" s="3532">
        <v>0</v>
      </c>
      <c r="U330" s="3532">
        <v>0</v>
      </c>
      <c r="V330" s="3532">
        <v>100</v>
      </c>
    </row>
    <row r="331" spans="1:22" s="3527" customFormat="1">
      <c r="A331" s="4189"/>
      <c r="B331" s="4189"/>
      <c r="C331" s="4189"/>
      <c r="D331" s="4189"/>
      <c r="E331" s="4189"/>
      <c r="F331" s="4189"/>
      <c r="G331" s="4189"/>
      <c r="H331" s="7153"/>
      <c r="I331" s="7155"/>
      <c r="J331" s="3616" t="s">
        <v>2223</v>
      </c>
      <c r="K331" s="7158"/>
      <c r="L331" s="4039"/>
      <c r="M331" s="3617">
        <v>21</v>
      </c>
      <c r="N331" s="3618">
        <v>4</v>
      </c>
      <c r="O331" s="3619">
        <f t="shared" si="4"/>
        <v>19.047619047619047</v>
      </c>
      <c r="P331" s="3618">
        <v>100</v>
      </c>
      <c r="Q331" s="3618">
        <v>0</v>
      </c>
      <c r="R331" s="3532">
        <v>0</v>
      </c>
      <c r="S331" s="3532">
        <v>0</v>
      </c>
      <c r="T331" s="3532">
        <v>12</v>
      </c>
      <c r="U331" s="3532">
        <v>24.1</v>
      </c>
      <c r="V331" s="3532">
        <v>56.6</v>
      </c>
    </row>
    <row r="332" spans="1:22" s="3527" customFormat="1" ht="15" customHeight="1">
      <c r="A332" s="4189"/>
      <c r="B332" s="4189"/>
      <c r="C332" s="4189"/>
      <c r="D332" s="4189"/>
      <c r="E332" s="4189"/>
      <c r="F332" s="4189"/>
      <c r="G332" s="4189"/>
      <c r="H332" s="7153"/>
      <c r="I332" s="7155"/>
      <c r="J332" s="3616" t="s">
        <v>289</v>
      </c>
      <c r="K332" s="7158"/>
      <c r="L332" s="4039"/>
      <c r="M332" s="3617">
        <v>140</v>
      </c>
      <c r="N332" s="3618">
        <v>93</v>
      </c>
      <c r="O332" s="3619">
        <f t="shared" si="4"/>
        <v>66.428571428571431</v>
      </c>
      <c r="P332" s="3618">
        <v>89.2</v>
      </c>
      <c r="Q332" s="3618">
        <v>10.8</v>
      </c>
      <c r="R332" s="3532">
        <v>4.8</v>
      </c>
      <c r="S332" s="3532">
        <v>2.4</v>
      </c>
      <c r="T332" s="3532">
        <v>14.3</v>
      </c>
      <c r="U332" s="3532">
        <v>24.5</v>
      </c>
      <c r="V332" s="3532">
        <v>57.1</v>
      </c>
    </row>
    <row r="333" spans="1:22" s="3527" customFormat="1">
      <c r="A333" s="4189"/>
      <c r="B333" s="4189"/>
      <c r="C333" s="4189"/>
      <c r="D333" s="4189"/>
      <c r="E333" s="4189"/>
      <c r="F333" s="4189"/>
      <c r="G333" s="4189"/>
      <c r="H333" s="7153"/>
      <c r="I333" s="7155"/>
      <c r="J333" s="3616" t="s">
        <v>443</v>
      </c>
      <c r="K333" s="7158"/>
      <c r="L333" s="4039"/>
      <c r="M333" s="3617">
        <v>110</v>
      </c>
      <c r="N333" s="3618">
        <v>65</v>
      </c>
      <c r="O333" s="3619">
        <f t="shared" si="4"/>
        <v>59.090909090909093</v>
      </c>
      <c r="P333" s="3618">
        <v>76.900000000000006</v>
      </c>
      <c r="Q333" s="3618">
        <v>23.1</v>
      </c>
      <c r="R333" s="3532">
        <v>2</v>
      </c>
      <c r="S333" s="3532">
        <v>2</v>
      </c>
      <c r="T333" s="3532">
        <v>0</v>
      </c>
      <c r="U333" s="3532">
        <v>0</v>
      </c>
      <c r="V333" s="3532">
        <v>85.7</v>
      </c>
    </row>
    <row r="334" spans="1:22" s="3527" customFormat="1">
      <c r="A334" s="4189"/>
      <c r="B334" s="4189"/>
      <c r="C334" s="4189"/>
      <c r="D334" s="4189"/>
      <c r="E334" s="4189"/>
      <c r="F334" s="4189"/>
      <c r="G334" s="4189"/>
      <c r="H334" s="7153"/>
      <c r="I334" s="7155"/>
      <c r="J334" s="3616" t="s">
        <v>2226</v>
      </c>
      <c r="K334" s="7158"/>
      <c r="L334" s="4039"/>
      <c r="M334" s="3617">
        <v>34</v>
      </c>
      <c r="N334" s="3618">
        <v>12</v>
      </c>
      <c r="O334" s="3619">
        <f t="shared" si="4"/>
        <v>35.294117647058826</v>
      </c>
      <c r="P334" s="3618">
        <v>58.3</v>
      </c>
      <c r="Q334" s="3618">
        <v>41.7</v>
      </c>
      <c r="R334" s="3532">
        <v>0</v>
      </c>
      <c r="S334" s="3532">
        <v>14.3</v>
      </c>
      <c r="T334" s="3532">
        <v>9.6</v>
      </c>
      <c r="U334" s="3532">
        <v>26</v>
      </c>
      <c r="V334" s="3532">
        <v>56.2</v>
      </c>
    </row>
    <row r="335" spans="1:22" s="3527" customFormat="1" ht="15" customHeight="1">
      <c r="A335" s="4189"/>
      <c r="B335" s="4189"/>
      <c r="C335" s="4189"/>
      <c r="D335" s="4189"/>
      <c r="E335" s="4189"/>
      <c r="F335" s="4189"/>
      <c r="G335" s="4189"/>
      <c r="H335" s="7153"/>
      <c r="I335" s="7155"/>
      <c r="J335" s="3616" t="s">
        <v>2227</v>
      </c>
      <c r="K335" s="7158"/>
      <c r="L335" s="4039"/>
      <c r="M335" s="3617">
        <v>296</v>
      </c>
      <c r="N335" s="3618">
        <v>115</v>
      </c>
      <c r="O335" s="3619">
        <f t="shared" si="4"/>
        <v>38.851351351351354</v>
      </c>
      <c r="P335" s="3618">
        <v>64</v>
      </c>
      <c r="Q335" s="3618">
        <v>36</v>
      </c>
      <c r="R335" s="3532">
        <v>1.4</v>
      </c>
      <c r="S335" s="3532">
        <v>6.8</v>
      </c>
      <c r="T335" s="3532">
        <v>38.5</v>
      </c>
      <c r="U335" s="3532">
        <v>38.5</v>
      </c>
      <c r="V335" s="3532">
        <v>23.1</v>
      </c>
    </row>
    <row r="336" spans="1:22" s="3527" customFormat="1">
      <c r="A336" s="4189"/>
      <c r="B336" s="4189"/>
      <c r="C336" s="4189"/>
      <c r="D336" s="4189"/>
      <c r="E336" s="4189"/>
      <c r="F336" s="4189"/>
      <c r="G336" s="4189"/>
      <c r="H336" s="7153"/>
      <c r="I336" s="7155"/>
      <c r="J336" s="3616" t="s">
        <v>2082</v>
      </c>
      <c r="K336" s="7158"/>
      <c r="L336" s="4039"/>
      <c r="M336" s="3617">
        <v>38</v>
      </c>
      <c r="N336" s="3618">
        <v>22</v>
      </c>
      <c r="O336" s="3619">
        <f t="shared" si="4"/>
        <v>57.89473684210526</v>
      </c>
      <c r="P336" s="3618">
        <v>54.5</v>
      </c>
      <c r="Q336" s="3618">
        <v>45.5</v>
      </c>
      <c r="R336" s="3532">
        <v>0</v>
      </c>
      <c r="S336" s="3532">
        <v>0</v>
      </c>
      <c r="T336" s="3532">
        <v>7.1</v>
      </c>
      <c r="U336" s="3532">
        <v>14.3</v>
      </c>
      <c r="V336" s="3532">
        <v>57.1</v>
      </c>
    </row>
    <row r="337" spans="1:34" s="3527" customFormat="1">
      <c r="A337" s="4189"/>
      <c r="B337" s="4189"/>
      <c r="C337" s="4189"/>
      <c r="D337" s="4189"/>
      <c r="E337" s="4189"/>
      <c r="F337" s="4189"/>
      <c r="G337" s="4189"/>
      <c r="H337" s="7153"/>
      <c r="I337" s="7155"/>
      <c r="J337" s="3616" t="s">
        <v>290</v>
      </c>
      <c r="K337" s="7158"/>
      <c r="L337" s="4039"/>
      <c r="M337" s="3617">
        <v>65</v>
      </c>
      <c r="N337" s="3618">
        <v>17</v>
      </c>
      <c r="O337" s="3619">
        <f t="shared" si="4"/>
        <v>26.153846153846153</v>
      </c>
      <c r="P337" s="3618">
        <v>82.4</v>
      </c>
      <c r="Q337" s="3618">
        <v>17.600000000000001</v>
      </c>
      <c r="R337" s="3532">
        <v>7.1</v>
      </c>
      <c r="S337" s="3532">
        <v>14.3</v>
      </c>
      <c r="T337" s="3532">
        <v>8.9</v>
      </c>
      <c r="U337" s="3532">
        <v>21.5</v>
      </c>
      <c r="V337" s="3532">
        <v>64.599999999999994</v>
      </c>
    </row>
    <row r="338" spans="1:34" s="3527" customFormat="1">
      <c r="A338" s="4189"/>
      <c r="B338" s="4189"/>
      <c r="C338" s="4189"/>
      <c r="D338" s="4189"/>
      <c r="E338" s="4189"/>
      <c r="F338" s="4189"/>
      <c r="G338" s="4189"/>
      <c r="H338" s="7153"/>
      <c r="I338" s="7155"/>
      <c r="J338" s="3616" t="s">
        <v>2060</v>
      </c>
      <c r="K338" s="7158"/>
      <c r="L338" s="4039"/>
      <c r="M338" s="3617">
        <v>177</v>
      </c>
      <c r="N338" s="3618">
        <v>99</v>
      </c>
      <c r="O338" s="3619">
        <f t="shared" si="4"/>
        <v>55.932203389830505</v>
      </c>
      <c r="P338" s="3618">
        <v>81.8</v>
      </c>
      <c r="Q338" s="3618">
        <v>18.2</v>
      </c>
      <c r="R338" s="3532">
        <v>0</v>
      </c>
      <c r="S338" s="3532">
        <v>5.0999999999999996</v>
      </c>
      <c r="T338" s="3532" t="s">
        <v>556</v>
      </c>
      <c r="U338" s="3532" t="s">
        <v>556</v>
      </c>
      <c r="V338" s="3532" t="s">
        <v>556</v>
      </c>
    </row>
    <row r="339" spans="1:34" s="3527" customFormat="1">
      <c r="A339" s="4189"/>
      <c r="B339" s="4189"/>
      <c r="C339" s="4189"/>
      <c r="D339" s="4189"/>
      <c r="E339" s="4189"/>
      <c r="F339" s="4189"/>
      <c r="G339" s="4189"/>
      <c r="H339" s="7153"/>
      <c r="I339" s="7155"/>
      <c r="J339" s="3616" t="s">
        <v>2058</v>
      </c>
      <c r="K339" s="7158"/>
      <c r="L339" s="4039"/>
      <c r="M339" s="3617">
        <v>3</v>
      </c>
      <c r="N339" s="3618">
        <v>0</v>
      </c>
      <c r="O339" s="3619">
        <f t="shared" si="4"/>
        <v>0</v>
      </c>
      <c r="P339" s="3618" t="s">
        <v>556</v>
      </c>
      <c r="Q339" s="3618" t="s">
        <v>556</v>
      </c>
      <c r="R339" s="3532" t="s">
        <v>556</v>
      </c>
      <c r="S339" s="3532" t="s">
        <v>556</v>
      </c>
      <c r="T339" s="3532" t="s">
        <v>556</v>
      </c>
      <c r="U339" s="3532" t="s">
        <v>556</v>
      </c>
      <c r="V339" s="3532" t="s">
        <v>556</v>
      </c>
    </row>
    <row r="340" spans="1:34" s="3527" customFormat="1">
      <c r="A340" s="4189"/>
      <c r="B340" s="4189"/>
      <c r="C340" s="4189"/>
      <c r="D340" s="4189"/>
      <c r="E340" s="4189"/>
      <c r="F340" s="4189"/>
      <c r="G340" s="4189"/>
      <c r="H340" s="7153"/>
      <c r="I340" s="7155"/>
      <c r="J340" s="3616" t="s">
        <v>2083</v>
      </c>
      <c r="K340" s="7158"/>
      <c r="L340" s="4039"/>
      <c r="M340" s="3617">
        <v>6</v>
      </c>
      <c r="N340" s="3618">
        <v>0</v>
      </c>
      <c r="O340" s="3619">
        <f t="shared" si="4"/>
        <v>0</v>
      </c>
      <c r="P340" s="3618" t="s">
        <v>556</v>
      </c>
      <c r="Q340" s="3618" t="s">
        <v>556</v>
      </c>
      <c r="R340" s="3532" t="s">
        <v>556</v>
      </c>
      <c r="S340" s="3532" t="s">
        <v>556</v>
      </c>
      <c r="T340" s="3532">
        <v>1</v>
      </c>
      <c r="U340" s="3532">
        <v>11.9</v>
      </c>
      <c r="V340" s="3532">
        <v>84.2</v>
      </c>
    </row>
    <row r="341" spans="1:34">
      <c r="H341" s="7153"/>
      <c r="I341" s="7155"/>
      <c r="J341" s="3616" t="s">
        <v>291</v>
      </c>
      <c r="K341" s="7158" t="s">
        <v>244</v>
      </c>
      <c r="L341" s="4039"/>
      <c r="M341" s="3617">
        <v>373</v>
      </c>
      <c r="N341" s="3618">
        <v>103</v>
      </c>
      <c r="O341" s="3619">
        <f t="shared" si="4"/>
        <v>27.613941018766756</v>
      </c>
      <c r="P341" s="3618">
        <v>96.1</v>
      </c>
      <c r="Q341" s="3618">
        <v>3.9</v>
      </c>
      <c r="R341" s="3532">
        <v>3</v>
      </c>
      <c r="S341" s="3532">
        <v>0</v>
      </c>
      <c r="T341" s="3532">
        <v>0</v>
      </c>
      <c r="U341" s="3532">
        <v>18.8</v>
      </c>
      <c r="V341" s="3532">
        <v>81.3</v>
      </c>
      <c r="W341" s="3527"/>
      <c r="X341" s="3527"/>
      <c r="Y341" s="3527"/>
      <c r="Z341" s="3527"/>
      <c r="AA341" s="3527"/>
      <c r="AB341" s="3527"/>
      <c r="AC341" s="3527"/>
      <c r="AD341" s="3527"/>
      <c r="AE341" s="3527"/>
      <c r="AF341" s="3527"/>
      <c r="AG341" s="3527"/>
      <c r="AH341" s="3527"/>
    </row>
    <row r="342" spans="1:34" ht="15.75" customHeight="1">
      <c r="H342" s="7153"/>
      <c r="I342" s="7155"/>
      <c r="J342" s="3616" t="s">
        <v>2226</v>
      </c>
      <c r="K342" s="7158"/>
      <c r="L342" s="4039"/>
      <c r="M342" s="3617">
        <v>23</v>
      </c>
      <c r="N342" s="3618">
        <v>17</v>
      </c>
      <c r="O342" s="3619">
        <f t="shared" si="4"/>
        <v>73.913043478260875</v>
      </c>
      <c r="P342" s="3618">
        <v>94.1</v>
      </c>
      <c r="Q342" s="3618">
        <v>5.9</v>
      </c>
      <c r="R342" s="3532">
        <v>0</v>
      </c>
      <c r="S342" s="3532">
        <v>0</v>
      </c>
      <c r="T342" s="3532">
        <v>6.1</v>
      </c>
      <c r="U342" s="3532">
        <v>20.399999999999999</v>
      </c>
      <c r="V342" s="3532">
        <v>73.5</v>
      </c>
      <c r="W342" s="3527"/>
      <c r="X342" s="3527"/>
      <c r="Y342" s="3527"/>
      <c r="Z342" s="3527"/>
      <c r="AA342" s="3527"/>
      <c r="AB342" s="3527"/>
      <c r="AC342" s="3527"/>
      <c r="AD342" s="3527"/>
      <c r="AE342" s="3527"/>
      <c r="AF342" s="3527"/>
      <c r="AG342" s="3527"/>
      <c r="AH342" s="3527"/>
    </row>
    <row r="343" spans="1:34">
      <c r="H343" s="7153"/>
      <c r="I343" s="7155"/>
      <c r="J343" s="3616" t="s">
        <v>2227</v>
      </c>
      <c r="K343" s="7158"/>
      <c r="L343" s="4039"/>
      <c r="M343" s="3617">
        <v>70</v>
      </c>
      <c r="N343" s="3618">
        <v>56</v>
      </c>
      <c r="O343" s="3619">
        <f t="shared" si="4"/>
        <v>80</v>
      </c>
      <c r="P343" s="3618">
        <v>89.3</v>
      </c>
      <c r="Q343" s="3618">
        <v>10.7</v>
      </c>
      <c r="R343" s="3532">
        <v>0</v>
      </c>
      <c r="S343" s="3532">
        <v>0</v>
      </c>
      <c r="T343" s="3532">
        <v>12.3</v>
      </c>
      <c r="U343" s="3532">
        <v>9.1999999999999993</v>
      </c>
      <c r="V343" s="3532">
        <v>75.400000000000006</v>
      </c>
      <c r="W343" s="3527"/>
      <c r="X343" s="3527"/>
      <c r="Y343" s="3527"/>
      <c r="Z343" s="3527"/>
      <c r="AA343" s="3527"/>
      <c r="AB343" s="3527"/>
      <c r="AC343" s="3527"/>
      <c r="AD343" s="3527"/>
      <c r="AE343" s="3527"/>
      <c r="AF343" s="3527"/>
      <c r="AG343" s="3527"/>
      <c r="AH343" s="3527"/>
    </row>
    <row r="344" spans="1:34">
      <c r="H344" s="7153"/>
      <c r="I344" s="7155" t="s">
        <v>2173</v>
      </c>
      <c r="J344" s="3616" t="s">
        <v>2231</v>
      </c>
      <c r="K344" s="7158" t="s">
        <v>257</v>
      </c>
      <c r="L344" s="4039"/>
      <c r="M344" s="3617">
        <v>102</v>
      </c>
      <c r="N344" s="3618">
        <v>79</v>
      </c>
      <c r="O344" s="3619">
        <f t="shared" si="4"/>
        <v>77.450980392156865</v>
      </c>
      <c r="P344" s="3618">
        <v>82.1</v>
      </c>
      <c r="Q344" s="3618">
        <v>17.899999999999999</v>
      </c>
      <c r="R344" s="3532">
        <v>0</v>
      </c>
      <c r="S344" s="3532">
        <v>3.1</v>
      </c>
      <c r="T344" s="3532">
        <v>16.7</v>
      </c>
      <c r="U344" s="3532">
        <v>16.7</v>
      </c>
      <c r="V344" s="3532">
        <v>66.7</v>
      </c>
      <c r="W344" s="3527"/>
      <c r="X344" s="3527"/>
      <c r="Y344" s="3527"/>
      <c r="Z344" s="3527"/>
      <c r="AA344" s="3527"/>
      <c r="AB344" s="3527"/>
      <c r="AC344" s="3527"/>
      <c r="AD344" s="3527"/>
      <c r="AE344" s="3527"/>
      <c r="AF344" s="3527"/>
      <c r="AG344" s="3527"/>
      <c r="AH344" s="3527"/>
    </row>
    <row r="345" spans="1:34">
      <c r="H345" s="7153"/>
      <c r="I345" s="7155"/>
      <c r="J345" s="3616" t="s">
        <v>445</v>
      </c>
      <c r="K345" s="7158"/>
      <c r="L345" s="4039"/>
      <c r="M345" s="3617">
        <v>76</v>
      </c>
      <c r="N345" s="3618">
        <v>6</v>
      </c>
      <c r="O345" s="3619">
        <f t="shared" si="4"/>
        <v>7.8947368421052628</v>
      </c>
      <c r="P345" s="3618">
        <v>100</v>
      </c>
      <c r="Q345" s="3618">
        <v>0</v>
      </c>
      <c r="R345" s="3532">
        <v>0</v>
      </c>
      <c r="S345" s="3532">
        <v>0</v>
      </c>
      <c r="T345" s="3532">
        <v>3.3</v>
      </c>
      <c r="U345" s="3532">
        <v>13.3</v>
      </c>
      <c r="V345" s="3532">
        <v>70</v>
      </c>
      <c r="W345" s="3527"/>
      <c r="X345" s="3527"/>
      <c r="Y345" s="3527"/>
      <c r="Z345" s="3527"/>
      <c r="AA345" s="3527"/>
      <c r="AB345" s="3527"/>
      <c r="AC345" s="3527"/>
      <c r="AD345" s="3527"/>
      <c r="AE345" s="3527"/>
      <c r="AF345" s="3527"/>
      <c r="AG345" s="3527"/>
      <c r="AH345" s="3527"/>
    </row>
    <row r="346" spans="1:34">
      <c r="H346" s="7153"/>
      <c r="I346" s="7155"/>
      <c r="J346" s="3616" t="s">
        <v>2229</v>
      </c>
      <c r="K346" s="7158"/>
      <c r="L346" s="4039"/>
      <c r="M346" s="3617">
        <v>45</v>
      </c>
      <c r="N346" s="3618">
        <v>30</v>
      </c>
      <c r="O346" s="3619">
        <f t="shared" si="4"/>
        <v>66.666666666666671</v>
      </c>
      <c r="P346" s="3618">
        <v>100</v>
      </c>
      <c r="Q346" s="3618">
        <v>0</v>
      </c>
      <c r="R346" s="3532">
        <v>6.7</v>
      </c>
      <c r="S346" s="3532">
        <v>6.7</v>
      </c>
      <c r="T346" s="3532">
        <v>0</v>
      </c>
      <c r="U346" s="3532">
        <v>0</v>
      </c>
      <c r="V346" s="3532">
        <v>90</v>
      </c>
      <c r="W346" s="3527"/>
      <c r="X346" s="3527"/>
      <c r="Y346" s="3527"/>
      <c r="Z346" s="3527"/>
      <c r="AA346" s="3527"/>
      <c r="AB346" s="3527"/>
      <c r="AC346" s="3527"/>
      <c r="AD346" s="3527"/>
      <c r="AE346" s="3527"/>
      <c r="AF346" s="3527"/>
      <c r="AG346" s="3527"/>
      <c r="AH346" s="3527"/>
    </row>
    <row r="347" spans="1:34">
      <c r="H347" s="7153"/>
      <c r="I347" s="7155"/>
      <c r="J347" s="3616" t="s">
        <v>2230</v>
      </c>
      <c r="K347" s="7158"/>
      <c r="L347" s="4039"/>
      <c r="M347" s="3617">
        <v>30</v>
      </c>
      <c r="N347" s="3618">
        <v>12</v>
      </c>
      <c r="O347" s="3619">
        <f t="shared" si="4"/>
        <v>40</v>
      </c>
      <c r="P347" s="3618">
        <v>83.3</v>
      </c>
      <c r="Q347" s="3618">
        <v>16.7</v>
      </c>
      <c r="R347" s="3532">
        <v>10</v>
      </c>
      <c r="S347" s="3532">
        <v>0</v>
      </c>
      <c r="T347" s="3532" t="s">
        <v>556</v>
      </c>
      <c r="U347" s="3532" t="s">
        <v>556</v>
      </c>
      <c r="V347" s="3532" t="s">
        <v>556</v>
      </c>
      <c r="W347" s="3527"/>
      <c r="X347" s="3527"/>
      <c r="Y347" s="3527"/>
      <c r="Z347" s="3527"/>
      <c r="AA347" s="3527"/>
      <c r="AB347" s="3527"/>
      <c r="AC347" s="3527"/>
      <c r="AD347" s="3527"/>
      <c r="AE347" s="3527"/>
      <c r="AF347" s="3527"/>
      <c r="AG347" s="3527"/>
      <c r="AH347" s="3527"/>
    </row>
    <row r="348" spans="1:34">
      <c r="H348" s="7153"/>
      <c r="I348" s="7155"/>
      <c r="J348" s="3616" t="s">
        <v>2085</v>
      </c>
      <c r="K348" s="7158"/>
      <c r="L348" s="4039"/>
      <c r="M348" s="3617">
        <v>10</v>
      </c>
      <c r="N348" s="3618">
        <v>0</v>
      </c>
      <c r="O348" s="3619">
        <f t="shared" si="4"/>
        <v>0</v>
      </c>
      <c r="P348" s="3618" t="s">
        <v>556</v>
      </c>
      <c r="Q348" s="3618" t="s">
        <v>556</v>
      </c>
      <c r="R348" s="3532" t="s">
        <v>556</v>
      </c>
      <c r="S348" s="3532" t="s">
        <v>556</v>
      </c>
      <c r="T348" s="3532" t="s">
        <v>556</v>
      </c>
      <c r="U348" s="3532" t="s">
        <v>556</v>
      </c>
      <c r="V348" s="3532" t="s">
        <v>556</v>
      </c>
      <c r="W348" s="3527"/>
      <c r="X348" s="3527"/>
      <c r="Y348" s="3527"/>
      <c r="Z348" s="3527"/>
      <c r="AA348" s="3527"/>
      <c r="AB348" s="3527"/>
      <c r="AC348" s="3527"/>
      <c r="AD348" s="3527"/>
      <c r="AE348" s="3527"/>
      <c r="AF348" s="3527"/>
      <c r="AG348" s="3527"/>
      <c r="AH348" s="3527"/>
    </row>
    <row r="349" spans="1:34">
      <c r="H349" s="7153"/>
      <c r="I349" s="7155"/>
      <c r="J349" s="3616" t="s">
        <v>294</v>
      </c>
      <c r="K349" s="7158"/>
      <c r="L349" s="4039"/>
      <c r="M349" s="3617">
        <v>1</v>
      </c>
      <c r="N349" s="3618">
        <v>0</v>
      </c>
      <c r="O349" s="3619">
        <f t="shared" si="4"/>
        <v>0</v>
      </c>
      <c r="P349" s="3618" t="s">
        <v>556</v>
      </c>
      <c r="Q349" s="3618" t="s">
        <v>556</v>
      </c>
      <c r="R349" s="3532" t="s">
        <v>556</v>
      </c>
      <c r="S349" s="3532" t="s">
        <v>556</v>
      </c>
      <c r="T349" s="3532">
        <v>13.6</v>
      </c>
      <c r="U349" s="3532">
        <v>22.3</v>
      </c>
      <c r="V349" s="3532">
        <v>52.4</v>
      </c>
      <c r="W349" s="3527"/>
      <c r="X349" s="3527"/>
      <c r="Y349" s="3527"/>
      <c r="Z349" s="3527"/>
      <c r="AA349" s="3527"/>
      <c r="AB349" s="3527"/>
      <c r="AC349" s="3527"/>
      <c r="AD349" s="3527"/>
      <c r="AE349" s="3527"/>
      <c r="AF349" s="3527"/>
      <c r="AG349" s="3527"/>
      <c r="AH349" s="3527"/>
    </row>
    <row r="350" spans="1:34">
      <c r="H350" s="7153"/>
      <c r="I350" s="7155"/>
      <c r="J350" s="3616" t="s">
        <v>2231</v>
      </c>
      <c r="K350" s="7158" t="s">
        <v>243</v>
      </c>
      <c r="L350" s="4039"/>
      <c r="M350" s="3617">
        <v>201</v>
      </c>
      <c r="N350" s="3618">
        <v>120</v>
      </c>
      <c r="O350" s="3619">
        <f t="shared" si="4"/>
        <v>59.701492537313435</v>
      </c>
      <c r="P350" s="3618">
        <v>85.8</v>
      </c>
      <c r="Q350" s="3618">
        <v>14.2</v>
      </c>
      <c r="R350" s="3532">
        <v>2.9</v>
      </c>
      <c r="S350" s="3532">
        <v>8.6999999999999993</v>
      </c>
      <c r="T350" s="3532">
        <v>16.7</v>
      </c>
      <c r="U350" s="3532">
        <v>23</v>
      </c>
      <c r="V350" s="3532">
        <v>53.2</v>
      </c>
      <c r="W350" s="3527"/>
      <c r="X350" s="3527"/>
      <c r="Y350" s="3527"/>
      <c r="Z350" s="3527"/>
      <c r="AA350" s="3527"/>
      <c r="AB350" s="3527"/>
      <c r="AC350" s="3527"/>
      <c r="AD350" s="3527"/>
      <c r="AE350" s="3527"/>
      <c r="AF350" s="3527"/>
      <c r="AG350" s="3527"/>
      <c r="AH350" s="3527"/>
    </row>
    <row r="351" spans="1:34">
      <c r="H351" s="7153"/>
      <c r="I351" s="7155"/>
      <c r="J351" s="3616" t="s">
        <v>293</v>
      </c>
      <c r="K351" s="7158"/>
      <c r="L351" s="4039"/>
      <c r="M351" s="3617">
        <v>227</v>
      </c>
      <c r="N351" s="3618">
        <v>142</v>
      </c>
      <c r="O351" s="3619">
        <f t="shared" si="4"/>
        <v>62.555066079295152</v>
      </c>
      <c r="P351" s="3618">
        <v>89.4</v>
      </c>
      <c r="Q351" s="3618">
        <v>10.6</v>
      </c>
      <c r="R351" s="3532">
        <v>3.2</v>
      </c>
      <c r="S351" s="3532">
        <v>4</v>
      </c>
      <c r="T351" s="3532">
        <v>17.5</v>
      </c>
      <c r="U351" s="3532">
        <v>23.8</v>
      </c>
      <c r="V351" s="3532">
        <v>47.5</v>
      </c>
      <c r="W351" s="3527"/>
      <c r="X351" s="3527"/>
      <c r="Y351" s="3527"/>
      <c r="Z351" s="3527"/>
      <c r="AA351" s="3527"/>
      <c r="AB351" s="3527"/>
      <c r="AC351" s="3527"/>
      <c r="AD351" s="3527"/>
      <c r="AE351" s="3527"/>
      <c r="AF351" s="3527"/>
      <c r="AG351" s="3527"/>
      <c r="AH351" s="3527"/>
    </row>
    <row r="352" spans="1:34">
      <c r="H352" s="7153"/>
      <c r="I352" s="7155"/>
      <c r="J352" s="3616" t="s">
        <v>665</v>
      </c>
      <c r="K352" s="7158"/>
      <c r="L352" s="4039"/>
      <c r="M352" s="3617">
        <v>123</v>
      </c>
      <c r="N352" s="3618">
        <v>109</v>
      </c>
      <c r="O352" s="3619">
        <f t="shared" si="4"/>
        <v>88.617886178861795</v>
      </c>
      <c r="P352" s="3618">
        <v>75.2</v>
      </c>
      <c r="Q352" s="3618">
        <v>24.8</v>
      </c>
      <c r="R352" s="3532">
        <v>3.8</v>
      </c>
      <c r="S352" s="3532">
        <v>7.5</v>
      </c>
      <c r="T352" s="3532">
        <v>0</v>
      </c>
      <c r="U352" s="3532">
        <v>0</v>
      </c>
      <c r="V352" s="3532">
        <v>100</v>
      </c>
      <c r="W352" s="3527"/>
      <c r="X352" s="3527"/>
      <c r="Y352" s="3527"/>
      <c r="Z352" s="3527"/>
      <c r="AA352" s="3527"/>
      <c r="AB352" s="3527"/>
      <c r="AC352" s="3527"/>
      <c r="AD352" s="3527"/>
      <c r="AE352" s="3527"/>
      <c r="AF352" s="3527"/>
      <c r="AG352" s="3527"/>
      <c r="AH352" s="3527"/>
    </row>
    <row r="353" spans="8:34">
      <c r="H353" s="7153"/>
      <c r="I353" s="7155"/>
      <c r="J353" s="3616" t="s">
        <v>330</v>
      </c>
      <c r="K353" s="7158"/>
      <c r="L353" s="4039"/>
      <c r="M353" s="3617">
        <v>24</v>
      </c>
      <c r="N353" s="3618">
        <v>3</v>
      </c>
      <c r="O353" s="3619">
        <f t="shared" si="4"/>
        <v>12.5</v>
      </c>
      <c r="P353" s="3618">
        <v>66.7</v>
      </c>
      <c r="Q353" s="3618">
        <v>33.299999999999997</v>
      </c>
      <c r="R353" s="3532">
        <v>0</v>
      </c>
      <c r="S353" s="3532">
        <v>0</v>
      </c>
      <c r="T353" s="3532">
        <v>9.5</v>
      </c>
      <c r="U353" s="3532">
        <v>28.6</v>
      </c>
      <c r="V353" s="3532">
        <v>59.5</v>
      </c>
      <c r="W353" s="3527"/>
      <c r="X353" s="3527"/>
      <c r="Y353" s="3527"/>
      <c r="Z353" s="3527"/>
      <c r="AA353" s="3527"/>
      <c r="AB353" s="3527"/>
      <c r="AC353" s="3527"/>
      <c r="AD353" s="3527"/>
      <c r="AE353" s="3527"/>
      <c r="AF353" s="3527"/>
      <c r="AG353" s="3527"/>
      <c r="AH353" s="3527"/>
    </row>
    <row r="354" spans="8:34">
      <c r="H354" s="7153"/>
      <c r="I354" s="7155"/>
      <c r="J354" s="3616" t="s">
        <v>295</v>
      </c>
      <c r="K354" s="7158"/>
      <c r="L354" s="4039"/>
      <c r="M354" s="3617">
        <v>180</v>
      </c>
      <c r="N354" s="3618">
        <v>108</v>
      </c>
      <c r="O354" s="3619">
        <f t="shared" si="4"/>
        <v>60</v>
      </c>
      <c r="P354" s="3618">
        <v>77.8</v>
      </c>
      <c r="Q354" s="3618">
        <v>22.2</v>
      </c>
      <c r="R354" s="3532">
        <v>1.2</v>
      </c>
      <c r="S354" s="3532">
        <v>1.2</v>
      </c>
      <c r="T354" s="3532">
        <v>18.2</v>
      </c>
      <c r="U354" s="3532">
        <v>29.5</v>
      </c>
      <c r="V354" s="3532">
        <v>36.4</v>
      </c>
      <c r="W354" s="3527"/>
      <c r="X354" s="3527"/>
      <c r="Y354" s="3527"/>
      <c r="Z354" s="3527"/>
      <c r="AA354" s="3527"/>
      <c r="AB354" s="3527"/>
      <c r="AC354" s="3527"/>
      <c r="AD354" s="3527"/>
      <c r="AE354" s="3527"/>
      <c r="AF354" s="3527"/>
      <c r="AG354" s="3527"/>
      <c r="AH354" s="3527"/>
    </row>
    <row r="355" spans="8:34">
      <c r="H355" s="7153"/>
      <c r="I355" s="7155"/>
      <c r="J355" s="3616" t="s">
        <v>292</v>
      </c>
      <c r="K355" s="7158"/>
      <c r="L355" s="4039"/>
      <c r="M355" s="3617">
        <v>200</v>
      </c>
      <c r="N355" s="3618">
        <v>118</v>
      </c>
      <c r="O355" s="3619">
        <f t="shared" si="4"/>
        <v>59</v>
      </c>
      <c r="P355" s="3618">
        <v>65.2</v>
      </c>
      <c r="Q355" s="3618">
        <v>34.799999999999997</v>
      </c>
      <c r="R355" s="3532">
        <v>9.1</v>
      </c>
      <c r="S355" s="3532">
        <v>6.8</v>
      </c>
      <c r="T355" s="3532">
        <v>0</v>
      </c>
      <c r="U355" s="3532">
        <v>28.6</v>
      </c>
      <c r="V355" s="3532">
        <v>71.400000000000006</v>
      </c>
      <c r="W355" s="3527"/>
      <c r="X355" s="3527"/>
      <c r="Y355" s="3527"/>
      <c r="Z355" s="3527"/>
      <c r="AA355" s="3527"/>
      <c r="AB355" s="3527"/>
      <c r="AC355" s="3527"/>
      <c r="AD355" s="3527"/>
      <c r="AE355" s="3527"/>
      <c r="AF355" s="3527"/>
      <c r="AG355" s="3527"/>
      <c r="AH355" s="3527"/>
    </row>
    <row r="356" spans="8:34">
      <c r="H356" s="7153"/>
      <c r="I356" s="7155"/>
      <c r="J356" s="3616" t="s">
        <v>2230</v>
      </c>
      <c r="K356" s="7158"/>
      <c r="L356" s="4039"/>
      <c r="M356" s="3617">
        <v>10</v>
      </c>
      <c r="N356" s="3618">
        <v>8</v>
      </c>
      <c r="O356" s="3619">
        <f t="shared" si="4"/>
        <v>80</v>
      </c>
      <c r="P356" s="3618">
        <v>87.5</v>
      </c>
      <c r="Q356" s="3618">
        <v>12.5</v>
      </c>
      <c r="R356" s="3532">
        <v>0</v>
      </c>
      <c r="S356" s="3532">
        <v>0</v>
      </c>
      <c r="T356" s="3621">
        <v>25</v>
      </c>
      <c r="U356" s="3621">
        <v>25</v>
      </c>
      <c r="V356" s="3621">
        <v>50</v>
      </c>
      <c r="W356" s="3527"/>
      <c r="X356" s="3527"/>
      <c r="Y356" s="3527"/>
      <c r="Z356" s="3527"/>
      <c r="AA356" s="3527"/>
      <c r="AB356" s="3527"/>
      <c r="AC356" s="3527"/>
      <c r="AD356" s="3527"/>
      <c r="AE356" s="3527"/>
      <c r="AF356" s="3527"/>
      <c r="AG356" s="3527"/>
      <c r="AH356" s="3527"/>
    </row>
    <row r="357" spans="8:34">
      <c r="H357" s="7153"/>
      <c r="I357" s="7155"/>
      <c r="J357" s="3616" t="s">
        <v>610</v>
      </c>
      <c r="K357" s="7158"/>
      <c r="L357" s="4039"/>
      <c r="M357" s="3617">
        <v>21</v>
      </c>
      <c r="N357" s="3623">
        <v>13</v>
      </c>
      <c r="O357" s="3624">
        <f t="shared" si="4"/>
        <v>61.904761904761905</v>
      </c>
      <c r="P357" s="3623">
        <v>30.8</v>
      </c>
      <c r="Q357" s="3623">
        <v>69.2</v>
      </c>
      <c r="R357" s="3621">
        <v>0</v>
      </c>
      <c r="S357" s="3621">
        <v>0</v>
      </c>
      <c r="T357" s="3532">
        <v>12.5</v>
      </c>
      <c r="U357" s="3532">
        <v>25</v>
      </c>
      <c r="V357" s="3532">
        <v>62.5</v>
      </c>
      <c r="W357" s="3527"/>
      <c r="X357" s="3527"/>
      <c r="Y357" s="3527"/>
      <c r="Z357" s="3527"/>
      <c r="AA357" s="3527"/>
      <c r="AB357" s="3527"/>
      <c r="AC357" s="3527"/>
      <c r="AD357" s="3527"/>
      <c r="AE357" s="3527"/>
      <c r="AF357" s="3527"/>
      <c r="AG357" s="3527"/>
      <c r="AH357" s="3527"/>
    </row>
    <row r="358" spans="8:34">
      <c r="H358" s="7153"/>
      <c r="I358" s="7155"/>
      <c r="J358" s="3616" t="s">
        <v>2085</v>
      </c>
      <c r="K358" s="7158"/>
      <c r="L358" s="4039"/>
      <c r="M358" s="3617">
        <v>19</v>
      </c>
      <c r="N358" s="3618">
        <v>16</v>
      </c>
      <c r="O358" s="3619">
        <f t="shared" si="4"/>
        <v>84.21052631578948</v>
      </c>
      <c r="P358" s="3618">
        <v>100</v>
      </c>
      <c r="Q358" s="3618">
        <v>0</v>
      </c>
      <c r="R358" s="3532">
        <v>0</v>
      </c>
      <c r="S358" s="3532">
        <v>0</v>
      </c>
      <c r="T358" s="3532" t="s">
        <v>556</v>
      </c>
      <c r="U358" s="3532" t="s">
        <v>556</v>
      </c>
      <c r="V358" s="3532" t="s">
        <v>556</v>
      </c>
      <c r="W358" s="3527"/>
      <c r="X358" s="3527"/>
      <c r="Y358" s="3527"/>
      <c r="Z358" s="3527"/>
      <c r="AA358" s="3527"/>
      <c r="AB358" s="3527"/>
      <c r="AC358" s="3527"/>
      <c r="AD358" s="3527"/>
      <c r="AE358" s="3527"/>
      <c r="AF358" s="3527"/>
      <c r="AG358" s="3527"/>
      <c r="AH358" s="3527"/>
    </row>
    <row r="359" spans="8:34">
      <c r="H359" s="7153"/>
      <c r="I359" s="7155"/>
      <c r="J359" s="3616" t="s">
        <v>294</v>
      </c>
      <c r="K359" s="7158"/>
      <c r="L359" s="4039"/>
      <c r="M359" s="3617">
        <v>7</v>
      </c>
      <c r="N359" s="3618">
        <v>0</v>
      </c>
      <c r="O359" s="3619">
        <f t="shared" ref="O359:O372" si="5">N359*100/M359</f>
        <v>0</v>
      </c>
      <c r="P359" s="3618" t="s">
        <v>556</v>
      </c>
      <c r="Q359" s="3618" t="s">
        <v>556</v>
      </c>
      <c r="R359" s="3532" t="s">
        <v>556</v>
      </c>
      <c r="S359" s="3532" t="s">
        <v>556</v>
      </c>
      <c r="T359" s="3532">
        <v>3.4</v>
      </c>
      <c r="U359" s="3532">
        <v>20.7</v>
      </c>
      <c r="V359" s="3532">
        <v>72.400000000000006</v>
      </c>
      <c r="W359" s="3527"/>
      <c r="X359" s="3527"/>
      <c r="Y359" s="3527"/>
      <c r="Z359" s="3527"/>
      <c r="AA359" s="3527"/>
      <c r="AB359" s="3527"/>
      <c r="AC359" s="3527"/>
      <c r="AD359" s="3527"/>
      <c r="AE359" s="3527"/>
      <c r="AF359" s="3527"/>
      <c r="AG359" s="3527"/>
      <c r="AH359" s="3527"/>
    </row>
    <row r="360" spans="8:34">
      <c r="H360" s="7153"/>
      <c r="I360" s="7155"/>
      <c r="J360" s="3616" t="s">
        <v>296</v>
      </c>
      <c r="K360" s="7158" t="s">
        <v>244</v>
      </c>
      <c r="L360" s="4039"/>
      <c r="M360" s="3617">
        <v>69</v>
      </c>
      <c r="N360" s="3618">
        <v>32</v>
      </c>
      <c r="O360" s="3619">
        <f t="shared" si="5"/>
        <v>46.376811594202898</v>
      </c>
      <c r="P360" s="3618">
        <v>96.9</v>
      </c>
      <c r="Q360" s="3618">
        <v>3.1</v>
      </c>
      <c r="R360" s="3532">
        <v>0</v>
      </c>
      <c r="S360" s="3532">
        <v>3.4</v>
      </c>
      <c r="T360" s="3532">
        <v>0</v>
      </c>
      <c r="U360" s="3532">
        <v>0</v>
      </c>
      <c r="V360" s="3532">
        <v>100</v>
      </c>
      <c r="W360" s="3527"/>
      <c r="X360" s="3527"/>
      <c r="Y360" s="3527"/>
      <c r="Z360" s="3527"/>
      <c r="AA360" s="3527"/>
      <c r="AB360" s="3527"/>
      <c r="AC360" s="3527"/>
      <c r="AD360" s="3527"/>
      <c r="AE360" s="3527"/>
      <c r="AF360" s="3527"/>
      <c r="AG360" s="3527"/>
      <c r="AH360" s="3527"/>
    </row>
    <row r="361" spans="8:34">
      <c r="H361" s="7153"/>
      <c r="I361" s="7155"/>
      <c r="J361" s="3616" t="s">
        <v>525</v>
      </c>
      <c r="K361" s="7158"/>
      <c r="L361" s="4039"/>
      <c r="M361" s="3617">
        <v>11</v>
      </c>
      <c r="N361" s="3618">
        <v>5</v>
      </c>
      <c r="O361" s="3619">
        <f t="shared" si="5"/>
        <v>45.454545454545453</v>
      </c>
      <c r="P361" s="3618">
        <v>100</v>
      </c>
      <c r="Q361" s="3618">
        <v>0</v>
      </c>
      <c r="R361" s="3532">
        <v>0</v>
      </c>
      <c r="S361" s="3532">
        <v>0</v>
      </c>
      <c r="T361" s="3532">
        <v>13.7</v>
      </c>
      <c r="U361" s="3532">
        <v>16</v>
      </c>
      <c r="V361" s="3532">
        <v>56.6</v>
      </c>
      <c r="W361" s="3527"/>
      <c r="X361" s="3527"/>
      <c r="Y361" s="3527"/>
      <c r="Z361" s="3527"/>
      <c r="AA361" s="3527"/>
      <c r="AB361" s="3527"/>
      <c r="AC361" s="3527"/>
      <c r="AD361" s="3527"/>
      <c r="AE361" s="3527"/>
      <c r="AF361" s="3527"/>
      <c r="AG361" s="3527"/>
      <c r="AH361" s="3527"/>
    </row>
    <row r="362" spans="8:34">
      <c r="H362" s="7153"/>
      <c r="I362" s="7155" t="s">
        <v>2172</v>
      </c>
      <c r="J362" s="3616" t="s">
        <v>297</v>
      </c>
      <c r="K362" s="7158" t="s">
        <v>243</v>
      </c>
      <c r="L362" s="4039"/>
      <c r="M362" s="3617">
        <v>301</v>
      </c>
      <c r="N362" s="3618">
        <v>236</v>
      </c>
      <c r="O362" s="3619">
        <f t="shared" si="5"/>
        <v>78.405315614617933</v>
      </c>
      <c r="P362" s="3618">
        <v>74</v>
      </c>
      <c r="Q362" s="3618">
        <v>26</v>
      </c>
      <c r="R362" s="3532">
        <v>8.6</v>
      </c>
      <c r="S362" s="3532">
        <v>5.0999999999999996</v>
      </c>
      <c r="T362" s="3532">
        <v>17.2</v>
      </c>
      <c r="U362" s="3532">
        <v>20.7</v>
      </c>
      <c r="V362" s="3532">
        <v>48.3</v>
      </c>
      <c r="W362" s="3527"/>
      <c r="X362" s="3527"/>
      <c r="Y362" s="3527"/>
      <c r="Z362" s="3527"/>
      <c r="AA362" s="3527"/>
      <c r="AB362" s="3527"/>
      <c r="AC362" s="3527"/>
      <c r="AD362" s="3527"/>
      <c r="AE362" s="3527"/>
      <c r="AF362" s="3527"/>
      <c r="AG362" s="3527"/>
      <c r="AH362" s="3527"/>
    </row>
    <row r="363" spans="8:34">
      <c r="H363" s="7153"/>
      <c r="I363" s="7155"/>
      <c r="J363" s="3616" t="s">
        <v>2087</v>
      </c>
      <c r="K363" s="7158"/>
      <c r="L363" s="4039"/>
      <c r="M363" s="3617">
        <v>58</v>
      </c>
      <c r="N363" s="3618">
        <v>31</v>
      </c>
      <c r="O363" s="3619">
        <f t="shared" si="5"/>
        <v>53.448275862068968</v>
      </c>
      <c r="P363" s="3618">
        <v>93.5</v>
      </c>
      <c r="Q363" s="3618">
        <v>6.5</v>
      </c>
      <c r="R363" s="3532">
        <v>6.9</v>
      </c>
      <c r="S363" s="3532">
        <v>6.9</v>
      </c>
      <c r="T363" s="3532" t="s">
        <v>556</v>
      </c>
      <c r="U363" s="3532" t="s">
        <v>556</v>
      </c>
      <c r="V363" s="3532" t="s">
        <v>556</v>
      </c>
      <c r="W363" s="3527"/>
      <c r="X363" s="3527"/>
      <c r="Y363" s="3527"/>
      <c r="Z363" s="3527"/>
      <c r="AA363" s="3527"/>
      <c r="AB363" s="3527"/>
      <c r="AC363" s="3527"/>
      <c r="AD363" s="3527"/>
      <c r="AE363" s="3527"/>
      <c r="AF363" s="3527"/>
      <c r="AG363" s="3527"/>
      <c r="AH363" s="3527"/>
    </row>
    <row r="364" spans="8:34">
      <c r="H364" s="7153"/>
      <c r="I364" s="7155"/>
      <c r="J364" s="3616" t="s">
        <v>2088</v>
      </c>
      <c r="K364" s="7158"/>
      <c r="L364" s="4039"/>
      <c r="M364" s="3617">
        <v>67</v>
      </c>
      <c r="N364" s="3618">
        <v>0</v>
      </c>
      <c r="O364" s="3619">
        <f t="shared" si="5"/>
        <v>0</v>
      </c>
      <c r="P364" s="3618" t="s">
        <v>556</v>
      </c>
      <c r="Q364" s="3618" t="s">
        <v>556</v>
      </c>
      <c r="R364" s="3532" t="s">
        <v>556</v>
      </c>
      <c r="S364" s="3532" t="s">
        <v>556</v>
      </c>
      <c r="T364" s="3532">
        <v>17.899999999999999</v>
      </c>
      <c r="U364" s="3532">
        <v>25</v>
      </c>
      <c r="V364" s="3532">
        <v>46.4</v>
      </c>
      <c r="W364" s="3527"/>
      <c r="X364" s="3527"/>
      <c r="Y364" s="3527"/>
      <c r="Z364" s="3527"/>
      <c r="AA364" s="3527"/>
      <c r="AB364" s="3527"/>
      <c r="AC364" s="3527"/>
      <c r="AD364" s="3527"/>
      <c r="AE364" s="3527"/>
      <c r="AF364" s="3527"/>
      <c r="AG364" s="3527"/>
      <c r="AH364" s="3527"/>
    </row>
    <row r="365" spans="8:34">
      <c r="H365" s="7154"/>
      <c r="I365" s="7155"/>
      <c r="J365" s="3616" t="s">
        <v>298</v>
      </c>
      <c r="K365" s="3622" t="s">
        <v>244</v>
      </c>
      <c r="L365" s="4039"/>
      <c r="M365" s="3617">
        <v>47</v>
      </c>
      <c r="N365" s="3618">
        <v>29</v>
      </c>
      <c r="O365" s="3619">
        <f t="shared" si="5"/>
        <v>61.702127659574465</v>
      </c>
      <c r="P365" s="3618">
        <v>96.6</v>
      </c>
      <c r="Q365" s="3618">
        <v>3.4</v>
      </c>
      <c r="R365" s="3532">
        <v>3.6</v>
      </c>
      <c r="S365" s="3532">
        <v>7.1</v>
      </c>
      <c r="T365" s="3532">
        <v>27.3</v>
      </c>
      <c r="U365" s="3532">
        <v>27.3</v>
      </c>
      <c r="V365" s="3532">
        <v>31.8</v>
      </c>
      <c r="W365" s="3527"/>
      <c r="X365" s="3527"/>
      <c r="Y365" s="3527"/>
      <c r="Z365" s="3527"/>
      <c r="AA365" s="3527"/>
      <c r="AB365" s="3527"/>
      <c r="AC365" s="3527"/>
      <c r="AD365" s="3527"/>
      <c r="AE365" s="3527"/>
      <c r="AF365" s="3527"/>
      <c r="AG365" s="3527"/>
      <c r="AH365" s="3527"/>
    </row>
    <row r="366" spans="8:34">
      <c r="H366" s="7152" t="s">
        <v>59</v>
      </c>
      <c r="I366" s="7155" t="s">
        <v>2171</v>
      </c>
      <c r="J366" s="3616" t="s">
        <v>608</v>
      </c>
      <c r="K366" s="3622" t="s">
        <v>243</v>
      </c>
      <c r="L366" s="4039"/>
      <c r="M366" s="3617">
        <v>62</v>
      </c>
      <c r="N366" s="3618">
        <v>35</v>
      </c>
      <c r="O366" s="3619">
        <f t="shared" si="5"/>
        <v>56.451612903225808</v>
      </c>
      <c r="P366" s="3618">
        <v>62.9</v>
      </c>
      <c r="Q366" s="3618">
        <v>37.1</v>
      </c>
      <c r="R366" s="3532">
        <v>9.1</v>
      </c>
      <c r="S366" s="3532">
        <v>4.5</v>
      </c>
      <c r="T366" s="3532">
        <v>0</v>
      </c>
      <c r="U366" s="3532">
        <v>25</v>
      </c>
      <c r="V366" s="3532">
        <v>75</v>
      </c>
      <c r="W366" s="3527"/>
      <c r="X366" s="3527"/>
      <c r="Y366" s="3527"/>
      <c r="Z366" s="3527"/>
      <c r="AA366" s="3527"/>
      <c r="AB366" s="3527"/>
      <c r="AC366" s="3527"/>
      <c r="AD366" s="3527"/>
      <c r="AE366" s="3527"/>
      <c r="AF366" s="3527"/>
      <c r="AG366" s="3527"/>
      <c r="AH366" s="3527"/>
    </row>
    <row r="367" spans="8:34" ht="15" customHeight="1">
      <c r="H367" s="7153"/>
      <c r="I367" s="7155"/>
      <c r="J367" s="3616" t="s">
        <v>608</v>
      </c>
      <c r="K367" s="3622" t="s">
        <v>244</v>
      </c>
      <c r="L367" s="4039"/>
      <c r="M367" s="3617">
        <v>26</v>
      </c>
      <c r="N367" s="3618">
        <v>5</v>
      </c>
      <c r="O367" s="3619">
        <f t="shared" si="5"/>
        <v>19.23076923076923</v>
      </c>
      <c r="P367" s="3618">
        <v>100</v>
      </c>
      <c r="Q367" s="3618">
        <v>0</v>
      </c>
      <c r="R367" s="3532">
        <v>0</v>
      </c>
      <c r="S367" s="3532">
        <v>0</v>
      </c>
      <c r="T367" s="3532">
        <v>15.6</v>
      </c>
      <c r="U367" s="3532">
        <v>35.6</v>
      </c>
      <c r="V367" s="3532">
        <v>46.7</v>
      </c>
      <c r="W367" s="3527"/>
      <c r="X367" s="3527"/>
      <c r="Y367" s="3527"/>
      <c r="Z367" s="3527"/>
      <c r="AA367" s="3527"/>
      <c r="AB367" s="3527"/>
      <c r="AC367" s="3527"/>
      <c r="AD367" s="3527"/>
      <c r="AE367" s="3527"/>
      <c r="AF367" s="3527"/>
      <c r="AG367" s="3527"/>
      <c r="AH367" s="3527"/>
    </row>
    <row r="368" spans="8:34" ht="30.6">
      <c r="H368" s="7153"/>
      <c r="I368" s="3625" t="s">
        <v>2174</v>
      </c>
      <c r="J368" s="3626" t="s">
        <v>383</v>
      </c>
      <c r="K368" s="3622" t="s">
        <v>243</v>
      </c>
      <c r="L368" s="4039"/>
      <c r="M368" s="3617">
        <v>81</v>
      </c>
      <c r="N368" s="3618">
        <v>53</v>
      </c>
      <c r="O368" s="3619">
        <f t="shared" si="5"/>
        <v>65.432098765432102</v>
      </c>
      <c r="P368" s="3618">
        <v>84.3</v>
      </c>
      <c r="Q368" s="3618">
        <v>15.7</v>
      </c>
      <c r="R368" s="3532">
        <v>0</v>
      </c>
      <c r="S368" s="3532">
        <v>2.2000000000000002</v>
      </c>
      <c r="T368" s="3532" t="s">
        <v>556</v>
      </c>
      <c r="U368" s="3532" t="s">
        <v>556</v>
      </c>
      <c r="V368" s="3532" t="s">
        <v>556</v>
      </c>
      <c r="W368" s="3527"/>
      <c r="X368" s="3527"/>
      <c r="Y368" s="3527"/>
      <c r="Z368" s="3527"/>
      <c r="AA368" s="3527"/>
      <c r="AB368" s="3527"/>
      <c r="AC368" s="3527"/>
      <c r="AD368" s="3527"/>
      <c r="AE368" s="3527"/>
      <c r="AF368" s="3527"/>
      <c r="AG368" s="3527"/>
      <c r="AH368" s="3527"/>
    </row>
    <row r="369" spans="8:34">
      <c r="H369" s="7153"/>
      <c r="I369" s="7155" t="s">
        <v>2175</v>
      </c>
      <c r="J369" s="3616" t="s">
        <v>609</v>
      </c>
      <c r="K369" s="3622" t="s">
        <v>257</v>
      </c>
      <c r="L369" s="4039"/>
      <c r="M369" s="3617">
        <v>11</v>
      </c>
      <c r="N369" s="3618">
        <v>0</v>
      </c>
      <c r="O369" s="3619">
        <f t="shared" si="5"/>
        <v>0</v>
      </c>
      <c r="P369" s="3618" t="s">
        <v>556</v>
      </c>
      <c r="Q369" s="3618" t="s">
        <v>556</v>
      </c>
      <c r="R369" s="3532" t="s">
        <v>556</v>
      </c>
      <c r="S369" s="3532" t="s">
        <v>556</v>
      </c>
      <c r="T369" s="3532">
        <v>50</v>
      </c>
      <c r="U369" s="3532">
        <v>0</v>
      </c>
      <c r="V369" s="3532">
        <v>0</v>
      </c>
      <c r="W369" s="3527"/>
      <c r="X369" s="3527"/>
      <c r="Y369" s="3527"/>
      <c r="Z369" s="3527"/>
      <c r="AA369" s="3527"/>
      <c r="AB369" s="3527"/>
      <c r="AC369" s="3527"/>
      <c r="AD369" s="3527"/>
      <c r="AE369" s="3527"/>
      <c r="AF369" s="3527"/>
      <c r="AG369" s="3527"/>
      <c r="AH369" s="3527"/>
    </row>
    <row r="370" spans="8:34">
      <c r="H370" s="7153"/>
      <c r="I370" s="7155"/>
      <c r="J370" s="3616" t="s">
        <v>609</v>
      </c>
      <c r="K370" s="3622" t="s">
        <v>243</v>
      </c>
      <c r="L370" s="4039"/>
      <c r="M370" s="3617">
        <v>34</v>
      </c>
      <c r="N370" s="3618">
        <v>7</v>
      </c>
      <c r="O370" s="3619">
        <f t="shared" si="5"/>
        <v>20.588235294117649</v>
      </c>
      <c r="P370" s="3618">
        <v>57.1</v>
      </c>
      <c r="Q370" s="3618">
        <v>42.9</v>
      </c>
      <c r="R370" s="3532">
        <v>25</v>
      </c>
      <c r="S370" s="3532">
        <v>25</v>
      </c>
      <c r="T370" s="3532">
        <v>0</v>
      </c>
      <c r="U370" s="3532">
        <v>100</v>
      </c>
      <c r="V370" s="3532">
        <v>0</v>
      </c>
      <c r="W370" s="3527"/>
      <c r="X370" s="3527"/>
      <c r="Y370" s="3527"/>
      <c r="Z370" s="3527"/>
      <c r="AA370" s="3527"/>
      <c r="AB370" s="3527"/>
      <c r="AC370" s="3527"/>
      <c r="AD370" s="3527"/>
      <c r="AE370" s="3527"/>
      <c r="AF370" s="3527"/>
      <c r="AG370" s="3527"/>
      <c r="AH370" s="3527"/>
    </row>
    <row r="371" spans="8:34">
      <c r="H371" s="7154"/>
      <c r="I371" s="7155"/>
      <c r="J371" s="3616" t="s">
        <v>609</v>
      </c>
      <c r="K371" s="3622" t="s">
        <v>244</v>
      </c>
      <c r="L371" s="4039"/>
      <c r="M371" s="3617">
        <v>8</v>
      </c>
      <c r="N371" s="3618">
        <v>0</v>
      </c>
      <c r="O371" s="3619">
        <f t="shared" si="5"/>
        <v>0</v>
      </c>
      <c r="P371" s="3618">
        <v>100</v>
      </c>
      <c r="Q371" s="3618">
        <v>0</v>
      </c>
      <c r="R371" s="3532">
        <v>0</v>
      </c>
      <c r="S371" s="3532">
        <v>0</v>
      </c>
      <c r="T371" s="3631">
        <v>11.6</v>
      </c>
      <c r="U371" s="3631">
        <v>18.5</v>
      </c>
      <c r="V371" s="3631">
        <v>62.5</v>
      </c>
      <c r="W371" s="3527"/>
      <c r="X371" s="3527"/>
      <c r="Y371" s="3527"/>
      <c r="Z371" s="3527"/>
      <c r="AA371" s="3527"/>
      <c r="AB371" s="3527"/>
      <c r="AC371" s="3527"/>
      <c r="AD371" s="3527"/>
      <c r="AE371" s="3527"/>
      <c r="AF371" s="3527"/>
      <c r="AG371" s="3527"/>
      <c r="AH371" s="3527"/>
    </row>
    <row r="372" spans="8:34" ht="15.6">
      <c r="H372" s="32"/>
      <c r="I372" s="32"/>
      <c r="J372" s="7150" t="s">
        <v>15</v>
      </c>
      <c r="K372" s="7151"/>
      <c r="L372" s="3891"/>
      <c r="M372" s="3627">
        <f>SUM(M230:M371)</f>
        <v>14373</v>
      </c>
      <c r="N372" s="3628">
        <f>SUM(N230:N371)</f>
        <v>7320</v>
      </c>
      <c r="O372" s="3629">
        <f t="shared" si="5"/>
        <v>50.928824879983303</v>
      </c>
      <c r="P372" s="3630">
        <v>78.400000000000006</v>
      </c>
      <c r="Q372" s="3628">
        <v>21.6</v>
      </c>
      <c r="R372" s="3631">
        <v>3.3</v>
      </c>
      <c r="S372" s="3631">
        <v>4</v>
      </c>
      <c r="T372" s="1637"/>
      <c r="U372" s="1637"/>
      <c r="V372" s="1637"/>
      <c r="W372" s="3527"/>
      <c r="X372" s="3527"/>
      <c r="Y372" s="3527"/>
      <c r="Z372" s="3527"/>
      <c r="AA372" s="3527"/>
      <c r="AB372" s="3527"/>
      <c r="AC372" s="3527"/>
      <c r="AD372" s="3527"/>
      <c r="AE372" s="3527"/>
      <c r="AF372" s="3527"/>
      <c r="AG372" s="3527"/>
      <c r="AH372" s="3527"/>
    </row>
    <row r="373" spans="8:34" ht="15.6">
      <c r="H373" s="1631"/>
      <c r="I373" s="3527"/>
      <c r="J373" s="3527"/>
      <c r="K373" s="3526"/>
      <c r="L373" s="3889"/>
      <c r="M373" s="3526"/>
      <c r="N373" s="3526"/>
      <c r="O373" s="3526"/>
      <c r="P373" s="3526"/>
      <c r="Q373" s="1636"/>
      <c r="R373" s="1636"/>
      <c r="S373" s="1637"/>
      <c r="T373" s="1637"/>
      <c r="U373" s="1637"/>
      <c r="V373" s="1637"/>
      <c r="W373" s="3527"/>
      <c r="X373" s="3527"/>
      <c r="Y373" s="3527"/>
      <c r="Z373" s="3527"/>
      <c r="AA373" s="3527"/>
      <c r="AB373" s="3527"/>
      <c r="AC373" s="3527"/>
      <c r="AD373" s="3527"/>
      <c r="AE373" s="3527"/>
      <c r="AF373" s="3527"/>
      <c r="AG373" s="3527"/>
      <c r="AH373" s="3527"/>
    </row>
    <row r="374" spans="8:34" ht="15.6">
      <c r="H374" s="1631"/>
      <c r="I374" s="3527"/>
      <c r="J374" s="3527"/>
      <c r="K374" s="3526"/>
      <c r="L374" s="3889"/>
      <c r="M374" s="3526"/>
      <c r="N374" s="3526"/>
      <c r="O374" s="3526"/>
      <c r="P374" s="3526"/>
      <c r="Q374" s="1636"/>
      <c r="R374" s="1636"/>
      <c r="S374" s="1637"/>
      <c r="T374" s="1637"/>
      <c r="U374" s="1637"/>
      <c r="V374" s="1637"/>
    </row>
    <row r="375" spans="8:34" ht="17.399999999999999">
      <c r="H375" s="1638"/>
      <c r="I375" s="1638"/>
      <c r="J375" s="225">
        <v>2018</v>
      </c>
      <c r="K375" s="1636"/>
      <c r="L375" s="1636"/>
      <c r="M375" s="1636"/>
      <c r="N375" s="1636"/>
      <c r="O375" s="1636"/>
      <c r="P375" s="1636"/>
      <c r="Q375" s="1636"/>
      <c r="R375" s="1636"/>
      <c r="S375" s="1637"/>
      <c r="T375" s="1639"/>
      <c r="U375" s="1639"/>
      <c r="V375" s="1637"/>
    </row>
    <row r="376" spans="8:34" ht="15.6">
      <c r="H376" s="7172" t="s">
        <v>2178</v>
      </c>
      <c r="I376" s="7172"/>
      <c r="J376" s="7172"/>
      <c r="K376" s="7172"/>
      <c r="L376" s="7172"/>
      <c r="M376" s="7172"/>
      <c r="N376" s="7172"/>
      <c r="O376" s="7172"/>
      <c r="P376" s="7172"/>
      <c r="Q376" s="7172"/>
      <c r="R376" s="7172"/>
      <c r="S376" s="7172"/>
      <c r="T376" s="1639"/>
      <c r="U376" s="1639"/>
      <c r="V376" s="1637"/>
    </row>
    <row r="377" spans="8:34" ht="15.6">
      <c r="H377" s="7172"/>
      <c r="I377" s="7172"/>
      <c r="J377" s="7172"/>
      <c r="K377" s="7172"/>
      <c r="L377" s="7172"/>
      <c r="M377" s="7172"/>
      <c r="N377" s="7172"/>
      <c r="O377" s="7172"/>
      <c r="P377" s="7172"/>
      <c r="Q377" s="7172"/>
      <c r="R377" s="7172"/>
      <c r="S377" s="7172"/>
      <c r="T377" s="1641"/>
      <c r="U377" s="1641"/>
      <c r="V377" s="1637"/>
    </row>
    <row r="378" spans="8:34" ht="15.6">
      <c r="H378" s="1640" t="s">
        <v>2347</v>
      </c>
      <c r="I378" s="1641"/>
      <c r="J378" s="1641"/>
      <c r="K378" s="1641"/>
      <c r="L378" s="3894"/>
      <c r="M378" s="1641"/>
      <c r="N378" s="1641"/>
      <c r="O378" s="1641"/>
      <c r="P378" s="1641"/>
      <c r="Q378" s="1641"/>
      <c r="R378" s="1641"/>
      <c r="S378" s="1641"/>
      <c r="T378" s="1641"/>
      <c r="U378" s="1637"/>
      <c r="V378" s="1637"/>
    </row>
    <row r="379" spans="8:34" ht="15.6">
      <c r="H379" s="1641"/>
      <c r="I379" s="1641"/>
      <c r="J379" s="1641"/>
      <c r="K379" s="1641"/>
      <c r="L379" s="3894"/>
      <c r="M379" s="1641"/>
      <c r="N379" s="1641"/>
      <c r="O379" s="1641"/>
      <c r="P379" s="1641"/>
      <c r="Q379" s="1641"/>
      <c r="R379" s="1641"/>
      <c r="S379" s="1641"/>
      <c r="T379" s="1641"/>
      <c r="U379" s="1637"/>
      <c r="V379" s="1637"/>
    </row>
    <row r="380" spans="8:34" ht="15" customHeight="1">
      <c r="H380" s="1640" t="s">
        <v>2180</v>
      </c>
      <c r="I380" s="1641"/>
      <c r="J380" s="1641"/>
      <c r="K380" s="1641"/>
      <c r="L380" s="3894"/>
      <c r="M380" s="1641"/>
      <c r="N380" s="1641"/>
      <c r="O380" s="1641"/>
      <c r="P380" s="1641"/>
      <c r="Q380" s="1641"/>
      <c r="R380" s="1641"/>
      <c r="S380" s="1641"/>
      <c r="T380" s="1642"/>
      <c r="U380" s="1642"/>
      <c r="V380" s="1642"/>
    </row>
    <row r="381" spans="8:34">
      <c r="H381" s="2561" t="s">
        <v>1897</v>
      </c>
      <c r="I381" s="2561" t="s">
        <v>1893</v>
      </c>
      <c r="J381" s="2561" t="s">
        <v>1898</v>
      </c>
      <c r="K381" s="2561" t="s">
        <v>2169</v>
      </c>
      <c r="L381" s="4035"/>
      <c r="M381" s="1839" t="s">
        <v>907</v>
      </c>
      <c r="N381" s="2562" t="s">
        <v>908</v>
      </c>
      <c r="O381" s="2563" t="s">
        <v>1320</v>
      </c>
      <c r="P381" s="2563" t="s">
        <v>1321</v>
      </c>
      <c r="Q381" s="2564" t="s">
        <v>2182</v>
      </c>
      <c r="R381" s="2563" t="s">
        <v>1323</v>
      </c>
      <c r="S381" s="2565" t="s">
        <v>15</v>
      </c>
      <c r="T381" s="1643"/>
      <c r="U381" s="1643"/>
      <c r="V381" s="1643"/>
    </row>
    <row r="382" spans="8:34">
      <c r="H382" s="2571" t="s">
        <v>3</v>
      </c>
      <c r="I382" s="2571">
        <v>2545</v>
      </c>
      <c r="J382" s="2572">
        <v>1239</v>
      </c>
      <c r="K382" s="2573">
        <f>J382*100/I382</f>
        <v>48.683693516699414</v>
      </c>
      <c r="L382" s="2573"/>
      <c r="M382" s="2574">
        <v>0.80145278450363189</v>
      </c>
      <c r="N382" s="2574">
        <v>0.19854721549636803</v>
      </c>
      <c r="O382" s="2574">
        <v>4.1540020263424522E-2</v>
      </c>
      <c r="P382" s="2575">
        <v>4.0526849037487336E-2</v>
      </c>
      <c r="Q382" s="2575">
        <v>0.13272543059777103</v>
      </c>
      <c r="R382" s="2576">
        <v>0.1773049645390071</v>
      </c>
      <c r="S382" s="2576">
        <v>0.60790273556231</v>
      </c>
      <c r="T382" s="1644"/>
      <c r="U382" s="1645"/>
      <c r="V382" s="1645"/>
    </row>
    <row r="383" spans="8:34">
      <c r="H383" s="2577" t="s">
        <v>25</v>
      </c>
      <c r="I383" s="2577">
        <v>6728</v>
      </c>
      <c r="J383" s="2578">
        <v>3228</v>
      </c>
      <c r="K383" s="2579">
        <f>J383*100/I383</f>
        <v>47.978596908442327</v>
      </c>
      <c r="L383" s="2579"/>
      <c r="M383" s="2580">
        <v>0.75512075817792723</v>
      </c>
      <c r="N383" s="2580">
        <v>0.24487924182207277</v>
      </c>
      <c r="O383" s="2580">
        <v>2.9268292682926828E-2</v>
      </c>
      <c r="P383" s="2581">
        <v>4.2682926829268296E-2</v>
      </c>
      <c r="Q383" s="2581">
        <v>0.10365853658536585</v>
      </c>
      <c r="R383" s="2582">
        <v>0.17195121951219514</v>
      </c>
      <c r="S383" s="2582">
        <v>0.65243902439024393</v>
      </c>
      <c r="T383" s="1644"/>
      <c r="U383" s="1645"/>
      <c r="V383" s="1645"/>
    </row>
    <row r="384" spans="8:34">
      <c r="H384" s="2577" t="s">
        <v>48</v>
      </c>
      <c r="I384" s="2577">
        <v>4210</v>
      </c>
      <c r="J384" s="2578">
        <v>2042</v>
      </c>
      <c r="K384" s="2579">
        <f>J384*100/I384</f>
        <v>48.503562945368174</v>
      </c>
      <c r="L384" s="2579"/>
      <c r="M384" s="2580">
        <v>0.82479919678714864</v>
      </c>
      <c r="N384" s="2580">
        <v>0.17520080321285139</v>
      </c>
      <c r="O384" s="2580">
        <v>2.3809523809523808E-2</v>
      </c>
      <c r="P384" s="2581">
        <v>3.724053724053724E-2</v>
      </c>
      <c r="Q384" s="2581">
        <v>0.10622710622710622</v>
      </c>
      <c r="R384" s="2582">
        <v>0.18437118437118435</v>
      </c>
      <c r="S384" s="2582">
        <v>0.64835164835164827</v>
      </c>
      <c r="T384" s="1644"/>
      <c r="U384" s="1645"/>
      <c r="V384" s="1645"/>
    </row>
    <row r="385" spans="8:22">
      <c r="H385" s="2583" t="s">
        <v>59</v>
      </c>
      <c r="I385" s="2583">
        <v>180</v>
      </c>
      <c r="J385" s="2584">
        <v>62</v>
      </c>
      <c r="K385" s="2585">
        <f>J385*100/I385</f>
        <v>34.444444444444443</v>
      </c>
      <c r="L385" s="2585"/>
      <c r="M385" s="2586">
        <v>0.72131147540983609</v>
      </c>
      <c r="N385" s="2586">
        <v>0.27868852459016397</v>
      </c>
      <c r="O385" s="2586">
        <v>6.9767441860465115E-2</v>
      </c>
      <c r="P385" s="2587">
        <v>4.6511627906976744E-2</v>
      </c>
      <c r="Q385" s="2587">
        <v>0.23255813953488372</v>
      </c>
      <c r="R385" s="2588">
        <v>0.32558139534883723</v>
      </c>
      <c r="S385" s="2588">
        <v>0.32558139534883723</v>
      </c>
      <c r="T385" s="1644"/>
      <c r="U385" s="1645"/>
      <c r="V385" s="1645"/>
    </row>
    <row r="386" spans="8:22">
      <c r="H386" s="2561" t="s">
        <v>15</v>
      </c>
      <c r="I386" s="2561">
        <v>13663</v>
      </c>
      <c r="J386" s="2566">
        <f>SUM(J382:J385)</f>
        <v>6571</v>
      </c>
      <c r="K386" s="2567">
        <f>J386*100/I386</f>
        <v>48.093390909756273</v>
      </c>
      <c r="L386" s="4040"/>
      <c r="M386" s="1840">
        <v>0.78470211793387168</v>
      </c>
      <c r="N386" s="2568">
        <v>0.21529788206612829</v>
      </c>
      <c r="O386" s="2568">
        <v>3.0226209048361933E-2</v>
      </c>
      <c r="P386" s="2569">
        <v>4.056162246489859E-2</v>
      </c>
      <c r="Q386" s="2569">
        <v>0.1111544461778471</v>
      </c>
      <c r="R386" s="2570">
        <v>0.17823712948517939</v>
      </c>
      <c r="S386" s="2570">
        <v>0.63982059282371295</v>
      </c>
      <c r="T386" s="1647"/>
      <c r="U386" s="1644"/>
      <c r="V386" s="1645"/>
    </row>
    <row r="387" spans="8:22" ht="15.6">
      <c r="H387" s="1638"/>
      <c r="I387" s="1638"/>
      <c r="J387" s="1636"/>
      <c r="K387" s="1636"/>
      <c r="L387" s="1636"/>
      <c r="M387" s="1636"/>
      <c r="N387" s="1636"/>
      <c r="O387" s="1636"/>
      <c r="P387" s="1636"/>
      <c r="Q387" s="1636"/>
      <c r="R387" s="1636"/>
      <c r="S387" s="1646"/>
      <c r="T387" s="1838"/>
      <c r="U387" s="1838"/>
      <c r="V387" s="1838"/>
    </row>
    <row r="388" spans="8:22">
      <c r="H388" s="1834"/>
      <c r="I388" s="1837"/>
      <c r="J388" s="1834"/>
      <c r="K388" s="1834"/>
      <c r="L388" s="1834"/>
      <c r="M388" s="1834"/>
      <c r="N388" s="1834"/>
      <c r="O388" s="1834"/>
      <c r="P388" s="1838" t="s">
        <v>2181</v>
      </c>
      <c r="Q388" s="1838"/>
      <c r="R388" s="1838" t="s">
        <v>1319</v>
      </c>
      <c r="S388" s="1838"/>
      <c r="T388" s="3545" t="s">
        <v>2182</v>
      </c>
      <c r="U388" s="3544" t="s">
        <v>1323</v>
      </c>
      <c r="V388" s="3546" t="s">
        <v>15</v>
      </c>
    </row>
    <row r="389" spans="8:22">
      <c r="H389" s="3541" t="s">
        <v>0</v>
      </c>
      <c r="I389" s="3542" t="s">
        <v>1</v>
      </c>
      <c r="J389" s="3543" t="s">
        <v>2183</v>
      </c>
      <c r="K389" s="3541" t="s">
        <v>878</v>
      </c>
      <c r="L389" s="4041"/>
      <c r="M389" s="3543" t="s">
        <v>2348</v>
      </c>
      <c r="N389" s="3543" t="s">
        <v>1898</v>
      </c>
      <c r="O389" s="3542" t="s">
        <v>2169</v>
      </c>
      <c r="P389" s="3543" t="s">
        <v>907</v>
      </c>
      <c r="Q389" s="3543" t="s">
        <v>908</v>
      </c>
      <c r="R389" s="3544" t="s">
        <v>1320</v>
      </c>
      <c r="S389" s="3544" t="s">
        <v>1321</v>
      </c>
      <c r="T389" s="3550">
        <v>3.7037037037037035E-2</v>
      </c>
      <c r="U389" s="3550">
        <v>3.7037037037037035E-2</v>
      </c>
      <c r="V389" s="3550">
        <v>0.85185185185185186</v>
      </c>
    </row>
    <row r="390" spans="8:22">
      <c r="H390" s="7175" t="s">
        <v>3</v>
      </c>
      <c r="I390" s="7176" t="s">
        <v>2176</v>
      </c>
      <c r="J390" s="3547" t="s">
        <v>265</v>
      </c>
      <c r="K390" s="7173" t="s">
        <v>243</v>
      </c>
      <c r="L390" s="3895"/>
      <c r="M390" s="3548">
        <v>97</v>
      </c>
      <c r="N390" s="3548">
        <v>35</v>
      </c>
      <c r="O390" s="3549">
        <f>N390*100/M390</f>
        <v>36.082474226804123</v>
      </c>
      <c r="P390" s="3550">
        <v>0.8</v>
      </c>
      <c r="Q390" s="3550">
        <v>0.2</v>
      </c>
      <c r="R390" s="3551">
        <v>0</v>
      </c>
      <c r="S390" s="3550">
        <v>7.407407407407407E-2</v>
      </c>
      <c r="T390" s="3555">
        <v>0.15833333333333333</v>
      </c>
      <c r="U390" s="3555">
        <v>0.20833333333333331</v>
      </c>
      <c r="V390" s="3555">
        <v>0.49166666666666664</v>
      </c>
    </row>
    <row r="391" spans="8:22">
      <c r="H391" s="7175"/>
      <c r="I391" s="7176"/>
      <c r="J391" s="3552" t="s">
        <v>2184</v>
      </c>
      <c r="K391" s="7174"/>
      <c r="L391" s="3896"/>
      <c r="M391" s="3553">
        <v>284</v>
      </c>
      <c r="N391" s="3553">
        <v>197</v>
      </c>
      <c r="O391" s="3554">
        <f t="shared" ref="O391:O454" si="6">N391*100/M391</f>
        <v>69.366197183098592</v>
      </c>
      <c r="P391" s="3555">
        <v>0.77419354838709675</v>
      </c>
      <c r="Q391" s="3555">
        <v>0.22580645161290325</v>
      </c>
      <c r="R391" s="3555">
        <v>7.4999999999999997E-2</v>
      </c>
      <c r="S391" s="3555">
        <v>6.6666666666666666E-2</v>
      </c>
      <c r="T391" s="3555">
        <v>3.3898305084745763E-2</v>
      </c>
      <c r="U391" s="3555">
        <v>8.4745762711864417E-2</v>
      </c>
      <c r="V391" s="3555">
        <v>0.86440677966101687</v>
      </c>
    </row>
    <row r="392" spans="8:22">
      <c r="H392" s="7175"/>
      <c r="I392" s="7176"/>
      <c r="J392" s="3552" t="s">
        <v>2349</v>
      </c>
      <c r="K392" s="7174"/>
      <c r="L392" s="3896"/>
      <c r="M392" s="3553">
        <v>108</v>
      </c>
      <c r="N392" s="3553">
        <v>64</v>
      </c>
      <c r="O392" s="3554">
        <f t="shared" si="6"/>
        <v>59.25925925925926</v>
      </c>
      <c r="P392" s="3555">
        <v>0.9375</v>
      </c>
      <c r="Q392" s="3555">
        <v>6.25E-2</v>
      </c>
      <c r="R392" s="3555">
        <v>1.6949152542372881E-2</v>
      </c>
      <c r="S392" s="3556">
        <v>0</v>
      </c>
      <c r="T392" s="3555">
        <v>0.3</v>
      </c>
      <c r="U392" s="3555">
        <v>0.05</v>
      </c>
      <c r="V392" s="3555">
        <v>0.35</v>
      </c>
    </row>
    <row r="393" spans="8:22">
      <c r="H393" s="7175"/>
      <c r="I393" s="7176"/>
      <c r="J393" s="3552" t="s">
        <v>607</v>
      </c>
      <c r="K393" s="7174"/>
      <c r="L393" s="3896"/>
      <c r="M393" s="3553">
        <v>40</v>
      </c>
      <c r="N393" s="3553">
        <v>33</v>
      </c>
      <c r="O393" s="3554">
        <f t="shared" si="6"/>
        <v>82.5</v>
      </c>
      <c r="P393" s="3555">
        <v>0.5757575757575758</v>
      </c>
      <c r="Q393" s="3555">
        <v>0.4242424242424242</v>
      </c>
      <c r="R393" s="3555">
        <v>0.15</v>
      </c>
      <c r="S393" s="3555">
        <v>0.15</v>
      </c>
      <c r="T393" s="3556">
        <v>0</v>
      </c>
      <c r="U393" s="3556">
        <v>0</v>
      </c>
      <c r="V393" s="3555">
        <v>0.66666666666666674</v>
      </c>
    </row>
    <row r="394" spans="8:22">
      <c r="H394" s="7175"/>
      <c r="I394" s="7176"/>
      <c r="J394" s="3552" t="s">
        <v>606</v>
      </c>
      <c r="K394" s="7174"/>
      <c r="L394" s="3896"/>
      <c r="M394" s="3553">
        <v>14</v>
      </c>
      <c r="N394" s="3553">
        <v>4</v>
      </c>
      <c r="O394" s="3554">
        <f t="shared" si="6"/>
        <v>28.571428571428573</v>
      </c>
      <c r="P394" s="3555">
        <v>0.75</v>
      </c>
      <c r="Q394" s="3555">
        <v>0.25</v>
      </c>
      <c r="R394" s="3556">
        <v>0</v>
      </c>
      <c r="S394" s="3555">
        <v>0.33333333333333337</v>
      </c>
      <c r="T394" s="3558" t="s">
        <v>556</v>
      </c>
      <c r="U394" s="3558" t="s">
        <v>556</v>
      </c>
      <c r="V394" s="3558"/>
    </row>
    <row r="395" spans="8:22">
      <c r="H395" s="7175"/>
      <c r="I395" s="7176"/>
      <c r="J395" s="3552" t="s">
        <v>2270</v>
      </c>
      <c r="K395" s="7174"/>
      <c r="L395" s="3896"/>
      <c r="M395" s="3553">
        <v>52</v>
      </c>
      <c r="N395" s="3553">
        <v>0</v>
      </c>
      <c r="O395" s="3554">
        <f t="shared" si="6"/>
        <v>0</v>
      </c>
      <c r="P395" s="3553" t="s">
        <v>556</v>
      </c>
      <c r="Q395" s="3553" t="s">
        <v>556</v>
      </c>
      <c r="R395" s="3557" t="s">
        <v>556</v>
      </c>
      <c r="S395" s="3558" t="s">
        <v>556</v>
      </c>
      <c r="T395" s="3555">
        <v>0.15</v>
      </c>
      <c r="U395" s="3555">
        <v>0.05</v>
      </c>
      <c r="V395" s="3555">
        <v>0.75</v>
      </c>
    </row>
    <row r="396" spans="8:22">
      <c r="H396" s="7175"/>
      <c r="I396" s="7176"/>
      <c r="J396" s="3552" t="s">
        <v>2184</v>
      </c>
      <c r="K396" s="7174" t="s">
        <v>244</v>
      </c>
      <c r="L396" s="3896"/>
      <c r="M396" s="3553">
        <v>77</v>
      </c>
      <c r="N396" s="3553">
        <v>25</v>
      </c>
      <c r="O396" s="3554">
        <f t="shared" si="6"/>
        <v>32.467532467532465</v>
      </c>
      <c r="P396" s="3555">
        <v>0.8</v>
      </c>
      <c r="Q396" s="3555">
        <v>0.2</v>
      </c>
      <c r="R396" s="3555">
        <v>0.05</v>
      </c>
      <c r="S396" s="3556">
        <v>0</v>
      </c>
      <c r="T396" s="3555">
        <v>0.125</v>
      </c>
      <c r="U396" s="3555">
        <v>0.25</v>
      </c>
      <c r="V396" s="3555">
        <v>0.625</v>
      </c>
    </row>
    <row r="397" spans="8:22">
      <c r="H397" s="7175"/>
      <c r="I397" s="7176"/>
      <c r="J397" s="3552" t="s">
        <v>2349</v>
      </c>
      <c r="K397" s="7174"/>
      <c r="L397" s="3896"/>
      <c r="M397" s="3553">
        <v>9</v>
      </c>
      <c r="N397" s="3553">
        <v>8</v>
      </c>
      <c r="O397" s="3554">
        <f t="shared" si="6"/>
        <v>88.888888888888886</v>
      </c>
      <c r="P397" s="3555">
        <v>1</v>
      </c>
      <c r="Q397" s="3556">
        <v>0</v>
      </c>
      <c r="R397" s="3556">
        <v>0</v>
      </c>
      <c r="S397" s="3556">
        <v>0</v>
      </c>
      <c r="T397" s="3558" t="s">
        <v>556</v>
      </c>
      <c r="U397" s="3558" t="s">
        <v>556</v>
      </c>
      <c r="V397" s="3558" t="s">
        <v>556</v>
      </c>
    </row>
    <row r="398" spans="8:22">
      <c r="H398" s="7175"/>
      <c r="I398" s="7176"/>
      <c r="J398" s="3552" t="s">
        <v>607</v>
      </c>
      <c r="K398" s="7174"/>
      <c r="L398" s="3896"/>
      <c r="M398" s="3553">
        <v>2</v>
      </c>
      <c r="N398" s="3553">
        <v>0</v>
      </c>
      <c r="O398" s="3554">
        <f t="shared" si="6"/>
        <v>0</v>
      </c>
      <c r="P398" s="3553" t="s">
        <v>556</v>
      </c>
      <c r="Q398" s="3553" t="s">
        <v>556</v>
      </c>
      <c r="R398" s="3557" t="s">
        <v>556</v>
      </c>
      <c r="S398" s="3558" t="s">
        <v>556</v>
      </c>
      <c r="T398" s="3558" t="s">
        <v>556</v>
      </c>
      <c r="U398" s="3558" t="s">
        <v>556</v>
      </c>
      <c r="V398" s="3558" t="s">
        <v>556</v>
      </c>
    </row>
    <row r="399" spans="8:22">
      <c r="H399" s="7175"/>
      <c r="I399" s="7176"/>
      <c r="J399" s="3552" t="s">
        <v>606</v>
      </c>
      <c r="K399" s="7174"/>
      <c r="L399" s="3896"/>
      <c r="M399" s="3553">
        <v>3</v>
      </c>
      <c r="N399" s="3553">
        <v>0</v>
      </c>
      <c r="O399" s="3554">
        <f t="shared" si="6"/>
        <v>0</v>
      </c>
      <c r="P399" s="3553" t="s">
        <v>556</v>
      </c>
      <c r="Q399" s="3553" t="s">
        <v>556</v>
      </c>
      <c r="R399" s="3557" t="s">
        <v>556</v>
      </c>
      <c r="S399" s="3558" t="s">
        <v>556</v>
      </c>
      <c r="T399" s="3563" t="s">
        <v>556</v>
      </c>
      <c r="U399" s="3563" t="s">
        <v>556</v>
      </c>
      <c r="V399" s="3563" t="s">
        <v>556</v>
      </c>
    </row>
    <row r="400" spans="8:22">
      <c r="H400" s="7175"/>
      <c r="I400" s="7176"/>
      <c r="J400" s="3559" t="s">
        <v>2270</v>
      </c>
      <c r="K400" s="7201"/>
      <c r="L400" s="3900"/>
      <c r="M400" s="3560">
        <v>7</v>
      </c>
      <c r="N400" s="3560">
        <v>0</v>
      </c>
      <c r="O400" s="3561">
        <f t="shared" si="6"/>
        <v>0</v>
      </c>
      <c r="P400" s="3560" t="s">
        <v>556</v>
      </c>
      <c r="Q400" s="3560" t="s">
        <v>556</v>
      </c>
      <c r="R400" s="3562" t="s">
        <v>556</v>
      </c>
      <c r="S400" s="3563" t="s">
        <v>556</v>
      </c>
      <c r="T400" s="3567">
        <v>0.143646408839779</v>
      </c>
      <c r="U400" s="3567">
        <v>0.21546961325966851</v>
      </c>
      <c r="V400" s="3567">
        <v>0.56906077348066297</v>
      </c>
    </row>
    <row r="401" spans="8:22" ht="15" customHeight="1">
      <c r="H401" s="7175"/>
      <c r="I401" s="7176" t="s">
        <v>2171</v>
      </c>
      <c r="J401" s="3564" t="s">
        <v>2066</v>
      </c>
      <c r="K401" s="7177" t="s">
        <v>257</v>
      </c>
      <c r="L401" s="3897"/>
      <c r="M401" s="3565">
        <v>325</v>
      </c>
      <c r="N401" s="3565">
        <v>214</v>
      </c>
      <c r="O401" s="3566">
        <f t="shared" si="6"/>
        <v>65.84615384615384</v>
      </c>
      <c r="P401" s="3567">
        <v>0.84112149532710279</v>
      </c>
      <c r="Q401" s="3567">
        <v>0.15887850467289721</v>
      </c>
      <c r="R401" s="3567">
        <v>6.0773480662983423E-2</v>
      </c>
      <c r="S401" s="3567">
        <v>1.1049723756906079E-2</v>
      </c>
      <c r="T401" s="3555">
        <v>6.6666666666666666E-2</v>
      </c>
      <c r="U401" s="3555">
        <v>0.22222222222222221</v>
      </c>
      <c r="V401" s="3555">
        <v>0.62222222222222223</v>
      </c>
    </row>
    <row r="402" spans="8:22">
      <c r="H402" s="7175"/>
      <c r="I402" s="7176"/>
      <c r="J402" s="3552" t="s">
        <v>329</v>
      </c>
      <c r="K402" s="7174"/>
      <c r="L402" s="3896"/>
      <c r="M402" s="3553">
        <v>76</v>
      </c>
      <c r="N402" s="3553">
        <v>52</v>
      </c>
      <c r="O402" s="3554">
        <f t="shared" si="6"/>
        <v>68.421052631578945</v>
      </c>
      <c r="P402" s="3555">
        <v>0.86538461538461531</v>
      </c>
      <c r="Q402" s="3555">
        <v>0.13461538461538461</v>
      </c>
      <c r="R402" s="3555">
        <v>2.2222222222222223E-2</v>
      </c>
      <c r="S402" s="3555">
        <v>6.6666666666666666E-2</v>
      </c>
      <c r="T402" s="3558" t="s">
        <v>556</v>
      </c>
      <c r="U402" s="3558" t="s">
        <v>556</v>
      </c>
      <c r="V402" s="3558" t="s">
        <v>556</v>
      </c>
    </row>
    <row r="403" spans="8:22">
      <c r="H403" s="7175"/>
      <c r="I403" s="7176"/>
      <c r="J403" s="3552" t="s">
        <v>118</v>
      </c>
      <c r="K403" s="7174"/>
      <c r="L403" s="3896"/>
      <c r="M403" s="3553">
        <v>1</v>
      </c>
      <c r="N403" s="3553">
        <v>0</v>
      </c>
      <c r="O403" s="3554">
        <f t="shared" si="6"/>
        <v>0</v>
      </c>
      <c r="P403" s="3553" t="s">
        <v>556</v>
      </c>
      <c r="Q403" s="3553" t="s">
        <v>556</v>
      </c>
      <c r="R403" s="3557" t="s">
        <v>556</v>
      </c>
      <c r="S403" s="3558" t="s">
        <v>556</v>
      </c>
      <c r="T403" s="3555">
        <v>0.21333333333333332</v>
      </c>
      <c r="U403" s="3555">
        <v>0.12</v>
      </c>
      <c r="V403" s="3555">
        <v>0.6</v>
      </c>
    </row>
    <row r="404" spans="8:22">
      <c r="H404" s="7175"/>
      <c r="I404" s="7176"/>
      <c r="J404" s="3552" t="s">
        <v>270</v>
      </c>
      <c r="K404" s="7174" t="s">
        <v>243</v>
      </c>
      <c r="L404" s="3896"/>
      <c r="M404" s="3553">
        <v>177</v>
      </c>
      <c r="N404" s="3553">
        <v>88</v>
      </c>
      <c r="O404" s="3554">
        <f t="shared" si="6"/>
        <v>49.717514124293785</v>
      </c>
      <c r="P404" s="3555">
        <v>0.84090909090909094</v>
      </c>
      <c r="Q404" s="3555">
        <v>0.15909090909090909</v>
      </c>
      <c r="R404" s="3555">
        <v>2.6666666666666665E-2</v>
      </c>
      <c r="S404" s="3555">
        <v>0.04</v>
      </c>
      <c r="T404" s="3555">
        <v>0.19230769230769229</v>
      </c>
      <c r="U404" s="3555">
        <v>0.30769230769230771</v>
      </c>
      <c r="V404" s="3555">
        <v>0.42307692307692307</v>
      </c>
    </row>
    <row r="405" spans="8:22">
      <c r="H405" s="7175"/>
      <c r="I405" s="7176"/>
      <c r="J405" s="3552" t="s">
        <v>269</v>
      </c>
      <c r="K405" s="7174"/>
      <c r="L405" s="3896"/>
      <c r="M405" s="3553">
        <v>156</v>
      </c>
      <c r="N405" s="3553">
        <v>100</v>
      </c>
      <c r="O405" s="3554">
        <f t="shared" si="6"/>
        <v>64.102564102564102</v>
      </c>
      <c r="P405" s="3555">
        <v>0.79</v>
      </c>
      <c r="Q405" s="3555">
        <v>0.21</v>
      </c>
      <c r="R405" s="3555">
        <v>3.8461538461538464E-2</v>
      </c>
      <c r="S405" s="3555">
        <v>3.8461538461538464E-2</v>
      </c>
      <c r="T405" s="3555">
        <v>0.16666666666666669</v>
      </c>
      <c r="U405" s="3555">
        <v>0.125</v>
      </c>
      <c r="V405" s="3555">
        <v>0.66666666666666674</v>
      </c>
    </row>
    <row r="406" spans="8:22">
      <c r="H406" s="7175"/>
      <c r="I406" s="7176"/>
      <c r="J406" s="3552" t="s">
        <v>437</v>
      </c>
      <c r="K406" s="7174"/>
      <c r="L406" s="3896"/>
      <c r="M406" s="3553">
        <v>59</v>
      </c>
      <c r="N406" s="3553">
        <v>34</v>
      </c>
      <c r="O406" s="3554">
        <f t="shared" si="6"/>
        <v>57.627118644067799</v>
      </c>
      <c r="P406" s="3555">
        <v>0.73529411764705888</v>
      </c>
      <c r="Q406" s="3555">
        <v>0.26470588235294118</v>
      </c>
      <c r="R406" s="3556">
        <v>0</v>
      </c>
      <c r="S406" s="3555">
        <v>4.1666666666666671E-2</v>
      </c>
      <c r="T406" s="3556">
        <v>0</v>
      </c>
      <c r="U406" s="3555">
        <v>0.33333333333333337</v>
      </c>
      <c r="V406" s="3555">
        <v>0.66666666666666674</v>
      </c>
    </row>
    <row r="407" spans="8:22">
      <c r="H407" s="7175"/>
      <c r="I407" s="7176"/>
      <c r="J407" s="3552" t="s">
        <v>2226</v>
      </c>
      <c r="K407" s="7174"/>
      <c r="L407" s="3896"/>
      <c r="M407" s="3553">
        <v>8</v>
      </c>
      <c r="N407" s="3553">
        <v>7</v>
      </c>
      <c r="O407" s="3554">
        <f t="shared" si="6"/>
        <v>87.5</v>
      </c>
      <c r="P407" s="3555">
        <v>0.42857142857142855</v>
      </c>
      <c r="Q407" s="3555">
        <v>0.57142857142857151</v>
      </c>
      <c r="R407" s="3556">
        <v>0</v>
      </c>
      <c r="S407" s="3556">
        <v>0</v>
      </c>
      <c r="T407" s="3555">
        <v>9.0909090909090912E-2</v>
      </c>
      <c r="U407" s="3555">
        <v>0.40909090909090906</v>
      </c>
      <c r="V407" s="3555">
        <v>0.45454545454545453</v>
      </c>
    </row>
    <row r="408" spans="8:22">
      <c r="H408" s="7175"/>
      <c r="I408" s="7176"/>
      <c r="J408" s="3552" t="s">
        <v>2350</v>
      </c>
      <c r="K408" s="7174"/>
      <c r="L408" s="3896"/>
      <c r="M408" s="3553">
        <v>87</v>
      </c>
      <c r="N408" s="3553">
        <v>30</v>
      </c>
      <c r="O408" s="3554">
        <f t="shared" si="6"/>
        <v>34.482758620689658</v>
      </c>
      <c r="P408" s="3555">
        <v>0.73333333333333328</v>
      </c>
      <c r="Q408" s="3555">
        <v>0.26666666666666666</v>
      </c>
      <c r="R408" s="3556">
        <v>0</v>
      </c>
      <c r="S408" s="3555">
        <v>4.5454545454545456E-2</v>
      </c>
      <c r="T408" s="3555">
        <v>0.1</v>
      </c>
      <c r="U408" s="3555">
        <v>0.4</v>
      </c>
      <c r="V408" s="3555">
        <v>0.5</v>
      </c>
    </row>
    <row r="409" spans="8:22">
      <c r="H409" s="7175"/>
      <c r="I409" s="7176"/>
      <c r="J409" s="3552" t="s">
        <v>118</v>
      </c>
      <c r="K409" s="7174"/>
      <c r="L409" s="3896"/>
      <c r="M409" s="3553">
        <v>27</v>
      </c>
      <c r="N409" s="3553">
        <v>20</v>
      </c>
      <c r="O409" s="3554">
        <f t="shared" si="6"/>
        <v>74.074074074074076</v>
      </c>
      <c r="P409" s="3555">
        <v>0.55000000000000004</v>
      </c>
      <c r="Q409" s="3555">
        <v>0.45</v>
      </c>
      <c r="R409" s="3556">
        <v>0</v>
      </c>
      <c r="S409" s="3556">
        <v>0</v>
      </c>
      <c r="T409" s="3556">
        <v>0</v>
      </c>
      <c r="U409" s="3555">
        <v>0.2</v>
      </c>
      <c r="V409" s="3555">
        <v>0.8</v>
      </c>
    </row>
    <row r="410" spans="8:22">
      <c r="H410" s="7175"/>
      <c r="I410" s="7176"/>
      <c r="J410" s="3552" t="s">
        <v>1706</v>
      </c>
      <c r="K410" s="7174"/>
      <c r="L410" s="3896"/>
      <c r="M410" s="3553">
        <v>27</v>
      </c>
      <c r="N410" s="3553">
        <v>6</v>
      </c>
      <c r="O410" s="3554">
        <f t="shared" si="6"/>
        <v>22.222222222222221</v>
      </c>
      <c r="P410" s="3555">
        <v>0.83333333333333326</v>
      </c>
      <c r="Q410" s="3555">
        <v>0.16666666666666669</v>
      </c>
      <c r="R410" s="3556">
        <v>0</v>
      </c>
      <c r="S410" s="3556">
        <v>0</v>
      </c>
      <c r="T410" s="3556">
        <v>0</v>
      </c>
      <c r="U410" s="3555">
        <v>0.5</v>
      </c>
      <c r="V410" s="3555">
        <v>0.5</v>
      </c>
    </row>
    <row r="411" spans="8:22">
      <c r="H411" s="7175"/>
      <c r="I411" s="7176"/>
      <c r="J411" s="3552" t="s">
        <v>2226</v>
      </c>
      <c r="K411" s="7174" t="s">
        <v>244</v>
      </c>
      <c r="L411" s="3896"/>
      <c r="M411" s="3553">
        <v>6</v>
      </c>
      <c r="N411" s="3553">
        <v>2</v>
      </c>
      <c r="O411" s="3554">
        <f t="shared" si="6"/>
        <v>33.333333333333336</v>
      </c>
      <c r="P411" s="3555">
        <v>1</v>
      </c>
      <c r="Q411" s="3556">
        <v>0</v>
      </c>
      <c r="R411" s="3556">
        <v>0</v>
      </c>
      <c r="S411" s="3556">
        <v>0</v>
      </c>
      <c r="T411" s="3555">
        <v>5.8823529411764712E-2</v>
      </c>
      <c r="U411" s="3555">
        <v>0.17647058823529413</v>
      </c>
      <c r="V411" s="3555">
        <v>0.76470588235294112</v>
      </c>
    </row>
    <row r="412" spans="8:22">
      <c r="H412" s="7175"/>
      <c r="I412" s="7176"/>
      <c r="J412" s="3552" t="s">
        <v>2350</v>
      </c>
      <c r="K412" s="7174"/>
      <c r="L412" s="3896"/>
      <c r="M412" s="3553">
        <v>37</v>
      </c>
      <c r="N412" s="3553">
        <v>23</v>
      </c>
      <c r="O412" s="3554">
        <f t="shared" si="6"/>
        <v>62.162162162162161</v>
      </c>
      <c r="P412" s="3555">
        <v>0.73913043478260876</v>
      </c>
      <c r="Q412" s="3555">
        <v>0.2608695652173913</v>
      </c>
      <c r="R412" s="3556">
        <v>0</v>
      </c>
      <c r="S412" s="3556">
        <v>0</v>
      </c>
      <c r="T412" s="3568">
        <v>0.22222222222222221</v>
      </c>
      <c r="U412" s="3568">
        <v>0.22222222222222221</v>
      </c>
      <c r="V412" s="3568">
        <v>0.55555555555555558</v>
      </c>
    </row>
    <row r="413" spans="8:22">
      <c r="H413" s="7175"/>
      <c r="I413" s="7176"/>
      <c r="J413" s="3559" t="s">
        <v>118</v>
      </c>
      <c r="K413" s="7201"/>
      <c r="L413" s="3900"/>
      <c r="M413" s="3560">
        <v>26</v>
      </c>
      <c r="N413" s="3560">
        <v>11</v>
      </c>
      <c r="O413" s="3561">
        <f t="shared" si="6"/>
        <v>42.307692307692307</v>
      </c>
      <c r="P413" s="3568">
        <v>0.81818181818181812</v>
      </c>
      <c r="Q413" s="3568">
        <v>0.18181818181818182</v>
      </c>
      <c r="R413" s="3569">
        <v>0</v>
      </c>
      <c r="S413" s="3569">
        <v>0</v>
      </c>
      <c r="T413" s="3567">
        <v>0.15384615384615385</v>
      </c>
      <c r="U413" s="3567">
        <v>7.6923076923076927E-2</v>
      </c>
      <c r="V413" s="3567">
        <v>0.76923076923076916</v>
      </c>
    </row>
    <row r="414" spans="8:22">
      <c r="H414" s="7175"/>
      <c r="I414" s="7176" t="s">
        <v>2172</v>
      </c>
      <c r="J414" s="3564" t="s">
        <v>2059</v>
      </c>
      <c r="K414" s="7177" t="s">
        <v>257</v>
      </c>
      <c r="L414" s="3897"/>
      <c r="M414" s="3565">
        <v>38</v>
      </c>
      <c r="N414" s="3565">
        <v>16</v>
      </c>
      <c r="O414" s="3566">
        <f t="shared" si="6"/>
        <v>42.10526315789474</v>
      </c>
      <c r="P414" s="3567">
        <v>0.8125</v>
      </c>
      <c r="Q414" s="3567">
        <v>0.1875</v>
      </c>
      <c r="R414" s="3570">
        <v>0</v>
      </c>
      <c r="S414" s="3570">
        <v>0</v>
      </c>
      <c r="T414" s="3555">
        <v>9.4017094017094016E-2</v>
      </c>
      <c r="U414" s="3555">
        <v>0.12820512820512822</v>
      </c>
      <c r="V414" s="3555">
        <v>0.70940170940170943</v>
      </c>
    </row>
    <row r="415" spans="8:22">
      <c r="H415" s="7175"/>
      <c r="I415" s="7176"/>
      <c r="J415" s="3552" t="s">
        <v>2351</v>
      </c>
      <c r="K415" s="7174"/>
      <c r="L415" s="3896"/>
      <c r="M415" s="3553">
        <v>374</v>
      </c>
      <c r="N415" s="3553">
        <v>158</v>
      </c>
      <c r="O415" s="3554">
        <f t="shared" si="6"/>
        <v>42.245989304812831</v>
      </c>
      <c r="P415" s="3555">
        <v>0.88148148148148153</v>
      </c>
      <c r="Q415" s="3555">
        <v>0.11851851851851851</v>
      </c>
      <c r="R415" s="3555">
        <v>4.2735042735042736E-2</v>
      </c>
      <c r="S415" s="3555">
        <v>2.5641025641025644E-2</v>
      </c>
      <c r="T415" s="3558" t="s">
        <v>556</v>
      </c>
      <c r="U415" s="3558" t="s">
        <v>556</v>
      </c>
      <c r="V415" s="3558" t="s">
        <v>556</v>
      </c>
    </row>
    <row r="416" spans="8:22">
      <c r="H416" s="7175"/>
      <c r="I416" s="7176"/>
      <c r="J416" s="3552" t="s">
        <v>1455</v>
      </c>
      <c r="K416" s="7174"/>
      <c r="L416" s="3896"/>
      <c r="M416" s="3553">
        <v>13</v>
      </c>
      <c r="N416" s="3553">
        <v>0</v>
      </c>
      <c r="O416" s="3554">
        <f t="shared" si="6"/>
        <v>0</v>
      </c>
      <c r="P416" s="3553" t="s">
        <v>556</v>
      </c>
      <c r="Q416" s="3553" t="s">
        <v>556</v>
      </c>
      <c r="R416" s="3557" t="s">
        <v>556</v>
      </c>
      <c r="S416" s="3558" t="s">
        <v>556</v>
      </c>
      <c r="T416" s="3558" t="s">
        <v>556</v>
      </c>
      <c r="U416" s="3558" t="s">
        <v>556</v>
      </c>
      <c r="V416" s="3558" t="s">
        <v>556</v>
      </c>
    </row>
    <row r="417" spans="8:22">
      <c r="H417" s="7175"/>
      <c r="I417" s="7176"/>
      <c r="J417" s="3552" t="s">
        <v>1456</v>
      </c>
      <c r="K417" s="7174"/>
      <c r="L417" s="3896"/>
      <c r="M417" s="3553">
        <v>1</v>
      </c>
      <c r="N417" s="3553">
        <v>0</v>
      </c>
      <c r="O417" s="3554">
        <f t="shared" si="6"/>
        <v>0</v>
      </c>
      <c r="P417" s="3553" t="s">
        <v>556</v>
      </c>
      <c r="Q417" s="3553" t="s">
        <v>556</v>
      </c>
      <c r="R417" s="3557" t="s">
        <v>556</v>
      </c>
      <c r="S417" s="3558" t="s">
        <v>556</v>
      </c>
      <c r="T417" s="3558" t="s">
        <v>556</v>
      </c>
      <c r="U417" s="3558" t="s">
        <v>556</v>
      </c>
      <c r="V417" s="3558" t="s">
        <v>556</v>
      </c>
    </row>
    <row r="418" spans="8:22">
      <c r="H418" s="7175"/>
      <c r="I418" s="7176"/>
      <c r="J418" s="3552" t="s">
        <v>1457</v>
      </c>
      <c r="K418" s="7174"/>
      <c r="L418" s="3896"/>
      <c r="M418" s="3553">
        <v>4</v>
      </c>
      <c r="N418" s="3553">
        <v>0</v>
      </c>
      <c r="O418" s="3554">
        <f t="shared" si="6"/>
        <v>0</v>
      </c>
      <c r="P418" s="3553" t="s">
        <v>556</v>
      </c>
      <c r="Q418" s="3553" t="s">
        <v>556</v>
      </c>
      <c r="R418" s="3557" t="s">
        <v>556</v>
      </c>
      <c r="S418" s="3558" t="s">
        <v>556</v>
      </c>
      <c r="T418" s="3555">
        <v>0.15</v>
      </c>
      <c r="U418" s="3555">
        <v>0.2</v>
      </c>
      <c r="V418" s="3555">
        <v>0.55000000000000004</v>
      </c>
    </row>
    <row r="419" spans="8:22">
      <c r="H419" s="7175"/>
      <c r="I419" s="7176"/>
      <c r="J419" s="3552" t="s">
        <v>1454</v>
      </c>
      <c r="K419" s="7174"/>
      <c r="L419" s="3896"/>
      <c r="M419" s="3553">
        <v>14</v>
      </c>
      <c r="N419" s="3553">
        <v>4</v>
      </c>
      <c r="O419" s="3554">
        <f t="shared" si="6"/>
        <v>28.571428571428573</v>
      </c>
      <c r="P419" s="3555">
        <v>0.74074074074074081</v>
      </c>
      <c r="Q419" s="3555">
        <v>0.2592592592592593</v>
      </c>
      <c r="R419" s="3555">
        <v>0.05</v>
      </c>
      <c r="S419" s="3555">
        <v>0.05</v>
      </c>
      <c r="T419" s="3558" t="s">
        <v>556</v>
      </c>
      <c r="U419" s="3558" t="s">
        <v>556</v>
      </c>
      <c r="V419" s="3558" t="s">
        <v>556</v>
      </c>
    </row>
    <row r="420" spans="8:22">
      <c r="H420" s="7175"/>
      <c r="I420" s="7176"/>
      <c r="J420" s="3552" t="s">
        <v>1458</v>
      </c>
      <c r="K420" s="7174"/>
      <c r="L420" s="3896"/>
      <c r="M420" s="3553">
        <v>2</v>
      </c>
      <c r="N420" s="3553">
        <v>0</v>
      </c>
      <c r="O420" s="3554">
        <f t="shared" si="6"/>
        <v>0</v>
      </c>
      <c r="P420" s="3553" t="s">
        <v>556</v>
      </c>
      <c r="Q420" s="3553" t="s">
        <v>556</v>
      </c>
      <c r="R420" s="3557" t="s">
        <v>556</v>
      </c>
      <c r="S420" s="3558" t="s">
        <v>556</v>
      </c>
      <c r="T420" s="3558" t="s">
        <v>556</v>
      </c>
      <c r="U420" s="3558" t="s">
        <v>556</v>
      </c>
      <c r="V420" s="3558" t="s">
        <v>556</v>
      </c>
    </row>
    <row r="421" spans="8:22">
      <c r="H421" s="7175"/>
      <c r="I421" s="7176"/>
      <c r="J421" s="3552" t="s">
        <v>2352</v>
      </c>
      <c r="K421" s="7174" t="s">
        <v>243</v>
      </c>
      <c r="L421" s="3896"/>
      <c r="M421" s="3553">
        <v>3</v>
      </c>
      <c r="N421" s="3553">
        <v>0</v>
      </c>
      <c r="O421" s="3554">
        <f t="shared" si="6"/>
        <v>0</v>
      </c>
      <c r="P421" s="3553" t="s">
        <v>556</v>
      </c>
      <c r="Q421" s="3553" t="s">
        <v>556</v>
      </c>
      <c r="R421" s="3557" t="s">
        <v>556</v>
      </c>
      <c r="S421" s="3558" t="s">
        <v>556</v>
      </c>
      <c r="T421" s="3555">
        <v>0.10256410256410257</v>
      </c>
      <c r="U421" s="3555">
        <v>0.20512820512820515</v>
      </c>
      <c r="V421" s="3555">
        <v>0.58974358974358976</v>
      </c>
    </row>
    <row r="422" spans="8:22" ht="15" customHeight="1">
      <c r="H422" s="7175"/>
      <c r="I422" s="7176"/>
      <c r="J422" s="3552" t="s">
        <v>2351</v>
      </c>
      <c r="K422" s="7174"/>
      <c r="L422" s="3896"/>
      <c r="M422" s="3553">
        <v>200</v>
      </c>
      <c r="N422" s="3553">
        <v>59</v>
      </c>
      <c r="O422" s="3554">
        <f t="shared" si="6"/>
        <v>29.5</v>
      </c>
      <c r="P422" s="3555">
        <v>0.76</v>
      </c>
      <c r="Q422" s="3555">
        <v>0.24</v>
      </c>
      <c r="R422" s="3555">
        <v>2.5641025641025644E-2</v>
      </c>
      <c r="S422" s="3555">
        <v>7.6923076923076927E-2</v>
      </c>
      <c r="T422" s="3558" t="s">
        <v>556</v>
      </c>
      <c r="U422" s="3558" t="s">
        <v>556</v>
      </c>
      <c r="V422" s="3558" t="s">
        <v>556</v>
      </c>
    </row>
    <row r="423" spans="8:22">
      <c r="H423" s="7175"/>
      <c r="I423" s="7176"/>
      <c r="J423" s="3552" t="s">
        <v>1455</v>
      </c>
      <c r="K423" s="7174"/>
      <c r="L423" s="3896"/>
      <c r="M423" s="3553">
        <v>23</v>
      </c>
      <c r="N423" s="3553">
        <v>0</v>
      </c>
      <c r="O423" s="3554">
        <f t="shared" si="6"/>
        <v>0</v>
      </c>
      <c r="P423" s="3553" t="s">
        <v>556</v>
      </c>
      <c r="Q423" s="3553" t="s">
        <v>556</v>
      </c>
      <c r="R423" s="3557" t="s">
        <v>556</v>
      </c>
      <c r="S423" s="3558" t="s">
        <v>556</v>
      </c>
      <c r="T423" s="3558" t="s">
        <v>556</v>
      </c>
      <c r="U423" s="3558" t="s">
        <v>556</v>
      </c>
      <c r="V423" s="3558" t="s">
        <v>556</v>
      </c>
    </row>
    <row r="424" spans="8:22">
      <c r="H424" s="7175"/>
      <c r="I424" s="7176"/>
      <c r="J424" s="3552" t="s">
        <v>1456</v>
      </c>
      <c r="K424" s="7174"/>
      <c r="L424" s="3896"/>
      <c r="M424" s="3553">
        <v>14</v>
      </c>
      <c r="N424" s="3553">
        <v>0</v>
      </c>
      <c r="O424" s="3554">
        <f t="shared" si="6"/>
        <v>0</v>
      </c>
      <c r="P424" s="3553" t="s">
        <v>556</v>
      </c>
      <c r="Q424" s="3553" t="s">
        <v>556</v>
      </c>
      <c r="R424" s="3557" t="s">
        <v>556</v>
      </c>
      <c r="S424" s="3558" t="s">
        <v>556</v>
      </c>
      <c r="T424" s="3555">
        <v>0.16666666666666669</v>
      </c>
      <c r="U424" s="3555">
        <v>0.16666666666666669</v>
      </c>
      <c r="V424" s="3555">
        <v>0.5</v>
      </c>
    </row>
    <row r="425" spans="8:22">
      <c r="H425" s="7175"/>
      <c r="I425" s="7176"/>
      <c r="J425" s="3552" t="s">
        <v>1457</v>
      </c>
      <c r="K425" s="7174"/>
      <c r="L425" s="3896"/>
      <c r="M425" s="3553">
        <v>25</v>
      </c>
      <c r="N425" s="3553">
        <v>24</v>
      </c>
      <c r="O425" s="3554">
        <f t="shared" si="6"/>
        <v>96</v>
      </c>
      <c r="P425" s="3555">
        <v>0.5</v>
      </c>
      <c r="Q425" s="3555">
        <v>0.5</v>
      </c>
      <c r="R425" s="3556">
        <v>0</v>
      </c>
      <c r="S425" s="3555">
        <v>0.16666666666666669</v>
      </c>
      <c r="T425" s="3555">
        <v>0.33333333333333337</v>
      </c>
      <c r="U425" s="3556">
        <v>0</v>
      </c>
      <c r="V425" s="3555">
        <v>0.66666666666666674</v>
      </c>
    </row>
    <row r="426" spans="8:22">
      <c r="H426" s="7175"/>
      <c r="I426" s="7176"/>
      <c r="J426" s="3552" t="s">
        <v>1454</v>
      </c>
      <c r="K426" s="7174"/>
      <c r="L426" s="3896"/>
      <c r="M426" s="3553">
        <v>9</v>
      </c>
      <c r="N426" s="3553">
        <v>1</v>
      </c>
      <c r="O426" s="3554">
        <f t="shared" si="6"/>
        <v>11.111111111111111</v>
      </c>
      <c r="P426" s="3555">
        <v>0.3</v>
      </c>
      <c r="Q426" s="3555">
        <v>0.7</v>
      </c>
      <c r="R426" s="3556">
        <v>0</v>
      </c>
      <c r="S426" s="3556">
        <v>0</v>
      </c>
      <c r="T426" s="3558" t="s">
        <v>556</v>
      </c>
      <c r="U426" s="3558" t="s">
        <v>556</v>
      </c>
      <c r="V426" s="3558" t="s">
        <v>556</v>
      </c>
    </row>
    <row r="427" spans="8:22">
      <c r="H427" s="7175"/>
      <c r="I427" s="7176"/>
      <c r="J427" s="3552" t="s">
        <v>1458</v>
      </c>
      <c r="K427" s="7174"/>
      <c r="L427" s="3896"/>
      <c r="M427" s="3553">
        <v>19</v>
      </c>
      <c r="N427" s="3553">
        <v>0</v>
      </c>
      <c r="O427" s="3554">
        <f t="shared" si="6"/>
        <v>0</v>
      </c>
      <c r="P427" s="3553" t="s">
        <v>556</v>
      </c>
      <c r="Q427" s="3553" t="s">
        <v>556</v>
      </c>
      <c r="R427" s="3557" t="s">
        <v>556</v>
      </c>
      <c r="S427" s="3558" t="s">
        <v>556</v>
      </c>
      <c r="T427" s="3558" t="s">
        <v>556</v>
      </c>
      <c r="U427" s="3558" t="s">
        <v>556</v>
      </c>
      <c r="V427" s="3558" t="s">
        <v>556</v>
      </c>
    </row>
    <row r="428" spans="8:22">
      <c r="H428" s="7175"/>
      <c r="I428" s="7176"/>
      <c r="J428" s="3552" t="s">
        <v>1527</v>
      </c>
      <c r="K428" s="7174"/>
      <c r="L428" s="3896"/>
      <c r="M428" s="3553">
        <v>6</v>
      </c>
      <c r="N428" s="3553">
        <v>0</v>
      </c>
      <c r="O428" s="3554">
        <f t="shared" si="6"/>
        <v>0</v>
      </c>
      <c r="P428" s="3553" t="s">
        <v>556</v>
      </c>
      <c r="Q428" s="3553" t="s">
        <v>556</v>
      </c>
      <c r="R428" s="3557" t="s">
        <v>556</v>
      </c>
      <c r="S428" s="3558" t="s">
        <v>556</v>
      </c>
      <c r="T428" s="3555">
        <v>0.15789473684210525</v>
      </c>
      <c r="U428" s="3555">
        <v>5.2631578947368425E-2</v>
      </c>
      <c r="V428" s="3555">
        <v>0.68421052631578949</v>
      </c>
    </row>
    <row r="429" spans="8:22">
      <c r="H429" s="7175"/>
      <c r="I429" s="7176"/>
      <c r="J429" s="3552" t="s">
        <v>2351</v>
      </c>
      <c r="K429" s="7174" t="s">
        <v>244</v>
      </c>
      <c r="L429" s="3896"/>
      <c r="M429" s="3553">
        <v>68</v>
      </c>
      <c r="N429" s="3553">
        <v>22</v>
      </c>
      <c r="O429" s="3554">
        <f t="shared" si="6"/>
        <v>32.352941176470587</v>
      </c>
      <c r="P429" s="3555">
        <v>0.90909090909090906</v>
      </c>
      <c r="Q429" s="3555">
        <v>9.0909090909090912E-2</v>
      </c>
      <c r="R429" s="3555">
        <v>5.2631578947368425E-2</v>
      </c>
      <c r="S429" s="3555">
        <v>5.2631578947368425E-2</v>
      </c>
      <c r="T429" s="3558" t="s">
        <v>556</v>
      </c>
      <c r="U429" s="3558" t="s">
        <v>556</v>
      </c>
      <c r="V429" s="3558" t="s">
        <v>556</v>
      </c>
    </row>
    <row r="430" spans="8:22">
      <c r="H430" s="7175"/>
      <c r="I430" s="7176"/>
      <c r="J430" s="3552" t="s">
        <v>1455</v>
      </c>
      <c r="K430" s="7174"/>
      <c r="L430" s="3896"/>
      <c r="M430" s="3553">
        <v>2</v>
      </c>
      <c r="N430" s="3553">
        <v>0</v>
      </c>
      <c r="O430" s="3554">
        <f t="shared" si="6"/>
        <v>0</v>
      </c>
      <c r="P430" s="3553" t="s">
        <v>556</v>
      </c>
      <c r="Q430" s="3553" t="s">
        <v>556</v>
      </c>
      <c r="R430" s="3557" t="s">
        <v>556</v>
      </c>
      <c r="S430" s="3558" t="s">
        <v>556</v>
      </c>
      <c r="T430" s="3558" t="s">
        <v>556</v>
      </c>
      <c r="U430" s="3558" t="s">
        <v>556</v>
      </c>
      <c r="V430" s="3558" t="s">
        <v>556</v>
      </c>
    </row>
    <row r="431" spans="8:22">
      <c r="H431" s="7175"/>
      <c r="I431" s="7176"/>
      <c r="J431" s="3552" t="s">
        <v>1456</v>
      </c>
      <c r="K431" s="7174"/>
      <c r="L431" s="3896"/>
      <c r="M431" s="3553">
        <v>3</v>
      </c>
      <c r="N431" s="3553">
        <v>0</v>
      </c>
      <c r="O431" s="3554">
        <f t="shared" si="6"/>
        <v>0</v>
      </c>
      <c r="P431" s="3553" t="s">
        <v>556</v>
      </c>
      <c r="Q431" s="3553" t="s">
        <v>556</v>
      </c>
      <c r="R431" s="3557" t="s">
        <v>556</v>
      </c>
      <c r="S431" s="3558" t="s">
        <v>556</v>
      </c>
      <c r="T431" s="3555">
        <v>0.5</v>
      </c>
      <c r="U431" s="3571" t="s">
        <v>556</v>
      </c>
      <c r="V431" s="3571" t="s">
        <v>556</v>
      </c>
    </row>
    <row r="432" spans="8:22">
      <c r="H432" s="7175"/>
      <c r="I432" s="7176"/>
      <c r="J432" s="3552" t="s">
        <v>1457</v>
      </c>
      <c r="K432" s="7174"/>
      <c r="L432" s="3896"/>
      <c r="M432" s="3553">
        <v>13</v>
      </c>
      <c r="N432" s="3553">
        <v>2</v>
      </c>
      <c r="O432" s="3554">
        <f t="shared" si="6"/>
        <v>15.384615384615385</v>
      </c>
      <c r="P432" s="3555">
        <v>1</v>
      </c>
      <c r="Q432" s="3556">
        <v>0</v>
      </c>
      <c r="R432" s="3556">
        <v>0</v>
      </c>
      <c r="S432" s="3555">
        <v>0.5</v>
      </c>
      <c r="T432" s="3558" t="s">
        <v>556</v>
      </c>
      <c r="U432" s="3558" t="s">
        <v>556</v>
      </c>
      <c r="V432" s="3558" t="s">
        <v>556</v>
      </c>
    </row>
    <row r="433" spans="8:22">
      <c r="H433" s="7175"/>
      <c r="I433" s="7176"/>
      <c r="J433" s="3552" t="s">
        <v>1454</v>
      </c>
      <c r="K433" s="7174"/>
      <c r="L433" s="3896"/>
      <c r="M433" s="3553">
        <v>1</v>
      </c>
      <c r="N433" s="3553">
        <v>0</v>
      </c>
      <c r="O433" s="3554">
        <f t="shared" si="6"/>
        <v>0</v>
      </c>
      <c r="P433" s="3553" t="s">
        <v>556</v>
      </c>
      <c r="Q433" s="3553" t="s">
        <v>556</v>
      </c>
      <c r="R433" s="3557" t="s">
        <v>556</v>
      </c>
      <c r="S433" s="3558" t="s">
        <v>556</v>
      </c>
      <c r="T433" s="3563" t="s">
        <v>556</v>
      </c>
      <c r="U433" s="3563" t="s">
        <v>556</v>
      </c>
      <c r="V433" s="3563" t="s">
        <v>556</v>
      </c>
    </row>
    <row r="434" spans="8:22">
      <c r="H434" s="7175"/>
      <c r="I434" s="7176"/>
      <c r="J434" s="3559" t="s">
        <v>1458</v>
      </c>
      <c r="K434" s="7201"/>
      <c r="L434" s="3900"/>
      <c r="M434" s="3560">
        <v>8</v>
      </c>
      <c r="N434" s="3560">
        <v>0</v>
      </c>
      <c r="O434" s="3561">
        <f t="shared" si="6"/>
        <v>0</v>
      </c>
      <c r="P434" s="3560" t="s">
        <v>556</v>
      </c>
      <c r="Q434" s="3560" t="s">
        <v>556</v>
      </c>
      <c r="R434" s="3562" t="s">
        <v>556</v>
      </c>
      <c r="S434" s="3563" t="s">
        <v>556</v>
      </c>
      <c r="T434" s="3567">
        <v>0.05</v>
      </c>
      <c r="U434" s="3567">
        <v>0.3</v>
      </c>
      <c r="V434" s="3567">
        <v>0.6</v>
      </c>
    </row>
    <row r="435" spans="8:22">
      <c r="H435" s="7175" t="s">
        <v>25</v>
      </c>
      <c r="I435" s="7176" t="s">
        <v>2176</v>
      </c>
      <c r="J435" s="3564" t="s">
        <v>2190</v>
      </c>
      <c r="K435" s="7177" t="s">
        <v>243</v>
      </c>
      <c r="L435" s="3897"/>
      <c r="M435" s="3565">
        <v>78</v>
      </c>
      <c r="N435" s="3565">
        <v>27</v>
      </c>
      <c r="O435" s="3566">
        <f t="shared" si="6"/>
        <v>34.615384615384613</v>
      </c>
      <c r="P435" s="3567">
        <v>0.74074074074074081</v>
      </c>
      <c r="Q435" s="3567">
        <v>0.2592592592592593</v>
      </c>
      <c r="R435" s="3570">
        <v>0</v>
      </c>
      <c r="S435" s="3567">
        <v>0.05</v>
      </c>
      <c r="T435" s="3555">
        <v>0.12698412698412698</v>
      </c>
      <c r="U435" s="3555">
        <v>6.3492063492063489E-2</v>
      </c>
      <c r="V435" s="3555">
        <v>0.7142857142857143</v>
      </c>
    </row>
    <row r="436" spans="8:22">
      <c r="H436" s="7175"/>
      <c r="I436" s="7176"/>
      <c r="J436" s="3552" t="s">
        <v>2191</v>
      </c>
      <c r="K436" s="7174"/>
      <c r="L436" s="3896"/>
      <c r="M436" s="3553">
        <v>159</v>
      </c>
      <c r="N436" s="3553">
        <v>71</v>
      </c>
      <c r="O436" s="3554">
        <f t="shared" si="6"/>
        <v>44.654088050314463</v>
      </c>
      <c r="P436" s="3555">
        <v>0.88732394366197187</v>
      </c>
      <c r="Q436" s="3555">
        <v>0.11267605633802816</v>
      </c>
      <c r="R436" s="3555">
        <v>3.1746031746031744E-2</v>
      </c>
      <c r="S436" s="3555">
        <v>6.3492063492063489E-2</v>
      </c>
      <c r="T436" s="3556">
        <v>0</v>
      </c>
      <c r="U436" s="3556">
        <v>0</v>
      </c>
      <c r="V436" s="3555">
        <v>1</v>
      </c>
    </row>
    <row r="437" spans="8:22">
      <c r="H437" s="7175"/>
      <c r="I437" s="7176"/>
      <c r="J437" s="3552" t="s">
        <v>2192</v>
      </c>
      <c r="K437" s="7174"/>
      <c r="L437" s="3896"/>
      <c r="M437" s="3553">
        <v>58</v>
      </c>
      <c r="N437" s="3553">
        <v>9</v>
      </c>
      <c r="O437" s="3554">
        <f t="shared" si="6"/>
        <v>15.517241379310345</v>
      </c>
      <c r="P437" s="3555">
        <v>0.77777777777777768</v>
      </c>
      <c r="Q437" s="3555">
        <v>0.22222222222222221</v>
      </c>
      <c r="R437" s="3556">
        <v>0</v>
      </c>
      <c r="S437" s="3556">
        <v>0</v>
      </c>
      <c r="T437" s="3555">
        <v>0.1081081081081081</v>
      </c>
      <c r="U437" s="3555">
        <v>8.1081081081081086E-2</v>
      </c>
      <c r="V437" s="3555">
        <v>0.81081081081081086</v>
      </c>
    </row>
    <row r="438" spans="8:22" ht="15" customHeight="1">
      <c r="H438" s="7175"/>
      <c r="I438" s="7176"/>
      <c r="J438" s="3552" t="s">
        <v>2193</v>
      </c>
      <c r="K438" s="7174"/>
      <c r="L438" s="3896"/>
      <c r="M438" s="3553">
        <v>112</v>
      </c>
      <c r="N438" s="3553">
        <v>45</v>
      </c>
      <c r="O438" s="3554">
        <f t="shared" si="6"/>
        <v>40.178571428571431</v>
      </c>
      <c r="P438" s="3555">
        <v>0.84444444444444444</v>
      </c>
      <c r="Q438" s="3555">
        <v>0.15555555555555556</v>
      </c>
      <c r="R438" s="3556">
        <v>0</v>
      </c>
      <c r="S438" s="3556">
        <v>0</v>
      </c>
      <c r="T438" s="3555">
        <v>5.2631578947368425E-2</v>
      </c>
      <c r="U438" s="3555">
        <v>0.2105263157894737</v>
      </c>
      <c r="V438" s="3555">
        <v>0.68421052631578949</v>
      </c>
    </row>
    <row r="439" spans="8:22">
      <c r="H439" s="7175"/>
      <c r="I439" s="7176"/>
      <c r="J439" s="3552" t="s">
        <v>2194</v>
      </c>
      <c r="K439" s="7174"/>
      <c r="L439" s="3896"/>
      <c r="M439" s="3553">
        <v>36</v>
      </c>
      <c r="N439" s="3553">
        <v>25</v>
      </c>
      <c r="O439" s="3554">
        <f t="shared" si="6"/>
        <v>69.444444444444443</v>
      </c>
      <c r="P439" s="3555">
        <v>0.76</v>
      </c>
      <c r="Q439" s="3555">
        <v>0.24</v>
      </c>
      <c r="R439" s="3555">
        <v>5.2631578947368425E-2</v>
      </c>
      <c r="S439" s="3556">
        <v>0</v>
      </c>
      <c r="T439" s="3558" t="s">
        <v>556</v>
      </c>
      <c r="U439" s="3558" t="s">
        <v>556</v>
      </c>
      <c r="V439" s="3558" t="s">
        <v>556</v>
      </c>
    </row>
    <row r="440" spans="8:22">
      <c r="H440" s="7175"/>
      <c r="I440" s="7176"/>
      <c r="J440" s="3552" t="s">
        <v>2200</v>
      </c>
      <c r="K440" s="7174"/>
      <c r="L440" s="3896"/>
      <c r="M440" s="3553">
        <v>1</v>
      </c>
      <c r="N440" s="3553">
        <v>0</v>
      </c>
      <c r="O440" s="3554">
        <f t="shared" si="6"/>
        <v>0</v>
      </c>
      <c r="P440" s="3553" t="s">
        <v>556</v>
      </c>
      <c r="Q440" s="3553" t="s">
        <v>556</v>
      </c>
      <c r="R440" s="3557" t="s">
        <v>556</v>
      </c>
      <c r="S440" s="3558" t="s">
        <v>556</v>
      </c>
      <c r="T440" s="3555">
        <v>0.15384615384615385</v>
      </c>
      <c r="U440" s="3555">
        <v>0.15384615384615385</v>
      </c>
      <c r="V440" s="3555">
        <v>0.53846153846153844</v>
      </c>
    </row>
    <row r="441" spans="8:22">
      <c r="H441" s="7175"/>
      <c r="I441" s="7176"/>
      <c r="J441" s="3552" t="s">
        <v>119</v>
      </c>
      <c r="K441" s="7174"/>
      <c r="L441" s="3896"/>
      <c r="M441" s="3553">
        <v>72</v>
      </c>
      <c r="N441" s="3553">
        <v>39</v>
      </c>
      <c r="O441" s="3554">
        <f t="shared" si="6"/>
        <v>54.166666666666664</v>
      </c>
      <c r="P441" s="3555">
        <v>0.66666666666666674</v>
      </c>
      <c r="Q441" s="3555">
        <v>0.33333333333333337</v>
      </c>
      <c r="R441" s="3555">
        <v>7.6923076923076927E-2</v>
      </c>
      <c r="S441" s="3555">
        <v>7.6923076923076927E-2</v>
      </c>
      <c r="T441" s="3555">
        <v>0.18556701030927836</v>
      </c>
      <c r="U441" s="3555">
        <v>0.2061855670103093</v>
      </c>
      <c r="V441" s="3555">
        <v>0.51546391752577325</v>
      </c>
    </row>
    <row r="442" spans="8:22">
      <c r="H442" s="7175"/>
      <c r="I442" s="7176"/>
      <c r="J442" s="3552" t="s">
        <v>120</v>
      </c>
      <c r="K442" s="7174"/>
      <c r="L442" s="3896"/>
      <c r="M442" s="3553">
        <v>193</v>
      </c>
      <c r="N442" s="3553">
        <v>127</v>
      </c>
      <c r="O442" s="3554">
        <f t="shared" si="6"/>
        <v>65.803108808290162</v>
      </c>
      <c r="P442" s="3555">
        <v>0.77165354330708669</v>
      </c>
      <c r="Q442" s="3555">
        <v>0.22834645669291337</v>
      </c>
      <c r="R442" s="3555">
        <v>4.1237113402061848E-2</v>
      </c>
      <c r="S442" s="3555">
        <v>5.1546391752577324E-2</v>
      </c>
      <c r="T442" s="3555">
        <v>0.14285714285714288</v>
      </c>
      <c r="U442" s="3555">
        <v>0.17857142857142858</v>
      </c>
      <c r="V442" s="3555">
        <v>0.5</v>
      </c>
    </row>
    <row r="443" spans="8:22">
      <c r="H443" s="7175"/>
      <c r="I443" s="7176"/>
      <c r="J443" s="3552" t="s">
        <v>121</v>
      </c>
      <c r="K443" s="7174"/>
      <c r="L443" s="3896"/>
      <c r="M443" s="3553">
        <v>119</v>
      </c>
      <c r="N443" s="3553">
        <v>97</v>
      </c>
      <c r="O443" s="3554">
        <f t="shared" si="6"/>
        <v>81.512605042016801</v>
      </c>
      <c r="P443" s="3555">
        <v>0.55670103092783507</v>
      </c>
      <c r="Q443" s="3555">
        <v>0.44329896907216493</v>
      </c>
      <c r="R443" s="3555">
        <v>8.9285714285714288E-2</v>
      </c>
      <c r="S443" s="3555">
        <v>8.9285714285714288E-2</v>
      </c>
      <c r="T443" s="3555">
        <v>0.125</v>
      </c>
      <c r="U443" s="3555">
        <v>0.20833333333333331</v>
      </c>
      <c r="V443" s="3555">
        <v>0.5625</v>
      </c>
    </row>
    <row r="444" spans="8:22">
      <c r="H444" s="7175"/>
      <c r="I444" s="7176"/>
      <c r="J444" s="3552" t="s">
        <v>122</v>
      </c>
      <c r="K444" s="7174"/>
      <c r="L444" s="3896"/>
      <c r="M444" s="3553">
        <v>179</v>
      </c>
      <c r="N444" s="3553">
        <v>76</v>
      </c>
      <c r="O444" s="3554">
        <f t="shared" si="6"/>
        <v>42.458100558659218</v>
      </c>
      <c r="P444" s="3555">
        <v>0.63157894736842102</v>
      </c>
      <c r="Q444" s="3555">
        <v>0.36842105263157898</v>
      </c>
      <c r="R444" s="3555">
        <v>2.0833333333333336E-2</v>
      </c>
      <c r="S444" s="3555">
        <v>8.3333333333333343E-2</v>
      </c>
      <c r="T444" s="3555">
        <v>0.16666666666666669</v>
      </c>
      <c r="U444" s="3555">
        <v>0.21794871794871795</v>
      </c>
      <c r="V444" s="3555">
        <v>0.51282051282051289</v>
      </c>
    </row>
    <row r="445" spans="8:22">
      <c r="H445" s="7175"/>
      <c r="I445" s="7176"/>
      <c r="J445" s="3552" t="s">
        <v>123</v>
      </c>
      <c r="K445" s="7174"/>
      <c r="L445" s="3896"/>
      <c r="M445" s="3553">
        <v>145</v>
      </c>
      <c r="N445" s="3553">
        <v>107</v>
      </c>
      <c r="O445" s="3554">
        <f t="shared" si="6"/>
        <v>73.793103448275858</v>
      </c>
      <c r="P445" s="3555">
        <v>0.7289719626168224</v>
      </c>
      <c r="Q445" s="3555">
        <v>0.27102803738317754</v>
      </c>
      <c r="R445" s="3555">
        <v>6.4102564102564111E-2</v>
      </c>
      <c r="S445" s="3555">
        <v>3.8461538461538464E-2</v>
      </c>
      <c r="T445" s="3555">
        <v>0.125</v>
      </c>
      <c r="U445" s="3555">
        <v>0.1875</v>
      </c>
      <c r="V445" s="3555">
        <v>0.625</v>
      </c>
    </row>
    <row r="446" spans="8:22">
      <c r="H446" s="7175"/>
      <c r="I446" s="7176"/>
      <c r="J446" s="3552" t="s">
        <v>273</v>
      </c>
      <c r="K446" s="7174"/>
      <c r="L446" s="3896"/>
      <c r="M446" s="3553">
        <v>90</v>
      </c>
      <c r="N446" s="3553">
        <v>88</v>
      </c>
      <c r="O446" s="3554">
        <f t="shared" si="6"/>
        <v>97.777777777777771</v>
      </c>
      <c r="P446" s="3555">
        <v>0.88888888888888884</v>
      </c>
      <c r="Q446" s="3555">
        <v>0.1111111111111111</v>
      </c>
      <c r="R446" s="3556">
        <v>0</v>
      </c>
      <c r="S446" s="3555">
        <v>6.25E-2</v>
      </c>
      <c r="T446" s="3555">
        <v>0.2</v>
      </c>
      <c r="U446" s="3556">
        <v>0</v>
      </c>
      <c r="V446" s="3555">
        <v>0.4</v>
      </c>
    </row>
    <row r="447" spans="8:22">
      <c r="H447" s="7175"/>
      <c r="I447" s="7176"/>
      <c r="J447" s="3552" t="s">
        <v>681</v>
      </c>
      <c r="K447" s="7174"/>
      <c r="L447" s="3896"/>
      <c r="M447" s="3553">
        <v>47</v>
      </c>
      <c r="N447" s="3553">
        <v>8</v>
      </c>
      <c r="O447" s="3554">
        <f t="shared" si="6"/>
        <v>17.021276595744681</v>
      </c>
      <c r="P447" s="3555">
        <v>0.625</v>
      </c>
      <c r="Q447" s="3555">
        <v>0.375</v>
      </c>
      <c r="R447" s="3556">
        <v>0</v>
      </c>
      <c r="S447" s="3555">
        <v>0.4</v>
      </c>
      <c r="T447" s="3555">
        <v>8.7591240875912413E-2</v>
      </c>
      <c r="U447" s="3555">
        <v>0.16788321167883211</v>
      </c>
      <c r="V447" s="3555">
        <v>0.66423357664233573</v>
      </c>
    </row>
    <row r="448" spans="8:22">
      <c r="H448" s="7175"/>
      <c r="I448" s="7176"/>
      <c r="J448" s="3552" t="s">
        <v>2200</v>
      </c>
      <c r="K448" s="7174" t="s">
        <v>244</v>
      </c>
      <c r="L448" s="3896"/>
      <c r="M448" s="3553">
        <v>302</v>
      </c>
      <c r="N448" s="3553">
        <v>180</v>
      </c>
      <c r="O448" s="3554">
        <f t="shared" si="6"/>
        <v>59.602649006622514</v>
      </c>
      <c r="P448" s="3555">
        <v>0.77222222222222225</v>
      </c>
      <c r="Q448" s="3555">
        <v>0.22777777777777777</v>
      </c>
      <c r="R448" s="3555">
        <v>2.9197080291970802E-2</v>
      </c>
      <c r="S448" s="3555">
        <v>5.1094890510948912E-2</v>
      </c>
      <c r="T448" s="3558" t="s">
        <v>556</v>
      </c>
      <c r="U448" s="3558" t="s">
        <v>556</v>
      </c>
      <c r="V448" s="3558" t="s">
        <v>556</v>
      </c>
    </row>
    <row r="449" spans="8:22">
      <c r="H449" s="7175"/>
      <c r="I449" s="7176"/>
      <c r="J449" s="3552" t="s">
        <v>119</v>
      </c>
      <c r="K449" s="7174"/>
      <c r="L449" s="3896"/>
      <c r="M449" s="3553">
        <v>45</v>
      </c>
      <c r="N449" s="3553">
        <v>0</v>
      </c>
      <c r="O449" s="3554">
        <f t="shared" si="6"/>
        <v>0</v>
      </c>
      <c r="P449" s="3553" t="s">
        <v>556</v>
      </c>
      <c r="Q449" s="3553" t="s">
        <v>556</v>
      </c>
      <c r="R449" s="3557" t="s">
        <v>556</v>
      </c>
      <c r="S449" s="3558" t="s">
        <v>556</v>
      </c>
      <c r="T449" s="3556">
        <v>0</v>
      </c>
      <c r="U449" s="3555">
        <v>0.16666666666666669</v>
      </c>
      <c r="V449" s="3555">
        <v>0.66666666666666674</v>
      </c>
    </row>
    <row r="450" spans="8:22" ht="15" customHeight="1">
      <c r="H450" s="7175"/>
      <c r="I450" s="7176"/>
      <c r="J450" s="3552" t="s">
        <v>120</v>
      </c>
      <c r="K450" s="7174"/>
      <c r="L450" s="3896"/>
      <c r="M450" s="3553">
        <v>58</v>
      </c>
      <c r="N450" s="3553">
        <v>10</v>
      </c>
      <c r="O450" s="3554">
        <f t="shared" si="6"/>
        <v>17.241379310344829</v>
      </c>
      <c r="P450" s="3555">
        <v>0.7</v>
      </c>
      <c r="Q450" s="3555">
        <v>0.3</v>
      </c>
      <c r="R450" s="3556">
        <v>0</v>
      </c>
      <c r="S450" s="3555">
        <v>0.16666666666666669</v>
      </c>
      <c r="T450" s="3555">
        <v>6.1946902654867256E-2</v>
      </c>
      <c r="U450" s="3555">
        <v>0.20353982300884954</v>
      </c>
      <c r="V450" s="3555">
        <v>0.69911504424778759</v>
      </c>
    </row>
    <row r="451" spans="8:22">
      <c r="H451" s="7175"/>
      <c r="I451" s="7176"/>
      <c r="J451" s="3552" t="s">
        <v>121</v>
      </c>
      <c r="K451" s="7174"/>
      <c r="L451" s="3896"/>
      <c r="M451" s="3553">
        <v>157</v>
      </c>
      <c r="N451" s="3553">
        <v>132</v>
      </c>
      <c r="O451" s="3554">
        <f t="shared" si="6"/>
        <v>84.076433121019107</v>
      </c>
      <c r="P451" s="3555">
        <v>0.83969465648854968</v>
      </c>
      <c r="Q451" s="3555">
        <v>0.1603053435114504</v>
      </c>
      <c r="R451" s="3555">
        <v>2.6548672566371681E-2</v>
      </c>
      <c r="S451" s="3555">
        <v>8.8495575221238937E-3</v>
      </c>
      <c r="T451" s="3555">
        <v>7.1428571428571438E-2</v>
      </c>
      <c r="U451" s="3555">
        <v>0.10714285714285714</v>
      </c>
      <c r="V451" s="3555">
        <v>0.7857142857142857</v>
      </c>
    </row>
    <row r="452" spans="8:22">
      <c r="H452" s="7175"/>
      <c r="I452" s="7176"/>
      <c r="J452" s="3552" t="s">
        <v>122</v>
      </c>
      <c r="K452" s="7174"/>
      <c r="L452" s="3896"/>
      <c r="M452" s="3553">
        <v>72</v>
      </c>
      <c r="N452" s="3553">
        <v>32</v>
      </c>
      <c r="O452" s="3554">
        <f t="shared" si="6"/>
        <v>44.444444444444443</v>
      </c>
      <c r="P452" s="3555">
        <v>0.875</v>
      </c>
      <c r="Q452" s="3555">
        <v>0.125</v>
      </c>
      <c r="R452" s="3556">
        <v>0</v>
      </c>
      <c r="S452" s="3555">
        <v>3.5714285714285719E-2</v>
      </c>
      <c r="T452" s="3555">
        <v>4.1666666666666671E-2</v>
      </c>
      <c r="U452" s="3555">
        <v>0.25</v>
      </c>
      <c r="V452" s="3555">
        <v>0.70833333333333326</v>
      </c>
    </row>
    <row r="453" spans="8:22">
      <c r="H453" s="7175"/>
      <c r="I453" s="7176"/>
      <c r="J453" s="3552" t="s">
        <v>123</v>
      </c>
      <c r="K453" s="7174"/>
      <c r="L453" s="3896"/>
      <c r="M453" s="3553">
        <v>35</v>
      </c>
      <c r="N453" s="3553">
        <v>24</v>
      </c>
      <c r="O453" s="3554">
        <f t="shared" si="6"/>
        <v>68.571428571428569</v>
      </c>
      <c r="P453" s="3555">
        <v>1</v>
      </c>
      <c r="Q453" s="3556">
        <v>0</v>
      </c>
      <c r="R453" s="3556">
        <v>0</v>
      </c>
      <c r="S453" s="3556">
        <v>0</v>
      </c>
      <c r="T453" s="3556">
        <v>0</v>
      </c>
      <c r="U453" s="3556">
        <v>0</v>
      </c>
      <c r="V453" s="3555">
        <v>1</v>
      </c>
    </row>
    <row r="454" spans="8:22">
      <c r="H454" s="7175"/>
      <c r="I454" s="7176"/>
      <c r="J454" s="3552" t="s">
        <v>388</v>
      </c>
      <c r="K454" s="7174"/>
      <c r="L454" s="3896"/>
      <c r="M454" s="3553">
        <v>8</v>
      </c>
      <c r="N454" s="3553">
        <v>7</v>
      </c>
      <c r="O454" s="3554">
        <f t="shared" si="6"/>
        <v>87.5</v>
      </c>
      <c r="P454" s="3555">
        <v>1</v>
      </c>
      <c r="Q454" s="3556">
        <v>0</v>
      </c>
      <c r="R454" s="3556">
        <v>0</v>
      </c>
      <c r="S454" s="3556">
        <v>0</v>
      </c>
      <c r="T454" s="3563" t="s">
        <v>556</v>
      </c>
      <c r="U454" s="3563" t="s">
        <v>556</v>
      </c>
      <c r="V454" s="3563" t="s">
        <v>556</v>
      </c>
    </row>
    <row r="455" spans="8:22">
      <c r="H455" s="7175"/>
      <c r="I455" s="7176"/>
      <c r="J455" s="3559" t="s">
        <v>681</v>
      </c>
      <c r="K455" s="7201"/>
      <c r="L455" s="3900"/>
      <c r="M455" s="3560">
        <v>1</v>
      </c>
      <c r="N455" s="3560">
        <v>0</v>
      </c>
      <c r="O455" s="3561">
        <f t="shared" ref="O455:O518" si="7">N455*100/M455</f>
        <v>0</v>
      </c>
      <c r="P455" s="3560" t="s">
        <v>556</v>
      </c>
      <c r="Q455" s="3560" t="s">
        <v>556</v>
      </c>
      <c r="R455" s="3562" t="s">
        <v>556</v>
      </c>
      <c r="S455" s="3563" t="s">
        <v>556</v>
      </c>
      <c r="T455" s="3572" t="s">
        <v>556</v>
      </c>
      <c r="U455" s="3572" t="s">
        <v>556</v>
      </c>
      <c r="V455" s="3572" t="s">
        <v>556</v>
      </c>
    </row>
    <row r="456" spans="8:22">
      <c r="H456" s="7175"/>
      <c r="I456" s="7176" t="s">
        <v>2171</v>
      </c>
      <c r="J456" s="3564" t="s">
        <v>2202</v>
      </c>
      <c r="K456" s="7177" t="s">
        <v>257</v>
      </c>
      <c r="L456" s="3897"/>
      <c r="M456" s="3565">
        <v>6</v>
      </c>
      <c r="N456" s="3565">
        <v>0</v>
      </c>
      <c r="O456" s="3566">
        <f t="shared" si="7"/>
        <v>0</v>
      </c>
      <c r="P456" s="3572" t="s">
        <v>556</v>
      </c>
      <c r="Q456" s="3572" t="s">
        <v>556</v>
      </c>
      <c r="R456" s="3573" t="s">
        <v>556</v>
      </c>
      <c r="S456" s="3572" t="s">
        <v>556</v>
      </c>
      <c r="T456" s="3555">
        <v>0.1440677966101695</v>
      </c>
      <c r="U456" s="3555">
        <v>0.11016949152542374</v>
      </c>
      <c r="V456" s="3555">
        <v>0.66101694915254239</v>
      </c>
    </row>
    <row r="457" spans="8:22">
      <c r="H457" s="7175"/>
      <c r="I457" s="7176"/>
      <c r="J457" s="3552" t="s">
        <v>2209</v>
      </c>
      <c r="K457" s="7174"/>
      <c r="L457" s="3896"/>
      <c r="M457" s="3553">
        <v>769</v>
      </c>
      <c r="N457" s="3553">
        <v>130</v>
      </c>
      <c r="O457" s="3554">
        <f t="shared" si="7"/>
        <v>16.905071521456438</v>
      </c>
      <c r="P457" s="3555">
        <v>0.90769230769230769</v>
      </c>
      <c r="Q457" s="3555">
        <v>9.2307692307692299E-2</v>
      </c>
      <c r="R457" s="3555">
        <v>4.2372881355932208E-2</v>
      </c>
      <c r="S457" s="3555">
        <v>4.2372881355932208E-2</v>
      </c>
      <c r="T457" s="3555">
        <v>0.125</v>
      </c>
      <c r="U457" s="3556">
        <v>0</v>
      </c>
      <c r="V457" s="3555">
        <v>0.8125</v>
      </c>
    </row>
    <row r="458" spans="8:22">
      <c r="H458" s="7175"/>
      <c r="I458" s="7176"/>
      <c r="J458" s="3552" t="s">
        <v>2202</v>
      </c>
      <c r="K458" s="7174" t="s">
        <v>243</v>
      </c>
      <c r="L458" s="3896"/>
      <c r="M458" s="3553">
        <v>80</v>
      </c>
      <c r="N458" s="3553">
        <v>22</v>
      </c>
      <c r="O458" s="3554">
        <f t="shared" si="7"/>
        <v>27.5</v>
      </c>
      <c r="P458" s="3555">
        <v>0.72727272727272729</v>
      </c>
      <c r="Q458" s="3555">
        <v>0.27272727272727271</v>
      </c>
      <c r="R458" s="3556">
        <v>0</v>
      </c>
      <c r="S458" s="3555">
        <v>6.25E-2</v>
      </c>
      <c r="T458" s="3555">
        <v>0.1875</v>
      </c>
      <c r="U458" s="3555">
        <v>6.25E-2</v>
      </c>
      <c r="V458" s="3555">
        <v>0.75</v>
      </c>
    </row>
    <row r="459" spans="8:22">
      <c r="H459" s="7175"/>
      <c r="I459" s="7176"/>
      <c r="J459" s="3552" t="s">
        <v>439</v>
      </c>
      <c r="K459" s="7174"/>
      <c r="L459" s="3896"/>
      <c r="M459" s="3553">
        <v>53</v>
      </c>
      <c r="N459" s="3553">
        <v>18</v>
      </c>
      <c r="O459" s="3554">
        <f t="shared" si="7"/>
        <v>33.962264150943398</v>
      </c>
      <c r="P459" s="3555">
        <v>0.88888888888888884</v>
      </c>
      <c r="Q459" s="3555">
        <v>0.1111111111111111</v>
      </c>
      <c r="R459" s="3556">
        <v>0</v>
      </c>
      <c r="S459" s="3556">
        <v>0</v>
      </c>
      <c r="T459" s="3555">
        <v>0.22222222222222221</v>
      </c>
      <c r="U459" s="3556">
        <v>0</v>
      </c>
      <c r="V459" s="3555">
        <v>0.66666666666666674</v>
      </c>
    </row>
    <row r="460" spans="8:22">
      <c r="H460" s="7175"/>
      <c r="I460" s="7176"/>
      <c r="J460" s="3552" t="s">
        <v>2203</v>
      </c>
      <c r="K460" s="7174"/>
      <c r="L460" s="3896"/>
      <c r="M460" s="3553">
        <v>38</v>
      </c>
      <c r="N460" s="3553">
        <v>10</v>
      </c>
      <c r="O460" s="3554">
        <f t="shared" si="7"/>
        <v>26.315789473684209</v>
      </c>
      <c r="P460" s="3555">
        <v>0.9</v>
      </c>
      <c r="Q460" s="3555">
        <v>0.1</v>
      </c>
      <c r="R460" s="3555">
        <v>0.1111111111111111</v>
      </c>
      <c r="S460" s="3556">
        <v>0</v>
      </c>
      <c r="T460" s="3555">
        <v>6.6666666666666666E-2</v>
      </c>
      <c r="U460" s="3555">
        <v>0.24666666666666667</v>
      </c>
      <c r="V460" s="3555">
        <v>0.66</v>
      </c>
    </row>
    <row r="461" spans="8:22">
      <c r="H461" s="7175"/>
      <c r="I461" s="7176"/>
      <c r="J461" s="3552" t="s">
        <v>2209</v>
      </c>
      <c r="K461" s="7174"/>
      <c r="L461" s="3896"/>
      <c r="M461" s="3553">
        <v>273</v>
      </c>
      <c r="N461" s="3553">
        <v>199</v>
      </c>
      <c r="O461" s="3554">
        <f t="shared" si="7"/>
        <v>72.893772893772891</v>
      </c>
      <c r="P461" s="3555">
        <v>0.7587939698492463</v>
      </c>
      <c r="Q461" s="3555">
        <v>0.24120603015075379</v>
      </c>
      <c r="R461" s="3555">
        <v>1.3333333333333332E-2</v>
      </c>
      <c r="S461" s="3555">
        <v>1.3333333333333332E-2</v>
      </c>
      <c r="T461" s="3555">
        <v>0.1492537313432836</v>
      </c>
      <c r="U461" s="3555">
        <v>0.19402985074626866</v>
      </c>
      <c r="V461" s="3555">
        <v>0.58208955223880599</v>
      </c>
    </row>
    <row r="462" spans="8:22">
      <c r="H462" s="7175"/>
      <c r="I462" s="7176"/>
      <c r="J462" s="3552" t="s">
        <v>2210</v>
      </c>
      <c r="K462" s="7174"/>
      <c r="L462" s="3896"/>
      <c r="M462" s="3553">
        <v>170</v>
      </c>
      <c r="N462" s="3553">
        <v>85</v>
      </c>
      <c r="O462" s="3554">
        <f t="shared" si="7"/>
        <v>50</v>
      </c>
      <c r="P462" s="3555">
        <v>0.7857142857142857</v>
      </c>
      <c r="Q462" s="3555">
        <v>0.21428571428571427</v>
      </c>
      <c r="R462" s="3555">
        <v>1.492537313432836E-2</v>
      </c>
      <c r="S462" s="3555">
        <v>5.9701492537313439E-2</v>
      </c>
      <c r="T462" s="3555">
        <v>0.13131313131313133</v>
      </c>
      <c r="U462" s="3555">
        <v>0.31313131313131309</v>
      </c>
      <c r="V462" s="3555">
        <v>0.43434343434343431</v>
      </c>
    </row>
    <row r="463" spans="8:22">
      <c r="H463" s="7175"/>
      <c r="I463" s="7176"/>
      <c r="J463" s="3552" t="s">
        <v>2211</v>
      </c>
      <c r="K463" s="7174"/>
      <c r="L463" s="3896"/>
      <c r="M463" s="3553">
        <v>398</v>
      </c>
      <c r="N463" s="3553">
        <v>162</v>
      </c>
      <c r="O463" s="3554">
        <f t="shared" si="7"/>
        <v>40.7035175879397</v>
      </c>
      <c r="P463" s="3555">
        <v>0.63124999999999998</v>
      </c>
      <c r="Q463" s="3555">
        <v>0.36875000000000002</v>
      </c>
      <c r="R463" s="3555">
        <v>1.0101010101010102E-2</v>
      </c>
      <c r="S463" s="3555">
        <v>0.1111111111111111</v>
      </c>
      <c r="T463" s="3555">
        <v>0.11016949152542374</v>
      </c>
      <c r="U463" s="3555">
        <v>0.1864406779661017</v>
      </c>
      <c r="V463" s="3555">
        <v>0.60169491525423735</v>
      </c>
    </row>
    <row r="464" spans="8:22">
      <c r="H464" s="7175"/>
      <c r="I464" s="7176"/>
      <c r="J464" s="3552" t="s">
        <v>2212</v>
      </c>
      <c r="K464" s="7174"/>
      <c r="L464" s="3896"/>
      <c r="M464" s="3553">
        <v>232</v>
      </c>
      <c r="N464" s="3553">
        <v>165</v>
      </c>
      <c r="O464" s="3554">
        <f t="shared" si="7"/>
        <v>71.120689655172413</v>
      </c>
      <c r="P464" s="3555">
        <v>0.7151515151515152</v>
      </c>
      <c r="Q464" s="3555">
        <v>0.28484848484848485</v>
      </c>
      <c r="R464" s="3555">
        <v>5.9322033898305086E-2</v>
      </c>
      <c r="S464" s="3555">
        <v>4.2372881355932208E-2</v>
      </c>
      <c r="T464" s="3555">
        <v>0.1</v>
      </c>
      <c r="U464" s="3555">
        <v>0.3</v>
      </c>
      <c r="V464" s="3555">
        <v>0.6</v>
      </c>
    </row>
    <row r="465" spans="8:22">
      <c r="H465" s="7175"/>
      <c r="I465" s="7176"/>
      <c r="J465" s="3552" t="s">
        <v>2226</v>
      </c>
      <c r="K465" s="7174"/>
      <c r="L465" s="3896"/>
      <c r="M465" s="3553">
        <v>62</v>
      </c>
      <c r="N465" s="3553">
        <v>45</v>
      </c>
      <c r="O465" s="3554">
        <f t="shared" si="7"/>
        <v>72.58064516129032</v>
      </c>
      <c r="P465" s="3555">
        <v>0.22222222222222221</v>
      </c>
      <c r="Q465" s="3555">
        <v>0.77777777777777768</v>
      </c>
      <c r="R465" s="3556">
        <v>0</v>
      </c>
      <c r="S465" s="3556">
        <v>0</v>
      </c>
      <c r="T465" s="3555">
        <v>1</v>
      </c>
      <c r="U465" s="3556">
        <v>0</v>
      </c>
      <c r="V465" s="3556">
        <v>0</v>
      </c>
    </row>
    <row r="466" spans="8:22">
      <c r="H466" s="7175"/>
      <c r="I466" s="7176"/>
      <c r="J466" s="3552" t="s">
        <v>272</v>
      </c>
      <c r="K466" s="7174" t="s">
        <v>244</v>
      </c>
      <c r="L466" s="3896"/>
      <c r="M466" s="3553">
        <v>19</v>
      </c>
      <c r="N466" s="3553">
        <v>4</v>
      </c>
      <c r="O466" s="3554">
        <f t="shared" si="7"/>
        <v>21.05263157894737</v>
      </c>
      <c r="P466" s="3555">
        <v>0.25</v>
      </c>
      <c r="Q466" s="3555">
        <v>0.75</v>
      </c>
      <c r="R466" s="3556">
        <v>0</v>
      </c>
      <c r="S466" s="3556">
        <v>0</v>
      </c>
      <c r="T466" s="3555">
        <v>4.4247787610619468E-2</v>
      </c>
      <c r="U466" s="3555">
        <v>0.21238938053097345</v>
      </c>
      <c r="V466" s="3555">
        <v>0.73451327433628322</v>
      </c>
    </row>
    <row r="467" spans="8:22">
      <c r="H467" s="7175"/>
      <c r="I467" s="7176"/>
      <c r="J467" s="3552" t="s">
        <v>2209</v>
      </c>
      <c r="K467" s="7174"/>
      <c r="L467" s="3896"/>
      <c r="M467" s="3553">
        <v>194</v>
      </c>
      <c r="N467" s="3553">
        <v>123</v>
      </c>
      <c r="O467" s="3554">
        <f t="shared" si="7"/>
        <v>63.402061855670105</v>
      </c>
      <c r="P467" s="3555">
        <v>0.92622950819672123</v>
      </c>
      <c r="Q467" s="3555">
        <v>7.3770491803278687E-2</v>
      </c>
      <c r="R467" s="3556">
        <v>0</v>
      </c>
      <c r="S467" s="3555">
        <v>8.8495575221238937E-3</v>
      </c>
      <c r="T467" s="3555">
        <v>6.7961165048543687E-2</v>
      </c>
      <c r="U467" s="3555">
        <v>0.21359223300970875</v>
      </c>
      <c r="V467" s="3555">
        <v>0.68932038834951459</v>
      </c>
    </row>
    <row r="468" spans="8:22" ht="15" customHeight="1">
      <c r="H468" s="7175"/>
      <c r="I468" s="7176"/>
      <c r="J468" s="3552" t="s">
        <v>2210</v>
      </c>
      <c r="K468" s="7174"/>
      <c r="L468" s="3896"/>
      <c r="M468" s="3553">
        <v>234</v>
      </c>
      <c r="N468" s="3553">
        <v>108</v>
      </c>
      <c r="O468" s="3554">
        <f t="shared" si="7"/>
        <v>46.153846153846153</v>
      </c>
      <c r="P468" s="3555">
        <v>0.98148148148148151</v>
      </c>
      <c r="Q468" s="3555">
        <v>1.8518518518518517E-2</v>
      </c>
      <c r="R468" s="3555">
        <v>9.7087378640776708E-3</v>
      </c>
      <c r="S468" s="3555">
        <v>1.9417475728155342E-2</v>
      </c>
      <c r="T468" s="3555">
        <v>8.4507042253521125E-2</v>
      </c>
      <c r="U468" s="3555">
        <v>0.18309859154929575</v>
      </c>
      <c r="V468" s="3555">
        <v>0.70422535211267601</v>
      </c>
    </row>
    <row r="469" spans="8:22">
      <c r="H469" s="7175"/>
      <c r="I469" s="7176"/>
      <c r="J469" s="3552" t="s">
        <v>2211</v>
      </c>
      <c r="K469" s="7174"/>
      <c r="L469" s="3896"/>
      <c r="M469" s="3553">
        <v>223</v>
      </c>
      <c r="N469" s="3553">
        <v>79</v>
      </c>
      <c r="O469" s="3554">
        <f t="shared" si="7"/>
        <v>35.426008968609864</v>
      </c>
      <c r="P469" s="3555">
        <v>0.88607594936708867</v>
      </c>
      <c r="Q469" s="3555">
        <v>0.11392405063291139</v>
      </c>
      <c r="R469" s="3556">
        <v>0</v>
      </c>
      <c r="S469" s="3555">
        <v>2.8169014084507039E-2</v>
      </c>
      <c r="T469" s="3555">
        <v>0.13636363636363635</v>
      </c>
      <c r="U469" s="3555">
        <v>9.0909090909090912E-2</v>
      </c>
      <c r="V469" s="3555">
        <v>0.72727272727272729</v>
      </c>
    </row>
    <row r="470" spans="8:22">
      <c r="H470" s="7175"/>
      <c r="I470" s="7176"/>
      <c r="J470" s="3552" t="s">
        <v>2212</v>
      </c>
      <c r="K470" s="7174"/>
      <c r="L470" s="3896"/>
      <c r="M470" s="3553">
        <v>147</v>
      </c>
      <c r="N470" s="3553">
        <v>25</v>
      </c>
      <c r="O470" s="3554">
        <f t="shared" si="7"/>
        <v>17.006802721088434</v>
      </c>
      <c r="P470" s="3555">
        <v>0.88</v>
      </c>
      <c r="Q470" s="3555">
        <v>0.12</v>
      </c>
      <c r="R470" s="3556">
        <v>0</v>
      </c>
      <c r="S470" s="3555">
        <v>4.5454545454545456E-2</v>
      </c>
      <c r="T470" s="3577">
        <v>5.2631578947368425E-2</v>
      </c>
      <c r="U470" s="3577">
        <v>0.31578947368421051</v>
      </c>
      <c r="V470" s="3577">
        <v>0.57894736842105265</v>
      </c>
    </row>
    <row r="471" spans="8:22">
      <c r="H471" s="7175"/>
      <c r="I471" s="7176"/>
      <c r="J471" s="3574" t="s">
        <v>2226</v>
      </c>
      <c r="K471" s="7178"/>
      <c r="L471" s="3898"/>
      <c r="M471" s="3575">
        <v>39</v>
      </c>
      <c r="N471" s="3575">
        <v>24</v>
      </c>
      <c r="O471" s="3576">
        <f t="shared" si="7"/>
        <v>61.53846153846154</v>
      </c>
      <c r="P471" s="3577">
        <v>0.79166666666666674</v>
      </c>
      <c r="Q471" s="3577">
        <v>0.20833333333333331</v>
      </c>
      <c r="R471" s="3578">
        <v>0</v>
      </c>
      <c r="S471" s="3577">
        <v>5.2631578947368425E-2</v>
      </c>
      <c r="T471" s="3550">
        <v>8.3333333333333343E-2</v>
      </c>
      <c r="U471" s="3551">
        <v>0</v>
      </c>
      <c r="V471" s="3550">
        <v>0.69444444444444442</v>
      </c>
    </row>
    <row r="472" spans="8:22">
      <c r="H472" s="7175"/>
      <c r="I472" s="7176" t="s">
        <v>2173</v>
      </c>
      <c r="J472" s="3547" t="s">
        <v>283</v>
      </c>
      <c r="K472" s="7173" t="s">
        <v>257</v>
      </c>
      <c r="L472" s="3895"/>
      <c r="M472" s="3548">
        <v>217</v>
      </c>
      <c r="N472" s="3548">
        <v>54</v>
      </c>
      <c r="O472" s="3549">
        <f t="shared" si="7"/>
        <v>24.88479262672811</v>
      </c>
      <c r="P472" s="3550">
        <v>0.66666666666666674</v>
      </c>
      <c r="Q472" s="3550">
        <v>0.33333333333333337</v>
      </c>
      <c r="R472" s="3550">
        <v>8.3333333333333343E-2</v>
      </c>
      <c r="S472" s="3550">
        <v>0.1388888888888889</v>
      </c>
      <c r="T472" s="3555">
        <v>0.14285714285714288</v>
      </c>
      <c r="U472" s="3556">
        <v>0</v>
      </c>
      <c r="V472" s="3555">
        <v>0.7857142857142857</v>
      </c>
    </row>
    <row r="473" spans="8:22">
      <c r="H473" s="7175"/>
      <c r="I473" s="7176"/>
      <c r="J473" s="3552" t="s">
        <v>284</v>
      </c>
      <c r="K473" s="7174"/>
      <c r="L473" s="3896"/>
      <c r="M473" s="3553">
        <v>105</v>
      </c>
      <c r="N473" s="3553">
        <v>32</v>
      </c>
      <c r="O473" s="3554">
        <f t="shared" si="7"/>
        <v>30.476190476190474</v>
      </c>
      <c r="P473" s="3555">
        <v>0.875</v>
      </c>
      <c r="Q473" s="3555">
        <v>0.125</v>
      </c>
      <c r="R473" s="3556">
        <v>0</v>
      </c>
      <c r="S473" s="3555">
        <v>7.1428571428571438E-2</v>
      </c>
      <c r="T473" s="3555">
        <v>0.10416666666666666</v>
      </c>
      <c r="U473" s="3555">
        <v>0.1875</v>
      </c>
      <c r="V473" s="3555">
        <v>0.58333333333333337</v>
      </c>
    </row>
    <row r="474" spans="8:22">
      <c r="H474" s="7175"/>
      <c r="I474" s="7176"/>
      <c r="J474" s="3552" t="s">
        <v>2080</v>
      </c>
      <c r="K474" s="7174" t="s">
        <v>243</v>
      </c>
      <c r="L474" s="3896"/>
      <c r="M474" s="3553">
        <v>89</v>
      </c>
      <c r="N474" s="3553">
        <v>55</v>
      </c>
      <c r="O474" s="3554">
        <f t="shared" si="7"/>
        <v>61.797752808988761</v>
      </c>
      <c r="P474" s="3555">
        <v>0.87272727272727268</v>
      </c>
      <c r="Q474" s="3555">
        <v>0.12727272727272726</v>
      </c>
      <c r="R474" s="3555">
        <v>6.25E-2</v>
      </c>
      <c r="S474" s="3555">
        <v>6.25E-2</v>
      </c>
      <c r="T474" s="3555">
        <v>0.33333333333333337</v>
      </c>
      <c r="U474" s="3555">
        <v>6.6666666666666666E-2</v>
      </c>
      <c r="V474" s="3555">
        <v>0.5</v>
      </c>
    </row>
    <row r="475" spans="8:22">
      <c r="H475" s="7175"/>
      <c r="I475" s="7176"/>
      <c r="J475" s="3552" t="s">
        <v>2214</v>
      </c>
      <c r="K475" s="7174"/>
      <c r="L475" s="3896"/>
      <c r="M475" s="3553">
        <v>109</v>
      </c>
      <c r="N475" s="3553">
        <v>48</v>
      </c>
      <c r="O475" s="3554">
        <f t="shared" si="7"/>
        <v>44.036697247706421</v>
      </c>
      <c r="P475" s="3555">
        <v>0.64583333333333326</v>
      </c>
      <c r="Q475" s="3555">
        <v>0.35416666666666663</v>
      </c>
      <c r="R475" s="3555">
        <v>3.3333333333333333E-2</v>
      </c>
      <c r="S475" s="3555">
        <v>6.6666666666666666E-2</v>
      </c>
      <c r="T475" s="3556">
        <v>0</v>
      </c>
      <c r="U475" s="3555">
        <v>0.16666666666666669</v>
      </c>
      <c r="V475" s="3555">
        <v>0.66666666666666674</v>
      </c>
    </row>
    <row r="476" spans="8:22">
      <c r="H476" s="7175"/>
      <c r="I476" s="7176"/>
      <c r="J476" s="3552" t="s">
        <v>2215</v>
      </c>
      <c r="K476" s="7174"/>
      <c r="L476" s="3896"/>
      <c r="M476" s="3553">
        <v>22</v>
      </c>
      <c r="N476" s="3553">
        <v>7</v>
      </c>
      <c r="O476" s="3554">
        <f t="shared" si="7"/>
        <v>31.818181818181817</v>
      </c>
      <c r="P476" s="3555">
        <v>0.8571428571428571</v>
      </c>
      <c r="Q476" s="3555">
        <v>0.14285714285714288</v>
      </c>
      <c r="R476" s="3555">
        <v>0.16666666666666669</v>
      </c>
      <c r="S476" s="3556">
        <v>0</v>
      </c>
      <c r="T476" s="3555">
        <v>0.10843373493975904</v>
      </c>
      <c r="U476" s="3555">
        <v>0.13855421686746988</v>
      </c>
      <c r="V476" s="3555">
        <v>0.70481927710843384</v>
      </c>
    </row>
    <row r="477" spans="8:22">
      <c r="H477" s="7175"/>
      <c r="I477" s="7176"/>
      <c r="J477" s="3552" t="s">
        <v>128</v>
      </c>
      <c r="K477" s="7174"/>
      <c r="L477" s="3896"/>
      <c r="M477" s="3553">
        <v>358</v>
      </c>
      <c r="N477" s="3553">
        <v>265</v>
      </c>
      <c r="O477" s="3554">
        <f t="shared" si="7"/>
        <v>74.022346368715077</v>
      </c>
      <c r="P477" s="3555">
        <v>0.6452830188679245</v>
      </c>
      <c r="Q477" s="3555">
        <v>0.35471698113207545</v>
      </c>
      <c r="R477" s="3555">
        <v>1.8072289156626505E-2</v>
      </c>
      <c r="S477" s="3555">
        <v>3.0120481927710843E-2</v>
      </c>
      <c r="T477" s="3555">
        <v>3.6363636363636362E-2</v>
      </c>
      <c r="U477" s="3555">
        <v>0.10909090909090909</v>
      </c>
      <c r="V477" s="3555">
        <v>0.72727272727272729</v>
      </c>
    </row>
    <row r="478" spans="8:22">
      <c r="H478" s="7175"/>
      <c r="I478" s="7176"/>
      <c r="J478" s="3552" t="s">
        <v>129</v>
      </c>
      <c r="K478" s="7174"/>
      <c r="L478" s="3896"/>
      <c r="M478" s="3553">
        <v>220</v>
      </c>
      <c r="N478" s="3553">
        <v>106</v>
      </c>
      <c r="O478" s="3554">
        <f t="shared" si="7"/>
        <v>48.18181818181818</v>
      </c>
      <c r="P478" s="3555">
        <v>0.51886792452830188</v>
      </c>
      <c r="Q478" s="3555">
        <v>0.48113207547169812</v>
      </c>
      <c r="R478" s="3555">
        <v>1.8181818181818181E-2</v>
      </c>
      <c r="S478" s="3555">
        <v>0.10909090909090909</v>
      </c>
      <c r="T478" s="3555">
        <v>0.13043478260869565</v>
      </c>
      <c r="U478" s="3555">
        <v>0.17391304347826086</v>
      </c>
      <c r="V478" s="3555">
        <v>0.52173913043478259</v>
      </c>
    </row>
    <row r="479" spans="8:22">
      <c r="H479" s="7175"/>
      <c r="I479" s="7176"/>
      <c r="J479" s="3552" t="s">
        <v>286</v>
      </c>
      <c r="K479" s="7174"/>
      <c r="L479" s="3896"/>
      <c r="M479" s="3553">
        <v>180</v>
      </c>
      <c r="N479" s="3553">
        <v>105</v>
      </c>
      <c r="O479" s="3554">
        <f t="shared" si="7"/>
        <v>58.333333333333336</v>
      </c>
      <c r="P479" s="3555">
        <v>0.61538461538461542</v>
      </c>
      <c r="Q479" s="3555">
        <v>0.38461538461538458</v>
      </c>
      <c r="R479" s="3555">
        <v>0.11594202898550725</v>
      </c>
      <c r="S479" s="3555">
        <v>5.7971014492753624E-2</v>
      </c>
      <c r="T479" s="3555">
        <v>0.10204081632653061</v>
      </c>
      <c r="U479" s="3555">
        <v>0.14285714285714288</v>
      </c>
      <c r="V479" s="3555">
        <v>0.67346938775510212</v>
      </c>
    </row>
    <row r="480" spans="8:22">
      <c r="H480" s="7175"/>
      <c r="I480" s="7176"/>
      <c r="J480" s="3552" t="s">
        <v>128</v>
      </c>
      <c r="K480" s="7174" t="s">
        <v>244</v>
      </c>
      <c r="L480" s="3896"/>
      <c r="M480" s="3553">
        <v>213</v>
      </c>
      <c r="N480" s="3553">
        <v>63</v>
      </c>
      <c r="O480" s="3554">
        <f t="shared" si="7"/>
        <v>29.577464788732396</v>
      </c>
      <c r="P480" s="3555">
        <v>0.77777777777777768</v>
      </c>
      <c r="Q480" s="3555">
        <v>0.22222222222222221</v>
      </c>
      <c r="R480" s="3555">
        <v>4.0816326530612249E-2</v>
      </c>
      <c r="S480" s="3555">
        <v>4.0816326530612249E-2</v>
      </c>
      <c r="T480" s="3558" t="s">
        <v>556</v>
      </c>
      <c r="U480" s="3558" t="s">
        <v>556</v>
      </c>
      <c r="V480" s="3558" t="s">
        <v>556</v>
      </c>
    </row>
    <row r="481" spans="8:22">
      <c r="H481" s="7175"/>
      <c r="I481" s="7176"/>
      <c r="J481" s="3552" t="s">
        <v>441</v>
      </c>
      <c r="K481" s="7174"/>
      <c r="L481" s="3896"/>
      <c r="M481" s="3553">
        <v>141</v>
      </c>
      <c r="N481" s="3553">
        <v>103</v>
      </c>
      <c r="O481" s="3554">
        <f t="shared" si="7"/>
        <v>73.049645390070921</v>
      </c>
      <c r="P481" s="3553" t="s">
        <v>556</v>
      </c>
      <c r="Q481" s="3553" t="s">
        <v>556</v>
      </c>
      <c r="R481" s="3557" t="s">
        <v>556</v>
      </c>
      <c r="S481" s="3558" t="s">
        <v>556</v>
      </c>
      <c r="T481" s="3555">
        <v>7.1428571428571438E-2</v>
      </c>
      <c r="U481" s="3555">
        <v>0.21428571428571427</v>
      </c>
      <c r="V481" s="3555">
        <v>0.67142857142857137</v>
      </c>
    </row>
    <row r="482" spans="8:22">
      <c r="H482" s="7175"/>
      <c r="I482" s="7176"/>
      <c r="J482" s="3552" t="s">
        <v>129</v>
      </c>
      <c r="K482" s="7174"/>
      <c r="L482" s="3896"/>
      <c r="M482" s="3553">
        <v>105</v>
      </c>
      <c r="N482" s="3553">
        <v>82</v>
      </c>
      <c r="O482" s="3554">
        <f t="shared" si="7"/>
        <v>78.095238095238102</v>
      </c>
      <c r="P482" s="3555">
        <v>0.87804878048780499</v>
      </c>
      <c r="Q482" s="3555">
        <v>0.12195121951219512</v>
      </c>
      <c r="R482" s="3555">
        <v>2.8571428571428571E-2</v>
      </c>
      <c r="S482" s="3555">
        <v>1.4285714285714285E-2</v>
      </c>
      <c r="T482" s="3568">
        <v>2.8846153846153844E-2</v>
      </c>
      <c r="U482" s="3568">
        <v>6.7307692307692304E-2</v>
      </c>
      <c r="V482" s="3568">
        <v>0.90384615384615385</v>
      </c>
    </row>
    <row r="483" spans="8:22">
      <c r="H483" s="7175"/>
      <c r="I483" s="7176"/>
      <c r="J483" s="3559" t="s">
        <v>381</v>
      </c>
      <c r="K483" s="7201"/>
      <c r="L483" s="3900"/>
      <c r="M483" s="3560">
        <v>65</v>
      </c>
      <c r="N483" s="3560">
        <v>5</v>
      </c>
      <c r="O483" s="3561">
        <f t="shared" si="7"/>
        <v>7.6923076923076925</v>
      </c>
      <c r="P483" s="3568">
        <v>0.98148148148148151</v>
      </c>
      <c r="Q483" s="3568">
        <v>1.8518518518518517E-2</v>
      </c>
      <c r="R483" s="3569">
        <v>0</v>
      </c>
      <c r="S483" s="3569">
        <v>0</v>
      </c>
      <c r="T483" s="3567">
        <v>4.6875E-2</v>
      </c>
      <c r="U483" s="3567">
        <v>0.109375</v>
      </c>
      <c r="V483" s="3567">
        <v>0.828125</v>
      </c>
    </row>
    <row r="484" spans="8:22">
      <c r="H484" s="7175" t="s">
        <v>48</v>
      </c>
      <c r="I484" s="7176" t="s">
        <v>2171</v>
      </c>
      <c r="J484" s="3564" t="s">
        <v>2222</v>
      </c>
      <c r="K484" s="7177" t="s">
        <v>257</v>
      </c>
      <c r="L484" s="3897"/>
      <c r="M484" s="3565">
        <v>170</v>
      </c>
      <c r="N484" s="3565">
        <v>78</v>
      </c>
      <c r="O484" s="3566">
        <f t="shared" si="7"/>
        <v>45.882352941176471</v>
      </c>
      <c r="P484" s="3567">
        <v>0.80769230769230771</v>
      </c>
      <c r="Q484" s="3567">
        <v>0.19230769230769229</v>
      </c>
      <c r="R484" s="3570">
        <v>0</v>
      </c>
      <c r="S484" s="3567">
        <v>1.5625E-2</v>
      </c>
      <c r="T484" s="3555">
        <v>7.1428571428571438E-2</v>
      </c>
      <c r="U484" s="3555">
        <v>0.10204081632653061</v>
      </c>
      <c r="V484" s="3555">
        <v>0.76530612244897955</v>
      </c>
    </row>
    <row r="485" spans="8:22">
      <c r="H485" s="7175"/>
      <c r="I485" s="7176"/>
      <c r="J485" s="3552" t="s">
        <v>2227</v>
      </c>
      <c r="K485" s="7174"/>
      <c r="L485" s="3896"/>
      <c r="M485" s="3553">
        <v>245</v>
      </c>
      <c r="N485" s="3553">
        <v>129</v>
      </c>
      <c r="O485" s="3554">
        <f t="shared" si="7"/>
        <v>52.653061224489797</v>
      </c>
      <c r="P485" s="3555">
        <v>0.76744186046511631</v>
      </c>
      <c r="Q485" s="3555">
        <v>0.23255813953488372</v>
      </c>
      <c r="R485" s="3555">
        <v>2.0408163265306124E-2</v>
      </c>
      <c r="S485" s="3555">
        <v>4.0816326530612249E-2</v>
      </c>
      <c r="T485" s="3555">
        <v>0.11764705882352942</v>
      </c>
      <c r="U485" s="3555">
        <v>5.8823529411764712E-2</v>
      </c>
      <c r="V485" s="3555">
        <v>0.76470588235294112</v>
      </c>
    </row>
    <row r="486" spans="8:22">
      <c r="H486" s="7175"/>
      <c r="I486" s="7176"/>
      <c r="J486" s="3552" t="s">
        <v>2220</v>
      </c>
      <c r="K486" s="7174" t="s">
        <v>243</v>
      </c>
      <c r="L486" s="3896"/>
      <c r="M486" s="3553">
        <v>86</v>
      </c>
      <c r="N486" s="3553">
        <v>22</v>
      </c>
      <c r="O486" s="3554">
        <f t="shared" si="7"/>
        <v>25.581395348837209</v>
      </c>
      <c r="P486" s="3555">
        <v>0.81818181818181812</v>
      </c>
      <c r="Q486" s="3555">
        <v>0.18181818181818182</v>
      </c>
      <c r="R486" s="3556">
        <v>0</v>
      </c>
      <c r="S486" s="3555">
        <v>5.8823529411764712E-2</v>
      </c>
      <c r="T486" s="3555">
        <v>6.8965517241379309E-2</v>
      </c>
      <c r="U486" s="3555">
        <v>6.8965517241379309E-2</v>
      </c>
      <c r="V486" s="3555">
        <v>0.7931034482758621</v>
      </c>
    </row>
    <row r="487" spans="8:22" ht="15" customHeight="1">
      <c r="H487" s="7175"/>
      <c r="I487" s="7176"/>
      <c r="J487" s="3552" t="s">
        <v>442</v>
      </c>
      <c r="K487" s="7174"/>
      <c r="L487" s="3896"/>
      <c r="M487" s="3553">
        <v>115</v>
      </c>
      <c r="N487" s="3553">
        <v>37</v>
      </c>
      <c r="O487" s="3554">
        <f t="shared" si="7"/>
        <v>32.173913043478258</v>
      </c>
      <c r="P487" s="3555">
        <v>0.78378378378378377</v>
      </c>
      <c r="Q487" s="3555">
        <v>0.2162162162162162</v>
      </c>
      <c r="R487" s="3555">
        <v>6.8965517241379309E-2</v>
      </c>
      <c r="S487" s="3556">
        <v>0</v>
      </c>
      <c r="T487" s="3555">
        <v>0.13636363636363635</v>
      </c>
      <c r="U487" s="3555">
        <v>0.22727272727272727</v>
      </c>
      <c r="V487" s="3555">
        <v>0.62121212121212122</v>
      </c>
    </row>
    <row r="488" spans="8:22">
      <c r="H488" s="7175"/>
      <c r="I488" s="7176"/>
      <c r="J488" s="3552" t="s">
        <v>382</v>
      </c>
      <c r="K488" s="7174"/>
      <c r="L488" s="3896"/>
      <c r="M488" s="3553">
        <v>154</v>
      </c>
      <c r="N488" s="3553">
        <v>76</v>
      </c>
      <c r="O488" s="3554">
        <f t="shared" si="7"/>
        <v>49.350649350649348</v>
      </c>
      <c r="P488" s="3555">
        <v>0.86842105263157887</v>
      </c>
      <c r="Q488" s="3555">
        <v>0.13157894736842105</v>
      </c>
      <c r="R488" s="3555">
        <v>1.5151515151515152E-2</v>
      </c>
      <c r="S488" s="3556">
        <v>0</v>
      </c>
      <c r="T488" s="3555">
        <v>0.5</v>
      </c>
      <c r="U488" s="3556">
        <v>0</v>
      </c>
      <c r="V488" s="3556">
        <v>0</v>
      </c>
    </row>
    <row r="489" spans="8:22">
      <c r="H489" s="7175"/>
      <c r="I489" s="7176"/>
      <c r="J489" s="3552" t="s">
        <v>2222</v>
      </c>
      <c r="K489" s="7174"/>
      <c r="L489" s="3896"/>
      <c r="M489" s="3553">
        <v>101</v>
      </c>
      <c r="N489" s="3553">
        <v>2</v>
      </c>
      <c r="O489" s="3554">
        <f t="shared" si="7"/>
        <v>1.9801980198019802</v>
      </c>
      <c r="P489" s="3555">
        <v>1</v>
      </c>
      <c r="Q489" s="3553" t="s">
        <v>556</v>
      </c>
      <c r="R489" s="3556">
        <v>0</v>
      </c>
      <c r="S489" s="3555">
        <v>0.5</v>
      </c>
      <c r="T489" s="3555">
        <v>0.13924050632911392</v>
      </c>
      <c r="U489" s="3555">
        <v>0.25316455696202533</v>
      </c>
      <c r="V489" s="3555">
        <v>0.58227848101265822</v>
      </c>
    </row>
    <row r="490" spans="8:22">
      <c r="H490" s="7175"/>
      <c r="I490" s="7176"/>
      <c r="J490" s="3552" t="s">
        <v>288</v>
      </c>
      <c r="K490" s="7174"/>
      <c r="L490" s="3896"/>
      <c r="M490" s="3553">
        <v>144</v>
      </c>
      <c r="N490" s="3553">
        <v>95</v>
      </c>
      <c r="O490" s="3554">
        <f t="shared" si="7"/>
        <v>65.972222222222229</v>
      </c>
      <c r="P490" s="3555">
        <v>0.83157894736842108</v>
      </c>
      <c r="Q490" s="3555">
        <v>0.16842105263157894</v>
      </c>
      <c r="R490" s="3556">
        <v>0</v>
      </c>
      <c r="S490" s="3555">
        <v>2.5316455696202535E-2</v>
      </c>
      <c r="T490" s="3556">
        <v>0</v>
      </c>
      <c r="U490" s="3556">
        <v>0</v>
      </c>
      <c r="V490" s="3555">
        <v>1</v>
      </c>
    </row>
    <row r="491" spans="8:22" ht="15" customHeight="1">
      <c r="H491" s="7175"/>
      <c r="I491" s="7176"/>
      <c r="J491" s="3552" t="s">
        <v>2223</v>
      </c>
      <c r="K491" s="7174"/>
      <c r="L491" s="3896"/>
      <c r="M491" s="3553">
        <v>21</v>
      </c>
      <c r="N491" s="3553">
        <v>4</v>
      </c>
      <c r="O491" s="3554">
        <f t="shared" si="7"/>
        <v>19.047619047619047</v>
      </c>
      <c r="P491" s="3555">
        <v>1</v>
      </c>
      <c r="Q491" s="3556">
        <v>0</v>
      </c>
      <c r="R491" s="3556">
        <v>0</v>
      </c>
      <c r="S491" s="3556">
        <v>0</v>
      </c>
      <c r="T491" s="3555">
        <v>0.12048192771084337</v>
      </c>
      <c r="U491" s="3555">
        <v>0.24096385542168675</v>
      </c>
      <c r="V491" s="3555">
        <v>0.5662650602409639</v>
      </c>
    </row>
    <row r="492" spans="8:22">
      <c r="H492" s="7175"/>
      <c r="I492" s="7176"/>
      <c r="J492" s="3552" t="s">
        <v>289</v>
      </c>
      <c r="K492" s="7174"/>
      <c r="L492" s="3896"/>
      <c r="M492" s="3553">
        <v>125</v>
      </c>
      <c r="N492" s="3553">
        <v>93</v>
      </c>
      <c r="O492" s="3554">
        <f t="shared" si="7"/>
        <v>74.400000000000006</v>
      </c>
      <c r="P492" s="3555">
        <v>0.89247311827956988</v>
      </c>
      <c r="Q492" s="3555">
        <v>0.1075268817204301</v>
      </c>
      <c r="R492" s="3555">
        <v>4.8192771084337352E-2</v>
      </c>
      <c r="S492" s="3555">
        <v>2.4096385542168676E-2</v>
      </c>
      <c r="T492" s="3555">
        <v>0.14285714285714288</v>
      </c>
      <c r="U492" s="3555">
        <v>0.24489795918367346</v>
      </c>
      <c r="V492" s="3555">
        <v>0.57142857142857151</v>
      </c>
    </row>
    <row r="493" spans="8:22">
      <c r="H493" s="7175"/>
      <c r="I493" s="7176"/>
      <c r="J493" s="3552" t="s">
        <v>443</v>
      </c>
      <c r="K493" s="7174"/>
      <c r="L493" s="3896"/>
      <c r="M493" s="3553">
        <v>96</v>
      </c>
      <c r="N493" s="3553">
        <v>65</v>
      </c>
      <c r="O493" s="3554">
        <f t="shared" si="7"/>
        <v>67.708333333333329</v>
      </c>
      <c r="P493" s="3555">
        <v>0.76923076923076916</v>
      </c>
      <c r="Q493" s="3555">
        <v>0.23076923076923075</v>
      </c>
      <c r="R493" s="3555">
        <v>2.0408163265306124E-2</v>
      </c>
      <c r="S493" s="3555">
        <v>2.0408163265306124E-2</v>
      </c>
      <c r="T493" s="3556">
        <v>0</v>
      </c>
      <c r="U493" s="3556">
        <v>0</v>
      </c>
      <c r="V493" s="3555">
        <v>0.8571428571428571</v>
      </c>
    </row>
    <row r="494" spans="8:22" ht="15" customHeight="1">
      <c r="H494" s="7175"/>
      <c r="I494" s="7176"/>
      <c r="J494" s="3552" t="s">
        <v>2226</v>
      </c>
      <c r="K494" s="7174"/>
      <c r="L494" s="3896"/>
      <c r="M494" s="3553">
        <v>60</v>
      </c>
      <c r="N494" s="3553">
        <v>12</v>
      </c>
      <c r="O494" s="3554">
        <f t="shared" si="7"/>
        <v>20</v>
      </c>
      <c r="P494" s="3555">
        <v>0.58333333333333337</v>
      </c>
      <c r="Q494" s="3555">
        <v>0.41666666666666663</v>
      </c>
      <c r="R494" s="3556">
        <v>0</v>
      </c>
      <c r="S494" s="3555">
        <v>0.14285714285714288</v>
      </c>
      <c r="T494" s="3555">
        <v>9.5890410958904104E-2</v>
      </c>
      <c r="U494" s="3555">
        <v>0.26027397260273971</v>
      </c>
      <c r="V494" s="3555">
        <v>0.56164383561643838</v>
      </c>
    </row>
    <row r="495" spans="8:22">
      <c r="H495" s="7175"/>
      <c r="I495" s="7176"/>
      <c r="J495" s="3552" t="s">
        <v>2227</v>
      </c>
      <c r="K495" s="7174"/>
      <c r="L495" s="3896"/>
      <c r="M495" s="3553">
        <v>294</v>
      </c>
      <c r="N495" s="3553">
        <v>115</v>
      </c>
      <c r="O495" s="3554">
        <f t="shared" si="7"/>
        <v>39.115646258503403</v>
      </c>
      <c r="P495" s="3555">
        <v>0.64035087719298245</v>
      </c>
      <c r="Q495" s="3555">
        <v>0.35964912280701755</v>
      </c>
      <c r="R495" s="3555">
        <v>1.3698630136986301E-2</v>
      </c>
      <c r="S495" s="3555">
        <v>6.8493150684931503E-2</v>
      </c>
      <c r="T495" s="3555">
        <v>0.38461538461538458</v>
      </c>
      <c r="U495" s="3555">
        <v>0.38461538461538458</v>
      </c>
      <c r="V495" s="3555">
        <v>0.23076923076923075</v>
      </c>
    </row>
    <row r="496" spans="8:22">
      <c r="H496" s="7175"/>
      <c r="I496" s="7176"/>
      <c r="J496" s="3552" t="s">
        <v>2082</v>
      </c>
      <c r="K496" s="7174"/>
      <c r="L496" s="3896"/>
      <c r="M496" s="3553">
        <v>34</v>
      </c>
      <c r="N496" s="3553">
        <v>22</v>
      </c>
      <c r="O496" s="3554">
        <f t="shared" si="7"/>
        <v>64.705882352941174</v>
      </c>
      <c r="P496" s="3555">
        <v>0.54545454545454541</v>
      </c>
      <c r="Q496" s="3555">
        <v>0.45454545454545453</v>
      </c>
      <c r="R496" s="3556">
        <v>0</v>
      </c>
      <c r="S496" s="3556">
        <v>0</v>
      </c>
      <c r="T496" s="3555">
        <v>7.1428571428571438E-2</v>
      </c>
      <c r="U496" s="3555">
        <v>0.14285714285714288</v>
      </c>
      <c r="V496" s="3555">
        <v>0.57142857142857151</v>
      </c>
    </row>
    <row r="497" spans="8:22">
      <c r="H497" s="7175"/>
      <c r="I497" s="7176"/>
      <c r="J497" s="3552" t="s">
        <v>290</v>
      </c>
      <c r="K497" s="7174"/>
      <c r="L497" s="3896"/>
      <c r="M497" s="3553">
        <v>54</v>
      </c>
      <c r="N497" s="3553">
        <v>17</v>
      </c>
      <c r="O497" s="3554">
        <f t="shared" si="7"/>
        <v>31.481481481481481</v>
      </c>
      <c r="P497" s="3555">
        <v>0.82352941176470595</v>
      </c>
      <c r="Q497" s="3555">
        <v>0.17647058823529413</v>
      </c>
      <c r="R497" s="3555">
        <v>7.1428571428571438E-2</v>
      </c>
      <c r="S497" s="3555">
        <v>0.14285714285714288</v>
      </c>
      <c r="T497" s="3555">
        <v>8.8607594936708847E-2</v>
      </c>
      <c r="U497" s="3555">
        <v>0.21518987341772153</v>
      </c>
      <c r="V497" s="3555">
        <v>0.64556962025316456</v>
      </c>
    </row>
    <row r="498" spans="8:22">
      <c r="H498" s="7175"/>
      <c r="I498" s="7176"/>
      <c r="J498" s="3552" t="s">
        <v>2060</v>
      </c>
      <c r="K498" s="7174"/>
      <c r="L498" s="3896"/>
      <c r="M498" s="3553">
        <v>161</v>
      </c>
      <c r="N498" s="3553">
        <v>99</v>
      </c>
      <c r="O498" s="3554">
        <f t="shared" si="7"/>
        <v>61.490683229813662</v>
      </c>
      <c r="P498" s="3555">
        <v>0.81818181818181812</v>
      </c>
      <c r="Q498" s="3555">
        <v>0.18181818181818182</v>
      </c>
      <c r="R498" s="3556">
        <v>0</v>
      </c>
      <c r="S498" s="3555">
        <v>5.0632911392405069E-2</v>
      </c>
      <c r="T498" s="3555">
        <v>9.9009900990099011E-3</v>
      </c>
      <c r="U498" s="3555">
        <v>0.11881188118811881</v>
      </c>
      <c r="V498" s="3555">
        <v>0.84158415841584155</v>
      </c>
    </row>
    <row r="499" spans="8:22">
      <c r="H499" s="7175"/>
      <c r="I499" s="7176"/>
      <c r="J499" s="3552" t="s">
        <v>291</v>
      </c>
      <c r="K499" s="7174" t="s">
        <v>244</v>
      </c>
      <c r="L499" s="3896"/>
      <c r="M499" s="3553">
        <v>356</v>
      </c>
      <c r="N499" s="3553">
        <v>103</v>
      </c>
      <c r="O499" s="3554">
        <f t="shared" si="7"/>
        <v>28.932584269662922</v>
      </c>
      <c r="P499" s="3555">
        <v>0.96116504854368923</v>
      </c>
      <c r="Q499" s="3555">
        <v>3.8834951456310683E-2</v>
      </c>
      <c r="R499" s="3555">
        <v>2.9702970297029702E-2</v>
      </c>
      <c r="S499" s="3556">
        <v>0</v>
      </c>
      <c r="T499" s="3556">
        <v>0</v>
      </c>
      <c r="U499" s="3555">
        <v>0.1875</v>
      </c>
      <c r="V499" s="3555">
        <v>0.8125</v>
      </c>
    </row>
    <row r="500" spans="8:22">
      <c r="H500" s="7175"/>
      <c r="I500" s="7176"/>
      <c r="J500" s="3552" t="s">
        <v>2226</v>
      </c>
      <c r="K500" s="7174"/>
      <c r="L500" s="3896"/>
      <c r="M500" s="3553">
        <v>21</v>
      </c>
      <c r="N500" s="3553">
        <v>17</v>
      </c>
      <c r="O500" s="3554">
        <f t="shared" si="7"/>
        <v>80.952380952380949</v>
      </c>
      <c r="P500" s="3555">
        <v>0.94117647058823539</v>
      </c>
      <c r="Q500" s="3555">
        <v>5.8823529411764712E-2</v>
      </c>
      <c r="R500" s="3556">
        <v>0</v>
      </c>
      <c r="S500" s="3556">
        <v>0</v>
      </c>
      <c r="T500" s="3577">
        <v>0.26315789473684209</v>
      </c>
      <c r="U500" s="3577">
        <v>0.15789473684210525</v>
      </c>
      <c r="V500" s="3577">
        <v>0.57894736842105265</v>
      </c>
    </row>
    <row r="501" spans="8:22">
      <c r="H501" s="7175"/>
      <c r="I501" s="7176"/>
      <c r="J501" s="3574" t="s">
        <v>2227</v>
      </c>
      <c r="K501" s="7178"/>
      <c r="L501" s="3898"/>
      <c r="M501" s="3575">
        <v>68</v>
      </c>
      <c r="N501" s="3575">
        <v>20</v>
      </c>
      <c r="O501" s="3576">
        <f t="shared" si="7"/>
        <v>29.411764705882351</v>
      </c>
      <c r="P501" s="3577">
        <v>0.95</v>
      </c>
      <c r="Q501" s="3577">
        <v>0.05</v>
      </c>
      <c r="R501" s="3578">
        <v>0</v>
      </c>
      <c r="S501" s="3578">
        <v>0</v>
      </c>
      <c r="T501" s="3550">
        <v>0.12307692307692308</v>
      </c>
      <c r="U501" s="3550">
        <v>9.2307692307692299E-2</v>
      </c>
      <c r="V501" s="3550">
        <v>0.75384615384615383</v>
      </c>
    </row>
    <row r="502" spans="8:22">
      <c r="H502" s="7175"/>
      <c r="I502" s="7176" t="s">
        <v>2173</v>
      </c>
      <c r="J502" s="3547" t="s">
        <v>2231</v>
      </c>
      <c r="K502" s="7173" t="s">
        <v>257</v>
      </c>
      <c r="L502" s="3895"/>
      <c r="M502" s="3548">
        <v>103</v>
      </c>
      <c r="N502" s="3548">
        <v>78</v>
      </c>
      <c r="O502" s="3549">
        <f t="shared" si="7"/>
        <v>75.728155339805824</v>
      </c>
      <c r="P502" s="3550">
        <v>0.8205128205128206</v>
      </c>
      <c r="Q502" s="3550">
        <v>0.17948717948717949</v>
      </c>
      <c r="R502" s="3551">
        <v>0</v>
      </c>
      <c r="S502" s="3550">
        <v>3.0769230769230771E-2</v>
      </c>
      <c r="T502" s="3555">
        <v>0.16666666666666669</v>
      </c>
      <c r="U502" s="3555">
        <v>0.16666666666666669</v>
      </c>
      <c r="V502" s="3555">
        <v>0.66666666666666674</v>
      </c>
    </row>
    <row r="503" spans="8:22">
      <c r="H503" s="7175"/>
      <c r="I503" s="7176"/>
      <c r="J503" s="3552" t="s">
        <v>445</v>
      </c>
      <c r="K503" s="7174"/>
      <c r="L503" s="3896"/>
      <c r="M503" s="3553">
        <v>76</v>
      </c>
      <c r="N503" s="3553">
        <v>6</v>
      </c>
      <c r="O503" s="3554">
        <f t="shared" si="7"/>
        <v>7.8947368421052628</v>
      </c>
      <c r="P503" s="3555">
        <v>1</v>
      </c>
      <c r="Q503" s="3556">
        <v>0</v>
      </c>
      <c r="R503" s="3556">
        <v>0</v>
      </c>
      <c r="S503" s="3556">
        <v>0</v>
      </c>
      <c r="T503" s="3555">
        <v>3.3333333333333333E-2</v>
      </c>
      <c r="U503" s="3555">
        <v>0.13333333333333333</v>
      </c>
      <c r="V503" s="3555">
        <v>0.7</v>
      </c>
    </row>
    <row r="504" spans="8:22">
      <c r="H504" s="7175"/>
      <c r="I504" s="7176"/>
      <c r="J504" s="3552" t="s">
        <v>2229</v>
      </c>
      <c r="K504" s="7174"/>
      <c r="L504" s="3896"/>
      <c r="M504" s="3553">
        <v>45</v>
      </c>
      <c r="N504" s="3553">
        <v>30</v>
      </c>
      <c r="O504" s="3554">
        <f t="shared" si="7"/>
        <v>66.666666666666671</v>
      </c>
      <c r="P504" s="3555">
        <v>1</v>
      </c>
      <c r="Q504" s="3556">
        <v>0</v>
      </c>
      <c r="R504" s="3555">
        <v>6.6666666666666666E-2</v>
      </c>
      <c r="S504" s="3555">
        <v>6.6666666666666666E-2</v>
      </c>
      <c r="T504" s="3556">
        <v>0</v>
      </c>
      <c r="U504" s="3556">
        <v>0</v>
      </c>
      <c r="V504" s="3555">
        <v>0.9</v>
      </c>
    </row>
    <row r="505" spans="8:22">
      <c r="H505" s="7175"/>
      <c r="I505" s="7176"/>
      <c r="J505" s="3552" t="s">
        <v>2230</v>
      </c>
      <c r="K505" s="7174"/>
      <c r="L505" s="3896"/>
      <c r="M505" s="3553">
        <v>30</v>
      </c>
      <c r="N505" s="3553">
        <v>12</v>
      </c>
      <c r="O505" s="3554">
        <f t="shared" si="7"/>
        <v>40</v>
      </c>
      <c r="P505" s="3555">
        <v>0.83333333333333326</v>
      </c>
      <c r="Q505" s="3555">
        <v>0.16666666666666669</v>
      </c>
      <c r="R505" s="3555">
        <v>0.1</v>
      </c>
      <c r="S505" s="3556">
        <v>0</v>
      </c>
      <c r="T505" s="3558" t="s">
        <v>556</v>
      </c>
      <c r="U505" s="3558" t="s">
        <v>556</v>
      </c>
      <c r="V505" s="3558" t="s">
        <v>556</v>
      </c>
    </row>
    <row r="506" spans="8:22">
      <c r="H506" s="7175"/>
      <c r="I506" s="7176"/>
      <c r="J506" s="3552" t="s">
        <v>2085</v>
      </c>
      <c r="K506" s="7174"/>
      <c r="L506" s="3896"/>
      <c r="M506" s="3553">
        <v>10</v>
      </c>
      <c r="N506" s="3553">
        <v>0</v>
      </c>
      <c r="O506" s="3554">
        <f t="shared" si="7"/>
        <v>0</v>
      </c>
      <c r="P506" s="3553" t="s">
        <v>556</v>
      </c>
      <c r="Q506" s="3553" t="s">
        <v>556</v>
      </c>
      <c r="R506" s="3557" t="s">
        <v>556</v>
      </c>
      <c r="S506" s="3558" t="s">
        <v>556</v>
      </c>
      <c r="T506" s="3555">
        <v>0.13592233009708737</v>
      </c>
      <c r="U506" s="3555">
        <v>0.22330097087378639</v>
      </c>
      <c r="V506" s="3555">
        <v>0.52427184466019416</v>
      </c>
    </row>
    <row r="507" spans="8:22">
      <c r="H507" s="7175"/>
      <c r="I507" s="7176"/>
      <c r="J507" s="3552" t="s">
        <v>2231</v>
      </c>
      <c r="K507" s="7174" t="s">
        <v>243</v>
      </c>
      <c r="L507" s="3896"/>
      <c r="M507" s="3553">
        <v>201</v>
      </c>
      <c r="N507" s="3553">
        <v>121</v>
      </c>
      <c r="O507" s="3554">
        <f t="shared" si="7"/>
        <v>60.199004975124382</v>
      </c>
      <c r="P507" s="3555">
        <v>0.85833333333333328</v>
      </c>
      <c r="Q507" s="3555">
        <v>0.14166666666666666</v>
      </c>
      <c r="R507" s="3555">
        <v>2.9126213592233011E-2</v>
      </c>
      <c r="S507" s="3555">
        <v>8.7378640776699032E-2</v>
      </c>
      <c r="T507" s="3555">
        <v>0.16666666666666669</v>
      </c>
      <c r="U507" s="3555">
        <v>0.23015873015873015</v>
      </c>
      <c r="V507" s="3555">
        <v>0.53174603174603174</v>
      </c>
    </row>
    <row r="508" spans="8:22">
      <c r="H508" s="7175"/>
      <c r="I508" s="7176"/>
      <c r="J508" s="3552" t="s">
        <v>293</v>
      </c>
      <c r="K508" s="7174"/>
      <c r="L508" s="3896"/>
      <c r="M508" s="3553">
        <v>211</v>
      </c>
      <c r="N508" s="3553">
        <v>142</v>
      </c>
      <c r="O508" s="3554">
        <f t="shared" si="7"/>
        <v>67.29857819905213</v>
      </c>
      <c r="P508" s="3555">
        <v>0.8936170212765957</v>
      </c>
      <c r="Q508" s="3555">
        <v>0.10638297872340426</v>
      </c>
      <c r="R508" s="3555">
        <v>3.1746031746031744E-2</v>
      </c>
      <c r="S508" s="3555">
        <v>3.968253968253968E-2</v>
      </c>
      <c r="T508" s="3555">
        <v>0.17499999999999999</v>
      </c>
      <c r="U508" s="3555">
        <v>0.23749999999999999</v>
      </c>
      <c r="V508" s="3555">
        <v>0.47499999999999998</v>
      </c>
    </row>
    <row r="509" spans="8:22">
      <c r="H509" s="7175"/>
      <c r="I509" s="7176"/>
      <c r="J509" s="3552" t="s">
        <v>665</v>
      </c>
      <c r="K509" s="7174"/>
      <c r="L509" s="3896"/>
      <c r="M509" s="3553">
        <v>119</v>
      </c>
      <c r="N509" s="3553">
        <v>109</v>
      </c>
      <c r="O509" s="3554">
        <f t="shared" si="7"/>
        <v>91.596638655462186</v>
      </c>
      <c r="P509" s="3555">
        <v>0.75229357798165142</v>
      </c>
      <c r="Q509" s="3555">
        <v>0.24770642201834864</v>
      </c>
      <c r="R509" s="3555">
        <v>3.7499999999999999E-2</v>
      </c>
      <c r="S509" s="3555">
        <v>7.4999999999999997E-2</v>
      </c>
      <c r="T509" s="3556">
        <v>0</v>
      </c>
      <c r="U509" s="3556">
        <v>0</v>
      </c>
      <c r="V509" s="3555">
        <v>1</v>
      </c>
    </row>
    <row r="510" spans="8:22">
      <c r="H510" s="7175"/>
      <c r="I510" s="7176"/>
      <c r="J510" s="3552" t="s">
        <v>330</v>
      </c>
      <c r="K510" s="7174"/>
      <c r="L510" s="3896"/>
      <c r="M510" s="3553">
        <v>24</v>
      </c>
      <c r="N510" s="3553">
        <v>3</v>
      </c>
      <c r="O510" s="3554">
        <f t="shared" si="7"/>
        <v>12.5</v>
      </c>
      <c r="P510" s="3555">
        <v>0.66666666666666674</v>
      </c>
      <c r="Q510" s="3555">
        <v>0.33333333333333337</v>
      </c>
      <c r="R510" s="3556">
        <v>0</v>
      </c>
      <c r="S510" s="3556">
        <v>0</v>
      </c>
      <c r="T510" s="3555">
        <v>9.5238095238095233E-2</v>
      </c>
      <c r="U510" s="3555">
        <v>0.28571428571428575</v>
      </c>
      <c r="V510" s="3555">
        <v>0.59523809523809523</v>
      </c>
    </row>
    <row r="511" spans="8:22">
      <c r="H511" s="7175"/>
      <c r="I511" s="7176"/>
      <c r="J511" s="3552" t="s">
        <v>295</v>
      </c>
      <c r="K511" s="7174"/>
      <c r="L511" s="3896"/>
      <c r="M511" s="3553">
        <v>169</v>
      </c>
      <c r="N511" s="3553">
        <v>108</v>
      </c>
      <c r="O511" s="3554">
        <f t="shared" si="7"/>
        <v>63.905325443786985</v>
      </c>
      <c r="P511" s="3555">
        <v>0.77777777777777768</v>
      </c>
      <c r="Q511" s="3555">
        <v>0.22222222222222221</v>
      </c>
      <c r="R511" s="3555">
        <v>1.1904761904761904E-2</v>
      </c>
      <c r="S511" s="3555">
        <v>1.1904761904761904E-2</v>
      </c>
      <c r="T511" s="3555">
        <v>0.18181818181818182</v>
      </c>
      <c r="U511" s="3555">
        <v>0.29545454545454547</v>
      </c>
      <c r="V511" s="3555">
        <v>0.36363636363636365</v>
      </c>
    </row>
    <row r="512" spans="8:22">
      <c r="H512" s="7175"/>
      <c r="I512" s="7176"/>
      <c r="J512" s="3552" t="s">
        <v>292</v>
      </c>
      <c r="K512" s="7174"/>
      <c r="L512" s="3896"/>
      <c r="M512" s="3553">
        <v>190</v>
      </c>
      <c r="N512" s="3553">
        <v>118</v>
      </c>
      <c r="O512" s="3554">
        <f t="shared" si="7"/>
        <v>62.10526315789474</v>
      </c>
      <c r="P512" s="3555">
        <v>0.65217391304347827</v>
      </c>
      <c r="Q512" s="3555">
        <v>0.34782608695652173</v>
      </c>
      <c r="R512" s="3555">
        <v>9.0909090909090912E-2</v>
      </c>
      <c r="S512" s="3555">
        <v>6.8181818181818177E-2</v>
      </c>
      <c r="T512" s="3558" t="s">
        <v>556</v>
      </c>
      <c r="U512" s="3558" t="s">
        <v>556</v>
      </c>
      <c r="V512" s="3558" t="s">
        <v>556</v>
      </c>
    </row>
    <row r="513" spans="8:22">
      <c r="H513" s="7175"/>
      <c r="I513" s="7176"/>
      <c r="J513" s="3552" t="s">
        <v>2230</v>
      </c>
      <c r="K513" s="7174"/>
      <c r="L513" s="3896"/>
      <c r="M513" s="3553">
        <v>10</v>
      </c>
      <c r="N513" s="3553">
        <v>0</v>
      </c>
      <c r="O513" s="3554">
        <f t="shared" si="7"/>
        <v>0</v>
      </c>
      <c r="P513" s="3553" t="s">
        <v>556</v>
      </c>
      <c r="Q513" s="3553" t="s">
        <v>556</v>
      </c>
      <c r="R513" s="3557" t="s">
        <v>556</v>
      </c>
      <c r="S513" s="3558" t="s">
        <v>556</v>
      </c>
      <c r="T513" s="3558" t="s">
        <v>556</v>
      </c>
      <c r="U513" s="3558" t="s">
        <v>556</v>
      </c>
      <c r="V513" s="3558" t="s">
        <v>556</v>
      </c>
    </row>
    <row r="514" spans="8:22">
      <c r="H514" s="7175"/>
      <c r="I514" s="7176"/>
      <c r="J514" s="3552" t="s">
        <v>610</v>
      </c>
      <c r="K514" s="7174"/>
      <c r="L514" s="3896"/>
      <c r="M514" s="3553">
        <v>14</v>
      </c>
      <c r="N514" s="3553">
        <v>0</v>
      </c>
      <c r="O514" s="3554">
        <f t="shared" si="7"/>
        <v>0</v>
      </c>
      <c r="P514" s="3553" t="s">
        <v>556</v>
      </c>
      <c r="Q514" s="3553" t="s">
        <v>556</v>
      </c>
      <c r="R514" s="3557" t="s">
        <v>556</v>
      </c>
      <c r="S514" s="3558" t="s">
        <v>556</v>
      </c>
      <c r="T514" s="3558" t="s">
        <v>556</v>
      </c>
      <c r="U514" s="3558" t="s">
        <v>556</v>
      </c>
      <c r="V514" s="3558" t="s">
        <v>556</v>
      </c>
    </row>
    <row r="515" spans="8:22">
      <c r="H515" s="7175"/>
      <c r="I515" s="7176"/>
      <c r="J515" s="3552" t="s">
        <v>2085</v>
      </c>
      <c r="K515" s="7174"/>
      <c r="L515" s="3896"/>
      <c r="M515" s="3553">
        <v>14</v>
      </c>
      <c r="N515" s="3553">
        <v>0</v>
      </c>
      <c r="O515" s="3554">
        <f t="shared" si="7"/>
        <v>0</v>
      </c>
      <c r="P515" s="3553" t="s">
        <v>556</v>
      </c>
      <c r="Q515" s="3553" t="s">
        <v>556</v>
      </c>
      <c r="R515" s="3557" t="s">
        <v>556</v>
      </c>
      <c r="S515" s="3558" t="s">
        <v>556</v>
      </c>
      <c r="T515" s="3558" t="s">
        <v>556</v>
      </c>
      <c r="U515" s="3558" t="s">
        <v>556</v>
      </c>
      <c r="V515" s="3558" t="s">
        <v>556</v>
      </c>
    </row>
    <row r="516" spans="8:22" ht="15" customHeight="1">
      <c r="H516" s="7175"/>
      <c r="I516" s="7176"/>
      <c r="J516" s="3552" t="s">
        <v>294</v>
      </c>
      <c r="K516" s="7174"/>
      <c r="L516" s="3896"/>
      <c r="M516" s="3553">
        <v>5</v>
      </c>
      <c r="N516" s="3553">
        <v>0</v>
      </c>
      <c r="O516" s="3554">
        <f t="shared" si="7"/>
        <v>0</v>
      </c>
      <c r="P516" s="3553" t="s">
        <v>556</v>
      </c>
      <c r="Q516" s="3553" t="s">
        <v>556</v>
      </c>
      <c r="R516" s="3557" t="s">
        <v>556</v>
      </c>
      <c r="S516" s="3558" t="s">
        <v>556</v>
      </c>
      <c r="T516" s="3558" t="s">
        <v>556</v>
      </c>
      <c r="U516" s="3558" t="s">
        <v>556</v>
      </c>
      <c r="V516" s="3558" t="s">
        <v>556</v>
      </c>
    </row>
    <row r="517" spans="8:22">
      <c r="H517" s="7175"/>
      <c r="I517" s="7176"/>
      <c r="J517" s="3552" t="s">
        <v>441</v>
      </c>
      <c r="K517" s="7174" t="s">
        <v>244</v>
      </c>
      <c r="L517" s="3896"/>
      <c r="M517" s="3553">
        <v>86</v>
      </c>
      <c r="N517" s="3553">
        <v>64</v>
      </c>
      <c r="O517" s="3554">
        <f t="shared" si="7"/>
        <v>74.418604651162795</v>
      </c>
      <c r="P517" s="3553" t="s">
        <v>556</v>
      </c>
      <c r="Q517" s="3553" t="s">
        <v>556</v>
      </c>
      <c r="R517" s="3557" t="s">
        <v>556</v>
      </c>
      <c r="S517" s="3558" t="s">
        <v>556</v>
      </c>
      <c r="T517" s="3555">
        <v>1</v>
      </c>
      <c r="U517" s="3556">
        <v>0</v>
      </c>
      <c r="V517" s="3556">
        <v>0</v>
      </c>
    </row>
    <row r="518" spans="8:22" ht="15" customHeight="1">
      <c r="H518" s="7175"/>
      <c r="I518" s="7176"/>
      <c r="J518" s="3552" t="s">
        <v>296</v>
      </c>
      <c r="K518" s="7174"/>
      <c r="L518" s="3896"/>
      <c r="M518" s="3553">
        <v>67</v>
      </c>
      <c r="N518" s="3553">
        <v>32</v>
      </c>
      <c r="O518" s="3554">
        <f t="shared" si="7"/>
        <v>47.761194029850749</v>
      </c>
      <c r="P518" s="3555">
        <v>0.96875</v>
      </c>
      <c r="Q518" s="3555">
        <v>3.125E-2</v>
      </c>
      <c r="R518" s="3556">
        <v>0</v>
      </c>
      <c r="S518" s="3556">
        <v>0</v>
      </c>
      <c r="T518" s="3555">
        <v>3.4482758620689655E-2</v>
      </c>
      <c r="U518" s="3555">
        <v>0.20689655172413793</v>
      </c>
      <c r="V518" s="3555">
        <v>0.72413793103448265</v>
      </c>
    </row>
    <row r="519" spans="8:22">
      <c r="H519" s="7175"/>
      <c r="I519" s="7176"/>
      <c r="J519" s="3552" t="s">
        <v>381</v>
      </c>
      <c r="K519" s="7174"/>
      <c r="L519" s="3896"/>
      <c r="M519" s="3553">
        <v>84</v>
      </c>
      <c r="N519" s="3553">
        <v>18</v>
      </c>
      <c r="O519" s="3554">
        <f t="shared" ref="O519:O531" si="8">N519*100/M519</f>
        <v>21.428571428571427</v>
      </c>
      <c r="P519" s="3555">
        <v>0.96341463414634143</v>
      </c>
      <c r="Q519" s="3555">
        <v>3.6585365853658541E-2</v>
      </c>
      <c r="R519" s="3556">
        <v>0</v>
      </c>
      <c r="S519" s="3555">
        <v>3.4482758620689655E-2</v>
      </c>
      <c r="T519" s="3569">
        <v>0</v>
      </c>
      <c r="U519" s="3568">
        <v>6.25E-2</v>
      </c>
      <c r="V519" s="3568">
        <v>0.9375</v>
      </c>
    </row>
    <row r="520" spans="8:22">
      <c r="H520" s="7175"/>
      <c r="I520" s="7176"/>
      <c r="J520" s="3559" t="s">
        <v>525</v>
      </c>
      <c r="K520" s="7201"/>
      <c r="L520" s="3900"/>
      <c r="M520" s="3560">
        <v>7</v>
      </c>
      <c r="N520" s="3560">
        <v>5</v>
      </c>
      <c r="O520" s="3561">
        <f t="shared" si="8"/>
        <v>71.428571428571431</v>
      </c>
      <c r="P520" s="3568">
        <v>1</v>
      </c>
      <c r="Q520" s="3569">
        <v>0</v>
      </c>
      <c r="R520" s="3569">
        <v>0</v>
      </c>
      <c r="S520" s="3569">
        <v>0</v>
      </c>
      <c r="T520" s="3567">
        <v>8.8235294117647065E-2</v>
      </c>
      <c r="U520" s="3567">
        <v>0.10784313725490197</v>
      </c>
      <c r="V520" s="3567">
        <v>0.73529411764705888</v>
      </c>
    </row>
    <row r="521" spans="8:22">
      <c r="H521" s="7175"/>
      <c r="I521" s="7176" t="s">
        <v>2172</v>
      </c>
      <c r="J521" s="3564" t="s">
        <v>297</v>
      </c>
      <c r="K521" s="7177" t="s">
        <v>243</v>
      </c>
      <c r="L521" s="3897"/>
      <c r="M521" s="3565">
        <v>279</v>
      </c>
      <c r="N521" s="3565">
        <v>130</v>
      </c>
      <c r="O521" s="3566">
        <f t="shared" si="8"/>
        <v>46.594982078853043</v>
      </c>
      <c r="P521" s="3567">
        <v>0.79230769230769227</v>
      </c>
      <c r="Q521" s="3567">
        <v>0.2076923076923077</v>
      </c>
      <c r="R521" s="3567">
        <v>2.9411764705882356E-2</v>
      </c>
      <c r="S521" s="3567">
        <v>3.9215686274509803E-2</v>
      </c>
      <c r="T521" s="3555">
        <v>0.17241379310344829</v>
      </c>
      <c r="U521" s="3555">
        <v>0.20689655172413793</v>
      </c>
      <c r="V521" s="3555">
        <v>0.48275862068965514</v>
      </c>
    </row>
    <row r="522" spans="8:22">
      <c r="H522" s="7175"/>
      <c r="I522" s="7176"/>
      <c r="J522" s="3552" t="s">
        <v>2087</v>
      </c>
      <c r="K522" s="7174"/>
      <c r="L522" s="3896"/>
      <c r="M522" s="3553">
        <v>55</v>
      </c>
      <c r="N522" s="3553">
        <v>31</v>
      </c>
      <c r="O522" s="3554">
        <f t="shared" si="8"/>
        <v>56.363636363636367</v>
      </c>
      <c r="P522" s="3555">
        <v>0.93548387096774188</v>
      </c>
      <c r="Q522" s="3555">
        <v>6.4516129032258063E-2</v>
      </c>
      <c r="R522" s="3555">
        <v>6.8965517241379309E-2</v>
      </c>
      <c r="S522" s="3555">
        <v>6.8965517241379309E-2</v>
      </c>
      <c r="T522" s="3558" t="s">
        <v>556</v>
      </c>
      <c r="U522" s="3558" t="s">
        <v>556</v>
      </c>
      <c r="V522" s="3558"/>
    </row>
    <row r="523" spans="8:22">
      <c r="H523" s="7175"/>
      <c r="I523" s="7176"/>
      <c r="J523" s="3552" t="s">
        <v>2088</v>
      </c>
      <c r="K523" s="7174"/>
      <c r="L523" s="3896"/>
      <c r="M523" s="3553">
        <v>61</v>
      </c>
      <c r="N523" s="3553">
        <v>0</v>
      </c>
      <c r="O523" s="3554">
        <f t="shared" si="8"/>
        <v>0</v>
      </c>
      <c r="P523" s="3553" t="s">
        <v>556</v>
      </c>
      <c r="Q523" s="3553" t="s">
        <v>556</v>
      </c>
      <c r="R523" s="3557" t="s">
        <v>556</v>
      </c>
      <c r="S523" s="3558" t="s">
        <v>556</v>
      </c>
      <c r="T523" s="3577">
        <v>0.17857142857142858</v>
      </c>
      <c r="U523" s="3577">
        <v>0.25</v>
      </c>
      <c r="V523" s="3577">
        <v>0.4642857142857143</v>
      </c>
    </row>
    <row r="524" spans="8:22" ht="15" customHeight="1">
      <c r="H524" s="7175"/>
      <c r="I524" s="7176"/>
      <c r="J524" s="3574" t="s">
        <v>298</v>
      </c>
      <c r="K524" s="3579" t="s">
        <v>244</v>
      </c>
      <c r="L524" s="3898"/>
      <c r="M524" s="3575">
        <v>45</v>
      </c>
      <c r="N524" s="3575">
        <v>29</v>
      </c>
      <c r="O524" s="3576">
        <f t="shared" si="8"/>
        <v>64.444444444444443</v>
      </c>
      <c r="P524" s="3577">
        <v>0.96551724137931028</v>
      </c>
      <c r="Q524" s="3577">
        <v>3.4482758620689655E-2</v>
      </c>
      <c r="R524" s="3577">
        <v>3.5714285714285719E-2</v>
      </c>
      <c r="S524" s="3577">
        <v>7.1428571428571438E-2</v>
      </c>
      <c r="T524" s="3550">
        <v>0.27272727272727271</v>
      </c>
      <c r="U524" s="3550">
        <v>0.27272727272727271</v>
      </c>
      <c r="V524" s="3550">
        <v>0.31818181818181818</v>
      </c>
    </row>
    <row r="525" spans="8:22">
      <c r="H525" s="7175" t="s">
        <v>59</v>
      </c>
      <c r="I525" s="7176" t="s">
        <v>2171</v>
      </c>
      <c r="J525" s="3547" t="s">
        <v>608</v>
      </c>
      <c r="K525" s="3580" t="s">
        <v>243</v>
      </c>
      <c r="L525" s="3895"/>
      <c r="M525" s="3548">
        <v>52</v>
      </c>
      <c r="N525" s="3548">
        <v>35</v>
      </c>
      <c r="O525" s="3549">
        <f t="shared" si="8"/>
        <v>67.307692307692307</v>
      </c>
      <c r="P525" s="3550">
        <v>0.62857142857142856</v>
      </c>
      <c r="Q525" s="3550">
        <v>0.37142857142857144</v>
      </c>
      <c r="R525" s="3550">
        <v>9.0909090909090912E-2</v>
      </c>
      <c r="S525" s="3550">
        <v>4.5454545454545456E-2</v>
      </c>
      <c r="T525" s="3569">
        <v>0</v>
      </c>
      <c r="U525" s="3568">
        <v>0.25</v>
      </c>
      <c r="V525" s="3568">
        <v>0.75</v>
      </c>
    </row>
    <row r="526" spans="8:22">
      <c r="H526" s="7175"/>
      <c r="I526" s="7176"/>
      <c r="J526" s="3559" t="s">
        <v>608</v>
      </c>
      <c r="K526" s="3562" t="s">
        <v>244</v>
      </c>
      <c r="L526" s="3900"/>
      <c r="M526" s="3560">
        <v>23</v>
      </c>
      <c r="N526" s="3560">
        <v>5</v>
      </c>
      <c r="O526" s="3561">
        <f t="shared" si="8"/>
        <v>21.739130434782609</v>
      </c>
      <c r="P526" s="3568">
        <v>1</v>
      </c>
      <c r="Q526" s="3569">
        <v>0</v>
      </c>
      <c r="R526" s="3569">
        <v>0</v>
      </c>
      <c r="S526" s="3569">
        <v>0</v>
      </c>
      <c r="T526" s="3539">
        <v>0.16666666666666669</v>
      </c>
      <c r="U526" s="3539">
        <v>0.5</v>
      </c>
      <c r="V526" s="3539">
        <v>0.33333333333333337</v>
      </c>
    </row>
    <row r="527" spans="8:22" ht="30.6">
      <c r="H527" s="7175"/>
      <c r="I527" s="3581" t="s">
        <v>2174</v>
      </c>
      <c r="J527" s="3582" t="s">
        <v>383</v>
      </c>
      <c r="K527" s="3583" t="s">
        <v>243</v>
      </c>
      <c r="L527" s="4042"/>
      <c r="M527" s="3584">
        <v>59</v>
      </c>
      <c r="N527" s="3584">
        <v>14</v>
      </c>
      <c r="O527" s="3585">
        <f t="shared" si="8"/>
        <v>23.728813559322035</v>
      </c>
      <c r="P527" s="3539">
        <v>0.9285714285714286</v>
      </c>
      <c r="Q527" s="3539">
        <v>7.1428571428571438E-2</v>
      </c>
      <c r="R527" s="3586">
        <v>0</v>
      </c>
      <c r="S527" s="3586">
        <v>0</v>
      </c>
      <c r="T527" s="3572" t="s">
        <v>556</v>
      </c>
      <c r="U527" s="3570" t="s">
        <v>556</v>
      </c>
      <c r="V527" s="3572" t="s">
        <v>556</v>
      </c>
    </row>
    <row r="528" spans="8:22">
      <c r="H528" s="7175"/>
      <c r="I528" s="7176" t="s">
        <v>2175</v>
      </c>
      <c r="J528" s="3564" t="s">
        <v>609</v>
      </c>
      <c r="K528" s="3573" t="s">
        <v>257</v>
      </c>
      <c r="L528" s="3897"/>
      <c r="M528" s="3565">
        <v>9</v>
      </c>
      <c r="N528" s="3565">
        <v>0</v>
      </c>
      <c r="O528" s="3566">
        <f t="shared" si="8"/>
        <v>0</v>
      </c>
      <c r="P528" s="3565" t="s">
        <v>556</v>
      </c>
      <c r="Q528" s="3565" t="s">
        <v>556</v>
      </c>
      <c r="R528" s="3573" t="s">
        <v>556</v>
      </c>
      <c r="S528" s="3572" t="s">
        <v>556</v>
      </c>
      <c r="T528" s="3555">
        <v>0.5</v>
      </c>
      <c r="U528" s="3556">
        <v>0</v>
      </c>
      <c r="V528" s="3556">
        <v>0</v>
      </c>
    </row>
    <row r="529" spans="8:23">
      <c r="H529" s="7175"/>
      <c r="I529" s="7176"/>
      <c r="J529" s="3552" t="s">
        <v>609</v>
      </c>
      <c r="K529" s="3557" t="s">
        <v>243</v>
      </c>
      <c r="L529" s="3896"/>
      <c r="M529" s="3553">
        <v>29</v>
      </c>
      <c r="N529" s="3553">
        <v>7</v>
      </c>
      <c r="O529" s="3554">
        <f t="shared" si="8"/>
        <v>24.137931034482758</v>
      </c>
      <c r="P529" s="3555">
        <v>0.57142857142857151</v>
      </c>
      <c r="Q529" s="3555">
        <v>0.42857142857142855</v>
      </c>
      <c r="R529" s="3555">
        <v>0.25</v>
      </c>
      <c r="S529" s="3555">
        <v>0.25</v>
      </c>
      <c r="T529" s="3558" t="s">
        <v>556</v>
      </c>
      <c r="U529" s="3558" t="s">
        <v>556</v>
      </c>
      <c r="V529" s="3558" t="s">
        <v>556</v>
      </c>
    </row>
    <row r="530" spans="8:23">
      <c r="H530" s="7175"/>
      <c r="I530" s="7176"/>
      <c r="J530" s="3552" t="s">
        <v>381</v>
      </c>
      <c r="K530" s="7174" t="s">
        <v>244</v>
      </c>
      <c r="L530" s="3896"/>
      <c r="M530" s="3553">
        <v>1</v>
      </c>
      <c r="N530" s="3553">
        <v>0</v>
      </c>
      <c r="O530" s="3554">
        <f t="shared" si="8"/>
        <v>0</v>
      </c>
      <c r="P530" s="3553" t="s">
        <v>556</v>
      </c>
      <c r="Q530" s="3553" t="s">
        <v>556</v>
      </c>
      <c r="R530" s="3557" t="s">
        <v>556</v>
      </c>
      <c r="S530" s="3558" t="s">
        <v>556</v>
      </c>
      <c r="T530" s="3569">
        <v>0</v>
      </c>
      <c r="U530" s="3568">
        <v>1</v>
      </c>
      <c r="V530" s="3569">
        <v>0</v>
      </c>
    </row>
    <row r="531" spans="8:23">
      <c r="H531" s="7175"/>
      <c r="I531" s="7176"/>
      <c r="J531" s="3559" t="s">
        <v>609</v>
      </c>
      <c r="K531" s="7201"/>
      <c r="L531" s="3900"/>
      <c r="M531" s="3560">
        <v>7</v>
      </c>
      <c r="N531" s="3560">
        <v>1</v>
      </c>
      <c r="O531" s="3561">
        <f t="shared" si="8"/>
        <v>14.285714285714286</v>
      </c>
      <c r="P531" s="3568">
        <v>1</v>
      </c>
      <c r="Q531" s="3569">
        <v>0</v>
      </c>
      <c r="R531" s="3569">
        <v>0</v>
      </c>
      <c r="S531" s="3569">
        <v>0</v>
      </c>
      <c r="T531" s="3589">
        <v>0.111</v>
      </c>
      <c r="U531" s="3589">
        <v>0.17799999999999999</v>
      </c>
      <c r="V531" s="3589">
        <v>0.64</v>
      </c>
    </row>
    <row r="532" spans="8:23">
      <c r="H532" s="7220" t="s">
        <v>15</v>
      </c>
      <c r="I532" s="7221"/>
      <c r="J532" s="7221"/>
      <c r="K532" s="7222"/>
      <c r="L532" s="4043"/>
      <c r="M532" s="3587">
        <f>SUM(M390:M531)</f>
        <v>13663</v>
      </c>
      <c r="N532" s="3587">
        <f>SUM(N390:N531)</f>
        <v>6571</v>
      </c>
      <c r="O532" s="3588">
        <f>N532*100/M532</f>
        <v>48.093390909756273</v>
      </c>
      <c r="P532" s="3589">
        <v>0.78500000000000003</v>
      </c>
      <c r="Q532" s="3589">
        <v>0.215</v>
      </c>
      <c r="R532" s="3589">
        <v>0.03</v>
      </c>
      <c r="S532" s="3589">
        <v>4.1000000000000002E-2</v>
      </c>
    </row>
    <row r="533" spans="8:23" ht="18">
      <c r="I533" s="94"/>
      <c r="J533" s="94"/>
      <c r="K533" s="94"/>
      <c r="L533" s="94"/>
      <c r="M533" s="94"/>
      <c r="N533" s="94"/>
      <c r="O533" s="88"/>
    </row>
    <row r="534" spans="8:23" ht="18">
      <c r="I534" s="94"/>
      <c r="J534" s="94"/>
      <c r="K534" s="94"/>
      <c r="L534" s="94"/>
      <c r="M534" s="94"/>
      <c r="N534" s="94"/>
      <c r="O534" s="88"/>
      <c r="T534" s="1637"/>
      <c r="U534" s="1637"/>
      <c r="V534" s="1637"/>
      <c r="W534" s="1637"/>
    </row>
    <row r="535" spans="8:23" ht="17.399999999999999">
      <c r="H535" s="1630"/>
      <c r="I535"/>
      <c r="J535" s="225">
        <v>2017</v>
      </c>
      <c r="K535" s="218"/>
      <c r="L535" s="3889"/>
      <c r="M535" s="218"/>
      <c r="N535" s="218"/>
      <c r="O535" s="218"/>
      <c r="P535" s="218"/>
      <c r="Q535" s="1636"/>
      <c r="R535" s="1636"/>
      <c r="S535" s="1637"/>
      <c r="T535" s="1637"/>
      <c r="U535" s="1637"/>
      <c r="V535" s="1637"/>
      <c r="W535" s="1637"/>
    </row>
    <row r="536" spans="8:23" ht="15" customHeight="1">
      <c r="H536" s="1638"/>
      <c r="I536" s="1638"/>
      <c r="J536" s="1636"/>
      <c r="K536" s="1636"/>
      <c r="L536" s="1636"/>
      <c r="M536" s="1636"/>
      <c r="N536" s="1636"/>
      <c r="O536" s="1636"/>
      <c r="P536" s="1636"/>
      <c r="Q536" s="1636"/>
      <c r="R536" s="1636"/>
      <c r="S536" s="1637"/>
      <c r="T536" s="1639"/>
      <c r="U536" s="1639"/>
      <c r="V536" s="1637"/>
      <c r="W536" s="1637"/>
    </row>
    <row r="537" spans="8:23" ht="15.6">
      <c r="H537" s="7172" t="s">
        <v>2178</v>
      </c>
      <c r="I537" s="7172"/>
      <c r="J537" s="7172"/>
      <c r="K537" s="7172"/>
      <c r="L537" s="7172"/>
      <c r="M537" s="7172"/>
      <c r="N537" s="7172"/>
      <c r="O537" s="7172"/>
      <c r="P537" s="7172"/>
      <c r="Q537" s="7172"/>
      <c r="R537" s="7172"/>
      <c r="S537" s="7172"/>
      <c r="T537" s="1639"/>
      <c r="U537" s="1639"/>
      <c r="V537" s="1637"/>
      <c r="W537" s="1637"/>
    </row>
    <row r="538" spans="8:23" ht="15.6">
      <c r="H538" s="7172"/>
      <c r="I538" s="7172"/>
      <c r="J538" s="7172"/>
      <c r="K538" s="7172"/>
      <c r="L538" s="7172"/>
      <c r="M538" s="7172"/>
      <c r="N538" s="7172"/>
      <c r="O538" s="7172"/>
      <c r="P538" s="7172"/>
      <c r="Q538" s="7172"/>
      <c r="R538" s="7172"/>
      <c r="S538" s="7172"/>
      <c r="T538" s="1641"/>
      <c r="U538" s="1641"/>
      <c r="V538" s="1637"/>
      <c r="W538" s="1637"/>
    </row>
    <row r="539" spans="8:23" ht="15.6">
      <c r="H539" s="1640" t="s">
        <v>2179</v>
      </c>
      <c r="I539" s="1641"/>
      <c r="J539" s="1641"/>
      <c r="K539" s="1641"/>
      <c r="L539" s="3894"/>
      <c r="M539" s="1641"/>
      <c r="N539" s="1641"/>
      <c r="O539" s="1641"/>
      <c r="P539" s="1641"/>
      <c r="Q539" s="1641"/>
      <c r="R539" s="1641"/>
      <c r="S539" s="1641"/>
      <c r="T539" s="1641"/>
      <c r="U539" s="1641"/>
      <c r="V539" s="1637"/>
      <c r="W539" s="1637"/>
    </row>
    <row r="540" spans="8:23" ht="15.6">
      <c r="H540" s="1641"/>
      <c r="I540" s="1641"/>
      <c r="J540" s="1641"/>
      <c r="K540" s="1641"/>
      <c r="L540" s="3894"/>
      <c r="M540" s="1641"/>
      <c r="N540" s="1641"/>
      <c r="O540" s="1641"/>
      <c r="P540" s="1641"/>
      <c r="Q540" s="1641"/>
      <c r="R540" s="1641"/>
      <c r="S540" s="1641"/>
      <c r="T540" s="1641"/>
      <c r="U540" s="1641"/>
      <c r="V540" s="1637"/>
      <c r="W540" s="1637"/>
    </row>
    <row r="541" spans="8:23" ht="15.6">
      <c r="H541" s="1640" t="s">
        <v>2180</v>
      </c>
      <c r="I541" s="1641"/>
      <c r="J541" s="1641"/>
      <c r="K541" s="1641"/>
      <c r="L541" s="3894"/>
      <c r="M541" s="1641"/>
      <c r="N541" s="1641"/>
      <c r="O541" s="1641"/>
      <c r="P541" s="1641"/>
      <c r="Q541" s="1641"/>
      <c r="R541" s="1641"/>
      <c r="S541" s="1641"/>
      <c r="T541" s="1642"/>
      <c r="U541" s="1642"/>
      <c r="V541" s="1642"/>
    </row>
    <row r="542" spans="8:23" ht="15" customHeight="1">
      <c r="H542" s="1658" t="s">
        <v>1897</v>
      </c>
      <c r="I542" s="1658" t="s">
        <v>1893</v>
      </c>
      <c r="J542" s="1658" t="s">
        <v>1898</v>
      </c>
      <c r="K542" s="1658" t="s">
        <v>2169</v>
      </c>
      <c r="L542" s="4035"/>
      <c r="M542" s="1635" t="s">
        <v>907</v>
      </c>
      <c r="N542" s="1635" t="s">
        <v>908</v>
      </c>
      <c r="O542" s="1659" t="s">
        <v>1320</v>
      </c>
      <c r="P542" s="1659" t="s">
        <v>1321</v>
      </c>
      <c r="Q542" s="1660" t="s">
        <v>2182</v>
      </c>
      <c r="R542" s="1659" t="s">
        <v>1323</v>
      </c>
      <c r="S542" s="1661" t="s">
        <v>15</v>
      </c>
      <c r="T542" s="1643"/>
      <c r="U542" s="1643"/>
      <c r="V542" s="1643"/>
    </row>
    <row r="543" spans="8:23">
      <c r="H543" s="2571" t="s">
        <v>3</v>
      </c>
      <c r="I543" s="2571">
        <v>2346</v>
      </c>
      <c r="J543" s="2572">
        <v>1117</v>
      </c>
      <c r="K543" s="2573">
        <f>J543*100/I543</f>
        <v>47.612958226768967</v>
      </c>
      <c r="L543" s="2573"/>
      <c r="M543" s="2574">
        <v>79.3</v>
      </c>
      <c r="N543" s="2574">
        <v>20.7</v>
      </c>
      <c r="O543" s="2574">
        <v>3.5</v>
      </c>
      <c r="P543" s="2575">
        <v>4.7</v>
      </c>
      <c r="Q543" s="2575">
        <v>11.9</v>
      </c>
      <c r="R543" s="2576">
        <v>17.5</v>
      </c>
      <c r="S543" s="2576">
        <v>62.3</v>
      </c>
      <c r="T543" s="1644"/>
      <c r="U543" s="1645"/>
      <c r="V543" s="1645"/>
    </row>
    <row r="544" spans="8:23">
      <c r="H544" s="2577" t="s">
        <v>59</v>
      </c>
      <c r="I544" s="2577">
        <v>124</v>
      </c>
      <c r="J544" s="2578">
        <v>61</v>
      </c>
      <c r="K544" s="2579">
        <f>J544*100/I544</f>
        <v>49.193548387096776</v>
      </c>
      <c r="L544" s="2579"/>
      <c r="M544" s="2580">
        <v>72.099999999999994</v>
      </c>
      <c r="N544" s="2580">
        <v>27.9</v>
      </c>
      <c r="O544" s="2580">
        <v>7</v>
      </c>
      <c r="P544" s="2581">
        <v>4.7</v>
      </c>
      <c r="Q544" s="2581">
        <v>23.3</v>
      </c>
      <c r="R544" s="2582">
        <v>32.6</v>
      </c>
      <c r="S544" s="2582">
        <v>32.6</v>
      </c>
      <c r="T544" s="1644"/>
      <c r="U544" s="1645"/>
      <c r="V544" s="1645"/>
    </row>
    <row r="545" spans="8:22">
      <c r="H545" s="2577" t="s">
        <v>25</v>
      </c>
      <c r="I545" s="2577">
        <v>6485</v>
      </c>
      <c r="J545" s="2578">
        <v>3057</v>
      </c>
      <c r="K545" s="2579">
        <f>J545*100/I545</f>
        <v>47.139552814186587</v>
      </c>
      <c r="L545" s="2579"/>
      <c r="M545" s="2580">
        <v>75.8</v>
      </c>
      <c r="N545" s="2580">
        <v>24.2</v>
      </c>
      <c r="O545" s="2580">
        <v>2.7</v>
      </c>
      <c r="P545" s="2581">
        <v>4</v>
      </c>
      <c r="Q545" s="2581">
        <v>10.1</v>
      </c>
      <c r="R545" s="2582">
        <v>16.8</v>
      </c>
      <c r="S545" s="2582">
        <v>66.5</v>
      </c>
      <c r="T545" s="1644"/>
      <c r="U545" s="1645"/>
      <c r="V545" s="1645"/>
    </row>
    <row r="546" spans="8:22">
      <c r="H546" s="2583" t="s">
        <v>48</v>
      </c>
      <c r="I546" s="2583">
        <v>3649</v>
      </c>
      <c r="J546" s="2584">
        <v>1670</v>
      </c>
      <c r="K546" s="2585">
        <f>J546*100/I546</f>
        <v>45.765963277610304</v>
      </c>
      <c r="L546" s="2585"/>
      <c r="M546" s="2586">
        <v>83.1</v>
      </c>
      <c r="N546" s="2586">
        <v>16.899999999999999</v>
      </c>
      <c r="O546" s="2586">
        <v>2.5</v>
      </c>
      <c r="P546" s="2587">
        <v>3.3</v>
      </c>
      <c r="Q546" s="2587">
        <v>10.199999999999999</v>
      </c>
      <c r="R546" s="2588">
        <v>18</v>
      </c>
      <c r="S546" s="2588">
        <v>66</v>
      </c>
      <c r="T546" s="1644"/>
      <c r="U546" s="1645"/>
      <c r="V546" s="1645"/>
    </row>
    <row r="547" spans="8:22">
      <c r="H547" s="2561" t="s">
        <v>15</v>
      </c>
      <c r="I547" s="2561">
        <f>SUM(I543:I546)</f>
        <v>12604</v>
      </c>
      <c r="J547" s="2566">
        <f>SUM(J543:J546)</f>
        <v>5905</v>
      </c>
      <c r="K547" s="2567">
        <f>J547*100/I547</f>
        <v>46.850206283719452</v>
      </c>
      <c r="L547" s="4040"/>
      <c r="M547" s="1840">
        <v>78.599999999999994</v>
      </c>
      <c r="N547" s="2568">
        <v>21.4</v>
      </c>
      <c r="O547" s="2568">
        <v>2.8</v>
      </c>
      <c r="P547" s="2569">
        <v>3.9</v>
      </c>
      <c r="Q547" s="2569">
        <v>10.6</v>
      </c>
      <c r="R547" s="2570">
        <v>17.399999999999999</v>
      </c>
      <c r="S547" s="2570">
        <v>65.2</v>
      </c>
      <c r="T547" s="1644"/>
      <c r="U547" s="1645"/>
      <c r="V547" s="1645"/>
    </row>
    <row r="548" spans="8:22" ht="15.6">
      <c r="H548" s="1638"/>
      <c r="I548" s="1638"/>
      <c r="J548" s="1636"/>
      <c r="K548" s="1636"/>
      <c r="L548" s="1636"/>
      <c r="M548" s="1636"/>
      <c r="N548" s="1636"/>
      <c r="O548" s="1636"/>
      <c r="P548" s="1636"/>
      <c r="Q548" s="1636"/>
      <c r="R548" s="1646"/>
      <c r="S548" s="1647"/>
      <c r="T548" s="1637"/>
      <c r="U548" s="1637"/>
      <c r="V548" s="1637"/>
    </row>
    <row r="549" spans="8:22" ht="15.6">
      <c r="H549" s="1648"/>
      <c r="I549" s="1638"/>
      <c r="J549" s="1636"/>
      <c r="K549" s="1636"/>
      <c r="L549" s="1636"/>
      <c r="M549" s="1636"/>
      <c r="N549" s="1636"/>
      <c r="O549" s="1636"/>
      <c r="P549" s="1636"/>
      <c r="Q549" s="1636"/>
      <c r="R549" s="1637"/>
      <c r="S549" s="1637"/>
      <c r="T549" s="5328"/>
      <c r="U549" s="5328"/>
      <c r="V549" s="5329"/>
    </row>
    <row r="550" spans="8:22">
      <c r="H550" s="7168" t="s">
        <v>0</v>
      </c>
      <c r="I550" s="7168" t="s">
        <v>1</v>
      </c>
      <c r="J550" s="7168" t="s">
        <v>2183</v>
      </c>
      <c r="K550" s="7168" t="s">
        <v>878</v>
      </c>
      <c r="L550" s="4044"/>
      <c r="M550" s="7168" t="s">
        <v>1893</v>
      </c>
      <c r="N550" s="7170" t="s">
        <v>1898</v>
      </c>
      <c r="O550" s="7170" t="s">
        <v>2169</v>
      </c>
      <c r="P550" s="7166" t="s">
        <v>2181</v>
      </c>
      <c r="Q550" s="7167"/>
      <c r="R550" s="5327" t="s">
        <v>1319</v>
      </c>
      <c r="S550" s="5328"/>
      <c r="T550" s="3642" t="s">
        <v>1322</v>
      </c>
      <c r="U550" s="3642" t="s">
        <v>1323</v>
      </c>
      <c r="V550" s="3642" t="s">
        <v>15</v>
      </c>
    </row>
    <row r="551" spans="8:22">
      <c r="H551" s="7169"/>
      <c r="I551" s="7169"/>
      <c r="J551" s="7169"/>
      <c r="K551" s="7169"/>
      <c r="L551" s="4045"/>
      <c r="M551" s="7169"/>
      <c r="N551" s="7171"/>
      <c r="O551" s="7171"/>
      <c r="P551" s="3641" t="s">
        <v>932</v>
      </c>
      <c r="Q551" s="3641" t="s">
        <v>908</v>
      </c>
      <c r="R551" s="3642" t="s">
        <v>1320</v>
      </c>
      <c r="S551" s="3642" t="s">
        <v>1321</v>
      </c>
      <c r="T551" s="3649">
        <v>3.7037037037037035E-2</v>
      </c>
      <c r="U551" s="3649">
        <v>3.7037037037037035E-2</v>
      </c>
      <c r="V551" s="3649">
        <v>0.85185185185185186</v>
      </c>
    </row>
    <row r="552" spans="8:22">
      <c r="H552" s="7179" t="s">
        <v>3</v>
      </c>
      <c r="I552" s="7182" t="s">
        <v>2176</v>
      </c>
      <c r="J552" s="3643" t="s">
        <v>265</v>
      </c>
      <c r="K552" s="7188" t="s">
        <v>243</v>
      </c>
      <c r="L552" s="4046"/>
      <c r="M552" s="3644">
        <v>96</v>
      </c>
      <c r="N552" s="3645">
        <v>35</v>
      </c>
      <c r="O552" s="3646">
        <f>N552*100/M552</f>
        <v>36.458333333333336</v>
      </c>
      <c r="P552" s="3647">
        <v>0.8</v>
      </c>
      <c r="Q552" s="3647">
        <v>0.2</v>
      </c>
      <c r="R552" s="3648">
        <v>0</v>
      </c>
      <c r="S552" s="3649">
        <v>7.407407407407407E-2</v>
      </c>
      <c r="T552" s="3654">
        <v>8.7719298245614044E-2</v>
      </c>
      <c r="U552" s="3654">
        <v>0.12280701754385966</v>
      </c>
      <c r="V552" s="3654">
        <v>0.75438596491228072</v>
      </c>
    </row>
    <row r="553" spans="8:22">
      <c r="H553" s="7180"/>
      <c r="I553" s="7183"/>
      <c r="J553" s="3650" t="s">
        <v>266</v>
      </c>
      <c r="K553" s="7186"/>
      <c r="L553" s="4047"/>
      <c r="M553" s="3651">
        <v>101</v>
      </c>
      <c r="N553" s="3652">
        <v>62</v>
      </c>
      <c r="O553" s="3638">
        <f t="shared" ref="O553:O616" si="9">N553*100/M553</f>
        <v>61.386138613861384</v>
      </c>
      <c r="P553" s="3653">
        <v>0.93548387096774188</v>
      </c>
      <c r="Q553" s="3653">
        <v>6.4516129032258063E-2</v>
      </c>
      <c r="R553" s="3654">
        <v>1.7543859649122806E-2</v>
      </c>
      <c r="S553" s="3654">
        <v>1.7543859649122806E-2</v>
      </c>
      <c r="T553" s="3654">
        <v>0.33333333333333337</v>
      </c>
      <c r="U553" s="3654">
        <v>0.33333333333333337</v>
      </c>
      <c r="V553" s="3654">
        <v>0.33333333333333337</v>
      </c>
    </row>
    <row r="554" spans="8:22">
      <c r="H554" s="7180"/>
      <c r="I554" s="7183"/>
      <c r="J554" s="3650" t="s">
        <v>607</v>
      </c>
      <c r="K554" s="7186"/>
      <c r="L554" s="4047"/>
      <c r="M554" s="3651">
        <v>30</v>
      </c>
      <c r="N554" s="3652">
        <v>10</v>
      </c>
      <c r="O554" s="3638">
        <f t="shared" si="9"/>
        <v>33.333333333333336</v>
      </c>
      <c r="P554" s="3653">
        <v>0.3</v>
      </c>
      <c r="Q554" s="3653">
        <v>0.7</v>
      </c>
      <c r="R554" s="3655">
        <v>0</v>
      </c>
      <c r="S554" s="3655">
        <v>0</v>
      </c>
      <c r="T554" s="3655">
        <v>0</v>
      </c>
      <c r="U554" s="3655">
        <v>0</v>
      </c>
      <c r="V554" s="3654">
        <v>0.66666666666666674</v>
      </c>
    </row>
    <row r="555" spans="8:22">
      <c r="H555" s="7180"/>
      <c r="I555" s="7183"/>
      <c r="J555" s="3650" t="s">
        <v>606</v>
      </c>
      <c r="K555" s="7186"/>
      <c r="L555" s="4047"/>
      <c r="M555" s="3651">
        <v>10</v>
      </c>
      <c r="N555" s="3652">
        <v>4</v>
      </c>
      <c r="O555" s="3638">
        <f t="shared" si="9"/>
        <v>40</v>
      </c>
      <c r="P555" s="3653">
        <v>0.75</v>
      </c>
      <c r="Q555" s="3653">
        <v>0.25</v>
      </c>
      <c r="R555" s="3655">
        <v>0</v>
      </c>
      <c r="S555" s="3654">
        <v>0.33333333333333337</v>
      </c>
      <c r="T555" s="3654">
        <v>0.13800000000000001</v>
      </c>
      <c r="U555" s="3654">
        <v>0.16700000000000001</v>
      </c>
      <c r="V555" s="3654">
        <v>0.56899999999999995</v>
      </c>
    </row>
    <row r="556" spans="8:22">
      <c r="H556" s="7180"/>
      <c r="I556" s="7183"/>
      <c r="J556" s="3650" t="s">
        <v>2184</v>
      </c>
      <c r="K556" s="7186" t="s">
        <v>244</v>
      </c>
      <c r="L556" s="4047"/>
      <c r="M556" s="3651">
        <v>362</v>
      </c>
      <c r="N556" s="3652">
        <v>222</v>
      </c>
      <c r="O556" s="3638">
        <f t="shared" si="9"/>
        <v>61.325966850828728</v>
      </c>
      <c r="P556" s="3653">
        <v>0.79200000000000004</v>
      </c>
      <c r="Q556" s="3653">
        <v>0.20799999999999999</v>
      </c>
      <c r="R556" s="3654">
        <v>6.9000000000000006E-2</v>
      </c>
      <c r="S556" s="3655">
        <v>5.7000000000000002E-2</v>
      </c>
      <c r="T556" s="3663">
        <v>0.125</v>
      </c>
      <c r="U556" s="3663">
        <v>0.25</v>
      </c>
      <c r="V556" s="3663">
        <v>0.625</v>
      </c>
    </row>
    <row r="557" spans="8:22">
      <c r="H557" s="7180"/>
      <c r="I557" s="7184"/>
      <c r="J557" s="3656" t="s">
        <v>267</v>
      </c>
      <c r="K557" s="7187"/>
      <c r="L557" s="4048"/>
      <c r="M557" s="3657">
        <v>9</v>
      </c>
      <c r="N557" s="3658">
        <v>8</v>
      </c>
      <c r="O557" s="3659">
        <f t="shared" si="9"/>
        <v>88.888888888888886</v>
      </c>
      <c r="P557" s="3660">
        <v>1</v>
      </c>
      <c r="Q557" s="3661">
        <v>0</v>
      </c>
      <c r="R557" s="3662">
        <v>0</v>
      </c>
      <c r="S557" s="3662">
        <v>0</v>
      </c>
      <c r="T557" s="3649">
        <v>7.5471698113207544E-2</v>
      </c>
      <c r="U557" s="3649">
        <v>0.20754716981132076</v>
      </c>
      <c r="V557" s="3649">
        <v>0.64150943396226412</v>
      </c>
    </row>
    <row r="558" spans="8:22">
      <c r="H558" s="7180"/>
      <c r="I558" s="7182" t="s">
        <v>2171</v>
      </c>
      <c r="J558" s="3643" t="s">
        <v>2066</v>
      </c>
      <c r="K558" s="7188" t="s">
        <v>257</v>
      </c>
      <c r="L558" s="4046"/>
      <c r="M558" s="3644">
        <v>306</v>
      </c>
      <c r="N558" s="3645">
        <v>132</v>
      </c>
      <c r="O558" s="3646">
        <f t="shared" si="9"/>
        <v>43.137254901960787</v>
      </c>
      <c r="P558" s="3647">
        <v>0.80303030303030298</v>
      </c>
      <c r="Q558" s="3647">
        <v>0.19696969696969696</v>
      </c>
      <c r="R558" s="3649">
        <v>3.7735849056603772E-2</v>
      </c>
      <c r="S558" s="3649">
        <v>3.7735849056603772E-2</v>
      </c>
      <c r="T558" s="3654">
        <v>6.6666666666666666E-2</v>
      </c>
      <c r="U558" s="3654">
        <v>0.22222222222222221</v>
      </c>
      <c r="V558" s="3654">
        <v>0.62222222222222223</v>
      </c>
    </row>
    <row r="559" spans="8:22">
      <c r="H559" s="7180"/>
      <c r="I559" s="7183"/>
      <c r="J559" s="3650" t="s">
        <v>329</v>
      </c>
      <c r="K559" s="7186"/>
      <c r="L559" s="4047"/>
      <c r="M559" s="3651">
        <v>76</v>
      </c>
      <c r="N559" s="3652">
        <v>52</v>
      </c>
      <c r="O559" s="3638">
        <f t="shared" si="9"/>
        <v>68.421052631578945</v>
      </c>
      <c r="P559" s="3653">
        <v>0.86538461538461531</v>
      </c>
      <c r="Q559" s="3653">
        <v>0.13461538461538461</v>
      </c>
      <c r="R559" s="3654">
        <v>2.2222222222222223E-2</v>
      </c>
      <c r="S559" s="3654">
        <v>6.6666666666666666E-2</v>
      </c>
      <c r="T559" s="3654">
        <v>0.21333333333333332</v>
      </c>
      <c r="U559" s="3654">
        <v>0.12</v>
      </c>
      <c r="V559" s="3654">
        <v>0.6</v>
      </c>
    </row>
    <row r="560" spans="8:22">
      <c r="H560" s="7180"/>
      <c r="I560" s="7183"/>
      <c r="J560" s="3650" t="s">
        <v>270</v>
      </c>
      <c r="K560" s="7186" t="s">
        <v>243</v>
      </c>
      <c r="L560" s="4047"/>
      <c r="M560" s="3651">
        <v>175</v>
      </c>
      <c r="N560" s="3652">
        <v>88</v>
      </c>
      <c r="O560" s="3638">
        <f t="shared" si="9"/>
        <v>50.285714285714285</v>
      </c>
      <c r="P560" s="3653">
        <v>0.84090909090909094</v>
      </c>
      <c r="Q560" s="3653">
        <v>0.15909090909090909</v>
      </c>
      <c r="R560" s="3654">
        <v>2.6666666666666665E-2</v>
      </c>
      <c r="S560" s="3654">
        <v>0.04</v>
      </c>
      <c r="T560" s="3654">
        <v>0.140625</v>
      </c>
      <c r="U560" s="3654">
        <v>0.28125</v>
      </c>
      <c r="V560" s="3654">
        <v>0.46875</v>
      </c>
    </row>
    <row r="561" spans="8:22" ht="15" customHeight="1">
      <c r="H561" s="7180"/>
      <c r="I561" s="7183"/>
      <c r="J561" s="3650" t="s">
        <v>269</v>
      </c>
      <c r="K561" s="7186"/>
      <c r="L561" s="4047"/>
      <c r="M561" s="3651">
        <v>147</v>
      </c>
      <c r="N561" s="3652">
        <v>85</v>
      </c>
      <c r="O561" s="3638">
        <f t="shared" si="9"/>
        <v>57.823129251700678</v>
      </c>
      <c r="P561" s="3653">
        <v>0.75294117647058822</v>
      </c>
      <c r="Q561" s="3653">
        <v>0.24705882352941178</v>
      </c>
      <c r="R561" s="3654">
        <v>4.6875E-2</v>
      </c>
      <c r="S561" s="3654">
        <v>6.25E-2</v>
      </c>
      <c r="T561" s="3654">
        <v>0.16666666666666669</v>
      </c>
      <c r="U561" s="3654">
        <v>0.125</v>
      </c>
      <c r="V561" s="3654">
        <v>0.66666666666666674</v>
      </c>
    </row>
    <row r="562" spans="8:22">
      <c r="H562" s="7180"/>
      <c r="I562" s="7183"/>
      <c r="J562" s="3650" t="s">
        <v>437</v>
      </c>
      <c r="K562" s="7186"/>
      <c r="L562" s="4047"/>
      <c r="M562" s="3651">
        <v>59</v>
      </c>
      <c r="N562" s="3652">
        <v>34</v>
      </c>
      <c r="O562" s="3638">
        <f t="shared" si="9"/>
        <v>57.627118644067799</v>
      </c>
      <c r="P562" s="3653">
        <v>0.73529411764705888</v>
      </c>
      <c r="Q562" s="3653">
        <v>0.26470588235294118</v>
      </c>
      <c r="R562" s="3655">
        <v>0</v>
      </c>
      <c r="S562" s="3654">
        <v>4.1666666666666671E-2</v>
      </c>
      <c r="T562" s="3655">
        <v>0</v>
      </c>
      <c r="U562" s="3654">
        <v>0.33333333333333337</v>
      </c>
      <c r="V562" s="3654">
        <v>0.66666666666666674</v>
      </c>
    </row>
    <row r="563" spans="8:22">
      <c r="H563" s="7180"/>
      <c r="I563" s="7183"/>
      <c r="J563" s="3650" t="s">
        <v>268</v>
      </c>
      <c r="K563" s="7186"/>
      <c r="L563" s="4047"/>
      <c r="M563" s="3651">
        <v>7</v>
      </c>
      <c r="N563" s="3652">
        <v>7</v>
      </c>
      <c r="O563" s="3638">
        <f t="shared" si="9"/>
        <v>100</v>
      </c>
      <c r="P563" s="3653">
        <v>0.42857142857142855</v>
      </c>
      <c r="Q563" s="3653">
        <v>0.57142857142857151</v>
      </c>
      <c r="R563" s="3655">
        <v>0</v>
      </c>
      <c r="S563" s="3655">
        <v>0</v>
      </c>
      <c r="T563" s="3654">
        <v>9.0909090909090912E-2</v>
      </c>
      <c r="U563" s="3654">
        <v>0.40909090909090906</v>
      </c>
      <c r="V563" s="3654">
        <v>0.45454545454545453</v>
      </c>
    </row>
    <row r="564" spans="8:22">
      <c r="H564" s="7180"/>
      <c r="I564" s="7183"/>
      <c r="J564" s="3650" t="s">
        <v>438</v>
      </c>
      <c r="K564" s="7186"/>
      <c r="L564" s="4047"/>
      <c r="M564" s="3651">
        <v>75</v>
      </c>
      <c r="N564" s="3652">
        <v>30</v>
      </c>
      <c r="O564" s="3638">
        <f t="shared" si="9"/>
        <v>40</v>
      </c>
      <c r="P564" s="3653">
        <v>0.73333333333333328</v>
      </c>
      <c r="Q564" s="3653">
        <v>0.26666666666666666</v>
      </c>
      <c r="R564" s="3655">
        <v>0</v>
      </c>
      <c r="S564" s="3654">
        <v>4.5454545454545456E-2</v>
      </c>
      <c r="T564" s="3654">
        <v>0.1</v>
      </c>
      <c r="U564" s="3654">
        <v>0.4</v>
      </c>
      <c r="V564" s="3654">
        <v>0.5</v>
      </c>
    </row>
    <row r="565" spans="8:22">
      <c r="H565" s="7180"/>
      <c r="I565" s="7183"/>
      <c r="J565" s="3650" t="s">
        <v>118</v>
      </c>
      <c r="K565" s="7186"/>
      <c r="L565" s="4047"/>
      <c r="M565" s="3651">
        <v>26</v>
      </c>
      <c r="N565" s="3652">
        <v>20</v>
      </c>
      <c r="O565" s="3638">
        <f t="shared" si="9"/>
        <v>76.92307692307692</v>
      </c>
      <c r="P565" s="3653">
        <v>0.55000000000000004</v>
      </c>
      <c r="Q565" s="3653">
        <v>0.45</v>
      </c>
      <c r="R565" s="3655">
        <v>0</v>
      </c>
      <c r="S565" s="3655">
        <v>0</v>
      </c>
      <c r="T565" s="3655">
        <v>0</v>
      </c>
      <c r="U565" s="3654">
        <v>0.2</v>
      </c>
      <c r="V565" s="3654">
        <v>0.8</v>
      </c>
    </row>
    <row r="566" spans="8:22">
      <c r="H566" s="7180"/>
      <c r="I566" s="7183"/>
      <c r="J566" s="3650" t="s">
        <v>1706</v>
      </c>
      <c r="K566" s="7186"/>
      <c r="L566" s="4047"/>
      <c r="M566" s="3651">
        <v>22</v>
      </c>
      <c r="N566" s="3652">
        <v>6</v>
      </c>
      <c r="O566" s="3638">
        <f t="shared" si="9"/>
        <v>27.272727272727273</v>
      </c>
      <c r="P566" s="3653">
        <v>0.83333333333333326</v>
      </c>
      <c r="Q566" s="3653">
        <v>0.16666666666666669</v>
      </c>
      <c r="R566" s="3655">
        <v>0</v>
      </c>
      <c r="S566" s="3655">
        <v>0</v>
      </c>
      <c r="T566" s="3664">
        <v>0.222</v>
      </c>
      <c r="U566" s="3654">
        <v>0.222</v>
      </c>
      <c r="V566" s="3654">
        <v>0.55600000000000005</v>
      </c>
    </row>
    <row r="567" spans="8:22">
      <c r="H567" s="7180"/>
      <c r="I567" s="7183"/>
      <c r="J567" s="3650" t="s">
        <v>2185</v>
      </c>
      <c r="K567" s="7186" t="s">
        <v>244</v>
      </c>
      <c r="L567" s="4047"/>
      <c r="M567" s="3651">
        <v>23</v>
      </c>
      <c r="N567" s="3652">
        <v>11</v>
      </c>
      <c r="O567" s="3638">
        <f t="shared" si="9"/>
        <v>47.826086956521742</v>
      </c>
      <c r="P567" s="3653">
        <v>0.81799999999999995</v>
      </c>
      <c r="Q567" s="3653">
        <v>0.182</v>
      </c>
      <c r="R567" s="3655">
        <v>0</v>
      </c>
      <c r="S567" s="3655">
        <v>0</v>
      </c>
      <c r="T567" s="3655">
        <v>0</v>
      </c>
      <c r="U567" s="3654">
        <v>0.5</v>
      </c>
      <c r="V567" s="3654">
        <v>0.5</v>
      </c>
    </row>
    <row r="568" spans="8:22">
      <c r="H568" s="7180"/>
      <c r="I568" s="7183"/>
      <c r="J568" s="3650" t="s">
        <v>2186</v>
      </c>
      <c r="K568" s="7186"/>
      <c r="L568" s="4047"/>
      <c r="M568" s="3651">
        <v>6</v>
      </c>
      <c r="N568" s="3652">
        <v>2</v>
      </c>
      <c r="O568" s="3638">
        <f t="shared" si="9"/>
        <v>33.333333333333336</v>
      </c>
      <c r="P568" s="3653">
        <v>1</v>
      </c>
      <c r="Q568" s="3665">
        <v>0</v>
      </c>
      <c r="R568" s="3655">
        <v>0</v>
      </c>
      <c r="S568" s="3655">
        <v>0</v>
      </c>
      <c r="T568" s="3671">
        <v>5.8823529411764712E-2</v>
      </c>
      <c r="U568" s="3671">
        <v>0.17647058823529413</v>
      </c>
      <c r="V568" s="3671">
        <v>0.76470588235294112</v>
      </c>
    </row>
    <row r="569" spans="8:22">
      <c r="H569" s="7180"/>
      <c r="I569" s="7184"/>
      <c r="J569" s="3666" t="s">
        <v>271</v>
      </c>
      <c r="K569" s="7189"/>
      <c r="L569" s="4049"/>
      <c r="M569" s="3667">
        <v>34</v>
      </c>
      <c r="N569" s="3668">
        <v>23</v>
      </c>
      <c r="O569" s="3640">
        <f t="shared" si="9"/>
        <v>67.647058823529406</v>
      </c>
      <c r="P569" s="3669">
        <v>0.73913043478260876</v>
      </c>
      <c r="Q569" s="3669">
        <v>0.2608695652173913</v>
      </c>
      <c r="R569" s="3670">
        <v>0</v>
      </c>
      <c r="S569" s="3670">
        <v>0</v>
      </c>
      <c r="T569" s="3677">
        <v>0.15384615384615385</v>
      </c>
      <c r="U569" s="3677">
        <v>7.6923076923076927E-2</v>
      </c>
      <c r="V569" s="3677">
        <v>0.76923076923076916</v>
      </c>
    </row>
    <row r="570" spans="8:22">
      <c r="H570" s="7180"/>
      <c r="I570" s="7182" t="s">
        <v>2172</v>
      </c>
      <c r="J570" s="3672" t="s">
        <v>2059</v>
      </c>
      <c r="K570" s="7185" t="s">
        <v>257</v>
      </c>
      <c r="L570" s="4050"/>
      <c r="M570" s="3673">
        <v>36</v>
      </c>
      <c r="N570" s="3674">
        <v>16</v>
      </c>
      <c r="O570" s="3639">
        <f t="shared" si="9"/>
        <v>44.444444444444443</v>
      </c>
      <c r="P570" s="3675">
        <v>0.8125</v>
      </c>
      <c r="Q570" s="3675">
        <v>0.1875</v>
      </c>
      <c r="R570" s="3676">
        <v>0</v>
      </c>
      <c r="S570" s="3676">
        <v>0</v>
      </c>
      <c r="T570" s="3654">
        <v>9.4017094017094016E-2</v>
      </c>
      <c r="U570" s="3654">
        <v>0.12820512820512822</v>
      </c>
      <c r="V570" s="3654">
        <v>0.70940170940170943</v>
      </c>
    </row>
    <row r="571" spans="8:22">
      <c r="H571" s="7180"/>
      <c r="I571" s="7183"/>
      <c r="J571" s="3650" t="s">
        <v>2187</v>
      </c>
      <c r="K571" s="7186"/>
      <c r="L571" s="4047"/>
      <c r="M571" s="3651">
        <v>373</v>
      </c>
      <c r="N571" s="3652">
        <v>135</v>
      </c>
      <c r="O571" s="3638">
        <f t="shared" si="9"/>
        <v>36.193029490616624</v>
      </c>
      <c r="P571" s="3653">
        <v>0.88148148148148153</v>
      </c>
      <c r="Q571" s="3653">
        <v>0.11851851851851851</v>
      </c>
      <c r="R571" s="3654">
        <v>4.2735042735042736E-2</v>
      </c>
      <c r="S571" s="3654">
        <v>2.5641025641025644E-2</v>
      </c>
      <c r="T571" s="3654">
        <v>0.10256410256410257</v>
      </c>
      <c r="U571" s="3654">
        <v>0.20512820512820515</v>
      </c>
      <c r="V571" s="3654">
        <v>0.58974358974358976</v>
      </c>
    </row>
    <row r="572" spans="8:22">
      <c r="H572" s="7180"/>
      <c r="I572" s="7183"/>
      <c r="J572" s="3650" t="s">
        <v>2188</v>
      </c>
      <c r="K572" s="7186" t="s">
        <v>243</v>
      </c>
      <c r="L572" s="4047"/>
      <c r="M572" s="3651">
        <v>200</v>
      </c>
      <c r="N572" s="3652">
        <v>50</v>
      </c>
      <c r="O572" s="3638">
        <f t="shared" si="9"/>
        <v>25</v>
      </c>
      <c r="P572" s="3653">
        <v>0.76</v>
      </c>
      <c r="Q572" s="3653">
        <v>0.24</v>
      </c>
      <c r="R572" s="3654">
        <v>2.5641025641025644E-2</v>
      </c>
      <c r="S572" s="3654">
        <v>7.6923076923076927E-2</v>
      </c>
      <c r="T572" s="3654">
        <v>0.214</v>
      </c>
      <c r="U572" s="3654">
        <v>0.14299999999999999</v>
      </c>
      <c r="V572" s="3654">
        <v>0.42899999999999999</v>
      </c>
    </row>
    <row r="573" spans="8:22">
      <c r="H573" s="7180"/>
      <c r="I573" s="7183"/>
      <c r="J573" s="3650" t="s">
        <v>1457</v>
      </c>
      <c r="K573" s="7186"/>
      <c r="L573" s="4047"/>
      <c r="M573" s="3651">
        <v>42</v>
      </c>
      <c r="N573" s="3652">
        <v>26</v>
      </c>
      <c r="O573" s="3638">
        <f t="shared" si="9"/>
        <v>61.904761904761905</v>
      </c>
      <c r="P573" s="3653">
        <v>0.53800000000000003</v>
      </c>
      <c r="Q573" s="3653">
        <v>0.46200000000000002</v>
      </c>
      <c r="R573" s="3655">
        <v>0</v>
      </c>
      <c r="S573" s="3654">
        <v>0.214</v>
      </c>
      <c r="T573" s="3664">
        <v>0.17399999999999999</v>
      </c>
      <c r="U573" s="3664">
        <v>0.17399999999999999</v>
      </c>
      <c r="V573" s="3664">
        <v>0.56499999999999995</v>
      </c>
    </row>
    <row r="574" spans="8:22">
      <c r="H574" s="7180"/>
      <c r="I574" s="7183"/>
      <c r="J574" s="3650" t="s">
        <v>1454</v>
      </c>
      <c r="K574" s="7186" t="s">
        <v>244</v>
      </c>
      <c r="L574" s="4047"/>
      <c r="M574" s="3651">
        <v>63</v>
      </c>
      <c r="N574" s="3652">
        <v>37</v>
      </c>
      <c r="O574" s="3638">
        <f t="shared" si="9"/>
        <v>58.730158730158728</v>
      </c>
      <c r="P574" s="3653">
        <v>0.622</v>
      </c>
      <c r="Q574" s="3678">
        <v>0.378</v>
      </c>
      <c r="R574" s="3664">
        <v>4.36E-2</v>
      </c>
      <c r="S574" s="3664">
        <v>4.2999999999999997E-2</v>
      </c>
      <c r="T574" s="3663">
        <v>0.15789473684210525</v>
      </c>
      <c r="U574" s="3663">
        <v>5.2631578947368425E-2</v>
      </c>
      <c r="V574" s="3663">
        <v>0.68421052631578949</v>
      </c>
    </row>
    <row r="575" spans="8:22">
      <c r="H575" s="7181"/>
      <c r="I575" s="7184"/>
      <c r="J575" s="3656" t="s">
        <v>2189</v>
      </c>
      <c r="K575" s="7187"/>
      <c r="L575" s="4048"/>
      <c r="M575" s="3657">
        <v>68</v>
      </c>
      <c r="N575" s="3658">
        <v>22</v>
      </c>
      <c r="O575" s="3659">
        <f t="shared" si="9"/>
        <v>32.352941176470587</v>
      </c>
      <c r="P575" s="3660">
        <v>0.90909090909090906</v>
      </c>
      <c r="Q575" s="3660">
        <v>9.0909090909090912E-2</v>
      </c>
      <c r="R575" s="3663">
        <v>5.2631578947368425E-2</v>
      </c>
      <c r="S575" s="3663">
        <v>5.2631578947368425E-2</v>
      </c>
      <c r="T575" s="3649">
        <v>0.05</v>
      </c>
      <c r="U575" s="3649">
        <v>0.3</v>
      </c>
      <c r="V575" s="3649">
        <v>0.6</v>
      </c>
    </row>
    <row r="576" spans="8:22" ht="15" customHeight="1">
      <c r="H576" s="7179" t="s">
        <v>25</v>
      </c>
      <c r="I576" s="7182" t="s">
        <v>2176</v>
      </c>
      <c r="J576" s="3643" t="s">
        <v>2190</v>
      </c>
      <c r="K576" s="7188" t="s">
        <v>243</v>
      </c>
      <c r="L576" s="4046"/>
      <c r="M576" s="3644">
        <v>78</v>
      </c>
      <c r="N576" s="3645">
        <v>27</v>
      </c>
      <c r="O576" s="3646">
        <f t="shared" si="9"/>
        <v>34.615384615384613</v>
      </c>
      <c r="P576" s="3647">
        <v>0.74074074074074081</v>
      </c>
      <c r="Q576" s="3647">
        <v>0.2592592592592593</v>
      </c>
      <c r="R576" s="3648">
        <v>0</v>
      </c>
      <c r="S576" s="3649">
        <v>0.05</v>
      </c>
      <c r="T576" s="3654">
        <v>0.12698412698412698</v>
      </c>
      <c r="U576" s="3654">
        <v>6.3492063492063489E-2</v>
      </c>
      <c r="V576" s="3654">
        <v>0.7142857142857143</v>
      </c>
    </row>
    <row r="577" spans="8:22">
      <c r="H577" s="7180"/>
      <c r="I577" s="7183"/>
      <c r="J577" s="3650" t="s">
        <v>2191</v>
      </c>
      <c r="K577" s="7186"/>
      <c r="L577" s="4047"/>
      <c r="M577" s="3651">
        <v>159</v>
      </c>
      <c r="N577" s="3652">
        <v>71</v>
      </c>
      <c r="O577" s="3638">
        <f t="shared" si="9"/>
        <v>44.654088050314463</v>
      </c>
      <c r="P577" s="3653">
        <v>0.88732394366197187</v>
      </c>
      <c r="Q577" s="3653">
        <v>0.11267605633802816</v>
      </c>
      <c r="R577" s="3654">
        <v>3.1746031746031744E-2</v>
      </c>
      <c r="S577" s="3654">
        <v>6.3492063492063489E-2</v>
      </c>
      <c r="T577" s="3655">
        <v>0</v>
      </c>
      <c r="U577" s="3655">
        <v>0</v>
      </c>
      <c r="V577" s="3654">
        <v>1</v>
      </c>
    </row>
    <row r="578" spans="8:22">
      <c r="H578" s="7180"/>
      <c r="I578" s="7183"/>
      <c r="J578" s="3650" t="s">
        <v>2192</v>
      </c>
      <c r="K578" s="7186"/>
      <c r="L578" s="4047"/>
      <c r="M578" s="3651">
        <v>58</v>
      </c>
      <c r="N578" s="3652">
        <v>9</v>
      </c>
      <c r="O578" s="3638">
        <f t="shared" si="9"/>
        <v>15.517241379310345</v>
      </c>
      <c r="P578" s="3653">
        <v>0.77777777777777768</v>
      </c>
      <c r="Q578" s="3653">
        <v>0.22222222222222221</v>
      </c>
      <c r="R578" s="3655">
        <v>0</v>
      </c>
      <c r="S578" s="3655">
        <v>0</v>
      </c>
      <c r="T578" s="3654">
        <v>0.1081081081081081</v>
      </c>
      <c r="U578" s="3654">
        <v>8.1081081081081086E-2</v>
      </c>
      <c r="V578" s="3654">
        <v>0.81081081081081086</v>
      </c>
    </row>
    <row r="579" spans="8:22">
      <c r="H579" s="7180"/>
      <c r="I579" s="7183"/>
      <c r="J579" s="3650" t="s">
        <v>2193</v>
      </c>
      <c r="K579" s="7186"/>
      <c r="L579" s="4047"/>
      <c r="M579" s="3651">
        <v>112</v>
      </c>
      <c r="N579" s="3652">
        <v>45</v>
      </c>
      <c r="O579" s="3638">
        <f t="shared" si="9"/>
        <v>40.178571428571431</v>
      </c>
      <c r="P579" s="3653">
        <v>0.84444444444444444</v>
      </c>
      <c r="Q579" s="3653">
        <v>0.15555555555555556</v>
      </c>
      <c r="R579" s="3655">
        <v>0</v>
      </c>
      <c r="S579" s="3655">
        <v>0</v>
      </c>
      <c r="T579" s="3654">
        <v>5.2631578947368425E-2</v>
      </c>
      <c r="U579" s="3654">
        <v>0.2105263157894737</v>
      </c>
      <c r="V579" s="3654">
        <v>0.68421052631578949</v>
      </c>
    </row>
    <row r="580" spans="8:22">
      <c r="H580" s="7180"/>
      <c r="I580" s="7183"/>
      <c r="J580" s="3650" t="s">
        <v>2194</v>
      </c>
      <c r="K580" s="7186"/>
      <c r="L580" s="4047"/>
      <c r="M580" s="3651">
        <v>36</v>
      </c>
      <c r="N580" s="3652">
        <v>25</v>
      </c>
      <c r="O580" s="3638">
        <f t="shared" si="9"/>
        <v>69.444444444444443</v>
      </c>
      <c r="P580" s="3653">
        <v>0.76</v>
      </c>
      <c r="Q580" s="3653">
        <v>0.24</v>
      </c>
      <c r="R580" s="3654">
        <v>5.2631578947368425E-2</v>
      </c>
      <c r="S580" s="3655">
        <v>0</v>
      </c>
      <c r="T580" s="3654">
        <v>0.15384615384615385</v>
      </c>
      <c r="U580" s="3654">
        <v>0.15384615384615385</v>
      </c>
      <c r="V580" s="3654">
        <v>0.53846153846153844</v>
      </c>
    </row>
    <row r="581" spans="8:22">
      <c r="H581" s="7180"/>
      <c r="I581" s="7183"/>
      <c r="J581" s="3650" t="s">
        <v>119</v>
      </c>
      <c r="K581" s="7186"/>
      <c r="L581" s="4047"/>
      <c r="M581" s="3651">
        <v>63</v>
      </c>
      <c r="N581" s="3652">
        <v>39</v>
      </c>
      <c r="O581" s="3638">
        <f t="shared" si="9"/>
        <v>61.904761904761905</v>
      </c>
      <c r="P581" s="3653">
        <v>0.66666666666666674</v>
      </c>
      <c r="Q581" s="3653">
        <v>0.33333333333333337</v>
      </c>
      <c r="R581" s="3654">
        <v>7.6923076923076927E-2</v>
      </c>
      <c r="S581" s="3654">
        <v>7.6923076923076927E-2</v>
      </c>
      <c r="T581" s="3654">
        <v>0.14199999999999999</v>
      </c>
      <c r="U581" s="3654">
        <v>0.157</v>
      </c>
      <c r="V581" s="3654">
        <v>0.39400000000000002</v>
      </c>
    </row>
    <row r="582" spans="8:22">
      <c r="H582" s="7180"/>
      <c r="I582" s="7183"/>
      <c r="J582" s="3650" t="s">
        <v>2195</v>
      </c>
      <c r="K582" s="7186"/>
      <c r="L582" s="4047"/>
      <c r="M582" s="3651">
        <v>182</v>
      </c>
      <c r="N582" s="3652">
        <v>127</v>
      </c>
      <c r="O582" s="3638">
        <f t="shared" si="9"/>
        <v>69.780219780219781</v>
      </c>
      <c r="P582" s="3653">
        <v>0.77200000000000002</v>
      </c>
      <c r="Q582" s="3653">
        <v>0.22800000000000001</v>
      </c>
      <c r="R582" s="3654">
        <v>3.1E-2</v>
      </c>
      <c r="S582" s="3654">
        <v>3.9E-2</v>
      </c>
      <c r="T582" s="3654">
        <v>5.5555555555555552E-2</v>
      </c>
      <c r="U582" s="3654">
        <v>0.19444444444444442</v>
      </c>
      <c r="V582" s="3654">
        <v>0.63888888888888884</v>
      </c>
    </row>
    <row r="583" spans="8:22">
      <c r="H583" s="7180"/>
      <c r="I583" s="7183"/>
      <c r="J583" s="3650" t="s">
        <v>2196</v>
      </c>
      <c r="K583" s="7186"/>
      <c r="L583" s="4047"/>
      <c r="M583" s="3651">
        <v>106</v>
      </c>
      <c r="N583" s="3652">
        <v>43</v>
      </c>
      <c r="O583" s="3638">
        <f t="shared" si="9"/>
        <v>40.566037735849058</v>
      </c>
      <c r="P583" s="3653">
        <v>0.86046511627906985</v>
      </c>
      <c r="Q583" s="3653">
        <v>0.13953488372093023</v>
      </c>
      <c r="R583" s="3654">
        <v>5.5555555555555552E-2</v>
      </c>
      <c r="S583" s="3654">
        <v>5.5555555555555552E-2</v>
      </c>
      <c r="T583" s="3654">
        <v>0.125</v>
      </c>
      <c r="U583" s="3654">
        <v>0.20833333333333331</v>
      </c>
      <c r="V583" s="3654">
        <v>0.5625</v>
      </c>
    </row>
    <row r="584" spans="8:22">
      <c r="H584" s="7180"/>
      <c r="I584" s="7183"/>
      <c r="J584" s="3650" t="s">
        <v>2197</v>
      </c>
      <c r="K584" s="7186"/>
      <c r="L584" s="4047"/>
      <c r="M584" s="3651">
        <v>169</v>
      </c>
      <c r="N584" s="3652">
        <v>76</v>
      </c>
      <c r="O584" s="3638">
        <f t="shared" si="9"/>
        <v>44.970414201183431</v>
      </c>
      <c r="P584" s="3653">
        <v>0.63157894736842102</v>
      </c>
      <c r="Q584" s="3653">
        <v>0.36842105263157898</v>
      </c>
      <c r="R584" s="3654">
        <v>2.0833333333333336E-2</v>
      </c>
      <c r="S584" s="3654">
        <v>8.3333333333333343E-2</v>
      </c>
      <c r="T584" s="3654">
        <v>0.16666666666666669</v>
      </c>
      <c r="U584" s="3654">
        <v>0.21794871794871795</v>
      </c>
      <c r="V584" s="3654">
        <v>0.51282051282051289</v>
      </c>
    </row>
    <row r="585" spans="8:22">
      <c r="H585" s="7180"/>
      <c r="I585" s="7183"/>
      <c r="J585" s="3650" t="s">
        <v>2198</v>
      </c>
      <c r="K585" s="7186"/>
      <c r="L585" s="4047"/>
      <c r="M585" s="3651">
        <v>140</v>
      </c>
      <c r="N585" s="3652">
        <v>107</v>
      </c>
      <c r="O585" s="3638">
        <f t="shared" si="9"/>
        <v>76.428571428571431</v>
      </c>
      <c r="P585" s="3653">
        <v>0.7289719626168224</v>
      </c>
      <c r="Q585" s="3653">
        <v>0.27102803738317754</v>
      </c>
      <c r="R585" s="3654">
        <v>6.4102564102564111E-2</v>
      </c>
      <c r="S585" s="3654">
        <v>3.8461538461538464E-2</v>
      </c>
      <c r="T585" s="3654">
        <v>0.125</v>
      </c>
      <c r="U585" s="3654">
        <v>0.1875</v>
      </c>
      <c r="V585" s="3654">
        <v>0.625</v>
      </c>
    </row>
    <row r="586" spans="8:22">
      <c r="H586" s="7180"/>
      <c r="I586" s="7183"/>
      <c r="J586" s="3650" t="s">
        <v>273</v>
      </c>
      <c r="K586" s="7186"/>
      <c r="L586" s="4047"/>
      <c r="M586" s="3651">
        <v>17</v>
      </c>
      <c r="N586" s="3652">
        <v>18</v>
      </c>
      <c r="O586" s="3638">
        <f t="shared" si="9"/>
        <v>105.88235294117646</v>
      </c>
      <c r="P586" s="3653">
        <v>0.88888888888888884</v>
      </c>
      <c r="Q586" s="3653">
        <v>0.1111111111111111</v>
      </c>
      <c r="R586" s="3655">
        <v>0</v>
      </c>
      <c r="S586" s="3654">
        <v>6.25E-2</v>
      </c>
      <c r="T586" s="3654">
        <v>0.21739130434782608</v>
      </c>
      <c r="U586" s="3654">
        <v>0.30434782608695654</v>
      </c>
      <c r="V586" s="3654">
        <v>0.43478260869565216</v>
      </c>
    </row>
    <row r="587" spans="8:22" ht="15" customHeight="1">
      <c r="H587" s="7180"/>
      <c r="I587" s="7183"/>
      <c r="J587" s="3650" t="s">
        <v>2199</v>
      </c>
      <c r="K587" s="7186"/>
      <c r="L587" s="4047"/>
      <c r="M587" s="3651">
        <v>65</v>
      </c>
      <c r="N587" s="3652">
        <v>39</v>
      </c>
      <c r="O587" s="3638">
        <f t="shared" si="9"/>
        <v>60</v>
      </c>
      <c r="P587" s="3653">
        <v>0.61538461538461542</v>
      </c>
      <c r="Q587" s="3653">
        <v>0.38461538461538458</v>
      </c>
      <c r="R587" s="3655">
        <v>0</v>
      </c>
      <c r="S587" s="3654">
        <v>4.3478260869565216E-2</v>
      </c>
      <c r="T587" s="3654">
        <v>0.2</v>
      </c>
      <c r="U587" s="3655">
        <v>0</v>
      </c>
      <c r="V587" s="3654">
        <v>0.4</v>
      </c>
    </row>
    <row r="588" spans="8:22">
      <c r="H588" s="7180"/>
      <c r="I588" s="7183"/>
      <c r="J588" s="3650" t="s">
        <v>681</v>
      </c>
      <c r="K588" s="7186"/>
      <c r="L588" s="4047"/>
      <c r="M588" s="3651">
        <v>22</v>
      </c>
      <c r="N588" s="3652">
        <v>8</v>
      </c>
      <c r="O588" s="3638">
        <f t="shared" si="9"/>
        <v>36.363636363636367</v>
      </c>
      <c r="P588" s="3653">
        <v>0.625</v>
      </c>
      <c r="Q588" s="3653">
        <v>0.375</v>
      </c>
      <c r="R588" s="3655">
        <v>0</v>
      </c>
      <c r="S588" s="3654">
        <v>0.4</v>
      </c>
      <c r="T588" s="3654">
        <v>8.7591240875912413E-2</v>
      </c>
      <c r="U588" s="3654">
        <v>0.16788321167883211</v>
      </c>
      <c r="V588" s="3654">
        <v>0.66423357664233573</v>
      </c>
    </row>
    <row r="589" spans="8:22">
      <c r="H589" s="7180"/>
      <c r="I589" s="7183"/>
      <c r="J589" s="3650" t="s">
        <v>2200</v>
      </c>
      <c r="K589" s="7186" t="s">
        <v>244</v>
      </c>
      <c r="L589" s="4047"/>
      <c r="M589" s="3651">
        <v>302</v>
      </c>
      <c r="N589" s="3652">
        <v>180</v>
      </c>
      <c r="O589" s="3638">
        <f t="shared" si="9"/>
        <v>59.602649006622514</v>
      </c>
      <c r="P589" s="3653">
        <v>0.77222222222222225</v>
      </c>
      <c r="Q589" s="3653">
        <v>0.22777777777777777</v>
      </c>
      <c r="R589" s="3654">
        <v>2.9197080291970802E-2</v>
      </c>
      <c r="S589" s="3654">
        <v>5.1094890510948912E-2</v>
      </c>
      <c r="T589" s="3655">
        <v>0</v>
      </c>
      <c r="U589" s="3654">
        <v>0.16700000000000001</v>
      </c>
      <c r="V589" s="3654">
        <v>0.66700000000000004</v>
      </c>
    </row>
    <row r="590" spans="8:22">
      <c r="H590" s="7180"/>
      <c r="I590" s="7183"/>
      <c r="J590" s="3650" t="s">
        <v>120</v>
      </c>
      <c r="K590" s="7186"/>
      <c r="L590" s="4047"/>
      <c r="M590" s="3651">
        <v>52</v>
      </c>
      <c r="N590" s="3652">
        <v>10</v>
      </c>
      <c r="O590" s="3638">
        <f t="shared" si="9"/>
        <v>19.23076923076923</v>
      </c>
      <c r="P590" s="3653">
        <v>0.7</v>
      </c>
      <c r="Q590" s="3653">
        <v>0.3</v>
      </c>
      <c r="R590" s="3655">
        <v>0</v>
      </c>
      <c r="S590" s="3654">
        <v>0.16700000000000001</v>
      </c>
      <c r="T590" s="3654">
        <v>2.4390243902439025E-2</v>
      </c>
      <c r="U590" s="3654">
        <v>0.28048780487804875</v>
      </c>
      <c r="V590" s="3654">
        <v>0.68292682926829273</v>
      </c>
    </row>
    <row r="591" spans="8:22">
      <c r="H591" s="7180"/>
      <c r="I591" s="7183"/>
      <c r="J591" s="3650" t="s">
        <v>121</v>
      </c>
      <c r="K591" s="7186"/>
      <c r="L591" s="4047"/>
      <c r="M591" s="3651">
        <v>144</v>
      </c>
      <c r="N591" s="3652">
        <v>97</v>
      </c>
      <c r="O591" s="3638">
        <f t="shared" si="9"/>
        <v>67.361111111111114</v>
      </c>
      <c r="P591" s="3653">
        <v>0.78350515463917536</v>
      </c>
      <c r="Q591" s="3653">
        <v>0.21649484536082475</v>
      </c>
      <c r="R591" s="3654">
        <v>1.2195121951219513E-2</v>
      </c>
      <c r="S591" s="3655">
        <v>0</v>
      </c>
      <c r="T591" s="3654">
        <v>7.1428571428571438E-2</v>
      </c>
      <c r="U591" s="3654">
        <v>0.10714285714285714</v>
      </c>
      <c r="V591" s="3654">
        <v>0.7857142857142857</v>
      </c>
    </row>
    <row r="592" spans="8:22">
      <c r="H592" s="7180"/>
      <c r="I592" s="7183"/>
      <c r="J592" s="3650" t="s">
        <v>122</v>
      </c>
      <c r="K592" s="7186"/>
      <c r="L592" s="4047"/>
      <c r="M592" s="3651">
        <v>70</v>
      </c>
      <c r="N592" s="3652">
        <v>32</v>
      </c>
      <c r="O592" s="3638">
        <f t="shared" si="9"/>
        <v>45.714285714285715</v>
      </c>
      <c r="P592" s="3653">
        <v>0.875</v>
      </c>
      <c r="Q592" s="3653">
        <v>0.125</v>
      </c>
      <c r="R592" s="3655">
        <v>0</v>
      </c>
      <c r="S592" s="3654">
        <v>3.5714285714285719E-2</v>
      </c>
      <c r="T592" s="3654">
        <v>4.1666666666666671E-2</v>
      </c>
      <c r="U592" s="3654">
        <v>0.25</v>
      </c>
      <c r="V592" s="3654">
        <v>0.70833333333333326</v>
      </c>
    </row>
    <row r="593" spans="8:22">
      <c r="H593" s="7180"/>
      <c r="I593" s="7183"/>
      <c r="J593" s="3650" t="s">
        <v>123</v>
      </c>
      <c r="K593" s="7186"/>
      <c r="L593" s="4047"/>
      <c r="M593" s="3651">
        <v>30</v>
      </c>
      <c r="N593" s="3652">
        <v>24</v>
      </c>
      <c r="O593" s="3638">
        <f t="shared" si="9"/>
        <v>80</v>
      </c>
      <c r="P593" s="3653">
        <v>1</v>
      </c>
      <c r="Q593" s="3665">
        <v>0</v>
      </c>
      <c r="R593" s="3655">
        <v>0</v>
      </c>
      <c r="S593" s="3655">
        <v>0</v>
      </c>
      <c r="T593" s="3670">
        <v>0</v>
      </c>
      <c r="U593" s="3670">
        <v>0</v>
      </c>
      <c r="V593" s="3671">
        <v>1</v>
      </c>
    </row>
    <row r="594" spans="8:22">
      <c r="H594" s="7180"/>
      <c r="I594" s="7184"/>
      <c r="J594" s="3666" t="s">
        <v>388</v>
      </c>
      <c r="K594" s="7189"/>
      <c r="L594" s="4049"/>
      <c r="M594" s="3667">
        <v>5</v>
      </c>
      <c r="N594" s="3668">
        <v>7</v>
      </c>
      <c r="O594" s="3640">
        <f t="shared" si="9"/>
        <v>140</v>
      </c>
      <c r="P594" s="3669">
        <v>1</v>
      </c>
      <c r="Q594" s="3679">
        <v>0</v>
      </c>
      <c r="R594" s="3670">
        <v>0</v>
      </c>
      <c r="S594" s="3670">
        <v>0</v>
      </c>
      <c r="T594" s="3677">
        <v>0.1440677966101695</v>
      </c>
      <c r="U594" s="3677">
        <v>0.11016949152542374</v>
      </c>
      <c r="V594" s="3677">
        <v>0.66101694915254239</v>
      </c>
    </row>
    <row r="595" spans="8:22">
      <c r="H595" s="7180"/>
      <c r="I595" s="7182" t="s">
        <v>2171</v>
      </c>
      <c r="J595" s="3672" t="s">
        <v>2201</v>
      </c>
      <c r="K595" s="3680" t="s">
        <v>257</v>
      </c>
      <c r="L595" s="4050"/>
      <c r="M595" s="3673">
        <v>717</v>
      </c>
      <c r="N595" s="3674">
        <v>130</v>
      </c>
      <c r="O595" s="3639">
        <f t="shared" si="9"/>
        <v>18.131101813110181</v>
      </c>
      <c r="P595" s="3675">
        <v>0.90769230769230769</v>
      </c>
      <c r="Q595" s="3675">
        <v>9.2307692307692299E-2</v>
      </c>
      <c r="R595" s="3677">
        <v>4.2372881355932208E-2</v>
      </c>
      <c r="S595" s="3677">
        <v>4.2372881355932208E-2</v>
      </c>
      <c r="T595" s="3654">
        <v>0.125</v>
      </c>
      <c r="U595" s="3655">
        <v>0</v>
      </c>
      <c r="V595" s="3654">
        <v>0.8125</v>
      </c>
    </row>
    <row r="596" spans="8:22">
      <c r="H596" s="7180"/>
      <c r="I596" s="7183"/>
      <c r="J596" s="3650" t="s">
        <v>2202</v>
      </c>
      <c r="K596" s="7186" t="s">
        <v>243</v>
      </c>
      <c r="L596" s="4047"/>
      <c r="M596" s="3651">
        <v>80</v>
      </c>
      <c r="N596" s="3652">
        <v>22</v>
      </c>
      <c r="O596" s="3638">
        <f t="shared" si="9"/>
        <v>27.5</v>
      </c>
      <c r="P596" s="3653">
        <v>0.72727272727272729</v>
      </c>
      <c r="Q596" s="3653">
        <v>0.27272727272727271</v>
      </c>
      <c r="R596" s="3655">
        <v>0</v>
      </c>
      <c r="S596" s="3654">
        <v>6.25E-2</v>
      </c>
      <c r="T596" s="3654">
        <v>0.1875</v>
      </c>
      <c r="U596" s="3654">
        <v>6.25E-2</v>
      </c>
      <c r="V596" s="3654">
        <v>0.75</v>
      </c>
    </row>
    <row r="597" spans="8:22">
      <c r="H597" s="7180"/>
      <c r="I597" s="7183"/>
      <c r="J597" s="3650" t="s">
        <v>439</v>
      </c>
      <c r="K597" s="7186"/>
      <c r="L597" s="4047"/>
      <c r="M597" s="3651">
        <v>53</v>
      </c>
      <c r="N597" s="3652">
        <v>18</v>
      </c>
      <c r="O597" s="3638">
        <f t="shared" si="9"/>
        <v>33.962264150943398</v>
      </c>
      <c r="P597" s="3653">
        <v>0.88888888888888884</v>
      </c>
      <c r="Q597" s="3653">
        <v>0.1111111111111111</v>
      </c>
      <c r="R597" s="3655">
        <v>0</v>
      </c>
      <c r="S597" s="3655">
        <v>0</v>
      </c>
      <c r="T597" s="3654">
        <v>0.22222222222222221</v>
      </c>
      <c r="U597" s="3655">
        <v>0</v>
      </c>
      <c r="V597" s="3654">
        <v>0.66666666666666674</v>
      </c>
    </row>
    <row r="598" spans="8:22">
      <c r="H598" s="7180"/>
      <c r="I598" s="7183"/>
      <c r="J598" s="3650" t="s">
        <v>2203</v>
      </c>
      <c r="K598" s="7186"/>
      <c r="L598" s="4047"/>
      <c r="M598" s="3651">
        <v>38</v>
      </c>
      <c r="N598" s="3652">
        <v>10</v>
      </c>
      <c r="O598" s="3638">
        <f t="shared" si="9"/>
        <v>26.315789473684209</v>
      </c>
      <c r="P598" s="3653">
        <v>0.9</v>
      </c>
      <c r="Q598" s="3653">
        <v>0.1</v>
      </c>
      <c r="R598" s="3654">
        <v>0.1111111111111111</v>
      </c>
      <c r="S598" s="3655">
        <v>0</v>
      </c>
      <c r="T598" s="3654">
        <v>6.6666666666666666E-2</v>
      </c>
      <c r="U598" s="3654">
        <v>0.24666666666666667</v>
      </c>
      <c r="V598" s="3654">
        <v>0.66</v>
      </c>
    </row>
    <row r="599" spans="8:22">
      <c r="H599" s="7180"/>
      <c r="I599" s="7183"/>
      <c r="J599" s="3650" t="s">
        <v>2204</v>
      </c>
      <c r="K599" s="7186"/>
      <c r="L599" s="4047"/>
      <c r="M599" s="3651">
        <v>263</v>
      </c>
      <c r="N599" s="3652">
        <v>199</v>
      </c>
      <c r="O599" s="3638">
        <f t="shared" si="9"/>
        <v>75.665399239543731</v>
      </c>
      <c r="P599" s="3653">
        <v>0.7587939698492463</v>
      </c>
      <c r="Q599" s="3653">
        <v>0.24120603015075379</v>
      </c>
      <c r="R599" s="3654">
        <v>1.3333333333333332E-2</v>
      </c>
      <c r="S599" s="3654">
        <v>1.3333333333333332E-2</v>
      </c>
      <c r="T599" s="3654">
        <v>7.5471698113207544E-2</v>
      </c>
      <c r="U599" s="3654">
        <v>0.13207547169811321</v>
      </c>
      <c r="V599" s="3654">
        <v>0.7735849056603773</v>
      </c>
    </row>
    <row r="600" spans="8:22">
      <c r="H600" s="7180"/>
      <c r="I600" s="7183"/>
      <c r="J600" s="3650" t="s">
        <v>2205</v>
      </c>
      <c r="K600" s="7186"/>
      <c r="L600" s="4047"/>
      <c r="M600" s="3651">
        <v>152</v>
      </c>
      <c r="N600" s="3652">
        <v>63</v>
      </c>
      <c r="O600" s="3638">
        <f t="shared" si="9"/>
        <v>41.44736842105263</v>
      </c>
      <c r="P600" s="3653">
        <v>0.82539682539682546</v>
      </c>
      <c r="Q600" s="3653">
        <v>0.17460317460317459</v>
      </c>
      <c r="R600" s="3654">
        <v>1.8867924528301886E-2</v>
      </c>
      <c r="S600" s="3655">
        <v>0</v>
      </c>
      <c r="T600" s="3654">
        <v>0.13131313131313133</v>
      </c>
      <c r="U600" s="3654">
        <v>0.31313131313131309</v>
      </c>
      <c r="V600" s="3654">
        <v>0.43434343434343431</v>
      </c>
    </row>
    <row r="601" spans="8:22">
      <c r="H601" s="7180"/>
      <c r="I601" s="7183"/>
      <c r="J601" s="3650" t="s">
        <v>2206</v>
      </c>
      <c r="K601" s="7186"/>
      <c r="L601" s="4047"/>
      <c r="M601" s="3651">
        <v>389</v>
      </c>
      <c r="N601" s="3652">
        <v>160</v>
      </c>
      <c r="O601" s="3638">
        <f t="shared" si="9"/>
        <v>41.131105398457585</v>
      </c>
      <c r="P601" s="3653">
        <v>0.63124999999999998</v>
      </c>
      <c r="Q601" s="3653">
        <v>0.36875000000000002</v>
      </c>
      <c r="R601" s="3654">
        <v>1.0101010101010102E-2</v>
      </c>
      <c r="S601" s="3654">
        <v>0.1111111111111111</v>
      </c>
      <c r="T601" s="3654">
        <v>0.11016949152542374</v>
      </c>
      <c r="U601" s="3654">
        <v>0.1864406779661017</v>
      </c>
      <c r="V601" s="3654">
        <v>0.60169491525423735</v>
      </c>
    </row>
    <row r="602" spans="8:22">
      <c r="H602" s="7180"/>
      <c r="I602" s="7183"/>
      <c r="J602" s="3650" t="s">
        <v>2207</v>
      </c>
      <c r="K602" s="7186"/>
      <c r="L602" s="4047"/>
      <c r="M602" s="3651">
        <v>219</v>
      </c>
      <c r="N602" s="3652">
        <v>165</v>
      </c>
      <c r="O602" s="3638">
        <f t="shared" si="9"/>
        <v>75.342465753424662</v>
      </c>
      <c r="P602" s="3653">
        <v>0.7151515151515152</v>
      </c>
      <c r="Q602" s="3653">
        <v>0.28484848484848485</v>
      </c>
      <c r="R602" s="3654">
        <v>5.9322033898305086E-2</v>
      </c>
      <c r="S602" s="3654">
        <v>4.2372881355932208E-2</v>
      </c>
      <c r="T602" s="3654">
        <v>0.1</v>
      </c>
      <c r="U602" s="3654">
        <v>0.3</v>
      </c>
      <c r="V602" s="3654">
        <v>0.6</v>
      </c>
    </row>
    <row r="603" spans="8:22">
      <c r="H603" s="7180"/>
      <c r="I603" s="7183"/>
      <c r="J603" s="3650" t="s">
        <v>2208</v>
      </c>
      <c r="K603" s="7186"/>
      <c r="L603" s="4047"/>
      <c r="M603" s="3651">
        <v>96</v>
      </c>
      <c r="N603" s="3652">
        <v>45</v>
      </c>
      <c r="O603" s="3638">
        <f t="shared" si="9"/>
        <v>46.875</v>
      </c>
      <c r="P603" s="3653">
        <v>0.22222222222222221</v>
      </c>
      <c r="Q603" s="3653">
        <v>0.77777777777777768</v>
      </c>
      <c r="R603" s="3655">
        <v>0</v>
      </c>
      <c r="S603" s="3655">
        <v>0</v>
      </c>
      <c r="T603" s="3654">
        <v>1</v>
      </c>
      <c r="U603" s="3655">
        <v>0</v>
      </c>
      <c r="V603" s="3655">
        <v>0</v>
      </c>
    </row>
    <row r="604" spans="8:22">
      <c r="H604" s="7180"/>
      <c r="I604" s="7183"/>
      <c r="J604" s="3650" t="s">
        <v>272</v>
      </c>
      <c r="K604" s="7186" t="s">
        <v>244</v>
      </c>
      <c r="L604" s="4047"/>
      <c r="M604" s="3651">
        <v>19</v>
      </c>
      <c r="N604" s="3652">
        <v>4</v>
      </c>
      <c r="O604" s="3638">
        <f t="shared" si="9"/>
        <v>21.05263157894737</v>
      </c>
      <c r="P604" s="3653">
        <v>0.25</v>
      </c>
      <c r="Q604" s="3653">
        <v>0.75</v>
      </c>
      <c r="R604" s="3655">
        <v>0</v>
      </c>
      <c r="S604" s="3655">
        <v>0</v>
      </c>
      <c r="T604" s="3654">
        <v>4.4247787610619468E-2</v>
      </c>
      <c r="U604" s="3654">
        <v>0.21238938053097345</v>
      </c>
      <c r="V604" s="3654">
        <v>0.73451327433628322</v>
      </c>
    </row>
    <row r="605" spans="8:22" ht="15" customHeight="1">
      <c r="H605" s="7180"/>
      <c r="I605" s="7183"/>
      <c r="J605" s="3650" t="s">
        <v>2209</v>
      </c>
      <c r="K605" s="7186"/>
      <c r="L605" s="4047"/>
      <c r="M605" s="3651">
        <v>189</v>
      </c>
      <c r="N605" s="3652">
        <v>122</v>
      </c>
      <c r="O605" s="3638">
        <f t="shared" si="9"/>
        <v>64.550264550264544</v>
      </c>
      <c r="P605" s="3653">
        <v>0.92622950819672123</v>
      </c>
      <c r="Q605" s="3653">
        <v>7.3770491803278687E-2</v>
      </c>
      <c r="R605" s="3655">
        <v>0</v>
      </c>
      <c r="S605" s="3681">
        <v>8.8495575221238937E-3</v>
      </c>
      <c r="T605" s="3654">
        <v>8.7719298245614044E-2</v>
      </c>
      <c r="U605" s="3654">
        <v>0.10526315789473685</v>
      </c>
      <c r="V605" s="3654">
        <v>0.77192982456140358</v>
      </c>
    </row>
    <row r="606" spans="8:22">
      <c r="H606" s="7180"/>
      <c r="I606" s="7183"/>
      <c r="J606" s="3650" t="s">
        <v>2210</v>
      </c>
      <c r="K606" s="7186"/>
      <c r="L606" s="4047"/>
      <c r="M606" s="3651">
        <v>213</v>
      </c>
      <c r="N606" s="3652">
        <v>68</v>
      </c>
      <c r="O606" s="3638">
        <f t="shared" si="9"/>
        <v>31.92488262910798</v>
      </c>
      <c r="P606" s="3653">
        <v>0.85294117647058831</v>
      </c>
      <c r="Q606" s="3653">
        <v>0.14705882352941177</v>
      </c>
      <c r="R606" s="3654">
        <v>3.5087719298245612E-2</v>
      </c>
      <c r="S606" s="3655">
        <v>0</v>
      </c>
      <c r="T606" s="3654">
        <v>8.4507042253521125E-2</v>
      </c>
      <c r="U606" s="3654">
        <v>0.18309859154929575</v>
      </c>
      <c r="V606" s="3654">
        <v>0.70422535211267601</v>
      </c>
    </row>
    <row r="607" spans="8:22">
      <c r="H607" s="7180"/>
      <c r="I607" s="7183"/>
      <c r="J607" s="3650" t="s">
        <v>2211</v>
      </c>
      <c r="K607" s="7186"/>
      <c r="L607" s="4047"/>
      <c r="M607" s="3651">
        <v>217</v>
      </c>
      <c r="N607" s="3652">
        <v>79</v>
      </c>
      <c r="O607" s="3638">
        <f t="shared" si="9"/>
        <v>36.405529953917053</v>
      </c>
      <c r="P607" s="3653">
        <v>0.88607594936708867</v>
      </c>
      <c r="Q607" s="3653">
        <v>0.11392405063291139</v>
      </c>
      <c r="R607" s="3655">
        <v>0</v>
      </c>
      <c r="S607" s="3654">
        <v>2.8169014084507039E-2</v>
      </c>
      <c r="T607" s="3654">
        <v>0.13636363636363635</v>
      </c>
      <c r="U607" s="3654">
        <v>9.0909090909090912E-2</v>
      </c>
      <c r="V607" s="3654">
        <v>0.72727272727272729</v>
      </c>
    </row>
    <row r="608" spans="8:22">
      <c r="H608" s="7180"/>
      <c r="I608" s="7183"/>
      <c r="J608" s="3650" t="s">
        <v>2212</v>
      </c>
      <c r="K608" s="7186"/>
      <c r="L608" s="4047"/>
      <c r="M608" s="3651">
        <v>138</v>
      </c>
      <c r="N608" s="3652">
        <v>25</v>
      </c>
      <c r="O608" s="3638">
        <f t="shared" si="9"/>
        <v>18.115942028985508</v>
      </c>
      <c r="P608" s="3653">
        <v>0.88</v>
      </c>
      <c r="Q608" s="3653">
        <v>0.12</v>
      </c>
      <c r="R608" s="3655">
        <v>0</v>
      </c>
      <c r="S608" s="3654">
        <v>4.5454545454545456E-2</v>
      </c>
      <c r="T608" s="3663">
        <v>5.2631578947368425E-2</v>
      </c>
      <c r="U608" s="3663">
        <v>0.31578947368421051</v>
      </c>
      <c r="V608" s="3663">
        <v>0.57894736842105265</v>
      </c>
    </row>
    <row r="609" spans="8:22">
      <c r="H609" s="7180"/>
      <c r="I609" s="7184"/>
      <c r="J609" s="3656" t="s">
        <v>2213</v>
      </c>
      <c r="K609" s="7187"/>
      <c r="L609" s="4048"/>
      <c r="M609" s="3657">
        <v>32</v>
      </c>
      <c r="N609" s="3658">
        <v>24</v>
      </c>
      <c r="O609" s="3659">
        <f t="shared" si="9"/>
        <v>75</v>
      </c>
      <c r="P609" s="3660">
        <v>0.79166666666666674</v>
      </c>
      <c r="Q609" s="3660">
        <v>0.20833333333333331</v>
      </c>
      <c r="R609" s="3662">
        <v>0</v>
      </c>
      <c r="S609" s="3663">
        <v>5.2631578947368425E-2</v>
      </c>
      <c r="T609" s="3649">
        <v>8.3333333333333343E-2</v>
      </c>
      <c r="U609" s="3648">
        <v>0</v>
      </c>
      <c r="V609" s="3649">
        <v>0.69444444444444442</v>
      </c>
    </row>
    <row r="610" spans="8:22">
      <c r="H610" s="7180"/>
      <c r="I610" s="7182" t="s">
        <v>2173</v>
      </c>
      <c r="J610" s="3643" t="s">
        <v>283</v>
      </c>
      <c r="K610" s="7188" t="s">
        <v>257</v>
      </c>
      <c r="L610" s="4046"/>
      <c r="M610" s="3644">
        <v>210</v>
      </c>
      <c r="N610" s="3645">
        <v>54</v>
      </c>
      <c r="O610" s="3646">
        <f t="shared" si="9"/>
        <v>25.714285714285715</v>
      </c>
      <c r="P610" s="3647">
        <v>0.66666666666666674</v>
      </c>
      <c r="Q610" s="3647">
        <v>0.33333333333333337</v>
      </c>
      <c r="R610" s="3649">
        <v>8.3333333333333343E-2</v>
      </c>
      <c r="S610" s="3649">
        <v>0.1388888888888889</v>
      </c>
      <c r="T610" s="3654">
        <v>0.14285714285714288</v>
      </c>
      <c r="U610" s="3655">
        <v>0</v>
      </c>
      <c r="V610" s="3654">
        <v>0.7857142857142857</v>
      </c>
    </row>
    <row r="611" spans="8:22">
      <c r="H611" s="7180"/>
      <c r="I611" s="7183"/>
      <c r="J611" s="3650" t="s">
        <v>284</v>
      </c>
      <c r="K611" s="7186"/>
      <c r="L611" s="4047"/>
      <c r="M611" s="3651">
        <v>99</v>
      </c>
      <c r="N611" s="3652">
        <v>32</v>
      </c>
      <c r="O611" s="3638">
        <f t="shared" si="9"/>
        <v>32.323232323232325</v>
      </c>
      <c r="P611" s="3653">
        <v>0.875</v>
      </c>
      <c r="Q611" s="3653">
        <v>0.125</v>
      </c>
      <c r="R611" s="3655">
        <v>0</v>
      </c>
      <c r="S611" s="3654">
        <v>7.1428571428571438E-2</v>
      </c>
      <c r="T611" s="3654">
        <v>0.10416666666666666</v>
      </c>
      <c r="U611" s="3654">
        <v>0.1875</v>
      </c>
      <c r="V611" s="3654">
        <v>0.58333333333333337</v>
      </c>
    </row>
    <row r="612" spans="8:22">
      <c r="H612" s="7180"/>
      <c r="I612" s="7183"/>
      <c r="J612" s="3650" t="s">
        <v>2080</v>
      </c>
      <c r="K612" s="7186" t="s">
        <v>243</v>
      </c>
      <c r="L612" s="4047"/>
      <c r="M612" s="3651">
        <v>89</v>
      </c>
      <c r="N612" s="3652">
        <v>55</v>
      </c>
      <c r="O612" s="3638">
        <f t="shared" si="9"/>
        <v>61.797752808988761</v>
      </c>
      <c r="P612" s="3653">
        <v>0.87272727272727268</v>
      </c>
      <c r="Q612" s="3653">
        <v>0.12727272727272726</v>
      </c>
      <c r="R612" s="3654">
        <v>6.25E-2</v>
      </c>
      <c r="S612" s="3654">
        <v>6.25E-2</v>
      </c>
      <c r="T612" s="3654">
        <v>0.33333333333333337</v>
      </c>
      <c r="U612" s="3654">
        <v>6.6666666666666666E-2</v>
      </c>
      <c r="V612" s="3654">
        <v>0.5</v>
      </c>
    </row>
    <row r="613" spans="8:22">
      <c r="H613" s="7180"/>
      <c r="I613" s="7183"/>
      <c r="J613" s="3650" t="s">
        <v>2214</v>
      </c>
      <c r="K613" s="7186"/>
      <c r="L613" s="4047"/>
      <c r="M613" s="3651">
        <v>100</v>
      </c>
      <c r="N613" s="3652">
        <v>48</v>
      </c>
      <c r="O613" s="3638">
        <f t="shared" si="9"/>
        <v>48</v>
      </c>
      <c r="P613" s="3653">
        <v>0.64583333333333326</v>
      </c>
      <c r="Q613" s="3653">
        <v>0.35416666666666663</v>
      </c>
      <c r="R613" s="3654">
        <v>3.3333333333333333E-2</v>
      </c>
      <c r="S613" s="3654">
        <v>6.6666666666666666E-2</v>
      </c>
      <c r="T613" s="3655">
        <v>0</v>
      </c>
      <c r="U613" s="3654">
        <v>0.16666666666666669</v>
      </c>
      <c r="V613" s="3654">
        <v>0.66666666666666674</v>
      </c>
    </row>
    <row r="614" spans="8:22">
      <c r="H614" s="7180"/>
      <c r="I614" s="7183"/>
      <c r="J614" s="3650" t="s">
        <v>2215</v>
      </c>
      <c r="K614" s="7186"/>
      <c r="L614" s="4047"/>
      <c r="M614" s="3651">
        <v>22</v>
      </c>
      <c r="N614" s="3652">
        <v>7</v>
      </c>
      <c r="O614" s="3638">
        <f t="shared" si="9"/>
        <v>31.818181818181817</v>
      </c>
      <c r="P614" s="3653">
        <v>0.8571428571428571</v>
      </c>
      <c r="Q614" s="3653">
        <v>0.14285714285714288</v>
      </c>
      <c r="R614" s="3654">
        <v>0.16666666666666669</v>
      </c>
      <c r="S614" s="3655">
        <v>0</v>
      </c>
      <c r="T614" s="3654">
        <v>0.10843373493975904</v>
      </c>
      <c r="U614" s="3654">
        <v>0.13855421686746988</v>
      </c>
      <c r="V614" s="3654">
        <v>0.70481927710843384</v>
      </c>
    </row>
    <row r="615" spans="8:22">
      <c r="H615" s="7180"/>
      <c r="I615" s="7183"/>
      <c r="J615" s="3650" t="s">
        <v>2216</v>
      </c>
      <c r="K615" s="7186"/>
      <c r="L615" s="4047"/>
      <c r="M615" s="3651">
        <v>345</v>
      </c>
      <c r="N615" s="3652">
        <v>265</v>
      </c>
      <c r="O615" s="3638">
        <f t="shared" si="9"/>
        <v>76.811594202898547</v>
      </c>
      <c r="P615" s="3653">
        <v>0.6452830188679245</v>
      </c>
      <c r="Q615" s="3653">
        <v>0.35471698113207545</v>
      </c>
      <c r="R615" s="3654">
        <v>1.8072289156626505E-2</v>
      </c>
      <c r="S615" s="3654">
        <v>3.0120481927710843E-2</v>
      </c>
      <c r="T615" s="3654">
        <v>3.6363636363636362E-2</v>
      </c>
      <c r="U615" s="3654">
        <v>0.10909090909090909</v>
      </c>
      <c r="V615" s="3654">
        <v>0.72727272727272729</v>
      </c>
    </row>
    <row r="616" spans="8:22" ht="15" customHeight="1">
      <c r="H616" s="7180"/>
      <c r="I616" s="7183"/>
      <c r="J616" s="3650" t="s">
        <v>2217</v>
      </c>
      <c r="K616" s="7186"/>
      <c r="L616" s="4047"/>
      <c r="M616" s="3651">
        <v>202</v>
      </c>
      <c r="N616" s="3652">
        <v>106</v>
      </c>
      <c r="O616" s="3638">
        <f t="shared" si="9"/>
        <v>52.475247524752476</v>
      </c>
      <c r="P616" s="3653">
        <v>0.51886792452830188</v>
      </c>
      <c r="Q616" s="3653">
        <v>0.48113207547169812</v>
      </c>
      <c r="R616" s="3654">
        <v>1.8181818181818181E-2</v>
      </c>
      <c r="S616" s="3654">
        <v>0.10909090909090909</v>
      </c>
      <c r="T616" s="3654">
        <v>7.8431372549019607E-2</v>
      </c>
      <c r="U616" s="3654">
        <v>0.17647058823529413</v>
      </c>
      <c r="V616" s="3654">
        <v>0.62745098039215685</v>
      </c>
    </row>
    <row r="617" spans="8:22">
      <c r="H617" s="7180"/>
      <c r="I617" s="7183"/>
      <c r="J617" s="3650" t="s">
        <v>286</v>
      </c>
      <c r="K617" s="7186"/>
      <c r="L617" s="4047"/>
      <c r="M617" s="3651">
        <v>166</v>
      </c>
      <c r="N617" s="3652">
        <v>65</v>
      </c>
      <c r="O617" s="3638">
        <f t="shared" ref="O617:O658" si="10">N617*100/M617</f>
        <v>39.156626506024097</v>
      </c>
      <c r="P617" s="3653">
        <v>0.78461538461538471</v>
      </c>
      <c r="Q617" s="3653">
        <v>0.2153846153846154</v>
      </c>
      <c r="R617" s="3654">
        <v>3.9215686274509803E-2</v>
      </c>
      <c r="S617" s="3654">
        <v>7.8431372549019607E-2</v>
      </c>
      <c r="T617" s="3654">
        <v>0.10204081632653061</v>
      </c>
      <c r="U617" s="3654">
        <v>0.14285714285714288</v>
      </c>
      <c r="V617" s="3654">
        <v>0.67346938775510212</v>
      </c>
    </row>
    <row r="618" spans="8:22">
      <c r="H618" s="7180"/>
      <c r="I618" s="7183"/>
      <c r="J618" s="3650" t="s">
        <v>128</v>
      </c>
      <c r="K618" s="7186" t="s">
        <v>244</v>
      </c>
      <c r="L618" s="4047"/>
      <c r="M618" s="3651">
        <v>198</v>
      </c>
      <c r="N618" s="3652">
        <v>63</v>
      </c>
      <c r="O618" s="3638">
        <f t="shared" si="10"/>
        <v>31.818181818181817</v>
      </c>
      <c r="P618" s="3653">
        <v>0.77777777777777768</v>
      </c>
      <c r="Q618" s="3653">
        <v>0.22222222222222221</v>
      </c>
      <c r="R618" s="3654">
        <v>4.0816326530612249E-2</v>
      </c>
      <c r="S618" s="3654">
        <v>4.0816326530612249E-2</v>
      </c>
      <c r="T618" s="3654">
        <v>0.10869565217391304</v>
      </c>
      <c r="U618" s="3654">
        <v>0.17391304347826086</v>
      </c>
      <c r="V618" s="3654">
        <v>0.69565217391304346</v>
      </c>
    </row>
    <row r="619" spans="8:22" ht="15" customHeight="1">
      <c r="H619" s="7180"/>
      <c r="I619" s="7183"/>
      <c r="J619" s="3650" t="s">
        <v>129</v>
      </c>
      <c r="K619" s="7186"/>
      <c r="L619" s="4047"/>
      <c r="M619" s="3651">
        <v>95</v>
      </c>
      <c r="N619" s="3652">
        <v>54</v>
      </c>
      <c r="O619" s="3638">
        <f t="shared" si="10"/>
        <v>56.842105263157897</v>
      </c>
      <c r="P619" s="3653">
        <v>0.88888888888888884</v>
      </c>
      <c r="Q619" s="3653">
        <v>0.1111111111111111</v>
      </c>
      <c r="R619" s="3654">
        <v>2.1739130434782608E-2</v>
      </c>
      <c r="S619" s="3655">
        <v>0</v>
      </c>
      <c r="T619" s="3682">
        <v>0</v>
      </c>
      <c r="U619" s="3682">
        <v>6.5000000000000002E-2</v>
      </c>
      <c r="V619" s="3682">
        <v>0.91800000000000004</v>
      </c>
    </row>
    <row r="620" spans="8:22">
      <c r="H620" s="7181"/>
      <c r="I620" s="7184"/>
      <c r="J620" s="3666" t="s">
        <v>381</v>
      </c>
      <c r="K620" s="7189"/>
      <c r="L620" s="4049"/>
      <c r="M620" s="3667">
        <v>334</v>
      </c>
      <c r="N620" s="3668">
        <v>190</v>
      </c>
      <c r="O620" s="3640">
        <f t="shared" si="10"/>
        <v>56.886227544910177</v>
      </c>
      <c r="P620" s="3669">
        <v>0.97399999999999998</v>
      </c>
      <c r="Q620" s="3669">
        <v>2.5999999999999999E-2</v>
      </c>
      <c r="R620" s="3670">
        <v>0</v>
      </c>
      <c r="S620" s="3682">
        <v>1.6E-2</v>
      </c>
      <c r="T620" s="3677">
        <v>4.6875E-2</v>
      </c>
      <c r="U620" s="3677">
        <v>0.109375</v>
      </c>
      <c r="V620" s="3677">
        <v>0.828125</v>
      </c>
    </row>
    <row r="621" spans="8:22" ht="15" customHeight="1">
      <c r="H621" s="7179" t="s">
        <v>48</v>
      </c>
      <c r="I621" s="7182" t="s">
        <v>2171</v>
      </c>
      <c r="J621" s="3672" t="s">
        <v>2218</v>
      </c>
      <c r="K621" s="7185" t="s">
        <v>257</v>
      </c>
      <c r="L621" s="4050"/>
      <c r="M621" s="3673">
        <v>154</v>
      </c>
      <c r="N621" s="3674">
        <v>78</v>
      </c>
      <c r="O621" s="3639">
        <f t="shared" si="10"/>
        <v>50.649350649350652</v>
      </c>
      <c r="P621" s="3675">
        <v>0.80769230769230771</v>
      </c>
      <c r="Q621" s="3675">
        <v>0.19230769230769229</v>
      </c>
      <c r="R621" s="3676">
        <v>0</v>
      </c>
      <c r="S621" s="3677">
        <v>1.5625E-2</v>
      </c>
      <c r="T621" s="3654">
        <v>7.1428571428571438E-2</v>
      </c>
      <c r="U621" s="3654">
        <v>0.10204081632653061</v>
      </c>
      <c r="V621" s="3654">
        <v>0.76530612244897955</v>
      </c>
    </row>
    <row r="622" spans="8:22">
      <c r="H622" s="7180"/>
      <c r="I622" s="7183"/>
      <c r="J622" s="3650" t="s">
        <v>2219</v>
      </c>
      <c r="K622" s="7186"/>
      <c r="L622" s="4047"/>
      <c r="M622" s="3651">
        <v>245</v>
      </c>
      <c r="N622" s="3652">
        <v>129</v>
      </c>
      <c r="O622" s="3638">
        <f t="shared" si="10"/>
        <v>52.653061224489797</v>
      </c>
      <c r="P622" s="3653">
        <v>0.76744186046511631</v>
      </c>
      <c r="Q622" s="3653">
        <v>0.23255813953488372</v>
      </c>
      <c r="R622" s="3654">
        <v>2.0408163265306124E-2</v>
      </c>
      <c r="S622" s="3654">
        <v>4.0816326530612249E-2</v>
      </c>
      <c r="T622" s="3654">
        <v>0.11764705882352942</v>
      </c>
      <c r="U622" s="3654">
        <v>5.8823529411764712E-2</v>
      </c>
      <c r="V622" s="3654">
        <v>0.76470588235294112</v>
      </c>
    </row>
    <row r="623" spans="8:22">
      <c r="H623" s="7180"/>
      <c r="I623" s="7183"/>
      <c r="J623" s="3650" t="s">
        <v>2220</v>
      </c>
      <c r="K623" s="7186" t="s">
        <v>243</v>
      </c>
      <c r="L623" s="4047"/>
      <c r="M623" s="3651">
        <v>86</v>
      </c>
      <c r="N623" s="3652">
        <v>22</v>
      </c>
      <c r="O623" s="3638">
        <f t="shared" si="10"/>
        <v>25.581395348837209</v>
      </c>
      <c r="P623" s="3653">
        <v>0.81818181818181812</v>
      </c>
      <c r="Q623" s="3653">
        <v>0.18181818181818182</v>
      </c>
      <c r="R623" s="3655">
        <v>0</v>
      </c>
      <c r="S623" s="3654">
        <v>5.8823529411764712E-2</v>
      </c>
      <c r="T623" s="3654">
        <v>6.8965517241379309E-2</v>
      </c>
      <c r="U623" s="3654">
        <v>6.8965517241379309E-2</v>
      </c>
      <c r="V623" s="3654">
        <v>0.7931034482758621</v>
      </c>
    </row>
    <row r="624" spans="8:22">
      <c r="H624" s="7180"/>
      <c r="I624" s="7183"/>
      <c r="J624" s="3650" t="s">
        <v>442</v>
      </c>
      <c r="K624" s="7186"/>
      <c r="L624" s="4047"/>
      <c r="M624" s="3651">
        <v>115</v>
      </c>
      <c r="N624" s="3652">
        <v>37</v>
      </c>
      <c r="O624" s="3638">
        <f t="shared" si="10"/>
        <v>32.173913043478258</v>
      </c>
      <c r="P624" s="3653">
        <v>0.78378378378378377</v>
      </c>
      <c r="Q624" s="3653">
        <v>0.2162162162162162</v>
      </c>
      <c r="R624" s="3654">
        <v>6.8965517241379309E-2</v>
      </c>
      <c r="S624" s="3655">
        <v>0</v>
      </c>
      <c r="T624" s="3654">
        <v>0.13636363636363635</v>
      </c>
      <c r="U624" s="3654">
        <v>0.22727272727272727</v>
      </c>
      <c r="V624" s="3654">
        <v>0.62121212121212122</v>
      </c>
    </row>
    <row r="625" spans="8:22">
      <c r="H625" s="7180"/>
      <c r="I625" s="7183"/>
      <c r="J625" s="3650" t="s">
        <v>382</v>
      </c>
      <c r="K625" s="7186"/>
      <c r="L625" s="4047"/>
      <c r="M625" s="3651">
        <v>142</v>
      </c>
      <c r="N625" s="3652">
        <v>76</v>
      </c>
      <c r="O625" s="3638">
        <f t="shared" si="10"/>
        <v>53.521126760563384</v>
      </c>
      <c r="P625" s="3653">
        <v>0.86842105263157887</v>
      </c>
      <c r="Q625" s="3653">
        <v>0.13157894736842105</v>
      </c>
      <c r="R625" s="3654">
        <v>1.5151515151515152E-2</v>
      </c>
      <c r="S625" s="3655">
        <v>0</v>
      </c>
      <c r="T625" s="3654">
        <v>6.1538461538461542E-2</v>
      </c>
      <c r="U625" s="3654">
        <v>0.2153846153846154</v>
      </c>
      <c r="V625" s="3654">
        <v>0.69230769230769229</v>
      </c>
    </row>
    <row r="626" spans="8:22">
      <c r="H626" s="7180"/>
      <c r="I626" s="7183"/>
      <c r="J626" s="3650" t="s">
        <v>2221</v>
      </c>
      <c r="K626" s="7186"/>
      <c r="L626" s="4047"/>
      <c r="M626" s="3651">
        <v>141</v>
      </c>
      <c r="N626" s="3652">
        <v>78</v>
      </c>
      <c r="O626" s="3638">
        <f t="shared" si="10"/>
        <v>55.319148936170215</v>
      </c>
      <c r="P626" s="3653">
        <v>0.84615384615384615</v>
      </c>
      <c r="Q626" s="3653">
        <v>0.15384615384615385</v>
      </c>
      <c r="R626" s="3655">
        <v>0</v>
      </c>
      <c r="S626" s="3654">
        <v>3.0769230769230771E-2</v>
      </c>
      <c r="T626" s="3654">
        <v>0.5</v>
      </c>
      <c r="U626" s="3655">
        <v>0</v>
      </c>
      <c r="V626" s="3655">
        <v>0</v>
      </c>
    </row>
    <row r="627" spans="8:22">
      <c r="H627" s="7180"/>
      <c r="I627" s="7183"/>
      <c r="J627" s="3650" t="s">
        <v>2222</v>
      </c>
      <c r="K627" s="7186"/>
      <c r="L627" s="4047"/>
      <c r="M627" s="3651">
        <v>101</v>
      </c>
      <c r="N627" s="3652">
        <v>2</v>
      </c>
      <c r="O627" s="3638">
        <f t="shared" si="10"/>
        <v>1.9801980198019802</v>
      </c>
      <c r="P627" s="3653">
        <v>1</v>
      </c>
      <c r="Q627" s="3665">
        <v>0</v>
      </c>
      <c r="R627" s="3655">
        <v>0</v>
      </c>
      <c r="S627" s="3654">
        <v>0.5</v>
      </c>
      <c r="T627" s="3654">
        <v>0.13924050632911392</v>
      </c>
      <c r="U627" s="3654">
        <v>0.25316455696202533</v>
      </c>
      <c r="V627" s="3654">
        <v>0.58227848101265822</v>
      </c>
    </row>
    <row r="628" spans="8:22">
      <c r="H628" s="7180"/>
      <c r="I628" s="7183"/>
      <c r="J628" s="3650" t="s">
        <v>288</v>
      </c>
      <c r="K628" s="7186"/>
      <c r="L628" s="4047"/>
      <c r="M628" s="3651">
        <v>140</v>
      </c>
      <c r="N628" s="3652">
        <v>95</v>
      </c>
      <c r="O628" s="3638">
        <f t="shared" si="10"/>
        <v>67.857142857142861</v>
      </c>
      <c r="P628" s="3653">
        <v>0.83157894736842108</v>
      </c>
      <c r="Q628" s="3653">
        <v>0.16842105263157894</v>
      </c>
      <c r="R628" s="3655">
        <v>0</v>
      </c>
      <c r="S628" s="3654">
        <v>2.5316455696202535E-2</v>
      </c>
      <c r="T628" s="3655">
        <v>0</v>
      </c>
      <c r="U628" s="3655">
        <v>0</v>
      </c>
      <c r="V628" s="3654">
        <v>1</v>
      </c>
    </row>
    <row r="629" spans="8:22">
      <c r="H629" s="7180"/>
      <c r="I629" s="7183"/>
      <c r="J629" s="3650" t="s">
        <v>2223</v>
      </c>
      <c r="K629" s="7186"/>
      <c r="L629" s="4047"/>
      <c r="M629" s="3651">
        <v>21</v>
      </c>
      <c r="N629" s="3652">
        <v>4</v>
      </c>
      <c r="O629" s="3638">
        <f t="shared" si="10"/>
        <v>19.047619047619047</v>
      </c>
      <c r="P629" s="3653">
        <v>1</v>
      </c>
      <c r="Q629" s="3665">
        <v>0</v>
      </c>
      <c r="R629" s="3655">
        <v>0</v>
      </c>
      <c r="S629" s="3655">
        <v>0</v>
      </c>
      <c r="T629" s="3654">
        <v>0.12048192771084337</v>
      </c>
      <c r="U629" s="3654">
        <v>0.24096385542168675</v>
      </c>
      <c r="V629" s="3654">
        <v>0.5662650602409639</v>
      </c>
    </row>
    <row r="630" spans="8:22">
      <c r="H630" s="7180"/>
      <c r="I630" s="7183"/>
      <c r="J630" s="3650" t="s">
        <v>289</v>
      </c>
      <c r="K630" s="7186"/>
      <c r="L630" s="4047"/>
      <c r="M630" s="3651">
        <v>123</v>
      </c>
      <c r="N630" s="3652">
        <v>93</v>
      </c>
      <c r="O630" s="3638">
        <f t="shared" si="10"/>
        <v>75.609756097560975</v>
      </c>
      <c r="P630" s="3653">
        <v>0.89247311827956988</v>
      </c>
      <c r="Q630" s="3653">
        <v>0.1075268817204301</v>
      </c>
      <c r="R630" s="3654">
        <v>4.8192771084337352E-2</v>
      </c>
      <c r="S630" s="3654">
        <v>2.4096385542168676E-2</v>
      </c>
      <c r="T630" s="3654">
        <v>0.13600000000000001</v>
      </c>
      <c r="U630" s="3654">
        <v>0.254</v>
      </c>
      <c r="V630" s="3654">
        <v>0.54200000000000004</v>
      </c>
    </row>
    <row r="631" spans="8:22" ht="15" customHeight="1">
      <c r="H631" s="7180"/>
      <c r="I631" s="7183"/>
      <c r="J631" s="3650" t="s">
        <v>443</v>
      </c>
      <c r="K631" s="7186"/>
      <c r="L631" s="4047"/>
      <c r="M631" s="3651">
        <v>95</v>
      </c>
      <c r="N631" s="3652">
        <v>82</v>
      </c>
      <c r="O631" s="3638">
        <f t="shared" si="10"/>
        <v>86.315789473684205</v>
      </c>
      <c r="P631" s="3653">
        <v>0.74399999999999999</v>
      </c>
      <c r="Q631" s="3653">
        <v>0.25600000000000001</v>
      </c>
      <c r="R631" s="3654">
        <v>3.4000000000000002E-2</v>
      </c>
      <c r="S631" s="3654">
        <v>3.4000000000000002E-2</v>
      </c>
      <c r="T631" s="3655">
        <v>0</v>
      </c>
      <c r="U631" s="3655">
        <v>0</v>
      </c>
      <c r="V631" s="3654">
        <v>0.8571428571428571</v>
      </c>
    </row>
    <row r="632" spans="8:22">
      <c r="H632" s="7180"/>
      <c r="I632" s="7183"/>
      <c r="J632" s="3650" t="s">
        <v>2224</v>
      </c>
      <c r="K632" s="7186"/>
      <c r="L632" s="4047"/>
      <c r="M632" s="3651">
        <v>18</v>
      </c>
      <c r="N632" s="3652">
        <v>12</v>
      </c>
      <c r="O632" s="3638">
        <f t="shared" si="10"/>
        <v>66.666666666666671</v>
      </c>
      <c r="P632" s="3653">
        <v>0.58333333333333337</v>
      </c>
      <c r="Q632" s="3653">
        <v>0.41666666666666663</v>
      </c>
      <c r="R632" s="3655">
        <v>0</v>
      </c>
      <c r="S632" s="3654">
        <v>0.14285714285714288</v>
      </c>
      <c r="T632" s="3655">
        <v>0</v>
      </c>
      <c r="U632" s="3655">
        <v>0</v>
      </c>
      <c r="V632" s="3655">
        <v>0</v>
      </c>
    </row>
    <row r="633" spans="8:22">
      <c r="H633" s="7180"/>
      <c r="I633" s="7183"/>
      <c r="J633" s="3650" t="s">
        <v>2225</v>
      </c>
      <c r="K633" s="7186"/>
      <c r="L633" s="4047"/>
      <c r="M633" s="3651">
        <v>266</v>
      </c>
      <c r="N633" s="3652">
        <v>2</v>
      </c>
      <c r="O633" s="3638">
        <f t="shared" si="10"/>
        <v>0.75187969924812026</v>
      </c>
      <c r="P633" s="3665">
        <v>0</v>
      </c>
      <c r="Q633" s="3653">
        <v>1</v>
      </c>
      <c r="R633" s="3655">
        <v>0</v>
      </c>
      <c r="S633" s="3655">
        <v>0</v>
      </c>
      <c r="T633" s="3655">
        <v>0</v>
      </c>
      <c r="U633" s="3654">
        <v>0.75</v>
      </c>
      <c r="V633" s="3654">
        <v>0.125</v>
      </c>
    </row>
    <row r="634" spans="8:22">
      <c r="H634" s="7180"/>
      <c r="I634" s="7183"/>
      <c r="J634" s="3650" t="s">
        <v>2082</v>
      </c>
      <c r="K634" s="7186"/>
      <c r="L634" s="4047"/>
      <c r="M634" s="3651">
        <v>23</v>
      </c>
      <c r="N634" s="3652">
        <v>10</v>
      </c>
      <c r="O634" s="3638">
        <f t="shared" si="10"/>
        <v>43.478260869565219</v>
      </c>
      <c r="P634" s="3653">
        <v>0.7</v>
      </c>
      <c r="Q634" s="3653">
        <v>0.3</v>
      </c>
      <c r="R634" s="3655">
        <v>0</v>
      </c>
      <c r="S634" s="3654">
        <v>0.125</v>
      </c>
      <c r="T634" s="3654">
        <v>7.1428571428571438E-2</v>
      </c>
      <c r="U634" s="3654">
        <v>0.14285714285714288</v>
      </c>
      <c r="V634" s="3654">
        <v>0.57142857142857151</v>
      </c>
    </row>
    <row r="635" spans="8:22">
      <c r="H635" s="7180"/>
      <c r="I635" s="7183"/>
      <c r="J635" s="3650" t="s">
        <v>290</v>
      </c>
      <c r="K635" s="7186"/>
      <c r="L635" s="4047"/>
      <c r="M635" s="3651">
        <v>53</v>
      </c>
      <c r="N635" s="3652">
        <v>17</v>
      </c>
      <c r="O635" s="3638">
        <f t="shared" si="10"/>
        <v>32.075471698113205</v>
      </c>
      <c r="P635" s="3653">
        <v>0.82352941176470595</v>
      </c>
      <c r="Q635" s="3653">
        <v>0.17647058823529413</v>
      </c>
      <c r="R635" s="3654">
        <v>7.1428571428571438E-2</v>
      </c>
      <c r="S635" s="3654">
        <v>0.14285714285714288</v>
      </c>
      <c r="T635" s="3664">
        <v>0.01</v>
      </c>
      <c r="U635" s="3664">
        <v>0.11899999999999999</v>
      </c>
      <c r="V635" s="3664">
        <v>0.84199999999999997</v>
      </c>
    </row>
    <row r="636" spans="8:22">
      <c r="H636" s="7180"/>
      <c r="I636" s="7183"/>
      <c r="J636" s="3650" t="s">
        <v>291</v>
      </c>
      <c r="K636" s="7186" t="s">
        <v>244</v>
      </c>
      <c r="L636" s="4047"/>
      <c r="M636" s="3651">
        <v>344</v>
      </c>
      <c r="N636" s="3652">
        <v>103</v>
      </c>
      <c r="O636" s="3638">
        <f t="shared" si="10"/>
        <v>29.941860465116278</v>
      </c>
      <c r="P636" s="3678">
        <v>0.96099999999999997</v>
      </c>
      <c r="Q636" s="3678">
        <v>3.9E-2</v>
      </c>
      <c r="R636" s="3664">
        <v>0.03</v>
      </c>
      <c r="S636" s="3664">
        <v>0</v>
      </c>
      <c r="T636" s="3655">
        <v>0</v>
      </c>
      <c r="U636" s="3654">
        <v>0.1875</v>
      </c>
      <c r="V636" s="3654">
        <v>0.8125</v>
      </c>
    </row>
    <row r="637" spans="8:22">
      <c r="H637" s="7180"/>
      <c r="I637" s="7183"/>
      <c r="J637" s="3650" t="s">
        <v>2226</v>
      </c>
      <c r="K637" s="7186"/>
      <c r="L637" s="4047"/>
      <c r="M637" s="3651">
        <v>18</v>
      </c>
      <c r="N637" s="3652">
        <v>17</v>
      </c>
      <c r="O637" s="3638">
        <f t="shared" si="10"/>
        <v>94.444444444444443</v>
      </c>
      <c r="P637" s="3653">
        <v>0.94117647058823539</v>
      </c>
      <c r="Q637" s="3653">
        <v>5.8823529411764712E-2</v>
      </c>
      <c r="R637" s="3655">
        <v>0</v>
      </c>
      <c r="S637" s="3655">
        <v>0</v>
      </c>
      <c r="T637" s="3663">
        <v>0.26315789473684209</v>
      </c>
      <c r="U637" s="3663">
        <v>0.15789473684210525</v>
      </c>
      <c r="V637" s="3663">
        <v>0.57894736842105265</v>
      </c>
    </row>
    <row r="638" spans="8:22">
      <c r="H638" s="7180"/>
      <c r="I638" s="7184"/>
      <c r="J638" s="3656" t="s">
        <v>2227</v>
      </c>
      <c r="K638" s="7187"/>
      <c r="L638" s="4048"/>
      <c r="M638" s="3657">
        <v>61</v>
      </c>
      <c r="N638" s="3658">
        <v>20</v>
      </c>
      <c r="O638" s="3659">
        <f t="shared" si="10"/>
        <v>32.786885245901637</v>
      </c>
      <c r="P638" s="3660">
        <v>0.95</v>
      </c>
      <c r="Q638" s="3660">
        <v>0.05</v>
      </c>
      <c r="R638" s="3662">
        <v>0</v>
      </c>
      <c r="S638" s="3662">
        <v>0</v>
      </c>
      <c r="T638" s="3649">
        <v>0.12307692307692308</v>
      </c>
      <c r="U638" s="3649">
        <v>9.2307692307692299E-2</v>
      </c>
      <c r="V638" s="3649">
        <v>0.75384615384615383</v>
      </c>
    </row>
    <row r="639" spans="8:22">
      <c r="H639" s="7180"/>
      <c r="I639" s="7182" t="s">
        <v>2173</v>
      </c>
      <c r="J639" s="3643" t="s">
        <v>2228</v>
      </c>
      <c r="K639" s="7188" t="s">
        <v>257</v>
      </c>
      <c r="L639" s="4046"/>
      <c r="M639" s="3644">
        <v>108</v>
      </c>
      <c r="N639" s="3645">
        <v>78</v>
      </c>
      <c r="O639" s="3646">
        <f t="shared" si="10"/>
        <v>72.222222222222229</v>
      </c>
      <c r="P639" s="3647">
        <v>0.8205128205128206</v>
      </c>
      <c r="Q639" s="3647">
        <v>0.17948717948717949</v>
      </c>
      <c r="R639" s="3648">
        <v>0</v>
      </c>
      <c r="S639" s="3649">
        <v>3.0769230769230771E-2</v>
      </c>
      <c r="T639" s="3654">
        <v>0.16666666666666669</v>
      </c>
      <c r="U639" s="3654">
        <v>0.16666666666666669</v>
      </c>
      <c r="V639" s="3654">
        <v>0.66666666666666674</v>
      </c>
    </row>
    <row r="640" spans="8:22">
      <c r="H640" s="7180"/>
      <c r="I640" s="7183"/>
      <c r="J640" s="3650" t="s">
        <v>445</v>
      </c>
      <c r="K640" s="7186"/>
      <c r="L640" s="4047"/>
      <c r="M640" s="3651">
        <v>76</v>
      </c>
      <c r="N640" s="3652">
        <v>6</v>
      </c>
      <c r="O640" s="3638">
        <f t="shared" si="10"/>
        <v>7.8947368421052628</v>
      </c>
      <c r="P640" s="3653">
        <v>1</v>
      </c>
      <c r="Q640" s="3665">
        <v>0</v>
      </c>
      <c r="R640" s="3655">
        <v>0</v>
      </c>
      <c r="S640" s="3655">
        <v>0</v>
      </c>
      <c r="T640" s="3654">
        <v>3.3333333333333333E-2</v>
      </c>
      <c r="U640" s="3654">
        <v>0.13333333333333333</v>
      </c>
      <c r="V640" s="3654">
        <v>0.7</v>
      </c>
    </row>
    <row r="641" spans="8:22">
      <c r="H641" s="7180"/>
      <c r="I641" s="7183"/>
      <c r="J641" s="3650" t="s">
        <v>2229</v>
      </c>
      <c r="K641" s="7186"/>
      <c r="L641" s="4047"/>
      <c r="M641" s="3651">
        <v>45</v>
      </c>
      <c r="N641" s="3652">
        <v>30</v>
      </c>
      <c r="O641" s="3638">
        <f t="shared" si="10"/>
        <v>66.666666666666671</v>
      </c>
      <c r="P641" s="3653">
        <v>1</v>
      </c>
      <c r="Q641" s="3665">
        <v>0</v>
      </c>
      <c r="R641" s="3654">
        <v>6.6666666666666666E-2</v>
      </c>
      <c r="S641" s="3654">
        <v>6.6666666666666666E-2</v>
      </c>
      <c r="T641" s="3655">
        <v>0</v>
      </c>
      <c r="U641" s="3655">
        <v>0</v>
      </c>
      <c r="V641" s="3654">
        <v>0.9</v>
      </c>
    </row>
    <row r="642" spans="8:22">
      <c r="H642" s="7180"/>
      <c r="I642" s="7183"/>
      <c r="J642" s="3650" t="s">
        <v>2230</v>
      </c>
      <c r="K642" s="7186"/>
      <c r="L642" s="4047"/>
      <c r="M642" s="3651">
        <v>30</v>
      </c>
      <c r="N642" s="3652">
        <v>12</v>
      </c>
      <c r="O642" s="3638">
        <f t="shared" si="10"/>
        <v>40</v>
      </c>
      <c r="P642" s="3653">
        <v>0.83333333333333326</v>
      </c>
      <c r="Q642" s="3653">
        <v>0.16666666666666669</v>
      </c>
      <c r="R642" s="3654">
        <v>0.1</v>
      </c>
      <c r="S642" s="3655">
        <v>0</v>
      </c>
      <c r="T642" s="3654">
        <v>6.0606060606060608E-2</v>
      </c>
      <c r="U642" s="3654">
        <v>0.2121212121212121</v>
      </c>
      <c r="V642" s="3654">
        <v>0.66666666666666674</v>
      </c>
    </row>
    <row r="643" spans="8:22">
      <c r="H643" s="7180"/>
      <c r="I643" s="7183"/>
      <c r="J643" s="3650" t="s">
        <v>2231</v>
      </c>
      <c r="K643" s="7186" t="s">
        <v>243</v>
      </c>
      <c r="L643" s="4047"/>
      <c r="M643" s="3651">
        <v>197</v>
      </c>
      <c r="N643" s="3652">
        <v>40</v>
      </c>
      <c r="O643" s="3638">
        <f t="shared" si="10"/>
        <v>20.304568527918782</v>
      </c>
      <c r="P643" s="3653">
        <v>0.8</v>
      </c>
      <c r="Q643" s="3653">
        <v>0.2</v>
      </c>
      <c r="R643" s="3655">
        <v>0</v>
      </c>
      <c r="S643" s="3654">
        <v>6.0606060606060608E-2</v>
      </c>
      <c r="T643" s="3654">
        <v>0.17299999999999999</v>
      </c>
      <c r="U643" s="3654">
        <v>0.22800000000000001</v>
      </c>
      <c r="V643" s="3654">
        <v>0.52800000000000002</v>
      </c>
    </row>
    <row r="644" spans="8:22">
      <c r="H644" s="7180"/>
      <c r="I644" s="7183"/>
      <c r="J644" s="3650" t="s">
        <v>293</v>
      </c>
      <c r="K644" s="7186"/>
      <c r="L644" s="4047"/>
      <c r="M644" s="3651">
        <v>203</v>
      </c>
      <c r="N644" s="3652">
        <v>142</v>
      </c>
      <c r="O644" s="3638">
        <f t="shared" si="10"/>
        <v>69.950738916256157</v>
      </c>
      <c r="P644" s="3653">
        <v>0.89400000000000002</v>
      </c>
      <c r="Q644" s="3653">
        <v>0.106</v>
      </c>
      <c r="R644" s="3654">
        <v>3.1E-2</v>
      </c>
      <c r="S644" s="3654">
        <v>3.9E-2</v>
      </c>
      <c r="T644" s="3654">
        <v>0.17499999999999999</v>
      </c>
      <c r="U644" s="3654">
        <v>0.23749999999999999</v>
      </c>
      <c r="V644" s="3654">
        <v>0.47499999999999998</v>
      </c>
    </row>
    <row r="645" spans="8:22">
      <c r="H645" s="7180"/>
      <c r="I645" s="7183"/>
      <c r="J645" s="3650" t="s">
        <v>665</v>
      </c>
      <c r="K645" s="7186"/>
      <c r="L645" s="4047"/>
      <c r="M645" s="3651">
        <v>117</v>
      </c>
      <c r="N645" s="3652">
        <v>109</v>
      </c>
      <c r="O645" s="3638">
        <f t="shared" si="10"/>
        <v>93.162393162393158</v>
      </c>
      <c r="P645" s="3653">
        <v>0.75229357798165142</v>
      </c>
      <c r="Q645" s="3653">
        <v>0.24770642201834864</v>
      </c>
      <c r="R645" s="3654">
        <v>3.7499999999999999E-2</v>
      </c>
      <c r="S645" s="3654">
        <v>7.4999999999999997E-2</v>
      </c>
      <c r="T645" s="3655">
        <v>0</v>
      </c>
      <c r="U645" s="3655">
        <v>0</v>
      </c>
      <c r="V645" s="3654">
        <v>1</v>
      </c>
    </row>
    <row r="646" spans="8:22">
      <c r="H646" s="7180"/>
      <c r="I646" s="7183"/>
      <c r="J646" s="3650" t="s">
        <v>330</v>
      </c>
      <c r="K646" s="7186"/>
      <c r="L646" s="4047"/>
      <c r="M646" s="3651">
        <v>24</v>
      </c>
      <c r="N646" s="3652">
        <v>3</v>
      </c>
      <c r="O646" s="3638">
        <f t="shared" si="10"/>
        <v>12.5</v>
      </c>
      <c r="P646" s="3653">
        <v>0.66666666666666674</v>
      </c>
      <c r="Q646" s="3653">
        <v>0.33333333333333337</v>
      </c>
      <c r="R646" s="3655">
        <v>0</v>
      </c>
      <c r="S646" s="3655">
        <v>0</v>
      </c>
      <c r="T646" s="3654">
        <v>9.5238095238095233E-2</v>
      </c>
      <c r="U646" s="3654">
        <v>0.28571428571428575</v>
      </c>
      <c r="V646" s="3654">
        <v>0.59523809523809523</v>
      </c>
    </row>
    <row r="647" spans="8:22">
      <c r="H647" s="7180"/>
      <c r="I647" s="7183"/>
      <c r="J647" s="3650" t="s">
        <v>295</v>
      </c>
      <c r="K647" s="7186"/>
      <c r="L647" s="4047"/>
      <c r="M647" s="3651">
        <v>157</v>
      </c>
      <c r="N647" s="3652">
        <v>108</v>
      </c>
      <c r="O647" s="3638">
        <f t="shared" si="10"/>
        <v>68.789808917197448</v>
      </c>
      <c r="P647" s="3653">
        <v>0.77777777777777768</v>
      </c>
      <c r="Q647" s="3653">
        <v>0.22222222222222221</v>
      </c>
      <c r="R647" s="3654">
        <v>1.1904761904761904E-2</v>
      </c>
      <c r="S647" s="3654">
        <v>1.1904761904761904E-2</v>
      </c>
      <c r="T647" s="3654">
        <v>0.18181818181818182</v>
      </c>
      <c r="U647" s="3654">
        <v>0.29545454545454547</v>
      </c>
      <c r="V647" s="3654">
        <v>0.36363636363636365</v>
      </c>
    </row>
    <row r="648" spans="8:22">
      <c r="H648" s="7180"/>
      <c r="I648" s="7183"/>
      <c r="J648" s="3650" t="s">
        <v>292</v>
      </c>
      <c r="K648" s="7186"/>
      <c r="L648" s="4047"/>
      <c r="M648" s="3651">
        <v>179</v>
      </c>
      <c r="N648" s="3652">
        <v>69</v>
      </c>
      <c r="O648" s="3638">
        <f t="shared" si="10"/>
        <v>38.547486033519554</v>
      </c>
      <c r="P648" s="3653">
        <v>0.65217391304347827</v>
      </c>
      <c r="Q648" s="3653">
        <v>0.34782608695652173</v>
      </c>
      <c r="R648" s="3654">
        <v>9.0909090909090912E-2</v>
      </c>
      <c r="S648" s="3654">
        <v>6.8181818181818177E-2</v>
      </c>
      <c r="T648" s="3671">
        <v>1</v>
      </c>
      <c r="U648" s="3670">
        <v>0</v>
      </c>
      <c r="V648" s="3670">
        <v>0</v>
      </c>
    </row>
    <row r="649" spans="8:22">
      <c r="H649" s="7180"/>
      <c r="I649" s="7184"/>
      <c r="J649" s="3666" t="s">
        <v>610</v>
      </c>
      <c r="K649" s="7189"/>
      <c r="L649" s="4049"/>
      <c r="M649" s="3667">
        <v>8</v>
      </c>
      <c r="N649" s="3668">
        <v>6</v>
      </c>
      <c r="O649" s="3640">
        <f t="shared" si="10"/>
        <v>75</v>
      </c>
      <c r="P649" s="3669">
        <v>0.33333333333333337</v>
      </c>
      <c r="Q649" s="3669">
        <v>0.66666666666666674</v>
      </c>
      <c r="R649" s="3670">
        <v>0</v>
      </c>
      <c r="S649" s="3670">
        <v>0</v>
      </c>
      <c r="T649" s="3677">
        <v>8.8235294117647065E-2</v>
      </c>
      <c r="U649" s="3677">
        <v>0.10784313725490197</v>
      </c>
      <c r="V649" s="3677">
        <v>0.73529411764705888</v>
      </c>
    </row>
    <row r="650" spans="8:22">
      <c r="H650" s="7180"/>
      <c r="I650" s="7182" t="s">
        <v>2172</v>
      </c>
      <c r="J650" s="3672" t="s">
        <v>297</v>
      </c>
      <c r="K650" s="7185" t="s">
        <v>243</v>
      </c>
      <c r="L650" s="4050"/>
      <c r="M650" s="3673">
        <v>265</v>
      </c>
      <c r="N650" s="3674">
        <v>130</v>
      </c>
      <c r="O650" s="3639">
        <f t="shared" si="10"/>
        <v>49.056603773584904</v>
      </c>
      <c r="P650" s="3675">
        <v>0.79230769230769227</v>
      </c>
      <c r="Q650" s="3675">
        <v>0.2076923076923077</v>
      </c>
      <c r="R650" s="3677">
        <v>2.9411764705882356E-2</v>
      </c>
      <c r="S650" s="3677">
        <v>3.9215686274509803E-2</v>
      </c>
      <c r="T650" s="3654">
        <v>0.17241379310344829</v>
      </c>
      <c r="U650" s="3654">
        <v>0.20689655172413793</v>
      </c>
      <c r="V650" s="3654">
        <v>0.48275862068965514</v>
      </c>
    </row>
    <row r="651" spans="8:22">
      <c r="H651" s="7180"/>
      <c r="I651" s="7183"/>
      <c r="J651" s="3650" t="s">
        <v>2087</v>
      </c>
      <c r="K651" s="7186"/>
      <c r="L651" s="4047"/>
      <c r="M651" s="3651">
        <v>53</v>
      </c>
      <c r="N651" s="3652">
        <v>31</v>
      </c>
      <c r="O651" s="3638">
        <f t="shared" si="10"/>
        <v>58.490566037735846</v>
      </c>
      <c r="P651" s="3653">
        <v>0.93548387096774188</v>
      </c>
      <c r="Q651" s="3653">
        <v>6.4516129032258063E-2</v>
      </c>
      <c r="R651" s="3654">
        <v>6.8965517241379309E-2</v>
      </c>
      <c r="S651" s="3654">
        <v>6.8965517241379309E-2</v>
      </c>
      <c r="T651" s="3663">
        <v>0.17857142857142858</v>
      </c>
      <c r="U651" s="3663">
        <v>0.25</v>
      </c>
      <c r="V651" s="3663">
        <v>0.4642857142857143</v>
      </c>
    </row>
    <row r="652" spans="8:22">
      <c r="H652" s="7181"/>
      <c r="I652" s="7184"/>
      <c r="J652" s="3656" t="s">
        <v>298</v>
      </c>
      <c r="K652" s="3683" t="s">
        <v>244</v>
      </c>
      <c r="L652" s="4048"/>
      <c r="M652" s="3657">
        <v>41</v>
      </c>
      <c r="N652" s="3658">
        <v>29</v>
      </c>
      <c r="O652" s="3659">
        <f t="shared" si="10"/>
        <v>70.731707317073173</v>
      </c>
      <c r="P652" s="3660">
        <v>0.96551724137931028</v>
      </c>
      <c r="Q652" s="3660">
        <v>3.4482758620689655E-2</v>
      </c>
      <c r="R652" s="3663">
        <v>3.5714285714285719E-2</v>
      </c>
      <c r="S652" s="3663">
        <v>7.1428571428571438E-2</v>
      </c>
      <c r="T652" s="3649">
        <v>0.27272727272727271</v>
      </c>
      <c r="U652" s="3649">
        <v>0.27272727272727271</v>
      </c>
      <c r="V652" s="3649">
        <v>0.31818181818181818</v>
      </c>
    </row>
    <row r="653" spans="8:22">
      <c r="H653" s="7179" t="s">
        <v>59</v>
      </c>
      <c r="I653" s="7182" t="s">
        <v>2171</v>
      </c>
      <c r="J653" s="3643" t="s">
        <v>2232</v>
      </c>
      <c r="K653" s="3684" t="s">
        <v>243</v>
      </c>
      <c r="L653" s="4046"/>
      <c r="M653" s="3644">
        <v>42</v>
      </c>
      <c r="N653" s="3645">
        <v>35</v>
      </c>
      <c r="O653" s="3646">
        <f t="shared" si="10"/>
        <v>83.333333333333329</v>
      </c>
      <c r="P653" s="3647">
        <v>0.62857142857142856</v>
      </c>
      <c r="Q653" s="3647">
        <v>0.37142857142857144</v>
      </c>
      <c r="R653" s="3649">
        <v>9.0909090909090912E-2</v>
      </c>
      <c r="S653" s="3649">
        <v>4.5454545454545456E-2</v>
      </c>
      <c r="T653" s="3670">
        <v>0</v>
      </c>
      <c r="U653" s="3671">
        <v>0.25</v>
      </c>
      <c r="V653" s="3671">
        <v>0.75</v>
      </c>
    </row>
    <row r="654" spans="8:22">
      <c r="H654" s="7180"/>
      <c r="I654" s="7184"/>
      <c r="J654" s="3666" t="s">
        <v>608</v>
      </c>
      <c r="K654" s="3685" t="s">
        <v>244</v>
      </c>
      <c r="L654" s="4049"/>
      <c r="M654" s="3667">
        <v>15</v>
      </c>
      <c r="N654" s="3668">
        <v>4</v>
      </c>
      <c r="O654" s="3640">
        <f t="shared" si="10"/>
        <v>26.666666666666668</v>
      </c>
      <c r="P654" s="3669">
        <v>1</v>
      </c>
      <c r="Q654" s="3679">
        <v>0</v>
      </c>
      <c r="R654" s="3670">
        <v>0</v>
      </c>
      <c r="S654" s="3670">
        <v>0</v>
      </c>
      <c r="T654" s="3677">
        <v>0.5</v>
      </c>
      <c r="U654" s="3676">
        <v>0</v>
      </c>
      <c r="V654" s="3676">
        <v>0</v>
      </c>
    </row>
    <row r="655" spans="8:22">
      <c r="H655" s="7180"/>
      <c r="I655" s="7182" t="s">
        <v>2175</v>
      </c>
      <c r="J655" s="3672" t="s">
        <v>2233</v>
      </c>
      <c r="K655" s="7185" t="s">
        <v>243</v>
      </c>
      <c r="L655" s="4050"/>
      <c r="M655" s="3673">
        <v>23</v>
      </c>
      <c r="N655" s="3674">
        <v>7</v>
      </c>
      <c r="O655" s="3639">
        <f t="shared" si="10"/>
        <v>30.434782608695652</v>
      </c>
      <c r="P655" s="3675">
        <v>0.57142857142857151</v>
      </c>
      <c r="Q655" s="3675">
        <v>0.42857142857142855</v>
      </c>
      <c r="R655" s="3677">
        <v>0.25</v>
      </c>
      <c r="S655" s="3677">
        <v>0.25</v>
      </c>
      <c r="T655" s="3654">
        <v>0.16666666666666669</v>
      </c>
      <c r="U655" s="3654">
        <v>0.5</v>
      </c>
      <c r="V655" s="3654">
        <v>0.33333333333333337</v>
      </c>
    </row>
    <row r="656" spans="8:22">
      <c r="H656" s="7180"/>
      <c r="I656" s="7183"/>
      <c r="J656" s="3650" t="s">
        <v>383</v>
      </c>
      <c r="K656" s="7186"/>
      <c r="L656" s="4047"/>
      <c r="M656" s="3651">
        <v>42</v>
      </c>
      <c r="N656" s="3652">
        <v>14</v>
      </c>
      <c r="O656" s="3638">
        <f t="shared" si="10"/>
        <v>33.333333333333336</v>
      </c>
      <c r="P656" s="3653">
        <v>0.9285714285714286</v>
      </c>
      <c r="Q656" s="3653">
        <v>7.1428571428571438E-2</v>
      </c>
      <c r="R656" s="3655">
        <v>0</v>
      </c>
      <c r="S656" s="3655">
        <v>0</v>
      </c>
      <c r="T656" s="3670">
        <v>0</v>
      </c>
      <c r="U656" s="3671">
        <v>1</v>
      </c>
      <c r="V656" s="3670">
        <v>0</v>
      </c>
    </row>
    <row r="657" spans="8:23">
      <c r="H657" s="7181"/>
      <c r="I657" s="7184"/>
      <c r="J657" s="3666" t="s">
        <v>609</v>
      </c>
      <c r="K657" s="3685" t="s">
        <v>244</v>
      </c>
      <c r="L657" s="4049"/>
      <c r="M657" s="3667">
        <v>2</v>
      </c>
      <c r="N657" s="3668">
        <v>1</v>
      </c>
      <c r="O657" s="3640">
        <f t="shared" si="10"/>
        <v>50</v>
      </c>
      <c r="P657" s="3669">
        <v>1</v>
      </c>
      <c r="Q657" s="3679">
        <v>0</v>
      </c>
      <c r="R657" s="3670">
        <v>0</v>
      </c>
      <c r="S657" s="3670">
        <v>0</v>
      </c>
      <c r="T657" s="3692">
        <v>0.106</v>
      </c>
      <c r="U657" s="3692">
        <v>0.17399999999999999</v>
      </c>
      <c r="V657" s="3692">
        <v>0.65200000000000002</v>
      </c>
    </row>
    <row r="658" spans="8:23">
      <c r="H658" s="3686"/>
      <c r="I658" s="3686"/>
      <c r="J658" s="3687" t="s">
        <v>15</v>
      </c>
      <c r="K658" s="3688"/>
      <c r="L658" s="4051"/>
      <c r="M658" s="3689">
        <f>SUM(M552:M657)</f>
        <v>12604</v>
      </c>
      <c r="N658" s="3690">
        <f>SUM(N552:N657)</f>
        <v>5905</v>
      </c>
      <c r="O658" s="3691">
        <f t="shared" si="10"/>
        <v>46.850206283719452</v>
      </c>
      <c r="P658" s="3692">
        <v>0.78600000000000003</v>
      </c>
      <c r="Q658" s="3692">
        <v>0.214</v>
      </c>
      <c r="R658" s="3692">
        <v>2.8000000000000001E-2</v>
      </c>
      <c r="S658" s="3692">
        <v>3.9E-2</v>
      </c>
    </row>
    <row r="659" spans="8:23" ht="18">
      <c r="I659" s="94"/>
      <c r="J659" s="94"/>
      <c r="K659" s="94"/>
      <c r="L659" s="94"/>
      <c r="M659" s="94"/>
      <c r="N659" s="94"/>
      <c r="O659" s="88"/>
    </row>
    <row r="660" spans="8:23">
      <c r="H660" s="208"/>
      <c r="I660" s="208"/>
      <c r="J660" s="208"/>
      <c r="K660" s="208"/>
      <c r="L660" s="2421"/>
      <c r="M660" s="208"/>
      <c r="N660" s="208"/>
      <c r="O660" s="208"/>
    </row>
    <row r="661" spans="8:23" ht="17.399999999999999">
      <c r="H661" s="208"/>
      <c r="J661" s="225">
        <v>2016</v>
      </c>
      <c r="K661" s="208"/>
      <c r="L661" s="2421"/>
      <c r="M661" s="208"/>
      <c r="N661" s="208"/>
      <c r="O661" s="208"/>
      <c r="T661" s="1524"/>
      <c r="U661" s="1524"/>
      <c r="V661" s="1524"/>
      <c r="W661" s="1524"/>
    </row>
    <row r="662" spans="8:23">
      <c r="H662" s="1524"/>
      <c r="I662" s="1525" t="s">
        <v>1932</v>
      </c>
      <c r="J662" s="1526" t="s">
        <v>1933</v>
      </c>
      <c r="K662" s="1524"/>
      <c r="L662" s="1524"/>
      <c r="M662" s="1524"/>
      <c r="N662" s="1524"/>
      <c r="O662" s="1524"/>
      <c r="P662" s="1527"/>
      <c r="Q662" s="1527"/>
      <c r="R662" s="1527"/>
      <c r="S662" s="1524"/>
      <c r="T662" s="1524"/>
      <c r="U662" s="1524"/>
      <c r="V662" s="1524"/>
      <c r="W662" s="1524"/>
    </row>
    <row r="663" spans="8:23">
      <c r="H663" s="1526"/>
      <c r="I663" s="1524"/>
      <c r="J663" s="1526" t="s">
        <v>1934</v>
      </c>
      <c r="K663" s="1524"/>
      <c r="L663" s="1524"/>
      <c r="M663" s="1524"/>
      <c r="N663" s="1524"/>
      <c r="O663" s="1524"/>
      <c r="P663" s="1527"/>
      <c r="Q663" s="1527"/>
      <c r="R663" s="1527"/>
      <c r="S663" s="1524"/>
      <c r="T663" s="1524"/>
      <c r="U663" s="1524"/>
      <c r="V663" s="1524"/>
      <c r="W663" s="1524"/>
    </row>
    <row r="664" spans="8:23">
      <c r="H664" s="1526"/>
      <c r="I664" s="1524"/>
      <c r="J664" s="1526"/>
      <c r="K664" s="1524"/>
      <c r="L664" s="1524"/>
      <c r="M664" s="1524"/>
      <c r="N664" s="1524"/>
      <c r="O664" s="1524"/>
      <c r="P664" s="1527"/>
      <c r="Q664" s="1527"/>
      <c r="R664" s="1527"/>
      <c r="S664" s="1524"/>
      <c r="T664" s="5323"/>
      <c r="U664" s="1524"/>
      <c r="V664" s="1524"/>
      <c r="W664" s="1524"/>
    </row>
    <row r="665" spans="8:23" ht="237.6">
      <c r="H665" s="1524"/>
      <c r="I665" s="5323" t="s">
        <v>1935</v>
      </c>
      <c r="J665" s="5323"/>
      <c r="K665" s="5323"/>
      <c r="L665" s="5323"/>
      <c r="M665" s="5323"/>
      <c r="N665" s="5323"/>
      <c r="O665" s="5323"/>
      <c r="P665" s="5323"/>
      <c r="Q665" s="5323"/>
      <c r="R665" s="5323"/>
      <c r="S665" s="5323"/>
      <c r="T665" s="1524"/>
      <c r="U665" s="1524"/>
      <c r="V665" s="1524"/>
      <c r="W665" s="1524"/>
    </row>
    <row r="666" spans="8:23">
      <c r="H666" s="1528"/>
      <c r="I666" s="1548"/>
      <c r="J666" s="1548"/>
      <c r="K666" s="1548"/>
      <c r="L666" s="1548"/>
      <c r="M666" s="1548"/>
      <c r="N666" s="1548"/>
      <c r="O666" s="1524"/>
      <c r="P666" s="1527"/>
      <c r="Q666" s="1527"/>
      <c r="R666" s="1527"/>
      <c r="S666" s="1524"/>
      <c r="T666" s="1524"/>
      <c r="U666" s="1524"/>
      <c r="V666" s="1524"/>
      <c r="W666" s="1524"/>
    </row>
    <row r="667" spans="8:23" ht="39.6">
      <c r="H667" s="1529"/>
      <c r="I667" s="1514" t="s">
        <v>1897</v>
      </c>
      <c r="J667" s="1514" t="s">
        <v>1936</v>
      </c>
      <c r="K667" s="1514" t="s">
        <v>1937</v>
      </c>
      <c r="L667" s="4052"/>
      <c r="M667" s="1649"/>
      <c r="N667" s="1514" t="s">
        <v>1938</v>
      </c>
      <c r="O667" s="1530"/>
      <c r="P667" s="1531"/>
      <c r="Q667" s="1531"/>
      <c r="R667" s="1531"/>
      <c r="S667" s="1524"/>
      <c r="T667" s="1524"/>
      <c r="U667" s="1524"/>
      <c r="V667" s="1524"/>
      <c r="W667" s="1524"/>
    </row>
    <row r="668" spans="8:23">
      <c r="H668" s="1529"/>
      <c r="I668" s="2589" t="s">
        <v>3</v>
      </c>
      <c r="J668" s="2589">
        <v>2212</v>
      </c>
      <c r="K668" s="2589">
        <v>1018</v>
      </c>
      <c r="L668" s="2589"/>
      <c r="M668" s="2589"/>
      <c r="N668" s="2590">
        <f>K668*100/J668</f>
        <v>46.021699819168177</v>
      </c>
      <c r="O668" s="1530"/>
      <c r="P668" s="1531"/>
      <c r="Q668" s="1531"/>
      <c r="R668" s="1531"/>
      <c r="S668" s="1524"/>
      <c r="T668" s="1524"/>
      <c r="U668" s="1524"/>
      <c r="V668" s="1524"/>
      <c r="W668" s="1524"/>
    </row>
    <row r="669" spans="8:23">
      <c r="H669" s="1529"/>
      <c r="I669" s="2591" t="s">
        <v>59</v>
      </c>
      <c r="J669" s="2591">
        <v>82</v>
      </c>
      <c r="K669" s="2591">
        <v>39</v>
      </c>
      <c r="L669" s="2591"/>
      <c r="M669" s="2591"/>
      <c r="N669" s="2592">
        <f>K669*100/J669</f>
        <v>47.560975609756099</v>
      </c>
      <c r="O669" s="1530"/>
      <c r="P669" s="1531"/>
      <c r="Q669" s="1531"/>
      <c r="R669" s="1531"/>
      <c r="S669" s="1524"/>
      <c r="T669" s="1524"/>
      <c r="U669" s="1524"/>
      <c r="V669" s="1524"/>
      <c r="W669" s="1524"/>
    </row>
    <row r="670" spans="8:23">
      <c r="H670" s="1529"/>
      <c r="I670" s="2591" t="s">
        <v>25</v>
      </c>
      <c r="J670" s="2591">
        <v>5979</v>
      </c>
      <c r="K670" s="2591">
        <v>2822</v>
      </c>
      <c r="L670" s="2591"/>
      <c r="M670" s="2591"/>
      <c r="N670" s="2592">
        <f>K670*100/J670</f>
        <v>47.198528181970232</v>
      </c>
      <c r="O670" s="1524"/>
      <c r="P670" s="1527"/>
      <c r="Q670" s="1527"/>
      <c r="R670" s="1527"/>
      <c r="S670" s="1524"/>
      <c r="T670" s="1524"/>
      <c r="U670" s="1524"/>
      <c r="V670" s="1524"/>
      <c r="W670" s="1524"/>
    </row>
    <row r="671" spans="8:23">
      <c r="H671" s="1532"/>
      <c r="I671" s="2593" t="s">
        <v>48</v>
      </c>
      <c r="J671" s="2593">
        <v>3644</v>
      </c>
      <c r="K671" s="2593">
        <v>1475</v>
      </c>
      <c r="L671" s="2593"/>
      <c r="M671" s="2593"/>
      <c r="N671" s="2594">
        <f>K671*100/J671</f>
        <v>40.477497255762898</v>
      </c>
      <c r="O671" s="1524"/>
      <c r="P671" s="1527"/>
      <c r="Q671" s="1527"/>
      <c r="R671" s="1527"/>
      <c r="S671" s="1524"/>
      <c r="T671" s="1524"/>
      <c r="U671" s="1524"/>
      <c r="V671" s="1524"/>
      <c r="W671" s="1524"/>
    </row>
    <row r="672" spans="8:23">
      <c r="H672" s="1532"/>
      <c r="I672" s="1514" t="s">
        <v>15</v>
      </c>
      <c r="J672" s="1514">
        <v>11917</v>
      </c>
      <c r="K672" s="1514">
        <f>SUM(K668:K671)</f>
        <v>5354</v>
      </c>
      <c r="L672" s="4052"/>
      <c r="M672" s="1649"/>
      <c r="N672" s="1533">
        <f>K672*100/J672</f>
        <v>44.927414617772932</v>
      </c>
      <c r="O672" s="1529"/>
      <c r="P672" s="1534"/>
      <c r="Q672" s="1534"/>
      <c r="R672" s="1534"/>
      <c r="S672" s="1524"/>
      <c r="T672" s="1524"/>
      <c r="U672" s="1524"/>
      <c r="V672" s="1524"/>
      <c r="W672" s="1524"/>
    </row>
    <row r="673" spans="8:23">
      <c r="H673" s="1532"/>
      <c r="I673" s="1061"/>
      <c r="J673" s="1517"/>
      <c r="K673" s="1517"/>
      <c r="L673" s="1517"/>
      <c r="M673" s="1517"/>
      <c r="N673" s="1517"/>
      <c r="O673" s="1529"/>
      <c r="P673" s="1534"/>
      <c r="Q673" s="1534"/>
      <c r="R673" s="1534"/>
      <c r="S673" s="1524"/>
      <c r="T673" s="1524"/>
      <c r="U673" s="1524"/>
      <c r="V673" s="1524"/>
      <c r="W673" s="1524"/>
    </row>
    <row r="674" spans="8:23">
      <c r="H674" s="1532"/>
      <c r="I674" s="1061"/>
      <c r="J674" s="1517"/>
      <c r="K674" s="1535"/>
      <c r="L674" s="1535"/>
      <c r="M674" s="1535"/>
      <c r="N674" s="1517"/>
      <c r="O674" s="1529"/>
      <c r="P674" s="1534"/>
      <c r="Q674" s="1534"/>
      <c r="R674" s="1534"/>
      <c r="S674" s="1524"/>
      <c r="T674" s="1524"/>
      <c r="U674" s="1524"/>
      <c r="V674" s="1524"/>
      <c r="W674" s="1524"/>
    </row>
    <row r="675" spans="8:23" ht="26.4">
      <c r="H675" s="1529"/>
      <c r="I675" s="1550" t="s">
        <v>905</v>
      </c>
      <c r="J675" s="1514" t="s">
        <v>101</v>
      </c>
      <c r="K675" s="1535"/>
      <c r="L675" s="1535"/>
      <c r="M675" s="1535"/>
      <c r="N675" s="7205" t="s">
        <v>1422</v>
      </c>
      <c r="O675" s="7205"/>
      <c r="P675" s="7205"/>
      <c r="Q675" s="7205"/>
      <c r="R675" s="7205"/>
      <c r="S675" s="1524"/>
      <c r="T675" s="1524"/>
      <c r="U675" s="1524"/>
      <c r="V675" s="1524"/>
      <c r="W675" s="1524"/>
    </row>
    <row r="676" spans="8:23">
      <c r="H676" s="1529"/>
      <c r="I676" s="1551" t="s">
        <v>907</v>
      </c>
      <c r="J676" s="1549">
        <v>79.52</v>
      </c>
      <c r="K676" s="1535"/>
      <c r="L676" s="1535"/>
      <c r="M676" s="1535"/>
      <c r="N676" s="1538" t="s">
        <v>1320</v>
      </c>
      <c r="O676" s="1538" t="s">
        <v>1321</v>
      </c>
      <c r="P676" s="1538" t="s">
        <v>1322</v>
      </c>
      <c r="Q676" s="1538" t="s">
        <v>1323</v>
      </c>
      <c r="R676" s="1538" t="s">
        <v>15</v>
      </c>
      <c r="S676" s="1553" t="s">
        <v>1899</v>
      </c>
      <c r="T676" s="1524"/>
      <c r="U676" s="1524"/>
      <c r="V676" s="1524"/>
      <c r="W676" s="1524"/>
    </row>
    <row r="677" spans="8:23">
      <c r="H677" s="1529"/>
      <c r="I677" s="1536" t="s">
        <v>908</v>
      </c>
      <c r="J677" s="1537">
        <v>20.48</v>
      </c>
      <c r="K677" s="1535"/>
      <c r="L677" s="1535"/>
      <c r="M677" s="1535"/>
      <c r="N677" s="1539">
        <v>2.53E-2</v>
      </c>
      <c r="O677" s="1539">
        <v>7.4899999999999994E-2</v>
      </c>
      <c r="P677" s="1539">
        <v>9.9699999999999997E-2</v>
      </c>
      <c r="Q677" s="1539">
        <v>0.1537</v>
      </c>
      <c r="R677" s="1539">
        <v>0.64639999999999997</v>
      </c>
      <c r="S677" s="1540">
        <f>SUM(N677:R677)</f>
        <v>1</v>
      </c>
      <c r="T677" s="1524"/>
      <c r="U677" s="1524"/>
      <c r="V677" s="1524"/>
      <c r="W677" s="1524"/>
    </row>
    <row r="678" spans="8:23">
      <c r="H678" s="1529"/>
      <c r="I678" s="1514" t="s">
        <v>15</v>
      </c>
      <c r="J678" s="1514">
        <f>SUM(J676:J677)</f>
        <v>100</v>
      </c>
      <c r="K678" s="1535"/>
      <c r="L678" s="1535"/>
      <c r="M678" s="1535"/>
      <c r="N678" s="1541"/>
      <c r="O678" s="1530"/>
      <c r="P678" s="1531"/>
      <c r="Q678" s="1531"/>
      <c r="R678" s="1531"/>
      <c r="S678" s="1524"/>
      <c r="T678" s="1524"/>
      <c r="U678" s="1524"/>
      <c r="V678" s="1524"/>
      <c r="W678" s="1524"/>
    </row>
    <row r="679" spans="8:23">
      <c r="H679" s="1529"/>
      <c r="I679" s="1529"/>
      <c r="J679" s="1524"/>
      <c r="K679" s="1524"/>
      <c r="L679" s="1524"/>
      <c r="M679" s="1524"/>
      <c r="N679" s="1524"/>
      <c r="O679" s="1524"/>
      <c r="P679" s="1527"/>
      <c r="Q679" s="1527"/>
      <c r="R679" s="1527"/>
      <c r="S679" s="1524"/>
      <c r="T679" s="5325"/>
      <c r="U679" s="5325"/>
      <c r="V679" s="5325"/>
      <c r="W679" s="5326"/>
    </row>
    <row r="680" spans="8:23">
      <c r="H680" s="7195" t="s">
        <v>1</v>
      </c>
      <c r="I680" s="7195" t="s">
        <v>1939</v>
      </c>
      <c r="J680" s="7195" t="s">
        <v>1940</v>
      </c>
      <c r="K680" s="7195" t="s">
        <v>878</v>
      </c>
      <c r="L680" s="4053"/>
      <c r="M680" s="1650"/>
      <c r="N680" s="7206" t="s">
        <v>1936</v>
      </c>
      <c r="O680" s="7206" t="s">
        <v>1937</v>
      </c>
      <c r="P680" s="7208" t="s">
        <v>1938</v>
      </c>
      <c r="Q680" s="7193" t="s">
        <v>1318</v>
      </c>
      <c r="R680" s="7193"/>
      <c r="S680" s="5324" t="s">
        <v>1319</v>
      </c>
      <c r="T680" s="1542" t="s">
        <v>1321</v>
      </c>
      <c r="U680" s="1542" t="s">
        <v>1322</v>
      </c>
      <c r="V680" s="1542" t="s">
        <v>1323</v>
      </c>
      <c r="W680" s="1542" t="s">
        <v>15</v>
      </c>
    </row>
    <row r="681" spans="8:23">
      <c r="H681" s="7195"/>
      <c r="I681" s="7195"/>
      <c r="J681" s="7195"/>
      <c r="K681" s="7195"/>
      <c r="L681" s="4054"/>
      <c r="M681" s="1651"/>
      <c r="N681" s="7207"/>
      <c r="O681" s="7207"/>
      <c r="P681" s="7209"/>
      <c r="Q681" s="3531" t="s">
        <v>259</v>
      </c>
      <c r="R681" s="3531" t="s">
        <v>260</v>
      </c>
      <c r="S681" s="1542" t="s">
        <v>1320</v>
      </c>
      <c r="T681" s="1545"/>
      <c r="U681" s="1545"/>
      <c r="V681" s="1545"/>
      <c r="W681" s="1545"/>
    </row>
    <row r="682" spans="8:23">
      <c r="H682" s="1543" t="s">
        <v>70</v>
      </c>
      <c r="I682" s="1544"/>
      <c r="J682" s="1544"/>
      <c r="K682" s="1544"/>
      <c r="L682" s="4055"/>
      <c r="M682" s="1652"/>
      <c r="N682" s="1544"/>
      <c r="O682" s="1544"/>
      <c r="P682" s="1544"/>
      <c r="Q682" s="1544"/>
      <c r="R682" s="1544"/>
      <c r="S682" s="1545"/>
      <c r="T682" s="2598">
        <v>7.4074074074074074</v>
      </c>
      <c r="U682" s="2598">
        <v>3.7037037037037037</v>
      </c>
      <c r="V682" s="2598">
        <v>3.7037037037037037</v>
      </c>
      <c r="W682" s="2598">
        <v>85.18518518518519</v>
      </c>
    </row>
    <row r="683" spans="8:23">
      <c r="H683" s="7210" t="s">
        <v>4</v>
      </c>
      <c r="I683" s="2595">
        <v>10</v>
      </c>
      <c r="J683" s="2596" t="s">
        <v>1326</v>
      </c>
      <c r="K683" s="2597" t="s">
        <v>1941</v>
      </c>
      <c r="L683" s="2597"/>
      <c r="M683" s="2597"/>
      <c r="N683" s="2595">
        <v>93</v>
      </c>
      <c r="O683" s="2595">
        <v>35</v>
      </c>
      <c r="P683" s="2598">
        <f>O683*100/N683</f>
        <v>37.634408602150536</v>
      </c>
      <c r="Q683" s="2599">
        <v>80</v>
      </c>
      <c r="R683" s="2599">
        <v>20</v>
      </c>
      <c r="S683" s="2598">
        <v>0</v>
      </c>
      <c r="T683" s="2602">
        <v>1.7857142857142858</v>
      </c>
      <c r="U683" s="2602">
        <v>8.9285714285714288</v>
      </c>
      <c r="V683" s="2602">
        <v>12.5</v>
      </c>
      <c r="W683" s="2602">
        <v>75</v>
      </c>
    </row>
    <row r="684" spans="8:23">
      <c r="H684" s="7210"/>
      <c r="I684" s="2600">
        <v>118</v>
      </c>
      <c r="J684" s="2601" t="s">
        <v>1942</v>
      </c>
      <c r="K684" s="2601" t="s">
        <v>1941</v>
      </c>
      <c r="L684" s="2601"/>
      <c r="M684" s="2601"/>
      <c r="N684" s="2600">
        <v>82</v>
      </c>
      <c r="O684" s="2600">
        <v>62</v>
      </c>
      <c r="P684" s="2602">
        <f t="shared" ref="P684:P721" si="11">O684*100/N684</f>
        <v>75.609756097560975</v>
      </c>
      <c r="Q684" s="2603">
        <v>93.442622950819668</v>
      </c>
      <c r="R684" s="2603">
        <v>6.557377049180328</v>
      </c>
      <c r="S684" s="2602">
        <v>1.7857142857142858</v>
      </c>
      <c r="T684" s="2602">
        <v>0</v>
      </c>
      <c r="U684" s="2602">
        <v>11.111111111111111</v>
      </c>
      <c r="V684" s="2602">
        <v>22.222222222222221</v>
      </c>
      <c r="W684" s="2602">
        <v>66.666666666666671</v>
      </c>
    </row>
    <row r="685" spans="8:23">
      <c r="H685" s="7210"/>
      <c r="I685" s="2600">
        <v>118</v>
      </c>
      <c r="J685" s="2601" t="s">
        <v>1942</v>
      </c>
      <c r="K685" s="2601" t="s">
        <v>1331</v>
      </c>
      <c r="L685" s="2601"/>
      <c r="M685" s="2601"/>
      <c r="N685" s="2600">
        <v>8</v>
      </c>
      <c r="O685" s="2600">
        <v>8</v>
      </c>
      <c r="P685" s="2602">
        <f t="shared" si="11"/>
        <v>100</v>
      </c>
      <c r="Q685" s="2603">
        <v>100</v>
      </c>
      <c r="R685" s="2603">
        <v>0</v>
      </c>
      <c r="S685" s="2602">
        <v>0</v>
      </c>
      <c r="T685" s="2602">
        <v>0</v>
      </c>
      <c r="U685" s="2602">
        <v>33.333333333333336</v>
      </c>
      <c r="V685" s="2602">
        <v>33.333333333333336</v>
      </c>
      <c r="W685" s="2602">
        <v>33.333333333333336</v>
      </c>
    </row>
    <row r="686" spans="8:23">
      <c r="H686" s="7210"/>
      <c r="I686" s="2600">
        <v>152</v>
      </c>
      <c r="J686" s="2601" t="s">
        <v>1943</v>
      </c>
      <c r="K686" s="2601" t="s">
        <v>1941</v>
      </c>
      <c r="L686" s="2601"/>
      <c r="M686" s="2601"/>
      <c r="N686" s="2600">
        <v>18</v>
      </c>
      <c r="O686" s="2600">
        <v>10</v>
      </c>
      <c r="P686" s="2602">
        <f t="shared" si="11"/>
        <v>55.555555555555557</v>
      </c>
      <c r="Q686" s="2603">
        <v>30</v>
      </c>
      <c r="R686" s="2603">
        <v>70</v>
      </c>
      <c r="S686" s="2602">
        <v>0</v>
      </c>
      <c r="T686" s="2602">
        <v>0</v>
      </c>
      <c r="U686" s="2602">
        <v>0</v>
      </c>
      <c r="V686" s="2602">
        <v>0</v>
      </c>
      <c r="W686" s="2602">
        <v>0</v>
      </c>
    </row>
    <row r="687" spans="8:23">
      <c r="H687" s="7210"/>
      <c r="I687" s="2600">
        <v>152</v>
      </c>
      <c r="J687" s="2601" t="s">
        <v>1943</v>
      </c>
      <c r="K687" s="2601" t="s">
        <v>1331</v>
      </c>
      <c r="L687" s="2601"/>
      <c r="M687" s="2601"/>
      <c r="N687" s="2600">
        <v>0</v>
      </c>
      <c r="O687" s="2600">
        <v>0</v>
      </c>
      <c r="P687" s="2602">
        <v>0</v>
      </c>
      <c r="Q687" s="2603">
        <v>0</v>
      </c>
      <c r="R687" s="2603">
        <v>0</v>
      </c>
      <c r="S687" s="2602">
        <v>0</v>
      </c>
      <c r="T687" s="2602">
        <v>33.333333333333336</v>
      </c>
      <c r="U687" s="2602">
        <v>0</v>
      </c>
      <c r="V687" s="2602">
        <v>0</v>
      </c>
      <c r="W687" s="2602">
        <v>66.666666666666671</v>
      </c>
    </row>
    <row r="688" spans="8:23">
      <c r="H688" s="7210"/>
      <c r="I688" s="2600">
        <v>154</v>
      </c>
      <c r="J688" s="2601" t="s">
        <v>1944</v>
      </c>
      <c r="K688" s="2601" t="s">
        <v>1941</v>
      </c>
      <c r="L688" s="2601"/>
      <c r="M688" s="2601"/>
      <c r="N688" s="2600">
        <v>7</v>
      </c>
      <c r="O688" s="2600">
        <v>4</v>
      </c>
      <c r="P688" s="2602">
        <f t="shared" si="11"/>
        <v>57.142857142857146</v>
      </c>
      <c r="Q688" s="2603">
        <v>75</v>
      </c>
      <c r="R688" s="2603">
        <v>25</v>
      </c>
      <c r="S688" s="2602">
        <v>0</v>
      </c>
      <c r="T688" s="2602">
        <v>0</v>
      </c>
      <c r="U688" s="2602">
        <v>0</v>
      </c>
      <c r="V688" s="2602">
        <v>0</v>
      </c>
      <c r="W688" s="2602">
        <v>0</v>
      </c>
    </row>
    <row r="689" spans="8:23">
      <c r="H689" s="7210"/>
      <c r="I689" s="2600">
        <v>154</v>
      </c>
      <c r="J689" s="2601" t="s">
        <v>1944</v>
      </c>
      <c r="K689" s="2601" t="s">
        <v>1331</v>
      </c>
      <c r="L689" s="2601"/>
      <c r="M689" s="2601"/>
      <c r="N689" s="2600">
        <v>0</v>
      </c>
      <c r="O689" s="2600">
        <v>0</v>
      </c>
      <c r="P689" s="2602">
        <v>0</v>
      </c>
      <c r="Q689" s="2603">
        <v>0</v>
      </c>
      <c r="R689" s="2603">
        <v>0</v>
      </c>
      <c r="S689" s="2602">
        <v>0</v>
      </c>
      <c r="T689" s="2602">
        <v>0</v>
      </c>
      <c r="U689" s="2602">
        <v>0</v>
      </c>
      <c r="V689" s="2602">
        <v>66.67</v>
      </c>
      <c r="W689" s="2602">
        <v>33.33</v>
      </c>
    </row>
    <row r="690" spans="8:23">
      <c r="H690" s="7210"/>
      <c r="I690" s="2600">
        <v>105</v>
      </c>
      <c r="J690" s="2601" t="s">
        <v>1945</v>
      </c>
      <c r="K690" s="2601" t="s">
        <v>1946</v>
      </c>
      <c r="L690" s="2601"/>
      <c r="M690" s="2601"/>
      <c r="N690" s="2600">
        <v>4</v>
      </c>
      <c r="O690" s="2600">
        <v>3</v>
      </c>
      <c r="P690" s="2602">
        <f>O690*100/N690</f>
        <v>75</v>
      </c>
      <c r="Q690" s="2603">
        <v>100</v>
      </c>
      <c r="R690" s="2603">
        <v>0</v>
      </c>
      <c r="S690" s="2602">
        <v>0</v>
      </c>
      <c r="T690" s="2602">
        <v>6.77</v>
      </c>
      <c r="U690" s="2602">
        <v>14.29</v>
      </c>
      <c r="V690" s="2602">
        <v>15.04</v>
      </c>
      <c r="W690" s="2602">
        <v>58.65</v>
      </c>
    </row>
    <row r="691" spans="8:23">
      <c r="H691" s="7210"/>
      <c r="I691" s="2600">
        <v>105</v>
      </c>
      <c r="J691" s="2601" t="s">
        <v>1945</v>
      </c>
      <c r="K691" s="2601" t="s">
        <v>1941</v>
      </c>
      <c r="L691" s="2601"/>
      <c r="M691" s="2601"/>
      <c r="N691" s="2600">
        <v>273</v>
      </c>
      <c r="O691" s="2600">
        <v>176</v>
      </c>
      <c r="P691" s="2602">
        <f t="shared" si="11"/>
        <v>64.468864468864467</v>
      </c>
      <c r="Q691" s="2603">
        <v>77.14</v>
      </c>
      <c r="R691" s="2603">
        <v>22.86</v>
      </c>
      <c r="S691" s="2602">
        <v>5.26</v>
      </c>
      <c r="T691" s="2614">
        <v>0</v>
      </c>
      <c r="U691" s="2614">
        <v>15</v>
      </c>
      <c r="V691" s="2614">
        <v>5</v>
      </c>
      <c r="W691" s="2614">
        <v>75</v>
      </c>
    </row>
    <row r="692" spans="8:23">
      <c r="H692" s="7210"/>
      <c r="I692" s="2612">
        <v>105</v>
      </c>
      <c r="J692" s="2613" t="s">
        <v>1945</v>
      </c>
      <c r="K692" s="2613" t="s">
        <v>1331</v>
      </c>
      <c r="L692" s="2613"/>
      <c r="M692" s="2613"/>
      <c r="N692" s="2612">
        <v>74</v>
      </c>
      <c r="O692" s="2612">
        <v>25</v>
      </c>
      <c r="P692" s="2614">
        <f t="shared" si="11"/>
        <v>33.783783783783782</v>
      </c>
      <c r="Q692" s="2615">
        <v>80</v>
      </c>
      <c r="R692" s="2615">
        <v>20</v>
      </c>
      <c r="S692" s="2614">
        <v>5</v>
      </c>
      <c r="T692" s="2598">
        <v>3.7735849056603774</v>
      </c>
      <c r="U692" s="2598">
        <v>7.5471698113207548</v>
      </c>
      <c r="V692" s="2598">
        <v>20.754716981132077</v>
      </c>
      <c r="W692" s="2598">
        <v>64.15094339622641</v>
      </c>
    </row>
    <row r="693" spans="8:23">
      <c r="H693" s="7197" t="s">
        <v>16</v>
      </c>
      <c r="I693" s="2616">
        <v>95</v>
      </c>
      <c r="J693" s="2617" t="s">
        <v>1947</v>
      </c>
      <c r="K693" s="2617" t="s">
        <v>1946</v>
      </c>
      <c r="L693" s="2617"/>
      <c r="M693" s="2617"/>
      <c r="N693" s="2616">
        <v>279</v>
      </c>
      <c r="O693" s="2616">
        <v>132</v>
      </c>
      <c r="P693" s="2598">
        <f t="shared" si="11"/>
        <v>47.311827956989248</v>
      </c>
      <c r="Q693" s="2599">
        <v>80.303030303030297</v>
      </c>
      <c r="R693" s="2599">
        <v>19.696969696969695</v>
      </c>
      <c r="S693" s="2598">
        <v>3.7735849056603774</v>
      </c>
      <c r="T693" s="2602">
        <v>6.666666666666667</v>
      </c>
      <c r="U693" s="2602">
        <v>6.666666666666667</v>
      </c>
      <c r="V693" s="2602">
        <v>22.222222222222221</v>
      </c>
      <c r="W693" s="2602">
        <v>62.222222222222221</v>
      </c>
    </row>
    <row r="694" spans="8:23">
      <c r="H694" s="7198"/>
      <c r="I694" s="2600">
        <v>126</v>
      </c>
      <c r="J694" s="2601" t="s">
        <v>1948</v>
      </c>
      <c r="K694" s="2601" t="s">
        <v>1946</v>
      </c>
      <c r="L694" s="2601"/>
      <c r="M694" s="2601"/>
      <c r="N694" s="2600">
        <v>72</v>
      </c>
      <c r="O694" s="2600">
        <v>52</v>
      </c>
      <c r="P694" s="2602">
        <f t="shared" si="11"/>
        <v>72.222222222222229</v>
      </c>
      <c r="Q694" s="2603">
        <v>86.538461538461533</v>
      </c>
      <c r="R694" s="2603">
        <v>13.461538461538462</v>
      </c>
      <c r="S694" s="2602">
        <v>2.2222222222222223</v>
      </c>
      <c r="T694" s="2602">
        <v>4</v>
      </c>
      <c r="U694" s="2602">
        <v>21.333333333333332</v>
      </c>
      <c r="V694" s="2602">
        <v>12</v>
      </c>
      <c r="W694" s="2602">
        <v>60</v>
      </c>
    </row>
    <row r="695" spans="8:23">
      <c r="H695" s="7198"/>
      <c r="I695" s="2600">
        <v>15</v>
      </c>
      <c r="J695" s="2601" t="s">
        <v>1949</v>
      </c>
      <c r="K695" s="2601" t="s">
        <v>1941</v>
      </c>
      <c r="L695" s="2601"/>
      <c r="M695" s="2601"/>
      <c r="N695" s="2600">
        <v>165</v>
      </c>
      <c r="O695" s="2600">
        <v>88</v>
      </c>
      <c r="P695" s="2602">
        <f t="shared" si="11"/>
        <v>53.333333333333336</v>
      </c>
      <c r="Q695" s="2603">
        <v>84.090909090909093</v>
      </c>
      <c r="R695" s="2603">
        <v>15.909090909090908</v>
      </c>
      <c r="S695" s="2602">
        <v>2.6666666666666665</v>
      </c>
      <c r="T695" s="2602">
        <v>6.25</v>
      </c>
      <c r="U695" s="2602">
        <v>14.0625</v>
      </c>
      <c r="V695" s="2602">
        <v>28.125</v>
      </c>
      <c r="W695" s="2602">
        <v>46.875</v>
      </c>
    </row>
    <row r="696" spans="8:23">
      <c r="H696" s="7198"/>
      <c r="I696" s="2600">
        <v>16</v>
      </c>
      <c r="J696" s="2601" t="s">
        <v>1950</v>
      </c>
      <c r="K696" s="2601" t="s">
        <v>1941</v>
      </c>
      <c r="L696" s="2601"/>
      <c r="M696" s="2601"/>
      <c r="N696" s="2600">
        <v>145</v>
      </c>
      <c r="O696" s="2600">
        <v>85</v>
      </c>
      <c r="P696" s="2602">
        <f t="shared" si="11"/>
        <v>58.620689655172413</v>
      </c>
      <c r="Q696" s="2603">
        <v>75.294117647058826</v>
      </c>
      <c r="R696" s="2603">
        <v>24.705882352941178</v>
      </c>
      <c r="S696" s="2602">
        <v>4.6875</v>
      </c>
      <c r="T696" s="2602">
        <v>4.166666666666667</v>
      </c>
      <c r="U696" s="2602">
        <v>16.666666666666668</v>
      </c>
      <c r="V696" s="2602">
        <v>12.5</v>
      </c>
      <c r="W696" s="2602">
        <v>66.666666666666671</v>
      </c>
    </row>
    <row r="697" spans="8:23">
      <c r="H697" s="7198"/>
      <c r="I697" s="2600">
        <v>96</v>
      </c>
      <c r="J697" s="2601" t="s">
        <v>1337</v>
      </c>
      <c r="K697" s="2601" t="s">
        <v>1941</v>
      </c>
      <c r="L697" s="2601"/>
      <c r="M697" s="2601"/>
      <c r="N697" s="2600">
        <v>59</v>
      </c>
      <c r="O697" s="2600">
        <v>34</v>
      </c>
      <c r="P697" s="2602">
        <f t="shared" si="11"/>
        <v>57.627118644067799</v>
      </c>
      <c r="Q697" s="2603">
        <v>73.529411764705884</v>
      </c>
      <c r="R697" s="2603">
        <v>26.470588235294116</v>
      </c>
      <c r="S697" s="2602">
        <v>0</v>
      </c>
      <c r="T697" s="2602">
        <v>0</v>
      </c>
      <c r="U697" s="2602">
        <v>0</v>
      </c>
      <c r="V697" s="2602">
        <v>20</v>
      </c>
      <c r="W697" s="2602">
        <v>80</v>
      </c>
    </row>
    <row r="698" spans="8:23">
      <c r="H698" s="7198"/>
      <c r="I698" s="2600">
        <v>151</v>
      </c>
      <c r="J698" s="2601" t="s">
        <v>1951</v>
      </c>
      <c r="K698" s="2601" t="s">
        <v>1941</v>
      </c>
      <c r="L698" s="2601"/>
      <c r="M698" s="2601"/>
      <c r="N698" s="2600">
        <v>9</v>
      </c>
      <c r="O698" s="2600">
        <v>6</v>
      </c>
      <c r="P698" s="2602">
        <f t="shared" si="11"/>
        <v>66.666666666666671</v>
      </c>
      <c r="Q698" s="2603">
        <v>83.333333333333329</v>
      </c>
      <c r="R698" s="2603">
        <v>16.666666666666668</v>
      </c>
      <c r="S698" s="2602">
        <v>0</v>
      </c>
      <c r="T698" s="2602">
        <v>4.5454545454545459</v>
      </c>
      <c r="U698" s="2602">
        <v>9.0909090909090917</v>
      </c>
      <c r="V698" s="2602">
        <v>40.909090909090907</v>
      </c>
      <c r="W698" s="2602">
        <v>45.454545454545453</v>
      </c>
    </row>
    <row r="699" spans="8:23">
      <c r="H699" s="7198"/>
      <c r="I699" s="2600">
        <v>127</v>
      </c>
      <c r="J699" s="2601" t="s">
        <v>1952</v>
      </c>
      <c r="K699" s="2601" t="s">
        <v>1941</v>
      </c>
      <c r="L699" s="2601"/>
      <c r="M699" s="2601"/>
      <c r="N699" s="2600">
        <v>72</v>
      </c>
      <c r="O699" s="2600">
        <v>30</v>
      </c>
      <c r="P699" s="2602">
        <f t="shared" si="11"/>
        <v>41.666666666666664</v>
      </c>
      <c r="Q699" s="2603">
        <v>73.333333333333329</v>
      </c>
      <c r="R699" s="2603">
        <v>26.666666666666668</v>
      </c>
      <c r="S699" s="2602">
        <v>0</v>
      </c>
      <c r="T699" s="2602">
        <v>0</v>
      </c>
      <c r="U699" s="2602">
        <v>14.285714285714286</v>
      </c>
      <c r="V699" s="2602">
        <v>14.285714285714286</v>
      </c>
      <c r="W699" s="2602">
        <v>71.428571428571431</v>
      </c>
    </row>
    <row r="700" spans="8:23">
      <c r="H700" s="7198"/>
      <c r="I700" s="2600">
        <v>127</v>
      </c>
      <c r="J700" s="2601" t="s">
        <v>1952</v>
      </c>
      <c r="K700" s="2601" t="s">
        <v>1331</v>
      </c>
      <c r="L700" s="2601"/>
      <c r="M700" s="2601"/>
      <c r="N700" s="2600">
        <v>31</v>
      </c>
      <c r="O700" s="2600">
        <v>8</v>
      </c>
      <c r="P700" s="2602">
        <f t="shared" si="11"/>
        <v>25.806451612903224</v>
      </c>
      <c r="Q700" s="2603">
        <v>87.5</v>
      </c>
      <c r="R700" s="2603">
        <v>12.5</v>
      </c>
      <c r="S700" s="2602">
        <v>0</v>
      </c>
      <c r="T700" s="2602">
        <v>0</v>
      </c>
      <c r="U700" s="2602">
        <v>0</v>
      </c>
      <c r="V700" s="2602">
        <v>0</v>
      </c>
      <c r="W700" s="2602">
        <v>0</v>
      </c>
    </row>
    <row r="701" spans="8:23">
      <c r="H701" s="7198"/>
      <c r="I701" s="2600">
        <v>134</v>
      </c>
      <c r="J701" s="2601" t="s">
        <v>1953</v>
      </c>
      <c r="K701" s="2601" t="s">
        <v>1946</v>
      </c>
      <c r="L701" s="2601"/>
      <c r="M701" s="2601"/>
      <c r="N701" s="2600">
        <v>1</v>
      </c>
      <c r="O701" s="2600">
        <v>0</v>
      </c>
      <c r="P701" s="2602">
        <f t="shared" si="11"/>
        <v>0</v>
      </c>
      <c r="Q701" s="2603">
        <v>0</v>
      </c>
      <c r="R701" s="2603">
        <v>0</v>
      </c>
      <c r="S701" s="2602">
        <v>0</v>
      </c>
      <c r="T701" s="2602">
        <v>0</v>
      </c>
      <c r="U701" s="2602">
        <v>0</v>
      </c>
      <c r="V701" s="2602">
        <v>25</v>
      </c>
      <c r="W701" s="2602">
        <v>75</v>
      </c>
    </row>
    <row r="702" spans="8:23">
      <c r="H702" s="7198"/>
      <c r="I702" s="2600">
        <v>134</v>
      </c>
      <c r="J702" s="2601" t="s">
        <v>1953</v>
      </c>
      <c r="K702" s="2601" t="s">
        <v>1941</v>
      </c>
      <c r="L702" s="2601"/>
      <c r="M702" s="2601"/>
      <c r="N702" s="2600">
        <v>20</v>
      </c>
      <c r="O702" s="2600">
        <v>11</v>
      </c>
      <c r="P702" s="2602">
        <f t="shared" si="11"/>
        <v>55</v>
      </c>
      <c r="Q702" s="2603">
        <v>36.363636363636367</v>
      </c>
      <c r="R702" s="2603">
        <v>63.636363636363633</v>
      </c>
      <c r="S702" s="2602">
        <v>0</v>
      </c>
      <c r="T702" s="2622">
        <v>0</v>
      </c>
      <c r="U702" s="2622">
        <v>22.222222222222221</v>
      </c>
      <c r="V702" s="2622">
        <v>22.222222222222221</v>
      </c>
      <c r="W702" s="2622">
        <v>55.555555555555557</v>
      </c>
    </row>
    <row r="703" spans="8:23">
      <c r="H703" s="7199"/>
      <c r="I703" s="2607">
        <v>134</v>
      </c>
      <c r="J703" s="2608" t="s">
        <v>1953</v>
      </c>
      <c r="K703" s="2608" t="s">
        <v>1331</v>
      </c>
      <c r="L703" s="2608"/>
      <c r="M703" s="2608"/>
      <c r="N703" s="2607">
        <v>21</v>
      </c>
      <c r="O703" s="2607">
        <v>11</v>
      </c>
      <c r="P703" s="2622">
        <f t="shared" si="11"/>
        <v>52.38095238095238</v>
      </c>
      <c r="Q703" s="2623">
        <v>81.818181818181813</v>
      </c>
      <c r="R703" s="2623">
        <v>18.181818181818183</v>
      </c>
      <c r="S703" s="2622">
        <v>0</v>
      </c>
      <c r="T703" s="2620">
        <v>0</v>
      </c>
      <c r="U703" s="2620">
        <v>15.384615384615385</v>
      </c>
      <c r="V703" s="2620">
        <v>7.6923076923076925</v>
      </c>
      <c r="W703" s="2620">
        <v>76.92307692307692</v>
      </c>
    </row>
    <row r="704" spans="8:23">
      <c r="H704" s="7194" t="s">
        <v>21</v>
      </c>
      <c r="I704" s="2618">
        <v>21</v>
      </c>
      <c r="J704" s="2619" t="s">
        <v>1954</v>
      </c>
      <c r="K704" s="2619" t="s">
        <v>1946</v>
      </c>
      <c r="L704" s="2619"/>
      <c r="M704" s="2619"/>
      <c r="N704" s="2618">
        <v>36</v>
      </c>
      <c r="O704" s="2618">
        <v>16</v>
      </c>
      <c r="P704" s="2620">
        <f t="shared" si="11"/>
        <v>44.444444444444443</v>
      </c>
      <c r="Q704" s="2621">
        <v>81.25</v>
      </c>
      <c r="R704" s="2621">
        <v>18.75</v>
      </c>
      <c r="S704" s="2620">
        <v>0</v>
      </c>
      <c r="T704" s="2602">
        <v>0</v>
      </c>
      <c r="U704" s="2602">
        <v>0</v>
      </c>
      <c r="V704" s="2602">
        <v>0</v>
      </c>
      <c r="W704" s="2602">
        <v>0</v>
      </c>
    </row>
    <row r="705" spans="8:23">
      <c r="H705" s="7194"/>
      <c r="I705" s="2600">
        <v>20</v>
      </c>
      <c r="J705" s="2601" t="s">
        <v>1955</v>
      </c>
      <c r="K705" s="2601" t="s">
        <v>1941</v>
      </c>
      <c r="L705" s="2601"/>
      <c r="M705" s="2601"/>
      <c r="N705" s="2600">
        <v>3</v>
      </c>
      <c r="O705" s="2600">
        <v>0</v>
      </c>
      <c r="P705" s="2602">
        <f t="shared" si="11"/>
        <v>0</v>
      </c>
      <c r="Q705" s="2603">
        <v>0</v>
      </c>
      <c r="R705" s="2603">
        <v>0</v>
      </c>
      <c r="S705" s="2602">
        <v>0</v>
      </c>
      <c r="T705" s="2602">
        <v>3.8251366120218577</v>
      </c>
      <c r="U705" s="2602">
        <v>10.928961748633879</v>
      </c>
      <c r="V705" s="2602">
        <v>13.66120218579235</v>
      </c>
      <c r="W705" s="2602">
        <v>67.759562841530055</v>
      </c>
    </row>
    <row r="706" spans="8:23">
      <c r="H706" s="7194"/>
      <c r="I706" s="2600">
        <v>97</v>
      </c>
      <c r="J706" s="2601" t="s">
        <v>1956</v>
      </c>
      <c r="K706" s="2601" t="s">
        <v>1957</v>
      </c>
      <c r="L706" s="2601"/>
      <c r="M706" s="2601"/>
      <c r="N706" s="2600">
        <v>652</v>
      </c>
      <c r="O706" s="2600">
        <v>215</v>
      </c>
      <c r="P706" s="2602">
        <f t="shared" si="11"/>
        <v>32.975460122699388</v>
      </c>
      <c r="Q706" s="2603">
        <v>86.04651162790698</v>
      </c>
      <c r="R706" s="2603">
        <v>13.953488372093023</v>
      </c>
      <c r="S706" s="2602">
        <v>3.8251366120218577</v>
      </c>
      <c r="T706" s="2602">
        <v>0</v>
      </c>
      <c r="U706" s="2602">
        <v>0</v>
      </c>
      <c r="V706" s="2602">
        <v>0</v>
      </c>
      <c r="W706" s="2602">
        <v>0</v>
      </c>
    </row>
    <row r="707" spans="8:23">
      <c r="H707" s="7194"/>
      <c r="I707" s="2600">
        <v>164</v>
      </c>
      <c r="J707" s="2601" t="s">
        <v>1958</v>
      </c>
      <c r="K707" s="2601" t="s">
        <v>1946</v>
      </c>
      <c r="L707" s="2601"/>
      <c r="M707" s="2601"/>
      <c r="N707" s="2600">
        <v>10</v>
      </c>
      <c r="O707" s="2600">
        <v>0</v>
      </c>
      <c r="P707" s="2602">
        <f t="shared" si="11"/>
        <v>0</v>
      </c>
      <c r="Q707" s="2603">
        <v>0</v>
      </c>
      <c r="R707" s="2603">
        <v>0</v>
      </c>
      <c r="S707" s="2602">
        <v>0</v>
      </c>
      <c r="T707" s="2602">
        <v>0</v>
      </c>
      <c r="U707" s="2602">
        <v>0</v>
      </c>
      <c r="V707" s="2602">
        <v>0</v>
      </c>
      <c r="W707" s="2602">
        <v>0</v>
      </c>
    </row>
    <row r="708" spans="8:23">
      <c r="H708" s="7194"/>
      <c r="I708" s="2600">
        <v>164</v>
      </c>
      <c r="J708" s="2601" t="s">
        <v>1958</v>
      </c>
      <c r="K708" s="2601" t="s">
        <v>1941</v>
      </c>
      <c r="L708" s="2601"/>
      <c r="M708" s="2601"/>
      <c r="N708" s="2600">
        <v>10</v>
      </c>
      <c r="O708" s="2600">
        <v>0</v>
      </c>
      <c r="P708" s="2602">
        <f t="shared" si="11"/>
        <v>0</v>
      </c>
      <c r="Q708" s="2603">
        <v>0</v>
      </c>
      <c r="R708" s="2603">
        <v>0</v>
      </c>
      <c r="S708" s="2602">
        <v>0</v>
      </c>
      <c r="T708" s="2602">
        <v>0</v>
      </c>
      <c r="U708" s="2602">
        <v>0</v>
      </c>
      <c r="V708" s="2602">
        <v>0</v>
      </c>
      <c r="W708" s="2602">
        <v>0</v>
      </c>
    </row>
    <row r="709" spans="8:23">
      <c r="H709" s="7194"/>
      <c r="I709" s="2600">
        <v>165</v>
      </c>
      <c r="J709" s="2601" t="s">
        <v>1959</v>
      </c>
      <c r="K709" s="2601" t="s">
        <v>1946</v>
      </c>
      <c r="L709" s="2601"/>
      <c r="M709" s="2601"/>
      <c r="N709" s="2600">
        <v>1</v>
      </c>
      <c r="O709" s="2600">
        <v>0</v>
      </c>
      <c r="P709" s="2602">
        <f t="shared" si="11"/>
        <v>0</v>
      </c>
      <c r="Q709" s="2603">
        <v>0</v>
      </c>
      <c r="R709" s="2603">
        <v>0</v>
      </c>
      <c r="S709" s="2602">
        <v>0</v>
      </c>
      <c r="T709" s="2602">
        <v>0</v>
      </c>
      <c r="U709" s="2602">
        <v>0</v>
      </c>
      <c r="V709" s="2602">
        <v>0</v>
      </c>
      <c r="W709" s="2602">
        <v>0</v>
      </c>
    </row>
    <row r="710" spans="8:23">
      <c r="H710" s="7194"/>
      <c r="I710" s="2600">
        <v>165</v>
      </c>
      <c r="J710" s="2601" t="s">
        <v>1959</v>
      </c>
      <c r="K710" s="2601" t="s">
        <v>1941</v>
      </c>
      <c r="L710" s="2601"/>
      <c r="M710" s="2601"/>
      <c r="N710" s="2600">
        <v>10</v>
      </c>
      <c r="O710" s="2600">
        <v>0</v>
      </c>
      <c r="P710" s="2602">
        <f t="shared" si="11"/>
        <v>0</v>
      </c>
      <c r="Q710" s="2603">
        <v>0</v>
      </c>
      <c r="R710" s="2603">
        <v>0</v>
      </c>
      <c r="S710" s="2602">
        <v>0</v>
      </c>
      <c r="T710" s="2602">
        <v>0</v>
      </c>
      <c r="U710" s="2602">
        <v>0</v>
      </c>
      <c r="V710" s="2602">
        <v>0</v>
      </c>
      <c r="W710" s="2602">
        <v>0</v>
      </c>
    </row>
    <row r="711" spans="8:23">
      <c r="H711" s="7194"/>
      <c r="I711" s="2600">
        <v>166</v>
      </c>
      <c r="J711" s="2601" t="s">
        <v>1960</v>
      </c>
      <c r="K711" s="2601" t="s">
        <v>1946</v>
      </c>
      <c r="L711" s="2601"/>
      <c r="M711" s="2601"/>
      <c r="N711" s="2600">
        <v>1</v>
      </c>
      <c r="O711" s="2600">
        <v>0</v>
      </c>
      <c r="P711" s="2602">
        <f t="shared" si="11"/>
        <v>0</v>
      </c>
      <c r="Q711" s="2603">
        <v>0</v>
      </c>
      <c r="R711" s="2603">
        <v>0</v>
      </c>
      <c r="S711" s="2602">
        <v>0</v>
      </c>
      <c r="T711" s="2602">
        <v>0</v>
      </c>
      <c r="U711" s="2602">
        <v>100</v>
      </c>
      <c r="V711" s="2602">
        <v>0</v>
      </c>
      <c r="W711" s="2602">
        <v>0</v>
      </c>
    </row>
    <row r="712" spans="8:23">
      <c r="H712" s="7194"/>
      <c r="I712" s="2600">
        <v>166</v>
      </c>
      <c r="J712" s="2601" t="s">
        <v>1960</v>
      </c>
      <c r="K712" s="2601" t="s">
        <v>1941</v>
      </c>
      <c r="L712" s="2601"/>
      <c r="M712" s="2601"/>
      <c r="N712" s="2600">
        <v>10</v>
      </c>
      <c r="O712" s="2600">
        <v>5</v>
      </c>
      <c r="P712" s="2602">
        <f t="shared" si="11"/>
        <v>50</v>
      </c>
      <c r="Q712" s="2603">
        <v>20</v>
      </c>
      <c r="R712" s="2603">
        <v>80</v>
      </c>
      <c r="S712" s="2602">
        <v>0</v>
      </c>
      <c r="T712" s="2602">
        <v>50</v>
      </c>
      <c r="U712" s="2602">
        <v>50</v>
      </c>
      <c r="V712" s="2602">
        <v>0</v>
      </c>
      <c r="W712" s="2602">
        <v>0</v>
      </c>
    </row>
    <row r="713" spans="8:23">
      <c r="H713" s="7194"/>
      <c r="I713" s="2600">
        <v>166</v>
      </c>
      <c r="J713" s="2601" t="s">
        <v>1960</v>
      </c>
      <c r="K713" s="2601" t="s">
        <v>1331</v>
      </c>
      <c r="L713" s="2601"/>
      <c r="M713" s="2601"/>
      <c r="N713" s="2600">
        <v>5</v>
      </c>
      <c r="O713" s="2600">
        <v>2</v>
      </c>
      <c r="P713" s="2602">
        <f t="shared" si="11"/>
        <v>40</v>
      </c>
      <c r="Q713" s="2603">
        <v>100</v>
      </c>
      <c r="R713" s="2603">
        <v>0</v>
      </c>
      <c r="S713" s="2602">
        <v>0</v>
      </c>
      <c r="T713" s="2602">
        <v>0</v>
      </c>
      <c r="U713" s="2602">
        <v>0</v>
      </c>
      <c r="V713" s="2602">
        <v>0</v>
      </c>
      <c r="W713" s="2602">
        <v>0</v>
      </c>
    </row>
    <row r="714" spans="8:23">
      <c r="H714" s="7194"/>
      <c r="I714" s="2600">
        <v>168</v>
      </c>
      <c r="J714" s="2601" t="s">
        <v>1961</v>
      </c>
      <c r="K714" s="2601" t="s">
        <v>1946</v>
      </c>
      <c r="L714" s="2601"/>
      <c r="M714" s="2601"/>
      <c r="N714" s="2600">
        <v>2</v>
      </c>
      <c r="O714" s="2600">
        <v>0</v>
      </c>
      <c r="P714" s="2602">
        <f t="shared" si="11"/>
        <v>0</v>
      </c>
      <c r="Q714" s="2603">
        <v>0</v>
      </c>
      <c r="R714" s="2603">
        <v>0</v>
      </c>
      <c r="S714" s="2602">
        <v>0</v>
      </c>
      <c r="T714" s="2602">
        <v>0</v>
      </c>
      <c r="U714" s="2602">
        <v>0</v>
      </c>
      <c r="V714" s="2602">
        <v>0</v>
      </c>
      <c r="W714" s="2602">
        <v>0</v>
      </c>
    </row>
    <row r="715" spans="8:23">
      <c r="H715" s="7194"/>
      <c r="I715" s="2600">
        <v>168</v>
      </c>
      <c r="J715" s="2601" t="s">
        <v>1961</v>
      </c>
      <c r="K715" s="2601" t="s">
        <v>1941</v>
      </c>
      <c r="L715" s="2601"/>
      <c r="M715" s="2601"/>
      <c r="N715" s="2600">
        <v>8</v>
      </c>
      <c r="O715" s="2600">
        <v>0</v>
      </c>
      <c r="P715" s="2602">
        <f t="shared" si="11"/>
        <v>0</v>
      </c>
      <c r="Q715" s="2603">
        <v>0</v>
      </c>
      <c r="R715" s="2603">
        <v>0</v>
      </c>
      <c r="S715" s="2602">
        <v>0</v>
      </c>
      <c r="T715" s="2602">
        <v>0</v>
      </c>
      <c r="U715" s="2602">
        <v>0</v>
      </c>
      <c r="V715" s="2602">
        <v>0</v>
      </c>
      <c r="W715" s="2602">
        <v>0</v>
      </c>
    </row>
    <row r="716" spans="8:23">
      <c r="H716" s="7194"/>
      <c r="I716" s="2600">
        <v>168</v>
      </c>
      <c r="J716" s="2601" t="s">
        <v>1961</v>
      </c>
      <c r="K716" s="2601" t="s">
        <v>1331</v>
      </c>
      <c r="L716" s="2601"/>
      <c r="M716" s="2601"/>
      <c r="N716" s="2600">
        <v>2</v>
      </c>
      <c r="O716" s="2600">
        <v>0</v>
      </c>
      <c r="P716" s="2602">
        <f t="shared" si="11"/>
        <v>0</v>
      </c>
      <c r="Q716" s="2603">
        <v>0</v>
      </c>
      <c r="R716" s="2603">
        <v>0</v>
      </c>
      <c r="S716" s="2602">
        <v>0</v>
      </c>
      <c r="T716" s="2602">
        <v>0</v>
      </c>
      <c r="U716" s="2602">
        <v>0</v>
      </c>
      <c r="V716" s="2602">
        <v>0</v>
      </c>
      <c r="W716" s="2602">
        <v>0</v>
      </c>
    </row>
    <row r="717" spans="8:23">
      <c r="H717" s="7194"/>
      <c r="I717" s="2600">
        <v>169</v>
      </c>
      <c r="J717" s="2601" t="s">
        <v>1962</v>
      </c>
      <c r="K717" s="2601" t="s">
        <v>1941</v>
      </c>
      <c r="L717" s="2601"/>
      <c r="M717" s="2601"/>
      <c r="N717" s="2600">
        <v>0</v>
      </c>
      <c r="O717" s="2600">
        <v>0</v>
      </c>
      <c r="P717" s="2602">
        <v>0</v>
      </c>
      <c r="Q717" s="2603">
        <v>0</v>
      </c>
      <c r="R717" s="2603">
        <v>0</v>
      </c>
      <c r="S717" s="2602">
        <v>0</v>
      </c>
      <c r="T717" s="2602">
        <v>0</v>
      </c>
      <c r="U717" s="2602">
        <v>0</v>
      </c>
      <c r="V717" s="2602">
        <v>0</v>
      </c>
      <c r="W717" s="2602">
        <v>0</v>
      </c>
    </row>
    <row r="718" spans="8:23">
      <c r="H718" s="7194"/>
      <c r="I718" s="2600">
        <v>169</v>
      </c>
      <c r="J718" s="2601" t="s">
        <v>1962</v>
      </c>
      <c r="K718" s="2601" t="s">
        <v>1331</v>
      </c>
      <c r="L718" s="2601"/>
      <c r="M718" s="2601"/>
      <c r="N718" s="2600">
        <v>0</v>
      </c>
      <c r="O718" s="2600">
        <v>0</v>
      </c>
      <c r="P718" s="2602">
        <v>0</v>
      </c>
      <c r="Q718" s="2603">
        <v>0</v>
      </c>
      <c r="R718" s="2603">
        <v>0</v>
      </c>
      <c r="S718" s="2602">
        <v>0</v>
      </c>
      <c r="T718" s="2602">
        <v>0</v>
      </c>
      <c r="U718" s="2602">
        <v>0</v>
      </c>
      <c r="V718" s="2602">
        <v>0</v>
      </c>
      <c r="W718" s="2602">
        <v>0</v>
      </c>
    </row>
    <row r="719" spans="8:23">
      <c r="H719" s="7194"/>
      <c r="I719" s="2600">
        <v>167</v>
      </c>
      <c r="J719" s="2601" t="s">
        <v>1963</v>
      </c>
      <c r="K719" s="2601" t="s">
        <v>1946</v>
      </c>
      <c r="L719" s="2601"/>
      <c r="M719" s="2601"/>
      <c r="N719" s="2600">
        <v>7</v>
      </c>
      <c r="O719" s="2600">
        <v>0</v>
      </c>
      <c r="P719" s="2602">
        <f t="shared" si="11"/>
        <v>0</v>
      </c>
      <c r="Q719" s="2603">
        <v>0</v>
      </c>
      <c r="R719" s="2603">
        <v>0</v>
      </c>
      <c r="S719" s="2602">
        <v>0</v>
      </c>
      <c r="T719" s="2602">
        <v>0</v>
      </c>
      <c r="U719" s="2602">
        <v>0</v>
      </c>
      <c r="V719" s="2602">
        <v>0</v>
      </c>
      <c r="W719" s="2602">
        <v>0</v>
      </c>
    </row>
    <row r="720" spans="8:23">
      <c r="H720" s="7194"/>
      <c r="I720" s="2600">
        <v>167</v>
      </c>
      <c r="J720" s="2601" t="s">
        <v>1963</v>
      </c>
      <c r="K720" s="2601" t="s">
        <v>1941</v>
      </c>
      <c r="L720" s="2601"/>
      <c r="M720" s="2601"/>
      <c r="N720" s="2600">
        <v>7</v>
      </c>
      <c r="O720" s="2600">
        <v>0</v>
      </c>
      <c r="P720" s="2602">
        <f t="shared" si="11"/>
        <v>0</v>
      </c>
      <c r="Q720" s="2603">
        <v>0</v>
      </c>
      <c r="R720" s="2603">
        <v>0</v>
      </c>
      <c r="S720" s="2602">
        <v>0</v>
      </c>
      <c r="T720" s="2622">
        <v>0</v>
      </c>
      <c r="U720" s="2622">
        <v>0</v>
      </c>
      <c r="V720" s="2622">
        <v>0</v>
      </c>
      <c r="W720" s="2622">
        <v>0</v>
      </c>
    </row>
    <row r="721" spans="8:23">
      <c r="H721" s="7194"/>
      <c r="I721" s="2607">
        <v>167</v>
      </c>
      <c r="J721" s="2608" t="s">
        <v>1963</v>
      </c>
      <c r="K721" s="2608" t="s">
        <v>1331</v>
      </c>
      <c r="L721" s="2608"/>
      <c r="M721" s="2608"/>
      <c r="N721" s="2607">
        <v>1</v>
      </c>
      <c r="O721" s="2607">
        <v>0</v>
      </c>
      <c r="P721" s="2622">
        <f t="shared" si="11"/>
        <v>0</v>
      </c>
      <c r="Q721" s="2623">
        <v>0</v>
      </c>
      <c r="R721" s="2623">
        <v>0</v>
      </c>
      <c r="S721" s="2622">
        <v>0</v>
      </c>
      <c r="T721" s="2626"/>
      <c r="U721" s="2626"/>
      <c r="V721" s="2626"/>
      <c r="W721" s="2626"/>
    </row>
    <row r="722" spans="8:23">
      <c r="H722" s="1546" t="s">
        <v>72</v>
      </c>
      <c r="I722" s="2625"/>
      <c r="J722" s="2625"/>
      <c r="K722" s="2625"/>
      <c r="L722" s="2625"/>
      <c r="M722" s="2625"/>
      <c r="N722" s="2625"/>
      <c r="O722" s="2625"/>
      <c r="P722" s="2625"/>
      <c r="Q722" s="2625"/>
      <c r="R722" s="2625"/>
      <c r="S722" s="2626"/>
      <c r="T722" s="2598">
        <v>0</v>
      </c>
      <c r="U722" s="2598">
        <v>0</v>
      </c>
      <c r="V722" s="2598">
        <v>16.666666666666668</v>
      </c>
      <c r="W722" s="2598">
        <v>66.666666666666671</v>
      </c>
    </row>
    <row r="723" spans="8:23">
      <c r="H723" s="7198"/>
      <c r="I723" s="2616">
        <v>145</v>
      </c>
      <c r="J723" s="2617" t="s">
        <v>1406</v>
      </c>
      <c r="K723" s="2617" t="s">
        <v>1941</v>
      </c>
      <c r="L723" s="2617"/>
      <c r="M723" s="2617"/>
      <c r="N723" s="2616">
        <v>29</v>
      </c>
      <c r="O723" s="2616">
        <v>13</v>
      </c>
      <c r="P723" s="2627">
        <f t="shared" ref="P723:P728" si="12">O723*100/N723</f>
        <v>44.827586206896555</v>
      </c>
      <c r="Q723" s="2599">
        <v>46.153846153846153</v>
      </c>
      <c r="R723" s="2599">
        <v>53.846153846153847</v>
      </c>
      <c r="S723" s="2598">
        <v>16.666666666666668</v>
      </c>
      <c r="T723" s="2602">
        <v>0</v>
      </c>
      <c r="U723" s="2602">
        <v>0</v>
      </c>
      <c r="V723" s="2602">
        <v>25</v>
      </c>
      <c r="W723" s="2602">
        <v>75</v>
      </c>
    </row>
    <row r="724" spans="8:23">
      <c r="H724" s="7198"/>
      <c r="I724" s="2600">
        <v>145</v>
      </c>
      <c r="J724" s="2601" t="s">
        <v>1406</v>
      </c>
      <c r="K724" s="2601" t="s">
        <v>1331</v>
      </c>
      <c r="L724" s="2601"/>
      <c r="M724" s="2601"/>
      <c r="N724" s="2600">
        <v>6</v>
      </c>
      <c r="O724" s="2600">
        <v>5</v>
      </c>
      <c r="P724" s="2604">
        <f t="shared" si="12"/>
        <v>83.333333333333329</v>
      </c>
      <c r="Q724" s="2603">
        <v>100</v>
      </c>
      <c r="R724" s="2603">
        <v>0</v>
      </c>
      <c r="S724" s="2602">
        <v>0</v>
      </c>
      <c r="T724" s="2602">
        <v>0</v>
      </c>
      <c r="U724" s="2602">
        <v>16.666666666666668</v>
      </c>
      <c r="V724" s="2602">
        <v>50</v>
      </c>
      <c r="W724" s="2602">
        <v>33.333333333333336</v>
      </c>
    </row>
    <row r="725" spans="8:23">
      <c r="H725" s="7198"/>
      <c r="I725" s="2600">
        <v>155</v>
      </c>
      <c r="J725" s="2601" t="s">
        <v>1964</v>
      </c>
      <c r="K725" s="2601" t="s">
        <v>1941</v>
      </c>
      <c r="L725" s="2601"/>
      <c r="M725" s="2601"/>
      <c r="N725" s="2600">
        <v>24</v>
      </c>
      <c r="O725" s="2600">
        <v>14</v>
      </c>
      <c r="P725" s="2604">
        <f t="shared" si="12"/>
        <v>58.333333333333336</v>
      </c>
      <c r="Q725" s="2603">
        <v>92.857142857142861</v>
      </c>
      <c r="R725" s="2603">
        <v>7.1428571428571432</v>
      </c>
      <c r="S725" s="2602">
        <v>0</v>
      </c>
      <c r="T725" s="2602">
        <v>0</v>
      </c>
      <c r="U725" s="2602">
        <v>0</v>
      </c>
      <c r="V725" s="2602">
        <v>0</v>
      </c>
      <c r="W725" s="2602">
        <v>0</v>
      </c>
    </row>
    <row r="726" spans="8:23">
      <c r="H726" s="7198"/>
      <c r="I726" s="2600">
        <v>153</v>
      </c>
      <c r="J726" s="2601" t="s">
        <v>1965</v>
      </c>
      <c r="K726" s="2601" t="s">
        <v>1946</v>
      </c>
      <c r="L726" s="2601"/>
      <c r="M726" s="2601"/>
      <c r="N726" s="2600">
        <v>8</v>
      </c>
      <c r="O726" s="2600">
        <v>0</v>
      </c>
      <c r="P726" s="2604">
        <f t="shared" si="12"/>
        <v>0</v>
      </c>
      <c r="Q726" s="2603">
        <v>0</v>
      </c>
      <c r="R726" s="2603">
        <v>0</v>
      </c>
      <c r="S726" s="2602">
        <v>0</v>
      </c>
      <c r="T726" s="2602">
        <v>25</v>
      </c>
      <c r="U726" s="2602">
        <v>50</v>
      </c>
      <c r="V726" s="2602">
        <v>0</v>
      </c>
      <c r="W726" s="2602">
        <v>0</v>
      </c>
    </row>
    <row r="727" spans="8:23">
      <c r="H727" s="7198"/>
      <c r="I727" s="2600">
        <v>153</v>
      </c>
      <c r="J727" s="2601" t="s">
        <v>1965</v>
      </c>
      <c r="K727" s="2601" t="s">
        <v>1941</v>
      </c>
      <c r="L727" s="2601"/>
      <c r="M727" s="2601"/>
      <c r="N727" s="2600">
        <v>13</v>
      </c>
      <c r="O727" s="2600">
        <v>7</v>
      </c>
      <c r="P727" s="2604">
        <f t="shared" si="12"/>
        <v>53.846153846153847</v>
      </c>
      <c r="Q727" s="2603">
        <v>57.142857142857146</v>
      </c>
      <c r="R727" s="2603">
        <v>42.857142857142854</v>
      </c>
      <c r="S727" s="2602">
        <v>25</v>
      </c>
      <c r="T727" s="2622">
        <v>0</v>
      </c>
      <c r="U727" s="2622">
        <v>0</v>
      </c>
      <c r="V727" s="2622">
        <v>0</v>
      </c>
      <c r="W727" s="2622">
        <v>0</v>
      </c>
    </row>
    <row r="728" spans="8:23">
      <c r="H728" s="7199"/>
      <c r="I728" s="2607">
        <v>153</v>
      </c>
      <c r="J728" s="2608" t="s">
        <v>1965</v>
      </c>
      <c r="K728" s="2608" t="s">
        <v>1331</v>
      </c>
      <c r="L728" s="2608"/>
      <c r="M728" s="2608"/>
      <c r="N728" s="2607">
        <v>1</v>
      </c>
      <c r="O728" s="2607">
        <v>0</v>
      </c>
      <c r="P728" s="2611">
        <f t="shared" si="12"/>
        <v>0</v>
      </c>
      <c r="Q728" s="2623">
        <v>0</v>
      </c>
      <c r="R728" s="2623">
        <v>0</v>
      </c>
      <c r="S728" s="2622">
        <v>0</v>
      </c>
      <c r="T728" s="2626"/>
      <c r="U728" s="2626"/>
      <c r="V728" s="2626"/>
      <c r="W728" s="2626"/>
    </row>
    <row r="729" spans="8:23">
      <c r="H729" s="1546" t="s">
        <v>73</v>
      </c>
      <c r="I729" s="2625"/>
      <c r="J729" s="2625"/>
      <c r="K729" s="2625"/>
      <c r="L729" s="2625"/>
      <c r="M729" s="2625"/>
      <c r="N729" s="2625"/>
      <c r="O729" s="2625"/>
      <c r="P729" s="2625"/>
      <c r="Q729" s="2625"/>
      <c r="R729" s="2625"/>
      <c r="S729" s="2626"/>
      <c r="T729" s="2598">
        <v>5.1094890510948909</v>
      </c>
      <c r="U729" s="2598">
        <v>8.7591240875912408</v>
      </c>
      <c r="V729" s="2598">
        <v>16.788321167883211</v>
      </c>
      <c r="W729" s="2598">
        <v>66.423357664233578</v>
      </c>
    </row>
    <row r="730" spans="8:23">
      <c r="H730" s="7197" t="s">
        <v>4</v>
      </c>
      <c r="I730" s="2616">
        <v>36</v>
      </c>
      <c r="J730" s="2617" t="s">
        <v>1375</v>
      </c>
      <c r="K730" s="2617" t="s">
        <v>1331</v>
      </c>
      <c r="L730" s="2617"/>
      <c r="M730" s="2617"/>
      <c r="N730" s="2616">
        <v>302</v>
      </c>
      <c r="O730" s="2616">
        <v>180</v>
      </c>
      <c r="P730" s="2627">
        <f>O730*100/N730</f>
        <v>59.602649006622514</v>
      </c>
      <c r="Q730" s="2599">
        <v>77.222222222222229</v>
      </c>
      <c r="R730" s="2599">
        <v>22.777777777777779</v>
      </c>
      <c r="S730" s="2598">
        <v>2.9197080291970803</v>
      </c>
      <c r="T730" s="2602">
        <v>7.6923076923076925</v>
      </c>
      <c r="U730" s="2602">
        <v>15.384615384615385</v>
      </c>
      <c r="V730" s="2602">
        <v>15.384615384615385</v>
      </c>
      <c r="W730" s="2602">
        <v>53.846153846153847</v>
      </c>
    </row>
    <row r="731" spans="8:23">
      <c r="H731" s="7198"/>
      <c r="I731" s="2600">
        <v>111</v>
      </c>
      <c r="J731" s="2601" t="s">
        <v>1366</v>
      </c>
      <c r="K731" s="2601" t="s">
        <v>1941</v>
      </c>
      <c r="L731" s="2601"/>
      <c r="M731" s="2601"/>
      <c r="N731" s="2600">
        <v>52</v>
      </c>
      <c r="O731" s="2600">
        <v>39</v>
      </c>
      <c r="P731" s="2604">
        <f t="shared" ref="P731:P769" si="13">O731*100/N731</f>
        <v>75</v>
      </c>
      <c r="Q731" s="2603">
        <v>66.666666666666671</v>
      </c>
      <c r="R731" s="2603">
        <v>33.333333333333336</v>
      </c>
      <c r="S731" s="2602">
        <v>7.6923076923076925</v>
      </c>
      <c r="T731" s="2602">
        <v>0</v>
      </c>
      <c r="U731" s="2602">
        <v>0</v>
      </c>
      <c r="V731" s="2602">
        <v>0</v>
      </c>
      <c r="W731" s="2602">
        <v>0</v>
      </c>
    </row>
    <row r="732" spans="8:23">
      <c r="H732" s="7198"/>
      <c r="I732" s="2600">
        <v>111</v>
      </c>
      <c r="J732" s="2601" t="s">
        <v>1366</v>
      </c>
      <c r="K732" s="2601" t="s">
        <v>1331</v>
      </c>
      <c r="L732" s="2601"/>
      <c r="M732" s="2601"/>
      <c r="N732" s="2600">
        <v>43</v>
      </c>
      <c r="O732" s="2600">
        <v>0</v>
      </c>
      <c r="P732" s="2604">
        <f t="shared" si="13"/>
        <v>0</v>
      </c>
      <c r="Q732" s="2603">
        <v>0</v>
      </c>
      <c r="R732" s="2603">
        <v>0</v>
      </c>
      <c r="S732" s="2602">
        <v>0</v>
      </c>
      <c r="T732" s="2602">
        <v>0</v>
      </c>
      <c r="U732" s="2602">
        <v>0</v>
      </c>
      <c r="V732" s="2602">
        <v>0</v>
      </c>
      <c r="W732" s="2602">
        <v>100</v>
      </c>
    </row>
    <row r="733" spans="8:23">
      <c r="H733" s="7198"/>
      <c r="I733" s="2600">
        <v>112</v>
      </c>
      <c r="J733" s="2601" t="s">
        <v>1367</v>
      </c>
      <c r="K733" s="2601" t="s">
        <v>1946</v>
      </c>
      <c r="L733" s="2601"/>
      <c r="M733" s="2601"/>
      <c r="N733" s="2600">
        <v>3</v>
      </c>
      <c r="O733" s="2600">
        <v>3</v>
      </c>
      <c r="P733" s="2604">
        <f t="shared" si="13"/>
        <v>100</v>
      </c>
      <c r="Q733" s="2603">
        <v>66.666666666666671</v>
      </c>
      <c r="R733" s="2603">
        <v>33.333333333333336</v>
      </c>
      <c r="S733" s="2602">
        <v>0</v>
      </c>
      <c r="T733" s="2602">
        <v>2.2988505747126435</v>
      </c>
      <c r="U733" s="2602">
        <v>12.64367816091954</v>
      </c>
      <c r="V733" s="2602">
        <v>19.540229885057471</v>
      </c>
      <c r="W733" s="2602">
        <v>63.218390804597703</v>
      </c>
    </row>
    <row r="734" spans="8:23">
      <c r="H734" s="7198"/>
      <c r="I734" s="2600">
        <v>112</v>
      </c>
      <c r="J734" s="2601" t="s">
        <v>1367</v>
      </c>
      <c r="K734" s="2601" t="s">
        <v>1941</v>
      </c>
      <c r="L734" s="2601"/>
      <c r="M734" s="2601"/>
      <c r="N734" s="2600">
        <v>160</v>
      </c>
      <c r="O734" s="2600">
        <v>106</v>
      </c>
      <c r="P734" s="2604">
        <f t="shared" si="13"/>
        <v>66.25</v>
      </c>
      <c r="Q734" s="2603">
        <v>81.132075471698116</v>
      </c>
      <c r="R734" s="2603">
        <v>18.867924528301888</v>
      </c>
      <c r="S734" s="2602">
        <v>2.2988505747126435</v>
      </c>
      <c r="T734" s="2602">
        <v>16.666666666666668</v>
      </c>
      <c r="U734" s="2602">
        <v>0</v>
      </c>
      <c r="V734" s="2602">
        <v>16.666666666666668</v>
      </c>
      <c r="W734" s="2602">
        <v>66.666666666666671</v>
      </c>
    </row>
    <row r="735" spans="8:23">
      <c r="H735" s="7198"/>
      <c r="I735" s="2600">
        <v>112</v>
      </c>
      <c r="J735" s="2601" t="s">
        <v>1367</v>
      </c>
      <c r="K735" s="2601" t="s">
        <v>1331</v>
      </c>
      <c r="L735" s="2601"/>
      <c r="M735" s="2601"/>
      <c r="N735" s="2600">
        <v>43</v>
      </c>
      <c r="O735" s="2600">
        <v>9</v>
      </c>
      <c r="P735" s="2604">
        <f t="shared" si="13"/>
        <v>20.930232558139537</v>
      </c>
      <c r="Q735" s="2603">
        <v>77.777777777777771</v>
      </c>
      <c r="R735" s="2603">
        <v>22.222222222222221</v>
      </c>
      <c r="S735" s="2602">
        <v>0</v>
      </c>
      <c r="T735" s="2602">
        <v>5.5555555555555554</v>
      </c>
      <c r="U735" s="2602">
        <v>5.5555555555555554</v>
      </c>
      <c r="V735" s="2602">
        <v>19.444444444444443</v>
      </c>
      <c r="W735" s="2602">
        <v>63.888888888888886</v>
      </c>
    </row>
    <row r="736" spans="8:23">
      <c r="H736" s="7198"/>
      <c r="I736" s="2600">
        <v>113</v>
      </c>
      <c r="J736" s="2601" t="s">
        <v>1368</v>
      </c>
      <c r="K736" s="2601" t="s">
        <v>1941</v>
      </c>
      <c r="L736" s="2601"/>
      <c r="M736" s="2601"/>
      <c r="N736" s="2600">
        <v>97</v>
      </c>
      <c r="O736" s="2600">
        <v>43</v>
      </c>
      <c r="P736" s="2604">
        <f t="shared" si="13"/>
        <v>44.329896907216494</v>
      </c>
      <c r="Q736" s="2603">
        <v>86.04651162790698</v>
      </c>
      <c r="R736" s="2603">
        <v>13.953488372093023</v>
      </c>
      <c r="S736" s="2602">
        <v>5.5555555555555554</v>
      </c>
      <c r="T736" s="2602">
        <v>0</v>
      </c>
      <c r="U736" s="2602">
        <v>2.4390243902439024</v>
      </c>
      <c r="V736" s="2602">
        <v>28.048780487804876</v>
      </c>
      <c r="W736" s="2602">
        <v>68.292682926829272</v>
      </c>
    </row>
    <row r="737" spans="8:23">
      <c r="H737" s="7198"/>
      <c r="I737" s="2600">
        <v>113</v>
      </c>
      <c r="J737" s="2601" t="s">
        <v>1368</v>
      </c>
      <c r="K737" s="2601" t="s">
        <v>1331</v>
      </c>
      <c r="L737" s="2601"/>
      <c r="M737" s="2601"/>
      <c r="N737" s="2600">
        <v>129</v>
      </c>
      <c r="O737" s="2600">
        <v>97</v>
      </c>
      <c r="P737" s="2604">
        <f t="shared" si="13"/>
        <v>75.193798449612402</v>
      </c>
      <c r="Q737" s="2603">
        <v>78.350515463917532</v>
      </c>
      <c r="R737" s="2603">
        <v>21.649484536082475</v>
      </c>
      <c r="S737" s="2602">
        <v>1.2195121951219512</v>
      </c>
      <c r="T737" s="2602">
        <v>8.3333333333333339</v>
      </c>
      <c r="U737" s="2602">
        <v>12.5</v>
      </c>
      <c r="V737" s="2602">
        <v>20.833333333333332</v>
      </c>
      <c r="W737" s="2602">
        <v>56.25</v>
      </c>
    </row>
    <row r="738" spans="8:23">
      <c r="H738" s="7198"/>
      <c r="I738" s="2600">
        <v>114</v>
      </c>
      <c r="J738" s="2601" t="s">
        <v>1966</v>
      </c>
      <c r="K738" s="2601" t="s">
        <v>1941</v>
      </c>
      <c r="L738" s="2601"/>
      <c r="M738" s="2601"/>
      <c r="N738" s="2600">
        <v>159</v>
      </c>
      <c r="O738" s="2600">
        <v>76</v>
      </c>
      <c r="P738" s="2604">
        <f t="shared" si="13"/>
        <v>47.79874213836478</v>
      </c>
      <c r="Q738" s="2603">
        <v>63.157894736842103</v>
      </c>
      <c r="R738" s="2603">
        <v>36.842105263157897</v>
      </c>
      <c r="S738" s="2602">
        <v>2.0833333333333335</v>
      </c>
      <c r="T738" s="2602">
        <v>3.5714285714285716</v>
      </c>
      <c r="U738" s="2602">
        <v>7.1428571428571432</v>
      </c>
      <c r="V738" s="2602">
        <v>10.714285714285714</v>
      </c>
      <c r="W738" s="2602">
        <v>78.571428571428569</v>
      </c>
    </row>
    <row r="739" spans="8:23">
      <c r="H739" s="7198"/>
      <c r="I739" s="2600">
        <v>114</v>
      </c>
      <c r="J739" s="2601" t="s">
        <v>1966</v>
      </c>
      <c r="K739" s="2601" t="s">
        <v>1331</v>
      </c>
      <c r="L739" s="2601"/>
      <c r="M739" s="2601"/>
      <c r="N739" s="2600">
        <v>64</v>
      </c>
      <c r="O739" s="2600">
        <v>32</v>
      </c>
      <c r="P739" s="2604">
        <f t="shared" si="13"/>
        <v>50</v>
      </c>
      <c r="Q739" s="2603">
        <v>87.5</v>
      </c>
      <c r="R739" s="2603">
        <v>12.5</v>
      </c>
      <c r="S739" s="2602">
        <v>0</v>
      </c>
      <c r="T739" s="2602">
        <v>7.2727272727272725</v>
      </c>
      <c r="U739" s="2602">
        <v>16.363636363636363</v>
      </c>
      <c r="V739" s="2602">
        <v>12.727272727272727</v>
      </c>
      <c r="W739" s="2602">
        <v>58.18181818181818</v>
      </c>
    </row>
    <row r="740" spans="8:23">
      <c r="H740" s="7198"/>
      <c r="I740" s="2600">
        <v>115</v>
      </c>
      <c r="J740" s="2601" t="s">
        <v>1370</v>
      </c>
      <c r="K740" s="2601" t="s">
        <v>1941</v>
      </c>
      <c r="L740" s="2601"/>
      <c r="M740" s="2601"/>
      <c r="N740" s="2600">
        <v>136</v>
      </c>
      <c r="O740" s="2600">
        <v>71</v>
      </c>
      <c r="P740" s="2604">
        <f t="shared" si="13"/>
        <v>52.205882352941174</v>
      </c>
      <c r="Q740" s="2603">
        <v>76.056338028169009</v>
      </c>
      <c r="R740" s="2603">
        <v>23.943661971830984</v>
      </c>
      <c r="S740" s="2602">
        <v>5.4545454545454541</v>
      </c>
      <c r="T740" s="2602">
        <v>0</v>
      </c>
      <c r="U740" s="2602">
        <v>0</v>
      </c>
      <c r="V740" s="2602">
        <v>20</v>
      </c>
      <c r="W740" s="2602">
        <v>80</v>
      </c>
    </row>
    <row r="741" spans="8:23">
      <c r="H741" s="7198"/>
      <c r="I741" s="2600">
        <v>115</v>
      </c>
      <c r="J741" s="2601" t="s">
        <v>1370</v>
      </c>
      <c r="K741" s="2601" t="s">
        <v>1331</v>
      </c>
      <c r="L741" s="2601"/>
      <c r="M741" s="2601"/>
      <c r="N741" s="2600">
        <v>25</v>
      </c>
      <c r="O741" s="2600">
        <v>5</v>
      </c>
      <c r="P741" s="2604">
        <f t="shared" si="13"/>
        <v>20</v>
      </c>
      <c r="Q741" s="2603">
        <v>100</v>
      </c>
      <c r="R741" s="2603">
        <v>0</v>
      </c>
      <c r="S741" s="2602">
        <v>0</v>
      </c>
      <c r="T741" s="2602">
        <v>3.45</v>
      </c>
      <c r="U741" s="2602">
        <v>17.239999999999998</v>
      </c>
      <c r="V741" s="2602">
        <v>27.59</v>
      </c>
      <c r="W741" s="2602">
        <v>51.72</v>
      </c>
    </row>
    <row r="742" spans="8:23">
      <c r="H742" s="7198"/>
      <c r="I742" s="2600">
        <v>143</v>
      </c>
      <c r="J742" s="2601" t="s">
        <v>1374</v>
      </c>
      <c r="K742" s="2601" t="s">
        <v>1941</v>
      </c>
      <c r="L742" s="2601"/>
      <c r="M742" s="2601"/>
      <c r="N742" s="2600">
        <v>56</v>
      </c>
      <c r="O742" s="2600">
        <v>45</v>
      </c>
      <c r="P742" s="2604">
        <f>O742*100/N742</f>
        <v>80.357142857142861</v>
      </c>
      <c r="Q742" s="2603">
        <v>66.67</v>
      </c>
      <c r="R742" s="2603">
        <v>33.33</v>
      </c>
      <c r="S742" s="2602">
        <v>0</v>
      </c>
      <c r="T742" s="2602">
        <v>0</v>
      </c>
      <c r="U742" s="2602">
        <v>0</v>
      </c>
      <c r="V742" s="2602">
        <v>0</v>
      </c>
      <c r="W742" s="2602">
        <v>100</v>
      </c>
    </row>
    <row r="743" spans="8:23">
      <c r="H743" s="7198"/>
      <c r="I743" s="2600">
        <v>143</v>
      </c>
      <c r="J743" s="2601" t="s">
        <v>1374</v>
      </c>
      <c r="K743" s="2601" t="s">
        <v>1331</v>
      </c>
      <c r="L743" s="2601"/>
      <c r="M743" s="2601"/>
      <c r="N743" s="2600">
        <v>2</v>
      </c>
      <c r="O743" s="2600">
        <v>1</v>
      </c>
      <c r="P743" s="2604">
        <f t="shared" si="13"/>
        <v>50</v>
      </c>
      <c r="Q743" s="2603">
        <v>100</v>
      </c>
      <c r="R743" s="2603">
        <v>0</v>
      </c>
      <c r="S743" s="2602">
        <v>0</v>
      </c>
      <c r="T743" s="2602">
        <v>40</v>
      </c>
      <c r="U743" s="2602">
        <v>20</v>
      </c>
      <c r="V743" s="2602">
        <v>0</v>
      </c>
      <c r="W743" s="2602">
        <v>40</v>
      </c>
    </row>
    <row r="744" spans="8:23">
      <c r="H744" s="7198"/>
      <c r="I744" s="2600">
        <v>157</v>
      </c>
      <c r="J744" s="2601" t="s">
        <v>1967</v>
      </c>
      <c r="K744" s="2601" t="s">
        <v>1941</v>
      </c>
      <c r="L744" s="2601"/>
      <c r="M744" s="2601"/>
      <c r="N744" s="2600">
        <v>10</v>
      </c>
      <c r="O744" s="2600">
        <v>8</v>
      </c>
      <c r="P744" s="2604">
        <f t="shared" si="13"/>
        <v>80</v>
      </c>
      <c r="Q744" s="2603">
        <v>62.5</v>
      </c>
      <c r="R744" s="2603">
        <v>37.5</v>
      </c>
      <c r="S744" s="2602">
        <v>0</v>
      </c>
      <c r="T744" s="2622">
        <v>0</v>
      </c>
      <c r="U744" s="2622">
        <v>0</v>
      </c>
      <c r="V744" s="2622">
        <v>0</v>
      </c>
      <c r="W744" s="2622">
        <v>0</v>
      </c>
    </row>
    <row r="745" spans="8:23">
      <c r="H745" s="7199"/>
      <c r="I745" s="2607">
        <v>157</v>
      </c>
      <c r="J745" s="2608" t="s">
        <v>1967</v>
      </c>
      <c r="K745" s="2608" t="s">
        <v>1331</v>
      </c>
      <c r="L745" s="2608"/>
      <c r="M745" s="2608"/>
      <c r="N745" s="2607">
        <v>0</v>
      </c>
      <c r="O745" s="2607">
        <v>0</v>
      </c>
      <c r="P745" s="2611">
        <v>0</v>
      </c>
      <c r="Q745" s="2623">
        <v>0</v>
      </c>
      <c r="R745" s="2623">
        <v>0</v>
      </c>
      <c r="S745" s="2622">
        <v>0</v>
      </c>
      <c r="T745" s="2620">
        <v>6.25</v>
      </c>
      <c r="U745" s="2620">
        <v>12.5</v>
      </c>
      <c r="V745" s="2620">
        <v>0</v>
      </c>
      <c r="W745" s="2620">
        <v>81.25</v>
      </c>
    </row>
    <row r="746" spans="8:23">
      <c r="H746" s="7194" t="s">
        <v>16</v>
      </c>
      <c r="I746" s="2618">
        <v>47</v>
      </c>
      <c r="J746" s="2619" t="s">
        <v>1968</v>
      </c>
      <c r="K746" s="2619" t="s">
        <v>1941</v>
      </c>
      <c r="L746" s="2619"/>
      <c r="M746" s="2619"/>
      <c r="N746" s="2618">
        <v>80</v>
      </c>
      <c r="O746" s="2618">
        <v>22</v>
      </c>
      <c r="P746" s="2628">
        <f t="shared" si="13"/>
        <v>27.5</v>
      </c>
      <c r="Q746" s="2621">
        <v>72.727272727272734</v>
      </c>
      <c r="R746" s="2621">
        <v>27.272727272727273</v>
      </c>
      <c r="S746" s="2620">
        <v>0</v>
      </c>
      <c r="T746" s="2602">
        <v>0</v>
      </c>
      <c r="U746" s="2602">
        <v>18.75</v>
      </c>
      <c r="V746" s="2602">
        <v>6.25</v>
      </c>
      <c r="W746" s="2602">
        <v>75</v>
      </c>
    </row>
    <row r="747" spans="8:23">
      <c r="H747" s="7194"/>
      <c r="I747" s="2600">
        <v>48</v>
      </c>
      <c r="J747" s="2601" t="s">
        <v>1969</v>
      </c>
      <c r="K747" s="2601" t="s">
        <v>1941</v>
      </c>
      <c r="L747" s="2601"/>
      <c r="M747" s="2601"/>
      <c r="N747" s="2600">
        <v>53</v>
      </c>
      <c r="O747" s="2600">
        <v>18</v>
      </c>
      <c r="P747" s="2604">
        <f t="shared" si="13"/>
        <v>33.962264150943398</v>
      </c>
      <c r="Q747" s="2603">
        <v>88.888888888888886</v>
      </c>
      <c r="R747" s="2603">
        <v>11.111111111111111</v>
      </c>
      <c r="S747" s="2602">
        <v>0</v>
      </c>
      <c r="T747" s="2602">
        <v>0</v>
      </c>
      <c r="U747" s="2602">
        <v>22.222222222222221</v>
      </c>
      <c r="V747" s="2602">
        <v>0</v>
      </c>
      <c r="W747" s="2602">
        <v>66.666666666666671</v>
      </c>
    </row>
    <row r="748" spans="8:23">
      <c r="H748" s="7194"/>
      <c r="I748" s="2600">
        <v>49</v>
      </c>
      <c r="J748" s="2601" t="s">
        <v>1357</v>
      </c>
      <c r="K748" s="2601" t="s">
        <v>1941</v>
      </c>
      <c r="L748" s="2601"/>
      <c r="M748" s="2601"/>
      <c r="N748" s="2600">
        <v>38</v>
      </c>
      <c r="O748" s="2600">
        <v>10</v>
      </c>
      <c r="P748" s="2604">
        <f t="shared" si="13"/>
        <v>26.315789473684209</v>
      </c>
      <c r="Q748" s="2603">
        <v>90</v>
      </c>
      <c r="R748" s="2603">
        <v>10</v>
      </c>
      <c r="S748" s="2602">
        <v>11.111111111111111</v>
      </c>
      <c r="T748" s="2602">
        <v>0</v>
      </c>
      <c r="U748" s="2602">
        <v>100</v>
      </c>
      <c r="V748" s="2602">
        <v>0</v>
      </c>
      <c r="W748" s="2602">
        <v>0</v>
      </c>
    </row>
    <row r="749" spans="8:23">
      <c r="H749" s="7194"/>
      <c r="I749" s="2600">
        <v>50</v>
      </c>
      <c r="J749" s="2601" t="s">
        <v>1970</v>
      </c>
      <c r="K749" s="2601" t="s">
        <v>1331</v>
      </c>
      <c r="L749" s="2601"/>
      <c r="M749" s="2601"/>
      <c r="N749" s="2600">
        <v>19</v>
      </c>
      <c r="O749" s="2600">
        <v>4</v>
      </c>
      <c r="P749" s="2604">
        <f t="shared" si="13"/>
        <v>21.05263157894737</v>
      </c>
      <c r="Q749" s="2603">
        <v>25</v>
      </c>
      <c r="R749" s="2603">
        <v>75</v>
      </c>
      <c r="S749" s="2602">
        <v>0</v>
      </c>
      <c r="T749" s="2602">
        <v>0</v>
      </c>
      <c r="U749" s="2602">
        <v>7.5471698113207548</v>
      </c>
      <c r="V749" s="2602">
        <v>13.20754716981132</v>
      </c>
      <c r="W749" s="2602">
        <v>77.35849056603773</v>
      </c>
    </row>
    <row r="750" spans="8:23">
      <c r="H750" s="7194"/>
      <c r="I750" s="2600">
        <v>98</v>
      </c>
      <c r="J750" s="2601" t="s">
        <v>1971</v>
      </c>
      <c r="K750" s="2601" t="s">
        <v>1941</v>
      </c>
      <c r="L750" s="2601"/>
      <c r="M750" s="2601"/>
      <c r="N750" s="2600">
        <v>135</v>
      </c>
      <c r="O750" s="2600">
        <v>63</v>
      </c>
      <c r="P750" s="2604">
        <f t="shared" si="13"/>
        <v>46.666666666666664</v>
      </c>
      <c r="Q750" s="2603">
        <v>82.539682539682545</v>
      </c>
      <c r="R750" s="2603">
        <v>17.460317460317459</v>
      </c>
      <c r="S750" s="2602">
        <v>1.8867924528301887</v>
      </c>
      <c r="T750" s="2602">
        <v>0</v>
      </c>
      <c r="U750" s="2602">
        <v>8.7719298245614041</v>
      </c>
      <c r="V750" s="2602">
        <v>10.526315789473685</v>
      </c>
      <c r="W750" s="2602">
        <v>77.192982456140356</v>
      </c>
    </row>
    <row r="751" spans="8:23">
      <c r="H751" s="7194"/>
      <c r="I751" s="2600">
        <v>98</v>
      </c>
      <c r="J751" s="2601" t="s">
        <v>1971</v>
      </c>
      <c r="K751" s="2601" t="s">
        <v>1331</v>
      </c>
      <c r="L751" s="2601"/>
      <c r="M751" s="2601"/>
      <c r="N751" s="2600">
        <v>208</v>
      </c>
      <c r="O751" s="2600">
        <v>68</v>
      </c>
      <c r="P751" s="2604">
        <f t="shared" si="13"/>
        <v>32.692307692307693</v>
      </c>
      <c r="Q751" s="2603">
        <v>85.294117647058826</v>
      </c>
      <c r="R751" s="2603">
        <v>14.705882352941176</v>
      </c>
      <c r="S751" s="2602">
        <v>3.5087719298245612</v>
      </c>
      <c r="T751" s="2602">
        <v>11.111111111111111</v>
      </c>
      <c r="U751" s="2602">
        <v>13.131313131313131</v>
      </c>
      <c r="V751" s="2602">
        <v>31.313131313131311</v>
      </c>
      <c r="W751" s="2602">
        <v>43.434343434343432</v>
      </c>
    </row>
    <row r="752" spans="8:23">
      <c r="H752" s="7194"/>
      <c r="I752" s="2600">
        <v>99</v>
      </c>
      <c r="J752" s="2601" t="s">
        <v>1972</v>
      </c>
      <c r="K752" s="2601" t="s">
        <v>1941</v>
      </c>
      <c r="L752" s="2601"/>
      <c r="M752" s="2601"/>
      <c r="N752" s="2600">
        <v>347</v>
      </c>
      <c r="O752" s="2600">
        <v>162</v>
      </c>
      <c r="P752" s="2604">
        <f t="shared" si="13"/>
        <v>46.685878962536023</v>
      </c>
      <c r="Q752" s="2603">
        <v>63.125</v>
      </c>
      <c r="R752" s="2603">
        <v>36.875</v>
      </c>
      <c r="S752" s="2602">
        <v>1.0101010101010102</v>
      </c>
      <c r="T752" s="2602">
        <v>2.816901408450704</v>
      </c>
      <c r="U752" s="2602">
        <v>8.4507042253521121</v>
      </c>
      <c r="V752" s="2602">
        <v>18.309859154929576</v>
      </c>
      <c r="W752" s="2602">
        <v>70.422535211267601</v>
      </c>
    </row>
    <row r="753" spans="8:23">
      <c r="H753" s="7194"/>
      <c r="I753" s="2600">
        <v>99</v>
      </c>
      <c r="J753" s="2601" t="s">
        <v>1972</v>
      </c>
      <c r="K753" s="2601" t="s">
        <v>1331</v>
      </c>
      <c r="L753" s="2601"/>
      <c r="M753" s="2601"/>
      <c r="N753" s="2600">
        <v>188</v>
      </c>
      <c r="O753" s="2600">
        <v>79</v>
      </c>
      <c r="P753" s="2604">
        <f t="shared" si="13"/>
        <v>42.021276595744681</v>
      </c>
      <c r="Q753" s="2603">
        <v>88.607594936708864</v>
      </c>
      <c r="R753" s="2603">
        <v>11.39240506329114</v>
      </c>
      <c r="S753" s="2602">
        <v>0</v>
      </c>
      <c r="T753" s="2602">
        <v>3.7037037037037037</v>
      </c>
      <c r="U753" s="2602">
        <v>11.111111111111111</v>
      </c>
      <c r="V753" s="2602">
        <v>9.8765432098765427</v>
      </c>
      <c r="W753" s="2602">
        <v>67.901234567901241</v>
      </c>
    </row>
    <row r="754" spans="8:23">
      <c r="H754" s="7194"/>
      <c r="I754" s="2600">
        <v>104</v>
      </c>
      <c r="J754" s="2601" t="s">
        <v>1973</v>
      </c>
      <c r="K754" s="2601" t="s">
        <v>1941</v>
      </c>
      <c r="L754" s="2601"/>
      <c r="M754" s="2601"/>
      <c r="N754" s="2600">
        <v>211</v>
      </c>
      <c r="O754" s="2600">
        <v>96</v>
      </c>
      <c r="P754" s="2604">
        <f t="shared" si="13"/>
        <v>45.497630331753555</v>
      </c>
      <c r="Q754" s="2603">
        <v>86.458333333333329</v>
      </c>
      <c r="R754" s="2603">
        <v>13.541666666666666</v>
      </c>
      <c r="S754" s="2602">
        <v>7.4074074074074074</v>
      </c>
      <c r="T754" s="2602">
        <v>4.5454545454545459</v>
      </c>
      <c r="U754" s="2602">
        <v>13.636363636363637</v>
      </c>
      <c r="V754" s="2602">
        <v>9.0909090909090917</v>
      </c>
      <c r="W754" s="2602">
        <v>72.727272727272734</v>
      </c>
    </row>
    <row r="755" spans="8:23">
      <c r="H755" s="7194"/>
      <c r="I755" s="2600">
        <v>104</v>
      </c>
      <c r="J755" s="2601" t="s">
        <v>1973</v>
      </c>
      <c r="K755" s="2601" t="s">
        <v>1331</v>
      </c>
      <c r="L755" s="2601"/>
      <c r="M755" s="2601"/>
      <c r="N755" s="2600">
        <v>123</v>
      </c>
      <c r="O755" s="2600">
        <v>25</v>
      </c>
      <c r="P755" s="2604">
        <f t="shared" si="13"/>
        <v>20.325203252032519</v>
      </c>
      <c r="Q755" s="2603">
        <v>88</v>
      </c>
      <c r="R755" s="2603">
        <v>12</v>
      </c>
      <c r="S755" s="2602">
        <v>0</v>
      </c>
      <c r="T755" s="2602">
        <v>5</v>
      </c>
      <c r="U755" s="2602">
        <v>5</v>
      </c>
      <c r="V755" s="2602">
        <v>20</v>
      </c>
      <c r="W755" s="2602">
        <v>70</v>
      </c>
    </row>
    <row r="756" spans="8:23">
      <c r="H756" s="7194"/>
      <c r="I756" s="2600">
        <v>110</v>
      </c>
      <c r="J756" s="2601" t="s">
        <v>1974</v>
      </c>
      <c r="K756" s="2601" t="s">
        <v>1941</v>
      </c>
      <c r="L756" s="2601"/>
      <c r="M756" s="2601"/>
      <c r="N756" s="2600">
        <v>113</v>
      </c>
      <c r="O756" s="2600">
        <v>64</v>
      </c>
      <c r="P756" s="2604">
        <f t="shared" si="13"/>
        <v>56.637168141592923</v>
      </c>
      <c r="Q756" s="2603">
        <v>31.25</v>
      </c>
      <c r="R756" s="2603">
        <v>68.75</v>
      </c>
      <c r="S756" s="2602">
        <v>0</v>
      </c>
      <c r="T756" s="2602">
        <v>0</v>
      </c>
      <c r="U756" s="2602">
        <v>12.5</v>
      </c>
      <c r="V756" s="2602">
        <v>25</v>
      </c>
      <c r="W756" s="2602">
        <v>62.5</v>
      </c>
    </row>
    <row r="757" spans="8:23">
      <c r="H757" s="7194"/>
      <c r="I757" s="2600">
        <v>110</v>
      </c>
      <c r="J757" s="2601" t="s">
        <v>1974</v>
      </c>
      <c r="K757" s="2601" t="s">
        <v>1331</v>
      </c>
      <c r="L757" s="2601"/>
      <c r="M757" s="2601"/>
      <c r="N757" s="2600">
        <v>44</v>
      </c>
      <c r="O757" s="2600">
        <v>9</v>
      </c>
      <c r="P757" s="2604">
        <f t="shared" si="13"/>
        <v>20.454545454545453</v>
      </c>
      <c r="Q757" s="2603">
        <v>88.888888888888886</v>
      </c>
      <c r="R757" s="2603">
        <v>11.111111111111111</v>
      </c>
      <c r="S757" s="2602">
        <v>0</v>
      </c>
      <c r="T757" s="2602">
        <v>4.2372881355932206</v>
      </c>
      <c r="U757" s="2602">
        <v>14.40677966101695</v>
      </c>
      <c r="V757" s="2602">
        <v>11.016949152542374</v>
      </c>
      <c r="W757" s="2602">
        <v>66.101694915254242</v>
      </c>
    </row>
    <row r="758" spans="8:23">
      <c r="H758" s="7194"/>
      <c r="I758" s="2600">
        <v>51</v>
      </c>
      <c r="J758" s="2601" t="s">
        <v>1975</v>
      </c>
      <c r="K758" s="2601" t="s">
        <v>1946</v>
      </c>
      <c r="L758" s="2601"/>
      <c r="M758" s="2601"/>
      <c r="N758" s="2600">
        <v>694</v>
      </c>
      <c r="O758" s="2600">
        <v>130</v>
      </c>
      <c r="P758" s="2604">
        <f t="shared" si="13"/>
        <v>18.731988472622479</v>
      </c>
      <c r="Q758" s="2603">
        <v>90.769230769230774</v>
      </c>
      <c r="R758" s="2603">
        <v>9.2307692307692299</v>
      </c>
      <c r="S758" s="2602">
        <v>4.2372881355932206</v>
      </c>
      <c r="T758" s="2602">
        <v>1.3333333333333333</v>
      </c>
      <c r="U758" s="2602">
        <v>6.666666666666667</v>
      </c>
      <c r="V758" s="2602">
        <v>24.666666666666668</v>
      </c>
      <c r="W758" s="2602">
        <v>66</v>
      </c>
    </row>
    <row r="759" spans="8:23">
      <c r="H759" s="7194"/>
      <c r="I759" s="2600">
        <v>51</v>
      </c>
      <c r="J759" s="2601" t="s">
        <v>1975</v>
      </c>
      <c r="K759" s="2601" t="s">
        <v>1941</v>
      </c>
      <c r="L759" s="2601"/>
      <c r="M759" s="2601"/>
      <c r="N759" s="2600">
        <v>259</v>
      </c>
      <c r="O759" s="2600">
        <v>199</v>
      </c>
      <c r="P759" s="2604">
        <f t="shared" si="13"/>
        <v>76.833976833976834</v>
      </c>
      <c r="Q759" s="2603">
        <v>75.879396984924625</v>
      </c>
      <c r="R759" s="2603">
        <v>24.120603015075378</v>
      </c>
      <c r="S759" s="2602">
        <v>1.3333333333333333</v>
      </c>
      <c r="T759" s="2614">
        <v>0.88495575221238942</v>
      </c>
      <c r="U759" s="2614">
        <v>4.4247787610619467</v>
      </c>
      <c r="V759" s="2614">
        <v>21.238938053097346</v>
      </c>
      <c r="W759" s="2614">
        <v>73.451327433628322</v>
      </c>
    </row>
    <row r="760" spans="8:23">
      <c r="H760" s="7194"/>
      <c r="I760" s="2612">
        <v>51</v>
      </c>
      <c r="J760" s="2613" t="s">
        <v>1975</v>
      </c>
      <c r="K760" s="2613" t="s">
        <v>1331</v>
      </c>
      <c r="L760" s="2613"/>
      <c r="M760" s="2613"/>
      <c r="N760" s="2612">
        <v>180</v>
      </c>
      <c r="O760" s="2612">
        <v>123</v>
      </c>
      <c r="P760" s="2629">
        <f t="shared" si="13"/>
        <v>68.333333333333329</v>
      </c>
      <c r="Q760" s="2615">
        <v>92.622950819672127</v>
      </c>
      <c r="R760" s="2615">
        <v>7.3770491803278686</v>
      </c>
      <c r="S760" s="2614">
        <v>0</v>
      </c>
      <c r="T760" s="2598">
        <v>13.888888888888889</v>
      </c>
      <c r="U760" s="2598">
        <v>8.3333333333333339</v>
      </c>
      <c r="V760" s="2598">
        <v>0</v>
      </c>
      <c r="W760" s="2598">
        <v>69.444444444444443</v>
      </c>
    </row>
    <row r="761" spans="8:23">
      <c r="H761" s="7194" t="s">
        <v>41</v>
      </c>
      <c r="I761" s="2616">
        <v>62</v>
      </c>
      <c r="J761" s="2617" t="s">
        <v>1976</v>
      </c>
      <c r="K761" s="2617" t="s">
        <v>1946</v>
      </c>
      <c r="L761" s="2617"/>
      <c r="M761" s="2617"/>
      <c r="N761" s="2616">
        <v>190</v>
      </c>
      <c r="O761" s="2616">
        <v>54</v>
      </c>
      <c r="P761" s="2627">
        <f t="shared" si="13"/>
        <v>28.421052631578949</v>
      </c>
      <c r="Q761" s="2599">
        <v>66.666666666666671</v>
      </c>
      <c r="R761" s="2599">
        <v>33.333333333333336</v>
      </c>
      <c r="S761" s="2598">
        <v>8.3333333333333339</v>
      </c>
      <c r="T761" s="2602">
        <v>7.1428571428571432</v>
      </c>
      <c r="U761" s="2602">
        <v>14.285714285714286</v>
      </c>
      <c r="V761" s="2602">
        <v>0</v>
      </c>
      <c r="W761" s="2602">
        <v>78.571428571428569</v>
      </c>
    </row>
    <row r="762" spans="8:23">
      <c r="H762" s="7194"/>
      <c r="I762" s="2600">
        <v>107</v>
      </c>
      <c r="J762" s="2601" t="s">
        <v>1977</v>
      </c>
      <c r="K762" s="2601" t="s">
        <v>1946</v>
      </c>
      <c r="L762" s="2601"/>
      <c r="M762" s="2601"/>
      <c r="N762" s="2600">
        <v>96</v>
      </c>
      <c r="O762" s="2600">
        <v>32</v>
      </c>
      <c r="P762" s="2604">
        <f t="shared" si="13"/>
        <v>33.333333333333336</v>
      </c>
      <c r="Q762" s="2603">
        <v>87.5</v>
      </c>
      <c r="R762" s="2603">
        <v>12.5</v>
      </c>
      <c r="S762" s="2602">
        <v>0</v>
      </c>
      <c r="T762" s="2602">
        <v>3.8461538461538463</v>
      </c>
      <c r="U762" s="2602">
        <v>34.615384615384613</v>
      </c>
      <c r="V762" s="2602">
        <v>7.6923076923076925</v>
      </c>
      <c r="W762" s="2602">
        <v>50</v>
      </c>
    </row>
    <row r="763" spans="8:23">
      <c r="H763" s="7194"/>
      <c r="I763" s="2600">
        <v>59</v>
      </c>
      <c r="J763" s="2601" t="s">
        <v>1978</v>
      </c>
      <c r="K763" s="2601" t="s">
        <v>1941</v>
      </c>
      <c r="L763" s="2601"/>
      <c r="M763" s="2601"/>
      <c r="N763" s="2600">
        <v>82</v>
      </c>
      <c r="O763" s="2600">
        <v>37</v>
      </c>
      <c r="P763" s="2604">
        <f t="shared" si="13"/>
        <v>45.121951219512198</v>
      </c>
      <c r="Q763" s="2603">
        <v>72.972972972972968</v>
      </c>
      <c r="R763" s="2603">
        <v>27.027027027027028</v>
      </c>
      <c r="S763" s="2602">
        <v>3.8461538461538463</v>
      </c>
      <c r="T763" s="2602">
        <v>7.8431372549019605</v>
      </c>
      <c r="U763" s="2602">
        <v>7.8431372549019605</v>
      </c>
      <c r="V763" s="2602">
        <v>17.647058823529413</v>
      </c>
      <c r="W763" s="2602">
        <v>62.745098039215684</v>
      </c>
    </row>
    <row r="764" spans="8:23">
      <c r="H764" s="7194"/>
      <c r="I764" s="2600">
        <v>117</v>
      </c>
      <c r="J764" s="2601" t="s">
        <v>1979</v>
      </c>
      <c r="K764" s="2601" t="s">
        <v>1941</v>
      </c>
      <c r="L764" s="2601"/>
      <c r="M764" s="2601"/>
      <c r="N764" s="2600">
        <v>147</v>
      </c>
      <c r="O764" s="2600">
        <v>65</v>
      </c>
      <c r="P764" s="2604">
        <f t="shared" si="13"/>
        <v>44.217687074829932</v>
      </c>
      <c r="Q764" s="2603">
        <v>78.461538461538467</v>
      </c>
      <c r="R764" s="2603">
        <v>21.53846153846154</v>
      </c>
      <c r="S764" s="2602">
        <v>3.9215686274509802</v>
      </c>
      <c r="T764" s="2602">
        <v>0</v>
      </c>
      <c r="U764" s="2602">
        <v>1.6304347826086956</v>
      </c>
      <c r="V764" s="2602">
        <v>6.5217391304347823</v>
      </c>
      <c r="W764" s="2602">
        <v>91.847826086956516</v>
      </c>
    </row>
    <row r="765" spans="8:23">
      <c r="H765" s="7194"/>
      <c r="I765" s="2600">
        <v>146</v>
      </c>
      <c r="J765" s="2601" t="s">
        <v>1980</v>
      </c>
      <c r="K765" s="2601" t="s">
        <v>1331</v>
      </c>
      <c r="L765" s="2601"/>
      <c r="M765" s="2601"/>
      <c r="N765" s="2600">
        <v>115</v>
      </c>
      <c r="O765" s="2600">
        <v>190</v>
      </c>
      <c r="P765" s="2604">
        <f t="shared" si="13"/>
        <v>165.21739130434781</v>
      </c>
      <c r="Q765" s="2603">
        <v>97.368421052631575</v>
      </c>
      <c r="R765" s="2603">
        <v>2.6315789473684212</v>
      </c>
      <c r="S765" s="2602">
        <v>0</v>
      </c>
      <c r="T765" s="2602">
        <v>3.3898305084745761</v>
      </c>
      <c r="U765" s="2602">
        <v>8.4745762711864412</v>
      </c>
      <c r="V765" s="2602">
        <v>11.864406779661017</v>
      </c>
      <c r="W765" s="2602">
        <v>73.728813559322035</v>
      </c>
    </row>
    <row r="766" spans="8:23">
      <c r="H766" s="7194"/>
      <c r="I766" s="2600">
        <v>61</v>
      </c>
      <c r="J766" s="2601" t="s">
        <v>1362</v>
      </c>
      <c r="K766" s="2601" t="s">
        <v>1941</v>
      </c>
      <c r="L766" s="2601"/>
      <c r="M766" s="2601"/>
      <c r="N766" s="2600">
        <v>329</v>
      </c>
      <c r="O766" s="2600">
        <v>193</v>
      </c>
      <c r="P766" s="2604">
        <f t="shared" si="13"/>
        <v>58.662613981762917</v>
      </c>
      <c r="Q766" s="2603">
        <v>63.212435233160619</v>
      </c>
      <c r="R766" s="2603">
        <v>36.787564766839381</v>
      </c>
      <c r="S766" s="2602">
        <v>2.5423728813559321</v>
      </c>
      <c r="T766" s="2602">
        <v>4.0816326530612246</v>
      </c>
      <c r="U766" s="2602">
        <v>10.204081632653061</v>
      </c>
      <c r="V766" s="2602">
        <v>14.285714285714286</v>
      </c>
      <c r="W766" s="2602">
        <v>67.34693877551021</v>
      </c>
    </row>
    <row r="767" spans="8:23">
      <c r="H767" s="7194"/>
      <c r="I767" s="2600">
        <v>61</v>
      </c>
      <c r="J767" s="2601" t="s">
        <v>1362</v>
      </c>
      <c r="K767" s="2601" t="s">
        <v>1331</v>
      </c>
      <c r="L767" s="2601"/>
      <c r="M767" s="2601"/>
      <c r="N767" s="2600">
        <v>181</v>
      </c>
      <c r="O767" s="2600">
        <v>63</v>
      </c>
      <c r="P767" s="2604">
        <f t="shared" si="13"/>
        <v>34.806629834254146</v>
      </c>
      <c r="Q767" s="2603">
        <v>77.777777777777771</v>
      </c>
      <c r="R767" s="2603">
        <v>22.222222222222221</v>
      </c>
      <c r="S767" s="2602">
        <v>4.0816326530612246</v>
      </c>
      <c r="T767" s="2602">
        <v>10.909090909090908</v>
      </c>
      <c r="U767" s="2602">
        <v>3.6363636363636362</v>
      </c>
      <c r="V767" s="2602">
        <v>10.909090909090908</v>
      </c>
      <c r="W767" s="2602">
        <v>72.727272727272734</v>
      </c>
    </row>
    <row r="768" spans="8:23">
      <c r="H768" s="7194"/>
      <c r="I768" s="2600">
        <v>116</v>
      </c>
      <c r="J768" s="2601" t="s">
        <v>1981</v>
      </c>
      <c r="K768" s="2601" t="s">
        <v>1941</v>
      </c>
      <c r="L768" s="2601"/>
      <c r="M768" s="2601"/>
      <c r="N768" s="2600">
        <v>188</v>
      </c>
      <c r="O768" s="2600">
        <v>108</v>
      </c>
      <c r="P768" s="2604">
        <f t="shared" si="13"/>
        <v>57.446808510638299</v>
      </c>
      <c r="Q768" s="2603">
        <v>50.925925925925924</v>
      </c>
      <c r="R768" s="2603">
        <v>49.074074074074076</v>
      </c>
      <c r="S768" s="2602">
        <v>1.8181818181818181</v>
      </c>
      <c r="T768" s="2622">
        <v>0</v>
      </c>
      <c r="U768" s="2622">
        <v>10.869565217391305</v>
      </c>
      <c r="V768" s="2622">
        <v>17.391304347826086</v>
      </c>
      <c r="W768" s="2622">
        <v>69.565217391304344</v>
      </c>
    </row>
    <row r="769" spans="8:23">
      <c r="H769" s="7194"/>
      <c r="I769" s="2607">
        <v>116</v>
      </c>
      <c r="J769" s="2608" t="s">
        <v>1981</v>
      </c>
      <c r="K769" s="2608" t="s">
        <v>1331</v>
      </c>
      <c r="L769" s="2608"/>
      <c r="M769" s="2608"/>
      <c r="N769" s="2607">
        <v>77</v>
      </c>
      <c r="O769" s="2607">
        <v>54</v>
      </c>
      <c r="P769" s="2611">
        <f t="shared" si="13"/>
        <v>70.129870129870127</v>
      </c>
      <c r="Q769" s="2623">
        <v>88.888888888888886</v>
      </c>
      <c r="R769" s="2623">
        <v>11.111111111111111</v>
      </c>
      <c r="S769" s="2622">
        <v>2.1739130434782608</v>
      </c>
      <c r="T769" s="2626"/>
      <c r="U769" s="2626"/>
      <c r="V769" s="2626"/>
      <c r="W769" s="2626"/>
    </row>
    <row r="770" spans="8:23">
      <c r="H770" s="1546" t="s">
        <v>74</v>
      </c>
      <c r="I770" s="2625"/>
      <c r="J770" s="2625"/>
      <c r="K770" s="2625"/>
      <c r="L770" s="2625"/>
      <c r="M770" s="2625"/>
      <c r="N770" s="2625"/>
      <c r="O770" s="2625"/>
      <c r="P770" s="2625"/>
      <c r="Q770" s="2625"/>
      <c r="R770" s="2625"/>
      <c r="S770" s="2626"/>
      <c r="T770" s="2598">
        <v>5.882352941176471</v>
      </c>
      <c r="U770" s="2598">
        <v>11.764705882352942</v>
      </c>
      <c r="V770" s="2598">
        <v>5.882352941176471</v>
      </c>
      <c r="W770" s="2598">
        <v>76.470588235294116</v>
      </c>
    </row>
    <row r="771" spans="8:23">
      <c r="H771" s="7197" t="s">
        <v>16</v>
      </c>
      <c r="I771" s="2616" t="s">
        <v>1982</v>
      </c>
      <c r="J771" s="2630" t="s">
        <v>1386</v>
      </c>
      <c r="K771" s="2630" t="s">
        <v>1941</v>
      </c>
      <c r="L771" s="2630"/>
      <c r="M771" s="2630"/>
      <c r="N771" s="2616">
        <v>85</v>
      </c>
      <c r="O771" s="2616">
        <v>22</v>
      </c>
      <c r="P771" s="2627">
        <f>O771*100/N771</f>
        <v>25.882352941176471</v>
      </c>
      <c r="Q771" s="2627">
        <v>22.222222222222221</v>
      </c>
      <c r="R771" s="2627">
        <v>18.181818181818183</v>
      </c>
      <c r="S771" s="2598">
        <v>0</v>
      </c>
      <c r="T771" s="2602">
        <v>0</v>
      </c>
      <c r="U771" s="2602">
        <v>13.636363636363637</v>
      </c>
      <c r="V771" s="2602">
        <v>22.727272727272727</v>
      </c>
      <c r="W771" s="2602">
        <v>62.121212121212125</v>
      </c>
    </row>
    <row r="772" spans="8:23">
      <c r="H772" s="7198"/>
      <c r="I772" s="2600">
        <v>70</v>
      </c>
      <c r="J772" s="2601" t="s">
        <v>1983</v>
      </c>
      <c r="K772" s="2601" t="s">
        <v>1941</v>
      </c>
      <c r="L772" s="2601"/>
      <c r="M772" s="2601"/>
      <c r="N772" s="2600">
        <v>132</v>
      </c>
      <c r="O772" s="2600">
        <v>76</v>
      </c>
      <c r="P772" s="2604">
        <f t="shared" ref="P772:P801" si="14">O772*100/N772</f>
        <v>57.575757575757578</v>
      </c>
      <c r="Q772" s="2604">
        <v>15.151515151515152</v>
      </c>
      <c r="R772" s="2604">
        <v>13.157894736842104</v>
      </c>
      <c r="S772" s="2602">
        <v>1.5151515151515151</v>
      </c>
      <c r="T772" s="2602">
        <v>1.5625</v>
      </c>
      <c r="U772" s="2602">
        <v>4.6875</v>
      </c>
      <c r="V772" s="2602">
        <v>10.9375</v>
      </c>
      <c r="W772" s="2602">
        <v>82.8125</v>
      </c>
    </row>
    <row r="773" spans="8:23">
      <c r="H773" s="7198"/>
      <c r="I773" s="2600" t="s">
        <v>1984</v>
      </c>
      <c r="J773" s="2601" t="s">
        <v>1985</v>
      </c>
      <c r="K773" s="2601" t="s">
        <v>1946</v>
      </c>
      <c r="L773" s="2601"/>
      <c r="M773" s="2601"/>
      <c r="N773" s="2600">
        <v>154</v>
      </c>
      <c r="O773" s="2600">
        <v>78</v>
      </c>
      <c r="P773" s="2604">
        <f t="shared" si="14"/>
        <v>50.649350649350652</v>
      </c>
      <c r="Q773" s="2604">
        <v>23.80952380952381</v>
      </c>
      <c r="R773" s="2604">
        <v>19.23076923076923</v>
      </c>
      <c r="S773" s="2602">
        <v>0</v>
      </c>
      <c r="T773" s="2602">
        <v>50</v>
      </c>
      <c r="U773" s="2602">
        <v>50</v>
      </c>
      <c r="V773" s="2602">
        <v>0</v>
      </c>
      <c r="W773" s="2602">
        <v>0</v>
      </c>
    </row>
    <row r="774" spans="8:23">
      <c r="H774" s="7198"/>
      <c r="I774" s="2600">
        <v>90</v>
      </c>
      <c r="J774" s="2601" t="s">
        <v>1985</v>
      </c>
      <c r="K774" s="2601" t="s">
        <v>1941</v>
      </c>
      <c r="L774" s="2601"/>
      <c r="M774" s="2601"/>
      <c r="N774" s="2600">
        <v>101</v>
      </c>
      <c r="O774" s="2600">
        <v>2</v>
      </c>
      <c r="P774" s="2604">
        <f t="shared" si="14"/>
        <v>1.9801980198019802</v>
      </c>
      <c r="Q774" s="2604">
        <v>0</v>
      </c>
      <c r="R774" s="2604">
        <v>0</v>
      </c>
      <c r="S774" s="2602">
        <v>0</v>
      </c>
      <c r="T774" s="2602">
        <v>3.7735849056603774</v>
      </c>
      <c r="U774" s="2602">
        <v>7.5471698113207548</v>
      </c>
      <c r="V774" s="2602">
        <v>30.188679245283019</v>
      </c>
      <c r="W774" s="2602">
        <v>58.490566037735846</v>
      </c>
    </row>
    <row r="775" spans="8:23">
      <c r="H775" s="7198"/>
      <c r="I775" s="2600">
        <v>91</v>
      </c>
      <c r="J775" s="2601" t="s">
        <v>1986</v>
      </c>
      <c r="K775" s="2601" t="s">
        <v>1941</v>
      </c>
      <c r="L775" s="2601"/>
      <c r="M775" s="2601"/>
      <c r="N775" s="2600">
        <v>130</v>
      </c>
      <c r="O775" s="2600">
        <v>61</v>
      </c>
      <c r="P775" s="2604">
        <f t="shared" si="14"/>
        <v>46.92307692307692</v>
      </c>
      <c r="Q775" s="2604">
        <v>15.09433962264151</v>
      </c>
      <c r="R775" s="2604">
        <v>13.114754098360656</v>
      </c>
      <c r="S775" s="2602">
        <v>0</v>
      </c>
      <c r="T775" s="2602">
        <v>1.5625</v>
      </c>
      <c r="U775" s="2602">
        <v>15.625</v>
      </c>
      <c r="V775" s="2602">
        <v>6.25</v>
      </c>
      <c r="W775" s="2602">
        <v>71.875</v>
      </c>
    </row>
    <row r="776" spans="8:23">
      <c r="H776" s="7198"/>
      <c r="I776" s="2600">
        <v>93</v>
      </c>
      <c r="J776" s="2601" t="s">
        <v>1987</v>
      </c>
      <c r="K776" s="2601" t="s">
        <v>1941</v>
      </c>
      <c r="L776" s="2601"/>
      <c r="M776" s="2601"/>
      <c r="N776" s="2600">
        <v>111</v>
      </c>
      <c r="O776" s="2600">
        <v>71</v>
      </c>
      <c r="P776" s="2604">
        <f t="shared" si="14"/>
        <v>63.963963963963963</v>
      </c>
      <c r="Q776" s="2604">
        <v>10.9375</v>
      </c>
      <c r="R776" s="2604">
        <v>9.8591549295774641</v>
      </c>
      <c r="S776" s="2602">
        <v>4.6875</v>
      </c>
      <c r="T776" s="2602">
        <v>5.882352941176471</v>
      </c>
      <c r="U776" s="2602">
        <v>14.705882352941176</v>
      </c>
      <c r="V776" s="2602">
        <v>14.705882352941176</v>
      </c>
      <c r="W776" s="2602">
        <v>61.764705882352942</v>
      </c>
    </row>
    <row r="777" spans="8:23">
      <c r="H777" s="7198"/>
      <c r="I777" s="2600">
        <v>103</v>
      </c>
      <c r="J777" s="2601" t="s">
        <v>1398</v>
      </c>
      <c r="K777" s="2601" t="s">
        <v>1941</v>
      </c>
      <c r="L777" s="2601"/>
      <c r="M777" s="2601"/>
      <c r="N777" s="2600">
        <v>82</v>
      </c>
      <c r="O777" s="2600">
        <v>46</v>
      </c>
      <c r="P777" s="2604">
        <f t="shared" si="14"/>
        <v>56.097560975609753</v>
      </c>
      <c r="Q777" s="2604">
        <v>31.428571428571427</v>
      </c>
      <c r="R777" s="2604">
        <v>23.913043478260871</v>
      </c>
      <c r="S777" s="2602">
        <v>2.9411764705882355</v>
      </c>
      <c r="T777" s="2602">
        <v>12.5</v>
      </c>
      <c r="U777" s="2602">
        <v>0</v>
      </c>
      <c r="V777" s="2602">
        <v>75</v>
      </c>
      <c r="W777" s="2602">
        <v>12.5</v>
      </c>
    </row>
    <row r="778" spans="8:23">
      <c r="H778" s="7198"/>
      <c r="I778" s="2600">
        <v>150</v>
      </c>
      <c r="J778" s="2601" t="s">
        <v>1988</v>
      </c>
      <c r="K778" s="2601" t="s">
        <v>1941</v>
      </c>
      <c r="L778" s="2601"/>
      <c r="M778" s="2601"/>
      <c r="N778" s="2600">
        <v>21</v>
      </c>
      <c r="O778" s="2600">
        <v>10</v>
      </c>
      <c r="P778" s="2604">
        <f t="shared" si="14"/>
        <v>47.61904761904762</v>
      </c>
      <c r="Q778" s="2604">
        <v>42.857142857142854</v>
      </c>
      <c r="R778" s="2604">
        <v>30</v>
      </c>
      <c r="S778" s="2602">
        <v>0</v>
      </c>
      <c r="T778" s="2602">
        <v>0</v>
      </c>
      <c r="U778" s="2602">
        <v>0</v>
      </c>
      <c r="V778" s="2602">
        <v>0</v>
      </c>
      <c r="W778" s="2602">
        <v>0</v>
      </c>
    </row>
    <row r="779" spans="8:23">
      <c r="H779" s="7198"/>
      <c r="I779" s="2600">
        <v>156</v>
      </c>
      <c r="J779" s="2601" t="s">
        <v>1383</v>
      </c>
      <c r="K779" s="2601" t="s">
        <v>1946</v>
      </c>
      <c r="L779" s="2601"/>
      <c r="M779" s="2601"/>
      <c r="N779" s="2600">
        <v>16</v>
      </c>
      <c r="O779" s="2600">
        <v>0</v>
      </c>
      <c r="P779" s="2604">
        <f t="shared" si="14"/>
        <v>0</v>
      </c>
      <c r="Q779" s="2604">
        <v>0</v>
      </c>
      <c r="R779" s="2604">
        <v>0</v>
      </c>
      <c r="S779" s="2602">
        <v>0</v>
      </c>
      <c r="T779" s="2602">
        <v>15.384615384615385</v>
      </c>
      <c r="U779" s="2602">
        <v>7.6923076923076925</v>
      </c>
      <c r="V779" s="2602">
        <v>7.6923076923076925</v>
      </c>
      <c r="W779" s="2602">
        <v>61.53846153846154</v>
      </c>
    </row>
    <row r="780" spans="8:23">
      <c r="H780" s="7198"/>
      <c r="I780" s="2600">
        <v>156</v>
      </c>
      <c r="J780" s="2601" t="s">
        <v>1989</v>
      </c>
      <c r="K780" s="2601" t="s">
        <v>1941</v>
      </c>
      <c r="L780" s="2601"/>
      <c r="M780" s="2601"/>
      <c r="N780" s="2600">
        <v>35</v>
      </c>
      <c r="O780" s="2600">
        <v>17</v>
      </c>
      <c r="P780" s="2604">
        <f t="shared" si="14"/>
        <v>48.571428571428569</v>
      </c>
      <c r="Q780" s="2604">
        <v>21.428571428571427</v>
      </c>
      <c r="R780" s="2604">
        <v>17.647058823529413</v>
      </c>
      <c r="S780" s="2602">
        <v>7.6923076923076925</v>
      </c>
      <c r="T780" s="2602">
        <v>3.08</v>
      </c>
      <c r="U780" s="2602">
        <v>6.15</v>
      </c>
      <c r="V780" s="2602">
        <v>21.54</v>
      </c>
      <c r="W780" s="2602">
        <v>69.23</v>
      </c>
    </row>
    <row r="781" spans="8:23">
      <c r="H781" s="7198"/>
      <c r="I781" s="2600">
        <v>71</v>
      </c>
      <c r="J781" s="2601" t="s">
        <v>1990</v>
      </c>
      <c r="K781" s="2601" t="s">
        <v>1941</v>
      </c>
      <c r="L781" s="2601"/>
      <c r="M781" s="2601"/>
      <c r="N781" s="2600">
        <v>141</v>
      </c>
      <c r="O781" s="2600">
        <v>78</v>
      </c>
      <c r="P781" s="2604">
        <f>O781*100/N781</f>
        <v>55.319148936170215</v>
      </c>
      <c r="Q781" s="2604">
        <v>84.62</v>
      </c>
      <c r="R781" s="2604">
        <v>15.38</v>
      </c>
      <c r="S781" s="2602">
        <v>0</v>
      </c>
      <c r="T781" s="2602">
        <v>0</v>
      </c>
      <c r="U781" s="2602">
        <v>0.99009900990099009</v>
      </c>
      <c r="V781" s="2602">
        <v>11.881188118811881</v>
      </c>
      <c r="W781" s="2602">
        <v>84.158415841584159</v>
      </c>
    </row>
    <row r="782" spans="8:23">
      <c r="H782" s="7198"/>
      <c r="I782" s="2600">
        <v>72</v>
      </c>
      <c r="J782" s="2601" t="s">
        <v>1991</v>
      </c>
      <c r="K782" s="2601" t="s">
        <v>1331</v>
      </c>
      <c r="L782" s="2601"/>
      <c r="M782" s="2601"/>
      <c r="N782" s="2600">
        <v>314</v>
      </c>
      <c r="O782" s="2600">
        <v>103</v>
      </c>
      <c r="P782" s="2604">
        <f t="shared" si="14"/>
        <v>32.802547770700635</v>
      </c>
      <c r="Q782" s="2604">
        <v>4.0404040404040407</v>
      </c>
      <c r="R782" s="2604">
        <v>3.883495145631068</v>
      </c>
      <c r="S782" s="2602">
        <v>2.9702970297029703</v>
      </c>
      <c r="T782" s="2602">
        <v>4.0816326530612246</v>
      </c>
      <c r="U782" s="2602">
        <v>7.1428571428571432</v>
      </c>
      <c r="V782" s="2602">
        <v>10.204081632653061</v>
      </c>
      <c r="W782" s="2602">
        <v>76.530612244897952</v>
      </c>
    </row>
    <row r="783" spans="8:23">
      <c r="H783" s="7198"/>
      <c r="I783" s="2600">
        <v>119</v>
      </c>
      <c r="J783" s="2601" t="s">
        <v>1992</v>
      </c>
      <c r="K783" s="2601" t="s">
        <v>1946</v>
      </c>
      <c r="L783" s="2601"/>
      <c r="M783" s="2601"/>
      <c r="N783" s="2600">
        <v>210</v>
      </c>
      <c r="O783" s="2600">
        <v>129</v>
      </c>
      <c r="P783" s="2604">
        <f t="shared" si="14"/>
        <v>61.428571428571431</v>
      </c>
      <c r="Q783" s="2604">
        <v>30.303030303030305</v>
      </c>
      <c r="R783" s="2604">
        <v>23.255813953488371</v>
      </c>
      <c r="S783" s="2602">
        <v>2.0408163265306123</v>
      </c>
      <c r="T783" s="2602">
        <v>0</v>
      </c>
      <c r="U783" s="2602">
        <v>0</v>
      </c>
      <c r="V783" s="2602">
        <v>0</v>
      </c>
      <c r="W783" s="2602">
        <v>0</v>
      </c>
    </row>
    <row r="784" spans="8:23">
      <c r="H784" s="7198"/>
      <c r="I784" s="2600">
        <v>119</v>
      </c>
      <c r="J784" s="2601" t="s">
        <v>1992</v>
      </c>
      <c r="K784" s="2601" t="s">
        <v>1941</v>
      </c>
      <c r="L784" s="2601"/>
      <c r="M784" s="2601"/>
      <c r="N784" s="2600">
        <v>258</v>
      </c>
      <c r="O784" s="2600">
        <v>2</v>
      </c>
      <c r="P784" s="2604">
        <f t="shared" si="14"/>
        <v>0.77519379844961245</v>
      </c>
      <c r="Q784" s="2604">
        <v>0</v>
      </c>
      <c r="R784" s="2604">
        <v>100</v>
      </c>
      <c r="S784" s="2602">
        <v>0</v>
      </c>
      <c r="T784" s="2622">
        <v>0</v>
      </c>
      <c r="U784" s="2622">
        <v>26.315789473684209</v>
      </c>
      <c r="V784" s="2622">
        <v>15.789473684210526</v>
      </c>
      <c r="W784" s="2622">
        <v>57.89473684210526</v>
      </c>
    </row>
    <row r="785" spans="8:23">
      <c r="H785" s="7199"/>
      <c r="I785" s="2607">
        <v>119</v>
      </c>
      <c r="J785" s="2608" t="s">
        <v>1992</v>
      </c>
      <c r="K785" s="2608" t="s">
        <v>1331</v>
      </c>
      <c r="L785" s="2608"/>
      <c r="M785" s="2608"/>
      <c r="N785" s="2607">
        <v>55</v>
      </c>
      <c r="O785" s="2607">
        <v>20</v>
      </c>
      <c r="P785" s="2611">
        <f t="shared" si="14"/>
        <v>36.363636363636367</v>
      </c>
      <c r="Q785" s="2611">
        <v>5.2631578947368425</v>
      </c>
      <c r="R785" s="2611">
        <v>5</v>
      </c>
      <c r="S785" s="2622">
        <v>0</v>
      </c>
      <c r="T785" s="2620">
        <v>0</v>
      </c>
      <c r="U785" s="2620">
        <v>0</v>
      </c>
      <c r="V785" s="2620">
        <v>0</v>
      </c>
      <c r="W785" s="2620">
        <v>0</v>
      </c>
    </row>
    <row r="786" spans="8:23">
      <c r="H786" s="7194" t="s">
        <v>41</v>
      </c>
      <c r="I786" s="2618">
        <v>102</v>
      </c>
      <c r="J786" s="2619" t="s">
        <v>1993</v>
      </c>
      <c r="K786" s="2619" t="s">
        <v>1946</v>
      </c>
      <c r="L786" s="2619"/>
      <c r="M786" s="2619"/>
      <c r="N786" s="2618">
        <v>0</v>
      </c>
      <c r="O786" s="2618">
        <v>0</v>
      </c>
      <c r="P786" s="2628">
        <v>0</v>
      </c>
      <c r="Q786" s="2628">
        <v>0</v>
      </c>
      <c r="R786" s="2628">
        <v>0</v>
      </c>
      <c r="S786" s="2620">
        <v>0</v>
      </c>
      <c r="T786" s="2602">
        <v>3.9682539682539684</v>
      </c>
      <c r="U786" s="2602">
        <v>16.666666666666668</v>
      </c>
      <c r="V786" s="2602">
        <v>23.015873015873016</v>
      </c>
      <c r="W786" s="2602">
        <v>53.174603174603178</v>
      </c>
    </row>
    <row r="787" spans="8:23" ht="27.75" customHeight="1">
      <c r="H787" s="7194"/>
      <c r="I787" s="2600">
        <v>82</v>
      </c>
      <c r="J787" s="2601" t="s">
        <v>1391</v>
      </c>
      <c r="K787" s="2601" t="s">
        <v>1941</v>
      </c>
      <c r="L787" s="2601"/>
      <c r="M787" s="2601"/>
      <c r="N787" s="2600">
        <v>189</v>
      </c>
      <c r="O787" s="2600">
        <v>142</v>
      </c>
      <c r="P787" s="2604">
        <f t="shared" si="14"/>
        <v>75.132275132275126</v>
      </c>
      <c r="Q787" s="2604">
        <v>11.904761904761905</v>
      </c>
      <c r="R787" s="2604">
        <v>10.638297872340425</v>
      </c>
      <c r="S787" s="2602">
        <v>3.1746031746031744</v>
      </c>
      <c r="T787" s="2602">
        <v>9.0909090909090917</v>
      </c>
      <c r="U787" s="2602">
        <v>16.666666666666668</v>
      </c>
      <c r="V787" s="2602">
        <v>15.151515151515152</v>
      </c>
      <c r="W787" s="2602">
        <v>57.575757575757578</v>
      </c>
    </row>
    <row r="788" spans="8:23">
      <c r="H788" s="7194"/>
      <c r="I788" s="2600">
        <v>83</v>
      </c>
      <c r="J788" s="2601" t="s">
        <v>1994</v>
      </c>
      <c r="K788" s="2601" t="s">
        <v>1941</v>
      </c>
      <c r="L788" s="2601"/>
      <c r="M788" s="2601"/>
      <c r="N788" s="2600">
        <v>104</v>
      </c>
      <c r="O788" s="2600">
        <v>81</v>
      </c>
      <c r="P788" s="2604">
        <f t="shared" si="14"/>
        <v>77.884615384615387</v>
      </c>
      <c r="Q788" s="2604">
        <v>20.895522388059703</v>
      </c>
      <c r="R788" s="2604">
        <v>17.283950617283949</v>
      </c>
      <c r="S788" s="2602">
        <v>1.5151515151515151</v>
      </c>
      <c r="T788" s="2602">
        <v>0</v>
      </c>
      <c r="U788" s="2602">
        <v>0</v>
      </c>
      <c r="V788" s="2602">
        <v>0</v>
      </c>
      <c r="W788" s="2602">
        <v>100</v>
      </c>
    </row>
    <row r="789" spans="8:23">
      <c r="H789" s="7194"/>
      <c r="I789" s="2600">
        <v>100</v>
      </c>
      <c r="J789" s="2601" t="s">
        <v>1995</v>
      </c>
      <c r="K789" s="2601" t="s">
        <v>1941</v>
      </c>
      <c r="L789" s="2601"/>
      <c r="M789" s="2601"/>
      <c r="N789" s="2600">
        <v>20</v>
      </c>
      <c r="O789" s="2600">
        <v>3</v>
      </c>
      <c r="P789" s="2604">
        <f t="shared" si="14"/>
        <v>15</v>
      </c>
      <c r="Q789" s="2604">
        <v>50</v>
      </c>
      <c r="R789" s="2604">
        <v>33.333333333333336</v>
      </c>
      <c r="S789" s="2602">
        <v>0</v>
      </c>
      <c r="T789" s="2602">
        <v>3.8461538461538463</v>
      </c>
      <c r="U789" s="2602">
        <v>15.384615384615385</v>
      </c>
      <c r="V789" s="2602">
        <v>25</v>
      </c>
      <c r="W789" s="2602">
        <v>53.846153846153847</v>
      </c>
    </row>
    <row r="790" spans="8:23">
      <c r="H790" s="7194"/>
      <c r="I790" s="2600">
        <v>106</v>
      </c>
      <c r="J790" s="2601" t="s">
        <v>1996</v>
      </c>
      <c r="K790" s="2601" t="s">
        <v>1941</v>
      </c>
      <c r="L790" s="2601"/>
      <c r="M790" s="2601"/>
      <c r="N790" s="2600">
        <v>145</v>
      </c>
      <c r="O790" s="2600">
        <v>70</v>
      </c>
      <c r="P790" s="2604">
        <f t="shared" si="14"/>
        <v>48.275862068965516</v>
      </c>
      <c r="Q790" s="2604">
        <v>34.615384615384613</v>
      </c>
      <c r="R790" s="2604">
        <v>25.714285714285715</v>
      </c>
      <c r="S790" s="2602">
        <v>1.9230769230769231</v>
      </c>
      <c r="T790" s="2602">
        <v>1.9607843137254901</v>
      </c>
      <c r="U790" s="2602">
        <v>13.725490196078431</v>
      </c>
      <c r="V790" s="2602">
        <v>13.725490196078431</v>
      </c>
      <c r="W790" s="2602">
        <v>60.784313725490193</v>
      </c>
    </row>
    <row r="791" spans="8:23">
      <c r="H791" s="7194"/>
      <c r="I791" s="2600">
        <v>120</v>
      </c>
      <c r="J791" s="2601" t="s">
        <v>1997</v>
      </c>
      <c r="K791" s="2601" t="s">
        <v>1941</v>
      </c>
      <c r="L791" s="2601"/>
      <c r="M791" s="2601"/>
      <c r="N791" s="2600">
        <v>159</v>
      </c>
      <c r="O791" s="2600">
        <v>90</v>
      </c>
      <c r="P791" s="2604">
        <f t="shared" si="14"/>
        <v>56.60377358490566</v>
      </c>
      <c r="Q791" s="2604">
        <v>66.037735849056602</v>
      </c>
      <c r="R791" s="2604">
        <v>39.772727272727273</v>
      </c>
      <c r="S791" s="2602">
        <v>9.8039215686274517</v>
      </c>
      <c r="T791" s="2602">
        <v>0</v>
      </c>
      <c r="U791" s="2602">
        <v>0</v>
      </c>
      <c r="V791" s="2602">
        <v>0</v>
      </c>
      <c r="W791" s="2602">
        <v>0</v>
      </c>
    </row>
    <row r="792" spans="8:23">
      <c r="H792" s="7194"/>
      <c r="I792" s="2600">
        <v>162</v>
      </c>
      <c r="J792" s="2601" t="s">
        <v>1998</v>
      </c>
      <c r="K792" s="2601" t="s">
        <v>1941</v>
      </c>
      <c r="L792" s="2601"/>
      <c r="M792" s="2601"/>
      <c r="N792" s="2600">
        <v>2</v>
      </c>
      <c r="O792" s="2600">
        <v>0</v>
      </c>
      <c r="P792" s="2604">
        <f t="shared" si="14"/>
        <v>0</v>
      </c>
      <c r="Q792" s="2604">
        <v>0</v>
      </c>
      <c r="R792" s="2604">
        <v>0</v>
      </c>
      <c r="S792" s="2602">
        <v>0</v>
      </c>
      <c r="T792" s="2602">
        <v>0</v>
      </c>
      <c r="U792" s="2602">
        <v>0</v>
      </c>
      <c r="V792" s="2602">
        <v>0</v>
      </c>
      <c r="W792" s="2602">
        <v>0</v>
      </c>
    </row>
    <row r="793" spans="8:23">
      <c r="H793" s="7194"/>
      <c r="I793" s="2600">
        <v>163</v>
      </c>
      <c r="J793" s="2601" t="s">
        <v>1999</v>
      </c>
      <c r="K793" s="2601" t="s">
        <v>1941</v>
      </c>
      <c r="L793" s="2601"/>
      <c r="M793" s="2601"/>
      <c r="N793" s="2600">
        <v>16</v>
      </c>
      <c r="O793" s="2600">
        <v>0</v>
      </c>
      <c r="P793" s="2604">
        <f t="shared" si="14"/>
        <v>0</v>
      </c>
      <c r="Q793" s="2604">
        <v>0</v>
      </c>
      <c r="R793" s="2604">
        <v>0</v>
      </c>
      <c r="S793" s="2602">
        <v>0</v>
      </c>
      <c r="T793" s="2602">
        <v>0</v>
      </c>
      <c r="U793" s="2602">
        <v>0</v>
      </c>
      <c r="V793" s="2602">
        <v>0</v>
      </c>
      <c r="W793" s="2602">
        <v>0</v>
      </c>
    </row>
    <row r="794" spans="8:23">
      <c r="H794" s="7194"/>
      <c r="I794" s="2600">
        <v>123</v>
      </c>
      <c r="J794" s="2601" t="s">
        <v>2000</v>
      </c>
      <c r="K794" s="2601" t="s">
        <v>1331</v>
      </c>
      <c r="L794" s="2601"/>
      <c r="M794" s="2601"/>
      <c r="N794" s="2600">
        <v>47</v>
      </c>
      <c r="O794" s="2600">
        <v>0</v>
      </c>
      <c r="P794" s="2604">
        <f t="shared" si="14"/>
        <v>0</v>
      </c>
      <c r="Q794" s="2604">
        <v>0</v>
      </c>
      <c r="R794" s="2604">
        <v>0</v>
      </c>
      <c r="S794" s="2602">
        <v>0</v>
      </c>
      <c r="T794" s="2602">
        <v>0</v>
      </c>
      <c r="U794" s="2602">
        <v>0</v>
      </c>
      <c r="V794" s="2602">
        <v>0</v>
      </c>
      <c r="W794" s="2602">
        <v>0</v>
      </c>
    </row>
    <row r="795" spans="8:23">
      <c r="H795" s="7194"/>
      <c r="I795" s="2600">
        <v>158</v>
      </c>
      <c r="J795" s="2601" t="s">
        <v>2001</v>
      </c>
      <c r="K795" s="2601" t="s">
        <v>1331</v>
      </c>
      <c r="L795" s="2601"/>
      <c r="M795" s="2601"/>
      <c r="N795" s="2600">
        <v>0</v>
      </c>
      <c r="O795" s="2600">
        <v>0</v>
      </c>
      <c r="P795" s="2604">
        <v>0</v>
      </c>
      <c r="Q795" s="2604">
        <v>0</v>
      </c>
      <c r="R795" s="2604">
        <v>0</v>
      </c>
      <c r="S795" s="2602">
        <v>0</v>
      </c>
      <c r="T795" s="2602">
        <v>3.0303030303030303</v>
      </c>
      <c r="U795" s="2602">
        <v>12.121212121212121</v>
      </c>
      <c r="V795" s="2602">
        <v>9.0909090909090917</v>
      </c>
      <c r="W795" s="2602">
        <v>75.757575757575751</v>
      </c>
    </row>
    <row r="796" spans="8:23">
      <c r="H796" s="7194"/>
      <c r="I796" s="2600">
        <v>81</v>
      </c>
      <c r="J796" s="2601" t="s">
        <v>2002</v>
      </c>
      <c r="K796" s="2601" t="s">
        <v>1946</v>
      </c>
      <c r="L796" s="2601"/>
      <c r="M796" s="2601"/>
      <c r="N796" s="2600">
        <v>94</v>
      </c>
      <c r="O796" s="2600">
        <v>79</v>
      </c>
      <c r="P796" s="2604">
        <f t="shared" si="14"/>
        <v>84.042553191489361</v>
      </c>
      <c r="Q796" s="2604">
        <v>21.53846153846154</v>
      </c>
      <c r="R796" s="2604">
        <v>17.721518987341771</v>
      </c>
      <c r="S796" s="2602">
        <v>0</v>
      </c>
      <c r="T796" s="2614">
        <v>6.0606060606060606</v>
      </c>
      <c r="U796" s="2614">
        <v>6.0606060606060606</v>
      </c>
      <c r="V796" s="2614">
        <v>21.212121212121211</v>
      </c>
      <c r="W796" s="2614">
        <v>66.666666666666671</v>
      </c>
    </row>
    <row r="797" spans="8:23">
      <c r="H797" s="7194"/>
      <c r="I797" s="2612">
        <v>81</v>
      </c>
      <c r="J797" s="2613" t="s">
        <v>2002</v>
      </c>
      <c r="K797" s="2613" t="s">
        <v>1941</v>
      </c>
      <c r="L797" s="2613"/>
      <c r="M797" s="2613"/>
      <c r="N797" s="2612">
        <v>185</v>
      </c>
      <c r="O797" s="2612">
        <v>40</v>
      </c>
      <c r="P797" s="2629">
        <f t="shared" si="14"/>
        <v>21.621621621621621</v>
      </c>
      <c r="Q797" s="2629">
        <v>25</v>
      </c>
      <c r="R797" s="2629">
        <v>20</v>
      </c>
      <c r="S797" s="2614">
        <v>0</v>
      </c>
      <c r="T797" s="2598">
        <v>3.9215686274509802</v>
      </c>
      <c r="U797" s="2598">
        <v>8.8235294117647065</v>
      </c>
      <c r="V797" s="2598">
        <v>10.784313725490197</v>
      </c>
      <c r="W797" s="2598">
        <v>73.529411764705884</v>
      </c>
    </row>
    <row r="798" spans="8:23">
      <c r="H798" s="7194" t="s">
        <v>21</v>
      </c>
      <c r="I798" s="2616">
        <v>108</v>
      </c>
      <c r="J798" s="2617" t="s">
        <v>2003</v>
      </c>
      <c r="K798" s="2617" t="s">
        <v>1941</v>
      </c>
      <c r="L798" s="2617"/>
      <c r="M798" s="2617"/>
      <c r="N798" s="2616">
        <v>238</v>
      </c>
      <c r="O798" s="2616">
        <v>130</v>
      </c>
      <c r="P798" s="2627">
        <f t="shared" si="14"/>
        <v>54.621848739495796</v>
      </c>
      <c r="Q798" s="2627">
        <v>26.21359223300971</v>
      </c>
      <c r="R798" s="2627">
        <v>20.76923076923077</v>
      </c>
      <c r="S798" s="2598">
        <v>2.9411764705882355</v>
      </c>
      <c r="T798" s="2602">
        <v>8.3333333333333339</v>
      </c>
      <c r="U798" s="2602">
        <v>20.833333333333332</v>
      </c>
      <c r="V798" s="2602">
        <v>4.166666666666667</v>
      </c>
      <c r="W798" s="2602">
        <v>62.5</v>
      </c>
    </row>
    <row r="799" spans="8:23">
      <c r="H799" s="7194"/>
      <c r="I799" s="2600">
        <v>139</v>
      </c>
      <c r="J799" s="2601" t="s">
        <v>1345</v>
      </c>
      <c r="K799" s="2601" t="s">
        <v>1941</v>
      </c>
      <c r="L799" s="2601"/>
      <c r="M799" s="2601"/>
      <c r="N799" s="2600">
        <v>38</v>
      </c>
      <c r="O799" s="2600">
        <v>25</v>
      </c>
      <c r="P799" s="2604">
        <f t="shared" si="14"/>
        <v>65.78947368421052</v>
      </c>
      <c r="Q799" s="2604">
        <v>4.166666666666667</v>
      </c>
      <c r="R799" s="2604">
        <v>4</v>
      </c>
      <c r="S799" s="2602">
        <v>4.166666666666667</v>
      </c>
      <c r="T799" s="2602">
        <v>0</v>
      </c>
      <c r="U799" s="2602">
        <v>0</v>
      </c>
      <c r="V799" s="2602">
        <v>0</v>
      </c>
      <c r="W799" s="2602">
        <v>0</v>
      </c>
    </row>
    <row r="800" spans="8:23">
      <c r="H800" s="7194"/>
      <c r="I800" s="2600">
        <v>142</v>
      </c>
      <c r="J800" s="2601" t="s">
        <v>2004</v>
      </c>
      <c r="K800" s="2601" t="s">
        <v>1941</v>
      </c>
      <c r="L800" s="2601"/>
      <c r="M800" s="2601"/>
      <c r="N800" s="2600">
        <v>51</v>
      </c>
      <c r="O800" s="2600">
        <v>0</v>
      </c>
      <c r="P800" s="2604">
        <f t="shared" si="14"/>
        <v>0</v>
      </c>
      <c r="Q800" s="2604">
        <v>0</v>
      </c>
      <c r="R800" s="2604">
        <v>0</v>
      </c>
      <c r="S800" s="2602">
        <v>0</v>
      </c>
      <c r="T800" s="2622">
        <v>7.1428571428571432</v>
      </c>
      <c r="U800" s="2622">
        <v>17.857142857142858</v>
      </c>
      <c r="V800" s="2622">
        <v>25</v>
      </c>
      <c r="W800" s="2622">
        <v>46.428571428571431</v>
      </c>
    </row>
    <row r="801" spans="8:23">
      <c r="H801" s="7194"/>
      <c r="I801" s="2607">
        <v>109</v>
      </c>
      <c r="J801" s="2608" t="s">
        <v>2005</v>
      </c>
      <c r="K801" s="2608" t="s">
        <v>1331</v>
      </c>
      <c r="L801" s="2608"/>
      <c r="M801" s="2608"/>
      <c r="N801" s="2607">
        <v>34</v>
      </c>
      <c r="O801" s="2607">
        <v>29</v>
      </c>
      <c r="P801" s="2611">
        <f t="shared" si="14"/>
        <v>85.294117647058826</v>
      </c>
      <c r="Q801" s="2611">
        <v>0</v>
      </c>
      <c r="R801" s="2611">
        <v>0</v>
      </c>
      <c r="S801" s="2622">
        <v>3.5714285714285716</v>
      </c>
      <c r="T801" s="2624"/>
      <c r="U801" s="2624"/>
      <c r="V801" s="2624"/>
      <c r="W801" s="2624"/>
    </row>
    <row r="802" spans="8:23">
      <c r="H802" s="1547"/>
      <c r="I802" s="2631"/>
      <c r="J802" s="2624"/>
      <c r="K802" s="2624"/>
      <c r="L802" s="2624"/>
      <c r="M802" s="2624"/>
      <c r="N802" s="2624"/>
      <c r="O802" s="2624"/>
      <c r="P802" s="2632"/>
      <c r="Q802" s="2632"/>
      <c r="R802" s="2632"/>
      <c r="S802" s="2624"/>
      <c r="T802" s="2634"/>
      <c r="U802" s="2634"/>
      <c r="V802" s="2634"/>
      <c r="W802" s="2634"/>
    </row>
    <row r="803" spans="8:23">
      <c r="H803" s="3693" t="s">
        <v>2007</v>
      </c>
      <c r="I803" s="2633"/>
      <c r="J803" s="2634"/>
      <c r="K803" s="2634"/>
      <c r="L803" s="2634"/>
      <c r="M803" s="2634"/>
      <c r="N803" s="2634"/>
      <c r="O803" s="2634"/>
      <c r="P803" s="2635"/>
      <c r="Q803" s="2635"/>
      <c r="R803" s="2635"/>
      <c r="S803" s="2634"/>
      <c r="T803" s="5322"/>
      <c r="U803" s="5322"/>
      <c r="V803" s="5322"/>
      <c r="W803" s="5322"/>
    </row>
    <row r="804" spans="8:23">
      <c r="H804" s="7195" t="s">
        <v>1</v>
      </c>
      <c r="I804" s="7196" t="s">
        <v>1939</v>
      </c>
      <c r="J804" s="7196" t="s">
        <v>1940</v>
      </c>
      <c r="K804" s="7196" t="s">
        <v>878</v>
      </c>
      <c r="L804" s="4056"/>
      <c r="M804" s="3528"/>
      <c r="N804" s="7190" t="s">
        <v>1936</v>
      </c>
      <c r="O804" s="7190" t="s">
        <v>1937</v>
      </c>
      <c r="P804" s="7191" t="s">
        <v>1938</v>
      </c>
      <c r="Q804" s="7192" t="s">
        <v>1318</v>
      </c>
      <c r="R804" s="7192"/>
      <c r="S804" s="5322" t="s">
        <v>1319</v>
      </c>
      <c r="T804" s="2638" t="s">
        <v>1321</v>
      </c>
      <c r="U804" s="2638" t="s">
        <v>1322</v>
      </c>
      <c r="V804" s="2638" t="s">
        <v>1323</v>
      </c>
      <c r="W804" s="2638" t="s">
        <v>15</v>
      </c>
    </row>
    <row r="805" spans="8:23">
      <c r="H805" s="7195"/>
      <c r="I805" s="7196"/>
      <c r="J805" s="7196"/>
      <c r="K805" s="7196"/>
      <c r="L805" s="4056"/>
      <c r="M805" s="3528"/>
      <c r="N805" s="7190"/>
      <c r="O805" s="7190"/>
      <c r="P805" s="7191"/>
      <c r="Q805" s="3530" t="s">
        <v>259</v>
      </c>
      <c r="R805" s="3530" t="s">
        <v>260</v>
      </c>
      <c r="S805" s="2638" t="s">
        <v>1320</v>
      </c>
      <c r="T805" s="2627">
        <v>11.111111111111111</v>
      </c>
      <c r="U805" s="2627">
        <v>11.111111111111111</v>
      </c>
      <c r="V805" s="2627">
        <v>66.666666666666671</v>
      </c>
      <c r="W805" s="2627">
        <v>11.111111111111111</v>
      </c>
    </row>
    <row r="806" spans="8:23">
      <c r="H806" s="7200" t="s">
        <v>73</v>
      </c>
      <c r="I806" s="2616">
        <v>31</v>
      </c>
      <c r="J806" s="2617" t="s">
        <v>1350</v>
      </c>
      <c r="K806" s="2617" t="s">
        <v>1941</v>
      </c>
      <c r="L806" s="2639"/>
      <c r="M806" s="2639"/>
      <c r="N806" s="2640">
        <v>78</v>
      </c>
      <c r="O806" s="2616">
        <v>27</v>
      </c>
      <c r="P806" s="2627">
        <v>34.615384615384613</v>
      </c>
      <c r="Q806" s="2627">
        <v>74.074074074074076</v>
      </c>
      <c r="R806" s="2627">
        <v>25.925925925925927</v>
      </c>
      <c r="S806" s="2627">
        <v>0</v>
      </c>
      <c r="T806" s="2604">
        <v>18.181818181818183</v>
      </c>
      <c r="U806" s="2604">
        <v>36.363636363636367</v>
      </c>
      <c r="V806" s="2604">
        <v>18.181818181818183</v>
      </c>
      <c r="W806" s="2604">
        <v>18.181818181818183</v>
      </c>
    </row>
    <row r="807" spans="8:23">
      <c r="H807" s="7200"/>
      <c r="I807" s="2600">
        <v>32</v>
      </c>
      <c r="J807" s="2601" t="s">
        <v>1351</v>
      </c>
      <c r="K807" s="2601" t="s">
        <v>1941</v>
      </c>
      <c r="L807" s="2605"/>
      <c r="M807" s="2605"/>
      <c r="N807" s="2606">
        <v>159</v>
      </c>
      <c r="O807" s="2600">
        <v>71</v>
      </c>
      <c r="P807" s="2604">
        <v>44.654088050314463</v>
      </c>
      <c r="Q807" s="2604">
        <v>88.732394366197184</v>
      </c>
      <c r="R807" s="2604">
        <v>11.267605633802816</v>
      </c>
      <c r="S807" s="2604">
        <v>9.0909090909090917</v>
      </c>
      <c r="T807" s="2604">
        <v>0</v>
      </c>
      <c r="U807" s="2604">
        <v>0</v>
      </c>
      <c r="V807" s="2604">
        <v>0</v>
      </c>
      <c r="W807" s="2604">
        <v>100</v>
      </c>
    </row>
    <row r="808" spans="8:23">
      <c r="H808" s="7200"/>
      <c r="I808" s="2600">
        <v>33</v>
      </c>
      <c r="J808" s="2601" t="s">
        <v>1352</v>
      </c>
      <c r="K808" s="2601" t="s">
        <v>1941</v>
      </c>
      <c r="L808" s="2605"/>
      <c r="M808" s="2605"/>
      <c r="N808" s="2606">
        <v>58</v>
      </c>
      <c r="O808" s="2600">
        <v>9</v>
      </c>
      <c r="P808" s="2604">
        <v>15.517241379310345</v>
      </c>
      <c r="Q808" s="2604">
        <v>77.777777777777771</v>
      </c>
      <c r="R808" s="2604">
        <v>22.222222222222221</v>
      </c>
      <c r="S808" s="2604">
        <v>0</v>
      </c>
      <c r="T808" s="2604">
        <v>0</v>
      </c>
      <c r="U808" s="2604">
        <v>10.810810810810811</v>
      </c>
      <c r="V808" s="2604">
        <v>8.1081081081081088</v>
      </c>
      <c r="W808" s="2604">
        <v>81.081081081081081</v>
      </c>
    </row>
    <row r="809" spans="8:23">
      <c r="H809" s="7200"/>
      <c r="I809" s="2600">
        <v>34</v>
      </c>
      <c r="J809" s="2601" t="s">
        <v>1353</v>
      </c>
      <c r="K809" s="2601" t="s">
        <v>1941</v>
      </c>
      <c r="L809" s="2605"/>
      <c r="M809" s="2605"/>
      <c r="N809" s="2606">
        <v>112</v>
      </c>
      <c r="O809" s="2600">
        <v>45</v>
      </c>
      <c r="P809" s="2604">
        <v>40.178571428571431</v>
      </c>
      <c r="Q809" s="2604">
        <v>84.444444444444443</v>
      </c>
      <c r="R809" s="2604">
        <v>15.555555555555555</v>
      </c>
      <c r="S809" s="2604">
        <v>0</v>
      </c>
      <c r="T809" s="2604">
        <v>0</v>
      </c>
      <c r="U809" s="2604">
        <v>5.2631578947368425</v>
      </c>
      <c r="V809" s="2604">
        <v>21.05263157894737</v>
      </c>
      <c r="W809" s="2604">
        <v>68.421052631578945</v>
      </c>
    </row>
    <row r="810" spans="8:23">
      <c r="H810" s="7200"/>
      <c r="I810" s="2600">
        <v>35</v>
      </c>
      <c r="J810" s="2601" t="s">
        <v>1354</v>
      </c>
      <c r="K810" s="2601" t="s">
        <v>1941</v>
      </c>
      <c r="L810" s="2605"/>
      <c r="M810" s="2605"/>
      <c r="N810" s="2606">
        <v>36</v>
      </c>
      <c r="O810" s="2600">
        <v>25</v>
      </c>
      <c r="P810" s="2604">
        <v>69.444444444444443</v>
      </c>
      <c r="Q810" s="2604">
        <v>76</v>
      </c>
      <c r="R810" s="2604">
        <v>24</v>
      </c>
      <c r="S810" s="2604">
        <v>5.2631578947368425</v>
      </c>
      <c r="T810" s="2604">
        <v>6.25</v>
      </c>
      <c r="U810" s="2604">
        <v>10.416666666666666</v>
      </c>
      <c r="V810" s="2604">
        <v>18.75</v>
      </c>
      <c r="W810" s="2604">
        <v>58.333333333333336</v>
      </c>
    </row>
    <row r="811" spans="8:23">
      <c r="H811" s="7200"/>
      <c r="I811" s="2600">
        <v>58</v>
      </c>
      <c r="J811" s="2601" t="s">
        <v>1359</v>
      </c>
      <c r="K811" s="2601" t="s">
        <v>1941</v>
      </c>
      <c r="L811" s="2605"/>
      <c r="M811" s="2605"/>
      <c r="N811" s="2606">
        <v>90</v>
      </c>
      <c r="O811" s="2600">
        <v>55</v>
      </c>
      <c r="P811" s="2604">
        <v>61.111111111111114</v>
      </c>
      <c r="Q811" s="2604">
        <v>87.272727272727266</v>
      </c>
      <c r="R811" s="2604">
        <v>12.727272727272727</v>
      </c>
      <c r="S811" s="2604">
        <v>6.25</v>
      </c>
      <c r="T811" s="2611">
        <v>0</v>
      </c>
      <c r="U811" s="2611">
        <v>0</v>
      </c>
      <c r="V811" s="2611">
        <v>16.666666666666668</v>
      </c>
      <c r="W811" s="2611">
        <v>66.666666666666671</v>
      </c>
    </row>
    <row r="812" spans="8:23">
      <c r="H812" s="7200"/>
      <c r="I812" s="2607">
        <v>60</v>
      </c>
      <c r="J812" s="2608" t="s">
        <v>1361</v>
      </c>
      <c r="K812" s="2608" t="s">
        <v>1941</v>
      </c>
      <c r="L812" s="2609"/>
      <c r="M812" s="2609"/>
      <c r="N812" s="2610">
        <v>22</v>
      </c>
      <c r="O812" s="2607">
        <v>7</v>
      </c>
      <c r="P812" s="2611">
        <v>31.818181818181817</v>
      </c>
      <c r="Q812" s="2611">
        <v>85.714285714285708</v>
      </c>
      <c r="R812" s="2611">
        <v>14.285714285714286</v>
      </c>
      <c r="S812" s="2611">
        <v>16.666666666666668</v>
      </c>
      <c r="T812" s="2628">
        <v>0</v>
      </c>
      <c r="U812" s="2628">
        <v>0</v>
      </c>
      <c r="V812" s="2628">
        <v>0</v>
      </c>
      <c r="W812" s="2628">
        <v>100</v>
      </c>
    </row>
    <row r="813" spans="8:23">
      <c r="H813" s="7211" t="s">
        <v>74</v>
      </c>
      <c r="I813" s="2618">
        <v>92</v>
      </c>
      <c r="J813" s="2619" t="s">
        <v>2006</v>
      </c>
      <c r="K813" s="2619" t="s">
        <v>1941</v>
      </c>
      <c r="L813" s="2636"/>
      <c r="M813" s="2636"/>
      <c r="N813" s="2637">
        <v>18</v>
      </c>
      <c r="O813" s="2618">
        <v>4</v>
      </c>
      <c r="P813" s="2628">
        <v>22.222222222222221</v>
      </c>
      <c r="Q813" s="2628">
        <v>100</v>
      </c>
      <c r="R813" s="2628">
        <v>0</v>
      </c>
      <c r="S813" s="2628">
        <v>0</v>
      </c>
      <c r="T813" s="2604">
        <v>0</v>
      </c>
      <c r="U813" s="2604">
        <v>6.8965517241379306</v>
      </c>
      <c r="V813" s="2604">
        <v>6.8965517241379306</v>
      </c>
      <c r="W813" s="2604">
        <v>79.310344827586206</v>
      </c>
    </row>
    <row r="814" spans="8:23">
      <c r="H814" s="7212"/>
      <c r="I814" s="2600">
        <v>69</v>
      </c>
      <c r="J814" s="2601" t="s">
        <v>1387</v>
      </c>
      <c r="K814" s="2601" t="s">
        <v>1941</v>
      </c>
      <c r="L814" s="2605"/>
      <c r="M814" s="2605"/>
      <c r="N814" s="2606">
        <v>115</v>
      </c>
      <c r="O814" s="2600">
        <v>37</v>
      </c>
      <c r="P814" s="2604">
        <v>32.173913043478258</v>
      </c>
      <c r="Q814" s="2604">
        <v>78.378378378378372</v>
      </c>
      <c r="R814" s="2604">
        <v>21.621621621621621</v>
      </c>
      <c r="S814" s="2604">
        <v>6.8965517241379306</v>
      </c>
      <c r="T814" s="2611">
        <v>0</v>
      </c>
      <c r="U814" s="2611">
        <v>13.793103448275861</v>
      </c>
      <c r="V814" s="2611">
        <v>20.689655172413794</v>
      </c>
      <c r="W814" s="2611">
        <v>62.068965517241381</v>
      </c>
    </row>
    <row r="815" spans="8:23">
      <c r="H815" s="7213"/>
      <c r="I815" s="2607">
        <v>84</v>
      </c>
      <c r="J815" s="2608" t="s">
        <v>1382</v>
      </c>
      <c r="K815" s="2608" t="s">
        <v>1946</v>
      </c>
      <c r="L815" s="2609"/>
      <c r="M815" s="2609"/>
      <c r="N815" s="2610">
        <v>76</v>
      </c>
      <c r="O815" s="2607">
        <v>30</v>
      </c>
      <c r="P815" s="2611">
        <v>39.473684210526315</v>
      </c>
      <c r="Q815" s="2611">
        <v>100</v>
      </c>
      <c r="R815" s="2611">
        <v>0</v>
      </c>
      <c r="S815" s="2611">
        <v>3.4482758620689653</v>
      </c>
    </row>
    <row r="816" spans="8:23">
      <c r="H816" s="382"/>
      <c r="I816" s="208"/>
      <c r="J816" s="208"/>
      <c r="K816" s="208"/>
      <c r="L816" s="2421"/>
      <c r="M816" s="208"/>
      <c r="N816" s="208"/>
      <c r="O816" s="208"/>
    </row>
    <row r="817" spans="8:16">
      <c r="H817" s="224"/>
      <c r="J817" s="226"/>
      <c r="K817" s="226"/>
      <c r="L817" s="226"/>
      <c r="M817" s="226"/>
      <c r="N817" s="224"/>
      <c r="O817" s="224"/>
    </row>
    <row r="818" spans="8:16" ht="17.399999999999999">
      <c r="H818" s="224"/>
      <c r="I818" s="225">
        <v>2015</v>
      </c>
      <c r="J818" s="226"/>
      <c r="K818" s="226"/>
      <c r="L818" s="226"/>
      <c r="M818" s="226"/>
      <c r="N818" s="224"/>
      <c r="O818" s="224"/>
    </row>
    <row r="819" spans="8:16" ht="17.399999999999999">
      <c r="H819" s="1070" t="s">
        <v>1459</v>
      </c>
      <c r="I819" s="225"/>
      <c r="J819" s="226"/>
      <c r="K819" s="226"/>
      <c r="L819" s="226"/>
      <c r="M819" s="226"/>
      <c r="N819" s="224"/>
      <c r="O819" s="224"/>
    </row>
    <row r="820" spans="8:16" ht="17.399999999999999">
      <c r="H820" s="1070" t="s">
        <v>1460</v>
      </c>
      <c r="I820" s="225"/>
      <c r="J820" s="226"/>
      <c r="K820" s="226"/>
      <c r="L820" s="226"/>
      <c r="M820" s="226"/>
      <c r="N820" s="224"/>
      <c r="O820" s="224"/>
    </row>
    <row r="821" spans="8:16">
      <c r="H821" s="7204" t="s">
        <v>1461</v>
      </c>
      <c r="I821" s="7204"/>
      <c r="J821" s="7204"/>
      <c r="K821" s="7204"/>
      <c r="L821" s="7204"/>
      <c r="M821" s="7204"/>
      <c r="N821" s="7204"/>
      <c r="O821" s="7204"/>
    </row>
    <row r="822" spans="8:16">
      <c r="H822" s="227"/>
      <c r="I822" s="51"/>
      <c r="J822" s="228"/>
      <c r="K822" s="228"/>
      <c r="L822" s="228"/>
      <c r="M822" s="1653"/>
      <c r="N822" s="224"/>
      <c r="O822" s="224"/>
    </row>
    <row r="823" spans="8:16" ht="39.6">
      <c r="H823" s="1071" t="s">
        <v>905</v>
      </c>
      <c r="I823" s="1072" t="s">
        <v>922</v>
      </c>
      <c r="J823" s="1073" t="s">
        <v>101</v>
      </c>
      <c r="K823" s="1073" t="s">
        <v>923</v>
      </c>
      <c r="L823" s="4057"/>
      <c r="M823" s="1653"/>
      <c r="N823" s="224"/>
      <c r="O823" s="224"/>
    </row>
    <row r="824" spans="8:16">
      <c r="H824" s="1074" t="s">
        <v>907</v>
      </c>
      <c r="I824" s="1074">
        <v>3755</v>
      </c>
      <c r="J824" s="1075">
        <v>80.329270900149666</v>
      </c>
      <c r="K824" s="1076">
        <v>0.80300000000000005</v>
      </c>
      <c r="L824" s="4058"/>
      <c r="M824" s="1653"/>
      <c r="N824" s="61"/>
      <c r="O824" s="224"/>
    </row>
    <row r="825" spans="8:16">
      <c r="H825" s="1074" t="s">
        <v>908</v>
      </c>
      <c r="I825" s="1074">
        <v>922</v>
      </c>
      <c r="J825" s="1075">
        <v>19.67072909985033</v>
      </c>
      <c r="K825" s="1077">
        <v>0.19700000000000001</v>
      </c>
      <c r="L825" s="4059"/>
      <c r="M825" s="1653"/>
      <c r="N825" s="224"/>
      <c r="O825" s="224"/>
    </row>
    <row r="826" spans="8:16">
      <c r="H826" s="1072" t="s">
        <v>15</v>
      </c>
      <c r="I826" s="1072">
        <v>4677</v>
      </c>
      <c r="J826" s="2641">
        <v>100</v>
      </c>
      <c r="K826" s="2642">
        <v>100</v>
      </c>
      <c r="L826" s="4060"/>
      <c r="M826" s="1541"/>
      <c r="N826" s="224"/>
      <c r="O826" s="224"/>
    </row>
    <row r="827" spans="8:16">
      <c r="H827" s="208"/>
      <c r="I827" s="208"/>
      <c r="J827" s="208"/>
      <c r="K827" s="208"/>
      <c r="L827" s="2421"/>
      <c r="M827" s="208"/>
      <c r="N827" s="208"/>
      <c r="O827" s="208"/>
    </row>
    <row r="828" spans="8:16">
      <c r="H828" s="208"/>
      <c r="I828" s="208"/>
      <c r="J828" s="208"/>
      <c r="K828" s="208"/>
      <c r="L828" s="2421"/>
      <c r="M828" s="208"/>
      <c r="N828" s="208"/>
      <c r="O828" s="208"/>
    </row>
    <row r="829" spans="8:16" ht="17.399999999999999">
      <c r="H829" s="224"/>
      <c r="I829" s="225">
        <v>2014</v>
      </c>
      <c r="J829" s="226"/>
      <c r="K829" s="226"/>
      <c r="L829" s="226"/>
      <c r="M829" s="226"/>
      <c r="N829" s="224"/>
      <c r="O829" s="224"/>
      <c r="P829" s="49"/>
    </row>
    <row r="830" spans="8:16">
      <c r="H830" s="227" t="s">
        <v>920</v>
      </c>
      <c r="I830" s="227"/>
      <c r="J830" s="227"/>
      <c r="K830" s="227"/>
      <c r="L830" s="227"/>
      <c r="M830" s="227"/>
      <c r="N830" s="227"/>
      <c r="O830" s="227"/>
      <c r="P830" s="227"/>
    </row>
    <row r="831" spans="8:16">
      <c r="H831" s="227"/>
      <c r="I831" s="51"/>
      <c r="J831" s="228"/>
      <c r="K831" s="228"/>
      <c r="L831" s="228"/>
      <c r="M831" s="1654"/>
      <c r="N831" s="224"/>
      <c r="O831" s="224"/>
      <c r="P831" s="49"/>
    </row>
    <row r="832" spans="8:16" ht="26.4">
      <c r="H832" s="229" t="s">
        <v>921</v>
      </c>
      <c r="I832" s="230" t="s">
        <v>922</v>
      </c>
      <c r="J832" s="231" t="s">
        <v>101</v>
      </c>
      <c r="K832" s="231" t="s">
        <v>923</v>
      </c>
      <c r="L832" s="4057"/>
      <c r="M832" s="1654"/>
      <c r="N832" s="224"/>
      <c r="O832" s="223"/>
      <c r="P832" s="49"/>
    </row>
    <row r="833" spans="8:20">
      <c r="H833" s="232" t="s">
        <v>907</v>
      </c>
      <c r="I833" s="232">
        <v>3683</v>
      </c>
      <c r="J833" s="233">
        <f>I833*100/I$837</f>
        <v>83.495805939696211</v>
      </c>
      <c r="K833" s="234">
        <f>I833*100/I$835</f>
        <v>83.914331282752329</v>
      </c>
      <c r="L833" s="4061"/>
      <c r="M833" s="1654"/>
      <c r="N833" s="61"/>
      <c r="O833" s="224"/>
      <c r="P833" s="49"/>
    </row>
    <row r="834" spans="8:20">
      <c r="H834" s="232" t="s">
        <v>908</v>
      </c>
      <c r="I834" s="232">
        <v>706</v>
      </c>
      <c r="J834" s="233">
        <f>I834*100/I$837</f>
        <v>16.005440943096804</v>
      </c>
      <c r="K834" s="235">
        <f>I834*100/I$835</f>
        <v>16.085668717247664</v>
      </c>
      <c r="L834" s="4062"/>
      <c r="M834" s="1654"/>
      <c r="N834" s="224"/>
      <c r="O834" s="224"/>
      <c r="P834" s="49"/>
    </row>
    <row r="835" spans="8:20">
      <c r="H835" s="2414" t="s">
        <v>15</v>
      </c>
      <c r="I835" s="2414">
        <v>4389</v>
      </c>
      <c r="J835" s="2643">
        <f>I835*100/I$837</f>
        <v>99.501246882793012</v>
      </c>
      <c r="K835" s="2643">
        <f>I835*100/I$835</f>
        <v>100</v>
      </c>
      <c r="L835" s="4063"/>
      <c r="M835" s="1654"/>
      <c r="N835" s="224"/>
      <c r="O835" s="224"/>
      <c r="P835" s="49"/>
    </row>
    <row r="836" spans="8:20">
      <c r="H836" s="232" t="s">
        <v>924</v>
      </c>
      <c r="I836" s="232">
        <v>22</v>
      </c>
      <c r="J836" s="233">
        <f>I836*100/I$837</f>
        <v>0.49875311720698257</v>
      </c>
      <c r="K836" s="235"/>
      <c r="L836" s="4062"/>
      <c r="M836" s="1654"/>
      <c r="N836" s="224"/>
      <c r="O836" s="224"/>
      <c r="P836" s="49"/>
    </row>
    <row r="837" spans="8:20">
      <c r="H837" s="2683" t="s">
        <v>15</v>
      </c>
      <c r="I837" s="2683">
        <v>4411</v>
      </c>
      <c r="J837" s="2684">
        <f>I837*100/I$837</f>
        <v>100</v>
      </c>
      <c r="K837" s="2684"/>
      <c r="L837" s="4064"/>
      <c r="M837" s="1654"/>
      <c r="N837" s="224"/>
      <c r="O837" s="224"/>
      <c r="P837" s="49"/>
    </row>
    <row r="838" spans="8:20">
      <c r="H838" s="208"/>
      <c r="I838" s="208"/>
      <c r="J838" s="208"/>
      <c r="K838" s="208"/>
      <c r="L838" s="2421"/>
      <c r="M838" s="208"/>
      <c r="N838" s="208"/>
      <c r="O838" s="208"/>
      <c r="T838" s="5321"/>
    </row>
    <row r="839" spans="8:20">
      <c r="H839" s="32"/>
      <c r="I839" s="32"/>
      <c r="J839" s="32"/>
      <c r="K839" s="32"/>
      <c r="L839" s="32"/>
      <c r="M839" s="32"/>
      <c r="N839" s="7203" t="s">
        <v>1318</v>
      </c>
      <c r="O839" s="7203"/>
      <c r="P839" s="5319" t="s">
        <v>1319</v>
      </c>
      <c r="Q839" s="5320"/>
      <c r="R839" s="5320"/>
      <c r="S839" s="5320"/>
      <c r="T839" s="1523" t="s">
        <v>15</v>
      </c>
    </row>
    <row r="840" spans="8:20">
      <c r="H840" s="1521" t="s">
        <v>0</v>
      </c>
      <c r="I840" s="1521" t="s">
        <v>1</v>
      </c>
      <c r="J840" s="1521" t="s">
        <v>1317</v>
      </c>
      <c r="K840" s="1521" t="s">
        <v>878</v>
      </c>
      <c r="L840" s="4065"/>
      <c r="M840" s="1655"/>
      <c r="N840" s="1522" t="s">
        <v>259</v>
      </c>
      <c r="O840" s="1522" t="s">
        <v>260</v>
      </c>
      <c r="P840" s="1523" t="s">
        <v>1320</v>
      </c>
      <c r="Q840" s="1523" t="s">
        <v>1321</v>
      </c>
      <c r="R840" s="1523" t="s">
        <v>1322</v>
      </c>
      <c r="S840" s="1523" t="s">
        <v>1323</v>
      </c>
      <c r="T840" s="2647">
        <v>68.400000000000006</v>
      </c>
    </row>
    <row r="841" spans="8:20">
      <c r="H841" s="7214" t="s">
        <v>70</v>
      </c>
      <c r="I841" s="7217" t="s">
        <v>21</v>
      </c>
      <c r="J841" s="2644" t="s">
        <v>1346</v>
      </c>
      <c r="K841" s="2645" t="s">
        <v>1331</v>
      </c>
      <c r="L841" s="2645"/>
      <c r="M841" s="2645"/>
      <c r="N841" s="2646">
        <v>90.9</v>
      </c>
      <c r="O841" s="2646">
        <v>9.1</v>
      </c>
      <c r="P841" s="2647">
        <v>5.3</v>
      </c>
      <c r="Q841" s="2647">
        <v>5.3</v>
      </c>
      <c r="R841" s="2647">
        <v>15.7</v>
      </c>
      <c r="S841" s="2647">
        <v>5.3</v>
      </c>
      <c r="T841" s="2651">
        <v>76.900000000000006</v>
      </c>
    </row>
    <row r="842" spans="8:20">
      <c r="H842" s="7215"/>
      <c r="I842" s="7218"/>
      <c r="J842" s="2648" t="s">
        <v>1342</v>
      </c>
      <c r="K842" s="2649" t="s">
        <v>1325</v>
      </c>
      <c r="L842" s="2649"/>
      <c r="M842" s="2649"/>
      <c r="N842" s="2650">
        <v>81.3</v>
      </c>
      <c r="O842" s="2650">
        <v>18.8</v>
      </c>
      <c r="P842" s="2651">
        <v>0</v>
      </c>
      <c r="Q842" s="2651">
        <v>0</v>
      </c>
      <c r="R842" s="2651">
        <v>15.4</v>
      </c>
      <c r="S842" s="2651">
        <v>7.7</v>
      </c>
      <c r="T842" s="2651">
        <v>70.399999999999991</v>
      </c>
    </row>
    <row r="843" spans="8:20">
      <c r="H843" s="7215"/>
      <c r="I843" s="7218"/>
      <c r="J843" s="2648" t="s">
        <v>1343</v>
      </c>
      <c r="K843" s="2649" t="s">
        <v>1325</v>
      </c>
      <c r="L843" s="2649"/>
      <c r="M843" s="2649"/>
      <c r="N843" s="2650">
        <v>88.8</v>
      </c>
      <c r="O843" s="2650">
        <v>11.200000000000001</v>
      </c>
      <c r="P843" s="2651">
        <v>4</v>
      </c>
      <c r="Q843" s="2651">
        <v>2.4</v>
      </c>
      <c r="R843" s="2651">
        <v>10.4</v>
      </c>
      <c r="S843" s="2651">
        <v>12.8</v>
      </c>
      <c r="T843" s="2651">
        <v>59</v>
      </c>
    </row>
    <row r="844" spans="8:20">
      <c r="H844" s="7215"/>
      <c r="I844" s="7218"/>
      <c r="J844" s="2648" t="s">
        <v>1344</v>
      </c>
      <c r="K844" s="2649" t="s">
        <v>1327</v>
      </c>
      <c r="L844" s="2649"/>
      <c r="M844" s="2649"/>
      <c r="N844" s="2650">
        <v>76</v>
      </c>
      <c r="O844" s="2650">
        <v>24</v>
      </c>
      <c r="P844" s="2651">
        <v>2.5</v>
      </c>
      <c r="Q844" s="2651">
        <v>7.7</v>
      </c>
      <c r="R844" s="2651">
        <v>10.299999999999999</v>
      </c>
      <c r="S844" s="2651">
        <v>20.5</v>
      </c>
      <c r="T844" s="2663">
        <v>75</v>
      </c>
    </row>
    <row r="845" spans="8:20">
      <c r="H845" s="7215"/>
      <c r="I845" s="7219"/>
      <c r="J845" s="2660" t="s">
        <v>1345</v>
      </c>
      <c r="K845" s="2661" t="s">
        <v>1327</v>
      </c>
      <c r="L845" s="2661"/>
      <c r="M845" s="2661"/>
      <c r="N845" s="2662">
        <v>92.300000000000011</v>
      </c>
      <c r="O845" s="2662">
        <v>7.7</v>
      </c>
      <c r="P845" s="2663">
        <v>8.3000000000000007</v>
      </c>
      <c r="Q845" s="2663">
        <v>16.7</v>
      </c>
      <c r="R845" s="2663">
        <v>0</v>
      </c>
      <c r="S845" s="2663">
        <v>0</v>
      </c>
      <c r="T845" s="2647">
        <v>75</v>
      </c>
    </row>
    <row r="846" spans="8:20">
      <c r="H846" s="7215"/>
      <c r="I846" s="7217" t="s">
        <v>4</v>
      </c>
      <c r="J846" s="2644" t="s">
        <v>1330</v>
      </c>
      <c r="K846" s="2645" t="s">
        <v>1331</v>
      </c>
      <c r="L846" s="2645"/>
      <c r="M846" s="2645"/>
      <c r="N846" s="2646">
        <v>80</v>
      </c>
      <c r="O846" s="2646">
        <v>20</v>
      </c>
      <c r="P846" s="2647">
        <v>5</v>
      </c>
      <c r="Q846" s="2647">
        <v>0</v>
      </c>
      <c r="R846" s="2647">
        <v>15</v>
      </c>
      <c r="S846" s="2647">
        <v>5</v>
      </c>
      <c r="T846" s="2651">
        <v>100</v>
      </c>
    </row>
    <row r="847" spans="8:20">
      <c r="H847" s="7215"/>
      <c r="I847" s="7218"/>
      <c r="J847" s="2648" t="s">
        <v>1332</v>
      </c>
      <c r="K847" s="2649" t="s">
        <v>1331</v>
      </c>
      <c r="L847" s="2649"/>
      <c r="M847" s="2649"/>
      <c r="N847" s="2650">
        <v>100</v>
      </c>
      <c r="O847" s="2650">
        <v>0</v>
      </c>
      <c r="P847" s="2651">
        <v>0</v>
      </c>
      <c r="Q847" s="2651">
        <v>0</v>
      </c>
      <c r="R847" s="2651">
        <v>0</v>
      </c>
      <c r="S847" s="2651">
        <v>0</v>
      </c>
      <c r="T847" s="2651">
        <v>70</v>
      </c>
    </row>
    <row r="848" spans="8:20">
      <c r="H848" s="7215"/>
      <c r="I848" s="7218"/>
      <c r="J848" s="2648" t="s">
        <v>1324</v>
      </c>
      <c r="K848" s="2649" t="s">
        <v>1325</v>
      </c>
      <c r="L848" s="2649"/>
      <c r="M848" s="2649"/>
      <c r="N848" s="2650">
        <v>83.3</v>
      </c>
      <c r="O848" s="2650">
        <v>16.7</v>
      </c>
      <c r="P848" s="2651">
        <v>0</v>
      </c>
      <c r="Q848" s="2651">
        <v>10</v>
      </c>
      <c r="R848" s="2651">
        <v>10</v>
      </c>
      <c r="S848" s="2651">
        <v>10</v>
      </c>
      <c r="T848" s="2651">
        <v>85.2</v>
      </c>
    </row>
    <row r="849" spans="8:20">
      <c r="H849" s="7215"/>
      <c r="I849" s="7218"/>
      <c r="J849" s="2648" t="s">
        <v>1326</v>
      </c>
      <c r="K849" s="2649" t="s">
        <v>1327</v>
      </c>
      <c r="L849" s="2649"/>
      <c r="M849" s="2649"/>
      <c r="N849" s="2650">
        <v>80</v>
      </c>
      <c r="O849" s="2650">
        <v>20</v>
      </c>
      <c r="P849" s="2651">
        <v>0</v>
      </c>
      <c r="Q849" s="2651">
        <v>7.3999999999999995</v>
      </c>
      <c r="R849" s="2651">
        <v>3.6999999999999997</v>
      </c>
      <c r="S849" s="2651">
        <v>3.6999999999999997</v>
      </c>
      <c r="T849" s="2651">
        <v>71.7</v>
      </c>
    </row>
    <row r="850" spans="8:20">
      <c r="H850" s="7215"/>
      <c r="I850" s="7218"/>
      <c r="J850" s="2648" t="s">
        <v>1328</v>
      </c>
      <c r="K850" s="2649" t="s">
        <v>1327</v>
      </c>
      <c r="L850" s="2649"/>
      <c r="M850" s="2649"/>
      <c r="N850" s="2650">
        <v>94.699999999999989</v>
      </c>
      <c r="O850" s="2650">
        <v>5.3</v>
      </c>
      <c r="P850" s="2651">
        <v>5.7</v>
      </c>
      <c r="Q850" s="2651">
        <v>7.5</v>
      </c>
      <c r="R850" s="2651">
        <v>5.7</v>
      </c>
      <c r="S850" s="2651">
        <v>9.4</v>
      </c>
      <c r="T850" s="2655">
        <v>84.1</v>
      </c>
    </row>
    <row r="851" spans="8:20">
      <c r="H851" s="7215"/>
      <c r="I851" s="7219"/>
      <c r="J851" s="2652" t="s">
        <v>1329</v>
      </c>
      <c r="K851" s="2653" t="s">
        <v>1327</v>
      </c>
      <c r="L851" s="2653"/>
      <c r="M851" s="2653"/>
      <c r="N851" s="2654">
        <v>90.9</v>
      </c>
      <c r="O851" s="2654">
        <v>9.1</v>
      </c>
      <c r="P851" s="2655">
        <v>5.3</v>
      </c>
      <c r="Q851" s="2655">
        <v>5.3</v>
      </c>
      <c r="R851" s="2655">
        <v>5.3</v>
      </c>
      <c r="S851" s="2655">
        <v>0</v>
      </c>
      <c r="T851" s="2659">
        <v>0</v>
      </c>
    </row>
    <row r="852" spans="8:20">
      <c r="H852" s="7215"/>
      <c r="I852" s="7217" t="s">
        <v>16</v>
      </c>
      <c r="J852" s="2656" t="s">
        <v>1340</v>
      </c>
      <c r="K852" s="2657" t="s">
        <v>1331</v>
      </c>
      <c r="L852" s="2657"/>
      <c r="M852" s="2657"/>
      <c r="N852" s="2658">
        <v>100</v>
      </c>
      <c r="O852" s="2658">
        <v>0</v>
      </c>
      <c r="P852" s="2659">
        <v>0</v>
      </c>
      <c r="Q852" s="2659">
        <v>0</v>
      </c>
      <c r="R852" s="2659">
        <v>0</v>
      </c>
      <c r="S852" s="2659">
        <v>100</v>
      </c>
      <c r="T852" s="2651">
        <v>71.399999999999991</v>
      </c>
    </row>
    <row r="853" spans="8:20">
      <c r="H853" s="7215"/>
      <c r="I853" s="7218"/>
      <c r="J853" s="2648" t="s">
        <v>1341</v>
      </c>
      <c r="K853" s="2649" t="s">
        <v>1331</v>
      </c>
      <c r="L853" s="2649"/>
      <c r="M853" s="2649"/>
      <c r="N853" s="2650">
        <v>87.5</v>
      </c>
      <c r="O853" s="2650">
        <v>12.5</v>
      </c>
      <c r="P853" s="2651">
        <v>0</v>
      </c>
      <c r="Q853" s="2651">
        <v>0</v>
      </c>
      <c r="R853" s="2651">
        <v>14.299999999999999</v>
      </c>
      <c r="S853" s="2651">
        <v>14.299999999999999</v>
      </c>
      <c r="T853" s="2651">
        <v>64.2</v>
      </c>
    </row>
    <row r="854" spans="8:20">
      <c r="H854" s="7215"/>
      <c r="I854" s="7218"/>
      <c r="J854" s="2648" t="s">
        <v>1333</v>
      </c>
      <c r="K854" s="2649" t="s">
        <v>1325</v>
      </c>
      <c r="L854" s="2649"/>
      <c r="M854" s="2649"/>
      <c r="N854" s="2650">
        <v>81.8</v>
      </c>
      <c r="O854" s="2650">
        <v>18.2</v>
      </c>
      <c r="P854" s="2651">
        <v>3.8</v>
      </c>
      <c r="Q854" s="2651">
        <v>3.8</v>
      </c>
      <c r="R854" s="2651">
        <v>7.4</v>
      </c>
      <c r="S854" s="2651">
        <v>20.8</v>
      </c>
      <c r="T854" s="2651">
        <v>62.2</v>
      </c>
    </row>
    <row r="855" spans="8:20">
      <c r="H855" s="7215"/>
      <c r="I855" s="7218"/>
      <c r="J855" s="2648" t="s">
        <v>1334</v>
      </c>
      <c r="K855" s="2649" t="s">
        <v>1325</v>
      </c>
      <c r="L855" s="2649"/>
      <c r="M855" s="2649"/>
      <c r="N855" s="2650">
        <v>86.5</v>
      </c>
      <c r="O855" s="2650">
        <v>13.5</v>
      </c>
      <c r="P855" s="2651">
        <v>2.1999999999999997</v>
      </c>
      <c r="Q855" s="2651">
        <v>6.7</v>
      </c>
      <c r="R855" s="2651">
        <v>6.7</v>
      </c>
      <c r="S855" s="2651">
        <v>22.2</v>
      </c>
      <c r="T855" s="2651">
        <v>60</v>
      </c>
    </row>
    <row r="856" spans="8:20">
      <c r="H856" s="7215"/>
      <c r="I856" s="7218"/>
      <c r="J856" s="2648" t="s">
        <v>1335</v>
      </c>
      <c r="K856" s="2649" t="s">
        <v>1327</v>
      </c>
      <c r="L856" s="2649"/>
      <c r="M856" s="2649"/>
      <c r="N856" s="2650">
        <v>84.1</v>
      </c>
      <c r="O856" s="2650">
        <v>15.9</v>
      </c>
      <c r="P856" s="2651">
        <v>2.7</v>
      </c>
      <c r="Q856" s="2651">
        <v>4</v>
      </c>
      <c r="R856" s="2651">
        <v>21.3</v>
      </c>
      <c r="S856" s="2651">
        <v>12</v>
      </c>
      <c r="T856" s="2651">
        <v>54.500000000000007</v>
      </c>
    </row>
    <row r="857" spans="8:20">
      <c r="H857" s="7215"/>
      <c r="I857" s="7218"/>
      <c r="J857" s="2648" t="s">
        <v>1336</v>
      </c>
      <c r="K857" s="2649" t="s">
        <v>1327</v>
      </c>
      <c r="L857" s="2649"/>
      <c r="M857" s="2649"/>
      <c r="N857" s="2650">
        <v>82.899999999999991</v>
      </c>
      <c r="O857" s="2650">
        <v>17.100000000000001</v>
      </c>
      <c r="P857" s="2651">
        <v>0</v>
      </c>
      <c r="Q857" s="2651">
        <v>6.1</v>
      </c>
      <c r="R857" s="2651">
        <v>24.2</v>
      </c>
      <c r="S857" s="2651">
        <v>15.2</v>
      </c>
      <c r="T857" s="2651">
        <v>66.7</v>
      </c>
    </row>
    <row r="858" spans="8:20">
      <c r="H858" s="7215"/>
      <c r="I858" s="7218"/>
      <c r="J858" s="2648" t="s">
        <v>1337</v>
      </c>
      <c r="K858" s="2649" t="s">
        <v>1327</v>
      </c>
      <c r="L858" s="2649"/>
      <c r="M858" s="2649"/>
      <c r="N858" s="2650">
        <v>73.5</v>
      </c>
      <c r="O858" s="2650">
        <v>26.5</v>
      </c>
      <c r="P858" s="2651">
        <v>0</v>
      </c>
      <c r="Q858" s="2651">
        <v>4.0999999999999996</v>
      </c>
      <c r="R858" s="2651">
        <v>16.7</v>
      </c>
      <c r="S858" s="2651">
        <v>12.5</v>
      </c>
      <c r="T858" s="2651">
        <v>72.7</v>
      </c>
    </row>
    <row r="859" spans="8:20">
      <c r="H859" s="7215"/>
      <c r="I859" s="7218"/>
      <c r="J859" s="2648" t="s">
        <v>1338</v>
      </c>
      <c r="K859" s="2649" t="s">
        <v>1327</v>
      </c>
      <c r="L859" s="2649"/>
      <c r="M859" s="2649"/>
      <c r="N859" s="2650">
        <v>75.599999999999994</v>
      </c>
      <c r="O859" s="2650">
        <v>24.4</v>
      </c>
      <c r="P859" s="2651">
        <v>3</v>
      </c>
      <c r="Q859" s="2651">
        <v>0</v>
      </c>
      <c r="R859" s="2651">
        <v>15.2</v>
      </c>
      <c r="S859" s="2651">
        <v>9.1</v>
      </c>
      <c r="T859" s="2655">
        <v>75</v>
      </c>
    </row>
    <row r="860" spans="8:20">
      <c r="H860" s="7216"/>
      <c r="I860" s="7219"/>
      <c r="J860" s="2652" t="s">
        <v>1339</v>
      </c>
      <c r="K860" s="2653" t="s">
        <v>1327</v>
      </c>
      <c r="L860" s="2653"/>
      <c r="M860" s="2653"/>
      <c r="N860" s="2654">
        <v>36.4</v>
      </c>
      <c r="O860" s="2654">
        <v>63.6</v>
      </c>
      <c r="P860" s="2655">
        <v>0</v>
      </c>
      <c r="Q860" s="2655">
        <v>0</v>
      </c>
      <c r="R860" s="2655">
        <v>0</v>
      </c>
      <c r="S860" s="2655">
        <v>25</v>
      </c>
      <c r="T860" s="2668">
        <v>66.7</v>
      </c>
    </row>
    <row r="861" spans="8:20">
      <c r="H861" s="2664" t="s">
        <v>72</v>
      </c>
      <c r="I861" s="2669" t="s">
        <v>16</v>
      </c>
      <c r="J861" s="2665" t="s">
        <v>1406</v>
      </c>
      <c r="K861" s="2666" t="s">
        <v>1327</v>
      </c>
      <c r="L861" s="4066"/>
      <c r="M861" s="2666"/>
      <c r="N861" s="2667">
        <v>46.2</v>
      </c>
      <c r="O861" s="2667">
        <v>53.800000000000004</v>
      </c>
      <c r="P861" s="2668">
        <v>16.600000000000001</v>
      </c>
      <c r="Q861" s="2668">
        <v>0</v>
      </c>
      <c r="R861" s="2668">
        <v>0</v>
      </c>
      <c r="S861" s="2668">
        <v>16.7</v>
      </c>
      <c r="T861" s="2647">
        <v>66.400000000000006</v>
      </c>
    </row>
    <row r="862" spans="8:20">
      <c r="H862" s="7214" t="s">
        <v>73</v>
      </c>
      <c r="I862" s="7217" t="s">
        <v>4</v>
      </c>
      <c r="J862" s="2644" t="s">
        <v>1375</v>
      </c>
      <c r="K862" s="2645" t="s">
        <v>1331</v>
      </c>
      <c r="L862" s="2645"/>
      <c r="M862" s="2645"/>
      <c r="N862" s="2646">
        <v>77.2</v>
      </c>
      <c r="O862" s="2646">
        <v>22.8</v>
      </c>
      <c r="P862" s="2647">
        <v>2.9000000000000004</v>
      </c>
      <c r="Q862" s="2647">
        <v>5.0999999999999996</v>
      </c>
      <c r="R862" s="2647">
        <v>8.7999999999999989</v>
      </c>
      <c r="S862" s="2647">
        <v>16.8</v>
      </c>
      <c r="T862" s="2651">
        <v>72.599999999999994</v>
      </c>
    </row>
    <row r="863" spans="8:20">
      <c r="H863" s="7215"/>
      <c r="I863" s="7218"/>
      <c r="J863" s="2648" t="s">
        <v>1368</v>
      </c>
      <c r="K863" s="2649" t="s">
        <v>1331</v>
      </c>
      <c r="L863" s="2649"/>
      <c r="M863" s="2649"/>
      <c r="N863" s="2650">
        <v>76.900000000000006</v>
      </c>
      <c r="O863" s="2650">
        <v>23.1</v>
      </c>
      <c r="P863" s="2651">
        <v>1.2</v>
      </c>
      <c r="Q863" s="2651">
        <v>0</v>
      </c>
      <c r="R863" s="2651">
        <v>2.4</v>
      </c>
      <c r="S863" s="2651">
        <v>23.799999999999997</v>
      </c>
      <c r="T863" s="2651">
        <v>80</v>
      </c>
    </row>
    <row r="864" spans="8:20">
      <c r="H864" s="7215"/>
      <c r="I864" s="7218"/>
      <c r="J864" s="2648" t="s">
        <v>1370</v>
      </c>
      <c r="K864" s="2649" t="s">
        <v>1331</v>
      </c>
      <c r="L864" s="2649"/>
      <c r="M864" s="2649"/>
      <c r="N864" s="2650">
        <v>100</v>
      </c>
      <c r="O864" s="2650">
        <v>0</v>
      </c>
      <c r="P864" s="2651">
        <v>0</v>
      </c>
      <c r="Q864" s="2651">
        <v>0</v>
      </c>
      <c r="R864" s="2651">
        <v>0</v>
      </c>
      <c r="S864" s="2651">
        <v>20</v>
      </c>
      <c r="T864" s="2651">
        <v>60</v>
      </c>
    </row>
    <row r="865" spans="8:20">
      <c r="H865" s="7215"/>
      <c r="I865" s="7218"/>
      <c r="J865" s="2648" t="s">
        <v>1350</v>
      </c>
      <c r="K865" s="2649" t="s">
        <v>1327</v>
      </c>
      <c r="L865" s="2649"/>
      <c r="M865" s="2649"/>
      <c r="N865" s="2650">
        <v>74.099999999999994</v>
      </c>
      <c r="O865" s="2650">
        <v>25.900000000000002</v>
      </c>
      <c r="P865" s="2651">
        <v>0</v>
      </c>
      <c r="Q865" s="2651">
        <v>5</v>
      </c>
      <c r="R865" s="2651">
        <v>5</v>
      </c>
      <c r="S865" s="2651">
        <v>30</v>
      </c>
      <c r="T865" s="2651">
        <v>71.5</v>
      </c>
    </row>
    <row r="866" spans="8:20">
      <c r="H866" s="7215"/>
      <c r="I866" s="7218"/>
      <c r="J866" s="2648" t="s">
        <v>1351</v>
      </c>
      <c r="K866" s="2649" t="s">
        <v>1327</v>
      </c>
      <c r="L866" s="2649"/>
      <c r="M866" s="2649"/>
      <c r="N866" s="2650">
        <v>90.100000000000009</v>
      </c>
      <c r="O866" s="2650">
        <v>9.9</v>
      </c>
      <c r="P866" s="2651">
        <v>3.2</v>
      </c>
      <c r="Q866" s="2651">
        <v>6.3</v>
      </c>
      <c r="R866" s="2651">
        <v>12.7</v>
      </c>
      <c r="S866" s="2651">
        <v>6.3</v>
      </c>
      <c r="T866" s="2651">
        <v>100</v>
      </c>
    </row>
    <row r="867" spans="8:20">
      <c r="H867" s="7215"/>
      <c r="I867" s="7218"/>
      <c r="J867" s="2648" t="s">
        <v>1352</v>
      </c>
      <c r="K867" s="2649" t="s">
        <v>1327</v>
      </c>
      <c r="L867" s="2649"/>
      <c r="M867" s="2649"/>
      <c r="N867" s="2650">
        <v>77.8</v>
      </c>
      <c r="O867" s="2650">
        <v>22.2</v>
      </c>
      <c r="P867" s="2651">
        <v>0</v>
      </c>
      <c r="Q867" s="2651">
        <v>0</v>
      </c>
      <c r="R867" s="2651">
        <v>0</v>
      </c>
      <c r="S867" s="2651">
        <v>0</v>
      </c>
      <c r="T867" s="2651">
        <v>81.100000000000009</v>
      </c>
    </row>
    <row r="868" spans="8:20">
      <c r="H868" s="7215"/>
      <c r="I868" s="7218"/>
      <c r="J868" s="2648" t="s">
        <v>1353</v>
      </c>
      <c r="K868" s="2649" t="s">
        <v>1327</v>
      </c>
      <c r="L868" s="2649"/>
      <c r="M868" s="2649"/>
      <c r="N868" s="2650">
        <v>84.399999999999991</v>
      </c>
      <c r="O868" s="2650">
        <v>15.6</v>
      </c>
      <c r="P868" s="2651">
        <v>0</v>
      </c>
      <c r="Q868" s="2651">
        <v>0</v>
      </c>
      <c r="R868" s="2651">
        <v>10.8</v>
      </c>
      <c r="S868" s="2651">
        <v>8.1</v>
      </c>
      <c r="T868" s="2651">
        <v>68.400000000000006</v>
      </c>
    </row>
    <row r="869" spans="8:20">
      <c r="H869" s="7215"/>
      <c r="I869" s="7218"/>
      <c r="J869" s="2648" t="s">
        <v>1354</v>
      </c>
      <c r="K869" s="2649" t="s">
        <v>1327</v>
      </c>
      <c r="L869" s="2649"/>
      <c r="M869" s="2649"/>
      <c r="N869" s="2650">
        <v>76</v>
      </c>
      <c r="O869" s="2650">
        <v>24</v>
      </c>
      <c r="P869" s="2651">
        <v>5.2</v>
      </c>
      <c r="Q869" s="2651">
        <v>0</v>
      </c>
      <c r="R869" s="2651">
        <v>5.3</v>
      </c>
      <c r="S869" s="2651">
        <v>21.099999999999998</v>
      </c>
      <c r="T869" s="2651">
        <v>81.5</v>
      </c>
    </row>
    <row r="870" spans="8:20">
      <c r="H870" s="7215"/>
      <c r="I870" s="7218"/>
      <c r="J870" s="2648" t="s">
        <v>1366</v>
      </c>
      <c r="K870" s="2649" t="s">
        <v>1327</v>
      </c>
      <c r="L870" s="2649"/>
      <c r="M870" s="2649"/>
      <c r="N870" s="2650">
        <v>82.399999999999991</v>
      </c>
      <c r="O870" s="2650">
        <v>17.599999999999998</v>
      </c>
      <c r="P870" s="2651">
        <v>0</v>
      </c>
      <c r="Q870" s="2651">
        <v>7.3999999999999995</v>
      </c>
      <c r="R870" s="2651">
        <v>0</v>
      </c>
      <c r="S870" s="2651">
        <v>11.1</v>
      </c>
      <c r="T870" s="2651">
        <v>76.3</v>
      </c>
    </row>
    <row r="871" spans="8:20">
      <c r="H871" s="7215"/>
      <c r="I871" s="7218"/>
      <c r="J871" s="2648" t="s">
        <v>1367</v>
      </c>
      <c r="K871" s="2649" t="s">
        <v>1327</v>
      </c>
      <c r="L871" s="2649"/>
      <c r="M871" s="2649"/>
      <c r="N871" s="2650">
        <v>92.2</v>
      </c>
      <c r="O871" s="2650">
        <v>7.8</v>
      </c>
      <c r="P871" s="2651">
        <v>3.4000000000000004</v>
      </c>
      <c r="Q871" s="2651">
        <v>3.4000000000000004</v>
      </c>
      <c r="R871" s="2651">
        <v>10.1</v>
      </c>
      <c r="S871" s="2651">
        <v>6.8000000000000007</v>
      </c>
      <c r="T871" s="2651">
        <v>68.300000000000011</v>
      </c>
    </row>
    <row r="872" spans="8:20">
      <c r="H872" s="7215"/>
      <c r="I872" s="7218"/>
      <c r="J872" s="2648" t="s">
        <v>1368</v>
      </c>
      <c r="K872" s="2649" t="s">
        <v>1327</v>
      </c>
      <c r="L872" s="2649"/>
      <c r="M872" s="2649"/>
      <c r="N872" s="2650">
        <v>89</v>
      </c>
      <c r="O872" s="2650">
        <v>11</v>
      </c>
      <c r="P872" s="2651">
        <v>3.2</v>
      </c>
      <c r="Q872" s="2651">
        <v>9.5</v>
      </c>
      <c r="R872" s="2651">
        <v>7.9</v>
      </c>
      <c r="S872" s="2651">
        <v>11.1</v>
      </c>
      <c r="T872" s="2651">
        <v>74</v>
      </c>
    </row>
    <row r="873" spans="8:20">
      <c r="H873" s="7215"/>
      <c r="I873" s="7218"/>
      <c r="J873" s="2648" t="s">
        <v>1369</v>
      </c>
      <c r="K873" s="2649" t="s">
        <v>1327</v>
      </c>
      <c r="L873" s="2649"/>
      <c r="M873" s="2649"/>
      <c r="N873" s="2650">
        <v>82</v>
      </c>
      <c r="O873" s="2650">
        <v>18</v>
      </c>
      <c r="P873" s="2651">
        <v>0</v>
      </c>
      <c r="Q873" s="2651">
        <v>6</v>
      </c>
      <c r="R873" s="2651">
        <v>8</v>
      </c>
      <c r="S873" s="2651">
        <v>12</v>
      </c>
      <c r="T873" s="2651">
        <v>58.199999999999996</v>
      </c>
    </row>
    <row r="874" spans="8:20">
      <c r="H874" s="7215"/>
      <c r="I874" s="7218"/>
      <c r="J874" s="2648" t="s">
        <v>1370</v>
      </c>
      <c r="K874" s="2649" t="s">
        <v>1327</v>
      </c>
      <c r="L874" s="2649"/>
      <c r="M874" s="2649"/>
      <c r="N874" s="2650">
        <v>76.099999999999994</v>
      </c>
      <c r="O874" s="2650">
        <v>23.9</v>
      </c>
      <c r="P874" s="2651">
        <v>5.4</v>
      </c>
      <c r="Q874" s="2651">
        <v>7.3</v>
      </c>
      <c r="R874" s="2651">
        <v>16.400000000000002</v>
      </c>
      <c r="S874" s="2651">
        <v>12.7</v>
      </c>
      <c r="T874" s="2651">
        <v>62.5</v>
      </c>
    </row>
    <row r="875" spans="8:20">
      <c r="H875" s="7215"/>
      <c r="I875" s="7218"/>
      <c r="J875" s="2648" t="s">
        <v>1373</v>
      </c>
      <c r="K875" s="2649" t="s">
        <v>1327</v>
      </c>
      <c r="L875" s="2649"/>
      <c r="M875" s="2649"/>
      <c r="N875" s="2650">
        <v>84.2</v>
      </c>
      <c r="O875" s="2650">
        <v>15.8</v>
      </c>
      <c r="P875" s="2651">
        <v>0</v>
      </c>
      <c r="Q875" s="2651">
        <v>6.3</v>
      </c>
      <c r="R875" s="2651">
        <v>18.7</v>
      </c>
      <c r="S875" s="2651">
        <v>12.5</v>
      </c>
      <c r="T875" s="2663">
        <v>60</v>
      </c>
    </row>
    <row r="876" spans="8:20">
      <c r="H876" s="7215"/>
      <c r="I876" s="7219"/>
      <c r="J876" s="2660" t="s">
        <v>1374</v>
      </c>
      <c r="K876" s="2661" t="s">
        <v>1327</v>
      </c>
      <c r="L876" s="2661"/>
      <c r="M876" s="2661"/>
      <c r="N876" s="2662">
        <v>83.3</v>
      </c>
      <c r="O876" s="2662">
        <v>16.7</v>
      </c>
      <c r="P876" s="2663">
        <v>0</v>
      </c>
      <c r="Q876" s="2663">
        <v>20</v>
      </c>
      <c r="R876" s="2663">
        <v>20</v>
      </c>
      <c r="S876" s="2663">
        <v>0</v>
      </c>
      <c r="T876" s="2647">
        <v>67.300000000000011</v>
      </c>
    </row>
    <row r="877" spans="8:20">
      <c r="H877" s="7215"/>
      <c r="I877" s="7217" t="s">
        <v>41</v>
      </c>
      <c r="J877" s="2644" t="s">
        <v>1362</v>
      </c>
      <c r="K877" s="2645" t="s">
        <v>1331</v>
      </c>
      <c r="L877" s="2645"/>
      <c r="M877" s="2645"/>
      <c r="N877" s="2646">
        <v>77.8</v>
      </c>
      <c r="O877" s="2646">
        <v>22.2</v>
      </c>
      <c r="P877" s="2647">
        <v>4.1000000000000005</v>
      </c>
      <c r="Q877" s="2647">
        <v>4.1000000000000005</v>
      </c>
      <c r="R877" s="2647">
        <v>10.199999999999999</v>
      </c>
      <c r="S877" s="2647">
        <v>14.299999999999999</v>
      </c>
      <c r="T877" s="2651">
        <v>73.2</v>
      </c>
    </row>
    <row r="878" spans="8:20">
      <c r="H878" s="7215"/>
      <c r="I878" s="7218"/>
      <c r="J878" s="2648" t="s">
        <v>1377</v>
      </c>
      <c r="K878" s="2649" t="s">
        <v>1331</v>
      </c>
      <c r="L878" s="2649"/>
      <c r="M878" s="2649"/>
      <c r="N878" s="2650">
        <v>76.7</v>
      </c>
      <c r="O878" s="2650">
        <v>23.3</v>
      </c>
      <c r="P878" s="2651">
        <v>3.6</v>
      </c>
      <c r="Q878" s="2651">
        <v>4.9000000000000004</v>
      </c>
      <c r="R878" s="2651">
        <v>11</v>
      </c>
      <c r="S878" s="2651">
        <v>7.3</v>
      </c>
      <c r="T878" s="2651">
        <v>68.8</v>
      </c>
    </row>
    <row r="879" spans="8:20">
      <c r="H879" s="7215"/>
      <c r="I879" s="7218"/>
      <c r="J879" s="2648" t="s">
        <v>1371</v>
      </c>
      <c r="K879" s="2649" t="s">
        <v>1331</v>
      </c>
      <c r="L879" s="2649"/>
      <c r="M879" s="2649"/>
      <c r="N879" s="2650">
        <v>94.1</v>
      </c>
      <c r="O879" s="2650">
        <v>5.8999999999999995</v>
      </c>
      <c r="P879" s="2651">
        <v>6.2</v>
      </c>
      <c r="Q879" s="2651">
        <v>0</v>
      </c>
      <c r="R879" s="2651">
        <v>12.5</v>
      </c>
      <c r="S879" s="2651">
        <v>12.5</v>
      </c>
      <c r="T879" s="2651">
        <v>78.600000000000009</v>
      </c>
    </row>
    <row r="880" spans="8:20">
      <c r="H880" s="7215"/>
      <c r="I880" s="7218"/>
      <c r="J880" s="2648" t="s">
        <v>1349</v>
      </c>
      <c r="K880" s="2649" t="s">
        <v>1325</v>
      </c>
      <c r="L880" s="2649"/>
      <c r="M880" s="2649"/>
      <c r="N880" s="2650">
        <v>87.5</v>
      </c>
      <c r="O880" s="2650">
        <v>12.5</v>
      </c>
      <c r="P880" s="2651">
        <v>0</v>
      </c>
      <c r="Q880" s="2651">
        <v>7.1</v>
      </c>
      <c r="R880" s="2651">
        <v>14.299999999999999</v>
      </c>
      <c r="S880" s="2651">
        <v>0</v>
      </c>
      <c r="T880" s="2651">
        <v>58.3</v>
      </c>
    </row>
    <row r="881" spans="8:20">
      <c r="H881" s="7215"/>
      <c r="I881" s="7218"/>
      <c r="J881" s="2648" t="s">
        <v>1359</v>
      </c>
      <c r="K881" s="2649" t="s">
        <v>1327</v>
      </c>
      <c r="L881" s="2649"/>
      <c r="M881" s="2649"/>
      <c r="N881" s="2650">
        <v>87.3</v>
      </c>
      <c r="O881" s="2650">
        <v>12.7</v>
      </c>
      <c r="P881" s="2651">
        <v>6.3</v>
      </c>
      <c r="Q881" s="2651">
        <v>6.3</v>
      </c>
      <c r="R881" s="2651">
        <v>10.3</v>
      </c>
      <c r="S881" s="2651">
        <v>18.8</v>
      </c>
      <c r="T881" s="2651">
        <v>61.9</v>
      </c>
    </row>
    <row r="882" spans="8:20">
      <c r="H882" s="7215"/>
      <c r="I882" s="7218"/>
      <c r="J882" s="2648" t="s">
        <v>1360</v>
      </c>
      <c r="K882" s="2649" t="s">
        <v>1327</v>
      </c>
      <c r="L882" s="2649"/>
      <c r="M882" s="2649"/>
      <c r="N882" s="2650">
        <v>100</v>
      </c>
      <c r="O882" s="2650">
        <v>0</v>
      </c>
      <c r="P882" s="2651">
        <v>4.7</v>
      </c>
      <c r="Q882" s="2651">
        <v>0</v>
      </c>
      <c r="R882" s="2651">
        <v>28.599999999999998</v>
      </c>
      <c r="S882" s="2651">
        <v>4.8</v>
      </c>
      <c r="T882" s="2651">
        <v>66.7</v>
      </c>
    </row>
    <row r="883" spans="8:20">
      <c r="H883" s="7215"/>
      <c r="I883" s="7218"/>
      <c r="J883" s="2648" t="s">
        <v>1361</v>
      </c>
      <c r="K883" s="2649" t="s">
        <v>1327</v>
      </c>
      <c r="L883" s="2649"/>
      <c r="M883" s="2649"/>
      <c r="N883" s="2650">
        <v>85.7</v>
      </c>
      <c r="O883" s="2650">
        <v>14.299999999999999</v>
      </c>
      <c r="P883" s="2651">
        <v>16.600000000000001</v>
      </c>
      <c r="Q883" s="2651">
        <v>0</v>
      </c>
      <c r="R883" s="2651">
        <v>0</v>
      </c>
      <c r="S883" s="2651">
        <v>16.7</v>
      </c>
      <c r="T883" s="2651">
        <v>73.2</v>
      </c>
    </row>
    <row r="884" spans="8:20">
      <c r="H884" s="7215"/>
      <c r="I884" s="7218"/>
      <c r="J884" s="2648" t="s">
        <v>1362</v>
      </c>
      <c r="K884" s="2649" t="s">
        <v>1327</v>
      </c>
      <c r="L884" s="2649"/>
      <c r="M884" s="2649"/>
      <c r="N884" s="2650">
        <v>65.3</v>
      </c>
      <c r="O884" s="2650">
        <v>34.699999999999996</v>
      </c>
      <c r="P884" s="2651">
        <v>2.2999999999999998</v>
      </c>
      <c r="Q884" s="2651">
        <v>3.3000000000000003</v>
      </c>
      <c r="R884" s="2651">
        <v>9.8000000000000007</v>
      </c>
      <c r="S884" s="2651">
        <v>11.4</v>
      </c>
      <c r="T884" s="2651">
        <v>86.3</v>
      </c>
    </row>
    <row r="885" spans="8:20">
      <c r="H885" s="7215"/>
      <c r="I885" s="7218"/>
      <c r="J885" s="2648" t="s">
        <v>1371</v>
      </c>
      <c r="K885" s="2649" t="s">
        <v>1327</v>
      </c>
      <c r="L885" s="2649"/>
      <c r="M885" s="2649"/>
      <c r="N885" s="2650">
        <v>78.400000000000006</v>
      </c>
      <c r="O885" s="2650">
        <v>21.6</v>
      </c>
      <c r="P885" s="2651">
        <v>0</v>
      </c>
      <c r="Q885" s="2651">
        <v>10.299999999999999</v>
      </c>
      <c r="R885" s="2651">
        <v>0</v>
      </c>
      <c r="S885" s="2651">
        <v>3.4000000000000004</v>
      </c>
      <c r="T885" s="2655">
        <v>81.3</v>
      </c>
    </row>
    <row r="886" spans="8:20">
      <c r="H886" s="7215"/>
      <c r="I886" s="7219"/>
      <c r="J886" s="2652" t="s">
        <v>1372</v>
      </c>
      <c r="K886" s="2653" t="s">
        <v>1327</v>
      </c>
      <c r="L886" s="2653"/>
      <c r="M886" s="2653"/>
      <c r="N886" s="2654">
        <v>94.1</v>
      </c>
      <c r="O886" s="2654">
        <v>5.8999999999999995</v>
      </c>
      <c r="P886" s="2655">
        <v>3</v>
      </c>
      <c r="Q886" s="2655">
        <v>6.3</v>
      </c>
      <c r="R886" s="2655">
        <v>3.1</v>
      </c>
      <c r="S886" s="2655">
        <v>6.3</v>
      </c>
      <c r="T886" s="2659">
        <v>0</v>
      </c>
    </row>
    <row r="887" spans="8:20">
      <c r="H887" s="7215"/>
      <c r="I887" s="7217" t="s">
        <v>16</v>
      </c>
      <c r="J887" s="2656" t="s">
        <v>1340</v>
      </c>
      <c r="K887" s="2657" t="s">
        <v>1331</v>
      </c>
      <c r="L887" s="2657"/>
      <c r="M887" s="2657"/>
      <c r="N887" s="2658">
        <v>25</v>
      </c>
      <c r="O887" s="2658">
        <v>75</v>
      </c>
      <c r="P887" s="2659">
        <v>0</v>
      </c>
      <c r="Q887" s="2659">
        <v>0</v>
      </c>
      <c r="R887" s="2659">
        <v>100</v>
      </c>
      <c r="S887" s="2659">
        <v>0</v>
      </c>
      <c r="T887" s="2651">
        <v>75</v>
      </c>
    </row>
    <row r="888" spans="8:20">
      <c r="H888" s="7215"/>
      <c r="I888" s="7218"/>
      <c r="J888" s="2648" t="s">
        <v>1376</v>
      </c>
      <c r="K888" s="2649" t="s">
        <v>1331</v>
      </c>
      <c r="L888" s="2649"/>
      <c r="M888" s="2649"/>
      <c r="N888" s="2650">
        <v>71.399999999999991</v>
      </c>
      <c r="O888" s="2650">
        <v>28.599999999999998</v>
      </c>
      <c r="P888" s="2651">
        <v>0</v>
      </c>
      <c r="Q888" s="2651">
        <v>0</v>
      </c>
      <c r="R888" s="2651">
        <v>25</v>
      </c>
      <c r="S888" s="2651">
        <v>0</v>
      </c>
      <c r="T888" s="2651">
        <v>77.2</v>
      </c>
    </row>
    <row r="889" spans="8:20">
      <c r="H889" s="7215"/>
      <c r="I889" s="7218"/>
      <c r="J889" s="2648" t="s">
        <v>1378</v>
      </c>
      <c r="K889" s="2649" t="s">
        <v>1331</v>
      </c>
      <c r="L889" s="2649"/>
      <c r="M889" s="2649"/>
      <c r="N889" s="2650">
        <v>85.3</v>
      </c>
      <c r="O889" s="2650">
        <v>14.7</v>
      </c>
      <c r="P889" s="2651">
        <v>3.5000000000000004</v>
      </c>
      <c r="Q889" s="2651">
        <v>0</v>
      </c>
      <c r="R889" s="2651">
        <v>8.7999999999999989</v>
      </c>
      <c r="S889" s="2651">
        <v>10.5</v>
      </c>
      <c r="T889" s="2651">
        <v>69.399999999999991</v>
      </c>
    </row>
    <row r="890" spans="8:20">
      <c r="H890" s="7215"/>
      <c r="I890" s="7218"/>
      <c r="J890" s="2648" t="s">
        <v>1379</v>
      </c>
      <c r="K890" s="2649" t="s">
        <v>1331</v>
      </c>
      <c r="L890" s="2649"/>
      <c r="M890" s="2649"/>
      <c r="N890" s="2650">
        <v>79.2</v>
      </c>
      <c r="O890" s="2650">
        <v>20.8</v>
      </c>
      <c r="P890" s="2651">
        <v>2.8000000000000003</v>
      </c>
      <c r="Q890" s="2651">
        <v>5.6000000000000005</v>
      </c>
      <c r="R890" s="2651">
        <v>13.900000000000002</v>
      </c>
      <c r="S890" s="2651">
        <v>8.3000000000000007</v>
      </c>
      <c r="T890" s="2651">
        <v>72.8</v>
      </c>
    </row>
    <row r="891" spans="8:20">
      <c r="H891" s="7215"/>
      <c r="I891" s="7218"/>
      <c r="J891" s="2648" t="s">
        <v>1380</v>
      </c>
      <c r="K891" s="2649" t="s">
        <v>1331</v>
      </c>
      <c r="L891" s="2649"/>
      <c r="M891" s="2649"/>
      <c r="N891" s="2650">
        <v>88</v>
      </c>
      <c r="O891" s="2650">
        <v>12</v>
      </c>
      <c r="P891" s="2651">
        <v>0</v>
      </c>
      <c r="Q891" s="2651">
        <v>4.5</v>
      </c>
      <c r="R891" s="2651">
        <v>13.600000000000001</v>
      </c>
      <c r="S891" s="2651">
        <v>9.1</v>
      </c>
      <c r="T891" s="2651">
        <v>66.2</v>
      </c>
    </row>
    <row r="892" spans="8:20">
      <c r="H892" s="7215"/>
      <c r="I892" s="7218"/>
      <c r="J892" s="2648" t="s">
        <v>1347</v>
      </c>
      <c r="K892" s="2649" t="s">
        <v>1325</v>
      </c>
      <c r="L892" s="2649"/>
      <c r="M892" s="2649"/>
      <c r="N892" s="2650">
        <v>90.8</v>
      </c>
      <c r="O892" s="2650">
        <v>9.1999999999999993</v>
      </c>
      <c r="P892" s="2651">
        <v>4.2</v>
      </c>
      <c r="Q892" s="2651">
        <v>4.2</v>
      </c>
      <c r="R892" s="2651">
        <v>14.399999999999999</v>
      </c>
      <c r="S892" s="2651">
        <v>11</v>
      </c>
      <c r="T892" s="2651">
        <v>69.5</v>
      </c>
    </row>
    <row r="893" spans="8:20">
      <c r="H893" s="7215"/>
      <c r="I893" s="7218"/>
      <c r="J893" s="2648" t="s">
        <v>1348</v>
      </c>
      <c r="K893" s="2649" t="s">
        <v>1325</v>
      </c>
      <c r="L893" s="2649"/>
      <c r="M893" s="2649"/>
      <c r="N893" s="2650">
        <v>66.7</v>
      </c>
      <c r="O893" s="2650">
        <v>33.300000000000004</v>
      </c>
      <c r="P893" s="2651">
        <v>8.3000000000000007</v>
      </c>
      <c r="Q893" s="2651">
        <v>13.900000000000002</v>
      </c>
      <c r="R893" s="2651">
        <v>8.3000000000000007</v>
      </c>
      <c r="S893" s="2651">
        <v>0</v>
      </c>
      <c r="T893" s="2651">
        <v>81.3</v>
      </c>
    </row>
    <row r="894" spans="8:20">
      <c r="H894" s="7215"/>
      <c r="I894" s="7218"/>
      <c r="J894" s="2648" t="s">
        <v>1355</v>
      </c>
      <c r="K894" s="2649" t="s">
        <v>1327</v>
      </c>
      <c r="L894" s="2649"/>
      <c r="M894" s="2649"/>
      <c r="N894" s="2650">
        <v>72.7</v>
      </c>
      <c r="O894" s="2650">
        <v>27.3</v>
      </c>
      <c r="P894" s="2651">
        <v>0</v>
      </c>
      <c r="Q894" s="2651">
        <v>6.2</v>
      </c>
      <c r="R894" s="2651">
        <v>12.5</v>
      </c>
      <c r="S894" s="2651">
        <v>0</v>
      </c>
      <c r="T894" s="2651">
        <v>75</v>
      </c>
    </row>
    <row r="895" spans="8:20">
      <c r="H895" s="7215"/>
      <c r="I895" s="7218"/>
      <c r="J895" s="2648" t="s">
        <v>1356</v>
      </c>
      <c r="K895" s="2649" t="s">
        <v>1327</v>
      </c>
      <c r="L895" s="2649"/>
      <c r="M895" s="2649"/>
      <c r="N895" s="2650">
        <v>88.9</v>
      </c>
      <c r="O895" s="2650">
        <v>11.1</v>
      </c>
      <c r="P895" s="2651">
        <v>0</v>
      </c>
      <c r="Q895" s="2651">
        <v>0</v>
      </c>
      <c r="R895" s="2651">
        <v>18.7</v>
      </c>
      <c r="S895" s="2651">
        <v>6.3</v>
      </c>
      <c r="T895" s="2651">
        <v>66.7</v>
      </c>
    </row>
    <row r="896" spans="8:20">
      <c r="H896" s="7215"/>
      <c r="I896" s="7218"/>
      <c r="J896" s="2648" t="s">
        <v>1357</v>
      </c>
      <c r="K896" s="2649" t="s">
        <v>1327</v>
      </c>
      <c r="L896" s="2649"/>
      <c r="M896" s="2649"/>
      <c r="N896" s="2650">
        <v>90</v>
      </c>
      <c r="O896" s="2650">
        <v>10</v>
      </c>
      <c r="P896" s="2651">
        <v>11.1</v>
      </c>
      <c r="Q896" s="2651">
        <v>0</v>
      </c>
      <c r="R896" s="2651">
        <v>22.2</v>
      </c>
      <c r="S896" s="2651">
        <v>0</v>
      </c>
      <c r="T896" s="2651">
        <v>78.3</v>
      </c>
    </row>
    <row r="897" spans="8:20" ht="36.75" customHeight="1">
      <c r="H897" s="7215"/>
      <c r="I897" s="7218"/>
      <c r="J897" s="2648" t="s">
        <v>1358</v>
      </c>
      <c r="K897" s="2649" t="s">
        <v>1327</v>
      </c>
      <c r="L897" s="2649"/>
      <c r="M897" s="2649"/>
      <c r="N897" s="2650">
        <v>70.3</v>
      </c>
      <c r="O897" s="2650">
        <v>29.7</v>
      </c>
      <c r="P897" s="2651">
        <v>0</v>
      </c>
      <c r="Q897" s="2651">
        <v>6.5</v>
      </c>
      <c r="R897" s="2651">
        <v>8.6999999999999993</v>
      </c>
      <c r="S897" s="2651">
        <v>6.5</v>
      </c>
      <c r="T897" s="2651">
        <v>78.2</v>
      </c>
    </row>
    <row r="898" spans="8:20">
      <c r="H898" s="7215"/>
      <c r="I898" s="7218"/>
      <c r="J898" s="2648" t="s">
        <v>1363</v>
      </c>
      <c r="K898" s="2649" t="s">
        <v>1327</v>
      </c>
      <c r="L898" s="2649"/>
      <c r="M898" s="2649"/>
      <c r="N898" s="2650">
        <v>83.1</v>
      </c>
      <c r="O898" s="2650">
        <v>16.900000000000002</v>
      </c>
      <c r="P898" s="2651">
        <v>1.7999999999999998</v>
      </c>
      <c r="Q898" s="2651">
        <v>0</v>
      </c>
      <c r="R898" s="2651">
        <v>7.3</v>
      </c>
      <c r="S898" s="2651">
        <v>12.7</v>
      </c>
      <c r="T898" s="2651">
        <v>77.600000000000009</v>
      </c>
    </row>
    <row r="899" spans="8:20">
      <c r="H899" s="7215"/>
      <c r="I899" s="7218"/>
      <c r="J899" s="2648" t="s">
        <v>1364</v>
      </c>
      <c r="K899" s="2649" t="s">
        <v>1327</v>
      </c>
      <c r="L899" s="2649"/>
      <c r="M899" s="2649"/>
      <c r="N899" s="2650">
        <v>85.8</v>
      </c>
      <c r="O899" s="2650">
        <v>14.2</v>
      </c>
      <c r="P899" s="2651">
        <v>0.89999999999999991</v>
      </c>
      <c r="Q899" s="2651">
        <v>3.6999999999999997</v>
      </c>
      <c r="R899" s="2651">
        <v>7.5</v>
      </c>
      <c r="S899" s="2651">
        <v>10.299999999999999</v>
      </c>
      <c r="T899" s="2655">
        <v>67.900000000000006</v>
      </c>
    </row>
    <row r="900" spans="8:20">
      <c r="H900" s="7216"/>
      <c r="I900" s="7219"/>
      <c r="J900" s="2652" t="s">
        <v>1365</v>
      </c>
      <c r="K900" s="2653" t="s">
        <v>1327</v>
      </c>
      <c r="L900" s="2653"/>
      <c r="M900" s="2653"/>
      <c r="N900" s="2654">
        <v>86.5</v>
      </c>
      <c r="O900" s="2654">
        <v>13.5</v>
      </c>
      <c r="P900" s="2655">
        <v>7.3999999999999995</v>
      </c>
      <c r="Q900" s="2655">
        <v>3.6999999999999997</v>
      </c>
      <c r="R900" s="2655">
        <v>11.1</v>
      </c>
      <c r="S900" s="2655">
        <v>9.9</v>
      </c>
      <c r="T900" s="2659">
        <v>33.4</v>
      </c>
    </row>
    <row r="901" spans="8:20">
      <c r="H901" s="7214" t="s">
        <v>74</v>
      </c>
      <c r="I901" s="7217" t="s">
        <v>21</v>
      </c>
      <c r="J901" s="2656" t="s">
        <v>1404</v>
      </c>
      <c r="K901" s="2657" t="s">
        <v>1331</v>
      </c>
      <c r="L901" s="2657"/>
      <c r="M901" s="2657"/>
      <c r="N901" s="2658">
        <v>100</v>
      </c>
      <c r="O901" s="2658">
        <v>0</v>
      </c>
      <c r="P901" s="2659">
        <v>8.3000000000000007</v>
      </c>
      <c r="Q901" s="2659">
        <v>16.7</v>
      </c>
      <c r="R901" s="2659">
        <v>8.3000000000000007</v>
      </c>
      <c r="S901" s="2659">
        <v>33.300000000000004</v>
      </c>
      <c r="T901" s="2663">
        <v>73.099999999999994</v>
      </c>
    </row>
    <row r="902" spans="8:20">
      <c r="H902" s="7215"/>
      <c r="I902" s="7219"/>
      <c r="J902" s="2660" t="s">
        <v>1400</v>
      </c>
      <c r="K902" s="2661" t="s">
        <v>1327</v>
      </c>
      <c r="L902" s="2661"/>
      <c r="M902" s="2661"/>
      <c r="N902" s="2662">
        <v>79.5</v>
      </c>
      <c r="O902" s="2662">
        <v>20.5</v>
      </c>
      <c r="P902" s="2663">
        <v>2.9000000000000004</v>
      </c>
      <c r="Q902" s="2663">
        <v>3.8</v>
      </c>
      <c r="R902" s="2663">
        <v>8.6999999999999993</v>
      </c>
      <c r="S902" s="2663">
        <v>11.5</v>
      </c>
      <c r="T902" s="2647">
        <v>73.599999999999994</v>
      </c>
    </row>
    <row r="903" spans="8:20">
      <c r="H903" s="7215"/>
      <c r="I903" s="7217" t="s">
        <v>41</v>
      </c>
      <c r="J903" s="2644" t="s">
        <v>1377</v>
      </c>
      <c r="K903" s="2645" t="s">
        <v>1331</v>
      </c>
      <c r="L903" s="2645"/>
      <c r="M903" s="2645"/>
      <c r="N903" s="2646">
        <v>85.9</v>
      </c>
      <c r="O903" s="2646">
        <v>14.099999999999998</v>
      </c>
      <c r="P903" s="2647">
        <v>0</v>
      </c>
      <c r="Q903" s="2647">
        <v>8.7999999999999989</v>
      </c>
      <c r="R903" s="2647">
        <v>8.7999999999999989</v>
      </c>
      <c r="S903" s="2647">
        <v>8.7999999999999989</v>
      </c>
      <c r="T903" s="2651">
        <v>75.8</v>
      </c>
    </row>
    <row r="904" spans="8:20">
      <c r="H904" s="7215"/>
      <c r="I904" s="7218"/>
      <c r="J904" s="2648" t="s">
        <v>1381</v>
      </c>
      <c r="K904" s="2649" t="s">
        <v>1325</v>
      </c>
      <c r="L904" s="2649"/>
      <c r="M904" s="2649"/>
      <c r="N904" s="2650">
        <v>82.3</v>
      </c>
      <c r="O904" s="2650">
        <v>17.7</v>
      </c>
      <c r="P904" s="2651">
        <v>0</v>
      </c>
      <c r="Q904" s="2651">
        <v>3</v>
      </c>
      <c r="R904" s="2651">
        <v>12.1</v>
      </c>
      <c r="S904" s="2651">
        <v>9.1</v>
      </c>
      <c r="T904" s="2651">
        <v>62.1</v>
      </c>
    </row>
    <row r="905" spans="8:20">
      <c r="H905" s="7215"/>
      <c r="I905" s="7218"/>
      <c r="J905" s="2648" t="s">
        <v>1382</v>
      </c>
      <c r="K905" s="2649" t="s">
        <v>1325</v>
      </c>
      <c r="L905" s="2649"/>
      <c r="M905" s="2649"/>
      <c r="N905" s="2650">
        <v>100</v>
      </c>
      <c r="O905" s="2650">
        <v>0</v>
      </c>
      <c r="P905" s="2651">
        <v>3.4000000000000004</v>
      </c>
      <c r="Q905" s="2651">
        <v>0</v>
      </c>
      <c r="R905" s="2651">
        <v>13.8</v>
      </c>
      <c r="S905" s="2651">
        <v>20.7</v>
      </c>
      <c r="T905" s="2651">
        <v>68.100000000000009</v>
      </c>
    </row>
    <row r="906" spans="8:20">
      <c r="H906" s="7215"/>
      <c r="I906" s="7218"/>
      <c r="J906" s="2648" t="s">
        <v>1385</v>
      </c>
      <c r="K906" s="2649" t="s">
        <v>1325</v>
      </c>
      <c r="L906" s="2649"/>
      <c r="M906" s="2649"/>
      <c r="N906" s="2650">
        <v>92.300000000000011</v>
      </c>
      <c r="O906" s="2650">
        <v>7.7</v>
      </c>
      <c r="P906" s="2651">
        <v>5.5</v>
      </c>
      <c r="Q906" s="2651">
        <v>4.2</v>
      </c>
      <c r="R906" s="2651">
        <v>11.1</v>
      </c>
      <c r="S906" s="2651">
        <v>11.1</v>
      </c>
      <c r="T906" s="2651">
        <v>80</v>
      </c>
    </row>
    <row r="907" spans="8:20">
      <c r="H907" s="7215"/>
      <c r="I907" s="7218"/>
      <c r="J907" s="2648" t="s">
        <v>1390</v>
      </c>
      <c r="K907" s="2649" t="s">
        <v>1327</v>
      </c>
      <c r="L907" s="2649"/>
      <c r="M907" s="2649"/>
      <c r="N907" s="2650">
        <v>76</v>
      </c>
      <c r="O907" s="2650">
        <v>24</v>
      </c>
      <c r="P907" s="2651">
        <v>0</v>
      </c>
      <c r="Q907" s="2651">
        <v>0</v>
      </c>
      <c r="R907" s="2651">
        <v>10</v>
      </c>
      <c r="S907" s="2651">
        <v>10</v>
      </c>
      <c r="T907" s="2651">
        <v>69.5</v>
      </c>
    </row>
    <row r="908" spans="8:20" ht="30.75" customHeight="1">
      <c r="H908" s="7215"/>
      <c r="I908" s="7218"/>
      <c r="J908" s="2648" t="s">
        <v>1391</v>
      </c>
      <c r="K908" s="2649" t="s">
        <v>1327</v>
      </c>
      <c r="L908" s="2649"/>
      <c r="M908" s="2649"/>
      <c r="N908" s="2650">
        <v>83.899999999999991</v>
      </c>
      <c r="O908" s="2650">
        <v>16.100000000000001</v>
      </c>
      <c r="P908" s="2651">
        <v>5.3</v>
      </c>
      <c r="Q908" s="2651">
        <v>5.3</v>
      </c>
      <c r="R908" s="2651">
        <v>12.5</v>
      </c>
      <c r="S908" s="2651">
        <v>7.3999999999999995</v>
      </c>
      <c r="T908" s="2651">
        <v>100</v>
      </c>
    </row>
    <row r="909" spans="8:20">
      <c r="H909" s="7215"/>
      <c r="I909" s="7218"/>
      <c r="J909" s="2648" t="s">
        <v>1397</v>
      </c>
      <c r="K909" s="2649" t="s">
        <v>1327</v>
      </c>
      <c r="L909" s="2649"/>
      <c r="M909" s="2649"/>
      <c r="N909" s="2650">
        <v>66.7</v>
      </c>
      <c r="O909" s="2650">
        <v>33.300000000000004</v>
      </c>
      <c r="P909" s="2651">
        <v>0</v>
      </c>
      <c r="Q909" s="2651">
        <v>0</v>
      </c>
      <c r="R909" s="2651">
        <v>0</v>
      </c>
      <c r="S909" s="2651">
        <v>0</v>
      </c>
      <c r="T909" s="2651">
        <v>53.9</v>
      </c>
    </row>
    <row r="910" spans="8:20">
      <c r="H910" s="7215"/>
      <c r="I910" s="7218"/>
      <c r="J910" s="2648" t="s">
        <v>1399</v>
      </c>
      <c r="K910" s="2649" t="s">
        <v>1327</v>
      </c>
      <c r="L910" s="2649"/>
      <c r="M910" s="2649"/>
      <c r="N910" s="2650">
        <v>74.3</v>
      </c>
      <c r="O910" s="2650">
        <v>25.7</v>
      </c>
      <c r="P910" s="2651">
        <v>1.9</v>
      </c>
      <c r="Q910" s="2651">
        <v>3.8</v>
      </c>
      <c r="R910" s="2651">
        <v>15.4</v>
      </c>
      <c r="S910" s="2651">
        <v>25</v>
      </c>
      <c r="T910" s="2655">
        <v>77.2</v>
      </c>
    </row>
    <row r="911" spans="8:20">
      <c r="H911" s="7215"/>
      <c r="I911" s="7219"/>
      <c r="J911" s="2652" t="s">
        <v>1401</v>
      </c>
      <c r="K911" s="2653" t="s">
        <v>1327</v>
      </c>
      <c r="L911" s="2653"/>
      <c r="M911" s="2653"/>
      <c r="N911" s="2654">
        <v>86.6</v>
      </c>
      <c r="O911" s="2654">
        <v>13.4</v>
      </c>
      <c r="P911" s="2655">
        <v>1.7999999999999998</v>
      </c>
      <c r="Q911" s="2655">
        <v>1.7999999999999998</v>
      </c>
      <c r="R911" s="2655">
        <v>10.4</v>
      </c>
      <c r="S911" s="2655">
        <v>8.7999999999999989</v>
      </c>
      <c r="T911" s="2659">
        <v>70.099999999999994</v>
      </c>
    </row>
    <row r="912" spans="8:20">
      <c r="H912" s="7215"/>
      <c r="I912" s="7217" t="s">
        <v>16</v>
      </c>
      <c r="J912" s="2656" t="s">
        <v>1403</v>
      </c>
      <c r="K912" s="2657" t="s">
        <v>1331</v>
      </c>
      <c r="L912" s="2657"/>
      <c r="M912" s="2657"/>
      <c r="N912" s="2658">
        <v>80.5</v>
      </c>
      <c r="O912" s="2658">
        <v>19.5</v>
      </c>
      <c r="P912" s="2659">
        <v>0</v>
      </c>
      <c r="Q912" s="2659">
        <v>9</v>
      </c>
      <c r="R912" s="2659">
        <v>7.5</v>
      </c>
      <c r="S912" s="2659">
        <v>13.4</v>
      </c>
      <c r="T912" s="2651">
        <v>71.399999999999991</v>
      </c>
    </row>
    <row r="913" spans="8:20">
      <c r="H913" s="7215"/>
      <c r="I913" s="7218"/>
      <c r="J913" s="2648" t="s">
        <v>1405</v>
      </c>
      <c r="K913" s="2649" t="s">
        <v>1331</v>
      </c>
      <c r="L913" s="2649"/>
      <c r="M913" s="2649"/>
      <c r="N913" s="2650">
        <v>87.5</v>
      </c>
      <c r="O913" s="2650">
        <v>12.5</v>
      </c>
      <c r="P913" s="2651">
        <v>0</v>
      </c>
      <c r="Q913" s="2651">
        <v>0</v>
      </c>
      <c r="R913" s="2651">
        <v>14.299999999999999</v>
      </c>
      <c r="S913" s="2651">
        <v>14.299999999999999</v>
      </c>
      <c r="T913" s="2651">
        <v>62.5</v>
      </c>
    </row>
    <row r="914" spans="8:20">
      <c r="H914" s="7215"/>
      <c r="I914" s="7218"/>
      <c r="J914" s="2648" t="s">
        <v>1384</v>
      </c>
      <c r="K914" s="2649" t="s">
        <v>1331</v>
      </c>
      <c r="L914" s="2649"/>
      <c r="M914" s="2649"/>
      <c r="N914" s="2650">
        <v>94.1</v>
      </c>
      <c r="O914" s="2650">
        <v>5.8999999999999995</v>
      </c>
      <c r="P914" s="2651">
        <v>0</v>
      </c>
      <c r="Q914" s="2651">
        <v>0</v>
      </c>
      <c r="R914" s="2651">
        <v>31.2</v>
      </c>
      <c r="S914" s="2651">
        <v>6.3</v>
      </c>
      <c r="T914" s="2651">
        <v>82.8</v>
      </c>
    </row>
    <row r="915" spans="8:20">
      <c r="H915" s="7215"/>
      <c r="I915" s="7218"/>
      <c r="J915" s="2648" t="s">
        <v>1383</v>
      </c>
      <c r="K915" s="2649" t="s">
        <v>1325</v>
      </c>
      <c r="L915" s="2649"/>
      <c r="M915" s="2649"/>
      <c r="N915" s="2650">
        <v>80.800000000000011</v>
      </c>
      <c r="O915" s="2650">
        <v>19.2</v>
      </c>
      <c r="P915" s="2651">
        <v>0</v>
      </c>
      <c r="Q915" s="2651">
        <v>1.6</v>
      </c>
      <c r="R915" s="2651">
        <v>4.7</v>
      </c>
      <c r="S915" s="2651">
        <v>10.9</v>
      </c>
      <c r="T915" s="2651">
        <v>76.599999999999994</v>
      </c>
    </row>
    <row r="916" spans="8:20">
      <c r="H916" s="7215"/>
      <c r="I916" s="7218"/>
      <c r="J916" s="2648" t="s">
        <v>1384</v>
      </c>
      <c r="K916" s="2649" t="s">
        <v>1325</v>
      </c>
      <c r="L916" s="2649"/>
      <c r="M916" s="2649"/>
      <c r="N916" s="2650">
        <v>77.5</v>
      </c>
      <c r="O916" s="2650">
        <v>22.5</v>
      </c>
      <c r="P916" s="2651">
        <v>2</v>
      </c>
      <c r="Q916" s="2651">
        <v>4.1000000000000005</v>
      </c>
      <c r="R916" s="2651">
        <v>7.1</v>
      </c>
      <c r="S916" s="2651">
        <v>10.199999999999999</v>
      </c>
      <c r="T916" s="2651">
        <v>76.5</v>
      </c>
    </row>
    <row r="917" spans="8:20">
      <c r="H917" s="7215"/>
      <c r="I917" s="7218"/>
      <c r="J917" s="2648" t="s">
        <v>1386</v>
      </c>
      <c r="K917" s="2649" t="s">
        <v>1327</v>
      </c>
      <c r="L917" s="2649"/>
      <c r="M917" s="2649"/>
      <c r="N917" s="2650">
        <v>81.8</v>
      </c>
      <c r="O917" s="2650">
        <v>18.2</v>
      </c>
      <c r="P917" s="2651">
        <v>0</v>
      </c>
      <c r="Q917" s="2651">
        <v>5.8</v>
      </c>
      <c r="R917" s="2651">
        <v>11.799999999999999</v>
      </c>
      <c r="S917" s="2651">
        <v>5.8999999999999995</v>
      </c>
      <c r="T917" s="2651">
        <v>79.3</v>
      </c>
    </row>
    <row r="918" spans="8:20">
      <c r="H918" s="7215"/>
      <c r="I918" s="7218"/>
      <c r="J918" s="2648" t="s">
        <v>1387</v>
      </c>
      <c r="K918" s="2649" t="s">
        <v>1327</v>
      </c>
      <c r="L918" s="2649"/>
      <c r="M918" s="2649"/>
      <c r="N918" s="2650">
        <v>78.400000000000006</v>
      </c>
      <c r="O918" s="2650">
        <v>21.6</v>
      </c>
      <c r="P918" s="2651">
        <v>6.9</v>
      </c>
      <c r="Q918" s="2651">
        <v>0</v>
      </c>
      <c r="R918" s="2651">
        <v>6.9</v>
      </c>
      <c r="S918" s="2651">
        <v>6.9</v>
      </c>
      <c r="T918" s="2651">
        <v>76.5</v>
      </c>
    </row>
    <row r="919" spans="8:20">
      <c r="H919" s="7215"/>
      <c r="I919" s="7218"/>
      <c r="J919" s="2648" t="s">
        <v>1388</v>
      </c>
      <c r="K919" s="2649" t="s">
        <v>1327</v>
      </c>
      <c r="L919" s="2649"/>
      <c r="M919" s="2649"/>
      <c r="N919" s="2650">
        <v>79.400000000000006</v>
      </c>
      <c r="O919" s="2650">
        <v>20.599999999999998</v>
      </c>
      <c r="P919" s="2651">
        <v>2</v>
      </c>
      <c r="Q919" s="2651">
        <v>2</v>
      </c>
      <c r="R919" s="2651">
        <v>13.6</v>
      </c>
      <c r="S919" s="2651">
        <v>5.8999999999999995</v>
      </c>
      <c r="T919" s="2651">
        <v>81</v>
      </c>
    </row>
    <row r="920" spans="8:20">
      <c r="H920" s="7215"/>
      <c r="I920" s="7218"/>
      <c r="J920" s="2648" t="s">
        <v>1389</v>
      </c>
      <c r="K920" s="2649" t="s">
        <v>1327</v>
      </c>
      <c r="L920" s="2649"/>
      <c r="M920" s="2649"/>
      <c r="N920" s="2650">
        <v>88.3</v>
      </c>
      <c r="O920" s="2650">
        <v>11.799999999999999</v>
      </c>
      <c r="P920" s="2651">
        <v>0</v>
      </c>
      <c r="Q920" s="2651">
        <v>2.4</v>
      </c>
      <c r="R920" s="2651">
        <v>7.1</v>
      </c>
      <c r="S920" s="2651">
        <v>9.5</v>
      </c>
      <c r="T920" s="2651">
        <v>55.900000000000006</v>
      </c>
    </row>
    <row r="921" spans="8:20" ht="28.5" customHeight="1">
      <c r="H921" s="7215"/>
      <c r="I921" s="7218"/>
      <c r="J921" s="2648" t="s">
        <v>1392</v>
      </c>
      <c r="K921" s="2649" t="s">
        <v>1327</v>
      </c>
      <c r="L921" s="2649"/>
      <c r="M921" s="2649"/>
      <c r="N921" s="2650">
        <v>83.1</v>
      </c>
      <c r="O921" s="2650">
        <v>16.900000000000002</v>
      </c>
      <c r="P921" s="2651">
        <v>1.5</v>
      </c>
      <c r="Q921" s="2651">
        <v>8.7999999999999989</v>
      </c>
      <c r="R921" s="2651">
        <v>17.599999999999998</v>
      </c>
      <c r="S921" s="2651">
        <v>16.2</v>
      </c>
      <c r="T921" s="2651">
        <v>0</v>
      </c>
    </row>
    <row r="922" spans="8:20">
      <c r="H922" s="7215"/>
      <c r="I922" s="7218"/>
      <c r="J922" s="2648" t="s">
        <v>1393</v>
      </c>
      <c r="K922" s="2649" t="s">
        <v>1327</v>
      </c>
      <c r="L922" s="2649"/>
      <c r="M922" s="2649"/>
      <c r="N922" s="2650">
        <v>100</v>
      </c>
      <c r="O922" s="2650">
        <v>0</v>
      </c>
      <c r="P922" s="2651">
        <v>0</v>
      </c>
      <c r="Q922" s="2651">
        <v>50</v>
      </c>
      <c r="R922" s="2651">
        <v>50</v>
      </c>
      <c r="S922" s="2651">
        <v>0</v>
      </c>
      <c r="T922" s="2651">
        <v>61</v>
      </c>
    </row>
    <row r="923" spans="8:20">
      <c r="H923" s="7215"/>
      <c r="I923" s="7218"/>
      <c r="J923" s="2648" t="s">
        <v>1394</v>
      </c>
      <c r="K923" s="2649" t="s">
        <v>1327</v>
      </c>
      <c r="L923" s="2649"/>
      <c r="M923" s="2649"/>
      <c r="N923" s="2650">
        <v>73.7</v>
      </c>
      <c r="O923" s="2650">
        <v>26.3</v>
      </c>
      <c r="P923" s="2651">
        <v>2.4</v>
      </c>
      <c r="Q923" s="2651">
        <v>7.3</v>
      </c>
      <c r="R923" s="2651">
        <v>9.8000000000000007</v>
      </c>
      <c r="S923" s="2651">
        <v>19.5</v>
      </c>
      <c r="T923" s="2651">
        <v>100</v>
      </c>
    </row>
    <row r="924" spans="8:20">
      <c r="H924" s="7215"/>
      <c r="I924" s="7218"/>
      <c r="J924" s="2648" t="s">
        <v>1395</v>
      </c>
      <c r="K924" s="2649" t="s">
        <v>1327</v>
      </c>
      <c r="L924" s="2649"/>
      <c r="M924" s="2649"/>
      <c r="N924" s="2650">
        <v>100</v>
      </c>
      <c r="O924" s="2650">
        <v>0</v>
      </c>
      <c r="P924" s="2651">
        <v>0</v>
      </c>
      <c r="Q924" s="2651">
        <v>0</v>
      </c>
      <c r="R924" s="2651">
        <v>0</v>
      </c>
      <c r="S924" s="2651">
        <v>0</v>
      </c>
      <c r="T924" s="2651">
        <v>71.899999999999991</v>
      </c>
    </row>
    <row r="925" spans="8:20">
      <c r="H925" s="7215"/>
      <c r="I925" s="7218"/>
      <c r="J925" s="2648" t="s">
        <v>1396</v>
      </c>
      <c r="K925" s="2649" t="s">
        <v>1327</v>
      </c>
      <c r="L925" s="2649"/>
      <c r="M925" s="2649"/>
      <c r="N925" s="2650">
        <v>90.100000000000009</v>
      </c>
      <c r="O925" s="2650">
        <v>9.9</v>
      </c>
      <c r="P925" s="2651">
        <v>4.5999999999999996</v>
      </c>
      <c r="Q925" s="2651">
        <v>1.6</v>
      </c>
      <c r="R925" s="2651">
        <v>15.6</v>
      </c>
      <c r="S925" s="2651">
        <v>6.3</v>
      </c>
      <c r="T925" s="2651">
        <v>61.8</v>
      </c>
    </row>
    <row r="926" spans="8:20">
      <c r="H926" s="7215"/>
      <c r="I926" s="7218"/>
      <c r="J926" s="2648" t="s">
        <v>1398</v>
      </c>
      <c r="K926" s="2649" t="s">
        <v>1327</v>
      </c>
      <c r="L926" s="2649"/>
      <c r="M926" s="2649"/>
      <c r="N926" s="2650">
        <v>80.400000000000006</v>
      </c>
      <c r="O926" s="2650">
        <v>19.600000000000001</v>
      </c>
      <c r="P926" s="2651">
        <v>2.9000000000000004</v>
      </c>
      <c r="Q926" s="2651">
        <v>5.8999999999999995</v>
      </c>
      <c r="R926" s="2651">
        <v>14.7</v>
      </c>
      <c r="S926" s="2651">
        <v>14.7</v>
      </c>
      <c r="T926" s="2655">
        <v>12.5</v>
      </c>
    </row>
    <row r="927" spans="8:20">
      <c r="H927" s="7216"/>
      <c r="I927" s="7219"/>
      <c r="J927" s="2652" t="s">
        <v>1402</v>
      </c>
      <c r="K927" s="2653" t="s">
        <v>1327</v>
      </c>
      <c r="L927" s="2653"/>
      <c r="M927" s="2653"/>
      <c r="N927" s="2654">
        <v>70</v>
      </c>
      <c r="O927" s="2654">
        <v>30</v>
      </c>
      <c r="P927" s="2655">
        <v>0</v>
      </c>
      <c r="Q927" s="2655">
        <v>12.5</v>
      </c>
      <c r="R927" s="2655">
        <v>0</v>
      </c>
      <c r="S927" s="2655">
        <v>75</v>
      </c>
    </row>
    <row r="928" spans="8:20">
      <c r="H928" s="208"/>
      <c r="I928" s="208"/>
      <c r="J928" s="208"/>
      <c r="K928" s="208"/>
      <c r="L928" s="2421"/>
      <c r="M928" s="208"/>
      <c r="N928" s="208"/>
      <c r="O928" s="208"/>
    </row>
    <row r="929" spans="8:16">
      <c r="H929" s="208"/>
      <c r="I929" s="208"/>
      <c r="J929" s="208"/>
      <c r="K929" s="208"/>
      <c r="L929" s="2421"/>
      <c r="M929" s="208"/>
      <c r="N929" s="208"/>
      <c r="O929" s="208"/>
    </row>
    <row r="930" spans="8:16" ht="17.399999999999999">
      <c r="H930" s="208"/>
      <c r="J930" s="225">
        <v>2013</v>
      </c>
      <c r="K930" s="208"/>
      <c r="L930" s="2421"/>
      <c r="M930" s="208"/>
      <c r="N930" s="208"/>
      <c r="O930" s="208"/>
    </row>
    <row r="931" spans="8:16">
      <c r="H931" s="7202" t="s">
        <v>920</v>
      </c>
      <c r="I931" s="7202"/>
      <c r="J931" s="7202"/>
      <c r="K931" s="7202"/>
      <c r="L931" s="3899"/>
      <c r="M931" s="1619"/>
      <c r="N931" s="237"/>
      <c r="O931" s="237"/>
      <c r="P931" s="237"/>
    </row>
    <row r="932" spans="8:16" ht="15.75" customHeight="1">
      <c r="H932" s="224"/>
      <c r="I932" s="224" t="s">
        <v>925</v>
      </c>
      <c r="J932" s="224"/>
      <c r="K932" s="224"/>
      <c r="L932" s="224"/>
      <c r="M932" s="2415"/>
      <c r="N932" s="208"/>
      <c r="O932" s="208"/>
    </row>
    <row r="933" spans="8:16" ht="15.75" customHeight="1">
      <c r="H933" s="229" t="s">
        <v>921</v>
      </c>
      <c r="I933" s="219" t="s">
        <v>922</v>
      </c>
      <c r="J933" s="219" t="s">
        <v>101</v>
      </c>
      <c r="K933" s="219" t="s">
        <v>923</v>
      </c>
      <c r="L933" s="4067"/>
      <c r="M933" s="2415"/>
      <c r="N933" s="208"/>
      <c r="O933" s="208"/>
    </row>
    <row r="934" spans="8:16">
      <c r="H934" s="220" t="s">
        <v>907</v>
      </c>
      <c r="I934" s="238">
        <v>3361</v>
      </c>
      <c r="J934" s="239">
        <v>82.155952089953558</v>
      </c>
      <c r="K934" s="240">
        <f>I934/I936</f>
        <v>0.82722126507506766</v>
      </c>
      <c r="L934" s="4068"/>
      <c r="M934" s="2415"/>
      <c r="N934" s="208"/>
      <c r="O934" s="208"/>
    </row>
    <row r="935" spans="8:16">
      <c r="H935" s="220" t="s">
        <v>908</v>
      </c>
      <c r="I935" s="238">
        <v>702</v>
      </c>
      <c r="J935" s="239">
        <v>17.159618675140553</v>
      </c>
      <c r="K935" s="241">
        <v>17.277873492493232</v>
      </c>
      <c r="L935" s="4069"/>
      <c r="M935" s="2415"/>
      <c r="N935" s="208"/>
      <c r="O935" s="208"/>
    </row>
    <row r="936" spans="8:16">
      <c r="H936" s="2670" t="s">
        <v>15</v>
      </c>
      <c r="I936" s="2671">
        <v>4063</v>
      </c>
      <c r="J936" s="2672">
        <v>99.315570765094108</v>
      </c>
      <c r="K936" s="2672">
        <v>100</v>
      </c>
      <c r="L936" s="4070"/>
      <c r="M936" s="2415"/>
      <c r="N936" s="208"/>
      <c r="O936" s="208"/>
    </row>
    <row r="937" spans="8:16">
      <c r="H937" s="220" t="s">
        <v>924</v>
      </c>
      <c r="I937" s="238">
        <v>28</v>
      </c>
      <c r="J937" s="243">
        <v>0.68442923490589103</v>
      </c>
      <c r="K937" s="244"/>
      <c r="L937" s="4071"/>
      <c r="M937" s="2415"/>
      <c r="N937" s="208"/>
      <c r="O937" s="208"/>
    </row>
    <row r="938" spans="8:16">
      <c r="H938" s="242" t="s">
        <v>15</v>
      </c>
      <c r="I938" s="238">
        <v>4091</v>
      </c>
      <c r="J938" s="239">
        <v>100</v>
      </c>
      <c r="K938" s="245"/>
      <c r="L938" s="4072"/>
      <c r="M938" s="2415"/>
      <c r="N938" s="208"/>
      <c r="O938" s="208"/>
    </row>
    <row r="939" spans="8:16">
      <c r="H939" s="208"/>
      <c r="I939" s="208"/>
      <c r="J939" s="208"/>
      <c r="K939" s="208"/>
      <c r="L939" s="2421"/>
      <c r="M939" s="2415"/>
      <c r="N939" s="208"/>
      <c r="O939" s="208"/>
    </row>
    <row r="940" spans="8:16" ht="15.6">
      <c r="H940" s="209"/>
      <c r="I940" s="209"/>
      <c r="J940" s="209"/>
      <c r="K940" s="209"/>
      <c r="L940" s="3902"/>
      <c r="M940" s="2415"/>
      <c r="N940" s="209"/>
      <c r="O940" s="209"/>
    </row>
    <row r="941" spans="8:16" ht="17.399999999999999">
      <c r="H941" s="224"/>
      <c r="J941" s="225">
        <v>2012</v>
      </c>
      <c r="K941" s="224"/>
      <c r="L941" s="224"/>
      <c r="M941" s="224"/>
      <c r="N941" s="224"/>
      <c r="O941" s="224"/>
      <c r="P941" s="49"/>
    </row>
    <row r="942" spans="8:16">
      <c r="H942" s="7202" t="s">
        <v>920</v>
      </c>
      <c r="I942" s="7202"/>
      <c r="J942" s="7202"/>
      <c r="K942" s="7202"/>
      <c r="L942" s="7202"/>
      <c r="M942" s="7202"/>
      <c r="N942" s="7202"/>
      <c r="O942" s="237"/>
      <c r="P942" s="237"/>
    </row>
    <row r="943" spans="8:16">
      <c r="H943" s="227"/>
      <c r="I943" s="51"/>
      <c r="J943" s="51"/>
      <c r="K943" s="51"/>
      <c r="L943" s="51"/>
      <c r="M943" s="51"/>
      <c r="N943" s="224"/>
      <c r="O943" s="224"/>
      <c r="P943" s="49"/>
    </row>
    <row r="944" spans="8:16">
      <c r="H944" s="224"/>
      <c r="I944" s="224" t="s">
        <v>925</v>
      </c>
      <c r="J944" s="224"/>
      <c r="K944" s="224"/>
      <c r="L944" s="224"/>
      <c r="M944" s="224"/>
      <c r="N944" s="224"/>
      <c r="O944" s="224"/>
      <c r="P944" s="49"/>
    </row>
    <row r="945" spans="8:18" ht="26.4">
      <c r="H945" s="229" t="s">
        <v>921</v>
      </c>
      <c r="I945" s="230" t="s">
        <v>922</v>
      </c>
      <c r="J945" s="230" t="s">
        <v>101</v>
      </c>
      <c r="K945" s="230" t="s">
        <v>923</v>
      </c>
      <c r="L945" s="4067"/>
      <c r="M945" s="224"/>
      <c r="N945" s="49"/>
      <c r="O945" s="49"/>
      <c r="P945" s="49"/>
    </row>
    <row r="946" spans="8:18">
      <c r="H946" s="232" t="s">
        <v>907</v>
      </c>
      <c r="I946" s="232">
        <v>2966</v>
      </c>
      <c r="J946" s="246">
        <f>I945:I946/I950</f>
        <v>0.85426267281105994</v>
      </c>
      <c r="K946" s="247">
        <v>0.85871453387376995</v>
      </c>
      <c r="L946" s="4073"/>
      <c r="M946" s="224"/>
      <c r="N946" s="49"/>
      <c r="O946" s="49"/>
      <c r="P946" s="49"/>
    </row>
    <row r="947" spans="8:18">
      <c r="H947" s="232" t="s">
        <v>908</v>
      </c>
      <c r="I947" s="232">
        <v>488</v>
      </c>
      <c r="J947" s="248">
        <f>I947/I950</f>
        <v>0.14055299539170507</v>
      </c>
      <c r="K947" s="249">
        <f>(I947*100)/I948</f>
        <v>14.128546612623046</v>
      </c>
      <c r="L947" s="4074"/>
      <c r="M947" s="224"/>
      <c r="N947" s="49"/>
      <c r="O947" s="49"/>
      <c r="P947" s="49"/>
    </row>
    <row r="948" spans="8:18">
      <c r="H948" s="2414" t="s">
        <v>15</v>
      </c>
      <c r="I948" s="2414">
        <f>SUM(I946:I947)</f>
        <v>3454</v>
      </c>
      <c r="J948" s="2673">
        <f>SUM(J946:J947)</f>
        <v>0.99481566820276501</v>
      </c>
      <c r="K948" s="2674">
        <v>1</v>
      </c>
      <c r="L948" s="4075"/>
      <c r="M948" s="224"/>
      <c r="N948" s="49"/>
      <c r="O948" s="49"/>
      <c r="P948" s="49"/>
    </row>
    <row r="949" spans="8:18">
      <c r="H949" s="232" t="s">
        <v>924</v>
      </c>
      <c r="I949" s="232">
        <v>18</v>
      </c>
      <c r="J949" s="246">
        <f>I949/I950</f>
        <v>5.1843317972350231E-3</v>
      </c>
      <c r="K949" s="244"/>
      <c r="L949" s="4071"/>
      <c r="M949" s="1656"/>
      <c r="N949" s="49"/>
      <c r="O949" s="49"/>
      <c r="P949" s="49"/>
    </row>
    <row r="950" spans="8:18">
      <c r="H950" s="236" t="s">
        <v>15</v>
      </c>
      <c r="I950" s="236">
        <f>SUM(I948:I949)</f>
        <v>3472</v>
      </c>
      <c r="J950" s="250">
        <f>SUM(J948:J949)</f>
        <v>1</v>
      </c>
      <c r="K950" s="245"/>
      <c r="L950" s="4072"/>
      <c r="M950" s="1657"/>
      <c r="N950" s="49"/>
      <c r="O950" s="49"/>
      <c r="P950" s="49"/>
    </row>
    <row r="951" spans="8:18">
      <c r="H951" s="221" t="s">
        <v>926</v>
      </c>
    </row>
    <row r="952" spans="8:18" ht="15.6">
      <c r="H952" s="209"/>
      <c r="I952" s="209"/>
      <c r="J952" s="209"/>
      <c r="K952" s="209"/>
      <c r="L952" s="3902"/>
      <c r="M952" s="209"/>
      <c r="N952" s="209"/>
      <c r="O952" s="209"/>
    </row>
    <row r="953" spans="8:18" ht="15.6">
      <c r="H953" s="209"/>
      <c r="I953" s="209"/>
      <c r="J953" s="209"/>
      <c r="K953" s="209"/>
      <c r="L953" s="3902"/>
      <c r="M953" s="209"/>
      <c r="N953" s="209"/>
      <c r="O953" s="209"/>
    </row>
    <row r="954" spans="8:18" ht="17.399999999999999">
      <c r="H954" s="224"/>
      <c r="J954" s="225">
        <v>2011</v>
      </c>
      <c r="K954" s="224"/>
      <c r="L954" s="224"/>
      <c r="M954" s="224"/>
      <c r="N954" s="224"/>
      <c r="O954" s="224"/>
      <c r="P954" s="49"/>
      <c r="Q954" s="49"/>
      <c r="R954" s="26"/>
    </row>
    <row r="955" spans="8:18">
      <c r="H955" s="7202" t="s">
        <v>920</v>
      </c>
      <c r="I955" s="7202"/>
      <c r="J955" s="7202"/>
      <c r="K955" s="7202"/>
      <c r="L955" s="7202"/>
      <c r="M955" s="7202"/>
      <c r="N955" s="7202"/>
      <c r="O955" s="237"/>
      <c r="P955" s="237"/>
      <c r="Q955" s="49"/>
      <c r="R955" s="26"/>
    </row>
    <row r="956" spans="8:18">
      <c r="H956" s="227"/>
      <c r="I956" s="51"/>
      <c r="J956" s="51"/>
      <c r="K956" s="51"/>
      <c r="L956" s="51"/>
      <c r="M956" s="51"/>
      <c r="N956" s="224"/>
      <c r="O956" s="224"/>
      <c r="P956" s="49"/>
      <c r="Q956" s="49"/>
      <c r="R956" s="26"/>
    </row>
    <row r="957" spans="8:18" ht="26.4">
      <c r="H957" s="229" t="s">
        <v>921</v>
      </c>
      <c r="I957" s="230" t="s">
        <v>922</v>
      </c>
      <c r="J957" s="230" t="s">
        <v>101</v>
      </c>
      <c r="K957" s="230" t="s">
        <v>923</v>
      </c>
      <c r="L957" s="4067"/>
      <c r="M957" s="51"/>
      <c r="N957" s="224"/>
      <c r="O957" s="224"/>
      <c r="P957" s="49"/>
      <c r="Q957" s="49"/>
      <c r="R957" s="26"/>
    </row>
    <row r="958" spans="8:18">
      <c r="H958" s="232" t="s">
        <v>907</v>
      </c>
      <c r="I958" s="232">
        <v>2761</v>
      </c>
      <c r="J958" s="246">
        <f>I957:I958/I962</f>
        <v>0.8563895781637717</v>
      </c>
      <c r="K958" s="251">
        <v>0.86119999999999997</v>
      </c>
      <c r="L958" s="4076"/>
      <c r="M958" s="51"/>
      <c r="N958" s="61"/>
      <c r="O958" s="224"/>
      <c r="P958" s="49"/>
      <c r="Q958" s="49"/>
      <c r="R958" s="26"/>
    </row>
    <row r="959" spans="8:18">
      <c r="H959" s="232" t="s">
        <v>908</v>
      </c>
      <c r="I959" s="232">
        <v>445</v>
      </c>
      <c r="J959" s="248">
        <f>I959/I962</f>
        <v>0.13802729528535981</v>
      </c>
      <c r="K959" s="246">
        <v>0.13880000000000001</v>
      </c>
      <c r="L959" s="4077"/>
      <c r="M959" s="51"/>
      <c r="N959" s="224"/>
      <c r="O959" s="224"/>
      <c r="P959" s="49"/>
      <c r="Q959" s="49"/>
      <c r="R959" s="26"/>
    </row>
    <row r="960" spans="8:18">
      <c r="H960" s="2414" t="s">
        <v>15</v>
      </c>
      <c r="I960" s="2414">
        <v>3206</v>
      </c>
      <c r="J960" s="2673">
        <f>SUM(J958:J959)</f>
        <v>0.99441687344913154</v>
      </c>
      <c r="K960" s="2674">
        <v>1</v>
      </c>
      <c r="L960" s="4075"/>
      <c r="M960" s="51"/>
      <c r="N960" s="224"/>
      <c r="O960" s="224"/>
      <c r="P960" s="49"/>
      <c r="Q960" s="49"/>
      <c r="R960" s="26"/>
    </row>
    <row r="961" spans="8:21">
      <c r="H961" s="232" t="s">
        <v>924</v>
      </c>
      <c r="I961" s="232">
        <v>18</v>
      </c>
      <c r="J961" s="246">
        <f>I961/I962</f>
        <v>5.5831265508684861E-3</v>
      </c>
      <c r="K961" s="244"/>
      <c r="L961" s="4071"/>
      <c r="M961" s="51"/>
      <c r="N961" s="224"/>
      <c r="O961" s="224"/>
      <c r="P961" s="49"/>
      <c r="Q961" s="49"/>
      <c r="R961" s="26"/>
    </row>
    <row r="962" spans="8:21">
      <c r="H962" s="236" t="s">
        <v>15</v>
      </c>
      <c r="I962" s="236">
        <v>3224</v>
      </c>
      <c r="J962" s="250">
        <f>SUM(J960:J961)</f>
        <v>1</v>
      </c>
      <c r="K962" s="245"/>
      <c r="L962" s="4072"/>
      <c r="M962" s="1657"/>
      <c r="N962" s="224"/>
      <c r="O962" s="224"/>
      <c r="P962" s="49"/>
      <c r="Q962" s="49"/>
      <c r="R962" s="26"/>
    </row>
    <row r="963" spans="8:21">
      <c r="H963" s="252"/>
      <c r="I963" s="252"/>
      <c r="J963" s="252"/>
      <c r="K963" s="252"/>
      <c r="L963" s="252"/>
      <c r="M963" s="252"/>
      <c r="N963" s="224"/>
      <c r="O963" s="224"/>
      <c r="P963" s="49"/>
      <c r="Q963" s="49"/>
      <c r="R963" s="26"/>
    </row>
    <row r="964" spans="8:21">
      <c r="H964" s="224"/>
      <c r="I964" s="224"/>
      <c r="J964" s="224"/>
      <c r="K964" s="224"/>
      <c r="L964" s="224"/>
      <c r="M964" s="224"/>
      <c r="N964" s="224"/>
      <c r="O964" s="224"/>
      <c r="P964" s="49"/>
      <c r="Q964" s="49"/>
      <c r="R964" s="26"/>
    </row>
    <row r="965" spans="8:21" ht="17.399999999999999">
      <c r="H965" s="253"/>
      <c r="J965" s="225">
        <v>2010</v>
      </c>
      <c r="K965" s="49"/>
      <c r="L965" s="49"/>
      <c r="M965" s="49"/>
      <c r="N965" s="49"/>
      <c r="O965" s="224"/>
      <c r="P965" s="49"/>
      <c r="Q965" s="49"/>
      <c r="R965" s="26"/>
      <c r="T965" s="49"/>
      <c r="U965" s="49"/>
    </row>
    <row r="966" spans="8:21">
      <c r="H966" s="254" t="s">
        <v>927</v>
      </c>
      <c r="I966" s="255"/>
      <c r="J966" s="255"/>
      <c r="K966" s="255"/>
      <c r="L966" s="255"/>
      <c r="M966" s="255"/>
      <c r="N966" s="255"/>
      <c r="O966" s="49"/>
      <c r="P966" s="49"/>
      <c r="Q966" s="49"/>
      <c r="R966" s="49"/>
      <c r="S966" s="49"/>
      <c r="T966" s="49"/>
      <c r="U966" s="49"/>
    </row>
    <row r="967" spans="8:21">
      <c r="H967" s="254" t="s">
        <v>928</v>
      </c>
      <c r="I967" s="254"/>
      <c r="J967" s="254"/>
      <c r="K967" s="49"/>
      <c r="L967" s="49"/>
      <c r="M967" s="49"/>
      <c r="N967" s="49"/>
      <c r="O967" s="49"/>
      <c r="P967" s="49"/>
      <c r="Q967" s="49"/>
      <c r="R967" s="49"/>
      <c r="S967" s="49"/>
      <c r="T967" s="49"/>
      <c r="U967" s="49"/>
    </row>
    <row r="968" spans="8:21">
      <c r="H968" s="222" t="s">
        <v>929</v>
      </c>
      <c r="I968" s="222"/>
      <c r="J968" s="49"/>
      <c r="K968" s="49"/>
      <c r="L968" s="49"/>
      <c r="M968" s="49"/>
      <c r="N968" s="49"/>
      <c r="O968" s="49"/>
      <c r="P968" s="49"/>
      <c r="Q968" s="49"/>
      <c r="R968" s="49"/>
      <c r="S968" s="49"/>
      <c r="T968" s="49"/>
      <c r="U968" s="49"/>
    </row>
    <row r="969" spans="8:21">
      <c r="H969" s="254" t="s">
        <v>930</v>
      </c>
      <c r="I969" s="254"/>
      <c r="J969" s="49"/>
      <c r="K969" s="49"/>
      <c r="L969" s="49"/>
      <c r="M969" s="49"/>
      <c r="N969" s="49"/>
      <c r="O969" s="49"/>
      <c r="P969" s="49"/>
      <c r="Q969" s="49"/>
      <c r="R969" s="49"/>
      <c r="S969" s="49"/>
      <c r="T969" s="49"/>
      <c r="U969" s="49"/>
    </row>
    <row r="970" spans="8:21">
      <c r="H970" s="222" t="s">
        <v>931</v>
      </c>
      <c r="I970" s="222"/>
      <c r="J970" s="49"/>
      <c r="K970" s="49"/>
      <c r="L970" s="49"/>
      <c r="M970" s="49"/>
      <c r="N970" s="49"/>
      <c r="O970" s="49"/>
      <c r="P970" s="49"/>
      <c r="Q970" s="49"/>
      <c r="R970" s="49"/>
      <c r="S970" s="49"/>
      <c r="T970" s="49"/>
      <c r="U970" s="49"/>
    </row>
    <row r="971" spans="8:21">
      <c r="H971" s="49"/>
      <c r="I971" s="50"/>
      <c r="J971" s="49"/>
      <c r="K971" s="49"/>
      <c r="L971" s="49"/>
      <c r="M971" s="49"/>
      <c r="N971" s="49"/>
      <c r="O971" s="49"/>
      <c r="P971" s="49"/>
      <c r="Q971" s="49"/>
      <c r="R971" s="49"/>
      <c r="S971" s="49"/>
      <c r="T971" s="49"/>
      <c r="U971" s="49"/>
    </row>
    <row r="972" spans="8:21" ht="39.6">
      <c r="H972" s="256" t="s">
        <v>905</v>
      </c>
      <c r="I972" s="256" t="s">
        <v>932</v>
      </c>
      <c r="J972" s="257" t="s">
        <v>908</v>
      </c>
      <c r="K972" s="258"/>
      <c r="L972" s="258"/>
      <c r="M972" s="258"/>
      <c r="N972" s="49"/>
      <c r="O972" s="49"/>
      <c r="P972" s="49"/>
      <c r="Q972" s="49"/>
      <c r="R972" s="49"/>
      <c r="S972" s="49"/>
      <c r="T972" s="49"/>
      <c r="U972" s="49"/>
    </row>
    <row r="973" spans="8:21" ht="26.4">
      <c r="H973" s="2675" t="s">
        <v>933</v>
      </c>
      <c r="I973" s="2676">
        <v>90.52</v>
      </c>
      <c r="J973" s="2676">
        <v>9.48</v>
      </c>
      <c r="K973" s="258"/>
      <c r="L973" s="258"/>
      <c r="M973" s="258"/>
      <c r="N973" s="49"/>
      <c r="O973" s="49"/>
      <c r="P973" s="49"/>
      <c r="Q973" s="49"/>
      <c r="R973" s="49"/>
      <c r="S973" s="49"/>
      <c r="T973" s="49"/>
      <c r="U973" s="49"/>
    </row>
    <row r="974" spans="8:21" ht="39.6">
      <c r="H974" s="2677" t="s">
        <v>934</v>
      </c>
      <c r="I974" s="2678">
        <v>92.11</v>
      </c>
      <c r="J974" s="2678">
        <v>7.89</v>
      </c>
      <c r="K974" s="258"/>
      <c r="L974" s="258"/>
      <c r="M974" s="258"/>
      <c r="N974" s="49"/>
      <c r="O974" s="49"/>
      <c r="P974" s="49"/>
      <c r="Q974" s="49"/>
      <c r="R974" s="49"/>
      <c r="S974" s="49"/>
      <c r="T974" s="49"/>
      <c r="U974" s="49"/>
    </row>
    <row r="975" spans="8:21" ht="52.8">
      <c r="H975" s="2677" t="s">
        <v>935</v>
      </c>
      <c r="I975" s="2678">
        <v>89.16</v>
      </c>
      <c r="J975" s="2678">
        <v>10.84</v>
      </c>
      <c r="K975" s="258"/>
      <c r="L975" s="258"/>
      <c r="M975" s="258"/>
      <c r="N975" s="49"/>
      <c r="O975" s="49"/>
      <c r="P975" s="49"/>
      <c r="Q975" s="49"/>
      <c r="R975" s="49"/>
      <c r="S975" s="49"/>
      <c r="T975" s="49"/>
      <c r="U975" s="49"/>
    </row>
    <row r="976" spans="8:21" ht="39.6">
      <c r="H976" s="2679" t="s">
        <v>936</v>
      </c>
      <c r="I976" s="2680">
        <v>91.07</v>
      </c>
      <c r="J976" s="2680">
        <v>8.93</v>
      </c>
      <c r="K976" s="258"/>
      <c r="L976" s="258"/>
      <c r="M976" s="258"/>
      <c r="N976" s="49"/>
      <c r="O976" s="49"/>
      <c r="P976" s="49"/>
      <c r="Q976" s="49"/>
      <c r="R976" s="49"/>
      <c r="S976" s="49"/>
      <c r="T976" s="49"/>
      <c r="U976" s="49"/>
    </row>
    <row r="977" spans="8:21">
      <c r="H977" s="2681" t="s">
        <v>937</v>
      </c>
      <c r="I977" s="2682">
        <v>86.84</v>
      </c>
      <c r="J977" s="2682">
        <v>13.16</v>
      </c>
      <c r="K977" s="258"/>
      <c r="L977" s="258"/>
      <c r="M977" s="258"/>
      <c r="N977" s="49"/>
      <c r="O977" s="49"/>
      <c r="P977" s="49"/>
      <c r="Q977" s="49"/>
      <c r="R977" s="49"/>
      <c r="S977" s="49"/>
      <c r="T977" s="49"/>
      <c r="U977" s="49"/>
    </row>
    <row r="978" spans="8:21" ht="39.6">
      <c r="H978" s="2677" t="s">
        <v>934</v>
      </c>
      <c r="I978" s="2678">
        <v>91.18</v>
      </c>
      <c r="J978" s="2678">
        <v>8.82</v>
      </c>
      <c r="K978" s="258"/>
      <c r="L978" s="258"/>
      <c r="M978" s="258"/>
      <c r="N978" s="49"/>
      <c r="O978" s="49"/>
      <c r="P978" s="49"/>
      <c r="Q978" s="49"/>
      <c r="R978" s="49"/>
      <c r="S978" s="49"/>
      <c r="T978" s="49"/>
      <c r="U978" s="49"/>
    </row>
    <row r="979" spans="8:21" ht="52.8">
      <c r="H979" s="2677" t="s">
        <v>935</v>
      </c>
      <c r="I979" s="2678">
        <v>84.86</v>
      </c>
      <c r="J979" s="2678">
        <v>15.14</v>
      </c>
      <c r="K979" s="258"/>
      <c r="L979" s="258"/>
      <c r="M979" s="258"/>
      <c r="N979" s="49"/>
      <c r="O979" s="49"/>
      <c r="P979" s="49"/>
      <c r="Q979" s="49"/>
      <c r="R979" s="49"/>
      <c r="S979" s="49"/>
      <c r="T979" s="49"/>
      <c r="U979" s="49"/>
    </row>
    <row r="980" spans="8:21" ht="39.6">
      <c r="H980" s="2679" t="s">
        <v>938</v>
      </c>
      <c r="I980" s="2680">
        <v>83.75</v>
      </c>
      <c r="J980" s="2680">
        <v>16.25</v>
      </c>
      <c r="K980" s="258"/>
      <c r="L980" s="258"/>
      <c r="M980" s="258"/>
      <c r="N980" s="49"/>
      <c r="O980" s="49"/>
      <c r="P980" s="49"/>
      <c r="Q980" s="49"/>
      <c r="R980" s="49"/>
      <c r="S980" s="49"/>
      <c r="T980" s="49"/>
      <c r="U980" s="49"/>
    </row>
    <row r="981" spans="8:21">
      <c r="H981" s="2681" t="s">
        <v>939</v>
      </c>
      <c r="I981" s="2682">
        <v>89.92</v>
      </c>
      <c r="J981" s="2682">
        <v>10.08</v>
      </c>
      <c r="K981" s="258"/>
      <c r="L981" s="258"/>
      <c r="M981" s="258"/>
      <c r="N981" s="49"/>
      <c r="O981" s="49"/>
      <c r="P981" s="49"/>
      <c r="Q981" s="49"/>
      <c r="R981" s="49"/>
      <c r="S981" s="49"/>
      <c r="T981" s="49"/>
      <c r="U981" s="49"/>
    </row>
    <row r="982" spans="8:21" ht="52.8">
      <c r="H982" s="2677" t="s">
        <v>935</v>
      </c>
      <c r="I982" s="2678">
        <v>87.73</v>
      </c>
      <c r="J982" s="2678">
        <v>12.27</v>
      </c>
      <c r="K982" s="258"/>
      <c r="L982" s="258"/>
      <c r="M982" s="258"/>
      <c r="N982" s="49"/>
      <c r="O982" s="49"/>
      <c r="P982" s="49"/>
      <c r="Q982" s="49"/>
      <c r="R982" s="49"/>
      <c r="S982" s="49"/>
      <c r="T982" s="49"/>
      <c r="U982" s="49"/>
    </row>
    <row r="983" spans="8:21" ht="39.6">
      <c r="H983" s="2677" t="s">
        <v>938</v>
      </c>
      <c r="I983" s="2678">
        <v>95.34</v>
      </c>
      <c r="J983" s="2678">
        <v>4.66</v>
      </c>
      <c r="K983" s="258"/>
      <c r="L983" s="258"/>
      <c r="M983" s="258"/>
      <c r="N983" s="49"/>
      <c r="O983" s="49"/>
      <c r="P983" s="49"/>
      <c r="Q983" s="49"/>
      <c r="R983" s="49"/>
      <c r="S983" s="49"/>
      <c r="T983" s="49"/>
      <c r="U983" s="49"/>
    </row>
    <row r="984" spans="8:21" ht="39.6">
      <c r="H984" s="2679" t="s">
        <v>936</v>
      </c>
      <c r="I984" s="2680">
        <v>81.48</v>
      </c>
      <c r="J984" s="2680">
        <v>18.52</v>
      </c>
      <c r="K984" s="258"/>
      <c r="L984" s="258"/>
      <c r="M984" s="258"/>
      <c r="N984" s="49"/>
      <c r="O984" s="49"/>
      <c r="P984" s="49"/>
      <c r="Q984" s="49"/>
      <c r="R984" s="49"/>
      <c r="S984" s="49"/>
      <c r="T984" s="49"/>
      <c r="U984" s="49"/>
    </row>
    <row r="985" spans="8:21">
      <c r="H985" s="259" t="s">
        <v>940</v>
      </c>
      <c r="I985" s="260">
        <v>88.52</v>
      </c>
      <c r="J985" s="261">
        <v>11.48</v>
      </c>
      <c r="K985" s="61"/>
      <c r="L985" s="61"/>
      <c r="M985" s="61"/>
      <c r="N985" s="49"/>
      <c r="O985" s="49"/>
      <c r="P985" s="49"/>
      <c r="Q985" s="49"/>
      <c r="R985" s="49"/>
      <c r="S985" s="49"/>
      <c r="T985" s="49"/>
      <c r="U985" s="49"/>
    </row>
    <row r="986" spans="8:21">
      <c r="H986" s="49"/>
      <c r="I986" s="50"/>
      <c r="J986" s="49"/>
      <c r="K986" s="49"/>
      <c r="L986" s="49"/>
      <c r="M986" s="49"/>
      <c r="N986" s="49"/>
      <c r="O986" s="49"/>
      <c r="P986" s="49"/>
      <c r="Q986" s="49"/>
      <c r="R986" s="49"/>
      <c r="S986" s="49"/>
      <c r="T986" s="49"/>
      <c r="U986" s="49"/>
    </row>
    <row r="987" spans="8:21">
      <c r="H987" s="49"/>
      <c r="I987" s="50"/>
      <c r="J987" s="49"/>
      <c r="K987" s="49"/>
      <c r="L987" s="49"/>
      <c r="M987" s="49"/>
      <c r="N987" s="49"/>
      <c r="O987" s="49"/>
      <c r="P987" s="49"/>
      <c r="Q987" s="49"/>
      <c r="R987" s="49"/>
      <c r="S987" s="49"/>
      <c r="T987" s="49"/>
      <c r="U987" s="49"/>
    </row>
    <row r="988" spans="8:21">
      <c r="H988" s="49"/>
      <c r="I988" s="50"/>
      <c r="J988" s="49"/>
      <c r="K988" s="49"/>
      <c r="L988" s="49"/>
      <c r="M988" s="49"/>
      <c r="N988" s="49"/>
      <c r="O988" s="49"/>
      <c r="P988" s="49"/>
      <c r="Q988" s="49"/>
      <c r="R988" s="49"/>
      <c r="S988" s="49"/>
      <c r="T988" s="49"/>
      <c r="U988" s="49"/>
    </row>
    <row r="989" spans="8:21">
      <c r="H989" s="49"/>
      <c r="I989" s="50"/>
      <c r="J989" s="49"/>
      <c r="K989" s="49"/>
      <c r="L989" s="49"/>
      <c r="M989" s="49"/>
      <c r="N989" s="49"/>
      <c r="O989" s="49"/>
      <c r="P989" s="49"/>
      <c r="Q989" s="49"/>
      <c r="R989" s="49"/>
      <c r="S989" s="49"/>
      <c r="T989" s="49"/>
      <c r="U989" s="49"/>
    </row>
    <row r="990" spans="8:21">
      <c r="H990" s="49"/>
      <c r="I990" s="50"/>
      <c r="J990" s="49"/>
      <c r="K990" s="49"/>
      <c r="L990" s="49"/>
      <c r="M990" s="49"/>
      <c r="N990" s="49"/>
      <c r="O990" s="49"/>
      <c r="P990" s="49"/>
      <c r="Q990" s="49"/>
      <c r="R990" s="49"/>
      <c r="S990" s="49"/>
      <c r="T990" s="49"/>
      <c r="U990" s="49"/>
    </row>
    <row r="991" spans="8:21">
      <c r="H991" s="49"/>
      <c r="I991" s="50"/>
      <c r="J991" s="49"/>
      <c r="K991" s="49"/>
      <c r="L991" s="49"/>
      <c r="M991" s="49"/>
      <c r="N991" s="49"/>
      <c r="O991" s="49"/>
      <c r="P991" s="49"/>
      <c r="Q991" s="49"/>
      <c r="R991" s="49"/>
      <c r="S991" s="49"/>
      <c r="T991" s="49"/>
      <c r="U991" s="49"/>
    </row>
    <row r="992" spans="8:21">
      <c r="H992" s="49"/>
      <c r="I992" s="50"/>
      <c r="J992" s="49"/>
      <c r="K992" s="49"/>
      <c r="L992" s="49"/>
      <c r="M992" s="49"/>
      <c r="N992" s="49"/>
      <c r="O992" s="49"/>
      <c r="P992" s="49"/>
      <c r="Q992" s="49"/>
      <c r="R992" s="49"/>
      <c r="S992" s="49"/>
      <c r="T992" s="49"/>
      <c r="U992" s="49"/>
    </row>
    <row r="993" spans="8:21">
      <c r="H993" s="49"/>
      <c r="I993" s="50"/>
      <c r="J993" s="49"/>
      <c r="K993" s="49"/>
      <c r="L993" s="49"/>
      <c r="M993" s="49"/>
      <c r="N993" s="49"/>
      <c r="O993" s="49"/>
      <c r="P993" s="49"/>
      <c r="Q993" s="49"/>
      <c r="R993" s="49"/>
      <c r="S993" s="49"/>
      <c r="T993" s="49"/>
      <c r="U993" s="49"/>
    </row>
    <row r="994" spans="8:21">
      <c r="H994" s="49"/>
      <c r="I994" s="50"/>
      <c r="J994" s="49"/>
      <c r="K994" s="49"/>
      <c r="L994" s="49"/>
      <c r="M994" s="49"/>
      <c r="N994" s="49"/>
      <c r="O994" s="49"/>
      <c r="P994" s="49"/>
      <c r="Q994" s="49"/>
      <c r="R994" s="49"/>
      <c r="S994" s="49"/>
    </row>
  </sheetData>
  <sortState ref="H206:R292">
    <sortCondition ref="H206:H292"/>
    <sortCondition ref="I206:I292"/>
  </sortState>
  <mergeCells count="227">
    <mergeCell ref="E3:F3"/>
    <mergeCell ref="H532:K532"/>
    <mergeCell ref="H484:H524"/>
    <mergeCell ref="I484:I501"/>
    <mergeCell ref="I502:I520"/>
    <mergeCell ref="I521:I524"/>
    <mergeCell ref="H435:H483"/>
    <mergeCell ref="I435:I455"/>
    <mergeCell ref="I456:I471"/>
    <mergeCell ref="I472:I483"/>
    <mergeCell ref="K435:K447"/>
    <mergeCell ref="K429:K434"/>
    <mergeCell ref="K390:K395"/>
    <mergeCell ref="K396:K400"/>
    <mergeCell ref="K401:K403"/>
    <mergeCell ref="K404:K410"/>
    <mergeCell ref="K411:K413"/>
    <mergeCell ref="K474:K479"/>
    <mergeCell ref="H525:H531"/>
    <mergeCell ref="I525:I526"/>
    <mergeCell ref="I528:I531"/>
    <mergeCell ref="K448:K455"/>
    <mergeCell ref="K507:K516"/>
    <mergeCell ref="K517:K520"/>
    <mergeCell ref="H813:H815"/>
    <mergeCell ref="H841:H860"/>
    <mergeCell ref="H862:H900"/>
    <mergeCell ref="H901:H927"/>
    <mergeCell ref="I841:I845"/>
    <mergeCell ref="I846:I851"/>
    <mergeCell ref="I852:I860"/>
    <mergeCell ref="I862:I876"/>
    <mergeCell ref="I877:I886"/>
    <mergeCell ref="I887:I900"/>
    <mergeCell ref="I901:I902"/>
    <mergeCell ref="I903:I911"/>
    <mergeCell ref="I912:I927"/>
    <mergeCell ref="K521:K523"/>
    <mergeCell ref="K530:K531"/>
    <mergeCell ref="K480:K483"/>
    <mergeCell ref="K484:K485"/>
    <mergeCell ref="K486:K498"/>
    <mergeCell ref="K499:K501"/>
    <mergeCell ref="K502:K506"/>
    <mergeCell ref="H942:N942"/>
    <mergeCell ref="H955:N955"/>
    <mergeCell ref="N839:O839"/>
    <mergeCell ref="H821:O821"/>
    <mergeCell ref="N675:R675"/>
    <mergeCell ref="H680:H681"/>
    <mergeCell ref="I680:I681"/>
    <mergeCell ref="J680:J681"/>
    <mergeCell ref="K680:K681"/>
    <mergeCell ref="N680:N681"/>
    <mergeCell ref="O680:O681"/>
    <mergeCell ref="P680:P681"/>
    <mergeCell ref="H683:H692"/>
    <mergeCell ref="H693:H703"/>
    <mergeCell ref="H704:H721"/>
    <mergeCell ref="H931:K931"/>
    <mergeCell ref="H723:H728"/>
    <mergeCell ref="H806:H812"/>
    <mergeCell ref="K804:K805"/>
    <mergeCell ref="H552:H575"/>
    <mergeCell ref="I552:I557"/>
    <mergeCell ref="K552:K555"/>
    <mergeCell ref="K556:K557"/>
    <mergeCell ref="I558:I569"/>
    <mergeCell ref="K558:K559"/>
    <mergeCell ref="K560:K566"/>
    <mergeCell ref="K567:K569"/>
    <mergeCell ref="K570:K571"/>
    <mergeCell ref="K572:K573"/>
    <mergeCell ref="N804:N805"/>
    <mergeCell ref="O804:O805"/>
    <mergeCell ref="P804:P805"/>
    <mergeCell ref="Q804:R804"/>
    <mergeCell ref="Q680:R680"/>
    <mergeCell ref="K610:K611"/>
    <mergeCell ref="K612:K617"/>
    <mergeCell ref="K618:K620"/>
    <mergeCell ref="H798:H801"/>
    <mergeCell ref="H804:H805"/>
    <mergeCell ref="I804:I805"/>
    <mergeCell ref="J804:J805"/>
    <mergeCell ref="H653:H657"/>
    <mergeCell ref="I653:I654"/>
    <mergeCell ref="I655:I657"/>
    <mergeCell ref="K655:K656"/>
    <mergeCell ref="H730:H745"/>
    <mergeCell ref="H746:H760"/>
    <mergeCell ref="H761:H769"/>
    <mergeCell ref="H771:H785"/>
    <mergeCell ref="H786:H797"/>
    <mergeCell ref="K550:K551"/>
    <mergeCell ref="I550:I551"/>
    <mergeCell ref="H550:H551"/>
    <mergeCell ref="J550:J551"/>
    <mergeCell ref="H621:H652"/>
    <mergeCell ref="I621:I638"/>
    <mergeCell ref="K621:K622"/>
    <mergeCell ref="K623:K635"/>
    <mergeCell ref="K636:K638"/>
    <mergeCell ref="I639:I649"/>
    <mergeCell ref="K639:K642"/>
    <mergeCell ref="K643:K649"/>
    <mergeCell ref="I570:I575"/>
    <mergeCell ref="K574:K575"/>
    <mergeCell ref="I650:I652"/>
    <mergeCell ref="K650:K651"/>
    <mergeCell ref="H576:H620"/>
    <mergeCell ref="I576:I594"/>
    <mergeCell ref="K576:K588"/>
    <mergeCell ref="K589:K594"/>
    <mergeCell ref="I595:I609"/>
    <mergeCell ref="K596:K603"/>
    <mergeCell ref="K604:K609"/>
    <mergeCell ref="I610:I620"/>
    <mergeCell ref="M220:N220"/>
    <mergeCell ref="O220:S220"/>
    <mergeCell ref="P228:Q228"/>
    <mergeCell ref="H230:H271"/>
    <mergeCell ref="I230:I238"/>
    <mergeCell ref="I239:I252"/>
    <mergeCell ref="I253:I271"/>
    <mergeCell ref="P550:Q550"/>
    <mergeCell ref="M550:M551"/>
    <mergeCell ref="N550:N551"/>
    <mergeCell ref="O550:O551"/>
    <mergeCell ref="H537:S538"/>
    <mergeCell ref="H376:S377"/>
    <mergeCell ref="K472:K473"/>
    <mergeCell ref="H390:H434"/>
    <mergeCell ref="I390:I400"/>
    <mergeCell ref="I401:I413"/>
    <mergeCell ref="I414:I434"/>
    <mergeCell ref="K456:K457"/>
    <mergeCell ref="K458:K465"/>
    <mergeCell ref="K466:K471"/>
    <mergeCell ref="K414:K420"/>
    <mergeCell ref="K421:K428"/>
    <mergeCell ref="H323:H365"/>
    <mergeCell ref="I323:I343"/>
    <mergeCell ref="I344:I361"/>
    <mergeCell ref="I362:I365"/>
    <mergeCell ref="H272:H322"/>
    <mergeCell ref="I272:I294"/>
    <mergeCell ref="I295:I311"/>
    <mergeCell ref="I312:I322"/>
    <mergeCell ref="K344:K349"/>
    <mergeCell ref="K350:K359"/>
    <mergeCell ref="K360:K361"/>
    <mergeCell ref="K362:K364"/>
    <mergeCell ref="J372:K372"/>
    <mergeCell ref="H366:H371"/>
    <mergeCell ref="I366:I367"/>
    <mergeCell ref="I369:I371"/>
    <mergeCell ref="H212:P215"/>
    <mergeCell ref="K230:K234"/>
    <mergeCell ref="K235:K238"/>
    <mergeCell ref="K239:K241"/>
    <mergeCell ref="K242:K249"/>
    <mergeCell ref="K250:K252"/>
    <mergeCell ref="K253:K259"/>
    <mergeCell ref="K260:K266"/>
    <mergeCell ref="K267:K271"/>
    <mergeCell ref="K273:K286"/>
    <mergeCell ref="K287:K294"/>
    <mergeCell ref="K295:K296"/>
    <mergeCell ref="K297:K305"/>
    <mergeCell ref="K306:K311"/>
    <mergeCell ref="K312:K313"/>
    <mergeCell ref="K314:K319"/>
    <mergeCell ref="K320:K322"/>
    <mergeCell ref="K323:K325"/>
    <mergeCell ref="K326:K340"/>
    <mergeCell ref="K341:K343"/>
    <mergeCell ref="AC73:AG73"/>
    <mergeCell ref="P81:Q81"/>
    <mergeCell ref="H83:H115"/>
    <mergeCell ref="I83:I90"/>
    <mergeCell ref="K83:K87"/>
    <mergeCell ref="K88:K90"/>
    <mergeCell ref="I91:I102"/>
    <mergeCell ref="K91:K92"/>
    <mergeCell ref="K93:K99"/>
    <mergeCell ref="K100:K102"/>
    <mergeCell ref="I103:I115"/>
    <mergeCell ref="K103:K108"/>
    <mergeCell ref="K109:K113"/>
    <mergeCell ref="K114:K115"/>
    <mergeCell ref="AA70:AH71"/>
    <mergeCell ref="H164:H202"/>
    <mergeCell ref="I164:I183"/>
    <mergeCell ref="K164:K165"/>
    <mergeCell ref="K166:K180"/>
    <mergeCell ref="K181:K183"/>
    <mergeCell ref="I184:I199"/>
    <mergeCell ref="K184:K187"/>
    <mergeCell ref="K188:K195"/>
    <mergeCell ref="K196:K199"/>
    <mergeCell ref="I200:I202"/>
    <mergeCell ref="K200:K201"/>
    <mergeCell ref="H116:H163"/>
    <mergeCell ref="I116:I135"/>
    <mergeCell ref="K116:K128"/>
    <mergeCell ref="K129:K135"/>
    <mergeCell ref="I136:I151"/>
    <mergeCell ref="K137:K145"/>
    <mergeCell ref="K146:K151"/>
    <mergeCell ref="I152:I163"/>
    <mergeCell ref="K152:K153"/>
    <mergeCell ref="K154:K159"/>
    <mergeCell ref="K160:K163"/>
    <mergeCell ref="M72:N72"/>
    <mergeCell ref="E13:F13"/>
    <mergeCell ref="E32:F32"/>
    <mergeCell ref="E41:F41"/>
    <mergeCell ref="E50:F50"/>
    <mergeCell ref="E59:F59"/>
    <mergeCell ref="H203:H207"/>
    <mergeCell ref="I203:I204"/>
    <mergeCell ref="I206:I207"/>
    <mergeCell ref="J208:K208"/>
    <mergeCell ref="H66:P69"/>
    <mergeCell ref="O72:S72"/>
    <mergeCell ref="E23:F23"/>
  </mergeCells>
  <conditionalFormatting sqref="J552:J657">
    <cfRule type="duplicateValues" dxfId="0" priority="1"/>
  </conditionalFormatting>
  <printOptions horizontalCentered="1" verticalCentered="1"/>
  <pageMargins left="0.70866141732283472" right="0.70866141732283472" top="0.74803149606299213" bottom="0.74803149606299213" header="0.31496062992125984" footer="0.31496062992125984"/>
  <pageSetup scale="65" firstPageNumber="18" orientation="landscape" useFirstPageNumber="1" r:id="rId1"/>
  <headerFooter scaleWithDoc="0" alignWithMargins="0">
    <oddFooter>&amp;R&amp;P</oddFooter>
  </headerFooter>
  <colBreaks count="1" manualBreakCount="1">
    <brk id="16"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N171"/>
  <sheetViews>
    <sheetView showGridLines="0" zoomScaleNormal="100" workbookViewId="0">
      <selection activeCell="D37" sqref="D37"/>
    </sheetView>
  </sheetViews>
  <sheetFormatPr baseColWidth="10" defaultRowHeight="14.4"/>
  <cols>
    <col min="1" max="1" width="1.6640625" customWidth="1"/>
    <col min="2" max="2" width="19.6640625" customWidth="1"/>
    <col min="3" max="3" width="11.6640625" customWidth="1"/>
    <col min="4" max="4" width="12.33203125" customWidth="1"/>
    <col min="5" max="5" width="15.5546875" style="3345" customWidth="1"/>
    <col min="6" max="6" width="12.6640625" customWidth="1"/>
    <col min="7" max="7" width="11.44140625" customWidth="1"/>
    <col min="8" max="9" width="9.6640625" customWidth="1"/>
    <col min="10" max="10" width="13.5546875" customWidth="1"/>
    <col min="11" max="11" width="43.6640625" customWidth="1"/>
    <col min="12" max="12" width="18" bestFit="1" customWidth="1"/>
    <col min="13" max="13" width="18.6640625" bestFit="1" customWidth="1"/>
    <col min="14" max="14" width="20.6640625" customWidth="1"/>
    <col min="15" max="15" width="18.6640625" bestFit="1" customWidth="1"/>
    <col min="16" max="16" width="22.6640625" bestFit="1" customWidth="1"/>
    <col min="244" max="244" width="16.33203125" customWidth="1"/>
    <col min="245" max="245" width="11.6640625" customWidth="1"/>
    <col min="246" max="247" width="16.33203125" customWidth="1"/>
    <col min="248" max="248" width="27.6640625" customWidth="1"/>
    <col min="500" max="500" width="16.33203125" customWidth="1"/>
    <col min="501" max="501" width="11.6640625" customWidth="1"/>
    <col min="502" max="503" width="16.33203125" customWidth="1"/>
    <col min="504" max="504" width="27.6640625" customWidth="1"/>
    <col min="756" max="756" width="16.33203125" customWidth="1"/>
    <col min="757" max="757" width="11.6640625" customWidth="1"/>
    <col min="758" max="759" width="16.33203125" customWidth="1"/>
    <col min="760" max="760" width="27.6640625" customWidth="1"/>
    <col min="1012" max="1012" width="16.33203125" customWidth="1"/>
    <col min="1013" max="1013" width="11.6640625" customWidth="1"/>
    <col min="1014" max="1015" width="16.33203125" customWidth="1"/>
    <col min="1016" max="1016" width="27.6640625" customWidth="1"/>
    <col min="1268" max="1268" width="16.33203125" customWidth="1"/>
    <col min="1269" max="1269" width="11.6640625" customWidth="1"/>
    <col min="1270" max="1271" width="16.33203125" customWidth="1"/>
    <col min="1272" max="1272" width="27.6640625" customWidth="1"/>
    <col min="1524" max="1524" width="16.33203125" customWidth="1"/>
    <col min="1525" max="1525" width="11.6640625" customWidth="1"/>
    <col min="1526" max="1527" width="16.33203125" customWidth="1"/>
    <col min="1528" max="1528" width="27.6640625" customWidth="1"/>
    <col min="1780" max="1780" width="16.33203125" customWidth="1"/>
    <col min="1781" max="1781" width="11.6640625" customWidth="1"/>
    <col min="1782" max="1783" width="16.33203125" customWidth="1"/>
    <col min="1784" max="1784" width="27.6640625" customWidth="1"/>
    <col min="2036" max="2036" width="16.33203125" customWidth="1"/>
    <col min="2037" max="2037" width="11.6640625" customWidth="1"/>
    <col min="2038" max="2039" width="16.33203125" customWidth="1"/>
    <col min="2040" max="2040" width="27.6640625" customWidth="1"/>
    <col min="2292" max="2292" width="16.33203125" customWidth="1"/>
    <col min="2293" max="2293" width="11.6640625" customWidth="1"/>
    <col min="2294" max="2295" width="16.33203125" customWidth="1"/>
    <col min="2296" max="2296" width="27.6640625" customWidth="1"/>
    <col min="2548" max="2548" width="16.33203125" customWidth="1"/>
    <col min="2549" max="2549" width="11.6640625" customWidth="1"/>
    <col min="2550" max="2551" width="16.33203125" customWidth="1"/>
    <col min="2552" max="2552" width="27.6640625" customWidth="1"/>
    <col min="2804" max="2804" width="16.33203125" customWidth="1"/>
    <col min="2805" max="2805" width="11.6640625" customWidth="1"/>
    <col min="2806" max="2807" width="16.33203125" customWidth="1"/>
    <col min="2808" max="2808" width="27.6640625" customWidth="1"/>
    <col min="3060" max="3060" width="16.33203125" customWidth="1"/>
    <col min="3061" max="3061" width="11.6640625" customWidth="1"/>
    <col min="3062" max="3063" width="16.33203125" customWidth="1"/>
    <col min="3064" max="3064" width="27.6640625" customWidth="1"/>
    <col min="3316" max="3316" width="16.33203125" customWidth="1"/>
    <col min="3317" max="3317" width="11.6640625" customWidth="1"/>
    <col min="3318" max="3319" width="16.33203125" customWidth="1"/>
    <col min="3320" max="3320" width="27.6640625" customWidth="1"/>
    <col min="3572" max="3572" width="16.33203125" customWidth="1"/>
    <col min="3573" max="3573" width="11.6640625" customWidth="1"/>
    <col min="3574" max="3575" width="16.33203125" customWidth="1"/>
    <col min="3576" max="3576" width="27.6640625" customWidth="1"/>
    <col min="3828" max="3828" width="16.33203125" customWidth="1"/>
    <col min="3829" max="3829" width="11.6640625" customWidth="1"/>
    <col min="3830" max="3831" width="16.33203125" customWidth="1"/>
    <col min="3832" max="3832" width="27.6640625" customWidth="1"/>
    <col min="4084" max="4084" width="16.33203125" customWidth="1"/>
    <col min="4085" max="4085" width="11.6640625" customWidth="1"/>
    <col min="4086" max="4087" width="16.33203125" customWidth="1"/>
    <col min="4088" max="4088" width="27.6640625" customWidth="1"/>
    <col min="4340" max="4340" width="16.33203125" customWidth="1"/>
    <col min="4341" max="4341" width="11.6640625" customWidth="1"/>
    <col min="4342" max="4343" width="16.33203125" customWidth="1"/>
    <col min="4344" max="4344" width="27.6640625" customWidth="1"/>
    <col min="4596" max="4596" width="16.33203125" customWidth="1"/>
    <col min="4597" max="4597" width="11.6640625" customWidth="1"/>
    <col min="4598" max="4599" width="16.33203125" customWidth="1"/>
    <col min="4600" max="4600" width="27.6640625" customWidth="1"/>
    <col min="4852" max="4852" width="16.33203125" customWidth="1"/>
    <col min="4853" max="4853" width="11.6640625" customWidth="1"/>
    <col min="4854" max="4855" width="16.33203125" customWidth="1"/>
    <col min="4856" max="4856" width="27.6640625" customWidth="1"/>
    <col min="5108" max="5108" width="16.33203125" customWidth="1"/>
    <col min="5109" max="5109" width="11.6640625" customWidth="1"/>
    <col min="5110" max="5111" width="16.33203125" customWidth="1"/>
    <col min="5112" max="5112" width="27.6640625" customWidth="1"/>
    <col min="5364" max="5364" width="16.33203125" customWidth="1"/>
    <col min="5365" max="5365" width="11.6640625" customWidth="1"/>
    <col min="5366" max="5367" width="16.33203125" customWidth="1"/>
    <col min="5368" max="5368" width="27.6640625" customWidth="1"/>
    <col min="5620" max="5620" width="16.33203125" customWidth="1"/>
    <col min="5621" max="5621" width="11.6640625" customWidth="1"/>
    <col min="5622" max="5623" width="16.33203125" customWidth="1"/>
    <col min="5624" max="5624" width="27.6640625" customWidth="1"/>
    <col min="5876" max="5876" width="16.33203125" customWidth="1"/>
    <col min="5877" max="5877" width="11.6640625" customWidth="1"/>
    <col min="5878" max="5879" width="16.33203125" customWidth="1"/>
    <col min="5880" max="5880" width="27.6640625" customWidth="1"/>
    <col min="6132" max="6132" width="16.33203125" customWidth="1"/>
    <col min="6133" max="6133" width="11.6640625" customWidth="1"/>
    <col min="6134" max="6135" width="16.33203125" customWidth="1"/>
    <col min="6136" max="6136" width="27.6640625" customWidth="1"/>
    <col min="6388" max="6388" width="16.33203125" customWidth="1"/>
    <col min="6389" max="6389" width="11.6640625" customWidth="1"/>
    <col min="6390" max="6391" width="16.33203125" customWidth="1"/>
    <col min="6392" max="6392" width="27.6640625" customWidth="1"/>
    <col min="6644" max="6644" width="16.33203125" customWidth="1"/>
    <col min="6645" max="6645" width="11.6640625" customWidth="1"/>
    <col min="6646" max="6647" width="16.33203125" customWidth="1"/>
    <col min="6648" max="6648" width="27.6640625" customWidth="1"/>
    <col min="6900" max="6900" width="16.33203125" customWidth="1"/>
    <col min="6901" max="6901" width="11.6640625" customWidth="1"/>
    <col min="6902" max="6903" width="16.33203125" customWidth="1"/>
    <col min="6904" max="6904" width="27.6640625" customWidth="1"/>
    <col min="7156" max="7156" width="16.33203125" customWidth="1"/>
    <col min="7157" max="7157" width="11.6640625" customWidth="1"/>
    <col min="7158" max="7159" width="16.33203125" customWidth="1"/>
    <col min="7160" max="7160" width="27.6640625" customWidth="1"/>
    <col min="7412" max="7412" width="16.33203125" customWidth="1"/>
    <col min="7413" max="7413" width="11.6640625" customWidth="1"/>
    <col min="7414" max="7415" width="16.33203125" customWidth="1"/>
    <col min="7416" max="7416" width="27.6640625" customWidth="1"/>
    <col min="7668" max="7668" width="16.33203125" customWidth="1"/>
    <col min="7669" max="7669" width="11.6640625" customWidth="1"/>
    <col min="7670" max="7671" width="16.33203125" customWidth="1"/>
    <col min="7672" max="7672" width="27.6640625" customWidth="1"/>
    <col min="7924" max="7924" width="16.33203125" customWidth="1"/>
    <col min="7925" max="7925" width="11.6640625" customWidth="1"/>
    <col min="7926" max="7927" width="16.33203125" customWidth="1"/>
    <col min="7928" max="7928" width="27.6640625" customWidth="1"/>
    <col min="8180" max="8180" width="16.33203125" customWidth="1"/>
    <col min="8181" max="8181" width="11.6640625" customWidth="1"/>
    <col min="8182" max="8183" width="16.33203125" customWidth="1"/>
    <col min="8184" max="8184" width="27.6640625" customWidth="1"/>
    <col min="8436" max="8436" width="16.33203125" customWidth="1"/>
    <col min="8437" max="8437" width="11.6640625" customWidth="1"/>
    <col min="8438" max="8439" width="16.33203125" customWidth="1"/>
    <col min="8440" max="8440" width="27.6640625" customWidth="1"/>
    <col min="8692" max="8692" width="16.33203125" customWidth="1"/>
    <col min="8693" max="8693" width="11.6640625" customWidth="1"/>
    <col min="8694" max="8695" width="16.33203125" customWidth="1"/>
    <col min="8696" max="8696" width="27.6640625" customWidth="1"/>
    <col min="8948" max="8948" width="16.33203125" customWidth="1"/>
    <col min="8949" max="8949" width="11.6640625" customWidth="1"/>
    <col min="8950" max="8951" width="16.33203125" customWidth="1"/>
    <col min="8952" max="8952" width="27.6640625" customWidth="1"/>
    <col min="9204" max="9204" width="16.33203125" customWidth="1"/>
    <col min="9205" max="9205" width="11.6640625" customWidth="1"/>
    <col min="9206" max="9207" width="16.33203125" customWidth="1"/>
    <col min="9208" max="9208" width="27.6640625" customWidth="1"/>
    <col min="9460" max="9460" width="16.33203125" customWidth="1"/>
    <col min="9461" max="9461" width="11.6640625" customWidth="1"/>
    <col min="9462" max="9463" width="16.33203125" customWidth="1"/>
    <col min="9464" max="9464" width="27.6640625" customWidth="1"/>
    <col min="9716" max="9716" width="16.33203125" customWidth="1"/>
    <col min="9717" max="9717" width="11.6640625" customWidth="1"/>
    <col min="9718" max="9719" width="16.33203125" customWidth="1"/>
    <col min="9720" max="9720" width="27.6640625" customWidth="1"/>
    <col min="9972" max="9972" width="16.33203125" customWidth="1"/>
    <col min="9973" max="9973" width="11.6640625" customWidth="1"/>
    <col min="9974" max="9975" width="16.33203125" customWidth="1"/>
    <col min="9976" max="9976" width="27.6640625" customWidth="1"/>
    <col min="10228" max="10228" width="16.33203125" customWidth="1"/>
    <col min="10229" max="10229" width="11.6640625" customWidth="1"/>
    <col min="10230" max="10231" width="16.33203125" customWidth="1"/>
    <col min="10232" max="10232" width="27.6640625" customWidth="1"/>
    <col min="10484" max="10484" width="16.33203125" customWidth="1"/>
    <col min="10485" max="10485" width="11.6640625" customWidth="1"/>
    <col min="10486" max="10487" width="16.33203125" customWidth="1"/>
    <col min="10488" max="10488" width="27.6640625" customWidth="1"/>
    <col min="10740" max="10740" width="16.33203125" customWidth="1"/>
    <col min="10741" max="10741" width="11.6640625" customWidth="1"/>
    <col min="10742" max="10743" width="16.33203125" customWidth="1"/>
    <col min="10744" max="10744" width="27.6640625" customWidth="1"/>
    <col min="10996" max="10996" width="16.33203125" customWidth="1"/>
    <col min="10997" max="10997" width="11.6640625" customWidth="1"/>
    <col min="10998" max="10999" width="16.33203125" customWidth="1"/>
    <col min="11000" max="11000" width="27.6640625" customWidth="1"/>
    <col min="11252" max="11252" width="16.33203125" customWidth="1"/>
    <col min="11253" max="11253" width="11.6640625" customWidth="1"/>
    <col min="11254" max="11255" width="16.33203125" customWidth="1"/>
    <col min="11256" max="11256" width="27.6640625" customWidth="1"/>
    <col min="11508" max="11508" width="16.33203125" customWidth="1"/>
    <col min="11509" max="11509" width="11.6640625" customWidth="1"/>
    <col min="11510" max="11511" width="16.33203125" customWidth="1"/>
    <col min="11512" max="11512" width="27.6640625" customWidth="1"/>
    <col min="11764" max="11764" width="16.33203125" customWidth="1"/>
    <col min="11765" max="11765" width="11.6640625" customWidth="1"/>
    <col min="11766" max="11767" width="16.33203125" customWidth="1"/>
    <col min="11768" max="11768" width="27.6640625" customWidth="1"/>
    <col min="12020" max="12020" width="16.33203125" customWidth="1"/>
    <col min="12021" max="12021" width="11.6640625" customWidth="1"/>
    <col min="12022" max="12023" width="16.33203125" customWidth="1"/>
    <col min="12024" max="12024" width="27.6640625" customWidth="1"/>
    <col min="12276" max="12276" width="16.33203125" customWidth="1"/>
    <col min="12277" max="12277" width="11.6640625" customWidth="1"/>
    <col min="12278" max="12279" width="16.33203125" customWidth="1"/>
    <col min="12280" max="12280" width="27.6640625" customWidth="1"/>
    <col min="12532" max="12532" width="16.33203125" customWidth="1"/>
    <col min="12533" max="12533" width="11.6640625" customWidth="1"/>
    <col min="12534" max="12535" width="16.33203125" customWidth="1"/>
    <col min="12536" max="12536" width="27.6640625" customWidth="1"/>
    <col min="12788" max="12788" width="16.33203125" customWidth="1"/>
    <col min="12789" max="12789" width="11.6640625" customWidth="1"/>
    <col min="12790" max="12791" width="16.33203125" customWidth="1"/>
    <col min="12792" max="12792" width="27.6640625" customWidth="1"/>
    <col min="13044" max="13044" width="16.33203125" customWidth="1"/>
    <col min="13045" max="13045" width="11.6640625" customWidth="1"/>
    <col min="13046" max="13047" width="16.33203125" customWidth="1"/>
    <col min="13048" max="13048" width="27.6640625" customWidth="1"/>
    <col min="13300" max="13300" width="16.33203125" customWidth="1"/>
    <col min="13301" max="13301" width="11.6640625" customWidth="1"/>
    <col min="13302" max="13303" width="16.33203125" customWidth="1"/>
    <col min="13304" max="13304" width="27.6640625" customWidth="1"/>
    <col min="13556" max="13556" width="16.33203125" customWidth="1"/>
    <col min="13557" max="13557" width="11.6640625" customWidth="1"/>
    <col min="13558" max="13559" width="16.33203125" customWidth="1"/>
    <col min="13560" max="13560" width="27.6640625" customWidth="1"/>
    <col min="13812" max="13812" width="16.33203125" customWidth="1"/>
    <col min="13813" max="13813" width="11.6640625" customWidth="1"/>
    <col min="13814" max="13815" width="16.33203125" customWidth="1"/>
    <col min="13816" max="13816" width="27.6640625" customWidth="1"/>
    <col min="14068" max="14068" width="16.33203125" customWidth="1"/>
    <col min="14069" max="14069" width="11.6640625" customWidth="1"/>
    <col min="14070" max="14071" width="16.33203125" customWidth="1"/>
    <col min="14072" max="14072" width="27.6640625" customWidth="1"/>
    <col min="14324" max="14324" width="16.33203125" customWidth="1"/>
    <col min="14325" max="14325" width="11.6640625" customWidth="1"/>
    <col min="14326" max="14327" width="16.33203125" customWidth="1"/>
    <col min="14328" max="14328" width="27.6640625" customWidth="1"/>
    <col min="14580" max="14580" width="16.33203125" customWidth="1"/>
    <col min="14581" max="14581" width="11.6640625" customWidth="1"/>
    <col min="14582" max="14583" width="16.33203125" customWidth="1"/>
    <col min="14584" max="14584" width="27.6640625" customWidth="1"/>
    <col min="14836" max="14836" width="16.33203125" customWidth="1"/>
    <col min="14837" max="14837" width="11.6640625" customWidth="1"/>
    <col min="14838" max="14839" width="16.33203125" customWidth="1"/>
    <col min="14840" max="14840" width="27.6640625" customWidth="1"/>
    <col min="15092" max="15092" width="16.33203125" customWidth="1"/>
    <col min="15093" max="15093" width="11.6640625" customWidth="1"/>
    <col min="15094" max="15095" width="16.33203125" customWidth="1"/>
    <col min="15096" max="15096" width="27.6640625" customWidth="1"/>
    <col min="15348" max="15348" width="16.33203125" customWidth="1"/>
    <col min="15349" max="15349" width="11.6640625" customWidth="1"/>
    <col min="15350" max="15351" width="16.33203125" customWidth="1"/>
    <col min="15352" max="15352" width="27.6640625" customWidth="1"/>
    <col min="15604" max="15604" width="16.33203125" customWidth="1"/>
    <col min="15605" max="15605" width="11.6640625" customWidth="1"/>
    <col min="15606" max="15607" width="16.33203125" customWidth="1"/>
    <col min="15608" max="15608" width="27.6640625" customWidth="1"/>
    <col min="15860" max="15860" width="16.33203125" customWidth="1"/>
    <col min="15861" max="15861" width="11.6640625" customWidth="1"/>
    <col min="15862" max="15863" width="16.33203125" customWidth="1"/>
    <col min="15864" max="15864" width="27.6640625" customWidth="1"/>
    <col min="16116" max="16116" width="16.33203125" customWidth="1"/>
    <col min="16117" max="16117" width="11.6640625" customWidth="1"/>
    <col min="16118" max="16119" width="16.33203125" customWidth="1"/>
    <col min="16120" max="16120" width="27.6640625" customWidth="1"/>
  </cols>
  <sheetData>
    <row r="1" spans="2:10" ht="19.5" customHeight="1">
      <c r="C1" s="3022"/>
      <c r="D1" s="3022"/>
      <c r="E1" s="3022"/>
      <c r="F1" s="3022"/>
      <c r="G1" s="3022"/>
      <c r="H1" s="3022"/>
      <c r="I1" s="6490" t="s">
        <v>3313</v>
      </c>
      <c r="J1" s="1612"/>
    </row>
    <row r="2" spans="2:10" ht="15.6">
      <c r="B2" s="1611"/>
      <c r="C2" s="1611"/>
      <c r="D2" s="1611"/>
      <c r="E2" s="1611"/>
      <c r="F2" s="1611"/>
      <c r="G2" s="1611"/>
      <c r="H2" s="1611"/>
      <c r="I2" s="1611"/>
      <c r="J2" s="1611"/>
    </row>
    <row r="3" spans="2:10" s="5317" customFormat="1" ht="15.6">
      <c r="B3" s="82"/>
      <c r="C3" s="7243" t="s">
        <v>3371</v>
      </c>
      <c r="D3" s="7243"/>
      <c r="E3" s="7243"/>
      <c r="F3" s="7244" t="s">
        <v>2496</v>
      </c>
      <c r="G3" s="7244"/>
      <c r="H3" s="7245" t="s">
        <v>2318</v>
      </c>
      <c r="I3" s="7245"/>
      <c r="J3" s="1611"/>
    </row>
    <row r="4" spans="2:10" s="5317" customFormat="1" ht="16.2" thickBot="1">
      <c r="B4" s="6577" t="s">
        <v>2317</v>
      </c>
      <c r="C4" s="3354" t="s">
        <v>15</v>
      </c>
      <c r="D4" s="3354" t="s">
        <v>2319</v>
      </c>
      <c r="E4" s="3923" t="s">
        <v>2320</v>
      </c>
      <c r="F4" s="3354" t="s">
        <v>15</v>
      </c>
      <c r="G4" s="3923" t="s">
        <v>76</v>
      </c>
      <c r="H4" s="3354" t="s">
        <v>15</v>
      </c>
      <c r="I4" s="3354" t="s">
        <v>76</v>
      </c>
      <c r="J4" s="1611"/>
    </row>
    <row r="5" spans="2:10" s="5317" customFormat="1" ht="15.6">
      <c r="B5" s="83"/>
      <c r="C5" s="83"/>
      <c r="D5" s="83"/>
      <c r="E5" s="83"/>
      <c r="F5" s="83"/>
      <c r="G5" s="83"/>
      <c r="H5" s="83"/>
      <c r="I5" s="83"/>
      <c r="J5" s="1611"/>
    </row>
    <row r="6" spans="2:10" s="5317" customFormat="1" ht="15.6">
      <c r="B6" s="3924" t="s">
        <v>4</v>
      </c>
      <c r="C6" s="6588">
        <v>10</v>
      </c>
      <c r="D6" s="6588">
        <v>10</v>
      </c>
      <c r="E6" s="6589">
        <f>C6-D6</f>
        <v>0</v>
      </c>
      <c r="F6" s="6588">
        <v>10</v>
      </c>
      <c r="G6" s="3925">
        <f>F6/D6</f>
        <v>1</v>
      </c>
      <c r="H6" s="6588">
        <f>D6-F6</f>
        <v>0</v>
      </c>
      <c r="I6" s="3926"/>
      <c r="J6" s="1611"/>
    </row>
    <row r="7" spans="2:10" s="5317" customFormat="1" ht="15.6">
      <c r="B7" s="3927" t="s">
        <v>16</v>
      </c>
      <c r="C7" s="6590">
        <v>4</v>
      </c>
      <c r="D7" s="6590">
        <v>4</v>
      </c>
      <c r="E7" s="6591">
        <f t="shared" ref="E7:E28" si="0">C7-D7</f>
        <v>0</v>
      </c>
      <c r="F7" s="6590">
        <v>2</v>
      </c>
      <c r="G7" s="3928">
        <f>F7/D7</f>
        <v>0.5</v>
      </c>
      <c r="H7" s="6590">
        <f>D7-F7</f>
        <v>2</v>
      </c>
      <c r="I7" s="3929">
        <f t="shared" ref="I7:I31" si="1">1-G7</f>
        <v>0.5</v>
      </c>
      <c r="J7" s="1611"/>
    </row>
    <row r="8" spans="2:10" s="5317" customFormat="1" ht="15.6">
      <c r="B8" s="3927" t="s">
        <v>21</v>
      </c>
      <c r="C8" s="6590">
        <v>4</v>
      </c>
      <c r="D8" s="6590">
        <v>3</v>
      </c>
      <c r="E8" s="6591">
        <f t="shared" si="0"/>
        <v>1</v>
      </c>
      <c r="F8" s="6590">
        <v>3</v>
      </c>
      <c r="G8" s="3928">
        <f>F8/D8</f>
        <v>1</v>
      </c>
      <c r="H8" s="6590">
        <f>D8-F8</f>
        <v>0</v>
      </c>
      <c r="I8" s="3929"/>
      <c r="J8" s="1611"/>
    </row>
    <row r="9" spans="2:10" s="5317" customFormat="1" ht="15.6">
      <c r="B9" s="3930" t="s">
        <v>3</v>
      </c>
      <c r="C9" s="6592">
        <f>SUM(C6:C8)</f>
        <v>18</v>
      </c>
      <c r="D9" s="6592">
        <f>SUM(D6:D8)</f>
        <v>17</v>
      </c>
      <c r="E9" s="6593">
        <f>SUM(E6:E8)</f>
        <v>1</v>
      </c>
      <c r="F9" s="6592">
        <f>SUM(F6:F8)</f>
        <v>15</v>
      </c>
      <c r="G9" s="3931">
        <f>F9/D9</f>
        <v>0.88235294117647056</v>
      </c>
      <c r="H9" s="6592">
        <f>D9-F9</f>
        <v>2</v>
      </c>
      <c r="I9" s="3932">
        <f t="shared" si="1"/>
        <v>0.11764705882352944</v>
      </c>
      <c r="J9" s="1611"/>
    </row>
    <row r="10" spans="2:10" s="5317" customFormat="1" ht="15.6">
      <c r="B10" s="3356"/>
      <c r="C10" s="6594"/>
      <c r="D10" s="6594"/>
      <c r="E10" s="6594"/>
      <c r="F10" s="6594"/>
      <c r="G10" s="3357"/>
      <c r="H10" s="6595"/>
      <c r="I10" s="3933"/>
      <c r="J10" s="1611"/>
    </row>
    <row r="11" spans="2:10" s="5317" customFormat="1" ht="15.6">
      <c r="B11" s="3924" t="s">
        <v>16</v>
      </c>
      <c r="C11" s="6588">
        <v>4</v>
      </c>
      <c r="D11" s="6588">
        <v>4</v>
      </c>
      <c r="E11" s="6589">
        <f t="shared" si="0"/>
        <v>0</v>
      </c>
      <c r="F11" s="6588">
        <v>0</v>
      </c>
      <c r="G11" s="3925"/>
      <c r="H11" s="6588">
        <f>D11-F11</f>
        <v>4</v>
      </c>
      <c r="I11" s="3926">
        <f t="shared" si="1"/>
        <v>1</v>
      </c>
      <c r="J11" s="1611"/>
    </row>
    <row r="12" spans="2:10" s="5317" customFormat="1" ht="15.6">
      <c r="B12" s="3927" t="s">
        <v>61</v>
      </c>
      <c r="C12" s="6590">
        <v>3</v>
      </c>
      <c r="D12" s="6590">
        <v>3</v>
      </c>
      <c r="E12" s="6591">
        <f t="shared" si="0"/>
        <v>0</v>
      </c>
      <c r="F12" s="6590">
        <v>1</v>
      </c>
      <c r="G12" s="3928">
        <f>F12/D12</f>
        <v>0.33333333333333331</v>
      </c>
      <c r="H12" s="6590">
        <f>D12-F12</f>
        <v>2</v>
      </c>
      <c r="I12" s="3929">
        <f t="shared" si="1"/>
        <v>0.66666666666666674</v>
      </c>
      <c r="J12" s="1611"/>
    </row>
    <row r="13" spans="2:10" s="5317" customFormat="1" ht="15.6">
      <c r="B13" s="3927" t="s">
        <v>64</v>
      </c>
      <c r="C13" s="6590">
        <v>4</v>
      </c>
      <c r="D13" s="6590">
        <v>4</v>
      </c>
      <c r="E13" s="6591">
        <f t="shared" si="0"/>
        <v>0</v>
      </c>
      <c r="F13" s="6590">
        <v>4</v>
      </c>
      <c r="G13" s="3928">
        <f>F13/D13</f>
        <v>1</v>
      </c>
      <c r="H13" s="6590">
        <f>D13-F13</f>
        <v>0</v>
      </c>
      <c r="I13" s="3929"/>
      <c r="J13" s="1611"/>
    </row>
    <row r="14" spans="2:10" s="5317" customFormat="1" ht="15.6">
      <c r="B14" s="3934" t="s">
        <v>59</v>
      </c>
      <c r="C14" s="6596">
        <f>SUM(C11:C13)</f>
        <v>11</v>
      </c>
      <c r="D14" s="6596">
        <f>SUM(D11:D13)</f>
        <v>11</v>
      </c>
      <c r="E14" s="6597">
        <f>SUM(E11:E13)</f>
        <v>0</v>
      </c>
      <c r="F14" s="6596">
        <f>SUM(F11:F13)</f>
        <v>5</v>
      </c>
      <c r="G14" s="3935">
        <f>F14/D14</f>
        <v>0.45454545454545453</v>
      </c>
      <c r="H14" s="6596">
        <f>D14-F14</f>
        <v>6</v>
      </c>
      <c r="I14" s="3936">
        <f t="shared" si="1"/>
        <v>0.54545454545454541</v>
      </c>
      <c r="J14" s="1611"/>
    </row>
    <row r="15" spans="2:10" s="5317" customFormat="1" ht="15.6">
      <c r="B15" s="1422"/>
      <c r="C15" s="6598"/>
      <c r="D15" s="6598"/>
      <c r="E15" s="6598"/>
      <c r="F15" s="6594"/>
      <c r="G15" s="3359"/>
      <c r="H15" s="6599"/>
      <c r="I15" s="3937"/>
      <c r="J15" s="1611"/>
    </row>
    <row r="16" spans="2:10" s="5317" customFormat="1" ht="15.6">
      <c r="B16" s="3924" t="s">
        <v>4</v>
      </c>
      <c r="C16" s="6588">
        <v>10</v>
      </c>
      <c r="D16" s="6588">
        <v>9</v>
      </c>
      <c r="E16" s="6589">
        <f t="shared" si="0"/>
        <v>1</v>
      </c>
      <c r="F16" s="6588">
        <v>3</v>
      </c>
      <c r="G16" s="3925">
        <f>F16/D16</f>
        <v>0.33333333333333331</v>
      </c>
      <c r="H16" s="6588">
        <f>D16-F16</f>
        <v>6</v>
      </c>
      <c r="I16" s="3926">
        <f t="shared" si="1"/>
        <v>0.66666666666666674</v>
      </c>
      <c r="J16" s="1611"/>
    </row>
    <row r="17" spans="2:10" s="5317" customFormat="1" ht="15.6">
      <c r="B17" s="3927" t="s">
        <v>16</v>
      </c>
      <c r="C17" s="6590">
        <v>11</v>
      </c>
      <c r="D17" s="6590">
        <v>11</v>
      </c>
      <c r="E17" s="6591">
        <f t="shared" si="0"/>
        <v>0</v>
      </c>
      <c r="F17" s="6590">
        <v>0</v>
      </c>
      <c r="G17" s="3928"/>
      <c r="H17" s="6590">
        <f>D17-F17</f>
        <v>11</v>
      </c>
      <c r="I17" s="3929">
        <f t="shared" si="1"/>
        <v>1</v>
      </c>
      <c r="J17" s="1611"/>
    </row>
    <row r="18" spans="2:10" s="5317" customFormat="1" ht="15.6">
      <c r="B18" s="3927" t="s">
        <v>41</v>
      </c>
      <c r="C18" s="6590">
        <v>6</v>
      </c>
      <c r="D18" s="6590">
        <v>6</v>
      </c>
      <c r="E18" s="6591">
        <f t="shared" si="0"/>
        <v>0</v>
      </c>
      <c r="F18" s="6590">
        <v>1</v>
      </c>
      <c r="G18" s="3928">
        <f>F18/D18</f>
        <v>0.16666666666666666</v>
      </c>
      <c r="H18" s="6590">
        <f>D18-F18</f>
        <v>5</v>
      </c>
      <c r="I18" s="3929">
        <f t="shared" si="1"/>
        <v>0.83333333333333337</v>
      </c>
      <c r="J18" s="1611"/>
    </row>
    <row r="19" spans="2:10" s="5317" customFormat="1" ht="15.6">
      <c r="B19" s="3938" t="s">
        <v>25</v>
      </c>
      <c r="C19" s="6600">
        <f>SUM(C16:C18)</f>
        <v>27</v>
      </c>
      <c r="D19" s="6600">
        <f>SUM(D16:D18)</f>
        <v>26</v>
      </c>
      <c r="E19" s="6601">
        <f>SUM(E16:E18)</f>
        <v>1</v>
      </c>
      <c r="F19" s="6600">
        <f>SUM(F16:F18)</f>
        <v>4</v>
      </c>
      <c r="G19" s="3939">
        <f>F19/D19</f>
        <v>0.15384615384615385</v>
      </c>
      <c r="H19" s="6600">
        <f>D19-F19</f>
        <v>22</v>
      </c>
      <c r="I19" s="3940">
        <f t="shared" si="1"/>
        <v>0.84615384615384615</v>
      </c>
      <c r="J19" s="1611"/>
    </row>
    <row r="20" spans="2:10" s="5317" customFormat="1" ht="15.6">
      <c r="B20" s="84"/>
      <c r="C20" s="6598"/>
      <c r="D20" s="6598"/>
      <c r="E20" s="6598"/>
      <c r="F20" s="6594"/>
      <c r="G20" s="3361"/>
      <c r="H20" s="6602"/>
      <c r="I20" s="3941"/>
      <c r="J20" s="1611"/>
    </row>
    <row r="21" spans="2:10" s="5317" customFormat="1" ht="15.6">
      <c r="B21" s="3924" t="s">
        <v>4</v>
      </c>
      <c r="C21" s="6588">
        <v>3</v>
      </c>
      <c r="D21" s="6588">
        <v>1</v>
      </c>
      <c r="E21" s="6589">
        <f t="shared" si="0"/>
        <v>2</v>
      </c>
      <c r="F21" s="6588">
        <v>1</v>
      </c>
      <c r="G21" s="3925">
        <f>F21/D21</f>
        <v>1</v>
      </c>
      <c r="H21" s="6588">
        <f>D21-F21</f>
        <v>0</v>
      </c>
      <c r="I21" s="3926">
        <f t="shared" si="1"/>
        <v>0</v>
      </c>
      <c r="J21" s="1611"/>
    </row>
    <row r="22" spans="2:10" s="5317" customFormat="1" ht="15.6">
      <c r="B22" s="3927" t="s">
        <v>16</v>
      </c>
      <c r="C22" s="6590">
        <v>3</v>
      </c>
      <c r="D22" s="6590">
        <v>2</v>
      </c>
      <c r="E22" s="6591">
        <f t="shared" si="0"/>
        <v>1</v>
      </c>
      <c r="F22" s="6590">
        <v>1</v>
      </c>
      <c r="G22" s="3925">
        <f>F22/D22</f>
        <v>0.5</v>
      </c>
      <c r="H22" s="6590">
        <f>D22-F22</f>
        <v>1</v>
      </c>
      <c r="I22" s="3929">
        <f t="shared" si="1"/>
        <v>0.5</v>
      </c>
      <c r="J22" s="1611"/>
    </row>
    <row r="23" spans="2:10" s="5317" customFormat="1" ht="15.6">
      <c r="B23" s="3927" t="s">
        <v>41</v>
      </c>
      <c r="C23" s="6590">
        <v>3</v>
      </c>
      <c r="D23" s="6590">
        <v>2</v>
      </c>
      <c r="E23" s="6591">
        <f t="shared" si="0"/>
        <v>1</v>
      </c>
      <c r="F23" s="6590">
        <v>1</v>
      </c>
      <c r="G23" s="3925">
        <f t="shared" ref="G23" si="2">F23/D23</f>
        <v>0.5</v>
      </c>
      <c r="H23" s="6590">
        <f>D23-F23</f>
        <v>1</v>
      </c>
      <c r="I23" s="3929">
        <f t="shared" si="1"/>
        <v>0.5</v>
      </c>
      <c r="J23" s="1611"/>
    </row>
    <row r="24" spans="2:10" s="5317" customFormat="1" ht="15.6">
      <c r="B24" s="3942" t="s">
        <v>240</v>
      </c>
      <c r="C24" s="6603">
        <f>SUM(C21:C23)</f>
        <v>9</v>
      </c>
      <c r="D24" s="6603">
        <f>SUM(D21:D23)</f>
        <v>5</v>
      </c>
      <c r="E24" s="6604">
        <f>SUM(E21:E23)</f>
        <v>4</v>
      </c>
      <c r="F24" s="6603">
        <f>SUM(F21:F23)</f>
        <v>3</v>
      </c>
      <c r="G24" s="3943">
        <f>F24/D24</f>
        <v>0.6</v>
      </c>
      <c r="H24" s="6603">
        <f>D24-F24</f>
        <v>2</v>
      </c>
      <c r="I24" s="3944">
        <f t="shared" si="1"/>
        <v>0.4</v>
      </c>
      <c r="J24" s="1611"/>
    </row>
    <row r="25" spans="2:10" s="5317" customFormat="1" ht="15.6">
      <c r="B25" s="3362"/>
      <c r="C25" s="6594"/>
      <c r="D25" s="6594"/>
      <c r="E25" s="6594"/>
      <c r="F25" s="6594"/>
      <c r="G25" s="3359"/>
      <c r="H25" s="6599"/>
      <c r="I25" s="3937"/>
      <c r="J25" s="1611"/>
    </row>
    <row r="26" spans="2:10" s="5317" customFormat="1" ht="15.6">
      <c r="B26" s="3924" t="s">
        <v>16</v>
      </c>
      <c r="C26" s="6588">
        <v>6</v>
      </c>
      <c r="D26" s="6588">
        <v>6</v>
      </c>
      <c r="E26" s="6589">
        <f t="shared" si="0"/>
        <v>0</v>
      </c>
      <c r="F26" s="6588">
        <v>5</v>
      </c>
      <c r="G26" s="3925">
        <f>F26/D26</f>
        <v>0.83333333333333337</v>
      </c>
      <c r="H26" s="6588">
        <f>D26-F26</f>
        <v>1</v>
      </c>
      <c r="I26" s="3926">
        <f t="shared" si="1"/>
        <v>0.16666666666666663</v>
      </c>
      <c r="J26" s="1611"/>
    </row>
    <row r="27" spans="2:10" s="5317" customFormat="1" ht="15.6">
      <c r="B27" s="3927" t="s">
        <v>41</v>
      </c>
      <c r="C27" s="6590">
        <v>8</v>
      </c>
      <c r="D27" s="6590">
        <v>8</v>
      </c>
      <c r="E27" s="6591">
        <f t="shared" si="0"/>
        <v>0</v>
      </c>
      <c r="F27" s="6590">
        <v>6</v>
      </c>
      <c r="G27" s="3928">
        <f>F27/D27</f>
        <v>0.75</v>
      </c>
      <c r="H27" s="6590">
        <f>D27-F27</f>
        <v>2</v>
      </c>
      <c r="I27" s="3929">
        <f t="shared" si="1"/>
        <v>0.25</v>
      </c>
      <c r="J27" s="1611"/>
    </row>
    <row r="28" spans="2:10" s="5317" customFormat="1" ht="15.6">
      <c r="B28" s="3927" t="s">
        <v>21</v>
      </c>
      <c r="C28" s="6590">
        <v>4</v>
      </c>
      <c r="D28" s="6590">
        <v>4</v>
      </c>
      <c r="E28" s="6591">
        <f t="shared" si="0"/>
        <v>0</v>
      </c>
      <c r="F28" s="6590">
        <v>2</v>
      </c>
      <c r="G28" s="3928">
        <f>F28/D28</f>
        <v>0.5</v>
      </c>
      <c r="H28" s="6590">
        <f>D28-F28</f>
        <v>2</v>
      </c>
      <c r="I28" s="3929">
        <f t="shared" si="1"/>
        <v>0.5</v>
      </c>
      <c r="J28" s="1611"/>
    </row>
    <row r="29" spans="2:10" s="5317" customFormat="1" ht="15.6">
      <c r="B29" s="3945" t="s">
        <v>48</v>
      </c>
      <c r="C29" s="6605">
        <f>SUM(C26:C28)</f>
        <v>18</v>
      </c>
      <c r="D29" s="6605">
        <f>SUM(D26:D28)</f>
        <v>18</v>
      </c>
      <c r="E29" s="6606">
        <f>SUM(E26:E28)</f>
        <v>0</v>
      </c>
      <c r="F29" s="6605">
        <f>SUM(F26:F28)</f>
        <v>13</v>
      </c>
      <c r="G29" s="3946">
        <f>F29/D29</f>
        <v>0.72222222222222221</v>
      </c>
      <c r="H29" s="6605">
        <f>D29-F29</f>
        <v>5</v>
      </c>
      <c r="I29" s="3947">
        <f t="shared" si="1"/>
        <v>0.27777777777777779</v>
      </c>
      <c r="J29" s="1611"/>
    </row>
    <row r="30" spans="2:10" s="5317" customFormat="1" ht="15.6">
      <c r="B30" s="3362"/>
      <c r="C30" s="6594"/>
      <c r="D30" s="6594"/>
      <c r="E30" s="6594"/>
      <c r="F30" s="6594"/>
      <c r="G30" s="3359"/>
      <c r="H30" s="6599"/>
      <c r="I30" s="3937"/>
      <c r="J30" s="1611"/>
    </row>
    <row r="31" spans="2:10" s="5317" customFormat="1" ht="15.6">
      <c r="B31" s="6042" t="s">
        <v>75</v>
      </c>
      <c r="C31" s="6607">
        <f>SUM(C9,C14,C19,C24,C29)</f>
        <v>83</v>
      </c>
      <c r="D31" s="6607">
        <f t="shared" ref="D31:E31" si="3">SUM(D9,D19,D29,D14,D24)</f>
        <v>77</v>
      </c>
      <c r="E31" s="6608">
        <f t="shared" si="3"/>
        <v>6</v>
      </c>
      <c r="F31" s="6607">
        <f>SUM(F9,F14,F19,F24,F29)</f>
        <v>40</v>
      </c>
      <c r="G31" s="6043">
        <f>F31/D31</f>
        <v>0.51948051948051943</v>
      </c>
      <c r="H31" s="6609">
        <f>D31-F31</f>
        <v>37</v>
      </c>
      <c r="I31" s="6610">
        <f t="shared" si="1"/>
        <v>0.48051948051948057</v>
      </c>
      <c r="J31" s="1611"/>
    </row>
    <row r="32" spans="2:10" s="5317" customFormat="1" ht="15.6">
      <c r="B32" s="6633" t="s">
        <v>3382</v>
      </c>
      <c r="C32" s="1611"/>
      <c r="D32" s="1611"/>
      <c r="E32" s="1611"/>
      <c r="F32" s="1611"/>
      <c r="G32" s="1611"/>
      <c r="H32" s="1611"/>
      <c r="I32" s="1611"/>
      <c r="J32" s="1611"/>
    </row>
    <row r="33" spans="2:14" ht="15.6">
      <c r="B33" s="37" t="s">
        <v>3383</v>
      </c>
      <c r="J33" s="21"/>
      <c r="K33" s="21"/>
      <c r="L33" s="21"/>
      <c r="M33" s="6611"/>
      <c r="N33" s="6612" t="s">
        <v>3372</v>
      </c>
    </row>
    <row r="34" spans="2:14" ht="29.4" thickBot="1">
      <c r="J34" s="2114" t="s">
        <v>69</v>
      </c>
      <c r="K34" s="3364" t="s">
        <v>2062</v>
      </c>
      <c r="L34" s="3364" t="s">
        <v>2321</v>
      </c>
      <c r="M34" s="2114" t="s">
        <v>2090</v>
      </c>
      <c r="N34" s="3364" t="s">
        <v>2063</v>
      </c>
    </row>
    <row r="35" spans="2:14">
      <c r="J35" s="21"/>
      <c r="K35" s="21"/>
      <c r="L35" s="21"/>
      <c r="M35" s="21"/>
      <c r="N35" s="21"/>
    </row>
    <row r="36" spans="2:14" ht="15" customHeight="1">
      <c r="J36" s="7227" t="s">
        <v>2064</v>
      </c>
      <c r="K36" s="3365" t="s">
        <v>2091</v>
      </c>
      <c r="L36" s="3366" t="s">
        <v>2092</v>
      </c>
      <c r="M36" s="3367">
        <v>45630</v>
      </c>
      <c r="N36" s="3368"/>
    </row>
    <row r="37" spans="2:14">
      <c r="J37" s="7246"/>
      <c r="K37" s="3369" t="s">
        <v>2093</v>
      </c>
      <c r="L37" s="3370" t="s">
        <v>2092</v>
      </c>
      <c r="M37" s="3367">
        <v>45630</v>
      </c>
      <c r="N37" s="3372"/>
    </row>
    <row r="38" spans="2:14">
      <c r="J38" s="7246"/>
      <c r="K38" s="3369" t="s">
        <v>2094</v>
      </c>
      <c r="L38" s="3370" t="s">
        <v>2092</v>
      </c>
      <c r="M38" s="3367">
        <v>44899</v>
      </c>
      <c r="N38" s="3372" t="s">
        <v>2899</v>
      </c>
    </row>
    <row r="39" spans="2:14">
      <c r="J39" s="7246"/>
      <c r="K39" s="3369" t="s">
        <v>2100</v>
      </c>
      <c r="L39" s="3370" t="s">
        <v>2092</v>
      </c>
      <c r="M39" s="3367">
        <v>44899</v>
      </c>
      <c r="N39" s="3372" t="s">
        <v>2899</v>
      </c>
    </row>
    <row r="40" spans="2:14">
      <c r="J40" s="7246"/>
      <c r="K40" s="3369" t="s">
        <v>476</v>
      </c>
      <c r="L40" s="3370" t="s">
        <v>2092</v>
      </c>
      <c r="M40" s="3367">
        <v>45630</v>
      </c>
      <c r="N40" s="3372"/>
    </row>
    <row r="41" spans="2:14">
      <c r="J41" s="7246"/>
      <c r="K41" s="3369" t="s">
        <v>2095</v>
      </c>
      <c r="L41" s="3370" t="s">
        <v>2092</v>
      </c>
      <c r="M41" s="3367">
        <v>44899</v>
      </c>
      <c r="N41" s="3372" t="s">
        <v>2899</v>
      </c>
    </row>
    <row r="42" spans="2:14">
      <c r="J42" s="7246"/>
      <c r="K42" s="3369" t="s">
        <v>2096</v>
      </c>
      <c r="L42" s="3370" t="s">
        <v>2092</v>
      </c>
      <c r="M42" s="3367">
        <v>45630</v>
      </c>
      <c r="N42" s="3372"/>
    </row>
    <row r="43" spans="2:14">
      <c r="J43" s="7246"/>
      <c r="K43" s="3369" t="s">
        <v>2097</v>
      </c>
      <c r="L43" s="3370" t="s">
        <v>2092</v>
      </c>
      <c r="M43" s="3367">
        <v>44899</v>
      </c>
      <c r="N43" s="3372" t="s">
        <v>2899</v>
      </c>
    </row>
    <row r="44" spans="2:14">
      <c r="J44" s="7246"/>
      <c r="K44" s="3369" t="s">
        <v>2098</v>
      </c>
      <c r="L44" s="3370" t="s">
        <v>2092</v>
      </c>
      <c r="M44" s="3367">
        <v>44899</v>
      </c>
      <c r="N44" s="3372" t="s">
        <v>2899</v>
      </c>
    </row>
    <row r="45" spans="2:14">
      <c r="J45" s="7246"/>
      <c r="K45" s="1798" t="s">
        <v>2099</v>
      </c>
      <c r="L45" s="1799" t="s">
        <v>2092</v>
      </c>
      <c r="M45" s="3367">
        <v>44899</v>
      </c>
      <c r="N45" s="1800" t="s">
        <v>2899</v>
      </c>
    </row>
    <row r="46" spans="2:14" ht="15" customHeight="1">
      <c r="J46" s="7225" t="s">
        <v>2065</v>
      </c>
      <c r="K46" s="3374" t="s">
        <v>17</v>
      </c>
      <c r="L46" s="3375" t="s">
        <v>2322</v>
      </c>
      <c r="M46" s="3376">
        <v>44994</v>
      </c>
      <c r="N46" s="3377" t="s">
        <v>2899</v>
      </c>
    </row>
    <row r="47" spans="2:14">
      <c r="J47" s="7225"/>
      <c r="K47" s="3369" t="s">
        <v>18</v>
      </c>
      <c r="L47" s="3378"/>
      <c r="M47" s="3379"/>
      <c r="N47" s="3372"/>
    </row>
    <row r="48" spans="2:14">
      <c r="J48" s="7225"/>
      <c r="K48" s="3369" t="s">
        <v>19</v>
      </c>
      <c r="L48" s="3378" t="s">
        <v>2599</v>
      </c>
      <c r="M48" s="3371" t="s">
        <v>2600</v>
      </c>
      <c r="N48" s="3380"/>
    </row>
    <row r="49" spans="10:14">
      <c r="J49" s="7225"/>
      <c r="K49" s="3381" t="s">
        <v>20</v>
      </c>
      <c r="L49" s="3382"/>
      <c r="M49" s="3373"/>
      <c r="N49" s="5009"/>
    </row>
    <row r="50" spans="10:14" ht="15" customHeight="1">
      <c r="J50" s="7246" t="s">
        <v>2069</v>
      </c>
      <c r="K50" s="3374" t="s">
        <v>22</v>
      </c>
      <c r="L50" s="3375" t="s">
        <v>2103</v>
      </c>
      <c r="M50" s="3384">
        <v>46916</v>
      </c>
      <c r="N50" s="6613" t="s">
        <v>3373</v>
      </c>
    </row>
    <row r="51" spans="10:14">
      <c r="J51" s="7246"/>
      <c r="K51" s="3369" t="s">
        <v>23</v>
      </c>
      <c r="L51" s="3378" t="s">
        <v>2893</v>
      </c>
      <c r="M51" s="3385" t="s">
        <v>2894</v>
      </c>
      <c r="N51" s="3368" t="s">
        <v>2895</v>
      </c>
    </row>
    <row r="52" spans="10:14">
      <c r="J52" s="7246"/>
      <c r="K52" s="6614" t="s">
        <v>3331</v>
      </c>
      <c r="L52" s="6615"/>
      <c r="M52" s="3385"/>
      <c r="N52" s="6616" t="s">
        <v>3374</v>
      </c>
    </row>
    <row r="53" spans="10:14" ht="15" customHeight="1">
      <c r="J53" s="7246"/>
      <c r="K53" s="3381" t="s">
        <v>24</v>
      </c>
      <c r="L53" s="3382" t="s">
        <v>2893</v>
      </c>
      <c r="M53" s="3386" t="s">
        <v>2896</v>
      </c>
      <c r="N53" s="3383" t="s">
        <v>2895</v>
      </c>
    </row>
    <row r="54" spans="10:14">
      <c r="J54" s="129" t="s">
        <v>2104</v>
      </c>
      <c r="K54" s="3387"/>
      <c r="L54" s="3387"/>
      <c r="M54" s="7224" t="s">
        <v>2323</v>
      </c>
      <c r="N54" s="7224"/>
    </row>
    <row r="55" spans="10:14">
      <c r="J55" s="129" t="s">
        <v>2497</v>
      </c>
      <c r="K55" s="1614"/>
      <c r="L55" s="1614"/>
      <c r="M55" s="7224"/>
      <c r="N55" s="7224"/>
    </row>
    <row r="56" spans="10:14">
      <c r="J56" s="129" t="s">
        <v>2105</v>
      </c>
      <c r="K56" s="129"/>
      <c r="L56" s="129"/>
      <c r="M56" s="3388"/>
      <c r="N56" s="3388"/>
    </row>
    <row r="57" spans="10:14">
      <c r="J57" s="129" t="s">
        <v>2106</v>
      </c>
      <c r="K57" s="129"/>
      <c r="L57" s="129"/>
      <c r="M57" s="3389"/>
      <c r="N57" s="3389"/>
    </row>
    <row r="58" spans="10:14">
      <c r="J58" s="1615" t="s">
        <v>2107</v>
      </c>
      <c r="K58" s="129"/>
      <c r="L58" s="129"/>
      <c r="M58" s="3389"/>
      <c r="N58" s="3389"/>
    </row>
    <row r="59" spans="10:14" ht="15" customHeight="1">
      <c r="J59" s="1615" t="s">
        <v>2897</v>
      </c>
      <c r="K59" s="1615"/>
      <c r="L59" s="1615"/>
      <c r="M59" s="1615"/>
      <c r="N59" s="1615"/>
    </row>
    <row r="60" spans="10:14">
      <c r="J60" s="7235" t="s">
        <v>2898</v>
      </c>
      <c r="K60" s="7235"/>
      <c r="L60" s="7235"/>
      <c r="M60" s="7235"/>
      <c r="N60" s="1803"/>
    </row>
    <row r="61" spans="10:14">
      <c r="J61" s="7235"/>
      <c r="K61" s="7235"/>
      <c r="L61" s="7235"/>
      <c r="M61" s="7235"/>
      <c r="N61" s="1803"/>
    </row>
    <row r="63" spans="10:14" ht="15.6">
      <c r="J63" s="3948"/>
      <c r="K63" s="21"/>
      <c r="L63" s="3949"/>
      <c r="M63" s="6617"/>
      <c r="N63" s="6618" t="s">
        <v>3375</v>
      </c>
    </row>
    <row r="64" spans="10:14" ht="29.4" thickBot="1">
      <c r="J64" s="2114" t="s">
        <v>69</v>
      </c>
      <c r="K64" s="3364" t="s">
        <v>2062</v>
      </c>
      <c r="L64" s="3364" t="s">
        <v>2321</v>
      </c>
      <c r="M64" s="2114" t="s">
        <v>2090</v>
      </c>
      <c r="N64" s="3364" t="s">
        <v>2063</v>
      </c>
    </row>
    <row r="65" spans="10:14">
      <c r="J65" s="21"/>
      <c r="K65" s="21"/>
      <c r="L65" s="21"/>
      <c r="M65" s="21"/>
      <c r="N65" s="21"/>
    </row>
    <row r="66" spans="10:14" ht="15" customHeight="1">
      <c r="J66" s="7228" t="s">
        <v>2065</v>
      </c>
      <c r="K66" s="1796" t="s">
        <v>2108</v>
      </c>
      <c r="L66" s="1804"/>
      <c r="M66" s="1805"/>
      <c r="N66" s="1806"/>
    </row>
    <row r="67" spans="10:14">
      <c r="J67" s="7229"/>
      <c r="K67" s="1797" t="s">
        <v>18</v>
      </c>
      <c r="L67" s="1807"/>
      <c r="M67" s="1808"/>
      <c r="N67" s="1809"/>
    </row>
    <row r="68" spans="10:14">
      <c r="J68" s="7229"/>
      <c r="K68" s="1797" t="s">
        <v>2109</v>
      </c>
      <c r="L68" s="1807"/>
      <c r="M68" s="1808"/>
      <c r="N68" s="1809"/>
    </row>
    <row r="69" spans="10:14">
      <c r="J69" s="7230"/>
      <c r="K69" s="1801" t="s">
        <v>384</v>
      </c>
      <c r="L69" s="1810"/>
      <c r="M69" s="1811"/>
      <c r="N69" s="1802"/>
    </row>
    <row r="70" spans="10:14" ht="15" customHeight="1">
      <c r="J70" s="7231" t="s">
        <v>2070</v>
      </c>
      <c r="K70" s="3374" t="s">
        <v>63</v>
      </c>
      <c r="L70" s="3375" t="s">
        <v>2102</v>
      </c>
      <c r="M70" s="3384">
        <v>45034</v>
      </c>
      <c r="N70" s="6044"/>
    </row>
    <row r="71" spans="10:14">
      <c r="J71" s="7232"/>
      <c r="K71" s="3369" t="s">
        <v>62</v>
      </c>
      <c r="L71" s="3390"/>
      <c r="M71" s="3391"/>
      <c r="N71" s="3392"/>
    </row>
    <row r="72" spans="10:14">
      <c r="J72" s="7233"/>
      <c r="K72" s="3381" t="s">
        <v>2110</v>
      </c>
      <c r="L72" s="3382"/>
      <c r="M72" s="3393"/>
      <c r="N72" s="3383"/>
    </row>
    <row r="73" spans="10:14" ht="15" customHeight="1">
      <c r="J73" s="7234" t="s">
        <v>2071</v>
      </c>
      <c r="K73" s="3374" t="s">
        <v>81</v>
      </c>
      <c r="L73" s="1812" t="s">
        <v>2114</v>
      </c>
      <c r="M73" s="1813" t="s">
        <v>3376</v>
      </c>
      <c r="N73" s="6619"/>
    </row>
    <row r="74" spans="10:14">
      <c r="J74" s="7229"/>
      <c r="K74" s="3369" t="s">
        <v>2113</v>
      </c>
      <c r="L74" s="1807" t="s">
        <v>2092</v>
      </c>
      <c r="M74" s="1808" t="s">
        <v>2324</v>
      </c>
      <c r="N74" s="6620" t="s">
        <v>2899</v>
      </c>
    </row>
    <row r="75" spans="10:14">
      <c r="J75" s="7229"/>
      <c r="K75" s="3369" t="s">
        <v>2111</v>
      </c>
      <c r="L75" s="1807" t="s">
        <v>2112</v>
      </c>
      <c r="M75" s="1808">
        <v>46806</v>
      </c>
      <c r="N75" s="6620"/>
    </row>
    <row r="76" spans="10:14">
      <c r="J76" s="7230"/>
      <c r="K76" s="3394" t="s">
        <v>65</v>
      </c>
      <c r="L76" s="1810" t="s">
        <v>2325</v>
      </c>
      <c r="M76" s="1811">
        <v>45309</v>
      </c>
      <c r="N76" s="1802"/>
    </row>
    <row r="77" spans="10:14" ht="15" customHeight="1">
      <c r="J77" s="1615" t="s">
        <v>2107</v>
      </c>
      <c r="K77" s="3387"/>
      <c r="L77" s="3387"/>
      <c r="M77" s="7223" t="s">
        <v>2323</v>
      </c>
      <c r="N77" s="7223"/>
    </row>
    <row r="78" spans="10:14">
      <c r="J78" s="129" t="s">
        <v>2105</v>
      </c>
      <c r="K78" s="3387"/>
      <c r="L78" s="3387"/>
      <c r="M78" s="7224"/>
      <c r="N78" s="7224"/>
    </row>
    <row r="79" spans="10:14">
      <c r="J79" s="129" t="s">
        <v>2123</v>
      </c>
      <c r="K79" s="1616"/>
      <c r="L79" s="1616"/>
      <c r="M79" s="3389"/>
      <c r="N79" s="3389"/>
    </row>
    <row r="80" spans="10:14">
      <c r="J80" s="129" t="s">
        <v>2328</v>
      </c>
      <c r="K80" s="1616"/>
      <c r="L80" s="1616"/>
      <c r="M80" s="6570"/>
      <c r="N80" s="6570"/>
    </row>
    <row r="81" spans="10:14">
      <c r="J81" s="129" t="s">
        <v>2104</v>
      </c>
      <c r="K81" s="1617"/>
      <c r="L81" s="1617"/>
      <c r="M81" s="3389"/>
      <c r="N81" s="3389"/>
    </row>
    <row r="82" spans="10:14">
      <c r="J82" s="3387" t="s">
        <v>2115</v>
      </c>
      <c r="K82" s="1617"/>
      <c r="L82" s="1617"/>
      <c r="M82" s="3389"/>
      <c r="N82" s="3389"/>
    </row>
    <row r="85" spans="10:14" ht="15.6">
      <c r="J85" s="21"/>
      <c r="K85" s="21"/>
      <c r="L85" s="3950"/>
      <c r="M85" s="6621"/>
      <c r="N85" s="6622" t="s">
        <v>3377</v>
      </c>
    </row>
    <row r="86" spans="10:14" ht="29.4" thickBot="1">
      <c r="J86" s="2114" t="s">
        <v>69</v>
      </c>
      <c r="K86" s="3364" t="s">
        <v>2062</v>
      </c>
      <c r="L86" s="3364" t="s">
        <v>2321</v>
      </c>
      <c r="M86" s="2114" t="s">
        <v>2090</v>
      </c>
      <c r="N86" s="3364" t="s">
        <v>2063</v>
      </c>
    </row>
    <row r="87" spans="10:14">
      <c r="J87" s="205"/>
      <c r="K87" s="205"/>
      <c r="L87" s="205"/>
      <c r="M87" s="205"/>
      <c r="N87" s="205"/>
    </row>
    <row r="88" spans="10:14" ht="15" customHeight="1">
      <c r="J88" s="7226" t="s">
        <v>2064</v>
      </c>
      <c r="K88" s="3365" t="s">
        <v>1616</v>
      </c>
      <c r="L88" s="3366"/>
      <c r="M88" s="3367"/>
      <c r="N88" s="3368" t="s">
        <v>3378</v>
      </c>
    </row>
    <row r="89" spans="10:14">
      <c r="J89" s="7226"/>
      <c r="K89" s="3369" t="s">
        <v>32</v>
      </c>
      <c r="L89" s="3378"/>
      <c r="M89" s="3379"/>
      <c r="N89" s="3395"/>
    </row>
    <row r="90" spans="10:14">
      <c r="J90" s="7226"/>
      <c r="K90" s="3369" t="s">
        <v>29</v>
      </c>
      <c r="L90" s="3378"/>
      <c r="M90" s="3379"/>
      <c r="N90" s="6045"/>
    </row>
    <row r="91" spans="10:14">
      <c r="J91" s="7226"/>
      <c r="K91" s="3369" t="s">
        <v>2116</v>
      </c>
      <c r="L91" s="3378"/>
      <c r="M91" s="3379"/>
      <c r="N91" s="3372"/>
    </row>
    <row r="92" spans="10:14">
      <c r="J92" s="7226"/>
      <c r="K92" s="3369" t="s">
        <v>2100</v>
      </c>
      <c r="L92" s="3397"/>
      <c r="M92" s="3379"/>
      <c r="N92" s="3395"/>
    </row>
    <row r="93" spans="10:14">
      <c r="J93" s="7226"/>
      <c r="K93" s="3369" t="s">
        <v>261</v>
      </c>
      <c r="L93" s="3378" t="s">
        <v>2092</v>
      </c>
      <c r="M93" s="3379">
        <v>45464</v>
      </c>
      <c r="N93" s="3398"/>
    </row>
    <row r="94" spans="10:14">
      <c r="J94" s="7226"/>
      <c r="K94" s="3369" t="s">
        <v>2117</v>
      </c>
      <c r="L94" s="3378"/>
      <c r="M94" s="3379"/>
      <c r="N94" s="3372"/>
    </row>
    <row r="95" spans="10:14">
      <c r="J95" s="7226"/>
      <c r="K95" s="3369" t="s">
        <v>2099</v>
      </c>
      <c r="L95" s="3951"/>
      <c r="M95" s="3379"/>
      <c r="N95" s="3372"/>
    </row>
    <row r="96" spans="10:14">
      <c r="J96" s="7226"/>
      <c r="K96" s="3369" t="s">
        <v>2118</v>
      </c>
      <c r="L96" s="3378" t="s">
        <v>2325</v>
      </c>
      <c r="M96" s="3379">
        <v>45143</v>
      </c>
      <c r="N96" s="3395"/>
    </row>
    <row r="97" spans="10:14">
      <c r="J97" s="7227"/>
      <c r="K97" s="3381" t="s">
        <v>31</v>
      </c>
      <c r="L97" s="3399" t="s">
        <v>2326</v>
      </c>
      <c r="M97" s="3386">
        <v>44888</v>
      </c>
      <c r="N97" s="6623" t="s">
        <v>2899</v>
      </c>
    </row>
    <row r="98" spans="10:14" ht="15" customHeight="1">
      <c r="J98" s="7225" t="s">
        <v>2119</v>
      </c>
      <c r="K98" s="3365" t="s">
        <v>17</v>
      </c>
      <c r="L98" s="3400"/>
      <c r="M98" s="3401"/>
      <c r="N98" s="3402"/>
    </row>
    <row r="99" spans="10:14">
      <c r="J99" s="7225"/>
      <c r="K99" s="3369" t="s">
        <v>33</v>
      </c>
      <c r="L99" s="3378"/>
      <c r="M99" s="3379"/>
      <c r="N99" s="3395"/>
    </row>
    <row r="100" spans="10:14">
      <c r="J100" s="7225"/>
      <c r="K100" s="3369" t="s">
        <v>38</v>
      </c>
      <c r="L100" s="3397"/>
      <c r="M100" s="3379"/>
      <c r="N100" s="3395"/>
    </row>
    <row r="101" spans="10:14">
      <c r="J101" s="7225"/>
      <c r="K101" s="3369" t="s">
        <v>19</v>
      </c>
      <c r="L101" s="3397"/>
      <c r="M101" s="3379"/>
      <c r="N101" s="3395"/>
    </row>
    <row r="102" spans="10:14">
      <c r="J102" s="7225"/>
      <c r="K102" s="3369" t="s">
        <v>35</v>
      </c>
      <c r="L102" s="3397"/>
      <c r="M102" s="3379"/>
      <c r="N102" s="3395"/>
    </row>
    <row r="103" spans="10:14">
      <c r="J103" s="7225"/>
      <c r="K103" s="3369" t="s">
        <v>2121</v>
      </c>
      <c r="L103" s="3378"/>
      <c r="M103" s="3379"/>
      <c r="N103" s="3395"/>
    </row>
    <row r="104" spans="10:14">
      <c r="J104" s="7225"/>
      <c r="K104" s="3369" t="s">
        <v>36</v>
      </c>
      <c r="L104" s="3378"/>
      <c r="M104" s="3379"/>
      <c r="N104" s="3395"/>
    </row>
    <row r="105" spans="10:14">
      <c r="J105" s="7225"/>
      <c r="K105" s="3369" t="s">
        <v>34</v>
      </c>
      <c r="L105" s="3397"/>
      <c r="M105" s="3379"/>
      <c r="N105" s="3395"/>
    </row>
    <row r="106" spans="10:14">
      <c r="J106" s="7225"/>
      <c r="K106" s="3369" t="s">
        <v>2120</v>
      </c>
      <c r="L106" s="3397"/>
      <c r="M106" s="3379"/>
      <c r="N106" s="3395"/>
    </row>
    <row r="107" spans="10:14">
      <c r="J107" s="7225"/>
      <c r="K107" s="3369" t="s">
        <v>39</v>
      </c>
      <c r="L107" s="3397"/>
      <c r="M107" s="3379"/>
      <c r="N107" s="3396"/>
    </row>
    <row r="108" spans="10:14">
      <c r="J108" s="7225"/>
      <c r="K108" s="3381" t="s">
        <v>20</v>
      </c>
      <c r="L108" s="3382"/>
      <c r="M108" s="3386"/>
      <c r="N108" s="3383"/>
    </row>
    <row r="109" spans="10:14" ht="15" customHeight="1">
      <c r="J109" s="7242" t="s">
        <v>2327</v>
      </c>
      <c r="K109" s="3374" t="s">
        <v>42</v>
      </c>
      <c r="L109" s="3404"/>
      <c r="M109" s="3376"/>
      <c r="N109" s="3405"/>
    </row>
    <row r="110" spans="10:14">
      <c r="J110" s="7242"/>
      <c r="K110" s="3369" t="s">
        <v>2122</v>
      </c>
      <c r="L110" s="3378" t="s">
        <v>2114</v>
      </c>
      <c r="M110" s="3379">
        <v>45046</v>
      </c>
      <c r="N110" s="3372"/>
    </row>
    <row r="111" spans="10:14">
      <c r="J111" s="7242"/>
      <c r="K111" s="3369" t="s">
        <v>44</v>
      </c>
      <c r="L111" s="3397"/>
      <c r="M111" s="3379"/>
      <c r="N111" s="3395"/>
    </row>
    <row r="112" spans="10:14">
      <c r="J112" s="7242"/>
      <c r="K112" s="3369" t="s">
        <v>262</v>
      </c>
      <c r="L112" s="3378"/>
      <c r="M112" s="3379"/>
      <c r="N112" s="3372"/>
    </row>
    <row r="113" spans="10:14">
      <c r="J113" s="7242"/>
      <c r="K113" s="3369" t="s">
        <v>263</v>
      </c>
      <c r="L113" s="3378"/>
      <c r="M113" s="3379"/>
      <c r="N113" s="3372"/>
    </row>
    <row r="114" spans="10:14">
      <c r="J114" s="7242"/>
      <c r="K114" s="3381" t="s">
        <v>45</v>
      </c>
      <c r="L114" s="3382"/>
      <c r="M114" s="3386"/>
      <c r="N114" s="3403"/>
    </row>
    <row r="115" spans="10:14" ht="15" customHeight="1">
      <c r="J115" s="3387" t="s">
        <v>2104</v>
      </c>
      <c r="K115" s="3387"/>
      <c r="L115" s="3387"/>
      <c r="M115" s="7224" t="s">
        <v>2323</v>
      </c>
      <c r="N115" s="7224"/>
    </row>
    <row r="116" spans="10:14">
      <c r="J116" s="129" t="s">
        <v>2901</v>
      </c>
      <c r="K116" s="129"/>
      <c r="L116" s="129"/>
      <c r="M116" s="7224"/>
      <c r="N116" s="7224"/>
    </row>
    <row r="117" spans="10:14">
      <c r="J117" s="129" t="s">
        <v>2328</v>
      </c>
      <c r="K117" s="129"/>
      <c r="L117" s="129"/>
      <c r="M117" s="3389"/>
      <c r="N117" s="3389"/>
    </row>
    <row r="118" spans="10:14">
      <c r="J118" s="3387" t="s">
        <v>2115</v>
      </c>
      <c r="K118" s="129"/>
      <c r="L118" s="129"/>
      <c r="M118" s="1803"/>
      <c r="N118" s="1803"/>
    </row>
    <row r="121" spans="10:14" ht="15.6">
      <c r="J121" s="3952"/>
      <c r="K121" s="3952"/>
      <c r="L121" s="3952"/>
      <c r="M121" s="6624"/>
      <c r="N121" s="6625" t="s">
        <v>3379</v>
      </c>
    </row>
    <row r="122" spans="10:14" ht="36.6" thickBot="1">
      <c r="J122" s="2114" t="s">
        <v>69</v>
      </c>
      <c r="K122" s="3364" t="s">
        <v>2062</v>
      </c>
      <c r="L122" s="3406" t="s">
        <v>2498</v>
      </c>
      <c r="M122" s="2114" t="s">
        <v>2090</v>
      </c>
      <c r="N122" s="3364" t="s">
        <v>3168</v>
      </c>
    </row>
    <row r="123" spans="10:14">
      <c r="J123" s="205"/>
      <c r="K123" s="205"/>
      <c r="L123" s="205"/>
      <c r="M123" s="205"/>
      <c r="N123" s="205"/>
    </row>
    <row r="124" spans="10:14" ht="15" customHeight="1">
      <c r="J124" s="7236" t="s">
        <v>2064</v>
      </c>
      <c r="K124" s="6626" t="s">
        <v>2055</v>
      </c>
      <c r="L124" s="3407"/>
      <c r="M124" s="3401"/>
      <c r="N124" s="3368">
        <v>42691</v>
      </c>
    </row>
    <row r="125" spans="10:14">
      <c r="J125" s="7236"/>
      <c r="K125" s="3408" t="s">
        <v>3380</v>
      </c>
      <c r="L125" s="3378" t="s">
        <v>2101</v>
      </c>
      <c r="M125" s="3379">
        <v>45808</v>
      </c>
      <c r="N125" s="3372" t="s">
        <v>2329</v>
      </c>
    </row>
    <row r="126" spans="10:14">
      <c r="J126" s="7237"/>
      <c r="K126" s="3411" t="s">
        <v>2330</v>
      </c>
      <c r="L126" s="3412"/>
      <c r="M126" s="3413"/>
      <c r="N126" s="3383">
        <v>43200</v>
      </c>
    </row>
    <row r="127" spans="10:14" ht="15" customHeight="1">
      <c r="J127" s="7238" t="s">
        <v>2065</v>
      </c>
      <c r="K127" s="3374" t="s">
        <v>489</v>
      </c>
      <c r="L127" s="3414"/>
      <c r="M127" s="3415"/>
      <c r="N127" s="3377"/>
    </row>
    <row r="128" spans="10:14">
      <c r="J128" s="7239"/>
      <c r="K128" s="3369" t="s">
        <v>2309</v>
      </c>
      <c r="L128" s="3409"/>
      <c r="M128" s="3410"/>
      <c r="N128" s="3372">
        <v>42895</v>
      </c>
    </row>
    <row r="129" spans="10:14">
      <c r="J129" s="7240"/>
      <c r="K129" s="3381" t="s">
        <v>2124</v>
      </c>
      <c r="L129" s="3382" t="s">
        <v>2102</v>
      </c>
      <c r="M129" s="3386">
        <v>46730</v>
      </c>
      <c r="N129" s="3383" t="s">
        <v>2900</v>
      </c>
    </row>
    <row r="130" spans="10:14" ht="15" customHeight="1">
      <c r="J130" s="7241" t="s">
        <v>2078</v>
      </c>
      <c r="K130" s="3374" t="s">
        <v>680</v>
      </c>
      <c r="L130" s="3414"/>
      <c r="M130" s="3415"/>
      <c r="N130" s="3377"/>
    </row>
    <row r="131" spans="10:14">
      <c r="J131" s="7236"/>
      <c r="K131" s="3416" t="s">
        <v>2331</v>
      </c>
      <c r="L131" s="6046"/>
      <c r="M131" s="6047"/>
      <c r="N131" s="6048">
        <v>43200</v>
      </c>
    </row>
    <row r="132" spans="10:14">
      <c r="J132" s="7237"/>
      <c r="K132" s="3411" t="s">
        <v>2056</v>
      </c>
      <c r="L132" s="3382" t="s">
        <v>3169</v>
      </c>
      <c r="M132" s="3386">
        <v>46113</v>
      </c>
      <c r="N132" s="3383"/>
    </row>
    <row r="133" spans="10:14">
      <c r="J133" s="129" t="s">
        <v>2105</v>
      </c>
      <c r="K133" s="1617"/>
      <c r="L133" s="21"/>
      <c r="M133" s="7223" t="s">
        <v>2323</v>
      </c>
      <c r="N133" s="7223"/>
    </row>
    <row r="134" spans="10:14">
      <c r="J134" s="728" t="s">
        <v>2499</v>
      </c>
      <c r="K134" s="21"/>
      <c r="L134" s="21"/>
      <c r="M134" s="7224"/>
      <c r="N134" s="7224"/>
    </row>
    <row r="135" spans="10:14">
      <c r="J135" s="728" t="s">
        <v>3170</v>
      </c>
      <c r="K135" s="21"/>
      <c r="L135" s="21"/>
      <c r="M135" s="21"/>
      <c r="N135" s="21"/>
    </row>
    <row r="136" spans="10:14" s="5317" customFormat="1">
      <c r="J136" s="728"/>
      <c r="K136" s="21"/>
      <c r="L136" s="21"/>
      <c r="M136" s="21"/>
      <c r="N136" s="21"/>
    </row>
    <row r="137" spans="10:14" s="5317" customFormat="1">
      <c r="J137" s="728"/>
      <c r="K137" s="21"/>
      <c r="L137" s="21"/>
      <c r="M137" s="21"/>
      <c r="N137" s="21"/>
    </row>
    <row r="138" spans="10:14" s="5317" customFormat="1">
      <c r="J138" s="728"/>
      <c r="K138" s="21"/>
      <c r="L138" s="21"/>
      <c r="M138" s="21"/>
      <c r="N138" s="21"/>
    </row>
    <row r="139" spans="10:14" ht="15.6">
      <c r="J139" s="21"/>
      <c r="K139" s="21"/>
      <c r="L139" s="3467"/>
      <c r="M139" s="6627"/>
      <c r="N139" s="6628" t="s">
        <v>3381</v>
      </c>
    </row>
    <row r="140" spans="10:14" ht="29.4" thickBot="1">
      <c r="J140" s="2114" t="s">
        <v>69</v>
      </c>
      <c r="K140" s="3364" t="s">
        <v>2062</v>
      </c>
      <c r="L140" s="3364" t="s">
        <v>2321</v>
      </c>
      <c r="M140" s="2114" t="s">
        <v>2090</v>
      </c>
      <c r="N140" s="3364" t="s">
        <v>2063</v>
      </c>
    </row>
    <row r="141" spans="10:14">
      <c r="J141" s="21"/>
      <c r="K141" s="21"/>
      <c r="L141" s="21"/>
      <c r="M141" s="21"/>
      <c r="N141" s="21"/>
    </row>
    <row r="142" spans="10:14" ht="15" customHeight="1">
      <c r="J142" s="7236" t="s">
        <v>2065</v>
      </c>
      <c r="K142" s="3365" t="s">
        <v>17</v>
      </c>
      <c r="L142" s="3407" t="s">
        <v>2322</v>
      </c>
      <c r="M142" s="3401">
        <v>45274</v>
      </c>
      <c r="N142" s="3368"/>
    </row>
    <row r="143" spans="10:14">
      <c r="J143" s="7236"/>
      <c r="K143" s="3369" t="s">
        <v>49</v>
      </c>
      <c r="L143" s="3378" t="s">
        <v>2102</v>
      </c>
      <c r="M143" s="3371">
        <v>45034</v>
      </c>
      <c r="N143" s="3372"/>
    </row>
    <row r="144" spans="10:14">
      <c r="J144" s="7236"/>
      <c r="K144" s="3369" t="s">
        <v>19</v>
      </c>
      <c r="L144" s="3378"/>
      <c r="M144" s="3371"/>
      <c r="N144" s="3417"/>
    </row>
    <row r="145" spans="10:14">
      <c r="J145" s="7236"/>
      <c r="K145" s="3369" t="s">
        <v>51</v>
      </c>
      <c r="L145" s="6629" t="s">
        <v>2102</v>
      </c>
      <c r="M145" s="3371">
        <v>45225</v>
      </c>
      <c r="N145" s="6630" t="s">
        <v>2899</v>
      </c>
    </row>
    <row r="146" spans="10:14" ht="15.6">
      <c r="J146" s="7236"/>
      <c r="K146" s="3369" t="s">
        <v>2125</v>
      </c>
      <c r="L146" s="6631" t="s">
        <v>2332</v>
      </c>
      <c r="M146" s="3379">
        <v>45005</v>
      </c>
      <c r="N146" s="3372" t="s">
        <v>2899</v>
      </c>
    </row>
    <row r="147" spans="10:14">
      <c r="J147" s="7237"/>
      <c r="K147" s="3381" t="s">
        <v>20</v>
      </c>
      <c r="L147" s="3382" t="s">
        <v>2102</v>
      </c>
      <c r="M147" s="3386">
        <v>45102</v>
      </c>
      <c r="N147" s="6632" t="s">
        <v>2899</v>
      </c>
    </row>
    <row r="148" spans="10:14" ht="15" customHeight="1">
      <c r="J148" s="7238" t="s">
        <v>2327</v>
      </c>
      <c r="K148" s="3374" t="s">
        <v>56</v>
      </c>
      <c r="L148" s="3375" t="s">
        <v>2333</v>
      </c>
      <c r="M148" s="3376">
        <v>44947</v>
      </c>
      <c r="N148" s="3368" t="s">
        <v>2899</v>
      </c>
    </row>
    <row r="149" spans="10:14">
      <c r="J149" s="7239"/>
      <c r="K149" s="3369" t="s">
        <v>42</v>
      </c>
      <c r="L149" s="3378" t="s">
        <v>2114</v>
      </c>
      <c r="M149" s="3379">
        <v>46619</v>
      </c>
      <c r="N149" s="6049"/>
    </row>
    <row r="150" spans="10:14">
      <c r="J150" s="7239"/>
      <c r="K150" s="3369" t="s">
        <v>52</v>
      </c>
      <c r="L150" s="3378"/>
      <c r="M150" s="3379"/>
      <c r="N150" s="6049"/>
    </row>
    <row r="151" spans="10:14">
      <c r="J151" s="7239"/>
      <c r="K151" s="3369" t="s">
        <v>53</v>
      </c>
      <c r="L151" s="3378" t="s">
        <v>3171</v>
      </c>
      <c r="M151" s="3379">
        <v>45930</v>
      </c>
      <c r="N151" s="6050"/>
    </row>
    <row r="152" spans="10:14">
      <c r="J152" s="7239"/>
      <c r="K152" s="3369" t="s">
        <v>255</v>
      </c>
      <c r="L152" s="3378" t="s">
        <v>2128</v>
      </c>
      <c r="M152" s="3379">
        <v>44739</v>
      </c>
      <c r="N152" s="3372" t="s">
        <v>2899</v>
      </c>
    </row>
    <row r="153" spans="10:14">
      <c r="J153" s="7239"/>
      <c r="K153" s="3369" t="s">
        <v>55</v>
      </c>
      <c r="L153" s="3378"/>
      <c r="M153" s="3379"/>
      <c r="N153" s="3417"/>
    </row>
    <row r="154" spans="10:14">
      <c r="J154" s="7239"/>
      <c r="K154" s="3369" t="s">
        <v>264</v>
      </c>
      <c r="L154" s="3378" t="s">
        <v>2129</v>
      </c>
      <c r="M154" s="3379">
        <v>44727</v>
      </c>
      <c r="N154" s="3372" t="s">
        <v>2899</v>
      </c>
    </row>
    <row r="155" spans="10:14">
      <c r="J155" s="7240"/>
      <c r="K155" s="3381" t="s">
        <v>2126</v>
      </c>
      <c r="L155" s="3382" t="s">
        <v>2127</v>
      </c>
      <c r="M155" s="3386">
        <v>46360</v>
      </c>
      <c r="N155" s="3383"/>
    </row>
    <row r="156" spans="10:14" ht="15" customHeight="1">
      <c r="J156" s="7241" t="s">
        <v>2334</v>
      </c>
      <c r="K156" s="3374" t="s">
        <v>22</v>
      </c>
      <c r="L156" s="3375" t="s">
        <v>2103</v>
      </c>
      <c r="M156" s="3376">
        <v>45473</v>
      </c>
      <c r="N156" s="3418"/>
    </row>
    <row r="157" spans="10:14">
      <c r="J157" s="7236"/>
      <c r="K157" s="3369" t="s">
        <v>23</v>
      </c>
      <c r="L157" s="3397"/>
      <c r="M157" s="3379"/>
      <c r="N157" s="3417"/>
    </row>
    <row r="158" spans="10:14">
      <c r="J158" s="7236"/>
      <c r="K158" s="3369" t="s">
        <v>24</v>
      </c>
      <c r="L158" s="3378"/>
      <c r="M158" s="3379"/>
      <c r="N158" s="3417"/>
    </row>
    <row r="159" spans="10:14">
      <c r="J159" s="7237"/>
      <c r="K159" s="3381" t="s">
        <v>2130</v>
      </c>
      <c r="L159" s="3382" t="s">
        <v>2103</v>
      </c>
      <c r="M159" s="3386">
        <v>45107</v>
      </c>
      <c r="N159" s="3383"/>
    </row>
    <row r="160" spans="10:14" ht="15" customHeight="1">
      <c r="J160" s="129" t="s">
        <v>2497</v>
      </c>
      <c r="K160" s="3387"/>
      <c r="L160" s="3387"/>
      <c r="M160" s="7223" t="s">
        <v>2323</v>
      </c>
      <c r="N160" s="7223"/>
    </row>
    <row r="161" spans="10:14">
      <c r="J161" s="129" t="s">
        <v>2105</v>
      </c>
      <c r="K161" s="3387"/>
      <c r="L161" s="3387"/>
      <c r="M161" s="7224"/>
      <c r="N161" s="7224"/>
    </row>
    <row r="162" spans="10:14">
      <c r="J162" s="3387" t="s">
        <v>2335</v>
      </c>
      <c r="K162" s="129"/>
      <c r="L162" s="129"/>
      <c r="M162" s="3389"/>
      <c r="N162" s="3389"/>
    </row>
    <row r="163" spans="10:14">
      <c r="J163" s="3387" t="s">
        <v>2115</v>
      </c>
      <c r="K163" s="129"/>
      <c r="L163" s="129"/>
      <c r="M163" s="3419"/>
      <c r="N163" s="3419"/>
    </row>
    <row r="164" spans="10:14">
      <c r="J164" s="3387" t="s">
        <v>2131</v>
      </c>
      <c r="K164" s="129"/>
      <c r="L164" s="129"/>
      <c r="M164" s="1803"/>
      <c r="N164" s="1803"/>
    </row>
    <row r="165" spans="10:14">
      <c r="J165" s="728" t="s">
        <v>2135</v>
      </c>
      <c r="K165" s="129"/>
      <c r="L165" s="129"/>
      <c r="M165" s="1803"/>
      <c r="N165" s="1803"/>
    </row>
    <row r="166" spans="10:14">
      <c r="J166" s="3387" t="s">
        <v>2336</v>
      </c>
      <c r="K166" s="129"/>
      <c r="L166" s="129"/>
      <c r="M166" s="129"/>
      <c r="N166" s="129"/>
    </row>
    <row r="167" spans="10:14">
      <c r="J167" s="3387" t="s">
        <v>2132</v>
      </c>
      <c r="K167" s="129"/>
      <c r="L167" s="129"/>
      <c r="M167" s="129"/>
      <c r="N167" s="129"/>
    </row>
    <row r="168" spans="10:14">
      <c r="J168" s="3387" t="s">
        <v>3172</v>
      </c>
      <c r="K168" s="129"/>
      <c r="L168" s="129"/>
      <c r="M168" s="129"/>
      <c r="N168" s="129"/>
    </row>
    <row r="169" spans="10:14">
      <c r="J169" s="3387" t="s">
        <v>2133</v>
      </c>
      <c r="K169" s="129"/>
      <c r="L169" s="129"/>
      <c r="M169" s="129"/>
      <c r="N169" s="129"/>
    </row>
    <row r="170" spans="10:14">
      <c r="J170" s="3387" t="s">
        <v>2134</v>
      </c>
      <c r="K170" s="129"/>
      <c r="L170" s="129"/>
      <c r="M170" s="129"/>
      <c r="N170" s="129"/>
    </row>
    <row r="171" spans="10:14">
      <c r="J171" s="3387" t="s">
        <v>2115</v>
      </c>
      <c r="K171" s="129"/>
      <c r="L171" s="129"/>
      <c r="M171" s="129"/>
      <c r="N171" s="129"/>
    </row>
  </sheetData>
  <mergeCells count="24">
    <mergeCell ref="J130:J132"/>
    <mergeCell ref="M133:N134"/>
    <mergeCell ref="C3:E3"/>
    <mergeCell ref="F3:G3"/>
    <mergeCell ref="H3:I3"/>
    <mergeCell ref="J50:J53"/>
    <mergeCell ref="M54:N55"/>
    <mergeCell ref="J36:J45"/>
    <mergeCell ref="M160:N161"/>
    <mergeCell ref="J46:J49"/>
    <mergeCell ref="J88:J97"/>
    <mergeCell ref="J98:J108"/>
    <mergeCell ref="J66:J69"/>
    <mergeCell ref="J70:J72"/>
    <mergeCell ref="J73:J76"/>
    <mergeCell ref="J60:M61"/>
    <mergeCell ref="M77:N78"/>
    <mergeCell ref="J142:J147"/>
    <mergeCell ref="J148:J155"/>
    <mergeCell ref="J156:J159"/>
    <mergeCell ref="J109:J114"/>
    <mergeCell ref="M115:N116"/>
    <mergeCell ref="J124:J126"/>
    <mergeCell ref="J127:J129"/>
  </mergeCells>
  <printOptions horizontalCentered="1" verticalCentered="1"/>
  <pageMargins left="0.70866141732283472" right="0.70866141732283472" top="0.74803149606299213" bottom="0.74803149606299213" header="0.31496062992125984" footer="0.31496062992125984"/>
  <pageSetup scale="90" firstPageNumber="19" orientation="landscape" useFirstPageNumber="1" r:id="rId1"/>
  <headerFooter scaleWithDoc="0" alignWithMargins="0">
    <oddFooter>&amp;R&amp;P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Q208"/>
  <sheetViews>
    <sheetView showGridLines="0" zoomScaleNormal="100" workbookViewId="0">
      <selection activeCell="J152" sqref="J152"/>
    </sheetView>
  </sheetViews>
  <sheetFormatPr baseColWidth="10" defaultRowHeight="14.4"/>
  <cols>
    <col min="1" max="1" width="17.6640625" customWidth="1"/>
    <col min="2" max="5" width="8.6640625" customWidth="1"/>
    <col min="6" max="9" width="7.6640625" style="3873" customWidth="1"/>
    <col min="10" max="10" width="8.6640625" customWidth="1"/>
    <col min="11" max="11" width="7.6640625" customWidth="1"/>
    <col min="12" max="12" width="8.6640625" customWidth="1"/>
    <col min="13" max="13" width="15.6640625" customWidth="1"/>
    <col min="14" max="14" width="15" bestFit="1" customWidth="1"/>
    <col min="15" max="15" width="55.6640625" bestFit="1" customWidth="1"/>
    <col min="16" max="16" width="25.33203125" bestFit="1" customWidth="1"/>
    <col min="17" max="17" width="25.33203125" customWidth="1"/>
    <col min="236" max="236" width="17.6640625" customWidth="1"/>
    <col min="238" max="238" width="15.33203125" customWidth="1"/>
    <col min="239" max="239" width="11.6640625" bestFit="1" customWidth="1"/>
    <col min="240" max="244" width="10.6640625" customWidth="1"/>
    <col min="245" max="245" width="2" customWidth="1"/>
    <col min="246" max="246" width="14.5546875" customWidth="1"/>
    <col min="248" max="248" width="12.6640625" customWidth="1"/>
    <col min="492" max="492" width="17.6640625" customWidth="1"/>
    <col min="494" max="494" width="15.33203125" customWidth="1"/>
    <col min="495" max="495" width="11.6640625" bestFit="1" customWidth="1"/>
    <col min="496" max="500" width="10.6640625" customWidth="1"/>
    <col min="501" max="501" width="2" customWidth="1"/>
    <col min="502" max="502" width="14.5546875" customWidth="1"/>
    <col min="504" max="504" width="12.6640625" customWidth="1"/>
    <col min="748" max="748" width="17.6640625" customWidth="1"/>
    <col min="750" max="750" width="15.33203125" customWidth="1"/>
    <col min="751" max="751" width="11.6640625" bestFit="1" customWidth="1"/>
    <col min="752" max="756" width="10.6640625" customWidth="1"/>
    <col min="757" max="757" width="2" customWidth="1"/>
    <col min="758" max="758" width="14.5546875" customWidth="1"/>
    <col min="760" max="760" width="12.6640625" customWidth="1"/>
    <col min="1004" max="1004" width="17.6640625" customWidth="1"/>
    <col min="1006" max="1006" width="15.33203125" customWidth="1"/>
    <col min="1007" max="1007" width="11.6640625" bestFit="1" customWidth="1"/>
    <col min="1008" max="1012" width="10.6640625" customWidth="1"/>
    <col min="1013" max="1013" width="2" customWidth="1"/>
    <col min="1014" max="1014" width="14.5546875" customWidth="1"/>
    <col min="1016" max="1016" width="12.6640625" customWidth="1"/>
    <col min="1260" max="1260" width="17.6640625" customWidth="1"/>
    <col min="1262" max="1262" width="15.33203125" customWidth="1"/>
    <col min="1263" max="1263" width="11.6640625" bestFit="1" customWidth="1"/>
    <col min="1264" max="1268" width="10.6640625" customWidth="1"/>
    <col min="1269" max="1269" width="2" customWidth="1"/>
    <col min="1270" max="1270" width="14.5546875" customWidth="1"/>
    <col min="1272" max="1272" width="12.6640625" customWidth="1"/>
    <col min="1516" max="1516" width="17.6640625" customWidth="1"/>
    <col min="1518" max="1518" width="15.33203125" customWidth="1"/>
    <col min="1519" max="1519" width="11.6640625" bestFit="1" customWidth="1"/>
    <col min="1520" max="1524" width="10.6640625" customWidth="1"/>
    <col min="1525" max="1525" width="2" customWidth="1"/>
    <col min="1526" max="1526" width="14.5546875" customWidth="1"/>
    <col min="1528" max="1528" width="12.6640625" customWidth="1"/>
    <col min="1772" max="1772" width="17.6640625" customWidth="1"/>
    <col min="1774" max="1774" width="15.33203125" customWidth="1"/>
    <col min="1775" max="1775" width="11.6640625" bestFit="1" customWidth="1"/>
    <col min="1776" max="1780" width="10.6640625" customWidth="1"/>
    <col min="1781" max="1781" width="2" customWidth="1"/>
    <col min="1782" max="1782" width="14.5546875" customWidth="1"/>
    <col min="1784" max="1784" width="12.6640625" customWidth="1"/>
    <col min="2028" max="2028" width="17.6640625" customWidth="1"/>
    <col min="2030" max="2030" width="15.33203125" customWidth="1"/>
    <col min="2031" max="2031" width="11.6640625" bestFit="1" customWidth="1"/>
    <col min="2032" max="2036" width="10.6640625" customWidth="1"/>
    <col min="2037" max="2037" width="2" customWidth="1"/>
    <col min="2038" max="2038" width="14.5546875" customWidth="1"/>
    <col min="2040" max="2040" width="12.6640625" customWidth="1"/>
    <col min="2284" max="2284" width="17.6640625" customWidth="1"/>
    <col min="2286" max="2286" width="15.33203125" customWidth="1"/>
    <col min="2287" max="2287" width="11.6640625" bestFit="1" customWidth="1"/>
    <col min="2288" max="2292" width="10.6640625" customWidth="1"/>
    <col min="2293" max="2293" width="2" customWidth="1"/>
    <col min="2294" max="2294" width="14.5546875" customWidth="1"/>
    <col min="2296" max="2296" width="12.6640625" customWidth="1"/>
    <col min="2540" max="2540" width="17.6640625" customWidth="1"/>
    <col min="2542" max="2542" width="15.33203125" customWidth="1"/>
    <col min="2543" max="2543" width="11.6640625" bestFit="1" customWidth="1"/>
    <col min="2544" max="2548" width="10.6640625" customWidth="1"/>
    <col min="2549" max="2549" width="2" customWidth="1"/>
    <col min="2550" max="2550" width="14.5546875" customWidth="1"/>
    <col min="2552" max="2552" width="12.6640625" customWidth="1"/>
    <col min="2796" max="2796" width="17.6640625" customWidth="1"/>
    <col min="2798" max="2798" width="15.33203125" customWidth="1"/>
    <col min="2799" max="2799" width="11.6640625" bestFit="1" customWidth="1"/>
    <col min="2800" max="2804" width="10.6640625" customWidth="1"/>
    <col min="2805" max="2805" width="2" customWidth="1"/>
    <col min="2806" max="2806" width="14.5546875" customWidth="1"/>
    <col min="2808" max="2808" width="12.6640625" customWidth="1"/>
    <col min="3052" max="3052" width="17.6640625" customWidth="1"/>
    <col min="3054" max="3054" width="15.33203125" customWidth="1"/>
    <col min="3055" max="3055" width="11.6640625" bestFit="1" customWidth="1"/>
    <col min="3056" max="3060" width="10.6640625" customWidth="1"/>
    <col min="3061" max="3061" width="2" customWidth="1"/>
    <col min="3062" max="3062" width="14.5546875" customWidth="1"/>
    <col min="3064" max="3064" width="12.6640625" customWidth="1"/>
    <col min="3308" max="3308" width="17.6640625" customWidth="1"/>
    <col min="3310" max="3310" width="15.33203125" customWidth="1"/>
    <col min="3311" max="3311" width="11.6640625" bestFit="1" customWidth="1"/>
    <col min="3312" max="3316" width="10.6640625" customWidth="1"/>
    <col min="3317" max="3317" width="2" customWidth="1"/>
    <col min="3318" max="3318" width="14.5546875" customWidth="1"/>
    <col min="3320" max="3320" width="12.6640625" customWidth="1"/>
    <col min="3564" max="3564" width="17.6640625" customWidth="1"/>
    <col min="3566" max="3566" width="15.33203125" customWidth="1"/>
    <col min="3567" max="3567" width="11.6640625" bestFit="1" customWidth="1"/>
    <col min="3568" max="3572" width="10.6640625" customWidth="1"/>
    <col min="3573" max="3573" width="2" customWidth="1"/>
    <col min="3574" max="3574" width="14.5546875" customWidth="1"/>
    <col min="3576" max="3576" width="12.6640625" customWidth="1"/>
    <col min="3820" max="3820" width="17.6640625" customWidth="1"/>
    <col min="3822" max="3822" width="15.33203125" customWidth="1"/>
    <col min="3823" max="3823" width="11.6640625" bestFit="1" customWidth="1"/>
    <col min="3824" max="3828" width="10.6640625" customWidth="1"/>
    <col min="3829" max="3829" width="2" customWidth="1"/>
    <col min="3830" max="3830" width="14.5546875" customWidth="1"/>
    <col min="3832" max="3832" width="12.6640625" customWidth="1"/>
    <col min="4076" max="4076" width="17.6640625" customWidth="1"/>
    <col min="4078" max="4078" width="15.33203125" customWidth="1"/>
    <col min="4079" max="4079" width="11.6640625" bestFit="1" customWidth="1"/>
    <col min="4080" max="4084" width="10.6640625" customWidth="1"/>
    <col min="4085" max="4085" width="2" customWidth="1"/>
    <col min="4086" max="4086" width="14.5546875" customWidth="1"/>
    <col min="4088" max="4088" width="12.6640625" customWidth="1"/>
    <col min="4332" max="4332" width="17.6640625" customWidth="1"/>
    <col min="4334" max="4334" width="15.33203125" customWidth="1"/>
    <col min="4335" max="4335" width="11.6640625" bestFit="1" customWidth="1"/>
    <col min="4336" max="4340" width="10.6640625" customWidth="1"/>
    <col min="4341" max="4341" width="2" customWidth="1"/>
    <col min="4342" max="4342" width="14.5546875" customWidth="1"/>
    <col min="4344" max="4344" width="12.6640625" customWidth="1"/>
    <col min="4588" max="4588" width="17.6640625" customWidth="1"/>
    <col min="4590" max="4590" width="15.33203125" customWidth="1"/>
    <col min="4591" max="4591" width="11.6640625" bestFit="1" customWidth="1"/>
    <col min="4592" max="4596" width="10.6640625" customWidth="1"/>
    <col min="4597" max="4597" width="2" customWidth="1"/>
    <col min="4598" max="4598" width="14.5546875" customWidth="1"/>
    <col min="4600" max="4600" width="12.6640625" customWidth="1"/>
    <col min="4844" max="4844" width="17.6640625" customWidth="1"/>
    <col min="4846" max="4846" width="15.33203125" customWidth="1"/>
    <col min="4847" max="4847" width="11.6640625" bestFit="1" customWidth="1"/>
    <col min="4848" max="4852" width="10.6640625" customWidth="1"/>
    <col min="4853" max="4853" width="2" customWidth="1"/>
    <col min="4854" max="4854" width="14.5546875" customWidth="1"/>
    <col min="4856" max="4856" width="12.6640625" customWidth="1"/>
    <col min="5100" max="5100" width="17.6640625" customWidth="1"/>
    <col min="5102" max="5102" width="15.33203125" customWidth="1"/>
    <col min="5103" max="5103" width="11.6640625" bestFit="1" customWidth="1"/>
    <col min="5104" max="5108" width="10.6640625" customWidth="1"/>
    <col min="5109" max="5109" width="2" customWidth="1"/>
    <col min="5110" max="5110" width="14.5546875" customWidth="1"/>
    <col min="5112" max="5112" width="12.6640625" customWidth="1"/>
    <col min="5356" max="5356" width="17.6640625" customWidth="1"/>
    <col min="5358" max="5358" width="15.33203125" customWidth="1"/>
    <col min="5359" max="5359" width="11.6640625" bestFit="1" customWidth="1"/>
    <col min="5360" max="5364" width="10.6640625" customWidth="1"/>
    <col min="5365" max="5365" width="2" customWidth="1"/>
    <col min="5366" max="5366" width="14.5546875" customWidth="1"/>
    <col min="5368" max="5368" width="12.6640625" customWidth="1"/>
    <col min="5612" max="5612" width="17.6640625" customWidth="1"/>
    <col min="5614" max="5614" width="15.33203125" customWidth="1"/>
    <col min="5615" max="5615" width="11.6640625" bestFit="1" customWidth="1"/>
    <col min="5616" max="5620" width="10.6640625" customWidth="1"/>
    <col min="5621" max="5621" width="2" customWidth="1"/>
    <col min="5622" max="5622" width="14.5546875" customWidth="1"/>
    <col min="5624" max="5624" width="12.6640625" customWidth="1"/>
    <col min="5868" max="5868" width="17.6640625" customWidth="1"/>
    <col min="5870" max="5870" width="15.33203125" customWidth="1"/>
    <col min="5871" max="5871" width="11.6640625" bestFit="1" customWidth="1"/>
    <col min="5872" max="5876" width="10.6640625" customWidth="1"/>
    <col min="5877" max="5877" width="2" customWidth="1"/>
    <col min="5878" max="5878" width="14.5546875" customWidth="1"/>
    <col min="5880" max="5880" width="12.6640625" customWidth="1"/>
    <col min="6124" max="6124" width="17.6640625" customWidth="1"/>
    <col min="6126" max="6126" width="15.33203125" customWidth="1"/>
    <col min="6127" max="6127" width="11.6640625" bestFit="1" customWidth="1"/>
    <col min="6128" max="6132" width="10.6640625" customWidth="1"/>
    <col min="6133" max="6133" width="2" customWidth="1"/>
    <col min="6134" max="6134" width="14.5546875" customWidth="1"/>
    <col min="6136" max="6136" width="12.6640625" customWidth="1"/>
    <col min="6380" max="6380" width="17.6640625" customWidth="1"/>
    <col min="6382" max="6382" width="15.33203125" customWidth="1"/>
    <col min="6383" max="6383" width="11.6640625" bestFit="1" customWidth="1"/>
    <col min="6384" max="6388" width="10.6640625" customWidth="1"/>
    <col min="6389" max="6389" width="2" customWidth="1"/>
    <col min="6390" max="6390" width="14.5546875" customWidth="1"/>
    <col min="6392" max="6392" width="12.6640625" customWidth="1"/>
    <col min="6636" max="6636" width="17.6640625" customWidth="1"/>
    <col min="6638" max="6638" width="15.33203125" customWidth="1"/>
    <col min="6639" max="6639" width="11.6640625" bestFit="1" customWidth="1"/>
    <col min="6640" max="6644" width="10.6640625" customWidth="1"/>
    <col min="6645" max="6645" width="2" customWidth="1"/>
    <col min="6646" max="6646" width="14.5546875" customWidth="1"/>
    <col min="6648" max="6648" width="12.6640625" customWidth="1"/>
    <col min="6892" max="6892" width="17.6640625" customWidth="1"/>
    <col min="6894" max="6894" width="15.33203125" customWidth="1"/>
    <col min="6895" max="6895" width="11.6640625" bestFit="1" customWidth="1"/>
    <col min="6896" max="6900" width="10.6640625" customWidth="1"/>
    <col min="6901" max="6901" width="2" customWidth="1"/>
    <col min="6902" max="6902" width="14.5546875" customWidth="1"/>
    <col min="6904" max="6904" width="12.6640625" customWidth="1"/>
    <col min="7148" max="7148" width="17.6640625" customWidth="1"/>
    <col min="7150" max="7150" width="15.33203125" customWidth="1"/>
    <col min="7151" max="7151" width="11.6640625" bestFit="1" customWidth="1"/>
    <col min="7152" max="7156" width="10.6640625" customWidth="1"/>
    <col min="7157" max="7157" width="2" customWidth="1"/>
    <col min="7158" max="7158" width="14.5546875" customWidth="1"/>
    <col min="7160" max="7160" width="12.6640625" customWidth="1"/>
    <col min="7404" max="7404" width="17.6640625" customWidth="1"/>
    <col min="7406" max="7406" width="15.33203125" customWidth="1"/>
    <col min="7407" max="7407" width="11.6640625" bestFit="1" customWidth="1"/>
    <col min="7408" max="7412" width="10.6640625" customWidth="1"/>
    <col min="7413" max="7413" width="2" customWidth="1"/>
    <col min="7414" max="7414" width="14.5546875" customWidth="1"/>
    <col min="7416" max="7416" width="12.6640625" customWidth="1"/>
    <col min="7660" max="7660" width="17.6640625" customWidth="1"/>
    <col min="7662" max="7662" width="15.33203125" customWidth="1"/>
    <col min="7663" max="7663" width="11.6640625" bestFit="1" customWidth="1"/>
    <col min="7664" max="7668" width="10.6640625" customWidth="1"/>
    <col min="7669" max="7669" width="2" customWidth="1"/>
    <col min="7670" max="7670" width="14.5546875" customWidth="1"/>
    <col min="7672" max="7672" width="12.6640625" customWidth="1"/>
    <col min="7916" max="7916" width="17.6640625" customWidth="1"/>
    <col min="7918" max="7918" width="15.33203125" customWidth="1"/>
    <col min="7919" max="7919" width="11.6640625" bestFit="1" customWidth="1"/>
    <col min="7920" max="7924" width="10.6640625" customWidth="1"/>
    <col min="7925" max="7925" width="2" customWidth="1"/>
    <col min="7926" max="7926" width="14.5546875" customWidth="1"/>
    <col min="7928" max="7928" width="12.6640625" customWidth="1"/>
    <col min="8172" max="8172" width="17.6640625" customWidth="1"/>
    <col min="8174" max="8174" width="15.33203125" customWidth="1"/>
    <col min="8175" max="8175" width="11.6640625" bestFit="1" customWidth="1"/>
    <col min="8176" max="8180" width="10.6640625" customWidth="1"/>
    <col min="8181" max="8181" width="2" customWidth="1"/>
    <col min="8182" max="8182" width="14.5546875" customWidth="1"/>
    <col min="8184" max="8184" width="12.6640625" customWidth="1"/>
    <col min="8428" max="8428" width="17.6640625" customWidth="1"/>
    <col min="8430" max="8430" width="15.33203125" customWidth="1"/>
    <col min="8431" max="8431" width="11.6640625" bestFit="1" customWidth="1"/>
    <col min="8432" max="8436" width="10.6640625" customWidth="1"/>
    <col min="8437" max="8437" width="2" customWidth="1"/>
    <col min="8438" max="8438" width="14.5546875" customWidth="1"/>
    <col min="8440" max="8440" width="12.6640625" customWidth="1"/>
    <col min="8684" max="8684" width="17.6640625" customWidth="1"/>
    <col min="8686" max="8686" width="15.33203125" customWidth="1"/>
    <col min="8687" max="8687" width="11.6640625" bestFit="1" customWidth="1"/>
    <col min="8688" max="8692" width="10.6640625" customWidth="1"/>
    <col min="8693" max="8693" width="2" customWidth="1"/>
    <col min="8694" max="8694" width="14.5546875" customWidth="1"/>
    <col min="8696" max="8696" width="12.6640625" customWidth="1"/>
    <col min="8940" max="8940" width="17.6640625" customWidth="1"/>
    <col min="8942" max="8942" width="15.33203125" customWidth="1"/>
    <col min="8943" max="8943" width="11.6640625" bestFit="1" customWidth="1"/>
    <col min="8944" max="8948" width="10.6640625" customWidth="1"/>
    <col min="8949" max="8949" width="2" customWidth="1"/>
    <col min="8950" max="8950" width="14.5546875" customWidth="1"/>
    <col min="8952" max="8952" width="12.6640625" customWidth="1"/>
    <col min="9196" max="9196" width="17.6640625" customWidth="1"/>
    <col min="9198" max="9198" width="15.33203125" customWidth="1"/>
    <col min="9199" max="9199" width="11.6640625" bestFit="1" customWidth="1"/>
    <col min="9200" max="9204" width="10.6640625" customWidth="1"/>
    <col min="9205" max="9205" width="2" customWidth="1"/>
    <col min="9206" max="9206" width="14.5546875" customWidth="1"/>
    <col min="9208" max="9208" width="12.6640625" customWidth="1"/>
    <col min="9452" max="9452" width="17.6640625" customWidth="1"/>
    <col min="9454" max="9454" width="15.33203125" customWidth="1"/>
    <col min="9455" max="9455" width="11.6640625" bestFit="1" customWidth="1"/>
    <col min="9456" max="9460" width="10.6640625" customWidth="1"/>
    <col min="9461" max="9461" width="2" customWidth="1"/>
    <col min="9462" max="9462" width="14.5546875" customWidth="1"/>
    <col min="9464" max="9464" width="12.6640625" customWidth="1"/>
    <col min="9708" max="9708" width="17.6640625" customWidth="1"/>
    <col min="9710" max="9710" width="15.33203125" customWidth="1"/>
    <col min="9711" max="9711" width="11.6640625" bestFit="1" customWidth="1"/>
    <col min="9712" max="9716" width="10.6640625" customWidth="1"/>
    <col min="9717" max="9717" width="2" customWidth="1"/>
    <col min="9718" max="9718" width="14.5546875" customWidth="1"/>
    <col min="9720" max="9720" width="12.6640625" customWidth="1"/>
    <col min="9964" max="9964" width="17.6640625" customWidth="1"/>
    <col min="9966" max="9966" width="15.33203125" customWidth="1"/>
    <col min="9967" max="9967" width="11.6640625" bestFit="1" customWidth="1"/>
    <col min="9968" max="9972" width="10.6640625" customWidth="1"/>
    <col min="9973" max="9973" width="2" customWidth="1"/>
    <col min="9974" max="9974" width="14.5546875" customWidth="1"/>
    <col min="9976" max="9976" width="12.6640625" customWidth="1"/>
    <col min="10220" max="10220" width="17.6640625" customWidth="1"/>
    <col min="10222" max="10222" width="15.33203125" customWidth="1"/>
    <col min="10223" max="10223" width="11.6640625" bestFit="1" customWidth="1"/>
    <col min="10224" max="10228" width="10.6640625" customWidth="1"/>
    <col min="10229" max="10229" width="2" customWidth="1"/>
    <col min="10230" max="10230" width="14.5546875" customWidth="1"/>
    <col min="10232" max="10232" width="12.6640625" customWidth="1"/>
    <col min="10476" max="10476" width="17.6640625" customWidth="1"/>
    <col min="10478" max="10478" width="15.33203125" customWidth="1"/>
    <col min="10479" max="10479" width="11.6640625" bestFit="1" customWidth="1"/>
    <col min="10480" max="10484" width="10.6640625" customWidth="1"/>
    <col min="10485" max="10485" width="2" customWidth="1"/>
    <col min="10486" max="10486" width="14.5546875" customWidth="1"/>
    <col min="10488" max="10488" width="12.6640625" customWidth="1"/>
    <col min="10732" max="10732" width="17.6640625" customWidth="1"/>
    <col min="10734" max="10734" width="15.33203125" customWidth="1"/>
    <col min="10735" max="10735" width="11.6640625" bestFit="1" customWidth="1"/>
    <col min="10736" max="10740" width="10.6640625" customWidth="1"/>
    <col min="10741" max="10741" width="2" customWidth="1"/>
    <col min="10742" max="10742" width="14.5546875" customWidth="1"/>
    <col min="10744" max="10744" width="12.6640625" customWidth="1"/>
    <col min="10988" max="10988" width="17.6640625" customWidth="1"/>
    <col min="10990" max="10990" width="15.33203125" customWidth="1"/>
    <col min="10991" max="10991" width="11.6640625" bestFit="1" customWidth="1"/>
    <col min="10992" max="10996" width="10.6640625" customWidth="1"/>
    <col min="10997" max="10997" width="2" customWidth="1"/>
    <col min="10998" max="10998" width="14.5546875" customWidth="1"/>
    <col min="11000" max="11000" width="12.6640625" customWidth="1"/>
    <col min="11244" max="11244" width="17.6640625" customWidth="1"/>
    <col min="11246" max="11246" width="15.33203125" customWidth="1"/>
    <col min="11247" max="11247" width="11.6640625" bestFit="1" customWidth="1"/>
    <col min="11248" max="11252" width="10.6640625" customWidth="1"/>
    <col min="11253" max="11253" width="2" customWidth="1"/>
    <col min="11254" max="11254" width="14.5546875" customWidth="1"/>
    <col min="11256" max="11256" width="12.6640625" customWidth="1"/>
    <col min="11500" max="11500" width="17.6640625" customWidth="1"/>
    <col min="11502" max="11502" width="15.33203125" customWidth="1"/>
    <col min="11503" max="11503" width="11.6640625" bestFit="1" customWidth="1"/>
    <col min="11504" max="11508" width="10.6640625" customWidth="1"/>
    <col min="11509" max="11509" width="2" customWidth="1"/>
    <col min="11510" max="11510" width="14.5546875" customWidth="1"/>
    <col min="11512" max="11512" width="12.6640625" customWidth="1"/>
    <col min="11756" max="11756" width="17.6640625" customWidth="1"/>
    <col min="11758" max="11758" width="15.33203125" customWidth="1"/>
    <col min="11759" max="11759" width="11.6640625" bestFit="1" customWidth="1"/>
    <col min="11760" max="11764" width="10.6640625" customWidth="1"/>
    <col min="11765" max="11765" width="2" customWidth="1"/>
    <col min="11766" max="11766" width="14.5546875" customWidth="1"/>
    <col min="11768" max="11768" width="12.6640625" customWidth="1"/>
    <col min="12012" max="12012" width="17.6640625" customWidth="1"/>
    <col min="12014" max="12014" width="15.33203125" customWidth="1"/>
    <col min="12015" max="12015" width="11.6640625" bestFit="1" customWidth="1"/>
    <col min="12016" max="12020" width="10.6640625" customWidth="1"/>
    <col min="12021" max="12021" width="2" customWidth="1"/>
    <col min="12022" max="12022" width="14.5546875" customWidth="1"/>
    <col min="12024" max="12024" width="12.6640625" customWidth="1"/>
    <col min="12268" max="12268" width="17.6640625" customWidth="1"/>
    <col min="12270" max="12270" width="15.33203125" customWidth="1"/>
    <col min="12271" max="12271" width="11.6640625" bestFit="1" customWidth="1"/>
    <col min="12272" max="12276" width="10.6640625" customWidth="1"/>
    <col min="12277" max="12277" width="2" customWidth="1"/>
    <col min="12278" max="12278" width="14.5546875" customWidth="1"/>
    <col min="12280" max="12280" width="12.6640625" customWidth="1"/>
    <col min="12524" max="12524" width="17.6640625" customWidth="1"/>
    <col min="12526" max="12526" width="15.33203125" customWidth="1"/>
    <col min="12527" max="12527" width="11.6640625" bestFit="1" customWidth="1"/>
    <col min="12528" max="12532" width="10.6640625" customWidth="1"/>
    <col min="12533" max="12533" width="2" customWidth="1"/>
    <col min="12534" max="12534" width="14.5546875" customWidth="1"/>
    <col min="12536" max="12536" width="12.6640625" customWidth="1"/>
    <col min="12780" max="12780" width="17.6640625" customWidth="1"/>
    <col min="12782" max="12782" width="15.33203125" customWidth="1"/>
    <col min="12783" max="12783" width="11.6640625" bestFit="1" customWidth="1"/>
    <col min="12784" max="12788" width="10.6640625" customWidth="1"/>
    <col min="12789" max="12789" width="2" customWidth="1"/>
    <col min="12790" max="12790" width="14.5546875" customWidth="1"/>
    <col min="12792" max="12792" width="12.6640625" customWidth="1"/>
    <col min="13036" max="13036" width="17.6640625" customWidth="1"/>
    <col min="13038" max="13038" width="15.33203125" customWidth="1"/>
    <col min="13039" max="13039" width="11.6640625" bestFit="1" customWidth="1"/>
    <col min="13040" max="13044" width="10.6640625" customWidth="1"/>
    <col min="13045" max="13045" width="2" customWidth="1"/>
    <col min="13046" max="13046" width="14.5546875" customWidth="1"/>
    <col min="13048" max="13048" width="12.6640625" customWidth="1"/>
    <col min="13292" max="13292" width="17.6640625" customWidth="1"/>
    <col min="13294" max="13294" width="15.33203125" customWidth="1"/>
    <col min="13295" max="13295" width="11.6640625" bestFit="1" customWidth="1"/>
    <col min="13296" max="13300" width="10.6640625" customWidth="1"/>
    <col min="13301" max="13301" width="2" customWidth="1"/>
    <col min="13302" max="13302" width="14.5546875" customWidth="1"/>
    <col min="13304" max="13304" width="12.6640625" customWidth="1"/>
    <col min="13548" max="13548" width="17.6640625" customWidth="1"/>
    <col min="13550" max="13550" width="15.33203125" customWidth="1"/>
    <col min="13551" max="13551" width="11.6640625" bestFit="1" customWidth="1"/>
    <col min="13552" max="13556" width="10.6640625" customWidth="1"/>
    <col min="13557" max="13557" width="2" customWidth="1"/>
    <col min="13558" max="13558" width="14.5546875" customWidth="1"/>
    <col min="13560" max="13560" width="12.6640625" customWidth="1"/>
    <col min="13804" max="13804" width="17.6640625" customWidth="1"/>
    <col min="13806" max="13806" width="15.33203125" customWidth="1"/>
    <col min="13807" max="13807" width="11.6640625" bestFit="1" customWidth="1"/>
    <col min="13808" max="13812" width="10.6640625" customWidth="1"/>
    <col min="13813" max="13813" width="2" customWidth="1"/>
    <col min="13814" max="13814" width="14.5546875" customWidth="1"/>
    <col min="13816" max="13816" width="12.6640625" customWidth="1"/>
    <col min="14060" max="14060" width="17.6640625" customWidth="1"/>
    <col min="14062" max="14062" width="15.33203125" customWidth="1"/>
    <col min="14063" max="14063" width="11.6640625" bestFit="1" customWidth="1"/>
    <col min="14064" max="14068" width="10.6640625" customWidth="1"/>
    <col min="14069" max="14069" width="2" customWidth="1"/>
    <col min="14070" max="14070" width="14.5546875" customWidth="1"/>
    <col min="14072" max="14072" width="12.6640625" customWidth="1"/>
    <col min="14316" max="14316" width="17.6640625" customWidth="1"/>
    <col min="14318" max="14318" width="15.33203125" customWidth="1"/>
    <col min="14319" max="14319" width="11.6640625" bestFit="1" customWidth="1"/>
    <col min="14320" max="14324" width="10.6640625" customWidth="1"/>
    <col min="14325" max="14325" width="2" customWidth="1"/>
    <col min="14326" max="14326" width="14.5546875" customWidth="1"/>
    <col min="14328" max="14328" width="12.6640625" customWidth="1"/>
    <col min="14572" max="14572" width="17.6640625" customWidth="1"/>
    <col min="14574" max="14574" width="15.33203125" customWidth="1"/>
    <col min="14575" max="14575" width="11.6640625" bestFit="1" customWidth="1"/>
    <col min="14576" max="14580" width="10.6640625" customWidth="1"/>
    <col min="14581" max="14581" width="2" customWidth="1"/>
    <col min="14582" max="14582" width="14.5546875" customWidth="1"/>
    <col min="14584" max="14584" width="12.6640625" customWidth="1"/>
    <col min="14828" max="14828" width="17.6640625" customWidth="1"/>
    <col min="14830" max="14830" width="15.33203125" customWidth="1"/>
    <col min="14831" max="14831" width="11.6640625" bestFit="1" customWidth="1"/>
    <col min="14832" max="14836" width="10.6640625" customWidth="1"/>
    <col min="14837" max="14837" width="2" customWidth="1"/>
    <col min="14838" max="14838" width="14.5546875" customWidth="1"/>
    <col min="14840" max="14840" width="12.6640625" customWidth="1"/>
    <col min="15084" max="15084" width="17.6640625" customWidth="1"/>
    <col min="15086" max="15086" width="15.33203125" customWidth="1"/>
    <col min="15087" max="15087" width="11.6640625" bestFit="1" customWidth="1"/>
    <col min="15088" max="15092" width="10.6640625" customWidth="1"/>
    <col min="15093" max="15093" width="2" customWidth="1"/>
    <col min="15094" max="15094" width="14.5546875" customWidth="1"/>
    <col min="15096" max="15096" width="12.6640625" customWidth="1"/>
    <col min="15340" max="15340" width="17.6640625" customWidth="1"/>
    <col min="15342" max="15342" width="15.33203125" customWidth="1"/>
    <col min="15343" max="15343" width="11.6640625" bestFit="1" customWidth="1"/>
    <col min="15344" max="15348" width="10.6640625" customWidth="1"/>
    <col min="15349" max="15349" width="2" customWidth="1"/>
    <col min="15350" max="15350" width="14.5546875" customWidth="1"/>
    <col min="15352" max="15352" width="12.6640625" customWidth="1"/>
    <col min="15596" max="15596" width="17.6640625" customWidth="1"/>
    <col min="15598" max="15598" width="15.33203125" customWidth="1"/>
    <col min="15599" max="15599" width="11.6640625" bestFit="1" customWidth="1"/>
    <col min="15600" max="15604" width="10.6640625" customWidth="1"/>
    <col min="15605" max="15605" width="2" customWidth="1"/>
    <col min="15606" max="15606" width="14.5546875" customWidth="1"/>
    <col min="15608" max="15608" width="12.6640625" customWidth="1"/>
    <col min="15852" max="15852" width="17.6640625" customWidth="1"/>
    <col min="15854" max="15854" width="15.33203125" customWidth="1"/>
    <col min="15855" max="15855" width="11.6640625" bestFit="1" customWidth="1"/>
    <col min="15856" max="15860" width="10.6640625" customWidth="1"/>
    <col min="15861" max="15861" width="2" customWidth="1"/>
    <col min="15862" max="15862" width="14.5546875" customWidth="1"/>
    <col min="15864" max="15864" width="12.6640625" customWidth="1"/>
    <col min="16108" max="16108" width="17.6640625" customWidth="1"/>
    <col min="16110" max="16110" width="15.33203125" customWidth="1"/>
    <col min="16111" max="16111" width="11.6640625" bestFit="1" customWidth="1"/>
    <col min="16112" max="16116" width="10.6640625" customWidth="1"/>
    <col min="16117" max="16117" width="2" customWidth="1"/>
    <col min="16118" max="16118" width="14.5546875" customWidth="1"/>
    <col min="16120" max="16120" width="12.6640625" customWidth="1"/>
  </cols>
  <sheetData>
    <row r="1" spans="1:12" ht="18">
      <c r="B1" s="3021"/>
      <c r="C1" s="3021"/>
      <c r="D1" s="3021"/>
      <c r="E1" s="3021"/>
      <c r="F1" s="3021"/>
      <c r="G1" s="3021"/>
      <c r="H1" s="3021"/>
      <c r="I1" s="3021"/>
      <c r="J1" s="3021"/>
      <c r="K1" s="1423"/>
      <c r="L1" s="6491" t="s">
        <v>2449</v>
      </c>
    </row>
    <row r="2" spans="1:12">
      <c r="A2" s="82"/>
      <c r="B2" s="82"/>
      <c r="C2" s="82"/>
      <c r="D2" s="82"/>
      <c r="E2" s="82"/>
      <c r="F2" s="82"/>
      <c r="G2" s="82"/>
      <c r="H2" s="82"/>
      <c r="I2" s="82"/>
      <c r="J2" s="82"/>
      <c r="K2" s="1422"/>
    </row>
    <row r="3" spans="1:12" s="4886" customFormat="1" ht="15" customHeight="1">
      <c r="A3" s="3362"/>
      <c r="B3" s="6671" t="s">
        <v>3390</v>
      </c>
      <c r="C3" s="6671"/>
      <c r="D3" s="6671"/>
      <c r="E3" s="6671"/>
      <c r="F3" s="7273" t="s">
        <v>3384</v>
      </c>
      <c r="G3" s="7273"/>
      <c r="H3" s="7273"/>
      <c r="I3" s="7273"/>
      <c r="J3" s="7273"/>
      <c r="K3" s="7274" t="s">
        <v>3385</v>
      </c>
      <c r="L3" s="7274"/>
    </row>
    <row r="4" spans="1:12" s="4886" customFormat="1" ht="15" thickBot="1">
      <c r="A4" s="6577" t="s">
        <v>2317</v>
      </c>
      <c r="B4" s="6051" t="s">
        <v>645</v>
      </c>
      <c r="C4" s="6051" t="s">
        <v>646</v>
      </c>
      <c r="D4" s="6051" t="s">
        <v>1204</v>
      </c>
      <c r="E4" s="4999" t="s">
        <v>15</v>
      </c>
      <c r="F4" s="6051" t="s">
        <v>645</v>
      </c>
      <c r="G4" s="6051" t="s">
        <v>646</v>
      </c>
      <c r="H4" s="6051" t="s">
        <v>1204</v>
      </c>
      <c r="I4" s="6052" t="s">
        <v>15</v>
      </c>
      <c r="J4" s="6053" t="s">
        <v>76</v>
      </c>
      <c r="K4" s="6577" t="s">
        <v>15</v>
      </c>
      <c r="L4" s="3460" t="s">
        <v>76</v>
      </c>
    </row>
    <row r="5" spans="1:12" s="4886" customFormat="1">
      <c r="A5" s="83"/>
      <c r="B5" s="83"/>
      <c r="C5" s="83"/>
      <c r="D5" s="83"/>
      <c r="E5" s="83"/>
      <c r="F5" s="3953"/>
      <c r="G5" s="6674"/>
      <c r="H5" s="3953"/>
      <c r="I5" s="6674"/>
      <c r="J5" s="3953"/>
      <c r="K5" s="6674"/>
      <c r="L5" s="3362"/>
    </row>
    <row r="6" spans="1:12" s="4886" customFormat="1">
      <c r="A6" s="3461" t="s">
        <v>3386</v>
      </c>
      <c r="B6" s="6634">
        <v>0</v>
      </c>
      <c r="C6" s="6635">
        <v>6</v>
      </c>
      <c r="D6" s="6635">
        <v>4</v>
      </c>
      <c r="E6" s="6636">
        <v>10</v>
      </c>
      <c r="F6" s="6637"/>
      <c r="G6" s="6635">
        <v>6</v>
      </c>
      <c r="H6" s="6638">
        <v>3</v>
      </c>
      <c r="I6" s="6639">
        <v>9</v>
      </c>
      <c r="J6" s="6675">
        <v>0.9</v>
      </c>
      <c r="K6" s="6640">
        <v>1</v>
      </c>
      <c r="L6" s="6676">
        <v>9.9999999999999978E-2</v>
      </c>
    </row>
    <row r="7" spans="1:12" s="4886" customFormat="1">
      <c r="A7" s="3462" t="s">
        <v>16</v>
      </c>
      <c r="B7" s="6641">
        <v>4</v>
      </c>
      <c r="C7" s="6642">
        <v>6</v>
      </c>
      <c r="D7" s="6642">
        <v>3</v>
      </c>
      <c r="E7" s="6636">
        <v>13</v>
      </c>
      <c r="F7" s="6643">
        <v>2</v>
      </c>
      <c r="G7" s="6642">
        <v>6</v>
      </c>
      <c r="H7" s="6644">
        <v>3</v>
      </c>
      <c r="I7" s="6639">
        <v>11</v>
      </c>
      <c r="J7" s="6677">
        <v>0.84615384615384615</v>
      </c>
      <c r="K7" s="6640">
        <v>2</v>
      </c>
      <c r="L7" s="6678">
        <v>0.15384615384615385</v>
      </c>
    </row>
    <row r="8" spans="1:12" s="4886" customFormat="1">
      <c r="A8" s="3462" t="s">
        <v>21</v>
      </c>
      <c r="B8" s="6641">
        <v>2</v>
      </c>
      <c r="C8" s="6642">
        <v>7</v>
      </c>
      <c r="D8" s="6642">
        <v>7</v>
      </c>
      <c r="E8" s="6636">
        <v>16</v>
      </c>
      <c r="F8" s="6643">
        <v>2</v>
      </c>
      <c r="G8" s="6642">
        <v>6</v>
      </c>
      <c r="H8" s="6644">
        <v>6</v>
      </c>
      <c r="I8" s="6639">
        <v>14</v>
      </c>
      <c r="J8" s="6677">
        <v>0.875</v>
      </c>
      <c r="K8" s="6640">
        <v>2</v>
      </c>
      <c r="L8" s="6678">
        <v>0.125</v>
      </c>
    </row>
    <row r="9" spans="1:12" s="4886" customFormat="1">
      <c r="A9" s="3355" t="s">
        <v>3</v>
      </c>
      <c r="B9" s="6645">
        <v>6</v>
      </c>
      <c r="C9" s="6646">
        <v>19</v>
      </c>
      <c r="D9" s="6646">
        <v>14</v>
      </c>
      <c r="E9" s="6647">
        <v>39</v>
      </c>
      <c r="F9" s="6648">
        <v>4</v>
      </c>
      <c r="G9" s="6646">
        <v>18</v>
      </c>
      <c r="H9" s="6649">
        <v>12</v>
      </c>
      <c r="I9" s="6650">
        <v>34</v>
      </c>
      <c r="J9" s="6679">
        <v>0.87179487179487181</v>
      </c>
      <c r="K9" s="6650">
        <v>5</v>
      </c>
      <c r="L9" s="6680">
        <v>0.12820512820512819</v>
      </c>
    </row>
    <row r="10" spans="1:12" s="4886" customFormat="1">
      <c r="A10" s="3463"/>
      <c r="B10" s="6651"/>
      <c r="C10" s="6651"/>
      <c r="D10" s="6651"/>
      <c r="E10" s="6651"/>
      <c r="F10" s="6651"/>
      <c r="G10" s="6651"/>
      <c r="H10" s="6651"/>
      <c r="I10" s="6651"/>
      <c r="J10" s="3463"/>
      <c r="K10" s="6651"/>
      <c r="L10" s="3463"/>
    </row>
    <row r="11" spans="1:12" s="4886" customFormat="1">
      <c r="A11" s="3461" t="s">
        <v>16</v>
      </c>
      <c r="B11" s="6634">
        <v>0</v>
      </c>
      <c r="C11" s="6635">
        <v>1</v>
      </c>
      <c r="D11" s="6635">
        <v>1</v>
      </c>
      <c r="E11" s="6636">
        <v>2</v>
      </c>
      <c r="F11" s="6637">
        <v>0</v>
      </c>
      <c r="G11" s="6635">
        <v>1</v>
      </c>
      <c r="H11" s="6638">
        <v>1</v>
      </c>
      <c r="I11" s="6639">
        <v>2</v>
      </c>
      <c r="J11" s="6675">
        <v>1</v>
      </c>
      <c r="K11" s="6640">
        <v>0</v>
      </c>
      <c r="L11" s="6676">
        <v>0</v>
      </c>
    </row>
    <row r="12" spans="1:12" s="4886" customFormat="1">
      <c r="A12" s="3462" t="s">
        <v>61</v>
      </c>
      <c r="B12" s="6641">
        <v>0</v>
      </c>
      <c r="C12" s="6642">
        <v>1</v>
      </c>
      <c r="D12" s="6642">
        <v>0</v>
      </c>
      <c r="E12" s="6636">
        <v>1</v>
      </c>
      <c r="F12" s="6643">
        <v>0</v>
      </c>
      <c r="G12" s="6642">
        <v>1</v>
      </c>
      <c r="H12" s="6644"/>
      <c r="I12" s="6639">
        <v>1</v>
      </c>
      <c r="J12" s="6677">
        <v>1</v>
      </c>
      <c r="K12" s="6640">
        <v>0</v>
      </c>
      <c r="L12" s="6678">
        <v>0</v>
      </c>
    </row>
    <row r="13" spans="1:12" s="4886" customFormat="1">
      <c r="A13" s="3462" t="s">
        <v>64</v>
      </c>
      <c r="B13" s="6641">
        <v>1</v>
      </c>
      <c r="C13" s="6642">
        <v>1</v>
      </c>
      <c r="D13" s="6642">
        <v>1</v>
      </c>
      <c r="E13" s="6636">
        <v>3</v>
      </c>
      <c r="F13" s="6643">
        <v>0</v>
      </c>
      <c r="G13" s="6642">
        <v>1</v>
      </c>
      <c r="H13" s="6644">
        <v>1</v>
      </c>
      <c r="I13" s="6639">
        <v>2</v>
      </c>
      <c r="J13" s="6677">
        <v>0.66666666666666663</v>
      </c>
      <c r="K13" s="6640">
        <v>1</v>
      </c>
      <c r="L13" s="6678">
        <v>0.33333333333333337</v>
      </c>
    </row>
    <row r="14" spans="1:12" s="4886" customFormat="1">
      <c r="A14" s="3358" t="s">
        <v>59</v>
      </c>
      <c r="B14" s="6645">
        <v>1</v>
      </c>
      <c r="C14" s="6646">
        <v>3</v>
      </c>
      <c r="D14" s="6646">
        <v>2</v>
      </c>
      <c r="E14" s="6647">
        <v>6</v>
      </c>
      <c r="F14" s="6648">
        <v>0</v>
      </c>
      <c r="G14" s="6646">
        <v>3</v>
      </c>
      <c r="H14" s="6649">
        <v>2</v>
      </c>
      <c r="I14" s="6650">
        <v>5</v>
      </c>
      <c r="J14" s="6679">
        <v>0.83333333333333337</v>
      </c>
      <c r="K14" s="6650">
        <v>1</v>
      </c>
      <c r="L14" s="6680">
        <v>0.16666666666666663</v>
      </c>
    </row>
    <row r="15" spans="1:12" s="4886" customFormat="1">
      <c r="A15" s="1814"/>
      <c r="B15" s="6652"/>
      <c r="C15" s="6652"/>
      <c r="D15" s="6652"/>
      <c r="E15" s="6652"/>
      <c r="F15" s="6652"/>
      <c r="G15" s="6652"/>
      <c r="H15" s="6652"/>
      <c r="I15" s="6652"/>
      <c r="J15" s="1814"/>
      <c r="K15" s="6652"/>
      <c r="L15" s="1814"/>
    </row>
    <row r="16" spans="1:12" s="4886" customFormat="1">
      <c r="A16" s="3461" t="s">
        <v>4</v>
      </c>
      <c r="B16" s="6634">
        <v>0</v>
      </c>
      <c r="C16" s="6635">
        <v>7</v>
      </c>
      <c r="D16" s="6635">
        <v>6</v>
      </c>
      <c r="E16" s="6636">
        <v>13</v>
      </c>
      <c r="F16" s="6637">
        <v>0</v>
      </c>
      <c r="G16" s="6635">
        <v>7</v>
      </c>
      <c r="H16" s="6638">
        <v>6</v>
      </c>
      <c r="I16" s="6639">
        <v>13</v>
      </c>
      <c r="J16" s="6675">
        <v>1</v>
      </c>
      <c r="K16" s="6640">
        <v>0</v>
      </c>
      <c r="L16" s="6676">
        <v>0</v>
      </c>
    </row>
    <row r="17" spans="1:17" s="4886" customFormat="1">
      <c r="A17" s="3462" t="s">
        <v>16</v>
      </c>
      <c r="B17" s="6641">
        <v>1</v>
      </c>
      <c r="C17" s="6642">
        <v>5</v>
      </c>
      <c r="D17" s="6642">
        <v>5</v>
      </c>
      <c r="E17" s="6636">
        <v>11</v>
      </c>
      <c r="F17" s="6643">
        <v>0</v>
      </c>
      <c r="G17" s="6642">
        <v>5</v>
      </c>
      <c r="H17" s="6644">
        <v>5</v>
      </c>
      <c r="I17" s="6639">
        <v>10</v>
      </c>
      <c r="J17" s="6677">
        <v>0.90909090909090906</v>
      </c>
      <c r="K17" s="6640">
        <v>1</v>
      </c>
      <c r="L17" s="6678">
        <v>9.0909090909090939E-2</v>
      </c>
    </row>
    <row r="18" spans="1:17" s="4886" customFormat="1">
      <c r="A18" s="3462" t="s">
        <v>41</v>
      </c>
      <c r="B18" s="6641">
        <v>2</v>
      </c>
      <c r="C18" s="6642">
        <v>4</v>
      </c>
      <c r="D18" s="6642">
        <v>2</v>
      </c>
      <c r="E18" s="6636">
        <v>8</v>
      </c>
      <c r="F18" s="6643">
        <v>0</v>
      </c>
      <c r="G18" s="6642">
        <v>4</v>
      </c>
      <c r="H18" s="6644">
        <v>2</v>
      </c>
      <c r="I18" s="6639">
        <v>6</v>
      </c>
      <c r="J18" s="6677">
        <v>0.75</v>
      </c>
      <c r="K18" s="6640">
        <v>2</v>
      </c>
      <c r="L18" s="6678">
        <v>0.25</v>
      </c>
    </row>
    <row r="19" spans="1:17" s="4886" customFormat="1">
      <c r="A19" s="3464" t="s">
        <v>2337</v>
      </c>
      <c r="B19" s="6653">
        <v>1</v>
      </c>
      <c r="C19" s="6654">
        <v>1</v>
      </c>
      <c r="D19" s="6654">
        <v>1</v>
      </c>
      <c r="E19" s="6636">
        <v>3</v>
      </c>
      <c r="F19" s="6655">
        <v>1</v>
      </c>
      <c r="G19" s="6654">
        <v>1</v>
      </c>
      <c r="H19" s="6656">
        <v>1</v>
      </c>
      <c r="I19" s="6639">
        <v>3</v>
      </c>
      <c r="J19" s="6677">
        <v>1</v>
      </c>
      <c r="K19" s="6640">
        <v>0</v>
      </c>
      <c r="L19" s="6678">
        <v>0</v>
      </c>
    </row>
    <row r="20" spans="1:17" s="4886" customFormat="1">
      <c r="A20" s="3360" t="s">
        <v>25</v>
      </c>
      <c r="B20" s="6645">
        <v>4</v>
      </c>
      <c r="C20" s="6646">
        <v>17</v>
      </c>
      <c r="D20" s="6646">
        <v>14</v>
      </c>
      <c r="E20" s="6647">
        <v>35</v>
      </c>
      <c r="F20" s="6648">
        <v>1</v>
      </c>
      <c r="G20" s="6646">
        <v>17</v>
      </c>
      <c r="H20" s="6649">
        <v>14</v>
      </c>
      <c r="I20" s="6650">
        <v>32</v>
      </c>
      <c r="J20" s="6679">
        <v>0.91428571428571426</v>
      </c>
      <c r="K20" s="6650">
        <v>3</v>
      </c>
      <c r="L20" s="6680">
        <v>8.5714285714285743E-2</v>
      </c>
    </row>
    <row r="21" spans="1:17" s="4886" customFormat="1">
      <c r="A21" s="1815"/>
      <c r="B21" s="6657"/>
      <c r="C21" s="6657"/>
      <c r="D21" s="6657"/>
      <c r="E21" s="6657"/>
      <c r="F21" s="6657"/>
      <c r="G21" s="6657"/>
      <c r="H21" s="6657"/>
      <c r="I21" s="6657"/>
      <c r="J21" s="1815"/>
      <c r="K21" s="6657"/>
      <c r="L21" s="1815"/>
    </row>
    <row r="22" spans="1:17" s="4886" customFormat="1">
      <c r="A22" s="3461" t="s">
        <v>16</v>
      </c>
      <c r="B22" s="6634">
        <v>0</v>
      </c>
      <c r="C22" s="6635">
        <v>1</v>
      </c>
      <c r="D22" s="6635">
        <v>1</v>
      </c>
      <c r="E22" s="6636">
        <v>2</v>
      </c>
      <c r="F22" s="6637">
        <v>0</v>
      </c>
      <c r="G22" s="6635">
        <v>0</v>
      </c>
      <c r="H22" s="6638">
        <v>0</v>
      </c>
      <c r="I22" s="6639">
        <v>0</v>
      </c>
      <c r="J22" s="6675">
        <v>0</v>
      </c>
      <c r="K22" s="6640">
        <v>2</v>
      </c>
      <c r="L22" s="6676">
        <v>1</v>
      </c>
    </row>
    <row r="23" spans="1:17" s="4886" customFormat="1">
      <c r="A23" s="6658" t="s">
        <v>240</v>
      </c>
      <c r="B23" s="6645">
        <v>0</v>
      </c>
      <c r="C23" s="6646">
        <v>1</v>
      </c>
      <c r="D23" s="6646">
        <v>1</v>
      </c>
      <c r="E23" s="6647">
        <v>2</v>
      </c>
      <c r="F23" s="6648">
        <v>0</v>
      </c>
      <c r="G23" s="6646">
        <v>0</v>
      </c>
      <c r="H23" s="6649">
        <v>0</v>
      </c>
      <c r="I23" s="6650">
        <v>0</v>
      </c>
      <c r="J23" s="6679">
        <v>0</v>
      </c>
      <c r="K23" s="6650">
        <v>2</v>
      </c>
      <c r="L23" s="6680">
        <v>1</v>
      </c>
    </row>
    <row r="24" spans="1:17" s="4886" customFormat="1">
      <c r="A24" s="1815"/>
      <c r="B24" s="6657"/>
      <c r="C24" s="6657"/>
      <c r="D24" s="6657"/>
      <c r="E24" s="6657"/>
      <c r="F24" s="6657"/>
      <c r="G24" s="6657"/>
      <c r="H24" s="6657"/>
      <c r="I24" s="6657"/>
      <c r="J24" s="1815"/>
      <c r="K24" s="6657"/>
      <c r="L24" s="1815"/>
    </row>
    <row r="25" spans="1:17" s="4886" customFormat="1">
      <c r="A25" s="3461" t="s">
        <v>16</v>
      </c>
      <c r="B25" s="6634">
        <v>1</v>
      </c>
      <c r="C25" s="6635">
        <v>9</v>
      </c>
      <c r="D25" s="6635">
        <v>4</v>
      </c>
      <c r="E25" s="6636">
        <v>14</v>
      </c>
      <c r="F25" s="6637">
        <v>1</v>
      </c>
      <c r="G25" s="6635">
        <v>7</v>
      </c>
      <c r="H25" s="6638">
        <v>3</v>
      </c>
      <c r="I25" s="6639">
        <v>11</v>
      </c>
      <c r="J25" s="6675">
        <v>0.7857142857142857</v>
      </c>
      <c r="K25" s="6640">
        <v>3</v>
      </c>
      <c r="L25" s="6676">
        <v>0.2142857142857143</v>
      </c>
    </row>
    <row r="26" spans="1:17" s="4886" customFormat="1">
      <c r="A26" s="3462" t="s">
        <v>41</v>
      </c>
      <c r="B26" s="6641">
        <v>1</v>
      </c>
      <c r="C26" s="6642">
        <v>10</v>
      </c>
      <c r="D26" s="6642">
        <v>3</v>
      </c>
      <c r="E26" s="6636">
        <v>14</v>
      </c>
      <c r="F26" s="6643">
        <v>0</v>
      </c>
      <c r="G26" s="6642">
        <v>7</v>
      </c>
      <c r="H26" s="6644">
        <v>3</v>
      </c>
      <c r="I26" s="6639">
        <v>10</v>
      </c>
      <c r="J26" s="6677">
        <v>0.7142857142857143</v>
      </c>
      <c r="K26" s="6640">
        <v>4</v>
      </c>
      <c r="L26" s="6678">
        <v>0.2857142857142857</v>
      </c>
    </row>
    <row r="27" spans="1:17" s="4886" customFormat="1">
      <c r="A27" s="3462" t="s">
        <v>21</v>
      </c>
      <c r="B27" s="6641">
        <v>0</v>
      </c>
      <c r="C27" s="6642">
        <v>3</v>
      </c>
      <c r="D27" s="6642">
        <v>1</v>
      </c>
      <c r="E27" s="6636">
        <v>4</v>
      </c>
      <c r="F27" s="6643">
        <v>0</v>
      </c>
      <c r="G27" s="6642">
        <v>2</v>
      </c>
      <c r="H27" s="6644">
        <v>1</v>
      </c>
      <c r="I27" s="6639">
        <v>3</v>
      </c>
      <c r="J27" s="6677">
        <v>0.75</v>
      </c>
      <c r="K27" s="6640">
        <v>1</v>
      </c>
      <c r="L27" s="6678">
        <v>0.25</v>
      </c>
    </row>
    <row r="28" spans="1:17" s="4886" customFormat="1">
      <c r="A28" s="3363" t="s">
        <v>48</v>
      </c>
      <c r="B28" s="6645">
        <v>2</v>
      </c>
      <c r="C28" s="6646">
        <v>22</v>
      </c>
      <c r="D28" s="6646">
        <v>8</v>
      </c>
      <c r="E28" s="6647">
        <v>32</v>
      </c>
      <c r="F28" s="6648">
        <v>1</v>
      </c>
      <c r="G28" s="6646">
        <v>16</v>
      </c>
      <c r="H28" s="6649">
        <v>7</v>
      </c>
      <c r="I28" s="6650">
        <v>24</v>
      </c>
      <c r="J28" s="6679">
        <v>0.75</v>
      </c>
      <c r="K28" s="6650">
        <v>8</v>
      </c>
      <c r="L28" s="6680">
        <v>0.25</v>
      </c>
    </row>
    <row r="29" spans="1:17" s="4886" customFormat="1">
      <c r="A29" s="3465"/>
      <c r="B29" s="6659"/>
      <c r="C29" s="6659"/>
      <c r="D29" s="6659"/>
      <c r="E29" s="6659"/>
      <c r="F29" s="6659"/>
      <c r="G29" s="6659"/>
      <c r="H29" s="6659"/>
      <c r="I29" s="6659"/>
      <c r="J29" s="3465"/>
      <c r="K29" s="6659"/>
      <c r="L29" s="3465"/>
    </row>
    <row r="30" spans="1:17" s="4886" customFormat="1">
      <c r="A30" s="3461" t="s">
        <v>16</v>
      </c>
      <c r="B30" s="6634">
        <v>0</v>
      </c>
      <c r="C30" s="6635">
        <v>2</v>
      </c>
      <c r="D30" s="6635">
        <v>2</v>
      </c>
      <c r="E30" s="6636">
        <v>4</v>
      </c>
      <c r="F30" s="6637">
        <v>0</v>
      </c>
      <c r="G30" s="6635">
        <v>1</v>
      </c>
      <c r="H30" s="6638">
        <v>1</v>
      </c>
      <c r="I30" s="6639">
        <v>2</v>
      </c>
      <c r="J30" s="6675">
        <v>0.5</v>
      </c>
      <c r="K30" s="6640">
        <v>2</v>
      </c>
      <c r="L30" s="6676">
        <v>0.5</v>
      </c>
    </row>
    <row r="31" spans="1:17" s="4886" customFormat="1">
      <c r="A31" s="3462" t="s">
        <v>468</v>
      </c>
      <c r="B31" s="6641">
        <v>0</v>
      </c>
      <c r="C31" s="6642">
        <v>0</v>
      </c>
      <c r="D31" s="6642">
        <v>1</v>
      </c>
      <c r="E31" s="6636">
        <v>1</v>
      </c>
      <c r="F31" s="6643">
        <v>0</v>
      </c>
      <c r="G31" s="6642">
        <v>0</v>
      </c>
      <c r="H31" s="6644">
        <v>1</v>
      </c>
      <c r="I31" s="6639">
        <v>1</v>
      </c>
      <c r="J31" s="6677">
        <v>1</v>
      </c>
      <c r="K31" s="6640">
        <v>0</v>
      </c>
      <c r="L31" s="6678">
        <v>0</v>
      </c>
    </row>
    <row r="32" spans="1:17" s="4886" customFormat="1">
      <c r="A32" s="3466" t="s">
        <v>2338</v>
      </c>
      <c r="B32" s="6660">
        <v>0</v>
      </c>
      <c r="C32" s="6661">
        <v>2</v>
      </c>
      <c r="D32" s="6661">
        <v>3</v>
      </c>
      <c r="E32" s="6647">
        <v>5</v>
      </c>
      <c r="F32" s="6662">
        <v>0</v>
      </c>
      <c r="G32" s="6661">
        <v>1</v>
      </c>
      <c r="H32" s="6663">
        <v>2</v>
      </c>
      <c r="I32" s="6650">
        <v>3</v>
      </c>
      <c r="J32" s="6679">
        <v>0.6</v>
      </c>
      <c r="K32" s="6650">
        <v>2</v>
      </c>
      <c r="L32" s="6680">
        <v>0.4</v>
      </c>
      <c r="M32" s="5317"/>
      <c r="N32" s="5317"/>
      <c r="O32" s="5317"/>
      <c r="P32" s="5317"/>
      <c r="Q32" s="5317"/>
    </row>
    <row r="33" spans="1:17" s="4886" customFormat="1">
      <c r="A33" s="3362"/>
      <c r="B33" s="6681"/>
      <c r="C33" s="6681"/>
      <c r="D33" s="6681"/>
      <c r="E33" s="6681"/>
      <c r="F33" s="6681"/>
      <c r="G33" s="6681"/>
      <c r="H33" s="6681"/>
      <c r="I33" s="6682"/>
      <c r="J33" s="3362"/>
      <c r="K33" s="6681"/>
      <c r="L33" s="3362"/>
      <c r="M33" s="5317"/>
      <c r="N33" s="5317"/>
      <c r="O33" s="5317"/>
      <c r="P33" s="5317"/>
      <c r="Q33" s="5317"/>
    </row>
    <row r="34" spans="1:17">
      <c r="A34" s="7266" t="s">
        <v>75</v>
      </c>
      <c r="B34" s="6664">
        <v>13</v>
      </c>
      <c r="C34" s="6664">
        <v>64</v>
      </c>
      <c r="D34" s="6665">
        <v>42</v>
      </c>
      <c r="E34" s="6666">
        <v>119</v>
      </c>
      <c r="F34" s="6664">
        <v>6</v>
      </c>
      <c r="G34" s="6664">
        <v>55</v>
      </c>
      <c r="H34" s="6665">
        <v>37</v>
      </c>
      <c r="I34" s="6667">
        <v>98</v>
      </c>
      <c r="J34" s="6683">
        <v>0.82352941176470584</v>
      </c>
      <c r="K34" s="6668">
        <v>21</v>
      </c>
      <c r="L34" s="6684">
        <v>0.17647058823529416</v>
      </c>
      <c r="M34" s="5317"/>
      <c r="N34" s="5317"/>
      <c r="O34" s="5317"/>
      <c r="P34" s="5317"/>
      <c r="Q34" s="5317"/>
    </row>
    <row r="35" spans="1:17">
      <c r="A35" s="7267"/>
      <c r="B35" s="6685">
        <v>0.1092436974789916</v>
      </c>
      <c r="C35" s="6685">
        <v>0.53781512605042014</v>
      </c>
      <c r="D35" s="6686">
        <v>0.35294117647058826</v>
      </c>
      <c r="E35" s="6687">
        <v>1</v>
      </c>
      <c r="F35" s="6685">
        <v>6.1224489795918366E-2</v>
      </c>
      <c r="G35" s="6685">
        <v>0.56122448979591832</v>
      </c>
      <c r="H35" s="6686">
        <v>0.37755102040816324</v>
      </c>
      <c r="I35" s="6688">
        <v>0.99999999999999989</v>
      </c>
      <c r="J35" s="6689"/>
      <c r="K35" s="6690"/>
      <c r="L35" s="6669"/>
      <c r="M35" s="4886"/>
      <c r="N35" s="4886"/>
      <c r="O35" s="4886"/>
      <c r="P35" s="4886"/>
      <c r="Q35" s="4886"/>
    </row>
    <row r="36" spans="1:17" ht="15" customHeight="1">
      <c r="A36" s="7268" t="s">
        <v>3388</v>
      </c>
      <c r="B36" s="7268"/>
      <c r="C36" s="7268"/>
      <c r="D36" s="7268"/>
      <c r="E36" s="7268"/>
      <c r="F36" s="7268"/>
      <c r="G36" s="6672"/>
      <c r="H36" s="82"/>
      <c r="I36" s="82"/>
      <c r="J36" s="82"/>
      <c r="K36" s="3362"/>
      <c r="L36" s="5000" t="s">
        <v>3389</v>
      </c>
      <c r="M36" s="4886"/>
      <c r="N36" s="4886"/>
      <c r="O36" s="4886"/>
      <c r="P36" s="4886"/>
      <c r="Q36" s="4886"/>
    </row>
    <row r="37" spans="1:17" ht="15.6">
      <c r="A37" s="7269"/>
      <c r="B37" s="7269"/>
      <c r="C37" s="7269"/>
      <c r="D37" s="7269"/>
      <c r="E37" s="7269"/>
      <c r="F37" s="7269"/>
      <c r="G37" s="6673"/>
      <c r="H37" s="82"/>
      <c r="I37" s="82"/>
      <c r="J37" s="82"/>
      <c r="K37" s="6670"/>
      <c r="L37" s="82"/>
      <c r="M37" s="3420"/>
      <c r="N37" s="3420"/>
      <c r="O37" s="3421"/>
      <c r="P37" s="3421"/>
      <c r="Q37" s="6711"/>
    </row>
    <row r="38" spans="1:17" ht="15.6">
      <c r="A38" s="7269"/>
      <c r="B38" s="7269"/>
      <c r="C38" s="7269"/>
      <c r="D38" s="7269"/>
      <c r="E38" s="7269"/>
      <c r="F38" s="7269"/>
      <c r="G38" s="6673"/>
      <c r="H38" s="82"/>
      <c r="I38" s="82"/>
      <c r="J38" s="82"/>
      <c r="K38" s="6670"/>
      <c r="L38" s="82"/>
      <c r="M38" s="3420"/>
      <c r="N38" s="3420"/>
      <c r="O38" s="3421"/>
      <c r="P38" s="6691"/>
      <c r="Q38" s="6692" t="s">
        <v>3392</v>
      </c>
    </row>
    <row r="39" spans="1:17" ht="15" customHeight="1" thickBot="1">
      <c r="M39" s="3422" t="s">
        <v>3393</v>
      </c>
      <c r="N39" s="3422" t="s">
        <v>878</v>
      </c>
      <c r="O39" s="3422" t="s">
        <v>2560</v>
      </c>
      <c r="P39" s="3423" t="s">
        <v>3394</v>
      </c>
      <c r="Q39" s="3423" t="s">
        <v>3395</v>
      </c>
    </row>
    <row r="40" spans="1:17">
      <c r="A40" s="6555" t="s">
        <v>3391</v>
      </c>
      <c r="M40" s="7270" t="s">
        <v>2064</v>
      </c>
      <c r="N40" s="7271" t="s">
        <v>243</v>
      </c>
      <c r="O40" s="3424" t="s">
        <v>265</v>
      </c>
      <c r="P40" s="6693" t="s">
        <v>3396</v>
      </c>
      <c r="Q40" s="3430"/>
    </row>
    <row r="41" spans="1:17">
      <c r="M41" s="7255"/>
      <c r="N41" s="7261"/>
      <c r="O41" s="3426" t="s">
        <v>3397</v>
      </c>
      <c r="P41" s="6693" t="s">
        <v>3396</v>
      </c>
      <c r="Q41" s="3430"/>
    </row>
    <row r="42" spans="1:17">
      <c r="M42" s="7255"/>
      <c r="N42" s="7261"/>
      <c r="O42" s="3426" t="s">
        <v>266</v>
      </c>
      <c r="P42" s="3427" t="s">
        <v>3398</v>
      </c>
      <c r="Q42" s="3430"/>
    </row>
    <row r="43" spans="1:17">
      <c r="M43" s="7255"/>
      <c r="N43" s="7261"/>
      <c r="O43" s="6054" t="s">
        <v>3399</v>
      </c>
      <c r="P43" s="3427" t="s">
        <v>3398</v>
      </c>
      <c r="Q43" s="6694"/>
    </row>
    <row r="44" spans="1:17">
      <c r="M44" s="7255"/>
      <c r="N44" s="7261"/>
      <c r="O44" s="6054" t="s">
        <v>3400</v>
      </c>
      <c r="P44" s="6878" t="s">
        <v>3398</v>
      </c>
      <c r="Q44" s="3430"/>
    </row>
    <row r="45" spans="1:17">
      <c r="M45" s="7255"/>
      <c r="N45" s="7261"/>
      <c r="O45" s="3426" t="s">
        <v>607</v>
      </c>
      <c r="P45" s="3427" t="s">
        <v>3398</v>
      </c>
      <c r="Q45" s="3430"/>
    </row>
    <row r="46" spans="1:17">
      <c r="M46" s="7255"/>
      <c r="N46" s="7250"/>
      <c r="O46" s="3426" t="s">
        <v>606</v>
      </c>
      <c r="P46" s="6055"/>
      <c r="Q46" s="6695"/>
    </row>
    <row r="47" spans="1:17">
      <c r="M47" s="7255"/>
      <c r="N47" s="7257" t="s">
        <v>244</v>
      </c>
      <c r="O47" s="1816" t="s">
        <v>267</v>
      </c>
      <c r="P47" s="1817" t="s">
        <v>3398</v>
      </c>
      <c r="Q47" s="6696"/>
    </row>
    <row r="48" spans="1:17" ht="15" customHeight="1">
      <c r="M48" s="7255"/>
      <c r="N48" s="7258"/>
      <c r="O48" s="6056" t="s">
        <v>3401</v>
      </c>
      <c r="P48" s="6697" t="s">
        <v>3398</v>
      </c>
      <c r="Q48" s="6696"/>
    </row>
    <row r="49" spans="13:17">
      <c r="M49" s="7255"/>
      <c r="N49" s="7258"/>
      <c r="O49" s="1816" t="s">
        <v>607</v>
      </c>
      <c r="P49" s="1817" t="s">
        <v>3398</v>
      </c>
      <c r="Q49" s="6698"/>
    </row>
    <row r="50" spans="13:17">
      <c r="M50" s="7256"/>
      <c r="N50" s="7272"/>
      <c r="O50" s="1820" t="s">
        <v>606</v>
      </c>
      <c r="P50" s="6883"/>
      <c r="Q50" s="6699"/>
    </row>
    <row r="51" spans="13:17" ht="15" customHeight="1">
      <c r="M51" s="7254" t="s">
        <v>2065</v>
      </c>
      <c r="N51" s="7265" t="s">
        <v>2500</v>
      </c>
      <c r="O51" s="3426" t="s">
        <v>2366</v>
      </c>
      <c r="P51" s="6879"/>
      <c r="Q51" s="3430"/>
    </row>
    <row r="52" spans="13:17">
      <c r="M52" s="7255"/>
      <c r="N52" s="7261"/>
      <c r="O52" s="3424" t="s">
        <v>2861</v>
      </c>
      <c r="P52" s="6693" t="s">
        <v>3396</v>
      </c>
      <c r="Q52" s="3430"/>
    </row>
    <row r="53" spans="13:17">
      <c r="M53" s="7255"/>
      <c r="N53" s="7261"/>
      <c r="O53" s="3424" t="s">
        <v>2066</v>
      </c>
      <c r="P53" s="6693" t="s">
        <v>3396</v>
      </c>
      <c r="Q53" s="3430"/>
    </row>
    <row r="54" spans="13:17">
      <c r="M54" s="7255"/>
      <c r="N54" s="7250"/>
      <c r="O54" s="3426" t="s">
        <v>329</v>
      </c>
      <c r="P54" s="3427"/>
      <c r="Q54" s="6700"/>
    </row>
    <row r="55" spans="13:17">
      <c r="M55" s="7255"/>
      <c r="N55" s="7257" t="s">
        <v>243</v>
      </c>
      <c r="O55" s="1816" t="s">
        <v>2068</v>
      </c>
      <c r="P55" s="6701" t="s">
        <v>3396</v>
      </c>
      <c r="Q55" s="6696"/>
    </row>
    <row r="56" spans="13:17">
      <c r="M56" s="7255"/>
      <c r="N56" s="7258"/>
      <c r="O56" s="1816" t="s">
        <v>269</v>
      </c>
      <c r="P56" s="6701" t="s">
        <v>3396</v>
      </c>
      <c r="Q56" s="6696"/>
    </row>
    <row r="57" spans="13:17">
      <c r="M57" s="7255"/>
      <c r="N57" s="7258"/>
      <c r="O57" s="1816" t="s">
        <v>1706</v>
      </c>
      <c r="P57" s="6701" t="s">
        <v>3396</v>
      </c>
      <c r="Q57" s="6696"/>
    </row>
    <row r="58" spans="13:17">
      <c r="M58" s="7255"/>
      <c r="N58" s="7258"/>
      <c r="O58" s="1816" t="s">
        <v>270</v>
      </c>
      <c r="P58" s="6701" t="s">
        <v>3396</v>
      </c>
      <c r="Q58" s="6696"/>
    </row>
    <row r="59" spans="13:17" ht="28.8">
      <c r="M59" s="7255"/>
      <c r="N59" s="7258"/>
      <c r="O59" s="1816" t="s">
        <v>2737</v>
      </c>
      <c r="P59" s="6702" t="s">
        <v>3398</v>
      </c>
      <c r="Q59" s="1819" t="s">
        <v>2067</v>
      </c>
    </row>
    <row r="60" spans="13:17">
      <c r="M60" s="7255"/>
      <c r="N60" s="7258"/>
      <c r="O60" s="1816" t="s">
        <v>2748</v>
      </c>
      <c r="P60" s="1817" t="s">
        <v>3398</v>
      </c>
      <c r="Q60" s="6696"/>
    </row>
    <row r="61" spans="13:17">
      <c r="M61" s="7255"/>
      <c r="N61" s="7258"/>
      <c r="O61" s="1816" t="s">
        <v>118</v>
      </c>
      <c r="P61" s="1817" t="s">
        <v>3398</v>
      </c>
      <c r="Q61" s="6696"/>
    </row>
    <row r="62" spans="13:17" ht="28.8">
      <c r="M62" s="7255"/>
      <c r="N62" s="7259"/>
      <c r="O62" s="6057" t="s">
        <v>2058</v>
      </c>
      <c r="P62" s="1817"/>
      <c r="Q62" s="1819" t="s">
        <v>2067</v>
      </c>
    </row>
    <row r="63" spans="13:17">
      <c r="M63" s="7255"/>
      <c r="N63" s="7260" t="s">
        <v>244</v>
      </c>
      <c r="O63" s="3424" t="s">
        <v>2891</v>
      </c>
      <c r="P63" s="6693" t="s">
        <v>3396</v>
      </c>
      <c r="Q63" s="3430"/>
    </row>
    <row r="64" spans="13:17" ht="28.8">
      <c r="M64" s="7255"/>
      <c r="N64" s="7261"/>
      <c r="O64" s="3426" t="s">
        <v>2737</v>
      </c>
      <c r="P64" s="6703" t="s">
        <v>3398</v>
      </c>
      <c r="Q64" s="3429" t="s">
        <v>2067</v>
      </c>
    </row>
    <row r="65" spans="13:17" ht="30" customHeight="1">
      <c r="M65" s="7255"/>
      <c r="N65" s="7261"/>
      <c r="O65" s="3426" t="s">
        <v>2748</v>
      </c>
      <c r="P65" s="3427" t="s">
        <v>3398</v>
      </c>
      <c r="Q65" s="6704"/>
    </row>
    <row r="66" spans="13:17">
      <c r="M66" s="7255"/>
      <c r="N66" s="7261"/>
      <c r="O66" s="3437" t="s">
        <v>118</v>
      </c>
      <c r="P66" s="3427" t="s">
        <v>3398</v>
      </c>
      <c r="Q66" s="6704"/>
    </row>
    <row r="67" spans="13:17" ht="28.8">
      <c r="M67" s="7256"/>
      <c r="N67" s="7262"/>
      <c r="O67" s="3433" t="s">
        <v>2058</v>
      </c>
      <c r="P67" s="3434"/>
      <c r="Q67" s="3435" t="s">
        <v>2067</v>
      </c>
    </row>
    <row r="68" spans="13:17" ht="15" customHeight="1">
      <c r="M68" s="7254" t="s">
        <v>2069</v>
      </c>
      <c r="N68" s="7265" t="s">
        <v>2500</v>
      </c>
      <c r="O68" s="6058" t="s">
        <v>2059</v>
      </c>
      <c r="P68" s="6693" t="s">
        <v>3396</v>
      </c>
      <c r="Q68" s="3430"/>
    </row>
    <row r="69" spans="13:17" ht="28.8">
      <c r="M69" s="7255"/>
      <c r="N69" s="7250"/>
      <c r="O69" s="3436" t="s">
        <v>1454</v>
      </c>
      <c r="P69" s="6693" t="s">
        <v>3396</v>
      </c>
      <c r="Q69" s="6705"/>
    </row>
    <row r="70" spans="13:17">
      <c r="M70" s="7255"/>
      <c r="N70" s="7257" t="s">
        <v>243</v>
      </c>
      <c r="O70" s="1822" t="s">
        <v>1455</v>
      </c>
      <c r="P70" s="6701" t="s">
        <v>3396</v>
      </c>
      <c r="Q70" s="6698"/>
    </row>
    <row r="71" spans="13:17" ht="28.8">
      <c r="M71" s="7255"/>
      <c r="N71" s="7258"/>
      <c r="O71" s="1822" t="s">
        <v>1527</v>
      </c>
      <c r="P71" s="6701" t="s">
        <v>3396</v>
      </c>
      <c r="Q71" s="6698"/>
    </row>
    <row r="72" spans="13:17">
      <c r="M72" s="7255"/>
      <c r="N72" s="7258"/>
      <c r="O72" s="1822" t="s">
        <v>1456</v>
      </c>
      <c r="P72" s="1817" t="s">
        <v>3398</v>
      </c>
      <c r="Q72" s="6698"/>
    </row>
    <row r="73" spans="13:17">
      <c r="M73" s="7255"/>
      <c r="N73" s="7258"/>
      <c r="O73" s="1822" t="s">
        <v>1457</v>
      </c>
      <c r="P73" s="1817" t="s">
        <v>3398</v>
      </c>
      <c r="Q73" s="6698"/>
    </row>
    <row r="74" spans="13:17">
      <c r="M74" s="7255"/>
      <c r="N74" s="7258"/>
      <c r="O74" s="1822" t="s">
        <v>1458</v>
      </c>
      <c r="P74" s="6701" t="s">
        <v>3396</v>
      </c>
      <c r="Q74" s="6698"/>
    </row>
    <row r="75" spans="13:17" ht="28.8">
      <c r="M75" s="7255"/>
      <c r="N75" s="7258"/>
      <c r="O75" s="1822" t="s">
        <v>1454</v>
      </c>
      <c r="P75" s="6701" t="s">
        <v>3396</v>
      </c>
      <c r="Q75" s="6698"/>
    </row>
    <row r="76" spans="13:17">
      <c r="M76" s="7255"/>
      <c r="N76" s="7259"/>
      <c r="O76" s="1822" t="s">
        <v>3402</v>
      </c>
      <c r="P76" s="6881"/>
      <c r="Q76" s="6706" t="s">
        <v>3403</v>
      </c>
    </row>
    <row r="77" spans="13:17">
      <c r="M77" s="7255"/>
      <c r="N77" s="7260" t="s">
        <v>244</v>
      </c>
      <c r="O77" s="3437" t="s">
        <v>1455</v>
      </c>
      <c r="P77" s="6693" t="s">
        <v>3396</v>
      </c>
      <c r="Q77" s="3430"/>
    </row>
    <row r="78" spans="13:17" ht="28.8">
      <c r="M78" s="7255"/>
      <c r="N78" s="7261"/>
      <c r="O78" s="3437" t="s">
        <v>1527</v>
      </c>
      <c r="P78" s="6693" t="s">
        <v>3396</v>
      </c>
      <c r="Q78" s="3430"/>
    </row>
    <row r="79" spans="13:17">
      <c r="M79" s="7255"/>
      <c r="N79" s="7261"/>
      <c r="O79" s="3437" t="s">
        <v>1456</v>
      </c>
      <c r="P79" s="3427" t="s">
        <v>3398</v>
      </c>
      <c r="Q79" s="3430"/>
    </row>
    <row r="80" spans="13:17" s="5317" customFormat="1">
      <c r="M80" s="7255"/>
      <c r="N80" s="7261"/>
      <c r="O80" s="3437" t="s">
        <v>1457</v>
      </c>
      <c r="P80" s="3427" t="s">
        <v>3398</v>
      </c>
      <c r="Q80" s="3430"/>
    </row>
    <row r="81" spans="13:17">
      <c r="M81" s="7255"/>
      <c r="N81" s="7261"/>
      <c r="O81" s="3437" t="s">
        <v>1458</v>
      </c>
      <c r="P81" s="6693" t="s">
        <v>3396</v>
      </c>
      <c r="Q81" s="3430"/>
    </row>
    <row r="82" spans="13:17" ht="28.8">
      <c r="M82" s="7255"/>
      <c r="N82" s="7261"/>
      <c r="O82" s="6707" t="s">
        <v>1454</v>
      </c>
      <c r="P82" s="6693" t="s">
        <v>3396</v>
      </c>
      <c r="Q82" s="6708"/>
    </row>
    <row r="83" spans="13:17" ht="15" customHeight="1">
      <c r="M83" s="7256"/>
      <c r="N83" s="7262"/>
      <c r="O83" s="6059" t="s">
        <v>3402</v>
      </c>
      <c r="P83" s="6882"/>
      <c r="Q83" s="6709" t="s">
        <v>3403</v>
      </c>
    </row>
    <row r="84" spans="13:17">
      <c r="M84" s="6710"/>
      <c r="N84" s="3420"/>
      <c r="O84" s="3420"/>
      <c r="P84" s="3420"/>
      <c r="Q84" s="5000" t="s">
        <v>3387</v>
      </c>
    </row>
    <row r="85" spans="13:17" s="5317" customFormat="1">
      <c r="M85" s="6710"/>
      <c r="N85" s="3420"/>
      <c r="O85" s="3420"/>
      <c r="P85" s="3420"/>
      <c r="Q85" s="5000"/>
    </row>
    <row r="86" spans="13:17" s="5317" customFormat="1">
      <c r="M86" s="6710"/>
      <c r="N86" s="3420"/>
      <c r="O86" s="3420"/>
      <c r="P86" s="3420"/>
      <c r="Q86" s="5000"/>
    </row>
    <row r="87" spans="13:17" s="5317" customFormat="1" ht="15.6">
      <c r="M87" s="3439"/>
      <c r="N87" s="3439"/>
      <c r="O87" s="3440"/>
      <c r="P87" s="6712"/>
      <c r="Q87" s="6713" t="s">
        <v>3404</v>
      </c>
    </row>
    <row r="88" spans="13:17" ht="15" thickBot="1">
      <c r="M88" s="3441" t="s">
        <v>1</v>
      </c>
      <c r="N88" s="3441" t="s">
        <v>878</v>
      </c>
      <c r="O88" s="3442" t="s">
        <v>2560</v>
      </c>
      <c r="P88" s="3443" t="s">
        <v>3394</v>
      </c>
      <c r="Q88" s="3443" t="s">
        <v>3395</v>
      </c>
    </row>
    <row r="89" spans="13:17" ht="15" customHeight="1">
      <c r="M89" s="7256" t="s">
        <v>2065</v>
      </c>
      <c r="N89" s="3444" t="s">
        <v>243</v>
      </c>
      <c r="O89" s="3424" t="s">
        <v>608</v>
      </c>
      <c r="P89" s="3427" t="s">
        <v>3398</v>
      </c>
      <c r="Q89" s="6714"/>
    </row>
    <row r="90" spans="13:17">
      <c r="M90" s="7275"/>
      <c r="N90" s="6579" t="s">
        <v>244</v>
      </c>
      <c r="O90" s="1820" t="s">
        <v>608</v>
      </c>
      <c r="P90" s="1821" t="s">
        <v>3398</v>
      </c>
      <c r="Q90" s="6715"/>
    </row>
    <row r="91" spans="13:17" ht="43.2">
      <c r="M91" s="6573" t="s">
        <v>2070</v>
      </c>
      <c r="N91" s="3954" t="s">
        <v>243</v>
      </c>
      <c r="O91" s="3955" t="s">
        <v>383</v>
      </c>
      <c r="P91" s="6693" t="s">
        <v>3396</v>
      </c>
      <c r="Q91" s="6716"/>
    </row>
    <row r="92" spans="13:17" ht="15" customHeight="1">
      <c r="M92" s="7275" t="s">
        <v>2071</v>
      </c>
      <c r="N92" s="5930" t="s">
        <v>2500</v>
      </c>
      <c r="O92" s="3445" t="s">
        <v>2072</v>
      </c>
      <c r="P92" s="3446"/>
      <c r="Q92" s="3447"/>
    </row>
    <row r="93" spans="13:17">
      <c r="M93" s="7275"/>
      <c r="N93" s="6578" t="s">
        <v>243</v>
      </c>
      <c r="O93" s="1816" t="s">
        <v>2073</v>
      </c>
      <c r="P93" s="1817" t="s">
        <v>3398</v>
      </c>
      <c r="Q93" s="6717"/>
    </row>
    <row r="94" spans="13:17" ht="43.2">
      <c r="M94" s="7275"/>
      <c r="N94" s="7251" t="s">
        <v>244</v>
      </c>
      <c r="O94" s="3426" t="s">
        <v>381</v>
      </c>
      <c r="P94" s="6718" t="s">
        <v>3398</v>
      </c>
      <c r="Q94" s="3429" t="s">
        <v>2339</v>
      </c>
    </row>
    <row r="95" spans="13:17">
      <c r="M95" s="7275"/>
      <c r="N95" s="7276"/>
      <c r="O95" s="3433" t="s">
        <v>2074</v>
      </c>
      <c r="P95" s="3434" t="s">
        <v>3398</v>
      </c>
      <c r="Q95" s="6719"/>
    </row>
    <row r="96" spans="13:17">
      <c r="M96" s="3438"/>
      <c r="N96" s="3438"/>
      <c r="O96" s="1613"/>
      <c r="P96" s="5001"/>
      <c r="Q96" s="5000" t="s">
        <v>3387</v>
      </c>
    </row>
    <row r="98" spans="13:17" ht="15" customHeight="1"/>
    <row r="99" spans="13:17" ht="15.6">
      <c r="M99" s="3448"/>
      <c r="N99" s="3448"/>
      <c r="O99" s="3448"/>
      <c r="P99" s="6720"/>
      <c r="Q99" s="6721" t="s">
        <v>3405</v>
      </c>
    </row>
    <row r="100" spans="13:17" ht="15" thickBot="1">
      <c r="M100" s="3449" t="s">
        <v>1</v>
      </c>
      <c r="N100" s="3449" t="s">
        <v>878</v>
      </c>
      <c r="O100" s="3449" t="s">
        <v>2560</v>
      </c>
      <c r="P100" s="3450" t="s">
        <v>3394</v>
      </c>
      <c r="Q100" s="3450" t="s">
        <v>3395</v>
      </c>
    </row>
    <row r="101" spans="13:17" ht="15" customHeight="1">
      <c r="M101" s="7277" t="s">
        <v>2064</v>
      </c>
      <c r="N101" s="6571" t="s">
        <v>2500</v>
      </c>
      <c r="O101" s="3424" t="s">
        <v>1617</v>
      </c>
      <c r="P101" s="6722" t="s">
        <v>3396</v>
      </c>
      <c r="Q101" s="3451" t="s">
        <v>2075</v>
      </c>
    </row>
    <row r="102" spans="13:17">
      <c r="M102" s="7255"/>
      <c r="N102" s="7257" t="s">
        <v>243</v>
      </c>
      <c r="O102" s="1816" t="s">
        <v>388</v>
      </c>
      <c r="P102" s="1817" t="s">
        <v>3398</v>
      </c>
      <c r="Q102" s="6723"/>
    </row>
    <row r="103" spans="13:17">
      <c r="M103" s="7255"/>
      <c r="N103" s="7258"/>
      <c r="O103" s="1816" t="s">
        <v>681</v>
      </c>
      <c r="P103" s="6724" t="s">
        <v>3398</v>
      </c>
      <c r="Q103" s="1824" t="s">
        <v>2075</v>
      </c>
    </row>
    <row r="104" spans="13:17">
      <c r="M104" s="7255"/>
      <c r="N104" s="7258"/>
      <c r="O104" s="1816" t="s">
        <v>119</v>
      </c>
      <c r="P104" s="1817" t="s">
        <v>3398</v>
      </c>
      <c r="Q104" s="6723"/>
    </row>
    <row r="105" spans="13:17">
      <c r="M105" s="7255"/>
      <c r="N105" s="7258"/>
      <c r="O105" s="1816" t="s">
        <v>123</v>
      </c>
      <c r="P105" s="1817" t="s">
        <v>3398</v>
      </c>
      <c r="Q105" s="6723"/>
    </row>
    <row r="106" spans="13:17">
      <c r="M106" s="7255"/>
      <c r="N106" s="7258"/>
      <c r="O106" s="1816" t="s">
        <v>122</v>
      </c>
      <c r="P106" s="1817" t="s">
        <v>3398</v>
      </c>
      <c r="Q106" s="6723"/>
    </row>
    <row r="107" spans="13:17">
      <c r="M107" s="7255"/>
      <c r="N107" s="7258"/>
      <c r="O107" s="1816" t="s">
        <v>120</v>
      </c>
      <c r="P107" s="1817" t="s">
        <v>3398</v>
      </c>
      <c r="Q107" s="6723"/>
    </row>
    <row r="108" spans="13:17">
      <c r="M108" s="7255"/>
      <c r="N108" s="7258"/>
      <c r="O108" s="1816" t="s">
        <v>3406</v>
      </c>
      <c r="P108" s="1817" t="s">
        <v>3396</v>
      </c>
      <c r="Q108" s="6723"/>
    </row>
    <row r="109" spans="13:17">
      <c r="M109" s="7255"/>
      <c r="N109" s="7259"/>
      <c r="O109" s="1816" t="s">
        <v>121</v>
      </c>
      <c r="P109" s="1817" t="s">
        <v>3398</v>
      </c>
      <c r="Q109" s="6723"/>
    </row>
    <row r="110" spans="13:17">
      <c r="M110" s="7255"/>
      <c r="N110" s="7260" t="s">
        <v>244</v>
      </c>
      <c r="O110" s="3426" t="s">
        <v>388</v>
      </c>
      <c r="P110" s="3427" t="s">
        <v>3398</v>
      </c>
      <c r="Q110" s="6725"/>
    </row>
    <row r="111" spans="13:17">
      <c r="M111" s="7255"/>
      <c r="N111" s="7261"/>
      <c r="O111" s="3426" t="s">
        <v>681</v>
      </c>
      <c r="P111" s="3431" t="s">
        <v>3398</v>
      </c>
      <c r="Q111" s="6726" t="s">
        <v>2075</v>
      </c>
    </row>
    <row r="112" spans="13:17">
      <c r="M112" s="7255"/>
      <c r="N112" s="7261"/>
      <c r="O112" s="3426" t="s">
        <v>119</v>
      </c>
      <c r="P112" s="3427" t="s">
        <v>3398</v>
      </c>
      <c r="Q112" s="6725"/>
    </row>
    <row r="113" spans="13:17">
      <c r="M113" s="7255"/>
      <c r="N113" s="7261"/>
      <c r="O113" s="3426" t="s">
        <v>123</v>
      </c>
      <c r="P113" s="3427" t="s">
        <v>3398</v>
      </c>
      <c r="Q113" s="6725"/>
    </row>
    <row r="114" spans="13:17" ht="15" customHeight="1">
      <c r="M114" s="7255"/>
      <c r="N114" s="7261"/>
      <c r="O114" s="3426" t="s">
        <v>122</v>
      </c>
      <c r="P114" s="3427" t="s">
        <v>3398</v>
      </c>
      <c r="Q114" s="6725"/>
    </row>
    <row r="115" spans="13:17">
      <c r="M115" s="7255"/>
      <c r="N115" s="7261"/>
      <c r="O115" s="3426" t="s">
        <v>120</v>
      </c>
      <c r="P115" s="6727" t="s">
        <v>3398</v>
      </c>
      <c r="Q115" s="3454"/>
    </row>
    <row r="116" spans="13:17">
      <c r="M116" s="7256"/>
      <c r="N116" s="7262"/>
      <c r="O116" s="3433" t="s">
        <v>121</v>
      </c>
      <c r="P116" s="3434" t="s">
        <v>3398</v>
      </c>
      <c r="Q116" s="6728"/>
    </row>
    <row r="117" spans="13:17" ht="15" customHeight="1">
      <c r="M117" s="7254" t="s">
        <v>2065</v>
      </c>
      <c r="N117" s="6571" t="s">
        <v>2500</v>
      </c>
      <c r="O117" s="3424" t="s">
        <v>274</v>
      </c>
      <c r="P117" s="3424"/>
      <c r="Q117" s="3425"/>
    </row>
    <row r="118" spans="13:17">
      <c r="M118" s="7255"/>
      <c r="N118" s="7257" t="s">
        <v>243</v>
      </c>
      <c r="O118" s="1816" t="s">
        <v>276</v>
      </c>
      <c r="P118" s="1817" t="s">
        <v>3398</v>
      </c>
      <c r="Q118" s="6729"/>
    </row>
    <row r="119" spans="13:17" ht="28.8">
      <c r="M119" s="7255"/>
      <c r="N119" s="7258"/>
      <c r="O119" s="1816" t="s">
        <v>268</v>
      </c>
      <c r="P119" s="6724" t="s">
        <v>3398</v>
      </c>
      <c r="Q119" s="1819" t="s">
        <v>2067</v>
      </c>
    </row>
    <row r="120" spans="13:17">
      <c r="M120" s="7255"/>
      <c r="N120" s="7258"/>
      <c r="O120" s="1816" t="s">
        <v>277</v>
      </c>
      <c r="P120" s="1817" t="s">
        <v>3398</v>
      </c>
      <c r="Q120" s="6729"/>
    </row>
    <row r="121" spans="13:17">
      <c r="M121" s="7255"/>
      <c r="N121" s="7258"/>
      <c r="O121" s="1816" t="s">
        <v>278</v>
      </c>
      <c r="P121" s="1817" t="s">
        <v>3398</v>
      </c>
      <c r="Q121" s="6729"/>
    </row>
    <row r="122" spans="13:17">
      <c r="M122" s="7255"/>
      <c r="N122" s="7258"/>
      <c r="O122" s="1816" t="s">
        <v>275</v>
      </c>
      <c r="P122" s="1817" t="s">
        <v>3398</v>
      </c>
      <c r="Q122" s="6729"/>
    </row>
    <row r="123" spans="13:17">
      <c r="M123" s="7255"/>
      <c r="N123" s="7258"/>
      <c r="O123" s="1816" t="s">
        <v>2340</v>
      </c>
      <c r="P123" s="1817" t="s">
        <v>3396</v>
      </c>
      <c r="Q123" s="6729"/>
    </row>
    <row r="124" spans="13:17" ht="28.8">
      <c r="M124" s="7255"/>
      <c r="N124" s="7259"/>
      <c r="O124" s="1816" t="s">
        <v>2058</v>
      </c>
      <c r="P124" s="6578"/>
      <c r="Q124" s="1819" t="s">
        <v>2067</v>
      </c>
    </row>
    <row r="125" spans="13:17">
      <c r="M125" s="7255"/>
      <c r="N125" s="7260" t="s">
        <v>244</v>
      </c>
      <c r="O125" s="3426" t="s">
        <v>280</v>
      </c>
      <c r="P125" s="3427" t="s">
        <v>3398</v>
      </c>
      <c r="Q125" s="6725"/>
    </row>
    <row r="126" spans="13:17" ht="28.8">
      <c r="M126" s="7255"/>
      <c r="N126" s="7261"/>
      <c r="O126" s="3426" t="s">
        <v>272</v>
      </c>
      <c r="P126" s="6727" t="s">
        <v>3398</v>
      </c>
      <c r="Q126" s="3429" t="s">
        <v>2067</v>
      </c>
    </row>
    <row r="127" spans="13:17">
      <c r="M127" s="7255"/>
      <c r="N127" s="7261"/>
      <c r="O127" s="3426" t="s">
        <v>281</v>
      </c>
      <c r="P127" s="3427" t="s">
        <v>3398</v>
      </c>
      <c r="Q127" s="6725"/>
    </row>
    <row r="128" spans="13:17">
      <c r="M128" s="7255"/>
      <c r="N128" s="7261"/>
      <c r="O128" s="3424" t="s">
        <v>282</v>
      </c>
      <c r="P128" s="3427" t="s">
        <v>3398</v>
      </c>
      <c r="Q128" s="6725"/>
    </row>
    <row r="129" spans="13:17" ht="15" customHeight="1">
      <c r="M129" s="7255"/>
      <c r="N129" s="7261"/>
      <c r="O129" s="3426" t="s">
        <v>279</v>
      </c>
      <c r="P129" s="3427" t="s">
        <v>3398</v>
      </c>
      <c r="Q129" s="6725"/>
    </row>
    <row r="130" spans="13:17">
      <c r="M130" s="7255"/>
      <c r="N130" s="7261"/>
      <c r="O130" s="3426" t="s">
        <v>2340</v>
      </c>
      <c r="P130" s="3427" t="s">
        <v>3396</v>
      </c>
      <c r="Q130" s="6725"/>
    </row>
    <row r="131" spans="13:17" ht="28.8">
      <c r="M131" s="7256"/>
      <c r="N131" s="7250"/>
      <c r="O131" s="3433" t="s">
        <v>2058</v>
      </c>
      <c r="P131" s="6575"/>
      <c r="Q131" s="3435" t="s">
        <v>2067</v>
      </c>
    </row>
    <row r="132" spans="13:17" ht="15" customHeight="1">
      <c r="M132" s="7254" t="s">
        <v>2078</v>
      </c>
      <c r="N132" s="7265" t="s">
        <v>2500</v>
      </c>
      <c r="O132" s="3426" t="s">
        <v>284</v>
      </c>
      <c r="P132" s="3427"/>
      <c r="Q132" s="3428"/>
    </row>
    <row r="133" spans="13:17">
      <c r="M133" s="7255"/>
      <c r="N133" s="7261"/>
      <c r="O133" s="3424" t="s">
        <v>283</v>
      </c>
      <c r="P133" s="3424"/>
      <c r="Q133" s="3425"/>
    </row>
    <row r="134" spans="13:17">
      <c r="M134" s="7255"/>
      <c r="N134" s="7250"/>
      <c r="O134" s="3426" t="s">
        <v>1617</v>
      </c>
      <c r="P134" s="6727" t="s">
        <v>3396</v>
      </c>
      <c r="Q134" s="3454" t="s">
        <v>2079</v>
      </c>
    </row>
    <row r="135" spans="13:17">
      <c r="M135" s="7255"/>
      <c r="N135" s="7257" t="s">
        <v>243</v>
      </c>
      <c r="O135" s="1816" t="s">
        <v>286</v>
      </c>
      <c r="P135" s="1817" t="s">
        <v>3396</v>
      </c>
      <c r="Q135" s="6723"/>
    </row>
    <row r="136" spans="13:17">
      <c r="M136" s="7255"/>
      <c r="N136" s="7258"/>
      <c r="O136" s="1816" t="s">
        <v>440</v>
      </c>
      <c r="P136" s="1817" t="s">
        <v>3396</v>
      </c>
      <c r="Q136" s="6723"/>
    </row>
    <row r="137" spans="13:17">
      <c r="M137" s="7255"/>
      <c r="N137" s="7258"/>
      <c r="O137" s="1816" t="s">
        <v>129</v>
      </c>
      <c r="P137" s="1817" t="s">
        <v>3398</v>
      </c>
      <c r="Q137" s="6723"/>
    </row>
    <row r="138" spans="13:17">
      <c r="M138" s="7255"/>
      <c r="N138" s="7258"/>
      <c r="O138" s="1816" t="s">
        <v>128</v>
      </c>
      <c r="P138" s="1817" t="s">
        <v>3398</v>
      </c>
      <c r="Q138" s="6723"/>
    </row>
    <row r="139" spans="13:17">
      <c r="M139" s="7255"/>
      <c r="N139" s="7259"/>
      <c r="O139" s="1816" t="s">
        <v>2076</v>
      </c>
      <c r="P139" s="6724" t="s">
        <v>3398</v>
      </c>
      <c r="Q139" s="1825" t="s">
        <v>2079</v>
      </c>
    </row>
    <row r="140" spans="13:17" ht="43.2">
      <c r="M140" s="7255"/>
      <c r="N140" s="7260" t="s">
        <v>244</v>
      </c>
      <c r="O140" s="3426" t="s">
        <v>381</v>
      </c>
      <c r="P140" s="6727" t="s">
        <v>3398</v>
      </c>
      <c r="Q140" s="3429" t="s">
        <v>2341</v>
      </c>
    </row>
    <row r="141" spans="13:17">
      <c r="M141" s="7255"/>
      <c r="N141" s="7261"/>
      <c r="O141" s="3426" t="s">
        <v>2077</v>
      </c>
      <c r="P141" s="6727" t="s">
        <v>3398</v>
      </c>
      <c r="Q141" s="3454" t="s">
        <v>2079</v>
      </c>
    </row>
    <row r="142" spans="13:17">
      <c r="M142" s="7255"/>
      <c r="N142" s="7261"/>
      <c r="O142" s="3426" t="s">
        <v>129</v>
      </c>
      <c r="P142" s="3427" t="s">
        <v>3398</v>
      </c>
      <c r="Q142" s="6725"/>
    </row>
    <row r="143" spans="13:17">
      <c r="M143" s="7256"/>
      <c r="N143" s="7262"/>
      <c r="O143" s="3433" t="s">
        <v>128</v>
      </c>
      <c r="P143" s="3434" t="s">
        <v>3398</v>
      </c>
      <c r="Q143" s="6728"/>
    </row>
    <row r="144" spans="13:17">
      <c r="M144" s="7254" t="s">
        <v>2337</v>
      </c>
      <c r="N144" s="5931" t="s">
        <v>2500</v>
      </c>
      <c r="O144" s="3445" t="s">
        <v>1617</v>
      </c>
      <c r="P144" s="3446" t="s">
        <v>3396</v>
      </c>
      <c r="Q144" s="6726"/>
    </row>
    <row r="145" spans="13:17">
      <c r="M145" s="7255"/>
      <c r="N145" s="6578" t="s">
        <v>243</v>
      </c>
      <c r="O145" s="1823" t="s">
        <v>681</v>
      </c>
      <c r="P145" s="1817" t="s">
        <v>3398</v>
      </c>
      <c r="Q145" s="6723"/>
    </row>
    <row r="146" spans="13:17">
      <c r="M146" s="7256"/>
      <c r="N146" s="6575" t="s">
        <v>244</v>
      </c>
      <c r="O146" s="3453" t="s">
        <v>681</v>
      </c>
      <c r="P146" s="3434" t="s">
        <v>3398</v>
      </c>
      <c r="Q146" s="6728"/>
    </row>
    <row r="147" spans="13:17">
      <c r="M147" s="3420"/>
      <c r="N147" s="3420"/>
      <c r="O147" s="1613"/>
      <c r="P147" s="5001"/>
      <c r="Q147" s="5000" t="s">
        <v>3387</v>
      </c>
    </row>
    <row r="150" spans="13:17" ht="30" customHeight="1">
      <c r="M150" s="3439"/>
      <c r="N150" s="3439"/>
      <c r="O150" s="3440"/>
      <c r="P150" s="6712"/>
      <c r="Q150" s="6730" t="s">
        <v>3407</v>
      </c>
    </row>
    <row r="151" spans="13:17" ht="15" thickBot="1">
      <c r="M151" s="5002" t="s">
        <v>1</v>
      </c>
      <c r="N151" s="5002" t="s">
        <v>878</v>
      </c>
      <c r="O151" s="5003" t="s">
        <v>2560</v>
      </c>
      <c r="P151" s="5004" t="s">
        <v>3394</v>
      </c>
      <c r="Q151" s="5004" t="s">
        <v>3395</v>
      </c>
    </row>
    <row r="152" spans="13:17" ht="47.25" customHeight="1">
      <c r="M152" s="6572" t="s">
        <v>2064</v>
      </c>
      <c r="N152" s="5005"/>
      <c r="O152" s="5006"/>
      <c r="P152" s="5007"/>
      <c r="Q152" s="5008"/>
    </row>
    <row r="153" spans="13:17" ht="30" customHeight="1">
      <c r="M153" s="7254" t="s">
        <v>2065</v>
      </c>
      <c r="N153" s="6885" t="s">
        <v>243</v>
      </c>
      <c r="O153" s="1828" t="s">
        <v>3106</v>
      </c>
      <c r="P153" s="1829"/>
      <c r="Q153" s="6731" t="s">
        <v>3408</v>
      </c>
    </row>
    <row r="154" spans="13:17">
      <c r="M154" s="7256"/>
      <c r="N154" s="6575" t="s">
        <v>244</v>
      </c>
      <c r="O154" s="3433" t="s">
        <v>291</v>
      </c>
      <c r="P154" s="3434"/>
      <c r="Q154" s="6884" t="s">
        <v>3408</v>
      </c>
    </row>
    <row r="155" spans="13:17" ht="43.2">
      <c r="M155" s="6572" t="s">
        <v>2078</v>
      </c>
      <c r="N155" s="6576" t="s">
        <v>244</v>
      </c>
      <c r="O155" s="6732" t="s">
        <v>381</v>
      </c>
      <c r="P155" s="6733" t="s">
        <v>3398</v>
      </c>
      <c r="Q155" s="6734" t="s">
        <v>2341</v>
      </c>
    </row>
    <row r="156" spans="13:17">
      <c r="M156" s="3438"/>
      <c r="N156" s="3438"/>
      <c r="O156" s="1613"/>
      <c r="P156" s="5001"/>
      <c r="Q156" s="5000" t="s">
        <v>3387</v>
      </c>
    </row>
    <row r="158" spans="13:17" ht="15" customHeight="1"/>
    <row r="159" spans="13:17" ht="15.6">
      <c r="M159" s="3420"/>
      <c r="N159" s="3420"/>
      <c r="O159" s="3440"/>
      <c r="P159" s="6712"/>
      <c r="Q159" s="6735" t="s">
        <v>3409</v>
      </c>
    </row>
    <row r="160" spans="13:17" ht="15" thickBot="1">
      <c r="M160" s="3455" t="s">
        <v>1</v>
      </c>
      <c r="N160" s="3455" t="s">
        <v>878</v>
      </c>
      <c r="O160" s="3455" t="s">
        <v>2560</v>
      </c>
      <c r="P160" s="3456" t="s">
        <v>3394</v>
      </c>
      <c r="Q160" s="3455" t="s">
        <v>3395</v>
      </c>
    </row>
    <row r="161" spans="13:17" ht="15" customHeight="1">
      <c r="M161" s="7264" t="s">
        <v>2065</v>
      </c>
      <c r="N161" s="6571" t="s">
        <v>2500</v>
      </c>
      <c r="O161" s="3424" t="s">
        <v>2738</v>
      </c>
      <c r="P161" s="3431" t="s">
        <v>3398</v>
      </c>
      <c r="Q161" s="3457"/>
    </row>
    <row r="162" spans="13:17">
      <c r="M162" s="7255"/>
      <c r="N162" s="7257" t="s">
        <v>243</v>
      </c>
      <c r="O162" s="1816" t="s">
        <v>2738</v>
      </c>
      <c r="P162" s="1817" t="s">
        <v>3398</v>
      </c>
      <c r="Q162" s="1826"/>
    </row>
    <row r="163" spans="13:17">
      <c r="M163" s="7255"/>
      <c r="N163" s="7258"/>
      <c r="O163" s="1816" t="s">
        <v>2081</v>
      </c>
      <c r="P163" s="1817" t="s">
        <v>3396</v>
      </c>
      <c r="Q163" s="1826"/>
    </row>
    <row r="164" spans="13:17">
      <c r="M164" s="7255"/>
      <c r="N164" s="7258"/>
      <c r="O164" s="1816" t="s">
        <v>382</v>
      </c>
      <c r="P164" s="6877"/>
      <c r="Q164" s="1826"/>
    </row>
    <row r="165" spans="13:17">
      <c r="M165" s="7255"/>
      <c r="N165" s="7258"/>
      <c r="O165" s="1816" t="s">
        <v>2060</v>
      </c>
      <c r="P165" s="1817" t="s">
        <v>3396</v>
      </c>
      <c r="Q165" s="1826"/>
    </row>
    <row r="166" spans="13:17">
      <c r="M166" s="7255"/>
      <c r="N166" s="7258"/>
      <c r="O166" s="1816" t="s">
        <v>290</v>
      </c>
      <c r="P166" s="1817" t="s">
        <v>3398</v>
      </c>
      <c r="Q166" s="1826"/>
    </row>
    <row r="167" spans="13:17">
      <c r="M167" s="7255"/>
      <c r="N167" s="7258"/>
      <c r="O167" s="1816" t="s">
        <v>289</v>
      </c>
      <c r="P167" s="1817" t="s">
        <v>3396</v>
      </c>
      <c r="Q167" s="1826"/>
    </row>
    <row r="168" spans="13:17">
      <c r="M168" s="7255"/>
      <c r="N168" s="7258"/>
      <c r="O168" s="1816" t="s">
        <v>288</v>
      </c>
      <c r="P168" s="1817" t="s">
        <v>3396</v>
      </c>
      <c r="Q168" s="1826"/>
    </row>
    <row r="169" spans="13:17">
      <c r="M169" s="7255"/>
      <c r="N169" s="7258"/>
      <c r="O169" s="1816" t="s">
        <v>2082</v>
      </c>
      <c r="P169" s="1817"/>
      <c r="Q169" s="6736"/>
    </row>
    <row r="170" spans="13:17">
      <c r="M170" s="7255"/>
      <c r="N170" s="7258"/>
      <c r="O170" s="1816" t="s">
        <v>2083</v>
      </c>
      <c r="P170" s="6737" t="s">
        <v>3396</v>
      </c>
      <c r="Q170" s="1826"/>
    </row>
    <row r="171" spans="13:17" ht="28.8">
      <c r="M171" s="7255"/>
      <c r="N171" s="7258"/>
      <c r="O171" s="1816" t="s">
        <v>2737</v>
      </c>
      <c r="P171" s="6738" t="s">
        <v>3398</v>
      </c>
      <c r="Q171" s="1819" t="s">
        <v>2067</v>
      </c>
    </row>
    <row r="172" spans="13:17" ht="28.8">
      <c r="M172" s="7255"/>
      <c r="N172" s="7259"/>
      <c r="O172" s="1816" t="s">
        <v>2058</v>
      </c>
      <c r="P172" s="1817"/>
      <c r="Q172" s="1819" t="s">
        <v>2067</v>
      </c>
    </row>
    <row r="173" spans="13:17">
      <c r="M173" s="7255"/>
      <c r="N173" s="7260" t="s">
        <v>244</v>
      </c>
      <c r="O173" s="3426" t="s">
        <v>291</v>
      </c>
      <c r="P173" s="3427" t="s">
        <v>3398</v>
      </c>
      <c r="Q173" s="3457"/>
    </row>
    <row r="174" spans="13:17">
      <c r="M174" s="7255"/>
      <c r="N174" s="7261"/>
      <c r="O174" s="3426" t="s">
        <v>2149</v>
      </c>
      <c r="P174" s="3427" t="s">
        <v>3398</v>
      </c>
      <c r="Q174" s="3457"/>
    </row>
    <row r="175" spans="13:17">
      <c r="M175" s="7255"/>
      <c r="N175" s="7261"/>
      <c r="O175" s="3426" t="s">
        <v>279</v>
      </c>
      <c r="P175" s="3427" t="s">
        <v>3398</v>
      </c>
      <c r="Q175" s="3457"/>
    </row>
    <row r="176" spans="13:17" ht="15" customHeight="1">
      <c r="M176" s="7255"/>
      <c r="N176" s="7261"/>
      <c r="O176" s="3426" t="s">
        <v>2738</v>
      </c>
      <c r="P176" s="6878"/>
      <c r="Q176" s="6060"/>
    </row>
    <row r="177" spans="13:17" ht="28.8">
      <c r="M177" s="7255"/>
      <c r="N177" s="7261"/>
      <c r="O177" s="3426" t="s">
        <v>2737</v>
      </c>
      <c r="P177" s="6739" t="s">
        <v>3398</v>
      </c>
      <c r="Q177" s="3429" t="s">
        <v>2067</v>
      </c>
    </row>
    <row r="178" spans="13:17" ht="28.8">
      <c r="M178" s="7256"/>
      <c r="N178" s="7262"/>
      <c r="O178" s="3433" t="s">
        <v>2058</v>
      </c>
      <c r="P178" s="3434"/>
      <c r="Q178" s="3435" t="s">
        <v>2067</v>
      </c>
    </row>
    <row r="179" spans="13:17" ht="15" customHeight="1">
      <c r="M179" s="7254" t="s">
        <v>2078</v>
      </c>
      <c r="N179" s="6574" t="s">
        <v>2500</v>
      </c>
      <c r="O179" s="3426" t="s">
        <v>2084</v>
      </c>
      <c r="P179" s="3427"/>
      <c r="Q179" s="3452"/>
    </row>
    <row r="180" spans="13:17">
      <c r="M180" s="7255"/>
      <c r="N180" s="7257" t="s">
        <v>243</v>
      </c>
      <c r="O180" s="1816" t="s">
        <v>292</v>
      </c>
      <c r="P180" s="1817" t="s">
        <v>3398</v>
      </c>
      <c r="Q180" s="6061"/>
    </row>
    <row r="181" spans="13:17">
      <c r="M181" s="7255"/>
      <c r="N181" s="7258"/>
      <c r="O181" s="1816" t="s">
        <v>2086</v>
      </c>
      <c r="P181" s="1817" t="s">
        <v>3396</v>
      </c>
      <c r="Q181" s="6061"/>
    </row>
    <row r="182" spans="13:17">
      <c r="M182" s="7255"/>
      <c r="N182" s="7258"/>
      <c r="O182" s="1816" t="s">
        <v>2153</v>
      </c>
      <c r="P182" s="1817" t="s">
        <v>3396</v>
      </c>
      <c r="Q182" s="6061"/>
    </row>
    <row r="183" spans="13:17">
      <c r="M183" s="7255"/>
      <c r="N183" s="7258"/>
      <c r="O183" s="1816" t="s">
        <v>610</v>
      </c>
      <c r="P183" s="1817" t="s">
        <v>3396</v>
      </c>
      <c r="Q183" s="6061"/>
    </row>
    <row r="184" spans="13:17">
      <c r="M184" s="7255"/>
      <c r="N184" s="7258"/>
      <c r="O184" s="1816" t="s">
        <v>2862</v>
      </c>
      <c r="P184" s="6880"/>
      <c r="Q184" s="6740"/>
    </row>
    <row r="185" spans="13:17">
      <c r="M185" s="7255"/>
      <c r="N185" s="7258"/>
      <c r="O185" s="1816" t="s">
        <v>294</v>
      </c>
      <c r="P185" s="1817" t="s">
        <v>3396</v>
      </c>
      <c r="Q185" s="6061"/>
    </row>
    <row r="186" spans="13:17">
      <c r="M186" s="7255"/>
      <c r="N186" s="7258"/>
      <c r="O186" s="1816" t="s">
        <v>2085</v>
      </c>
      <c r="P186" s="6877"/>
      <c r="Q186" s="1826"/>
    </row>
    <row r="187" spans="13:17">
      <c r="M187" s="7255"/>
      <c r="N187" s="7258"/>
      <c r="O187" s="1827" t="s">
        <v>330</v>
      </c>
      <c r="P187" s="1817"/>
      <c r="Q187" s="1818"/>
    </row>
    <row r="188" spans="13:17">
      <c r="M188" s="7255"/>
      <c r="N188" s="7258"/>
      <c r="O188" s="1816" t="s">
        <v>293</v>
      </c>
      <c r="P188" s="1817" t="s">
        <v>3396</v>
      </c>
      <c r="Q188" s="6061"/>
    </row>
    <row r="189" spans="13:17">
      <c r="M189" s="7255"/>
      <c r="N189" s="7259"/>
      <c r="O189" s="1816" t="s">
        <v>3369</v>
      </c>
      <c r="P189" s="1817" t="s">
        <v>3398</v>
      </c>
      <c r="Q189" s="6061"/>
    </row>
    <row r="190" spans="13:17" ht="15" customHeight="1">
      <c r="M190" s="7255"/>
      <c r="N190" s="7260" t="s">
        <v>244</v>
      </c>
      <c r="O190" s="3426" t="s">
        <v>525</v>
      </c>
      <c r="P190" s="3427" t="s">
        <v>3398</v>
      </c>
      <c r="Q190" s="4183"/>
    </row>
    <row r="191" spans="13:17" ht="43.2">
      <c r="M191" s="7255"/>
      <c r="N191" s="7261"/>
      <c r="O191" s="3426" t="s">
        <v>381</v>
      </c>
      <c r="P191" s="6739" t="s">
        <v>3398</v>
      </c>
      <c r="Q191" s="3429" t="s">
        <v>2339</v>
      </c>
    </row>
    <row r="192" spans="13:17">
      <c r="M192" s="7255"/>
      <c r="N192" s="7261"/>
      <c r="O192" s="3426" t="s">
        <v>296</v>
      </c>
      <c r="P192" s="3427" t="s">
        <v>3398</v>
      </c>
      <c r="Q192" s="4183"/>
    </row>
    <row r="193" spans="13:17">
      <c r="M193" s="7256"/>
      <c r="N193" s="7262"/>
      <c r="O193" s="3426" t="s">
        <v>3369</v>
      </c>
      <c r="P193" s="6741" t="s">
        <v>3398</v>
      </c>
      <c r="Q193" s="6742"/>
    </row>
    <row r="194" spans="13:17" ht="15" customHeight="1">
      <c r="M194" s="7254" t="s">
        <v>2069</v>
      </c>
      <c r="N194" s="7263" t="s">
        <v>243</v>
      </c>
      <c r="O194" s="1828" t="s">
        <v>297</v>
      </c>
      <c r="P194" s="1829" t="s">
        <v>3398</v>
      </c>
      <c r="Q194" s="6743"/>
    </row>
    <row r="195" spans="13:17">
      <c r="M195" s="7255"/>
      <c r="N195" s="7258"/>
      <c r="O195" s="1816" t="s">
        <v>2088</v>
      </c>
      <c r="P195" s="1817"/>
      <c r="Q195" s="6744"/>
    </row>
    <row r="196" spans="13:17">
      <c r="M196" s="7255"/>
      <c r="N196" s="7259"/>
      <c r="O196" s="1816" t="s">
        <v>2087</v>
      </c>
      <c r="P196" s="1817" t="s">
        <v>3396</v>
      </c>
      <c r="Q196" s="6061"/>
    </row>
    <row r="197" spans="13:17">
      <c r="M197" s="7256"/>
      <c r="N197" s="6575" t="s">
        <v>244</v>
      </c>
      <c r="O197" s="3433" t="s">
        <v>298</v>
      </c>
      <c r="P197" s="3434" t="s">
        <v>3398</v>
      </c>
      <c r="Q197" s="6745"/>
    </row>
    <row r="198" spans="13:17">
      <c r="M198" s="1613"/>
      <c r="N198" s="1613"/>
      <c r="O198" s="3438"/>
      <c r="P198" s="5001"/>
      <c r="Q198" s="5000" t="s">
        <v>3387</v>
      </c>
    </row>
    <row r="199" spans="13:17" s="5317" customFormat="1">
      <c r="M199" s="1613"/>
      <c r="N199" s="1613"/>
      <c r="O199" s="3438"/>
      <c r="P199" s="5001"/>
      <c r="Q199" s="5000"/>
    </row>
    <row r="201" spans="13:17" ht="15.6">
      <c r="M201" s="3458"/>
      <c r="N201" s="3458"/>
      <c r="O201" s="3459"/>
      <c r="P201" s="6746"/>
      <c r="Q201" s="6747" t="s">
        <v>3410</v>
      </c>
    </row>
    <row r="202" spans="13:17" ht="15" thickBot="1">
      <c r="M202" s="1830" t="s">
        <v>1</v>
      </c>
      <c r="N202" s="1830" t="s">
        <v>878</v>
      </c>
      <c r="O202" s="1831" t="s">
        <v>2560</v>
      </c>
      <c r="P202" s="1832" t="s">
        <v>3394</v>
      </c>
      <c r="Q202" s="1832" t="s">
        <v>3395</v>
      </c>
    </row>
    <row r="203" spans="13:17" ht="30" customHeight="1">
      <c r="M203" s="7247" t="s">
        <v>2065</v>
      </c>
      <c r="N203" s="7250" t="s">
        <v>243</v>
      </c>
      <c r="O203" s="3424" t="s">
        <v>268</v>
      </c>
      <c r="P203" s="3431" t="s">
        <v>3398</v>
      </c>
      <c r="Q203" s="3432" t="s">
        <v>2067</v>
      </c>
    </row>
    <row r="204" spans="13:17" ht="28.8">
      <c r="M204" s="7248"/>
      <c r="N204" s="7251"/>
      <c r="O204" s="3426" t="s">
        <v>2058</v>
      </c>
      <c r="P204" s="6748"/>
      <c r="Q204" s="3429" t="s">
        <v>2067</v>
      </c>
    </row>
    <row r="205" spans="13:17" ht="28.8">
      <c r="M205" s="7248"/>
      <c r="N205" s="7252" t="s">
        <v>244</v>
      </c>
      <c r="O205" s="1816" t="s">
        <v>272</v>
      </c>
      <c r="P205" s="1817" t="s">
        <v>3398</v>
      </c>
      <c r="Q205" s="1819" t="s">
        <v>2067</v>
      </c>
    </row>
    <row r="206" spans="13:17" ht="28.8">
      <c r="M206" s="7249"/>
      <c r="N206" s="7253"/>
      <c r="O206" s="1820" t="s">
        <v>2058</v>
      </c>
      <c r="P206" s="6749"/>
      <c r="Q206" s="1833" t="s">
        <v>2067</v>
      </c>
    </row>
    <row r="207" spans="13:17" ht="43.2">
      <c r="M207" s="6573" t="s">
        <v>2089</v>
      </c>
      <c r="N207" s="3954" t="s">
        <v>244</v>
      </c>
      <c r="O207" s="3955" t="s">
        <v>381</v>
      </c>
      <c r="P207" s="3956" t="s">
        <v>3398</v>
      </c>
      <c r="Q207" s="3957" t="s">
        <v>2341</v>
      </c>
    </row>
    <row r="208" spans="13:17">
      <c r="M208" s="1613"/>
      <c r="N208" s="1613"/>
      <c r="O208" s="1613"/>
      <c r="P208" s="5001"/>
      <c r="Q208" s="5000" t="s">
        <v>3387</v>
      </c>
    </row>
  </sheetData>
  <mergeCells count="41">
    <mergeCell ref="N68:N69"/>
    <mergeCell ref="M89:M90"/>
    <mergeCell ref="M92:M95"/>
    <mergeCell ref="N94:N95"/>
    <mergeCell ref="M101:M116"/>
    <mergeCell ref="N102:N109"/>
    <mergeCell ref="N110:N116"/>
    <mergeCell ref="M68:M83"/>
    <mergeCell ref="N70:N76"/>
    <mergeCell ref="N77:N83"/>
    <mergeCell ref="F3:J3"/>
    <mergeCell ref="K3:L3"/>
    <mergeCell ref="M51:M67"/>
    <mergeCell ref="N51:N54"/>
    <mergeCell ref="N55:N62"/>
    <mergeCell ref="N63:N67"/>
    <mergeCell ref="A34:A35"/>
    <mergeCell ref="A36:F38"/>
    <mergeCell ref="M40:M50"/>
    <mergeCell ref="N40:N46"/>
    <mergeCell ref="N47:N50"/>
    <mergeCell ref="N118:N124"/>
    <mergeCell ref="N125:N131"/>
    <mergeCell ref="M132:M143"/>
    <mergeCell ref="N132:N134"/>
    <mergeCell ref="N135:N139"/>
    <mergeCell ref="N140:N143"/>
    <mergeCell ref="M117:M131"/>
    <mergeCell ref="M144:M146"/>
    <mergeCell ref="M153:M154"/>
    <mergeCell ref="M161:M178"/>
    <mergeCell ref="N162:N172"/>
    <mergeCell ref="N173:N178"/>
    <mergeCell ref="M203:M206"/>
    <mergeCell ref="N203:N204"/>
    <mergeCell ref="N205:N206"/>
    <mergeCell ref="M179:M193"/>
    <mergeCell ref="N180:N189"/>
    <mergeCell ref="N190:N193"/>
    <mergeCell ref="M194:M197"/>
    <mergeCell ref="N194:N196"/>
  </mergeCells>
  <printOptions horizontalCentered="1" verticalCentered="1"/>
  <pageMargins left="0.70866141732283472" right="0.70866141732283472" top="0.74803149606299213" bottom="0.74803149606299213" header="0.31496062992125984" footer="0.31496062992125984"/>
  <pageSetup scale="75" firstPageNumber="20" orientation="landscape" useFirstPageNumber="1" r:id="rId1"/>
  <headerFooter scaleWithDoc="0" alignWithMargins="0">
    <oddFooter>&amp;R&amp;P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D190"/>
  <sheetViews>
    <sheetView showGridLines="0" zoomScaleNormal="100" workbookViewId="0">
      <pane xSplit="2" ySplit="4" topLeftCell="C84" activePane="bottomRight" state="frozen"/>
      <selection activeCell="C65" sqref="C65:C67"/>
      <selection pane="topRight" activeCell="C65" sqref="C65:C67"/>
      <selection pane="bottomLeft" activeCell="C65" sqref="C65:C67"/>
      <selection pane="bottomRight" activeCell="A99" sqref="A99:A102"/>
    </sheetView>
  </sheetViews>
  <sheetFormatPr baseColWidth="10" defaultColWidth="11.44140625" defaultRowHeight="11.4"/>
  <cols>
    <col min="1" max="1" width="3.6640625" style="1078" customWidth="1"/>
    <col min="2" max="2" width="33.6640625" style="1089" customWidth="1"/>
    <col min="3" max="4" width="15.6640625" style="1090" customWidth="1"/>
    <col min="5" max="5" width="6.6640625" style="1079" bestFit="1" customWidth="1"/>
    <col min="6" max="12" width="6.6640625" style="1079" customWidth="1"/>
    <col min="13" max="13" width="8" style="1079" customWidth="1"/>
    <col min="14" max="14" width="8.5546875" style="1079" customWidth="1"/>
    <col min="15" max="15" width="7.5546875" style="1079" customWidth="1"/>
    <col min="16" max="16" width="8.44140625" style="1079" bestFit="1" customWidth="1"/>
    <col min="17" max="17" width="8.44140625" style="1079" customWidth="1"/>
    <col min="18" max="18" width="6.6640625" style="1079" customWidth="1"/>
    <col min="19" max="19" width="7.44140625" style="1079" customWidth="1"/>
    <col min="20" max="21" width="6.6640625" style="1079" customWidth="1"/>
    <col min="22" max="22" width="8.6640625" style="1079" customWidth="1"/>
    <col min="23" max="23" width="6.6640625" style="1091" customWidth="1"/>
    <col min="24" max="25" width="6.6640625" style="1079" customWidth="1"/>
    <col min="26" max="26" width="6.6640625" style="1091" customWidth="1"/>
    <col min="27" max="27" width="6.6640625" style="1079" customWidth="1"/>
    <col min="28" max="28" width="7.6640625" style="1079" customWidth="1"/>
    <col min="29" max="32" width="6.6640625" style="1079" customWidth="1"/>
    <col min="33" max="33" width="9.33203125" style="1079" customWidth="1"/>
    <col min="34" max="34" width="8" style="1079" customWidth="1"/>
    <col min="35" max="35" width="7.44140625" style="1079" customWidth="1"/>
    <col min="36" max="36" width="8.33203125" style="1079" customWidth="1"/>
    <col min="37" max="38" width="6.6640625" style="1079" customWidth="1"/>
    <col min="39" max="39" width="8.6640625" style="1079" customWidth="1"/>
    <col min="40" max="40" width="6.6640625" style="1079" customWidth="1"/>
    <col min="41" max="41" width="6.6640625" style="1079" hidden="1" customWidth="1"/>
    <col min="42" max="68" width="6.6640625" style="1079" customWidth="1"/>
    <col min="69" max="74" width="7.6640625" style="1078" customWidth="1"/>
    <col min="75" max="82" width="7.6640625" style="1079" customWidth="1"/>
    <col min="83" max="16384" width="11.44140625" style="1079"/>
  </cols>
  <sheetData>
    <row r="1" spans="1:82" ht="18.75" customHeight="1">
      <c r="D1" s="4818"/>
      <c r="E1" s="2069"/>
      <c r="F1" s="2069"/>
      <c r="G1" s="2069"/>
      <c r="H1" s="2069"/>
      <c r="I1" s="2069"/>
      <c r="J1" s="2069"/>
      <c r="K1" s="2069"/>
      <c r="L1" s="2069"/>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069"/>
      <c r="AO1" s="2069"/>
      <c r="AP1" s="2069"/>
      <c r="AQ1" s="2069"/>
      <c r="AR1" s="2069"/>
      <c r="AS1" s="2069"/>
      <c r="AT1" s="2069"/>
      <c r="AU1" s="2069"/>
      <c r="AV1" s="2069"/>
      <c r="AW1" s="2069"/>
      <c r="AX1" s="2069"/>
      <c r="AY1" s="2069"/>
      <c r="AZ1" s="2069"/>
      <c r="BA1" s="2069"/>
      <c r="BB1" s="2069"/>
      <c r="BC1" s="2069"/>
      <c r="BD1" s="2069"/>
      <c r="BE1" s="2069"/>
      <c r="BF1" s="2069"/>
      <c r="BG1" s="2069"/>
      <c r="BH1" s="2069"/>
      <c r="BI1" s="2069"/>
      <c r="BJ1" s="2069"/>
      <c r="BK1" s="2069"/>
      <c r="BL1" s="2069"/>
      <c r="BM1" s="2069"/>
      <c r="BN1" s="2069"/>
      <c r="BO1" s="2069"/>
      <c r="BP1" s="2069"/>
      <c r="BQ1" s="2069"/>
      <c r="BR1" s="2069"/>
      <c r="BS1" s="2069"/>
      <c r="BT1" s="196"/>
      <c r="BZ1" s="6946" t="s">
        <v>2447</v>
      </c>
      <c r="CA1" s="6946"/>
      <c r="CB1" s="6946"/>
      <c r="CC1" s="6946"/>
      <c r="CD1" s="6946"/>
    </row>
    <row r="2" spans="1:82" ht="18">
      <c r="D2" s="4818"/>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c r="AT2" s="2069"/>
      <c r="AU2" s="2069"/>
      <c r="AV2" s="2069"/>
      <c r="AW2" s="2069"/>
      <c r="AX2" s="2069"/>
      <c r="AY2" s="2069"/>
      <c r="AZ2" s="2069"/>
      <c r="BA2" s="2069"/>
      <c r="BB2" s="2069"/>
      <c r="BC2" s="2069"/>
      <c r="BD2" s="2069"/>
      <c r="BE2" s="2069"/>
      <c r="BF2" s="2069"/>
      <c r="BG2" s="2069"/>
      <c r="BH2" s="2069"/>
      <c r="BI2" s="2069"/>
      <c r="BJ2" s="2069"/>
      <c r="BK2" s="2069"/>
      <c r="BL2" s="2069"/>
      <c r="BM2" s="2069"/>
      <c r="BN2" s="2069"/>
      <c r="BO2" s="2069"/>
      <c r="BP2" s="2069"/>
      <c r="BQ2" s="2069"/>
      <c r="BR2" s="2069"/>
      <c r="BS2" s="2069"/>
      <c r="BT2" s="196"/>
      <c r="BZ2" s="6946"/>
      <c r="CA2" s="6946"/>
      <c r="CB2" s="6946"/>
      <c r="CC2" s="6946"/>
      <c r="CD2" s="6946"/>
    </row>
    <row r="3" spans="1:82" ht="15" thickBot="1">
      <c r="B3" s="161"/>
      <c r="C3" s="1080"/>
      <c r="D3" s="1080"/>
      <c r="E3" s="197"/>
      <c r="F3" s="197"/>
      <c r="G3" s="197"/>
      <c r="H3" s="197"/>
      <c r="I3" s="197"/>
      <c r="J3" s="197"/>
      <c r="K3" s="197"/>
      <c r="L3" s="197"/>
      <c r="M3" s="197"/>
      <c r="N3" s="197"/>
      <c r="O3" s="197"/>
      <c r="P3" s="197"/>
      <c r="Q3" s="197"/>
      <c r="R3" s="197"/>
      <c r="S3" s="197"/>
      <c r="T3" s="197"/>
      <c r="U3" s="197"/>
      <c r="V3" s="197"/>
      <c r="W3" s="198"/>
      <c r="X3" s="197"/>
      <c r="Y3" s="197"/>
      <c r="Z3" s="198"/>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6"/>
      <c r="BR3" s="1081"/>
      <c r="BS3" s="196"/>
      <c r="BT3" s="196"/>
    </row>
    <row r="4" spans="1:82" s="1084" customFormat="1" ht="57.6">
      <c r="A4" s="1082"/>
      <c r="B4" s="1083" t="s">
        <v>186</v>
      </c>
      <c r="C4" s="4864" t="s">
        <v>2860</v>
      </c>
      <c r="D4" s="4864" t="s">
        <v>2824</v>
      </c>
      <c r="E4" s="1453" t="s">
        <v>497</v>
      </c>
      <c r="F4" s="1453" t="s">
        <v>733</v>
      </c>
      <c r="G4" s="1453" t="s">
        <v>734</v>
      </c>
      <c r="H4" s="1454" t="s">
        <v>735</v>
      </c>
      <c r="I4" s="1453" t="s">
        <v>498</v>
      </c>
      <c r="J4" s="1453" t="s">
        <v>499</v>
      </c>
      <c r="K4" s="1453" t="s">
        <v>500</v>
      </c>
      <c r="L4" s="1453" t="s">
        <v>501</v>
      </c>
      <c r="M4" s="1453" t="s">
        <v>502</v>
      </c>
      <c r="N4" s="1453" t="s">
        <v>503</v>
      </c>
      <c r="O4" s="1453" t="s">
        <v>504</v>
      </c>
      <c r="P4" s="1453" t="s">
        <v>505</v>
      </c>
      <c r="Q4" s="1453" t="s">
        <v>506</v>
      </c>
      <c r="R4" s="1453" t="s">
        <v>507</v>
      </c>
      <c r="S4" s="1453" t="s">
        <v>508</v>
      </c>
      <c r="T4" s="1453" t="s">
        <v>509</v>
      </c>
      <c r="U4" s="1453" t="s">
        <v>510</v>
      </c>
      <c r="V4" s="1453" t="s">
        <v>736</v>
      </c>
      <c r="W4" s="1453" t="s">
        <v>511</v>
      </c>
      <c r="X4" s="1453" t="s">
        <v>512</v>
      </c>
      <c r="Y4" s="1453" t="s">
        <v>513</v>
      </c>
      <c r="Z4" s="1453" t="s">
        <v>514</v>
      </c>
      <c r="AA4" s="1453" t="s">
        <v>515</v>
      </c>
      <c r="AB4" s="1453" t="s">
        <v>516</v>
      </c>
      <c r="AC4" s="1453" t="s">
        <v>364</v>
      </c>
      <c r="AD4" s="1453" t="s">
        <v>365</v>
      </c>
      <c r="AE4" s="1453" t="s">
        <v>366</v>
      </c>
      <c r="AF4" s="1453" t="s">
        <v>517</v>
      </c>
      <c r="AG4" s="1453" t="s">
        <v>518</v>
      </c>
      <c r="AH4" s="1453" t="s">
        <v>519</v>
      </c>
      <c r="AI4" s="1453" t="s">
        <v>599</v>
      </c>
      <c r="AJ4" s="1453" t="s">
        <v>600</v>
      </c>
      <c r="AK4" s="1453" t="s">
        <v>601</v>
      </c>
      <c r="AL4" s="1453" t="s">
        <v>648</v>
      </c>
      <c r="AM4" s="1453" t="s">
        <v>651</v>
      </c>
      <c r="AN4" s="1453" t="s">
        <v>687</v>
      </c>
      <c r="AO4" s="1455" t="s">
        <v>1480</v>
      </c>
      <c r="AP4" s="1453" t="s">
        <v>1480</v>
      </c>
      <c r="AQ4" s="1453" t="s">
        <v>1481</v>
      </c>
      <c r="AR4" s="1453" t="s">
        <v>1482</v>
      </c>
      <c r="AS4" s="1453" t="s">
        <v>1483</v>
      </c>
      <c r="AT4" s="1453" t="s">
        <v>1487</v>
      </c>
      <c r="AU4" s="3337" t="s">
        <v>1696</v>
      </c>
      <c r="AV4" s="3337" t="s">
        <v>1713</v>
      </c>
      <c r="AW4" s="3337" t="s">
        <v>2139</v>
      </c>
      <c r="AX4" s="3337" t="s">
        <v>1510</v>
      </c>
      <c r="AY4" s="3337" t="s">
        <v>2150</v>
      </c>
      <c r="AZ4" s="3337" t="s">
        <v>2142</v>
      </c>
      <c r="BA4" s="4846" t="s">
        <v>2144</v>
      </c>
      <c r="BB4" s="3337" t="s">
        <v>2467</v>
      </c>
      <c r="BC4" s="3337" t="s">
        <v>2367</v>
      </c>
      <c r="BD4" s="3337" t="s">
        <v>2581</v>
      </c>
      <c r="BE4" s="6430" t="s">
        <v>2582</v>
      </c>
      <c r="BF4" s="6430" t="s">
        <v>2583</v>
      </c>
      <c r="BG4" s="6430" t="s">
        <v>2584</v>
      </c>
      <c r="BH4" s="4834" t="s">
        <v>2818</v>
      </c>
      <c r="BI4" s="4834" t="s">
        <v>2819</v>
      </c>
      <c r="BJ4" s="4834" t="s">
        <v>2820</v>
      </c>
      <c r="BK4" s="4834" t="s">
        <v>2858</v>
      </c>
      <c r="BL4" s="4834" t="s">
        <v>2826</v>
      </c>
      <c r="BM4" s="4834" t="s">
        <v>3082</v>
      </c>
      <c r="BN4" s="6429" t="s">
        <v>3095</v>
      </c>
      <c r="BO4" s="6429" t="s">
        <v>3093</v>
      </c>
      <c r="BP4" s="6429" t="s">
        <v>3279</v>
      </c>
      <c r="BQ4" s="171" t="s">
        <v>2485</v>
      </c>
      <c r="BR4" s="171" t="s">
        <v>2486</v>
      </c>
      <c r="BS4" s="171" t="s">
        <v>2487</v>
      </c>
      <c r="BT4" s="171" t="s">
        <v>2488</v>
      </c>
      <c r="BU4" s="171" t="s">
        <v>2489</v>
      </c>
      <c r="BV4" s="171" t="s">
        <v>2490</v>
      </c>
      <c r="BW4" s="171" t="s">
        <v>2491</v>
      </c>
      <c r="BX4" s="171" t="s">
        <v>2492</v>
      </c>
      <c r="BY4" s="3334" t="s">
        <v>2493</v>
      </c>
      <c r="BZ4" s="3334" t="s">
        <v>2494</v>
      </c>
      <c r="CA4" s="3334" t="s">
        <v>2586</v>
      </c>
      <c r="CB4" s="3334" t="s">
        <v>2817</v>
      </c>
      <c r="CC4" s="3334" t="s">
        <v>3086</v>
      </c>
      <c r="CD4" s="158" t="s">
        <v>3278</v>
      </c>
    </row>
    <row r="5" spans="1:82" ht="14.4">
      <c r="B5" s="1456" t="s">
        <v>341</v>
      </c>
      <c r="C5" s="4857"/>
      <c r="D5" s="4857"/>
      <c r="E5" s="1457"/>
      <c r="F5" s="1457"/>
      <c r="G5" s="1457"/>
      <c r="H5" s="1457"/>
      <c r="I5" s="1457"/>
      <c r="J5" s="1457"/>
      <c r="K5" s="1457"/>
      <c r="L5" s="1457"/>
      <c r="M5" s="1457"/>
      <c r="N5" s="1457"/>
      <c r="O5" s="1457"/>
      <c r="P5" s="1457"/>
      <c r="Q5" s="1457"/>
      <c r="R5" s="1457"/>
      <c r="S5" s="1457"/>
      <c r="T5" s="1457"/>
      <c r="U5" s="1457"/>
      <c r="V5" s="1457"/>
      <c r="W5" s="1458"/>
      <c r="X5" s="1457"/>
      <c r="Y5" s="1457"/>
      <c r="Z5" s="1458"/>
      <c r="AA5" s="1457"/>
      <c r="AB5" s="1457"/>
      <c r="AC5" s="1457"/>
      <c r="AD5" s="1457"/>
      <c r="AE5" s="1457"/>
      <c r="AF5" s="1457"/>
      <c r="AG5" s="1457"/>
      <c r="AH5" s="1457"/>
      <c r="AI5" s="1457"/>
      <c r="AJ5" s="1457"/>
      <c r="AK5" s="1457"/>
      <c r="AL5" s="1457"/>
      <c r="AM5" s="1457"/>
      <c r="AN5" s="1457"/>
      <c r="AO5" s="1457"/>
      <c r="AP5" s="1457"/>
      <c r="AQ5" s="1457"/>
      <c r="AR5" s="1457"/>
      <c r="AS5" s="1460"/>
      <c r="AT5" s="1460"/>
      <c r="AU5" s="1460"/>
      <c r="AV5" s="1460"/>
      <c r="AW5" s="1460"/>
      <c r="AX5" s="1460"/>
      <c r="AY5" s="4837"/>
      <c r="AZ5" s="4837"/>
      <c r="BA5" s="4837"/>
      <c r="BB5" s="4837"/>
      <c r="BC5" s="4837"/>
      <c r="BD5" s="4837"/>
      <c r="BE5" s="4837"/>
      <c r="BF5" s="4837"/>
      <c r="BG5" s="4837"/>
      <c r="BH5" s="4837"/>
      <c r="BI5" s="4837"/>
      <c r="BJ5" s="4837"/>
      <c r="BK5" s="4837"/>
      <c r="BL5" s="4837"/>
      <c r="BM5" s="4837"/>
      <c r="BN5" s="6427"/>
      <c r="BO5" s="6427"/>
      <c r="BP5" s="6428"/>
      <c r="BQ5" s="4837"/>
      <c r="BR5" s="4837"/>
      <c r="BS5" s="1459"/>
      <c r="BT5" s="1459"/>
      <c r="BU5" s="1459"/>
      <c r="BV5" s="1459"/>
      <c r="BW5" s="1459"/>
      <c r="BX5" s="1459"/>
      <c r="BY5" s="1459"/>
      <c r="BZ5" s="1459"/>
      <c r="CA5" s="3922"/>
      <c r="CB5" s="3922"/>
      <c r="CC5" s="3922"/>
      <c r="CD5" s="3922"/>
    </row>
    <row r="6" spans="1:82" ht="21.75" customHeight="1">
      <c r="A6" s="1085">
        <v>1</v>
      </c>
      <c r="B6" s="2685" t="s">
        <v>737</v>
      </c>
      <c r="C6" s="4868" t="s">
        <v>2583</v>
      </c>
      <c r="D6" s="4858">
        <v>43802</v>
      </c>
      <c r="E6" s="2686"/>
      <c r="F6" s="2686"/>
      <c r="G6" s="2687" t="s">
        <v>202</v>
      </c>
      <c r="H6" s="2686"/>
      <c r="I6" s="2686"/>
      <c r="J6" s="2687" t="s">
        <v>231</v>
      </c>
      <c r="K6" s="2686"/>
      <c r="L6" s="2686"/>
      <c r="M6" s="2686"/>
      <c r="N6" s="2687" t="s">
        <v>201</v>
      </c>
      <c r="O6" s="2687" t="s">
        <v>245</v>
      </c>
      <c r="P6" s="2686"/>
      <c r="Q6" s="2686"/>
      <c r="R6" s="2687" t="s">
        <v>738</v>
      </c>
      <c r="S6" s="2686" t="s">
        <v>199</v>
      </c>
      <c r="T6" s="2686"/>
      <c r="U6" s="2686"/>
      <c r="V6" s="2687" t="s">
        <v>739</v>
      </c>
      <c r="W6" s="2687" t="s">
        <v>740</v>
      </c>
      <c r="X6" s="2686"/>
      <c r="Y6" s="2686"/>
      <c r="Z6" s="2686"/>
      <c r="AA6" s="2686"/>
      <c r="AB6" s="2686"/>
      <c r="AC6" s="2686"/>
      <c r="AD6" s="2686"/>
      <c r="AE6" s="2687" t="s">
        <v>741</v>
      </c>
      <c r="AF6" s="2688"/>
      <c r="AG6" s="2688"/>
      <c r="AH6" s="2689"/>
      <c r="AI6" s="2690" t="s">
        <v>742</v>
      </c>
      <c r="AJ6" s="2686"/>
      <c r="AK6" s="2686"/>
      <c r="AL6" s="2686"/>
      <c r="AM6" s="2686"/>
      <c r="AN6" s="2686"/>
      <c r="AO6" s="2686"/>
      <c r="AP6" s="2686"/>
      <c r="AQ6" s="2686"/>
      <c r="AR6" s="2691" t="s">
        <v>1484</v>
      </c>
      <c r="AS6" s="2686"/>
      <c r="AT6" s="2686"/>
      <c r="AU6" s="2686"/>
      <c r="AV6" s="2686"/>
      <c r="AW6" s="2686"/>
      <c r="AX6" s="2686"/>
      <c r="AY6" s="2686"/>
      <c r="AZ6" s="2686"/>
      <c r="BA6" s="4848"/>
      <c r="BB6" s="2686"/>
      <c r="BC6" s="2686"/>
      <c r="BD6" s="4835" t="s">
        <v>2585</v>
      </c>
      <c r="BE6" s="2686"/>
      <c r="BF6" s="2686"/>
      <c r="BG6" s="2686"/>
      <c r="BH6" s="2686"/>
      <c r="BI6" s="2686"/>
      <c r="BJ6" s="2686"/>
      <c r="BK6" s="2686"/>
      <c r="BL6" s="2686"/>
      <c r="BM6" s="2686"/>
      <c r="BN6" s="2686"/>
      <c r="BO6" s="2686"/>
      <c r="BP6" s="2686"/>
      <c r="BQ6" s="2692">
        <v>1</v>
      </c>
      <c r="BR6" s="2693">
        <v>1</v>
      </c>
      <c r="BS6" s="2693">
        <v>1</v>
      </c>
      <c r="BT6" s="2693">
        <v>1</v>
      </c>
      <c r="BU6" s="2693">
        <v>1</v>
      </c>
      <c r="BV6" s="2693">
        <v>1</v>
      </c>
      <c r="BW6" s="2693">
        <v>1</v>
      </c>
      <c r="BX6" s="2693">
        <v>1</v>
      </c>
      <c r="BY6" s="2693"/>
      <c r="BZ6" s="2693"/>
      <c r="CA6" s="2693">
        <v>1</v>
      </c>
      <c r="CB6" s="4833">
        <v>1</v>
      </c>
      <c r="CC6" s="5936"/>
      <c r="CD6" s="5936"/>
    </row>
    <row r="7" spans="1:82" ht="23.1" customHeight="1">
      <c r="A7" s="1085">
        <v>2</v>
      </c>
      <c r="B7" s="2694" t="s">
        <v>743</v>
      </c>
      <c r="C7" s="4868" t="s">
        <v>2583</v>
      </c>
      <c r="D7" s="4858">
        <v>43802</v>
      </c>
      <c r="E7" s="2695" t="s">
        <v>235</v>
      </c>
      <c r="F7" s="2696"/>
      <c r="G7" s="2695" t="s">
        <v>202</v>
      </c>
      <c r="H7" s="2696"/>
      <c r="I7" s="2696"/>
      <c r="J7" s="2695" t="s">
        <v>231</v>
      </c>
      <c r="K7" s="2696"/>
      <c r="L7" s="2696"/>
      <c r="M7" s="2696"/>
      <c r="N7" s="2696"/>
      <c r="O7" s="2695" t="s">
        <v>245</v>
      </c>
      <c r="P7" s="2696"/>
      <c r="Q7" s="2696"/>
      <c r="R7" s="2695" t="s">
        <v>738</v>
      </c>
      <c r="S7" s="2695" t="s">
        <v>744</v>
      </c>
      <c r="T7" s="2696"/>
      <c r="U7" s="2696" t="s">
        <v>200</v>
      </c>
      <c r="V7" s="2695" t="s">
        <v>739</v>
      </c>
      <c r="W7" s="2695" t="s">
        <v>204</v>
      </c>
      <c r="X7" s="2696"/>
      <c r="Y7" s="2696"/>
      <c r="Z7" s="2696"/>
      <c r="AA7" s="2696"/>
      <c r="AB7" s="2696"/>
      <c r="AC7" s="2696"/>
      <c r="AD7" s="2696"/>
      <c r="AE7" s="2695" t="s">
        <v>741</v>
      </c>
      <c r="AF7" s="2697"/>
      <c r="AG7" s="2697"/>
      <c r="AH7" s="2698"/>
      <c r="AI7" s="2699" t="s">
        <v>745</v>
      </c>
      <c r="AJ7" s="2696"/>
      <c r="AK7" s="2696"/>
      <c r="AL7" s="2696"/>
      <c r="AM7" s="2696"/>
      <c r="AN7" s="2696"/>
      <c r="AO7" s="2696"/>
      <c r="AP7" s="2696"/>
      <c r="AQ7" s="2696"/>
      <c r="AR7" s="2700" t="s">
        <v>1484</v>
      </c>
      <c r="AS7" s="2696"/>
      <c r="AT7" s="2696"/>
      <c r="AU7" s="2696"/>
      <c r="AV7" s="2696"/>
      <c r="AW7" s="2696"/>
      <c r="AX7" s="2696"/>
      <c r="AY7" s="2696"/>
      <c r="AZ7" s="2696"/>
      <c r="BA7" s="2740"/>
      <c r="BB7" s="2696"/>
      <c r="BC7" s="2696"/>
      <c r="BD7" s="2712" t="s">
        <v>2585</v>
      </c>
      <c r="BE7" s="2696"/>
      <c r="BF7" s="2696"/>
      <c r="BG7" s="2696"/>
      <c r="BH7" s="2696"/>
      <c r="BI7" s="2696"/>
      <c r="BJ7" s="2696"/>
      <c r="BK7" s="2696"/>
      <c r="BL7" s="2696"/>
      <c r="BM7" s="2696"/>
      <c r="BN7" s="2696"/>
      <c r="BO7" s="2696"/>
      <c r="BP7" s="2696"/>
      <c r="BQ7" s="2701">
        <v>1</v>
      </c>
      <c r="BR7" s="2702">
        <v>1</v>
      </c>
      <c r="BS7" s="2702">
        <v>1</v>
      </c>
      <c r="BT7" s="2702">
        <v>1</v>
      </c>
      <c r="BU7" s="2702">
        <v>1</v>
      </c>
      <c r="BV7" s="2702">
        <v>1</v>
      </c>
      <c r="BW7" s="2702">
        <v>1</v>
      </c>
      <c r="BX7" s="2702">
        <v>1</v>
      </c>
      <c r="BY7" s="2702"/>
      <c r="BZ7" s="2702"/>
      <c r="CA7" s="2702">
        <v>1</v>
      </c>
      <c r="CB7" s="2702">
        <v>1</v>
      </c>
      <c r="CC7" s="2702"/>
      <c r="CD7" s="2702"/>
    </row>
    <row r="8" spans="1:82" ht="23.1" customHeight="1">
      <c r="A8" s="1085">
        <v>3</v>
      </c>
      <c r="B8" s="2694" t="s">
        <v>746</v>
      </c>
      <c r="C8" s="4868" t="s">
        <v>2583</v>
      </c>
      <c r="D8" s="4858">
        <v>43802</v>
      </c>
      <c r="E8" s="2695" t="s">
        <v>235</v>
      </c>
      <c r="F8" s="2696"/>
      <c r="G8" s="2695" t="s">
        <v>202</v>
      </c>
      <c r="H8" s="2696"/>
      <c r="I8" s="2696"/>
      <c r="J8" s="2696"/>
      <c r="K8" s="2696"/>
      <c r="L8" s="2696"/>
      <c r="M8" s="2696"/>
      <c r="N8" s="2695" t="s">
        <v>201</v>
      </c>
      <c r="O8" s="2695" t="s">
        <v>245</v>
      </c>
      <c r="P8" s="2696"/>
      <c r="Q8" s="2696"/>
      <c r="R8" s="2695" t="s">
        <v>738</v>
      </c>
      <c r="S8" s="2695" t="s">
        <v>744</v>
      </c>
      <c r="T8" s="2696"/>
      <c r="U8" s="2696"/>
      <c r="V8" s="2695" t="s">
        <v>739</v>
      </c>
      <c r="W8" s="2695" t="s">
        <v>204</v>
      </c>
      <c r="X8" s="2696"/>
      <c r="Y8" s="2696"/>
      <c r="Z8" s="2696"/>
      <c r="AA8" s="2696"/>
      <c r="AB8" s="2696"/>
      <c r="AC8" s="2696"/>
      <c r="AD8" s="2696"/>
      <c r="AE8" s="2695" t="s">
        <v>741</v>
      </c>
      <c r="AF8" s="2697"/>
      <c r="AG8" s="2697"/>
      <c r="AH8" s="2698"/>
      <c r="AI8" s="2698"/>
      <c r="AJ8" s="2699" t="s">
        <v>747</v>
      </c>
      <c r="AK8" s="2698"/>
      <c r="AL8" s="2698"/>
      <c r="AM8" s="2698"/>
      <c r="AN8" s="2698"/>
      <c r="AO8" s="2698"/>
      <c r="AP8" s="2698"/>
      <c r="AQ8" s="2698"/>
      <c r="AR8" s="2700" t="s">
        <v>1484</v>
      </c>
      <c r="AS8" s="2696"/>
      <c r="AT8" s="2696"/>
      <c r="AU8" s="2696"/>
      <c r="AV8" s="2696"/>
      <c r="AW8" s="2696"/>
      <c r="AX8" s="2696"/>
      <c r="AY8" s="2696"/>
      <c r="AZ8" s="2696"/>
      <c r="BA8" s="2740"/>
      <c r="BB8" s="2696"/>
      <c r="BC8" s="2696"/>
      <c r="BD8" s="2712" t="s">
        <v>2585</v>
      </c>
      <c r="BE8" s="2696"/>
      <c r="BF8" s="2696"/>
      <c r="BG8" s="2696"/>
      <c r="BH8" s="2696"/>
      <c r="BI8" s="2696"/>
      <c r="BJ8" s="2696"/>
      <c r="BK8" s="2696"/>
      <c r="BL8" s="2696"/>
      <c r="BM8" s="2696"/>
      <c r="BN8" s="2696"/>
      <c r="BO8" s="2696"/>
      <c r="BP8" s="2696"/>
      <c r="BQ8" s="2701">
        <v>1</v>
      </c>
      <c r="BR8" s="2702">
        <v>1</v>
      </c>
      <c r="BS8" s="2702">
        <v>1</v>
      </c>
      <c r="BT8" s="2702">
        <v>1</v>
      </c>
      <c r="BU8" s="2702">
        <v>1</v>
      </c>
      <c r="BV8" s="2702">
        <v>1</v>
      </c>
      <c r="BW8" s="2702">
        <v>1</v>
      </c>
      <c r="BX8" s="2702">
        <v>1</v>
      </c>
      <c r="BY8" s="2702"/>
      <c r="BZ8" s="2702"/>
      <c r="CA8" s="2702">
        <v>1</v>
      </c>
      <c r="CB8" s="2702">
        <v>1</v>
      </c>
      <c r="CC8" s="2702"/>
      <c r="CD8" s="2702"/>
    </row>
    <row r="9" spans="1:82" ht="23.1" customHeight="1">
      <c r="A9" s="1085">
        <v>4</v>
      </c>
      <c r="B9" s="2694" t="s">
        <v>748</v>
      </c>
      <c r="C9" s="4868" t="s">
        <v>2583</v>
      </c>
      <c r="D9" s="4858">
        <v>43802</v>
      </c>
      <c r="E9" s="2696"/>
      <c r="F9" s="2696"/>
      <c r="G9" s="2695" t="s">
        <v>202</v>
      </c>
      <c r="H9" s="2696"/>
      <c r="I9" s="2695" t="s">
        <v>231</v>
      </c>
      <c r="J9" s="2696"/>
      <c r="K9" s="2696"/>
      <c r="L9" s="2696"/>
      <c r="M9" s="2696"/>
      <c r="N9" s="2695" t="s">
        <v>201</v>
      </c>
      <c r="O9" s="2695" t="s">
        <v>245</v>
      </c>
      <c r="P9" s="2696"/>
      <c r="Q9" s="2696"/>
      <c r="R9" s="2695" t="s">
        <v>738</v>
      </c>
      <c r="S9" s="2695" t="s">
        <v>744</v>
      </c>
      <c r="T9" s="2696"/>
      <c r="U9" s="2696"/>
      <c r="V9" s="2695" t="s">
        <v>739</v>
      </c>
      <c r="W9" s="2695" t="s">
        <v>204</v>
      </c>
      <c r="X9" s="2696"/>
      <c r="Y9" s="2696"/>
      <c r="Z9" s="2696"/>
      <c r="AA9" s="2696"/>
      <c r="AB9" s="2696"/>
      <c r="AC9" s="2696"/>
      <c r="AD9" s="2696"/>
      <c r="AE9" s="2695" t="s">
        <v>741</v>
      </c>
      <c r="AF9" s="2697"/>
      <c r="AG9" s="2697"/>
      <c r="AH9" s="2698"/>
      <c r="AI9" s="2698"/>
      <c r="AJ9" s="2699" t="s">
        <v>749</v>
      </c>
      <c r="AK9" s="2698"/>
      <c r="AL9" s="2698"/>
      <c r="AM9" s="2698"/>
      <c r="AN9" s="2698"/>
      <c r="AO9" s="2698"/>
      <c r="AP9" s="2698"/>
      <c r="AQ9" s="2698"/>
      <c r="AR9" s="2700" t="s">
        <v>1484</v>
      </c>
      <c r="AS9" s="2696"/>
      <c r="AT9" s="2696"/>
      <c r="AU9" s="2696"/>
      <c r="AV9" s="2696"/>
      <c r="AW9" s="2696"/>
      <c r="AX9" s="2696"/>
      <c r="AY9" s="2696"/>
      <c r="AZ9" s="2696"/>
      <c r="BA9" s="2740"/>
      <c r="BB9" s="2696"/>
      <c r="BC9" s="2696"/>
      <c r="BD9" s="2712" t="s">
        <v>2585</v>
      </c>
      <c r="BE9" s="2696"/>
      <c r="BF9" s="2696"/>
      <c r="BG9" s="2696"/>
      <c r="BH9" s="2696"/>
      <c r="BI9" s="2696"/>
      <c r="BJ9" s="2696"/>
      <c r="BK9" s="2696"/>
      <c r="BL9" s="2696"/>
      <c r="BM9" s="2696"/>
      <c r="BN9" s="2696"/>
      <c r="BO9" s="2696"/>
      <c r="BP9" s="2696"/>
      <c r="BQ9" s="2701">
        <v>1</v>
      </c>
      <c r="BR9" s="2702">
        <v>1</v>
      </c>
      <c r="BS9" s="2702">
        <v>1</v>
      </c>
      <c r="BT9" s="2702">
        <v>1</v>
      </c>
      <c r="BU9" s="2702">
        <v>1</v>
      </c>
      <c r="BV9" s="2702">
        <v>1</v>
      </c>
      <c r="BW9" s="2702">
        <v>1</v>
      </c>
      <c r="BX9" s="2702">
        <v>1</v>
      </c>
      <c r="BY9" s="2702"/>
      <c r="BZ9" s="2702"/>
      <c r="CA9" s="2702">
        <v>1</v>
      </c>
      <c r="CB9" s="2702">
        <v>1</v>
      </c>
      <c r="CC9" s="2702"/>
      <c r="CD9" s="2702"/>
    </row>
    <row r="10" spans="1:82" ht="23.1" customHeight="1">
      <c r="A10" s="1085">
        <v>5</v>
      </c>
      <c r="B10" s="2694" t="s">
        <v>750</v>
      </c>
      <c r="C10" s="4868" t="s">
        <v>2583</v>
      </c>
      <c r="D10" s="4858">
        <v>43802</v>
      </c>
      <c r="E10" s="2695" t="s">
        <v>235</v>
      </c>
      <c r="F10" s="2696"/>
      <c r="G10" s="2695" t="s">
        <v>202</v>
      </c>
      <c r="H10" s="2696"/>
      <c r="I10" s="2696"/>
      <c r="J10" s="2696"/>
      <c r="K10" s="2696"/>
      <c r="L10" s="2696"/>
      <c r="M10" s="2696"/>
      <c r="N10" s="2696"/>
      <c r="O10" s="2695" t="s">
        <v>245</v>
      </c>
      <c r="P10" s="2696"/>
      <c r="Q10" s="2696"/>
      <c r="R10" s="2695" t="s">
        <v>738</v>
      </c>
      <c r="S10" s="2695" t="s">
        <v>744</v>
      </c>
      <c r="T10" s="2696"/>
      <c r="U10" s="2696"/>
      <c r="V10" s="2695" t="s">
        <v>739</v>
      </c>
      <c r="W10" s="2695" t="s">
        <v>204</v>
      </c>
      <c r="X10" s="2696"/>
      <c r="Y10" s="2696"/>
      <c r="Z10" s="2696"/>
      <c r="AA10" s="2696"/>
      <c r="AB10" s="2696"/>
      <c r="AC10" s="2696"/>
      <c r="AD10" s="2696"/>
      <c r="AE10" s="2695" t="s">
        <v>741</v>
      </c>
      <c r="AF10" s="2697"/>
      <c r="AG10" s="2697"/>
      <c r="AH10" s="2698"/>
      <c r="AI10" s="2698"/>
      <c r="AJ10" s="2699" t="s">
        <v>751</v>
      </c>
      <c r="AK10" s="2698"/>
      <c r="AL10" s="2698"/>
      <c r="AM10" s="2698"/>
      <c r="AN10" s="2698"/>
      <c r="AO10" s="2698"/>
      <c r="AP10" s="2698"/>
      <c r="AQ10" s="2698"/>
      <c r="AR10" s="2700" t="s">
        <v>1484</v>
      </c>
      <c r="AS10" s="2696"/>
      <c r="AT10" s="2696"/>
      <c r="AU10" s="2696"/>
      <c r="AV10" s="2696"/>
      <c r="AW10" s="2696"/>
      <c r="AX10" s="2696"/>
      <c r="AY10" s="2696"/>
      <c r="AZ10" s="2696"/>
      <c r="BA10" s="2740"/>
      <c r="BB10" s="2696"/>
      <c r="BC10" s="2696"/>
      <c r="BD10" s="2712" t="s">
        <v>2585</v>
      </c>
      <c r="BE10" s="2696"/>
      <c r="BF10" s="2696"/>
      <c r="BG10" s="2696"/>
      <c r="BH10" s="2696"/>
      <c r="BI10" s="2696"/>
      <c r="BJ10" s="2696"/>
      <c r="BK10" s="2696"/>
      <c r="BL10" s="2696"/>
      <c r="BM10" s="2696"/>
      <c r="BN10" s="2696"/>
      <c r="BO10" s="2696"/>
      <c r="BP10" s="2696"/>
      <c r="BQ10" s="2701">
        <v>1</v>
      </c>
      <c r="BR10" s="2702">
        <v>1</v>
      </c>
      <c r="BS10" s="2702">
        <v>1</v>
      </c>
      <c r="BT10" s="2702">
        <v>1</v>
      </c>
      <c r="BU10" s="2702">
        <v>1</v>
      </c>
      <c r="BV10" s="2702">
        <v>1</v>
      </c>
      <c r="BW10" s="2702">
        <v>1</v>
      </c>
      <c r="BX10" s="2702">
        <v>1</v>
      </c>
      <c r="BY10" s="2702"/>
      <c r="BZ10" s="2702"/>
      <c r="CA10" s="2702">
        <v>1</v>
      </c>
      <c r="CB10" s="2702">
        <v>1</v>
      </c>
      <c r="CC10" s="2702"/>
      <c r="CD10" s="2702"/>
    </row>
    <row r="11" spans="1:82" ht="23.1" customHeight="1">
      <c r="A11" s="1085">
        <v>6</v>
      </c>
      <c r="B11" s="2694" t="s">
        <v>752</v>
      </c>
      <c r="C11" s="4868" t="s">
        <v>2583</v>
      </c>
      <c r="D11" s="4858">
        <v>43802</v>
      </c>
      <c r="E11" s="2695" t="s">
        <v>235</v>
      </c>
      <c r="F11" s="2696"/>
      <c r="G11" s="2695" t="s">
        <v>202</v>
      </c>
      <c r="H11" s="2696"/>
      <c r="I11" s="2696"/>
      <c r="J11" s="2696"/>
      <c r="K11" s="2696"/>
      <c r="L11" s="2696"/>
      <c r="M11" s="2696"/>
      <c r="N11" s="2696"/>
      <c r="O11" s="2695" t="s">
        <v>245</v>
      </c>
      <c r="P11" s="2696"/>
      <c r="Q11" s="2696"/>
      <c r="R11" s="2695" t="s">
        <v>738</v>
      </c>
      <c r="S11" s="2695" t="s">
        <v>744</v>
      </c>
      <c r="T11" s="2696"/>
      <c r="U11" s="2696"/>
      <c r="V11" s="2695" t="s">
        <v>739</v>
      </c>
      <c r="W11" s="2695" t="s">
        <v>740</v>
      </c>
      <c r="X11" s="2696"/>
      <c r="Y11" s="2696"/>
      <c r="Z11" s="2696"/>
      <c r="AA11" s="2696"/>
      <c r="AB11" s="2696"/>
      <c r="AC11" s="2696"/>
      <c r="AD11" s="2696"/>
      <c r="AE11" s="2695" t="s">
        <v>741</v>
      </c>
      <c r="AF11" s="2697"/>
      <c r="AG11" s="2697"/>
      <c r="AH11" s="2698"/>
      <c r="AI11" s="2699" t="s">
        <v>753</v>
      </c>
      <c r="AJ11" s="2696"/>
      <c r="AK11" s="2698"/>
      <c r="AL11" s="2698"/>
      <c r="AM11" s="2698"/>
      <c r="AN11" s="2698"/>
      <c r="AO11" s="2698"/>
      <c r="AP11" s="2698"/>
      <c r="AQ11" s="2698"/>
      <c r="AR11" s="2700" t="s">
        <v>1484</v>
      </c>
      <c r="AS11" s="2696"/>
      <c r="AT11" s="2696"/>
      <c r="AU11" s="2696"/>
      <c r="AV11" s="2696"/>
      <c r="AW11" s="2696"/>
      <c r="AX11" s="2696"/>
      <c r="AY11" s="2696"/>
      <c r="AZ11" s="2696"/>
      <c r="BA11" s="2740"/>
      <c r="BB11" s="2696"/>
      <c r="BC11" s="2696"/>
      <c r="BD11" s="2712" t="s">
        <v>2585</v>
      </c>
      <c r="BE11" s="2696"/>
      <c r="BF11" s="2696"/>
      <c r="BG11" s="2696"/>
      <c r="BH11" s="2696"/>
      <c r="BI11" s="2696"/>
      <c r="BJ11" s="2696"/>
      <c r="BK11" s="2696"/>
      <c r="BL11" s="2696"/>
      <c r="BM11" s="2696"/>
      <c r="BN11" s="2696"/>
      <c r="BO11" s="2696"/>
      <c r="BP11" s="2696"/>
      <c r="BQ11" s="2701">
        <v>1</v>
      </c>
      <c r="BR11" s="2702">
        <v>1</v>
      </c>
      <c r="BS11" s="2702">
        <v>1</v>
      </c>
      <c r="BT11" s="2702">
        <v>1</v>
      </c>
      <c r="BU11" s="2702">
        <v>1</v>
      </c>
      <c r="BV11" s="2702">
        <v>1</v>
      </c>
      <c r="BW11" s="2702">
        <v>1</v>
      </c>
      <c r="BX11" s="2702">
        <v>1</v>
      </c>
      <c r="BY11" s="2702"/>
      <c r="BZ11" s="2702"/>
      <c r="CA11" s="2702">
        <v>1</v>
      </c>
      <c r="CB11" s="2702">
        <v>1</v>
      </c>
      <c r="CC11" s="2702"/>
      <c r="CD11" s="2702"/>
    </row>
    <row r="12" spans="1:82" ht="23.1" customHeight="1">
      <c r="A12" s="1085">
        <v>7</v>
      </c>
      <c r="B12" s="2694" t="s">
        <v>754</v>
      </c>
      <c r="C12" s="4868" t="s">
        <v>2583</v>
      </c>
      <c r="D12" s="4858">
        <v>43802</v>
      </c>
      <c r="E12" s="2695" t="s">
        <v>235</v>
      </c>
      <c r="F12" s="2696"/>
      <c r="G12" s="2695" t="s">
        <v>202</v>
      </c>
      <c r="H12" s="2696"/>
      <c r="I12" s="2695" t="s">
        <v>231</v>
      </c>
      <c r="J12" s="2696"/>
      <c r="K12" s="2696"/>
      <c r="L12" s="2696"/>
      <c r="M12" s="2696"/>
      <c r="N12" s="2696"/>
      <c r="O12" s="2695" t="s">
        <v>245</v>
      </c>
      <c r="P12" s="2696"/>
      <c r="Q12" s="2695" t="s">
        <v>203</v>
      </c>
      <c r="R12" s="2695" t="s">
        <v>738</v>
      </c>
      <c r="S12" s="2695" t="s">
        <v>744</v>
      </c>
      <c r="T12" s="2696"/>
      <c r="U12" s="2696"/>
      <c r="V12" s="2695" t="s">
        <v>739</v>
      </c>
      <c r="W12" s="2695" t="s">
        <v>204</v>
      </c>
      <c r="X12" s="2696"/>
      <c r="Y12" s="2696"/>
      <c r="Z12" s="2696"/>
      <c r="AA12" s="2696"/>
      <c r="AB12" s="2696"/>
      <c r="AC12" s="2696"/>
      <c r="AD12" s="2696"/>
      <c r="AE12" s="2695" t="s">
        <v>741</v>
      </c>
      <c r="AF12" s="2697"/>
      <c r="AG12" s="2697"/>
      <c r="AH12" s="2698"/>
      <c r="AI12" s="2698"/>
      <c r="AJ12" s="2699" t="s">
        <v>755</v>
      </c>
      <c r="AK12" s="2698"/>
      <c r="AL12" s="2698"/>
      <c r="AM12" s="2698"/>
      <c r="AN12" s="2698"/>
      <c r="AO12" s="2698"/>
      <c r="AP12" s="2698"/>
      <c r="AQ12" s="2698"/>
      <c r="AR12" s="2700" t="s">
        <v>1484</v>
      </c>
      <c r="AS12" s="2696"/>
      <c r="AT12" s="2696"/>
      <c r="AU12" s="2696"/>
      <c r="AV12" s="2696"/>
      <c r="AW12" s="2696"/>
      <c r="AX12" s="2696"/>
      <c r="AY12" s="2696"/>
      <c r="AZ12" s="2696"/>
      <c r="BA12" s="2740"/>
      <c r="BB12" s="2696"/>
      <c r="BC12" s="2696"/>
      <c r="BD12" s="2712" t="s">
        <v>2585</v>
      </c>
      <c r="BE12" s="2696"/>
      <c r="BF12" s="2696"/>
      <c r="BG12" s="2696"/>
      <c r="BH12" s="2696"/>
      <c r="BI12" s="2696"/>
      <c r="BJ12" s="2696"/>
      <c r="BK12" s="2696"/>
      <c r="BL12" s="2696"/>
      <c r="BM12" s="2696"/>
      <c r="BN12" s="2696"/>
      <c r="BO12" s="2696"/>
      <c r="BP12" s="2696"/>
      <c r="BQ12" s="2701">
        <v>1</v>
      </c>
      <c r="BR12" s="2702">
        <v>1</v>
      </c>
      <c r="BS12" s="2702">
        <v>1</v>
      </c>
      <c r="BT12" s="2702">
        <v>1</v>
      </c>
      <c r="BU12" s="2702">
        <v>1</v>
      </c>
      <c r="BV12" s="2702">
        <v>1</v>
      </c>
      <c r="BW12" s="2702">
        <v>1</v>
      </c>
      <c r="BX12" s="2702">
        <v>1</v>
      </c>
      <c r="BY12" s="2702"/>
      <c r="BZ12" s="2702"/>
      <c r="CA12" s="2702">
        <v>1</v>
      </c>
      <c r="CB12" s="2702">
        <v>1</v>
      </c>
      <c r="CC12" s="2702"/>
      <c r="CD12" s="2702"/>
    </row>
    <row r="13" spans="1:82" ht="23.1" customHeight="1">
      <c r="A13" s="1085">
        <v>8</v>
      </c>
      <c r="B13" s="2694" t="s">
        <v>756</v>
      </c>
      <c r="C13" s="4868" t="s">
        <v>2583</v>
      </c>
      <c r="D13" s="4858">
        <v>43802</v>
      </c>
      <c r="E13" s="2695" t="s">
        <v>235</v>
      </c>
      <c r="F13" s="2696"/>
      <c r="G13" s="2695" t="s">
        <v>202</v>
      </c>
      <c r="H13" s="2696"/>
      <c r="I13" s="2695" t="s">
        <v>231</v>
      </c>
      <c r="J13" s="2696"/>
      <c r="K13" s="2696"/>
      <c r="L13" s="2703"/>
      <c r="M13" s="2695" t="s">
        <v>246</v>
      </c>
      <c r="N13" s="2696"/>
      <c r="O13" s="2695" t="s">
        <v>245</v>
      </c>
      <c r="P13" s="2696"/>
      <c r="Q13" s="2696"/>
      <c r="R13" s="2695" t="s">
        <v>738</v>
      </c>
      <c r="S13" s="2696"/>
      <c r="T13" s="2696"/>
      <c r="U13" s="2696"/>
      <c r="V13" s="2695" t="s">
        <v>739</v>
      </c>
      <c r="W13" s="2695" t="s">
        <v>740</v>
      </c>
      <c r="X13" s="2696"/>
      <c r="Y13" s="2696"/>
      <c r="Z13" s="2696"/>
      <c r="AA13" s="2696"/>
      <c r="AB13" s="2696"/>
      <c r="AC13" s="2696"/>
      <c r="AD13" s="2696"/>
      <c r="AE13" s="2695" t="s">
        <v>741</v>
      </c>
      <c r="AF13" s="2697"/>
      <c r="AG13" s="2697"/>
      <c r="AH13" s="2698"/>
      <c r="AI13" s="2699" t="s">
        <v>757</v>
      </c>
      <c r="AJ13" s="2696"/>
      <c r="AK13" s="2698"/>
      <c r="AL13" s="2698"/>
      <c r="AM13" s="2698"/>
      <c r="AN13" s="2698"/>
      <c r="AO13" s="2698"/>
      <c r="AP13" s="2698"/>
      <c r="AQ13" s="2698"/>
      <c r="AR13" s="2700" t="s">
        <v>1484</v>
      </c>
      <c r="AS13" s="2696"/>
      <c r="AT13" s="2696"/>
      <c r="AU13" s="2696"/>
      <c r="AV13" s="2696"/>
      <c r="AW13" s="2696"/>
      <c r="AX13" s="2696"/>
      <c r="AY13" s="2696"/>
      <c r="AZ13" s="2696"/>
      <c r="BA13" s="2740"/>
      <c r="BB13" s="2696"/>
      <c r="BC13" s="2696"/>
      <c r="BD13" s="2712" t="s">
        <v>2585</v>
      </c>
      <c r="BE13" s="2696"/>
      <c r="BF13" s="2696"/>
      <c r="BG13" s="2696"/>
      <c r="BH13" s="2696"/>
      <c r="BI13" s="2696"/>
      <c r="BJ13" s="2696"/>
      <c r="BK13" s="2696"/>
      <c r="BL13" s="2696"/>
      <c r="BM13" s="2696"/>
      <c r="BN13" s="2696"/>
      <c r="BO13" s="2696"/>
      <c r="BP13" s="2696"/>
      <c r="BQ13" s="2701">
        <v>1</v>
      </c>
      <c r="BR13" s="2702">
        <v>1</v>
      </c>
      <c r="BS13" s="2702">
        <v>1</v>
      </c>
      <c r="BT13" s="2702">
        <v>1</v>
      </c>
      <c r="BU13" s="2702">
        <v>1</v>
      </c>
      <c r="BV13" s="2702">
        <v>1</v>
      </c>
      <c r="BW13" s="2702">
        <v>1</v>
      </c>
      <c r="BX13" s="2702">
        <v>1</v>
      </c>
      <c r="BY13" s="2702"/>
      <c r="BZ13" s="2702"/>
      <c r="CA13" s="2702">
        <v>1</v>
      </c>
      <c r="CB13" s="2702">
        <v>1</v>
      </c>
      <c r="CC13" s="2702"/>
      <c r="CD13" s="2702"/>
    </row>
    <row r="14" spans="1:82" ht="23.1" customHeight="1">
      <c r="A14" s="1085">
        <v>9</v>
      </c>
      <c r="B14" s="2694" t="s">
        <v>758</v>
      </c>
      <c r="C14" s="4868" t="s">
        <v>2583</v>
      </c>
      <c r="D14" s="4858">
        <v>43802</v>
      </c>
      <c r="E14" s="2695" t="s">
        <v>235</v>
      </c>
      <c r="F14" s="2696"/>
      <c r="G14" s="2695" t="s">
        <v>202</v>
      </c>
      <c r="H14" s="2696"/>
      <c r="I14" s="2696"/>
      <c r="J14" s="2696"/>
      <c r="K14" s="2696"/>
      <c r="L14" s="2696"/>
      <c r="M14" s="2696"/>
      <c r="N14" s="2696"/>
      <c r="O14" s="2695" t="s">
        <v>245</v>
      </c>
      <c r="P14" s="2696"/>
      <c r="Q14" s="2696"/>
      <c r="R14" s="2695" t="s">
        <v>738</v>
      </c>
      <c r="S14" s="2695" t="s">
        <v>744</v>
      </c>
      <c r="T14" s="2696"/>
      <c r="U14" s="2696"/>
      <c r="V14" s="2695" t="s">
        <v>739</v>
      </c>
      <c r="W14" s="2695" t="s">
        <v>204</v>
      </c>
      <c r="X14" s="2696"/>
      <c r="Y14" s="2696"/>
      <c r="Z14" s="2696"/>
      <c r="AA14" s="2696"/>
      <c r="AB14" s="2696"/>
      <c r="AC14" s="2696"/>
      <c r="AD14" s="2696"/>
      <c r="AE14" s="2695" t="s">
        <v>741</v>
      </c>
      <c r="AF14" s="2697"/>
      <c r="AG14" s="2697"/>
      <c r="AH14" s="2698"/>
      <c r="AI14" s="2699" t="s">
        <v>759</v>
      </c>
      <c r="AJ14" s="2696"/>
      <c r="AK14" s="2696"/>
      <c r="AL14" s="2696"/>
      <c r="AM14" s="2696"/>
      <c r="AN14" s="2696"/>
      <c r="AO14" s="2696"/>
      <c r="AP14" s="2696"/>
      <c r="AQ14" s="2696"/>
      <c r="AR14" s="2700" t="s">
        <v>1484</v>
      </c>
      <c r="AS14" s="2696"/>
      <c r="AT14" s="2696"/>
      <c r="AU14" s="2696"/>
      <c r="AV14" s="2696"/>
      <c r="AW14" s="2696"/>
      <c r="AX14" s="2696"/>
      <c r="AY14" s="2696"/>
      <c r="AZ14" s="2696"/>
      <c r="BA14" s="2740"/>
      <c r="BB14" s="2696"/>
      <c r="BC14" s="2696"/>
      <c r="BD14" s="2712" t="s">
        <v>2585</v>
      </c>
      <c r="BE14" s="2696"/>
      <c r="BF14" s="2696"/>
      <c r="BG14" s="2696"/>
      <c r="BH14" s="2696"/>
      <c r="BI14" s="2696"/>
      <c r="BJ14" s="2696"/>
      <c r="BK14" s="2696"/>
      <c r="BL14" s="2696"/>
      <c r="BM14" s="2696"/>
      <c r="BN14" s="2696"/>
      <c r="BO14" s="2696"/>
      <c r="BP14" s="2696"/>
      <c r="BQ14" s="2701">
        <v>1</v>
      </c>
      <c r="BR14" s="2702">
        <v>1</v>
      </c>
      <c r="BS14" s="2702">
        <v>1</v>
      </c>
      <c r="BT14" s="2702">
        <v>1</v>
      </c>
      <c r="BU14" s="2702">
        <v>1</v>
      </c>
      <c r="BV14" s="2702">
        <v>1</v>
      </c>
      <c r="BW14" s="2702">
        <v>1</v>
      </c>
      <c r="BX14" s="2702">
        <v>1</v>
      </c>
      <c r="BY14" s="2702"/>
      <c r="BZ14" s="2702"/>
      <c r="CA14" s="2702">
        <v>1</v>
      </c>
      <c r="CB14" s="2702">
        <v>1</v>
      </c>
      <c r="CC14" s="2702"/>
      <c r="CD14" s="2702"/>
    </row>
    <row r="15" spans="1:82" ht="23.1" customHeight="1">
      <c r="A15" s="1085">
        <v>10</v>
      </c>
      <c r="B15" s="2694" t="s">
        <v>760</v>
      </c>
      <c r="C15" s="4868" t="s">
        <v>2583</v>
      </c>
      <c r="D15" s="4858">
        <v>43802</v>
      </c>
      <c r="E15" s="2704" t="s">
        <v>761</v>
      </c>
      <c r="F15" s="2696"/>
      <c r="G15" s="2696"/>
      <c r="H15" s="2696"/>
      <c r="I15" s="2696"/>
      <c r="J15" s="2696"/>
      <c r="K15" s="2696"/>
      <c r="L15" s="2696"/>
      <c r="M15" s="2696"/>
      <c r="N15" s="2696"/>
      <c r="O15" s="2695" t="s">
        <v>245</v>
      </c>
      <c r="P15" s="2696"/>
      <c r="Q15" s="2696"/>
      <c r="R15" s="2695" t="s">
        <v>738</v>
      </c>
      <c r="S15" s="2695" t="s">
        <v>744</v>
      </c>
      <c r="T15" s="2696"/>
      <c r="U15" s="2696"/>
      <c r="V15" s="2695" t="s">
        <v>739</v>
      </c>
      <c r="W15" s="2695" t="s">
        <v>204</v>
      </c>
      <c r="X15" s="2696"/>
      <c r="Y15" s="2696"/>
      <c r="Z15" s="2696"/>
      <c r="AA15" s="2696"/>
      <c r="AB15" s="2696"/>
      <c r="AC15" s="2696"/>
      <c r="AD15" s="2696"/>
      <c r="AE15" s="2695" t="s">
        <v>741</v>
      </c>
      <c r="AF15" s="2697"/>
      <c r="AG15" s="2697"/>
      <c r="AH15" s="2698"/>
      <c r="AI15" s="2699" t="s">
        <v>762</v>
      </c>
      <c r="AJ15" s="2696"/>
      <c r="AK15" s="2696"/>
      <c r="AL15" s="2696"/>
      <c r="AM15" s="2696"/>
      <c r="AN15" s="2696"/>
      <c r="AO15" s="2696"/>
      <c r="AP15" s="2696"/>
      <c r="AQ15" s="2696"/>
      <c r="AR15" s="2700" t="s">
        <v>1484</v>
      </c>
      <c r="AS15" s="2696"/>
      <c r="AT15" s="2696"/>
      <c r="AU15" s="2696"/>
      <c r="AV15" s="2696"/>
      <c r="AW15" s="2696"/>
      <c r="AX15" s="2696"/>
      <c r="AY15" s="2696"/>
      <c r="AZ15" s="2696"/>
      <c r="BA15" s="2740"/>
      <c r="BB15" s="2696"/>
      <c r="BC15" s="2696"/>
      <c r="BD15" s="4836" t="s">
        <v>2585</v>
      </c>
      <c r="BE15" s="2696"/>
      <c r="BF15" s="2696"/>
      <c r="BG15" s="2696"/>
      <c r="BH15" s="2696"/>
      <c r="BI15" s="2696"/>
      <c r="BJ15" s="2696"/>
      <c r="BK15" s="2696"/>
      <c r="BL15" s="2696"/>
      <c r="BM15" s="2696"/>
      <c r="BN15" s="2696"/>
      <c r="BO15" s="2696"/>
      <c r="BP15" s="2696"/>
      <c r="BQ15" s="2701">
        <v>1</v>
      </c>
      <c r="BR15" s="2702">
        <v>1</v>
      </c>
      <c r="BS15" s="2702">
        <v>1</v>
      </c>
      <c r="BT15" s="2702">
        <v>1</v>
      </c>
      <c r="BU15" s="2702">
        <v>1</v>
      </c>
      <c r="BV15" s="2702">
        <v>1</v>
      </c>
      <c r="BW15" s="2702">
        <v>1</v>
      </c>
      <c r="BX15" s="2702">
        <v>1</v>
      </c>
      <c r="BY15" s="2702"/>
      <c r="BZ15" s="2702"/>
      <c r="CA15" s="2702">
        <v>1</v>
      </c>
      <c r="CB15" s="2702">
        <v>1</v>
      </c>
      <c r="CC15" s="2702"/>
      <c r="CD15" s="2702"/>
    </row>
    <row r="16" spans="1:82" ht="14.4">
      <c r="A16" s="200"/>
      <c r="B16" s="2705" t="s">
        <v>342</v>
      </c>
      <c r="C16" s="4869"/>
      <c r="D16" s="2706"/>
      <c r="E16" s="2707"/>
      <c r="F16" s="2707"/>
      <c r="G16" s="2707"/>
      <c r="H16" s="2707"/>
      <c r="I16" s="2707"/>
      <c r="J16" s="2707"/>
      <c r="K16" s="2707"/>
      <c r="L16" s="2707"/>
      <c r="M16" s="2707"/>
      <c r="N16" s="2707"/>
      <c r="O16" s="2707"/>
      <c r="P16" s="2707"/>
      <c r="Q16" s="2707"/>
      <c r="R16" s="2707"/>
      <c r="S16" s="2707"/>
      <c r="T16" s="2707"/>
      <c r="U16" s="2707"/>
      <c r="V16" s="2707"/>
      <c r="W16" s="2708"/>
      <c r="X16" s="2707"/>
      <c r="Y16" s="2707"/>
      <c r="Z16" s="2708"/>
      <c r="AA16" s="2707"/>
      <c r="AB16" s="2707"/>
      <c r="AC16" s="2707"/>
      <c r="AD16" s="2707"/>
      <c r="AE16" s="2707"/>
      <c r="AF16" s="2707"/>
      <c r="AG16" s="2707"/>
      <c r="AH16" s="2707"/>
      <c r="AI16" s="2707"/>
      <c r="AJ16" s="2707"/>
      <c r="AK16" s="2707"/>
      <c r="AL16" s="2709"/>
      <c r="AM16" s="2709"/>
      <c r="AN16" s="2709"/>
      <c r="AO16" s="2709"/>
      <c r="AP16" s="2709"/>
      <c r="AQ16" s="2709"/>
      <c r="AR16" s="2709"/>
      <c r="AS16" s="2709"/>
      <c r="AT16" s="2709"/>
      <c r="AU16" s="2709"/>
      <c r="AV16" s="2709"/>
      <c r="AW16" s="2709"/>
      <c r="AX16" s="2709"/>
      <c r="AY16" s="2709"/>
      <c r="AZ16" s="2709"/>
      <c r="BA16" s="2709"/>
      <c r="BB16" s="4851"/>
      <c r="BC16" s="2709"/>
      <c r="BD16" s="4837"/>
      <c r="BE16" s="4837"/>
      <c r="BF16" s="4837"/>
      <c r="BG16" s="4837"/>
      <c r="BH16" s="4837"/>
      <c r="BI16" s="4837"/>
      <c r="BJ16" s="4847"/>
      <c r="BK16" s="5932"/>
      <c r="BL16" s="5932"/>
      <c r="BM16" s="5932"/>
      <c r="BN16" s="6426"/>
      <c r="BO16" s="6426"/>
      <c r="BP16" s="6426"/>
      <c r="BQ16" s="2710"/>
      <c r="BR16" s="2710"/>
      <c r="BS16" s="2710"/>
      <c r="BT16" s="2710"/>
      <c r="BU16" s="2710"/>
      <c r="BV16" s="2710"/>
      <c r="BW16" s="2710"/>
      <c r="BX16" s="2710"/>
      <c r="BY16" s="2710"/>
      <c r="BZ16" s="2710"/>
      <c r="CA16" s="2710"/>
      <c r="CB16" s="2710"/>
      <c r="CC16" s="2710"/>
      <c r="CD16" s="2710"/>
    </row>
    <row r="17" spans="1:82" ht="23.1" customHeight="1">
      <c r="A17" s="1085">
        <v>11</v>
      </c>
      <c r="B17" s="2694" t="s">
        <v>763</v>
      </c>
      <c r="C17" s="4868" t="s">
        <v>2826</v>
      </c>
      <c r="D17" s="4859">
        <v>44447</v>
      </c>
      <c r="E17" s="2696"/>
      <c r="F17" s="2696"/>
      <c r="G17" s="2696"/>
      <c r="H17" s="2711"/>
      <c r="I17" s="2695" t="s">
        <v>205</v>
      </c>
      <c r="J17" s="2696"/>
      <c r="K17" s="2696"/>
      <c r="L17" s="2696"/>
      <c r="M17" s="2695" t="s">
        <v>246</v>
      </c>
      <c r="N17" s="2703"/>
      <c r="O17" s="2696"/>
      <c r="P17" s="2696"/>
      <c r="Q17" s="2696"/>
      <c r="R17" s="2696"/>
      <c r="S17" s="2696"/>
      <c r="T17" s="2696"/>
      <c r="U17" s="2696"/>
      <c r="V17" s="2696"/>
      <c r="W17" s="2696"/>
      <c r="X17" s="2696"/>
      <c r="Y17" s="2696"/>
      <c r="Z17" s="2696"/>
      <c r="AA17" s="2696"/>
      <c r="AB17" s="2696"/>
      <c r="AC17" s="2696"/>
      <c r="AD17" s="2695" t="s">
        <v>764</v>
      </c>
      <c r="AE17" s="2696"/>
      <c r="AF17" s="2697"/>
      <c r="AG17" s="2697"/>
      <c r="AH17" s="2698"/>
      <c r="AI17" s="2712" t="s">
        <v>602</v>
      </c>
      <c r="AJ17" s="2713"/>
      <c r="AK17" s="2712" t="s">
        <v>602</v>
      </c>
      <c r="AL17" s="2713"/>
      <c r="AM17" s="2712" t="s">
        <v>821</v>
      </c>
      <c r="AN17" s="2713"/>
      <c r="AO17" s="2713"/>
      <c r="AP17" s="2713"/>
      <c r="AQ17" s="2713"/>
      <c r="AR17" s="2714"/>
      <c r="AS17" s="2713"/>
      <c r="AT17" s="2712" t="s">
        <v>1697</v>
      </c>
      <c r="AU17" s="2712" t="s">
        <v>1701</v>
      </c>
      <c r="AV17" s="2713"/>
      <c r="AW17" s="2713"/>
      <c r="AX17" s="2713"/>
      <c r="AY17" s="2713"/>
      <c r="AZ17" s="2713"/>
      <c r="BA17" s="2714"/>
      <c r="BB17" s="2713"/>
      <c r="BC17" s="2713"/>
      <c r="BD17" s="2713"/>
      <c r="BE17" s="2713"/>
      <c r="BF17" s="2713"/>
      <c r="BG17" s="2713"/>
      <c r="BH17" s="2713"/>
      <c r="BI17" s="2712" t="s">
        <v>2821</v>
      </c>
      <c r="BJ17" s="3339"/>
      <c r="BK17" s="2713"/>
      <c r="BL17" s="3339"/>
      <c r="BM17" s="3339"/>
      <c r="BN17" s="2713"/>
      <c r="BO17" s="3339"/>
      <c r="BP17" s="3339"/>
      <c r="BQ17" s="2701"/>
      <c r="BR17" s="2702">
        <v>1</v>
      </c>
      <c r="BS17" s="2702">
        <v>1</v>
      </c>
      <c r="BT17" s="2702">
        <v>1</v>
      </c>
      <c r="BU17" s="2702">
        <v>1</v>
      </c>
      <c r="BV17" s="2702">
        <v>1</v>
      </c>
      <c r="BW17" s="2702">
        <v>1</v>
      </c>
      <c r="BX17" s="2702">
        <v>1</v>
      </c>
      <c r="BY17" s="2702">
        <v>1</v>
      </c>
      <c r="BZ17" s="2702"/>
      <c r="CA17" s="2702"/>
      <c r="CB17" s="2702">
        <v>1</v>
      </c>
      <c r="CC17" s="2702">
        <v>1</v>
      </c>
      <c r="CD17" s="2702">
        <v>1</v>
      </c>
    </row>
    <row r="18" spans="1:82" ht="23.1" customHeight="1">
      <c r="A18" s="1085">
        <v>12</v>
      </c>
      <c r="B18" s="2694" t="s">
        <v>765</v>
      </c>
      <c r="C18" s="4868" t="s">
        <v>2467</v>
      </c>
      <c r="D18" s="4859">
        <v>43306</v>
      </c>
      <c r="E18" s="2696"/>
      <c r="F18" s="2695" t="s">
        <v>766</v>
      </c>
      <c r="G18" s="2696"/>
      <c r="H18" s="2696"/>
      <c r="I18" s="2695" t="s">
        <v>766</v>
      </c>
      <c r="J18" s="2696"/>
      <c r="K18" s="2695" t="s">
        <v>1485</v>
      </c>
      <c r="L18" s="2696"/>
      <c r="M18" s="2696"/>
      <c r="N18" s="2696"/>
      <c r="O18" s="2696"/>
      <c r="P18" s="2696"/>
      <c r="Q18" s="2696"/>
      <c r="R18" s="2696"/>
      <c r="S18" s="2696"/>
      <c r="T18" s="2696"/>
      <c r="U18" s="2696"/>
      <c r="V18" s="2696"/>
      <c r="W18" s="2696"/>
      <c r="X18" s="2696"/>
      <c r="Y18" s="2696"/>
      <c r="Z18" s="2696"/>
      <c r="AA18" s="2696"/>
      <c r="AB18" s="2696"/>
      <c r="AC18" s="2696"/>
      <c r="AD18" s="2695" t="s">
        <v>764</v>
      </c>
      <c r="AE18" s="2696"/>
      <c r="AF18" s="2697"/>
      <c r="AG18" s="2697"/>
      <c r="AH18" s="2698"/>
      <c r="AI18" s="2712" t="s">
        <v>602</v>
      </c>
      <c r="AJ18" s="2713"/>
      <c r="AK18" s="2713"/>
      <c r="AL18" s="2713"/>
      <c r="AM18" s="2713"/>
      <c r="AN18" s="2713"/>
      <c r="AO18" s="2713"/>
      <c r="AP18" s="2713"/>
      <c r="AQ18" s="2713"/>
      <c r="AR18" s="2714"/>
      <c r="AS18" s="2713"/>
      <c r="AT18" s="2712" t="s">
        <v>1697</v>
      </c>
      <c r="AU18" s="2713"/>
      <c r="AV18" s="2713"/>
      <c r="AW18" s="2713"/>
      <c r="AX18" s="2713"/>
      <c r="AY18" s="2713"/>
      <c r="AZ18" s="2713"/>
      <c r="BA18" s="2738" t="s">
        <v>2353</v>
      </c>
      <c r="BB18" s="2713"/>
      <c r="BC18" s="2713"/>
      <c r="BD18" s="2713"/>
      <c r="BE18" s="2713"/>
      <c r="BF18" s="2713"/>
      <c r="BG18" s="2713"/>
      <c r="BH18" s="2713"/>
      <c r="BI18" s="2713"/>
      <c r="BJ18" s="2713"/>
      <c r="BK18" s="2713"/>
      <c r="BL18" s="2713"/>
      <c r="BM18" s="2713"/>
      <c r="BN18" s="2713"/>
      <c r="BO18" s="2713"/>
      <c r="BP18" s="2713"/>
      <c r="BQ18" s="2701"/>
      <c r="BR18" s="2702">
        <v>1</v>
      </c>
      <c r="BS18" s="2702">
        <v>1</v>
      </c>
      <c r="BT18" s="2702">
        <v>1</v>
      </c>
      <c r="BU18" s="2702">
        <v>1</v>
      </c>
      <c r="BV18" s="2702">
        <v>1</v>
      </c>
      <c r="BW18" s="2702">
        <v>1</v>
      </c>
      <c r="BX18" s="2702">
        <v>1</v>
      </c>
      <c r="BY18" s="2702">
        <v>1</v>
      </c>
      <c r="BZ18" s="2702">
        <v>1</v>
      </c>
      <c r="CA18" s="2702">
        <v>1</v>
      </c>
      <c r="CB18" s="2702"/>
      <c r="CC18" s="2702"/>
      <c r="CD18" s="2702"/>
    </row>
    <row r="19" spans="1:82" ht="23.1" customHeight="1">
      <c r="A19" s="1085">
        <v>13</v>
      </c>
      <c r="B19" s="2694" t="s">
        <v>767</v>
      </c>
      <c r="C19" s="4868" t="s">
        <v>2583</v>
      </c>
      <c r="D19" s="4859" t="s">
        <v>2825</v>
      </c>
      <c r="E19" s="2696"/>
      <c r="F19" s="2696"/>
      <c r="G19" s="2696"/>
      <c r="H19" s="2696"/>
      <c r="I19" s="2696"/>
      <c r="J19" s="2695" t="s">
        <v>206</v>
      </c>
      <c r="K19" s="2703"/>
      <c r="L19" s="2696"/>
      <c r="M19" s="2696"/>
      <c r="N19" s="2695" t="s">
        <v>201</v>
      </c>
      <c r="O19" s="2696"/>
      <c r="P19" s="2703"/>
      <c r="Q19" s="2696"/>
      <c r="R19" s="2711"/>
      <c r="S19" s="2715" t="s">
        <v>1486</v>
      </c>
      <c r="T19" s="2696"/>
      <c r="U19" s="2703"/>
      <c r="V19" s="2695" t="s">
        <v>768</v>
      </c>
      <c r="W19" s="2703"/>
      <c r="X19" s="2695" t="s">
        <v>769</v>
      </c>
      <c r="Y19" s="2696"/>
      <c r="Z19" s="2703"/>
      <c r="AA19" s="2696"/>
      <c r="AB19" s="2696"/>
      <c r="AC19" s="2696"/>
      <c r="AD19" s="2695" t="s">
        <v>230</v>
      </c>
      <c r="AE19" s="2696"/>
      <c r="AF19" s="2697"/>
      <c r="AG19" s="2697"/>
      <c r="AH19" s="2698"/>
      <c r="AI19" s="2712" t="s">
        <v>602</v>
      </c>
      <c r="AJ19" s="2713"/>
      <c r="AK19" s="2712" t="s">
        <v>602</v>
      </c>
      <c r="AL19" s="2713"/>
      <c r="AM19" s="2712" t="s">
        <v>821</v>
      </c>
      <c r="AN19" s="2713"/>
      <c r="AO19" s="2713"/>
      <c r="AP19" s="2713"/>
      <c r="AQ19" s="2713"/>
      <c r="AR19" s="2714"/>
      <c r="AS19" s="2713"/>
      <c r="AT19" s="2712" t="s">
        <v>1697</v>
      </c>
      <c r="AU19" s="2713"/>
      <c r="AV19" s="2713"/>
      <c r="AW19" s="2713"/>
      <c r="AX19" s="2713"/>
      <c r="AY19" s="2713"/>
      <c r="AZ19" s="2712" t="s">
        <v>2354</v>
      </c>
      <c r="BA19" s="2714"/>
      <c r="BB19" s="2712" t="s">
        <v>2472</v>
      </c>
      <c r="BC19" s="2713"/>
      <c r="BD19" s="2713"/>
      <c r="BE19" s="2712" t="s">
        <v>2587</v>
      </c>
      <c r="BF19" s="2713"/>
      <c r="BG19" s="2713"/>
      <c r="BH19" s="2713"/>
      <c r="BI19" s="2713"/>
      <c r="BJ19" s="2713"/>
      <c r="BK19" s="2713"/>
      <c r="BL19" s="2713"/>
      <c r="BM19" s="2713"/>
      <c r="BN19" s="2713"/>
      <c r="BO19" s="2713"/>
      <c r="BP19" s="2713"/>
      <c r="BQ19" s="2701">
        <v>1</v>
      </c>
      <c r="BR19" s="2702">
        <v>1</v>
      </c>
      <c r="BS19" s="2702">
        <v>1</v>
      </c>
      <c r="BT19" s="2702">
        <v>1</v>
      </c>
      <c r="BU19" s="2702">
        <v>1</v>
      </c>
      <c r="BV19" s="2702">
        <v>1</v>
      </c>
      <c r="BW19" s="2702">
        <v>1</v>
      </c>
      <c r="BX19" s="2702">
        <v>1</v>
      </c>
      <c r="BY19" s="2702">
        <v>1</v>
      </c>
      <c r="BZ19" s="2702">
        <v>1</v>
      </c>
      <c r="CA19" s="2702">
        <v>1</v>
      </c>
      <c r="CB19" s="2702">
        <v>1</v>
      </c>
      <c r="CC19" s="2702">
        <v>1</v>
      </c>
      <c r="CD19" s="2702"/>
    </row>
    <row r="20" spans="1:82" ht="23.1" customHeight="1">
      <c r="A20" s="1085">
        <v>14</v>
      </c>
      <c r="B20" s="2694" t="s">
        <v>770</v>
      </c>
      <c r="C20" s="4868" t="s">
        <v>2827</v>
      </c>
      <c r="D20" s="4859">
        <v>42529</v>
      </c>
      <c r="E20" s="2696"/>
      <c r="F20" s="2695" t="s">
        <v>771</v>
      </c>
      <c r="G20" s="2703"/>
      <c r="H20" s="2696"/>
      <c r="I20" s="2695" t="s">
        <v>202</v>
      </c>
      <c r="J20" s="2696"/>
      <c r="K20" s="2696"/>
      <c r="L20" s="2696"/>
      <c r="M20" s="2696"/>
      <c r="N20" s="2696"/>
      <c r="O20" s="2696"/>
      <c r="P20" s="2696"/>
      <c r="Q20" s="2696"/>
      <c r="R20" s="2695" t="s">
        <v>207</v>
      </c>
      <c r="S20" s="2696"/>
      <c r="T20" s="2696"/>
      <c r="U20" s="2695" t="s">
        <v>247</v>
      </c>
      <c r="V20" s="2696"/>
      <c r="W20" s="2696"/>
      <c r="X20" s="2696"/>
      <c r="Y20" s="2696"/>
      <c r="Z20" s="2696"/>
      <c r="AA20" s="2696"/>
      <c r="AB20" s="2696"/>
      <c r="AC20" s="2696"/>
      <c r="AD20" s="2695" t="s">
        <v>764</v>
      </c>
      <c r="AE20" s="2696"/>
      <c r="AF20" s="2697"/>
      <c r="AG20" s="2697"/>
      <c r="AH20" s="2698"/>
      <c r="AI20" s="2712" t="s">
        <v>602</v>
      </c>
      <c r="AJ20" s="2713"/>
      <c r="AK20" s="2712" t="s">
        <v>602</v>
      </c>
      <c r="AL20" s="2713"/>
      <c r="AM20" s="2712" t="s">
        <v>821</v>
      </c>
      <c r="AN20" s="2713"/>
      <c r="AO20" s="2713"/>
      <c r="AP20" s="2713"/>
      <c r="AQ20" s="2713"/>
      <c r="AR20" s="2714"/>
      <c r="AS20" s="2713"/>
      <c r="AT20" s="2712" t="s">
        <v>1697</v>
      </c>
      <c r="AU20" s="2713"/>
      <c r="AV20" s="2713"/>
      <c r="AW20" s="2713"/>
      <c r="AX20" s="2713"/>
      <c r="AY20" s="2713"/>
      <c r="AZ20" s="2713"/>
      <c r="BA20" s="2714"/>
      <c r="BB20" s="2713"/>
      <c r="BC20" s="2713"/>
      <c r="BD20" s="2713"/>
      <c r="BE20" s="2713"/>
      <c r="BF20" s="2713"/>
      <c r="BG20" s="2713"/>
      <c r="BH20" s="2713"/>
      <c r="BI20" s="2713"/>
      <c r="BJ20" s="2713"/>
      <c r="BK20" s="2713"/>
      <c r="BL20" s="2713"/>
      <c r="BM20" s="2713"/>
      <c r="BN20" s="2713"/>
      <c r="BO20" s="2713"/>
      <c r="BP20" s="2713"/>
      <c r="BQ20" s="2701">
        <v>1</v>
      </c>
      <c r="BR20" s="2702">
        <v>1</v>
      </c>
      <c r="BS20" s="2702">
        <v>1</v>
      </c>
      <c r="BT20" s="2702">
        <v>1</v>
      </c>
      <c r="BU20" s="2702">
        <v>1</v>
      </c>
      <c r="BV20" s="2702">
        <v>1</v>
      </c>
      <c r="BW20" s="2702">
        <v>1</v>
      </c>
      <c r="BX20" s="2702">
        <v>1</v>
      </c>
      <c r="BY20" s="2702">
        <v>1</v>
      </c>
      <c r="BZ20" s="2702"/>
      <c r="CA20" s="2702">
        <v>1</v>
      </c>
      <c r="CB20" s="2702"/>
      <c r="CC20" s="2702"/>
      <c r="CD20" s="2702"/>
    </row>
    <row r="21" spans="1:82" ht="14.4">
      <c r="A21" s="200"/>
      <c r="B21" s="2705" t="s">
        <v>343</v>
      </c>
      <c r="C21" s="4869"/>
      <c r="D21" s="2706"/>
      <c r="E21" s="2707"/>
      <c r="F21" s="2707"/>
      <c r="G21" s="2707"/>
      <c r="H21" s="2707"/>
      <c r="I21" s="2707"/>
      <c r="J21" s="2707"/>
      <c r="K21" s="2707"/>
      <c r="L21" s="2707"/>
      <c r="M21" s="2707"/>
      <c r="N21" s="2707"/>
      <c r="O21" s="2707"/>
      <c r="P21" s="2707"/>
      <c r="Q21" s="2707"/>
      <c r="R21" s="2707"/>
      <c r="S21" s="2707"/>
      <c r="T21" s="2707"/>
      <c r="U21" s="2707"/>
      <c r="V21" s="2707"/>
      <c r="W21" s="2708"/>
      <c r="X21" s="2707"/>
      <c r="Y21" s="2707"/>
      <c r="Z21" s="2708"/>
      <c r="AA21" s="2707"/>
      <c r="AB21" s="2707"/>
      <c r="AC21" s="2707"/>
      <c r="AD21" s="2707"/>
      <c r="AE21" s="2707"/>
      <c r="AF21" s="2707"/>
      <c r="AG21" s="2707"/>
      <c r="AH21" s="2707"/>
      <c r="AI21" s="2707"/>
      <c r="AJ21" s="2707"/>
      <c r="AK21" s="2707"/>
      <c r="AL21" s="2709"/>
      <c r="AM21" s="2709"/>
      <c r="AN21" s="2709"/>
      <c r="AO21" s="2709"/>
      <c r="AP21" s="2709"/>
      <c r="AQ21" s="2709"/>
      <c r="AR21" s="2709"/>
      <c r="AS21" s="2709"/>
      <c r="AT21" s="2709"/>
      <c r="AU21" s="2709"/>
      <c r="AV21" s="2709"/>
      <c r="AW21" s="2709"/>
      <c r="AX21" s="2709"/>
      <c r="AY21" s="2709"/>
      <c r="AZ21" s="2709"/>
      <c r="BA21" s="2709"/>
      <c r="BB21" s="4851"/>
      <c r="BC21" s="2709"/>
      <c r="BD21" s="4837"/>
      <c r="BE21" s="4837"/>
      <c r="BF21" s="4837"/>
      <c r="BG21" s="4837"/>
      <c r="BH21" s="4837"/>
      <c r="BI21" s="4837"/>
      <c r="BJ21" s="4847"/>
      <c r="BK21" s="2709"/>
      <c r="BL21" s="2709"/>
      <c r="BM21" s="2709"/>
      <c r="BN21" s="2709"/>
      <c r="BO21" s="2709"/>
      <c r="BP21" s="2709"/>
      <c r="BQ21" s="2710"/>
      <c r="BR21" s="2710"/>
      <c r="BS21" s="2710"/>
      <c r="BT21" s="2710"/>
      <c r="BU21" s="2710"/>
      <c r="BV21" s="2710"/>
      <c r="BW21" s="2710"/>
      <c r="BX21" s="2710"/>
      <c r="BY21" s="2710"/>
      <c r="BZ21" s="2710"/>
      <c r="CA21" s="2710"/>
      <c r="CB21" s="2710"/>
      <c r="CC21" s="2710"/>
      <c r="CD21" s="2710"/>
    </row>
    <row r="22" spans="1:82" ht="23.1" customHeight="1">
      <c r="A22" s="1085">
        <v>15</v>
      </c>
      <c r="B22" s="2694" t="s">
        <v>772</v>
      </c>
      <c r="C22" s="4868" t="s">
        <v>2582</v>
      </c>
      <c r="D22" s="4860">
        <v>44032</v>
      </c>
      <c r="E22" s="2696"/>
      <c r="F22" s="2696"/>
      <c r="G22" s="2696"/>
      <c r="H22" s="2696"/>
      <c r="I22" s="2696"/>
      <c r="J22" s="2696"/>
      <c r="K22" s="2695" t="s">
        <v>773</v>
      </c>
      <c r="L22" s="2696"/>
      <c r="M22" s="2696"/>
      <c r="N22" s="2696"/>
      <c r="O22" s="2696"/>
      <c r="P22" s="2696"/>
      <c r="Q22" s="2696"/>
      <c r="R22" s="2696"/>
      <c r="S22" s="2696"/>
      <c r="T22" s="2696"/>
      <c r="U22" s="2696"/>
      <c r="V22" s="2696"/>
      <c r="W22" s="2696"/>
      <c r="X22" s="2696"/>
      <c r="Y22" s="2696"/>
      <c r="Z22" s="2696"/>
      <c r="AA22" s="2696"/>
      <c r="AB22" s="2696"/>
      <c r="AC22" s="2696"/>
      <c r="AD22" s="2696"/>
      <c r="AE22" s="2696"/>
      <c r="AF22" s="2697"/>
      <c r="AG22" s="2697"/>
      <c r="AH22" s="2697"/>
      <c r="AI22" s="2697"/>
      <c r="AJ22" s="2697"/>
      <c r="AK22" s="2697"/>
      <c r="AL22" s="2697"/>
      <c r="AM22" s="2697"/>
      <c r="AN22" s="2713"/>
      <c r="AO22" s="2697"/>
      <c r="AP22" s="2697"/>
      <c r="AQ22" s="2697"/>
      <c r="AR22" s="2716"/>
      <c r="AS22" s="2697"/>
      <c r="AT22" s="2697"/>
      <c r="AU22" s="2712" t="s">
        <v>1701</v>
      </c>
      <c r="AV22" s="2713"/>
      <c r="AW22" s="2713"/>
      <c r="AX22" s="2713"/>
      <c r="AY22" s="2713"/>
      <c r="AZ22" s="2713"/>
      <c r="BA22" s="2714"/>
      <c r="BB22" s="2713"/>
      <c r="BC22" s="2713"/>
      <c r="BD22" s="2713"/>
      <c r="BE22" s="4835" t="s">
        <v>2588</v>
      </c>
      <c r="BF22" s="2713"/>
      <c r="BG22" s="2713"/>
      <c r="BH22" s="2713"/>
      <c r="BI22" s="2713"/>
      <c r="BJ22" s="2713"/>
      <c r="BK22" s="2713"/>
      <c r="BL22" s="2713"/>
      <c r="BM22" s="2713"/>
      <c r="BN22" s="2713"/>
      <c r="BO22" s="2713"/>
      <c r="BP22" s="2713"/>
      <c r="BQ22" s="2701"/>
      <c r="BR22" s="2702"/>
      <c r="BS22" s="2702"/>
      <c r="BT22" s="2702"/>
      <c r="BU22" s="2702"/>
      <c r="BV22" s="2702"/>
      <c r="BW22" s="2702">
        <v>1</v>
      </c>
      <c r="BX22" s="2702">
        <v>1</v>
      </c>
      <c r="BY22" s="2702">
        <v>1</v>
      </c>
      <c r="BZ22" s="2702">
        <v>1</v>
      </c>
      <c r="CA22" s="2702">
        <v>1</v>
      </c>
      <c r="CB22" s="2702">
        <v>1</v>
      </c>
      <c r="CC22" s="2702">
        <v>1</v>
      </c>
      <c r="CD22" s="2702"/>
    </row>
    <row r="23" spans="1:82" ht="28.8">
      <c r="A23" s="1085">
        <v>16</v>
      </c>
      <c r="B23" s="2694" t="s">
        <v>774</v>
      </c>
      <c r="C23" s="4868" t="s">
        <v>2582</v>
      </c>
      <c r="D23" s="4860">
        <v>44032</v>
      </c>
      <c r="E23" s="2696"/>
      <c r="F23" s="2696"/>
      <c r="G23" s="2696"/>
      <c r="H23" s="2696"/>
      <c r="I23" s="2696"/>
      <c r="J23" s="2696"/>
      <c r="K23" s="2695" t="s">
        <v>773</v>
      </c>
      <c r="L23" s="2696"/>
      <c r="M23" s="2696"/>
      <c r="N23" s="2696"/>
      <c r="O23" s="2696"/>
      <c r="P23" s="2696"/>
      <c r="Q23" s="2696"/>
      <c r="R23" s="2696"/>
      <c r="S23" s="2696"/>
      <c r="T23" s="2696"/>
      <c r="U23" s="2696"/>
      <c r="V23" s="2696"/>
      <c r="W23" s="2696"/>
      <c r="X23" s="2696"/>
      <c r="Y23" s="2696"/>
      <c r="Z23" s="2696"/>
      <c r="AA23" s="2696"/>
      <c r="AB23" s="2696"/>
      <c r="AC23" s="2696"/>
      <c r="AD23" s="2696"/>
      <c r="AE23" s="2696"/>
      <c r="AF23" s="2697"/>
      <c r="AG23" s="2697"/>
      <c r="AH23" s="2697"/>
      <c r="AI23" s="2697"/>
      <c r="AJ23" s="2697"/>
      <c r="AK23" s="2697"/>
      <c r="AL23" s="2697"/>
      <c r="AM23" s="2697"/>
      <c r="AN23" s="2697"/>
      <c r="AO23" s="2697"/>
      <c r="AP23" s="2697"/>
      <c r="AQ23" s="2697"/>
      <c r="AR23" s="2716"/>
      <c r="AS23" s="2697"/>
      <c r="AT23" s="2697"/>
      <c r="AU23" s="2712" t="s">
        <v>1701</v>
      </c>
      <c r="AV23" s="2713"/>
      <c r="AW23" s="2713"/>
      <c r="AX23" s="2713"/>
      <c r="AY23" s="2713"/>
      <c r="AZ23" s="2713"/>
      <c r="BA23" s="2714"/>
      <c r="BB23" s="2713"/>
      <c r="BC23" s="2713"/>
      <c r="BD23" s="2713"/>
      <c r="BE23" s="2712" t="s">
        <v>2588</v>
      </c>
      <c r="BF23" s="2713"/>
      <c r="BG23" s="2713"/>
      <c r="BH23" s="2713"/>
      <c r="BI23" s="2713"/>
      <c r="BJ23" s="2713"/>
      <c r="BK23" s="2713"/>
      <c r="BL23" s="2713"/>
      <c r="BM23" s="2713"/>
      <c r="BN23" s="2713"/>
      <c r="BO23" s="2713"/>
      <c r="BP23" s="2713"/>
      <c r="BQ23" s="2701"/>
      <c r="BR23" s="2702"/>
      <c r="BS23" s="2702"/>
      <c r="BT23" s="2702"/>
      <c r="BU23" s="2702"/>
      <c r="BV23" s="2702"/>
      <c r="BW23" s="2702">
        <v>1</v>
      </c>
      <c r="BX23" s="2702">
        <v>1</v>
      </c>
      <c r="BY23" s="2702">
        <v>1</v>
      </c>
      <c r="BZ23" s="2702">
        <v>1</v>
      </c>
      <c r="CA23" s="2702">
        <v>1</v>
      </c>
      <c r="CB23" s="2702">
        <v>1</v>
      </c>
      <c r="CC23" s="2702">
        <v>1</v>
      </c>
      <c r="CD23" s="2702"/>
    </row>
    <row r="24" spans="1:82" ht="23.1" customHeight="1">
      <c r="A24" s="1085">
        <v>17</v>
      </c>
      <c r="B24" s="2694" t="s">
        <v>775</v>
      </c>
      <c r="C24" s="4868" t="s">
        <v>2582</v>
      </c>
      <c r="D24" s="4860">
        <v>44032</v>
      </c>
      <c r="E24" s="2696"/>
      <c r="F24" s="2696"/>
      <c r="G24" s="2696"/>
      <c r="H24" s="2696"/>
      <c r="I24" s="2696"/>
      <c r="J24" s="2696"/>
      <c r="K24" s="2695" t="s">
        <v>773</v>
      </c>
      <c r="L24" s="2696"/>
      <c r="M24" s="2696"/>
      <c r="N24" s="2696"/>
      <c r="O24" s="2696"/>
      <c r="P24" s="2696"/>
      <c r="Q24" s="2696"/>
      <c r="R24" s="2696"/>
      <c r="S24" s="2696"/>
      <c r="T24" s="2696"/>
      <c r="U24" s="2696"/>
      <c r="V24" s="2696"/>
      <c r="W24" s="2696"/>
      <c r="X24" s="2696"/>
      <c r="Y24" s="2696"/>
      <c r="Z24" s="2696"/>
      <c r="AA24" s="2696"/>
      <c r="AB24" s="2696"/>
      <c r="AC24" s="2696"/>
      <c r="AD24" s="2696"/>
      <c r="AE24" s="2696"/>
      <c r="AF24" s="2697"/>
      <c r="AG24" s="2697"/>
      <c r="AH24" s="2697"/>
      <c r="AI24" s="2697"/>
      <c r="AJ24" s="2697"/>
      <c r="AK24" s="2697"/>
      <c r="AL24" s="2697"/>
      <c r="AM24" s="2697"/>
      <c r="AN24" s="2697"/>
      <c r="AO24" s="2697"/>
      <c r="AP24" s="2697"/>
      <c r="AQ24" s="2697"/>
      <c r="AR24" s="2716"/>
      <c r="AS24" s="2697"/>
      <c r="AT24" s="2697"/>
      <c r="AU24" s="2712" t="s">
        <v>1701</v>
      </c>
      <c r="AV24" s="2713"/>
      <c r="AW24" s="2713"/>
      <c r="AX24" s="2713"/>
      <c r="AY24" s="2713"/>
      <c r="AZ24" s="2713"/>
      <c r="BA24" s="2714"/>
      <c r="BB24" s="2713"/>
      <c r="BC24" s="2713"/>
      <c r="BD24" s="2713"/>
      <c r="BE24" s="2695" t="s">
        <v>2588</v>
      </c>
      <c r="BF24" s="2713"/>
      <c r="BG24" s="2713"/>
      <c r="BH24" s="2713"/>
      <c r="BI24" s="2713"/>
      <c r="BJ24" s="2713"/>
      <c r="BK24" s="2713"/>
      <c r="BL24" s="2713"/>
      <c r="BM24" s="2713"/>
      <c r="BN24" s="2713"/>
      <c r="BO24" s="2713"/>
      <c r="BP24" s="2713"/>
      <c r="BQ24" s="2701"/>
      <c r="BR24" s="2702"/>
      <c r="BS24" s="2702"/>
      <c r="BT24" s="2702"/>
      <c r="BU24" s="2702"/>
      <c r="BV24" s="2702"/>
      <c r="BW24" s="2702">
        <v>1</v>
      </c>
      <c r="BX24" s="2702">
        <v>1</v>
      </c>
      <c r="BY24" s="2702">
        <v>1</v>
      </c>
      <c r="BZ24" s="2702">
        <v>1</v>
      </c>
      <c r="CA24" s="2702">
        <v>1</v>
      </c>
      <c r="CB24" s="2702">
        <v>1</v>
      </c>
      <c r="CC24" s="2702">
        <v>1</v>
      </c>
      <c r="CD24" s="2702"/>
    </row>
    <row r="25" spans="1:82" ht="23.1" customHeight="1">
      <c r="A25" s="1085">
        <v>18</v>
      </c>
      <c r="B25" s="5984" t="s">
        <v>3331</v>
      </c>
      <c r="C25" s="4868" t="s">
        <v>3279</v>
      </c>
      <c r="D25" s="4860">
        <v>45086</v>
      </c>
      <c r="E25" s="2696"/>
      <c r="F25" s="2696"/>
      <c r="G25" s="2696"/>
      <c r="H25" s="2696"/>
      <c r="I25" s="2696"/>
      <c r="J25" s="2696"/>
      <c r="K25" s="2696"/>
      <c r="L25" s="2696"/>
      <c r="M25" s="2696"/>
      <c r="N25" s="2696"/>
      <c r="O25" s="2696"/>
      <c r="P25" s="2696"/>
      <c r="Q25" s="2696"/>
      <c r="R25" s="2696"/>
      <c r="S25" s="2696"/>
      <c r="T25" s="2696"/>
      <c r="U25" s="2696"/>
      <c r="V25" s="2696"/>
      <c r="W25" s="2696"/>
      <c r="X25" s="2696"/>
      <c r="Y25" s="2696"/>
      <c r="Z25" s="2696"/>
      <c r="AA25" s="2696"/>
      <c r="AB25" s="2696"/>
      <c r="AC25" s="2696"/>
      <c r="AD25" s="2696"/>
      <c r="AE25" s="2696"/>
      <c r="AF25" s="2697"/>
      <c r="AG25" s="2697"/>
      <c r="AH25" s="2697"/>
      <c r="AI25" s="2697"/>
      <c r="AJ25" s="2697"/>
      <c r="AK25" s="2697"/>
      <c r="AL25" s="2697"/>
      <c r="AM25" s="2697"/>
      <c r="AN25" s="2697"/>
      <c r="AO25" s="2697"/>
      <c r="AP25" s="2697"/>
      <c r="AQ25" s="2697"/>
      <c r="AR25" s="2716"/>
      <c r="AS25" s="2697"/>
      <c r="AT25" s="2697"/>
      <c r="AU25" s="2697"/>
      <c r="AV25" s="2713"/>
      <c r="AW25" s="2713"/>
      <c r="AX25" s="2713"/>
      <c r="AY25" s="2713"/>
      <c r="AZ25" s="2713"/>
      <c r="BA25" s="2714"/>
      <c r="BB25" s="2713"/>
      <c r="BC25" s="2713"/>
      <c r="BD25" s="2713"/>
      <c r="BE25" s="2697"/>
      <c r="BF25" s="2713"/>
      <c r="BG25" s="2713"/>
      <c r="BH25" s="2713"/>
      <c r="BI25" s="2713"/>
      <c r="BJ25" s="2713"/>
      <c r="BK25" s="2713"/>
      <c r="BL25" s="2713"/>
      <c r="BM25" s="2713"/>
      <c r="BN25" s="2760" t="s">
        <v>3332</v>
      </c>
      <c r="BO25" s="2713"/>
      <c r="BP25" s="2713"/>
      <c r="BQ25" s="2701"/>
      <c r="BR25" s="2702"/>
      <c r="BS25" s="2702"/>
      <c r="BT25" s="2702"/>
      <c r="BU25" s="2702"/>
      <c r="BV25" s="2702"/>
      <c r="BW25" s="2702"/>
      <c r="BX25" s="2702"/>
      <c r="BY25" s="2702"/>
      <c r="BZ25" s="2702"/>
      <c r="CA25" s="2702"/>
      <c r="CB25" s="2702"/>
      <c r="CC25" s="2702"/>
      <c r="CD25" s="2702">
        <v>1</v>
      </c>
    </row>
    <row r="26" spans="1:82" ht="23.1" customHeight="1">
      <c r="A26" s="1085"/>
      <c r="B26" s="2742" t="s">
        <v>835</v>
      </c>
      <c r="C26" s="4871"/>
      <c r="D26" s="2743"/>
      <c r="E26" s="2744"/>
      <c r="F26" s="2744"/>
      <c r="G26" s="2744"/>
      <c r="H26" s="2744"/>
      <c r="I26" s="2744"/>
      <c r="J26" s="2744"/>
      <c r="K26" s="2744"/>
      <c r="L26" s="2744"/>
      <c r="M26" s="2744"/>
      <c r="N26" s="2744"/>
      <c r="O26" s="2744"/>
      <c r="P26" s="2744"/>
      <c r="Q26" s="2744"/>
      <c r="R26" s="2744"/>
      <c r="S26" s="2744"/>
      <c r="T26" s="2744"/>
      <c r="U26" s="2744"/>
      <c r="V26" s="2744"/>
      <c r="W26" s="2744"/>
      <c r="X26" s="2744"/>
      <c r="Y26" s="2744"/>
      <c r="Z26" s="2744"/>
      <c r="AA26" s="2744"/>
      <c r="AB26" s="2744"/>
      <c r="AC26" s="2744"/>
      <c r="AD26" s="2744"/>
      <c r="AE26" s="2744"/>
      <c r="AF26" s="2744"/>
      <c r="AG26" s="2744"/>
      <c r="AH26" s="2744"/>
      <c r="AI26" s="2744"/>
      <c r="AJ26" s="2744"/>
      <c r="AK26" s="2744"/>
      <c r="AL26" s="2745"/>
      <c r="AM26" s="2745"/>
      <c r="AN26" s="2745"/>
      <c r="AO26" s="2745"/>
      <c r="AP26" s="2745"/>
      <c r="AQ26" s="2745"/>
      <c r="AR26" s="2745"/>
      <c r="AS26" s="2745"/>
      <c r="AT26" s="2745"/>
      <c r="AU26" s="2745"/>
      <c r="AV26" s="2745"/>
      <c r="AW26" s="2745"/>
      <c r="AX26" s="2745"/>
      <c r="AY26" s="2745"/>
      <c r="AZ26" s="2745"/>
      <c r="BA26" s="2745"/>
      <c r="BB26" s="4854"/>
      <c r="BC26" s="2745"/>
      <c r="BD26" s="3917"/>
      <c r="BE26" s="3918"/>
      <c r="BF26" s="3918"/>
      <c r="BG26" s="3918"/>
      <c r="BH26" s="3918"/>
      <c r="BI26" s="3918"/>
      <c r="BJ26" s="3918"/>
      <c r="BK26" s="2745"/>
      <c r="BL26" s="2745"/>
      <c r="BM26" s="2745"/>
      <c r="BN26" s="2745"/>
      <c r="BO26" s="2745"/>
      <c r="BP26" s="2745"/>
      <c r="BQ26" s="2746"/>
      <c r="BR26" s="2746"/>
      <c r="BS26" s="2746"/>
      <c r="BT26" s="2746"/>
      <c r="BU26" s="2746"/>
      <c r="BV26" s="2746"/>
      <c r="BW26" s="2747"/>
      <c r="BX26" s="2747"/>
      <c r="BY26" s="2747"/>
      <c r="BZ26" s="2747"/>
      <c r="CA26" s="2747"/>
      <c r="CB26" s="2747"/>
      <c r="CC26" s="2747"/>
      <c r="CD26" s="2747"/>
    </row>
    <row r="27" spans="1:82" ht="23.1" customHeight="1">
      <c r="A27" s="1085">
        <v>19</v>
      </c>
      <c r="B27" s="2694" t="s">
        <v>763</v>
      </c>
      <c r="C27" s="4868" t="s">
        <v>2833</v>
      </c>
      <c r="D27" s="4860">
        <v>42426</v>
      </c>
      <c r="E27" s="2696"/>
      <c r="F27" s="2696"/>
      <c r="G27" s="2696"/>
      <c r="H27" s="2696"/>
      <c r="I27" s="2696"/>
      <c r="J27" s="2696"/>
      <c r="K27" s="2696"/>
      <c r="L27" s="2704" t="s">
        <v>836</v>
      </c>
      <c r="M27" s="2748" t="s">
        <v>1493</v>
      </c>
      <c r="N27" s="2749" t="s">
        <v>1494</v>
      </c>
      <c r="O27" s="2696"/>
      <c r="P27" s="2696"/>
      <c r="Q27" s="2748" t="s">
        <v>1495</v>
      </c>
      <c r="R27" s="2696"/>
      <c r="S27" s="2696"/>
      <c r="T27" s="2696"/>
      <c r="U27" s="2696"/>
      <c r="V27" s="2696"/>
      <c r="W27" s="2696"/>
      <c r="X27" s="2696"/>
      <c r="Y27" s="2696"/>
      <c r="Z27" s="2695" t="s">
        <v>783</v>
      </c>
      <c r="AA27" s="2703"/>
      <c r="AB27" s="2696"/>
      <c r="AC27" s="2696"/>
      <c r="AD27" s="2696"/>
      <c r="AE27" s="2696"/>
      <c r="AF27" s="2697"/>
      <c r="AG27" s="2697"/>
      <c r="AH27" s="2695" t="s">
        <v>837</v>
      </c>
      <c r="AI27" s="2697"/>
      <c r="AJ27" s="2697"/>
      <c r="AK27" s="2697"/>
      <c r="AL27" s="2697"/>
      <c r="AM27" s="2695" t="s">
        <v>688</v>
      </c>
      <c r="AN27" s="2697"/>
      <c r="AO27" s="2697"/>
      <c r="AP27" s="2697"/>
      <c r="AQ27" s="2697"/>
      <c r="AR27" s="2716"/>
      <c r="AS27" s="2697"/>
      <c r="AT27" s="2697"/>
      <c r="AU27" s="2697"/>
      <c r="AV27" s="2697"/>
      <c r="AW27" s="2697"/>
      <c r="AX27" s="2697"/>
      <c r="AY27" s="2697"/>
      <c r="AZ27" s="2697"/>
      <c r="BA27" s="2716"/>
      <c r="BB27" s="2697"/>
      <c r="BC27" s="2696"/>
      <c r="BD27" s="3910"/>
      <c r="BE27" s="2696"/>
      <c r="BF27" s="2696"/>
      <c r="BG27" s="2696"/>
      <c r="BH27" s="2696"/>
      <c r="BI27" s="2696"/>
      <c r="BJ27" s="2696"/>
      <c r="BK27" s="2696"/>
      <c r="BL27" s="2696"/>
      <c r="BM27" s="2696"/>
      <c r="BN27" s="2700" t="s">
        <v>3280</v>
      </c>
      <c r="BO27" s="2696"/>
      <c r="BP27" s="2696"/>
      <c r="BQ27" s="2701">
        <v>1</v>
      </c>
      <c r="BR27" s="2702">
        <v>1</v>
      </c>
      <c r="BS27" s="2702">
        <v>1</v>
      </c>
      <c r="BT27" s="2702">
        <v>1</v>
      </c>
      <c r="BU27" s="2702">
        <v>1</v>
      </c>
      <c r="BV27" s="2702">
        <v>1</v>
      </c>
      <c r="BW27" s="2702">
        <v>1</v>
      </c>
      <c r="BX27" s="2702"/>
      <c r="BY27" s="2702"/>
      <c r="BZ27" s="2702"/>
      <c r="CA27" s="2702"/>
      <c r="CB27" s="2702"/>
      <c r="CC27" s="2702"/>
      <c r="CD27" s="2702">
        <v>1</v>
      </c>
    </row>
    <row r="28" spans="1:82" ht="23.1" customHeight="1">
      <c r="A28" s="1085">
        <v>20</v>
      </c>
      <c r="B28" s="2694" t="s">
        <v>838</v>
      </c>
      <c r="C28" s="4868" t="s">
        <v>2367</v>
      </c>
      <c r="D28" s="4860">
        <v>42783</v>
      </c>
      <c r="E28" s="2696"/>
      <c r="F28" s="2696"/>
      <c r="G28" s="2696"/>
      <c r="H28" s="2696"/>
      <c r="I28" s="2696"/>
      <c r="J28" s="2696"/>
      <c r="K28" s="2696"/>
      <c r="L28" s="2704" t="s">
        <v>836</v>
      </c>
      <c r="M28" s="2748" t="s">
        <v>1493</v>
      </c>
      <c r="N28" s="2749" t="s">
        <v>1494</v>
      </c>
      <c r="O28" s="2696"/>
      <c r="P28" s="2696"/>
      <c r="Q28" s="2748" t="s">
        <v>1495</v>
      </c>
      <c r="R28" s="2696"/>
      <c r="S28" s="2696"/>
      <c r="T28" s="2696"/>
      <c r="U28" s="2696"/>
      <c r="V28" s="2748" t="s">
        <v>839</v>
      </c>
      <c r="W28" s="2696"/>
      <c r="X28" s="2696"/>
      <c r="Y28" s="2696"/>
      <c r="Z28" s="2696"/>
      <c r="AA28" s="2696"/>
      <c r="AB28" s="2696"/>
      <c r="AC28" s="2696"/>
      <c r="AD28" s="2696"/>
      <c r="AE28" s="2696"/>
      <c r="AF28" s="2697"/>
      <c r="AG28" s="2697"/>
      <c r="AH28" s="2695" t="s">
        <v>837</v>
      </c>
      <c r="AI28" s="2697"/>
      <c r="AJ28" s="2697"/>
      <c r="AK28" s="2697"/>
      <c r="AL28" s="2697"/>
      <c r="AM28" s="2695" t="s">
        <v>688</v>
      </c>
      <c r="AN28" s="2697"/>
      <c r="AO28" s="2697"/>
      <c r="AP28" s="2697"/>
      <c r="AQ28" s="2697"/>
      <c r="AR28" s="2700" t="s">
        <v>1496</v>
      </c>
      <c r="AS28" s="2696"/>
      <c r="AT28" s="2696"/>
      <c r="AU28" s="2696"/>
      <c r="AV28" s="2696"/>
      <c r="AW28" s="2696"/>
      <c r="AX28" s="2696"/>
      <c r="AY28" s="2696"/>
      <c r="AZ28" s="2696"/>
      <c r="BA28" s="2700" t="s">
        <v>2357</v>
      </c>
      <c r="BB28" s="2696"/>
      <c r="BC28" s="2696"/>
      <c r="BD28" s="3910"/>
      <c r="BE28" s="2696"/>
      <c r="BF28" s="2696"/>
      <c r="BG28" s="2696"/>
      <c r="BH28" s="2696"/>
      <c r="BI28" s="2696"/>
      <c r="BJ28" s="2696"/>
      <c r="BK28" s="2696"/>
      <c r="BL28" s="2696"/>
      <c r="BM28" s="2696"/>
      <c r="BN28" s="2700" t="s">
        <v>3280</v>
      </c>
      <c r="BO28" s="2696"/>
      <c r="BP28" s="2696"/>
      <c r="BQ28" s="2701"/>
      <c r="BR28" s="2702"/>
      <c r="BS28" s="2702"/>
      <c r="BT28" s="2702">
        <v>1</v>
      </c>
      <c r="BU28" s="2702">
        <v>1</v>
      </c>
      <c r="BV28" s="2702">
        <v>1</v>
      </c>
      <c r="BW28" s="2702">
        <v>1</v>
      </c>
      <c r="BX28" s="2702">
        <v>1</v>
      </c>
      <c r="BY28" s="2702">
        <v>1</v>
      </c>
      <c r="BZ28" s="2702">
        <v>1</v>
      </c>
      <c r="CA28" s="2702">
        <v>1</v>
      </c>
      <c r="CB28" s="2702"/>
      <c r="CC28" s="2702"/>
      <c r="CD28" s="2702">
        <v>1</v>
      </c>
    </row>
    <row r="29" spans="1:82" ht="23.1" customHeight="1">
      <c r="A29" s="1085">
        <v>21</v>
      </c>
      <c r="B29" s="2694" t="s">
        <v>840</v>
      </c>
      <c r="C29" s="4868" t="s">
        <v>2851</v>
      </c>
      <c r="D29" s="4860">
        <v>43405</v>
      </c>
      <c r="E29" s="2696"/>
      <c r="F29" s="2696"/>
      <c r="G29" s="2696"/>
      <c r="H29" s="2696"/>
      <c r="I29" s="2696"/>
      <c r="J29" s="2696"/>
      <c r="K29" s="2696"/>
      <c r="L29" s="2696"/>
      <c r="M29" s="2696"/>
      <c r="N29" s="2696"/>
      <c r="O29" s="2696"/>
      <c r="P29" s="2696"/>
      <c r="Q29" s="2696"/>
      <c r="R29" s="2704" t="s">
        <v>841</v>
      </c>
      <c r="S29" s="2696"/>
      <c r="T29" s="2696"/>
      <c r="U29" s="2696"/>
      <c r="V29" s="2696"/>
      <c r="W29" s="2696"/>
      <c r="X29" s="2696"/>
      <c r="Y29" s="2696"/>
      <c r="Z29" s="2695" t="s">
        <v>783</v>
      </c>
      <c r="AA29" s="2696"/>
      <c r="AB29" s="2696"/>
      <c r="AC29" s="2696"/>
      <c r="AD29" s="2696"/>
      <c r="AE29" s="2696"/>
      <c r="AF29" s="2697"/>
      <c r="AG29" s="2697"/>
      <c r="AH29" s="2695" t="s">
        <v>837</v>
      </c>
      <c r="AI29" s="2697"/>
      <c r="AJ29" s="2697"/>
      <c r="AK29" s="2697"/>
      <c r="AL29" s="2697"/>
      <c r="AM29" s="2695" t="s">
        <v>688</v>
      </c>
      <c r="AN29" s="2697"/>
      <c r="AO29" s="2697"/>
      <c r="AP29" s="2697"/>
      <c r="AQ29" s="2695" t="s">
        <v>1489</v>
      </c>
      <c r="AR29" s="2740"/>
      <c r="AS29" s="2696"/>
      <c r="AT29" s="2696"/>
      <c r="AU29" s="2696"/>
      <c r="AV29" s="2696"/>
      <c r="AW29" s="2712" t="s">
        <v>2160</v>
      </c>
      <c r="AX29" s="2696"/>
      <c r="AY29" s="2696"/>
      <c r="AZ29" s="2696"/>
      <c r="BA29" s="2740"/>
      <c r="BB29" s="2696"/>
      <c r="BC29" s="2696"/>
      <c r="BD29" s="3910"/>
      <c r="BE29" s="2696"/>
      <c r="BF29" s="2696"/>
      <c r="BG29" s="2696"/>
      <c r="BH29" s="2696"/>
      <c r="BI29" s="2696"/>
      <c r="BJ29" s="2696"/>
      <c r="BK29" s="2696"/>
      <c r="BL29" s="2696"/>
      <c r="BM29" s="2696"/>
      <c r="BN29" s="2700" t="s">
        <v>3280</v>
      </c>
      <c r="BO29" s="2696"/>
      <c r="BP29" s="2696"/>
      <c r="BQ29" s="2701">
        <v>1</v>
      </c>
      <c r="BR29" s="2702">
        <v>1</v>
      </c>
      <c r="BS29" s="2702">
        <v>1</v>
      </c>
      <c r="BT29" s="2702">
        <v>1</v>
      </c>
      <c r="BU29" s="2702">
        <v>1</v>
      </c>
      <c r="BV29" s="2702">
        <v>1</v>
      </c>
      <c r="BW29" s="2702">
        <v>1</v>
      </c>
      <c r="BX29" s="2702">
        <v>1</v>
      </c>
      <c r="BY29" s="2702">
        <v>1</v>
      </c>
      <c r="BZ29" s="2702">
        <v>1</v>
      </c>
      <c r="CA29" s="2702"/>
      <c r="CB29" s="2702"/>
      <c r="CC29" s="2702"/>
      <c r="CD29" s="2702">
        <v>1</v>
      </c>
    </row>
    <row r="30" spans="1:82" ht="23.1" customHeight="1">
      <c r="A30" s="1085">
        <v>22</v>
      </c>
      <c r="B30" s="2694" t="s">
        <v>842</v>
      </c>
      <c r="C30" s="4868" t="s">
        <v>2852</v>
      </c>
      <c r="D30" s="4858">
        <v>42818</v>
      </c>
      <c r="E30" s="2696"/>
      <c r="F30" s="2696"/>
      <c r="G30" s="2696"/>
      <c r="H30" s="2696"/>
      <c r="I30" s="2696"/>
      <c r="J30" s="2696"/>
      <c r="K30" s="2696"/>
      <c r="L30" s="2696"/>
      <c r="M30" s="2696"/>
      <c r="N30" s="2696"/>
      <c r="O30" s="2696"/>
      <c r="P30" s="2696"/>
      <c r="Q30" s="2696"/>
      <c r="R30" s="2704" t="s">
        <v>841</v>
      </c>
      <c r="S30" s="2696"/>
      <c r="T30" s="2696"/>
      <c r="U30" s="2696"/>
      <c r="V30" s="2696"/>
      <c r="W30" s="2696"/>
      <c r="X30" s="2696"/>
      <c r="Y30" s="2696"/>
      <c r="Z30" s="2695" t="s">
        <v>783</v>
      </c>
      <c r="AA30" s="2696"/>
      <c r="AB30" s="2696"/>
      <c r="AC30" s="2696"/>
      <c r="AD30" s="2696"/>
      <c r="AE30" s="2696"/>
      <c r="AF30" s="2697"/>
      <c r="AG30" s="2697"/>
      <c r="AH30" s="2695" t="s">
        <v>843</v>
      </c>
      <c r="AI30" s="2697"/>
      <c r="AJ30" s="2697"/>
      <c r="AK30" s="2695" t="s">
        <v>821</v>
      </c>
      <c r="AL30" s="2696"/>
      <c r="AM30" s="2695" t="s">
        <v>688</v>
      </c>
      <c r="AN30" s="2696"/>
      <c r="AO30" s="2696"/>
      <c r="AP30" s="2696"/>
      <c r="AQ30" s="2696"/>
      <c r="AR30" s="2740"/>
      <c r="AS30" s="2696"/>
      <c r="AT30" s="2696"/>
      <c r="AU30" s="2696"/>
      <c r="AV30" s="2696"/>
      <c r="AW30" s="2712" t="s">
        <v>2162</v>
      </c>
      <c r="AX30" s="2696"/>
      <c r="AY30" s="2696"/>
      <c r="AZ30" s="2696"/>
      <c r="BA30" s="2740"/>
      <c r="BB30" s="2696"/>
      <c r="BC30" s="2696"/>
      <c r="BD30" s="3910"/>
      <c r="BE30" s="2696"/>
      <c r="BF30" s="2696"/>
      <c r="BG30" s="2696"/>
      <c r="BH30" s="2696"/>
      <c r="BI30" s="2696"/>
      <c r="BJ30" s="2696"/>
      <c r="BK30" s="2696"/>
      <c r="BL30" s="2696"/>
      <c r="BM30" s="2696"/>
      <c r="BN30" s="2700" t="s">
        <v>3280</v>
      </c>
      <c r="BO30" s="2696"/>
      <c r="BP30" s="2696"/>
      <c r="BQ30" s="2701">
        <v>1</v>
      </c>
      <c r="BR30" s="2702">
        <v>1</v>
      </c>
      <c r="BS30" s="2702">
        <v>1</v>
      </c>
      <c r="BT30" s="2702">
        <v>1</v>
      </c>
      <c r="BU30" s="2702">
        <v>1</v>
      </c>
      <c r="BV30" s="2702">
        <v>1</v>
      </c>
      <c r="BW30" s="2702">
        <v>1</v>
      </c>
      <c r="BX30" s="2702">
        <v>1</v>
      </c>
      <c r="BY30" s="2702">
        <v>1</v>
      </c>
      <c r="BZ30" s="2702">
        <v>1</v>
      </c>
      <c r="CA30" s="2702"/>
      <c r="CB30" s="2702"/>
      <c r="CC30" s="2702"/>
      <c r="CD30" s="2702">
        <v>1</v>
      </c>
    </row>
    <row r="31" spans="1:82" ht="23.1" customHeight="1">
      <c r="A31" s="1085"/>
      <c r="B31" s="2742" t="s">
        <v>844</v>
      </c>
      <c r="C31" s="4871"/>
      <c r="D31" s="2743"/>
      <c r="E31" s="2744"/>
      <c r="F31" s="2744"/>
      <c r="G31" s="2744"/>
      <c r="H31" s="2744"/>
      <c r="I31" s="2744"/>
      <c r="J31" s="2744"/>
      <c r="K31" s="2744"/>
      <c r="L31" s="2744"/>
      <c r="M31" s="2744"/>
      <c r="N31" s="2744"/>
      <c r="O31" s="2744"/>
      <c r="P31" s="2744"/>
      <c r="Q31" s="2744"/>
      <c r="R31" s="2744"/>
      <c r="S31" s="2744"/>
      <c r="T31" s="2744"/>
      <c r="U31" s="2744"/>
      <c r="V31" s="2744"/>
      <c r="W31" s="2744"/>
      <c r="X31" s="2744"/>
      <c r="Y31" s="2744"/>
      <c r="Z31" s="2744"/>
      <c r="AA31" s="2744"/>
      <c r="AB31" s="2744"/>
      <c r="AC31" s="2744"/>
      <c r="AD31" s="2744"/>
      <c r="AE31" s="2744"/>
      <c r="AF31" s="2744"/>
      <c r="AG31" s="2744"/>
      <c r="AH31" s="2744"/>
      <c r="AI31" s="2744"/>
      <c r="AJ31" s="2744"/>
      <c r="AK31" s="2744"/>
      <c r="AL31" s="2745"/>
      <c r="AM31" s="2745"/>
      <c r="AN31" s="2745"/>
      <c r="AO31" s="2745"/>
      <c r="AP31" s="2745"/>
      <c r="AQ31" s="2745"/>
      <c r="AR31" s="2745"/>
      <c r="AS31" s="2745"/>
      <c r="AT31" s="2745"/>
      <c r="AU31" s="2745"/>
      <c r="AV31" s="2745"/>
      <c r="AW31" s="2745"/>
      <c r="AX31" s="2745"/>
      <c r="AY31" s="2745"/>
      <c r="AZ31" s="2745"/>
      <c r="BA31" s="2745"/>
      <c r="BB31" s="4854"/>
      <c r="BC31" s="2745"/>
      <c r="BD31" s="3917"/>
      <c r="BE31" s="3918"/>
      <c r="BF31" s="3918"/>
      <c r="BG31" s="3918"/>
      <c r="BH31" s="3918"/>
      <c r="BI31" s="3918"/>
      <c r="BJ31" s="3918"/>
      <c r="BK31" s="2745"/>
      <c r="BL31" s="2745"/>
      <c r="BM31" s="2745"/>
      <c r="BN31" s="2745"/>
      <c r="BO31" s="2745"/>
      <c r="BP31" s="2745"/>
      <c r="BQ31" s="2746"/>
      <c r="BR31" s="2746"/>
      <c r="BS31" s="2746"/>
      <c r="BT31" s="2746"/>
      <c r="BU31" s="2746"/>
      <c r="BV31" s="2746"/>
      <c r="BW31" s="2747"/>
      <c r="BX31" s="2747"/>
      <c r="BY31" s="2747"/>
      <c r="BZ31" s="2747"/>
      <c r="CA31" s="2747"/>
      <c r="CB31" s="2747"/>
      <c r="CC31" s="2747"/>
      <c r="CD31" s="2747"/>
    </row>
    <row r="32" spans="1:82" ht="23.1" customHeight="1">
      <c r="A32" s="1085">
        <v>23</v>
      </c>
      <c r="B32" s="2694" t="s">
        <v>845</v>
      </c>
      <c r="C32" s="4868" t="s">
        <v>2853</v>
      </c>
      <c r="D32" s="4858">
        <v>41808</v>
      </c>
      <c r="E32" s="2696"/>
      <c r="F32" s="2696"/>
      <c r="G32" s="2696"/>
      <c r="H32" s="2696"/>
      <c r="I32" s="2696"/>
      <c r="J32" s="2696"/>
      <c r="K32" s="2696"/>
      <c r="L32" s="2704" t="s">
        <v>836</v>
      </c>
      <c r="M32" s="2748" t="s">
        <v>1493</v>
      </c>
      <c r="N32" s="2696"/>
      <c r="O32" s="2748" t="s">
        <v>1497</v>
      </c>
      <c r="P32" s="2696"/>
      <c r="Q32" s="2696"/>
      <c r="R32" s="2696"/>
      <c r="S32" s="2748" t="s">
        <v>1498</v>
      </c>
      <c r="T32" s="2696"/>
      <c r="U32" s="2696"/>
      <c r="V32" s="2696"/>
      <c r="W32" s="2695" t="s">
        <v>1499</v>
      </c>
      <c r="X32" s="2696"/>
      <c r="Y32" s="2696"/>
      <c r="Z32" s="2696"/>
      <c r="AA32" s="2695" t="s">
        <v>1500</v>
      </c>
      <c r="AB32" s="2696"/>
      <c r="AC32" s="2696"/>
      <c r="AD32" s="2696"/>
      <c r="AE32" s="2696"/>
      <c r="AF32" s="2697"/>
      <c r="AG32" s="2697"/>
      <c r="AH32" s="2695" t="s">
        <v>837</v>
      </c>
      <c r="AI32" s="2697"/>
      <c r="AJ32" s="2697"/>
      <c r="AK32" s="2697"/>
      <c r="AL32" s="2697"/>
      <c r="AM32" s="2695" t="s">
        <v>688</v>
      </c>
      <c r="AN32" s="2697"/>
      <c r="AO32" s="2697"/>
      <c r="AP32" s="2697"/>
      <c r="AQ32" s="2697"/>
      <c r="AR32" s="2716"/>
      <c r="AS32" s="2697"/>
      <c r="AT32" s="2697"/>
      <c r="AU32" s="2697"/>
      <c r="AV32" s="2697"/>
      <c r="AW32" s="2697"/>
      <c r="AX32" s="2697"/>
      <c r="AY32" s="2697"/>
      <c r="AZ32" s="2697"/>
      <c r="BA32" s="2716"/>
      <c r="BB32" s="2697"/>
      <c r="BC32" s="2697"/>
      <c r="BD32" s="3913"/>
      <c r="BE32" s="2697"/>
      <c r="BF32" s="2697"/>
      <c r="BG32" s="2697"/>
      <c r="BH32" s="2697"/>
      <c r="BI32" s="2697"/>
      <c r="BJ32" s="2697"/>
      <c r="BK32" s="2697"/>
      <c r="BL32" s="2697"/>
      <c r="BM32" s="2697"/>
      <c r="BN32" s="2697"/>
      <c r="BO32" s="2697"/>
      <c r="BP32" s="2697"/>
      <c r="BQ32" s="2701">
        <v>1</v>
      </c>
      <c r="BR32" s="2702">
        <v>1</v>
      </c>
      <c r="BS32" s="2702">
        <v>1</v>
      </c>
      <c r="BT32" s="2702">
        <v>1</v>
      </c>
      <c r="BU32" s="2702">
        <v>1</v>
      </c>
      <c r="BV32" s="2702">
        <v>1</v>
      </c>
      <c r="BW32" s="2702">
        <v>1</v>
      </c>
      <c r="BX32" s="2702"/>
      <c r="BY32" s="2702"/>
      <c r="BZ32" s="2702"/>
      <c r="CA32" s="2702"/>
      <c r="CB32" s="2702"/>
      <c r="CC32" s="2702"/>
      <c r="CD32" s="2702"/>
    </row>
    <row r="33" spans="1:82" ht="30.75" customHeight="1">
      <c r="A33" s="1085">
        <v>24</v>
      </c>
      <c r="B33" s="2694" t="s">
        <v>846</v>
      </c>
      <c r="C33" s="4868" t="s">
        <v>2853</v>
      </c>
      <c r="D33" s="4860">
        <v>41808</v>
      </c>
      <c r="E33" s="2696"/>
      <c r="F33" s="2696"/>
      <c r="G33" s="2696"/>
      <c r="H33" s="2696"/>
      <c r="I33" s="2696"/>
      <c r="J33" s="2696"/>
      <c r="K33" s="2696"/>
      <c r="L33" s="2696"/>
      <c r="M33" s="2696"/>
      <c r="N33" s="2696"/>
      <c r="O33" s="2696"/>
      <c r="P33" s="2696"/>
      <c r="Q33" s="2696"/>
      <c r="R33" s="2704" t="s">
        <v>847</v>
      </c>
      <c r="S33" s="2696"/>
      <c r="T33" s="2696"/>
      <c r="U33" s="2696"/>
      <c r="V33" s="2696"/>
      <c r="W33" s="2696"/>
      <c r="X33" s="2696"/>
      <c r="Y33" s="2696"/>
      <c r="Z33" s="2696"/>
      <c r="AA33" s="2695" t="s">
        <v>1500</v>
      </c>
      <c r="AB33" s="2696"/>
      <c r="AC33" s="2696"/>
      <c r="AD33" s="2696"/>
      <c r="AE33" s="2696"/>
      <c r="AF33" s="2697"/>
      <c r="AG33" s="2697"/>
      <c r="AH33" s="2695" t="s">
        <v>837</v>
      </c>
      <c r="AI33" s="2697"/>
      <c r="AJ33" s="2697"/>
      <c r="AK33" s="2697"/>
      <c r="AL33" s="2697"/>
      <c r="AM33" s="2695" t="s">
        <v>688</v>
      </c>
      <c r="AN33" s="2697"/>
      <c r="AO33" s="2697"/>
      <c r="AP33" s="2697"/>
      <c r="AQ33" s="2697"/>
      <c r="AR33" s="2716"/>
      <c r="AS33" s="2697"/>
      <c r="AT33" s="2697"/>
      <c r="AU33" s="2697"/>
      <c r="AV33" s="2697"/>
      <c r="AW33" s="2697"/>
      <c r="AX33" s="2697"/>
      <c r="AY33" s="2697"/>
      <c r="AZ33" s="2697"/>
      <c r="BA33" s="2716"/>
      <c r="BB33" s="2697"/>
      <c r="BC33" s="2697"/>
      <c r="BD33" s="3913"/>
      <c r="BE33" s="2697"/>
      <c r="BF33" s="2697"/>
      <c r="BG33" s="2697"/>
      <c r="BH33" s="2697"/>
      <c r="BI33" s="2697"/>
      <c r="BJ33" s="2697"/>
      <c r="BK33" s="2697"/>
      <c r="BL33" s="2697"/>
      <c r="BM33" s="2697"/>
      <c r="BN33" s="2697"/>
      <c r="BO33" s="2697"/>
      <c r="BP33" s="2697"/>
      <c r="BQ33" s="2701"/>
      <c r="BR33" s="2702">
        <v>1</v>
      </c>
      <c r="BS33" s="2702">
        <v>1</v>
      </c>
      <c r="BT33" s="2702">
        <v>1</v>
      </c>
      <c r="BU33" s="2702">
        <v>1</v>
      </c>
      <c r="BV33" s="2702">
        <v>1</v>
      </c>
      <c r="BW33" s="2702">
        <v>1</v>
      </c>
      <c r="BX33" s="2702"/>
      <c r="BY33" s="2702"/>
      <c r="BZ33" s="2702"/>
      <c r="CA33" s="2702"/>
      <c r="CB33" s="2702"/>
      <c r="CC33" s="2702"/>
      <c r="CD33" s="2702"/>
    </row>
    <row r="34" spans="1:82" ht="23.1" customHeight="1">
      <c r="A34" s="1085">
        <v>25</v>
      </c>
      <c r="B34" s="2694" t="s">
        <v>848</v>
      </c>
      <c r="C34" s="4868" t="s">
        <v>2581</v>
      </c>
      <c r="D34" s="4860">
        <v>43668</v>
      </c>
      <c r="E34" s="2696"/>
      <c r="F34" s="2696"/>
      <c r="G34" s="2696"/>
      <c r="H34" s="2696"/>
      <c r="I34" s="2696"/>
      <c r="J34" s="2696"/>
      <c r="K34" s="2696"/>
      <c r="L34" s="2696"/>
      <c r="M34" s="2696"/>
      <c r="N34" s="2696"/>
      <c r="O34" s="2696"/>
      <c r="P34" s="2696"/>
      <c r="Q34" s="2696"/>
      <c r="R34" s="2704" t="s">
        <v>849</v>
      </c>
      <c r="S34" s="2696"/>
      <c r="T34" s="2696"/>
      <c r="U34" s="2696"/>
      <c r="V34" s="2696"/>
      <c r="W34" s="2696"/>
      <c r="X34" s="2696"/>
      <c r="Y34" s="2696"/>
      <c r="Z34" s="2696"/>
      <c r="AA34" s="2695" t="s">
        <v>1500</v>
      </c>
      <c r="AB34" s="2696"/>
      <c r="AC34" s="2696"/>
      <c r="AD34" s="2696"/>
      <c r="AE34" s="2696"/>
      <c r="AF34" s="2697"/>
      <c r="AG34" s="2697"/>
      <c r="AH34" s="2695" t="s">
        <v>837</v>
      </c>
      <c r="AI34" s="2697"/>
      <c r="AJ34" s="2697"/>
      <c r="AK34" s="2697"/>
      <c r="AL34" s="2697"/>
      <c r="AM34" s="2695" t="s">
        <v>688</v>
      </c>
      <c r="AN34" s="2697"/>
      <c r="AO34" s="2697"/>
      <c r="AP34" s="2697"/>
      <c r="AQ34" s="2697"/>
      <c r="AR34" s="2716"/>
      <c r="AS34" s="2697"/>
      <c r="AT34" s="2697"/>
      <c r="AU34" s="2697"/>
      <c r="AV34" s="2697"/>
      <c r="AW34" s="2697"/>
      <c r="AX34" s="2697"/>
      <c r="AY34" s="2697"/>
      <c r="AZ34" s="2697"/>
      <c r="BA34" s="2716"/>
      <c r="BB34" s="2695" t="s">
        <v>2472</v>
      </c>
      <c r="BC34" s="2697"/>
      <c r="BD34" s="3913"/>
      <c r="BE34" s="2697"/>
      <c r="BF34" s="2697"/>
      <c r="BG34" s="2697"/>
      <c r="BH34" s="2697"/>
      <c r="BI34" s="2697"/>
      <c r="BJ34" s="2697"/>
      <c r="BK34" s="2697"/>
      <c r="BL34" s="2697"/>
      <c r="BM34" s="2697"/>
      <c r="BN34" s="2697"/>
      <c r="BO34" s="2697"/>
      <c r="BP34" s="2697"/>
      <c r="BQ34" s="2701"/>
      <c r="BR34" s="2702">
        <v>1</v>
      </c>
      <c r="BS34" s="2702">
        <v>1</v>
      </c>
      <c r="BT34" s="2702">
        <v>1</v>
      </c>
      <c r="BU34" s="2702">
        <v>1</v>
      </c>
      <c r="BV34" s="2702">
        <v>1</v>
      </c>
      <c r="BW34" s="2702">
        <v>1</v>
      </c>
      <c r="BX34" s="2702"/>
      <c r="BY34" s="2702"/>
      <c r="BZ34" s="2702">
        <v>1</v>
      </c>
      <c r="CA34" s="2702">
        <v>1</v>
      </c>
      <c r="CB34" s="2702">
        <v>1</v>
      </c>
      <c r="CC34" s="2702"/>
      <c r="CD34" s="2702"/>
    </row>
    <row r="35" spans="1:82" ht="23.1" customHeight="1">
      <c r="A35" s="1085"/>
      <c r="B35" s="2742" t="s">
        <v>850</v>
      </c>
      <c r="C35" s="4871"/>
      <c r="D35" s="2743"/>
      <c r="E35" s="2744"/>
      <c r="F35" s="2744"/>
      <c r="G35" s="2744"/>
      <c r="H35" s="2744"/>
      <c r="I35" s="2744"/>
      <c r="J35" s="2744"/>
      <c r="K35" s="2744"/>
      <c r="L35" s="2744"/>
      <c r="M35" s="2744"/>
      <c r="N35" s="2744"/>
      <c r="O35" s="2744"/>
      <c r="P35" s="2744"/>
      <c r="Q35" s="2744"/>
      <c r="R35" s="2744"/>
      <c r="S35" s="2744"/>
      <c r="T35" s="2744"/>
      <c r="U35" s="2744"/>
      <c r="V35" s="2744"/>
      <c r="W35" s="2744"/>
      <c r="X35" s="2744"/>
      <c r="Y35" s="2744"/>
      <c r="Z35" s="2744"/>
      <c r="AA35" s="2744"/>
      <c r="AB35" s="2744"/>
      <c r="AC35" s="2744"/>
      <c r="AD35" s="2744"/>
      <c r="AE35" s="2744"/>
      <c r="AF35" s="2744"/>
      <c r="AG35" s="2744"/>
      <c r="AH35" s="2744"/>
      <c r="AI35" s="2744"/>
      <c r="AJ35" s="2744"/>
      <c r="AK35" s="2744"/>
      <c r="AL35" s="2745"/>
      <c r="AM35" s="2745"/>
      <c r="AN35" s="2745"/>
      <c r="AO35" s="2745"/>
      <c r="AP35" s="2745"/>
      <c r="AQ35" s="2745"/>
      <c r="AR35" s="2745"/>
      <c r="AS35" s="2745"/>
      <c r="AT35" s="2745"/>
      <c r="AU35" s="2745"/>
      <c r="AV35" s="2745"/>
      <c r="AW35" s="2745"/>
      <c r="AX35" s="2745"/>
      <c r="AY35" s="2745"/>
      <c r="AZ35" s="2745"/>
      <c r="BA35" s="2745"/>
      <c r="BB35" s="4855"/>
      <c r="BC35" s="2745"/>
      <c r="BD35" s="3917"/>
      <c r="BE35" s="4840"/>
      <c r="BF35" s="3918"/>
      <c r="BG35" s="3918"/>
      <c r="BH35" s="3918"/>
      <c r="BI35" s="3918"/>
      <c r="BJ35" s="3918"/>
      <c r="BK35" s="2745"/>
      <c r="BL35" s="2745"/>
      <c r="BM35" s="2745"/>
      <c r="BN35" s="2745"/>
      <c r="BO35" s="2745"/>
      <c r="BP35" s="2745"/>
      <c r="BQ35" s="2746"/>
      <c r="BR35" s="2746"/>
      <c r="BS35" s="2746"/>
      <c r="BT35" s="2746"/>
      <c r="BU35" s="2746"/>
      <c r="BV35" s="2746"/>
      <c r="BW35" s="2747"/>
      <c r="BX35" s="2747"/>
      <c r="BY35" s="2747"/>
      <c r="BZ35" s="2747"/>
      <c r="CA35" s="2747"/>
      <c r="CB35" s="2747"/>
      <c r="CC35" s="2747"/>
      <c r="CD35" s="2747"/>
    </row>
    <row r="36" spans="1:82" ht="23.1" customHeight="1">
      <c r="A36" s="1085">
        <v>26</v>
      </c>
      <c r="B36" s="2694" t="s">
        <v>14</v>
      </c>
      <c r="C36" s="4868" t="s">
        <v>2583</v>
      </c>
      <c r="D36" s="4860">
        <v>43999</v>
      </c>
      <c r="E36" s="2696"/>
      <c r="F36" s="2696"/>
      <c r="G36" s="2696"/>
      <c r="H36" s="2696"/>
      <c r="I36" s="2696"/>
      <c r="J36" s="2696"/>
      <c r="K36" s="2696"/>
      <c r="L36" s="2704" t="s">
        <v>836</v>
      </c>
      <c r="M36" s="2748" t="s">
        <v>1501</v>
      </c>
      <c r="N36" s="2696"/>
      <c r="O36" s="2748" t="s">
        <v>1502</v>
      </c>
      <c r="P36" s="2695" t="s">
        <v>207</v>
      </c>
      <c r="Q36" s="2696"/>
      <c r="R36" s="2696"/>
      <c r="S36" s="2715" t="s">
        <v>1503</v>
      </c>
      <c r="T36" s="2696"/>
      <c r="U36" s="2695" t="s">
        <v>247</v>
      </c>
      <c r="V36" s="2696"/>
      <c r="W36" s="2696"/>
      <c r="X36" s="2695" t="s">
        <v>1504</v>
      </c>
      <c r="Y36" s="2696"/>
      <c r="Z36" s="2695" t="s">
        <v>783</v>
      </c>
      <c r="AA36" s="2696"/>
      <c r="AB36" s="2696"/>
      <c r="AC36" s="2696"/>
      <c r="AD36" s="2696"/>
      <c r="AE36" s="2696"/>
      <c r="AF36" s="2697"/>
      <c r="AG36" s="2697"/>
      <c r="AH36" s="2695" t="s">
        <v>837</v>
      </c>
      <c r="AI36" s="2697"/>
      <c r="AJ36" s="2697"/>
      <c r="AK36" s="2697"/>
      <c r="AL36" s="2697"/>
      <c r="AM36" s="2695" t="s">
        <v>688</v>
      </c>
      <c r="AN36" s="2697"/>
      <c r="AO36" s="2697"/>
      <c r="AP36" s="2697"/>
      <c r="AQ36" s="2697"/>
      <c r="AR36" s="2716"/>
      <c r="AS36" s="2697"/>
      <c r="AT36" s="2695" t="s">
        <v>1697</v>
      </c>
      <c r="AU36" s="2697"/>
      <c r="AV36" s="2697"/>
      <c r="AW36" s="2697"/>
      <c r="AX36" s="2697"/>
      <c r="AY36" s="2697"/>
      <c r="AZ36" s="2741" t="s">
        <v>2354</v>
      </c>
      <c r="BA36" s="2716"/>
      <c r="BB36" s="2696"/>
      <c r="BC36" s="2697"/>
      <c r="BD36" s="3913"/>
      <c r="BE36" s="2741" t="s">
        <v>2591</v>
      </c>
      <c r="BF36" s="2697"/>
      <c r="BG36" s="2697"/>
      <c r="BH36" s="2697"/>
      <c r="BI36" s="2697"/>
      <c r="BJ36" s="2697"/>
      <c r="BK36" s="2697"/>
      <c r="BL36" s="2697"/>
      <c r="BM36" s="2697"/>
      <c r="BN36" s="2697"/>
      <c r="BO36" s="2697"/>
      <c r="BP36" s="2697"/>
      <c r="BQ36" s="2701">
        <v>1</v>
      </c>
      <c r="BR36" s="2702">
        <v>1</v>
      </c>
      <c r="BS36" s="2702">
        <v>1</v>
      </c>
      <c r="BT36" s="2702">
        <v>1</v>
      </c>
      <c r="BU36" s="2702">
        <v>1</v>
      </c>
      <c r="BV36" s="2702">
        <v>1</v>
      </c>
      <c r="BW36" s="2702">
        <v>1</v>
      </c>
      <c r="BX36" s="2702">
        <v>1</v>
      </c>
      <c r="BY36" s="2702">
        <v>1</v>
      </c>
      <c r="BZ36" s="2702">
        <v>1</v>
      </c>
      <c r="CA36" s="2702">
        <v>1</v>
      </c>
      <c r="CB36" s="2702">
        <v>1</v>
      </c>
      <c r="CC36" s="2702">
        <v>1</v>
      </c>
      <c r="CD36" s="2702"/>
    </row>
    <row r="37" spans="1:82" ht="23.1" customHeight="1">
      <c r="A37" s="1085">
        <v>27</v>
      </c>
      <c r="B37" s="2694" t="s">
        <v>851</v>
      </c>
      <c r="C37" s="4868" t="s">
        <v>2854</v>
      </c>
      <c r="D37" s="4860">
        <v>42895</v>
      </c>
      <c r="E37" s="2696"/>
      <c r="F37" s="2696"/>
      <c r="G37" s="2696"/>
      <c r="H37" s="2696"/>
      <c r="I37" s="2696"/>
      <c r="J37" s="2696"/>
      <c r="K37" s="2696"/>
      <c r="L37" s="2704" t="s">
        <v>836</v>
      </c>
      <c r="M37" s="2748" t="s">
        <v>1501</v>
      </c>
      <c r="N37" s="2696"/>
      <c r="O37" s="2748" t="s">
        <v>1502</v>
      </c>
      <c r="P37" s="2695" t="s">
        <v>207</v>
      </c>
      <c r="Q37" s="2696"/>
      <c r="R37" s="2696"/>
      <c r="S37" s="2715" t="s">
        <v>1503</v>
      </c>
      <c r="T37" s="2696"/>
      <c r="U37" s="2696"/>
      <c r="V37" s="2696"/>
      <c r="W37" s="2696"/>
      <c r="X37" s="2695" t="s">
        <v>1504</v>
      </c>
      <c r="Y37" s="2696"/>
      <c r="Z37" s="2696"/>
      <c r="AA37" s="2696"/>
      <c r="AB37" s="2696"/>
      <c r="AC37" s="2696"/>
      <c r="AD37" s="2696"/>
      <c r="AE37" s="2696"/>
      <c r="AF37" s="2697"/>
      <c r="AG37" s="2697"/>
      <c r="AH37" s="2695" t="s">
        <v>837</v>
      </c>
      <c r="AI37" s="2697"/>
      <c r="AJ37" s="2697"/>
      <c r="AK37" s="2697"/>
      <c r="AL37" s="2697"/>
      <c r="AM37" s="2695" t="s">
        <v>688</v>
      </c>
      <c r="AN37" s="2697"/>
      <c r="AO37" s="2697"/>
      <c r="AP37" s="2697"/>
      <c r="AQ37" s="2697"/>
      <c r="AR37" s="2716"/>
      <c r="AS37" s="2697"/>
      <c r="AT37" s="2697"/>
      <c r="AU37" s="2697"/>
      <c r="AV37" s="2697"/>
      <c r="AW37" s="2697"/>
      <c r="AX37" s="2695" t="s">
        <v>2151</v>
      </c>
      <c r="AY37" s="2696"/>
      <c r="AZ37" s="2696"/>
      <c r="BA37" s="2740"/>
      <c r="BB37" s="2696"/>
      <c r="BC37" s="2696"/>
      <c r="BD37" s="3910"/>
      <c r="BE37" s="4841"/>
      <c r="BF37" s="2696"/>
      <c r="BG37" s="2696"/>
      <c r="BH37" s="2696"/>
      <c r="BI37" s="2696"/>
      <c r="BJ37" s="2696"/>
      <c r="BK37" s="2696"/>
      <c r="BL37" s="2696"/>
      <c r="BM37" s="2696"/>
      <c r="BN37" s="2696"/>
      <c r="BO37" s="2696"/>
      <c r="BP37" s="2696"/>
      <c r="BQ37" s="2701">
        <v>1</v>
      </c>
      <c r="BR37" s="2702"/>
      <c r="BS37" s="2702"/>
      <c r="BT37" s="2702">
        <v>1</v>
      </c>
      <c r="BU37" s="2702">
        <v>1</v>
      </c>
      <c r="BV37" s="2702">
        <v>1</v>
      </c>
      <c r="BW37" s="2702">
        <v>1</v>
      </c>
      <c r="BX37" s="2702">
        <v>1</v>
      </c>
      <c r="BY37" s="2702">
        <v>1</v>
      </c>
      <c r="BZ37" s="2702">
        <v>1</v>
      </c>
      <c r="CA37" s="2702"/>
      <c r="CB37" s="2702"/>
      <c r="CC37" s="2702"/>
      <c r="CD37" s="2702"/>
    </row>
    <row r="38" spans="1:82" ht="23.1" customHeight="1">
      <c r="A38" s="1085">
        <v>28</v>
      </c>
      <c r="B38" s="2694" t="s">
        <v>852</v>
      </c>
      <c r="C38" s="4868" t="s">
        <v>2855</v>
      </c>
      <c r="D38" s="4860">
        <v>43040</v>
      </c>
      <c r="E38" s="2696"/>
      <c r="F38" s="2696"/>
      <c r="G38" s="2696"/>
      <c r="H38" s="2696"/>
      <c r="I38" s="2696"/>
      <c r="J38" s="2696"/>
      <c r="K38" s="2696"/>
      <c r="L38" s="2696"/>
      <c r="M38" s="2696"/>
      <c r="N38" s="2696"/>
      <c r="O38" s="2696"/>
      <c r="P38" s="2696"/>
      <c r="Q38" s="2696"/>
      <c r="R38" s="2696"/>
      <c r="S38" s="2696"/>
      <c r="T38" s="2696"/>
      <c r="U38" s="2696"/>
      <c r="V38" s="2704" t="s">
        <v>853</v>
      </c>
      <c r="W38" s="2696"/>
      <c r="X38" s="2696"/>
      <c r="Y38" s="2696"/>
      <c r="Z38" s="2696"/>
      <c r="AA38" s="2696"/>
      <c r="AB38" s="2696"/>
      <c r="AC38" s="2696"/>
      <c r="AD38" s="2696"/>
      <c r="AE38" s="2696"/>
      <c r="AF38" s="2697"/>
      <c r="AG38" s="2697"/>
      <c r="AH38" s="2695" t="s">
        <v>837</v>
      </c>
      <c r="AI38" s="2697"/>
      <c r="AJ38" s="2697"/>
      <c r="AK38" s="2697"/>
      <c r="AL38" s="2697"/>
      <c r="AM38" s="2695" t="s">
        <v>688</v>
      </c>
      <c r="AN38" s="2697"/>
      <c r="AO38" s="2697"/>
      <c r="AP38" s="2697"/>
      <c r="AQ38" s="2697"/>
      <c r="AR38" s="2716"/>
      <c r="AS38" s="2697"/>
      <c r="AT38" s="2697"/>
      <c r="AU38" s="2697"/>
      <c r="AV38" s="2697"/>
      <c r="AW38" s="2695" t="s">
        <v>2158</v>
      </c>
      <c r="AX38" s="2696"/>
      <c r="AY38" s="2696"/>
      <c r="AZ38" s="2696"/>
      <c r="BA38" s="2740"/>
      <c r="BB38" s="2696"/>
      <c r="BC38" s="2696"/>
      <c r="BD38" s="3910"/>
      <c r="BE38" s="2696"/>
      <c r="BF38" s="2696"/>
      <c r="BG38" s="2696"/>
      <c r="BH38" s="2696"/>
      <c r="BI38" s="2696"/>
      <c r="BJ38" s="2696"/>
      <c r="BK38" s="2696"/>
      <c r="BL38" s="2696"/>
      <c r="BM38" s="2696"/>
      <c r="BN38" s="2696"/>
      <c r="BO38" s="2696"/>
      <c r="BP38" s="2696"/>
      <c r="BQ38" s="2701">
        <v>1</v>
      </c>
      <c r="BR38" s="2702"/>
      <c r="BS38" s="2702"/>
      <c r="BT38" s="2702">
        <v>1</v>
      </c>
      <c r="BU38" s="2702">
        <v>1</v>
      </c>
      <c r="BV38" s="2702">
        <v>1</v>
      </c>
      <c r="BW38" s="2702">
        <v>1</v>
      </c>
      <c r="BX38" s="2702">
        <v>1</v>
      </c>
      <c r="BY38" s="2702">
        <v>1</v>
      </c>
      <c r="BZ38" s="2702">
        <v>1</v>
      </c>
      <c r="CA38" s="2702"/>
      <c r="CB38" s="2702"/>
      <c r="CC38" s="2702"/>
      <c r="CD38" s="2702"/>
    </row>
    <row r="39" spans="1:82" ht="23.1" customHeight="1">
      <c r="A39" s="1085">
        <v>29</v>
      </c>
      <c r="B39" s="2694" t="s">
        <v>854</v>
      </c>
      <c r="C39" s="4868" t="s">
        <v>2144</v>
      </c>
      <c r="D39" s="4860">
        <v>43441</v>
      </c>
      <c r="E39" s="2696"/>
      <c r="F39" s="2696"/>
      <c r="G39" s="2696"/>
      <c r="H39" s="2696"/>
      <c r="I39" s="2696"/>
      <c r="J39" s="2696"/>
      <c r="K39" s="2696"/>
      <c r="L39" s="2696"/>
      <c r="M39" s="2696"/>
      <c r="N39" s="2696"/>
      <c r="O39" s="2696"/>
      <c r="P39" s="2696"/>
      <c r="Q39" s="2696"/>
      <c r="R39" s="2696"/>
      <c r="S39" s="2696"/>
      <c r="T39" s="2696"/>
      <c r="U39" s="2696"/>
      <c r="V39" s="2696"/>
      <c r="W39" s="2696"/>
      <c r="X39" s="2696"/>
      <c r="Y39" s="2696"/>
      <c r="Z39" s="2696"/>
      <c r="AA39" s="2696"/>
      <c r="AB39" s="2704" t="s">
        <v>855</v>
      </c>
      <c r="AC39" s="2696"/>
      <c r="AD39" s="2696"/>
      <c r="AE39" s="2696"/>
      <c r="AF39" s="2697"/>
      <c r="AG39" s="2697"/>
      <c r="AH39" s="2695" t="s">
        <v>837</v>
      </c>
      <c r="AI39" s="2697"/>
      <c r="AJ39" s="2697"/>
      <c r="AK39" s="2697"/>
      <c r="AL39" s="2697"/>
      <c r="AM39" s="2695" t="s">
        <v>688</v>
      </c>
      <c r="AN39" s="2697"/>
      <c r="AO39" s="2697"/>
      <c r="AP39" s="2697"/>
      <c r="AQ39" s="2697"/>
      <c r="AR39" s="2716"/>
      <c r="AS39" s="2697"/>
      <c r="AT39" s="2695" t="s">
        <v>1697</v>
      </c>
      <c r="AU39" s="2697"/>
      <c r="AV39" s="2697"/>
      <c r="AW39" s="2697"/>
      <c r="AX39" s="2695" t="s">
        <v>2158</v>
      </c>
      <c r="AY39" s="2696"/>
      <c r="AZ39" s="2696"/>
      <c r="BA39" s="2740"/>
      <c r="BB39" s="2696"/>
      <c r="BC39" s="2696"/>
      <c r="BD39" s="3910"/>
      <c r="BE39" s="2696"/>
      <c r="BF39" s="2696"/>
      <c r="BG39" s="2696"/>
      <c r="BH39" s="2696"/>
      <c r="BI39" s="2696"/>
      <c r="BJ39" s="2696"/>
      <c r="BK39" s="2696"/>
      <c r="BL39" s="2696"/>
      <c r="BM39" s="2696"/>
      <c r="BN39" s="2700" t="s">
        <v>3330</v>
      </c>
      <c r="BO39" s="2696"/>
      <c r="BP39" s="2696"/>
      <c r="BQ39" s="2701">
        <v>1</v>
      </c>
      <c r="BR39" s="2702">
        <v>1</v>
      </c>
      <c r="BS39" s="2702">
        <v>1</v>
      </c>
      <c r="BT39" s="2702">
        <v>1</v>
      </c>
      <c r="BU39" s="2702">
        <v>1</v>
      </c>
      <c r="BV39" s="2702">
        <v>1</v>
      </c>
      <c r="BW39" s="2702">
        <v>1</v>
      </c>
      <c r="BX39" s="2702">
        <v>1</v>
      </c>
      <c r="BY39" s="2702">
        <v>1</v>
      </c>
      <c r="BZ39" s="2702">
        <v>1</v>
      </c>
      <c r="CA39" s="2702"/>
      <c r="CB39" s="2702"/>
      <c r="CC39" s="2702"/>
      <c r="CD39" s="2702">
        <v>1</v>
      </c>
    </row>
    <row r="40" spans="1:82" ht="14.4">
      <c r="A40" s="1085"/>
      <c r="B40" s="2717" t="s">
        <v>344</v>
      </c>
      <c r="C40" s="4870"/>
      <c r="D40" s="2718"/>
      <c r="E40" s="2719"/>
      <c r="F40" s="2719"/>
      <c r="G40" s="2719"/>
      <c r="H40" s="2719"/>
      <c r="I40" s="2719"/>
      <c r="J40" s="2719"/>
      <c r="K40" s="2719"/>
      <c r="L40" s="2719"/>
      <c r="M40" s="2719"/>
      <c r="N40" s="2719"/>
      <c r="O40" s="2719"/>
      <c r="P40" s="2719"/>
      <c r="Q40" s="2719"/>
      <c r="R40" s="2719"/>
      <c r="S40" s="2719"/>
      <c r="T40" s="2719"/>
      <c r="U40" s="2719"/>
      <c r="V40" s="2719"/>
      <c r="W40" s="2719"/>
      <c r="X40" s="2719"/>
      <c r="Y40" s="2719"/>
      <c r="Z40" s="2719"/>
      <c r="AA40" s="2719"/>
      <c r="AB40" s="2719"/>
      <c r="AC40" s="2719"/>
      <c r="AD40" s="2719"/>
      <c r="AE40" s="2719"/>
      <c r="AF40" s="2719"/>
      <c r="AG40" s="2719"/>
      <c r="AH40" s="2719"/>
      <c r="AI40" s="2719"/>
      <c r="AJ40" s="2719"/>
      <c r="AK40" s="2719"/>
      <c r="AL40" s="2720"/>
      <c r="AM40" s="2720"/>
      <c r="AN40" s="2720"/>
      <c r="AO40" s="2720"/>
      <c r="AP40" s="2720"/>
      <c r="AQ40" s="2720"/>
      <c r="AR40" s="2720"/>
      <c r="AS40" s="2720"/>
      <c r="AT40" s="2720"/>
      <c r="AU40" s="2720"/>
      <c r="AV40" s="2720"/>
      <c r="AW40" s="2720"/>
      <c r="AX40" s="2720"/>
      <c r="AY40" s="2720"/>
      <c r="AZ40" s="2720"/>
      <c r="BA40" s="2720"/>
      <c r="BB40" s="4852"/>
      <c r="BC40" s="2720"/>
      <c r="BD40" s="3911"/>
      <c r="BE40" s="3912"/>
      <c r="BF40" s="3912"/>
      <c r="BG40" s="3912"/>
      <c r="BH40" s="3912"/>
      <c r="BI40" s="3912"/>
      <c r="BJ40" s="3912"/>
      <c r="BK40" s="2720"/>
      <c r="BL40" s="2720"/>
      <c r="BM40" s="2720"/>
      <c r="BN40" s="2720"/>
      <c r="BO40" s="2720"/>
      <c r="BP40" s="2720"/>
      <c r="BQ40" s="2721"/>
      <c r="BR40" s="2721"/>
      <c r="BS40" s="2721"/>
      <c r="BT40" s="2721"/>
      <c r="BU40" s="2721"/>
      <c r="BV40" s="2721"/>
      <c r="BW40" s="2722"/>
      <c r="BX40" s="2722"/>
      <c r="BY40" s="2722"/>
      <c r="BZ40" s="2722"/>
      <c r="CA40" s="2722"/>
      <c r="CB40" s="2722"/>
      <c r="CC40" s="2722"/>
      <c r="CD40" s="2722"/>
    </row>
    <row r="41" spans="1:82" ht="23.1" customHeight="1">
      <c r="A41" s="1085">
        <v>30</v>
      </c>
      <c r="B41" s="2694" t="s">
        <v>776</v>
      </c>
      <c r="C41" s="4868" t="s">
        <v>2367</v>
      </c>
      <c r="D41" s="4859">
        <v>43440</v>
      </c>
      <c r="E41" s="2696"/>
      <c r="F41" s="2703"/>
      <c r="G41" s="2696"/>
      <c r="H41" s="2696"/>
      <c r="I41" s="2696"/>
      <c r="J41" s="2696"/>
      <c r="K41" s="2696"/>
      <c r="L41" s="2696"/>
      <c r="M41" s="2696"/>
      <c r="N41" s="2695" t="s">
        <v>782</v>
      </c>
      <c r="O41" s="2696"/>
      <c r="P41" s="2699" t="s">
        <v>777</v>
      </c>
      <c r="Q41" s="2696"/>
      <c r="R41" s="2696"/>
      <c r="S41" s="2696"/>
      <c r="T41" s="2696"/>
      <c r="U41" s="2696"/>
      <c r="V41" s="2696"/>
      <c r="W41" s="2696"/>
      <c r="X41" s="2696"/>
      <c r="Y41" s="2696"/>
      <c r="Z41" s="2695" t="s">
        <v>778</v>
      </c>
      <c r="AA41" s="2696"/>
      <c r="AB41" s="2695" t="s">
        <v>208</v>
      </c>
      <c r="AC41" s="2696"/>
      <c r="AD41" s="2696"/>
      <c r="AE41" s="2696"/>
      <c r="AF41" s="2697"/>
      <c r="AG41" s="2695" t="s">
        <v>463</v>
      </c>
      <c r="AH41" s="2712" t="s">
        <v>779</v>
      </c>
      <c r="AI41" s="2713"/>
      <c r="AJ41" s="2713"/>
      <c r="AK41" s="2713"/>
      <c r="AL41" s="2713"/>
      <c r="AM41" s="2723" t="s">
        <v>780</v>
      </c>
      <c r="AN41" s="2713"/>
      <c r="AO41" s="2713"/>
      <c r="AP41" s="2713"/>
      <c r="AQ41" s="2713"/>
      <c r="AR41" s="2700" t="s">
        <v>1484</v>
      </c>
      <c r="AS41" s="2696"/>
      <c r="AT41" s="2696"/>
      <c r="AU41" s="2696"/>
      <c r="AV41" s="2696"/>
      <c r="AW41" s="2696"/>
      <c r="AX41" s="2696"/>
      <c r="AY41" s="2696"/>
      <c r="AZ41" s="2695" t="s">
        <v>2355</v>
      </c>
      <c r="BA41" s="2740"/>
      <c r="BB41" s="2696"/>
      <c r="BC41" s="2696"/>
      <c r="BD41" s="3910"/>
      <c r="BE41" s="2696"/>
      <c r="BF41" s="2696"/>
      <c r="BG41" s="2696"/>
      <c r="BH41" s="2696"/>
      <c r="BI41" s="2696"/>
      <c r="BJ41" s="2696"/>
      <c r="BK41" s="2696"/>
      <c r="BL41" s="2696"/>
      <c r="BM41" s="2696"/>
      <c r="BN41" s="2696"/>
      <c r="BO41" s="2696"/>
      <c r="BP41" s="2712" t="s">
        <v>3361</v>
      </c>
      <c r="BQ41" s="2701">
        <v>1</v>
      </c>
      <c r="BR41" s="2702">
        <v>1</v>
      </c>
      <c r="BS41" s="2702">
        <v>1</v>
      </c>
      <c r="BT41" s="2702">
        <v>1</v>
      </c>
      <c r="BU41" s="2702">
        <v>1</v>
      </c>
      <c r="BV41" s="2702">
        <v>1</v>
      </c>
      <c r="BW41" s="2702">
        <v>1</v>
      </c>
      <c r="BX41" s="2702">
        <v>1</v>
      </c>
      <c r="BY41" s="2702">
        <v>1</v>
      </c>
      <c r="BZ41" s="2702">
        <v>1</v>
      </c>
      <c r="CA41" s="2702">
        <v>1</v>
      </c>
      <c r="CB41" s="2702"/>
      <c r="CC41" s="2702"/>
      <c r="CD41" s="2702">
        <v>1</v>
      </c>
    </row>
    <row r="42" spans="1:82" ht="23.1" customHeight="1">
      <c r="A42" s="1085">
        <v>31</v>
      </c>
      <c r="B42" s="2694" t="s">
        <v>781</v>
      </c>
      <c r="C42" s="4868" t="s">
        <v>2144</v>
      </c>
      <c r="D42" s="4859">
        <v>43258</v>
      </c>
      <c r="E42" s="2696"/>
      <c r="F42" s="2696"/>
      <c r="G42" s="2696"/>
      <c r="H42" s="2696"/>
      <c r="I42" s="2696"/>
      <c r="J42" s="2696"/>
      <c r="K42" s="2696"/>
      <c r="L42" s="2696"/>
      <c r="M42" s="2696"/>
      <c r="N42" s="2695" t="s">
        <v>782</v>
      </c>
      <c r="O42" s="2696"/>
      <c r="P42" s="2698"/>
      <c r="Q42" s="2696"/>
      <c r="R42" s="2696"/>
      <c r="S42" s="2696"/>
      <c r="T42" s="2696"/>
      <c r="U42" s="2696"/>
      <c r="V42" s="2696"/>
      <c r="W42" s="2696"/>
      <c r="X42" s="2696"/>
      <c r="Y42" s="2696"/>
      <c r="Z42" s="2695" t="s">
        <v>783</v>
      </c>
      <c r="AA42" s="2696"/>
      <c r="AB42" s="2696"/>
      <c r="AC42" s="2696"/>
      <c r="AD42" s="2696"/>
      <c r="AE42" s="2696"/>
      <c r="AF42" s="2697"/>
      <c r="AG42" s="2695" t="s">
        <v>463</v>
      </c>
      <c r="AH42" s="2723" t="s">
        <v>784</v>
      </c>
      <c r="AI42" s="2697"/>
      <c r="AJ42" s="2699" t="s">
        <v>785</v>
      </c>
      <c r="AK42" s="2698"/>
      <c r="AL42" s="2698"/>
      <c r="AM42" s="2723" t="s">
        <v>780</v>
      </c>
      <c r="AN42" s="2698"/>
      <c r="AO42" s="2698"/>
      <c r="AP42" s="2698"/>
      <c r="AQ42" s="2698"/>
      <c r="AR42" s="2700" t="s">
        <v>1484</v>
      </c>
      <c r="AS42" s="2696"/>
      <c r="AT42" s="2696"/>
      <c r="AU42" s="2696"/>
      <c r="AV42" s="2696"/>
      <c r="AW42" s="2696"/>
      <c r="AX42" s="2696"/>
      <c r="AY42" s="2695" t="s">
        <v>2354</v>
      </c>
      <c r="AZ42" s="2696"/>
      <c r="BA42" s="2740"/>
      <c r="BB42" s="2696"/>
      <c r="BC42" s="2696"/>
      <c r="BD42" s="3910"/>
      <c r="BE42" s="2696"/>
      <c r="BF42" s="2696"/>
      <c r="BG42" s="2696"/>
      <c r="BH42" s="2696"/>
      <c r="BI42" s="2696"/>
      <c r="BJ42" s="2696"/>
      <c r="BK42" s="2696"/>
      <c r="BL42" s="2696"/>
      <c r="BM42" s="2696"/>
      <c r="BN42" s="2696"/>
      <c r="BO42" s="2696"/>
      <c r="BP42" s="2696"/>
      <c r="BQ42" s="2701">
        <v>1</v>
      </c>
      <c r="BR42" s="2702">
        <v>1</v>
      </c>
      <c r="BS42" s="2702">
        <v>1</v>
      </c>
      <c r="BT42" s="2702">
        <v>1</v>
      </c>
      <c r="BU42" s="2702">
        <v>1</v>
      </c>
      <c r="BV42" s="2702">
        <v>1</v>
      </c>
      <c r="BW42" s="2702">
        <v>1</v>
      </c>
      <c r="BX42" s="2702">
        <v>1</v>
      </c>
      <c r="BY42" s="2702">
        <v>1</v>
      </c>
      <c r="BZ42" s="2702">
        <v>1</v>
      </c>
      <c r="CA42" s="2702">
        <v>1</v>
      </c>
      <c r="CB42" s="2702"/>
      <c r="CC42" s="2702"/>
      <c r="CD42" s="2702"/>
    </row>
    <row r="43" spans="1:82" ht="23.1" customHeight="1">
      <c r="A43" s="1085">
        <v>32</v>
      </c>
      <c r="B43" s="2694" t="s">
        <v>756</v>
      </c>
      <c r="C43" s="4868" t="s">
        <v>2828</v>
      </c>
      <c r="D43" s="4859">
        <v>42298</v>
      </c>
      <c r="E43" s="2696"/>
      <c r="F43" s="2696"/>
      <c r="G43" s="2696"/>
      <c r="H43" s="2696"/>
      <c r="I43" s="2696"/>
      <c r="J43" s="2696"/>
      <c r="K43" s="2695" t="s">
        <v>773</v>
      </c>
      <c r="L43" s="2696"/>
      <c r="M43" s="2696"/>
      <c r="N43" s="2695" t="s">
        <v>782</v>
      </c>
      <c r="O43" s="2696"/>
      <c r="P43" s="2698"/>
      <c r="Q43" s="2696"/>
      <c r="R43" s="2696"/>
      <c r="S43" s="2696"/>
      <c r="T43" s="2696"/>
      <c r="U43" s="2696"/>
      <c r="V43" s="2696"/>
      <c r="W43" s="2696"/>
      <c r="X43" s="2696"/>
      <c r="Y43" s="2696"/>
      <c r="Z43" s="2695" t="s">
        <v>783</v>
      </c>
      <c r="AA43" s="2696"/>
      <c r="AB43" s="2696"/>
      <c r="AC43" s="2699" t="s">
        <v>786</v>
      </c>
      <c r="AD43" s="2703"/>
      <c r="AE43" s="2696"/>
      <c r="AF43" s="2697"/>
      <c r="AG43" s="2695" t="s">
        <v>463</v>
      </c>
      <c r="AH43" s="2723" t="s">
        <v>784</v>
      </c>
      <c r="AI43" s="2697"/>
      <c r="AJ43" s="2697"/>
      <c r="AK43" s="2697"/>
      <c r="AL43" s="2712" t="s">
        <v>602</v>
      </c>
      <c r="AM43" s="2723" t="s">
        <v>780</v>
      </c>
      <c r="AN43" s="2697"/>
      <c r="AO43" s="2697"/>
      <c r="AP43" s="2697"/>
      <c r="AQ43" s="2697"/>
      <c r="AR43" s="2700" t="s">
        <v>1484</v>
      </c>
      <c r="AS43" s="2696"/>
      <c r="AT43" s="2696"/>
      <c r="AU43" s="2696"/>
      <c r="AV43" s="2696"/>
      <c r="AW43" s="2696"/>
      <c r="AX43" s="2696"/>
      <c r="AY43" s="2696"/>
      <c r="AZ43" s="2696"/>
      <c r="BA43" s="2740"/>
      <c r="BB43" s="2696"/>
      <c r="BC43" s="2696"/>
      <c r="BD43" s="3910"/>
      <c r="BE43" s="2696"/>
      <c r="BF43" s="2696"/>
      <c r="BG43" s="2696"/>
      <c r="BH43" s="2696"/>
      <c r="BI43" s="2696"/>
      <c r="BJ43" s="2696"/>
      <c r="BK43" s="2696"/>
      <c r="BL43" s="2696"/>
      <c r="BM43" s="2696"/>
      <c r="BN43" s="2696"/>
      <c r="BO43" s="2696"/>
      <c r="BP43" s="2696"/>
      <c r="BQ43" s="2701">
        <v>1</v>
      </c>
      <c r="BR43" s="2702">
        <v>1</v>
      </c>
      <c r="BS43" s="2702">
        <v>1</v>
      </c>
      <c r="BT43" s="2702">
        <v>1</v>
      </c>
      <c r="BU43" s="2702">
        <v>1</v>
      </c>
      <c r="BV43" s="2702">
        <v>1</v>
      </c>
      <c r="BW43" s="2702">
        <v>1</v>
      </c>
      <c r="BX43" s="2702">
        <v>1</v>
      </c>
      <c r="BY43" s="2702"/>
      <c r="BZ43" s="2702"/>
      <c r="CA43" s="2702"/>
      <c r="CB43" s="2702"/>
      <c r="CC43" s="2702"/>
      <c r="CD43" s="2702"/>
    </row>
    <row r="44" spans="1:82" ht="23.1" customHeight="1">
      <c r="A44" s="1085">
        <v>33</v>
      </c>
      <c r="B44" s="2694" t="s">
        <v>787</v>
      </c>
      <c r="C44" s="4868" t="s">
        <v>2829</v>
      </c>
      <c r="D44" s="4859">
        <v>42298</v>
      </c>
      <c r="E44" s="2696"/>
      <c r="F44" s="2696"/>
      <c r="G44" s="2696"/>
      <c r="H44" s="2696"/>
      <c r="I44" s="2696"/>
      <c r="J44" s="2696"/>
      <c r="K44" s="2696"/>
      <c r="L44" s="2696"/>
      <c r="M44" s="2696"/>
      <c r="N44" s="2695" t="s">
        <v>782</v>
      </c>
      <c r="O44" s="2696"/>
      <c r="P44" s="2698"/>
      <c r="Q44" s="2696"/>
      <c r="R44" s="2696"/>
      <c r="S44" s="2696"/>
      <c r="T44" s="2696"/>
      <c r="U44" s="2696"/>
      <c r="V44" s="2696"/>
      <c r="W44" s="2696"/>
      <c r="X44" s="2696"/>
      <c r="Y44" s="2696"/>
      <c r="Z44" s="2695" t="s">
        <v>783</v>
      </c>
      <c r="AA44" s="2696"/>
      <c r="AB44" s="2696"/>
      <c r="AC44" s="2696"/>
      <c r="AD44" s="2699" t="s">
        <v>788</v>
      </c>
      <c r="AE44" s="2696"/>
      <c r="AF44" s="2697"/>
      <c r="AG44" s="2695" t="s">
        <v>463</v>
      </c>
      <c r="AH44" s="2723" t="s">
        <v>784</v>
      </c>
      <c r="AI44" s="2697"/>
      <c r="AJ44" s="2697"/>
      <c r="AK44" s="2697"/>
      <c r="AL44" s="2697"/>
      <c r="AM44" s="2723" t="s">
        <v>780</v>
      </c>
      <c r="AN44" s="2697"/>
      <c r="AO44" s="2697"/>
      <c r="AP44" s="2697"/>
      <c r="AQ44" s="2697"/>
      <c r="AR44" s="2700" t="s">
        <v>1484</v>
      </c>
      <c r="AS44" s="2696"/>
      <c r="AT44" s="2696"/>
      <c r="AU44" s="2696"/>
      <c r="AV44" s="2696"/>
      <c r="AW44" s="2696"/>
      <c r="AX44" s="2696"/>
      <c r="AY44" s="2696"/>
      <c r="AZ44" s="2696"/>
      <c r="BA44" s="2740"/>
      <c r="BB44" s="2696"/>
      <c r="BC44" s="2696"/>
      <c r="BD44" s="3910"/>
      <c r="BE44" s="2696"/>
      <c r="BF44" s="2696"/>
      <c r="BG44" s="2696"/>
      <c r="BH44" s="2696"/>
      <c r="BI44" s="2696"/>
      <c r="BJ44" s="2696"/>
      <c r="BK44" s="2696"/>
      <c r="BL44" s="2696"/>
      <c r="BM44" s="2696"/>
      <c r="BN44" s="2696"/>
      <c r="BO44" s="2696"/>
      <c r="BP44" s="2696"/>
      <c r="BQ44" s="2701">
        <v>1</v>
      </c>
      <c r="BR44" s="2702">
        <v>1</v>
      </c>
      <c r="BS44" s="2702">
        <v>1</v>
      </c>
      <c r="BT44" s="2702">
        <v>1</v>
      </c>
      <c r="BU44" s="2702">
        <v>1</v>
      </c>
      <c r="BV44" s="2702">
        <v>1</v>
      </c>
      <c r="BW44" s="2702">
        <v>1</v>
      </c>
      <c r="BX44" s="2702">
        <v>1</v>
      </c>
      <c r="BY44" s="2702"/>
      <c r="BZ44" s="2702"/>
      <c r="CA44" s="2702"/>
      <c r="CB44" s="2702"/>
      <c r="CC44" s="2702"/>
      <c r="CD44" s="2702"/>
    </row>
    <row r="45" spans="1:82" ht="23.1" customHeight="1">
      <c r="A45" s="1085">
        <v>34</v>
      </c>
      <c r="B45" s="2694" t="s">
        <v>789</v>
      </c>
      <c r="C45" s="4868" t="s">
        <v>2829</v>
      </c>
      <c r="D45" s="4859">
        <v>42298</v>
      </c>
      <c r="E45" s="2696"/>
      <c r="F45" s="2696"/>
      <c r="G45" s="2696"/>
      <c r="H45" s="2696"/>
      <c r="I45" s="2696"/>
      <c r="J45" s="2696"/>
      <c r="K45" s="2696"/>
      <c r="L45" s="2696"/>
      <c r="M45" s="2696"/>
      <c r="N45" s="2695" t="s">
        <v>782</v>
      </c>
      <c r="O45" s="2696"/>
      <c r="P45" s="2698"/>
      <c r="Q45" s="2696"/>
      <c r="R45" s="2696"/>
      <c r="S45" s="2696"/>
      <c r="T45" s="2696"/>
      <c r="U45" s="2696"/>
      <c r="V45" s="2696"/>
      <c r="W45" s="2696"/>
      <c r="X45" s="2696"/>
      <c r="Y45" s="2696"/>
      <c r="Z45" s="2695" t="s">
        <v>783</v>
      </c>
      <c r="AA45" s="2696"/>
      <c r="AB45" s="2696"/>
      <c r="AC45" s="2696"/>
      <c r="AD45" s="2696"/>
      <c r="AE45" s="2696"/>
      <c r="AF45" s="2697"/>
      <c r="AG45" s="2695" t="s">
        <v>463</v>
      </c>
      <c r="AH45" s="2723" t="s">
        <v>784</v>
      </c>
      <c r="AI45" s="2712" t="s">
        <v>602</v>
      </c>
      <c r="AJ45" s="2713"/>
      <c r="AK45" s="2713"/>
      <c r="AL45" s="2713"/>
      <c r="AM45" s="2723" t="s">
        <v>780</v>
      </c>
      <c r="AN45" s="2713"/>
      <c r="AO45" s="2713"/>
      <c r="AP45" s="2713"/>
      <c r="AQ45" s="2713"/>
      <c r="AR45" s="2700" t="s">
        <v>1484</v>
      </c>
      <c r="AS45" s="2696"/>
      <c r="AT45" s="2696"/>
      <c r="AU45" s="2696"/>
      <c r="AV45" s="2696"/>
      <c r="AW45" s="2696"/>
      <c r="AX45" s="2696"/>
      <c r="AY45" s="2696"/>
      <c r="AZ45" s="2696"/>
      <c r="BA45" s="2740"/>
      <c r="BB45" s="2696"/>
      <c r="BC45" s="2696"/>
      <c r="BD45" s="3910"/>
      <c r="BE45" s="2696"/>
      <c r="BF45" s="2696"/>
      <c r="BG45" s="2696"/>
      <c r="BH45" s="2696"/>
      <c r="BI45" s="2696"/>
      <c r="BJ45" s="2696"/>
      <c r="BK45" s="2696"/>
      <c r="BL45" s="2696"/>
      <c r="BM45" s="2696"/>
      <c r="BN45" s="2696"/>
      <c r="BO45" s="2696"/>
      <c r="BP45" s="2696"/>
      <c r="BQ45" s="2701">
        <v>1</v>
      </c>
      <c r="BR45" s="2702">
        <v>1</v>
      </c>
      <c r="BS45" s="2702">
        <v>1</v>
      </c>
      <c r="BT45" s="2702">
        <v>1</v>
      </c>
      <c r="BU45" s="2702">
        <v>1</v>
      </c>
      <c r="BV45" s="2702">
        <v>1</v>
      </c>
      <c r="BW45" s="2702">
        <v>1</v>
      </c>
      <c r="BX45" s="2702">
        <v>1</v>
      </c>
      <c r="BY45" s="2702"/>
      <c r="BZ45" s="2702"/>
      <c r="CA45" s="2702"/>
      <c r="CB45" s="2702"/>
      <c r="CC45" s="2702"/>
      <c r="CD45" s="2702"/>
    </row>
    <row r="46" spans="1:82" ht="23.1" customHeight="1">
      <c r="A46" s="1085">
        <v>35</v>
      </c>
      <c r="B46" s="2694" t="s">
        <v>758</v>
      </c>
      <c r="C46" s="4868" t="s">
        <v>2829</v>
      </c>
      <c r="D46" s="4859">
        <v>42298</v>
      </c>
      <c r="E46" s="2695" t="s">
        <v>771</v>
      </c>
      <c r="F46" s="2703"/>
      <c r="G46" s="2696"/>
      <c r="H46" s="2696"/>
      <c r="I46" s="2696"/>
      <c r="J46" s="2696"/>
      <c r="K46" s="2696"/>
      <c r="L46" s="2696"/>
      <c r="M46" s="2696"/>
      <c r="N46" s="2695" t="s">
        <v>782</v>
      </c>
      <c r="O46" s="2696"/>
      <c r="P46" s="2698"/>
      <c r="Q46" s="2696"/>
      <c r="R46" s="2696"/>
      <c r="S46" s="2696"/>
      <c r="T46" s="2696"/>
      <c r="U46" s="2696"/>
      <c r="V46" s="2696"/>
      <c r="W46" s="2696"/>
      <c r="X46" s="2696"/>
      <c r="Y46" s="2696"/>
      <c r="Z46" s="2695" t="s">
        <v>783</v>
      </c>
      <c r="AA46" s="2696"/>
      <c r="AB46" s="2696"/>
      <c r="AC46" s="2696"/>
      <c r="AD46" s="2696"/>
      <c r="AE46" s="2696"/>
      <c r="AF46" s="2697"/>
      <c r="AG46" s="2695" t="s">
        <v>463</v>
      </c>
      <c r="AH46" s="2723" t="s">
        <v>784</v>
      </c>
      <c r="AI46" s="2697"/>
      <c r="AJ46" s="2697"/>
      <c r="AK46" s="2697"/>
      <c r="AL46" s="2697"/>
      <c r="AM46" s="2723" t="s">
        <v>780</v>
      </c>
      <c r="AN46" s="2697"/>
      <c r="AO46" s="2697"/>
      <c r="AP46" s="2697"/>
      <c r="AQ46" s="2697"/>
      <c r="AR46" s="2700" t="s">
        <v>1484</v>
      </c>
      <c r="AS46" s="2696"/>
      <c r="AT46" s="2696"/>
      <c r="AU46" s="2696"/>
      <c r="AV46" s="2696"/>
      <c r="AW46" s="2696"/>
      <c r="AX46" s="2696"/>
      <c r="AY46" s="2696"/>
      <c r="AZ46" s="2696"/>
      <c r="BA46" s="2740"/>
      <c r="BB46" s="2696"/>
      <c r="BC46" s="2696"/>
      <c r="BD46" s="3910"/>
      <c r="BE46" s="2696"/>
      <c r="BF46" s="2696"/>
      <c r="BG46" s="2696"/>
      <c r="BH46" s="2696"/>
      <c r="BI46" s="2696"/>
      <c r="BJ46" s="2696"/>
      <c r="BK46" s="2696"/>
      <c r="BL46" s="2696"/>
      <c r="BM46" s="2696"/>
      <c r="BN46" s="2696"/>
      <c r="BO46" s="2696"/>
      <c r="BP46" s="2696"/>
      <c r="BQ46" s="2701">
        <v>1</v>
      </c>
      <c r="BR46" s="2702">
        <v>1</v>
      </c>
      <c r="BS46" s="2702">
        <v>1</v>
      </c>
      <c r="BT46" s="2702">
        <v>1</v>
      </c>
      <c r="BU46" s="2702">
        <v>1</v>
      </c>
      <c r="BV46" s="2702">
        <v>1</v>
      </c>
      <c r="BW46" s="2702">
        <v>1</v>
      </c>
      <c r="BX46" s="2702">
        <v>1</v>
      </c>
      <c r="BY46" s="2702"/>
      <c r="BZ46" s="2702"/>
      <c r="CA46" s="2702"/>
      <c r="CB46" s="2702"/>
      <c r="CC46" s="2702"/>
      <c r="CD46" s="2702"/>
    </row>
    <row r="47" spans="1:82" ht="23.1" customHeight="1">
      <c r="A47" s="1085">
        <v>36</v>
      </c>
      <c r="B47" s="2694" t="s">
        <v>790</v>
      </c>
      <c r="C47" s="4868" t="s">
        <v>2829</v>
      </c>
      <c r="D47" s="4859">
        <v>42298</v>
      </c>
      <c r="E47" s="2696"/>
      <c r="F47" s="2695" t="s">
        <v>248</v>
      </c>
      <c r="G47" s="2703"/>
      <c r="H47" s="2696"/>
      <c r="I47" s="2696"/>
      <c r="J47" s="2696"/>
      <c r="K47" s="2696"/>
      <c r="L47" s="2696"/>
      <c r="M47" s="2696"/>
      <c r="N47" s="2695" t="s">
        <v>782</v>
      </c>
      <c r="O47" s="2696"/>
      <c r="P47" s="2698"/>
      <c r="Q47" s="2696"/>
      <c r="R47" s="2696"/>
      <c r="S47" s="2696"/>
      <c r="T47" s="2696"/>
      <c r="U47" s="2696"/>
      <c r="V47" s="2696"/>
      <c r="W47" s="2696"/>
      <c r="X47" s="2696"/>
      <c r="Y47" s="2696"/>
      <c r="Z47" s="2695" t="s">
        <v>783</v>
      </c>
      <c r="AA47" s="2696"/>
      <c r="AB47" s="2696"/>
      <c r="AC47" s="2696"/>
      <c r="AD47" s="2696"/>
      <c r="AE47" s="2696"/>
      <c r="AF47" s="2697"/>
      <c r="AG47" s="2695" t="s">
        <v>463</v>
      </c>
      <c r="AH47" s="2723" t="s">
        <v>784</v>
      </c>
      <c r="AI47" s="2697"/>
      <c r="AJ47" s="2699" t="s">
        <v>791</v>
      </c>
      <c r="AK47" s="2698"/>
      <c r="AL47" s="2698"/>
      <c r="AM47" s="2723" t="s">
        <v>780</v>
      </c>
      <c r="AN47" s="2698"/>
      <c r="AO47" s="2698"/>
      <c r="AP47" s="2698"/>
      <c r="AQ47" s="2698"/>
      <c r="AR47" s="2700" t="s">
        <v>1484</v>
      </c>
      <c r="AS47" s="2696"/>
      <c r="AT47" s="2696"/>
      <c r="AU47" s="2696"/>
      <c r="AV47" s="2696"/>
      <c r="AW47" s="2696"/>
      <c r="AX47" s="2696"/>
      <c r="AY47" s="2696"/>
      <c r="AZ47" s="2696"/>
      <c r="BA47" s="2740"/>
      <c r="BB47" s="2696"/>
      <c r="BC47" s="2696"/>
      <c r="BD47" s="3910"/>
      <c r="BE47" s="2696"/>
      <c r="BF47" s="2696"/>
      <c r="BG47" s="2696"/>
      <c r="BH47" s="2696"/>
      <c r="BI47" s="2696"/>
      <c r="BJ47" s="2696"/>
      <c r="BK47" s="2696"/>
      <c r="BL47" s="2712" t="s">
        <v>3083</v>
      </c>
      <c r="BM47" s="2696"/>
      <c r="BN47" s="2696"/>
      <c r="BO47" s="2696"/>
      <c r="BP47" s="2696"/>
      <c r="BQ47" s="2701">
        <v>1</v>
      </c>
      <c r="BR47" s="2702">
        <v>1</v>
      </c>
      <c r="BS47" s="2702">
        <v>1</v>
      </c>
      <c r="BT47" s="2702">
        <v>1</v>
      </c>
      <c r="BU47" s="2702">
        <v>1</v>
      </c>
      <c r="BV47" s="2702">
        <v>1</v>
      </c>
      <c r="BW47" s="2702">
        <v>1</v>
      </c>
      <c r="BX47" s="2702">
        <v>1</v>
      </c>
      <c r="BY47" s="2702"/>
      <c r="BZ47" s="2702"/>
      <c r="CA47" s="2702"/>
      <c r="CB47" s="2702"/>
      <c r="CC47" s="2702">
        <v>1</v>
      </c>
      <c r="CD47" s="2702">
        <v>1</v>
      </c>
    </row>
    <row r="48" spans="1:82" ht="23.1" customHeight="1">
      <c r="A48" s="1085">
        <v>37</v>
      </c>
      <c r="B48" s="2694" t="s">
        <v>792</v>
      </c>
      <c r="C48" s="4868" t="s">
        <v>2830</v>
      </c>
      <c r="D48" s="4861">
        <v>42898</v>
      </c>
      <c r="E48" s="2696"/>
      <c r="F48" s="2695" t="s">
        <v>248</v>
      </c>
      <c r="G48" s="2696"/>
      <c r="H48" s="2703"/>
      <c r="I48" s="2696"/>
      <c r="J48" s="2696"/>
      <c r="K48" s="2696"/>
      <c r="L48" s="2696"/>
      <c r="M48" s="2696"/>
      <c r="N48" s="2695" t="s">
        <v>782</v>
      </c>
      <c r="O48" s="2696"/>
      <c r="P48" s="2698"/>
      <c r="Q48" s="2696"/>
      <c r="R48" s="2696"/>
      <c r="S48" s="2696"/>
      <c r="T48" s="2696"/>
      <c r="U48" s="2696"/>
      <c r="V48" s="2696"/>
      <c r="W48" s="2696"/>
      <c r="X48" s="2696"/>
      <c r="Y48" s="2696"/>
      <c r="Z48" s="2695" t="s">
        <v>783</v>
      </c>
      <c r="AA48" s="2696"/>
      <c r="AB48" s="2696"/>
      <c r="AC48" s="2696"/>
      <c r="AD48" s="2696"/>
      <c r="AE48" s="2696"/>
      <c r="AF48" s="2697"/>
      <c r="AG48" s="2724" t="s">
        <v>793</v>
      </c>
      <c r="AH48" s="2723" t="s">
        <v>784</v>
      </c>
      <c r="AI48" s="2697"/>
      <c r="AJ48" s="2697"/>
      <c r="AK48" s="2697"/>
      <c r="AL48" s="2697"/>
      <c r="AM48" s="2725" t="s">
        <v>794</v>
      </c>
      <c r="AN48" s="2696"/>
      <c r="AO48" s="2696"/>
      <c r="AP48" s="2696"/>
      <c r="AQ48" s="2696"/>
      <c r="AR48" s="2700" t="s">
        <v>1484</v>
      </c>
      <c r="AS48" s="2696"/>
      <c r="AT48" s="2696"/>
      <c r="AU48" s="2696"/>
      <c r="AV48" s="2696"/>
      <c r="AW48" s="2726" t="s">
        <v>2155</v>
      </c>
      <c r="AX48" s="2696"/>
      <c r="AY48" s="2696"/>
      <c r="AZ48" s="2696"/>
      <c r="BA48" s="2740"/>
      <c r="BB48" s="2696"/>
      <c r="BC48" s="2696"/>
      <c r="BD48" s="3910"/>
      <c r="BE48" s="2696"/>
      <c r="BF48" s="2696"/>
      <c r="BG48" s="2696"/>
      <c r="BH48" s="2696"/>
      <c r="BI48" s="2696"/>
      <c r="BJ48" s="2696"/>
      <c r="BK48" s="2696"/>
      <c r="BL48" s="2696"/>
      <c r="BM48" s="2696"/>
      <c r="BN48" s="2696"/>
      <c r="BO48" s="2696"/>
      <c r="BP48" s="2696"/>
      <c r="BQ48" s="2701">
        <v>1</v>
      </c>
      <c r="BR48" s="2702">
        <v>1</v>
      </c>
      <c r="BS48" s="2702">
        <v>1</v>
      </c>
      <c r="BT48" s="2702">
        <v>1</v>
      </c>
      <c r="BU48" s="2702">
        <v>1</v>
      </c>
      <c r="BV48" s="2702">
        <v>1</v>
      </c>
      <c r="BW48" s="2702">
        <v>1</v>
      </c>
      <c r="BX48" s="2702">
        <v>1</v>
      </c>
      <c r="BY48" s="2702">
        <v>1</v>
      </c>
      <c r="BZ48" s="2702">
        <v>1</v>
      </c>
      <c r="CA48" s="2702"/>
      <c r="CB48" s="2702"/>
      <c r="CC48" s="2702"/>
      <c r="CD48" s="2702"/>
    </row>
    <row r="49" spans="1:82" ht="23.1" customHeight="1">
      <c r="A49" s="1085">
        <v>38</v>
      </c>
      <c r="B49" s="2694" t="s">
        <v>795</v>
      </c>
      <c r="C49" s="4868" t="s">
        <v>2829</v>
      </c>
      <c r="D49" s="4859">
        <v>42298</v>
      </c>
      <c r="E49" s="2695" t="s">
        <v>771</v>
      </c>
      <c r="F49" s="2696"/>
      <c r="G49" s="2696"/>
      <c r="H49" s="2696"/>
      <c r="I49" s="2696"/>
      <c r="J49" s="2696"/>
      <c r="K49" s="2696"/>
      <c r="L49" s="2695" t="s">
        <v>773</v>
      </c>
      <c r="M49" s="2696"/>
      <c r="N49" s="2695" t="s">
        <v>782</v>
      </c>
      <c r="O49" s="2696"/>
      <c r="P49" s="2698"/>
      <c r="Q49" s="2696"/>
      <c r="R49" s="2696"/>
      <c r="S49" s="2696"/>
      <c r="T49" s="2696"/>
      <c r="U49" s="2696"/>
      <c r="V49" s="2696"/>
      <c r="W49" s="2696"/>
      <c r="X49" s="2696"/>
      <c r="Y49" s="2696"/>
      <c r="Z49" s="2695" t="s">
        <v>783</v>
      </c>
      <c r="AA49" s="2696"/>
      <c r="AB49" s="2696"/>
      <c r="AC49" s="2696"/>
      <c r="AD49" s="2696"/>
      <c r="AE49" s="2696"/>
      <c r="AF49" s="2697"/>
      <c r="AG49" s="2695" t="s">
        <v>463</v>
      </c>
      <c r="AH49" s="2723" t="s">
        <v>784</v>
      </c>
      <c r="AI49" s="2697"/>
      <c r="AJ49" s="2697"/>
      <c r="AK49" s="2697"/>
      <c r="AL49" s="2697"/>
      <c r="AM49" s="2723" t="s">
        <v>780</v>
      </c>
      <c r="AN49" s="2697"/>
      <c r="AO49" s="2697"/>
      <c r="AP49" s="2697"/>
      <c r="AQ49" s="2697"/>
      <c r="AR49" s="2700" t="s">
        <v>1484</v>
      </c>
      <c r="AS49" s="2696"/>
      <c r="AT49" s="2696"/>
      <c r="AU49" s="2696"/>
      <c r="AV49" s="2696"/>
      <c r="AW49" s="2696"/>
      <c r="AX49" s="2696"/>
      <c r="AY49" s="2696"/>
      <c r="AZ49" s="2696"/>
      <c r="BA49" s="2740"/>
      <c r="BB49" s="2696"/>
      <c r="BC49" s="2696"/>
      <c r="BD49" s="3910"/>
      <c r="BE49" s="2696"/>
      <c r="BF49" s="2696"/>
      <c r="BG49" s="2696"/>
      <c r="BH49" s="2696"/>
      <c r="BI49" s="2696"/>
      <c r="BJ49" s="2696"/>
      <c r="BK49" s="2696"/>
      <c r="BL49" s="2696"/>
      <c r="BM49" s="2696"/>
      <c r="BN49" s="2696"/>
      <c r="BO49" s="2696"/>
      <c r="BP49" s="2696"/>
      <c r="BQ49" s="2701">
        <v>1</v>
      </c>
      <c r="BR49" s="2702">
        <v>1</v>
      </c>
      <c r="BS49" s="2702">
        <v>1</v>
      </c>
      <c r="BT49" s="2702">
        <v>1</v>
      </c>
      <c r="BU49" s="2702">
        <v>1</v>
      </c>
      <c r="BV49" s="2702">
        <v>1</v>
      </c>
      <c r="BW49" s="2702">
        <v>1</v>
      </c>
      <c r="BX49" s="2702">
        <v>1</v>
      </c>
      <c r="BY49" s="2702"/>
      <c r="BZ49" s="2702"/>
      <c r="CA49" s="2702"/>
      <c r="CB49" s="2702"/>
      <c r="CC49" s="2702"/>
      <c r="CD49" s="2702"/>
    </row>
    <row r="50" spans="1:82" ht="23.1" customHeight="1">
      <c r="A50" s="1085">
        <v>39</v>
      </c>
      <c r="B50" s="2727" t="s">
        <v>1699</v>
      </c>
      <c r="C50" s="4868" t="s">
        <v>2831</v>
      </c>
      <c r="D50" s="4859">
        <v>42516</v>
      </c>
      <c r="E50" s="2696"/>
      <c r="F50" s="2696"/>
      <c r="G50" s="2696"/>
      <c r="H50" s="2696"/>
      <c r="I50" s="2696"/>
      <c r="J50" s="2696"/>
      <c r="K50" s="2696"/>
      <c r="L50" s="2696"/>
      <c r="M50" s="2696"/>
      <c r="N50" s="2696"/>
      <c r="O50" s="2696"/>
      <c r="P50" s="2698"/>
      <c r="Q50" s="2696"/>
      <c r="R50" s="2696"/>
      <c r="S50" s="2696"/>
      <c r="T50" s="2696"/>
      <c r="U50" s="2696"/>
      <c r="V50" s="2696"/>
      <c r="W50" s="2696"/>
      <c r="X50" s="2696"/>
      <c r="Y50" s="2696"/>
      <c r="Z50" s="2696"/>
      <c r="AA50" s="2696"/>
      <c r="AB50" s="2696"/>
      <c r="AC50" s="2696"/>
      <c r="AD50" s="2696"/>
      <c r="AE50" s="2696"/>
      <c r="AF50" s="2697"/>
      <c r="AG50" s="2696"/>
      <c r="AH50" s="2697"/>
      <c r="AI50" s="2697"/>
      <c r="AJ50" s="2697"/>
      <c r="AK50" s="2697"/>
      <c r="AL50" s="2697"/>
      <c r="AM50" s="2697"/>
      <c r="AN50" s="2697"/>
      <c r="AO50" s="2697"/>
      <c r="AP50" s="2697"/>
      <c r="AQ50" s="2697"/>
      <c r="AR50" s="2696"/>
      <c r="AS50" s="2696"/>
      <c r="AT50" s="2728" t="s">
        <v>1698</v>
      </c>
      <c r="AU50" s="2696"/>
      <c r="AV50" s="2696"/>
      <c r="AW50" s="2696"/>
      <c r="AX50" s="2696"/>
      <c r="AY50" s="2696"/>
      <c r="AZ50" s="2696"/>
      <c r="BA50" s="2740"/>
      <c r="BB50" s="2696"/>
      <c r="BC50" s="2696"/>
      <c r="BD50" s="3910"/>
      <c r="BE50" s="2696"/>
      <c r="BF50" s="2696"/>
      <c r="BG50" s="2696"/>
      <c r="BH50" s="2696"/>
      <c r="BI50" s="2696"/>
      <c r="BJ50" s="2696"/>
      <c r="BK50" s="2696"/>
      <c r="BL50" s="2696"/>
      <c r="BM50" s="2696"/>
      <c r="BN50" s="2696"/>
      <c r="BO50" s="2696"/>
      <c r="BP50" s="2696"/>
      <c r="BQ50" s="2701"/>
      <c r="BR50" s="2702"/>
      <c r="BS50" s="2702"/>
      <c r="BT50" s="2702"/>
      <c r="BU50" s="2702"/>
      <c r="BV50" s="2702"/>
      <c r="BW50" s="2702">
        <v>1</v>
      </c>
      <c r="BX50" s="2702">
        <v>1</v>
      </c>
      <c r="BY50" s="2702">
        <v>1</v>
      </c>
      <c r="BZ50" s="2702"/>
      <c r="CA50" s="2702"/>
      <c r="CB50" s="2702"/>
      <c r="CC50" s="2702"/>
      <c r="CD50" s="2702"/>
    </row>
    <row r="51" spans="1:82" ht="14.4">
      <c r="A51" s="1085"/>
      <c r="B51" s="2717" t="s">
        <v>345</v>
      </c>
      <c r="C51" s="4870"/>
      <c r="D51" s="2718"/>
      <c r="E51" s="2719"/>
      <c r="F51" s="2719"/>
      <c r="G51" s="2719"/>
      <c r="H51" s="2719"/>
      <c r="I51" s="2719"/>
      <c r="J51" s="2719"/>
      <c r="K51" s="2719"/>
      <c r="L51" s="2719"/>
      <c r="M51" s="2719"/>
      <c r="N51" s="2719"/>
      <c r="O51" s="2719"/>
      <c r="P51" s="2719"/>
      <c r="Q51" s="2719"/>
      <c r="R51" s="2719"/>
      <c r="S51" s="2719"/>
      <c r="T51" s="2719"/>
      <c r="U51" s="2719"/>
      <c r="V51" s="2719"/>
      <c r="W51" s="2719"/>
      <c r="X51" s="2719"/>
      <c r="Y51" s="2719"/>
      <c r="Z51" s="2719"/>
      <c r="AA51" s="2719"/>
      <c r="AB51" s="2719"/>
      <c r="AC51" s="2719"/>
      <c r="AD51" s="2719"/>
      <c r="AE51" s="2719"/>
      <c r="AF51" s="2719"/>
      <c r="AG51" s="2719"/>
      <c r="AH51" s="2719"/>
      <c r="AI51" s="2719"/>
      <c r="AJ51" s="2719"/>
      <c r="AK51" s="2719"/>
      <c r="AL51" s="2720"/>
      <c r="AM51" s="2720"/>
      <c r="AN51" s="2720"/>
      <c r="AO51" s="2720"/>
      <c r="AP51" s="2720"/>
      <c r="AQ51" s="2720"/>
      <c r="AR51" s="2720"/>
      <c r="AS51" s="2720"/>
      <c r="AT51" s="2720"/>
      <c r="AU51" s="2720"/>
      <c r="AV51" s="2720"/>
      <c r="AW51" s="2720"/>
      <c r="AX51" s="2720"/>
      <c r="AY51" s="2720"/>
      <c r="AZ51" s="2720"/>
      <c r="BA51" s="2720"/>
      <c r="BB51" s="4852"/>
      <c r="BC51" s="2720"/>
      <c r="BD51" s="3911"/>
      <c r="BE51" s="3912"/>
      <c r="BF51" s="3912"/>
      <c r="BG51" s="3912"/>
      <c r="BH51" s="3912"/>
      <c r="BI51" s="3912"/>
      <c r="BJ51" s="3912"/>
      <c r="BK51" s="2720"/>
      <c r="BL51" s="2720"/>
      <c r="BM51" s="2720"/>
      <c r="BN51" s="2720"/>
      <c r="BO51" s="2720"/>
      <c r="BP51" s="2720"/>
      <c r="BQ51" s="2721"/>
      <c r="BR51" s="2721"/>
      <c r="BS51" s="2721"/>
      <c r="BT51" s="2721"/>
      <c r="BU51" s="2721"/>
      <c r="BV51" s="2721"/>
      <c r="BW51" s="2722"/>
      <c r="BX51" s="2722"/>
      <c r="BY51" s="2722"/>
      <c r="BZ51" s="2722"/>
      <c r="CA51" s="2722"/>
      <c r="CB51" s="2722"/>
      <c r="CC51" s="2722"/>
      <c r="CD51" s="2722"/>
    </row>
    <row r="52" spans="1:82" ht="23.1" customHeight="1">
      <c r="A52" s="1085">
        <v>40</v>
      </c>
      <c r="B52" s="2694" t="s">
        <v>763</v>
      </c>
      <c r="C52" s="4868" t="s">
        <v>2832</v>
      </c>
      <c r="D52" s="4860">
        <v>41808</v>
      </c>
      <c r="E52" s="2695" t="s">
        <v>771</v>
      </c>
      <c r="F52" s="2696"/>
      <c r="G52" s="2696"/>
      <c r="H52" s="2695" t="s">
        <v>202</v>
      </c>
      <c r="I52" s="2696"/>
      <c r="J52" s="2696"/>
      <c r="K52" s="2696"/>
      <c r="L52" s="2696"/>
      <c r="M52" s="2696"/>
      <c r="N52" s="2696"/>
      <c r="O52" s="2696"/>
      <c r="P52" s="2696"/>
      <c r="Q52" s="2696"/>
      <c r="R52" s="2696"/>
      <c r="S52" s="2696"/>
      <c r="T52" s="2696"/>
      <c r="U52" s="2695" t="s">
        <v>796</v>
      </c>
      <c r="V52" s="2696"/>
      <c r="W52" s="2696"/>
      <c r="X52" s="2696"/>
      <c r="Y52" s="2696"/>
      <c r="Z52" s="2699" t="s">
        <v>797</v>
      </c>
      <c r="AA52" s="2696"/>
      <c r="AB52" s="2696"/>
      <c r="AC52" s="2696"/>
      <c r="AD52" s="2696"/>
      <c r="AE52" s="2696"/>
      <c r="AF52" s="2697"/>
      <c r="AG52" s="2697"/>
      <c r="AH52" s="2723" t="s">
        <v>784</v>
      </c>
      <c r="AI52" s="2697"/>
      <c r="AJ52" s="2697"/>
      <c r="AK52" s="2697"/>
      <c r="AL52" s="2697"/>
      <c r="AM52" s="2723" t="s">
        <v>780</v>
      </c>
      <c r="AN52" s="2697"/>
      <c r="AO52" s="2697"/>
      <c r="AP52" s="2697"/>
      <c r="AQ52" s="2697"/>
      <c r="AR52" s="2716"/>
      <c r="AS52" s="2697"/>
      <c r="AT52" s="2697"/>
      <c r="AU52" s="2697"/>
      <c r="AV52" s="2697"/>
      <c r="AW52" s="2697"/>
      <c r="AX52" s="2697"/>
      <c r="AY52" s="2697"/>
      <c r="AZ52" s="2697"/>
      <c r="BA52" s="2716"/>
      <c r="BB52" s="2697"/>
      <c r="BC52" s="2697"/>
      <c r="BD52" s="2697"/>
      <c r="BE52" s="2697"/>
      <c r="BF52" s="2697"/>
      <c r="BG52" s="2697"/>
      <c r="BH52" s="2697"/>
      <c r="BI52" s="2697"/>
      <c r="BJ52" s="2697"/>
      <c r="BK52" s="2697"/>
      <c r="BL52" s="2697"/>
      <c r="BM52" s="2697"/>
      <c r="BN52" s="2697"/>
      <c r="BO52" s="2697"/>
      <c r="BP52" s="2697"/>
      <c r="BQ52" s="2701">
        <v>1</v>
      </c>
      <c r="BR52" s="2702">
        <v>1</v>
      </c>
      <c r="BS52" s="2702">
        <v>1</v>
      </c>
      <c r="BT52" s="2702">
        <v>1</v>
      </c>
      <c r="BU52" s="2702">
        <v>1</v>
      </c>
      <c r="BV52" s="2702">
        <v>1</v>
      </c>
      <c r="BW52" s="2702">
        <v>1</v>
      </c>
      <c r="BX52" s="2702"/>
      <c r="BY52" s="2702"/>
      <c r="BZ52" s="2702"/>
      <c r="CA52" s="2702"/>
      <c r="CB52" s="2702"/>
      <c r="CC52" s="2702"/>
      <c r="CD52" s="2702"/>
    </row>
    <row r="53" spans="1:82" ht="23.1" customHeight="1">
      <c r="A53" s="1085">
        <v>41</v>
      </c>
      <c r="B53" s="2694" t="s">
        <v>798</v>
      </c>
      <c r="C53" s="4868" t="s">
        <v>2833</v>
      </c>
      <c r="D53" s="4862">
        <v>41808</v>
      </c>
      <c r="E53" s="2696"/>
      <c r="F53" s="2696"/>
      <c r="G53" s="2696"/>
      <c r="H53" s="2695" t="s">
        <v>202</v>
      </c>
      <c r="I53" s="2696"/>
      <c r="J53" s="2696"/>
      <c r="K53" s="2696"/>
      <c r="L53" s="2696"/>
      <c r="M53" s="2696"/>
      <c r="N53" s="2696"/>
      <c r="O53" s="2696"/>
      <c r="P53" s="2696"/>
      <c r="Q53" s="2696"/>
      <c r="R53" s="2696"/>
      <c r="S53" s="2696"/>
      <c r="T53" s="2696"/>
      <c r="U53" s="2695" t="s">
        <v>796</v>
      </c>
      <c r="V53" s="2696"/>
      <c r="W53" s="2696"/>
      <c r="X53" s="2696"/>
      <c r="Y53" s="2696"/>
      <c r="Z53" s="2696"/>
      <c r="AA53" s="2696"/>
      <c r="AB53" s="2696"/>
      <c r="AC53" s="2696"/>
      <c r="AD53" s="2696"/>
      <c r="AE53" s="2699" t="s">
        <v>799</v>
      </c>
      <c r="AF53" s="2697"/>
      <c r="AG53" s="2697"/>
      <c r="AH53" s="2723" t="s">
        <v>784</v>
      </c>
      <c r="AI53" s="2697"/>
      <c r="AJ53" s="2695" t="s">
        <v>800</v>
      </c>
      <c r="AK53" s="2698"/>
      <c r="AL53" s="2698"/>
      <c r="AM53" s="2723" t="s">
        <v>780</v>
      </c>
      <c r="AN53" s="2698"/>
      <c r="AO53" s="2698"/>
      <c r="AP53" s="2698"/>
      <c r="AQ53" s="2698"/>
      <c r="AR53" s="2729"/>
      <c r="AS53" s="2698"/>
      <c r="AT53" s="2698"/>
      <c r="AU53" s="2698"/>
      <c r="AV53" s="2698"/>
      <c r="AW53" s="2698"/>
      <c r="AX53" s="2698"/>
      <c r="AY53" s="2698"/>
      <c r="AZ53" s="2698"/>
      <c r="BA53" s="2729"/>
      <c r="BB53" s="2698"/>
      <c r="BC53" s="2698"/>
      <c r="BD53" s="2698"/>
      <c r="BE53" s="2698"/>
      <c r="BF53" s="2698"/>
      <c r="BG53" s="2698"/>
      <c r="BH53" s="2698"/>
      <c r="BI53" s="2698"/>
      <c r="BJ53" s="2698"/>
      <c r="BK53" s="2698"/>
      <c r="BL53" s="2698"/>
      <c r="BM53" s="2698"/>
      <c r="BN53" s="2698"/>
      <c r="BO53" s="2698"/>
      <c r="BP53" s="2698"/>
      <c r="BQ53" s="2701">
        <v>1</v>
      </c>
      <c r="BR53" s="2702">
        <v>1</v>
      </c>
      <c r="BS53" s="2702">
        <v>1</v>
      </c>
      <c r="BT53" s="2702">
        <v>1</v>
      </c>
      <c r="BU53" s="2702">
        <v>1</v>
      </c>
      <c r="BV53" s="2702">
        <v>1</v>
      </c>
      <c r="BW53" s="2702">
        <v>1</v>
      </c>
      <c r="BX53" s="2702"/>
      <c r="BY53" s="2702"/>
      <c r="BZ53" s="2702"/>
      <c r="CA53" s="2702"/>
      <c r="CB53" s="2702"/>
      <c r="CC53" s="2702"/>
      <c r="CD53" s="2702"/>
    </row>
    <row r="54" spans="1:82" ht="23.1" customHeight="1">
      <c r="A54" s="1085">
        <v>42</v>
      </c>
      <c r="B54" s="2694" t="s">
        <v>801</v>
      </c>
      <c r="C54" s="4868" t="s">
        <v>2833</v>
      </c>
      <c r="D54" s="4860">
        <v>41808</v>
      </c>
      <c r="E54" s="2696"/>
      <c r="F54" s="2696"/>
      <c r="G54" s="2696"/>
      <c r="H54" s="2695" t="s">
        <v>202</v>
      </c>
      <c r="I54" s="2696"/>
      <c r="J54" s="2696"/>
      <c r="K54" s="2696"/>
      <c r="L54" s="2696"/>
      <c r="M54" s="2696"/>
      <c r="N54" s="2696"/>
      <c r="O54" s="2696"/>
      <c r="P54" s="2696"/>
      <c r="Q54" s="2696"/>
      <c r="R54" s="2696"/>
      <c r="S54" s="2696"/>
      <c r="T54" s="2696"/>
      <c r="U54" s="2730"/>
      <c r="V54" s="2695" t="s">
        <v>796</v>
      </c>
      <c r="W54" s="2696"/>
      <c r="X54" s="2696"/>
      <c r="Y54" s="2696"/>
      <c r="Z54" s="2696"/>
      <c r="AA54" s="2696"/>
      <c r="AB54" s="2699" t="s">
        <v>802</v>
      </c>
      <c r="AC54" s="2696"/>
      <c r="AD54" s="2696"/>
      <c r="AE54" s="2696"/>
      <c r="AF54" s="2697"/>
      <c r="AG54" s="2697"/>
      <c r="AH54" s="2723" t="s">
        <v>784</v>
      </c>
      <c r="AI54" s="2697"/>
      <c r="AJ54" s="2697"/>
      <c r="AK54" s="2697"/>
      <c r="AL54" s="2697"/>
      <c r="AM54" s="2723" t="s">
        <v>780</v>
      </c>
      <c r="AN54" s="2697"/>
      <c r="AO54" s="2697"/>
      <c r="AP54" s="2697"/>
      <c r="AQ54" s="2697"/>
      <c r="AR54" s="2716"/>
      <c r="AS54" s="2697"/>
      <c r="AT54" s="2697"/>
      <c r="AU54" s="2697"/>
      <c r="AV54" s="2697"/>
      <c r="AW54" s="2697"/>
      <c r="AX54" s="2697"/>
      <c r="AY54" s="2697"/>
      <c r="AZ54" s="2697"/>
      <c r="BA54" s="2716"/>
      <c r="BB54" s="2697"/>
      <c r="BC54" s="2697"/>
      <c r="BD54" s="2697"/>
      <c r="BE54" s="2697"/>
      <c r="BF54" s="2697"/>
      <c r="BG54" s="2697"/>
      <c r="BH54" s="2697"/>
      <c r="BI54" s="2697"/>
      <c r="BJ54" s="2697"/>
      <c r="BK54" s="2697"/>
      <c r="BL54" s="2697"/>
      <c r="BM54" s="2697"/>
      <c r="BN54" s="2697"/>
      <c r="BO54" s="2697"/>
      <c r="BP54" s="2697"/>
      <c r="BQ54" s="2701">
        <v>1</v>
      </c>
      <c r="BR54" s="2702">
        <v>1</v>
      </c>
      <c r="BS54" s="2702">
        <v>1</v>
      </c>
      <c r="BT54" s="2702">
        <v>1</v>
      </c>
      <c r="BU54" s="2702">
        <v>1</v>
      </c>
      <c r="BV54" s="2702">
        <v>1</v>
      </c>
      <c r="BW54" s="2702">
        <v>1</v>
      </c>
      <c r="BX54" s="2702"/>
      <c r="BY54" s="2702"/>
      <c r="BZ54" s="2702"/>
      <c r="CA54" s="2702"/>
      <c r="CB54" s="2702"/>
      <c r="CC54" s="2702"/>
      <c r="CD54" s="2702"/>
    </row>
    <row r="55" spans="1:82" ht="23.1" customHeight="1">
      <c r="A55" s="1085">
        <v>43</v>
      </c>
      <c r="B55" s="2694" t="s">
        <v>803</v>
      </c>
      <c r="C55" s="4868" t="s">
        <v>2834</v>
      </c>
      <c r="D55" s="4862">
        <v>41808</v>
      </c>
      <c r="E55" s="2696"/>
      <c r="F55" s="2696"/>
      <c r="G55" s="2696"/>
      <c r="H55" s="2695" t="s">
        <v>202</v>
      </c>
      <c r="I55" s="2696"/>
      <c r="J55" s="2696"/>
      <c r="K55" s="2696"/>
      <c r="L55" s="2696"/>
      <c r="M55" s="2696"/>
      <c r="N55" s="2696"/>
      <c r="O55" s="2696"/>
      <c r="P55" s="2696"/>
      <c r="Q55" s="2696"/>
      <c r="R55" s="2696"/>
      <c r="S55" s="2696"/>
      <c r="T55" s="2696"/>
      <c r="U55" s="2730"/>
      <c r="V55" s="2695" t="s">
        <v>796</v>
      </c>
      <c r="W55" s="2696"/>
      <c r="X55" s="2696"/>
      <c r="Y55" s="2696"/>
      <c r="Z55" s="2696"/>
      <c r="AA55" s="2696"/>
      <c r="AB55" s="2696"/>
      <c r="AC55" s="2696"/>
      <c r="AD55" s="2696"/>
      <c r="AE55" s="2699" t="s">
        <v>804</v>
      </c>
      <c r="AF55" s="2697"/>
      <c r="AG55" s="2697"/>
      <c r="AH55" s="2723" t="s">
        <v>784</v>
      </c>
      <c r="AI55" s="2697"/>
      <c r="AJ55" s="2697"/>
      <c r="AK55" s="2697"/>
      <c r="AL55" s="2697"/>
      <c r="AM55" s="2723" t="s">
        <v>780</v>
      </c>
      <c r="AN55" s="2697"/>
      <c r="AO55" s="2697"/>
      <c r="AP55" s="2697"/>
      <c r="AQ55" s="2697"/>
      <c r="AR55" s="2716"/>
      <c r="AS55" s="2697"/>
      <c r="AT55" s="2697"/>
      <c r="AU55" s="2697"/>
      <c r="AV55" s="2697"/>
      <c r="AW55" s="2697"/>
      <c r="AX55" s="2697"/>
      <c r="AY55" s="2697"/>
      <c r="AZ55" s="2697"/>
      <c r="BA55" s="2716"/>
      <c r="BB55" s="2697"/>
      <c r="BC55" s="2697"/>
      <c r="BD55" s="2697"/>
      <c r="BE55" s="2697"/>
      <c r="BF55" s="2697"/>
      <c r="BG55" s="2697"/>
      <c r="BH55" s="2697"/>
      <c r="BI55" s="2697"/>
      <c r="BJ55" s="2697"/>
      <c r="BK55" s="2697"/>
      <c r="BL55" s="2697"/>
      <c r="BM55" s="2697"/>
      <c r="BN55" s="2697"/>
      <c r="BO55" s="2697"/>
      <c r="BP55" s="2697"/>
      <c r="BQ55" s="2701">
        <v>1</v>
      </c>
      <c r="BR55" s="2702">
        <v>1</v>
      </c>
      <c r="BS55" s="2702">
        <v>1</v>
      </c>
      <c r="BT55" s="2702">
        <v>1</v>
      </c>
      <c r="BU55" s="2702">
        <v>1</v>
      </c>
      <c r="BV55" s="2702">
        <v>1</v>
      </c>
      <c r="BW55" s="2702">
        <v>1</v>
      </c>
      <c r="BX55" s="2702"/>
      <c r="BY55" s="2702"/>
      <c r="BZ55" s="2702"/>
      <c r="CA55" s="2702"/>
      <c r="CB55" s="2702"/>
      <c r="CC55" s="2702"/>
      <c r="CD55" s="2702"/>
    </row>
    <row r="56" spans="1:82" ht="23.1" customHeight="1">
      <c r="A56" s="1085">
        <v>44</v>
      </c>
      <c r="B56" s="2694" t="s">
        <v>767</v>
      </c>
      <c r="C56" s="4868" t="s">
        <v>2833</v>
      </c>
      <c r="D56" s="4860">
        <v>41808</v>
      </c>
      <c r="E56" s="2696"/>
      <c r="F56" s="2696"/>
      <c r="G56" s="2696"/>
      <c r="H56" s="2695" t="s">
        <v>202</v>
      </c>
      <c r="I56" s="2696"/>
      <c r="J56" s="2696"/>
      <c r="K56" s="2696"/>
      <c r="L56" s="2696"/>
      <c r="M56" s="2696"/>
      <c r="N56" s="2696"/>
      <c r="O56" s="2696"/>
      <c r="P56" s="2696"/>
      <c r="Q56" s="2696"/>
      <c r="R56" s="2696"/>
      <c r="S56" s="2696"/>
      <c r="T56" s="2696"/>
      <c r="U56" s="2730"/>
      <c r="V56" s="2695" t="s">
        <v>796</v>
      </c>
      <c r="W56" s="2696"/>
      <c r="X56" s="2696"/>
      <c r="Y56" s="2696"/>
      <c r="Z56" s="2696"/>
      <c r="AA56" s="2696"/>
      <c r="AB56" s="2699" t="s">
        <v>805</v>
      </c>
      <c r="AC56" s="2696"/>
      <c r="AD56" s="2696"/>
      <c r="AE56" s="2696"/>
      <c r="AF56" s="2697"/>
      <c r="AG56" s="2697"/>
      <c r="AH56" s="2723" t="s">
        <v>784</v>
      </c>
      <c r="AI56" s="2697"/>
      <c r="AJ56" s="2697"/>
      <c r="AK56" s="2697"/>
      <c r="AL56" s="2697"/>
      <c r="AM56" s="2723" t="s">
        <v>780</v>
      </c>
      <c r="AN56" s="2697"/>
      <c r="AO56" s="2697"/>
      <c r="AP56" s="2697"/>
      <c r="AQ56" s="2697"/>
      <c r="AR56" s="2716"/>
      <c r="AS56" s="2697"/>
      <c r="AT56" s="2697"/>
      <c r="AU56" s="2697"/>
      <c r="AV56" s="2697"/>
      <c r="AW56" s="2697"/>
      <c r="AX56" s="2697"/>
      <c r="AY56" s="2697"/>
      <c r="AZ56" s="2697"/>
      <c r="BA56" s="2716"/>
      <c r="BB56" s="2697"/>
      <c r="BC56" s="2697"/>
      <c r="BD56" s="2697"/>
      <c r="BE56" s="2697"/>
      <c r="BF56" s="2697"/>
      <c r="BG56" s="2697"/>
      <c r="BH56" s="2697"/>
      <c r="BI56" s="2697"/>
      <c r="BJ56" s="2697"/>
      <c r="BK56" s="2697"/>
      <c r="BL56" s="2697"/>
      <c r="BM56" s="2697"/>
      <c r="BN56" s="2697"/>
      <c r="BO56" s="2697"/>
      <c r="BP56" s="2697"/>
      <c r="BQ56" s="2701">
        <v>1</v>
      </c>
      <c r="BR56" s="2702">
        <v>1</v>
      </c>
      <c r="BS56" s="2702">
        <v>1</v>
      </c>
      <c r="BT56" s="2702">
        <v>1</v>
      </c>
      <c r="BU56" s="2702">
        <v>1</v>
      </c>
      <c r="BV56" s="2702">
        <v>1</v>
      </c>
      <c r="BW56" s="2702">
        <v>1</v>
      </c>
      <c r="BX56" s="2702"/>
      <c r="BY56" s="2702"/>
      <c r="BZ56" s="2702"/>
      <c r="CA56" s="2702"/>
      <c r="CB56" s="2702"/>
      <c r="CC56" s="2702"/>
      <c r="CD56" s="2702"/>
    </row>
    <row r="57" spans="1:82" ht="23.1" customHeight="1">
      <c r="A57" s="1085">
        <v>45</v>
      </c>
      <c r="B57" s="2694" t="s">
        <v>770</v>
      </c>
      <c r="C57" s="4868" t="s">
        <v>2833</v>
      </c>
      <c r="D57" s="4862">
        <v>41808</v>
      </c>
      <c r="E57" s="2696"/>
      <c r="F57" s="2696"/>
      <c r="G57" s="2696"/>
      <c r="H57" s="2695" t="s">
        <v>202</v>
      </c>
      <c r="I57" s="2696"/>
      <c r="J57" s="2696"/>
      <c r="K57" s="2696"/>
      <c r="L57" s="2696"/>
      <c r="M57" s="2696"/>
      <c r="N57" s="2696"/>
      <c r="O57" s="2696"/>
      <c r="P57" s="2696"/>
      <c r="Q57" s="2696"/>
      <c r="R57" s="2696"/>
      <c r="S57" s="2696"/>
      <c r="T57" s="2696"/>
      <c r="U57" s="2730"/>
      <c r="V57" s="2695" t="s">
        <v>796</v>
      </c>
      <c r="W57" s="2696"/>
      <c r="X57" s="2696"/>
      <c r="Y57" s="2696"/>
      <c r="Z57" s="2696"/>
      <c r="AA57" s="2696"/>
      <c r="AB57" s="2696"/>
      <c r="AC57" s="2696"/>
      <c r="AD57" s="2696"/>
      <c r="AE57" s="2699" t="s">
        <v>806</v>
      </c>
      <c r="AF57" s="2697"/>
      <c r="AG57" s="2697"/>
      <c r="AH57" s="2723" t="s">
        <v>784</v>
      </c>
      <c r="AI57" s="2697"/>
      <c r="AJ57" s="2697"/>
      <c r="AK57" s="2697"/>
      <c r="AL57" s="2697"/>
      <c r="AM57" s="2723" t="s">
        <v>780</v>
      </c>
      <c r="AN57" s="2697"/>
      <c r="AO57" s="2697"/>
      <c r="AP57" s="2697"/>
      <c r="AQ57" s="2697"/>
      <c r="AR57" s="2716"/>
      <c r="AS57" s="2697"/>
      <c r="AT57" s="2697"/>
      <c r="AU57" s="2697"/>
      <c r="AV57" s="2697"/>
      <c r="AW57" s="2697"/>
      <c r="AX57" s="2697"/>
      <c r="AY57" s="2697"/>
      <c r="AZ57" s="2697"/>
      <c r="BA57" s="2716"/>
      <c r="BB57" s="2697"/>
      <c r="BC57" s="2697"/>
      <c r="BD57" s="2697"/>
      <c r="BE57" s="2697"/>
      <c r="BF57" s="2697"/>
      <c r="BG57" s="2697"/>
      <c r="BH57" s="2697"/>
      <c r="BI57" s="2697"/>
      <c r="BJ57" s="2697"/>
      <c r="BK57" s="2697"/>
      <c r="BL57" s="2697"/>
      <c r="BM57" s="2697"/>
      <c r="BN57" s="2697"/>
      <c r="BO57" s="2697"/>
      <c r="BP57" s="2697"/>
      <c r="BQ57" s="2701">
        <v>1</v>
      </c>
      <c r="BR57" s="2702">
        <v>1</v>
      </c>
      <c r="BS57" s="2702">
        <v>1</v>
      </c>
      <c r="BT57" s="2702">
        <v>1</v>
      </c>
      <c r="BU57" s="2702">
        <v>1</v>
      </c>
      <c r="BV57" s="2702">
        <v>1</v>
      </c>
      <c r="BW57" s="2702">
        <v>1</v>
      </c>
      <c r="BX57" s="2702"/>
      <c r="BY57" s="2702"/>
      <c r="BZ57" s="2702"/>
      <c r="CA57" s="2702"/>
      <c r="CB57" s="2702"/>
      <c r="CC57" s="2702"/>
      <c r="CD57" s="2702"/>
    </row>
    <row r="58" spans="1:82" ht="23.1" customHeight="1">
      <c r="A58" s="1085">
        <v>46</v>
      </c>
      <c r="B58" s="2694" t="s">
        <v>807</v>
      </c>
      <c r="C58" s="4868" t="s">
        <v>2833</v>
      </c>
      <c r="D58" s="4860">
        <v>41808</v>
      </c>
      <c r="E58" s="2696"/>
      <c r="F58" s="2696"/>
      <c r="G58" s="2696"/>
      <c r="H58" s="2695" t="s">
        <v>202</v>
      </c>
      <c r="I58" s="2696"/>
      <c r="J58" s="2696"/>
      <c r="K58" s="2696"/>
      <c r="L58" s="2696"/>
      <c r="M58" s="2696"/>
      <c r="N58" s="2696"/>
      <c r="O58" s="2696"/>
      <c r="P58" s="2696"/>
      <c r="Q58" s="2696"/>
      <c r="R58" s="2696"/>
      <c r="S58" s="2696"/>
      <c r="T58" s="2696"/>
      <c r="U58" s="2730"/>
      <c r="V58" s="2695" t="s">
        <v>796</v>
      </c>
      <c r="W58" s="2696"/>
      <c r="X58" s="2696"/>
      <c r="Y58" s="2699" t="s">
        <v>808</v>
      </c>
      <c r="Z58" s="2695" t="s">
        <v>783</v>
      </c>
      <c r="AA58" s="2696"/>
      <c r="AB58" s="2696"/>
      <c r="AC58" s="2696"/>
      <c r="AD58" s="2696"/>
      <c r="AE58" s="2696"/>
      <c r="AF58" s="2697"/>
      <c r="AG58" s="2697"/>
      <c r="AH58" s="2723" t="s">
        <v>784</v>
      </c>
      <c r="AI58" s="2697"/>
      <c r="AJ58" s="2697"/>
      <c r="AK58" s="2697"/>
      <c r="AL58" s="2697"/>
      <c r="AM58" s="2723" t="s">
        <v>780</v>
      </c>
      <c r="AN58" s="2697"/>
      <c r="AO58" s="2697"/>
      <c r="AP58" s="2697"/>
      <c r="AQ58" s="2697"/>
      <c r="AR58" s="2716"/>
      <c r="AS58" s="2697"/>
      <c r="AT58" s="2697"/>
      <c r="AU58" s="2697"/>
      <c r="AV58" s="2697"/>
      <c r="AW58" s="2697"/>
      <c r="AX58" s="2697"/>
      <c r="AY58" s="2697"/>
      <c r="AZ58" s="2697"/>
      <c r="BA58" s="2716"/>
      <c r="BB58" s="2697"/>
      <c r="BC58" s="2697"/>
      <c r="BD58" s="2697"/>
      <c r="BE58" s="2697"/>
      <c r="BF58" s="2697"/>
      <c r="BG58" s="2697"/>
      <c r="BH58" s="2697"/>
      <c r="BI58" s="2697"/>
      <c r="BJ58" s="2697"/>
      <c r="BK58" s="2697"/>
      <c r="BL58" s="2697"/>
      <c r="BM58" s="2697"/>
      <c r="BN58" s="2697"/>
      <c r="BO58" s="2697"/>
      <c r="BP58" s="2697"/>
      <c r="BQ58" s="2701">
        <v>1</v>
      </c>
      <c r="BR58" s="2702">
        <v>1</v>
      </c>
      <c r="BS58" s="2702">
        <v>1</v>
      </c>
      <c r="BT58" s="2702">
        <v>1</v>
      </c>
      <c r="BU58" s="2702">
        <v>1</v>
      </c>
      <c r="BV58" s="2702">
        <v>1</v>
      </c>
      <c r="BW58" s="2702">
        <v>1</v>
      </c>
      <c r="BX58" s="2702"/>
      <c r="BY58" s="2702"/>
      <c r="BZ58" s="2702"/>
      <c r="CA58" s="2702"/>
      <c r="CB58" s="2702"/>
      <c r="CC58" s="2702"/>
      <c r="CD58" s="2702"/>
    </row>
    <row r="59" spans="1:82" ht="23.1" customHeight="1">
      <c r="A59" s="1085">
        <v>47</v>
      </c>
      <c r="B59" s="2694" t="s">
        <v>809</v>
      </c>
      <c r="C59" s="4868" t="s">
        <v>2833</v>
      </c>
      <c r="D59" s="4862">
        <v>41808</v>
      </c>
      <c r="E59" s="2696"/>
      <c r="F59" s="2696"/>
      <c r="G59" s="2696"/>
      <c r="H59" s="2695" t="s">
        <v>202</v>
      </c>
      <c r="I59" s="2696"/>
      <c r="J59" s="2696"/>
      <c r="K59" s="2696"/>
      <c r="L59" s="2696"/>
      <c r="M59" s="2696"/>
      <c r="N59" s="2696"/>
      <c r="O59" s="2696"/>
      <c r="P59" s="2696"/>
      <c r="Q59" s="2696"/>
      <c r="R59" s="2696"/>
      <c r="S59" s="2696"/>
      <c r="T59" s="2696"/>
      <c r="U59" s="2730"/>
      <c r="V59" s="2695" t="s">
        <v>796</v>
      </c>
      <c r="W59" s="2696"/>
      <c r="X59" s="2696"/>
      <c r="Y59" s="2696"/>
      <c r="Z59" s="2696"/>
      <c r="AA59" s="2696"/>
      <c r="AB59" s="2699" t="s">
        <v>810</v>
      </c>
      <c r="AC59" s="2696"/>
      <c r="AD59" s="2696"/>
      <c r="AE59" s="2696"/>
      <c r="AF59" s="2697"/>
      <c r="AG59" s="2697"/>
      <c r="AH59" s="2723" t="s">
        <v>784</v>
      </c>
      <c r="AI59" s="2697"/>
      <c r="AJ59" s="2697"/>
      <c r="AK59" s="2697"/>
      <c r="AL59" s="2697"/>
      <c r="AM59" s="2723" t="s">
        <v>780</v>
      </c>
      <c r="AN59" s="2697"/>
      <c r="AO59" s="2697"/>
      <c r="AP59" s="2697"/>
      <c r="AQ59" s="2697"/>
      <c r="AR59" s="2716"/>
      <c r="AS59" s="2697"/>
      <c r="AT59" s="2697"/>
      <c r="AU59" s="2697"/>
      <c r="AV59" s="2697"/>
      <c r="AW59" s="2697"/>
      <c r="AX59" s="2697"/>
      <c r="AY59" s="2697"/>
      <c r="AZ59" s="2697"/>
      <c r="BA59" s="2716"/>
      <c r="BB59" s="2697"/>
      <c r="BC59" s="2697"/>
      <c r="BD59" s="4838"/>
      <c r="BE59" s="4838"/>
      <c r="BF59" s="2697"/>
      <c r="BG59" s="2697"/>
      <c r="BH59" s="2697"/>
      <c r="BI59" s="2697"/>
      <c r="BJ59" s="2697"/>
      <c r="BK59" s="2697"/>
      <c r="BL59" s="2697"/>
      <c r="BM59" s="2697"/>
      <c r="BN59" s="2697"/>
      <c r="BO59" s="2697"/>
      <c r="BP59" s="2697"/>
      <c r="BQ59" s="2701">
        <v>1</v>
      </c>
      <c r="BR59" s="2702">
        <v>1</v>
      </c>
      <c r="BS59" s="2702">
        <v>1</v>
      </c>
      <c r="BT59" s="2702">
        <v>1</v>
      </c>
      <c r="BU59" s="2702">
        <v>1</v>
      </c>
      <c r="BV59" s="2702">
        <v>1</v>
      </c>
      <c r="BW59" s="2702">
        <v>1</v>
      </c>
      <c r="BX59" s="2702"/>
      <c r="BY59" s="2702"/>
      <c r="BZ59" s="2702"/>
      <c r="CA59" s="2702"/>
      <c r="CB59" s="2702"/>
      <c r="CC59" s="2702"/>
      <c r="CD59" s="2702"/>
    </row>
    <row r="60" spans="1:82" ht="23.1" customHeight="1">
      <c r="A60" s="1085">
        <v>48</v>
      </c>
      <c r="B60" s="2694" t="s">
        <v>811</v>
      </c>
      <c r="C60" s="4868" t="s">
        <v>2819</v>
      </c>
      <c r="D60" s="4860">
        <v>43999</v>
      </c>
      <c r="E60" s="2731"/>
      <c r="F60" s="2696"/>
      <c r="G60" s="2696"/>
      <c r="H60" s="2695" t="s">
        <v>202</v>
      </c>
      <c r="I60" s="2696"/>
      <c r="J60" s="2696"/>
      <c r="K60" s="2696"/>
      <c r="L60" s="2696"/>
      <c r="M60" s="2696"/>
      <c r="N60" s="2696"/>
      <c r="O60" s="2696"/>
      <c r="P60" s="2696"/>
      <c r="Q60" s="2696"/>
      <c r="R60" s="2696"/>
      <c r="S60" s="2696"/>
      <c r="T60" s="2696"/>
      <c r="U60" s="2730"/>
      <c r="V60" s="2695" t="s">
        <v>796</v>
      </c>
      <c r="W60" s="2696"/>
      <c r="X60" s="2696"/>
      <c r="Y60" s="2696"/>
      <c r="Z60" s="2696"/>
      <c r="AA60" s="2696"/>
      <c r="AB60" s="2696"/>
      <c r="AC60" s="2696"/>
      <c r="AD60" s="2696"/>
      <c r="AE60" s="2696"/>
      <c r="AF60" s="2697"/>
      <c r="AG60" s="2697"/>
      <c r="AH60" s="2723" t="s">
        <v>784</v>
      </c>
      <c r="AI60" s="2697"/>
      <c r="AJ60" s="2697"/>
      <c r="AK60" s="2697"/>
      <c r="AL60" s="2697"/>
      <c r="AM60" s="2723" t="s">
        <v>780</v>
      </c>
      <c r="AN60" s="2697"/>
      <c r="AO60" s="2697"/>
      <c r="AP60" s="2712" t="s">
        <v>1488</v>
      </c>
      <c r="AQ60" s="2713"/>
      <c r="AR60" s="2714"/>
      <c r="AS60" s="2713"/>
      <c r="AT60" s="2713"/>
      <c r="AU60" s="2713"/>
      <c r="AV60" s="2713"/>
      <c r="AW60" s="2713"/>
      <c r="AX60" s="2713"/>
      <c r="AY60" s="2713"/>
      <c r="AZ60" s="2713"/>
      <c r="BA60" s="2714"/>
      <c r="BB60" s="2695" t="s">
        <v>2472</v>
      </c>
      <c r="BC60" s="2713"/>
      <c r="BD60" s="3339"/>
      <c r="BE60" s="2805" t="s">
        <v>2589</v>
      </c>
      <c r="BF60" s="2713"/>
      <c r="BG60" s="2713"/>
      <c r="BH60" s="2713"/>
      <c r="BI60" s="2713"/>
      <c r="BJ60" s="2713"/>
      <c r="BK60" s="2713"/>
      <c r="BL60" s="2713"/>
      <c r="BM60" s="2713"/>
      <c r="BN60" s="2713"/>
      <c r="BO60" s="2713"/>
      <c r="BP60" s="2713"/>
      <c r="BQ60" s="2701">
        <v>1</v>
      </c>
      <c r="BR60" s="2702"/>
      <c r="BS60" s="2702">
        <v>1</v>
      </c>
      <c r="BT60" s="2702">
        <v>1</v>
      </c>
      <c r="BU60" s="2702">
        <v>1</v>
      </c>
      <c r="BV60" s="2702">
        <v>1</v>
      </c>
      <c r="BW60" s="2702">
        <v>1</v>
      </c>
      <c r="BX60" s="2702">
        <v>1</v>
      </c>
      <c r="BY60" s="2702"/>
      <c r="BZ60" s="2702">
        <v>1</v>
      </c>
      <c r="CA60" s="2702">
        <v>1</v>
      </c>
      <c r="CB60" s="2702">
        <v>1</v>
      </c>
      <c r="CC60" s="2702">
        <v>1</v>
      </c>
      <c r="CD60" s="2702"/>
    </row>
    <row r="61" spans="1:82" ht="23.1" customHeight="1">
      <c r="A61" s="1085">
        <v>49</v>
      </c>
      <c r="B61" s="2694" t="s">
        <v>812</v>
      </c>
      <c r="C61" s="4868" t="s">
        <v>2819</v>
      </c>
      <c r="D61" s="4860">
        <v>43999</v>
      </c>
      <c r="E61" s="2695" t="s">
        <v>771</v>
      </c>
      <c r="F61" s="2703"/>
      <c r="G61" s="2696"/>
      <c r="H61" s="2695" t="s">
        <v>202</v>
      </c>
      <c r="I61" s="2696"/>
      <c r="J61" s="2696"/>
      <c r="K61" s="2696"/>
      <c r="L61" s="2696"/>
      <c r="M61" s="2696"/>
      <c r="N61" s="2696"/>
      <c r="O61" s="2696"/>
      <c r="P61" s="2696"/>
      <c r="Q61" s="2696"/>
      <c r="R61" s="2696"/>
      <c r="S61" s="2696"/>
      <c r="T61" s="2696"/>
      <c r="U61" s="2730"/>
      <c r="V61" s="2695" t="s">
        <v>796</v>
      </c>
      <c r="W61" s="2696"/>
      <c r="X61" s="2696"/>
      <c r="Y61" s="2696"/>
      <c r="Z61" s="2696"/>
      <c r="AA61" s="2696"/>
      <c r="AB61" s="2696"/>
      <c r="AC61" s="2696"/>
      <c r="AD61" s="2696"/>
      <c r="AE61" s="2696"/>
      <c r="AF61" s="2697"/>
      <c r="AG61" s="2697"/>
      <c r="AH61" s="2723" t="s">
        <v>784</v>
      </c>
      <c r="AI61" s="2697"/>
      <c r="AJ61" s="2697"/>
      <c r="AK61" s="2697"/>
      <c r="AL61" s="2697"/>
      <c r="AM61" s="2723" t="s">
        <v>780</v>
      </c>
      <c r="AN61" s="2697"/>
      <c r="AO61" s="2697"/>
      <c r="AP61" s="2697"/>
      <c r="AQ61" s="2697"/>
      <c r="AR61" s="2716"/>
      <c r="AS61" s="2697"/>
      <c r="AT61" s="2697"/>
      <c r="AU61" s="2697"/>
      <c r="AV61" s="2697"/>
      <c r="AW61" s="2697"/>
      <c r="AX61" s="2697"/>
      <c r="AY61" s="2697"/>
      <c r="AZ61" s="2697"/>
      <c r="BA61" s="2716"/>
      <c r="BB61" s="2697"/>
      <c r="BC61" s="2697"/>
      <c r="BD61" s="2724" t="s">
        <v>2590</v>
      </c>
      <c r="BE61" s="2805" t="s">
        <v>2589</v>
      </c>
      <c r="BF61" s="2697"/>
      <c r="BG61" s="2697"/>
      <c r="BH61" s="2697"/>
      <c r="BI61" s="2697"/>
      <c r="BJ61" s="2697"/>
      <c r="BK61" s="2697"/>
      <c r="BL61" s="2697"/>
      <c r="BM61" s="2697"/>
      <c r="BN61" s="2697"/>
      <c r="BO61" s="2697"/>
      <c r="BP61" s="2697"/>
      <c r="BQ61" s="2701">
        <v>1</v>
      </c>
      <c r="BR61" s="2702"/>
      <c r="BS61" s="2702">
        <v>1</v>
      </c>
      <c r="BT61" s="2702">
        <v>1</v>
      </c>
      <c r="BU61" s="2702">
        <v>1</v>
      </c>
      <c r="BV61" s="2702">
        <v>1</v>
      </c>
      <c r="BW61" s="2702">
        <v>1</v>
      </c>
      <c r="BX61" s="2702"/>
      <c r="BY61" s="2702"/>
      <c r="BZ61" s="2702"/>
      <c r="CA61" s="2702">
        <v>1</v>
      </c>
      <c r="CB61" s="2702">
        <v>1</v>
      </c>
      <c r="CC61" s="2702">
        <v>1</v>
      </c>
      <c r="CD61" s="2702"/>
    </row>
    <row r="62" spans="1:82" ht="23.1" customHeight="1">
      <c r="A62" s="1085">
        <v>50</v>
      </c>
      <c r="B62" s="2694" t="s">
        <v>813</v>
      </c>
      <c r="C62" s="4868" t="s">
        <v>2835</v>
      </c>
      <c r="D62" s="4860">
        <v>42209</v>
      </c>
      <c r="E62" s="2696"/>
      <c r="F62" s="2696"/>
      <c r="G62" s="2696"/>
      <c r="H62" s="2695" t="s">
        <v>202</v>
      </c>
      <c r="I62" s="2696"/>
      <c r="J62" s="2696"/>
      <c r="K62" s="2696"/>
      <c r="L62" s="2696"/>
      <c r="M62" s="2696"/>
      <c r="N62" s="2696"/>
      <c r="O62" s="2696"/>
      <c r="P62" s="2696"/>
      <c r="Q62" s="2696"/>
      <c r="R62" s="2696"/>
      <c r="S62" s="2696"/>
      <c r="T62" s="2696"/>
      <c r="U62" s="2730"/>
      <c r="V62" s="2695" t="s">
        <v>796</v>
      </c>
      <c r="W62" s="2696"/>
      <c r="X62" s="2696"/>
      <c r="Y62" s="2696"/>
      <c r="Z62" s="2696"/>
      <c r="AA62" s="2696"/>
      <c r="AB62" s="2696"/>
      <c r="AC62" s="2696"/>
      <c r="AD62" s="2696"/>
      <c r="AE62" s="2696"/>
      <c r="AF62" s="2697"/>
      <c r="AG62" s="2697"/>
      <c r="AH62" s="2723" t="s">
        <v>784</v>
      </c>
      <c r="AI62" s="2697"/>
      <c r="AJ62" s="2697"/>
      <c r="AK62" s="2697"/>
      <c r="AL62" s="2697"/>
      <c r="AM62" s="2723" t="s">
        <v>780</v>
      </c>
      <c r="AN62" s="2697"/>
      <c r="AO62" s="2697"/>
      <c r="AP62" s="2712" t="s">
        <v>1488</v>
      </c>
      <c r="AQ62" s="2712" t="s">
        <v>1489</v>
      </c>
      <c r="AR62" s="2714"/>
      <c r="AS62" s="2713"/>
      <c r="AT62" s="2713"/>
      <c r="AU62" s="2713"/>
      <c r="AV62" s="2713"/>
      <c r="AW62" s="2713"/>
      <c r="AX62" s="2713"/>
      <c r="AY62" s="2713"/>
      <c r="AZ62" s="2713"/>
      <c r="BA62" s="2714"/>
      <c r="BB62" s="2713"/>
      <c r="BC62" s="2713"/>
      <c r="BD62" s="4839"/>
      <c r="BE62" s="4839"/>
      <c r="BF62" s="2713"/>
      <c r="BG62" s="2713"/>
      <c r="BH62" s="2713"/>
      <c r="BI62" s="2713"/>
      <c r="BJ62" s="2713"/>
      <c r="BK62" s="2713"/>
      <c r="BL62" s="2713"/>
      <c r="BM62" s="2713"/>
      <c r="BN62" s="2713"/>
      <c r="BO62" s="2713"/>
      <c r="BP62" s="2713"/>
      <c r="BQ62" s="2701">
        <v>1</v>
      </c>
      <c r="BR62" s="2702"/>
      <c r="BS62" s="2702">
        <v>1</v>
      </c>
      <c r="BT62" s="2702">
        <v>1</v>
      </c>
      <c r="BU62" s="2702">
        <v>1</v>
      </c>
      <c r="BV62" s="2702">
        <v>1</v>
      </c>
      <c r="BW62" s="2702">
        <v>1</v>
      </c>
      <c r="BX62" s="2702">
        <v>1</v>
      </c>
      <c r="BY62" s="2702"/>
      <c r="BZ62" s="2702"/>
      <c r="CA62" s="2702"/>
      <c r="CB62" s="2702"/>
      <c r="CC62" s="2702"/>
      <c r="CD62" s="2702"/>
    </row>
    <row r="63" spans="1:82" ht="14.4">
      <c r="A63" s="1085"/>
      <c r="B63" s="2717" t="s">
        <v>346</v>
      </c>
      <c r="C63" s="4870"/>
      <c r="D63" s="2718"/>
      <c r="E63" s="2719"/>
      <c r="F63" s="2719"/>
      <c r="G63" s="2719"/>
      <c r="H63" s="2719"/>
      <c r="I63" s="2719"/>
      <c r="J63" s="2719"/>
      <c r="K63" s="2719"/>
      <c r="L63" s="2719"/>
      <c r="M63" s="2719"/>
      <c r="N63" s="2719"/>
      <c r="O63" s="2719"/>
      <c r="P63" s="2719"/>
      <c r="Q63" s="2719"/>
      <c r="R63" s="2719"/>
      <c r="S63" s="2719"/>
      <c r="T63" s="2719"/>
      <c r="U63" s="2719"/>
      <c r="V63" s="2719"/>
      <c r="W63" s="2719"/>
      <c r="X63" s="2719"/>
      <c r="Y63" s="2719"/>
      <c r="Z63" s="2719"/>
      <c r="AA63" s="2719"/>
      <c r="AB63" s="2719"/>
      <c r="AC63" s="2719"/>
      <c r="AD63" s="2719"/>
      <c r="AE63" s="2719"/>
      <c r="AF63" s="2719"/>
      <c r="AG63" s="2719"/>
      <c r="AH63" s="2719"/>
      <c r="AI63" s="2719"/>
      <c r="AJ63" s="2719"/>
      <c r="AK63" s="2719"/>
      <c r="AL63" s="2720"/>
      <c r="AM63" s="2720"/>
      <c r="AN63" s="2720"/>
      <c r="AO63" s="2720"/>
      <c r="AP63" s="2720"/>
      <c r="AQ63" s="2720"/>
      <c r="AR63" s="2720"/>
      <c r="AS63" s="2720"/>
      <c r="AT63" s="2720"/>
      <c r="AU63" s="2720"/>
      <c r="AV63" s="2720"/>
      <c r="AW63" s="2720"/>
      <c r="AX63" s="2720"/>
      <c r="AY63" s="2720"/>
      <c r="AZ63" s="2720"/>
      <c r="BA63" s="2720"/>
      <c r="BB63" s="4852"/>
      <c r="BC63" s="2720"/>
      <c r="BD63" s="3911"/>
      <c r="BE63" s="3912"/>
      <c r="BF63" s="3912"/>
      <c r="BG63" s="3912"/>
      <c r="BH63" s="3912"/>
      <c r="BI63" s="3912"/>
      <c r="BJ63" s="3912"/>
      <c r="BK63" s="2720"/>
      <c r="BL63" s="2720"/>
      <c r="BM63" s="2720"/>
      <c r="BN63" s="2720"/>
      <c r="BO63" s="2720"/>
      <c r="BP63" s="2720"/>
      <c r="BQ63" s="2721"/>
      <c r="BR63" s="2721"/>
      <c r="BS63" s="2721"/>
      <c r="BT63" s="2721"/>
      <c r="BU63" s="2721"/>
      <c r="BV63" s="2721"/>
      <c r="BW63" s="2722"/>
      <c r="BX63" s="2722"/>
      <c r="BY63" s="2722"/>
      <c r="BZ63" s="2722"/>
      <c r="CA63" s="2722"/>
      <c r="CB63" s="2722"/>
      <c r="CC63" s="2722"/>
      <c r="CD63" s="2722"/>
    </row>
    <row r="64" spans="1:82" ht="23.1" customHeight="1">
      <c r="A64" s="1085">
        <v>51</v>
      </c>
      <c r="B64" s="2694" t="s">
        <v>814</v>
      </c>
      <c r="C64" s="4868" t="s">
        <v>2836</v>
      </c>
      <c r="D64" s="4862">
        <v>41808</v>
      </c>
      <c r="E64" s="2696"/>
      <c r="F64" s="2696"/>
      <c r="G64" s="2695" t="s">
        <v>202</v>
      </c>
      <c r="H64" s="2696"/>
      <c r="I64" s="2696"/>
      <c r="J64" s="2696"/>
      <c r="K64" s="2696"/>
      <c r="L64" s="2696"/>
      <c r="M64" s="2696"/>
      <c r="N64" s="2696"/>
      <c r="O64" s="2696"/>
      <c r="P64" s="2696"/>
      <c r="Q64" s="2696"/>
      <c r="R64" s="2696"/>
      <c r="S64" s="2696"/>
      <c r="T64" s="2696"/>
      <c r="U64" s="2696"/>
      <c r="V64" s="2696"/>
      <c r="W64" s="2696"/>
      <c r="X64" s="2696"/>
      <c r="Y64" s="2696"/>
      <c r="Z64" s="2696"/>
      <c r="AA64" s="2696"/>
      <c r="AB64" s="2696"/>
      <c r="AC64" s="2696"/>
      <c r="AD64" s="2696"/>
      <c r="AE64" s="2696"/>
      <c r="AF64" s="2697"/>
      <c r="AG64" s="2699" t="s">
        <v>815</v>
      </c>
      <c r="AH64" s="2723" t="s">
        <v>784</v>
      </c>
      <c r="AI64" s="2697"/>
      <c r="AJ64" s="2697"/>
      <c r="AK64" s="2697"/>
      <c r="AL64" s="2697"/>
      <c r="AM64" s="2723" t="s">
        <v>780</v>
      </c>
      <c r="AN64" s="2697"/>
      <c r="AO64" s="2697"/>
      <c r="AP64" s="2697"/>
      <c r="AQ64" s="2697"/>
      <c r="AR64" s="2716"/>
      <c r="AS64" s="2697"/>
      <c r="AT64" s="2697"/>
      <c r="AU64" s="2697"/>
      <c r="AV64" s="2697"/>
      <c r="AW64" s="2697"/>
      <c r="AX64" s="2697"/>
      <c r="AY64" s="2697"/>
      <c r="AZ64" s="2697"/>
      <c r="BA64" s="2716"/>
      <c r="BB64" s="2697"/>
      <c r="BC64" s="2697"/>
      <c r="BD64" s="3913"/>
      <c r="BE64" s="2697"/>
      <c r="BF64" s="2697"/>
      <c r="BG64" s="2697"/>
      <c r="BH64" s="2697"/>
      <c r="BI64" s="2697"/>
      <c r="BJ64" s="2697"/>
      <c r="BK64" s="2697"/>
      <c r="BL64" s="2697"/>
      <c r="BM64" s="2697"/>
      <c r="BN64" s="2697"/>
      <c r="BO64" s="2697"/>
      <c r="BP64" s="2697"/>
      <c r="BQ64" s="2701"/>
      <c r="BR64" s="2702"/>
      <c r="BS64" s="2702">
        <v>1</v>
      </c>
      <c r="BT64" s="2702">
        <v>1</v>
      </c>
      <c r="BU64" s="2702">
        <v>1</v>
      </c>
      <c r="BV64" s="2702">
        <v>1</v>
      </c>
      <c r="BW64" s="2702">
        <v>1</v>
      </c>
      <c r="BX64" s="2702"/>
      <c r="BY64" s="2702"/>
      <c r="BZ64" s="2702"/>
      <c r="CA64" s="2702"/>
      <c r="CB64" s="2702"/>
      <c r="CC64" s="2702"/>
      <c r="CD64" s="2702"/>
    </row>
    <row r="65" spans="1:82" ht="23.1" customHeight="1">
      <c r="A65" s="1085">
        <v>52</v>
      </c>
      <c r="B65" s="2694" t="s">
        <v>816</v>
      </c>
      <c r="C65" s="4868" t="s">
        <v>2836</v>
      </c>
      <c r="D65" s="4862">
        <v>41808</v>
      </c>
      <c r="E65" s="2696"/>
      <c r="F65" s="2696"/>
      <c r="G65" s="2695" t="s">
        <v>202</v>
      </c>
      <c r="H65" s="2696"/>
      <c r="I65" s="2696"/>
      <c r="J65" s="2696"/>
      <c r="K65" s="2696"/>
      <c r="L65" s="2696"/>
      <c r="M65" s="2696"/>
      <c r="N65" s="2696"/>
      <c r="O65" s="2696"/>
      <c r="P65" s="2696"/>
      <c r="Q65" s="2696"/>
      <c r="R65" s="2696"/>
      <c r="S65" s="2696"/>
      <c r="T65" s="2696"/>
      <c r="U65" s="2696"/>
      <c r="V65" s="2696"/>
      <c r="W65" s="2696"/>
      <c r="X65" s="2696"/>
      <c r="Y65" s="2696"/>
      <c r="Z65" s="2696"/>
      <c r="AA65" s="2696"/>
      <c r="AB65" s="2696"/>
      <c r="AC65" s="2696"/>
      <c r="AD65" s="2696"/>
      <c r="AE65" s="2696"/>
      <c r="AF65" s="2697"/>
      <c r="AG65" s="2697"/>
      <c r="AH65" s="2723" t="s">
        <v>784</v>
      </c>
      <c r="AI65" s="2697"/>
      <c r="AJ65" s="2697"/>
      <c r="AK65" s="2697"/>
      <c r="AL65" s="2697"/>
      <c r="AM65" s="2725" t="s">
        <v>794</v>
      </c>
      <c r="AN65" s="2713"/>
      <c r="AO65" s="2713"/>
      <c r="AP65" s="2713"/>
      <c r="AQ65" s="2713"/>
      <c r="AR65" s="2714"/>
      <c r="AS65" s="2713"/>
      <c r="AT65" s="2713"/>
      <c r="AU65" s="2713"/>
      <c r="AV65" s="2713"/>
      <c r="AW65" s="2713"/>
      <c r="AX65" s="2713"/>
      <c r="AY65" s="2713"/>
      <c r="AZ65" s="2713"/>
      <c r="BA65" s="2714"/>
      <c r="BB65" s="2713"/>
      <c r="BC65" s="2713"/>
      <c r="BD65" s="3904"/>
      <c r="BE65" s="2713"/>
      <c r="BF65" s="2713"/>
      <c r="BG65" s="2713"/>
      <c r="BH65" s="2713"/>
      <c r="BI65" s="2713"/>
      <c r="BJ65" s="2713"/>
      <c r="BK65" s="2713"/>
      <c r="BL65" s="2713"/>
      <c r="BM65" s="2713"/>
      <c r="BN65" s="2713"/>
      <c r="BO65" s="2713"/>
      <c r="BP65" s="2713"/>
      <c r="BQ65" s="2701"/>
      <c r="BR65" s="2702"/>
      <c r="BS65" s="2702">
        <v>1</v>
      </c>
      <c r="BT65" s="2702">
        <v>1</v>
      </c>
      <c r="BU65" s="2702">
        <v>1</v>
      </c>
      <c r="BV65" s="2702">
        <v>1</v>
      </c>
      <c r="BW65" s="2702">
        <v>1</v>
      </c>
      <c r="BX65" s="2702"/>
      <c r="BY65" s="2702"/>
      <c r="BZ65" s="2702"/>
      <c r="CA65" s="2702"/>
      <c r="CB65" s="2702"/>
      <c r="CC65" s="2702"/>
      <c r="CD65" s="2702"/>
    </row>
    <row r="66" spans="1:82" ht="23.1" customHeight="1">
      <c r="A66" s="1085">
        <v>53</v>
      </c>
      <c r="B66" s="2694" t="s">
        <v>817</v>
      </c>
      <c r="C66" s="4868" t="s">
        <v>2836</v>
      </c>
      <c r="D66" s="4862">
        <v>41808</v>
      </c>
      <c r="E66" s="2696"/>
      <c r="F66" s="2696"/>
      <c r="G66" s="2695" t="s">
        <v>202</v>
      </c>
      <c r="H66" s="2696"/>
      <c r="I66" s="2696"/>
      <c r="J66" s="2696"/>
      <c r="K66" s="2696"/>
      <c r="L66" s="2696"/>
      <c r="M66" s="2696"/>
      <c r="N66" s="2696"/>
      <c r="O66" s="2696"/>
      <c r="P66" s="2696"/>
      <c r="Q66" s="2696"/>
      <c r="R66" s="2696"/>
      <c r="S66" s="2696"/>
      <c r="T66" s="2696"/>
      <c r="U66" s="2696"/>
      <c r="V66" s="2696"/>
      <c r="W66" s="2696"/>
      <c r="X66" s="2696"/>
      <c r="Y66" s="2696"/>
      <c r="Z66" s="2696"/>
      <c r="AA66" s="2696"/>
      <c r="AB66" s="2696"/>
      <c r="AC66" s="2696"/>
      <c r="AD66" s="2696"/>
      <c r="AE66" s="2696"/>
      <c r="AF66" s="2697"/>
      <c r="AG66" s="2697"/>
      <c r="AH66" s="2723" t="s">
        <v>784</v>
      </c>
      <c r="AI66" s="2697"/>
      <c r="AJ66" s="2697"/>
      <c r="AK66" s="2697"/>
      <c r="AL66" s="2697"/>
      <c r="AM66" s="2723" t="s">
        <v>780</v>
      </c>
      <c r="AN66" s="2697"/>
      <c r="AO66" s="2697"/>
      <c r="AP66" s="2697"/>
      <c r="AQ66" s="2697"/>
      <c r="AR66" s="2716"/>
      <c r="AS66" s="2697"/>
      <c r="AT66" s="2697"/>
      <c r="AU66" s="2697"/>
      <c r="AV66" s="2697"/>
      <c r="AW66" s="2697"/>
      <c r="AX66" s="2697"/>
      <c r="AY66" s="2697"/>
      <c r="AZ66" s="2697"/>
      <c r="BA66" s="2716"/>
      <c r="BB66" s="2697"/>
      <c r="BC66" s="2697"/>
      <c r="BD66" s="3913"/>
      <c r="BE66" s="2697"/>
      <c r="BF66" s="2697"/>
      <c r="BG66" s="2697"/>
      <c r="BH66" s="2697"/>
      <c r="BI66" s="2697"/>
      <c r="BJ66" s="2697"/>
      <c r="BK66" s="2697"/>
      <c r="BL66" s="2697"/>
      <c r="BM66" s="2697"/>
      <c r="BN66" s="2697"/>
      <c r="BO66" s="2697"/>
      <c r="BP66" s="2697"/>
      <c r="BQ66" s="2701"/>
      <c r="BR66" s="2702"/>
      <c r="BS66" s="2702">
        <v>1</v>
      </c>
      <c r="BT66" s="2702">
        <v>1</v>
      </c>
      <c r="BU66" s="2702">
        <v>1</v>
      </c>
      <c r="BV66" s="2702">
        <v>1</v>
      </c>
      <c r="BW66" s="2702">
        <v>1</v>
      </c>
      <c r="BX66" s="2702"/>
      <c r="BY66" s="2702"/>
      <c r="BZ66" s="2702"/>
      <c r="CA66" s="2702"/>
      <c r="CB66" s="2702"/>
      <c r="CC66" s="2702"/>
      <c r="CD66" s="2702"/>
    </row>
    <row r="67" spans="1:82" ht="23.1" customHeight="1">
      <c r="A67" s="1085">
        <v>54</v>
      </c>
      <c r="B67" s="2694" t="s">
        <v>818</v>
      </c>
      <c r="C67" s="4868" t="s">
        <v>2836</v>
      </c>
      <c r="D67" s="4862">
        <v>41808</v>
      </c>
      <c r="E67" s="2696"/>
      <c r="F67" s="2696"/>
      <c r="G67" s="2695" t="s">
        <v>202</v>
      </c>
      <c r="H67" s="2696"/>
      <c r="I67" s="2695" t="s">
        <v>205</v>
      </c>
      <c r="J67" s="2696"/>
      <c r="K67" s="2696"/>
      <c r="L67" s="2696"/>
      <c r="M67" s="2696"/>
      <c r="N67" s="2696"/>
      <c r="O67" s="2696"/>
      <c r="P67" s="2696"/>
      <c r="Q67" s="2696"/>
      <c r="R67" s="2696"/>
      <c r="S67" s="2696"/>
      <c r="T67" s="2696"/>
      <c r="U67" s="2696"/>
      <c r="V67" s="2696"/>
      <c r="W67" s="2696"/>
      <c r="X67" s="2696"/>
      <c r="Y67" s="2696"/>
      <c r="Z67" s="2696"/>
      <c r="AA67" s="2696"/>
      <c r="AB67" s="2696"/>
      <c r="AC67" s="2696"/>
      <c r="AD67" s="2696"/>
      <c r="AE67" s="2696"/>
      <c r="AF67" s="2697"/>
      <c r="AG67" s="2699" t="s">
        <v>819</v>
      </c>
      <c r="AH67" s="2723" t="s">
        <v>784</v>
      </c>
      <c r="AI67" s="2697"/>
      <c r="AJ67" s="2697"/>
      <c r="AK67" s="2697"/>
      <c r="AL67" s="2697"/>
      <c r="AM67" s="2723" t="s">
        <v>780</v>
      </c>
      <c r="AN67" s="2697"/>
      <c r="AO67" s="2697"/>
      <c r="AP67" s="2697"/>
      <c r="AQ67" s="2697"/>
      <c r="AR67" s="2716"/>
      <c r="AS67" s="2697"/>
      <c r="AT67" s="2697"/>
      <c r="AU67" s="2697"/>
      <c r="AV67" s="2697"/>
      <c r="AW67" s="2697"/>
      <c r="AX67" s="2697"/>
      <c r="AY67" s="2697"/>
      <c r="AZ67" s="2697"/>
      <c r="BA67" s="2716"/>
      <c r="BB67" s="2697"/>
      <c r="BC67" s="2697"/>
      <c r="BD67" s="3913"/>
      <c r="BE67" s="2697"/>
      <c r="BF67" s="2697"/>
      <c r="BG67" s="2697"/>
      <c r="BH67" s="2697"/>
      <c r="BI67" s="2697"/>
      <c r="BJ67" s="2697"/>
      <c r="BK67" s="2697"/>
      <c r="BL67" s="2697"/>
      <c r="BM67" s="2697"/>
      <c r="BN67" s="2697"/>
      <c r="BO67" s="2697"/>
      <c r="BP67" s="2697"/>
      <c r="BQ67" s="2701"/>
      <c r="BR67" s="2702"/>
      <c r="BS67" s="2702">
        <v>1</v>
      </c>
      <c r="BT67" s="2702">
        <v>1</v>
      </c>
      <c r="BU67" s="2702">
        <v>1</v>
      </c>
      <c r="BV67" s="2702">
        <v>1</v>
      </c>
      <c r="BW67" s="2702">
        <v>1</v>
      </c>
      <c r="BX67" s="2702"/>
      <c r="BY67" s="2702"/>
      <c r="BZ67" s="2702"/>
      <c r="CA67" s="2702"/>
      <c r="CB67" s="2702"/>
      <c r="CC67" s="2702"/>
      <c r="CD67" s="2702"/>
    </row>
    <row r="68" spans="1:82" ht="23.1" customHeight="1">
      <c r="A68" s="1085">
        <v>55</v>
      </c>
      <c r="B68" s="2694" t="s">
        <v>820</v>
      </c>
      <c r="C68" s="4868" t="s">
        <v>2836</v>
      </c>
      <c r="D68" s="4862">
        <v>41808</v>
      </c>
      <c r="E68" s="2696"/>
      <c r="F68" s="2696"/>
      <c r="G68" s="2695" t="s">
        <v>202</v>
      </c>
      <c r="H68" s="2696"/>
      <c r="I68" s="2695" t="s">
        <v>205</v>
      </c>
      <c r="J68" s="2696"/>
      <c r="K68" s="2696"/>
      <c r="L68" s="2696"/>
      <c r="M68" s="2696"/>
      <c r="N68" s="2696"/>
      <c r="O68" s="2696"/>
      <c r="P68" s="2696"/>
      <c r="Q68" s="2696"/>
      <c r="R68" s="2696"/>
      <c r="S68" s="2696"/>
      <c r="T68" s="2696"/>
      <c r="U68" s="2696"/>
      <c r="V68" s="2696"/>
      <c r="W68" s="2696"/>
      <c r="X68" s="2696"/>
      <c r="Y68" s="2696"/>
      <c r="Z68" s="2696"/>
      <c r="AA68" s="2696"/>
      <c r="AB68" s="2696"/>
      <c r="AC68" s="2696"/>
      <c r="AD68" s="2696"/>
      <c r="AE68" s="2696"/>
      <c r="AF68" s="2697"/>
      <c r="AG68" s="2697"/>
      <c r="AH68" s="2723" t="s">
        <v>784</v>
      </c>
      <c r="AI68" s="2712" t="s">
        <v>602</v>
      </c>
      <c r="AJ68" s="2713"/>
      <c r="AK68" s="2712" t="s">
        <v>821</v>
      </c>
      <c r="AL68" s="2713"/>
      <c r="AM68" s="2723" t="s">
        <v>780</v>
      </c>
      <c r="AN68" s="2713"/>
      <c r="AO68" s="2713"/>
      <c r="AP68" s="2713"/>
      <c r="AQ68" s="2713"/>
      <c r="AR68" s="2714"/>
      <c r="AS68" s="2713"/>
      <c r="AT68" s="2713"/>
      <c r="AU68" s="2713"/>
      <c r="AV68" s="2713"/>
      <c r="AW68" s="2713"/>
      <c r="AX68" s="2713"/>
      <c r="AY68" s="2713"/>
      <c r="AZ68" s="2713"/>
      <c r="BA68" s="2714"/>
      <c r="BB68" s="2713"/>
      <c r="BC68" s="2713"/>
      <c r="BD68" s="3904"/>
      <c r="BE68" s="2713"/>
      <c r="BF68" s="2713"/>
      <c r="BG68" s="2713"/>
      <c r="BH68" s="2713"/>
      <c r="BI68" s="2713"/>
      <c r="BJ68" s="2713"/>
      <c r="BK68" s="2713"/>
      <c r="BL68" s="2713"/>
      <c r="BM68" s="2713"/>
      <c r="BN68" s="2713"/>
      <c r="BO68" s="2713"/>
      <c r="BP68" s="2713"/>
      <c r="BQ68" s="2701"/>
      <c r="BR68" s="2702"/>
      <c r="BS68" s="2702">
        <v>1</v>
      </c>
      <c r="BT68" s="2702">
        <v>1</v>
      </c>
      <c r="BU68" s="2702">
        <v>1</v>
      </c>
      <c r="BV68" s="2702">
        <v>1</v>
      </c>
      <c r="BW68" s="2702">
        <v>1</v>
      </c>
      <c r="BX68" s="2702"/>
      <c r="BY68" s="2702"/>
      <c r="BZ68" s="2702"/>
      <c r="CA68" s="2702"/>
      <c r="CB68" s="2702"/>
      <c r="CC68" s="2702"/>
      <c r="CD68" s="2702"/>
    </row>
    <row r="69" spans="1:82" ht="23.1" customHeight="1">
      <c r="A69" s="1085">
        <v>56</v>
      </c>
      <c r="B69" s="2694" t="s">
        <v>822</v>
      </c>
      <c r="C69" s="4868" t="s">
        <v>1510</v>
      </c>
      <c r="D69" s="4862">
        <v>42895</v>
      </c>
      <c r="E69" s="2696"/>
      <c r="F69" s="2695" t="s">
        <v>771</v>
      </c>
      <c r="G69" s="2695" t="s">
        <v>202</v>
      </c>
      <c r="H69" s="2695" t="s">
        <v>202</v>
      </c>
      <c r="I69" s="2695" t="s">
        <v>205</v>
      </c>
      <c r="J69" s="2696"/>
      <c r="K69" s="2696"/>
      <c r="L69" s="2696"/>
      <c r="M69" s="2696"/>
      <c r="N69" s="2696"/>
      <c r="O69" s="2696"/>
      <c r="P69" s="2696"/>
      <c r="Q69" s="2696"/>
      <c r="R69" s="2696"/>
      <c r="S69" s="2696"/>
      <c r="T69" s="2696"/>
      <c r="U69" s="2696"/>
      <c r="V69" s="2696"/>
      <c r="W69" s="2696"/>
      <c r="X69" s="2696"/>
      <c r="Y69" s="2696"/>
      <c r="Z69" s="2696"/>
      <c r="AA69" s="2696"/>
      <c r="AB69" s="2696"/>
      <c r="AC69" s="2696"/>
      <c r="AD69" s="2696"/>
      <c r="AE69" s="2696"/>
      <c r="AF69" s="2697"/>
      <c r="AG69" s="2697"/>
      <c r="AH69" s="2723" t="s">
        <v>784</v>
      </c>
      <c r="AI69" s="2697"/>
      <c r="AJ69" s="2712" t="s">
        <v>800</v>
      </c>
      <c r="AK69" s="2698"/>
      <c r="AL69" s="2698"/>
      <c r="AM69" s="2725" t="s">
        <v>1490</v>
      </c>
      <c r="AN69" s="2698"/>
      <c r="AO69" s="2698"/>
      <c r="AP69" s="2698"/>
      <c r="AQ69" s="2698"/>
      <c r="AR69" s="2729"/>
      <c r="AS69" s="2698"/>
      <c r="AT69" s="2698"/>
      <c r="AU69" s="2698"/>
      <c r="AV69" s="2698"/>
      <c r="AW69" s="2695" t="s">
        <v>2158</v>
      </c>
      <c r="AX69" s="2698"/>
      <c r="AY69" s="2698"/>
      <c r="AZ69" s="2698"/>
      <c r="BA69" s="2729"/>
      <c r="BB69" s="2698"/>
      <c r="BC69" s="2698"/>
      <c r="BD69" s="3914"/>
      <c r="BE69" s="2698"/>
      <c r="BF69" s="2698"/>
      <c r="BG69" s="2698"/>
      <c r="BH69" s="2698"/>
      <c r="BI69" s="2698"/>
      <c r="BJ69" s="2698"/>
      <c r="BK69" s="2698"/>
      <c r="BL69" s="2698"/>
      <c r="BM69" s="2698"/>
      <c r="BN69" s="2698"/>
      <c r="BO69" s="2698"/>
      <c r="BP69" s="2698"/>
      <c r="BQ69" s="2701"/>
      <c r="BR69" s="2702"/>
      <c r="BS69" s="2702">
        <v>1</v>
      </c>
      <c r="BT69" s="2702">
        <v>1</v>
      </c>
      <c r="BU69" s="2702">
        <v>1</v>
      </c>
      <c r="BV69" s="2702">
        <v>1</v>
      </c>
      <c r="BW69" s="2702">
        <v>1</v>
      </c>
      <c r="BX69" s="2702">
        <v>1</v>
      </c>
      <c r="BY69" s="2702">
        <v>1</v>
      </c>
      <c r="BZ69" s="2702">
        <v>1</v>
      </c>
      <c r="CA69" s="2702"/>
      <c r="CB69" s="2702"/>
      <c r="CC69" s="2702"/>
      <c r="CD69" s="2702"/>
    </row>
    <row r="70" spans="1:82" ht="23.1" customHeight="1">
      <c r="A70" s="1085"/>
      <c r="B70" s="2750" t="s">
        <v>856</v>
      </c>
      <c r="C70" s="4872"/>
      <c r="D70" s="2751"/>
      <c r="E70" s="2752"/>
      <c r="F70" s="2752"/>
      <c r="G70" s="2752"/>
      <c r="H70" s="2752"/>
      <c r="I70" s="2752"/>
      <c r="J70" s="2752"/>
      <c r="K70" s="2752"/>
      <c r="L70" s="2752"/>
      <c r="M70" s="2752"/>
      <c r="N70" s="2752"/>
      <c r="O70" s="2752"/>
      <c r="P70" s="2752"/>
      <c r="Q70" s="2752"/>
      <c r="R70" s="2752"/>
      <c r="S70" s="2752"/>
      <c r="T70" s="2752"/>
      <c r="U70" s="2752"/>
      <c r="V70" s="2752"/>
      <c r="W70" s="2752"/>
      <c r="X70" s="2752"/>
      <c r="Y70" s="2752"/>
      <c r="Z70" s="2752"/>
      <c r="AA70" s="2752"/>
      <c r="AB70" s="2752"/>
      <c r="AC70" s="2752"/>
      <c r="AD70" s="2752"/>
      <c r="AE70" s="2752"/>
      <c r="AF70" s="2752"/>
      <c r="AG70" s="2752"/>
      <c r="AH70" s="2752"/>
      <c r="AI70" s="2752"/>
      <c r="AJ70" s="2752"/>
      <c r="AK70" s="2752"/>
      <c r="AL70" s="2753"/>
      <c r="AM70" s="2753"/>
      <c r="AN70" s="2753"/>
      <c r="AO70" s="2753"/>
      <c r="AP70" s="2753"/>
      <c r="AQ70" s="2753"/>
      <c r="AR70" s="2753"/>
      <c r="AS70" s="2753"/>
      <c r="AT70" s="2753"/>
      <c r="AU70" s="2753"/>
      <c r="AV70" s="2753"/>
      <c r="AW70" s="2753"/>
      <c r="AX70" s="2753"/>
      <c r="AY70" s="2753"/>
      <c r="AZ70" s="2753"/>
      <c r="BA70" s="2753"/>
      <c r="BB70" s="4856"/>
      <c r="BC70" s="2753"/>
      <c r="BD70" s="3919"/>
      <c r="BE70" s="3920"/>
      <c r="BF70" s="3920"/>
      <c r="BG70" s="3920"/>
      <c r="BH70" s="3920"/>
      <c r="BI70" s="3920"/>
      <c r="BJ70" s="3920"/>
      <c r="BK70" s="2753"/>
      <c r="BL70" s="2753"/>
      <c r="BM70" s="2753"/>
      <c r="BN70" s="2753"/>
      <c r="BO70" s="2753"/>
      <c r="BP70" s="2753"/>
      <c r="BQ70" s="2754"/>
      <c r="BR70" s="2754"/>
      <c r="BS70" s="2754"/>
      <c r="BT70" s="2754"/>
      <c r="BU70" s="2754"/>
      <c r="BV70" s="2754"/>
      <c r="BW70" s="2755"/>
      <c r="BX70" s="2755"/>
      <c r="BY70" s="2755"/>
      <c r="BZ70" s="2755"/>
      <c r="CA70" s="2755"/>
      <c r="CB70" s="2755"/>
      <c r="CC70" s="2755"/>
      <c r="CD70" s="2755"/>
    </row>
    <row r="71" spans="1:82" ht="23.1" customHeight="1">
      <c r="A71" s="1085">
        <v>57</v>
      </c>
      <c r="B71" s="2694" t="s">
        <v>3300</v>
      </c>
      <c r="C71" s="4873" t="s">
        <v>2856</v>
      </c>
      <c r="D71" s="4860">
        <v>43084</v>
      </c>
      <c r="E71" s="2696"/>
      <c r="F71" s="2696"/>
      <c r="G71" s="2696"/>
      <c r="H71" s="2696"/>
      <c r="I71" s="2696"/>
      <c r="J71" s="2696"/>
      <c r="K71" s="2696"/>
      <c r="L71" s="2696"/>
      <c r="M71" s="2696"/>
      <c r="N71" s="2696"/>
      <c r="O71" s="2696"/>
      <c r="P71" s="2696"/>
      <c r="Q71" s="2696"/>
      <c r="R71" s="2696"/>
      <c r="S71" s="2696"/>
      <c r="T71" s="2696"/>
      <c r="U71" s="2696"/>
      <c r="V71" s="2696"/>
      <c r="W71" s="2696"/>
      <c r="X71" s="2696"/>
      <c r="Y71" s="2696"/>
      <c r="Z71" s="2696"/>
      <c r="AA71" s="2696"/>
      <c r="AB71" s="2696"/>
      <c r="AC71" s="2704" t="s">
        <v>857</v>
      </c>
      <c r="AD71" s="2696"/>
      <c r="AE71" s="2696"/>
      <c r="AF71" s="2698"/>
      <c r="AG71" s="2756" t="s">
        <v>858</v>
      </c>
      <c r="AH71" s="2697"/>
      <c r="AI71" s="2697"/>
      <c r="AJ71" s="2697"/>
      <c r="AK71" s="2697"/>
      <c r="AL71" s="2697"/>
      <c r="AM71" s="2697"/>
      <c r="AN71" s="2697"/>
      <c r="AO71" s="2697"/>
      <c r="AP71" s="2697"/>
      <c r="AQ71" s="2697"/>
      <c r="AR71" s="2695" t="s">
        <v>1700</v>
      </c>
      <c r="AS71" s="2697"/>
      <c r="AT71" s="2697"/>
      <c r="AU71" s="2697"/>
      <c r="AV71" s="2697"/>
      <c r="AW71" s="2697"/>
      <c r="AX71" s="2697"/>
      <c r="AY71" s="2697"/>
      <c r="AZ71" s="2697"/>
      <c r="BA71" s="2716"/>
      <c r="BB71" s="2697"/>
      <c r="BC71" s="2697"/>
      <c r="BD71" s="3913"/>
      <c r="BE71" s="2697"/>
      <c r="BF71" s="2697"/>
      <c r="BG71" s="2697"/>
      <c r="BH71" s="2697"/>
      <c r="BI71" s="2697"/>
      <c r="BJ71" s="2697"/>
      <c r="BK71" s="2715" t="s">
        <v>3085</v>
      </c>
      <c r="BL71" s="3338"/>
      <c r="BM71" s="2697"/>
      <c r="BN71" s="2700" t="s">
        <v>3281</v>
      </c>
      <c r="BO71" s="3338"/>
      <c r="BP71" s="2697"/>
      <c r="BQ71" s="2702"/>
      <c r="BR71" s="2702">
        <v>1</v>
      </c>
      <c r="BS71" s="2702">
        <v>1</v>
      </c>
      <c r="BT71" s="2702">
        <v>1</v>
      </c>
      <c r="BU71" s="2702">
        <v>1</v>
      </c>
      <c r="BV71" s="2702"/>
      <c r="BW71" s="2702">
        <v>1</v>
      </c>
      <c r="BX71" s="2702">
        <v>1</v>
      </c>
      <c r="BY71" s="2702"/>
      <c r="BZ71" s="2702"/>
      <c r="CA71" s="2702"/>
      <c r="CB71" s="2702"/>
      <c r="CC71" s="2702">
        <v>1</v>
      </c>
      <c r="CD71" s="2702">
        <v>1</v>
      </c>
    </row>
    <row r="72" spans="1:82" ht="23.1" customHeight="1">
      <c r="A72" s="1085">
        <v>58</v>
      </c>
      <c r="B72" s="2694" t="s">
        <v>2141</v>
      </c>
      <c r="C72" s="4873" t="s">
        <v>2857</v>
      </c>
      <c r="D72" s="4860">
        <v>42446</v>
      </c>
      <c r="E72" s="2696"/>
      <c r="F72" s="2696"/>
      <c r="G72" s="2696"/>
      <c r="H72" s="2696"/>
      <c r="I72" s="2696"/>
      <c r="J72" s="2696"/>
      <c r="K72" s="2696"/>
      <c r="L72" s="2696"/>
      <c r="M72" s="2696"/>
      <c r="N72" s="2696"/>
      <c r="O72" s="2696"/>
      <c r="P72" s="2696"/>
      <c r="Q72" s="2696"/>
      <c r="R72" s="2696"/>
      <c r="S72" s="2696"/>
      <c r="T72" s="2696"/>
      <c r="U72" s="2696"/>
      <c r="V72" s="2696"/>
      <c r="W72" s="2696"/>
      <c r="X72" s="2696"/>
      <c r="Y72" s="2696"/>
      <c r="Z72" s="2696"/>
      <c r="AA72" s="2696"/>
      <c r="AB72" s="2696"/>
      <c r="AC72" s="2696"/>
      <c r="AD72" s="2696"/>
      <c r="AE72" s="2696"/>
      <c r="AF72" s="2698"/>
      <c r="AG72" s="2713"/>
      <c r="AH72" s="2697"/>
      <c r="AI72" s="2697"/>
      <c r="AJ72" s="2697"/>
      <c r="AK72" s="2697"/>
      <c r="AL72" s="2697"/>
      <c r="AM72" s="2697"/>
      <c r="AN72" s="2697"/>
      <c r="AO72" s="2697"/>
      <c r="AP72" s="2697"/>
      <c r="AQ72" s="2697"/>
      <c r="AR72" s="2696"/>
      <c r="AS72" s="2697"/>
      <c r="AT72" s="2697"/>
      <c r="AU72" s="2757" t="s">
        <v>2363</v>
      </c>
      <c r="AV72" s="2697"/>
      <c r="AW72" s="2697"/>
      <c r="AX72" s="2697"/>
      <c r="AY72" s="2697"/>
      <c r="AZ72" s="2697"/>
      <c r="BA72" s="2716"/>
      <c r="BB72" s="2697"/>
      <c r="BC72" s="2697"/>
      <c r="BD72" s="3913"/>
      <c r="BE72" s="2697"/>
      <c r="BF72" s="2697"/>
      <c r="BG72" s="2697"/>
      <c r="BH72" s="2697"/>
      <c r="BI72" s="2697"/>
      <c r="BJ72" s="2697"/>
      <c r="BK72" s="2697"/>
      <c r="BL72" s="5933"/>
      <c r="BM72" s="2697"/>
      <c r="BN72" s="2700" t="s">
        <v>3282</v>
      </c>
      <c r="BO72" s="5933"/>
      <c r="BP72" s="2697"/>
      <c r="BQ72" s="2702"/>
      <c r="BR72" s="2702"/>
      <c r="BS72" s="2702"/>
      <c r="BT72" s="2702"/>
      <c r="BU72" s="2702"/>
      <c r="BV72" s="2702"/>
      <c r="BW72" s="2702"/>
      <c r="BX72" s="2702"/>
      <c r="BY72" s="2702">
        <v>1</v>
      </c>
      <c r="BZ72" s="2702">
        <v>1</v>
      </c>
      <c r="CA72" s="2702"/>
      <c r="CB72" s="2702"/>
      <c r="CC72" s="2702"/>
      <c r="CD72" s="2702">
        <v>1</v>
      </c>
    </row>
    <row r="73" spans="1:82" ht="23.1" customHeight="1">
      <c r="A73" s="1085">
        <v>59</v>
      </c>
      <c r="B73" s="2727" t="s">
        <v>2358</v>
      </c>
      <c r="C73" s="4865" t="s">
        <v>2144</v>
      </c>
      <c r="D73" s="4863">
        <v>43200</v>
      </c>
      <c r="E73" s="2696"/>
      <c r="F73" s="2696"/>
      <c r="G73" s="2696"/>
      <c r="H73" s="2696"/>
      <c r="I73" s="2696"/>
      <c r="J73" s="2696"/>
      <c r="K73" s="2696"/>
      <c r="L73" s="2696"/>
      <c r="M73" s="2696"/>
      <c r="N73" s="2696"/>
      <c r="O73" s="2696"/>
      <c r="P73" s="2696"/>
      <c r="Q73" s="2696"/>
      <c r="R73" s="2696"/>
      <c r="S73" s="2696"/>
      <c r="T73" s="2696"/>
      <c r="U73" s="2696"/>
      <c r="V73" s="2696"/>
      <c r="W73" s="2696"/>
      <c r="X73" s="2696"/>
      <c r="Y73" s="2696"/>
      <c r="Z73" s="2696"/>
      <c r="AA73" s="2696"/>
      <c r="AB73" s="2696"/>
      <c r="AC73" s="2696"/>
      <c r="AD73" s="2696"/>
      <c r="AE73" s="2696"/>
      <c r="AF73" s="2698"/>
      <c r="AG73" s="2713"/>
      <c r="AH73" s="2697"/>
      <c r="AI73" s="2697"/>
      <c r="AJ73" s="2697"/>
      <c r="AK73" s="2697"/>
      <c r="AL73" s="2697"/>
      <c r="AM73" s="2697"/>
      <c r="AN73" s="2697"/>
      <c r="AO73" s="2697"/>
      <c r="AP73" s="2697"/>
      <c r="AQ73" s="2697"/>
      <c r="AR73" s="2696"/>
      <c r="AS73" s="2697"/>
      <c r="AT73" s="2697"/>
      <c r="AU73" s="2697"/>
      <c r="AV73" s="2697"/>
      <c r="AW73" s="2697"/>
      <c r="AX73" s="2697"/>
      <c r="AY73" s="2697"/>
      <c r="AZ73" s="2704" t="s">
        <v>2361</v>
      </c>
      <c r="BA73" s="2716"/>
      <c r="BB73" s="2697"/>
      <c r="BC73" s="2697"/>
      <c r="BD73" s="3913"/>
      <c r="BE73" s="2697"/>
      <c r="BF73" s="2697"/>
      <c r="BG73" s="2697"/>
      <c r="BH73" s="2697"/>
      <c r="BI73" s="2697"/>
      <c r="BJ73" s="2697"/>
      <c r="BK73" s="2715" t="s">
        <v>3085</v>
      </c>
      <c r="BL73" s="3338"/>
      <c r="BM73" s="2697"/>
      <c r="BN73" s="2700" t="s">
        <v>3282</v>
      </c>
      <c r="BO73" s="3338"/>
      <c r="BP73" s="2697"/>
      <c r="BQ73" s="2702"/>
      <c r="BR73" s="2702"/>
      <c r="BS73" s="2702"/>
      <c r="BT73" s="2702"/>
      <c r="BU73" s="2702"/>
      <c r="BV73" s="2702"/>
      <c r="BW73" s="2702"/>
      <c r="BX73" s="2702"/>
      <c r="BY73" s="2702">
        <v>1</v>
      </c>
      <c r="BZ73" s="2702">
        <v>1</v>
      </c>
      <c r="CA73" s="2702">
        <v>1</v>
      </c>
      <c r="CB73" s="2702"/>
      <c r="CC73" s="2702">
        <v>1</v>
      </c>
      <c r="CD73" s="2702">
        <v>1</v>
      </c>
    </row>
    <row r="74" spans="1:82" ht="23.1" customHeight="1">
      <c r="A74" s="1085"/>
      <c r="B74" s="2750" t="s">
        <v>859</v>
      </c>
      <c r="C74" s="4872"/>
      <c r="D74" s="2751">
        <v>43200</v>
      </c>
      <c r="E74" s="2752"/>
      <c r="F74" s="2752"/>
      <c r="G74" s="2752"/>
      <c r="H74" s="2752"/>
      <c r="I74" s="2752"/>
      <c r="J74" s="2752"/>
      <c r="K74" s="2752"/>
      <c r="L74" s="2752"/>
      <c r="M74" s="2752"/>
      <c r="N74" s="2752"/>
      <c r="O74" s="2752"/>
      <c r="P74" s="2752"/>
      <c r="Q74" s="2752"/>
      <c r="R74" s="2752"/>
      <c r="S74" s="2752"/>
      <c r="T74" s="2752"/>
      <c r="U74" s="2752"/>
      <c r="V74" s="2752"/>
      <c r="W74" s="2752"/>
      <c r="X74" s="2752"/>
      <c r="Y74" s="2752"/>
      <c r="Z74" s="2752"/>
      <c r="AA74" s="2752"/>
      <c r="AB74" s="2752"/>
      <c r="AC74" s="2752"/>
      <c r="AD74" s="2752"/>
      <c r="AE74" s="2752"/>
      <c r="AF74" s="2752"/>
      <c r="AG74" s="2752"/>
      <c r="AH74" s="2752"/>
      <c r="AI74" s="2752"/>
      <c r="AJ74" s="2752"/>
      <c r="AK74" s="2752"/>
      <c r="AL74" s="2753"/>
      <c r="AM74" s="2753"/>
      <c r="AN74" s="2753"/>
      <c r="AO74" s="2753"/>
      <c r="AP74" s="2753"/>
      <c r="AQ74" s="2753"/>
      <c r="AR74" s="2753"/>
      <c r="AS74" s="2753"/>
      <c r="AT74" s="2753"/>
      <c r="AU74" s="2753"/>
      <c r="AV74" s="2753"/>
      <c r="AW74" s="2753"/>
      <c r="AX74" s="2753"/>
      <c r="AY74" s="2753"/>
      <c r="AZ74" s="2753"/>
      <c r="BA74" s="2753"/>
      <c r="BB74" s="4856"/>
      <c r="BC74" s="2753"/>
      <c r="BD74" s="3919"/>
      <c r="BE74" s="3920"/>
      <c r="BF74" s="3920"/>
      <c r="BG74" s="4842"/>
      <c r="BH74" s="4842"/>
      <c r="BI74" s="4842"/>
      <c r="BJ74" s="4842"/>
      <c r="BK74" s="2753"/>
      <c r="BL74" s="2753"/>
      <c r="BM74" s="2753"/>
      <c r="BN74" s="2753"/>
      <c r="BO74" s="2753"/>
      <c r="BP74" s="2753"/>
      <c r="BQ74" s="2754"/>
      <c r="BR74" s="2754"/>
      <c r="BS74" s="2754"/>
      <c r="BT74" s="2754"/>
      <c r="BU74" s="2754"/>
      <c r="BV74" s="2754"/>
      <c r="BW74" s="2755"/>
      <c r="BX74" s="2755"/>
      <c r="BY74" s="2755"/>
      <c r="BZ74" s="2755"/>
      <c r="CA74" s="2755"/>
      <c r="CB74" s="2755"/>
      <c r="CC74" s="2755"/>
      <c r="CD74" s="2755"/>
    </row>
    <row r="75" spans="1:82" ht="23.1" customHeight="1">
      <c r="A75" s="1085">
        <v>60</v>
      </c>
      <c r="B75" s="2694" t="s">
        <v>3301</v>
      </c>
      <c r="C75" s="4868" t="s">
        <v>2820</v>
      </c>
      <c r="D75" s="4860">
        <v>44239</v>
      </c>
      <c r="E75" s="2696"/>
      <c r="F75" s="2696"/>
      <c r="G75" s="2696"/>
      <c r="H75" s="2696"/>
      <c r="I75" s="2696"/>
      <c r="J75" s="2696"/>
      <c r="K75" s="2696"/>
      <c r="L75" s="2696"/>
      <c r="M75" s="2696"/>
      <c r="N75" s="2696"/>
      <c r="O75" s="2696"/>
      <c r="P75" s="2696"/>
      <c r="Q75" s="2696"/>
      <c r="R75" s="2696"/>
      <c r="S75" s="2696"/>
      <c r="T75" s="2696"/>
      <c r="U75" s="2696"/>
      <c r="V75" s="2696"/>
      <c r="W75" s="2696"/>
      <c r="X75" s="2696"/>
      <c r="Y75" s="2696"/>
      <c r="Z75" s="2696"/>
      <c r="AA75" s="2696"/>
      <c r="AB75" s="2696"/>
      <c r="AC75" s="2704" t="s">
        <v>860</v>
      </c>
      <c r="AD75" s="2696"/>
      <c r="AE75" s="2696"/>
      <c r="AF75" s="2696"/>
      <c r="AG75" s="2723" t="s">
        <v>861</v>
      </c>
      <c r="AH75" s="2697"/>
      <c r="AI75" s="2697"/>
      <c r="AJ75" s="2697"/>
      <c r="AK75" s="2697"/>
      <c r="AL75" s="2697"/>
      <c r="AM75" s="2697"/>
      <c r="AN75" s="2697"/>
      <c r="AO75" s="2697"/>
      <c r="AP75" s="2697"/>
      <c r="AQ75" s="2697"/>
      <c r="AR75" s="2697"/>
      <c r="AS75" s="2697"/>
      <c r="AT75" s="2697"/>
      <c r="AU75" s="2700" t="s">
        <v>2364</v>
      </c>
      <c r="AV75" s="2697"/>
      <c r="AW75" s="2697"/>
      <c r="AX75" s="2697"/>
      <c r="AY75" s="2697"/>
      <c r="AZ75" s="2697"/>
      <c r="BA75" s="2716"/>
      <c r="BB75" s="2697"/>
      <c r="BC75" s="2697"/>
      <c r="BD75" s="3913"/>
      <c r="BE75" s="2697"/>
      <c r="BF75" s="4843"/>
      <c r="BG75" s="2695" t="s">
        <v>2822</v>
      </c>
      <c r="BH75" s="4844"/>
      <c r="BI75" s="4844"/>
      <c r="BJ75" s="4844"/>
      <c r="BK75" s="4844"/>
      <c r="BL75" s="4844"/>
      <c r="BM75" s="4844"/>
      <c r="BN75" s="4844"/>
      <c r="BO75" s="4844"/>
      <c r="BP75" s="4844"/>
      <c r="BQ75" s="2702"/>
      <c r="BR75" s="2702">
        <v>1</v>
      </c>
      <c r="BS75" s="2702">
        <v>1</v>
      </c>
      <c r="BT75" s="2702">
        <v>1</v>
      </c>
      <c r="BU75" s="2702">
        <v>1</v>
      </c>
      <c r="BV75" s="2702"/>
      <c r="BW75" s="2702"/>
      <c r="BX75" s="2702"/>
      <c r="BY75" s="2702">
        <v>1</v>
      </c>
      <c r="BZ75" s="2702">
        <v>1</v>
      </c>
      <c r="CA75" s="2702"/>
      <c r="CB75" s="2702">
        <v>1</v>
      </c>
      <c r="CC75" s="2702">
        <v>1</v>
      </c>
      <c r="CD75" s="2702"/>
    </row>
    <row r="76" spans="1:82" ht="23.1" customHeight="1">
      <c r="A76" s="1085">
        <v>61</v>
      </c>
      <c r="B76" s="2758" t="s">
        <v>2140</v>
      </c>
      <c r="C76" s="4868" t="s">
        <v>2820</v>
      </c>
      <c r="D76" s="4860">
        <v>44239</v>
      </c>
      <c r="E76" s="2696"/>
      <c r="F76" s="2696"/>
      <c r="G76" s="2696"/>
      <c r="H76" s="2696"/>
      <c r="I76" s="2696"/>
      <c r="J76" s="2696"/>
      <c r="K76" s="2696"/>
      <c r="L76" s="2696"/>
      <c r="M76" s="2696"/>
      <c r="N76" s="2696"/>
      <c r="O76" s="2696"/>
      <c r="P76" s="2696"/>
      <c r="Q76" s="2696"/>
      <c r="R76" s="2696"/>
      <c r="S76" s="2696"/>
      <c r="T76" s="2696"/>
      <c r="U76" s="2696"/>
      <c r="V76" s="2696"/>
      <c r="W76" s="2696"/>
      <c r="X76" s="2696"/>
      <c r="Y76" s="2696"/>
      <c r="Z76" s="2696"/>
      <c r="AA76" s="2696"/>
      <c r="AB76" s="2696"/>
      <c r="AC76" s="2704"/>
      <c r="AD76" s="2696"/>
      <c r="AE76" s="2696"/>
      <c r="AF76" s="2696"/>
      <c r="AG76" s="2697"/>
      <c r="AH76" s="2697"/>
      <c r="AI76" s="2697"/>
      <c r="AJ76" s="2697"/>
      <c r="AK76" s="2697"/>
      <c r="AL76" s="2697"/>
      <c r="AM76" s="2697"/>
      <c r="AN76" s="2697"/>
      <c r="AO76" s="2697"/>
      <c r="AP76" s="2697"/>
      <c r="AQ76" s="2697"/>
      <c r="AR76" s="2697"/>
      <c r="AS76" s="2697"/>
      <c r="AT76" s="2697"/>
      <c r="AU76" s="2697"/>
      <c r="AV76" s="2759" t="s">
        <v>2164</v>
      </c>
      <c r="AW76" s="2697"/>
      <c r="AX76" s="2697"/>
      <c r="AY76" s="2697"/>
      <c r="AZ76" s="2697"/>
      <c r="BA76" s="2716"/>
      <c r="BB76" s="2697"/>
      <c r="BC76" s="2697"/>
      <c r="BD76" s="3913"/>
      <c r="BE76" s="2697"/>
      <c r="BF76" s="4843"/>
      <c r="BG76" s="2695" t="s">
        <v>2822</v>
      </c>
      <c r="BH76" s="4844"/>
      <c r="BI76" s="4844"/>
      <c r="BJ76" s="4844"/>
      <c r="BK76" s="4844"/>
      <c r="BL76" s="4844"/>
      <c r="BM76" s="4844"/>
      <c r="BN76" s="4844"/>
      <c r="BO76" s="4844"/>
      <c r="BP76" s="4844"/>
      <c r="BQ76" s="2702"/>
      <c r="BR76" s="2702"/>
      <c r="BS76" s="2702"/>
      <c r="BT76" s="2702"/>
      <c r="BU76" s="2702"/>
      <c r="BV76" s="2702"/>
      <c r="BW76" s="2702"/>
      <c r="BX76" s="2702">
        <v>1</v>
      </c>
      <c r="BY76" s="2702">
        <v>1</v>
      </c>
      <c r="BZ76" s="2702">
        <v>1</v>
      </c>
      <c r="CA76" s="2702"/>
      <c r="CB76" s="2702">
        <v>1</v>
      </c>
      <c r="CC76" s="2702">
        <v>1</v>
      </c>
      <c r="CD76" s="2702"/>
    </row>
    <row r="77" spans="1:82" ht="23.1" customHeight="1">
      <c r="A77" s="1085">
        <v>62</v>
      </c>
      <c r="B77" s="2727" t="s">
        <v>2359</v>
      </c>
      <c r="C77" s="4866" t="s">
        <v>2820</v>
      </c>
      <c r="D77" s="4863">
        <v>44239</v>
      </c>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704"/>
      <c r="AD77" s="2696"/>
      <c r="AE77" s="2696"/>
      <c r="AF77" s="2696"/>
      <c r="AG77" s="2697"/>
      <c r="AH77" s="2697"/>
      <c r="AI77" s="2697"/>
      <c r="AJ77" s="2697"/>
      <c r="AK77" s="2697"/>
      <c r="AL77" s="2697"/>
      <c r="AM77" s="2697"/>
      <c r="AN77" s="2697"/>
      <c r="AO77" s="2697"/>
      <c r="AP77" s="2697"/>
      <c r="AQ77" s="2697"/>
      <c r="AR77" s="2697"/>
      <c r="AS77" s="2697"/>
      <c r="AT77" s="2697"/>
      <c r="AU77" s="2697"/>
      <c r="AV77" s="2713"/>
      <c r="AW77" s="2697"/>
      <c r="AX77" s="2697"/>
      <c r="AY77" s="2697"/>
      <c r="AZ77" s="2704" t="s">
        <v>2362</v>
      </c>
      <c r="BA77" s="2716"/>
      <c r="BB77" s="2697"/>
      <c r="BC77" s="2697"/>
      <c r="BD77" s="3913"/>
      <c r="BE77" s="2697"/>
      <c r="BF77" s="4843"/>
      <c r="BG77" s="2695" t="s">
        <v>2822</v>
      </c>
      <c r="BH77" s="4844"/>
      <c r="BI77" s="4844"/>
      <c r="BJ77" s="4844"/>
      <c r="BK77" s="4844"/>
      <c r="BL77" s="4844"/>
      <c r="BM77" s="4844"/>
      <c r="BN77" s="4844"/>
      <c r="BO77" s="4844"/>
      <c r="BP77" s="4844"/>
      <c r="BQ77" s="2702"/>
      <c r="BR77" s="2702"/>
      <c r="BS77" s="2702"/>
      <c r="BT77" s="2702"/>
      <c r="BU77" s="2702"/>
      <c r="BV77" s="2702"/>
      <c r="BW77" s="2702"/>
      <c r="BX77" s="2702"/>
      <c r="BY77" s="2702">
        <v>1</v>
      </c>
      <c r="BZ77" s="2702">
        <v>1</v>
      </c>
      <c r="CA77" s="2702">
        <v>1</v>
      </c>
      <c r="CB77" s="2702">
        <v>1</v>
      </c>
      <c r="CC77" s="2702">
        <v>1</v>
      </c>
      <c r="CD77" s="2702"/>
    </row>
    <row r="78" spans="1:82" ht="23.1" customHeight="1">
      <c r="A78" s="1085"/>
      <c r="B78" s="2750" t="s">
        <v>862</v>
      </c>
      <c r="C78" s="4872"/>
      <c r="D78" s="2751"/>
      <c r="E78" s="2752"/>
      <c r="F78" s="2752"/>
      <c r="G78" s="2752"/>
      <c r="H78" s="2752"/>
      <c r="I78" s="2752"/>
      <c r="J78" s="2752"/>
      <c r="K78" s="2752"/>
      <c r="L78" s="2752"/>
      <c r="M78" s="2752"/>
      <c r="N78" s="2752"/>
      <c r="O78" s="2752"/>
      <c r="P78" s="2752"/>
      <c r="Q78" s="2752"/>
      <c r="R78" s="2752"/>
      <c r="S78" s="2752"/>
      <c r="T78" s="2752"/>
      <c r="U78" s="2752"/>
      <c r="V78" s="2752"/>
      <c r="W78" s="2752"/>
      <c r="X78" s="2752"/>
      <c r="Y78" s="2752"/>
      <c r="Z78" s="2752"/>
      <c r="AA78" s="2752"/>
      <c r="AB78" s="2752"/>
      <c r="AC78" s="2752"/>
      <c r="AD78" s="2752"/>
      <c r="AE78" s="2752"/>
      <c r="AF78" s="2752"/>
      <c r="AG78" s="2752"/>
      <c r="AH78" s="2752"/>
      <c r="AI78" s="2752"/>
      <c r="AJ78" s="2752"/>
      <c r="AK78" s="2752"/>
      <c r="AL78" s="2753"/>
      <c r="AM78" s="2753"/>
      <c r="AN78" s="2753"/>
      <c r="AO78" s="2753"/>
      <c r="AP78" s="2753"/>
      <c r="AQ78" s="2753"/>
      <c r="AR78" s="2753"/>
      <c r="AS78" s="2753"/>
      <c r="AT78" s="2753"/>
      <c r="AU78" s="2753"/>
      <c r="AV78" s="2753"/>
      <c r="AW78" s="2753"/>
      <c r="AX78" s="2753"/>
      <c r="AY78" s="2753"/>
      <c r="AZ78" s="2753"/>
      <c r="BA78" s="2753"/>
      <c r="BB78" s="4856"/>
      <c r="BC78" s="2753"/>
      <c r="BD78" s="3919"/>
      <c r="BE78" s="3920"/>
      <c r="BF78" s="3920"/>
      <c r="BG78" s="4845"/>
      <c r="BH78" s="4845"/>
      <c r="BI78" s="4845"/>
      <c r="BJ78" s="4845"/>
      <c r="BK78" s="2753"/>
      <c r="BL78" s="2753"/>
      <c r="BM78" s="2753"/>
      <c r="BN78" s="2753"/>
      <c r="BO78" s="2753"/>
      <c r="BP78" s="2753"/>
      <c r="BQ78" s="2754"/>
      <c r="BR78" s="2754"/>
      <c r="BS78" s="2754"/>
      <c r="BT78" s="2754"/>
      <c r="BU78" s="2754"/>
      <c r="BV78" s="2754"/>
      <c r="BW78" s="2755"/>
      <c r="BX78" s="2755"/>
      <c r="BY78" s="2755"/>
      <c r="BZ78" s="2755"/>
      <c r="CA78" s="2755"/>
      <c r="CB78" s="2755"/>
      <c r="CC78" s="2755"/>
      <c r="CD78" s="2755"/>
    </row>
    <row r="79" spans="1:82" ht="23.1" customHeight="1">
      <c r="A79" s="1085">
        <v>63</v>
      </c>
      <c r="B79" s="2694" t="s">
        <v>3302</v>
      </c>
      <c r="C79" s="4868" t="s">
        <v>2858</v>
      </c>
      <c r="D79" s="4860">
        <v>44517</v>
      </c>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704" t="s">
        <v>863</v>
      </c>
      <c r="AD79" s="2696"/>
      <c r="AE79" s="2696"/>
      <c r="AF79" s="2703"/>
      <c r="AG79" s="2723" t="s">
        <v>861</v>
      </c>
      <c r="AH79" s="2697"/>
      <c r="AI79" s="2697"/>
      <c r="AJ79" s="2697"/>
      <c r="AK79" s="2697"/>
      <c r="AL79" s="2697"/>
      <c r="AM79" s="2697"/>
      <c r="AN79" s="2697"/>
      <c r="AO79" s="2697"/>
      <c r="AP79" s="2697"/>
      <c r="AQ79" s="2697"/>
      <c r="AR79" s="2716"/>
      <c r="AS79" s="2697"/>
      <c r="AT79" s="2697"/>
      <c r="AU79" s="2716"/>
      <c r="AV79" s="2697"/>
      <c r="AW79" s="2697"/>
      <c r="AX79" s="2697"/>
      <c r="AY79" s="2697"/>
      <c r="AZ79" s="2697"/>
      <c r="BA79" s="2716"/>
      <c r="BB79" s="2697"/>
      <c r="BC79" s="2697"/>
      <c r="BD79" s="3913"/>
      <c r="BE79" s="2697"/>
      <c r="BF79" s="2697"/>
      <c r="BG79" s="2697"/>
      <c r="BH79" s="2697"/>
      <c r="BI79" s="2697"/>
      <c r="BJ79" s="2695" t="s">
        <v>2823</v>
      </c>
      <c r="BK79" s="2697"/>
      <c r="BL79" s="2697"/>
      <c r="BM79" s="5934"/>
      <c r="BN79" s="2697"/>
      <c r="BO79" s="2697"/>
      <c r="BP79" s="5934"/>
      <c r="BQ79" s="2702"/>
      <c r="BR79" s="2702">
        <v>1</v>
      </c>
      <c r="BS79" s="2702">
        <v>1</v>
      </c>
      <c r="BT79" s="2702">
        <v>1</v>
      </c>
      <c r="BU79" s="2702">
        <v>1</v>
      </c>
      <c r="BV79" s="2702"/>
      <c r="BW79" s="2702"/>
      <c r="BX79" s="2702"/>
      <c r="BY79" s="2702"/>
      <c r="BZ79" s="2702"/>
      <c r="CA79" s="2702"/>
      <c r="CB79" s="2702">
        <v>1</v>
      </c>
      <c r="CC79" s="2702">
        <v>1</v>
      </c>
      <c r="CD79" s="2702">
        <v>1</v>
      </c>
    </row>
    <row r="80" spans="1:82" ht="23.1" customHeight="1">
      <c r="A80" s="1085">
        <v>64</v>
      </c>
      <c r="B80" s="2694" t="s">
        <v>864</v>
      </c>
      <c r="C80" s="4868" t="s">
        <v>2858</v>
      </c>
      <c r="D80" s="4860">
        <v>44517</v>
      </c>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7"/>
      <c r="AG80" s="2697"/>
      <c r="AH80" s="2760" t="s">
        <v>865</v>
      </c>
      <c r="AI80" s="2697"/>
      <c r="AJ80" s="2697"/>
      <c r="AK80" s="2697"/>
      <c r="AL80" s="2761"/>
      <c r="AM80" s="2761"/>
      <c r="AN80" s="2761"/>
      <c r="AO80" s="2761"/>
      <c r="AP80" s="2761"/>
      <c r="AQ80" s="2761"/>
      <c r="AR80" s="2761"/>
      <c r="AS80" s="2761"/>
      <c r="AT80" s="2761"/>
      <c r="AU80" s="2761"/>
      <c r="AV80" s="2761"/>
      <c r="AW80" s="2761"/>
      <c r="AX80" s="2761"/>
      <c r="AY80" s="2761"/>
      <c r="AZ80" s="2761"/>
      <c r="BA80" s="4849"/>
      <c r="BB80" s="2761"/>
      <c r="BC80" s="2761"/>
      <c r="BD80" s="3921"/>
      <c r="BE80" s="2761"/>
      <c r="BF80" s="2761"/>
      <c r="BG80" s="2761"/>
      <c r="BH80" s="2761"/>
      <c r="BI80" s="2761"/>
      <c r="BJ80" s="2695" t="s">
        <v>2823</v>
      </c>
      <c r="BK80" s="2761"/>
      <c r="BL80" s="2761"/>
      <c r="BM80" s="5934"/>
      <c r="BN80" s="2761"/>
      <c r="BO80" s="2761"/>
      <c r="BP80" s="5934"/>
      <c r="BQ80" s="2702"/>
      <c r="BR80" s="2702"/>
      <c r="BS80" s="2702">
        <v>1</v>
      </c>
      <c r="BT80" s="2702">
        <v>1</v>
      </c>
      <c r="BU80" s="2702">
        <v>1</v>
      </c>
      <c r="BV80" s="2702"/>
      <c r="BW80" s="2702"/>
      <c r="BX80" s="2702"/>
      <c r="BY80" s="2702"/>
      <c r="BZ80" s="2702"/>
      <c r="CA80" s="2702"/>
      <c r="CB80" s="2702">
        <v>1</v>
      </c>
      <c r="CC80" s="2702">
        <v>1</v>
      </c>
      <c r="CD80" s="2702">
        <v>1</v>
      </c>
    </row>
    <row r="81" spans="1:82" ht="23.1" customHeight="1" thickBot="1">
      <c r="A81" s="1085">
        <v>65</v>
      </c>
      <c r="B81" s="2762" t="s">
        <v>2360</v>
      </c>
      <c r="C81" s="4867" t="s">
        <v>2859</v>
      </c>
      <c r="D81" s="4863">
        <v>42895</v>
      </c>
      <c r="E81" s="2763"/>
      <c r="F81" s="2763"/>
      <c r="G81" s="2763"/>
      <c r="H81" s="2763"/>
      <c r="I81" s="2763"/>
      <c r="J81" s="2763"/>
      <c r="K81" s="2763"/>
      <c r="L81" s="2763"/>
      <c r="M81" s="2763"/>
      <c r="N81" s="2763"/>
      <c r="O81" s="2763"/>
      <c r="P81" s="2763"/>
      <c r="Q81" s="2763"/>
      <c r="R81" s="2763"/>
      <c r="S81" s="2763"/>
      <c r="T81" s="2763"/>
      <c r="U81" s="2763"/>
      <c r="V81" s="2763"/>
      <c r="W81" s="2763"/>
      <c r="X81" s="2763"/>
      <c r="Y81" s="2763"/>
      <c r="Z81" s="2763"/>
      <c r="AA81" s="2763"/>
      <c r="AB81" s="2763"/>
      <c r="AC81" s="2763"/>
      <c r="AD81" s="2763"/>
      <c r="AE81" s="2763"/>
      <c r="AF81" s="2764"/>
      <c r="AG81" s="2764"/>
      <c r="AH81" s="2764"/>
      <c r="AI81" s="2764"/>
      <c r="AJ81" s="2764"/>
      <c r="AK81" s="2764"/>
      <c r="AL81" s="2765"/>
      <c r="AM81" s="2765"/>
      <c r="AN81" s="2765"/>
      <c r="AO81" s="2765"/>
      <c r="AP81" s="2765"/>
      <c r="AQ81" s="2765"/>
      <c r="AR81" s="2765"/>
      <c r="AS81" s="2765"/>
      <c r="AT81" s="2765"/>
      <c r="AU81" s="2765"/>
      <c r="AV81" s="2766"/>
      <c r="AW81" s="2767" t="s">
        <v>2163</v>
      </c>
      <c r="AX81" s="2766"/>
      <c r="AY81" s="2766"/>
      <c r="AZ81" s="2766"/>
      <c r="BA81" s="4850"/>
      <c r="BB81" s="2766"/>
      <c r="BC81" s="2766"/>
      <c r="BD81" s="2766"/>
      <c r="BE81" s="2766"/>
      <c r="BF81" s="2766"/>
      <c r="BG81" s="2766"/>
      <c r="BH81" s="2766"/>
      <c r="BI81" s="2766"/>
      <c r="BJ81" s="2766"/>
      <c r="BK81" s="2766"/>
      <c r="BL81" s="2766"/>
      <c r="BM81" s="5935"/>
      <c r="BN81" s="2766"/>
      <c r="BO81" s="2766"/>
      <c r="BP81" s="5935"/>
      <c r="BQ81" s="2768"/>
      <c r="BR81" s="2768"/>
      <c r="BS81" s="2768"/>
      <c r="BT81" s="2768"/>
      <c r="BU81" s="2768"/>
      <c r="BV81" s="2768"/>
      <c r="BW81" s="2768"/>
      <c r="BX81" s="2768"/>
      <c r="BY81" s="2768">
        <v>1</v>
      </c>
      <c r="BZ81" s="2768">
        <v>1</v>
      </c>
      <c r="CA81" s="2768"/>
      <c r="CB81" s="2768"/>
      <c r="CC81" s="2768"/>
      <c r="CD81" s="2768"/>
    </row>
    <row r="82" spans="1:82" ht="14.4">
      <c r="A82" s="1085"/>
      <c r="B82" s="2732" t="s">
        <v>347</v>
      </c>
      <c r="C82" s="3349"/>
      <c r="D82" s="2733"/>
      <c r="E82" s="2734"/>
      <c r="F82" s="2734"/>
      <c r="G82" s="2734"/>
      <c r="H82" s="2734"/>
      <c r="I82" s="2734"/>
      <c r="J82" s="2734"/>
      <c r="K82" s="2734"/>
      <c r="L82" s="2734"/>
      <c r="M82" s="2734"/>
      <c r="N82" s="2734"/>
      <c r="O82" s="2734"/>
      <c r="P82" s="2734"/>
      <c r="Q82" s="2734"/>
      <c r="R82" s="2734"/>
      <c r="S82" s="2734"/>
      <c r="T82" s="2734"/>
      <c r="U82" s="2734"/>
      <c r="V82" s="2734"/>
      <c r="W82" s="2734"/>
      <c r="X82" s="2734"/>
      <c r="Y82" s="2734"/>
      <c r="Z82" s="2734"/>
      <c r="AA82" s="2734"/>
      <c r="AB82" s="2734"/>
      <c r="AC82" s="2734"/>
      <c r="AD82" s="2734"/>
      <c r="AE82" s="2734"/>
      <c r="AF82" s="2734"/>
      <c r="AG82" s="2734"/>
      <c r="AH82" s="2734"/>
      <c r="AI82" s="2734"/>
      <c r="AJ82" s="2734"/>
      <c r="AK82" s="2734"/>
      <c r="AL82" s="2735"/>
      <c r="AM82" s="2735"/>
      <c r="AN82" s="2735"/>
      <c r="AO82" s="2735"/>
      <c r="AP82" s="2735"/>
      <c r="AQ82" s="2735"/>
      <c r="AR82" s="2735"/>
      <c r="AS82" s="2735"/>
      <c r="AT82" s="2735"/>
      <c r="AU82" s="2735"/>
      <c r="AV82" s="2735"/>
      <c r="AW82" s="2735"/>
      <c r="AX82" s="2735"/>
      <c r="AY82" s="2735"/>
      <c r="AZ82" s="2735"/>
      <c r="BA82" s="2735"/>
      <c r="BB82" s="4853"/>
      <c r="BC82" s="2735"/>
      <c r="BD82" s="3915"/>
      <c r="BE82" s="3916"/>
      <c r="BF82" s="3916"/>
      <c r="BG82" s="3916"/>
      <c r="BH82" s="3916"/>
      <c r="BI82" s="3916"/>
      <c r="BJ82" s="3916"/>
      <c r="BK82" s="2735"/>
      <c r="BL82" s="2735"/>
      <c r="BM82" s="2735"/>
      <c r="BN82" s="2735"/>
      <c r="BO82" s="2735"/>
      <c r="BP82" s="2735"/>
      <c r="BQ82" s="2736"/>
      <c r="BR82" s="2736"/>
      <c r="BS82" s="2736"/>
      <c r="BT82" s="2736"/>
      <c r="BU82" s="2736"/>
      <c r="BV82" s="2736"/>
      <c r="BW82" s="2737"/>
      <c r="BX82" s="2737"/>
      <c r="BY82" s="2737"/>
      <c r="BZ82" s="2737"/>
      <c r="CA82" s="2737"/>
      <c r="CB82" s="2737"/>
      <c r="CC82" s="2737"/>
      <c r="CD82" s="2737"/>
    </row>
    <row r="83" spans="1:82" ht="23.1" customHeight="1">
      <c r="A83" s="1085">
        <v>66</v>
      </c>
      <c r="B83" s="2694" t="s">
        <v>763</v>
      </c>
      <c r="C83" s="4868" t="s">
        <v>2837</v>
      </c>
      <c r="D83" s="4860">
        <v>38530</v>
      </c>
      <c r="E83" s="2696"/>
      <c r="F83" s="2696"/>
      <c r="G83" s="2696"/>
      <c r="H83" s="2696"/>
      <c r="I83" s="2696"/>
      <c r="J83" s="2696"/>
      <c r="K83" s="2696"/>
      <c r="L83" s="2695" t="s">
        <v>823</v>
      </c>
      <c r="M83" s="2696"/>
      <c r="N83" s="2696"/>
      <c r="O83" s="2696"/>
      <c r="P83" s="2696"/>
      <c r="Q83" s="2696"/>
      <c r="R83" s="2696"/>
      <c r="S83" s="2696"/>
      <c r="T83" s="2696"/>
      <c r="U83" s="2696"/>
      <c r="V83" s="2696"/>
      <c r="W83" s="2696"/>
      <c r="X83" s="2696"/>
      <c r="Y83" s="2696"/>
      <c r="Z83" s="2696"/>
      <c r="AA83" s="2696"/>
      <c r="AB83" s="2696"/>
      <c r="AC83" s="2696"/>
      <c r="AD83" s="2696"/>
      <c r="AE83" s="2696"/>
      <c r="AF83" s="2697"/>
      <c r="AG83" s="2697"/>
      <c r="AH83" s="2697"/>
      <c r="AI83" s="2697"/>
      <c r="AJ83" s="2697"/>
      <c r="AK83" s="2697"/>
      <c r="AL83" s="2697"/>
      <c r="AM83" s="2697"/>
      <c r="AN83" s="2697"/>
      <c r="AO83" s="2697"/>
      <c r="AP83" s="2697"/>
      <c r="AQ83" s="2697"/>
      <c r="AR83" s="2716"/>
      <c r="AS83" s="2697"/>
      <c r="AT83" s="2697"/>
      <c r="AU83" s="2697"/>
      <c r="AV83" s="2697"/>
      <c r="AW83" s="2697"/>
      <c r="AX83" s="2697"/>
      <c r="AY83" s="2697"/>
      <c r="AZ83" s="2697"/>
      <c r="BA83" s="2716"/>
      <c r="BB83" s="2697"/>
      <c r="BC83" s="2697"/>
      <c r="BD83" s="3913"/>
      <c r="BE83" s="2697"/>
      <c r="BF83" s="2697"/>
      <c r="BG83" s="2697"/>
      <c r="BH83" s="2697"/>
      <c r="BI83" s="2697"/>
      <c r="BJ83" s="2697"/>
      <c r="BK83" s="2697"/>
      <c r="BL83" s="2712" t="s">
        <v>3083</v>
      </c>
      <c r="BM83" s="2697"/>
      <c r="BN83" s="2697"/>
      <c r="BO83" s="2697"/>
      <c r="BP83" s="2697"/>
      <c r="BQ83" s="2701"/>
      <c r="BR83" s="2702"/>
      <c r="BS83" s="2702"/>
      <c r="BT83" s="2702"/>
      <c r="BU83" s="2702"/>
      <c r="BV83" s="2702"/>
      <c r="BW83" s="2702"/>
      <c r="BX83" s="2702"/>
      <c r="BY83" s="2702"/>
      <c r="BZ83" s="2702"/>
      <c r="CA83" s="2702"/>
      <c r="CB83" s="2702"/>
      <c r="CC83" s="2702">
        <v>1</v>
      </c>
      <c r="CD83" s="2702">
        <v>1</v>
      </c>
    </row>
    <row r="84" spans="1:82" ht="23.1" customHeight="1">
      <c r="A84" s="1085">
        <v>67</v>
      </c>
      <c r="B84" s="2694" t="s">
        <v>824</v>
      </c>
      <c r="C84" s="4868" t="s">
        <v>2838</v>
      </c>
      <c r="D84" s="4860">
        <v>41990</v>
      </c>
      <c r="E84" s="2696"/>
      <c r="F84" s="2696"/>
      <c r="G84" s="2696"/>
      <c r="H84" s="2696"/>
      <c r="I84" s="2696"/>
      <c r="J84" s="2696"/>
      <c r="K84" s="2696"/>
      <c r="L84" s="2695" t="s">
        <v>823</v>
      </c>
      <c r="M84" s="2696"/>
      <c r="N84" s="2696"/>
      <c r="O84" s="2696"/>
      <c r="P84" s="2695" t="s">
        <v>207</v>
      </c>
      <c r="Q84" s="2703"/>
      <c r="R84" s="2696"/>
      <c r="S84" s="2696"/>
      <c r="T84" s="2696"/>
      <c r="U84" s="2696"/>
      <c r="V84" s="2696"/>
      <c r="W84" s="2696"/>
      <c r="X84" s="2696"/>
      <c r="Y84" s="2696"/>
      <c r="Z84" s="2696"/>
      <c r="AA84" s="2696"/>
      <c r="AB84" s="2696"/>
      <c r="AC84" s="2696"/>
      <c r="AD84" s="2696"/>
      <c r="AE84" s="2696"/>
      <c r="AF84" s="2697"/>
      <c r="AG84" s="2697"/>
      <c r="AH84" s="2697"/>
      <c r="AI84" s="2697"/>
      <c r="AJ84" s="2697"/>
      <c r="AK84" s="2697"/>
      <c r="AL84" s="2697"/>
      <c r="AM84" s="2697"/>
      <c r="AN84" s="2712" t="s">
        <v>692</v>
      </c>
      <c r="AO84" s="2697"/>
      <c r="AP84" s="2697"/>
      <c r="AQ84" s="2697"/>
      <c r="AR84" s="2716"/>
      <c r="AS84" s="2697"/>
      <c r="AT84" s="2697"/>
      <c r="AU84" s="2697"/>
      <c r="AV84" s="2697"/>
      <c r="AW84" s="2697"/>
      <c r="AX84" s="2697"/>
      <c r="AY84" s="2697"/>
      <c r="AZ84" s="2697"/>
      <c r="BA84" s="2716"/>
      <c r="BB84" s="2697"/>
      <c r="BC84" s="2697"/>
      <c r="BD84" s="3913"/>
      <c r="BE84" s="2697"/>
      <c r="BF84" s="2697"/>
      <c r="BG84" s="2697"/>
      <c r="BH84" s="2697"/>
      <c r="BI84" s="2697"/>
      <c r="BJ84" s="2697"/>
      <c r="BK84" s="2697"/>
      <c r="BL84" s="2697"/>
      <c r="BM84" s="2697"/>
      <c r="BN84" s="2697"/>
      <c r="BO84" s="2697"/>
      <c r="BP84" s="2697"/>
      <c r="BQ84" s="2701"/>
      <c r="BR84" s="2702"/>
      <c r="BS84" s="2702"/>
      <c r="BT84" s="2702"/>
      <c r="BU84" s="2702">
        <v>1</v>
      </c>
      <c r="BV84" s="2702">
        <v>1</v>
      </c>
      <c r="BW84" s="2702">
        <v>1</v>
      </c>
      <c r="BX84" s="2702"/>
      <c r="BY84" s="2702"/>
      <c r="BZ84" s="2702"/>
      <c r="CA84" s="2702"/>
      <c r="CB84" s="2702"/>
      <c r="CC84" s="2702"/>
      <c r="CD84" s="2702"/>
    </row>
    <row r="85" spans="1:82" ht="23.1" customHeight="1">
      <c r="A85" s="1085">
        <v>68</v>
      </c>
      <c r="B85" s="2694" t="s">
        <v>767</v>
      </c>
      <c r="C85" s="4868" t="s">
        <v>2839</v>
      </c>
      <c r="D85" s="4860">
        <v>38786</v>
      </c>
      <c r="E85" s="2696"/>
      <c r="F85" s="2696"/>
      <c r="G85" s="2696"/>
      <c r="H85" s="2696"/>
      <c r="I85" s="2696"/>
      <c r="J85" s="2696"/>
      <c r="K85" s="2696"/>
      <c r="L85" s="2695" t="s">
        <v>823</v>
      </c>
      <c r="M85" s="2696"/>
      <c r="N85" s="2695" t="s">
        <v>201</v>
      </c>
      <c r="O85" s="2703"/>
      <c r="P85" s="2696"/>
      <c r="Q85" s="2696"/>
      <c r="R85" s="2696"/>
      <c r="S85" s="2696"/>
      <c r="T85" s="2696"/>
      <c r="U85" s="2696"/>
      <c r="V85" s="2696"/>
      <c r="W85" s="2696"/>
      <c r="X85" s="2696"/>
      <c r="Y85" s="2696"/>
      <c r="Z85" s="2696"/>
      <c r="AA85" s="2696"/>
      <c r="AB85" s="2696"/>
      <c r="AC85" s="2696"/>
      <c r="AD85" s="2696"/>
      <c r="AE85" s="2696"/>
      <c r="AF85" s="2697"/>
      <c r="AG85" s="2697"/>
      <c r="AH85" s="2697"/>
      <c r="AI85" s="2697"/>
      <c r="AJ85" s="2697"/>
      <c r="AK85" s="2697"/>
      <c r="AL85" s="2697"/>
      <c r="AM85" s="2697"/>
      <c r="AN85" s="2697"/>
      <c r="AO85" s="2697"/>
      <c r="AP85" s="2697"/>
      <c r="AQ85" s="2697"/>
      <c r="AR85" s="2716"/>
      <c r="AS85" s="2697"/>
      <c r="AT85" s="2697"/>
      <c r="AU85" s="2697"/>
      <c r="AV85" s="2697"/>
      <c r="AW85" s="2697"/>
      <c r="AX85" s="2697"/>
      <c r="AY85" s="2697"/>
      <c r="AZ85" s="2697"/>
      <c r="BA85" s="2716"/>
      <c r="BB85" s="2697"/>
      <c r="BC85" s="2697"/>
      <c r="BD85" s="3913"/>
      <c r="BE85" s="2697"/>
      <c r="BF85" s="2697"/>
      <c r="BG85" s="2697"/>
      <c r="BH85" s="2697"/>
      <c r="BI85" s="2697"/>
      <c r="BJ85" s="2697"/>
      <c r="BK85" s="2697"/>
      <c r="BL85" s="2697"/>
      <c r="BM85" s="2697"/>
      <c r="BN85" s="2697"/>
      <c r="BO85" s="2697"/>
      <c r="BP85" s="2697"/>
      <c r="BQ85" s="2701"/>
      <c r="BR85" s="2702"/>
      <c r="BS85" s="2702"/>
      <c r="BT85" s="2702"/>
      <c r="BU85" s="2702"/>
      <c r="BV85" s="2702"/>
      <c r="BW85" s="2702"/>
      <c r="BX85" s="2702"/>
      <c r="BY85" s="2702"/>
      <c r="BZ85" s="2702"/>
      <c r="CA85" s="2702"/>
      <c r="CB85" s="2702"/>
      <c r="CC85" s="2702"/>
      <c r="CD85" s="2702"/>
    </row>
    <row r="86" spans="1:82" ht="23.1" customHeight="1">
      <c r="A86" s="1085">
        <v>69</v>
      </c>
      <c r="B86" s="2694" t="s">
        <v>825</v>
      </c>
      <c r="C86" s="4868" t="s">
        <v>2837</v>
      </c>
      <c r="D86" s="4860">
        <v>38530</v>
      </c>
      <c r="E86" s="2696"/>
      <c r="F86" s="2696"/>
      <c r="G86" s="2696"/>
      <c r="H86" s="2696"/>
      <c r="I86" s="2696"/>
      <c r="J86" s="2696"/>
      <c r="K86" s="2696"/>
      <c r="L86" s="2695" t="s">
        <v>823</v>
      </c>
      <c r="M86" s="2696"/>
      <c r="N86" s="2696"/>
      <c r="O86" s="2696"/>
      <c r="P86" s="2696"/>
      <c r="Q86" s="2696"/>
      <c r="R86" s="2696"/>
      <c r="S86" s="2696"/>
      <c r="T86" s="2696"/>
      <c r="U86" s="2696"/>
      <c r="V86" s="2696"/>
      <c r="W86" s="2696"/>
      <c r="X86" s="2696"/>
      <c r="Y86" s="2696"/>
      <c r="Z86" s="2696"/>
      <c r="AA86" s="2696"/>
      <c r="AB86" s="2696"/>
      <c r="AC86" s="2696"/>
      <c r="AD86" s="2696"/>
      <c r="AE86" s="2696"/>
      <c r="AF86" s="2697"/>
      <c r="AG86" s="2697"/>
      <c r="AH86" s="2697"/>
      <c r="AI86" s="2697"/>
      <c r="AJ86" s="2697"/>
      <c r="AK86" s="2697"/>
      <c r="AL86" s="2697"/>
      <c r="AM86" s="2697"/>
      <c r="AN86" s="2697"/>
      <c r="AO86" s="2697"/>
      <c r="AP86" s="2697"/>
      <c r="AQ86" s="2697"/>
      <c r="AR86" s="2716"/>
      <c r="AS86" s="2697"/>
      <c r="AT86" s="2697"/>
      <c r="AU86" s="2697"/>
      <c r="AV86" s="2697"/>
      <c r="AW86" s="2697"/>
      <c r="AX86" s="2697"/>
      <c r="AY86" s="2697"/>
      <c r="AZ86" s="2697"/>
      <c r="BA86" s="2716"/>
      <c r="BB86" s="2697"/>
      <c r="BC86" s="2697"/>
      <c r="BD86" s="3913"/>
      <c r="BE86" s="2697"/>
      <c r="BF86" s="2697"/>
      <c r="BG86" s="2697"/>
      <c r="BH86" s="2697"/>
      <c r="BI86" s="2697"/>
      <c r="BJ86" s="2697"/>
      <c r="BK86" s="2697"/>
      <c r="BL86" s="2697"/>
      <c r="BM86" s="2697"/>
      <c r="BN86" s="2697"/>
      <c r="BO86" s="2697"/>
      <c r="BP86" s="2697"/>
      <c r="BQ86" s="2701"/>
      <c r="BR86" s="2702"/>
      <c r="BS86" s="2702"/>
      <c r="BT86" s="2702"/>
      <c r="BU86" s="2702"/>
      <c r="BV86" s="2702"/>
      <c r="BW86" s="2702"/>
      <c r="BX86" s="2702"/>
      <c r="BY86" s="2702"/>
      <c r="BZ86" s="2702"/>
      <c r="CA86" s="2702"/>
      <c r="CB86" s="2702"/>
      <c r="CC86" s="2702"/>
      <c r="CD86" s="2702"/>
    </row>
    <row r="87" spans="1:82" ht="23.1" customHeight="1">
      <c r="A87" s="1085">
        <v>70</v>
      </c>
      <c r="B87" s="2694" t="s">
        <v>770</v>
      </c>
      <c r="C87" s="4868" t="s">
        <v>2840</v>
      </c>
      <c r="D87" s="4860">
        <v>43076</v>
      </c>
      <c r="E87" s="2696"/>
      <c r="F87" s="2696"/>
      <c r="G87" s="2696"/>
      <c r="H87" s="2696"/>
      <c r="I87" s="2696"/>
      <c r="J87" s="2696"/>
      <c r="K87" s="2696"/>
      <c r="L87" s="2695" t="s">
        <v>823</v>
      </c>
      <c r="M87" s="2696"/>
      <c r="N87" s="2696"/>
      <c r="O87" s="2696"/>
      <c r="P87" s="2696"/>
      <c r="Q87" s="2696"/>
      <c r="R87" s="2696"/>
      <c r="S87" s="2696"/>
      <c r="T87" s="2696"/>
      <c r="U87" s="2696"/>
      <c r="V87" s="2696"/>
      <c r="W87" s="2696"/>
      <c r="X87" s="2696"/>
      <c r="Y87" s="2696"/>
      <c r="Z87" s="2696"/>
      <c r="AA87" s="2696"/>
      <c r="AB87" s="2696"/>
      <c r="AC87" s="2696"/>
      <c r="AD87" s="2695" t="s">
        <v>230</v>
      </c>
      <c r="AE87" s="2696"/>
      <c r="AF87" s="2697"/>
      <c r="AG87" s="2697"/>
      <c r="AH87" s="2697"/>
      <c r="AI87" s="2697"/>
      <c r="AJ87" s="2697"/>
      <c r="AK87" s="2697"/>
      <c r="AL87" s="2697"/>
      <c r="AM87" s="2697"/>
      <c r="AN87" s="2697"/>
      <c r="AO87" s="2697"/>
      <c r="AP87" s="2697"/>
      <c r="AQ87" s="2697"/>
      <c r="AR87" s="2716"/>
      <c r="AS87" s="2697"/>
      <c r="AT87" s="2697"/>
      <c r="AU87" s="2697"/>
      <c r="AV87" s="2697"/>
      <c r="AW87" s="2697"/>
      <c r="AX87" s="2695" t="s">
        <v>2161</v>
      </c>
      <c r="AY87" s="2696"/>
      <c r="AZ87" s="2696"/>
      <c r="BA87" s="2740"/>
      <c r="BB87" s="2696"/>
      <c r="BC87" s="2696"/>
      <c r="BD87" s="3910"/>
      <c r="BE87" s="2696"/>
      <c r="BF87" s="2696"/>
      <c r="BG87" s="2696"/>
      <c r="BH87" s="2696"/>
      <c r="BI87" s="2696"/>
      <c r="BJ87" s="2696"/>
      <c r="BK87" s="2696"/>
      <c r="BL87" s="2696"/>
      <c r="BM87" s="2696"/>
      <c r="BN87" s="2696"/>
      <c r="BO87" s="2696"/>
      <c r="BP87" s="2696"/>
      <c r="BQ87" s="2701"/>
      <c r="BR87" s="2702">
        <v>1</v>
      </c>
      <c r="BS87" s="2702">
        <v>1</v>
      </c>
      <c r="BT87" s="2702">
        <v>1</v>
      </c>
      <c r="BU87" s="2702"/>
      <c r="BV87" s="2702"/>
      <c r="BW87" s="2702"/>
      <c r="BX87" s="2702">
        <v>1</v>
      </c>
      <c r="BY87" s="2702">
        <v>1</v>
      </c>
      <c r="BZ87" s="2702">
        <v>1</v>
      </c>
      <c r="CA87" s="2702"/>
      <c r="CB87" s="2702"/>
      <c r="CC87" s="2702"/>
      <c r="CD87" s="2702"/>
    </row>
    <row r="88" spans="1:82" ht="23.1" customHeight="1">
      <c r="A88" s="1085">
        <v>71</v>
      </c>
      <c r="B88" s="2694" t="s">
        <v>826</v>
      </c>
      <c r="C88" s="4868" t="s">
        <v>2841</v>
      </c>
      <c r="D88" s="4860">
        <v>42209</v>
      </c>
      <c r="E88" s="2696"/>
      <c r="F88" s="2696"/>
      <c r="G88" s="2696"/>
      <c r="H88" s="2695" t="s">
        <v>248</v>
      </c>
      <c r="I88" s="2696"/>
      <c r="J88" s="2696"/>
      <c r="K88" s="2696"/>
      <c r="L88" s="2695" t="s">
        <v>823</v>
      </c>
      <c r="M88" s="2696"/>
      <c r="N88" s="2696"/>
      <c r="O88" s="2696"/>
      <c r="P88" s="2696"/>
      <c r="Q88" s="2696"/>
      <c r="R88" s="2696"/>
      <c r="S88" s="2696"/>
      <c r="T88" s="2696"/>
      <c r="U88" s="2696"/>
      <c r="V88" s="2696"/>
      <c r="W88" s="2696"/>
      <c r="X88" s="2695" t="s">
        <v>827</v>
      </c>
      <c r="Y88" s="2703"/>
      <c r="Z88" s="2696"/>
      <c r="AA88" s="2696"/>
      <c r="AB88" s="2696"/>
      <c r="AC88" s="2696"/>
      <c r="AD88" s="2696"/>
      <c r="AE88" s="2696"/>
      <c r="AF88" s="2697"/>
      <c r="AG88" s="2697"/>
      <c r="AH88" s="2697"/>
      <c r="AI88" s="2697"/>
      <c r="AJ88" s="2697"/>
      <c r="AK88" s="2697"/>
      <c r="AL88" s="2697"/>
      <c r="AM88" s="2697"/>
      <c r="AN88" s="2697"/>
      <c r="AO88" s="2697"/>
      <c r="AP88" s="2697"/>
      <c r="AQ88" s="2712" t="s">
        <v>1489</v>
      </c>
      <c r="AR88" s="2714"/>
      <c r="AS88" s="2713"/>
      <c r="AT88" s="2713"/>
      <c r="AU88" s="2713"/>
      <c r="AV88" s="2713"/>
      <c r="AW88" s="2713"/>
      <c r="AX88" s="2713"/>
      <c r="AY88" s="2713"/>
      <c r="AZ88" s="2713"/>
      <c r="BA88" s="2714"/>
      <c r="BB88" s="2713"/>
      <c r="BC88" s="2713"/>
      <c r="BD88" s="3904"/>
      <c r="BE88" s="2713"/>
      <c r="BF88" s="2713"/>
      <c r="BG88" s="2713"/>
      <c r="BH88" s="2713"/>
      <c r="BI88" s="2713"/>
      <c r="BJ88" s="2713"/>
      <c r="BK88" s="2713"/>
      <c r="BL88" s="2713"/>
      <c r="BM88" s="2713"/>
      <c r="BN88" s="2713"/>
      <c r="BO88" s="2713"/>
      <c r="BP88" s="2713"/>
      <c r="BQ88" s="2701">
        <v>1</v>
      </c>
      <c r="BR88" s="2702">
        <v>1</v>
      </c>
      <c r="BS88" s="2702"/>
      <c r="BT88" s="2702"/>
      <c r="BU88" s="2702"/>
      <c r="BV88" s="2702">
        <v>1</v>
      </c>
      <c r="BW88" s="2702">
        <v>1</v>
      </c>
      <c r="BX88" s="2702">
        <v>1</v>
      </c>
      <c r="BY88" s="2702"/>
      <c r="BZ88" s="2702"/>
      <c r="CA88" s="2702"/>
      <c r="CB88" s="2702"/>
      <c r="CC88" s="2702"/>
      <c r="CD88" s="2702"/>
    </row>
    <row r="89" spans="1:82" ht="14.4">
      <c r="A89" s="1085"/>
      <c r="B89" s="2732" t="s">
        <v>348</v>
      </c>
      <c r="C89" s="3349"/>
      <c r="D89" s="2733"/>
      <c r="E89" s="2734"/>
      <c r="F89" s="2734"/>
      <c r="G89" s="2734"/>
      <c r="H89" s="2734"/>
      <c r="I89" s="2734"/>
      <c r="J89" s="2734"/>
      <c r="K89" s="2734"/>
      <c r="L89" s="2734"/>
      <c r="M89" s="2734"/>
      <c r="N89" s="2734"/>
      <c r="O89" s="2734"/>
      <c r="P89" s="2734"/>
      <c r="Q89" s="2734"/>
      <c r="R89" s="2734"/>
      <c r="S89" s="2734"/>
      <c r="T89" s="2734"/>
      <c r="U89" s="2734"/>
      <c r="V89" s="2734"/>
      <c r="W89" s="2734"/>
      <c r="X89" s="2734"/>
      <c r="Y89" s="2734"/>
      <c r="Z89" s="2734"/>
      <c r="AA89" s="2734"/>
      <c r="AB89" s="2734"/>
      <c r="AC89" s="2734"/>
      <c r="AD89" s="2734"/>
      <c r="AE89" s="2734"/>
      <c r="AF89" s="2734"/>
      <c r="AG89" s="2734"/>
      <c r="AH89" s="2734"/>
      <c r="AI89" s="2734"/>
      <c r="AJ89" s="2734"/>
      <c r="AK89" s="2734"/>
      <c r="AL89" s="2735"/>
      <c r="AM89" s="2735"/>
      <c r="AN89" s="2735"/>
      <c r="AO89" s="2735"/>
      <c r="AP89" s="2735"/>
      <c r="AQ89" s="2735"/>
      <c r="AR89" s="2735"/>
      <c r="AS89" s="2735"/>
      <c r="AT89" s="2735"/>
      <c r="AU89" s="2735"/>
      <c r="AV89" s="2735"/>
      <c r="AW89" s="2735"/>
      <c r="AX89" s="2735"/>
      <c r="AY89" s="2735"/>
      <c r="AZ89" s="2735"/>
      <c r="BA89" s="2735"/>
      <c r="BB89" s="4853"/>
      <c r="BC89" s="2735"/>
      <c r="BD89" s="3915"/>
      <c r="BE89" s="3916"/>
      <c r="BF89" s="3916"/>
      <c r="BG89" s="3916"/>
      <c r="BH89" s="3916"/>
      <c r="BI89" s="3916"/>
      <c r="BJ89" s="3916"/>
      <c r="BK89" s="2735"/>
      <c r="BL89" s="2735"/>
      <c r="BM89" s="2735"/>
      <c r="BN89" s="2735"/>
      <c r="BO89" s="2735"/>
      <c r="BP89" s="2735"/>
      <c r="BQ89" s="2736"/>
      <c r="BR89" s="2736"/>
      <c r="BS89" s="2736"/>
      <c r="BT89" s="2736"/>
      <c r="BU89" s="2736"/>
      <c r="BV89" s="2736"/>
      <c r="BW89" s="2737"/>
      <c r="BX89" s="2737"/>
      <c r="BY89" s="2737"/>
      <c r="BZ89" s="2737"/>
      <c r="CA89" s="2737"/>
      <c r="CB89" s="2737"/>
      <c r="CC89" s="2737"/>
      <c r="CD89" s="2737"/>
    </row>
    <row r="90" spans="1:82" ht="23.1" customHeight="1">
      <c r="A90" s="1085">
        <v>72</v>
      </c>
      <c r="B90" s="2694" t="s">
        <v>814</v>
      </c>
      <c r="C90" s="4868" t="s">
        <v>2842</v>
      </c>
      <c r="D90" s="4862">
        <v>41990</v>
      </c>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7"/>
      <c r="AG90" s="2697"/>
      <c r="AH90" s="2697"/>
      <c r="AI90" s="2697"/>
      <c r="AJ90" s="2695" t="s">
        <v>603</v>
      </c>
      <c r="AK90" s="2698"/>
      <c r="AL90" s="2698"/>
      <c r="AM90" s="2698"/>
      <c r="AN90" s="2712" t="s">
        <v>692</v>
      </c>
      <c r="AO90" s="2698"/>
      <c r="AP90" s="2698"/>
      <c r="AQ90" s="2698"/>
      <c r="AR90" s="2729"/>
      <c r="AS90" s="2698"/>
      <c r="AT90" s="2698"/>
      <c r="AU90" s="2698"/>
      <c r="AV90" s="2698"/>
      <c r="AW90" s="2698"/>
      <c r="AX90" s="2698"/>
      <c r="AY90" s="2698"/>
      <c r="AZ90" s="2698"/>
      <c r="BA90" s="2729"/>
      <c r="BB90" s="2698"/>
      <c r="BC90" s="2698"/>
      <c r="BD90" s="3914"/>
      <c r="BE90" s="2698"/>
      <c r="BF90" s="2698"/>
      <c r="BG90" s="2698"/>
      <c r="BH90" s="2698"/>
      <c r="BI90" s="2698"/>
      <c r="BJ90" s="2698"/>
      <c r="BK90" s="2698"/>
      <c r="BL90" s="2698"/>
      <c r="BM90" s="2698"/>
      <c r="BN90" s="2698"/>
      <c r="BO90" s="2698"/>
      <c r="BP90" s="2698"/>
      <c r="BQ90" s="2701"/>
      <c r="BR90" s="2702"/>
      <c r="BS90" s="2702"/>
      <c r="BT90" s="2702">
        <v>1</v>
      </c>
      <c r="BU90" s="2702">
        <v>1</v>
      </c>
      <c r="BV90" s="2702">
        <v>1</v>
      </c>
      <c r="BW90" s="2702">
        <v>1</v>
      </c>
      <c r="BX90" s="2702"/>
      <c r="BY90" s="2702"/>
      <c r="BZ90" s="2702"/>
      <c r="CA90" s="2702"/>
      <c r="CB90" s="2702"/>
      <c r="CC90" s="2702"/>
      <c r="CD90" s="2702"/>
    </row>
    <row r="91" spans="1:82" ht="23.1" customHeight="1">
      <c r="A91" s="1085">
        <v>73</v>
      </c>
      <c r="B91" s="2694" t="s">
        <v>3294</v>
      </c>
      <c r="C91" s="4868" t="s">
        <v>2843</v>
      </c>
      <c r="D91" s="4862">
        <v>42940</v>
      </c>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7"/>
      <c r="AG91" s="2697"/>
      <c r="AH91" s="2697"/>
      <c r="AI91" s="2697"/>
      <c r="AJ91" s="2697"/>
      <c r="AK91" s="2697"/>
      <c r="AL91" s="2697"/>
      <c r="AM91" s="2724" t="s">
        <v>828</v>
      </c>
      <c r="AN91" s="2712" t="s">
        <v>692</v>
      </c>
      <c r="AO91" s="2697"/>
      <c r="AP91" s="2697"/>
      <c r="AQ91" s="2697"/>
      <c r="AR91" s="2716"/>
      <c r="AS91" s="2697"/>
      <c r="AT91" s="2697"/>
      <c r="AU91" s="2697"/>
      <c r="AV91" s="2697"/>
      <c r="AW91" s="2712" t="s">
        <v>2156</v>
      </c>
      <c r="AX91" s="2697"/>
      <c r="AY91" s="2697"/>
      <c r="AZ91" s="2697"/>
      <c r="BA91" s="2716"/>
      <c r="BB91" s="2697"/>
      <c r="BC91" s="2697"/>
      <c r="BD91" s="3913"/>
      <c r="BE91" s="2697"/>
      <c r="BF91" s="2697"/>
      <c r="BG91" s="2697"/>
      <c r="BH91" s="2697"/>
      <c r="BI91" s="2697"/>
      <c r="BJ91" s="2697"/>
      <c r="BK91" s="2697"/>
      <c r="BL91" s="2697"/>
      <c r="BM91" s="2697"/>
      <c r="BN91" s="2697"/>
      <c r="BO91" s="2697"/>
      <c r="BP91" s="2697"/>
      <c r="BQ91" s="2701"/>
      <c r="BR91" s="2702"/>
      <c r="BS91" s="2702"/>
      <c r="BT91" s="2702"/>
      <c r="BU91" s="2702">
        <v>1</v>
      </c>
      <c r="BV91" s="2702">
        <v>1</v>
      </c>
      <c r="BW91" s="2702">
        <v>1</v>
      </c>
      <c r="BX91" s="2702">
        <v>1</v>
      </c>
      <c r="BY91" s="2702">
        <v>1</v>
      </c>
      <c r="BZ91" s="2702">
        <v>1</v>
      </c>
      <c r="CA91" s="2702"/>
      <c r="CB91" s="2702"/>
      <c r="CC91" s="2702"/>
      <c r="CD91" s="2702"/>
    </row>
    <row r="92" spans="1:82" ht="23.1" customHeight="1">
      <c r="A92" s="1085">
        <v>74</v>
      </c>
      <c r="B92" s="2694" t="s">
        <v>3295</v>
      </c>
      <c r="C92" s="4868" t="s">
        <v>2844</v>
      </c>
      <c r="D92" s="4860">
        <v>42277</v>
      </c>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7"/>
      <c r="AG92" s="2697"/>
      <c r="AH92" s="2697"/>
      <c r="AI92" s="2697"/>
      <c r="AJ92" s="2697"/>
      <c r="AK92" s="2697"/>
      <c r="AL92" s="2697"/>
      <c r="AM92" s="2697"/>
      <c r="AN92" s="2712" t="s">
        <v>692</v>
      </c>
      <c r="AO92" s="2697"/>
      <c r="AP92" s="2697"/>
      <c r="AQ92" s="2697"/>
      <c r="AR92" s="2738" t="s">
        <v>1489</v>
      </c>
      <c r="AS92" s="2713"/>
      <c r="AT92" s="2713"/>
      <c r="AU92" s="2713"/>
      <c r="AV92" s="2713"/>
      <c r="AW92" s="2713"/>
      <c r="AX92" s="2713"/>
      <c r="AY92" s="2713"/>
      <c r="AZ92" s="2713"/>
      <c r="BA92" s="2714"/>
      <c r="BB92" s="2713"/>
      <c r="BC92" s="2713"/>
      <c r="BD92" s="3904"/>
      <c r="BE92" s="2713"/>
      <c r="BF92" s="2713"/>
      <c r="BG92" s="2713"/>
      <c r="BH92" s="2713"/>
      <c r="BI92" s="2713"/>
      <c r="BJ92" s="2713"/>
      <c r="BK92" s="2713"/>
      <c r="BL92" s="2713"/>
      <c r="BM92" s="2713"/>
      <c r="BN92" s="2713"/>
      <c r="BO92" s="2713"/>
      <c r="BP92" s="2713"/>
      <c r="BQ92" s="2701"/>
      <c r="BR92" s="2702"/>
      <c r="BS92" s="2702"/>
      <c r="BT92" s="2702"/>
      <c r="BU92" s="2702">
        <v>1</v>
      </c>
      <c r="BV92" s="2702">
        <v>1</v>
      </c>
      <c r="BW92" s="2702">
        <v>1</v>
      </c>
      <c r="BX92" s="2702">
        <v>1</v>
      </c>
      <c r="BY92" s="2702"/>
      <c r="BZ92" s="2702"/>
      <c r="CA92" s="2702"/>
      <c r="CB92" s="2702"/>
      <c r="CC92" s="2702"/>
      <c r="CD92" s="2702"/>
    </row>
    <row r="93" spans="1:82" ht="14.4">
      <c r="A93" s="1085">
        <v>75</v>
      </c>
      <c r="B93" s="2694" t="s">
        <v>829</v>
      </c>
      <c r="C93" s="4868" t="s">
        <v>2845</v>
      </c>
      <c r="D93" s="4860">
        <v>42209</v>
      </c>
      <c r="E93" s="2696"/>
      <c r="F93" s="2696"/>
      <c r="G93" s="2696"/>
      <c r="H93" s="2696"/>
      <c r="I93" s="2696"/>
      <c r="J93" s="2696"/>
      <c r="K93" s="2696"/>
      <c r="L93" s="2696"/>
      <c r="M93" s="2696"/>
      <c r="N93" s="2696"/>
      <c r="O93" s="2696"/>
      <c r="P93" s="2696"/>
      <c r="Q93" s="2696"/>
      <c r="R93" s="2696"/>
      <c r="S93" s="2696"/>
      <c r="T93" s="2696"/>
      <c r="U93" s="2696"/>
      <c r="V93" s="2699" t="s">
        <v>830</v>
      </c>
      <c r="W93" s="2696"/>
      <c r="X93" s="2699" t="s">
        <v>831</v>
      </c>
      <c r="Y93" s="2696"/>
      <c r="Z93" s="2696"/>
      <c r="AA93" s="2696"/>
      <c r="AB93" s="2696"/>
      <c r="AC93" s="2696"/>
      <c r="AD93" s="2696"/>
      <c r="AE93" s="2696"/>
      <c r="AF93" s="2697"/>
      <c r="AG93" s="2697"/>
      <c r="AH93" s="2697"/>
      <c r="AI93" s="2697"/>
      <c r="AJ93" s="2697"/>
      <c r="AK93" s="2697"/>
      <c r="AL93" s="2697"/>
      <c r="AM93" s="2697"/>
      <c r="AN93" s="2712" t="s">
        <v>692</v>
      </c>
      <c r="AO93" s="2697"/>
      <c r="AP93" s="2697"/>
      <c r="AQ93" s="2712" t="s">
        <v>1489</v>
      </c>
      <c r="AR93" s="2714"/>
      <c r="AS93" s="2713"/>
      <c r="AT93" s="2713"/>
      <c r="AU93" s="2713"/>
      <c r="AV93" s="2713"/>
      <c r="AW93" s="2713"/>
      <c r="AX93" s="2713"/>
      <c r="AY93" s="2713"/>
      <c r="AZ93" s="2713"/>
      <c r="BA93" s="2714"/>
      <c r="BB93" s="2713"/>
      <c r="BC93" s="2713"/>
      <c r="BD93" s="3904"/>
      <c r="BE93" s="2713"/>
      <c r="BF93" s="2713"/>
      <c r="BG93" s="2713"/>
      <c r="BH93" s="2713"/>
      <c r="BI93" s="2713"/>
      <c r="BJ93" s="2713"/>
      <c r="BK93" s="2713"/>
      <c r="BL93" s="2713"/>
      <c r="BM93" s="2741" t="s">
        <v>3084</v>
      </c>
      <c r="BN93" s="2713"/>
      <c r="BO93" s="2713"/>
      <c r="BP93" s="2713"/>
      <c r="BQ93" s="2701">
        <v>1</v>
      </c>
      <c r="BR93" s="2702">
        <v>1</v>
      </c>
      <c r="BS93" s="2702">
        <v>1</v>
      </c>
      <c r="BT93" s="2702"/>
      <c r="BU93" s="2702">
        <v>1</v>
      </c>
      <c r="BV93" s="2702">
        <v>1</v>
      </c>
      <c r="BW93" s="2702">
        <v>1</v>
      </c>
      <c r="BX93" s="2702">
        <v>1</v>
      </c>
      <c r="BY93" s="2702"/>
      <c r="BZ93" s="2702"/>
      <c r="CA93" s="2702"/>
      <c r="CB93" s="2702"/>
      <c r="CC93" s="2702">
        <v>1</v>
      </c>
      <c r="CD93" s="2702">
        <v>1</v>
      </c>
    </row>
    <row r="94" spans="1:82" ht="28.8">
      <c r="A94" s="1085">
        <v>76</v>
      </c>
      <c r="B94" s="2694" t="s">
        <v>3296</v>
      </c>
      <c r="C94" s="4868" t="s">
        <v>2846</v>
      </c>
      <c r="D94" s="4860">
        <v>42109</v>
      </c>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7"/>
      <c r="AG94" s="2697"/>
      <c r="AH94" s="2697"/>
      <c r="AI94" s="2697"/>
      <c r="AJ94" s="2697"/>
      <c r="AK94" s="2697"/>
      <c r="AL94" s="2697"/>
      <c r="AM94" s="2724" t="s">
        <v>1491</v>
      </c>
      <c r="AN94" s="2712" t="s">
        <v>692</v>
      </c>
      <c r="AO94" s="2697"/>
      <c r="AP94" s="2739"/>
      <c r="AQ94" s="2724" t="s">
        <v>1492</v>
      </c>
      <c r="AR94" s="2716"/>
      <c r="AS94" s="2697"/>
      <c r="AT94" s="2697"/>
      <c r="AU94" s="2697"/>
      <c r="AV94" s="2697"/>
      <c r="AW94" s="2697"/>
      <c r="AX94" s="2697"/>
      <c r="AY94" s="2697"/>
      <c r="AZ94" s="2697"/>
      <c r="BA94" s="2716"/>
      <c r="BB94" s="2697"/>
      <c r="BC94" s="2697"/>
      <c r="BD94" s="3913"/>
      <c r="BE94" s="2697"/>
      <c r="BF94" s="2697"/>
      <c r="BG94" s="2697"/>
      <c r="BH94" s="2697"/>
      <c r="BI94" s="2697"/>
      <c r="BJ94" s="2697"/>
      <c r="BK94" s="2697"/>
      <c r="BL94" s="2697"/>
      <c r="BM94" s="2697"/>
      <c r="BN94" s="2697"/>
      <c r="BO94" s="2697"/>
      <c r="BP94" s="2697"/>
      <c r="BQ94" s="2701"/>
      <c r="BR94" s="2702"/>
      <c r="BS94" s="2702"/>
      <c r="BT94" s="2702"/>
      <c r="BU94" s="2702">
        <v>1</v>
      </c>
      <c r="BV94" s="2702">
        <v>1</v>
      </c>
      <c r="BW94" s="2702">
        <v>1</v>
      </c>
      <c r="BX94" s="2702">
        <v>1</v>
      </c>
      <c r="BY94" s="2702"/>
      <c r="BZ94" s="2702"/>
      <c r="CA94" s="2702"/>
      <c r="CB94" s="2702"/>
      <c r="CC94" s="2702"/>
      <c r="CD94" s="2702"/>
    </row>
    <row r="95" spans="1:82" ht="23.1" customHeight="1">
      <c r="A95" s="1085">
        <v>77</v>
      </c>
      <c r="B95" s="2694" t="s">
        <v>3297</v>
      </c>
      <c r="C95" s="4868" t="s">
        <v>2847</v>
      </c>
      <c r="D95" s="4860">
        <v>42352</v>
      </c>
      <c r="E95" s="2696"/>
      <c r="F95" s="2696"/>
      <c r="G95" s="2696"/>
      <c r="H95" s="2696"/>
      <c r="I95" s="2696"/>
      <c r="J95" s="2696"/>
      <c r="K95" s="2696"/>
      <c r="L95" s="2696"/>
      <c r="M95" s="2696"/>
      <c r="N95" s="2696"/>
      <c r="O95" s="2696"/>
      <c r="P95" s="2696"/>
      <c r="Q95" s="2696"/>
      <c r="R95" s="2696"/>
      <c r="S95" s="2696"/>
      <c r="T95" s="2696"/>
      <c r="U95" s="2696"/>
      <c r="V95" s="2696"/>
      <c r="W95" s="2696"/>
      <c r="X95" s="2696"/>
      <c r="Y95" s="2696"/>
      <c r="Z95" s="2696"/>
      <c r="AA95" s="2696"/>
      <c r="AB95" s="2696"/>
      <c r="AC95" s="2696"/>
      <c r="AD95" s="2696"/>
      <c r="AE95" s="2696"/>
      <c r="AF95" s="2697"/>
      <c r="AG95" s="2697"/>
      <c r="AH95" s="2697"/>
      <c r="AI95" s="2697"/>
      <c r="AJ95" s="2697"/>
      <c r="AK95" s="2697"/>
      <c r="AL95" s="2697"/>
      <c r="AM95" s="2697"/>
      <c r="AN95" s="2712" t="s">
        <v>692</v>
      </c>
      <c r="AO95" s="2696"/>
      <c r="AP95" s="2696"/>
      <c r="AQ95" s="2696"/>
      <c r="AR95" s="2740"/>
      <c r="AS95" s="2696"/>
      <c r="AT95" s="2696"/>
      <c r="AU95" s="2696"/>
      <c r="AV95" s="2696"/>
      <c r="AW95" s="2696"/>
      <c r="AX95" s="2696"/>
      <c r="AY95" s="2696"/>
      <c r="AZ95" s="2696"/>
      <c r="BA95" s="2740"/>
      <c r="BB95" s="2696"/>
      <c r="BC95" s="2696"/>
      <c r="BD95" s="3910"/>
      <c r="BE95" s="2696"/>
      <c r="BF95" s="2696"/>
      <c r="BG95" s="2696"/>
      <c r="BH95" s="2696"/>
      <c r="BI95" s="2696"/>
      <c r="BJ95" s="2696"/>
      <c r="BK95" s="2696"/>
      <c r="BL95" s="2696"/>
      <c r="BM95" s="2696"/>
      <c r="BN95" s="2741" t="s">
        <v>3293</v>
      </c>
      <c r="BO95" s="2696"/>
      <c r="BP95" s="2696"/>
      <c r="BQ95" s="2701"/>
      <c r="BR95" s="2702"/>
      <c r="BS95" s="2702"/>
      <c r="BT95" s="2702"/>
      <c r="BU95" s="2702">
        <v>1</v>
      </c>
      <c r="BV95" s="2702">
        <v>1</v>
      </c>
      <c r="BW95" s="2702">
        <v>1</v>
      </c>
      <c r="BX95" s="2702"/>
      <c r="BY95" s="2702"/>
      <c r="BZ95" s="2702"/>
      <c r="CA95" s="2702"/>
      <c r="CB95" s="2702"/>
      <c r="CC95" s="2702"/>
      <c r="CD95" s="2702">
        <v>1</v>
      </c>
    </row>
    <row r="96" spans="1:82" ht="23.1" customHeight="1">
      <c r="A96" s="1085">
        <v>78</v>
      </c>
      <c r="B96" s="2694" t="s">
        <v>832</v>
      </c>
      <c r="C96" s="4868" t="s">
        <v>2848</v>
      </c>
      <c r="D96" s="4860">
        <v>42537</v>
      </c>
      <c r="E96" s="2696"/>
      <c r="F96" s="2696"/>
      <c r="G96" s="2696"/>
      <c r="H96" s="2696"/>
      <c r="I96" s="2696"/>
      <c r="J96" s="2696"/>
      <c r="K96" s="2696"/>
      <c r="L96" s="2696"/>
      <c r="M96" s="2696"/>
      <c r="N96" s="2696"/>
      <c r="O96" s="2696"/>
      <c r="P96" s="2696"/>
      <c r="Q96" s="2696"/>
      <c r="R96" s="2696"/>
      <c r="S96" s="2696"/>
      <c r="T96" s="2696"/>
      <c r="U96" s="2696"/>
      <c r="V96" s="2696"/>
      <c r="W96" s="2696"/>
      <c r="X96" s="2696"/>
      <c r="Y96" s="2696"/>
      <c r="Z96" s="2695" t="s">
        <v>783</v>
      </c>
      <c r="AA96" s="2696"/>
      <c r="AB96" s="2696"/>
      <c r="AC96" s="2696"/>
      <c r="AD96" s="2696"/>
      <c r="AE96" s="2696"/>
      <c r="AF96" s="2697"/>
      <c r="AG96" s="2697"/>
      <c r="AH96" s="2697"/>
      <c r="AI96" s="2697"/>
      <c r="AJ96" s="2697"/>
      <c r="AK96" s="2697"/>
      <c r="AL96" s="2697"/>
      <c r="AM96" s="2697"/>
      <c r="AN96" s="2712" t="s">
        <v>692</v>
      </c>
      <c r="AO96" s="2697"/>
      <c r="AP96" s="2697"/>
      <c r="AQ96" s="2697"/>
      <c r="AR96" s="2716"/>
      <c r="AS96" s="2697"/>
      <c r="AT96" s="2712" t="s">
        <v>1697</v>
      </c>
      <c r="AU96" s="2697"/>
      <c r="AV96" s="2697"/>
      <c r="AW96" s="2697"/>
      <c r="AX96" s="2697"/>
      <c r="AY96" s="2697"/>
      <c r="AZ96" s="2697"/>
      <c r="BA96" s="2716"/>
      <c r="BB96" s="2697"/>
      <c r="BC96" s="2697"/>
      <c r="BD96" s="3913"/>
      <c r="BE96" s="2697"/>
      <c r="BF96" s="2697"/>
      <c r="BG96" s="2697"/>
      <c r="BH96" s="2697"/>
      <c r="BI96" s="2697"/>
      <c r="BJ96" s="2697"/>
      <c r="BK96" s="2697"/>
      <c r="BL96" s="2697"/>
      <c r="BM96" s="2697"/>
      <c r="BN96" s="2697"/>
      <c r="BO96" s="2697"/>
      <c r="BP96" s="2697"/>
      <c r="BQ96" s="2701">
        <v>1</v>
      </c>
      <c r="BR96" s="2702">
        <v>1</v>
      </c>
      <c r="BS96" s="2702">
        <v>1</v>
      </c>
      <c r="BT96" s="2702"/>
      <c r="BU96" s="2702">
        <v>1</v>
      </c>
      <c r="BV96" s="2702">
        <v>1</v>
      </c>
      <c r="BW96" s="2702">
        <v>1</v>
      </c>
      <c r="BX96" s="2702">
        <v>1</v>
      </c>
      <c r="BY96" s="2702">
        <v>1</v>
      </c>
      <c r="BZ96" s="2702"/>
      <c r="CA96" s="2702"/>
      <c r="CB96" s="2702"/>
      <c r="CC96" s="2702"/>
      <c r="CD96" s="2702"/>
    </row>
    <row r="97" spans="1:82" ht="23.1" customHeight="1">
      <c r="A97" s="1085">
        <v>79</v>
      </c>
      <c r="B97" s="2694" t="s">
        <v>833</v>
      </c>
      <c r="C97" s="4868" t="s">
        <v>2849</v>
      </c>
      <c r="D97" s="4860">
        <v>42657</v>
      </c>
      <c r="E97" s="2696"/>
      <c r="F97" s="2696"/>
      <c r="G97" s="2696"/>
      <c r="H97" s="2696"/>
      <c r="I97" s="2696"/>
      <c r="J97" s="2696"/>
      <c r="K97" s="2696"/>
      <c r="L97" s="2696"/>
      <c r="M97" s="2696"/>
      <c r="N97" s="2696"/>
      <c r="O97" s="2696"/>
      <c r="P97" s="2696"/>
      <c r="Q97" s="2696"/>
      <c r="R97" s="2696"/>
      <c r="S97" s="2696"/>
      <c r="T97" s="2696"/>
      <c r="U97" s="2699" t="s">
        <v>834</v>
      </c>
      <c r="V97" s="2703"/>
      <c r="W97" s="2696"/>
      <c r="X97" s="2696"/>
      <c r="Y97" s="2696"/>
      <c r="Z97" s="2696"/>
      <c r="AA97" s="2696"/>
      <c r="AB97" s="2696"/>
      <c r="AC97" s="2696"/>
      <c r="AD97" s="2696"/>
      <c r="AE97" s="2696"/>
      <c r="AF97" s="2697"/>
      <c r="AG97" s="2697"/>
      <c r="AH97" s="2697"/>
      <c r="AI97" s="2697"/>
      <c r="AJ97" s="2697"/>
      <c r="AK97" s="2697"/>
      <c r="AL97" s="2697"/>
      <c r="AM97" s="2697"/>
      <c r="AN97" s="2712" t="s">
        <v>692</v>
      </c>
      <c r="AO97" s="2697"/>
      <c r="AP97" s="2697"/>
      <c r="AQ97" s="2697"/>
      <c r="AR97" s="2716"/>
      <c r="AS97" s="2697"/>
      <c r="AT97" s="2697"/>
      <c r="AU97" s="2712" t="s">
        <v>1701</v>
      </c>
      <c r="AV97" s="2713"/>
      <c r="AW97" s="2713"/>
      <c r="AX97" s="2713"/>
      <c r="AY97" s="2713"/>
      <c r="AZ97" s="2713"/>
      <c r="BA97" s="2714"/>
      <c r="BB97" s="2713"/>
      <c r="BC97" s="2713"/>
      <c r="BD97" s="3904"/>
      <c r="BE97" s="2713"/>
      <c r="BF97" s="2713"/>
      <c r="BG97" s="2713"/>
      <c r="BH97" s="2713"/>
      <c r="BI97" s="2713"/>
      <c r="BJ97" s="2713"/>
      <c r="BK97" s="2713"/>
      <c r="BL97" s="2713"/>
      <c r="BM97" s="2713"/>
      <c r="BN97" s="2713"/>
      <c r="BO97" s="2713"/>
      <c r="BP97" s="2713"/>
      <c r="BQ97" s="2701">
        <v>1</v>
      </c>
      <c r="BR97" s="2702"/>
      <c r="BS97" s="2702"/>
      <c r="BT97" s="2702"/>
      <c r="BU97" s="2702">
        <v>1</v>
      </c>
      <c r="BV97" s="2702">
        <v>1</v>
      </c>
      <c r="BW97" s="2702">
        <v>1</v>
      </c>
      <c r="BX97" s="2702">
        <v>1</v>
      </c>
      <c r="BY97" s="2702">
        <v>1</v>
      </c>
      <c r="BZ97" s="2702">
        <v>1</v>
      </c>
      <c r="CA97" s="2702"/>
      <c r="CB97" s="2702"/>
      <c r="CC97" s="2702"/>
      <c r="CD97" s="2702"/>
    </row>
    <row r="98" spans="1:82" ht="14.4">
      <c r="A98" s="1085"/>
      <c r="B98" s="2732" t="s">
        <v>349</v>
      </c>
      <c r="C98" s="3349"/>
      <c r="D98" s="2733"/>
      <c r="E98" s="2734"/>
      <c r="F98" s="2734"/>
      <c r="G98" s="2734"/>
      <c r="H98" s="2734"/>
      <c r="I98" s="2734"/>
      <c r="J98" s="2734"/>
      <c r="K98" s="2734"/>
      <c r="L98" s="2734"/>
      <c r="M98" s="2734"/>
      <c r="N98" s="2734"/>
      <c r="O98" s="2734"/>
      <c r="P98" s="2734"/>
      <c r="Q98" s="2734"/>
      <c r="R98" s="2734"/>
      <c r="S98" s="2734"/>
      <c r="T98" s="2734"/>
      <c r="U98" s="2734"/>
      <c r="V98" s="2734"/>
      <c r="W98" s="2734"/>
      <c r="X98" s="2734"/>
      <c r="Y98" s="2734"/>
      <c r="Z98" s="2734"/>
      <c r="AA98" s="2734"/>
      <c r="AB98" s="2734"/>
      <c r="AC98" s="2734"/>
      <c r="AD98" s="2734"/>
      <c r="AE98" s="2734"/>
      <c r="AF98" s="2734"/>
      <c r="AG98" s="2734"/>
      <c r="AH98" s="2734"/>
      <c r="AI98" s="2734"/>
      <c r="AJ98" s="2734"/>
      <c r="AK98" s="2734"/>
      <c r="AL98" s="2735"/>
      <c r="AM98" s="2735"/>
      <c r="AN98" s="2735"/>
      <c r="AO98" s="2735"/>
      <c r="AP98" s="2735"/>
      <c r="AQ98" s="2735"/>
      <c r="AR98" s="2735"/>
      <c r="AS98" s="2735"/>
      <c r="AT98" s="2735"/>
      <c r="AU98" s="2735"/>
      <c r="AV98" s="2735"/>
      <c r="AW98" s="2735"/>
      <c r="AX98" s="2735"/>
      <c r="AY98" s="2735"/>
      <c r="AZ98" s="2735"/>
      <c r="BA98" s="2735"/>
      <c r="BB98" s="4853"/>
      <c r="BC98" s="2735"/>
      <c r="BD98" s="3915"/>
      <c r="BE98" s="3916"/>
      <c r="BF98" s="3916"/>
      <c r="BG98" s="3916"/>
      <c r="BH98" s="3916"/>
      <c r="BI98" s="3916"/>
      <c r="BJ98" s="3916"/>
      <c r="BK98" s="2735"/>
      <c r="BL98" s="2735"/>
      <c r="BM98" s="2735"/>
      <c r="BN98" s="2735"/>
      <c r="BO98" s="2735"/>
      <c r="BP98" s="2735"/>
      <c r="BQ98" s="2736"/>
      <c r="BR98" s="2736"/>
      <c r="BS98" s="2736"/>
      <c r="BT98" s="2736"/>
      <c r="BU98" s="2736"/>
      <c r="BV98" s="2736"/>
      <c r="BW98" s="2737"/>
      <c r="BX98" s="2737"/>
      <c r="BY98" s="2737"/>
      <c r="BZ98" s="2737"/>
      <c r="CA98" s="2737"/>
      <c r="CB98" s="2737"/>
      <c r="CC98" s="2737"/>
      <c r="CD98" s="2737"/>
    </row>
    <row r="99" spans="1:82" ht="23.1" customHeight="1">
      <c r="A99" s="1085">
        <v>80</v>
      </c>
      <c r="B99" s="2694" t="s">
        <v>772</v>
      </c>
      <c r="C99" s="4868" t="s">
        <v>2847</v>
      </c>
      <c r="D99" s="4860">
        <v>41990</v>
      </c>
      <c r="E99" s="2696"/>
      <c r="F99" s="2696"/>
      <c r="G99" s="2696"/>
      <c r="H99" s="2696"/>
      <c r="I99" s="2696"/>
      <c r="J99" s="2696"/>
      <c r="K99" s="2696"/>
      <c r="L99" s="2696"/>
      <c r="M99" s="2696"/>
      <c r="N99" s="2696"/>
      <c r="O99" s="2696"/>
      <c r="P99" s="2696"/>
      <c r="Q99" s="2696"/>
      <c r="R99" s="2696"/>
      <c r="S99" s="2696"/>
      <c r="T99" s="2696"/>
      <c r="U99" s="2696"/>
      <c r="V99" s="2696"/>
      <c r="W99" s="2696"/>
      <c r="X99" s="2696"/>
      <c r="Y99" s="2696"/>
      <c r="Z99" s="2696"/>
      <c r="AA99" s="2696"/>
      <c r="AB99" s="2696"/>
      <c r="AC99" s="2696"/>
      <c r="AD99" s="2696"/>
      <c r="AE99" s="2696"/>
      <c r="AF99" s="2697"/>
      <c r="AG99" s="2697"/>
      <c r="AH99" s="2697"/>
      <c r="AI99" s="2697"/>
      <c r="AJ99" s="2697"/>
      <c r="AK99" s="2695" t="s">
        <v>821</v>
      </c>
      <c r="AL99" s="2696"/>
      <c r="AM99" s="2696"/>
      <c r="AN99" s="2712" t="s">
        <v>692</v>
      </c>
      <c r="AO99" s="2696"/>
      <c r="AP99" s="2696"/>
      <c r="AQ99" s="2696"/>
      <c r="AR99" s="2740"/>
      <c r="AS99" s="2696"/>
      <c r="AT99" s="2696"/>
      <c r="AU99" s="2696"/>
      <c r="AV99" s="2696"/>
      <c r="AW99" s="2696"/>
      <c r="AX99" s="2696"/>
      <c r="AY99" s="2696"/>
      <c r="AZ99" s="2696"/>
      <c r="BA99" s="2740"/>
      <c r="BB99" s="2696"/>
      <c r="BC99" s="2696"/>
      <c r="BD99" s="3910"/>
      <c r="BE99" s="2696"/>
      <c r="BF99" s="2696"/>
      <c r="BG99" s="2696"/>
      <c r="BH99" s="2696"/>
      <c r="BI99" s="2696"/>
      <c r="BJ99" s="2696"/>
      <c r="BK99" s="2696"/>
      <c r="BL99" s="2696"/>
      <c r="BM99" s="2696"/>
      <c r="BN99" s="2696"/>
      <c r="BO99" s="2696"/>
      <c r="BP99" s="2696"/>
      <c r="BQ99" s="2701"/>
      <c r="BR99" s="2702"/>
      <c r="BS99" s="2702"/>
      <c r="BT99" s="2702">
        <v>1</v>
      </c>
      <c r="BU99" s="2702">
        <v>1</v>
      </c>
      <c r="BV99" s="2702">
        <v>1</v>
      </c>
      <c r="BW99" s="2702">
        <v>1</v>
      </c>
      <c r="BX99" s="2702"/>
      <c r="BY99" s="2702"/>
      <c r="BZ99" s="2702"/>
      <c r="CA99" s="2702"/>
      <c r="CB99" s="2702"/>
      <c r="CC99" s="2702"/>
      <c r="CD99" s="2702"/>
    </row>
    <row r="100" spans="1:82" ht="28.8">
      <c r="A100" s="1085">
        <v>81</v>
      </c>
      <c r="B100" s="2694" t="s">
        <v>774</v>
      </c>
      <c r="C100" s="4868" t="s">
        <v>2850</v>
      </c>
      <c r="D100" s="4860">
        <v>42062</v>
      </c>
      <c r="E100" s="2696"/>
      <c r="F100" s="2696"/>
      <c r="G100" s="2696"/>
      <c r="H100" s="2696"/>
      <c r="I100" s="2696"/>
      <c r="J100" s="2696"/>
      <c r="K100" s="2696"/>
      <c r="L100" s="2696"/>
      <c r="M100" s="2696"/>
      <c r="N100" s="2696"/>
      <c r="O100" s="2696"/>
      <c r="P100" s="2696"/>
      <c r="Q100" s="2696"/>
      <c r="R100" s="2696"/>
      <c r="S100" s="2696"/>
      <c r="T100" s="2696"/>
      <c r="U100" s="2696"/>
      <c r="V100" s="2696"/>
      <c r="W100" s="2696"/>
      <c r="X100" s="2696"/>
      <c r="Y100" s="2696"/>
      <c r="Z100" s="2696"/>
      <c r="AA100" s="2696"/>
      <c r="AB100" s="2696"/>
      <c r="AC100" s="2696"/>
      <c r="AD100" s="2696"/>
      <c r="AE100" s="2696"/>
      <c r="AF100" s="2697"/>
      <c r="AG100" s="2697"/>
      <c r="AH100" s="2697"/>
      <c r="AI100" s="2697"/>
      <c r="AJ100" s="2697"/>
      <c r="AK100" s="2697"/>
      <c r="AL100" s="2697"/>
      <c r="AM100" s="2697"/>
      <c r="AN100" s="2697"/>
      <c r="AO100" s="2697"/>
      <c r="AP100" s="2712" t="s">
        <v>1488</v>
      </c>
      <c r="AQ100" s="2713"/>
      <c r="AR100" s="2714"/>
      <c r="AS100" s="2713"/>
      <c r="AT100" s="2713"/>
      <c r="AU100" s="2713"/>
      <c r="AV100" s="2713"/>
      <c r="AW100" s="2713"/>
      <c r="AX100" s="2713"/>
      <c r="AY100" s="2713"/>
      <c r="AZ100" s="2713"/>
      <c r="BA100" s="2714"/>
      <c r="BB100" s="2713"/>
      <c r="BC100" s="2713"/>
      <c r="BD100" s="3904"/>
      <c r="BE100" s="2713"/>
      <c r="BF100" s="2713"/>
      <c r="BG100" s="2713"/>
      <c r="BH100" s="2713"/>
      <c r="BI100" s="2713"/>
      <c r="BJ100" s="2713"/>
      <c r="BK100" s="2713"/>
      <c r="BL100" s="2713"/>
      <c r="BM100" s="2713"/>
      <c r="BN100" s="2713"/>
      <c r="BO100" s="2713"/>
      <c r="BP100" s="2713"/>
      <c r="BQ100" s="2701"/>
      <c r="BR100" s="2702"/>
      <c r="BS100" s="2702"/>
      <c r="BT100" s="2702"/>
      <c r="BU100" s="2702"/>
      <c r="BV100" s="2702">
        <v>1</v>
      </c>
      <c r="BW100" s="2702">
        <v>1</v>
      </c>
      <c r="BX100" s="2702">
        <v>1</v>
      </c>
      <c r="BY100" s="2702"/>
      <c r="BZ100" s="2702"/>
      <c r="CA100" s="2702"/>
      <c r="CB100" s="2702"/>
      <c r="CC100" s="2702"/>
      <c r="CD100" s="2702"/>
    </row>
    <row r="101" spans="1:82" ht="23.1" customHeight="1">
      <c r="A101" s="1085">
        <v>82</v>
      </c>
      <c r="B101" s="2694" t="s">
        <v>3298</v>
      </c>
      <c r="C101" s="4868" t="s">
        <v>2144</v>
      </c>
      <c r="D101" s="4860">
        <v>43159</v>
      </c>
      <c r="E101" s="2696"/>
      <c r="F101" s="2696"/>
      <c r="G101" s="2696"/>
      <c r="H101" s="2696"/>
      <c r="I101" s="2696"/>
      <c r="J101" s="2696"/>
      <c r="K101" s="2696"/>
      <c r="L101" s="2696"/>
      <c r="M101" s="2696"/>
      <c r="N101" s="2696"/>
      <c r="O101" s="2696"/>
      <c r="P101" s="2696"/>
      <c r="Q101" s="2696"/>
      <c r="R101" s="2696"/>
      <c r="S101" s="2696"/>
      <c r="T101" s="2696"/>
      <c r="U101" s="2696"/>
      <c r="V101" s="2696"/>
      <c r="W101" s="2696"/>
      <c r="X101" s="2696"/>
      <c r="Y101" s="2696"/>
      <c r="Z101" s="2696"/>
      <c r="AA101" s="2696"/>
      <c r="AB101" s="2696"/>
      <c r="AC101" s="2696"/>
      <c r="AD101" s="2696"/>
      <c r="AE101" s="2696"/>
      <c r="AF101" s="2697"/>
      <c r="AG101" s="2697"/>
      <c r="AH101" s="2697"/>
      <c r="AI101" s="2697"/>
      <c r="AJ101" s="2697"/>
      <c r="AK101" s="2697"/>
      <c r="AL101" s="2697"/>
      <c r="AM101" s="2697"/>
      <c r="AN101" s="2697"/>
      <c r="AO101" s="2697"/>
      <c r="AP101" s="2697"/>
      <c r="AQ101" s="2697"/>
      <c r="AR101" s="2716"/>
      <c r="AS101" s="2697"/>
      <c r="AT101" s="2697"/>
      <c r="AU101" s="2697"/>
      <c r="AV101" s="2697"/>
      <c r="AW101" s="2697"/>
      <c r="AX101" s="2697"/>
      <c r="AY101" s="2724" t="s">
        <v>2356</v>
      </c>
      <c r="AZ101" s="2697"/>
      <c r="BA101" s="2716"/>
      <c r="BB101" s="2697"/>
      <c r="BC101" s="2697"/>
      <c r="BD101" s="3913"/>
      <c r="BE101" s="2697"/>
      <c r="BF101" s="2697"/>
      <c r="BG101" s="2697"/>
      <c r="BH101" s="2697"/>
      <c r="BI101" s="2697"/>
      <c r="BJ101" s="2697"/>
      <c r="BK101" s="2697"/>
      <c r="BL101" s="2697"/>
      <c r="BM101" s="2697"/>
      <c r="BN101" s="2697"/>
      <c r="BO101" s="2697"/>
      <c r="BP101" s="2697"/>
      <c r="BQ101" s="2701"/>
      <c r="BR101" s="2702"/>
      <c r="BS101" s="2702"/>
      <c r="BT101" s="2702"/>
      <c r="BU101" s="2702"/>
      <c r="BV101" s="2702"/>
      <c r="BW101" s="2702"/>
      <c r="BX101" s="2702"/>
      <c r="BY101" s="2702">
        <v>1</v>
      </c>
      <c r="BZ101" s="2702">
        <v>1</v>
      </c>
      <c r="CA101" s="2702">
        <v>1</v>
      </c>
      <c r="CB101" s="2702"/>
      <c r="CC101" s="2702"/>
      <c r="CD101" s="2702"/>
    </row>
    <row r="102" spans="1:82" ht="23.1" customHeight="1">
      <c r="A102" s="1085">
        <v>83</v>
      </c>
      <c r="B102" s="2694" t="s">
        <v>3299</v>
      </c>
      <c r="C102" s="4868" t="s">
        <v>2144</v>
      </c>
      <c r="D102" s="4860">
        <v>43258</v>
      </c>
      <c r="E102" s="2696"/>
      <c r="F102" s="2696"/>
      <c r="G102" s="2696"/>
      <c r="H102" s="2696"/>
      <c r="I102" s="2696"/>
      <c r="J102" s="2696"/>
      <c r="K102" s="2696"/>
      <c r="L102" s="2696"/>
      <c r="M102" s="2696"/>
      <c r="N102" s="2696"/>
      <c r="O102" s="2696"/>
      <c r="P102" s="2696"/>
      <c r="Q102" s="2696"/>
      <c r="R102" s="2696"/>
      <c r="S102" s="2696"/>
      <c r="T102" s="2696"/>
      <c r="U102" s="2696"/>
      <c r="V102" s="2696"/>
      <c r="W102" s="2696"/>
      <c r="X102" s="2696"/>
      <c r="Y102" s="2696"/>
      <c r="Z102" s="2696"/>
      <c r="AA102" s="2696"/>
      <c r="AB102" s="2696"/>
      <c r="AC102" s="2696"/>
      <c r="AD102" s="2696"/>
      <c r="AE102" s="2696"/>
      <c r="AF102" s="2697"/>
      <c r="AG102" s="2697"/>
      <c r="AH102" s="2697"/>
      <c r="AI102" s="2697"/>
      <c r="AJ102" s="2697"/>
      <c r="AK102" s="2697"/>
      <c r="AL102" s="2697"/>
      <c r="AM102" s="2697"/>
      <c r="AN102" s="2697"/>
      <c r="AO102" s="2697"/>
      <c r="AP102" s="2697"/>
      <c r="AQ102" s="2697"/>
      <c r="AR102" s="2716"/>
      <c r="AS102" s="2697"/>
      <c r="AT102" s="2697"/>
      <c r="AU102" s="2697"/>
      <c r="AV102" s="2697"/>
      <c r="AW102" s="2697"/>
      <c r="AX102" s="2697"/>
      <c r="AY102" s="2697"/>
      <c r="AZ102" s="2741" t="s">
        <v>2354</v>
      </c>
      <c r="BA102" s="2716"/>
      <c r="BB102" s="2697"/>
      <c r="BC102" s="2697"/>
      <c r="BD102" s="3913"/>
      <c r="BE102" s="2697"/>
      <c r="BF102" s="2697"/>
      <c r="BG102" s="2697"/>
      <c r="BH102" s="2697"/>
      <c r="BI102" s="2697"/>
      <c r="BJ102" s="2697"/>
      <c r="BK102" s="2697"/>
      <c r="BL102" s="2697"/>
      <c r="BM102" s="2697"/>
      <c r="BN102" s="2697"/>
      <c r="BO102" s="2697"/>
      <c r="BP102" s="2697"/>
      <c r="BQ102" s="2701"/>
      <c r="BR102" s="2702"/>
      <c r="BS102" s="2702"/>
      <c r="BT102" s="2702"/>
      <c r="BU102" s="2702"/>
      <c r="BV102" s="2702"/>
      <c r="BW102" s="2702"/>
      <c r="BX102" s="2702"/>
      <c r="BY102" s="2702">
        <v>1</v>
      </c>
      <c r="BZ102" s="2702">
        <v>1</v>
      </c>
      <c r="CA102" s="2702">
        <v>1</v>
      </c>
      <c r="CB102" s="2702"/>
      <c r="CC102" s="2702"/>
      <c r="CD102" s="2702"/>
    </row>
    <row r="103" spans="1:82" ht="15" customHeight="1">
      <c r="B103" s="1734" t="s">
        <v>2878</v>
      </c>
      <c r="C103" s="1735"/>
      <c r="D103" s="4206"/>
      <c r="E103" s="199"/>
      <c r="F103" s="199"/>
      <c r="G103" s="199"/>
      <c r="H103" s="199"/>
      <c r="I103" s="199"/>
      <c r="J103" s="199"/>
      <c r="K103" s="199"/>
      <c r="L103" s="199"/>
      <c r="M103" s="199"/>
      <c r="N103" s="199"/>
      <c r="O103" s="199"/>
      <c r="P103" s="199"/>
      <c r="Q103" s="199"/>
      <c r="R103" s="199"/>
      <c r="S103" s="199"/>
      <c r="T103" s="199"/>
      <c r="U103" s="199"/>
      <c r="V103" s="199"/>
      <c r="W103" s="201"/>
      <c r="X103" s="199"/>
      <c r="Y103" s="199"/>
      <c r="Z103" s="201"/>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3335">
        <f>SUM(BQ6:BQ79)</f>
        <v>40</v>
      </c>
      <c r="BR103" s="3335">
        <f>SUM(BR6:BR79)</f>
        <v>42</v>
      </c>
      <c r="BS103" s="3335">
        <f t="shared" ref="BS103:BX103" si="0">SUM(BS6:BS80)</f>
        <v>52</v>
      </c>
      <c r="BT103" s="3335">
        <f t="shared" si="0"/>
        <v>55</v>
      </c>
      <c r="BU103" s="3335">
        <f t="shared" si="0"/>
        <v>55</v>
      </c>
      <c r="BV103" s="3336">
        <f t="shared" si="0"/>
        <v>51</v>
      </c>
      <c r="BW103" s="3337">
        <f t="shared" si="0"/>
        <v>56</v>
      </c>
      <c r="BX103" s="3337">
        <f t="shared" si="0"/>
        <v>39</v>
      </c>
      <c r="BY103" s="3337">
        <f t="shared" ref="BY103:CD103" si="1">SUM(BY6:BY102)</f>
        <v>31</v>
      </c>
      <c r="BZ103" s="3337">
        <f t="shared" si="1"/>
        <v>29</v>
      </c>
      <c r="CA103" s="3337">
        <f t="shared" si="1"/>
        <v>27</v>
      </c>
      <c r="CB103" s="3337">
        <f t="shared" si="1"/>
        <v>24</v>
      </c>
      <c r="CC103" s="5938">
        <f t="shared" si="1"/>
        <v>18</v>
      </c>
      <c r="CD103" s="6429">
        <f t="shared" si="1"/>
        <v>17</v>
      </c>
    </row>
    <row r="104" spans="1:82" ht="14.4">
      <c r="B104" s="1734"/>
      <c r="C104" s="4206"/>
      <c r="D104" s="4206"/>
      <c r="E104" s="199"/>
      <c r="F104" s="199"/>
      <c r="G104" s="199"/>
      <c r="H104" s="199"/>
      <c r="I104" s="199"/>
      <c r="J104" s="199"/>
      <c r="K104" s="199"/>
      <c r="L104" s="199"/>
      <c r="M104" s="199"/>
      <c r="N104" s="199"/>
      <c r="O104" s="199"/>
      <c r="P104" s="199"/>
      <c r="Q104" s="199"/>
      <c r="R104" s="199"/>
      <c r="S104" s="199"/>
      <c r="T104" s="199"/>
      <c r="U104" s="199"/>
      <c r="V104" s="199"/>
      <c r="W104" s="201"/>
      <c r="X104" s="197"/>
      <c r="Y104" s="197"/>
      <c r="Z104" s="197"/>
      <c r="AA104" s="197"/>
      <c r="AB104" s="197"/>
      <c r="AC104" s="197"/>
      <c r="AD104" s="197"/>
      <c r="AE104" s="197"/>
      <c r="AF104" s="197"/>
      <c r="AG104" s="197"/>
      <c r="AH104" s="199"/>
      <c r="AI104" s="199"/>
      <c r="AJ104" s="197"/>
      <c r="AK104" s="197"/>
      <c r="AL104" s="197"/>
      <c r="AM104" s="197"/>
      <c r="AN104" s="197"/>
      <c r="AO104" s="197"/>
      <c r="AP104" s="197"/>
      <c r="AQ104" s="197"/>
      <c r="AR104" s="197"/>
      <c r="AS104" s="197"/>
      <c r="AT104" s="199"/>
      <c r="AU104" s="199"/>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6"/>
      <c r="BR104" s="196"/>
      <c r="BS104" s="196"/>
      <c r="BT104" s="196"/>
    </row>
    <row r="105" spans="1:82" ht="14.4">
      <c r="B105" s="1734"/>
      <c r="C105" s="4206"/>
      <c r="D105" s="4206"/>
      <c r="E105" s="199"/>
      <c r="F105" s="199"/>
      <c r="G105" s="199"/>
      <c r="H105" s="199"/>
      <c r="I105" s="199"/>
      <c r="J105" s="199"/>
      <c r="K105" s="199"/>
      <c r="L105" s="199"/>
      <c r="M105" s="199"/>
      <c r="N105" s="199"/>
      <c r="O105" s="199"/>
      <c r="P105" s="199"/>
      <c r="Q105" s="199"/>
      <c r="R105" s="199"/>
      <c r="S105" s="199"/>
      <c r="T105" s="199"/>
      <c r="U105" s="199"/>
      <c r="V105" s="199"/>
      <c r="W105" s="198"/>
      <c r="X105" s="197"/>
      <c r="Y105" s="197"/>
      <c r="Z105" s="198"/>
      <c r="AA105" s="197"/>
      <c r="AB105" s="197"/>
      <c r="AC105" s="197"/>
      <c r="AD105" s="197"/>
      <c r="AE105" s="197"/>
      <c r="AH105" s="199"/>
      <c r="AI105" s="199"/>
      <c r="AL105" s="197"/>
      <c r="AR105" s="197"/>
      <c r="AS105" s="197"/>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3341">
        <f>BQ103/72</f>
        <v>0.55555555555555558</v>
      </c>
      <c r="BR105" s="3341">
        <f>BR103/75</f>
        <v>0.56000000000000005</v>
      </c>
      <c r="BS105" s="3341">
        <f>BS103/76</f>
        <v>0.68421052631578949</v>
      </c>
      <c r="BT105" s="3341">
        <f>BT103/76</f>
        <v>0.72368421052631582</v>
      </c>
      <c r="BU105" s="3341">
        <f>BU103/76</f>
        <v>0.72368421052631582</v>
      </c>
      <c r="BV105" s="3341">
        <f>BV103/76</f>
        <v>0.67105263157894735</v>
      </c>
      <c r="BW105" s="3342">
        <f>BW103/77</f>
        <v>0.72727272727272729</v>
      </c>
      <c r="BX105" s="3343">
        <f>BX103/79</f>
        <v>0.49367088607594939</v>
      </c>
      <c r="BY105" s="3343">
        <f>BY103/82</f>
        <v>0.37804878048780488</v>
      </c>
      <c r="BZ105" s="3343">
        <f>BZ103/82</f>
        <v>0.35365853658536583</v>
      </c>
      <c r="CA105" s="3343">
        <f>CA103/82</f>
        <v>0.32926829268292684</v>
      </c>
      <c r="CB105" s="3343">
        <f>CB103/82</f>
        <v>0.29268292682926828</v>
      </c>
      <c r="CC105" s="5937">
        <f>CC103/82</f>
        <v>0.21951219512195122</v>
      </c>
      <c r="CD105" s="6433">
        <f t="shared" ref="CD105" si="2">CD103/82</f>
        <v>0.2073170731707317</v>
      </c>
    </row>
    <row r="106" spans="1:82" ht="14.4">
      <c r="B106" s="1734"/>
      <c r="C106" s="4206"/>
      <c r="D106" s="4206"/>
      <c r="E106" s="4206"/>
      <c r="F106" s="4206"/>
      <c r="G106" s="4206"/>
      <c r="H106" s="4206"/>
      <c r="I106" s="4206"/>
      <c r="J106" s="4206"/>
      <c r="K106" s="4206"/>
      <c r="L106" s="4206"/>
      <c r="M106" s="4206"/>
      <c r="N106" s="4206"/>
      <c r="O106" s="4206"/>
      <c r="P106" s="4206"/>
      <c r="Q106" s="4206"/>
      <c r="R106" s="4206"/>
      <c r="S106" s="4206"/>
      <c r="T106" s="4206"/>
      <c r="U106" s="4206"/>
      <c r="V106" s="4206"/>
      <c r="W106" s="4206"/>
      <c r="X106" s="4206"/>
      <c r="Y106" s="4206"/>
      <c r="Z106" s="4206"/>
      <c r="AA106" s="4206"/>
      <c r="AB106" s="4206"/>
      <c r="AC106" s="4206"/>
      <c r="AD106" s="4206"/>
      <c r="AE106" s="4206"/>
      <c r="AF106" s="4206"/>
      <c r="AG106" s="4206"/>
      <c r="AH106" s="4206"/>
      <c r="AI106" s="4206"/>
      <c r="AJ106" s="4206"/>
      <c r="AK106" s="4206"/>
      <c r="AL106" s="4206"/>
      <c r="AM106" s="4206"/>
      <c r="AN106" s="4206"/>
      <c r="AO106" s="4206"/>
      <c r="AP106" s="4206"/>
      <c r="AQ106" s="4206"/>
      <c r="AR106" s="4206"/>
      <c r="AS106" s="4206"/>
      <c r="AT106" s="4206"/>
      <c r="AU106" s="4206"/>
      <c r="AV106" s="4206"/>
      <c r="AW106" s="4206"/>
      <c r="AX106" s="4206"/>
      <c r="AY106" s="4206"/>
      <c r="AZ106" s="4206"/>
      <c r="BA106" s="205"/>
      <c r="BB106" s="205"/>
      <c r="BC106" s="205"/>
      <c r="BD106" s="205"/>
      <c r="BE106" s="205"/>
      <c r="BF106" s="205"/>
      <c r="BG106" s="205"/>
      <c r="BH106" s="205"/>
      <c r="BI106" s="205"/>
      <c r="BJ106" s="205"/>
      <c r="BK106" s="205"/>
      <c r="BL106" s="205"/>
      <c r="BM106" s="205"/>
      <c r="BN106" s="205"/>
      <c r="BO106" s="205"/>
      <c r="BP106" s="205"/>
      <c r="BW106" s="1078"/>
      <c r="BX106" s="5636"/>
      <c r="BY106" s="5636"/>
      <c r="BZ106" s="5636"/>
      <c r="CA106" s="5636"/>
      <c r="CB106" s="6037"/>
      <c r="CC106" s="5636"/>
      <c r="CD106" s="5637" t="s">
        <v>3284</v>
      </c>
    </row>
    <row r="107" spans="1:82" ht="14.4">
      <c r="B107" s="202" t="s">
        <v>496</v>
      </c>
      <c r="C107" s="4206"/>
      <c r="D107" s="4206"/>
      <c r="E107" s="199"/>
      <c r="F107" s="199"/>
      <c r="G107" s="199"/>
      <c r="H107" s="199"/>
      <c r="I107" s="199"/>
      <c r="J107" s="199"/>
      <c r="K107" s="199"/>
      <c r="L107" s="199"/>
      <c r="M107" s="199"/>
      <c r="N107" s="199"/>
      <c r="O107" s="199"/>
      <c r="P107" s="199"/>
      <c r="Q107" s="199"/>
      <c r="R107" s="199"/>
      <c r="S107" s="199"/>
      <c r="T107" s="199"/>
      <c r="U107" s="199"/>
      <c r="V107" s="199"/>
      <c r="W107" s="198"/>
      <c r="X107" s="199"/>
      <c r="Y107" s="199"/>
      <c r="Z107" s="201"/>
      <c r="AA107" s="199"/>
      <c r="AB107" s="199"/>
      <c r="AC107" s="199"/>
      <c r="AD107" s="199"/>
      <c r="AE107" s="199"/>
      <c r="AF107" s="199"/>
      <c r="AG107" s="199"/>
      <c r="AH107" s="199"/>
      <c r="AI107" s="199"/>
      <c r="AJ107" s="199"/>
      <c r="AK107" s="199"/>
      <c r="AL107" s="197"/>
      <c r="AM107" s="199"/>
      <c r="AN107" s="199"/>
      <c r="AO107" s="199"/>
      <c r="AP107" s="199"/>
      <c r="AQ107" s="199"/>
      <c r="AR107" s="197"/>
      <c r="AS107" s="197"/>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6"/>
      <c r="BR107" s="196"/>
      <c r="BS107" s="196"/>
      <c r="BT107" s="196"/>
    </row>
    <row r="108" spans="1:82" ht="14.4">
      <c r="B108" s="203" t="s">
        <v>209</v>
      </c>
      <c r="C108" s="4206"/>
      <c r="D108" s="4206"/>
      <c r="E108" s="199"/>
      <c r="F108" s="199"/>
      <c r="G108" s="199"/>
      <c r="H108" s="199"/>
      <c r="I108" s="199"/>
      <c r="J108" s="199"/>
      <c r="K108" s="199"/>
      <c r="L108" s="199"/>
      <c r="M108" s="199"/>
      <c r="N108" s="199"/>
      <c r="O108" s="199"/>
      <c r="P108" s="199"/>
      <c r="Q108" s="199"/>
      <c r="R108" s="199"/>
      <c r="S108" s="199"/>
      <c r="T108" s="199"/>
      <c r="U108" s="199"/>
      <c r="V108" s="199"/>
      <c r="W108" s="201"/>
      <c r="X108" s="199"/>
      <c r="Y108" s="199"/>
      <c r="Z108" s="201"/>
      <c r="AA108" s="199"/>
      <c r="AB108" s="199"/>
      <c r="AC108" s="199"/>
      <c r="AD108" s="199"/>
      <c r="AE108" s="199"/>
      <c r="AF108" s="199"/>
      <c r="AG108" s="199"/>
      <c r="AH108" s="199"/>
      <c r="AI108" s="199"/>
      <c r="AJ108" s="199"/>
      <c r="AK108" s="199"/>
      <c r="AL108" s="197"/>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6"/>
      <c r="BR108" s="196"/>
      <c r="BS108" s="196"/>
      <c r="BT108" s="196"/>
      <c r="BU108" s="196"/>
      <c r="BV108" s="196"/>
      <c r="BW108" s="196"/>
      <c r="CC108" s="6549" t="s">
        <v>3335</v>
      </c>
      <c r="CD108" s="1079">
        <v>19</v>
      </c>
    </row>
    <row r="109" spans="1:82" ht="14.4">
      <c r="B109" s="204" t="s">
        <v>210</v>
      </c>
      <c r="C109" s="4206"/>
      <c r="D109" s="4206"/>
      <c r="E109" s="199"/>
      <c r="F109" s="199"/>
      <c r="G109" s="199"/>
      <c r="H109" s="199"/>
      <c r="I109" s="199"/>
      <c r="J109" s="199"/>
      <c r="K109" s="199"/>
      <c r="L109" s="199"/>
      <c r="M109" s="199"/>
      <c r="N109" s="199"/>
      <c r="O109" s="199"/>
      <c r="P109" s="199"/>
      <c r="Q109" s="199"/>
      <c r="R109" s="199"/>
      <c r="S109" s="199"/>
      <c r="T109" s="199"/>
      <c r="U109" s="199"/>
      <c r="V109" s="199"/>
      <c r="W109" s="201"/>
      <c r="X109" s="199"/>
      <c r="Y109" s="199"/>
      <c r="Z109" s="201"/>
      <c r="AA109" s="199"/>
      <c r="AB109" s="199"/>
      <c r="AC109" s="199"/>
      <c r="AD109" s="199"/>
      <c r="AE109" s="199"/>
      <c r="AF109" s="199"/>
      <c r="AG109" s="199"/>
      <c r="AH109" s="199"/>
      <c r="AI109" s="199"/>
      <c r="AJ109" s="199"/>
      <c r="AK109" s="199"/>
      <c r="AL109" s="197"/>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6"/>
      <c r="BR109" s="196"/>
      <c r="BS109" s="196"/>
      <c r="BT109" s="196"/>
      <c r="BU109" s="196"/>
      <c r="BV109" s="196"/>
      <c r="BW109" s="196"/>
    </row>
    <row r="110" spans="1:82" ht="14.4">
      <c r="B110" s="206" t="s">
        <v>211</v>
      </c>
      <c r="C110" s="4206"/>
      <c r="D110" s="4206"/>
      <c r="E110" s="199"/>
      <c r="F110" s="199"/>
      <c r="G110" s="199"/>
      <c r="H110" s="199"/>
      <c r="I110" s="199"/>
      <c r="J110" s="199"/>
      <c r="K110" s="199"/>
      <c r="L110" s="199"/>
      <c r="M110" s="199"/>
      <c r="N110" s="199"/>
      <c r="O110" s="199"/>
      <c r="P110" s="199"/>
      <c r="Q110" s="199"/>
      <c r="R110" s="199"/>
      <c r="S110" s="199"/>
      <c r="T110" s="199"/>
      <c r="U110" s="199"/>
      <c r="V110" s="199"/>
      <c r="W110" s="201"/>
      <c r="X110" s="199"/>
      <c r="Y110" s="199"/>
      <c r="Z110" s="201"/>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6"/>
      <c r="BR110" s="196"/>
      <c r="BS110" s="196"/>
      <c r="BT110" s="196"/>
    </row>
    <row r="111" spans="1:82" ht="14.4">
      <c r="B111" s="207" t="s">
        <v>866</v>
      </c>
      <c r="C111" s="4206"/>
      <c r="D111" s="4206"/>
      <c r="E111" s="199"/>
      <c r="F111" s="199"/>
      <c r="G111" s="199"/>
      <c r="H111" s="199"/>
      <c r="I111" s="199"/>
      <c r="J111" s="199"/>
      <c r="K111" s="199"/>
      <c r="L111" s="199"/>
      <c r="M111" s="199"/>
      <c r="N111" s="199"/>
      <c r="O111" s="199"/>
      <c r="P111" s="199"/>
      <c r="Q111" s="199"/>
      <c r="R111" s="199"/>
      <c r="S111" s="199"/>
      <c r="T111" s="199"/>
      <c r="U111" s="199"/>
      <c r="V111" s="199"/>
      <c r="W111" s="201"/>
      <c r="X111" s="199"/>
      <c r="Y111" s="199"/>
      <c r="Z111" s="201"/>
      <c r="AA111" s="199"/>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6"/>
      <c r="BR111" s="196"/>
      <c r="BS111" s="196"/>
      <c r="BT111" s="196"/>
    </row>
    <row r="112" spans="1:82" ht="14.4">
      <c r="B112" s="6062" t="s">
        <v>867</v>
      </c>
      <c r="C112" s="4206"/>
      <c r="D112" s="4206"/>
      <c r="E112" s="199"/>
      <c r="F112" s="199"/>
      <c r="G112" s="199"/>
      <c r="H112" s="199"/>
      <c r="I112" s="199"/>
      <c r="J112" s="199"/>
      <c r="K112" s="199"/>
      <c r="L112" s="199"/>
      <c r="M112" s="199"/>
      <c r="N112" s="199"/>
      <c r="O112" s="199"/>
      <c r="P112" s="199"/>
      <c r="Q112" s="199"/>
      <c r="R112" s="199"/>
      <c r="S112" s="199"/>
      <c r="T112" s="199"/>
      <c r="U112" s="199"/>
      <c r="V112" s="199"/>
      <c r="W112" s="201"/>
      <c r="X112" s="197"/>
      <c r="Y112" s="197"/>
      <c r="Z112" s="198"/>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6"/>
      <c r="BR112" s="196"/>
      <c r="BS112" s="196"/>
      <c r="BT112" s="196"/>
    </row>
    <row r="113" spans="2:72" ht="14.4">
      <c r="B113" s="199" t="s">
        <v>495</v>
      </c>
      <c r="C113" s="196"/>
      <c r="D113" s="196"/>
      <c r="E113" s="197"/>
      <c r="F113" s="197"/>
      <c r="G113" s="197"/>
      <c r="H113" s="197"/>
      <c r="I113" s="197"/>
      <c r="J113" s="197"/>
      <c r="K113" s="197"/>
      <c r="L113" s="197"/>
      <c r="M113" s="197"/>
      <c r="N113" s="197"/>
      <c r="O113" s="197"/>
      <c r="P113" s="197"/>
      <c r="Q113" s="197"/>
      <c r="R113" s="197"/>
      <c r="S113" s="197"/>
      <c r="T113" s="197"/>
      <c r="U113" s="197"/>
      <c r="V113" s="197"/>
      <c r="W113" s="198"/>
      <c r="X113" s="197"/>
      <c r="Y113" s="197"/>
      <c r="Z113" s="198"/>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6"/>
      <c r="BR113" s="196"/>
      <c r="BS113" s="196"/>
      <c r="BT113" s="196"/>
    </row>
    <row r="114" spans="2:72" ht="14.4">
      <c r="B114" s="1086"/>
      <c r="C114" s="1087"/>
      <c r="D114" s="1087"/>
      <c r="E114" s="197"/>
      <c r="F114" s="197"/>
      <c r="G114" s="197"/>
      <c r="H114" s="197"/>
      <c r="I114" s="197"/>
      <c r="J114" s="197"/>
      <c r="K114" s="197"/>
      <c r="L114" s="197"/>
      <c r="M114" s="197"/>
      <c r="N114" s="197"/>
      <c r="O114" s="197"/>
      <c r="P114" s="197"/>
      <c r="Q114" s="197"/>
      <c r="R114" s="197"/>
      <c r="S114" s="197"/>
      <c r="T114" s="197"/>
      <c r="U114" s="197"/>
      <c r="V114" s="197"/>
      <c r="W114" s="198"/>
      <c r="X114" s="197"/>
      <c r="Y114" s="197"/>
      <c r="Z114" s="198"/>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c r="AU114" s="197"/>
      <c r="AV114" s="197"/>
      <c r="AW114" s="197"/>
      <c r="AX114" s="197"/>
      <c r="AY114" s="197"/>
      <c r="AZ114" s="197"/>
      <c r="BA114" s="197"/>
      <c r="BB114" s="197"/>
      <c r="BC114" s="197"/>
      <c r="BD114" s="197"/>
      <c r="BE114" s="197"/>
      <c r="BF114" s="197"/>
      <c r="BG114" s="197"/>
      <c r="BH114" s="197"/>
      <c r="BI114" s="197"/>
      <c r="BJ114" s="197"/>
      <c r="BK114" s="197"/>
      <c r="BL114" s="197"/>
      <c r="BM114" s="197"/>
      <c r="BN114" s="197"/>
      <c r="BO114" s="197"/>
      <c r="BP114" s="197"/>
      <c r="BQ114" s="196"/>
      <c r="BR114" s="196"/>
      <c r="BS114" s="196"/>
      <c r="BT114" s="196"/>
    </row>
    <row r="115" spans="2:72" ht="14.4">
      <c r="B115" s="1088"/>
      <c r="C115" s="1080"/>
      <c r="D115" s="1080"/>
      <c r="E115" s="197"/>
      <c r="F115" s="197"/>
      <c r="G115" s="197"/>
      <c r="H115" s="197"/>
      <c r="I115" s="197"/>
      <c r="J115" s="197"/>
      <c r="K115" s="197"/>
      <c r="L115" s="197"/>
      <c r="M115" s="197"/>
      <c r="N115" s="197"/>
      <c r="O115" s="197"/>
      <c r="P115" s="197"/>
      <c r="Q115" s="197"/>
      <c r="R115" s="197"/>
      <c r="S115" s="197"/>
      <c r="T115" s="197"/>
      <c r="U115" s="197"/>
      <c r="V115" s="197"/>
      <c r="W115" s="198"/>
      <c r="X115" s="197"/>
      <c r="Y115" s="197"/>
      <c r="Z115" s="198"/>
      <c r="AA115" s="197"/>
      <c r="AB115" s="197"/>
      <c r="AC115" s="197"/>
      <c r="AD115" s="197"/>
      <c r="AE115" s="197"/>
      <c r="AF115" s="197"/>
      <c r="AG115" s="197"/>
      <c r="AH115" s="197"/>
      <c r="AI115" s="197"/>
      <c r="AJ115" s="197"/>
      <c r="AK115" s="197"/>
      <c r="AL115" s="197"/>
      <c r="AM115" s="197"/>
      <c r="AN115" s="197"/>
      <c r="AO115" s="197"/>
      <c r="AP115" s="197"/>
      <c r="AQ115" s="197"/>
      <c r="AR115" s="197"/>
      <c r="AS115" s="197"/>
      <c r="AT115" s="197"/>
      <c r="AU115" s="197"/>
      <c r="AV115" s="197"/>
      <c r="AW115" s="197"/>
      <c r="AX115" s="197"/>
      <c r="AY115" s="197"/>
      <c r="AZ115" s="197"/>
      <c r="BA115" s="197"/>
      <c r="BB115" s="197"/>
      <c r="BC115" s="197"/>
      <c r="BD115" s="197"/>
      <c r="BE115" s="197"/>
      <c r="BF115" s="197"/>
      <c r="BG115" s="197"/>
      <c r="BH115" s="197"/>
      <c r="BI115" s="197"/>
      <c r="BJ115" s="197"/>
      <c r="BK115" s="197"/>
      <c r="BL115" s="197"/>
      <c r="BM115" s="197"/>
      <c r="BN115" s="197"/>
      <c r="BO115" s="197"/>
      <c r="BP115" s="197"/>
      <c r="BQ115" s="196"/>
      <c r="BR115" s="196"/>
      <c r="BS115" s="196"/>
      <c r="BT115" s="196"/>
    </row>
    <row r="116" spans="2:72" ht="14.4">
      <c r="C116" s="1080"/>
      <c r="D116" s="1080"/>
      <c r="E116" s="197"/>
      <c r="F116" s="197"/>
      <c r="G116" s="197"/>
      <c r="H116" s="197"/>
      <c r="I116" s="197"/>
      <c r="J116" s="197"/>
      <c r="K116" s="197"/>
      <c r="L116" s="197"/>
      <c r="M116" s="197"/>
      <c r="N116" s="197"/>
      <c r="O116" s="197"/>
      <c r="P116" s="197"/>
      <c r="Q116" s="197"/>
      <c r="R116" s="197"/>
      <c r="S116" s="197"/>
      <c r="T116" s="197"/>
      <c r="U116" s="197"/>
      <c r="V116" s="197"/>
      <c r="W116" s="198"/>
      <c r="X116" s="197"/>
      <c r="Y116" s="197"/>
      <c r="Z116" s="198"/>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c r="AZ116" s="197"/>
      <c r="BA116" s="197"/>
      <c r="BB116" s="197"/>
      <c r="BC116" s="197"/>
      <c r="BD116" s="197"/>
      <c r="BE116" s="197"/>
      <c r="BF116" s="197"/>
      <c r="BG116" s="197"/>
      <c r="BH116" s="197"/>
      <c r="BI116" s="197"/>
      <c r="BJ116" s="197"/>
      <c r="BK116" s="197"/>
      <c r="BL116" s="197"/>
      <c r="BM116" s="197"/>
      <c r="BN116" s="197"/>
      <c r="BO116" s="197"/>
      <c r="BP116" s="197"/>
      <c r="BQ116" s="196"/>
      <c r="BR116" s="196"/>
      <c r="BS116" s="196"/>
      <c r="BT116" s="196"/>
    </row>
    <row r="117" spans="2:72" ht="14.4">
      <c r="B117" s="161"/>
      <c r="C117" s="1080"/>
      <c r="D117" s="1080"/>
      <c r="E117" s="197"/>
      <c r="F117" s="197"/>
      <c r="G117" s="197"/>
      <c r="H117" s="197"/>
      <c r="I117" s="197"/>
      <c r="J117" s="197"/>
      <c r="K117" s="197"/>
      <c r="L117" s="197"/>
      <c r="M117" s="197"/>
      <c r="N117" s="197"/>
      <c r="O117" s="197"/>
      <c r="P117" s="197"/>
      <c r="Q117" s="197"/>
      <c r="R117" s="197"/>
      <c r="S117" s="197"/>
      <c r="T117" s="197"/>
      <c r="U117" s="197"/>
      <c r="V117" s="197"/>
      <c r="W117" s="198"/>
      <c r="X117" s="197"/>
      <c r="Y117" s="197"/>
      <c r="Z117" s="198"/>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c r="AU117" s="197"/>
      <c r="AV117" s="197"/>
      <c r="AW117" s="197"/>
      <c r="AX117" s="197"/>
      <c r="AY117" s="197"/>
      <c r="AZ117" s="197"/>
      <c r="BA117" s="197"/>
      <c r="BB117" s="197"/>
      <c r="BC117" s="197"/>
      <c r="BD117" s="197"/>
      <c r="BE117" s="197"/>
      <c r="BF117" s="197"/>
      <c r="BG117" s="197"/>
      <c r="BH117" s="197"/>
      <c r="BI117" s="197"/>
      <c r="BJ117" s="197"/>
      <c r="BK117" s="197"/>
      <c r="BL117" s="197"/>
      <c r="BM117" s="197"/>
      <c r="BN117" s="197"/>
      <c r="BO117" s="197"/>
      <c r="BP117" s="197"/>
      <c r="BQ117" s="196"/>
      <c r="BR117" s="196"/>
      <c r="BS117" s="196"/>
      <c r="BT117" s="196"/>
    </row>
    <row r="118" spans="2:72" ht="14.4">
      <c r="B118" s="161"/>
      <c r="C118" s="1080"/>
      <c r="D118" s="1080"/>
      <c r="E118" s="197"/>
      <c r="F118" s="197"/>
      <c r="G118" s="197"/>
      <c r="H118" s="197"/>
      <c r="I118" s="197"/>
      <c r="J118" s="197"/>
      <c r="K118" s="197"/>
      <c r="L118" s="197"/>
      <c r="M118" s="197"/>
      <c r="N118" s="197"/>
      <c r="O118" s="197"/>
      <c r="P118" s="197"/>
      <c r="Q118" s="197"/>
      <c r="R118" s="197"/>
      <c r="S118" s="197"/>
      <c r="T118" s="197"/>
      <c r="U118" s="197"/>
      <c r="V118" s="197"/>
      <c r="W118" s="198"/>
      <c r="X118" s="197"/>
      <c r="Y118" s="197"/>
      <c r="Z118" s="198"/>
      <c r="AA118" s="197"/>
      <c r="AB118" s="197"/>
      <c r="AC118" s="197"/>
      <c r="AD118" s="197"/>
      <c r="AE118" s="197"/>
      <c r="AF118" s="197"/>
      <c r="AG118" s="197"/>
      <c r="AH118" s="197"/>
      <c r="AI118" s="197"/>
      <c r="AJ118" s="197"/>
      <c r="AK118" s="197"/>
      <c r="AL118" s="197"/>
      <c r="AM118" s="197"/>
      <c r="AN118" s="197"/>
      <c r="AO118" s="197"/>
      <c r="AP118" s="197"/>
      <c r="AQ118" s="197"/>
      <c r="AR118" s="197"/>
      <c r="AS118" s="197"/>
      <c r="AT118" s="197"/>
      <c r="AU118" s="197"/>
      <c r="AV118" s="197"/>
      <c r="AW118" s="197"/>
      <c r="AX118" s="197"/>
      <c r="AY118" s="197"/>
      <c r="AZ118" s="197"/>
      <c r="BA118" s="197"/>
      <c r="BB118" s="197"/>
      <c r="BC118" s="197"/>
      <c r="BD118" s="197"/>
      <c r="BE118" s="197"/>
      <c r="BF118" s="197"/>
      <c r="BG118" s="197"/>
      <c r="BH118" s="197"/>
      <c r="BI118" s="197"/>
      <c r="BJ118" s="197"/>
      <c r="BK118" s="197"/>
      <c r="BL118" s="197"/>
      <c r="BM118" s="197"/>
      <c r="BN118" s="197"/>
      <c r="BO118" s="197"/>
      <c r="BP118" s="197"/>
      <c r="BQ118" s="196"/>
      <c r="BR118" s="196"/>
      <c r="BS118" s="196"/>
      <c r="BT118" s="196"/>
    </row>
    <row r="119" spans="2:72" ht="14.4">
      <c r="B119" s="161"/>
      <c r="C119" s="1080"/>
      <c r="D119" s="1080"/>
      <c r="E119" s="197"/>
      <c r="F119" s="197"/>
      <c r="G119" s="197"/>
      <c r="H119" s="197"/>
      <c r="I119" s="197"/>
      <c r="J119" s="197"/>
      <c r="K119" s="197"/>
      <c r="L119" s="197"/>
      <c r="M119" s="197"/>
      <c r="N119" s="197"/>
      <c r="O119" s="197"/>
      <c r="P119" s="197"/>
      <c r="Q119" s="197"/>
      <c r="R119" s="197"/>
      <c r="S119" s="197"/>
      <c r="T119" s="197"/>
      <c r="U119" s="197"/>
      <c r="V119" s="197"/>
      <c r="W119" s="198"/>
      <c r="X119" s="197"/>
      <c r="Y119" s="197"/>
      <c r="Z119" s="198"/>
      <c r="AA119" s="197"/>
      <c r="AB119" s="197"/>
      <c r="AC119" s="197"/>
      <c r="AD119" s="197"/>
      <c r="AE119" s="197"/>
      <c r="AF119" s="197"/>
      <c r="AG119" s="197"/>
      <c r="AH119" s="197"/>
      <c r="AI119" s="197"/>
      <c r="AJ119" s="197"/>
      <c r="AK119" s="197"/>
      <c r="AL119" s="197"/>
      <c r="AM119" s="197"/>
      <c r="AN119" s="197"/>
      <c r="AO119" s="197"/>
      <c r="AP119" s="197"/>
      <c r="AQ119" s="197"/>
      <c r="AR119" s="197"/>
      <c r="AS119" s="197"/>
      <c r="AT119" s="197"/>
      <c r="AU119" s="197"/>
      <c r="AV119" s="197"/>
      <c r="AW119" s="197"/>
      <c r="AX119" s="197"/>
      <c r="AY119" s="197"/>
      <c r="AZ119" s="197"/>
      <c r="BA119" s="197"/>
      <c r="BB119" s="197"/>
      <c r="BC119" s="197"/>
      <c r="BD119" s="197"/>
      <c r="BE119" s="197"/>
      <c r="BF119" s="197"/>
      <c r="BG119" s="197"/>
      <c r="BH119" s="197"/>
      <c r="BI119" s="197"/>
      <c r="BJ119" s="197"/>
      <c r="BK119" s="197"/>
      <c r="BL119" s="197"/>
      <c r="BM119" s="197"/>
      <c r="BN119" s="197"/>
      <c r="BO119" s="197"/>
      <c r="BP119" s="197"/>
      <c r="BQ119" s="196"/>
      <c r="BR119" s="196"/>
      <c r="BS119" s="196"/>
      <c r="BT119" s="196"/>
    </row>
    <row r="120" spans="2:72" ht="14.4">
      <c r="B120" s="161"/>
      <c r="C120" s="1080"/>
      <c r="D120" s="1080"/>
      <c r="E120" s="197"/>
      <c r="F120" s="197"/>
      <c r="G120" s="197"/>
      <c r="H120" s="197"/>
      <c r="I120" s="197"/>
      <c r="J120" s="197"/>
      <c r="K120" s="197"/>
      <c r="L120" s="197"/>
      <c r="M120" s="197"/>
      <c r="N120" s="197"/>
      <c r="O120" s="197"/>
      <c r="P120" s="197"/>
      <c r="Q120" s="197"/>
      <c r="R120" s="197"/>
      <c r="S120" s="197"/>
      <c r="T120" s="197"/>
      <c r="U120" s="197"/>
      <c r="V120" s="197"/>
      <c r="W120" s="198"/>
      <c r="X120" s="197"/>
      <c r="Y120" s="197"/>
      <c r="Z120" s="198"/>
      <c r="AA120" s="197"/>
      <c r="AB120" s="197"/>
      <c r="AC120" s="197"/>
      <c r="AD120" s="197"/>
      <c r="AE120" s="197"/>
      <c r="AF120" s="197"/>
      <c r="AG120" s="197"/>
      <c r="AH120" s="197"/>
      <c r="AI120" s="197"/>
      <c r="AJ120" s="197"/>
      <c r="AK120" s="197"/>
      <c r="AL120" s="197"/>
      <c r="AM120" s="197"/>
      <c r="AN120" s="197"/>
      <c r="AO120" s="197"/>
      <c r="AP120" s="197"/>
      <c r="AQ120" s="197"/>
      <c r="AR120" s="197"/>
      <c r="AS120" s="197"/>
      <c r="AT120" s="197"/>
      <c r="AU120" s="197"/>
      <c r="AV120" s="197"/>
      <c r="AW120" s="197"/>
      <c r="AX120" s="197"/>
      <c r="AY120" s="197"/>
      <c r="AZ120" s="197"/>
      <c r="BA120" s="197"/>
      <c r="BB120" s="197"/>
      <c r="BC120" s="197"/>
      <c r="BD120" s="197"/>
      <c r="BE120" s="197"/>
      <c r="BF120" s="197"/>
      <c r="BG120" s="197"/>
      <c r="BH120" s="197"/>
      <c r="BI120" s="197"/>
      <c r="BJ120" s="197"/>
      <c r="BK120" s="197"/>
      <c r="BL120" s="197"/>
      <c r="BM120" s="197"/>
      <c r="BN120" s="197"/>
      <c r="BO120" s="197"/>
      <c r="BP120" s="197"/>
      <c r="BQ120" s="196"/>
      <c r="BR120" s="196"/>
      <c r="BS120" s="196"/>
      <c r="BT120" s="196"/>
    </row>
    <row r="121" spans="2:72" ht="14.4">
      <c r="B121" s="161"/>
      <c r="C121" s="1080"/>
      <c r="D121" s="1080"/>
      <c r="E121" s="197"/>
      <c r="F121" s="197"/>
      <c r="G121" s="197"/>
      <c r="H121" s="197"/>
      <c r="I121" s="197"/>
      <c r="J121" s="197"/>
      <c r="K121" s="197"/>
      <c r="L121" s="197"/>
      <c r="M121" s="197"/>
      <c r="N121" s="197"/>
      <c r="O121" s="197"/>
      <c r="P121" s="197"/>
      <c r="Q121" s="197"/>
      <c r="R121" s="197"/>
      <c r="S121" s="197"/>
      <c r="T121" s="197"/>
      <c r="U121" s="197"/>
      <c r="V121" s="197"/>
      <c r="W121" s="198"/>
      <c r="X121" s="197"/>
      <c r="Y121" s="197"/>
      <c r="Z121" s="198"/>
      <c r="AA121" s="197"/>
      <c r="AB121" s="197"/>
      <c r="AC121" s="197"/>
      <c r="AD121" s="197"/>
      <c r="AE121" s="197"/>
      <c r="AF121" s="197"/>
      <c r="AG121" s="197"/>
      <c r="AH121" s="197"/>
      <c r="AI121" s="197"/>
      <c r="AJ121" s="197"/>
      <c r="AK121" s="197"/>
      <c r="AL121" s="197"/>
      <c r="AM121" s="197"/>
      <c r="AN121" s="197"/>
      <c r="AO121" s="197"/>
      <c r="AP121" s="197"/>
      <c r="AQ121" s="197"/>
      <c r="AR121" s="197"/>
      <c r="AS121" s="197"/>
      <c r="AT121" s="197"/>
      <c r="AU121" s="197"/>
      <c r="AV121" s="197"/>
      <c r="AW121" s="197"/>
      <c r="AX121" s="197"/>
      <c r="AY121" s="197"/>
      <c r="AZ121" s="197"/>
      <c r="BA121" s="197"/>
      <c r="BB121" s="197"/>
      <c r="BC121" s="197"/>
      <c r="BD121" s="197"/>
      <c r="BE121" s="197"/>
      <c r="BF121" s="197"/>
      <c r="BG121" s="197"/>
      <c r="BH121" s="197"/>
      <c r="BI121" s="197"/>
      <c r="BJ121" s="197"/>
      <c r="BK121" s="197"/>
      <c r="BL121" s="197"/>
      <c r="BM121" s="197"/>
      <c r="BN121" s="197"/>
      <c r="BO121" s="197"/>
      <c r="BP121" s="197"/>
      <c r="BQ121" s="196"/>
      <c r="BR121" s="196"/>
      <c r="BS121" s="196"/>
      <c r="BT121" s="196"/>
    </row>
    <row r="122" spans="2:72" ht="14.4">
      <c r="B122" s="161"/>
      <c r="C122" s="1080"/>
      <c r="D122" s="1080"/>
      <c r="E122" s="197"/>
      <c r="F122" s="197"/>
      <c r="G122" s="197"/>
      <c r="H122" s="197"/>
      <c r="I122" s="197"/>
      <c r="J122" s="197"/>
      <c r="K122" s="197"/>
      <c r="L122" s="197"/>
      <c r="M122" s="197"/>
      <c r="N122" s="197"/>
      <c r="O122" s="197"/>
      <c r="P122" s="197"/>
      <c r="Q122" s="197"/>
      <c r="R122" s="197"/>
      <c r="S122" s="197"/>
      <c r="T122" s="197"/>
      <c r="U122" s="197"/>
      <c r="V122" s="197"/>
      <c r="W122" s="198"/>
      <c r="X122" s="197"/>
      <c r="Y122" s="197"/>
      <c r="Z122" s="198"/>
      <c r="AA122" s="197"/>
      <c r="AB122" s="197"/>
      <c r="AC122" s="197"/>
      <c r="AD122" s="197"/>
      <c r="AE122" s="197"/>
      <c r="AF122" s="197"/>
      <c r="AG122" s="197"/>
      <c r="AH122" s="197"/>
      <c r="AI122" s="197"/>
      <c r="AJ122" s="197"/>
      <c r="AK122" s="197"/>
      <c r="AL122" s="197"/>
      <c r="AM122" s="197"/>
      <c r="AN122" s="197"/>
      <c r="AO122" s="197"/>
      <c r="AP122" s="197"/>
      <c r="AQ122" s="197"/>
      <c r="AR122" s="197"/>
      <c r="AS122" s="197"/>
      <c r="AT122" s="197"/>
      <c r="AU122" s="197"/>
      <c r="AV122" s="197"/>
      <c r="AW122" s="197"/>
      <c r="AX122" s="197"/>
      <c r="AY122" s="197"/>
      <c r="AZ122" s="197"/>
      <c r="BA122" s="197"/>
      <c r="BB122" s="197"/>
      <c r="BC122" s="197"/>
      <c r="BD122" s="197"/>
      <c r="BE122" s="197"/>
      <c r="BF122" s="197"/>
      <c r="BG122" s="197"/>
      <c r="BH122" s="197"/>
      <c r="BI122" s="197"/>
      <c r="BJ122" s="197"/>
      <c r="BK122" s="197"/>
      <c r="BL122" s="197"/>
      <c r="BM122" s="197"/>
      <c r="BN122" s="197"/>
      <c r="BO122" s="197"/>
      <c r="BP122" s="197"/>
      <c r="BQ122" s="196"/>
      <c r="BR122" s="196"/>
      <c r="BS122" s="196"/>
      <c r="BT122" s="196"/>
    </row>
    <row r="123" spans="2:72" ht="14.4">
      <c r="B123" s="161"/>
      <c r="C123" s="1080"/>
      <c r="D123" s="1080"/>
      <c r="E123" s="197"/>
      <c r="F123" s="197"/>
      <c r="G123" s="197"/>
      <c r="H123" s="197"/>
      <c r="I123" s="197"/>
      <c r="J123" s="197"/>
      <c r="K123" s="197"/>
      <c r="L123" s="197"/>
      <c r="M123" s="197"/>
      <c r="N123" s="197"/>
      <c r="O123" s="197"/>
      <c r="P123" s="197"/>
      <c r="Q123" s="197"/>
      <c r="R123" s="197"/>
      <c r="S123" s="197"/>
      <c r="T123" s="197"/>
      <c r="U123" s="197"/>
      <c r="V123" s="197"/>
      <c r="W123" s="198"/>
      <c r="X123" s="197"/>
      <c r="Y123" s="197"/>
      <c r="Z123" s="198"/>
      <c r="AA123" s="197"/>
      <c r="AB123" s="197"/>
      <c r="AC123" s="197"/>
      <c r="AD123" s="197"/>
      <c r="AE123" s="197"/>
      <c r="AF123" s="197"/>
      <c r="AG123" s="197"/>
      <c r="AH123" s="197"/>
      <c r="AI123" s="197"/>
      <c r="AJ123" s="197"/>
      <c r="AK123" s="197"/>
      <c r="AL123" s="197"/>
      <c r="AM123" s="197"/>
      <c r="AN123" s="197"/>
      <c r="AO123" s="197"/>
      <c r="AP123" s="197"/>
      <c r="AQ123" s="197"/>
      <c r="AR123" s="197"/>
      <c r="AS123" s="197"/>
      <c r="AT123" s="197"/>
      <c r="AU123" s="197"/>
      <c r="AV123" s="197"/>
      <c r="AW123" s="197"/>
      <c r="AX123" s="197"/>
      <c r="AY123" s="197"/>
      <c r="AZ123" s="197"/>
      <c r="BA123" s="197"/>
      <c r="BB123" s="197"/>
      <c r="BC123" s="197"/>
      <c r="BD123" s="197"/>
      <c r="BE123" s="197"/>
      <c r="BF123" s="197"/>
      <c r="BG123" s="197"/>
      <c r="BH123" s="197"/>
      <c r="BI123" s="197"/>
      <c r="BJ123" s="197"/>
      <c r="BK123" s="197"/>
      <c r="BL123" s="197"/>
      <c r="BM123" s="197"/>
      <c r="BN123" s="197"/>
      <c r="BO123" s="197"/>
      <c r="BP123" s="197"/>
      <c r="BQ123" s="196"/>
      <c r="BR123" s="196"/>
      <c r="BS123" s="196"/>
      <c r="BT123" s="196"/>
    </row>
    <row r="124" spans="2:72" ht="14.4">
      <c r="B124" s="161"/>
      <c r="C124" s="1080"/>
      <c r="D124" s="1080"/>
      <c r="E124" s="197"/>
      <c r="F124" s="197"/>
      <c r="G124" s="197"/>
      <c r="H124" s="197"/>
      <c r="I124" s="197"/>
      <c r="J124" s="197"/>
      <c r="K124" s="197"/>
      <c r="L124" s="197"/>
      <c r="M124" s="197"/>
      <c r="N124" s="197"/>
      <c r="O124" s="197"/>
      <c r="P124" s="197"/>
      <c r="Q124" s="197"/>
      <c r="R124" s="197"/>
      <c r="S124" s="197"/>
      <c r="T124" s="197"/>
      <c r="U124" s="197"/>
      <c r="V124" s="197"/>
      <c r="W124" s="198"/>
      <c r="X124" s="197"/>
      <c r="Y124" s="197"/>
      <c r="Z124" s="198"/>
      <c r="AA124" s="197"/>
      <c r="AB124" s="197"/>
      <c r="AC124" s="197"/>
      <c r="AD124" s="197"/>
      <c r="AE124" s="197"/>
      <c r="AF124" s="197"/>
      <c r="AG124" s="197"/>
      <c r="AH124" s="197"/>
      <c r="AI124" s="197"/>
      <c r="AJ124" s="197"/>
      <c r="AK124" s="197"/>
      <c r="AL124" s="197"/>
      <c r="AM124" s="197"/>
      <c r="AN124" s="197"/>
      <c r="AO124" s="197"/>
      <c r="AP124" s="197"/>
      <c r="AQ124" s="197"/>
      <c r="AR124" s="197"/>
      <c r="AS124" s="197"/>
      <c r="AT124" s="197"/>
      <c r="AU124" s="197"/>
      <c r="AV124" s="197"/>
      <c r="AW124" s="197"/>
      <c r="AX124" s="197"/>
      <c r="AY124" s="197"/>
      <c r="AZ124" s="197"/>
      <c r="BA124" s="197"/>
      <c r="BB124" s="197"/>
      <c r="BC124" s="197"/>
      <c r="BD124" s="197"/>
      <c r="BE124" s="197"/>
      <c r="BF124" s="197"/>
      <c r="BG124" s="197"/>
      <c r="BH124" s="197"/>
      <c r="BI124" s="197"/>
      <c r="BJ124" s="197"/>
      <c r="BK124" s="197"/>
      <c r="BL124" s="197"/>
      <c r="BM124" s="197"/>
      <c r="BN124" s="197"/>
      <c r="BO124" s="197"/>
      <c r="BP124" s="197"/>
      <c r="BQ124" s="196"/>
      <c r="BR124" s="196"/>
      <c r="BS124" s="196"/>
      <c r="BT124" s="196"/>
    </row>
    <row r="125" spans="2:72" ht="14.4">
      <c r="B125" s="161"/>
      <c r="C125" s="1080"/>
      <c r="D125" s="1080"/>
      <c r="E125" s="197"/>
      <c r="F125" s="197"/>
      <c r="G125" s="197"/>
      <c r="H125" s="197"/>
      <c r="I125" s="197"/>
      <c r="J125" s="197"/>
      <c r="K125" s="197"/>
      <c r="L125" s="197"/>
      <c r="M125" s="197"/>
      <c r="N125" s="197"/>
      <c r="O125" s="197"/>
      <c r="P125" s="197"/>
      <c r="Q125" s="197"/>
      <c r="R125" s="197"/>
      <c r="S125" s="197"/>
      <c r="T125" s="197"/>
      <c r="U125" s="197"/>
      <c r="V125" s="197"/>
      <c r="W125" s="198"/>
      <c r="X125" s="197"/>
      <c r="Y125" s="197"/>
      <c r="Z125" s="198"/>
      <c r="AA125" s="197"/>
      <c r="AB125" s="197"/>
      <c r="AC125" s="197"/>
      <c r="AD125" s="197"/>
      <c r="AE125" s="197"/>
      <c r="AF125" s="197"/>
      <c r="AG125" s="197"/>
      <c r="AH125" s="197"/>
      <c r="AI125" s="197"/>
      <c r="AJ125" s="197"/>
      <c r="AK125" s="197"/>
      <c r="AL125" s="197"/>
      <c r="AM125" s="197"/>
      <c r="AN125" s="197"/>
      <c r="AO125" s="197"/>
      <c r="AP125" s="197"/>
      <c r="AQ125" s="197"/>
      <c r="AR125" s="197"/>
      <c r="AS125" s="197"/>
      <c r="AT125" s="197"/>
      <c r="AU125" s="197"/>
      <c r="AV125" s="197"/>
      <c r="AW125" s="197"/>
      <c r="AX125" s="197"/>
      <c r="AY125" s="197"/>
      <c r="AZ125" s="197"/>
      <c r="BA125" s="197"/>
      <c r="BB125" s="197"/>
      <c r="BC125" s="197"/>
      <c r="BD125" s="197"/>
      <c r="BE125" s="197"/>
      <c r="BF125" s="197"/>
      <c r="BG125" s="197"/>
      <c r="BH125" s="197"/>
      <c r="BI125" s="197"/>
      <c r="BJ125" s="197"/>
      <c r="BK125" s="197"/>
      <c r="BL125" s="197"/>
      <c r="BM125" s="197"/>
      <c r="BN125" s="197"/>
      <c r="BO125" s="197"/>
      <c r="BP125" s="197"/>
      <c r="BQ125" s="196"/>
      <c r="BR125" s="196"/>
      <c r="BS125" s="196"/>
      <c r="BT125" s="196"/>
    </row>
    <row r="126" spans="2:72" ht="14.4">
      <c r="B126" s="161"/>
      <c r="C126" s="1080"/>
      <c r="D126" s="1080"/>
      <c r="E126" s="197"/>
      <c r="F126" s="197"/>
      <c r="G126" s="197"/>
      <c r="H126" s="197"/>
      <c r="I126" s="197"/>
      <c r="J126" s="197"/>
      <c r="K126" s="197"/>
      <c r="L126" s="197"/>
      <c r="M126" s="197"/>
      <c r="N126" s="197"/>
      <c r="O126" s="197"/>
      <c r="P126" s="197"/>
      <c r="Q126" s="197"/>
      <c r="R126" s="197"/>
      <c r="S126" s="197"/>
      <c r="T126" s="197"/>
      <c r="U126" s="197"/>
      <c r="V126" s="197"/>
      <c r="W126" s="198"/>
      <c r="X126" s="197"/>
      <c r="Y126" s="197"/>
      <c r="Z126" s="198"/>
      <c r="AA126" s="197"/>
      <c r="AB126" s="197"/>
      <c r="AC126" s="197"/>
      <c r="AD126" s="197"/>
      <c r="AE126" s="197"/>
      <c r="AF126" s="197"/>
      <c r="AG126" s="197"/>
      <c r="AH126" s="197"/>
      <c r="AI126" s="197"/>
      <c r="AJ126" s="197"/>
      <c r="AK126" s="197"/>
      <c r="AL126" s="197"/>
      <c r="AM126" s="197"/>
      <c r="AN126" s="197"/>
      <c r="AO126" s="197"/>
      <c r="AP126" s="197"/>
      <c r="AQ126" s="197"/>
      <c r="AR126" s="197"/>
      <c r="AS126" s="197"/>
      <c r="AT126" s="197"/>
      <c r="AU126" s="197"/>
      <c r="AV126" s="197"/>
      <c r="AW126" s="197"/>
      <c r="AX126" s="197"/>
      <c r="AY126" s="197"/>
      <c r="AZ126" s="197"/>
      <c r="BA126" s="197"/>
      <c r="BB126" s="197"/>
      <c r="BC126" s="197"/>
      <c r="BD126" s="197"/>
      <c r="BE126" s="197"/>
      <c r="BF126" s="197"/>
      <c r="BG126" s="197"/>
      <c r="BH126" s="197"/>
      <c r="BI126" s="197"/>
      <c r="BJ126" s="197"/>
      <c r="BK126" s="197"/>
      <c r="BL126" s="197"/>
      <c r="BM126" s="197"/>
      <c r="BN126" s="197"/>
      <c r="BO126" s="197"/>
      <c r="BP126" s="197"/>
      <c r="BQ126" s="196"/>
      <c r="BR126" s="196"/>
      <c r="BS126" s="196"/>
      <c r="BT126" s="196"/>
    </row>
    <row r="127" spans="2:72" ht="14.4">
      <c r="B127" s="161"/>
      <c r="C127" s="1080"/>
      <c r="D127" s="1080"/>
      <c r="E127" s="197"/>
      <c r="F127" s="197"/>
      <c r="G127" s="197"/>
      <c r="H127" s="197"/>
      <c r="I127" s="197"/>
      <c r="J127" s="197"/>
      <c r="K127" s="197"/>
      <c r="L127" s="197"/>
      <c r="M127" s="197"/>
      <c r="N127" s="197"/>
      <c r="O127" s="197"/>
      <c r="P127" s="197"/>
      <c r="Q127" s="197"/>
      <c r="R127" s="197"/>
      <c r="S127" s="197"/>
      <c r="T127" s="197"/>
      <c r="U127" s="197"/>
      <c r="V127" s="197"/>
      <c r="W127" s="198"/>
      <c r="X127" s="197"/>
      <c r="Y127" s="197"/>
      <c r="Z127" s="198"/>
      <c r="AA127" s="197"/>
      <c r="AB127" s="197"/>
      <c r="AC127" s="197"/>
      <c r="AD127" s="197"/>
      <c r="AE127" s="197"/>
      <c r="AF127" s="197"/>
      <c r="AG127" s="197"/>
      <c r="AH127" s="197"/>
      <c r="AI127" s="197"/>
      <c r="AJ127" s="197"/>
      <c r="AK127" s="197"/>
      <c r="AL127" s="197"/>
      <c r="AM127" s="197"/>
      <c r="AN127" s="197"/>
      <c r="AO127" s="197"/>
      <c r="AP127" s="197"/>
      <c r="AQ127" s="197"/>
      <c r="AR127" s="197"/>
      <c r="AS127" s="197"/>
      <c r="AT127" s="197"/>
      <c r="AU127" s="197"/>
      <c r="AV127" s="197"/>
      <c r="AW127" s="197"/>
      <c r="AX127" s="197"/>
      <c r="AY127" s="197"/>
      <c r="AZ127" s="197"/>
      <c r="BA127" s="197"/>
      <c r="BB127" s="197"/>
      <c r="BC127" s="197"/>
      <c r="BD127" s="197"/>
      <c r="BE127" s="197"/>
      <c r="BF127" s="197"/>
      <c r="BG127" s="197"/>
      <c r="BH127" s="197"/>
      <c r="BI127" s="197"/>
      <c r="BJ127" s="197"/>
      <c r="BK127" s="197"/>
      <c r="BL127" s="197"/>
      <c r="BM127" s="197"/>
      <c r="BN127" s="197"/>
      <c r="BO127" s="197"/>
      <c r="BP127" s="197"/>
      <c r="BQ127" s="196"/>
      <c r="BR127" s="196"/>
      <c r="BS127" s="196"/>
      <c r="BT127" s="196"/>
    </row>
    <row r="128" spans="2:72" ht="14.4">
      <c r="B128" s="161"/>
      <c r="C128" s="1080"/>
      <c r="D128" s="1080"/>
      <c r="E128" s="197"/>
      <c r="F128" s="197"/>
      <c r="G128" s="197"/>
      <c r="H128" s="197"/>
      <c r="I128" s="197"/>
      <c r="J128" s="197"/>
      <c r="K128" s="197"/>
      <c r="L128" s="197"/>
      <c r="M128" s="197"/>
      <c r="N128" s="197"/>
      <c r="O128" s="197"/>
      <c r="P128" s="197"/>
      <c r="Q128" s="197"/>
      <c r="R128" s="197"/>
      <c r="S128" s="197"/>
      <c r="T128" s="197"/>
      <c r="U128" s="197"/>
      <c r="V128" s="197"/>
      <c r="W128" s="198"/>
      <c r="X128" s="197"/>
      <c r="Y128" s="197"/>
      <c r="Z128" s="198"/>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6"/>
      <c r="BR128" s="196"/>
      <c r="BS128" s="196"/>
      <c r="BT128" s="196"/>
    </row>
    <row r="129" spans="2:72" ht="14.4">
      <c r="B129" s="161"/>
      <c r="C129" s="1080"/>
      <c r="D129" s="1080"/>
      <c r="E129" s="197"/>
      <c r="F129" s="197"/>
      <c r="G129" s="197"/>
      <c r="H129" s="197"/>
      <c r="I129" s="197"/>
      <c r="J129" s="197"/>
      <c r="K129" s="197"/>
      <c r="L129" s="197"/>
      <c r="M129" s="197"/>
      <c r="N129" s="197"/>
      <c r="O129" s="197"/>
      <c r="P129" s="197"/>
      <c r="Q129" s="197"/>
      <c r="R129" s="197"/>
      <c r="S129" s="197"/>
      <c r="T129" s="197"/>
      <c r="U129" s="197"/>
      <c r="V129" s="197"/>
      <c r="W129" s="198"/>
      <c r="X129" s="197"/>
      <c r="Y129" s="197"/>
      <c r="Z129" s="198"/>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6"/>
      <c r="BR129" s="196"/>
      <c r="BS129" s="196"/>
      <c r="BT129" s="196"/>
    </row>
    <row r="130" spans="2:72" ht="14.4">
      <c r="B130" s="161"/>
      <c r="C130" s="1080"/>
      <c r="D130" s="1080"/>
      <c r="E130" s="197"/>
      <c r="F130" s="197"/>
      <c r="G130" s="197"/>
      <c r="H130" s="197"/>
      <c r="I130" s="197"/>
      <c r="J130" s="197"/>
      <c r="K130" s="197"/>
      <c r="L130" s="197"/>
      <c r="M130" s="197"/>
      <c r="N130" s="197"/>
      <c r="O130" s="197"/>
      <c r="P130" s="197"/>
      <c r="Q130" s="197"/>
      <c r="R130" s="197"/>
      <c r="S130" s="197"/>
      <c r="T130" s="197"/>
      <c r="U130" s="197"/>
      <c r="V130" s="197"/>
      <c r="W130" s="198"/>
      <c r="X130" s="197"/>
      <c r="Y130" s="197"/>
      <c r="Z130" s="198"/>
      <c r="AA130" s="197"/>
      <c r="AB130" s="197"/>
      <c r="AC130" s="197"/>
      <c r="AD130" s="197"/>
      <c r="AE130" s="197"/>
      <c r="AF130" s="197"/>
      <c r="AG130" s="197"/>
      <c r="AH130" s="197"/>
      <c r="AI130" s="197"/>
      <c r="AJ130" s="197"/>
      <c r="AK130" s="197"/>
      <c r="AL130" s="197"/>
      <c r="AM130" s="197"/>
      <c r="AN130" s="197"/>
      <c r="AO130" s="197"/>
      <c r="AP130" s="197"/>
      <c r="AQ130" s="197"/>
      <c r="AR130" s="197"/>
      <c r="AS130" s="197"/>
      <c r="AT130" s="197"/>
      <c r="AU130" s="197"/>
      <c r="AV130" s="197"/>
      <c r="AW130" s="197"/>
      <c r="AX130" s="197"/>
      <c r="AY130" s="197"/>
      <c r="AZ130" s="197"/>
      <c r="BA130" s="197"/>
      <c r="BB130" s="197"/>
      <c r="BC130" s="197"/>
      <c r="BD130" s="197"/>
      <c r="BE130" s="197"/>
      <c r="BF130" s="197"/>
      <c r="BG130" s="197"/>
      <c r="BH130" s="197"/>
      <c r="BI130" s="197"/>
      <c r="BJ130" s="197"/>
      <c r="BK130" s="197"/>
      <c r="BL130" s="197"/>
      <c r="BM130" s="197"/>
      <c r="BN130" s="197"/>
      <c r="BO130" s="197"/>
      <c r="BP130" s="197"/>
      <c r="BQ130" s="196"/>
      <c r="BR130" s="196"/>
      <c r="BS130" s="196"/>
      <c r="BT130" s="196"/>
    </row>
    <row r="131" spans="2:72" ht="14.4">
      <c r="B131" s="161"/>
      <c r="C131" s="1080"/>
      <c r="D131" s="1080"/>
      <c r="E131" s="197"/>
      <c r="F131" s="197"/>
      <c r="G131" s="197"/>
      <c r="H131" s="197"/>
      <c r="I131" s="197"/>
      <c r="J131" s="197"/>
      <c r="K131" s="197"/>
      <c r="L131" s="197"/>
      <c r="M131" s="197"/>
      <c r="N131" s="197"/>
      <c r="O131" s="197"/>
      <c r="P131" s="197"/>
      <c r="Q131" s="197"/>
      <c r="R131" s="197"/>
      <c r="S131" s="197"/>
      <c r="T131" s="197"/>
      <c r="U131" s="197"/>
      <c r="V131" s="197"/>
      <c r="W131" s="198"/>
      <c r="X131" s="197"/>
      <c r="Y131" s="197"/>
      <c r="Z131" s="198"/>
      <c r="AA131" s="197"/>
      <c r="AB131" s="197"/>
      <c r="AC131" s="197"/>
      <c r="AD131" s="197"/>
      <c r="AE131" s="197"/>
      <c r="AF131" s="197"/>
      <c r="AG131" s="197"/>
      <c r="AH131" s="197"/>
      <c r="AI131" s="197"/>
      <c r="AJ131" s="197"/>
      <c r="AK131" s="197"/>
      <c r="AL131" s="197"/>
      <c r="AM131" s="197"/>
      <c r="AN131" s="197"/>
      <c r="AO131" s="197"/>
      <c r="AP131" s="197"/>
      <c r="AQ131" s="197"/>
      <c r="AR131" s="197"/>
      <c r="AS131" s="197"/>
      <c r="AT131" s="197"/>
      <c r="AU131" s="197"/>
      <c r="AV131" s="197"/>
      <c r="AW131" s="197"/>
      <c r="AX131" s="197"/>
      <c r="AY131" s="197"/>
      <c r="AZ131" s="197"/>
      <c r="BA131" s="197"/>
      <c r="BB131" s="197"/>
      <c r="BC131" s="197"/>
      <c r="BD131" s="197"/>
      <c r="BE131" s="197"/>
      <c r="BF131" s="197"/>
      <c r="BG131" s="197"/>
      <c r="BH131" s="197"/>
      <c r="BI131" s="197"/>
      <c r="BJ131" s="197"/>
      <c r="BK131" s="197"/>
      <c r="BL131" s="197"/>
      <c r="BM131" s="197"/>
      <c r="BN131" s="197"/>
      <c r="BO131" s="197"/>
      <c r="BP131" s="197"/>
      <c r="BQ131" s="196"/>
      <c r="BR131" s="196"/>
      <c r="BS131" s="196"/>
      <c r="BT131" s="196"/>
    </row>
    <row r="132" spans="2:72" ht="14.4">
      <c r="B132" s="161"/>
      <c r="C132" s="1080"/>
      <c r="D132" s="1080"/>
      <c r="E132" s="197"/>
      <c r="F132" s="197"/>
      <c r="G132" s="197"/>
      <c r="H132" s="197"/>
      <c r="I132" s="197"/>
      <c r="J132" s="197"/>
      <c r="K132" s="197"/>
      <c r="L132" s="197"/>
      <c r="M132" s="197"/>
      <c r="N132" s="197"/>
      <c r="O132" s="197"/>
      <c r="P132" s="197"/>
      <c r="Q132" s="197"/>
      <c r="R132" s="197"/>
      <c r="S132" s="197"/>
      <c r="T132" s="197"/>
      <c r="U132" s="197"/>
      <c r="V132" s="197"/>
      <c r="W132" s="198"/>
      <c r="X132" s="197"/>
      <c r="Y132" s="197"/>
      <c r="Z132" s="198"/>
      <c r="AA132" s="197"/>
      <c r="AB132" s="197"/>
      <c r="AC132" s="197"/>
      <c r="AD132" s="197"/>
      <c r="AE132" s="197"/>
      <c r="AF132" s="197"/>
      <c r="AG132" s="197"/>
      <c r="AH132" s="197"/>
      <c r="AI132" s="197"/>
      <c r="AJ132" s="197"/>
      <c r="AK132" s="197"/>
      <c r="AL132" s="197"/>
      <c r="AM132" s="197"/>
      <c r="AN132" s="197"/>
      <c r="AO132" s="197"/>
      <c r="AP132" s="197"/>
      <c r="AQ132" s="197"/>
      <c r="AR132" s="197"/>
      <c r="AS132" s="197"/>
      <c r="AT132" s="197"/>
      <c r="AU132" s="197"/>
      <c r="AV132" s="197"/>
      <c r="AW132" s="197"/>
      <c r="AX132" s="197"/>
      <c r="AY132" s="197"/>
      <c r="AZ132" s="197"/>
      <c r="BA132" s="197"/>
      <c r="BB132" s="197"/>
      <c r="BC132" s="197"/>
      <c r="BD132" s="197"/>
      <c r="BE132" s="197"/>
      <c r="BF132" s="197"/>
      <c r="BG132" s="197"/>
      <c r="BH132" s="197"/>
      <c r="BI132" s="197"/>
      <c r="BJ132" s="197"/>
      <c r="BK132" s="197"/>
      <c r="BL132" s="197"/>
      <c r="BM132" s="197"/>
      <c r="BN132" s="197"/>
      <c r="BO132" s="197"/>
      <c r="BP132" s="197"/>
      <c r="BQ132" s="196"/>
      <c r="BR132" s="196"/>
      <c r="BS132" s="196"/>
      <c r="BT132" s="196"/>
    </row>
    <row r="133" spans="2:72" ht="14.4">
      <c r="B133" s="161"/>
      <c r="C133" s="1080"/>
      <c r="D133" s="1080"/>
      <c r="E133" s="197"/>
      <c r="F133" s="197"/>
      <c r="G133" s="197"/>
      <c r="H133" s="197"/>
      <c r="I133" s="197"/>
      <c r="J133" s="197"/>
      <c r="K133" s="197"/>
      <c r="L133" s="197"/>
      <c r="M133" s="197"/>
      <c r="N133" s="197"/>
      <c r="O133" s="197"/>
      <c r="P133" s="197"/>
      <c r="Q133" s="197"/>
      <c r="R133" s="197"/>
      <c r="S133" s="197"/>
      <c r="T133" s="197"/>
      <c r="U133" s="197"/>
      <c r="V133" s="197"/>
      <c r="W133" s="198"/>
      <c r="X133" s="197"/>
      <c r="Y133" s="197"/>
      <c r="Z133" s="198"/>
      <c r="AA133" s="197"/>
      <c r="AB133" s="197"/>
      <c r="AC133" s="197"/>
      <c r="AD133" s="197"/>
      <c r="AE133" s="197"/>
      <c r="AF133" s="197"/>
      <c r="AG133" s="197"/>
      <c r="AH133" s="197"/>
      <c r="AI133" s="197"/>
      <c r="AJ133" s="197"/>
      <c r="AK133" s="197"/>
      <c r="AL133" s="197"/>
      <c r="AM133" s="197"/>
      <c r="AN133" s="197"/>
      <c r="AO133" s="197"/>
      <c r="AP133" s="197"/>
      <c r="AQ133" s="197"/>
      <c r="AR133" s="197"/>
      <c r="AS133" s="197"/>
      <c r="AT133" s="197"/>
      <c r="AU133" s="197"/>
      <c r="AV133" s="197"/>
      <c r="AW133" s="197"/>
      <c r="AX133" s="197"/>
      <c r="AY133" s="197"/>
      <c r="AZ133" s="197"/>
      <c r="BA133" s="197"/>
      <c r="BB133" s="197"/>
      <c r="BC133" s="197"/>
      <c r="BD133" s="197"/>
      <c r="BE133" s="197"/>
      <c r="BF133" s="197"/>
      <c r="BG133" s="197"/>
      <c r="BH133" s="197"/>
      <c r="BI133" s="197"/>
      <c r="BJ133" s="197"/>
      <c r="BK133" s="197"/>
      <c r="BL133" s="197"/>
      <c r="BM133" s="197"/>
      <c r="BN133" s="197"/>
      <c r="BO133" s="197"/>
      <c r="BP133" s="197"/>
      <c r="BQ133" s="196"/>
      <c r="BR133" s="196"/>
      <c r="BS133" s="196"/>
      <c r="BT133" s="196"/>
    </row>
    <row r="134" spans="2:72" ht="14.4">
      <c r="B134" s="161"/>
      <c r="C134" s="1080"/>
      <c r="D134" s="1080"/>
      <c r="E134" s="197"/>
      <c r="F134" s="197"/>
      <c r="G134" s="197"/>
      <c r="H134" s="197"/>
      <c r="I134" s="197"/>
      <c r="J134" s="197"/>
      <c r="K134" s="197"/>
      <c r="L134" s="197"/>
      <c r="M134" s="197"/>
      <c r="N134" s="197"/>
      <c r="O134" s="197"/>
      <c r="P134" s="197"/>
      <c r="Q134" s="197"/>
      <c r="R134" s="197"/>
      <c r="S134" s="197"/>
      <c r="T134" s="197"/>
      <c r="U134" s="197"/>
      <c r="V134" s="197"/>
      <c r="W134" s="198"/>
      <c r="X134" s="197"/>
      <c r="Y134" s="197"/>
      <c r="Z134" s="198"/>
      <c r="AA134" s="197"/>
      <c r="AB134" s="197"/>
      <c r="AC134" s="197"/>
      <c r="AD134" s="197"/>
      <c r="AE134" s="197"/>
      <c r="AF134" s="197"/>
      <c r="AG134" s="197"/>
      <c r="AH134" s="197"/>
      <c r="AI134" s="197"/>
      <c r="AJ134" s="197"/>
      <c r="AK134" s="197"/>
      <c r="AL134" s="197"/>
      <c r="AM134" s="197"/>
      <c r="AN134" s="197"/>
      <c r="AO134" s="197"/>
      <c r="AP134" s="197"/>
      <c r="AQ134" s="197"/>
      <c r="AR134" s="197"/>
      <c r="AS134" s="197"/>
      <c r="AT134" s="197"/>
      <c r="AU134" s="197"/>
      <c r="AV134" s="197"/>
      <c r="AW134" s="197"/>
      <c r="AX134" s="197"/>
      <c r="AY134" s="197"/>
      <c r="AZ134" s="197"/>
      <c r="BA134" s="197"/>
      <c r="BB134" s="197"/>
      <c r="BC134" s="197"/>
      <c r="BD134" s="197"/>
      <c r="BE134" s="197"/>
      <c r="BF134" s="197"/>
      <c r="BG134" s="197"/>
      <c r="BH134" s="197"/>
      <c r="BI134" s="197"/>
      <c r="BJ134" s="197"/>
      <c r="BK134" s="197"/>
      <c r="BL134" s="197"/>
      <c r="BM134" s="197"/>
      <c r="BN134" s="197"/>
      <c r="BO134" s="197"/>
      <c r="BP134" s="197"/>
      <c r="BQ134" s="196"/>
      <c r="BR134" s="196"/>
      <c r="BS134" s="196"/>
      <c r="BT134" s="196"/>
    </row>
    <row r="135" spans="2:72" ht="14.4">
      <c r="B135" s="161"/>
      <c r="C135" s="1080"/>
      <c r="D135" s="1080"/>
      <c r="E135" s="197"/>
      <c r="F135" s="197"/>
      <c r="G135" s="197"/>
      <c r="H135" s="197"/>
      <c r="I135" s="197"/>
      <c r="J135" s="197"/>
      <c r="K135" s="197"/>
      <c r="L135" s="197"/>
      <c r="M135" s="197"/>
      <c r="N135" s="197"/>
      <c r="O135" s="197"/>
      <c r="P135" s="197"/>
      <c r="Q135" s="197"/>
      <c r="R135" s="197"/>
      <c r="S135" s="197"/>
      <c r="T135" s="197"/>
      <c r="U135" s="197"/>
      <c r="V135" s="197"/>
      <c r="W135" s="198"/>
      <c r="X135" s="197"/>
      <c r="Y135" s="197"/>
      <c r="Z135" s="198"/>
      <c r="AA135" s="197"/>
      <c r="AB135" s="197"/>
      <c r="AC135" s="197"/>
      <c r="AD135" s="197"/>
      <c r="AE135" s="197"/>
      <c r="AF135" s="197"/>
      <c r="AG135" s="197"/>
      <c r="AH135" s="197"/>
      <c r="AI135" s="197"/>
      <c r="AJ135" s="197"/>
      <c r="AK135" s="197"/>
      <c r="AL135" s="197"/>
      <c r="AM135" s="197"/>
      <c r="AN135" s="197"/>
      <c r="AO135" s="197"/>
      <c r="AP135" s="197"/>
      <c r="AQ135" s="197"/>
      <c r="AR135" s="197"/>
      <c r="AS135" s="197"/>
      <c r="AT135" s="197"/>
      <c r="AU135" s="197"/>
      <c r="AV135" s="197"/>
      <c r="AW135" s="197"/>
      <c r="AX135" s="197"/>
      <c r="AY135" s="197"/>
      <c r="AZ135" s="197"/>
      <c r="BA135" s="197"/>
      <c r="BB135" s="197"/>
      <c r="BC135" s="197"/>
      <c r="BD135" s="197"/>
      <c r="BE135" s="197"/>
      <c r="BF135" s="197"/>
      <c r="BG135" s="197"/>
      <c r="BH135" s="197"/>
      <c r="BI135" s="197"/>
      <c r="BJ135" s="197"/>
      <c r="BK135" s="197"/>
      <c r="BL135" s="197"/>
      <c r="BM135" s="197"/>
      <c r="BN135" s="197"/>
      <c r="BO135" s="197"/>
      <c r="BP135" s="197"/>
      <c r="BQ135" s="196"/>
      <c r="BR135" s="196"/>
      <c r="BS135" s="196"/>
      <c r="BT135" s="196"/>
    </row>
    <row r="136" spans="2:72" ht="14.4">
      <c r="B136" s="161"/>
      <c r="C136" s="1080"/>
      <c r="D136" s="1080"/>
      <c r="E136" s="197"/>
      <c r="F136" s="197"/>
      <c r="G136" s="197"/>
      <c r="H136" s="197"/>
      <c r="I136" s="197"/>
      <c r="J136" s="197"/>
      <c r="K136" s="197"/>
      <c r="L136" s="197"/>
      <c r="M136" s="197"/>
      <c r="N136" s="197"/>
      <c r="O136" s="197"/>
      <c r="P136" s="197"/>
      <c r="Q136" s="197"/>
      <c r="R136" s="197"/>
      <c r="S136" s="197"/>
      <c r="T136" s="197"/>
      <c r="U136" s="197"/>
      <c r="V136" s="197"/>
      <c r="W136" s="198"/>
      <c r="X136" s="197"/>
      <c r="Y136" s="197"/>
      <c r="Z136" s="198"/>
      <c r="AA136" s="197"/>
      <c r="AB136" s="197"/>
      <c r="AC136" s="197"/>
      <c r="AD136" s="197"/>
      <c r="AE136" s="197"/>
      <c r="AF136" s="197"/>
      <c r="AG136" s="197"/>
      <c r="AH136" s="197"/>
      <c r="AI136" s="197"/>
      <c r="AJ136" s="197"/>
      <c r="AK136" s="197"/>
      <c r="AL136" s="197"/>
      <c r="AM136" s="197"/>
      <c r="AN136" s="197"/>
      <c r="AO136" s="197"/>
      <c r="AP136" s="197"/>
      <c r="AQ136" s="197"/>
      <c r="AR136" s="197"/>
      <c r="AS136" s="197"/>
      <c r="AT136" s="197"/>
      <c r="AU136" s="197"/>
      <c r="AV136" s="197"/>
      <c r="AW136" s="197"/>
      <c r="AX136" s="197"/>
      <c r="AY136" s="197"/>
      <c r="AZ136" s="197"/>
      <c r="BA136" s="197"/>
      <c r="BB136" s="197"/>
      <c r="BC136" s="197"/>
      <c r="BD136" s="197"/>
      <c r="BE136" s="197"/>
      <c r="BF136" s="197"/>
      <c r="BG136" s="197"/>
      <c r="BH136" s="197"/>
      <c r="BI136" s="197"/>
      <c r="BJ136" s="197"/>
      <c r="BK136" s="197"/>
      <c r="BL136" s="197"/>
      <c r="BM136" s="197"/>
      <c r="BN136" s="197"/>
      <c r="BO136" s="197"/>
      <c r="BP136" s="197"/>
      <c r="BQ136" s="196"/>
      <c r="BR136" s="196"/>
      <c r="BS136" s="196"/>
      <c r="BT136" s="196"/>
    </row>
    <row r="137" spans="2:72" ht="14.4">
      <c r="B137" s="161"/>
      <c r="C137" s="1080"/>
      <c r="D137" s="1080"/>
      <c r="E137" s="197"/>
      <c r="F137" s="197"/>
      <c r="G137" s="197"/>
      <c r="H137" s="197"/>
      <c r="I137" s="197"/>
      <c r="J137" s="197"/>
      <c r="K137" s="197"/>
      <c r="L137" s="197"/>
      <c r="M137" s="197"/>
      <c r="N137" s="197"/>
      <c r="O137" s="197"/>
      <c r="P137" s="197"/>
      <c r="Q137" s="197"/>
      <c r="R137" s="197"/>
      <c r="S137" s="197"/>
      <c r="T137" s="197"/>
      <c r="U137" s="197"/>
      <c r="V137" s="197"/>
      <c r="W137" s="198"/>
      <c r="X137" s="197"/>
      <c r="Y137" s="197"/>
      <c r="Z137" s="198"/>
      <c r="AA137" s="197"/>
      <c r="AB137" s="197"/>
      <c r="AC137" s="197"/>
      <c r="AD137" s="197"/>
      <c r="AE137" s="197"/>
      <c r="AF137" s="197"/>
      <c r="AG137" s="197"/>
      <c r="AH137" s="197"/>
      <c r="AI137" s="197"/>
      <c r="AJ137" s="197"/>
      <c r="AK137" s="197"/>
      <c r="AL137" s="197"/>
      <c r="AM137" s="197"/>
      <c r="AN137" s="197"/>
      <c r="AO137" s="197"/>
      <c r="AP137" s="197"/>
      <c r="AQ137" s="197"/>
      <c r="AR137" s="197"/>
      <c r="AS137" s="197"/>
      <c r="AT137" s="197"/>
      <c r="AU137" s="197"/>
      <c r="AV137" s="197"/>
      <c r="AW137" s="197"/>
      <c r="AX137" s="197"/>
      <c r="AY137" s="197"/>
      <c r="AZ137" s="197"/>
      <c r="BA137" s="197"/>
      <c r="BB137" s="197"/>
      <c r="BC137" s="197"/>
      <c r="BD137" s="197"/>
      <c r="BE137" s="197"/>
      <c r="BF137" s="197"/>
      <c r="BG137" s="197"/>
      <c r="BH137" s="197"/>
      <c r="BI137" s="197"/>
      <c r="BJ137" s="197"/>
      <c r="BK137" s="197"/>
      <c r="BL137" s="197"/>
      <c r="BM137" s="197"/>
      <c r="BN137" s="197"/>
      <c r="BO137" s="197"/>
      <c r="BP137" s="197"/>
      <c r="BQ137" s="196"/>
      <c r="BR137" s="196"/>
      <c r="BS137" s="196"/>
      <c r="BT137" s="196"/>
    </row>
    <row r="138" spans="2:72" ht="14.4">
      <c r="B138" s="161"/>
      <c r="C138" s="1080"/>
      <c r="D138" s="1080"/>
      <c r="E138" s="197"/>
      <c r="F138" s="197"/>
      <c r="G138" s="197"/>
      <c r="H138" s="197"/>
      <c r="I138" s="197"/>
      <c r="J138" s="197"/>
      <c r="K138" s="197"/>
      <c r="L138" s="197"/>
      <c r="M138" s="197"/>
      <c r="N138" s="197"/>
      <c r="O138" s="197"/>
      <c r="P138" s="197"/>
      <c r="Q138" s="197"/>
      <c r="R138" s="197"/>
      <c r="S138" s="197"/>
      <c r="T138" s="197"/>
      <c r="U138" s="197"/>
      <c r="V138" s="197"/>
      <c r="W138" s="198"/>
      <c r="X138" s="197"/>
      <c r="Y138" s="197"/>
      <c r="Z138" s="198"/>
      <c r="AA138" s="197"/>
      <c r="AB138" s="197"/>
      <c r="AC138" s="197"/>
      <c r="AD138" s="197"/>
      <c r="AE138" s="197"/>
      <c r="AF138" s="197"/>
      <c r="AG138" s="197"/>
      <c r="AH138" s="197"/>
      <c r="AI138" s="197"/>
      <c r="AJ138" s="197"/>
      <c r="AK138" s="197"/>
      <c r="AL138" s="197"/>
      <c r="AM138" s="197"/>
      <c r="AN138" s="197"/>
      <c r="AO138" s="197"/>
      <c r="AP138" s="197"/>
      <c r="AQ138" s="197"/>
      <c r="AR138" s="197"/>
      <c r="AS138" s="197"/>
      <c r="AT138" s="197"/>
      <c r="AU138" s="197"/>
      <c r="AV138" s="197"/>
      <c r="AW138" s="197"/>
      <c r="AX138" s="197"/>
      <c r="AY138" s="197"/>
      <c r="AZ138" s="197"/>
      <c r="BA138" s="197"/>
      <c r="BB138" s="197"/>
      <c r="BC138" s="197"/>
      <c r="BD138" s="197"/>
      <c r="BE138" s="197"/>
      <c r="BF138" s="197"/>
      <c r="BG138" s="197"/>
      <c r="BH138" s="197"/>
      <c r="BI138" s="197"/>
      <c r="BJ138" s="197"/>
      <c r="BK138" s="197"/>
      <c r="BL138" s="197"/>
      <c r="BM138" s="197"/>
      <c r="BN138" s="197"/>
      <c r="BO138" s="197"/>
      <c r="BP138" s="197"/>
      <c r="BQ138" s="196"/>
      <c r="BR138" s="196"/>
      <c r="BS138" s="196"/>
      <c r="BT138" s="196"/>
    </row>
    <row r="139" spans="2:72" ht="14.4">
      <c r="B139" s="161"/>
      <c r="C139" s="1080"/>
      <c r="D139" s="1080"/>
      <c r="E139" s="197"/>
      <c r="F139" s="197"/>
      <c r="G139" s="197"/>
      <c r="H139" s="197"/>
      <c r="I139" s="197"/>
      <c r="J139" s="197"/>
      <c r="K139" s="197"/>
      <c r="L139" s="197"/>
      <c r="M139" s="197"/>
      <c r="N139" s="197"/>
      <c r="O139" s="197"/>
      <c r="P139" s="197"/>
      <c r="Q139" s="197"/>
      <c r="R139" s="197"/>
      <c r="S139" s="197"/>
      <c r="T139" s="197"/>
      <c r="U139" s="197"/>
      <c r="V139" s="197"/>
      <c r="W139" s="198"/>
      <c r="X139" s="197"/>
      <c r="Y139" s="197"/>
      <c r="Z139" s="198"/>
      <c r="AA139" s="197"/>
      <c r="AB139" s="197"/>
      <c r="AC139" s="197"/>
      <c r="AD139" s="197"/>
      <c r="AE139" s="197"/>
      <c r="AF139" s="197"/>
      <c r="AG139" s="197"/>
      <c r="AH139" s="197"/>
      <c r="AI139" s="197"/>
      <c r="AJ139" s="197"/>
      <c r="AK139" s="197"/>
      <c r="AL139" s="197"/>
      <c r="AM139" s="197"/>
      <c r="AN139" s="197"/>
      <c r="AO139" s="197"/>
      <c r="AP139" s="197"/>
      <c r="AQ139" s="197"/>
      <c r="AR139" s="197"/>
      <c r="AS139" s="197"/>
      <c r="AT139" s="197"/>
      <c r="AU139" s="197"/>
      <c r="AV139" s="197"/>
      <c r="AW139" s="197"/>
      <c r="AX139" s="197"/>
      <c r="AY139" s="197"/>
      <c r="AZ139" s="197"/>
      <c r="BA139" s="197"/>
      <c r="BB139" s="197"/>
      <c r="BC139" s="197"/>
      <c r="BD139" s="197"/>
      <c r="BE139" s="197"/>
      <c r="BF139" s="197"/>
      <c r="BG139" s="197"/>
      <c r="BH139" s="197"/>
      <c r="BI139" s="197"/>
      <c r="BJ139" s="197"/>
      <c r="BK139" s="197"/>
      <c r="BL139" s="197"/>
      <c r="BM139" s="197"/>
      <c r="BN139" s="197"/>
      <c r="BO139" s="197"/>
      <c r="BP139" s="197"/>
      <c r="BQ139" s="196"/>
      <c r="BR139" s="196"/>
      <c r="BS139" s="196"/>
      <c r="BT139" s="196"/>
    </row>
    <row r="140" spans="2:72" ht="14.4">
      <c r="B140" s="161"/>
      <c r="C140" s="1080"/>
      <c r="D140" s="1080"/>
      <c r="E140" s="197"/>
      <c r="F140" s="197"/>
      <c r="G140" s="197"/>
      <c r="H140" s="197"/>
      <c r="I140" s="197"/>
      <c r="J140" s="197"/>
      <c r="K140" s="197"/>
      <c r="L140" s="197"/>
      <c r="M140" s="197"/>
      <c r="N140" s="197"/>
      <c r="O140" s="197"/>
      <c r="P140" s="197"/>
      <c r="Q140" s="197"/>
      <c r="R140" s="197"/>
      <c r="S140" s="197"/>
      <c r="T140" s="197"/>
      <c r="U140" s="197"/>
      <c r="V140" s="197"/>
      <c r="W140" s="198"/>
      <c r="X140" s="197"/>
      <c r="Y140" s="197"/>
      <c r="Z140" s="198"/>
      <c r="AA140" s="197"/>
      <c r="AB140" s="197"/>
      <c r="AC140" s="197"/>
      <c r="AD140" s="197"/>
      <c r="AE140" s="197"/>
      <c r="AF140" s="197"/>
      <c r="AG140" s="197"/>
      <c r="AH140" s="197"/>
      <c r="AI140" s="197"/>
      <c r="AJ140" s="197"/>
      <c r="AK140" s="197"/>
      <c r="AL140" s="197"/>
      <c r="AM140" s="197"/>
      <c r="AN140" s="197"/>
      <c r="AO140" s="197"/>
      <c r="AP140" s="197"/>
      <c r="AQ140" s="197"/>
      <c r="AR140" s="197"/>
      <c r="AS140" s="197"/>
      <c r="AT140" s="197"/>
      <c r="AU140" s="197"/>
      <c r="AV140" s="197"/>
      <c r="AW140" s="197"/>
      <c r="AX140" s="197"/>
      <c r="AY140" s="197"/>
      <c r="AZ140" s="197"/>
      <c r="BA140" s="197"/>
      <c r="BB140" s="197"/>
      <c r="BC140" s="197"/>
      <c r="BD140" s="197"/>
      <c r="BE140" s="197"/>
      <c r="BF140" s="197"/>
      <c r="BG140" s="197"/>
      <c r="BH140" s="197"/>
      <c r="BI140" s="197"/>
      <c r="BJ140" s="197"/>
      <c r="BK140" s="197"/>
      <c r="BL140" s="197"/>
      <c r="BM140" s="197"/>
      <c r="BN140" s="197"/>
      <c r="BO140" s="197"/>
      <c r="BP140" s="197"/>
      <c r="BQ140" s="196"/>
      <c r="BR140" s="196"/>
      <c r="BS140" s="196"/>
      <c r="BT140" s="196"/>
    </row>
    <row r="141" spans="2:72" ht="14.4">
      <c r="B141" s="161"/>
      <c r="C141" s="1080"/>
      <c r="D141" s="1080"/>
      <c r="E141" s="197"/>
      <c r="F141" s="197"/>
      <c r="G141" s="197"/>
      <c r="H141" s="197"/>
      <c r="I141" s="197"/>
      <c r="J141" s="197"/>
      <c r="K141" s="197"/>
      <c r="L141" s="197"/>
      <c r="M141" s="197"/>
      <c r="N141" s="197"/>
      <c r="O141" s="197"/>
      <c r="P141" s="197"/>
      <c r="Q141" s="197"/>
      <c r="R141" s="197"/>
      <c r="S141" s="197"/>
      <c r="T141" s="197"/>
      <c r="U141" s="197"/>
      <c r="V141" s="197"/>
      <c r="W141" s="198"/>
      <c r="X141" s="197"/>
      <c r="Y141" s="197"/>
      <c r="Z141" s="198"/>
      <c r="AA141" s="197"/>
      <c r="AB141" s="197"/>
      <c r="AC141" s="197"/>
      <c r="AD141" s="197"/>
      <c r="AE141" s="197"/>
      <c r="AF141" s="197"/>
      <c r="AG141" s="197"/>
      <c r="AH141" s="197"/>
      <c r="AI141" s="197"/>
      <c r="AJ141" s="197"/>
      <c r="AK141" s="197"/>
      <c r="AL141" s="197"/>
      <c r="AM141" s="197"/>
      <c r="AN141" s="197"/>
      <c r="AO141" s="197"/>
      <c r="AP141" s="197"/>
      <c r="AQ141" s="197"/>
      <c r="AR141" s="197"/>
      <c r="AS141" s="197"/>
      <c r="AT141" s="197"/>
      <c r="AU141" s="197"/>
      <c r="AV141" s="197"/>
      <c r="AW141" s="197"/>
      <c r="AX141" s="197"/>
      <c r="AY141" s="197"/>
      <c r="AZ141" s="197"/>
      <c r="BA141" s="197"/>
      <c r="BB141" s="197"/>
      <c r="BC141" s="197"/>
      <c r="BD141" s="197"/>
      <c r="BE141" s="197"/>
      <c r="BF141" s="197"/>
      <c r="BG141" s="197"/>
      <c r="BH141" s="197"/>
      <c r="BI141" s="197"/>
      <c r="BJ141" s="197"/>
      <c r="BK141" s="197"/>
      <c r="BL141" s="197"/>
      <c r="BM141" s="197"/>
      <c r="BN141" s="197"/>
      <c r="BO141" s="197"/>
      <c r="BP141" s="197"/>
      <c r="BQ141" s="196"/>
      <c r="BR141" s="196"/>
      <c r="BS141" s="196"/>
      <c r="BT141" s="196"/>
    </row>
    <row r="142" spans="2:72" ht="14.4">
      <c r="B142" s="161"/>
      <c r="C142" s="1080"/>
      <c r="D142" s="1080"/>
      <c r="E142" s="197"/>
      <c r="F142" s="197"/>
      <c r="G142" s="197"/>
      <c r="H142" s="197"/>
      <c r="I142" s="197"/>
      <c r="J142" s="197"/>
      <c r="K142" s="197"/>
      <c r="L142" s="197"/>
      <c r="M142" s="197"/>
      <c r="N142" s="197"/>
      <c r="O142" s="197"/>
      <c r="P142" s="197"/>
      <c r="Q142" s="197"/>
      <c r="R142" s="197"/>
      <c r="S142" s="197"/>
      <c r="T142" s="197"/>
      <c r="U142" s="197"/>
      <c r="V142" s="197"/>
      <c r="W142" s="198"/>
      <c r="X142" s="197"/>
      <c r="Y142" s="197"/>
      <c r="Z142" s="198"/>
      <c r="AA142" s="197"/>
      <c r="AB142" s="197"/>
      <c r="AC142" s="197"/>
      <c r="AD142" s="197"/>
      <c r="AE142" s="197"/>
      <c r="AF142" s="197"/>
      <c r="AG142" s="197"/>
      <c r="AH142" s="197"/>
      <c r="AI142" s="197"/>
      <c r="AJ142" s="197"/>
      <c r="AK142" s="197"/>
      <c r="AL142" s="197"/>
      <c r="AM142" s="197"/>
      <c r="AN142" s="197"/>
      <c r="AO142" s="197"/>
      <c r="AP142" s="197"/>
      <c r="AQ142" s="197"/>
      <c r="AR142" s="197"/>
      <c r="AS142" s="197"/>
      <c r="AT142" s="197"/>
      <c r="AU142" s="197"/>
      <c r="AV142" s="197"/>
      <c r="AW142" s="197"/>
      <c r="AX142" s="197"/>
      <c r="AY142" s="197"/>
      <c r="AZ142" s="197"/>
      <c r="BA142" s="197"/>
      <c r="BB142" s="197"/>
      <c r="BC142" s="197"/>
      <c r="BD142" s="197"/>
      <c r="BE142" s="197"/>
      <c r="BF142" s="197"/>
      <c r="BG142" s="197"/>
      <c r="BH142" s="197"/>
      <c r="BI142" s="197"/>
      <c r="BJ142" s="197"/>
      <c r="BK142" s="197"/>
      <c r="BL142" s="197"/>
      <c r="BM142" s="197"/>
      <c r="BN142" s="197"/>
      <c r="BO142" s="197"/>
      <c r="BP142" s="197"/>
      <c r="BQ142" s="196"/>
      <c r="BR142" s="196"/>
      <c r="BS142" s="196"/>
      <c r="BT142" s="196"/>
    </row>
    <row r="143" spans="2:72" ht="14.4">
      <c r="B143" s="161"/>
      <c r="C143" s="1080"/>
      <c r="D143" s="1080"/>
      <c r="E143" s="197"/>
      <c r="F143" s="197"/>
      <c r="G143" s="197"/>
      <c r="H143" s="197"/>
      <c r="I143" s="197"/>
      <c r="J143" s="197"/>
      <c r="K143" s="197"/>
      <c r="L143" s="197"/>
      <c r="M143" s="197"/>
      <c r="N143" s="197"/>
      <c r="O143" s="197"/>
      <c r="P143" s="197"/>
      <c r="Q143" s="197"/>
      <c r="R143" s="197"/>
      <c r="S143" s="197"/>
      <c r="T143" s="197"/>
      <c r="U143" s="197"/>
      <c r="V143" s="197"/>
      <c r="W143" s="198"/>
      <c r="X143" s="197"/>
      <c r="Y143" s="197"/>
      <c r="Z143" s="198"/>
      <c r="AA143" s="197"/>
      <c r="AB143" s="197"/>
      <c r="AC143" s="197"/>
      <c r="AD143" s="197"/>
      <c r="AE143" s="197"/>
      <c r="AF143" s="197"/>
      <c r="AG143" s="197"/>
      <c r="AH143" s="197"/>
      <c r="AI143" s="197"/>
      <c r="AJ143" s="197"/>
      <c r="AK143" s="197"/>
      <c r="AL143" s="197"/>
      <c r="AM143" s="197"/>
      <c r="AN143" s="197"/>
      <c r="AO143" s="197"/>
      <c r="AP143" s="197"/>
      <c r="AQ143" s="197"/>
      <c r="AR143" s="197"/>
      <c r="AS143" s="197"/>
      <c r="AT143" s="197"/>
      <c r="AU143" s="197"/>
      <c r="AV143" s="197"/>
      <c r="AW143" s="197"/>
      <c r="AX143" s="197"/>
      <c r="AY143" s="197"/>
      <c r="AZ143" s="197"/>
      <c r="BA143" s="197"/>
      <c r="BB143" s="197"/>
      <c r="BC143" s="197"/>
      <c r="BD143" s="197"/>
      <c r="BE143" s="197"/>
      <c r="BF143" s="197"/>
      <c r="BG143" s="197"/>
      <c r="BH143" s="197"/>
      <c r="BI143" s="197"/>
      <c r="BJ143" s="197"/>
      <c r="BK143" s="197"/>
      <c r="BL143" s="197"/>
      <c r="BM143" s="197"/>
      <c r="BN143" s="197"/>
      <c r="BO143" s="197"/>
      <c r="BP143" s="197"/>
      <c r="BQ143" s="196"/>
      <c r="BR143" s="196"/>
      <c r="BS143" s="196"/>
      <c r="BT143" s="196"/>
    </row>
    <row r="144" spans="2:72" ht="14.4">
      <c r="B144" s="161"/>
      <c r="C144" s="1080"/>
      <c r="D144" s="1080"/>
      <c r="E144" s="197"/>
      <c r="F144" s="197"/>
      <c r="G144" s="197"/>
      <c r="H144" s="197"/>
      <c r="I144" s="197"/>
      <c r="J144" s="197"/>
      <c r="K144" s="197"/>
      <c r="L144" s="197"/>
      <c r="M144" s="197"/>
      <c r="N144" s="197"/>
      <c r="O144" s="197"/>
      <c r="P144" s="197"/>
      <c r="Q144" s="197"/>
      <c r="R144" s="197"/>
      <c r="S144" s="197"/>
      <c r="T144" s="197"/>
      <c r="U144" s="197"/>
      <c r="V144" s="197"/>
      <c r="W144" s="198"/>
      <c r="X144" s="197"/>
      <c r="Y144" s="197"/>
      <c r="Z144" s="198"/>
      <c r="AA144" s="197"/>
      <c r="AB144" s="197"/>
      <c r="AC144" s="197"/>
      <c r="AD144" s="197"/>
      <c r="AE144" s="197"/>
      <c r="AF144" s="197"/>
      <c r="AG144" s="197"/>
      <c r="AH144" s="197"/>
      <c r="AI144" s="197"/>
      <c r="AJ144" s="197"/>
      <c r="AK144" s="197"/>
      <c r="AL144" s="197"/>
      <c r="AM144" s="197"/>
      <c r="AN144" s="197"/>
      <c r="AO144" s="197"/>
      <c r="AP144" s="197"/>
      <c r="AQ144" s="197"/>
      <c r="AR144" s="197"/>
      <c r="AS144" s="197"/>
      <c r="AT144" s="197"/>
      <c r="AU144" s="197"/>
      <c r="AV144" s="197"/>
      <c r="AW144" s="197"/>
      <c r="AX144" s="197"/>
      <c r="AY144" s="197"/>
      <c r="AZ144" s="197"/>
      <c r="BA144" s="197"/>
      <c r="BB144" s="197"/>
      <c r="BC144" s="197"/>
      <c r="BD144" s="197"/>
      <c r="BE144" s="197"/>
      <c r="BF144" s="197"/>
      <c r="BG144" s="197"/>
      <c r="BH144" s="197"/>
      <c r="BI144" s="197"/>
      <c r="BJ144" s="197"/>
      <c r="BK144" s="197"/>
      <c r="BL144" s="197"/>
      <c r="BM144" s="197"/>
      <c r="BN144" s="197"/>
      <c r="BO144" s="197"/>
      <c r="BP144" s="197"/>
      <c r="BQ144" s="196"/>
      <c r="BR144" s="196"/>
      <c r="BS144" s="196"/>
      <c r="BT144" s="196"/>
    </row>
    <row r="145" spans="2:72" ht="14.4">
      <c r="B145" s="161"/>
      <c r="C145" s="1080"/>
      <c r="D145" s="1080"/>
      <c r="E145" s="197"/>
      <c r="F145" s="197"/>
      <c r="G145" s="197"/>
      <c r="H145" s="197"/>
      <c r="I145" s="197"/>
      <c r="J145" s="197"/>
      <c r="K145" s="197"/>
      <c r="L145" s="197"/>
      <c r="M145" s="197"/>
      <c r="N145" s="197"/>
      <c r="O145" s="197"/>
      <c r="P145" s="197"/>
      <c r="Q145" s="197"/>
      <c r="R145" s="197"/>
      <c r="S145" s="197"/>
      <c r="T145" s="197"/>
      <c r="U145" s="197"/>
      <c r="V145" s="197"/>
      <c r="W145" s="198"/>
      <c r="X145" s="197"/>
      <c r="Y145" s="197"/>
      <c r="Z145" s="198"/>
      <c r="AA145" s="197"/>
      <c r="AB145" s="197"/>
      <c r="AC145" s="197"/>
      <c r="AD145" s="197"/>
      <c r="AE145" s="197"/>
      <c r="AF145" s="197"/>
      <c r="AG145" s="197"/>
      <c r="AH145" s="197"/>
      <c r="AI145" s="197"/>
      <c r="AJ145" s="197"/>
      <c r="AK145" s="197"/>
      <c r="AL145" s="197"/>
      <c r="AM145" s="197"/>
      <c r="AN145" s="197"/>
      <c r="AO145" s="197"/>
      <c r="AP145" s="197"/>
      <c r="AQ145" s="197"/>
      <c r="AR145" s="197"/>
      <c r="AS145" s="197"/>
      <c r="AT145" s="197"/>
      <c r="AU145" s="197"/>
      <c r="AV145" s="197"/>
      <c r="AW145" s="197"/>
      <c r="AX145" s="197"/>
      <c r="AY145" s="197"/>
      <c r="AZ145" s="197"/>
      <c r="BA145" s="197"/>
      <c r="BB145" s="197"/>
      <c r="BC145" s="197"/>
      <c r="BD145" s="197"/>
      <c r="BE145" s="197"/>
      <c r="BF145" s="197"/>
      <c r="BG145" s="197"/>
      <c r="BH145" s="197"/>
      <c r="BI145" s="197"/>
      <c r="BJ145" s="197"/>
      <c r="BK145" s="197"/>
      <c r="BL145" s="197"/>
      <c r="BM145" s="197"/>
      <c r="BN145" s="197"/>
      <c r="BO145" s="197"/>
      <c r="BP145" s="197"/>
      <c r="BQ145" s="196"/>
      <c r="BR145" s="196"/>
      <c r="BS145" s="196"/>
      <c r="BT145" s="196"/>
    </row>
    <row r="146" spans="2:72" ht="14.4">
      <c r="B146" s="161"/>
      <c r="C146" s="1080"/>
      <c r="D146" s="1080"/>
      <c r="E146" s="197"/>
      <c r="F146" s="197"/>
      <c r="G146" s="197"/>
      <c r="H146" s="197"/>
      <c r="I146" s="197"/>
      <c r="J146" s="197"/>
      <c r="K146" s="197"/>
      <c r="L146" s="197"/>
      <c r="M146" s="197"/>
      <c r="N146" s="197"/>
      <c r="O146" s="197"/>
      <c r="P146" s="197"/>
      <c r="Q146" s="197"/>
      <c r="R146" s="197"/>
      <c r="S146" s="197"/>
      <c r="T146" s="197"/>
      <c r="U146" s="197"/>
      <c r="V146" s="197"/>
      <c r="W146" s="198"/>
      <c r="X146" s="197"/>
      <c r="Y146" s="197"/>
      <c r="Z146" s="198"/>
      <c r="AA146" s="197"/>
      <c r="AB146" s="197"/>
      <c r="AC146" s="197"/>
      <c r="AD146" s="197"/>
      <c r="AE146" s="197"/>
      <c r="AF146" s="197"/>
      <c r="AG146" s="197"/>
      <c r="AH146" s="197"/>
      <c r="AI146" s="197"/>
      <c r="AJ146" s="197"/>
      <c r="AK146" s="197"/>
      <c r="AL146" s="197"/>
      <c r="AM146" s="197"/>
      <c r="AN146" s="197"/>
      <c r="AO146" s="197"/>
      <c r="AP146" s="197"/>
      <c r="AQ146" s="197"/>
      <c r="AR146" s="197"/>
      <c r="AS146" s="197"/>
      <c r="AT146" s="197"/>
      <c r="AU146" s="197"/>
      <c r="AV146" s="197"/>
      <c r="AW146" s="197"/>
      <c r="AX146" s="197"/>
      <c r="AY146" s="197"/>
      <c r="AZ146" s="197"/>
      <c r="BA146" s="197"/>
      <c r="BB146" s="197"/>
      <c r="BC146" s="197"/>
      <c r="BD146" s="197"/>
      <c r="BE146" s="197"/>
      <c r="BF146" s="197"/>
      <c r="BG146" s="197"/>
      <c r="BH146" s="197"/>
      <c r="BI146" s="197"/>
      <c r="BJ146" s="197"/>
      <c r="BK146" s="197"/>
      <c r="BL146" s="197"/>
      <c r="BM146" s="197"/>
      <c r="BN146" s="197"/>
      <c r="BO146" s="197"/>
      <c r="BP146" s="197"/>
      <c r="BQ146" s="196"/>
      <c r="BR146" s="196"/>
      <c r="BS146" s="196"/>
      <c r="BT146" s="196"/>
    </row>
    <row r="147" spans="2:72" ht="14.4">
      <c r="B147" s="161"/>
      <c r="C147" s="1080"/>
      <c r="D147" s="1080"/>
      <c r="E147" s="197"/>
      <c r="F147" s="197"/>
      <c r="G147" s="197"/>
      <c r="H147" s="197"/>
      <c r="I147" s="197"/>
      <c r="J147" s="197"/>
      <c r="K147" s="197"/>
      <c r="L147" s="197"/>
      <c r="M147" s="197"/>
      <c r="N147" s="197"/>
      <c r="O147" s="197"/>
      <c r="P147" s="197"/>
      <c r="Q147" s="197"/>
      <c r="R147" s="197"/>
      <c r="S147" s="197"/>
      <c r="T147" s="197"/>
      <c r="U147" s="197"/>
      <c r="V147" s="197"/>
      <c r="W147" s="198"/>
      <c r="X147" s="197"/>
      <c r="Y147" s="197"/>
      <c r="Z147" s="198"/>
      <c r="AA147" s="197"/>
      <c r="AB147" s="197"/>
      <c r="AC147" s="197"/>
      <c r="AD147" s="197"/>
      <c r="AE147" s="197"/>
      <c r="AF147" s="197"/>
      <c r="AG147" s="197"/>
      <c r="AH147" s="197"/>
      <c r="AI147" s="197"/>
      <c r="AJ147" s="197"/>
      <c r="AK147" s="197"/>
      <c r="AL147" s="197"/>
      <c r="AM147" s="197"/>
      <c r="AN147" s="197"/>
      <c r="AO147" s="197"/>
      <c r="AP147" s="197"/>
      <c r="AQ147" s="197"/>
      <c r="AR147" s="197"/>
      <c r="AS147" s="197"/>
      <c r="AT147" s="197"/>
      <c r="AU147" s="197"/>
      <c r="AV147" s="197"/>
      <c r="AW147" s="197"/>
      <c r="AX147" s="197"/>
      <c r="AY147" s="197"/>
      <c r="AZ147" s="197"/>
      <c r="BA147" s="197"/>
      <c r="BB147" s="197"/>
      <c r="BC147" s="197"/>
      <c r="BD147" s="197"/>
      <c r="BE147" s="197"/>
      <c r="BF147" s="197"/>
      <c r="BG147" s="197"/>
      <c r="BH147" s="197"/>
      <c r="BI147" s="197"/>
      <c r="BJ147" s="197"/>
      <c r="BK147" s="197"/>
      <c r="BL147" s="197"/>
      <c r="BM147" s="197"/>
      <c r="BN147" s="197"/>
      <c r="BO147" s="197"/>
      <c r="BP147" s="197"/>
      <c r="BQ147" s="196"/>
      <c r="BR147" s="196"/>
      <c r="BS147" s="196"/>
      <c r="BT147" s="196"/>
    </row>
    <row r="148" spans="2:72" ht="14.4">
      <c r="B148" s="161"/>
      <c r="C148" s="1080"/>
      <c r="D148" s="1080"/>
      <c r="E148" s="197"/>
      <c r="F148" s="197"/>
      <c r="G148" s="197"/>
      <c r="H148" s="197"/>
      <c r="I148" s="197"/>
      <c r="J148" s="197"/>
      <c r="K148" s="197"/>
      <c r="L148" s="197"/>
      <c r="M148" s="197"/>
      <c r="N148" s="197"/>
      <c r="O148" s="197"/>
      <c r="P148" s="197"/>
      <c r="Q148" s="197"/>
      <c r="R148" s="197"/>
      <c r="S148" s="197"/>
      <c r="T148" s="197"/>
      <c r="U148" s="197"/>
      <c r="V148" s="197"/>
      <c r="W148" s="198"/>
      <c r="X148" s="197"/>
      <c r="Y148" s="197"/>
      <c r="Z148" s="198"/>
      <c r="AA148" s="197"/>
      <c r="AB148" s="197"/>
      <c r="AC148" s="197"/>
      <c r="AD148" s="197"/>
      <c r="AE148" s="197"/>
      <c r="AF148" s="197"/>
      <c r="AG148" s="197"/>
      <c r="AH148" s="197"/>
      <c r="AI148" s="197"/>
      <c r="AJ148" s="197"/>
      <c r="AK148" s="197"/>
      <c r="AL148" s="197"/>
      <c r="AM148" s="197"/>
      <c r="AN148" s="197"/>
      <c r="AO148" s="197"/>
      <c r="AP148" s="197"/>
      <c r="AQ148" s="197"/>
      <c r="AR148" s="197"/>
      <c r="AS148" s="197"/>
      <c r="AT148" s="197"/>
      <c r="AU148" s="197"/>
      <c r="AV148" s="197"/>
      <c r="AW148" s="197"/>
      <c r="AX148" s="197"/>
      <c r="AY148" s="197"/>
      <c r="AZ148" s="197"/>
      <c r="BA148" s="197"/>
      <c r="BB148" s="197"/>
      <c r="BC148" s="197"/>
      <c r="BD148" s="197"/>
      <c r="BE148" s="197"/>
      <c r="BF148" s="197"/>
      <c r="BG148" s="197"/>
      <c r="BH148" s="197"/>
      <c r="BI148" s="197"/>
      <c r="BJ148" s="197"/>
      <c r="BK148" s="197"/>
      <c r="BL148" s="197"/>
      <c r="BM148" s="197"/>
      <c r="BN148" s="197"/>
      <c r="BO148" s="197"/>
      <c r="BP148" s="197"/>
      <c r="BQ148" s="196"/>
      <c r="BR148" s="196"/>
      <c r="BS148" s="196"/>
      <c r="BT148" s="196"/>
    </row>
    <row r="149" spans="2:72" ht="14.4">
      <c r="B149" s="161"/>
      <c r="C149" s="1080"/>
      <c r="D149" s="1080"/>
      <c r="E149" s="197"/>
      <c r="F149" s="197"/>
      <c r="G149" s="197"/>
      <c r="H149" s="197"/>
      <c r="I149" s="197"/>
      <c r="J149" s="197"/>
      <c r="K149" s="197"/>
      <c r="L149" s="197"/>
      <c r="M149" s="197"/>
      <c r="N149" s="197"/>
      <c r="O149" s="197"/>
      <c r="P149" s="197"/>
      <c r="Q149" s="197"/>
      <c r="R149" s="197"/>
      <c r="S149" s="197"/>
      <c r="T149" s="197"/>
      <c r="U149" s="197"/>
      <c r="V149" s="197"/>
      <c r="W149" s="198"/>
      <c r="X149" s="197"/>
      <c r="Y149" s="197"/>
      <c r="Z149" s="198"/>
      <c r="AA149" s="197"/>
      <c r="AB149" s="197"/>
      <c r="AC149" s="197"/>
      <c r="AD149" s="197"/>
      <c r="AE149" s="197"/>
      <c r="AF149" s="197"/>
      <c r="AG149" s="197"/>
      <c r="AH149" s="197"/>
      <c r="AI149" s="197"/>
      <c r="AJ149" s="197"/>
      <c r="AK149" s="197"/>
      <c r="AL149" s="197"/>
      <c r="AM149" s="197"/>
      <c r="AN149" s="197"/>
      <c r="AO149" s="197"/>
      <c r="AP149" s="197"/>
      <c r="AQ149" s="197"/>
      <c r="AR149" s="197"/>
      <c r="AS149" s="197"/>
      <c r="AT149" s="197"/>
      <c r="AU149" s="197"/>
      <c r="AV149" s="197"/>
      <c r="AW149" s="197"/>
      <c r="AX149" s="197"/>
      <c r="AY149" s="197"/>
      <c r="AZ149" s="197"/>
      <c r="BA149" s="197"/>
      <c r="BB149" s="197"/>
      <c r="BC149" s="197"/>
      <c r="BD149" s="197"/>
      <c r="BE149" s="197"/>
      <c r="BF149" s="197"/>
      <c r="BG149" s="197"/>
      <c r="BH149" s="197"/>
      <c r="BI149" s="197"/>
      <c r="BJ149" s="197"/>
      <c r="BK149" s="197"/>
      <c r="BL149" s="197"/>
      <c r="BM149" s="197"/>
      <c r="BN149" s="197"/>
      <c r="BO149" s="197"/>
      <c r="BP149" s="197"/>
      <c r="BQ149" s="196"/>
      <c r="BR149" s="196"/>
      <c r="BS149" s="196"/>
      <c r="BT149" s="196"/>
    </row>
    <row r="150" spans="2:72" ht="14.4">
      <c r="B150" s="161"/>
      <c r="C150" s="1080"/>
      <c r="D150" s="1080"/>
      <c r="E150" s="197"/>
      <c r="F150" s="197"/>
      <c r="G150" s="197"/>
      <c r="H150" s="197"/>
      <c r="I150" s="197"/>
      <c r="J150" s="197"/>
      <c r="K150" s="197"/>
      <c r="L150" s="197"/>
      <c r="M150" s="197"/>
      <c r="N150" s="197"/>
      <c r="O150" s="197"/>
      <c r="P150" s="197"/>
      <c r="Q150" s="197"/>
      <c r="R150" s="197"/>
      <c r="S150" s="197"/>
      <c r="T150" s="197"/>
      <c r="U150" s="197"/>
      <c r="V150" s="197"/>
      <c r="W150" s="198"/>
      <c r="X150" s="197"/>
      <c r="Y150" s="197"/>
      <c r="Z150" s="198"/>
      <c r="AA150" s="197"/>
      <c r="AB150" s="197"/>
      <c r="AC150" s="197"/>
      <c r="AD150" s="197"/>
      <c r="AE150" s="197"/>
      <c r="AF150" s="197"/>
      <c r="AG150" s="197"/>
      <c r="AH150" s="197"/>
      <c r="AI150" s="197"/>
      <c r="AJ150" s="197"/>
      <c r="AK150" s="197"/>
      <c r="AL150" s="197"/>
      <c r="AM150" s="197"/>
      <c r="AN150" s="197"/>
      <c r="AO150" s="197"/>
      <c r="AP150" s="197"/>
      <c r="AQ150" s="197"/>
      <c r="AR150" s="197"/>
      <c r="AS150" s="197"/>
      <c r="AT150" s="197"/>
      <c r="AU150" s="197"/>
      <c r="AV150" s="197"/>
      <c r="AW150" s="197"/>
      <c r="AX150" s="197"/>
      <c r="AY150" s="197"/>
      <c r="AZ150" s="197"/>
      <c r="BA150" s="197"/>
      <c r="BB150" s="197"/>
      <c r="BC150" s="197"/>
      <c r="BD150" s="197"/>
      <c r="BE150" s="197"/>
      <c r="BF150" s="197"/>
      <c r="BG150" s="197"/>
      <c r="BH150" s="197"/>
      <c r="BI150" s="197"/>
      <c r="BJ150" s="197"/>
      <c r="BK150" s="197"/>
      <c r="BL150" s="197"/>
      <c r="BM150" s="197"/>
      <c r="BN150" s="197"/>
      <c r="BO150" s="197"/>
      <c r="BP150" s="197"/>
      <c r="BQ150" s="196"/>
      <c r="BR150" s="196"/>
      <c r="BS150" s="196"/>
      <c r="BT150" s="196"/>
    </row>
    <row r="151" spans="2:72" ht="14.4">
      <c r="B151" s="161"/>
      <c r="C151" s="1080"/>
      <c r="D151" s="1080"/>
      <c r="E151" s="197"/>
      <c r="F151" s="197"/>
      <c r="G151" s="197"/>
      <c r="H151" s="197"/>
      <c r="I151" s="197"/>
      <c r="J151" s="197"/>
      <c r="K151" s="197"/>
      <c r="L151" s="197"/>
      <c r="M151" s="197"/>
      <c r="N151" s="197"/>
      <c r="O151" s="197"/>
      <c r="P151" s="197"/>
      <c r="Q151" s="197"/>
      <c r="R151" s="197"/>
      <c r="S151" s="197"/>
      <c r="T151" s="197"/>
      <c r="U151" s="197"/>
      <c r="V151" s="197"/>
      <c r="W151" s="198"/>
      <c r="X151" s="197"/>
      <c r="Y151" s="197"/>
      <c r="Z151" s="198"/>
      <c r="AA151" s="197"/>
      <c r="AB151" s="197"/>
      <c r="AC151" s="197"/>
      <c r="AD151" s="197"/>
      <c r="AE151" s="197"/>
      <c r="AF151" s="197"/>
      <c r="AG151" s="197"/>
      <c r="AH151" s="197"/>
      <c r="AI151" s="197"/>
      <c r="AJ151" s="197"/>
      <c r="AK151" s="197"/>
      <c r="AL151" s="197"/>
      <c r="AM151" s="197"/>
      <c r="AN151" s="197"/>
      <c r="AO151" s="197"/>
      <c r="AP151" s="197"/>
      <c r="AQ151" s="197"/>
      <c r="AR151" s="197"/>
      <c r="AS151" s="197"/>
      <c r="AT151" s="197"/>
      <c r="AU151" s="197"/>
      <c r="AV151" s="197"/>
      <c r="AW151" s="197"/>
      <c r="AX151" s="197"/>
      <c r="AY151" s="197"/>
      <c r="AZ151" s="197"/>
      <c r="BA151" s="197"/>
      <c r="BB151" s="197"/>
      <c r="BC151" s="197"/>
      <c r="BD151" s="197"/>
      <c r="BE151" s="197"/>
      <c r="BF151" s="197"/>
      <c r="BG151" s="197"/>
      <c r="BH151" s="197"/>
      <c r="BI151" s="197"/>
      <c r="BJ151" s="197"/>
      <c r="BK151" s="197"/>
      <c r="BL151" s="197"/>
      <c r="BM151" s="197"/>
      <c r="BN151" s="197"/>
      <c r="BO151" s="197"/>
      <c r="BP151" s="197"/>
      <c r="BQ151" s="196"/>
      <c r="BR151" s="196"/>
      <c r="BS151" s="196"/>
      <c r="BT151" s="196"/>
    </row>
    <row r="152" spans="2:72" ht="14.4">
      <c r="B152" s="161"/>
      <c r="C152" s="1080"/>
      <c r="D152" s="1080"/>
      <c r="E152" s="197"/>
      <c r="F152" s="197"/>
      <c r="G152" s="197"/>
      <c r="H152" s="197"/>
      <c r="I152" s="197"/>
      <c r="J152" s="197"/>
      <c r="K152" s="197"/>
      <c r="L152" s="197"/>
      <c r="M152" s="197"/>
      <c r="N152" s="197"/>
      <c r="O152" s="197"/>
      <c r="P152" s="197"/>
      <c r="Q152" s="197"/>
      <c r="R152" s="197"/>
      <c r="S152" s="197"/>
      <c r="T152" s="197"/>
      <c r="U152" s="197"/>
      <c r="V152" s="197"/>
      <c r="W152" s="198"/>
      <c r="X152" s="197"/>
      <c r="Y152" s="197"/>
      <c r="Z152" s="198"/>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6"/>
      <c r="BR152" s="196"/>
      <c r="BS152" s="196"/>
      <c r="BT152" s="196"/>
    </row>
    <row r="153" spans="2:72" ht="14.4">
      <c r="B153" s="161"/>
      <c r="C153" s="1080"/>
      <c r="D153" s="1080"/>
      <c r="E153" s="197"/>
      <c r="F153" s="197"/>
      <c r="G153" s="197"/>
      <c r="H153" s="197"/>
      <c r="I153" s="197"/>
      <c r="J153" s="197"/>
      <c r="K153" s="197"/>
      <c r="L153" s="197"/>
      <c r="M153" s="197"/>
      <c r="N153" s="197"/>
      <c r="O153" s="197"/>
      <c r="P153" s="197"/>
      <c r="Q153" s="197"/>
      <c r="R153" s="197"/>
      <c r="S153" s="197"/>
      <c r="T153" s="197"/>
      <c r="U153" s="197"/>
      <c r="V153" s="197"/>
      <c r="W153" s="198"/>
      <c r="X153" s="197"/>
      <c r="Y153" s="197"/>
      <c r="Z153" s="198"/>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6"/>
      <c r="BR153" s="196"/>
      <c r="BS153" s="196"/>
      <c r="BT153" s="196"/>
    </row>
    <row r="154" spans="2:72" ht="14.4">
      <c r="B154" s="161"/>
      <c r="C154" s="1080"/>
      <c r="D154" s="1080"/>
      <c r="E154" s="197"/>
      <c r="F154" s="197"/>
      <c r="G154" s="197"/>
      <c r="H154" s="197"/>
      <c r="I154" s="197"/>
      <c r="J154" s="197"/>
      <c r="K154" s="197"/>
      <c r="L154" s="197"/>
      <c r="M154" s="197"/>
      <c r="N154" s="197"/>
      <c r="O154" s="197"/>
      <c r="P154" s="197"/>
      <c r="Q154" s="197"/>
      <c r="R154" s="197"/>
      <c r="S154" s="197"/>
      <c r="T154" s="197"/>
      <c r="U154" s="197"/>
      <c r="V154" s="197"/>
      <c r="W154" s="198"/>
      <c r="X154" s="197"/>
      <c r="Y154" s="197"/>
      <c r="Z154" s="198"/>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6"/>
      <c r="BR154" s="196"/>
      <c r="BS154" s="196"/>
      <c r="BT154" s="196"/>
    </row>
    <row r="155" spans="2:72" ht="14.4">
      <c r="B155" s="161"/>
      <c r="C155" s="1080"/>
      <c r="D155" s="1080"/>
      <c r="E155" s="197"/>
      <c r="F155" s="197"/>
      <c r="G155" s="197"/>
      <c r="H155" s="197"/>
      <c r="I155" s="197"/>
      <c r="J155" s="197"/>
      <c r="K155" s="197"/>
      <c r="L155" s="197"/>
      <c r="M155" s="197"/>
      <c r="N155" s="197"/>
      <c r="O155" s="197"/>
      <c r="P155" s="197"/>
      <c r="Q155" s="197"/>
      <c r="R155" s="197"/>
      <c r="S155" s="197"/>
      <c r="T155" s="197"/>
      <c r="U155" s="197"/>
      <c r="V155" s="197"/>
      <c r="W155" s="198"/>
      <c r="X155" s="197"/>
      <c r="Y155" s="197"/>
      <c r="Z155" s="198"/>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6"/>
      <c r="BR155" s="196"/>
      <c r="BS155" s="196"/>
      <c r="BT155" s="196"/>
    </row>
    <row r="156" spans="2:72" ht="14.4">
      <c r="B156" s="161"/>
      <c r="C156" s="1080"/>
      <c r="D156" s="1080"/>
      <c r="E156" s="197"/>
      <c r="F156" s="197"/>
      <c r="G156" s="197"/>
      <c r="H156" s="197"/>
      <c r="I156" s="197"/>
      <c r="J156" s="197"/>
      <c r="K156" s="197"/>
      <c r="L156" s="197"/>
      <c r="M156" s="197"/>
      <c r="N156" s="197"/>
      <c r="O156" s="197"/>
      <c r="P156" s="197"/>
      <c r="Q156" s="197"/>
      <c r="R156" s="197"/>
      <c r="S156" s="197"/>
      <c r="T156" s="197"/>
      <c r="U156" s="197"/>
      <c r="V156" s="197"/>
      <c r="W156" s="198"/>
      <c r="X156" s="197"/>
      <c r="Y156" s="197"/>
      <c r="Z156" s="198"/>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6"/>
      <c r="BR156" s="196"/>
      <c r="BS156" s="196"/>
      <c r="BT156" s="196"/>
    </row>
    <row r="157" spans="2:72" ht="14.4">
      <c r="B157" s="161"/>
      <c r="C157" s="1080"/>
      <c r="D157" s="1080"/>
      <c r="E157" s="197"/>
      <c r="F157" s="197"/>
      <c r="G157" s="197"/>
      <c r="H157" s="197"/>
      <c r="I157" s="197"/>
      <c r="J157" s="197"/>
      <c r="K157" s="197"/>
      <c r="L157" s="197"/>
      <c r="M157" s="197"/>
      <c r="N157" s="197"/>
      <c r="O157" s="197"/>
      <c r="P157" s="197"/>
      <c r="Q157" s="197"/>
      <c r="R157" s="197"/>
      <c r="S157" s="197"/>
      <c r="T157" s="197"/>
      <c r="U157" s="197"/>
      <c r="V157" s="197"/>
      <c r="W157" s="198"/>
      <c r="X157" s="197"/>
      <c r="Y157" s="197"/>
      <c r="Z157" s="198"/>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6"/>
      <c r="BR157" s="196"/>
      <c r="BS157" s="196"/>
      <c r="BT157" s="196"/>
    </row>
    <row r="158" spans="2:72" ht="14.4">
      <c r="B158" s="161"/>
      <c r="C158" s="1080"/>
      <c r="D158" s="1080"/>
      <c r="E158" s="197"/>
      <c r="F158" s="197"/>
      <c r="G158" s="197"/>
      <c r="H158" s="197"/>
      <c r="I158" s="197"/>
      <c r="J158" s="197"/>
      <c r="K158" s="197"/>
      <c r="L158" s="197"/>
      <c r="M158" s="197"/>
      <c r="N158" s="197"/>
      <c r="O158" s="197"/>
      <c r="P158" s="197"/>
      <c r="Q158" s="197"/>
      <c r="R158" s="197"/>
      <c r="S158" s="197"/>
      <c r="T158" s="197"/>
      <c r="U158" s="197"/>
      <c r="V158" s="197"/>
      <c r="W158" s="198"/>
      <c r="X158" s="197"/>
      <c r="Y158" s="197"/>
      <c r="Z158" s="198"/>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6"/>
      <c r="BR158" s="196"/>
      <c r="BS158" s="196"/>
      <c r="BT158" s="196"/>
    </row>
    <row r="159" spans="2:72" ht="14.4">
      <c r="B159" s="161"/>
      <c r="C159" s="1080"/>
      <c r="D159" s="1080"/>
      <c r="E159" s="197"/>
      <c r="F159" s="197"/>
      <c r="G159" s="197"/>
      <c r="H159" s="197"/>
      <c r="I159" s="197"/>
      <c r="J159" s="197"/>
      <c r="K159" s="197"/>
      <c r="L159" s="197"/>
      <c r="M159" s="197"/>
      <c r="N159" s="197"/>
      <c r="O159" s="197"/>
      <c r="P159" s="197"/>
      <c r="Q159" s="197"/>
      <c r="R159" s="197"/>
      <c r="S159" s="197"/>
      <c r="T159" s="197"/>
      <c r="U159" s="197"/>
      <c r="V159" s="197"/>
      <c r="W159" s="198"/>
      <c r="X159" s="197"/>
      <c r="Y159" s="197"/>
      <c r="Z159" s="198"/>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6"/>
      <c r="BR159" s="196"/>
      <c r="BS159" s="196"/>
      <c r="BT159" s="196"/>
    </row>
    <row r="160" spans="2:72" ht="14.4">
      <c r="B160" s="161"/>
      <c r="C160" s="1080"/>
      <c r="D160" s="1080"/>
      <c r="E160" s="197"/>
      <c r="F160" s="197"/>
      <c r="G160" s="197"/>
      <c r="H160" s="197"/>
      <c r="I160" s="197"/>
      <c r="J160" s="197"/>
      <c r="K160" s="197"/>
      <c r="L160" s="197"/>
      <c r="M160" s="197"/>
      <c r="N160" s="197"/>
      <c r="O160" s="197"/>
      <c r="P160" s="197"/>
      <c r="Q160" s="197"/>
      <c r="R160" s="197"/>
      <c r="S160" s="197"/>
      <c r="T160" s="197"/>
      <c r="U160" s="197"/>
      <c r="V160" s="197"/>
      <c r="W160" s="198"/>
      <c r="X160" s="197"/>
      <c r="Y160" s="197"/>
      <c r="Z160" s="198"/>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6"/>
      <c r="BR160" s="196"/>
      <c r="BS160" s="196"/>
      <c r="BT160" s="196"/>
    </row>
    <row r="161" spans="2:72" ht="14.4">
      <c r="B161" s="161"/>
      <c r="C161" s="1080"/>
      <c r="D161" s="1080"/>
      <c r="E161" s="197"/>
      <c r="F161" s="197"/>
      <c r="G161" s="197"/>
      <c r="H161" s="197"/>
      <c r="I161" s="197"/>
      <c r="J161" s="197"/>
      <c r="K161" s="197"/>
      <c r="L161" s="197"/>
      <c r="M161" s="197"/>
      <c r="N161" s="197"/>
      <c r="O161" s="197"/>
      <c r="P161" s="197"/>
      <c r="Q161" s="197"/>
      <c r="R161" s="197"/>
      <c r="S161" s="197"/>
      <c r="T161" s="197"/>
      <c r="U161" s="197"/>
      <c r="V161" s="197"/>
      <c r="W161" s="198"/>
      <c r="X161" s="197"/>
      <c r="Y161" s="197"/>
      <c r="Z161" s="198"/>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6"/>
      <c r="BR161" s="196"/>
      <c r="BS161" s="196"/>
      <c r="BT161" s="196"/>
    </row>
    <row r="162" spans="2:72" ht="14.4">
      <c r="B162" s="161"/>
      <c r="C162" s="1080"/>
      <c r="D162" s="1080"/>
      <c r="E162" s="197"/>
      <c r="F162" s="197"/>
      <c r="G162" s="197"/>
      <c r="H162" s="197"/>
      <c r="I162" s="197"/>
      <c r="J162" s="197"/>
      <c r="K162" s="197"/>
      <c r="L162" s="197"/>
      <c r="M162" s="197"/>
      <c r="N162" s="197"/>
      <c r="O162" s="197"/>
      <c r="P162" s="197"/>
      <c r="Q162" s="197"/>
      <c r="R162" s="197"/>
      <c r="S162" s="197"/>
      <c r="T162" s="197"/>
      <c r="U162" s="197"/>
      <c r="V162" s="197"/>
      <c r="W162" s="198"/>
      <c r="X162" s="197"/>
      <c r="Y162" s="197"/>
      <c r="Z162" s="198"/>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6"/>
      <c r="BR162" s="196"/>
      <c r="BS162" s="196"/>
      <c r="BT162" s="196"/>
    </row>
    <row r="163" spans="2:72" ht="14.4">
      <c r="B163" s="161"/>
      <c r="C163" s="1080"/>
      <c r="D163" s="1080"/>
      <c r="E163" s="197"/>
      <c r="F163" s="197"/>
      <c r="G163" s="197"/>
      <c r="H163" s="197"/>
      <c r="I163" s="197"/>
      <c r="J163" s="197"/>
      <c r="K163" s="197"/>
      <c r="L163" s="197"/>
      <c r="M163" s="197"/>
      <c r="N163" s="197"/>
      <c r="O163" s="197"/>
      <c r="P163" s="197"/>
      <c r="Q163" s="197"/>
      <c r="R163" s="197"/>
      <c r="S163" s="197"/>
      <c r="T163" s="197"/>
      <c r="U163" s="197"/>
      <c r="V163" s="197"/>
      <c r="W163" s="198"/>
      <c r="X163" s="197"/>
      <c r="Y163" s="197"/>
      <c r="Z163" s="198"/>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6"/>
      <c r="BR163" s="196"/>
      <c r="BS163" s="196"/>
      <c r="BT163" s="196"/>
    </row>
    <row r="164" spans="2:72" ht="14.4">
      <c r="B164" s="161"/>
      <c r="C164" s="1080"/>
      <c r="D164" s="1080"/>
      <c r="E164" s="197"/>
      <c r="F164" s="197"/>
      <c r="G164" s="197"/>
      <c r="H164" s="197"/>
      <c r="I164" s="197"/>
      <c r="J164" s="197"/>
      <c r="K164" s="197"/>
      <c r="L164" s="197"/>
      <c r="M164" s="197"/>
      <c r="N164" s="197"/>
      <c r="O164" s="197"/>
      <c r="P164" s="197"/>
      <c r="Q164" s="197"/>
      <c r="R164" s="197"/>
      <c r="S164" s="197"/>
      <c r="T164" s="197"/>
      <c r="U164" s="197"/>
      <c r="V164" s="197"/>
      <c r="W164" s="198"/>
      <c r="X164" s="197"/>
      <c r="Y164" s="197"/>
      <c r="Z164" s="198"/>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6"/>
      <c r="BR164" s="196"/>
      <c r="BS164" s="196"/>
      <c r="BT164" s="196"/>
    </row>
    <row r="165" spans="2:72" ht="14.4">
      <c r="B165" s="161"/>
      <c r="C165" s="1080"/>
      <c r="D165" s="1080"/>
      <c r="E165" s="197"/>
      <c r="F165" s="197"/>
      <c r="G165" s="197"/>
      <c r="H165" s="197"/>
      <c r="I165" s="197"/>
      <c r="J165" s="197"/>
      <c r="K165" s="197"/>
      <c r="L165" s="197"/>
      <c r="M165" s="197"/>
      <c r="N165" s="197"/>
      <c r="O165" s="197"/>
      <c r="P165" s="197"/>
      <c r="Q165" s="197"/>
      <c r="R165" s="197"/>
      <c r="S165" s="197"/>
      <c r="T165" s="197"/>
      <c r="U165" s="197"/>
      <c r="V165" s="197"/>
      <c r="W165" s="198"/>
      <c r="X165" s="197"/>
      <c r="Y165" s="197"/>
      <c r="Z165" s="198"/>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6"/>
      <c r="BR165" s="196"/>
      <c r="BS165" s="196"/>
      <c r="BT165" s="196"/>
    </row>
    <row r="166" spans="2:72" ht="14.4">
      <c r="B166" s="161"/>
      <c r="C166" s="1080"/>
      <c r="D166" s="1080"/>
      <c r="E166" s="197"/>
      <c r="F166" s="197"/>
      <c r="G166" s="197"/>
      <c r="H166" s="197"/>
      <c r="I166" s="197"/>
      <c r="J166" s="197"/>
      <c r="K166" s="197"/>
      <c r="L166" s="197"/>
      <c r="M166" s="197"/>
      <c r="N166" s="197"/>
      <c r="O166" s="197"/>
      <c r="P166" s="197"/>
      <c r="Q166" s="197"/>
      <c r="R166" s="197"/>
      <c r="S166" s="197"/>
      <c r="T166" s="197"/>
      <c r="U166" s="197"/>
      <c r="V166" s="197"/>
      <c r="W166" s="198"/>
      <c r="X166" s="197"/>
      <c r="Y166" s="197"/>
      <c r="Z166" s="198"/>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6"/>
      <c r="BR166" s="196"/>
      <c r="BS166" s="196"/>
      <c r="BT166" s="196"/>
    </row>
    <row r="167" spans="2:72" ht="14.4">
      <c r="B167" s="161"/>
      <c r="C167" s="1080"/>
      <c r="D167" s="1080"/>
      <c r="E167" s="197"/>
      <c r="F167" s="197"/>
      <c r="G167" s="197"/>
      <c r="H167" s="197"/>
      <c r="I167" s="197"/>
      <c r="J167" s="197"/>
      <c r="K167" s="197"/>
      <c r="L167" s="197"/>
      <c r="M167" s="197"/>
      <c r="N167" s="197"/>
      <c r="O167" s="197"/>
      <c r="P167" s="197"/>
      <c r="Q167" s="197"/>
      <c r="R167" s="197"/>
      <c r="S167" s="197"/>
      <c r="T167" s="197"/>
      <c r="U167" s="197"/>
      <c r="V167" s="197"/>
      <c r="W167" s="198"/>
      <c r="X167" s="197"/>
      <c r="Y167" s="197"/>
      <c r="Z167" s="198"/>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6"/>
      <c r="BR167" s="196"/>
      <c r="BS167" s="196"/>
      <c r="BT167" s="196"/>
    </row>
    <row r="168" spans="2:72" ht="14.4">
      <c r="B168" s="161"/>
      <c r="C168" s="1080"/>
      <c r="D168" s="1080"/>
      <c r="E168" s="197"/>
      <c r="F168" s="197"/>
      <c r="G168" s="197"/>
      <c r="H168" s="197"/>
      <c r="I168" s="197"/>
      <c r="J168" s="197"/>
      <c r="K168" s="197"/>
      <c r="L168" s="197"/>
      <c r="M168" s="197"/>
      <c r="N168" s="197"/>
      <c r="O168" s="197"/>
      <c r="P168" s="197"/>
      <c r="Q168" s="197"/>
      <c r="R168" s="197"/>
      <c r="S168" s="197"/>
      <c r="T168" s="197"/>
      <c r="U168" s="197"/>
      <c r="V168" s="197"/>
      <c r="W168" s="198"/>
      <c r="X168" s="197"/>
      <c r="Y168" s="197"/>
      <c r="Z168" s="198"/>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6"/>
      <c r="BR168" s="196"/>
      <c r="BS168" s="196"/>
      <c r="BT168" s="196"/>
    </row>
    <row r="169" spans="2:72" ht="14.4">
      <c r="B169" s="161"/>
      <c r="C169" s="1080"/>
      <c r="D169" s="1080"/>
      <c r="E169" s="197"/>
      <c r="F169" s="197"/>
      <c r="G169" s="197"/>
      <c r="H169" s="197"/>
      <c r="I169" s="197"/>
      <c r="J169" s="197"/>
      <c r="K169" s="197"/>
      <c r="L169" s="197"/>
      <c r="M169" s="197"/>
      <c r="N169" s="197"/>
      <c r="O169" s="197"/>
      <c r="P169" s="197"/>
      <c r="Q169" s="197"/>
      <c r="R169" s="197"/>
      <c r="S169" s="197"/>
      <c r="T169" s="197"/>
      <c r="U169" s="197"/>
      <c r="V169" s="197"/>
      <c r="W169" s="198"/>
      <c r="X169" s="197"/>
      <c r="Y169" s="197"/>
      <c r="Z169" s="198"/>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6"/>
      <c r="BR169" s="196"/>
      <c r="BS169" s="196"/>
      <c r="BT169" s="196"/>
    </row>
    <row r="170" spans="2:72" ht="14.4">
      <c r="B170" s="161"/>
      <c r="C170" s="1080"/>
      <c r="D170" s="1080"/>
      <c r="E170" s="197"/>
      <c r="F170" s="197"/>
      <c r="G170" s="197"/>
      <c r="H170" s="197"/>
      <c r="I170" s="197"/>
      <c r="J170" s="197"/>
      <c r="K170" s="197"/>
      <c r="L170" s="197"/>
      <c r="M170" s="197"/>
      <c r="N170" s="197"/>
      <c r="O170" s="197"/>
      <c r="P170" s="197"/>
      <c r="Q170" s="197"/>
      <c r="R170" s="197"/>
      <c r="S170" s="197"/>
      <c r="T170" s="197"/>
      <c r="U170" s="197"/>
      <c r="V170" s="197"/>
      <c r="W170" s="198"/>
      <c r="X170" s="197"/>
      <c r="Y170" s="197"/>
      <c r="Z170" s="198"/>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6"/>
      <c r="BR170" s="196"/>
      <c r="BS170" s="196"/>
      <c r="BT170" s="196"/>
    </row>
    <row r="171" spans="2:72" ht="14.4">
      <c r="B171" s="161"/>
      <c r="C171" s="1080"/>
      <c r="D171" s="1080"/>
      <c r="E171" s="197"/>
      <c r="F171" s="197"/>
      <c r="G171" s="197"/>
      <c r="H171" s="197"/>
      <c r="I171" s="197"/>
      <c r="J171" s="197"/>
      <c r="K171" s="197"/>
      <c r="L171" s="197"/>
      <c r="M171" s="197"/>
      <c r="N171" s="197"/>
      <c r="O171" s="197"/>
      <c r="P171" s="197"/>
      <c r="Q171" s="197"/>
      <c r="R171" s="197"/>
      <c r="S171" s="197"/>
      <c r="T171" s="197"/>
      <c r="U171" s="197"/>
      <c r="V171" s="197"/>
      <c r="W171" s="198"/>
      <c r="X171" s="197"/>
      <c r="Y171" s="197"/>
      <c r="Z171" s="198"/>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6"/>
      <c r="BR171" s="196"/>
      <c r="BS171" s="196"/>
      <c r="BT171" s="196"/>
    </row>
    <row r="172" spans="2:72" ht="14.4">
      <c r="B172" s="161"/>
      <c r="C172" s="1080"/>
      <c r="D172" s="1080"/>
      <c r="E172" s="197"/>
      <c r="F172" s="197"/>
      <c r="G172" s="197"/>
      <c r="H172" s="197"/>
      <c r="I172" s="197"/>
      <c r="J172" s="197"/>
      <c r="K172" s="197"/>
      <c r="L172" s="197"/>
      <c r="M172" s="197"/>
      <c r="N172" s="197"/>
      <c r="O172" s="197"/>
      <c r="P172" s="197"/>
      <c r="Q172" s="197"/>
      <c r="R172" s="197"/>
      <c r="S172" s="197"/>
      <c r="T172" s="197"/>
      <c r="U172" s="197"/>
      <c r="V172" s="197"/>
      <c r="W172" s="198"/>
      <c r="X172" s="197"/>
      <c r="Y172" s="197"/>
      <c r="Z172" s="198"/>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6"/>
      <c r="BR172" s="196"/>
      <c r="BS172" s="196"/>
      <c r="BT172" s="196"/>
    </row>
    <row r="173" spans="2:72" ht="14.4">
      <c r="B173" s="161"/>
      <c r="C173" s="1080"/>
      <c r="D173" s="1080"/>
      <c r="E173" s="197"/>
      <c r="F173" s="197"/>
      <c r="G173" s="197"/>
      <c r="H173" s="197"/>
      <c r="I173" s="197"/>
      <c r="J173" s="197"/>
      <c r="K173" s="197"/>
      <c r="L173" s="197"/>
      <c r="M173" s="197"/>
      <c r="N173" s="197"/>
      <c r="O173" s="197"/>
      <c r="P173" s="197"/>
      <c r="Q173" s="197"/>
      <c r="R173" s="197"/>
      <c r="S173" s="197"/>
      <c r="T173" s="197"/>
      <c r="U173" s="197"/>
      <c r="V173" s="197"/>
      <c r="W173" s="198"/>
      <c r="X173" s="197"/>
      <c r="Y173" s="197"/>
      <c r="Z173" s="198"/>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6"/>
      <c r="BR173" s="196"/>
      <c r="BS173" s="196"/>
      <c r="BT173" s="196"/>
    </row>
    <row r="174" spans="2:72" ht="14.4">
      <c r="B174" s="161"/>
      <c r="C174" s="1080"/>
      <c r="D174" s="1080"/>
      <c r="E174" s="197"/>
      <c r="F174" s="197"/>
      <c r="G174" s="197"/>
      <c r="H174" s="197"/>
      <c r="I174" s="197"/>
      <c r="J174" s="197"/>
      <c r="K174" s="197"/>
      <c r="L174" s="197"/>
      <c r="M174" s="197"/>
      <c r="N174" s="197"/>
      <c r="O174" s="197"/>
      <c r="P174" s="197"/>
      <c r="Q174" s="197"/>
      <c r="R174" s="197"/>
      <c r="S174" s="197"/>
      <c r="T174" s="197"/>
      <c r="U174" s="197"/>
      <c r="V174" s="197"/>
      <c r="W174" s="198"/>
      <c r="X174" s="197"/>
      <c r="Y174" s="197"/>
      <c r="Z174" s="198"/>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6"/>
      <c r="BR174" s="196"/>
      <c r="BS174" s="196"/>
      <c r="BT174" s="196"/>
    </row>
    <row r="175" spans="2:72" ht="14.4">
      <c r="B175" s="161"/>
      <c r="C175" s="1080"/>
      <c r="D175" s="1080"/>
      <c r="E175" s="197"/>
      <c r="F175" s="197"/>
      <c r="G175" s="197"/>
      <c r="H175" s="197"/>
      <c r="I175" s="197"/>
      <c r="J175" s="197"/>
      <c r="K175" s="197"/>
      <c r="L175" s="197"/>
      <c r="M175" s="197"/>
      <c r="N175" s="197"/>
      <c r="O175" s="197"/>
      <c r="P175" s="197"/>
      <c r="Q175" s="197"/>
      <c r="R175" s="197"/>
      <c r="S175" s="197"/>
      <c r="T175" s="197"/>
      <c r="U175" s="197"/>
      <c r="V175" s="197"/>
      <c r="W175" s="198"/>
      <c r="X175" s="197"/>
      <c r="Y175" s="197"/>
      <c r="Z175" s="198"/>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6"/>
      <c r="BR175" s="196"/>
      <c r="BS175" s="196"/>
      <c r="BT175" s="196"/>
    </row>
    <row r="176" spans="2:72" ht="14.4">
      <c r="B176" s="161"/>
      <c r="C176" s="1080"/>
      <c r="D176" s="1080"/>
      <c r="E176" s="197"/>
      <c r="F176" s="197"/>
      <c r="G176" s="197"/>
      <c r="H176" s="197"/>
      <c r="I176" s="197"/>
      <c r="J176" s="197"/>
      <c r="K176" s="197"/>
      <c r="L176" s="197"/>
      <c r="M176" s="197"/>
      <c r="N176" s="197"/>
      <c r="O176" s="197"/>
      <c r="P176" s="197"/>
      <c r="Q176" s="197"/>
      <c r="R176" s="197"/>
      <c r="S176" s="197"/>
      <c r="T176" s="197"/>
      <c r="U176" s="197"/>
      <c r="V176" s="197"/>
      <c r="W176" s="198"/>
      <c r="X176" s="197"/>
      <c r="Y176" s="197"/>
      <c r="Z176" s="198"/>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6"/>
      <c r="BR176" s="196"/>
      <c r="BS176" s="196"/>
      <c r="BT176" s="196"/>
    </row>
    <row r="177" spans="2:72" ht="14.4">
      <c r="B177" s="161"/>
      <c r="C177" s="1080"/>
      <c r="D177" s="1080"/>
      <c r="E177" s="197"/>
      <c r="F177" s="197"/>
      <c r="G177" s="197"/>
      <c r="H177" s="197"/>
      <c r="I177" s="197"/>
      <c r="J177" s="197"/>
      <c r="K177" s="197"/>
      <c r="L177" s="197"/>
      <c r="M177" s="197"/>
      <c r="N177" s="197"/>
      <c r="O177" s="197"/>
      <c r="P177" s="197"/>
      <c r="Q177" s="197"/>
      <c r="R177" s="197"/>
      <c r="S177" s="197"/>
      <c r="T177" s="197"/>
      <c r="U177" s="197"/>
      <c r="V177" s="197"/>
      <c r="W177" s="198"/>
      <c r="X177" s="197"/>
      <c r="Y177" s="197"/>
      <c r="Z177" s="198"/>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6"/>
      <c r="BR177" s="196"/>
      <c r="BS177" s="196"/>
      <c r="BT177" s="196"/>
    </row>
    <row r="178" spans="2:72" ht="14.4">
      <c r="B178" s="161"/>
      <c r="C178" s="1080"/>
      <c r="D178" s="1080"/>
      <c r="E178" s="197"/>
      <c r="F178" s="197"/>
      <c r="G178" s="197"/>
      <c r="H178" s="197"/>
      <c r="I178" s="197"/>
      <c r="J178" s="197"/>
      <c r="K178" s="197"/>
      <c r="L178" s="197"/>
      <c r="M178" s="197"/>
      <c r="N178" s="197"/>
      <c r="O178" s="197"/>
      <c r="P178" s="197"/>
      <c r="Q178" s="197"/>
      <c r="R178" s="197"/>
      <c r="S178" s="197"/>
      <c r="T178" s="197"/>
      <c r="U178" s="197"/>
      <c r="V178" s="197"/>
      <c r="W178" s="198"/>
      <c r="X178" s="197"/>
      <c r="Y178" s="197"/>
      <c r="Z178" s="198"/>
      <c r="AA178" s="197"/>
      <c r="AB178" s="197"/>
      <c r="AC178" s="197"/>
      <c r="AD178" s="197"/>
      <c r="AE178" s="197"/>
      <c r="AF178" s="197"/>
      <c r="AG178" s="197"/>
      <c r="AH178" s="197"/>
      <c r="AI178" s="197"/>
      <c r="AJ178" s="197"/>
      <c r="AK178" s="197"/>
      <c r="AL178" s="197"/>
      <c r="AM178" s="197"/>
      <c r="AN178" s="197"/>
      <c r="AO178" s="197"/>
      <c r="AP178" s="197"/>
      <c r="AQ178" s="197"/>
      <c r="AR178" s="197"/>
      <c r="AS178" s="197"/>
      <c r="AT178" s="197"/>
      <c r="AU178" s="197"/>
      <c r="AV178" s="197"/>
      <c r="AW178" s="197"/>
      <c r="AX178" s="197"/>
      <c r="AY178" s="197"/>
      <c r="AZ178" s="197"/>
      <c r="BA178" s="197"/>
      <c r="BB178" s="197"/>
      <c r="BC178" s="197"/>
      <c r="BD178" s="197"/>
      <c r="BE178" s="197"/>
      <c r="BF178" s="197"/>
      <c r="BG178" s="197"/>
      <c r="BH178" s="197"/>
      <c r="BI178" s="197"/>
      <c r="BJ178" s="197"/>
      <c r="BK178" s="197"/>
      <c r="BL178" s="197"/>
      <c r="BM178" s="197"/>
      <c r="BN178" s="197"/>
      <c r="BO178" s="197"/>
      <c r="BP178" s="197"/>
      <c r="BQ178" s="196"/>
      <c r="BR178" s="196"/>
      <c r="BS178" s="196"/>
      <c r="BT178" s="196"/>
    </row>
    <row r="179" spans="2:72" ht="14.4">
      <c r="B179" s="161"/>
      <c r="C179" s="1080"/>
      <c r="D179" s="1080"/>
      <c r="E179" s="197"/>
      <c r="F179" s="197"/>
      <c r="G179" s="197"/>
      <c r="H179" s="197"/>
      <c r="I179" s="197"/>
      <c r="J179" s="197"/>
      <c r="K179" s="197"/>
      <c r="L179" s="197"/>
      <c r="M179" s="197"/>
      <c r="N179" s="197"/>
      <c r="O179" s="197"/>
      <c r="P179" s="197"/>
      <c r="Q179" s="197"/>
      <c r="R179" s="197"/>
      <c r="S179" s="197"/>
      <c r="T179" s="197"/>
      <c r="U179" s="197"/>
      <c r="V179" s="197"/>
      <c r="W179" s="198"/>
      <c r="X179" s="197"/>
      <c r="Y179" s="197"/>
      <c r="Z179" s="198"/>
      <c r="AA179" s="197"/>
      <c r="AB179" s="197"/>
      <c r="AC179" s="197"/>
      <c r="AD179" s="197"/>
      <c r="AE179" s="197"/>
      <c r="AF179" s="197"/>
      <c r="AG179" s="197"/>
      <c r="AH179" s="197"/>
      <c r="AI179" s="197"/>
      <c r="AJ179" s="197"/>
      <c r="AK179" s="197"/>
      <c r="AL179" s="197"/>
      <c r="AM179" s="197"/>
      <c r="AN179" s="197"/>
      <c r="AO179" s="197"/>
      <c r="AP179" s="197"/>
      <c r="AQ179" s="197"/>
      <c r="AR179" s="197"/>
      <c r="AS179" s="197"/>
      <c r="AT179" s="197"/>
      <c r="AU179" s="197"/>
      <c r="AV179" s="197"/>
      <c r="AW179" s="197"/>
      <c r="AX179" s="197"/>
      <c r="AY179" s="197"/>
      <c r="AZ179" s="197"/>
      <c r="BA179" s="197"/>
      <c r="BB179" s="197"/>
      <c r="BC179" s="197"/>
      <c r="BD179" s="197"/>
      <c r="BE179" s="197"/>
      <c r="BF179" s="197"/>
      <c r="BG179" s="197"/>
      <c r="BH179" s="197"/>
      <c r="BI179" s="197"/>
      <c r="BJ179" s="197"/>
      <c r="BK179" s="197"/>
      <c r="BL179" s="197"/>
      <c r="BM179" s="197"/>
      <c r="BN179" s="197"/>
      <c r="BO179" s="197"/>
      <c r="BP179" s="197"/>
      <c r="BQ179" s="196"/>
      <c r="BR179" s="196"/>
      <c r="BS179" s="196"/>
      <c r="BT179" s="196"/>
    </row>
    <row r="180" spans="2:72" ht="14.4">
      <c r="B180" s="161"/>
      <c r="C180" s="1080"/>
      <c r="D180" s="1080"/>
      <c r="E180" s="197"/>
      <c r="F180" s="197"/>
      <c r="G180" s="197"/>
      <c r="H180" s="197"/>
      <c r="I180" s="197"/>
      <c r="J180" s="197"/>
      <c r="K180" s="197"/>
      <c r="L180" s="197"/>
      <c r="M180" s="197"/>
      <c r="N180" s="197"/>
      <c r="O180" s="197"/>
      <c r="P180" s="197"/>
      <c r="Q180" s="197"/>
      <c r="R180" s="197"/>
      <c r="S180" s="197"/>
      <c r="T180" s="197"/>
      <c r="U180" s="197"/>
      <c r="V180" s="197"/>
      <c r="W180" s="198"/>
      <c r="X180" s="197"/>
      <c r="Y180" s="197"/>
      <c r="Z180" s="198"/>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c r="BM180" s="197"/>
      <c r="BN180" s="197"/>
      <c r="BO180" s="197"/>
      <c r="BP180" s="197"/>
      <c r="BQ180" s="196"/>
      <c r="BR180" s="196"/>
      <c r="BS180" s="196"/>
      <c r="BT180" s="196"/>
    </row>
    <row r="181" spans="2:72" ht="14.4">
      <c r="B181" s="161"/>
      <c r="C181" s="1080"/>
      <c r="D181" s="1080"/>
      <c r="E181" s="197"/>
      <c r="F181" s="197"/>
      <c r="G181" s="197"/>
      <c r="H181" s="197"/>
      <c r="I181" s="197"/>
      <c r="J181" s="197"/>
      <c r="K181" s="197"/>
      <c r="L181" s="197"/>
      <c r="M181" s="197"/>
      <c r="N181" s="197"/>
      <c r="O181" s="197"/>
      <c r="P181" s="197"/>
      <c r="Q181" s="197"/>
      <c r="R181" s="197"/>
      <c r="S181" s="197"/>
      <c r="T181" s="197"/>
      <c r="U181" s="197"/>
      <c r="V181" s="197"/>
      <c r="W181" s="198"/>
      <c r="X181" s="197"/>
      <c r="Y181" s="197"/>
      <c r="Z181" s="198"/>
      <c r="AA181" s="197"/>
      <c r="AB181" s="197"/>
      <c r="AC181" s="197"/>
      <c r="AD181" s="197"/>
      <c r="AE181" s="197"/>
      <c r="AF181" s="197"/>
      <c r="AG181" s="197"/>
      <c r="AH181" s="197"/>
      <c r="AI181" s="197"/>
      <c r="AJ181" s="197"/>
      <c r="AK181" s="197"/>
      <c r="AL181" s="197"/>
      <c r="AM181" s="197"/>
      <c r="AN181" s="197"/>
      <c r="AO181" s="197"/>
      <c r="AP181" s="197"/>
      <c r="AQ181" s="197"/>
      <c r="AR181" s="197"/>
      <c r="AS181" s="197"/>
      <c r="AT181" s="197"/>
      <c r="AU181" s="197"/>
      <c r="AV181" s="197"/>
      <c r="AW181" s="197"/>
      <c r="AX181" s="197"/>
      <c r="AY181" s="197"/>
      <c r="AZ181" s="197"/>
      <c r="BA181" s="197"/>
      <c r="BB181" s="197"/>
      <c r="BC181" s="197"/>
      <c r="BD181" s="197"/>
      <c r="BE181" s="197"/>
      <c r="BF181" s="197"/>
      <c r="BG181" s="197"/>
      <c r="BH181" s="197"/>
      <c r="BI181" s="197"/>
      <c r="BJ181" s="197"/>
      <c r="BK181" s="197"/>
      <c r="BL181" s="197"/>
      <c r="BM181" s="197"/>
      <c r="BN181" s="197"/>
      <c r="BO181" s="197"/>
      <c r="BP181" s="197"/>
      <c r="BQ181" s="196"/>
      <c r="BR181" s="196"/>
      <c r="BS181" s="196"/>
      <c r="BT181" s="196"/>
    </row>
    <row r="182" spans="2:72" ht="14.4">
      <c r="B182" s="161"/>
      <c r="C182" s="1080"/>
      <c r="D182" s="1080"/>
      <c r="E182" s="197"/>
      <c r="F182" s="197"/>
      <c r="G182" s="197"/>
      <c r="H182" s="197"/>
      <c r="I182" s="197"/>
      <c r="J182" s="197"/>
      <c r="K182" s="197"/>
      <c r="L182" s="197"/>
      <c r="M182" s="197"/>
      <c r="N182" s="197"/>
      <c r="O182" s="197"/>
      <c r="P182" s="197"/>
      <c r="Q182" s="197"/>
      <c r="R182" s="197"/>
      <c r="S182" s="197"/>
      <c r="T182" s="197"/>
      <c r="U182" s="197"/>
      <c r="V182" s="197"/>
      <c r="W182" s="198"/>
      <c r="X182" s="197"/>
      <c r="Y182" s="197"/>
      <c r="Z182" s="198"/>
      <c r="AA182" s="197"/>
      <c r="AB182" s="197"/>
      <c r="AC182" s="197"/>
      <c r="AD182" s="197"/>
      <c r="AE182" s="197"/>
      <c r="AF182" s="197"/>
      <c r="AG182" s="197"/>
      <c r="AH182" s="197"/>
      <c r="AI182" s="197"/>
      <c r="AJ182" s="197"/>
      <c r="AK182" s="197"/>
      <c r="AL182" s="197"/>
      <c r="AM182" s="197"/>
      <c r="AN182" s="197"/>
      <c r="AO182" s="197"/>
      <c r="AP182" s="197"/>
      <c r="AQ182" s="197"/>
      <c r="AR182" s="197"/>
      <c r="AS182" s="197"/>
      <c r="AT182" s="197"/>
      <c r="AU182" s="197"/>
      <c r="AV182" s="197"/>
      <c r="AW182" s="197"/>
      <c r="AX182" s="197"/>
      <c r="AY182" s="197"/>
      <c r="AZ182" s="197"/>
      <c r="BA182" s="197"/>
      <c r="BB182" s="197"/>
      <c r="BC182" s="197"/>
      <c r="BD182" s="197"/>
      <c r="BE182" s="197"/>
      <c r="BF182" s="197"/>
      <c r="BG182" s="197"/>
      <c r="BH182" s="197"/>
      <c r="BI182" s="197"/>
      <c r="BJ182" s="197"/>
      <c r="BK182" s="197"/>
      <c r="BL182" s="197"/>
      <c r="BM182" s="197"/>
      <c r="BN182" s="197"/>
      <c r="BO182" s="197"/>
      <c r="BP182" s="197"/>
      <c r="BQ182" s="196"/>
      <c r="BR182" s="196"/>
      <c r="BS182" s="196"/>
      <c r="BT182" s="196"/>
    </row>
    <row r="183" spans="2:72" ht="14.4">
      <c r="B183" s="161"/>
      <c r="C183" s="1080"/>
      <c r="D183" s="1080"/>
      <c r="E183" s="197"/>
      <c r="F183" s="197"/>
      <c r="G183" s="197"/>
      <c r="H183" s="197"/>
      <c r="I183" s="197"/>
      <c r="J183" s="197"/>
      <c r="K183" s="197"/>
      <c r="L183" s="197"/>
      <c r="M183" s="197"/>
      <c r="N183" s="197"/>
      <c r="O183" s="197"/>
      <c r="P183" s="197"/>
      <c r="Q183" s="197"/>
      <c r="R183" s="197"/>
      <c r="S183" s="197"/>
      <c r="T183" s="197"/>
      <c r="U183" s="197"/>
      <c r="V183" s="197"/>
      <c r="W183" s="198"/>
      <c r="X183" s="197"/>
      <c r="Y183" s="197"/>
      <c r="Z183" s="198"/>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c r="BM183" s="197"/>
      <c r="BN183" s="197"/>
      <c r="BO183" s="197"/>
      <c r="BP183" s="197"/>
      <c r="BQ183" s="196"/>
      <c r="BR183" s="196"/>
      <c r="BS183" s="196"/>
      <c r="BT183" s="196"/>
    </row>
    <row r="184" spans="2:72" ht="14.4">
      <c r="B184" s="161"/>
      <c r="C184" s="1080"/>
      <c r="D184" s="1080"/>
      <c r="E184" s="197"/>
      <c r="F184" s="197"/>
      <c r="G184" s="197"/>
      <c r="H184" s="197"/>
      <c r="I184" s="197"/>
      <c r="J184" s="197"/>
      <c r="K184" s="197"/>
      <c r="L184" s="197"/>
      <c r="M184" s="197"/>
      <c r="N184" s="197"/>
      <c r="O184" s="197"/>
      <c r="P184" s="197"/>
      <c r="Q184" s="197"/>
      <c r="R184" s="197"/>
      <c r="S184" s="197"/>
      <c r="T184" s="197"/>
      <c r="U184" s="197"/>
      <c r="V184" s="197"/>
      <c r="W184" s="198"/>
      <c r="X184" s="197"/>
      <c r="Y184" s="197"/>
      <c r="Z184" s="198"/>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197"/>
      <c r="BH184" s="197"/>
      <c r="BI184" s="197"/>
      <c r="BJ184" s="197"/>
      <c r="BK184" s="197"/>
      <c r="BL184" s="197"/>
      <c r="BM184" s="197"/>
      <c r="BN184" s="197"/>
      <c r="BO184" s="197"/>
      <c r="BP184" s="197"/>
      <c r="BQ184" s="196"/>
      <c r="BR184" s="196"/>
      <c r="BS184" s="196"/>
      <c r="BT184" s="196"/>
    </row>
    <row r="185" spans="2:72" ht="14.4">
      <c r="B185" s="161"/>
      <c r="C185" s="1080"/>
      <c r="D185" s="1080"/>
      <c r="E185" s="197"/>
      <c r="F185" s="197"/>
      <c r="G185" s="197"/>
      <c r="H185" s="197"/>
      <c r="I185" s="197"/>
      <c r="J185" s="197"/>
      <c r="K185" s="197"/>
      <c r="L185" s="197"/>
      <c r="M185" s="197"/>
      <c r="N185" s="197"/>
      <c r="O185" s="197"/>
      <c r="P185" s="197"/>
      <c r="Q185" s="197"/>
      <c r="R185" s="197"/>
      <c r="S185" s="197"/>
      <c r="T185" s="197"/>
      <c r="U185" s="197"/>
      <c r="V185" s="197"/>
      <c r="W185" s="198"/>
      <c r="X185" s="197"/>
      <c r="Y185" s="197"/>
      <c r="Z185" s="198"/>
      <c r="AA185" s="197"/>
      <c r="AB185" s="197"/>
      <c r="AC185" s="197"/>
      <c r="AD185" s="197"/>
      <c r="AE185" s="197"/>
      <c r="AF185" s="197"/>
      <c r="AG185" s="197"/>
      <c r="AH185" s="197"/>
      <c r="AI185" s="197"/>
      <c r="AJ185" s="197"/>
      <c r="AK185" s="197"/>
      <c r="AL185" s="197"/>
      <c r="AM185" s="197"/>
      <c r="AN185" s="197"/>
      <c r="AO185" s="197"/>
      <c r="AP185" s="197"/>
      <c r="AQ185" s="197"/>
      <c r="AR185" s="197"/>
      <c r="AS185" s="197"/>
      <c r="AT185" s="197"/>
      <c r="AU185" s="197"/>
      <c r="AV185" s="197"/>
      <c r="AW185" s="197"/>
      <c r="AX185" s="197"/>
      <c r="AY185" s="197"/>
      <c r="AZ185" s="197"/>
      <c r="BA185" s="197"/>
      <c r="BB185" s="197"/>
      <c r="BC185" s="197"/>
      <c r="BD185" s="197"/>
      <c r="BE185" s="197"/>
      <c r="BF185" s="197"/>
      <c r="BG185" s="197"/>
      <c r="BH185" s="197"/>
      <c r="BI185" s="197"/>
      <c r="BJ185" s="197"/>
      <c r="BK185" s="197"/>
      <c r="BL185" s="197"/>
      <c r="BM185" s="197"/>
      <c r="BN185" s="197"/>
      <c r="BO185" s="197"/>
      <c r="BP185" s="197"/>
      <c r="BQ185" s="196"/>
      <c r="BR185" s="196"/>
      <c r="BS185" s="196"/>
      <c r="BT185" s="196"/>
    </row>
    <row r="186" spans="2:72" ht="14.4">
      <c r="B186" s="161"/>
      <c r="C186" s="1080"/>
      <c r="D186" s="1080"/>
      <c r="E186" s="197"/>
      <c r="F186" s="197"/>
      <c r="G186" s="197"/>
      <c r="H186" s="197"/>
      <c r="I186" s="197"/>
      <c r="J186" s="197"/>
      <c r="K186" s="197"/>
      <c r="L186" s="197"/>
      <c r="M186" s="197"/>
      <c r="N186" s="197"/>
      <c r="O186" s="197"/>
      <c r="P186" s="197"/>
      <c r="Q186" s="197"/>
      <c r="R186" s="197"/>
      <c r="S186" s="197"/>
      <c r="T186" s="197"/>
      <c r="U186" s="197"/>
      <c r="V186" s="197"/>
      <c r="W186" s="198"/>
      <c r="X186" s="197"/>
      <c r="Y186" s="197"/>
      <c r="Z186" s="198"/>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6"/>
      <c r="BR186" s="196"/>
      <c r="BS186" s="196"/>
      <c r="BT186" s="196"/>
    </row>
    <row r="187" spans="2:72" ht="14.4">
      <c r="B187" s="161"/>
      <c r="C187" s="1080"/>
      <c r="D187" s="1080"/>
      <c r="E187" s="197"/>
      <c r="F187" s="197"/>
      <c r="G187" s="197"/>
      <c r="H187" s="197"/>
      <c r="I187" s="197"/>
      <c r="J187" s="197"/>
      <c r="K187" s="197"/>
      <c r="L187" s="197"/>
      <c r="M187" s="197"/>
      <c r="N187" s="197"/>
      <c r="O187" s="197"/>
      <c r="P187" s="197"/>
      <c r="Q187" s="197"/>
      <c r="R187" s="197"/>
      <c r="S187" s="197"/>
      <c r="T187" s="197"/>
      <c r="U187" s="197"/>
      <c r="V187" s="197"/>
      <c r="W187" s="198"/>
      <c r="X187" s="197"/>
      <c r="Y187" s="197"/>
      <c r="Z187" s="198"/>
      <c r="AA187" s="197"/>
      <c r="AB187" s="197"/>
      <c r="AC187" s="197"/>
      <c r="AD187" s="197"/>
      <c r="AE187" s="197"/>
      <c r="AF187" s="197"/>
      <c r="AG187" s="197"/>
      <c r="AH187" s="197"/>
      <c r="AI187" s="197"/>
      <c r="AJ187" s="197"/>
      <c r="AK187" s="197"/>
      <c r="AL187" s="197"/>
      <c r="AM187" s="197"/>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6"/>
      <c r="BR187" s="196"/>
      <c r="BS187" s="196"/>
      <c r="BT187" s="196"/>
    </row>
    <row r="188" spans="2:72" ht="14.4">
      <c r="B188" s="161"/>
      <c r="C188" s="1080"/>
      <c r="D188" s="1080"/>
    </row>
    <row r="189" spans="2:72" ht="14.4">
      <c r="B189" s="161"/>
      <c r="C189" s="1080"/>
      <c r="D189" s="1080"/>
    </row>
    <row r="190" spans="2:72" ht="14.4">
      <c r="B190" s="161"/>
      <c r="C190" s="1080"/>
      <c r="D190" s="1080"/>
    </row>
  </sheetData>
  <mergeCells count="1">
    <mergeCell ref="BZ1:CD2"/>
  </mergeCells>
  <printOptions horizontalCentered="1" verticalCentered="1"/>
  <pageMargins left="0.70866141732283472" right="0.70866141732283472" top="0.74803149606299213" bottom="0.74803149606299213" header="0.31496062992125984" footer="0.31496062992125984"/>
  <pageSetup scale="50" firstPageNumber="21" fitToHeight="2" orientation="portrait" useFirstPageNumber="1" r:id="rId1"/>
  <headerFooter scaleWithDoc="0" alignWithMargins="0">
    <oddFooter>&amp;R&amp;P</oddFooter>
  </headerFooter>
  <rowBreaks count="1" manualBreakCount="1">
    <brk id="50" min="75" max="8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C475"/>
  <sheetViews>
    <sheetView showGridLines="0" tabSelected="1" zoomScale="90" zoomScaleNormal="90" workbookViewId="0">
      <pane xSplit="2" ySplit="3" topLeftCell="AC145" activePane="bottomRight" state="frozen"/>
      <selection activeCell="C65" sqref="C65:C67"/>
      <selection pane="topRight" activeCell="C65" sqref="C65:C67"/>
      <selection pane="bottomLeft" activeCell="C65" sqref="C65:C67"/>
      <selection pane="bottomRight" activeCell="BK168" sqref="BK168"/>
    </sheetView>
  </sheetViews>
  <sheetFormatPr baseColWidth="10" defaultColWidth="56.5546875" defaultRowHeight="48.75" customHeight="1"/>
  <cols>
    <col min="1" max="1" width="4.5546875" style="162" bestFit="1" customWidth="1"/>
    <col min="2" max="2" width="52.33203125" style="161" customWidth="1"/>
    <col min="3" max="3" width="24.6640625" style="161" bestFit="1" customWidth="1"/>
    <col min="4" max="4" width="24.6640625" style="161" customWidth="1"/>
    <col min="5" max="5" width="6.5546875" style="162" customWidth="1"/>
    <col min="6" max="67" width="6.6640625" style="162" customWidth="1"/>
    <col min="68" max="70" width="7.6640625" style="162" customWidth="1"/>
    <col min="71" max="73" width="7.6640625" style="161" customWidth="1"/>
    <col min="74" max="74" width="7.6640625" style="162" customWidth="1"/>
    <col min="75" max="81" width="7.6640625" style="161" customWidth="1"/>
    <col min="82" max="116" width="4.6640625" style="161" customWidth="1"/>
    <col min="117" max="16384" width="56.5546875" style="161"/>
  </cols>
  <sheetData>
    <row r="1" spans="1:81" ht="33" customHeight="1">
      <c r="C1" s="2069"/>
      <c r="D1" s="2069"/>
      <c r="E1" s="2069"/>
      <c r="F1" s="2069"/>
      <c r="G1" s="2069"/>
      <c r="H1" s="2069"/>
      <c r="I1" s="2069"/>
      <c r="J1" s="2069"/>
      <c r="K1" s="2069"/>
      <c r="L1" s="2069"/>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069"/>
      <c r="AO1" s="2069"/>
      <c r="AP1" s="2069"/>
      <c r="AQ1" s="2069"/>
      <c r="AR1" s="2069"/>
      <c r="AS1" s="2069"/>
      <c r="AT1" s="2069"/>
      <c r="AU1" s="2069"/>
      <c r="AV1" s="2069"/>
      <c r="AW1" s="2069"/>
      <c r="AX1" s="2069"/>
      <c r="AY1" s="2069"/>
      <c r="AZ1" s="2069"/>
      <c r="BA1" s="2069"/>
      <c r="BB1" s="2069"/>
      <c r="BC1" s="2069"/>
      <c r="BD1" s="2069"/>
      <c r="BE1" s="2069"/>
      <c r="BF1" s="2069"/>
      <c r="BG1" s="2069"/>
      <c r="BH1" s="2069"/>
      <c r="BI1" s="2069"/>
      <c r="BJ1" s="2069"/>
      <c r="BK1" s="2069"/>
      <c r="BL1" s="2069"/>
      <c r="BM1" s="2069"/>
      <c r="BN1" s="2069"/>
      <c r="BO1" s="2069"/>
      <c r="BP1" s="2069"/>
      <c r="BQ1" s="2069"/>
      <c r="BR1" s="2069"/>
      <c r="BY1" s="6946" t="s">
        <v>2448</v>
      </c>
      <c r="BZ1" s="6946"/>
      <c r="CA1" s="6946"/>
      <c r="CB1" s="6946"/>
      <c r="CC1" s="6946"/>
    </row>
    <row r="2" spans="1:81" ht="15" thickBot="1">
      <c r="BQ2" s="61"/>
    </row>
    <row r="3" spans="1:81" ht="61.5" customHeight="1">
      <c r="B3" s="5945" t="s">
        <v>186</v>
      </c>
      <c r="C3" s="6040" t="s">
        <v>2863</v>
      </c>
      <c r="D3" s="6040" t="s">
        <v>2824</v>
      </c>
      <c r="E3" s="5945" t="s">
        <v>497</v>
      </c>
      <c r="F3" s="5945" t="s">
        <v>522</v>
      </c>
      <c r="G3" s="5945" t="s">
        <v>523</v>
      </c>
      <c r="H3" s="5945" t="s">
        <v>524</v>
      </c>
      <c r="I3" s="5945" t="s">
        <v>498</v>
      </c>
      <c r="J3" s="5945" t="s">
        <v>499</v>
      </c>
      <c r="K3" s="5945" t="s">
        <v>500</v>
      </c>
      <c r="L3" s="5945" t="s">
        <v>501</v>
      </c>
      <c r="M3" s="5945" t="s">
        <v>502</v>
      </c>
      <c r="N3" s="5945" t="s">
        <v>503</v>
      </c>
      <c r="O3" s="5945" t="s">
        <v>504</v>
      </c>
      <c r="P3" s="5945" t="s">
        <v>505</v>
      </c>
      <c r="Q3" s="5945" t="s">
        <v>506</v>
      </c>
      <c r="R3" s="5945" t="s">
        <v>507</v>
      </c>
      <c r="S3" s="5945" t="s">
        <v>508</v>
      </c>
      <c r="T3" s="5945" t="s">
        <v>509</v>
      </c>
      <c r="U3" s="5945" t="s">
        <v>510</v>
      </c>
      <c r="V3" s="5945" t="s">
        <v>736</v>
      </c>
      <c r="W3" s="5945" t="s">
        <v>511</v>
      </c>
      <c r="X3" s="5945" t="s">
        <v>512</v>
      </c>
      <c r="Y3" s="5945" t="s">
        <v>513</v>
      </c>
      <c r="Z3" s="5945" t="s">
        <v>514</v>
      </c>
      <c r="AA3" s="5945" t="s">
        <v>515</v>
      </c>
      <c r="AB3" s="5945" t="s">
        <v>516</v>
      </c>
      <c r="AC3" s="5945" t="s">
        <v>364</v>
      </c>
      <c r="AD3" s="5945" t="s">
        <v>365</v>
      </c>
      <c r="AE3" s="5945" t="s">
        <v>366</v>
      </c>
      <c r="AF3" s="5945" t="s">
        <v>517</v>
      </c>
      <c r="AG3" s="5945" t="s">
        <v>518</v>
      </c>
      <c r="AH3" s="5945" t="s">
        <v>519</v>
      </c>
      <c r="AI3" s="5945" t="s">
        <v>599</v>
      </c>
      <c r="AJ3" s="5945" t="s">
        <v>600</v>
      </c>
      <c r="AK3" s="5945" t="s">
        <v>601</v>
      </c>
      <c r="AL3" s="5945" t="s">
        <v>648</v>
      </c>
      <c r="AM3" s="5945" t="s">
        <v>651</v>
      </c>
      <c r="AN3" s="5945" t="s">
        <v>687</v>
      </c>
      <c r="AO3" s="5945" t="s">
        <v>1480</v>
      </c>
      <c r="AP3" s="5945" t="s">
        <v>1481</v>
      </c>
      <c r="AQ3" s="5946" t="s">
        <v>1482</v>
      </c>
      <c r="AR3" s="5947" t="s">
        <v>1483</v>
      </c>
      <c r="AS3" s="5948" t="s">
        <v>1487</v>
      </c>
      <c r="AT3" s="5949" t="s">
        <v>1696</v>
      </c>
      <c r="AU3" s="5946" t="s">
        <v>1713</v>
      </c>
      <c r="AV3" s="5946" t="s">
        <v>2139</v>
      </c>
      <c r="AW3" s="5946" t="s">
        <v>1510</v>
      </c>
      <c r="AX3" s="5946" t="s">
        <v>2150</v>
      </c>
      <c r="AY3" s="5946" t="s">
        <v>2142</v>
      </c>
      <c r="AZ3" s="5946" t="s">
        <v>2144</v>
      </c>
      <c r="BA3" s="5938" t="s">
        <v>2467</v>
      </c>
      <c r="BB3" s="5938" t="s">
        <v>2367</v>
      </c>
      <c r="BC3" s="5950" t="s">
        <v>2581</v>
      </c>
      <c r="BD3" s="5938" t="s">
        <v>2582</v>
      </c>
      <c r="BE3" s="5938" t="s">
        <v>2583</v>
      </c>
      <c r="BF3" s="5938" t="s">
        <v>2584</v>
      </c>
      <c r="BG3" s="5938" t="s">
        <v>2818</v>
      </c>
      <c r="BH3" s="5938" t="s">
        <v>2819</v>
      </c>
      <c r="BI3" s="5938" t="s">
        <v>2820</v>
      </c>
      <c r="BJ3" s="5938" t="s">
        <v>2858</v>
      </c>
      <c r="BK3" s="5938" t="s">
        <v>2826</v>
      </c>
      <c r="BL3" s="5938" t="s">
        <v>3082</v>
      </c>
      <c r="BM3" s="6429" t="s">
        <v>3095</v>
      </c>
      <c r="BN3" s="6429" t="s">
        <v>3093</v>
      </c>
      <c r="BO3" s="6429" t="s">
        <v>3279</v>
      </c>
      <c r="BP3" s="171" t="s">
        <v>2475</v>
      </c>
      <c r="BQ3" s="171" t="s">
        <v>2476</v>
      </c>
      <c r="BR3" s="171" t="s">
        <v>2477</v>
      </c>
      <c r="BS3" s="171" t="s">
        <v>2478</v>
      </c>
      <c r="BT3" s="171" t="s">
        <v>2479</v>
      </c>
      <c r="BU3" s="171" t="s">
        <v>2480</v>
      </c>
      <c r="BV3" s="171" t="s">
        <v>2481</v>
      </c>
      <c r="BW3" s="171" t="s">
        <v>2482</v>
      </c>
      <c r="BX3" s="171" t="s">
        <v>2483</v>
      </c>
      <c r="BY3" s="3334" t="s">
        <v>2484</v>
      </c>
      <c r="BZ3" s="3334" t="s">
        <v>2592</v>
      </c>
      <c r="CA3" s="3334" t="s">
        <v>3025</v>
      </c>
      <c r="CB3" s="3334" t="s">
        <v>3091</v>
      </c>
      <c r="CC3" s="158" t="s">
        <v>3283</v>
      </c>
    </row>
    <row r="4" spans="1:81" ht="14.4">
      <c r="B4" s="5951" t="s">
        <v>341</v>
      </c>
      <c r="C4" s="5952"/>
      <c r="D4" s="5952"/>
      <c r="E4" s="5953"/>
      <c r="F4" s="5953"/>
      <c r="G4" s="5953"/>
      <c r="H4" s="5953"/>
      <c r="I4" s="5953"/>
      <c r="J4" s="5953"/>
      <c r="K4" s="5953"/>
      <c r="L4" s="5953"/>
      <c r="M4" s="5953"/>
      <c r="N4" s="5953"/>
      <c r="O4" s="5953"/>
      <c r="P4" s="5953"/>
      <c r="Q4" s="5953"/>
      <c r="R4" s="5953"/>
      <c r="S4" s="5953"/>
      <c r="T4" s="5953"/>
      <c r="U4" s="5953"/>
      <c r="V4" s="5953"/>
      <c r="W4" s="5953"/>
      <c r="X4" s="5953"/>
      <c r="Y4" s="5953"/>
      <c r="Z4" s="5953"/>
      <c r="AA4" s="5953"/>
      <c r="AB4" s="5953"/>
      <c r="AC4" s="5953"/>
      <c r="AD4" s="5953"/>
      <c r="AE4" s="5953"/>
      <c r="AF4" s="5953"/>
      <c r="AG4" s="5953"/>
      <c r="AH4" s="5954"/>
      <c r="AI4" s="5954"/>
      <c r="AJ4" s="5954"/>
      <c r="AK4" s="5954"/>
      <c r="AL4" s="5954"/>
      <c r="AM4" s="5954"/>
      <c r="AN4" s="5954"/>
      <c r="AO4" s="5954"/>
      <c r="AP4" s="5954"/>
      <c r="AQ4" s="5954"/>
      <c r="AR4" s="1462"/>
      <c r="AS4" s="1462"/>
      <c r="AT4" s="1462"/>
      <c r="AU4" s="5955"/>
      <c r="AV4" s="4874"/>
      <c r="AW4" s="4874"/>
      <c r="AX4" s="4874"/>
      <c r="AY4" s="4874"/>
      <c r="AZ4" s="4874"/>
      <c r="BA4" s="4874"/>
      <c r="BB4" s="4874"/>
      <c r="BC4" s="4874"/>
      <c r="BD4" s="4874"/>
      <c r="BE4" s="4874"/>
      <c r="BF4" s="4874"/>
      <c r="BG4" s="4874"/>
      <c r="BH4" s="4874"/>
      <c r="BI4" s="4874"/>
      <c r="BJ4" s="4874"/>
      <c r="BK4" s="4874"/>
      <c r="BL4" s="4874"/>
      <c r="BM4" s="4874"/>
      <c r="BN4" s="4874"/>
      <c r="BO4" s="4874"/>
      <c r="BP4" s="4874"/>
      <c r="BQ4" s="4874"/>
      <c r="BR4" s="4874"/>
      <c r="BS4" s="1463"/>
      <c r="BT4" s="1464"/>
      <c r="BU4" s="1464"/>
      <c r="BV4" s="1461"/>
      <c r="BW4" s="1461"/>
      <c r="BX4" s="1461"/>
      <c r="BY4" s="1461"/>
      <c r="BZ4" s="1461"/>
      <c r="CA4" s="1461"/>
      <c r="CB4" s="1461"/>
      <c r="CC4" s="1461"/>
    </row>
    <row r="5" spans="1:81" ht="29.25" customHeight="1">
      <c r="A5" s="162">
        <v>1</v>
      </c>
      <c r="B5" s="2685" t="s">
        <v>652</v>
      </c>
      <c r="C5" s="5956" t="s">
        <v>2142</v>
      </c>
      <c r="D5" s="5957">
        <v>43200</v>
      </c>
      <c r="E5" s="2769"/>
      <c r="F5" s="2769"/>
      <c r="G5" s="2769"/>
      <c r="H5" s="2769"/>
      <c r="I5" s="2770" t="s">
        <v>249</v>
      </c>
      <c r="J5" s="2771"/>
      <c r="K5" s="2769"/>
      <c r="L5" s="2769"/>
      <c r="M5" s="2769"/>
      <c r="N5" s="2770" t="s">
        <v>201</v>
      </c>
      <c r="O5" s="2772"/>
      <c r="P5" s="2769"/>
      <c r="Q5" s="2769"/>
      <c r="R5" s="2769"/>
      <c r="S5" s="2769" t="s">
        <v>199</v>
      </c>
      <c r="T5" s="2769"/>
      <c r="U5" s="2769"/>
      <c r="V5" s="2769"/>
      <c r="W5" s="2769"/>
      <c r="X5" s="2769"/>
      <c r="Y5" s="2769"/>
      <c r="Z5" s="2769"/>
      <c r="AA5" s="2769"/>
      <c r="AB5" s="2769"/>
      <c r="AC5" s="2769"/>
      <c r="AD5" s="2769"/>
      <c r="AE5" s="2769"/>
      <c r="AF5" s="2771"/>
      <c r="AG5" s="2771"/>
      <c r="AH5" s="2773"/>
      <c r="AI5" s="2773"/>
      <c r="AJ5" s="2773"/>
      <c r="AK5" s="2773"/>
      <c r="AL5" s="2773"/>
      <c r="AM5" s="2773"/>
      <c r="AN5" s="2773"/>
      <c r="AO5" s="2773"/>
      <c r="AP5" s="2773"/>
      <c r="AQ5" s="2773"/>
      <c r="AR5" s="2773"/>
      <c r="AS5" s="2774" t="s">
        <v>1697</v>
      </c>
      <c r="AT5" s="2775"/>
      <c r="AU5" s="2773"/>
      <c r="AV5" s="2773"/>
      <c r="AW5" s="2775"/>
      <c r="AX5" s="2773"/>
      <c r="AY5" s="2776" t="s">
        <v>2365</v>
      </c>
      <c r="AZ5" s="2773"/>
      <c r="BA5" s="4876"/>
      <c r="BB5" s="4876"/>
      <c r="BC5" s="5958"/>
      <c r="BD5" s="4875"/>
      <c r="BE5" s="4875"/>
      <c r="BF5" s="4875"/>
      <c r="BG5" s="4875"/>
      <c r="BH5" s="4875"/>
      <c r="BI5" s="4875"/>
      <c r="BJ5" s="4875"/>
      <c r="BK5" s="4875"/>
      <c r="BL5" s="4875"/>
      <c r="BM5" s="4875"/>
      <c r="BN5" s="4875"/>
      <c r="BO5" s="4875"/>
      <c r="BP5" s="2777">
        <v>1</v>
      </c>
      <c r="BQ5" s="2777"/>
      <c r="BR5" s="2777"/>
      <c r="BS5" s="2777"/>
      <c r="BT5" s="2777"/>
      <c r="BU5" s="2777"/>
      <c r="BV5" s="2777">
        <v>1</v>
      </c>
      <c r="BW5" s="2777">
        <v>1</v>
      </c>
      <c r="BX5" s="2777">
        <v>1</v>
      </c>
      <c r="BY5" s="2777">
        <v>1</v>
      </c>
      <c r="BZ5" s="2777">
        <v>1</v>
      </c>
      <c r="CA5" s="2777">
        <v>1</v>
      </c>
      <c r="CB5" s="2777">
        <v>1</v>
      </c>
      <c r="CC5" s="2777"/>
    </row>
    <row r="6" spans="1:81" ht="29.25" customHeight="1">
      <c r="A6" s="162">
        <f>+A5+1</f>
        <v>2</v>
      </c>
      <c r="B6" s="2694" t="s">
        <v>3141</v>
      </c>
      <c r="C6" s="5959" t="s">
        <v>2142</v>
      </c>
      <c r="D6" s="5960">
        <v>43200</v>
      </c>
      <c r="E6" s="2778"/>
      <c r="F6" s="2778"/>
      <c r="G6" s="2778"/>
      <c r="H6" s="2778"/>
      <c r="I6" s="2715" t="s">
        <v>205</v>
      </c>
      <c r="J6" s="2778"/>
      <c r="K6" s="2778"/>
      <c r="L6" s="2778"/>
      <c r="M6" s="2715" t="s">
        <v>246</v>
      </c>
      <c r="N6" s="2778"/>
      <c r="O6" s="2778"/>
      <c r="P6" s="2715" t="s">
        <v>207</v>
      </c>
      <c r="Q6" s="2778"/>
      <c r="R6" s="2778"/>
      <c r="S6" s="2778"/>
      <c r="T6" s="2778"/>
      <c r="U6" s="2778" t="s">
        <v>200</v>
      </c>
      <c r="V6" s="2778"/>
      <c r="W6" s="2778"/>
      <c r="X6" s="2778"/>
      <c r="Y6" s="2778"/>
      <c r="Z6" s="2778"/>
      <c r="AA6" s="2778"/>
      <c r="AB6" s="2778"/>
      <c r="AC6" s="2778"/>
      <c r="AD6" s="2778"/>
      <c r="AE6" s="2778"/>
      <c r="AF6" s="2778"/>
      <c r="AG6" s="2778"/>
      <c r="AH6" s="2713"/>
      <c r="AI6" s="2713"/>
      <c r="AJ6" s="2713"/>
      <c r="AK6" s="2713"/>
      <c r="AL6" s="2713"/>
      <c r="AM6" s="2713"/>
      <c r="AN6" s="2713"/>
      <c r="AO6" s="2713"/>
      <c r="AP6" s="2713"/>
      <c r="AQ6" s="2713"/>
      <c r="AR6" s="2713"/>
      <c r="AS6" s="2713"/>
      <c r="AT6" s="2714"/>
      <c r="AU6" s="2713"/>
      <c r="AV6" s="2779" t="s">
        <v>2158</v>
      </c>
      <c r="AW6" s="2714"/>
      <c r="AX6" s="2713"/>
      <c r="AY6" s="2779" t="s">
        <v>2365</v>
      </c>
      <c r="AZ6" s="2713"/>
      <c r="BA6" s="4876"/>
      <c r="BB6" s="4876"/>
      <c r="BC6" s="5961"/>
      <c r="BD6" s="4876"/>
      <c r="BE6" s="4876"/>
      <c r="BF6" s="4876"/>
      <c r="BG6" s="4876"/>
      <c r="BH6" s="4876"/>
      <c r="BI6" s="4876"/>
      <c r="BJ6" s="4876"/>
      <c r="BK6" s="4876"/>
      <c r="BL6" s="4876"/>
      <c r="BM6" s="4876"/>
      <c r="BN6" s="4876"/>
      <c r="BO6" s="4876"/>
      <c r="BP6" s="2780">
        <v>1</v>
      </c>
      <c r="BQ6" s="2780">
        <v>1</v>
      </c>
      <c r="BR6" s="2780"/>
      <c r="BS6" s="2780"/>
      <c r="BT6" s="2780"/>
      <c r="BU6" s="2780"/>
      <c r="BV6" s="2780"/>
      <c r="BW6" s="2780">
        <v>1</v>
      </c>
      <c r="BX6" s="2780">
        <v>1</v>
      </c>
      <c r="BY6" s="2780">
        <v>1</v>
      </c>
      <c r="BZ6" s="2780">
        <v>1</v>
      </c>
      <c r="CA6" s="2780">
        <v>1</v>
      </c>
      <c r="CB6" s="2780">
        <v>1</v>
      </c>
      <c r="CC6" s="2780"/>
    </row>
    <row r="7" spans="1:81" ht="29.25" customHeight="1">
      <c r="A7" s="162">
        <f>+A6+1</f>
        <v>3</v>
      </c>
      <c r="B7" s="2694" t="s">
        <v>3142</v>
      </c>
      <c r="C7" s="5959" t="s">
        <v>2142</v>
      </c>
      <c r="D7" s="5960">
        <v>43200</v>
      </c>
      <c r="E7" s="2778"/>
      <c r="F7" s="2778"/>
      <c r="G7" s="2778"/>
      <c r="H7" s="2778"/>
      <c r="I7" s="2715" t="s">
        <v>205</v>
      </c>
      <c r="J7" s="2778"/>
      <c r="K7" s="2778"/>
      <c r="L7" s="2778"/>
      <c r="M7" s="2715" t="s">
        <v>246</v>
      </c>
      <c r="N7" s="2781"/>
      <c r="O7" s="2778"/>
      <c r="P7" s="2715" t="s">
        <v>207</v>
      </c>
      <c r="Q7" s="2778"/>
      <c r="R7" s="2778"/>
      <c r="S7" s="2778"/>
      <c r="T7" s="2778"/>
      <c r="U7" s="2778" t="s">
        <v>200</v>
      </c>
      <c r="V7" s="2778"/>
      <c r="W7" s="2778"/>
      <c r="X7" s="2778"/>
      <c r="Y7" s="2778"/>
      <c r="Z7" s="2778"/>
      <c r="AA7" s="2778"/>
      <c r="AB7" s="2778"/>
      <c r="AC7" s="2778"/>
      <c r="AD7" s="2778"/>
      <c r="AE7" s="2778"/>
      <c r="AF7" s="2778"/>
      <c r="AG7" s="2778"/>
      <c r="AH7" s="2713"/>
      <c r="AI7" s="2713"/>
      <c r="AJ7" s="2713"/>
      <c r="AK7" s="2713"/>
      <c r="AL7" s="2713"/>
      <c r="AM7" s="2713"/>
      <c r="AN7" s="2713"/>
      <c r="AO7" s="2713"/>
      <c r="AP7" s="2713"/>
      <c r="AQ7" s="2713"/>
      <c r="AR7" s="2713"/>
      <c r="AS7" s="2713"/>
      <c r="AT7" s="2714"/>
      <c r="AU7" s="2713"/>
      <c r="AV7" s="2779" t="s">
        <v>2158</v>
      </c>
      <c r="AW7" s="2714"/>
      <c r="AX7" s="2713"/>
      <c r="AY7" s="2779" t="s">
        <v>2365</v>
      </c>
      <c r="AZ7" s="2713"/>
      <c r="BA7" s="4876"/>
      <c r="BB7" s="4876"/>
      <c r="BC7" s="5961"/>
      <c r="BD7" s="4876"/>
      <c r="BE7" s="4876"/>
      <c r="BF7" s="4876"/>
      <c r="BG7" s="4876"/>
      <c r="BH7" s="4876"/>
      <c r="BI7" s="4876"/>
      <c r="BJ7" s="4876"/>
      <c r="BK7" s="4876"/>
      <c r="BL7" s="4876"/>
      <c r="BM7" s="4876"/>
      <c r="BN7" s="4876"/>
      <c r="BO7" s="4876"/>
      <c r="BP7" s="2780">
        <v>1</v>
      </c>
      <c r="BQ7" s="2780">
        <v>1</v>
      </c>
      <c r="BR7" s="2780"/>
      <c r="BS7" s="2780"/>
      <c r="BT7" s="2780"/>
      <c r="BU7" s="2780"/>
      <c r="BV7" s="2780"/>
      <c r="BW7" s="2780">
        <v>1</v>
      </c>
      <c r="BX7" s="2780">
        <v>1</v>
      </c>
      <c r="BY7" s="2780">
        <v>1</v>
      </c>
      <c r="BZ7" s="2780">
        <v>1</v>
      </c>
      <c r="CA7" s="2780">
        <v>1</v>
      </c>
      <c r="CB7" s="2780">
        <v>1</v>
      </c>
      <c r="CC7" s="2780"/>
    </row>
    <row r="8" spans="1:81" ht="29.25" customHeight="1">
      <c r="A8" s="162">
        <f>+A7+1</f>
        <v>4</v>
      </c>
      <c r="B8" s="2694" t="s">
        <v>266</v>
      </c>
      <c r="C8" s="5959" t="s">
        <v>2864</v>
      </c>
      <c r="D8" s="5960">
        <v>43999</v>
      </c>
      <c r="E8" s="2778"/>
      <c r="F8" s="2778"/>
      <c r="G8" s="2778"/>
      <c r="H8" s="2778"/>
      <c r="I8" s="2715" t="s">
        <v>205</v>
      </c>
      <c r="J8" s="2778"/>
      <c r="K8" s="2778"/>
      <c r="L8" s="2778"/>
      <c r="M8" s="2778"/>
      <c r="N8" s="2778"/>
      <c r="O8" s="2778"/>
      <c r="P8" s="2778"/>
      <c r="Q8" s="2778"/>
      <c r="R8" s="2778"/>
      <c r="S8" s="2778"/>
      <c r="T8" s="2778"/>
      <c r="U8" s="2778"/>
      <c r="V8" s="2778"/>
      <c r="W8" s="2778"/>
      <c r="X8" s="2778"/>
      <c r="Y8" s="2778"/>
      <c r="Z8" s="2778"/>
      <c r="AA8" s="2778"/>
      <c r="AB8" s="2778"/>
      <c r="AC8" s="2778"/>
      <c r="AD8" s="2778"/>
      <c r="AE8" s="2778"/>
      <c r="AF8" s="2778"/>
      <c r="AG8" s="2778"/>
      <c r="AH8" s="2713"/>
      <c r="AI8" s="2713"/>
      <c r="AJ8" s="2713"/>
      <c r="AK8" s="2713"/>
      <c r="AL8" s="2713"/>
      <c r="AM8" s="2713"/>
      <c r="AN8" s="2713"/>
      <c r="AO8" s="2713"/>
      <c r="AP8" s="2713"/>
      <c r="AQ8" s="2713"/>
      <c r="AR8" s="2782" t="s">
        <v>1702</v>
      </c>
      <c r="AS8" s="2713"/>
      <c r="AT8" s="2714"/>
      <c r="AU8" s="2713"/>
      <c r="AV8" s="2713"/>
      <c r="AW8" s="2714"/>
      <c r="AX8" s="2713"/>
      <c r="AY8" s="2779" t="s">
        <v>2365</v>
      </c>
      <c r="AZ8" s="2713"/>
      <c r="BA8" s="4876"/>
      <c r="BB8" s="4876"/>
      <c r="BC8" s="5961"/>
      <c r="BD8" s="2779" t="s">
        <v>2591</v>
      </c>
      <c r="BE8" s="4876"/>
      <c r="BF8" s="4876"/>
      <c r="BG8" s="4876"/>
      <c r="BH8" s="4876"/>
      <c r="BI8" s="4876"/>
      <c r="BJ8" s="4876"/>
      <c r="BK8" s="4876"/>
      <c r="BL8" s="4876"/>
      <c r="BM8" s="4876"/>
      <c r="BN8" s="4876"/>
      <c r="BO8" s="4876"/>
      <c r="BP8" s="2780"/>
      <c r="BQ8" s="2780"/>
      <c r="BR8" s="2780"/>
      <c r="BS8" s="2780"/>
      <c r="BT8" s="2780"/>
      <c r="BU8" s="2780"/>
      <c r="BV8" s="2780">
        <v>1</v>
      </c>
      <c r="BW8" s="2780">
        <v>1</v>
      </c>
      <c r="BX8" s="2780">
        <v>1</v>
      </c>
      <c r="BY8" s="2780">
        <v>1</v>
      </c>
      <c r="BZ8" s="2780">
        <v>1</v>
      </c>
      <c r="CA8" s="2780">
        <v>1</v>
      </c>
      <c r="CB8" s="2780">
        <v>1</v>
      </c>
      <c r="CC8" s="2780">
        <v>1</v>
      </c>
    </row>
    <row r="9" spans="1:81" ht="29.25" customHeight="1">
      <c r="A9" s="162">
        <f t="shared" ref="A9:A14" si="0">+A8+1</f>
        <v>5</v>
      </c>
      <c r="B9" s="2694" t="s">
        <v>267</v>
      </c>
      <c r="C9" s="5959" t="s">
        <v>2864</v>
      </c>
      <c r="D9" s="5960">
        <v>43999</v>
      </c>
      <c r="E9" s="2778"/>
      <c r="F9" s="2778"/>
      <c r="G9" s="2778"/>
      <c r="H9" s="2778"/>
      <c r="I9" s="2715" t="s">
        <v>205</v>
      </c>
      <c r="J9" s="2778"/>
      <c r="K9" s="2778"/>
      <c r="L9" s="2778"/>
      <c r="M9" s="2778"/>
      <c r="N9" s="2778"/>
      <c r="O9" s="2778"/>
      <c r="P9" s="2778"/>
      <c r="Q9" s="2778"/>
      <c r="R9" s="2778"/>
      <c r="S9" s="2778"/>
      <c r="T9" s="2778"/>
      <c r="U9" s="2778"/>
      <c r="V9" s="2778"/>
      <c r="W9" s="2778"/>
      <c r="X9" s="2778"/>
      <c r="Y9" s="2778"/>
      <c r="Z9" s="2778"/>
      <c r="AA9" s="2778"/>
      <c r="AB9" s="2778"/>
      <c r="AC9" s="2778"/>
      <c r="AD9" s="2778"/>
      <c r="AE9" s="2778"/>
      <c r="AF9" s="2778"/>
      <c r="AG9" s="2778"/>
      <c r="AH9" s="2713"/>
      <c r="AI9" s="2713"/>
      <c r="AJ9" s="2713"/>
      <c r="AK9" s="2713"/>
      <c r="AL9" s="2713"/>
      <c r="AM9" s="2713"/>
      <c r="AN9" s="2713"/>
      <c r="AO9" s="2713"/>
      <c r="AP9" s="2713"/>
      <c r="AQ9" s="2713"/>
      <c r="AR9" s="2782" t="s">
        <v>1702</v>
      </c>
      <c r="AS9" s="2713"/>
      <c r="AT9" s="2714"/>
      <c r="AU9" s="2713"/>
      <c r="AV9" s="2713"/>
      <c r="AW9" s="2714"/>
      <c r="AX9" s="2713"/>
      <c r="AY9" s="2779" t="s">
        <v>2365</v>
      </c>
      <c r="AZ9" s="2713"/>
      <c r="BA9" s="4876"/>
      <c r="BB9" s="4876"/>
      <c r="BC9" s="5961"/>
      <c r="BD9" s="2779" t="s">
        <v>2591</v>
      </c>
      <c r="BE9" s="4876"/>
      <c r="BF9" s="4876"/>
      <c r="BG9" s="4876"/>
      <c r="BH9" s="4876"/>
      <c r="BI9" s="4876"/>
      <c r="BJ9" s="4876"/>
      <c r="BK9" s="4876"/>
      <c r="BL9" s="4876"/>
      <c r="BM9" s="4876"/>
      <c r="BN9" s="4876"/>
      <c r="BO9" s="4876"/>
      <c r="BP9" s="2780"/>
      <c r="BQ9" s="2780"/>
      <c r="BR9" s="2780"/>
      <c r="BS9" s="2780"/>
      <c r="BT9" s="2780"/>
      <c r="BU9" s="2780"/>
      <c r="BV9" s="2780">
        <v>1</v>
      </c>
      <c r="BW9" s="2780">
        <v>1</v>
      </c>
      <c r="BX9" s="2780">
        <v>1</v>
      </c>
      <c r="BY9" s="2780">
        <v>1</v>
      </c>
      <c r="BZ9" s="2780">
        <v>1</v>
      </c>
      <c r="CA9" s="2780">
        <v>1</v>
      </c>
      <c r="CB9" s="2780">
        <v>1</v>
      </c>
      <c r="CC9" s="2780">
        <v>1</v>
      </c>
    </row>
    <row r="10" spans="1:81" ht="29.25" customHeight="1">
      <c r="A10" s="162">
        <f t="shared" si="0"/>
        <v>6</v>
      </c>
      <c r="B10" s="2694" t="s">
        <v>1707</v>
      </c>
      <c r="C10" s="5959" t="s">
        <v>2467</v>
      </c>
      <c r="D10" s="5960">
        <v>43404</v>
      </c>
      <c r="E10" s="2778"/>
      <c r="F10" s="2778"/>
      <c r="G10" s="2778"/>
      <c r="H10" s="2778"/>
      <c r="I10" s="2778"/>
      <c r="J10" s="2778"/>
      <c r="K10" s="2778"/>
      <c r="L10" s="2778"/>
      <c r="M10" s="2778"/>
      <c r="N10" s="2778"/>
      <c r="O10" s="2778"/>
      <c r="P10" s="2778"/>
      <c r="Q10" s="2778"/>
      <c r="R10" s="2778"/>
      <c r="S10" s="2778"/>
      <c r="T10" s="2778"/>
      <c r="U10" s="2778"/>
      <c r="V10" s="2778"/>
      <c r="W10" s="2778"/>
      <c r="X10" s="2778"/>
      <c r="Y10" s="2778"/>
      <c r="Z10" s="2778"/>
      <c r="AA10" s="2778"/>
      <c r="AB10" s="2778"/>
      <c r="AC10" s="2778"/>
      <c r="AD10" s="2778"/>
      <c r="AE10" s="2783" t="s">
        <v>393</v>
      </c>
      <c r="AF10" s="2778"/>
      <c r="AG10" s="2778"/>
      <c r="AH10" s="2713"/>
      <c r="AI10" s="2713"/>
      <c r="AJ10" s="2713"/>
      <c r="AK10" s="2713"/>
      <c r="AL10" s="2713"/>
      <c r="AM10" s="2713"/>
      <c r="AN10" s="2713"/>
      <c r="AO10" s="2713"/>
      <c r="AP10" s="2713"/>
      <c r="AQ10" s="2715" t="s">
        <v>1505</v>
      </c>
      <c r="AR10" s="2778"/>
      <c r="AS10" s="2778"/>
      <c r="AT10" s="2784"/>
      <c r="AU10" s="2778"/>
      <c r="AV10" s="2778"/>
      <c r="AW10" s="2784"/>
      <c r="AX10" s="2778"/>
      <c r="AY10" s="2778"/>
      <c r="AZ10" s="2715" t="s">
        <v>2357</v>
      </c>
      <c r="BA10" s="4876"/>
      <c r="BB10" s="4876"/>
      <c r="BC10" s="5961"/>
      <c r="BD10" s="4876"/>
      <c r="BE10" s="4876"/>
      <c r="BF10" s="4876"/>
      <c r="BG10" s="4876"/>
      <c r="BH10" s="4876"/>
      <c r="BI10" s="4876"/>
      <c r="BJ10" s="4876"/>
      <c r="BK10" s="4876"/>
      <c r="BL10" s="4876"/>
      <c r="BM10" s="4876"/>
      <c r="BN10" s="4876"/>
      <c r="BO10" s="4876"/>
      <c r="BP10" s="2780"/>
      <c r="BQ10" s="2780"/>
      <c r="BR10" s="2780">
        <v>1</v>
      </c>
      <c r="BS10" s="2780">
        <v>1</v>
      </c>
      <c r="BT10" s="2780">
        <v>1</v>
      </c>
      <c r="BU10" s="2780">
        <v>1</v>
      </c>
      <c r="BV10" s="2780">
        <v>1</v>
      </c>
      <c r="BW10" s="2780">
        <v>1</v>
      </c>
      <c r="BX10" s="2780">
        <v>1</v>
      </c>
      <c r="BY10" s="2780">
        <v>1</v>
      </c>
      <c r="BZ10" s="2780">
        <v>1</v>
      </c>
      <c r="CA10" s="2780">
        <v>1</v>
      </c>
      <c r="CB10" s="2780">
        <v>1</v>
      </c>
      <c r="CC10" s="2780"/>
    </row>
    <row r="11" spans="1:81" ht="29.25" customHeight="1">
      <c r="A11" s="162">
        <f t="shared" si="0"/>
        <v>7</v>
      </c>
      <c r="B11" s="2694" t="s">
        <v>1708</v>
      </c>
      <c r="C11" s="5959" t="s">
        <v>2467</v>
      </c>
      <c r="D11" s="5960">
        <v>43404</v>
      </c>
      <c r="E11" s="2778"/>
      <c r="F11" s="2778"/>
      <c r="G11" s="2778"/>
      <c r="H11" s="2778"/>
      <c r="I11" s="2778"/>
      <c r="J11" s="2778"/>
      <c r="K11" s="2778"/>
      <c r="L11" s="2778"/>
      <c r="M11" s="2778"/>
      <c r="N11" s="2778"/>
      <c r="O11" s="2778"/>
      <c r="P11" s="2778"/>
      <c r="Q11" s="2778"/>
      <c r="R11" s="2778"/>
      <c r="S11" s="2778"/>
      <c r="T11" s="2778"/>
      <c r="U11" s="2778"/>
      <c r="V11" s="2778"/>
      <c r="W11" s="2778"/>
      <c r="X11" s="2778"/>
      <c r="Y11" s="2778"/>
      <c r="Z11" s="2778"/>
      <c r="AA11" s="2778"/>
      <c r="AB11" s="2778"/>
      <c r="AC11" s="2778"/>
      <c r="AD11" s="2778"/>
      <c r="AE11" s="2783" t="s">
        <v>350</v>
      </c>
      <c r="AF11" s="2778"/>
      <c r="AG11" s="2778"/>
      <c r="AH11" s="2713"/>
      <c r="AI11" s="2713"/>
      <c r="AJ11" s="2713"/>
      <c r="AK11" s="2713"/>
      <c r="AL11" s="2713"/>
      <c r="AM11" s="2713"/>
      <c r="AN11" s="2713"/>
      <c r="AO11" s="2713"/>
      <c r="AP11" s="2713"/>
      <c r="AQ11" s="2715" t="s">
        <v>1505</v>
      </c>
      <c r="AR11" s="2778"/>
      <c r="AS11" s="2778"/>
      <c r="AT11" s="2784"/>
      <c r="AU11" s="2778"/>
      <c r="AV11" s="2778"/>
      <c r="AW11" s="2784"/>
      <c r="AX11" s="2778"/>
      <c r="AY11" s="2778"/>
      <c r="AZ11" s="2715" t="s">
        <v>2357</v>
      </c>
      <c r="BA11" s="4876"/>
      <c r="BB11" s="4876"/>
      <c r="BC11" s="5961"/>
      <c r="BD11" s="4876"/>
      <c r="BE11" s="4876"/>
      <c r="BF11" s="4876"/>
      <c r="BG11" s="4876"/>
      <c r="BH11" s="4876"/>
      <c r="BI11" s="4876"/>
      <c r="BJ11" s="4876"/>
      <c r="BK11" s="4876"/>
      <c r="BL11" s="4876"/>
      <c r="BM11" s="4876"/>
      <c r="BN11" s="4876"/>
      <c r="BO11" s="4876"/>
      <c r="BP11" s="2780"/>
      <c r="BQ11" s="2780"/>
      <c r="BR11" s="2780">
        <v>1</v>
      </c>
      <c r="BS11" s="2780">
        <v>1</v>
      </c>
      <c r="BT11" s="2780">
        <v>1</v>
      </c>
      <c r="BU11" s="2780">
        <v>1</v>
      </c>
      <c r="BV11" s="2780">
        <v>1</v>
      </c>
      <c r="BW11" s="2780">
        <v>1</v>
      </c>
      <c r="BX11" s="2780">
        <v>1</v>
      </c>
      <c r="BY11" s="2780">
        <v>1</v>
      </c>
      <c r="BZ11" s="2780">
        <v>1</v>
      </c>
      <c r="CA11" s="2780">
        <v>1</v>
      </c>
      <c r="CB11" s="2780">
        <v>1</v>
      </c>
      <c r="CC11" s="2780"/>
    </row>
    <row r="12" spans="1:81" ht="29.25" customHeight="1">
      <c r="A12" s="162">
        <f t="shared" si="0"/>
        <v>8</v>
      </c>
      <c r="B12" s="2694" t="s">
        <v>1709</v>
      </c>
      <c r="C12" s="5959" t="s">
        <v>2142</v>
      </c>
      <c r="D12" s="5960">
        <v>43200</v>
      </c>
      <c r="E12" s="2778"/>
      <c r="F12" s="2778"/>
      <c r="G12" s="2778"/>
      <c r="H12" s="2778"/>
      <c r="I12" s="2778"/>
      <c r="J12" s="2778"/>
      <c r="K12" s="2778"/>
      <c r="L12" s="2778"/>
      <c r="M12" s="2778"/>
      <c r="N12" s="2778" t="s">
        <v>315</v>
      </c>
      <c r="O12" s="2778"/>
      <c r="P12" s="2778"/>
      <c r="Q12" s="2778"/>
      <c r="R12" s="2778"/>
      <c r="S12" s="2778"/>
      <c r="T12" s="2778"/>
      <c r="U12" s="2778"/>
      <c r="V12" s="2778"/>
      <c r="W12" s="2778"/>
      <c r="X12" s="2778"/>
      <c r="Y12" s="2778"/>
      <c r="Z12" s="2778"/>
      <c r="AA12" s="2778"/>
      <c r="AB12" s="2778"/>
      <c r="AC12" s="2778"/>
      <c r="AD12" s="2778"/>
      <c r="AE12" s="2783" t="s">
        <v>351</v>
      </c>
      <c r="AF12" s="2778"/>
      <c r="AG12" s="2778"/>
      <c r="AH12" s="2713"/>
      <c r="AI12" s="2713"/>
      <c r="AJ12" s="2713"/>
      <c r="AK12" s="2713"/>
      <c r="AL12" s="2713"/>
      <c r="AM12" s="2713"/>
      <c r="AN12" s="2713"/>
      <c r="AO12" s="2713"/>
      <c r="AP12" s="2713"/>
      <c r="AQ12" s="2713"/>
      <c r="AR12" s="2713"/>
      <c r="AS12" s="2713"/>
      <c r="AT12" s="2714"/>
      <c r="AU12" s="2713"/>
      <c r="AV12" s="2779" t="s">
        <v>2158</v>
      </c>
      <c r="AW12" s="2714"/>
      <c r="AX12" s="2713"/>
      <c r="AY12" s="2715" t="s">
        <v>2365</v>
      </c>
      <c r="AZ12" s="2713"/>
      <c r="BA12" s="4876"/>
      <c r="BB12" s="4876"/>
      <c r="BC12" s="5961"/>
      <c r="BD12" s="4876"/>
      <c r="BE12" s="4876"/>
      <c r="BF12" s="4876"/>
      <c r="BG12" s="4876"/>
      <c r="BH12" s="4876"/>
      <c r="BI12" s="4876"/>
      <c r="BJ12" s="4876"/>
      <c r="BK12" s="4876"/>
      <c r="BL12" s="4876"/>
      <c r="BM12" s="4876"/>
      <c r="BN12" s="4876"/>
      <c r="BO12" s="4876"/>
      <c r="BP12" s="2780"/>
      <c r="BQ12" s="2780"/>
      <c r="BR12" s="2780">
        <v>1</v>
      </c>
      <c r="BS12" s="2780">
        <v>1</v>
      </c>
      <c r="BT12" s="2780">
        <v>1</v>
      </c>
      <c r="BU12" s="2780">
        <v>1</v>
      </c>
      <c r="BV12" s="2780"/>
      <c r="BW12" s="2780">
        <v>1</v>
      </c>
      <c r="BX12" s="2780">
        <v>1</v>
      </c>
      <c r="BY12" s="2780">
        <v>1</v>
      </c>
      <c r="BZ12" s="2780">
        <v>1</v>
      </c>
      <c r="CA12" s="2780">
        <v>1</v>
      </c>
      <c r="CB12" s="2780">
        <v>1</v>
      </c>
      <c r="CC12" s="2780"/>
    </row>
    <row r="13" spans="1:81" ht="29.25" customHeight="1">
      <c r="A13" s="162">
        <f t="shared" si="0"/>
        <v>9</v>
      </c>
      <c r="B13" s="2694" t="s">
        <v>1710</v>
      </c>
      <c r="C13" s="5959" t="s">
        <v>2142</v>
      </c>
      <c r="D13" s="5960">
        <v>43200</v>
      </c>
      <c r="E13" s="2778"/>
      <c r="F13" s="2778"/>
      <c r="G13" s="2778"/>
      <c r="H13" s="2778"/>
      <c r="I13" s="2778"/>
      <c r="J13" s="2778"/>
      <c r="K13" s="2778"/>
      <c r="L13" s="2778"/>
      <c r="M13" s="2778"/>
      <c r="N13" s="2778"/>
      <c r="O13" s="2778"/>
      <c r="P13" s="2778"/>
      <c r="Q13" s="2778"/>
      <c r="R13" s="2778"/>
      <c r="S13" s="2778"/>
      <c r="T13" s="2778"/>
      <c r="U13" s="2778"/>
      <c r="V13" s="2778"/>
      <c r="W13" s="2778"/>
      <c r="X13" s="2778"/>
      <c r="Y13" s="2778"/>
      <c r="Z13" s="2778"/>
      <c r="AA13" s="2778"/>
      <c r="AB13" s="2778"/>
      <c r="AC13" s="2778"/>
      <c r="AD13" s="2778"/>
      <c r="AE13" s="2783" t="s">
        <v>351</v>
      </c>
      <c r="AF13" s="2778"/>
      <c r="AG13" s="2778"/>
      <c r="AH13" s="2713"/>
      <c r="AI13" s="2713"/>
      <c r="AJ13" s="2713"/>
      <c r="AK13" s="2713"/>
      <c r="AL13" s="2713"/>
      <c r="AM13" s="2713"/>
      <c r="AN13" s="2713"/>
      <c r="AO13" s="2713"/>
      <c r="AP13" s="2713"/>
      <c r="AQ13" s="2713"/>
      <c r="AR13" s="2713"/>
      <c r="AS13" s="2713"/>
      <c r="AT13" s="2714"/>
      <c r="AU13" s="2713"/>
      <c r="AV13" s="2779" t="s">
        <v>2158</v>
      </c>
      <c r="AW13" s="2714"/>
      <c r="AX13" s="2713"/>
      <c r="AY13" s="2715" t="s">
        <v>2365</v>
      </c>
      <c r="AZ13" s="2713"/>
      <c r="BA13" s="4876"/>
      <c r="BB13" s="4876"/>
      <c r="BC13" s="5961"/>
      <c r="BD13" s="4876"/>
      <c r="BE13" s="4876"/>
      <c r="BF13" s="4876"/>
      <c r="BG13" s="4876"/>
      <c r="BH13" s="4876"/>
      <c r="BI13" s="4876"/>
      <c r="BJ13" s="4876"/>
      <c r="BK13" s="4876"/>
      <c r="BL13" s="4876"/>
      <c r="BM13" s="4876"/>
      <c r="BN13" s="4876"/>
      <c r="BO13" s="4876"/>
      <c r="BP13" s="2780"/>
      <c r="BQ13" s="2780"/>
      <c r="BR13" s="2780">
        <v>1</v>
      </c>
      <c r="BS13" s="2780">
        <v>1</v>
      </c>
      <c r="BT13" s="2780">
        <v>1</v>
      </c>
      <c r="BU13" s="2780">
        <v>1</v>
      </c>
      <c r="BV13" s="2780"/>
      <c r="BW13" s="2780">
        <v>1</v>
      </c>
      <c r="BX13" s="2780">
        <v>1</v>
      </c>
      <c r="BY13" s="2780">
        <v>1</v>
      </c>
      <c r="BZ13" s="2780">
        <v>1</v>
      </c>
      <c r="CA13" s="2780">
        <v>1</v>
      </c>
      <c r="CB13" s="2780">
        <v>1</v>
      </c>
      <c r="CC13" s="2780"/>
    </row>
    <row r="14" spans="1:81" ht="29.25" customHeight="1">
      <c r="A14" s="162">
        <f t="shared" si="0"/>
        <v>10</v>
      </c>
      <c r="B14" s="2694" t="s">
        <v>2143</v>
      </c>
      <c r="C14" s="5959" t="s">
        <v>2865</v>
      </c>
      <c r="D14" s="5960">
        <v>43076</v>
      </c>
      <c r="E14" s="2778"/>
      <c r="F14" s="2778"/>
      <c r="G14" s="2778"/>
      <c r="H14" s="2778"/>
      <c r="I14" s="2778"/>
      <c r="J14" s="2778"/>
      <c r="K14" s="2778"/>
      <c r="L14" s="2778"/>
      <c r="M14" s="2778"/>
      <c r="N14" s="2778"/>
      <c r="O14" s="2778"/>
      <c r="P14" s="2778"/>
      <c r="Q14" s="2778"/>
      <c r="R14" s="2778"/>
      <c r="S14" s="2778"/>
      <c r="T14" s="2778"/>
      <c r="U14" s="2778"/>
      <c r="V14" s="2778"/>
      <c r="W14" s="2778"/>
      <c r="X14" s="2778"/>
      <c r="Y14" s="2778"/>
      <c r="Z14" s="2778"/>
      <c r="AA14" s="2778"/>
      <c r="AB14" s="2778"/>
      <c r="AC14" s="2778"/>
      <c r="AD14" s="2778"/>
      <c r="AE14" s="2778"/>
      <c r="AF14" s="2778"/>
      <c r="AG14" s="2778"/>
      <c r="AH14" s="2713"/>
      <c r="AI14" s="2713"/>
      <c r="AJ14" s="2713"/>
      <c r="AK14" s="2713"/>
      <c r="AL14" s="2713"/>
      <c r="AM14" s="2713"/>
      <c r="AN14" s="2713"/>
      <c r="AO14" s="2713"/>
      <c r="AP14" s="2713"/>
      <c r="AQ14" s="2713"/>
      <c r="AR14" s="2713"/>
      <c r="AS14" s="2713"/>
      <c r="AT14" s="2714"/>
      <c r="AU14" s="2713"/>
      <c r="AV14" s="2713"/>
      <c r="AW14" s="5962" t="s">
        <v>2159</v>
      </c>
      <c r="AX14" s="4876"/>
      <c r="AY14" s="4876"/>
      <c r="AZ14" s="4876"/>
      <c r="BA14" s="4876"/>
      <c r="BB14" s="4876"/>
      <c r="BC14" s="5961"/>
      <c r="BD14" s="4876"/>
      <c r="BE14" s="4876"/>
      <c r="BF14" s="4876"/>
      <c r="BG14" s="4876"/>
      <c r="BH14" s="4876"/>
      <c r="BI14" s="4876"/>
      <c r="BJ14" s="4876"/>
      <c r="BK14" s="4876"/>
      <c r="BL14" s="4876"/>
      <c r="BM14" s="4876"/>
      <c r="BN14" s="4876"/>
      <c r="BO14" s="4876"/>
      <c r="BP14" s="2780"/>
      <c r="BQ14" s="2780"/>
      <c r="BR14" s="2780"/>
      <c r="BS14" s="2780"/>
      <c r="BT14" s="2780"/>
      <c r="BU14" s="2780"/>
      <c r="BV14" s="2780"/>
      <c r="BW14" s="2780"/>
      <c r="BX14" s="2780">
        <v>1</v>
      </c>
      <c r="BY14" s="2780">
        <v>1</v>
      </c>
      <c r="BZ14" s="2780">
        <v>1</v>
      </c>
      <c r="CA14" s="2780">
        <v>1</v>
      </c>
      <c r="CB14" s="2780"/>
      <c r="CC14" s="2780"/>
    </row>
    <row r="15" spans="1:81" ht="14.4">
      <c r="B15" s="2785" t="s">
        <v>342</v>
      </c>
      <c r="C15" s="5963"/>
      <c r="D15" s="2785"/>
      <c r="E15" s="3347"/>
      <c r="F15" s="3347"/>
      <c r="G15" s="3347"/>
      <c r="H15" s="3347"/>
      <c r="I15" s="3347"/>
      <c r="J15" s="3347"/>
      <c r="K15" s="3347"/>
      <c r="L15" s="3347"/>
      <c r="M15" s="3347"/>
      <c r="N15" s="3347"/>
      <c r="O15" s="3347"/>
      <c r="P15" s="3347"/>
      <c r="Q15" s="3347"/>
      <c r="R15" s="3347"/>
      <c r="S15" s="3347"/>
      <c r="T15" s="3347"/>
      <c r="U15" s="3347"/>
      <c r="V15" s="3347"/>
      <c r="W15" s="3347"/>
      <c r="X15" s="3347"/>
      <c r="Y15" s="3347"/>
      <c r="Z15" s="3347"/>
      <c r="AA15" s="3347"/>
      <c r="AB15" s="3347"/>
      <c r="AC15" s="3347"/>
      <c r="AD15" s="3347"/>
      <c r="AE15" s="3347"/>
      <c r="AF15" s="3347"/>
      <c r="AG15" s="3347"/>
      <c r="AH15" s="3348"/>
      <c r="AI15" s="3348"/>
      <c r="AJ15" s="3348"/>
      <c r="AK15" s="3348"/>
      <c r="AL15" s="3348"/>
      <c r="AM15" s="3348"/>
      <c r="AN15" s="3348"/>
      <c r="AO15" s="3348"/>
      <c r="AP15" s="3348"/>
      <c r="AQ15" s="3348"/>
      <c r="AR15" s="4877"/>
      <c r="AS15" s="4877"/>
      <c r="AT15" s="4877"/>
      <c r="AU15" s="5964"/>
      <c r="AV15" s="4877"/>
      <c r="AW15" s="4877"/>
      <c r="AX15" s="4877"/>
      <c r="AY15" s="4877"/>
      <c r="AZ15" s="4877"/>
      <c r="BA15" s="4877"/>
      <c r="BB15" s="4877"/>
      <c r="BC15" s="4877"/>
      <c r="BD15" s="4877"/>
      <c r="BE15" s="4877"/>
      <c r="BF15" s="4877"/>
      <c r="BG15" s="4877"/>
      <c r="BH15" s="4877"/>
      <c r="BI15" s="4877"/>
      <c r="BJ15" s="4877"/>
      <c r="BK15" s="4877"/>
      <c r="BL15" s="4877"/>
      <c r="BM15" s="4877"/>
      <c r="BN15" s="4877"/>
      <c r="BO15" s="4877"/>
      <c r="BP15" s="4877"/>
      <c r="BQ15" s="4877"/>
      <c r="BR15" s="4877"/>
      <c r="BS15" s="2786"/>
      <c r="BT15" s="2787"/>
      <c r="BU15" s="2787"/>
      <c r="BV15" s="2788"/>
      <c r="BW15" s="2788"/>
      <c r="BX15" s="2788"/>
      <c r="BY15" s="2788"/>
      <c r="BZ15" s="2788"/>
      <c r="CA15" s="2788"/>
      <c r="CB15" s="2788"/>
      <c r="CC15" s="2788"/>
    </row>
    <row r="16" spans="1:81" ht="29.25" customHeight="1">
      <c r="A16" s="162">
        <f>+A14+1</f>
        <v>11</v>
      </c>
      <c r="B16" s="2694" t="s">
        <v>653</v>
      </c>
      <c r="C16" s="5959" t="s">
        <v>2367</v>
      </c>
      <c r="D16" s="5960">
        <v>43754</v>
      </c>
      <c r="E16" s="2778"/>
      <c r="F16" s="2778"/>
      <c r="G16" s="2778"/>
      <c r="H16" s="2778"/>
      <c r="I16" s="2778"/>
      <c r="J16" s="2778"/>
      <c r="K16" s="2778"/>
      <c r="L16" s="2778"/>
      <c r="M16" s="2778"/>
      <c r="N16" s="2778"/>
      <c r="O16" s="2778"/>
      <c r="P16" s="2778"/>
      <c r="Q16" s="2778"/>
      <c r="R16" s="2715" t="s">
        <v>207</v>
      </c>
      <c r="S16" s="2778"/>
      <c r="T16" s="2778"/>
      <c r="U16" s="2778"/>
      <c r="V16" s="2778"/>
      <c r="W16" s="2778"/>
      <c r="X16" s="2778"/>
      <c r="Y16" s="2778"/>
      <c r="Z16" s="2778"/>
      <c r="AA16" s="2778"/>
      <c r="AB16" s="2778"/>
      <c r="AC16" s="2778"/>
      <c r="AD16" s="2778"/>
      <c r="AE16" s="2778"/>
      <c r="AF16" s="2778"/>
      <c r="AG16" s="2778"/>
      <c r="AH16" s="2713"/>
      <c r="AI16" s="2713"/>
      <c r="AJ16" s="2713"/>
      <c r="AK16" s="2713"/>
      <c r="AL16" s="2713"/>
      <c r="AM16" s="2713"/>
      <c r="AN16" s="2713"/>
      <c r="AO16" s="2713"/>
      <c r="AP16" s="2713"/>
      <c r="AQ16" s="2713"/>
      <c r="AR16" s="2713"/>
      <c r="AS16" s="2713"/>
      <c r="AT16" s="2714"/>
      <c r="AU16" s="2713"/>
      <c r="AV16" s="2713"/>
      <c r="AW16" s="2714"/>
      <c r="AX16" s="2713"/>
      <c r="AY16" s="2713"/>
      <c r="AZ16" s="2713"/>
      <c r="BA16" s="2782" t="s">
        <v>2468</v>
      </c>
      <c r="BB16" s="2782" t="s">
        <v>2469</v>
      </c>
      <c r="BC16" s="3905"/>
      <c r="BD16" s="3338"/>
      <c r="BE16" s="3338"/>
      <c r="BF16" s="3338"/>
      <c r="BG16" s="3338"/>
      <c r="BH16" s="3338"/>
      <c r="BI16" s="3338"/>
      <c r="BJ16" s="3338"/>
      <c r="BK16" s="3338"/>
      <c r="BL16" s="3338"/>
      <c r="BM16" s="3338"/>
      <c r="BN16" s="3338"/>
      <c r="BO16" s="3338"/>
      <c r="BP16" s="2780">
        <v>1</v>
      </c>
      <c r="BQ16" s="2780">
        <v>1</v>
      </c>
      <c r="BR16" s="2780"/>
      <c r="BS16" s="2780"/>
      <c r="BT16" s="2780"/>
      <c r="BU16" s="2780"/>
      <c r="BV16" s="2780"/>
      <c r="BW16" s="2780"/>
      <c r="BX16" s="2780"/>
      <c r="BY16" s="2780">
        <v>1</v>
      </c>
      <c r="BZ16" s="2780">
        <v>1</v>
      </c>
      <c r="CA16" s="2780">
        <v>1</v>
      </c>
      <c r="CB16" s="2780">
        <v>1</v>
      </c>
      <c r="CC16" s="2780">
        <v>1</v>
      </c>
    </row>
    <row r="17" spans="1:81" ht="29.25" hidden="1" customHeight="1">
      <c r="A17" s="162">
        <f>+A16+1</f>
        <v>12</v>
      </c>
      <c r="B17" s="2694" t="s">
        <v>654</v>
      </c>
      <c r="C17" s="5959" t="s">
        <v>499</v>
      </c>
      <c r="D17" s="5960">
        <v>38043</v>
      </c>
      <c r="E17" s="2778"/>
      <c r="F17" s="2778"/>
      <c r="G17" s="2778"/>
      <c r="H17" s="2778"/>
      <c r="I17" s="2778"/>
      <c r="J17" s="2783" t="s">
        <v>1506</v>
      </c>
      <c r="K17" s="2778"/>
      <c r="L17" s="2778"/>
      <c r="M17" s="2778"/>
      <c r="N17" s="2778"/>
      <c r="O17" s="2778"/>
      <c r="P17" s="2778"/>
      <c r="Q17" s="2778"/>
      <c r="R17" s="2778"/>
      <c r="S17" s="2778"/>
      <c r="T17" s="2778"/>
      <c r="U17" s="2778"/>
      <c r="V17" s="2778"/>
      <c r="W17" s="2778"/>
      <c r="X17" s="2778"/>
      <c r="Y17" s="2778"/>
      <c r="Z17" s="2778"/>
      <c r="AA17" s="2778"/>
      <c r="AB17" s="2778"/>
      <c r="AC17" s="2778"/>
      <c r="AD17" s="2778"/>
      <c r="AE17" s="2778"/>
      <c r="AF17" s="2778"/>
      <c r="AG17" s="2778"/>
      <c r="AH17" s="2713"/>
      <c r="AI17" s="2713"/>
      <c r="AJ17" s="2713"/>
      <c r="AK17" s="2713"/>
      <c r="AL17" s="2713"/>
      <c r="AM17" s="2713"/>
      <c r="AN17" s="2713"/>
      <c r="AO17" s="2713"/>
      <c r="AP17" s="2713"/>
      <c r="AQ17" s="2713"/>
      <c r="AR17" s="2713"/>
      <c r="AS17" s="2713"/>
      <c r="AT17" s="2714"/>
      <c r="AU17" s="2713"/>
      <c r="AV17" s="2713"/>
      <c r="AW17" s="2714"/>
      <c r="AX17" s="2713"/>
      <c r="AY17" s="2713"/>
      <c r="AZ17" s="2713"/>
      <c r="BA17" s="2713"/>
      <c r="BB17" s="2713"/>
      <c r="BC17" s="3904"/>
      <c r="BD17" s="2713"/>
      <c r="BE17" s="2713"/>
      <c r="BF17" s="2713"/>
      <c r="BG17" s="2713"/>
      <c r="BH17" s="2713"/>
      <c r="BI17" s="2713"/>
      <c r="BJ17" s="2713"/>
      <c r="BK17" s="2713"/>
      <c r="BL17" s="2713"/>
      <c r="BM17" s="2713"/>
      <c r="BN17" s="2713"/>
      <c r="BO17" s="2713"/>
      <c r="BP17" s="2780"/>
      <c r="BQ17" s="2780"/>
      <c r="BR17" s="2780"/>
      <c r="BS17" s="2780"/>
      <c r="BT17" s="2780"/>
      <c r="BU17" s="2780"/>
      <c r="BV17" s="2780"/>
      <c r="BW17" s="2780"/>
      <c r="BX17" s="2780"/>
      <c r="BY17" s="2780"/>
      <c r="BZ17" s="2780"/>
      <c r="CA17" s="2780"/>
      <c r="CB17" s="2780"/>
      <c r="CC17" s="2780"/>
    </row>
    <row r="18" spans="1:81" ht="29.25" customHeight="1">
      <c r="A18" s="162">
        <f>+A17+1</f>
        <v>13</v>
      </c>
      <c r="B18" s="2694" t="s">
        <v>3102</v>
      </c>
      <c r="C18" s="5959" t="s">
        <v>2581</v>
      </c>
      <c r="D18" s="5960">
        <v>43622</v>
      </c>
      <c r="E18" s="2778"/>
      <c r="F18" s="2778"/>
      <c r="G18" s="2778"/>
      <c r="H18" s="2778"/>
      <c r="I18" s="2778"/>
      <c r="J18" s="2778"/>
      <c r="K18" s="2778"/>
      <c r="L18" s="2778"/>
      <c r="M18" s="2778"/>
      <c r="N18" s="2778"/>
      <c r="O18" s="2778"/>
      <c r="P18" s="2778"/>
      <c r="Q18" s="2778"/>
      <c r="R18" s="2778"/>
      <c r="S18" s="2782" t="s">
        <v>225</v>
      </c>
      <c r="T18" s="2781"/>
      <c r="U18" s="2778"/>
      <c r="V18" s="2778"/>
      <c r="W18" s="2778"/>
      <c r="X18" s="2778"/>
      <c r="Y18" s="2778"/>
      <c r="Z18" s="2778"/>
      <c r="AA18" s="2778"/>
      <c r="AB18" s="2778"/>
      <c r="AC18" s="2778"/>
      <c r="AD18" s="2778"/>
      <c r="AE18" s="2778"/>
      <c r="AF18" s="2778"/>
      <c r="AG18" s="2778"/>
      <c r="AH18" s="2713"/>
      <c r="AI18" s="2713"/>
      <c r="AJ18" s="2713"/>
      <c r="AK18" s="2713"/>
      <c r="AL18" s="2713"/>
      <c r="AM18" s="2713"/>
      <c r="AN18" s="2713"/>
      <c r="AO18" s="2713"/>
      <c r="AP18" s="2713"/>
      <c r="AQ18" s="2713"/>
      <c r="AR18" s="2713"/>
      <c r="AS18" s="2713"/>
      <c r="AT18" s="2714"/>
      <c r="AU18" s="2713"/>
      <c r="AV18" s="2713"/>
      <c r="AW18" s="2714"/>
      <c r="AX18" s="2713"/>
      <c r="AY18" s="2713"/>
      <c r="AZ18" s="2713"/>
      <c r="BA18" s="2715" t="s">
        <v>2470</v>
      </c>
      <c r="BB18" s="3338"/>
      <c r="BC18" s="3905"/>
      <c r="BD18" s="3338"/>
      <c r="BE18" s="3338"/>
      <c r="BF18" s="3338"/>
      <c r="BG18" s="3338"/>
      <c r="BH18" s="3338"/>
      <c r="BI18" s="3338"/>
      <c r="BJ18" s="3338"/>
      <c r="BK18" s="3338"/>
      <c r="BL18" s="3338"/>
      <c r="BM18" s="3338"/>
      <c r="BN18" s="3338"/>
      <c r="BO18" s="3338"/>
      <c r="BP18" s="2780">
        <v>1</v>
      </c>
      <c r="BQ18" s="2780">
        <v>1</v>
      </c>
      <c r="BR18" s="2780">
        <v>1</v>
      </c>
      <c r="BS18" s="2780"/>
      <c r="BT18" s="2780"/>
      <c r="BU18" s="2780"/>
      <c r="BV18" s="2780"/>
      <c r="BW18" s="2780"/>
      <c r="BX18" s="2780"/>
      <c r="BY18" s="2780">
        <v>1</v>
      </c>
      <c r="BZ18" s="2780">
        <v>1</v>
      </c>
      <c r="CA18" s="2780">
        <v>1</v>
      </c>
      <c r="CB18" s="2780">
        <v>1</v>
      </c>
      <c r="CC18" s="2780">
        <v>1</v>
      </c>
    </row>
    <row r="19" spans="1:81" ht="29.25" customHeight="1">
      <c r="A19" s="162">
        <f t="shared" ref="A19:A28" si="1">+A18+1</f>
        <v>14</v>
      </c>
      <c r="B19" s="2694" t="s">
        <v>655</v>
      </c>
      <c r="C19" s="5959" t="s">
        <v>1696</v>
      </c>
      <c r="D19" s="5960">
        <v>42529</v>
      </c>
      <c r="E19" s="2778"/>
      <c r="F19" s="2778"/>
      <c r="G19" s="2778"/>
      <c r="H19" s="2778"/>
      <c r="I19" s="2778"/>
      <c r="J19" s="2778"/>
      <c r="K19" s="2778"/>
      <c r="L19" s="2778"/>
      <c r="M19" s="2778"/>
      <c r="N19" s="2778"/>
      <c r="O19" s="2778"/>
      <c r="P19" s="2778"/>
      <c r="Q19" s="2778"/>
      <c r="R19" s="2778"/>
      <c r="S19" s="2778"/>
      <c r="T19" s="2778"/>
      <c r="U19" s="2778"/>
      <c r="V19" s="2778"/>
      <c r="W19" s="2778"/>
      <c r="X19" s="2778"/>
      <c r="Y19" s="2778"/>
      <c r="Z19" s="2778"/>
      <c r="AA19" s="2778"/>
      <c r="AB19" s="2778"/>
      <c r="AC19" s="2778"/>
      <c r="AD19" s="2715" t="s">
        <v>226</v>
      </c>
      <c r="AE19" s="2778"/>
      <c r="AF19" s="2778"/>
      <c r="AG19" s="2778"/>
      <c r="AH19" s="2713"/>
      <c r="AI19" s="2713"/>
      <c r="AJ19" s="2713"/>
      <c r="AK19" s="2713"/>
      <c r="AL19" s="2713"/>
      <c r="AM19" s="2713"/>
      <c r="AN19" s="2713"/>
      <c r="AO19" s="2713"/>
      <c r="AP19" s="2713"/>
      <c r="AQ19" s="2713"/>
      <c r="AR19" s="2713"/>
      <c r="AS19" s="2715" t="s">
        <v>1697</v>
      </c>
      <c r="AT19" s="2714"/>
      <c r="AU19" s="2713"/>
      <c r="AV19" s="2713"/>
      <c r="AW19" s="2714"/>
      <c r="AX19" s="2713"/>
      <c r="AY19" s="2713"/>
      <c r="AZ19" s="2713"/>
      <c r="BA19" s="3339"/>
      <c r="BB19" s="3339"/>
      <c r="BC19" s="3906"/>
      <c r="BD19" s="3339"/>
      <c r="BE19" s="3339"/>
      <c r="BF19" s="3339"/>
      <c r="BG19" s="3339"/>
      <c r="BH19" s="3339"/>
      <c r="BI19" s="3339"/>
      <c r="BJ19" s="3339"/>
      <c r="BK19" s="3339"/>
      <c r="BL19" s="3339"/>
      <c r="BM19" s="3339"/>
      <c r="BN19" s="3339"/>
      <c r="BO19" s="2715" t="s">
        <v>3361</v>
      </c>
      <c r="BP19" s="2780"/>
      <c r="BQ19" s="2780">
        <v>1</v>
      </c>
      <c r="BR19" s="2780">
        <v>1</v>
      </c>
      <c r="BS19" s="2780">
        <v>1</v>
      </c>
      <c r="BT19" s="2780">
        <v>1</v>
      </c>
      <c r="BU19" s="2780">
        <v>1</v>
      </c>
      <c r="BV19" s="2780">
        <v>1</v>
      </c>
      <c r="BW19" s="2780">
        <v>1</v>
      </c>
      <c r="BX19" s="2780">
        <v>1</v>
      </c>
      <c r="BY19" s="2780">
        <v>1</v>
      </c>
      <c r="BZ19" s="2780">
        <v>1</v>
      </c>
      <c r="CA19" s="2780"/>
      <c r="CB19" s="2780"/>
      <c r="CC19" s="2780">
        <v>1</v>
      </c>
    </row>
    <row r="20" spans="1:81" ht="29.25" customHeight="1">
      <c r="A20" s="162">
        <f t="shared" si="1"/>
        <v>15</v>
      </c>
      <c r="B20" s="2694" t="s">
        <v>438</v>
      </c>
      <c r="C20" s="5959" t="s">
        <v>1713</v>
      </c>
      <c r="D20" s="5960">
        <v>42657</v>
      </c>
      <c r="E20" s="2778"/>
      <c r="F20" s="2778"/>
      <c r="G20" s="2778"/>
      <c r="H20" s="2778"/>
      <c r="I20" s="2778"/>
      <c r="J20" s="2783" t="s">
        <v>227</v>
      </c>
      <c r="K20" s="2778"/>
      <c r="L20" s="2778"/>
      <c r="M20" s="2778"/>
      <c r="N20" s="2778"/>
      <c r="O20" s="2778"/>
      <c r="P20" s="2778"/>
      <c r="Q20" s="2778"/>
      <c r="R20" s="2778"/>
      <c r="S20" s="2778"/>
      <c r="T20" s="2778"/>
      <c r="U20" s="2778"/>
      <c r="V20" s="2778"/>
      <c r="W20" s="2778"/>
      <c r="X20" s="2778"/>
      <c r="Y20" s="2778"/>
      <c r="Z20" s="2778"/>
      <c r="AA20" s="2778"/>
      <c r="AB20" s="2778"/>
      <c r="AC20" s="2778"/>
      <c r="AD20" s="2778"/>
      <c r="AE20" s="2778"/>
      <c r="AF20" s="2778"/>
      <c r="AG20" s="2778"/>
      <c r="AH20" s="2713"/>
      <c r="AI20" s="2713"/>
      <c r="AJ20" s="2713"/>
      <c r="AK20" s="2713"/>
      <c r="AL20" s="2713"/>
      <c r="AM20" s="2713"/>
      <c r="AN20" s="2713"/>
      <c r="AO20" s="2713"/>
      <c r="AP20" s="2713"/>
      <c r="AQ20" s="2713"/>
      <c r="AR20" s="2713"/>
      <c r="AS20" s="2778"/>
      <c r="AT20" s="2779" t="s">
        <v>1701</v>
      </c>
      <c r="AU20" s="2778"/>
      <c r="AV20" s="2778"/>
      <c r="AW20" s="2784"/>
      <c r="AX20" s="2778"/>
      <c r="AY20" s="2778"/>
      <c r="AZ20" s="2778"/>
      <c r="BA20" s="3338"/>
      <c r="BB20" s="3338"/>
      <c r="BC20" s="3905"/>
      <c r="BD20" s="3338"/>
      <c r="BE20" s="3338"/>
      <c r="BF20" s="3338"/>
      <c r="BG20" s="3338"/>
      <c r="BH20" s="3338"/>
      <c r="BI20" s="3338"/>
      <c r="BJ20" s="3338"/>
      <c r="BK20" s="3338"/>
      <c r="BL20" s="3338"/>
      <c r="BM20" s="3338"/>
      <c r="BN20" s="3338"/>
      <c r="BO20" s="3338"/>
      <c r="BP20" s="2780"/>
      <c r="BQ20" s="2780"/>
      <c r="BR20" s="2780"/>
      <c r="BS20" s="2780"/>
      <c r="BT20" s="2780"/>
      <c r="BU20" s="2780"/>
      <c r="BV20" s="2780">
        <v>1</v>
      </c>
      <c r="BW20" s="2780">
        <v>1</v>
      </c>
      <c r="BX20" s="2780">
        <v>1</v>
      </c>
      <c r="BY20" s="2780">
        <v>1</v>
      </c>
      <c r="BZ20" s="2780">
        <v>1</v>
      </c>
      <c r="CA20" s="2780"/>
      <c r="CB20" s="2780"/>
      <c r="CC20" s="2780"/>
    </row>
    <row r="21" spans="1:81" ht="29.25" customHeight="1">
      <c r="A21" s="162">
        <f t="shared" si="1"/>
        <v>16</v>
      </c>
      <c r="B21" s="2694" t="s">
        <v>271</v>
      </c>
      <c r="C21" s="5959" t="s">
        <v>1713</v>
      </c>
      <c r="D21" s="5960">
        <v>42657</v>
      </c>
      <c r="E21" s="2778"/>
      <c r="F21" s="2778"/>
      <c r="G21" s="2778"/>
      <c r="H21" s="2778"/>
      <c r="I21" s="2778"/>
      <c r="J21" s="2783" t="s">
        <v>227</v>
      </c>
      <c r="K21" s="2778"/>
      <c r="L21" s="2778"/>
      <c r="M21" s="2778"/>
      <c r="N21" s="2778"/>
      <c r="O21" s="2778"/>
      <c r="P21" s="2778"/>
      <c r="Q21" s="2778"/>
      <c r="R21" s="2778"/>
      <c r="S21" s="2778"/>
      <c r="T21" s="2778"/>
      <c r="U21" s="2778"/>
      <c r="V21" s="2778"/>
      <c r="W21" s="2778"/>
      <c r="X21" s="2778"/>
      <c r="Y21" s="2778"/>
      <c r="Z21" s="2778"/>
      <c r="AA21" s="2778"/>
      <c r="AB21" s="2778"/>
      <c r="AC21" s="2778"/>
      <c r="AD21" s="2778"/>
      <c r="AE21" s="2778"/>
      <c r="AF21" s="2778"/>
      <c r="AG21" s="2778"/>
      <c r="AH21" s="2713"/>
      <c r="AI21" s="2713"/>
      <c r="AJ21" s="2713"/>
      <c r="AK21" s="2713"/>
      <c r="AL21" s="2713"/>
      <c r="AM21" s="2713"/>
      <c r="AN21" s="2713"/>
      <c r="AO21" s="2713"/>
      <c r="AP21" s="2713"/>
      <c r="AQ21" s="2713"/>
      <c r="AR21" s="2713"/>
      <c r="AS21" s="2778"/>
      <c r="AT21" s="2779" t="s">
        <v>1701</v>
      </c>
      <c r="AU21" s="2778"/>
      <c r="AV21" s="2778"/>
      <c r="AW21" s="2784"/>
      <c r="AX21" s="2778"/>
      <c r="AY21" s="2778"/>
      <c r="AZ21" s="2778"/>
      <c r="BA21" s="3338"/>
      <c r="BB21" s="3338"/>
      <c r="BC21" s="3905"/>
      <c r="BD21" s="3338"/>
      <c r="BE21" s="3338"/>
      <c r="BF21" s="3338"/>
      <c r="BG21" s="3338"/>
      <c r="BH21" s="3338"/>
      <c r="BI21" s="3338"/>
      <c r="BJ21" s="3338"/>
      <c r="BK21" s="3338"/>
      <c r="BL21" s="3338"/>
      <c r="BM21" s="3338"/>
      <c r="BN21" s="3338"/>
      <c r="BO21" s="3338"/>
      <c r="BP21" s="2780"/>
      <c r="BQ21" s="2780"/>
      <c r="BR21" s="2780"/>
      <c r="BS21" s="2780"/>
      <c r="BT21" s="2780"/>
      <c r="BU21" s="2780"/>
      <c r="BV21" s="2780">
        <v>1</v>
      </c>
      <c r="BW21" s="2780">
        <v>1</v>
      </c>
      <c r="BX21" s="2780">
        <v>1</v>
      </c>
      <c r="BY21" s="2780">
        <v>1</v>
      </c>
      <c r="BZ21" s="2780">
        <v>1</v>
      </c>
      <c r="CA21" s="2780"/>
      <c r="CB21" s="2780"/>
      <c r="CC21" s="2780"/>
    </row>
    <row r="22" spans="1:81" ht="29.25" customHeight="1">
      <c r="B22" s="2694" t="s">
        <v>3143</v>
      </c>
      <c r="C22" s="5959" t="s">
        <v>2367</v>
      </c>
      <c r="D22" s="5960">
        <v>43670</v>
      </c>
      <c r="E22" s="2778"/>
      <c r="F22" s="2778"/>
      <c r="G22" s="2778"/>
      <c r="H22" s="2778"/>
      <c r="I22" s="2778"/>
      <c r="J22" s="2778"/>
      <c r="K22" s="2778"/>
      <c r="L22" s="2778"/>
      <c r="M22" s="2778"/>
      <c r="N22" s="2778"/>
      <c r="O22" s="2778"/>
      <c r="P22" s="2783" t="s">
        <v>228</v>
      </c>
      <c r="Q22" s="2778"/>
      <c r="R22" s="2778"/>
      <c r="S22" s="2778"/>
      <c r="T22" s="2778"/>
      <c r="U22" s="2778"/>
      <c r="V22" s="2778"/>
      <c r="W22" s="2778"/>
      <c r="X22" s="2778"/>
      <c r="Y22" s="2778"/>
      <c r="Z22" s="2778"/>
      <c r="AA22" s="2778"/>
      <c r="AB22" s="2778"/>
      <c r="AC22" s="2778"/>
      <c r="AD22" s="2778"/>
      <c r="AE22" s="2778"/>
      <c r="AF22" s="2778"/>
      <c r="AG22" s="2778"/>
      <c r="AH22" s="2715" t="s">
        <v>691</v>
      </c>
      <c r="AI22" s="2713"/>
      <c r="AJ22" s="2713"/>
      <c r="AK22" s="2713"/>
      <c r="AL22" s="2713"/>
      <c r="AM22" s="2713"/>
      <c r="AN22" s="2713"/>
      <c r="AO22" s="2713"/>
      <c r="AP22" s="2713"/>
      <c r="AQ22" s="2713"/>
      <c r="AR22" s="2713"/>
      <c r="AS22" s="2713"/>
      <c r="AT22" s="2714"/>
      <c r="AU22" s="2713"/>
      <c r="AV22" s="2713"/>
      <c r="AW22" s="2714"/>
      <c r="AX22" s="2713"/>
      <c r="AY22" s="2713"/>
      <c r="AZ22" s="2713"/>
      <c r="BA22" s="2713"/>
      <c r="BB22" s="5965" t="s">
        <v>3092</v>
      </c>
      <c r="BC22" s="3904"/>
      <c r="BD22" s="2713"/>
      <c r="BE22" s="2713"/>
      <c r="BF22" s="2713"/>
      <c r="BG22" s="2713"/>
      <c r="BH22" s="2713"/>
      <c r="BI22" s="2713"/>
      <c r="BJ22" s="2713"/>
      <c r="BK22" s="2713"/>
      <c r="BL22" s="2713"/>
      <c r="BM22" s="2713"/>
      <c r="BN22" s="2713"/>
      <c r="BO22" s="2713"/>
      <c r="BP22" s="2780">
        <v>1</v>
      </c>
      <c r="BQ22" s="2780">
        <v>1</v>
      </c>
      <c r="BR22" s="2780"/>
      <c r="BS22" s="2780"/>
      <c r="BT22" s="2780">
        <v>1</v>
      </c>
      <c r="BU22" s="2780">
        <v>1</v>
      </c>
      <c r="BV22" s="2780">
        <v>1</v>
      </c>
      <c r="BW22" s="2780"/>
      <c r="BX22" s="2780"/>
      <c r="BY22" s="2780"/>
      <c r="BZ22" s="2780"/>
      <c r="CA22" s="2780"/>
      <c r="CB22" s="2780">
        <v>1</v>
      </c>
      <c r="CC22" s="2780">
        <v>1</v>
      </c>
    </row>
    <row r="23" spans="1:81" ht="29.25" customHeight="1">
      <c r="A23" s="162">
        <f>+A21+1</f>
        <v>17</v>
      </c>
      <c r="B23" s="2694" t="s">
        <v>3144</v>
      </c>
      <c r="C23" s="5959" t="s">
        <v>2583</v>
      </c>
      <c r="D23" s="5960">
        <v>43670</v>
      </c>
      <c r="E23" s="2778"/>
      <c r="F23" s="2778"/>
      <c r="G23" s="2778"/>
      <c r="H23" s="2778"/>
      <c r="I23" s="2778"/>
      <c r="J23" s="2778"/>
      <c r="K23" s="2778"/>
      <c r="L23" s="2778"/>
      <c r="M23" s="2778"/>
      <c r="N23" s="2778"/>
      <c r="O23" s="2778"/>
      <c r="P23" s="2783" t="s">
        <v>228</v>
      </c>
      <c r="Q23" s="2778"/>
      <c r="R23" s="2778"/>
      <c r="S23" s="2778"/>
      <c r="T23" s="2778"/>
      <c r="U23" s="2778"/>
      <c r="V23" s="2778"/>
      <c r="W23" s="2778"/>
      <c r="X23" s="2778"/>
      <c r="Y23" s="2778"/>
      <c r="Z23" s="2778"/>
      <c r="AA23" s="2778"/>
      <c r="AB23" s="2778"/>
      <c r="AC23" s="2778"/>
      <c r="AD23" s="2778"/>
      <c r="AE23" s="2778"/>
      <c r="AF23" s="2778"/>
      <c r="AG23" s="2778"/>
      <c r="AH23" s="2715" t="s">
        <v>691</v>
      </c>
      <c r="AI23" s="2713"/>
      <c r="AJ23" s="2713"/>
      <c r="AK23" s="2713"/>
      <c r="AL23" s="2713"/>
      <c r="AM23" s="2713"/>
      <c r="AN23" s="2713"/>
      <c r="AO23" s="2713"/>
      <c r="AP23" s="2713"/>
      <c r="AQ23" s="2713"/>
      <c r="AR23" s="2713"/>
      <c r="AS23" s="2713"/>
      <c r="AT23" s="2714"/>
      <c r="AU23" s="2713"/>
      <c r="AV23" s="2713"/>
      <c r="AW23" s="2714"/>
      <c r="AX23" s="2713"/>
      <c r="AY23" s="2713"/>
      <c r="AZ23" s="2713"/>
      <c r="BA23" s="2782" t="s">
        <v>2468</v>
      </c>
      <c r="BB23" s="3338"/>
      <c r="BC23" s="3905"/>
      <c r="BD23" s="3338"/>
      <c r="BE23" s="3338"/>
      <c r="BF23" s="3338"/>
      <c r="BG23" s="3338"/>
      <c r="BH23" s="3338"/>
      <c r="BI23" s="3338"/>
      <c r="BJ23" s="3338"/>
      <c r="BK23" s="3338"/>
      <c r="BL23" s="3338"/>
      <c r="BM23" s="3338"/>
      <c r="BN23" s="3338"/>
      <c r="BO23" s="3338"/>
      <c r="BP23" s="2780">
        <v>1</v>
      </c>
      <c r="BQ23" s="2780">
        <v>1</v>
      </c>
      <c r="BR23" s="2780"/>
      <c r="BS23" s="2780"/>
      <c r="BT23" s="2780">
        <v>1</v>
      </c>
      <c r="BU23" s="2780">
        <v>1</v>
      </c>
      <c r="BV23" s="2780">
        <v>1</v>
      </c>
      <c r="BW23" s="2780"/>
      <c r="BX23" s="2780"/>
      <c r="BY23" s="2780">
        <v>1</v>
      </c>
      <c r="BZ23" s="2780">
        <v>1</v>
      </c>
      <c r="CA23" s="2780">
        <v>1</v>
      </c>
      <c r="CB23" s="2780">
        <v>1</v>
      </c>
      <c r="CC23" s="2780">
        <v>1</v>
      </c>
    </row>
    <row r="24" spans="1:81" ht="29.25" customHeight="1">
      <c r="A24" s="162">
        <f t="shared" si="1"/>
        <v>18</v>
      </c>
      <c r="B24" s="2694" t="s">
        <v>3145</v>
      </c>
      <c r="C24" s="5959" t="s">
        <v>2583</v>
      </c>
      <c r="D24" s="5960">
        <v>43670</v>
      </c>
      <c r="E24" s="2778"/>
      <c r="F24" s="2778"/>
      <c r="G24" s="2778"/>
      <c r="H24" s="2778"/>
      <c r="I24" s="2778"/>
      <c r="J24" s="2778"/>
      <c r="K24" s="2778"/>
      <c r="L24" s="2778"/>
      <c r="M24" s="2778"/>
      <c r="N24" s="2778"/>
      <c r="O24" s="2778"/>
      <c r="P24" s="2783" t="s">
        <v>228</v>
      </c>
      <c r="Q24" s="2778"/>
      <c r="R24" s="2778"/>
      <c r="S24" s="2778"/>
      <c r="T24" s="2778"/>
      <c r="U24" s="2778"/>
      <c r="V24" s="2778"/>
      <c r="W24" s="2778"/>
      <c r="X24" s="2778"/>
      <c r="Y24" s="2778"/>
      <c r="Z24" s="2778"/>
      <c r="AA24" s="2778"/>
      <c r="AB24" s="2778"/>
      <c r="AC24" s="2778"/>
      <c r="AD24" s="2778"/>
      <c r="AE24" s="2778"/>
      <c r="AF24" s="2778"/>
      <c r="AG24" s="2778"/>
      <c r="AH24" s="2715" t="s">
        <v>691</v>
      </c>
      <c r="AI24" s="2713"/>
      <c r="AJ24" s="2713"/>
      <c r="AK24" s="2713"/>
      <c r="AL24" s="2713"/>
      <c r="AM24" s="2713"/>
      <c r="AN24" s="2713"/>
      <c r="AO24" s="2713"/>
      <c r="AP24" s="2713"/>
      <c r="AQ24" s="2713"/>
      <c r="AR24" s="2713"/>
      <c r="AS24" s="2713"/>
      <c r="AT24" s="2714"/>
      <c r="AU24" s="2713"/>
      <c r="AV24" s="2713"/>
      <c r="AW24" s="2714"/>
      <c r="AX24" s="2713"/>
      <c r="AY24" s="2713"/>
      <c r="AZ24" s="2713"/>
      <c r="BA24" s="2782" t="s">
        <v>2468</v>
      </c>
      <c r="BB24" s="3338"/>
      <c r="BC24" s="3905"/>
      <c r="BD24" s="3338"/>
      <c r="BE24" s="3338"/>
      <c r="BF24" s="3338"/>
      <c r="BG24" s="3338"/>
      <c r="BH24" s="3338"/>
      <c r="BI24" s="3338"/>
      <c r="BJ24" s="3338"/>
      <c r="BK24" s="3338"/>
      <c r="BL24" s="3338"/>
      <c r="BM24" s="3338"/>
      <c r="BN24" s="3338"/>
      <c r="BO24" s="3338"/>
      <c r="BP24" s="2780">
        <v>1</v>
      </c>
      <c r="BQ24" s="2780">
        <v>1</v>
      </c>
      <c r="BR24" s="2780"/>
      <c r="BS24" s="2780"/>
      <c r="BT24" s="2780">
        <v>1</v>
      </c>
      <c r="BU24" s="2780">
        <v>1</v>
      </c>
      <c r="BV24" s="2780">
        <v>1</v>
      </c>
      <c r="BW24" s="2780"/>
      <c r="BX24" s="2780"/>
      <c r="BY24" s="2780">
        <v>1</v>
      </c>
      <c r="BZ24" s="2780">
        <v>1</v>
      </c>
      <c r="CA24" s="2780">
        <v>1</v>
      </c>
      <c r="CB24" s="2780">
        <v>1</v>
      </c>
      <c r="CC24" s="2780">
        <v>1</v>
      </c>
    </row>
    <row r="25" spans="1:81" ht="29.25" customHeight="1">
      <c r="A25" s="162">
        <f t="shared" si="1"/>
        <v>19</v>
      </c>
      <c r="B25" s="2694" t="s">
        <v>1706</v>
      </c>
      <c r="C25" s="5959" t="s">
        <v>1696</v>
      </c>
      <c r="D25" s="5960">
        <v>42529</v>
      </c>
      <c r="E25" s="2778"/>
      <c r="F25" s="2778"/>
      <c r="G25" s="2778"/>
      <c r="H25" s="2778"/>
      <c r="I25" s="2778"/>
      <c r="J25" s="2778"/>
      <c r="K25" s="2778"/>
      <c r="L25" s="2778"/>
      <c r="M25" s="2778"/>
      <c r="N25" s="2778"/>
      <c r="O25" s="2778"/>
      <c r="P25" s="2778"/>
      <c r="Q25" s="2778"/>
      <c r="R25" s="2778"/>
      <c r="S25" s="2778"/>
      <c r="T25" s="2778"/>
      <c r="U25" s="2778"/>
      <c r="V25" s="2778"/>
      <c r="W25" s="2778"/>
      <c r="X25" s="2778"/>
      <c r="Y25" s="2778"/>
      <c r="Z25" s="2778"/>
      <c r="AA25" s="2778"/>
      <c r="AB25" s="2778"/>
      <c r="AC25" s="2778"/>
      <c r="AD25" s="2783" t="s">
        <v>352</v>
      </c>
      <c r="AE25" s="2782" t="s">
        <v>353</v>
      </c>
      <c r="AF25" s="2778"/>
      <c r="AG25" s="2778"/>
      <c r="AH25" s="2713"/>
      <c r="AI25" s="2713"/>
      <c r="AJ25" s="2713"/>
      <c r="AK25" s="2713"/>
      <c r="AL25" s="2713"/>
      <c r="AM25" s="2713"/>
      <c r="AN25" s="2713"/>
      <c r="AO25" s="2713"/>
      <c r="AP25" s="2713"/>
      <c r="AQ25" s="2713"/>
      <c r="AR25" s="2713"/>
      <c r="AS25" s="2715" t="s">
        <v>1697</v>
      </c>
      <c r="AT25" s="2714"/>
      <c r="AU25" s="2713"/>
      <c r="AV25" s="2713"/>
      <c r="AW25" s="2714"/>
      <c r="AX25" s="2713"/>
      <c r="AY25" s="2713"/>
      <c r="AZ25" s="2713"/>
      <c r="BA25" s="3339"/>
      <c r="BB25" s="3339"/>
      <c r="BC25" s="3906"/>
      <c r="BD25" s="3339"/>
      <c r="BE25" s="3339"/>
      <c r="BF25" s="3339"/>
      <c r="BG25" s="3339"/>
      <c r="BH25" s="3339"/>
      <c r="BI25" s="3339"/>
      <c r="BJ25" s="3339"/>
      <c r="BK25" s="3339"/>
      <c r="BL25" s="3339"/>
      <c r="BM25" s="3339"/>
      <c r="BN25" s="3339"/>
      <c r="BO25" s="3339"/>
      <c r="BP25" s="2780"/>
      <c r="BQ25" s="2780"/>
      <c r="BR25" s="2780">
        <v>1</v>
      </c>
      <c r="BS25" s="2780">
        <v>1</v>
      </c>
      <c r="BT25" s="2780">
        <v>1</v>
      </c>
      <c r="BU25" s="2780">
        <v>1</v>
      </c>
      <c r="BV25" s="2780">
        <v>1</v>
      </c>
      <c r="BW25" s="2780">
        <v>1</v>
      </c>
      <c r="BX25" s="2780">
        <v>1</v>
      </c>
      <c r="BY25" s="2780">
        <v>1</v>
      </c>
      <c r="BZ25" s="2780">
        <v>1</v>
      </c>
      <c r="CA25" s="2780"/>
      <c r="CB25" s="2780"/>
      <c r="CC25" s="2780"/>
    </row>
    <row r="26" spans="1:81" ht="29.25" customHeight="1">
      <c r="A26" s="162">
        <f t="shared" si="1"/>
        <v>20</v>
      </c>
      <c r="B26" s="2694" t="s">
        <v>2145</v>
      </c>
      <c r="C26" s="5966" t="s">
        <v>1713</v>
      </c>
      <c r="D26" s="5960">
        <v>42507</v>
      </c>
      <c r="E26" s="2778"/>
      <c r="F26" s="2778"/>
      <c r="G26" s="2778"/>
      <c r="H26" s="2778"/>
      <c r="I26" s="2778"/>
      <c r="J26" s="2778"/>
      <c r="K26" s="2778"/>
      <c r="L26" s="2778"/>
      <c r="M26" s="2778"/>
      <c r="N26" s="2778"/>
      <c r="O26" s="2778"/>
      <c r="P26" s="2778"/>
      <c r="Q26" s="2778"/>
      <c r="R26" s="2778"/>
      <c r="S26" s="2778"/>
      <c r="T26" s="2778"/>
      <c r="U26" s="2778"/>
      <c r="V26" s="2778"/>
      <c r="W26" s="2778"/>
      <c r="X26" s="2778"/>
      <c r="Y26" s="2778"/>
      <c r="Z26" s="2778"/>
      <c r="AA26" s="2778"/>
      <c r="AB26" s="2778"/>
      <c r="AC26" s="2778"/>
      <c r="AD26" s="3338"/>
      <c r="AE26" s="3338"/>
      <c r="AF26" s="2778"/>
      <c r="AG26" s="2778"/>
      <c r="AH26" s="2713"/>
      <c r="AI26" s="2713"/>
      <c r="AJ26" s="2713"/>
      <c r="AK26" s="2713"/>
      <c r="AL26" s="2713"/>
      <c r="AM26" s="2713"/>
      <c r="AN26" s="2713"/>
      <c r="AO26" s="2713"/>
      <c r="AP26" s="2713"/>
      <c r="AQ26" s="2713"/>
      <c r="AR26" s="2713"/>
      <c r="AS26" s="2783" t="s">
        <v>2390</v>
      </c>
      <c r="AT26" s="2714"/>
      <c r="AU26" s="2713"/>
      <c r="AV26" s="2713"/>
      <c r="AW26" s="2714"/>
      <c r="AX26" s="2713"/>
      <c r="AY26" s="2713"/>
      <c r="AZ26" s="2713"/>
      <c r="BA26" s="3339"/>
      <c r="BB26" s="3339"/>
      <c r="BC26" s="3906"/>
      <c r="BD26" s="3339"/>
      <c r="BE26" s="3339"/>
      <c r="BF26" s="3339"/>
      <c r="BG26" s="3339"/>
      <c r="BH26" s="3339"/>
      <c r="BI26" s="3339"/>
      <c r="BJ26" s="3339"/>
      <c r="BK26" s="3339"/>
      <c r="BL26" s="3339"/>
      <c r="BM26" s="3339"/>
      <c r="BN26" s="3339"/>
      <c r="BO26" s="3339"/>
      <c r="BP26" s="2780"/>
      <c r="BQ26" s="2780"/>
      <c r="BR26" s="2780"/>
      <c r="BS26" s="2780"/>
      <c r="BT26" s="2780"/>
      <c r="BU26" s="2780"/>
      <c r="BV26" s="2780"/>
      <c r="BW26" s="2780"/>
      <c r="BX26" s="2780">
        <v>1</v>
      </c>
      <c r="BY26" s="2780">
        <v>1</v>
      </c>
      <c r="BZ26" s="2780">
        <v>1</v>
      </c>
      <c r="CA26" s="2780"/>
      <c r="CB26" s="2780"/>
      <c r="CC26" s="2780"/>
    </row>
    <row r="27" spans="1:81" ht="29.25" customHeight="1">
      <c r="A27" s="162">
        <f t="shared" si="1"/>
        <v>21</v>
      </c>
      <c r="B27" s="2694" t="s">
        <v>2366</v>
      </c>
      <c r="C27" s="5966" t="s">
        <v>2367</v>
      </c>
      <c r="D27" s="5960">
        <v>43258</v>
      </c>
      <c r="E27" s="3346"/>
      <c r="F27" s="2778"/>
      <c r="G27" s="2778"/>
      <c r="H27" s="2778"/>
      <c r="I27" s="2778"/>
      <c r="J27" s="2778"/>
      <c r="K27" s="2778"/>
      <c r="L27" s="2778"/>
      <c r="M27" s="2778"/>
      <c r="N27" s="2778"/>
      <c r="O27" s="2778"/>
      <c r="P27" s="2778"/>
      <c r="Q27" s="2778"/>
      <c r="R27" s="2778"/>
      <c r="S27" s="2778"/>
      <c r="T27" s="2778"/>
      <c r="U27" s="2778"/>
      <c r="V27" s="2778"/>
      <c r="W27" s="2778"/>
      <c r="X27" s="2778"/>
      <c r="Y27" s="2778"/>
      <c r="Z27" s="2778"/>
      <c r="AA27" s="2778"/>
      <c r="AB27" s="2778"/>
      <c r="AC27" s="2778"/>
      <c r="AD27" s="3338"/>
      <c r="AE27" s="3338"/>
      <c r="AF27" s="2778"/>
      <c r="AG27" s="2778"/>
      <c r="AH27" s="2713"/>
      <c r="AI27" s="2713"/>
      <c r="AJ27" s="2713"/>
      <c r="AK27" s="2713"/>
      <c r="AL27" s="2713"/>
      <c r="AM27" s="2713"/>
      <c r="AN27" s="2713"/>
      <c r="AO27" s="2713"/>
      <c r="AP27" s="2713"/>
      <c r="AQ27" s="2713"/>
      <c r="AR27" s="2713"/>
      <c r="AS27" s="2778"/>
      <c r="AT27" s="2714"/>
      <c r="AU27" s="2713"/>
      <c r="AV27" s="2713"/>
      <c r="AW27" s="2713"/>
      <c r="AX27" s="2713"/>
      <c r="AY27" s="2783" t="s">
        <v>2368</v>
      </c>
      <c r="AZ27" s="2713"/>
      <c r="BA27" s="3339"/>
      <c r="BB27" s="3339"/>
      <c r="BC27" s="3906"/>
      <c r="BD27" s="3339"/>
      <c r="BE27" s="3339"/>
      <c r="BF27" s="3339"/>
      <c r="BG27" s="3339"/>
      <c r="BH27" s="3339"/>
      <c r="BI27" s="3339"/>
      <c r="BJ27" s="3339"/>
      <c r="BK27" s="3339"/>
      <c r="BL27" s="3339"/>
      <c r="BM27" s="3339"/>
      <c r="BN27" s="3339"/>
      <c r="BO27" s="3339"/>
      <c r="BP27" s="2780"/>
      <c r="BQ27" s="2780"/>
      <c r="BR27" s="2780"/>
      <c r="BS27" s="2780"/>
      <c r="BT27" s="2780"/>
      <c r="BU27" s="2780"/>
      <c r="BV27" s="2780"/>
      <c r="BW27" s="2780"/>
      <c r="BX27" s="2780">
        <v>1</v>
      </c>
      <c r="BY27" s="2780">
        <v>1</v>
      </c>
      <c r="BZ27" s="2780">
        <v>1</v>
      </c>
      <c r="CA27" s="2780">
        <v>1</v>
      </c>
      <c r="CB27" s="2780">
        <v>1</v>
      </c>
      <c r="CC27" s="2780"/>
    </row>
    <row r="28" spans="1:81" ht="29.25" customHeight="1">
      <c r="A28" s="162">
        <f t="shared" si="1"/>
        <v>22</v>
      </c>
      <c r="B28" s="2694" t="s">
        <v>2593</v>
      </c>
      <c r="C28" s="5966" t="s">
        <v>2584</v>
      </c>
      <c r="D28" s="5960">
        <v>44029</v>
      </c>
      <c r="E28" s="5967"/>
      <c r="F28" s="5968"/>
      <c r="G28" s="5968"/>
      <c r="H28" s="5968"/>
      <c r="I28" s="5968"/>
      <c r="J28" s="5968"/>
      <c r="K28" s="5968"/>
      <c r="L28" s="5968"/>
      <c r="M28" s="5968"/>
      <c r="N28" s="5968"/>
      <c r="O28" s="5968"/>
      <c r="P28" s="5968"/>
      <c r="Q28" s="5968"/>
      <c r="R28" s="5968"/>
      <c r="S28" s="5968"/>
      <c r="T28" s="5968"/>
      <c r="U28" s="5968"/>
      <c r="V28" s="5968"/>
      <c r="W28" s="5968"/>
      <c r="X28" s="5968"/>
      <c r="Y28" s="5968"/>
      <c r="Z28" s="5968"/>
      <c r="AA28" s="5968"/>
      <c r="AB28" s="5968"/>
      <c r="AC28" s="5968"/>
      <c r="AD28" s="5969"/>
      <c r="AE28" s="5969"/>
      <c r="AF28" s="5968"/>
      <c r="AG28" s="5968"/>
      <c r="AH28" s="5970"/>
      <c r="AI28" s="5970"/>
      <c r="AJ28" s="5970"/>
      <c r="AK28" s="5970"/>
      <c r="AL28" s="2713"/>
      <c r="AM28" s="2713"/>
      <c r="AN28" s="2713"/>
      <c r="AO28" s="2713"/>
      <c r="AP28" s="2713"/>
      <c r="AQ28" s="2713"/>
      <c r="AR28" s="2713"/>
      <c r="AS28" s="2778"/>
      <c r="AT28" s="2714"/>
      <c r="AU28" s="2713"/>
      <c r="AV28" s="2713"/>
      <c r="AW28" s="2713"/>
      <c r="AX28" s="2713"/>
      <c r="AY28" s="2713"/>
      <c r="AZ28" s="2713"/>
      <c r="BA28" s="3339"/>
      <c r="BB28" s="3339"/>
      <c r="BC28" s="3906"/>
      <c r="BD28" s="5943" t="s">
        <v>2594</v>
      </c>
      <c r="BE28" s="3339"/>
      <c r="BF28" s="3339"/>
      <c r="BG28" s="3339"/>
      <c r="BH28" s="4878"/>
      <c r="BI28" s="3339"/>
      <c r="BJ28" s="3339"/>
      <c r="BK28" s="3339"/>
      <c r="BL28" s="3339"/>
      <c r="BM28" s="3339"/>
      <c r="BN28" s="3339"/>
      <c r="BO28" s="3339"/>
      <c r="BP28" s="2780"/>
      <c r="BQ28" s="2780"/>
      <c r="BR28" s="2780"/>
      <c r="BS28" s="2780"/>
      <c r="BT28" s="2780"/>
      <c r="BU28" s="2780"/>
      <c r="BV28" s="2780"/>
      <c r="BW28" s="2780"/>
      <c r="BX28" s="2780"/>
      <c r="BY28" s="2780"/>
      <c r="BZ28" s="2780">
        <v>1</v>
      </c>
      <c r="CA28" s="2780">
        <v>1</v>
      </c>
      <c r="CB28" s="2780">
        <v>1</v>
      </c>
      <c r="CC28" s="2780">
        <v>1</v>
      </c>
    </row>
    <row r="29" spans="1:81" ht="29.25" customHeight="1">
      <c r="A29" s="162">
        <f>+A28+1</f>
        <v>23</v>
      </c>
      <c r="B29" s="2694" t="s">
        <v>2861</v>
      </c>
      <c r="C29" s="5971" t="s">
        <v>2826</v>
      </c>
      <c r="D29" s="5960">
        <v>44489</v>
      </c>
      <c r="E29" s="5972"/>
      <c r="F29" s="5973"/>
      <c r="G29" s="5973"/>
      <c r="H29" s="5973"/>
      <c r="I29" s="5973"/>
      <c r="J29" s="5973"/>
      <c r="K29" s="5973"/>
      <c r="L29" s="5973"/>
      <c r="M29" s="5973"/>
      <c r="N29" s="5973"/>
      <c r="O29" s="5973"/>
      <c r="P29" s="5973"/>
      <c r="Q29" s="5973"/>
      <c r="R29" s="5973"/>
      <c r="S29" s="5973"/>
      <c r="T29" s="5973"/>
      <c r="U29" s="5973"/>
      <c r="V29" s="5973"/>
      <c r="W29" s="5973"/>
      <c r="X29" s="5973"/>
      <c r="Y29" s="5973"/>
      <c r="Z29" s="5973"/>
      <c r="AA29" s="5973"/>
      <c r="AB29" s="5973"/>
      <c r="AC29" s="5973"/>
      <c r="AD29" s="5974"/>
      <c r="AE29" s="5974"/>
      <c r="AF29" s="5973"/>
      <c r="AG29" s="5973"/>
      <c r="AH29" s="5975"/>
      <c r="AI29" s="5975"/>
      <c r="AJ29" s="5975"/>
      <c r="AK29" s="5975"/>
      <c r="AL29" s="2713"/>
      <c r="AM29" s="2713"/>
      <c r="AN29" s="2713"/>
      <c r="AO29" s="2713"/>
      <c r="AP29" s="2713"/>
      <c r="AQ29" s="2713"/>
      <c r="AR29" s="2713"/>
      <c r="AS29" s="2778"/>
      <c r="AT29" s="2714"/>
      <c r="AU29" s="2713"/>
      <c r="AV29" s="2713"/>
      <c r="AW29" s="2713"/>
      <c r="AX29" s="2713"/>
      <c r="AY29" s="2713"/>
      <c r="AZ29" s="2713"/>
      <c r="BA29" s="3339"/>
      <c r="BB29" s="3339"/>
      <c r="BC29" s="3906"/>
      <c r="BD29" s="5976"/>
      <c r="BE29" s="3339"/>
      <c r="BF29" s="3339"/>
      <c r="BG29" s="3339"/>
      <c r="BH29" s="5977" t="s">
        <v>2875</v>
      </c>
      <c r="BI29" s="3339"/>
      <c r="BJ29" s="3339"/>
      <c r="BK29" s="3339"/>
      <c r="BL29" s="3339"/>
      <c r="BM29" s="3339"/>
      <c r="BN29" s="3339"/>
      <c r="BO29" s="3339"/>
      <c r="BP29" s="2780"/>
      <c r="BQ29" s="2780"/>
      <c r="BR29" s="2780"/>
      <c r="BS29" s="2780"/>
      <c r="BT29" s="2780"/>
      <c r="BU29" s="2780"/>
      <c r="BV29" s="2780"/>
      <c r="BW29" s="2780"/>
      <c r="BX29" s="2780"/>
      <c r="BY29" s="2780"/>
      <c r="BZ29" s="2780"/>
      <c r="CA29" s="2780">
        <v>1</v>
      </c>
      <c r="CB29" s="2780">
        <v>1</v>
      </c>
      <c r="CC29" s="2780">
        <v>1</v>
      </c>
    </row>
    <row r="30" spans="1:81" ht="14.4">
      <c r="B30" s="5978" t="s">
        <v>343</v>
      </c>
      <c r="C30" s="5963"/>
      <c r="D30" s="2785"/>
      <c r="E30" s="5979"/>
      <c r="F30" s="5979"/>
      <c r="G30" s="5979"/>
      <c r="H30" s="5979"/>
      <c r="I30" s="5979"/>
      <c r="J30" s="5979"/>
      <c r="K30" s="5979"/>
      <c r="L30" s="5979"/>
      <c r="M30" s="5979"/>
      <c r="N30" s="5979"/>
      <c r="O30" s="5979"/>
      <c r="P30" s="5979"/>
      <c r="Q30" s="5979"/>
      <c r="R30" s="5979"/>
      <c r="S30" s="5979"/>
      <c r="T30" s="5979"/>
      <c r="U30" s="5979"/>
      <c r="V30" s="5979"/>
      <c r="W30" s="5979"/>
      <c r="X30" s="5979"/>
      <c r="Y30" s="5979"/>
      <c r="Z30" s="5979"/>
      <c r="AA30" s="5979"/>
      <c r="AB30" s="5979"/>
      <c r="AC30" s="5979"/>
      <c r="AD30" s="5979"/>
      <c r="AE30" s="5979"/>
      <c r="AF30" s="5979"/>
      <c r="AG30" s="5979"/>
      <c r="AH30" s="5979"/>
      <c r="AI30" s="5979"/>
      <c r="AJ30" s="5979"/>
      <c r="AK30" s="5979"/>
      <c r="AL30" s="5979"/>
      <c r="AM30" s="5979"/>
      <c r="AN30" s="5979"/>
      <c r="AO30" s="5979"/>
      <c r="AP30" s="5979"/>
      <c r="AQ30" s="5979"/>
      <c r="AR30" s="5939"/>
      <c r="AS30" s="5939"/>
      <c r="AT30" s="5939"/>
      <c r="AU30" s="5980"/>
      <c r="AV30" s="5939"/>
      <c r="AW30" s="5939"/>
      <c r="AX30" s="5939"/>
      <c r="AY30" s="5939"/>
      <c r="AZ30" s="5939"/>
      <c r="BA30" s="5939"/>
      <c r="BB30" s="5939"/>
      <c r="BC30" s="5939"/>
      <c r="BD30" s="5939"/>
      <c r="BE30" s="5939"/>
      <c r="BF30" s="5939"/>
      <c r="BG30" s="5939"/>
      <c r="BH30" s="5939"/>
      <c r="BI30" s="5939"/>
      <c r="BJ30" s="5939"/>
      <c r="BK30" s="5939"/>
      <c r="BL30" s="5939"/>
      <c r="BM30" s="5939"/>
      <c r="BN30" s="5939"/>
      <c r="BO30" s="5939"/>
      <c r="BP30" s="5939"/>
      <c r="BQ30" s="5939"/>
      <c r="BR30" s="2786"/>
      <c r="BS30" s="2786"/>
      <c r="BT30" s="2787"/>
      <c r="BU30" s="2787"/>
      <c r="BV30" s="2788"/>
      <c r="BW30" s="2788"/>
      <c r="BX30" s="2788"/>
      <c r="BY30" s="2788"/>
      <c r="BZ30" s="2788"/>
      <c r="CA30" s="2788"/>
      <c r="CB30" s="2788"/>
      <c r="CC30" s="2788"/>
    </row>
    <row r="31" spans="1:81" ht="29.25" hidden="1" customHeight="1">
      <c r="A31" s="1092"/>
      <c r="B31" s="2789" t="s">
        <v>1703</v>
      </c>
      <c r="C31" s="2790" t="s">
        <v>1507</v>
      </c>
      <c r="D31" s="5981"/>
      <c r="E31" s="2791"/>
      <c r="F31" s="2791"/>
      <c r="G31" s="2791"/>
      <c r="H31" s="2791"/>
      <c r="I31" s="2791"/>
      <c r="J31" s="2791"/>
      <c r="K31" s="2791"/>
      <c r="L31" s="2791"/>
      <c r="M31" s="2791"/>
      <c r="N31" s="2791"/>
      <c r="O31" s="2791"/>
      <c r="P31" s="2791"/>
      <c r="Q31" s="2791"/>
      <c r="R31" s="2791"/>
      <c r="S31" s="2791"/>
      <c r="T31" s="2791"/>
      <c r="U31" s="2791"/>
      <c r="V31" s="2791"/>
      <c r="W31" s="2791"/>
      <c r="X31" s="2791"/>
      <c r="Y31" s="2791"/>
      <c r="Z31" s="2791"/>
      <c r="AA31" s="2791"/>
      <c r="AB31" s="2791"/>
      <c r="AC31" s="2791"/>
      <c r="AD31" s="2791"/>
      <c r="AE31" s="2791"/>
      <c r="AF31" s="2791"/>
      <c r="AG31" s="2791"/>
      <c r="AH31" s="2792"/>
      <c r="AI31" s="2792"/>
      <c r="AJ31" s="2792"/>
      <c r="AK31" s="2792"/>
      <c r="AL31" s="2792"/>
      <c r="AM31" s="2792"/>
      <c r="AN31" s="2792"/>
      <c r="AO31" s="2782" t="s">
        <v>1508</v>
      </c>
      <c r="AP31" s="2791"/>
      <c r="AQ31" s="2791"/>
      <c r="AR31" s="2778"/>
      <c r="AS31" s="2778"/>
      <c r="AT31" s="2784"/>
      <c r="AU31" s="2778"/>
      <c r="AV31" s="2778"/>
      <c r="AW31" s="2784"/>
      <c r="AX31" s="2778"/>
      <c r="AY31" s="2778"/>
      <c r="AZ31" s="2778"/>
      <c r="BA31" s="2778"/>
      <c r="BB31" s="2778"/>
      <c r="BC31" s="3907"/>
      <c r="BD31" s="2778"/>
      <c r="BE31" s="2778"/>
      <c r="BF31" s="2778"/>
      <c r="BG31" s="2778"/>
      <c r="BH31" s="2778"/>
      <c r="BI31" s="2778"/>
      <c r="BJ31" s="2778"/>
      <c r="BK31" s="2778"/>
      <c r="BL31" s="2778"/>
      <c r="BM31" s="2778"/>
      <c r="BN31" s="2778"/>
      <c r="BO31" s="2778"/>
      <c r="BP31" s="2780"/>
      <c r="BQ31" s="2780"/>
      <c r="BR31" s="2780"/>
      <c r="BS31" s="2780"/>
      <c r="BT31" s="2780"/>
      <c r="BU31" s="2780"/>
      <c r="BV31" s="2780">
        <v>1</v>
      </c>
      <c r="BW31" s="2780"/>
      <c r="BX31" s="2780"/>
      <c r="BY31" s="2780"/>
      <c r="BZ31" s="2780"/>
      <c r="CA31" s="2780"/>
      <c r="CB31" s="2780"/>
      <c r="CC31" s="2780"/>
    </row>
    <row r="32" spans="1:81" ht="29.25" hidden="1" customHeight="1">
      <c r="A32" s="1092"/>
      <c r="B32" s="2789" t="s">
        <v>1704</v>
      </c>
      <c r="C32" s="2790" t="s">
        <v>1507</v>
      </c>
      <c r="D32" s="5981"/>
      <c r="E32" s="2791"/>
      <c r="F32" s="2791"/>
      <c r="G32" s="2791"/>
      <c r="H32" s="2791"/>
      <c r="I32" s="2791"/>
      <c r="J32" s="2791"/>
      <c r="K32" s="2791"/>
      <c r="L32" s="2791"/>
      <c r="M32" s="2791"/>
      <c r="N32" s="2791"/>
      <c r="O32" s="2791"/>
      <c r="P32" s="2791"/>
      <c r="Q32" s="2791"/>
      <c r="R32" s="2791"/>
      <c r="S32" s="2791"/>
      <c r="T32" s="2791"/>
      <c r="U32" s="2791"/>
      <c r="V32" s="2791"/>
      <c r="W32" s="2791"/>
      <c r="X32" s="2791"/>
      <c r="Y32" s="2791"/>
      <c r="Z32" s="2791"/>
      <c r="AA32" s="2791"/>
      <c r="AB32" s="2791"/>
      <c r="AC32" s="2791"/>
      <c r="AD32" s="2791"/>
      <c r="AE32" s="2791"/>
      <c r="AF32" s="2791"/>
      <c r="AG32" s="2791"/>
      <c r="AH32" s="2792"/>
      <c r="AI32" s="2792"/>
      <c r="AJ32" s="2792"/>
      <c r="AK32" s="2792"/>
      <c r="AL32" s="2792"/>
      <c r="AM32" s="2792"/>
      <c r="AN32" s="2792"/>
      <c r="AO32" s="2782" t="s">
        <v>1508</v>
      </c>
      <c r="AP32" s="2791"/>
      <c r="AQ32" s="2791"/>
      <c r="AR32" s="2778"/>
      <c r="AS32" s="2778"/>
      <c r="AT32" s="2784"/>
      <c r="AU32" s="2778"/>
      <c r="AV32" s="2778"/>
      <c r="AW32" s="2784"/>
      <c r="AX32" s="2778"/>
      <c r="AY32" s="2778"/>
      <c r="AZ32" s="2778"/>
      <c r="BA32" s="2778"/>
      <c r="BB32" s="2778"/>
      <c r="BC32" s="3907"/>
      <c r="BD32" s="2778"/>
      <c r="BE32" s="2778"/>
      <c r="BF32" s="2778"/>
      <c r="BG32" s="2778"/>
      <c r="BH32" s="2778"/>
      <c r="BI32" s="2778"/>
      <c r="BJ32" s="2778"/>
      <c r="BK32" s="2778"/>
      <c r="BL32" s="2778"/>
      <c r="BM32" s="2778"/>
      <c r="BN32" s="2778"/>
      <c r="BO32" s="2778"/>
      <c r="BP32" s="2780"/>
      <c r="BQ32" s="2780"/>
      <c r="BR32" s="2780"/>
      <c r="BS32" s="2780"/>
      <c r="BT32" s="2780"/>
      <c r="BU32" s="2780"/>
      <c r="BV32" s="2780">
        <v>1</v>
      </c>
      <c r="BW32" s="2780"/>
      <c r="BX32" s="2780"/>
      <c r="BY32" s="2780"/>
      <c r="BZ32" s="2780"/>
      <c r="CA32" s="2780"/>
      <c r="CB32" s="2780"/>
      <c r="CC32" s="2780"/>
    </row>
    <row r="33" spans="1:81" ht="29.25" hidden="1" customHeight="1">
      <c r="A33" s="1092"/>
      <c r="B33" s="2789" t="s">
        <v>1705</v>
      </c>
      <c r="C33" s="2790" t="s">
        <v>1507</v>
      </c>
      <c r="D33" s="5981"/>
      <c r="E33" s="2791"/>
      <c r="F33" s="2791"/>
      <c r="G33" s="2791"/>
      <c r="H33" s="2791"/>
      <c r="I33" s="2791"/>
      <c r="J33" s="2791"/>
      <c r="K33" s="2791"/>
      <c r="L33" s="2791"/>
      <c r="M33" s="2791"/>
      <c r="N33" s="2791"/>
      <c r="O33" s="2791"/>
      <c r="P33" s="2791"/>
      <c r="Q33" s="2791"/>
      <c r="R33" s="2791"/>
      <c r="S33" s="2791"/>
      <c r="T33" s="2791"/>
      <c r="U33" s="2791"/>
      <c r="V33" s="2791"/>
      <c r="W33" s="2791"/>
      <c r="X33" s="2791"/>
      <c r="Y33" s="2791"/>
      <c r="Z33" s="2791"/>
      <c r="AA33" s="2791"/>
      <c r="AB33" s="2791"/>
      <c r="AC33" s="2791"/>
      <c r="AD33" s="2791"/>
      <c r="AE33" s="2791"/>
      <c r="AF33" s="2791"/>
      <c r="AG33" s="2791"/>
      <c r="AH33" s="2792"/>
      <c r="AI33" s="2792"/>
      <c r="AJ33" s="2792"/>
      <c r="AK33" s="2792"/>
      <c r="AL33" s="2792"/>
      <c r="AM33" s="2792"/>
      <c r="AN33" s="2792"/>
      <c r="AO33" s="2782" t="s">
        <v>1508</v>
      </c>
      <c r="AP33" s="2791"/>
      <c r="AQ33" s="2791"/>
      <c r="AR33" s="2778"/>
      <c r="AS33" s="2778"/>
      <c r="AT33" s="2784"/>
      <c r="AU33" s="2778"/>
      <c r="AV33" s="2778"/>
      <c r="AW33" s="2784"/>
      <c r="AX33" s="2778"/>
      <c r="AY33" s="2778"/>
      <c r="AZ33" s="2778"/>
      <c r="BA33" s="2778"/>
      <c r="BB33" s="2778"/>
      <c r="BC33" s="3907"/>
      <c r="BD33" s="2778"/>
      <c r="BE33" s="2778"/>
      <c r="BF33" s="2778"/>
      <c r="BG33" s="2778"/>
      <c r="BH33" s="2778"/>
      <c r="BI33" s="2778"/>
      <c r="BJ33" s="2778"/>
      <c r="BK33" s="2778"/>
      <c r="BL33" s="2778"/>
      <c r="BM33" s="2778"/>
      <c r="BN33" s="2778"/>
      <c r="BO33" s="2778"/>
      <c r="BP33" s="2780"/>
      <c r="BQ33" s="2780"/>
      <c r="BR33" s="2780"/>
      <c r="BS33" s="2793"/>
      <c r="BT33" s="2780"/>
      <c r="BU33" s="2780"/>
      <c r="BV33" s="2780">
        <v>1</v>
      </c>
      <c r="BW33" s="2780"/>
      <c r="BX33" s="2780"/>
      <c r="BY33" s="2780"/>
      <c r="BZ33" s="2780"/>
      <c r="CA33" s="2780"/>
      <c r="CB33" s="2780"/>
      <c r="CC33" s="2780"/>
    </row>
    <row r="34" spans="1:81" ht="29.25" customHeight="1">
      <c r="A34" s="162">
        <f>+A29+1</f>
        <v>24</v>
      </c>
      <c r="B34" s="5982" t="s">
        <v>3146</v>
      </c>
      <c r="C34" s="5966" t="s">
        <v>2818</v>
      </c>
      <c r="D34" s="5960" t="s">
        <v>2866</v>
      </c>
      <c r="E34" s="2778"/>
      <c r="F34" s="2715" t="s">
        <v>2495</v>
      </c>
      <c r="G34" s="2778"/>
      <c r="H34" s="2778"/>
      <c r="I34" s="2778"/>
      <c r="J34" s="2778"/>
      <c r="K34" s="2778"/>
      <c r="L34" s="2778"/>
      <c r="M34" s="2778"/>
      <c r="N34" s="2778"/>
      <c r="O34" s="2778"/>
      <c r="P34" s="2778"/>
      <c r="Q34" s="2778"/>
      <c r="R34" s="2778"/>
      <c r="S34" s="2778"/>
      <c r="T34" s="2778"/>
      <c r="U34" s="2778"/>
      <c r="V34" s="2778"/>
      <c r="W34" s="2778"/>
      <c r="X34" s="2778"/>
      <c r="Y34" s="2778"/>
      <c r="Z34" s="2778"/>
      <c r="AA34" s="2778"/>
      <c r="AB34" s="2778"/>
      <c r="AC34" s="2778"/>
      <c r="AD34" s="2778"/>
      <c r="AE34" s="2778"/>
      <c r="AF34" s="2778"/>
      <c r="AG34" s="2778"/>
      <c r="AH34" s="2713"/>
      <c r="AI34" s="2713"/>
      <c r="AJ34" s="2713"/>
      <c r="AK34" s="2713"/>
      <c r="AL34" s="2713"/>
      <c r="AM34" s="2713"/>
      <c r="AN34" s="2713"/>
      <c r="AO34" s="2783"/>
      <c r="AP34" s="2713"/>
      <c r="AQ34" s="2713"/>
      <c r="AR34" s="2713"/>
      <c r="AS34" s="2713"/>
      <c r="AT34" s="2714"/>
      <c r="AU34" s="2713"/>
      <c r="AV34" s="2713"/>
      <c r="AW34" s="2714"/>
      <c r="AX34" s="2713"/>
      <c r="AY34" s="2713"/>
      <c r="AZ34" s="2713"/>
      <c r="BA34" s="2713"/>
      <c r="BB34" s="2713"/>
      <c r="BC34" s="3904"/>
      <c r="BD34" s="2713"/>
      <c r="BE34" s="2738" t="s">
        <v>2595</v>
      </c>
      <c r="BF34" s="2713"/>
      <c r="BG34" s="2713"/>
      <c r="BH34" s="2713"/>
      <c r="BI34" s="2713"/>
      <c r="BJ34" s="2713"/>
      <c r="BK34" s="2713"/>
      <c r="BL34" s="2713"/>
      <c r="BM34" s="2713"/>
      <c r="BN34" s="2713"/>
      <c r="BO34" s="2713"/>
      <c r="BP34" s="2780"/>
      <c r="BQ34" s="2780"/>
      <c r="BR34" s="2780"/>
      <c r="BS34" s="2793"/>
      <c r="BT34" s="2780"/>
      <c r="BU34" s="2780"/>
      <c r="BV34" s="2780"/>
      <c r="BW34" s="2780"/>
      <c r="BX34" s="2780"/>
      <c r="BY34" s="2780">
        <v>1</v>
      </c>
      <c r="BZ34" s="2780">
        <v>1</v>
      </c>
      <c r="CA34" s="2780">
        <v>1</v>
      </c>
      <c r="CB34" s="2780">
        <v>1</v>
      </c>
      <c r="CC34" s="2780">
        <v>1</v>
      </c>
    </row>
    <row r="35" spans="1:81" ht="29.25" customHeight="1">
      <c r="A35" s="162">
        <f>+A34+1</f>
        <v>25</v>
      </c>
      <c r="B35" s="2727" t="s">
        <v>3107</v>
      </c>
      <c r="C35" s="5966" t="s">
        <v>1482</v>
      </c>
      <c r="D35" s="5960" t="s">
        <v>2867</v>
      </c>
      <c r="E35" s="2778"/>
      <c r="F35" s="2778"/>
      <c r="G35" s="2778"/>
      <c r="H35" s="2778"/>
      <c r="I35" s="2778"/>
      <c r="J35" s="2778"/>
      <c r="K35" s="2778"/>
      <c r="L35" s="2778"/>
      <c r="M35" s="2778"/>
      <c r="N35" s="2778"/>
      <c r="O35" s="2778"/>
      <c r="P35" s="2778"/>
      <c r="Q35" s="2778"/>
      <c r="R35" s="2778"/>
      <c r="S35" s="2778"/>
      <c r="T35" s="2778"/>
      <c r="U35" s="2778"/>
      <c r="V35" s="2778"/>
      <c r="W35" s="2778"/>
      <c r="X35" s="2778"/>
      <c r="Y35" s="2778"/>
      <c r="Z35" s="2778"/>
      <c r="AA35" s="2778"/>
      <c r="AB35" s="2778"/>
      <c r="AC35" s="2778"/>
      <c r="AD35" s="2778"/>
      <c r="AE35" s="2778"/>
      <c r="AF35" s="2778"/>
      <c r="AG35" s="2778"/>
      <c r="AH35" s="2713"/>
      <c r="AI35" s="2713"/>
      <c r="AJ35" s="2713"/>
      <c r="AK35" s="2713"/>
      <c r="AL35" s="2713"/>
      <c r="AM35" s="2713"/>
      <c r="AN35" s="2713"/>
      <c r="AO35" s="2783" t="s">
        <v>1509</v>
      </c>
      <c r="AP35" s="2713"/>
      <c r="AQ35" s="2713"/>
      <c r="AR35" s="2713"/>
      <c r="AS35" s="2713"/>
      <c r="AT35" s="2714"/>
      <c r="AU35" s="2713"/>
      <c r="AV35" s="2713"/>
      <c r="AW35" s="2714"/>
      <c r="AX35" s="2713"/>
      <c r="AY35" s="2713"/>
      <c r="AZ35" s="2713"/>
      <c r="BA35" s="2713"/>
      <c r="BB35" s="2713"/>
      <c r="BC35" s="3904"/>
      <c r="BD35" s="2713"/>
      <c r="BE35" s="2713"/>
      <c r="BF35" s="2713"/>
      <c r="BG35" s="2713"/>
      <c r="BH35" s="2713"/>
      <c r="BI35" s="2713"/>
      <c r="BJ35" s="2713"/>
      <c r="BK35" s="2713"/>
      <c r="BL35" s="2713"/>
      <c r="BM35" s="2713"/>
      <c r="BN35" s="2713"/>
      <c r="BO35" s="2713"/>
      <c r="BP35" s="2780"/>
      <c r="BQ35" s="2780"/>
      <c r="BR35" s="2780"/>
      <c r="BS35" s="2780"/>
      <c r="BT35" s="2780"/>
      <c r="BU35" s="2780">
        <v>1</v>
      </c>
      <c r="BV35" s="2780">
        <v>1</v>
      </c>
      <c r="BW35" s="2780">
        <v>1</v>
      </c>
      <c r="BX35" s="2780">
        <v>1</v>
      </c>
      <c r="BY35" s="2780">
        <v>1</v>
      </c>
      <c r="BZ35" s="2780"/>
      <c r="CA35" s="2780"/>
      <c r="CB35" s="2780"/>
      <c r="CC35" s="2780"/>
    </row>
    <row r="36" spans="1:81" ht="29.25" customHeight="1">
      <c r="A36" s="162">
        <f>+A35+1</f>
        <v>26</v>
      </c>
      <c r="B36" s="2727" t="s">
        <v>3108</v>
      </c>
      <c r="C36" s="5966" t="s">
        <v>1482</v>
      </c>
      <c r="D36" s="5960" t="s">
        <v>2867</v>
      </c>
      <c r="E36" s="2778"/>
      <c r="F36" s="2778"/>
      <c r="G36" s="2778"/>
      <c r="H36" s="2778"/>
      <c r="I36" s="2778"/>
      <c r="J36" s="2778"/>
      <c r="K36" s="2778"/>
      <c r="L36" s="2778"/>
      <c r="M36" s="2778"/>
      <c r="N36" s="2778"/>
      <c r="O36" s="2778"/>
      <c r="P36" s="2778"/>
      <c r="Q36" s="2778"/>
      <c r="R36" s="2778"/>
      <c r="S36" s="2778"/>
      <c r="T36" s="2778"/>
      <c r="U36" s="2778"/>
      <c r="V36" s="2778"/>
      <c r="W36" s="2778"/>
      <c r="X36" s="2778"/>
      <c r="Y36" s="2778"/>
      <c r="Z36" s="2778"/>
      <c r="AA36" s="2778"/>
      <c r="AB36" s="2778"/>
      <c r="AC36" s="2778"/>
      <c r="AD36" s="2778"/>
      <c r="AE36" s="2778"/>
      <c r="AF36" s="2778"/>
      <c r="AG36" s="2778"/>
      <c r="AH36" s="2713"/>
      <c r="AI36" s="2713"/>
      <c r="AJ36" s="2713"/>
      <c r="AK36" s="2713"/>
      <c r="AL36" s="2713"/>
      <c r="AM36" s="2713"/>
      <c r="AN36" s="2713"/>
      <c r="AO36" s="2783" t="s">
        <v>1509</v>
      </c>
      <c r="AP36" s="2713"/>
      <c r="AQ36" s="2713"/>
      <c r="AR36" s="2713"/>
      <c r="AS36" s="2713"/>
      <c r="AT36" s="2714"/>
      <c r="AU36" s="2713"/>
      <c r="AV36" s="2713"/>
      <c r="AW36" s="2714"/>
      <c r="AX36" s="2713"/>
      <c r="AY36" s="2713"/>
      <c r="AZ36" s="2713"/>
      <c r="BA36" s="2713"/>
      <c r="BB36" s="2713"/>
      <c r="BC36" s="3904"/>
      <c r="BD36" s="2713"/>
      <c r="BE36" s="2713"/>
      <c r="BF36" s="2713"/>
      <c r="BG36" s="2713"/>
      <c r="BH36" s="2713"/>
      <c r="BI36" s="2713"/>
      <c r="BJ36" s="2713"/>
      <c r="BK36" s="2713"/>
      <c r="BL36" s="2713"/>
      <c r="BM36" s="2713"/>
      <c r="BN36" s="2713"/>
      <c r="BO36" s="2713"/>
      <c r="BP36" s="2780"/>
      <c r="BQ36" s="2780"/>
      <c r="BR36" s="2780"/>
      <c r="BS36" s="2780"/>
      <c r="BT36" s="2780"/>
      <c r="BU36" s="2780">
        <v>1</v>
      </c>
      <c r="BV36" s="2780">
        <v>1</v>
      </c>
      <c r="BW36" s="2780">
        <v>1</v>
      </c>
      <c r="BX36" s="2780">
        <v>1</v>
      </c>
      <c r="BY36" s="2780">
        <v>1</v>
      </c>
      <c r="BZ36" s="2780"/>
      <c r="CA36" s="2780"/>
      <c r="CB36" s="2780"/>
      <c r="CC36" s="2780"/>
    </row>
    <row r="37" spans="1:81" ht="38.25" customHeight="1">
      <c r="A37" s="162">
        <f t="shared" ref="A37:A41" si="2">+A36+1</f>
        <v>27</v>
      </c>
      <c r="B37" s="2727" t="s">
        <v>3109</v>
      </c>
      <c r="C37" s="5966" t="s">
        <v>1510</v>
      </c>
      <c r="D37" s="5960" t="s">
        <v>2867</v>
      </c>
      <c r="E37" s="2778"/>
      <c r="F37" s="2778"/>
      <c r="G37" s="2778"/>
      <c r="H37" s="2778"/>
      <c r="I37" s="2778"/>
      <c r="J37" s="2778"/>
      <c r="K37" s="2778"/>
      <c r="L37" s="2778"/>
      <c r="M37" s="2778"/>
      <c r="N37" s="2778"/>
      <c r="O37" s="2778"/>
      <c r="P37" s="2778"/>
      <c r="Q37" s="2778"/>
      <c r="R37" s="2778"/>
      <c r="S37" s="2778"/>
      <c r="T37" s="2778"/>
      <c r="U37" s="2778"/>
      <c r="V37" s="2778"/>
      <c r="W37" s="2778"/>
      <c r="X37" s="2778"/>
      <c r="Y37" s="2778"/>
      <c r="Z37" s="2778"/>
      <c r="AA37" s="2778"/>
      <c r="AB37" s="2778"/>
      <c r="AC37" s="2778"/>
      <c r="AD37" s="2778"/>
      <c r="AE37" s="2778"/>
      <c r="AF37" s="2778"/>
      <c r="AG37" s="2778"/>
      <c r="AH37" s="2713"/>
      <c r="AI37" s="2713"/>
      <c r="AJ37" s="2713"/>
      <c r="AK37" s="2713"/>
      <c r="AL37" s="2713"/>
      <c r="AM37" s="2713"/>
      <c r="AN37" s="2713"/>
      <c r="AO37" s="2783" t="s">
        <v>1509</v>
      </c>
      <c r="AP37" s="2713"/>
      <c r="AQ37" s="2713"/>
      <c r="AR37" s="2781"/>
      <c r="AS37" s="2713"/>
      <c r="AT37" s="2714"/>
      <c r="AU37" s="2713"/>
      <c r="AV37" s="2713"/>
      <c r="AW37" s="2714"/>
      <c r="AX37" s="2713"/>
      <c r="AY37" s="2713"/>
      <c r="AZ37" s="2713"/>
      <c r="BA37" s="2713"/>
      <c r="BB37" s="2713"/>
      <c r="BC37" s="3904"/>
      <c r="BD37" s="2713"/>
      <c r="BE37" s="2713"/>
      <c r="BF37" s="2713"/>
      <c r="BG37" s="2713"/>
      <c r="BH37" s="2713"/>
      <c r="BI37" s="2713"/>
      <c r="BJ37" s="2713"/>
      <c r="BK37" s="2713"/>
      <c r="BL37" s="2713"/>
      <c r="BM37" s="2713"/>
      <c r="BN37" s="2713"/>
      <c r="BO37" s="2713"/>
      <c r="BP37" s="2780"/>
      <c r="BQ37" s="2780"/>
      <c r="BR37" s="2780"/>
      <c r="BS37" s="2780"/>
      <c r="BT37" s="2780"/>
      <c r="BU37" s="2780"/>
      <c r="BV37" s="2780">
        <v>1</v>
      </c>
      <c r="BW37" s="2780">
        <v>1</v>
      </c>
      <c r="BX37" s="2780">
        <v>1</v>
      </c>
      <c r="BY37" s="2780">
        <v>1</v>
      </c>
      <c r="BZ37" s="2780"/>
      <c r="CA37" s="2780"/>
      <c r="CB37" s="2780"/>
      <c r="CC37" s="2780"/>
    </row>
    <row r="38" spans="1:81" ht="29.25" customHeight="1">
      <c r="A38" s="162">
        <f t="shared" si="2"/>
        <v>28</v>
      </c>
      <c r="B38" s="2727" t="s">
        <v>3110</v>
      </c>
      <c r="C38" s="5966" t="s">
        <v>1482</v>
      </c>
      <c r="D38" s="5960" t="s">
        <v>2867</v>
      </c>
      <c r="E38" s="2778"/>
      <c r="F38" s="2778"/>
      <c r="G38" s="2778"/>
      <c r="H38" s="2778"/>
      <c r="I38" s="2778"/>
      <c r="J38" s="2778"/>
      <c r="K38" s="2778"/>
      <c r="L38" s="2778"/>
      <c r="M38" s="2778"/>
      <c r="N38" s="2778"/>
      <c r="O38" s="2778"/>
      <c r="P38" s="2778"/>
      <c r="Q38" s="2778"/>
      <c r="R38" s="2778"/>
      <c r="S38" s="2778"/>
      <c r="T38" s="2778"/>
      <c r="U38" s="2778"/>
      <c r="V38" s="2778"/>
      <c r="W38" s="2778"/>
      <c r="X38" s="2778"/>
      <c r="Y38" s="2778"/>
      <c r="Z38" s="2778"/>
      <c r="AA38" s="2778"/>
      <c r="AB38" s="2778"/>
      <c r="AC38" s="2778"/>
      <c r="AD38" s="2778"/>
      <c r="AE38" s="2778"/>
      <c r="AF38" s="2778"/>
      <c r="AG38" s="2778"/>
      <c r="AH38" s="2713"/>
      <c r="AI38" s="2713"/>
      <c r="AJ38" s="2713"/>
      <c r="AK38" s="2713"/>
      <c r="AL38" s="2713"/>
      <c r="AM38" s="2713"/>
      <c r="AN38" s="2713"/>
      <c r="AO38" s="2783" t="s">
        <v>1509</v>
      </c>
      <c r="AP38" s="2713"/>
      <c r="AQ38" s="2713"/>
      <c r="AR38" s="2713"/>
      <c r="AS38" s="2713"/>
      <c r="AT38" s="2714"/>
      <c r="AU38" s="2713"/>
      <c r="AV38" s="2713"/>
      <c r="AW38" s="2714"/>
      <c r="AX38" s="2713"/>
      <c r="AY38" s="2713"/>
      <c r="AZ38" s="2713"/>
      <c r="BA38" s="2713"/>
      <c r="BB38" s="2713"/>
      <c r="BC38" s="3904"/>
      <c r="BD38" s="2713"/>
      <c r="BE38" s="2713"/>
      <c r="BF38" s="2713"/>
      <c r="BG38" s="2713"/>
      <c r="BH38" s="2713"/>
      <c r="BI38" s="2713"/>
      <c r="BJ38" s="2713"/>
      <c r="BK38" s="2713"/>
      <c r="BL38" s="2713"/>
      <c r="BM38" s="2713"/>
      <c r="BN38" s="2713"/>
      <c r="BO38" s="2713"/>
      <c r="BP38" s="2780"/>
      <c r="BQ38" s="2780"/>
      <c r="BR38" s="2780"/>
      <c r="BS38" s="2780"/>
      <c r="BT38" s="2780"/>
      <c r="BU38" s="2780">
        <v>1</v>
      </c>
      <c r="BV38" s="2780">
        <v>1</v>
      </c>
      <c r="BW38" s="2780">
        <v>1</v>
      </c>
      <c r="BX38" s="2780">
        <v>1</v>
      </c>
      <c r="BY38" s="2780">
        <v>1</v>
      </c>
      <c r="BZ38" s="2780"/>
      <c r="CA38" s="2780"/>
      <c r="CB38" s="2780"/>
      <c r="CC38" s="2780"/>
    </row>
    <row r="39" spans="1:81" ht="29.25" customHeight="1">
      <c r="A39" s="162">
        <f t="shared" si="2"/>
        <v>29</v>
      </c>
      <c r="B39" s="2727" t="s">
        <v>3111</v>
      </c>
      <c r="C39" s="5966" t="s">
        <v>1482</v>
      </c>
      <c r="D39" s="5960" t="s">
        <v>2867</v>
      </c>
      <c r="E39" s="2778"/>
      <c r="F39" s="2778"/>
      <c r="G39" s="2778"/>
      <c r="H39" s="2778"/>
      <c r="I39" s="2778"/>
      <c r="J39" s="2778"/>
      <c r="K39" s="2778"/>
      <c r="L39" s="2778"/>
      <c r="M39" s="2778"/>
      <c r="N39" s="2778"/>
      <c r="O39" s="2778"/>
      <c r="P39" s="2778"/>
      <c r="Q39" s="2778"/>
      <c r="R39" s="2778"/>
      <c r="S39" s="2778"/>
      <c r="T39" s="2778"/>
      <c r="U39" s="2778"/>
      <c r="V39" s="2778"/>
      <c r="W39" s="2778"/>
      <c r="X39" s="2778"/>
      <c r="Y39" s="2778"/>
      <c r="Z39" s="2778"/>
      <c r="AA39" s="2778"/>
      <c r="AB39" s="2778"/>
      <c r="AC39" s="2778"/>
      <c r="AD39" s="2778"/>
      <c r="AE39" s="2778"/>
      <c r="AF39" s="2778"/>
      <c r="AG39" s="2778"/>
      <c r="AH39" s="2713"/>
      <c r="AI39" s="2713"/>
      <c r="AJ39" s="2713"/>
      <c r="AK39" s="2713"/>
      <c r="AL39" s="2713"/>
      <c r="AM39" s="2713"/>
      <c r="AN39" s="2713"/>
      <c r="AO39" s="2783" t="s">
        <v>1509</v>
      </c>
      <c r="AP39" s="2713"/>
      <c r="AQ39" s="2713"/>
      <c r="AR39" s="2713"/>
      <c r="AS39" s="2713"/>
      <c r="AT39" s="2714"/>
      <c r="AU39" s="2713"/>
      <c r="AV39" s="2713"/>
      <c r="AW39" s="2714"/>
      <c r="AX39" s="2713"/>
      <c r="AY39" s="2713"/>
      <c r="AZ39" s="2713"/>
      <c r="BA39" s="2713"/>
      <c r="BB39" s="2713"/>
      <c r="BC39" s="3904"/>
      <c r="BD39" s="2713"/>
      <c r="BE39" s="2713"/>
      <c r="BF39" s="2713"/>
      <c r="BG39" s="2713"/>
      <c r="BH39" s="2713"/>
      <c r="BI39" s="2713"/>
      <c r="BJ39" s="2713"/>
      <c r="BK39" s="2713"/>
      <c r="BL39" s="2713"/>
      <c r="BM39" s="2713"/>
      <c r="BN39" s="2713"/>
      <c r="BO39" s="2713"/>
      <c r="BP39" s="2780"/>
      <c r="BQ39" s="2780"/>
      <c r="BR39" s="2780"/>
      <c r="BS39" s="2780"/>
      <c r="BT39" s="2780"/>
      <c r="BU39" s="2780">
        <v>1</v>
      </c>
      <c r="BV39" s="2780">
        <v>1</v>
      </c>
      <c r="BW39" s="2780">
        <v>1</v>
      </c>
      <c r="BX39" s="2780">
        <v>1</v>
      </c>
      <c r="BY39" s="2780">
        <v>1</v>
      </c>
      <c r="BZ39" s="2780"/>
      <c r="CA39" s="2780"/>
      <c r="CB39" s="2780"/>
      <c r="CC39" s="2780"/>
    </row>
    <row r="40" spans="1:81" ht="29.25" customHeight="1">
      <c r="A40" s="162">
        <f t="shared" si="2"/>
        <v>30</v>
      </c>
      <c r="B40" s="2727" t="s">
        <v>3112</v>
      </c>
      <c r="C40" s="5966" t="s">
        <v>1482</v>
      </c>
      <c r="D40" s="5960" t="s">
        <v>2867</v>
      </c>
      <c r="E40" s="2778"/>
      <c r="F40" s="2778"/>
      <c r="G40" s="2778"/>
      <c r="H40" s="2778"/>
      <c r="I40" s="2778"/>
      <c r="J40" s="2778"/>
      <c r="K40" s="2778"/>
      <c r="L40" s="2778"/>
      <c r="M40" s="2778"/>
      <c r="N40" s="2778"/>
      <c r="O40" s="2778"/>
      <c r="P40" s="2778"/>
      <c r="Q40" s="2778"/>
      <c r="R40" s="2778"/>
      <c r="S40" s="2778"/>
      <c r="T40" s="2778"/>
      <c r="U40" s="2778"/>
      <c r="V40" s="2778"/>
      <c r="W40" s="2778"/>
      <c r="X40" s="2778"/>
      <c r="Y40" s="2778"/>
      <c r="Z40" s="2778"/>
      <c r="AA40" s="2778"/>
      <c r="AB40" s="2778"/>
      <c r="AC40" s="2778"/>
      <c r="AD40" s="2778"/>
      <c r="AE40" s="2778"/>
      <c r="AF40" s="2778"/>
      <c r="AG40" s="2778"/>
      <c r="AH40" s="2713"/>
      <c r="AI40" s="2713"/>
      <c r="AJ40" s="2713"/>
      <c r="AK40" s="2713"/>
      <c r="AL40" s="2713"/>
      <c r="AM40" s="2713"/>
      <c r="AN40" s="2713"/>
      <c r="AO40" s="2783" t="s">
        <v>1509</v>
      </c>
      <c r="AP40" s="2713"/>
      <c r="AQ40" s="2713"/>
      <c r="AR40" s="2713"/>
      <c r="AS40" s="2713"/>
      <c r="AT40" s="2714"/>
      <c r="AU40" s="2713"/>
      <c r="AV40" s="2713"/>
      <c r="AW40" s="2714"/>
      <c r="AX40" s="2713"/>
      <c r="AY40" s="2713"/>
      <c r="AZ40" s="2713"/>
      <c r="BA40" s="2713"/>
      <c r="BB40" s="2713"/>
      <c r="BC40" s="3904"/>
      <c r="BD40" s="2713"/>
      <c r="BE40" s="2713"/>
      <c r="BF40" s="2713"/>
      <c r="BG40" s="2713"/>
      <c r="BH40" s="2713"/>
      <c r="BI40" s="2713"/>
      <c r="BJ40" s="2713"/>
      <c r="BK40" s="2713"/>
      <c r="BL40" s="2713"/>
      <c r="BM40" s="2713"/>
      <c r="BN40" s="2713"/>
      <c r="BO40" s="2713"/>
      <c r="BP40" s="2780"/>
      <c r="BQ40" s="2780"/>
      <c r="BR40" s="2780"/>
      <c r="BS40" s="2780"/>
      <c r="BT40" s="2780"/>
      <c r="BU40" s="2780">
        <v>1</v>
      </c>
      <c r="BV40" s="2780">
        <v>1</v>
      </c>
      <c r="BW40" s="2780">
        <v>1</v>
      </c>
      <c r="BX40" s="2780">
        <v>1</v>
      </c>
      <c r="BY40" s="2780">
        <v>1</v>
      </c>
      <c r="BZ40" s="2780"/>
      <c r="CA40" s="2780"/>
      <c r="CB40" s="2780"/>
      <c r="CC40" s="2780"/>
    </row>
    <row r="41" spans="1:81" ht="29.25" customHeight="1">
      <c r="A41" s="162">
        <f t="shared" si="2"/>
        <v>31</v>
      </c>
      <c r="B41" s="2727" t="s">
        <v>3113</v>
      </c>
      <c r="C41" s="5966" t="s">
        <v>1482</v>
      </c>
      <c r="D41" s="5960" t="s">
        <v>2867</v>
      </c>
      <c r="E41" s="2778"/>
      <c r="F41" s="2778"/>
      <c r="G41" s="2778"/>
      <c r="H41" s="2778"/>
      <c r="I41" s="2778"/>
      <c r="J41" s="2778"/>
      <c r="K41" s="2778"/>
      <c r="L41" s="2778"/>
      <c r="M41" s="2778"/>
      <c r="N41" s="2778"/>
      <c r="O41" s="2778"/>
      <c r="P41" s="2778"/>
      <c r="Q41" s="2778"/>
      <c r="R41" s="2778"/>
      <c r="S41" s="2778"/>
      <c r="T41" s="2778"/>
      <c r="U41" s="2778"/>
      <c r="V41" s="2778"/>
      <c r="W41" s="2778"/>
      <c r="X41" s="2778"/>
      <c r="Y41" s="2778"/>
      <c r="Z41" s="2778"/>
      <c r="AA41" s="2778"/>
      <c r="AB41" s="2778"/>
      <c r="AC41" s="2778"/>
      <c r="AD41" s="2778"/>
      <c r="AE41" s="2778"/>
      <c r="AF41" s="2778"/>
      <c r="AG41" s="2778"/>
      <c r="AH41" s="2713"/>
      <c r="AI41" s="2713"/>
      <c r="AJ41" s="2713"/>
      <c r="AK41" s="2713"/>
      <c r="AL41" s="2713"/>
      <c r="AM41" s="2713"/>
      <c r="AN41" s="2713"/>
      <c r="AO41" s="2783" t="s">
        <v>1509</v>
      </c>
      <c r="AP41" s="2713"/>
      <c r="AQ41" s="2713"/>
      <c r="AR41" s="2713"/>
      <c r="AS41" s="2713"/>
      <c r="AT41" s="2714"/>
      <c r="AU41" s="2713"/>
      <c r="AV41" s="2713"/>
      <c r="AW41" s="2714"/>
      <c r="AX41" s="2713"/>
      <c r="AY41" s="2713"/>
      <c r="AZ41" s="2713"/>
      <c r="BA41" s="2713"/>
      <c r="BB41" s="2713"/>
      <c r="BC41" s="3904"/>
      <c r="BD41" s="2713"/>
      <c r="BE41" s="2713"/>
      <c r="BF41" s="2713"/>
      <c r="BG41" s="2713"/>
      <c r="BH41" s="2713"/>
      <c r="BI41" s="2713"/>
      <c r="BJ41" s="2713"/>
      <c r="BK41" s="2713"/>
      <c r="BL41" s="2713"/>
      <c r="BM41" s="2713"/>
      <c r="BN41" s="2713"/>
      <c r="BO41" s="2713"/>
      <c r="BP41" s="2780"/>
      <c r="BQ41" s="2780"/>
      <c r="BR41" s="2780"/>
      <c r="BS41" s="2780"/>
      <c r="BT41" s="2780"/>
      <c r="BU41" s="2780">
        <v>1</v>
      </c>
      <c r="BV41" s="2780">
        <v>1</v>
      </c>
      <c r="BW41" s="2780">
        <v>1</v>
      </c>
      <c r="BX41" s="2780">
        <v>1</v>
      </c>
      <c r="BY41" s="2780">
        <v>1</v>
      </c>
      <c r="BZ41" s="2780"/>
      <c r="CA41" s="2780"/>
      <c r="CB41" s="2780"/>
      <c r="CC41" s="2780"/>
    </row>
    <row r="42" spans="1:81" ht="29.25" customHeight="1">
      <c r="A42" s="162">
        <f>+A41+1</f>
        <v>32</v>
      </c>
      <c r="B42" s="2727" t="s">
        <v>3140</v>
      </c>
      <c r="C42" s="5966" t="s">
        <v>1482</v>
      </c>
      <c r="D42" s="5960" t="s">
        <v>2867</v>
      </c>
      <c r="E42" s="2778"/>
      <c r="F42" s="2778"/>
      <c r="G42" s="2778"/>
      <c r="H42" s="2778"/>
      <c r="I42" s="2778"/>
      <c r="J42" s="2778"/>
      <c r="K42" s="2778"/>
      <c r="L42" s="2778"/>
      <c r="M42" s="2778"/>
      <c r="N42" s="2778"/>
      <c r="O42" s="2778"/>
      <c r="P42" s="2778"/>
      <c r="Q42" s="2778"/>
      <c r="R42" s="2778"/>
      <c r="S42" s="2778"/>
      <c r="T42" s="2778"/>
      <c r="U42" s="2778"/>
      <c r="V42" s="2778"/>
      <c r="W42" s="2778"/>
      <c r="X42" s="2778"/>
      <c r="Y42" s="2778"/>
      <c r="Z42" s="2778"/>
      <c r="AA42" s="2778"/>
      <c r="AB42" s="2778"/>
      <c r="AC42" s="2778"/>
      <c r="AD42" s="2778"/>
      <c r="AE42" s="2778"/>
      <c r="AF42" s="2778"/>
      <c r="AG42" s="2778"/>
      <c r="AH42" s="2713"/>
      <c r="AI42" s="2713"/>
      <c r="AJ42" s="2713"/>
      <c r="AK42" s="2713"/>
      <c r="AL42" s="2713"/>
      <c r="AM42" s="2713"/>
      <c r="AN42" s="2713"/>
      <c r="AO42" s="2783" t="s">
        <v>1509</v>
      </c>
      <c r="AP42" s="2713"/>
      <c r="AQ42" s="2713"/>
      <c r="AR42" s="2713"/>
      <c r="AS42" s="2713"/>
      <c r="AT42" s="2714"/>
      <c r="AU42" s="2713"/>
      <c r="AV42" s="2713"/>
      <c r="AW42" s="2714"/>
      <c r="AX42" s="2713"/>
      <c r="AY42" s="2713"/>
      <c r="AZ42" s="2713"/>
      <c r="BA42" s="2713"/>
      <c r="BB42" s="2713"/>
      <c r="BC42" s="3904"/>
      <c r="BD42" s="2713"/>
      <c r="BE42" s="2713"/>
      <c r="BF42" s="2713"/>
      <c r="BG42" s="2713"/>
      <c r="BH42" s="2713"/>
      <c r="BI42" s="2713"/>
      <c r="BJ42" s="2713"/>
      <c r="BK42" s="2713"/>
      <c r="BL42" s="2713"/>
      <c r="BM42" s="2713"/>
      <c r="BN42" s="2713"/>
      <c r="BO42" s="2713"/>
      <c r="BP42" s="2780"/>
      <c r="BQ42" s="2780"/>
      <c r="BR42" s="2780"/>
      <c r="BS42" s="2780"/>
      <c r="BT42" s="2780"/>
      <c r="BU42" s="2780">
        <v>1</v>
      </c>
      <c r="BV42" s="2780">
        <v>1</v>
      </c>
      <c r="BW42" s="2780">
        <v>1</v>
      </c>
      <c r="BX42" s="2780">
        <v>1</v>
      </c>
      <c r="BY42" s="2780">
        <v>1</v>
      </c>
      <c r="BZ42" s="2780"/>
      <c r="CA42" s="2780"/>
      <c r="CB42" s="2780"/>
      <c r="CC42" s="2780"/>
    </row>
    <row r="43" spans="1:81" ht="39.75" customHeight="1">
      <c r="A43" s="162">
        <f>+A42+1</f>
        <v>33</v>
      </c>
      <c r="B43" s="2727" t="s">
        <v>3114</v>
      </c>
      <c r="C43" s="5966" t="s">
        <v>1510</v>
      </c>
      <c r="D43" s="5960" t="s">
        <v>2867</v>
      </c>
      <c r="E43" s="2778"/>
      <c r="F43" s="2778"/>
      <c r="G43" s="2778"/>
      <c r="H43" s="2778"/>
      <c r="I43" s="2778"/>
      <c r="J43" s="2778"/>
      <c r="K43" s="2778"/>
      <c r="L43" s="2778"/>
      <c r="M43" s="2778"/>
      <c r="N43" s="2778"/>
      <c r="O43" s="2778"/>
      <c r="P43" s="2778"/>
      <c r="Q43" s="2778"/>
      <c r="R43" s="2778"/>
      <c r="S43" s="2778"/>
      <c r="T43" s="2778"/>
      <c r="U43" s="2778"/>
      <c r="V43" s="2778"/>
      <c r="W43" s="2778"/>
      <c r="X43" s="2778"/>
      <c r="Y43" s="2778"/>
      <c r="Z43" s="2778"/>
      <c r="AA43" s="2778"/>
      <c r="AB43" s="2778"/>
      <c r="AC43" s="2778"/>
      <c r="AD43" s="2778"/>
      <c r="AE43" s="2778"/>
      <c r="AF43" s="2778"/>
      <c r="AG43" s="2778"/>
      <c r="AH43" s="2713"/>
      <c r="AI43" s="2713"/>
      <c r="AJ43" s="2713"/>
      <c r="AK43" s="2713"/>
      <c r="AL43" s="2713"/>
      <c r="AM43" s="2713"/>
      <c r="AN43" s="2713"/>
      <c r="AO43" s="2783" t="s">
        <v>1509</v>
      </c>
      <c r="AP43" s="2713"/>
      <c r="AQ43" s="2713"/>
      <c r="AR43" s="2781"/>
      <c r="AS43" s="2713"/>
      <c r="AT43" s="2714"/>
      <c r="AU43" s="2713"/>
      <c r="AV43" s="2713"/>
      <c r="AW43" s="2714"/>
      <c r="AX43" s="2713"/>
      <c r="AY43" s="2713"/>
      <c r="AZ43" s="2713"/>
      <c r="BA43" s="2713"/>
      <c r="BB43" s="2713"/>
      <c r="BC43" s="3904"/>
      <c r="BD43" s="2713"/>
      <c r="BE43" s="2713"/>
      <c r="BF43" s="2713"/>
      <c r="BG43" s="2713"/>
      <c r="BH43" s="2713"/>
      <c r="BI43" s="2713"/>
      <c r="BJ43" s="2713"/>
      <c r="BK43" s="2713"/>
      <c r="BL43" s="2713"/>
      <c r="BM43" s="2713"/>
      <c r="BN43" s="2713"/>
      <c r="BO43" s="2713"/>
      <c r="BP43" s="2780"/>
      <c r="BQ43" s="2780"/>
      <c r="BR43" s="2780"/>
      <c r="BS43" s="2780"/>
      <c r="BT43" s="2780"/>
      <c r="BU43" s="2780"/>
      <c r="BV43" s="2780">
        <v>1</v>
      </c>
      <c r="BW43" s="2780">
        <v>1</v>
      </c>
      <c r="BX43" s="2780">
        <v>1</v>
      </c>
      <c r="BY43" s="2780">
        <v>1</v>
      </c>
      <c r="BZ43" s="2780"/>
      <c r="CA43" s="2780"/>
      <c r="CB43" s="2780"/>
      <c r="CC43" s="2780"/>
    </row>
    <row r="44" spans="1:81" ht="29.25" customHeight="1">
      <c r="A44" s="162">
        <f t="shared" ref="A44:A49" si="3">+A43+1</f>
        <v>34</v>
      </c>
      <c r="B44" s="2727" t="s">
        <v>3115</v>
      </c>
      <c r="C44" s="5966" t="s">
        <v>1482</v>
      </c>
      <c r="D44" s="5960" t="s">
        <v>2867</v>
      </c>
      <c r="E44" s="2778"/>
      <c r="F44" s="2778"/>
      <c r="G44" s="2778"/>
      <c r="H44" s="2778"/>
      <c r="I44" s="2778"/>
      <c r="J44" s="2778"/>
      <c r="K44" s="2778"/>
      <c r="L44" s="2778"/>
      <c r="M44" s="2778"/>
      <c r="N44" s="2778"/>
      <c r="O44" s="2778"/>
      <c r="P44" s="2778"/>
      <c r="Q44" s="2778"/>
      <c r="R44" s="2778"/>
      <c r="S44" s="2778"/>
      <c r="T44" s="2778"/>
      <c r="U44" s="2778"/>
      <c r="V44" s="2778"/>
      <c r="W44" s="2778"/>
      <c r="X44" s="2778"/>
      <c r="Y44" s="2778"/>
      <c r="Z44" s="2778"/>
      <c r="AA44" s="2778"/>
      <c r="AB44" s="2778"/>
      <c r="AC44" s="2778"/>
      <c r="AD44" s="2778"/>
      <c r="AE44" s="2778"/>
      <c r="AF44" s="2778"/>
      <c r="AG44" s="2778"/>
      <c r="AH44" s="2713"/>
      <c r="AI44" s="2713"/>
      <c r="AJ44" s="2713"/>
      <c r="AK44" s="2713"/>
      <c r="AL44" s="2713"/>
      <c r="AM44" s="2713"/>
      <c r="AN44" s="2713"/>
      <c r="AO44" s="2783" t="s">
        <v>1509</v>
      </c>
      <c r="AP44" s="2713"/>
      <c r="AQ44" s="2713"/>
      <c r="AR44" s="2713"/>
      <c r="AS44" s="2713"/>
      <c r="AT44" s="2714"/>
      <c r="AU44" s="2713"/>
      <c r="AV44" s="2713"/>
      <c r="AW44" s="2714"/>
      <c r="AX44" s="2713"/>
      <c r="AY44" s="2713"/>
      <c r="AZ44" s="2713"/>
      <c r="BA44" s="2713"/>
      <c r="BB44" s="2713"/>
      <c r="BC44" s="3904"/>
      <c r="BD44" s="2713"/>
      <c r="BE44" s="2713"/>
      <c r="BF44" s="2713"/>
      <c r="BG44" s="2713"/>
      <c r="BH44" s="2713"/>
      <c r="BI44" s="2713"/>
      <c r="BJ44" s="2715" t="s">
        <v>3085</v>
      </c>
      <c r="BK44" s="2713"/>
      <c r="BL44" s="2713"/>
      <c r="BM44" s="2713"/>
      <c r="BN44" s="2713"/>
      <c r="BO44" s="2713"/>
      <c r="BP44" s="2780"/>
      <c r="BQ44" s="2780"/>
      <c r="BR44" s="2780"/>
      <c r="BS44" s="2780"/>
      <c r="BT44" s="2780"/>
      <c r="BU44" s="2780">
        <v>1</v>
      </c>
      <c r="BV44" s="2780">
        <v>1</v>
      </c>
      <c r="BW44" s="2780">
        <v>1</v>
      </c>
      <c r="BX44" s="2780">
        <v>1</v>
      </c>
      <c r="BY44" s="2780">
        <v>1</v>
      </c>
      <c r="BZ44" s="2780"/>
      <c r="CA44" s="2780"/>
      <c r="CB44" s="2780">
        <v>1</v>
      </c>
      <c r="CC44" s="2780">
        <v>1</v>
      </c>
    </row>
    <row r="45" spans="1:81" ht="29.25" customHeight="1">
      <c r="A45" s="162">
        <f t="shared" si="3"/>
        <v>35</v>
      </c>
      <c r="B45" s="2727" t="s">
        <v>3116</v>
      </c>
      <c r="C45" s="5966" t="s">
        <v>1482</v>
      </c>
      <c r="D45" s="5960" t="s">
        <v>2867</v>
      </c>
      <c r="E45" s="2778"/>
      <c r="F45" s="2778"/>
      <c r="G45" s="2778"/>
      <c r="H45" s="2778"/>
      <c r="I45" s="2778"/>
      <c r="J45" s="2778"/>
      <c r="K45" s="2778"/>
      <c r="L45" s="2778"/>
      <c r="M45" s="2778"/>
      <c r="N45" s="2778"/>
      <c r="O45" s="2778"/>
      <c r="P45" s="2778"/>
      <c r="Q45" s="2778"/>
      <c r="R45" s="2778"/>
      <c r="S45" s="2778"/>
      <c r="T45" s="2778"/>
      <c r="U45" s="2778"/>
      <c r="V45" s="2778"/>
      <c r="W45" s="2778"/>
      <c r="X45" s="2778"/>
      <c r="Y45" s="2778"/>
      <c r="Z45" s="2778"/>
      <c r="AA45" s="2778"/>
      <c r="AB45" s="2778"/>
      <c r="AC45" s="2778"/>
      <c r="AD45" s="2778"/>
      <c r="AE45" s="2778"/>
      <c r="AF45" s="2778"/>
      <c r="AG45" s="2778"/>
      <c r="AH45" s="2713"/>
      <c r="AI45" s="2713"/>
      <c r="AJ45" s="2713"/>
      <c r="AK45" s="2713"/>
      <c r="AL45" s="2713"/>
      <c r="AM45" s="2713"/>
      <c r="AN45" s="2713"/>
      <c r="AO45" s="2783" t="s">
        <v>1509</v>
      </c>
      <c r="AP45" s="2713"/>
      <c r="AQ45" s="2713"/>
      <c r="AR45" s="2713"/>
      <c r="AS45" s="2713"/>
      <c r="AT45" s="2714"/>
      <c r="AU45" s="2713"/>
      <c r="AV45" s="2713"/>
      <c r="AW45" s="2714"/>
      <c r="AX45" s="2713"/>
      <c r="AY45" s="2713"/>
      <c r="AZ45" s="2713"/>
      <c r="BA45" s="2713"/>
      <c r="BB45" s="2713"/>
      <c r="BC45" s="3904"/>
      <c r="BD45" s="2713"/>
      <c r="BE45" s="2713"/>
      <c r="BF45" s="2713"/>
      <c r="BG45" s="2713"/>
      <c r="BH45" s="2713"/>
      <c r="BI45" s="2713"/>
      <c r="BJ45" s="2715" t="s">
        <v>3085</v>
      </c>
      <c r="BK45" s="2713"/>
      <c r="BL45" s="2713"/>
      <c r="BM45" s="2713"/>
      <c r="BN45" s="2713"/>
      <c r="BO45" s="2713"/>
      <c r="BP45" s="2780"/>
      <c r="BQ45" s="2780"/>
      <c r="BR45" s="2780"/>
      <c r="BS45" s="2780"/>
      <c r="BT45" s="2780"/>
      <c r="BU45" s="2780">
        <v>1</v>
      </c>
      <c r="BV45" s="2780">
        <v>1</v>
      </c>
      <c r="BW45" s="2780">
        <v>1</v>
      </c>
      <c r="BX45" s="2780">
        <v>1</v>
      </c>
      <c r="BY45" s="2780">
        <v>1</v>
      </c>
      <c r="BZ45" s="2780"/>
      <c r="CA45" s="2780"/>
      <c r="CB45" s="2780">
        <v>1</v>
      </c>
      <c r="CC45" s="2780">
        <v>1</v>
      </c>
    </row>
    <row r="46" spans="1:81" ht="29.25" customHeight="1">
      <c r="A46" s="162">
        <f t="shared" si="3"/>
        <v>36</v>
      </c>
      <c r="B46" s="2727" t="s">
        <v>3117</v>
      </c>
      <c r="C46" s="5966" t="s">
        <v>1482</v>
      </c>
      <c r="D46" s="5960" t="s">
        <v>2867</v>
      </c>
      <c r="E46" s="2778"/>
      <c r="F46" s="2778"/>
      <c r="G46" s="2778"/>
      <c r="H46" s="2778"/>
      <c r="I46" s="2778"/>
      <c r="J46" s="2778"/>
      <c r="K46" s="2778"/>
      <c r="L46" s="2778"/>
      <c r="M46" s="2778"/>
      <c r="N46" s="2778"/>
      <c r="O46" s="2778"/>
      <c r="P46" s="2778"/>
      <c r="Q46" s="2778"/>
      <c r="R46" s="2778"/>
      <c r="S46" s="2778"/>
      <c r="T46" s="2778"/>
      <c r="U46" s="2778"/>
      <c r="V46" s="2778"/>
      <c r="W46" s="2778"/>
      <c r="X46" s="2778"/>
      <c r="Y46" s="2778"/>
      <c r="Z46" s="2778"/>
      <c r="AA46" s="2778"/>
      <c r="AB46" s="2778"/>
      <c r="AC46" s="2778"/>
      <c r="AD46" s="2778"/>
      <c r="AE46" s="2778"/>
      <c r="AF46" s="2778"/>
      <c r="AG46" s="2778"/>
      <c r="AH46" s="2713"/>
      <c r="AI46" s="2713"/>
      <c r="AJ46" s="2713"/>
      <c r="AK46" s="2713"/>
      <c r="AL46" s="2713"/>
      <c r="AM46" s="2713"/>
      <c r="AN46" s="2713"/>
      <c r="AO46" s="2783" t="s">
        <v>1509</v>
      </c>
      <c r="AP46" s="2713"/>
      <c r="AQ46" s="2713"/>
      <c r="AR46" s="2713"/>
      <c r="AS46" s="2713"/>
      <c r="AT46" s="2714"/>
      <c r="AU46" s="2713"/>
      <c r="AV46" s="2713"/>
      <c r="AW46" s="2714"/>
      <c r="AX46" s="2713"/>
      <c r="AY46" s="2713"/>
      <c r="AZ46" s="2713"/>
      <c r="BA46" s="2713"/>
      <c r="BB46" s="2713"/>
      <c r="BC46" s="3904"/>
      <c r="BD46" s="2713"/>
      <c r="BE46" s="2713"/>
      <c r="BF46" s="2713"/>
      <c r="BG46" s="2713"/>
      <c r="BH46" s="2713"/>
      <c r="BI46" s="2713"/>
      <c r="BJ46" s="2713"/>
      <c r="BK46" s="2713"/>
      <c r="BL46" s="2713"/>
      <c r="BM46" s="2713"/>
      <c r="BN46" s="2713"/>
      <c r="BO46" s="2713"/>
      <c r="BP46" s="2780"/>
      <c r="BQ46" s="2780"/>
      <c r="BR46" s="2780"/>
      <c r="BS46" s="2780"/>
      <c r="BT46" s="2780"/>
      <c r="BU46" s="2780">
        <v>1</v>
      </c>
      <c r="BV46" s="2780">
        <v>1</v>
      </c>
      <c r="BW46" s="2780">
        <v>1</v>
      </c>
      <c r="BX46" s="2780">
        <v>1</v>
      </c>
      <c r="BY46" s="2780">
        <v>1</v>
      </c>
      <c r="BZ46" s="2780"/>
      <c r="CA46" s="2780"/>
      <c r="CB46" s="2780"/>
      <c r="CC46" s="2780"/>
    </row>
    <row r="47" spans="1:81" ht="28.8">
      <c r="A47" s="162">
        <f t="shared" si="3"/>
        <v>37</v>
      </c>
      <c r="B47" s="2727" t="s">
        <v>3118</v>
      </c>
      <c r="C47" s="5966" t="s">
        <v>1510</v>
      </c>
      <c r="D47" s="5960" t="s">
        <v>2867</v>
      </c>
      <c r="E47" s="2778"/>
      <c r="F47" s="2778"/>
      <c r="G47" s="2778"/>
      <c r="H47" s="2778"/>
      <c r="I47" s="2778"/>
      <c r="J47" s="2778"/>
      <c r="K47" s="2778"/>
      <c r="L47" s="2778"/>
      <c r="M47" s="2778"/>
      <c r="N47" s="2778"/>
      <c r="O47" s="2778"/>
      <c r="P47" s="2778"/>
      <c r="Q47" s="2778"/>
      <c r="R47" s="2778"/>
      <c r="S47" s="2778"/>
      <c r="T47" s="2778"/>
      <c r="U47" s="2778"/>
      <c r="V47" s="2778"/>
      <c r="W47" s="2778"/>
      <c r="X47" s="2778"/>
      <c r="Y47" s="2778"/>
      <c r="Z47" s="2778"/>
      <c r="AA47" s="2778"/>
      <c r="AB47" s="2778"/>
      <c r="AC47" s="2778"/>
      <c r="AD47" s="2778"/>
      <c r="AE47" s="2778"/>
      <c r="AF47" s="2778"/>
      <c r="AG47" s="2778"/>
      <c r="AH47" s="2713"/>
      <c r="AI47" s="2713"/>
      <c r="AJ47" s="2713"/>
      <c r="AK47" s="2713"/>
      <c r="AL47" s="2713"/>
      <c r="AM47" s="2713"/>
      <c r="AN47" s="2713"/>
      <c r="AO47" s="2783" t="s">
        <v>1509</v>
      </c>
      <c r="AP47" s="2713"/>
      <c r="AQ47" s="2713"/>
      <c r="AR47" s="2778"/>
      <c r="AS47" s="2713"/>
      <c r="AT47" s="2714"/>
      <c r="AU47" s="2713"/>
      <c r="AV47" s="2713"/>
      <c r="AW47" s="2714"/>
      <c r="AX47" s="2713"/>
      <c r="AY47" s="2713"/>
      <c r="AZ47" s="2713"/>
      <c r="BA47" s="2713"/>
      <c r="BB47" s="2713"/>
      <c r="BC47" s="3904"/>
      <c r="BD47" s="2713"/>
      <c r="BE47" s="2713"/>
      <c r="BF47" s="2713"/>
      <c r="BG47" s="2713"/>
      <c r="BH47" s="2713"/>
      <c r="BI47" s="2713"/>
      <c r="BJ47" s="2713"/>
      <c r="BK47" s="2713"/>
      <c r="BL47" s="2713"/>
      <c r="BM47" s="2713"/>
      <c r="BN47" s="2713"/>
      <c r="BO47" s="2713"/>
      <c r="BP47" s="2780"/>
      <c r="BQ47" s="2780"/>
      <c r="BR47" s="2780"/>
      <c r="BS47" s="2780"/>
      <c r="BT47" s="2780"/>
      <c r="BU47" s="2780"/>
      <c r="BV47" s="2780">
        <v>1</v>
      </c>
      <c r="BW47" s="2780">
        <v>1</v>
      </c>
      <c r="BX47" s="2780">
        <v>1</v>
      </c>
      <c r="BY47" s="2780">
        <v>1</v>
      </c>
      <c r="BZ47" s="2780"/>
      <c r="CA47" s="2780"/>
      <c r="CB47" s="2780"/>
      <c r="CC47" s="2780"/>
    </row>
    <row r="48" spans="1:81" ht="28.8">
      <c r="A48" s="162">
        <f t="shared" si="3"/>
        <v>38</v>
      </c>
      <c r="B48" s="5984" t="s">
        <v>3119</v>
      </c>
      <c r="C48" s="5959" t="s">
        <v>3093</v>
      </c>
      <c r="D48" s="5960">
        <v>44817</v>
      </c>
      <c r="E48" s="2778"/>
      <c r="F48" s="2778"/>
      <c r="G48" s="2778"/>
      <c r="H48" s="2778"/>
      <c r="I48" s="2778"/>
      <c r="J48" s="2778"/>
      <c r="K48" s="2778"/>
      <c r="L48" s="2778"/>
      <c r="M48" s="2778"/>
      <c r="N48" s="2778"/>
      <c r="O48" s="2778"/>
      <c r="P48" s="2778"/>
      <c r="Q48" s="2778"/>
      <c r="R48" s="2778"/>
      <c r="S48" s="2778"/>
      <c r="T48" s="2778"/>
      <c r="U48" s="2778"/>
      <c r="V48" s="2778"/>
      <c r="W48" s="2778"/>
      <c r="X48" s="2778"/>
      <c r="Y48" s="2778"/>
      <c r="Z48" s="2778"/>
      <c r="AA48" s="2778"/>
      <c r="AB48" s="2778"/>
      <c r="AC48" s="2778"/>
      <c r="AD48" s="2778"/>
      <c r="AE48" s="2778"/>
      <c r="AF48" s="2778"/>
      <c r="AG48" s="2778"/>
      <c r="AH48" s="2713"/>
      <c r="AI48" s="2713"/>
      <c r="AJ48" s="2713"/>
      <c r="AK48" s="2713"/>
      <c r="AL48" s="2713"/>
      <c r="AM48" s="2713"/>
      <c r="AN48" s="2713"/>
      <c r="AO48" s="2713"/>
      <c r="AP48" s="2713"/>
      <c r="AQ48" s="2713"/>
      <c r="AR48" s="2778"/>
      <c r="AS48" s="2713"/>
      <c r="AT48" s="2714"/>
      <c r="AU48" s="2713"/>
      <c r="AV48" s="2713"/>
      <c r="AW48" s="2714"/>
      <c r="AX48" s="2713"/>
      <c r="AY48" s="2713"/>
      <c r="AZ48" s="2713"/>
      <c r="BA48" s="2713"/>
      <c r="BB48" s="2713"/>
      <c r="BC48" s="3904"/>
      <c r="BD48" s="2713"/>
      <c r="BE48" s="2713"/>
      <c r="BF48" s="2713"/>
      <c r="BG48" s="2713"/>
      <c r="BH48" s="2713"/>
      <c r="BI48" s="2713"/>
      <c r="BJ48" s="2713"/>
      <c r="BK48" s="2760" t="s">
        <v>3087</v>
      </c>
      <c r="BL48" s="2713"/>
      <c r="BM48" s="2713"/>
      <c r="BN48" s="2713"/>
      <c r="BO48" s="2713"/>
      <c r="BP48" s="2780"/>
      <c r="BQ48" s="2780"/>
      <c r="BR48" s="2780"/>
      <c r="BS48" s="2780"/>
      <c r="BT48" s="2780"/>
      <c r="BU48" s="2780"/>
      <c r="BV48" s="2780"/>
      <c r="BW48" s="2780"/>
      <c r="BX48" s="2780"/>
      <c r="BY48" s="2780"/>
      <c r="BZ48" s="2780"/>
      <c r="CA48" s="2780"/>
      <c r="CB48" s="2780">
        <v>1</v>
      </c>
      <c r="CC48" s="2780">
        <v>1</v>
      </c>
    </row>
    <row r="49" spans="1:81" ht="29.25" customHeight="1">
      <c r="A49" s="162">
        <f t="shared" si="3"/>
        <v>39</v>
      </c>
      <c r="B49" s="5984" t="s">
        <v>3120</v>
      </c>
      <c r="C49" s="5959" t="s">
        <v>3093</v>
      </c>
      <c r="D49" s="5960">
        <v>44817</v>
      </c>
      <c r="E49" s="2778"/>
      <c r="F49" s="2778"/>
      <c r="G49" s="2778"/>
      <c r="H49" s="2778"/>
      <c r="I49" s="2778"/>
      <c r="J49" s="2778"/>
      <c r="K49" s="2778"/>
      <c r="L49" s="2778"/>
      <c r="M49" s="2778"/>
      <c r="N49" s="2778"/>
      <c r="O49" s="2778"/>
      <c r="P49" s="2778"/>
      <c r="Q49" s="2778"/>
      <c r="R49" s="2778"/>
      <c r="S49" s="2778"/>
      <c r="T49" s="2778"/>
      <c r="U49" s="2778"/>
      <c r="V49" s="2778"/>
      <c r="W49" s="2778"/>
      <c r="X49" s="2778"/>
      <c r="Y49" s="2778"/>
      <c r="Z49" s="2778"/>
      <c r="AA49" s="2778"/>
      <c r="AB49" s="2778"/>
      <c r="AC49" s="2778"/>
      <c r="AD49" s="2778"/>
      <c r="AE49" s="2778"/>
      <c r="AF49" s="2778"/>
      <c r="AG49" s="2778"/>
      <c r="AH49" s="2713"/>
      <c r="AI49" s="2713"/>
      <c r="AJ49" s="2713"/>
      <c r="AK49" s="2713"/>
      <c r="AL49" s="2713"/>
      <c r="AM49" s="2713"/>
      <c r="AN49" s="2713"/>
      <c r="AO49" s="2713"/>
      <c r="AP49" s="2713"/>
      <c r="AQ49" s="2713"/>
      <c r="AR49" s="2778"/>
      <c r="AS49" s="2713"/>
      <c r="AT49" s="2714"/>
      <c r="AU49" s="2713"/>
      <c r="AV49" s="2713"/>
      <c r="AW49" s="2714"/>
      <c r="AX49" s="2713"/>
      <c r="AY49" s="2713"/>
      <c r="AZ49" s="2713"/>
      <c r="BA49" s="2713"/>
      <c r="BB49" s="2713"/>
      <c r="BC49" s="3904"/>
      <c r="BD49" s="2713"/>
      <c r="BE49" s="2713"/>
      <c r="BF49" s="2713"/>
      <c r="BG49" s="2713"/>
      <c r="BH49" s="2713"/>
      <c r="BI49" s="2713"/>
      <c r="BJ49" s="2713"/>
      <c r="BK49" s="2760" t="s">
        <v>3087</v>
      </c>
      <c r="BL49" s="2713"/>
      <c r="BM49" s="2713"/>
      <c r="BN49" s="2713"/>
      <c r="BO49" s="2713"/>
      <c r="BP49" s="2780"/>
      <c r="BQ49" s="2780"/>
      <c r="BR49" s="2780"/>
      <c r="BS49" s="2780"/>
      <c r="BT49" s="2780"/>
      <c r="BU49" s="2780"/>
      <c r="BV49" s="2780"/>
      <c r="BW49" s="2780"/>
      <c r="BX49" s="2780"/>
      <c r="BY49" s="2780"/>
      <c r="BZ49" s="2780"/>
      <c r="CA49" s="2780"/>
      <c r="CB49" s="2780">
        <v>1</v>
      </c>
      <c r="CC49" s="2780">
        <v>1</v>
      </c>
    </row>
    <row r="50" spans="1:81" ht="29.25" customHeight="1">
      <c r="B50" s="2810" t="s">
        <v>236</v>
      </c>
      <c r="C50" s="6006"/>
      <c r="D50" s="6006"/>
      <c r="E50" s="3350"/>
      <c r="F50" s="3350"/>
      <c r="G50" s="3350"/>
      <c r="H50" s="3350"/>
      <c r="I50" s="3350"/>
      <c r="J50" s="3350"/>
      <c r="K50" s="3350"/>
      <c r="L50" s="3350"/>
      <c r="M50" s="3350"/>
      <c r="N50" s="3350"/>
      <c r="O50" s="3350"/>
      <c r="P50" s="3350"/>
      <c r="Q50" s="3350"/>
      <c r="R50" s="3350"/>
      <c r="S50" s="3350"/>
      <c r="T50" s="3350"/>
      <c r="U50" s="3350"/>
      <c r="V50" s="3350"/>
      <c r="W50" s="3350"/>
      <c r="X50" s="3350"/>
      <c r="Y50" s="3350"/>
      <c r="Z50" s="3350"/>
      <c r="AA50" s="3350"/>
      <c r="AB50" s="3350"/>
      <c r="AC50" s="3350"/>
      <c r="AD50" s="3350"/>
      <c r="AE50" s="3350"/>
      <c r="AF50" s="3350"/>
      <c r="AG50" s="3350"/>
      <c r="AH50" s="3350"/>
      <c r="AI50" s="3350"/>
      <c r="AJ50" s="3350"/>
      <c r="AK50" s="3350"/>
      <c r="AL50" s="3350"/>
      <c r="AM50" s="3350"/>
      <c r="AN50" s="3350"/>
      <c r="AO50" s="3350"/>
      <c r="AP50" s="3350"/>
      <c r="AQ50" s="3350"/>
      <c r="AR50" s="5941"/>
      <c r="AS50" s="5941"/>
      <c r="AT50" s="5941"/>
      <c r="AU50" s="6007"/>
      <c r="AV50" s="5941"/>
      <c r="AW50" s="5941"/>
      <c r="AX50" s="5941"/>
      <c r="AY50" s="5941"/>
      <c r="AZ50" s="5941"/>
      <c r="BA50" s="5941"/>
      <c r="BB50" s="5941"/>
      <c r="BC50" s="5941"/>
      <c r="BD50" s="5941"/>
      <c r="BE50" s="5941"/>
      <c r="BF50" s="5941"/>
      <c r="BG50" s="5941"/>
      <c r="BH50" s="5941"/>
      <c r="BI50" s="5941"/>
      <c r="BJ50" s="5941"/>
      <c r="BK50" s="5941"/>
      <c r="BL50" s="5941"/>
      <c r="BM50" s="5941"/>
      <c r="BN50" s="5941"/>
      <c r="BO50" s="5941"/>
      <c r="BP50" s="5941"/>
      <c r="BQ50" s="5941"/>
      <c r="BR50" s="2811"/>
      <c r="BS50" s="2811"/>
      <c r="BT50" s="2811"/>
      <c r="BU50" s="2811"/>
      <c r="BV50" s="2811"/>
      <c r="BW50" s="2811"/>
      <c r="BX50" s="2811"/>
      <c r="BY50" s="2811"/>
      <c r="BZ50" s="2811"/>
      <c r="CA50" s="2811"/>
      <c r="CB50" s="2811"/>
      <c r="CC50" s="2811"/>
    </row>
    <row r="51" spans="1:81" ht="29.25" customHeight="1">
      <c r="A51" s="162">
        <v>40</v>
      </c>
      <c r="B51" s="2694" t="s">
        <v>3165</v>
      </c>
      <c r="C51" s="5959" t="s">
        <v>1480</v>
      </c>
      <c r="D51" s="5960">
        <v>41990</v>
      </c>
      <c r="E51" s="2778"/>
      <c r="F51" s="2778"/>
      <c r="G51" s="2778"/>
      <c r="H51" s="2778"/>
      <c r="I51" s="2778"/>
      <c r="J51" s="2778"/>
      <c r="K51" s="2778"/>
      <c r="L51" s="2778"/>
      <c r="M51" s="2778"/>
      <c r="N51" s="2778"/>
      <c r="O51" s="2778"/>
      <c r="P51" s="2778"/>
      <c r="Q51" s="2778"/>
      <c r="R51" s="2778"/>
      <c r="S51" s="2778"/>
      <c r="T51" s="2778"/>
      <c r="U51" s="2778"/>
      <c r="V51" s="2778"/>
      <c r="W51" s="2778"/>
      <c r="X51" s="2778"/>
      <c r="Y51" s="2778"/>
      <c r="Z51" s="2778"/>
      <c r="AA51" s="2778"/>
      <c r="AB51" s="2778"/>
      <c r="AC51" s="2778"/>
      <c r="AD51" s="2778"/>
      <c r="AE51" s="2783" t="s">
        <v>361</v>
      </c>
      <c r="AF51" s="2778"/>
      <c r="AG51" s="2778"/>
      <c r="AH51" s="2713"/>
      <c r="AI51" s="2713"/>
      <c r="AJ51" s="2713"/>
      <c r="AK51" s="2713"/>
      <c r="AL51" s="2713"/>
      <c r="AM51" s="2713"/>
      <c r="AN51" s="2715" t="s">
        <v>693</v>
      </c>
      <c r="AO51" s="2713"/>
      <c r="AP51" s="2713"/>
      <c r="AQ51" s="2713"/>
      <c r="AR51" s="2713"/>
      <c r="AS51" s="2713"/>
      <c r="AT51" s="2714"/>
      <c r="AU51" s="2713"/>
      <c r="AV51" s="2713"/>
      <c r="AW51" s="2714"/>
      <c r="AX51" s="2713"/>
      <c r="AY51" s="2713"/>
      <c r="AZ51" s="2713"/>
      <c r="BA51" s="2713"/>
      <c r="BB51" s="2713"/>
      <c r="BC51" s="3904"/>
      <c r="BD51" s="2713"/>
      <c r="BE51" s="2713"/>
      <c r="BF51" s="2713"/>
      <c r="BG51" s="2713"/>
      <c r="BH51" s="2713"/>
      <c r="BI51" s="2713"/>
      <c r="BJ51" s="2713"/>
      <c r="BK51" s="2713"/>
      <c r="BL51" s="2713"/>
      <c r="BM51" s="2713"/>
      <c r="BN51" s="2713"/>
      <c r="BO51" s="2713"/>
      <c r="BP51" s="2780"/>
      <c r="BQ51" s="2812"/>
      <c r="BR51" s="2780">
        <v>1</v>
      </c>
      <c r="BS51" s="2780">
        <v>1</v>
      </c>
      <c r="BT51" s="2780">
        <v>1</v>
      </c>
      <c r="BU51" s="2780">
        <v>1</v>
      </c>
      <c r="BV51" s="2780">
        <v>1</v>
      </c>
      <c r="BW51" s="2780">
        <v>1</v>
      </c>
      <c r="BX51" s="2780">
        <v>1</v>
      </c>
      <c r="BY51" s="2780">
        <v>1</v>
      </c>
      <c r="BZ51" s="2780"/>
      <c r="CA51" s="2780"/>
      <c r="CB51" s="2780"/>
      <c r="CC51" s="2780"/>
    </row>
    <row r="52" spans="1:81" ht="29.25" customHeight="1">
      <c r="A52" s="162">
        <v>41</v>
      </c>
      <c r="B52" s="2694" t="s">
        <v>3166</v>
      </c>
      <c r="C52" s="5959" t="s">
        <v>1480</v>
      </c>
      <c r="D52" s="5960">
        <v>41990</v>
      </c>
      <c r="E52" s="2778"/>
      <c r="F52" s="2778"/>
      <c r="G52" s="2778"/>
      <c r="H52" s="2778"/>
      <c r="I52" s="2778"/>
      <c r="J52" s="2778"/>
      <c r="K52" s="2778"/>
      <c r="L52" s="2778"/>
      <c r="M52" s="2778"/>
      <c r="N52" s="2778"/>
      <c r="O52" s="2778"/>
      <c r="P52" s="2778"/>
      <c r="Q52" s="2778"/>
      <c r="R52" s="2778"/>
      <c r="S52" s="2778"/>
      <c r="T52" s="2778"/>
      <c r="U52" s="2778"/>
      <c r="V52" s="2778"/>
      <c r="W52" s="2778"/>
      <c r="X52" s="2778"/>
      <c r="Y52" s="2778"/>
      <c r="Z52" s="2778"/>
      <c r="AA52" s="2778"/>
      <c r="AB52" s="2778"/>
      <c r="AC52" s="2778"/>
      <c r="AD52" s="2778"/>
      <c r="AE52" s="2783" t="s">
        <v>361</v>
      </c>
      <c r="AF52" s="2778"/>
      <c r="AG52" s="2778"/>
      <c r="AH52" s="2713"/>
      <c r="AI52" s="2713"/>
      <c r="AJ52" s="2713"/>
      <c r="AK52" s="2713"/>
      <c r="AL52" s="2713"/>
      <c r="AM52" s="2713"/>
      <c r="AN52" s="2715" t="s">
        <v>693</v>
      </c>
      <c r="AO52" s="2713"/>
      <c r="AP52" s="2713"/>
      <c r="AQ52" s="2713"/>
      <c r="AR52" s="2713"/>
      <c r="AS52" s="2713"/>
      <c r="AT52" s="2714"/>
      <c r="AU52" s="2713"/>
      <c r="AV52" s="2713"/>
      <c r="AW52" s="2714"/>
      <c r="AX52" s="2713"/>
      <c r="AY52" s="2713"/>
      <c r="AZ52" s="2713"/>
      <c r="BA52" s="2713"/>
      <c r="BB52" s="2713"/>
      <c r="BC52" s="3904"/>
      <c r="BD52" s="2713"/>
      <c r="BE52" s="2713"/>
      <c r="BF52" s="2713"/>
      <c r="BG52" s="2713"/>
      <c r="BH52" s="2713"/>
      <c r="BI52" s="2713"/>
      <c r="BJ52" s="2713"/>
      <c r="BK52" s="2713"/>
      <c r="BL52" s="2713"/>
      <c r="BM52" s="2713"/>
      <c r="BN52" s="2713"/>
      <c r="BO52" s="2713"/>
      <c r="BP52" s="2780"/>
      <c r="BQ52" s="2812"/>
      <c r="BR52" s="2780">
        <v>1</v>
      </c>
      <c r="BS52" s="2780">
        <v>1</v>
      </c>
      <c r="BT52" s="2780">
        <v>1</v>
      </c>
      <c r="BU52" s="2780">
        <v>1</v>
      </c>
      <c r="BV52" s="2780">
        <v>1</v>
      </c>
      <c r="BW52" s="2780">
        <v>1</v>
      </c>
      <c r="BX52" s="2780">
        <v>1</v>
      </c>
      <c r="BY52" s="2780">
        <v>1</v>
      </c>
      <c r="BZ52" s="2780"/>
      <c r="CA52" s="2780"/>
      <c r="CB52" s="2780"/>
      <c r="CC52" s="2780"/>
    </row>
    <row r="53" spans="1:81" ht="29.25" customHeight="1">
      <c r="A53" s="162">
        <v>42</v>
      </c>
      <c r="B53" s="2694" t="s">
        <v>3167</v>
      </c>
      <c r="C53" s="5959" t="s">
        <v>1480</v>
      </c>
      <c r="D53" s="5960">
        <v>41990</v>
      </c>
      <c r="E53" s="2778"/>
      <c r="F53" s="2778"/>
      <c r="G53" s="2778"/>
      <c r="H53" s="2778"/>
      <c r="I53" s="2778"/>
      <c r="J53" s="2778"/>
      <c r="K53" s="2778"/>
      <c r="L53" s="2778"/>
      <c r="M53" s="2778"/>
      <c r="N53" s="2778"/>
      <c r="O53" s="2778"/>
      <c r="P53" s="2778"/>
      <c r="Q53" s="2778"/>
      <c r="R53" s="2778"/>
      <c r="S53" s="2778"/>
      <c r="T53" s="2778"/>
      <c r="U53" s="2778"/>
      <c r="V53" s="2778"/>
      <c r="W53" s="2778"/>
      <c r="X53" s="2778"/>
      <c r="Y53" s="2778"/>
      <c r="Z53" s="2778"/>
      <c r="AA53" s="2778"/>
      <c r="AB53" s="2778"/>
      <c r="AC53" s="2778"/>
      <c r="AD53" s="2778"/>
      <c r="AE53" s="2783" t="s">
        <v>361</v>
      </c>
      <c r="AF53" s="2778"/>
      <c r="AG53" s="2778"/>
      <c r="AH53" s="2713"/>
      <c r="AI53" s="2713"/>
      <c r="AJ53" s="2713"/>
      <c r="AK53" s="2713"/>
      <c r="AL53" s="2713"/>
      <c r="AM53" s="2713"/>
      <c r="AN53" s="2715" t="s">
        <v>693</v>
      </c>
      <c r="AO53" s="2713"/>
      <c r="AP53" s="2713"/>
      <c r="AQ53" s="2713"/>
      <c r="AR53" s="2713"/>
      <c r="AS53" s="2713"/>
      <c r="AT53" s="2714"/>
      <c r="AU53" s="2713"/>
      <c r="AV53" s="2713"/>
      <c r="AW53" s="2714"/>
      <c r="AX53" s="2713"/>
      <c r="AY53" s="2713"/>
      <c r="AZ53" s="2713"/>
      <c r="BA53" s="2713"/>
      <c r="BB53" s="2713"/>
      <c r="BC53" s="3904"/>
      <c r="BD53" s="2713"/>
      <c r="BE53" s="2713"/>
      <c r="BF53" s="2713"/>
      <c r="BG53" s="2713"/>
      <c r="BH53" s="2713"/>
      <c r="BI53" s="2713"/>
      <c r="BJ53" s="2713"/>
      <c r="BK53" s="2713"/>
      <c r="BL53" s="2713"/>
      <c r="BM53" s="2713"/>
      <c r="BN53" s="2713"/>
      <c r="BO53" s="2713"/>
      <c r="BP53" s="2780"/>
      <c r="BQ53" s="2780"/>
      <c r="BR53" s="2780">
        <v>1</v>
      </c>
      <c r="BS53" s="2780">
        <v>1</v>
      </c>
      <c r="BT53" s="2780">
        <v>1</v>
      </c>
      <c r="BU53" s="2780">
        <v>1</v>
      </c>
      <c r="BV53" s="2780">
        <v>1</v>
      </c>
      <c r="BW53" s="2780">
        <v>1</v>
      </c>
      <c r="BX53" s="2780">
        <v>1</v>
      </c>
      <c r="BY53" s="2780">
        <v>1</v>
      </c>
      <c r="BZ53" s="2780"/>
      <c r="CA53" s="2780"/>
      <c r="CB53" s="2780"/>
      <c r="CC53" s="2780"/>
    </row>
    <row r="54" spans="1:81" ht="29.25" customHeight="1">
      <c r="B54" s="2810" t="s">
        <v>254</v>
      </c>
      <c r="C54" s="6008"/>
      <c r="D54" s="6008"/>
      <c r="E54" s="3351"/>
      <c r="F54" s="3351"/>
      <c r="G54" s="3351"/>
      <c r="H54" s="3351"/>
      <c r="I54" s="3351"/>
      <c r="J54" s="3351"/>
      <c r="K54" s="3351"/>
      <c r="L54" s="3351"/>
      <c r="M54" s="3351"/>
      <c r="N54" s="3351"/>
      <c r="O54" s="3351"/>
      <c r="P54" s="3351"/>
      <c r="Q54" s="3351"/>
      <c r="R54" s="3351"/>
      <c r="S54" s="3351"/>
      <c r="T54" s="3351"/>
      <c r="U54" s="3351"/>
      <c r="V54" s="3351"/>
      <c r="W54" s="3351"/>
      <c r="X54" s="3351"/>
      <c r="Y54" s="3351"/>
      <c r="Z54" s="3351"/>
      <c r="AA54" s="3351"/>
      <c r="AB54" s="3351"/>
      <c r="AC54" s="3351"/>
      <c r="AD54" s="3351"/>
      <c r="AE54" s="3351"/>
      <c r="AF54" s="3351"/>
      <c r="AG54" s="3351"/>
      <c r="AH54" s="3351"/>
      <c r="AI54" s="3351"/>
      <c r="AJ54" s="3351"/>
      <c r="AK54" s="3351"/>
      <c r="AL54" s="3351"/>
      <c r="AM54" s="3351"/>
      <c r="AN54" s="3351"/>
      <c r="AO54" s="3351"/>
      <c r="AP54" s="3351"/>
      <c r="AQ54" s="3351"/>
      <c r="AR54" s="4871"/>
      <c r="AS54" s="4871"/>
      <c r="AT54" s="4871"/>
      <c r="AU54" s="6009"/>
      <c r="AV54" s="4871"/>
      <c r="AW54" s="4871"/>
      <c r="AX54" s="4871"/>
      <c r="AY54" s="4871"/>
      <c r="AZ54" s="4871"/>
      <c r="BA54" s="4871"/>
      <c r="BB54" s="4871"/>
      <c r="BC54" s="4871"/>
      <c r="BD54" s="4871"/>
      <c r="BE54" s="4871"/>
      <c r="BF54" s="4871"/>
      <c r="BG54" s="4871"/>
      <c r="BH54" s="4871"/>
      <c r="BI54" s="4871"/>
      <c r="BJ54" s="4871"/>
      <c r="BK54" s="4871"/>
      <c r="BL54" s="4871"/>
      <c r="BM54" s="4871"/>
      <c r="BN54" s="4871"/>
      <c r="BO54" s="4871"/>
      <c r="BP54" s="4871"/>
      <c r="BQ54" s="2811"/>
      <c r="BR54" s="2811"/>
      <c r="BS54" s="2811"/>
      <c r="BT54" s="2811"/>
      <c r="BU54" s="2811"/>
      <c r="BV54" s="2811"/>
      <c r="BW54" s="2811"/>
      <c r="BX54" s="2811"/>
      <c r="BY54" s="2811"/>
      <c r="BZ54" s="2811"/>
      <c r="CA54" s="2811"/>
      <c r="CB54" s="2811"/>
      <c r="CC54" s="2811"/>
    </row>
    <row r="55" spans="1:81" ht="29.25" customHeight="1">
      <c r="A55" s="162">
        <v>43</v>
      </c>
      <c r="B55" s="6039" t="s">
        <v>3129</v>
      </c>
      <c r="C55" s="5959" t="s">
        <v>2584</v>
      </c>
      <c r="D55" s="5960" t="s">
        <v>2874</v>
      </c>
      <c r="E55" s="2778"/>
      <c r="F55" s="2778"/>
      <c r="G55" s="2778"/>
      <c r="H55" s="2778"/>
      <c r="I55" s="2778"/>
      <c r="J55" s="2778"/>
      <c r="K55" s="2778"/>
      <c r="L55" s="2778"/>
      <c r="M55" s="2778"/>
      <c r="N55" s="2778"/>
      <c r="O55" s="2778"/>
      <c r="P55" s="2778"/>
      <c r="Q55" s="2778"/>
      <c r="R55" s="2778"/>
      <c r="S55" s="2778"/>
      <c r="T55" s="2778"/>
      <c r="U55" s="2778"/>
      <c r="V55" s="2778"/>
      <c r="W55" s="2778"/>
      <c r="X55" s="2778"/>
      <c r="Y55" s="2778"/>
      <c r="Z55" s="2778"/>
      <c r="AA55" s="2783" t="s">
        <v>237</v>
      </c>
      <c r="AB55" s="2778"/>
      <c r="AC55" s="2778"/>
      <c r="AD55" s="2778"/>
      <c r="AE55" s="2778"/>
      <c r="AF55" s="2778"/>
      <c r="AG55" s="2712" t="s">
        <v>467</v>
      </c>
      <c r="AH55" s="2778"/>
      <c r="AI55" s="2713"/>
      <c r="AJ55" s="2713"/>
      <c r="AK55" s="2713"/>
      <c r="AL55" s="2713"/>
      <c r="AM55" s="2713"/>
      <c r="AN55" s="2713"/>
      <c r="AO55" s="2713"/>
      <c r="AP55" s="2713"/>
      <c r="AQ55" s="2713"/>
      <c r="AR55" s="2713"/>
      <c r="AS55" s="2713"/>
      <c r="AT55" s="2714"/>
      <c r="AU55" s="2713"/>
      <c r="AV55" s="2713"/>
      <c r="AW55" s="2714"/>
      <c r="AX55" s="2713"/>
      <c r="AY55" s="2712" t="s">
        <v>2354</v>
      </c>
      <c r="AZ55" s="3352"/>
      <c r="BA55" s="3352"/>
      <c r="BB55" s="3352"/>
      <c r="BC55" s="3908"/>
      <c r="BD55" s="3352"/>
      <c r="BE55" s="2712" t="s">
        <v>2598</v>
      </c>
      <c r="BF55" s="3352"/>
      <c r="BG55" s="3352"/>
      <c r="BH55" s="3352"/>
      <c r="BI55" s="3352"/>
      <c r="BJ55" s="3352"/>
      <c r="BK55" s="3352"/>
      <c r="BL55" s="3352"/>
      <c r="BM55" s="3352"/>
      <c r="BN55" s="3352"/>
      <c r="BO55" s="3352"/>
      <c r="BP55" s="2780"/>
      <c r="BQ55" s="2780">
        <v>1</v>
      </c>
      <c r="BR55" s="2780">
        <v>1</v>
      </c>
      <c r="BS55" s="2780">
        <v>1</v>
      </c>
      <c r="BT55" s="2780">
        <v>1</v>
      </c>
      <c r="BU55" s="2780">
        <v>1</v>
      </c>
      <c r="BV55" s="2780">
        <v>1</v>
      </c>
      <c r="BW55" s="2780">
        <v>1</v>
      </c>
      <c r="BX55" s="2780">
        <v>1</v>
      </c>
      <c r="BY55" s="2780">
        <v>1</v>
      </c>
      <c r="BZ55" s="2780">
        <v>1</v>
      </c>
      <c r="CA55" s="2780">
        <v>1</v>
      </c>
      <c r="CB55" s="2780">
        <v>1</v>
      </c>
      <c r="CC55" s="2780">
        <v>1</v>
      </c>
    </row>
    <row r="56" spans="1:81" ht="29.25" customHeight="1">
      <c r="A56" s="162">
        <v>44</v>
      </c>
      <c r="B56" s="6039" t="s">
        <v>3130</v>
      </c>
      <c r="C56" s="5959" t="s">
        <v>2584</v>
      </c>
      <c r="D56" s="5960" t="s">
        <v>2874</v>
      </c>
      <c r="E56" s="2778"/>
      <c r="F56" s="2778"/>
      <c r="G56" s="2778"/>
      <c r="H56" s="2778"/>
      <c r="I56" s="2778"/>
      <c r="J56" s="2778"/>
      <c r="K56" s="2778"/>
      <c r="L56" s="2778"/>
      <c r="M56" s="2778"/>
      <c r="N56" s="2778"/>
      <c r="O56" s="2778"/>
      <c r="P56" s="2778"/>
      <c r="Q56" s="2778"/>
      <c r="R56" s="2778"/>
      <c r="S56" s="2778"/>
      <c r="T56" s="2778"/>
      <c r="U56" s="2778"/>
      <c r="V56" s="2778"/>
      <c r="W56" s="2778"/>
      <c r="X56" s="2778"/>
      <c r="Y56" s="2778"/>
      <c r="Z56" s="2778"/>
      <c r="AA56" s="2783" t="s">
        <v>237</v>
      </c>
      <c r="AB56" s="2778"/>
      <c r="AC56" s="2778"/>
      <c r="AD56" s="2778"/>
      <c r="AE56" s="2778"/>
      <c r="AF56" s="2778"/>
      <c r="AG56" s="2712" t="s">
        <v>467</v>
      </c>
      <c r="AH56" s="2778"/>
      <c r="AI56" s="2713"/>
      <c r="AJ56" s="2713"/>
      <c r="AK56" s="2713"/>
      <c r="AL56" s="2713"/>
      <c r="AM56" s="2713"/>
      <c r="AN56" s="2713"/>
      <c r="AO56" s="2713"/>
      <c r="AP56" s="2713"/>
      <c r="AQ56" s="2713"/>
      <c r="AR56" s="2713"/>
      <c r="AS56" s="2713"/>
      <c r="AT56" s="2714"/>
      <c r="AU56" s="2713"/>
      <c r="AV56" s="2713"/>
      <c r="AW56" s="2714"/>
      <c r="AX56" s="2713"/>
      <c r="AY56" s="2712" t="s">
        <v>2354</v>
      </c>
      <c r="AZ56" s="3352"/>
      <c r="BA56" s="3352"/>
      <c r="BB56" s="3352"/>
      <c r="BC56" s="3908"/>
      <c r="BD56" s="3352"/>
      <c r="BE56" s="2712" t="s">
        <v>2598</v>
      </c>
      <c r="BF56" s="3352"/>
      <c r="BG56" s="3352"/>
      <c r="BH56" s="3352"/>
      <c r="BI56" s="3352"/>
      <c r="BJ56" s="3352"/>
      <c r="BK56" s="3352"/>
      <c r="BL56" s="3352"/>
      <c r="BM56" s="3352"/>
      <c r="BN56" s="3352"/>
      <c r="BO56" s="3352"/>
      <c r="BP56" s="2780"/>
      <c r="BQ56" s="2780">
        <v>1</v>
      </c>
      <c r="BR56" s="2780">
        <v>1</v>
      </c>
      <c r="BS56" s="2780">
        <v>1</v>
      </c>
      <c r="BT56" s="2780">
        <v>1</v>
      </c>
      <c r="BU56" s="2780">
        <v>1</v>
      </c>
      <c r="BV56" s="2780">
        <v>1</v>
      </c>
      <c r="BW56" s="2780">
        <v>1</v>
      </c>
      <c r="BX56" s="2780">
        <v>1</v>
      </c>
      <c r="BY56" s="2780">
        <v>1</v>
      </c>
      <c r="BZ56" s="2780">
        <v>1</v>
      </c>
      <c r="CA56" s="2780">
        <v>1</v>
      </c>
      <c r="CB56" s="2780">
        <v>1</v>
      </c>
      <c r="CC56" s="2780">
        <v>1</v>
      </c>
    </row>
    <row r="57" spans="1:81" ht="29.25" customHeight="1">
      <c r="B57" s="2810" t="s">
        <v>416</v>
      </c>
      <c r="C57" s="6008"/>
      <c r="D57" s="6008"/>
      <c r="E57" s="3351"/>
      <c r="F57" s="3351"/>
      <c r="G57" s="3351"/>
      <c r="H57" s="3351"/>
      <c r="I57" s="3351"/>
      <c r="J57" s="3351"/>
      <c r="K57" s="3351"/>
      <c r="L57" s="3351"/>
      <c r="M57" s="3351"/>
      <c r="N57" s="3351"/>
      <c r="O57" s="3351"/>
      <c r="P57" s="3351"/>
      <c r="Q57" s="3351"/>
      <c r="R57" s="3351"/>
      <c r="S57" s="3351"/>
      <c r="T57" s="3351"/>
      <c r="U57" s="3351"/>
      <c r="V57" s="3351"/>
      <c r="W57" s="3351"/>
      <c r="X57" s="3351"/>
      <c r="Y57" s="3351"/>
      <c r="Z57" s="3351"/>
      <c r="AA57" s="3351"/>
      <c r="AB57" s="3351"/>
      <c r="AC57" s="3351"/>
      <c r="AD57" s="3351"/>
      <c r="AE57" s="3351"/>
      <c r="AF57" s="3351"/>
      <c r="AG57" s="3351"/>
      <c r="AH57" s="3351"/>
      <c r="AI57" s="3351"/>
      <c r="AJ57" s="3351"/>
      <c r="AK57" s="3351"/>
      <c r="AL57" s="3351"/>
      <c r="AM57" s="3351"/>
      <c r="AN57" s="3351"/>
      <c r="AO57" s="3351"/>
      <c r="AP57" s="3351"/>
      <c r="AQ57" s="3351"/>
      <c r="AR57" s="4871"/>
      <c r="AS57" s="4871"/>
      <c r="AT57" s="4871"/>
      <c r="AU57" s="6009"/>
      <c r="AV57" s="4871"/>
      <c r="AW57" s="4871"/>
      <c r="AX57" s="4871"/>
      <c r="AY57" s="4871"/>
      <c r="AZ57" s="4871"/>
      <c r="BA57" s="4871"/>
      <c r="BB57" s="4871"/>
      <c r="BC57" s="4871"/>
      <c r="BD57" s="4871"/>
      <c r="BE57" s="4871"/>
      <c r="BF57" s="4871"/>
      <c r="BG57" s="4871"/>
      <c r="BH57" s="4871"/>
      <c r="BI57" s="4871"/>
      <c r="BJ57" s="4871"/>
      <c r="BK57" s="4871"/>
      <c r="BL57" s="4871"/>
      <c r="BM57" s="4871"/>
      <c r="BN57" s="4871"/>
      <c r="BO57" s="4871"/>
      <c r="BP57" s="4871"/>
      <c r="BQ57" s="4871"/>
      <c r="BR57" s="2811"/>
      <c r="BS57" s="2811"/>
      <c r="BT57" s="2811"/>
      <c r="BU57" s="2811"/>
      <c r="BV57" s="2811"/>
      <c r="BW57" s="2811"/>
      <c r="BX57" s="2811"/>
      <c r="BY57" s="2811"/>
      <c r="BZ57" s="2811"/>
      <c r="CA57" s="2811"/>
      <c r="CB57" s="2811"/>
      <c r="CC57" s="2811"/>
    </row>
    <row r="58" spans="1:81" ht="29.25" customHeight="1">
      <c r="A58" s="162">
        <v>45</v>
      </c>
      <c r="B58" s="2694" t="s">
        <v>383</v>
      </c>
      <c r="C58" s="5987" t="s">
        <v>2144</v>
      </c>
      <c r="D58" s="6010">
        <v>43032</v>
      </c>
      <c r="E58" s="2813"/>
      <c r="F58" s="2813"/>
      <c r="G58" s="2813"/>
      <c r="H58" s="2813"/>
      <c r="I58" s="2813"/>
      <c r="J58" s="2813"/>
      <c r="K58" s="2813"/>
      <c r="L58" s="2813"/>
      <c r="M58" s="2813"/>
      <c r="N58" s="2813"/>
      <c r="O58" s="2813"/>
      <c r="P58" s="2813"/>
      <c r="Q58" s="2813"/>
      <c r="R58" s="2813"/>
      <c r="S58" s="2813"/>
      <c r="T58" s="2813"/>
      <c r="U58" s="2813"/>
      <c r="V58" s="2813"/>
      <c r="W58" s="2813"/>
      <c r="X58" s="2813"/>
      <c r="Y58" s="2813"/>
      <c r="Z58" s="2813"/>
      <c r="AA58" s="2813"/>
      <c r="AB58" s="2813"/>
      <c r="AC58" s="2813"/>
      <c r="AD58" s="2813"/>
      <c r="AE58" s="2783" t="s">
        <v>391</v>
      </c>
      <c r="AF58" s="2813"/>
      <c r="AG58" s="2813"/>
      <c r="AH58" s="2781"/>
      <c r="AI58" s="2778"/>
      <c r="AJ58" s="2778"/>
      <c r="AK58" s="2778"/>
      <c r="AL58" s="2778"/>
      <c r="AM58" s="2778"/>
      <c r="AN58" s="2778"/>
      <c r="AO58" s="2778"/>
      <c r="AP58" s="2778"/>
      <c r="AQ58" s="2778"/>
      <c r="AR58" s="2778"/>
      <c r="AS58" s="2778"/>
      <c r="AT58" s="2784"/>
      <c r="AU58" s="2778"/>
      <c r="AV58" s="2712" t="s">
        <v>2156</v>
      </c>
      <c r="AW58" s="6011"/>
      <c r="AX58" s="2778"/>
      <c r="AY58" s="3352"/>
      <c r="AZ58" s="3352"/>
      <c r="BA58" s="3352"/>
      <c r="BB58" s="3352"/>
      <c r="BC58" s="3908"/>
      <c r="BD58" s="3352"/>
      <c r="BE58" s="3352"/>
      <c r="BF58" s="3352"/>
      <c r="BG58" s="3352"/>
      <c r="BH58" s="3352"/>
      <c r="BI58" s="3352"/>
      <c r="BJ58" s="3352"/>
      <c r="BK58" s="3352"/>
      <c r="BL58" s="3352"/>
      <c r="BM58" s="3352"/>
      <c r="BN58" s="3352"/>
      <c r="BO58" s="3352"/>
      <c r="BP58" s="2780"/>
      <c r="BQ58" s="2780"/>
      <c r="BR58" s="2780">
        <v>1</v>
      </c>
      <c r="BS58" s="2780">
        <v>1</v>
      </c>
      <c r="BT58" s="2780">
        <v>1</v>
      </c>
      <c r="BU58" s="2780">
        <v>1</v>
      </c>
      <c r="BV58" s="2780"/>
      <c r="BW58" s="2780">
        <v>1</v>
      </c>
      <c r="BX58" s="2780">
        <v>1</v>
      </c>
      <c r="BY58" s="2780">
        <v>1</v>
      </c>
      <c r="BZ58" s="2780">
        <v>1</v>
      </c>
      <c r="CA58" s="2780">
        <v>1</v>
      </c>
      <c r="CB58" s="2780"/>
      <c r="CC58" s="2780"/>
    </row>
    <row r="59" spans="1:81" ht="14.4">
      <c r="B59" s="2794" t="s">
        <v>344</v>
      </c>
      <c r="C59" s="5985"/>
      <c r="D59" s="2794"/>
      <c r="E59" s="2795"/>
      <c r="F59" s="2795"/>
      <c r="G59" s="2795"/>
      <c r="H59" s="2795"/>
      <c r="I59" s="2795"/>
      <c r="J59" s="2795"/>
      <c r="K59" s="2795"/>
      <c r="L59" s="2795"/>
      <c r="M59" s="2795"/>
      <c r="N59" s="2795"/>
      <c r="O59" s="2795"/>
      <c r="P59" s="2795"/>
      <c r="Q59" s="2795"/>
      <c r="R59" s="2795"/>
      <c r="S59" s="2795"/>
      <c r="T59" s="2795"/>
      <c r="U59" s="2795"/>
      <c r="V59" s="2795"/>
      <c r="W59" s="2795"/>
      <c r="X59" s="2795"/>
      <c r="Y59" s="2795"/>
      <c r="Z59" s="2795"/>
      <c r="AA59" s="2795"/>
      <c r="AB59" s="2795"/>
      <c r="AC59" s="2795"/>
      <c r="AD59" s="2795"/>
      <c r="AE59" s="2795"/>
      <c r="AF59" s="2795"/>
      <c r="AG59" s="2795"/>
      <c r="AH59" s="2796"/>
      <c r="AI59" s="2796"/>
      <c r="AJ59" s="2796"/>
      <c r="AK59" s="2796"/>
      <c r="AL59" s="2796"/>
      <c r="AM59" s="2796"/>
      <c r="AN59" s="2796"/>
      <c r="AO59" s="2796"/>
      <c r="AP59" s="2796"/>
      <c r="AQ59" s="2796"/>
      <c r="AR59" s="4879"/>
      <c r="AS59" s="4879"/>
      <c r="AT59" s="4879"/>
      <c r="AU59" s="5986"/>
      <c r="AV59" s="4879"/>
      <c r="AW59" s="4879"/>
      <c r="AX59" s="4879"/>
      <c r="AY59" s="4879"/>
      <c r="AZ59" s="4879"/>
      <c r="BA59" s="4879"/>
      <c r="BB59" s="4879"/>
      <c r="BC59" s="4879"/>
      <c r="BD59" s="4879"/>
      <c r="BE59" s="4879"/>
      <c r="BF59" s="4879"/>
      <c r="BG59" s="4879"/>
      <c r="BH59" s="4879"/>
      <c r="BI59" s="4879"/>
      <c r="BJ59" s="4879"/>
      <c r="BK59" s="4879"/>
      <c r="BL59" s="4879"/>
      <c r="BM59" s="4879"/>
      <c r="BN59" s="4879"/>
      <c r="BO59" s="4879"/>
      <c r="BP59" s="4879"/>
      <c r="BQ59" s="2797"/>
      <c r="BR59" s="2797"/>
      <c r="BS59" s="2797"/>
      <c r="BT59" s="2797"/>
      <c r="BU59" s="2797"/>
      <c r="BV59" s="2797"/>
      <c r="BW59" s="2797"/>
      <c r="BX59" s="2797"/>
      <c r="BY59" s="2797"/>
      <c r="BZ59" s="2797"/>
      <c r="CA59" s="2797"/>
      <c r="CB59" s="2797"/>
      <c r="CC59" s="2797"/>
    </row>
    <row r="60" spans="1:81" ht="29.25" customHeight="1">
      <c r="A60" s="162">
        <v>46</v>
      </c>
      <c r="B60" s="2694" t="s">
        <v>3147</v>
      </c>
      <c r="C60" s="5959" t="s">
        <v>648</v>
      </c>
      <c r="D60" s="5960">
        <v>41437</v>
      </c>
      <c r="E60" s="2778"/>
      <c r="F60" s="2715" t="s">
        <v>248</v>
      </c>
      <c r="G60" s="2778"/>
      <c r="H60" s="2778"/>
      <c r="I60" s="2778"/>
      <c r="J60" s="2778"/>
      <c r="K60" s="2778"/>
      <c r="L60" s="2778"/>
      <c r="M60" s="2778"/>
      <c r="N60" s="2778"/>
      <c r="O60" s="2778"/>
      <c r="P60" s="2778"/>
      <c r="Q60" s="2778"/>
      <c r="R60" s="2778"/>
      <c r="S60" s="2778"/>
      <c r="T60" s="2778"/>
      <c r="U60" s="2778"/>
      <c r="V60" s="2715" t="s">
        <v>204</v>
      </c>
      <c r="W60" s="2778"/>
      <c r="X60" s="2778"/>
      <c r="Y60" s="2778"/>
      <c r="Z60" s="2778"/>
      <c r="AA60" s="2778"/>
      <c r="AB60" s="2778"/>
      <c r="AC60" s="2778"/>
      <c r="AD60" s="2778"/>
      <c r="AE60" s="2778"/>
      <c r="AF60" s="2712" t="s">
        <v>462</v>
      </c>
      <c r="AG60" s="2778"/>
      <c r="AH60" s="2713"/>
      <c r="AI60" s="2713"/>
      <c r="AJ60" s="2712" t="s">
        <v>604</v>
      </c>
      <c r="AK60" s="2713"/>
      <c r="AL60" s="2713"/>
      <c r="AM60" s="2713"/>
      <c r="AN60" s="2713"/>
      <c r="AO60" s="2713"/>
      <c r="AP60" s="2713"/>
      <c r="AQ60" s="2713"/>
      <c r="AR60" s="2713"/>
      <c r="AS60" s="2713"/>
      <c r="AT60" s="2714"/>
      <c r="AU60" s="2713"/>
      <c r="AV60" s="2713"/>
      <c r="AW60" s="2714"/>
      <c r="AX60" s="2713"/>
      <c r="AY60" s="2713"/>
      <c r="AZ60" s="2713"/>
      <c r="BA60" s="2713"/>
      <c r="BB60" s="2713"/>
      <c r="BC60" s="3904"/>
      <c r="BD60" s="2713"/>
      <c r="BE60" s="2713"/>
      <c r="BF60" s="2713"/>
      <c r="BG60" s="2713"/>
      <c r="BH60" s="2713"/>
      <c r="BI60" s="2713"/>
      <c r="BJ60" s="2713"/>
      <c r="BK60" s="2713"/>
      <c r="BL60" s="2713"/>
      <c r="BM60" s="2713"/>
      <c r="BN60" s="2713"/>
      <c r="BO60" s="2713"/>
      <c r="BP60" s="2780">
        <v>1</v>
      </c>
      <c r="BQ60" s="2780">
        <v>1</v>
      </c>
      <c r="BR60" s="2780">
        <v>1</v>
      </c>
      <c r="BS60" s="2780">
        <v>1</v>
      </c>
      <c r="BT60" s="2780">
        <v>1</v>
      </c>
      <c r="BU60" s="2780">
        <v>1</v>
      </c>
      <c r="BV60" s="2780">
        <v>1</v>
      </c>
      <c r="BW60" s="2780">
        <v>1</v>
      </c>
      <c r="BX60" s="2780"/>
      <c r="BY60" s="2780"/>
      <c r="BZ60" s="2780"/>
      <c r="CA60" s="2780"/>
      <c r="CB60" s="2780"/>
      <c r="CC60" s="2780"/>
    </row>
    <row r="61" spans="1:81" ht="29.25" customHeight="1">
      <c r="A61" s="162">
        <v>47</v>
      </c>
      <c r="B61" s="2694" t="s">
        <v>3148</v>
      </c>
      <c r="C61" s="5959" t="s">
        <v>648</v>
      </c>
      <c r="D61" s="5960">
        <v>41437</v>
      </c>
      <c r="E61" s="2778"/>
      <c r="F61" s="2715" t="s">
        <v>248</v>
      </c>
      <c r="G61" s="2781"/>
      <c r="H61" s="2778"/>
      <c r="I61" s="2778"/>
      <c r="J61" s="2778"/>
      <c r="K61" s="2778"/>
      <c r="L61" s="2778"/>
      <c r="M61" s="2778"/>
      <c r="N61" s="2778"/>
      <c r="O61" s="2778"/>
      <c r="P61" s="2778"/>
      <c r="Q61" s="2778"/>
      <c r="R61" s="2778"/>
      <c r="S61" s="2778"/>
      <c r="T61" s="2778"/>
      <c r="U61" s="2778"/>
      <c r="V61" s="2715" t="s">
        <v>204</v>
      </c>
      <c r="W61" s="2781"/>
      <c r="X61" s="2778"/>
      <c r="Y61" s="2778"/>
      <c r="Z61" s="2778"/>
      <c r="AA61" s="2778"/>
      <c r="AB61" s="2778"/>
      <c r="AC61" s="2778"/>
      <c r="AD61" s="2778"/>
      <c r="AE61" s="2778"/>
      <c r="AF61" s="2712" t="s">
        <v>462</v>
      </c>
      <c r="AG61" s="2781"/>
      <c r="AH61" s="2713"/>
      <c r="AI61" s="2713"/>
      <c r="AJ61" s="2712" t="s">
        <v>604</v>
      </c>
      <c r="AK61" s="2713"/>
      <c r="AL61" s="2713"/>
      <c r="AM61" s="2713"/>
      <c r="AN61" s="2713"/>
      <c r="AO61" s="2713"/>
      <c r="AP61" s="2713"/>
      <c r="AQ61" s="2713"/>
      <c r="AR61" s="2713"/>
      <c r="AS61" s="2713"/>
      <c r="AT61" s="2714"/>
      <c r="AU61" s="2713"/>
      <c r="AV61" s="2713"/>
      <c r="AW61" s="2714"/>
      <c r="AX61" s="2713"/>
      <c r="AY61" s="2713"/>
      <c r="AZ61" s="2713"/>
      <c r="BA61" s="2713"/>
      <c r="BB61" s="2713"/>
      <c r="BC61" s="3904"/>
      <c r="BD61" s="2713"/>
      <c r="BE61" s="2713"/>
      <c r="BF61" s="2713"/>
      <c r="BG61" s="2713"/>
      <c r="BH61" s="2713"/>
      <c r="BI61" s="2713"/>
      <c r="BJ61" s="2713"/>
      <c r="BK61" s="2713"/>
      <c r="BL61" s="2713"/>
      <c r="BM61" s="2713"/>
      <c r="BN61" s="2713"/>
      <c r="BO61" s="2713"/>
      <c r="BP61" s="2780">
        <v>1</v>
      </c>
      <c r="BQ61" s="2780">
        <v>1</v>
      </c>
      <c r="BR61" s="2780">
        <v>1</v>
      </c>
      <c r="BS61" s="2780">
        <v>1</v>
      </c>
      <c r="BT61" s="2780">
        <v>1</v>
      </c>
      <c r="BU61" s="2780">
        <v>1</v>
      </c>
      <c r="BV61" s="2780">
        <v>1</v>
      </c>
      <c r="BW61" s="2780">
        <v>1</v>
      </c>
      <c r="BX61" s="2780"/>
      <c r="BY61" s="2780"/>
      <c r="BZ61" s="2780"/>
      <c r="CA61" s="2780"/>
      <c r="CB61" s="2780"/>
      <c r="CC61" s="2780"/>
    </row>
    <row r="62" spans="1:81" ht="29.25" customHeight="1">
      <c r="A62" s="162">
        <v>48</v>
      </c>
      <c r="B62" s="2694" t="s">
        <v>3149</v>
      </c>
      <c r="C62" s="5959" t="s">
        <v>648</v>
      </c>
      <c r="D62" s="5960">
        <v>41437</v>
      </c>
      <c r="E62" s="2778"/>
      <c r="F62" s="2778"/>
      <c r="G62" s="2778"/>
      <c r="H62" s="2778"/>
      <c r="I62" s="2715" t="s">
        <v>231</v>
      </c>
      <c r="J62" s="2778"/>
      <c r="K62" s="2778"/>
      <c r="L62" s="2778"/>
      <c r="M62" s="2778"/>
      <c r="N62" s="2778"/>
      <c r="O62" s="2778"/>
      <c r="P62" s="2778"/>
      <c r="Q62" s="2778"/>
      <c r="R62" s="2778"/>
      <c r="S62" s="2778"/>
      <c r="T62" s="2778"/>
      <c r="U62" s="2715" t="s">
        <v>247</v>
      </c>
      <c r="V62" s="2778"/>
      <c r="W62" s="2778"/>
      <c r="X62" s="2778"/>
      <c r="Y62" s="2778"/>
      <c r="Z62" s="2778"/>
      <c r="AA62" s="2778"/>
      <c r="AB62" s="2715" t="s">
        <v>208</v>
      </c>
      <c r="AC62" s="2778"/>
      <c r="AD62" s="2778"/>
      <c r="AE62" s="2778"/>
      <c r="AF62" s="2778"/>
      <c r="AG62" s="2713"/>
      <c r="AH62" s="2713"/>
      <c r="AI62" s="2713"/>
      <c r="AJ62" s="2712" t="s">
        <v>604</v>
      </c>
      <c r="AK62" s="2713"/>
      <c r="AL62" s="2713"/>
      <c r="AM62" s="2713"/>
      <c r="AN62" s="2713"/>
      <c r="AO62" s="2713"/>
      <c r="AP62" s="2713"/>
      <c r="AQ62" s="2713"/>
      <c r="AR62" s="2713"/>
      <c r="AS62" s="2713"/>
      <c r="AT62" s="2714"/>
      <c r="AU62" s="2713"/>
      <c r="AV62" s="2713"/>
      <c r="AW62" s="2714"/>
      <c r="AX62" s="2713"/>
      <c r="AY62" s="2713"/>
      <c r="AZ62" s="2713"/>
      <c r="BA62" s="2713"/>
      <c r="BB62" s="2713"/>
      <c r="BC62" s="3904"/>
      <c r="BD62" s="2713"/>
      <c r="BE62" s="2713"/>
      <c r="BF62" s="2713"/>
      <c r="BG62" s="2713"/>
      <c r="BH62" s="2713"/>
      <c r="BI62" s="2713"/>
      <c r="BJ62" s="2713"/>
      <c r="BK62" s="2713"/>
      <c r="BL62" s="2713"/>
      <c r="BM62" s="2713"/>
      <c r="BN62" s="2713"/>
      <c r="BO62" s="2713"/>
      <c r="BP62" s="2780">
        <v>1</v>
      </c>
      <c r="BQ62" s="2780">
        <v>1</v>
      </c>
      <c r="BR62" s="2780">
        <v>1</v>
      </c>
      <c r="BS62" s="2780">
        <v>1</v>
      </c>
      <c r="BT62" s="2780">
        <v>1</v>
      </c>
      <c r="BU62" s="2780">
        <v>1</v>
      </c>
      <c r="BV62" s="2780">
        <v>1</v>
      </c>
      <c r="BW62" s="2780">
        <v>1</v>
      </c>
      <c r="BX62" s="2780"/>
      <c r="BY62" s="2780"/>
      <c r="BZ62" s="2780"/>
      <c r="CA62" s="2780"/>
      <c r="CB62" s="2780"/>
      <c r="CC62" s="2780"/>
    </row>
    <row r="63" spans="1:81" ht="29.25" customHeight="1">
      <c r="A63" s="162">
        <v>49</v>
      </c>
      <c r="B63" s="2694" t="s">
        <v>3150</v>
      </c>
      <c r="C63" s="5959" t="s">
        <v>648</v>
      </c>
      <c r="D63" s="5960">
        <v>41437</v>
      </c>
      <c r="E63" s="2778"/>
      <c r="F63" s="2778"/>
      <c r="G63" s="2778"/>
      <c r="H63" s="2778"/>
      <c r="I63" s="2715" t="s">
        <v>231</v>
      </c>
      <c r="J63" s="2778"/>
      <c r="K63" s="2778"/>
      <c r="L63" s="2778"/>
      <c r="M63" s="2778"/>
      <c r="N63" s="2778"/>
      <c r="O63" s="2778"/>
      <c r="P63" s="2778"/>
      <c r="Q63" s="2778"/>
      <c r="R63" s="2778"/>
      <c r="S63" s="2778"/>
      <c r="T63" s="2778"/>
      <c r="U63" s="2715" t="s">
        <v>247</v>
      </c>
      <c r="V63" s="2778"/>
      <c r="W63" s="2778"/>
      <c r="X63" s="2778"/>
      <c r="Y63" s="2778"/>
      <c r="Z63" s="2778"/>
      <c r="AA63" s="2778"/>
      <c r="AB63" s="2715" t="s">
        <v>208</v>
      </c>
      <c r="AC63" s="2778"/>
      <c r="AD63" s="2778"/>
      <c r="AE63" s="2778"/>
      <c r="AF63" s="2778"/>
      <c r="AG63" s="2713"/>
      <c r="AH63" s="2713"/>
      <c r="AI63" s="2713"/>
      <c r="AJ63" s="2712" t="s">
        <v>604</v>
      </c>
      <c r="AK63" s="2713"/>
      <c r="AL63" s="2713"/>
      <c r="AM63" s="2713"/>
      <c r="AN63" s="2713"/>
      <c r="AO63" s="2713"/>
      <c r="AP63" s="2713"/>
      <c r="AQ63" s="2713"/>
      <c r="AR63" s="2713"/>
      <c r="AS63" s="2713"/>
      <c r="AT63" s="2714"/>
      <c r="AU63" s="2713"/>
      <c r="AV63" s="2713"/>
      <c r="AW63" s="2714"/>
      <c r="AX63" s="2713"/>
      <c r="AY63" s="2713"/>
      <c r="AZ63" s="2713"/>
      <c r="BA63" s="2713"/>
      <c r="BB63" s="2713"/>
      <c r="BC63" s="3904"/>
      <c r="BD63" s="2713"/>
      <c r="BE63" s="2713"/>
      <c r="BF63" s="2713"/>
      <c r="BG63" s="2713"/>
      <c r="BH63" s="2713"/>
      <c r="BI63" s="2713"/>
      <c r="BJ63" s="2713"/>
      <c r="BK63" s="2713"/>
      <c r="BL63" s="2713"/>
      <c r="BM63" s="2713"/>
      <c r="BN63" s="2713"/>
      <c r="BO63" s="2713"/>
      <c r="BP63" s="2780">
        <v>1</v>
      </c>
      <c r="BQ63" s="2780">
        <v>1</v>
      </c>
      <c r="BR63" s="2780">
        <v>1</v>
      </c>
      <c r="BS63" s="2780">
        <v>1</v>
      </c>
      <c r="BT63" s="2780">
        <v>1</v>
      </c>
      <c r="BU63" s="2780">
        <v>1</v>
      </c>
      <c r="BV63" s="2780">
        <v>1</v>
      </c>
      <c r="BW63" s="2780">
        <v>1</v>
      </c>
      <c r="BX63" s="2780"/>
      <c r="BY63" s="2780"/>
      <c r="BZ63" s="2780"/>
      <c r="CA63" s="2780"/>
      <c r="CB63" s="2780"/>
      <c r="CC63" s="2780"/>
    </row>
    <row r="64" spans="1:81" ht="29.25" customHeight="1">
      <c r="A64" s="162">
        <v>50</v>
      </c>
      <c r="B64" s="2694" t="s">
        <v>3151</v>
      </c>
      <c r="C64" s="5959" t="s">
        <v>648</v>
      </c>
      <c r="D64" s="5960">
        <v>41437</v>
      </c>
      <c r="E64" s="2778"/>
      <c r="F64" s="2778"/>
      <c r="G64" s="2778"/>
      <c r="H64" s="2778"/>
      <c r="I64" s="2778"/>
      <c r="J64" s="2778"/>
      <c r="K64" s="2778"/>
      <c r="L64" s="2778"/>
      <c r="M64" s="2778"/>
      <c r="N64" s="2778"/>
      <c r="O64" s="2778"/>
      <c r="P64" s="2778"/>
      <c r="Q64" s="2778"/>
      <c r="R64" s="2715" t="s">
        <v>229</v>
      </c>
      <c r="S64" s="2778"/>
      <c r="T64" s="2778"/>
      <c r="U64" s="2778"/>
      <c r="V64" s="2778"/>
      <c r="W64" s="2778"/>
      <c r="X64" s="2778"/>
      <c r="Y64" s="2778"/>
      <c r="Z64" s="2778"/>
      <c r="AA64" s="2778"/>
      <c r="AB64" s="2778"/>
      <c r="AC64" s="2778"/>
      <c r="AD64" s="2778"/>
      <c r="AE64" s="2778"/>
      <c r="AF64" s="2778"/>
      <c r="AG64" s="2712" t="s">
        <v>463</v>
      </c>
      <c r="AH64" s="2778"/>
      <c r="AI64" s="2713"/>
      <c r="AJ64" s="2712" t="s">
        <v>604</v>
      </c>
      <c r="AK64" s="2713"/>
      <c r="AL64" s="2713"/>
      <c r="AM64" s="2713"/>
      <c r="AN64" s="2713"/>
      <c r="AO64" s="2713"/>
      <c r="AP64" s="2713"/>
      <c r="AQ64" s="2713"/>
      <c r="AR64" s="2713"/>
      <c r="AS64" s="2713"/>
      <c r="AT64" s="2714"/>
      <c r="AU64" s="2713"/>
      <c r="AV64" s="2713"/>
      <c r="AW64" s="2714"/>
      <c r="AX64" s="2713"/>
      <c r="AY64" s="2713"/>
      <c r="AZ64" s="2713"/>
      <c r="BA64" s="2713"/>
      <c r="BB64" s="2713"/>
      <c r="BC64" s="3904"/>
      <c r="BD64" s="2713"/>
      <c r="BE64" s="2713"/>
      <c r="BF64" s="2713"/>
      <c r="BG64" s="2713"/>
      <c r="BH64" s="2713"/>
      <c r="BI64" s="2713"/>
      <c r="BJ64" s="2738" t="s">
        <v>3088</v>
      </c>
      <c r="BK64" s="2713"/>
      <c r="BL64" s="2713"/>
      <c r="BM64" s="2713"/>
      <c r="BN64" s="2713"/>
      <c r="BO64" s="2713"/>
      <c r="BP64" s="2780">
        <v>1</v>
      </c>
      <c r="BQ64" s="2780">
        <v>1</v>
      </c>
      <c r="BR64" s="2780">
        <v>1</v>
      </c>
      <c r="BS64" s="2780">
        <v>1</v>
      </c>
      <c r="BT64" s="2780">
        <v>1</v>
      </c>
      <c r="BU64" s="2780">
        <v>1</v>
      </c>
      <c r="BV64" s="2780">
        <v>1</v>
      </c>
      <c r="BW64" s="2780">
        <v>1</v>
      </c>
      <c r="BX64" s="2780"/>
      <c r="BY64" s="2780"/>
      <c r="BZ64" s="2780"/>
      <c r="CA64" s="2780"/>
      <c r="CB64" s="2780">
        <v>1</v>
      </c>
      <c r="CC64" s="2780">
        <v>1</v>
      </c>
    </row>
    <row r="65" spans="1:81" ht="29.25" customHeight="1">
      <c r="A65" s="162">
        <v>51</v>
      </c>
      <c r="B65" s="2694" t="s">
        <v>3152</v>
      </c>
      <c r="C65" s="5959" t="s">
        <v>648</v>
      </c>
      <c r="D65" s="5960">
        <v>41437</v>
      </c>
      <c r="E65" s="2778"/>
      <c r="F65" s="2778"/>
      <c r="G65" s="2778"/>
      <c r="H65" s="2778"/>
      <c r="I65" s="2778"/>
      <c r="J65" s="2778"/>
      <c r="K65" s="2778"/>
      <c r="L65" s="2778"/>
      <c r="M65" s="2778"/>
      <c r="N65" s="2778"/>
      <c r="O65" s="2778"/>
      <c r="P65" s="2778"/>
      <c r="Q65" s="2778"/>
      <c r="R65" s="2715" t="s">
        <v>229</v>
      </c>
      <c r="S65" s="2778"/>
      <c r="T65" s="2778"/>
      <c r="U65" s="2778"/>
      <c r="V65" s="2778"/>
      <c r="W65" s="2778"/>
      <c r="X65" s="2778"/>
      <c r="Y65" s="2778"/>
      <c r="Z65" s="2778"/>
      <c r="AA65" s="2778"/>
      <c r="AB65" s="2778"/>
      <c r="AC65" s="2778"/>
      <c r="AD65" s="2778"/>
      <c r="AE65" s="2778"/>
      <c r="AF65" s="2778"/>
      <c r="AG65" s="2712" t="s">
        <v>463</v>
      </c>
      <c r="AH65" s="2778"/>
      <c r="AI65" s="2713"/>
      <c r="AJ65" s="2712" t="s">
        <v>604</v>
      </c>
      <c r="AK65" s="2713"/>
      <c r="AL65" s="2713"/>
      <c r="AM65" s="2713"/>
      <c r="AN65" s="2713"/>
      <c r="AO65" s="2713"/>
      <c r="AP65" s="2713"/>
      <c r="AQ65" s="2713"/>
      <c r="AR65" s="2713"/>
      <c r="AS65" s="2713"/>
      <c r="AT65" s="2714"/>
      <c r="AU65" s="2713"/>
      <c r="AV65" s="2713"/>
      <c r="AW65" s="2714"/>
      <c r="AX65" s="2713"/>
      <c r="AY65" s="2713"/>
      <c r="AZ65" s="2713"/>
      <c r="BA65" s="2713"/>
      <c r="BB65" s="2713"/>
      <c r="BC65" s="3904"/>
      <c r="BD65" s="2713"/>
      <c r="BE65" s="2713"/>
      <c r="BF65" s="2713"/>
      <c r="BG65" s="2713"/>
      <c r="BH65" s="2713"/>
      <c r="BI65" s="2713"/>
      <c r="BK65" s="2713"/>
      <c r="BL65" s="2713"/>
      <c r="BM65" s="2713"/>
      <c r="BN65" s="2713"/>
      <c r="BO65" s="2713"/>
      <c r="BP65" s="2780">
        <v>1</v>
      </c>
      <c r="BQ65" s="2780">
        <v>1</v>
      </c>
      <c r="BR65" s="2780">
        <v>1</v>
      </c>
      <c r="BS65" s="2780">
        <v>1</v>
      </c>
      <c r="BT65" s="2780">
        <v>1</v>
      </c>
      <c r="BU65" s="2780">
        <v>1</v>
      </c>
      <c r="BV65" s="2780">
        <v>1</v>
      </c>
      <c r="BW65" s="2780">
        <v>1</v>
      </c>
      <c r="BX65" s="2780"/>
      <c r="BY65" s="2780"/>
      <c r="BZ65" s="2780"/>
      <c r="CA65" s="2780"/>
      <c r="CB65" s="2780"/>
      <c r="CC65" s="2780"/>
    </row>
    <row r="66" spans="1:81" ht="29.25" customHeight="1">
      <c r="A66" s="162">
        <v>52</v>
      </c>
      <c r="B66" s="2694" t="s">
        <v>3103</v>
      </c>
      <c r="C66" s="5959" t="s">
        <v>499</v>
      </c>
      <c r="D66" s="5960">
        <v>38083</v>
      </c>
      <c r="E66" s="2778"/>
      <c r="F66" s="2778"/>
      <c r="G66" s="2778"/>
      <c r="H66" s="2778"/>
      <c r="I66" s="2778"/>
      <c r="J66" s="2778"/>
      <c r="K66" s="2778"/>
      <c r="L66" s="2778"/>
      <c r="M66" s="2778"/>
      <c r="N66" s="2778"/>
      <c r="O66" s="2778"/>
      <c r="P66" s="2778"/>
      <c r="Q66" s="2778"/>
      <c r="R66" s="2778"/>
      <c r="S66" s="2778"/>
      <c r="T66" s="2778"/>
      <c r="U66" s="2778"/>
      <c r="V66" s="2778"/>
      <c r="W66" s="2778"/>
      <c r="X66" s="2778"/>
      <c r="Y66" s="2778"/>
      <c r="Z66" s="2778"/>
      <c r="AA66" s="2778"/>
      <c r="AB66" s="2778"/>
      <c r="AC66" s="2778"/>
      <c r="AD66" s="2778"/>
      <c r="AE66" s="2778"/>
      <c r="AF66" s="2778"/>
      <c r="AG66" s="2713"/>
      <c r="AH66" s="2713"/>
      <c r="AI66" s="2713"/>
      <c r="AJ66" s="2712" t="s">
        <v>604</v>
      </c>
      <c r="AK66" s="2713"/>
      <c r="AL66" s="2713"/>
      <c r="AM66" s="2713"/>
      <c r="AN66" s="2713"/>
      <c r="AO66" s="2713"/>
      <c r="AP66" s="2713"/>
      <c r="AQ66" s="2713"/>
      <c r="AR66" s="2713"/>
      <c r="AS66" s="2713"/>
      <c r="AT66" s="2714"/>
      <c r="AU66" s="2713"/>
      <c r="AV66" s="2713"/>
      <c r="AW66" s="2714"/>
      <c r="AX66" s="2713"/>
      <c r="AY66" s="2713"/>
      <c r="AZ66" s="2713"/>
      <c r="BA66" s="2713"/>
      <c r="BB66" s="2713"/>
      <c r="BC66" s="3904"/>
      <c r="BD66" s="2713"/>
      <c r="BE66" s="2713"/>
      <c r="BF66" s="2713"/>
      <c r="BG66" s="2713"/>
      <c r="BH66" s="2713"/>
      <c r="BI66" s="2713"/>
      <c r="BJ66" s="2713"/>
      <c r="BK66" s="2713"/>
      <c r="BL66" s="2713"/>
      <c r="BM66" s="2713"/>
      <c r="BN66" s="2713"/>
      <c r="BO66" s="2713"/>
      <c r="BP66" s="2780"/>
      <c r="BQ66" s="2780"/>
      <c r="BR66" s="2780"/>
      <c r="BS66" s="2780">
        <v>1</v>
      </c>
      <c r="BT66" s="2780">
        <v>1</v>
      </c>
      <c r="BU66" s="2780">
        <v>1</v>
      </c>
      <c r="BV66" s="2780">
        <v>1</v>
      </c>
      <c r="BW66" s="2780">
        <v>1</v>
      </c>
      <c r="BX66" s="2780"/>
      <c r="BY66" s="2780"/>
      <c r="BZ66" s="2780"/>
      <c r="CA66" s="2780"/>
      <c r="CB66" s="2780"/>
      <c r="CC66" s="2780"/>
    </row>
    <row r="67" spans="1:81" ht="29.25" customHeight="1">
      <c r="A67" s="162">
        <v>53</v>
      </c>
      <c r="B67" s="2694" t="s">
        <v>3153</v>
      </c>
      <c r="C67" s="5959" t="s">
        <v>1481</v>
      </c>
      <c r="D67" s="5960">
        <v>41990</v>
      </c>
      <c r="E67" s="2778"/>
      <c r="F67" s="2778"/>
      <c r="G67" s="2778"/>
      <c r="H67" s="2778"/>
      <c r="I67" s="2782" t="s">
        <v>250</v>
      </c>
      <c r="J67" s="2778"/>
      <c r="K67" s="2778"/>
      <c r="L67" s="2778"/>
      <c r="M67" s="2778"/>
      <c r="N67" s="2778"/>
      <c r="O67" s="2778"/>
      <c r="P67" s="2778"/>
      <c r="Q67" s="2778"/>
      <c r="R67" s="2778"/>
      <c r="S67" s="2778"/>
      <c r="T67" s="2778"/>
      <c r="U67" s="2778"/>
      <c r="V67" s="2778"/>
      <c r="W67" s="2778"/>
      <c r="X67" s="2778"/>
      <c r="Y67" s="2778"/>
      <c r="Z67" s="2778"/>
      <c r="AA67" s="2715" t="s">
        <v>208</v>
      </c>
      <c r="AB67" s="2778"/>
      <c r="AC67" s="2778"/>
      <c r="AD67" s="2715" t="s">
        <v>230</v>
      </c>
      <c r="AE67" s="2778"/>
      <c r="AF67" s="2778"/>
      <c r="AG67" s="2778"/>
      <c r="AH67" s="2713"/>
      <c r="AI67" s="2713"/>
      <c r="AJ67" s="2712" t="s">
        <v>604</v>
      </c>
      <c r="AK67" s="2713"/>
      <c r="AL67" s="2713"/>
      <c r="AM67" s="2713"/>
      <c r="AN67" s="2715" t="s">
        <v>693</v>
      </c>
      <c r="AO67" s="2713"/>
      <c r="AP67" s="2713"/>
      <c r="AQ67" s="2713"/>
      <c r="AR67" s="2713"/>
      <c r="AS67" s="2713"/>
      <c r="AT67" s="2714"/>
      <c r="AU67" s="2713"/>
      <c r="AV67" s="2713"/>
      <c r="AW67" s="2714"/>
      <c r="AX67" s="2713"/>
      <c r="AY67" s="2713"/>
      <c r="AZ67" s="2713"/>
      <c r="BA67" s="2713"/>
      <c r="BB67" s="2713"/>
      <c r="BC67" s="3904"/>
      <c r="BD67" s="2713"/>
      <c r="BE67" s="2713"/>
      <c r="BF67" s="2713"/>
      <c r="BG67" s="2713"/>
      <c r="BH67" s="2713"/>
      <c r="BI67" s="2713"/>
      <c r="BJ67" s="2713"/>
      <c r="BK67" s="2713"/>
      <c r="BL67" s="2713"/>
      <c r="BM67" s="2713"/>
      <c r="BN67" s="2713"/>
      <c r="BO67" s="2713"/>
      <c r="BP67" s="2780">
        <v>1</v>
      </c>
      <c r="BQ67" s="2780">
        <v>1</v>
      </c>
      <c r="BR67" s="2780">
        <v>1</v>
      </c>
      <c r="BS67" s="2780">
        <v>1</v>
      </c>
      <c r="BT67" s="2780">
        <v>1</v>
      </c>
      <c r="BU67" s="2780">
        <v>1</v>
      </c>
      <c r="BV67" s="2780">
        <v>1</v>
      </c>
      <c r="BW67" s="2780">
        <v>1</v>
      </c>
      <c r="BX67" s="2780">
        <v>1</v>
      </c>
      <c r="BY67" s="2780">
        <v>1</v>
      </c>
      <c r="BZ67" s="2780"/>
      <c r="CA67" s="2780"/>
      <c r="CB67" s="2780"/>
      <c r="CC67" s="2780"/>
    </row>
    <row r="68" spans="1:81" ht="29.25" customHeight="1">
      <c r="A68" s="162">
        <v>54</v>
      </c>
      <c r="B68" s="2694" t="s">
        <v>3154</v>
      </c>
      <c r="C68" s="5959" t="s">
        <v>1481</v>
      </c>
      <c r="D68" s="5960">
        <v>41990</v>
      </c>
      <c r="E68" s="2778"/>
      <c r="F68" s="2778"/>
      <c r="G68" s="2778"/>
      <c r="H68" s="2778"/>
      <c r="I68" s="2782" t="s">
        <v>250</v>
      </c>
      <c r="J68" s="2778"/>
      <c r="K68" s="2778"/>
      <c r="L68" s="2778"/>
      <c r="M68" s="2778"/>
      <c r="N68" s="2778"/>
      <c r="O68" s="2778"/>
      <c r="P68" s="2778"/>
      <c r="Q68" s="2778"/>
      <c r="R68" s="2778"/>
      <c r="S68" s="2778"/>
      <c r="T68" s="2778"/>
      <c r="U68" s="2778"/>
      <c r="V68" s="2778"/>
      <c r="W68" s="2778"/>
      <c r="X68" s="2778"/>
      <c r="Y68" s="2778"/>
      <c r="Z68" s="2778"/>
      <c r="AA68" s="2715" t="s">
        <v>208</v>
      </c>
      <c r="AB68" s="2778"/>
      <c r="AC68" s="2778"/>
      <c r="AD68" s="2715" t="s">
        <v>230</v>
      </c>
      <c r="AE68" s="2778"/>
      <c r="AF68" s="2778"/>
      <c r="AG68" s="2778"/>
      <c r="AH68" s="2713"/>
      <c r="AI68" s="2713"/>
      <c r="AJ68" s="2712" t="s">
        <v>604</v>
      </c>
      <c r="AK68" s="2713"/>
      <c r="AL68" s="2713"/>
      <c r="AM68" s="2713"/>
      <c r="AN68" s="2715" t="s">
        <v>693</v>
      </c>
      <c r="AO68" s="2713"/>
      <c r="AP68" s="2713"/>
      <c r="AQ68" s="2713"/>
      <c r="AR68" s="2713"/>
      <c r="AS68" s="2713"/>
      <c r="AT68" s="2714"/>
      <c r="AU68" s="2713"/>
      <c r="AV68" s="2713"/>
      <c r="AW68" s="2714"/>
      <c r="AX68" s="2713"/>
      <c r="AY68" s="2713"/>
      <c r="AZ68" s="2713"/>
      <c r="BA68" s="2713"/>
      <c r="BB68" s="2713"/>
      <c r="BC68" s="3904"/>
      <c r="BD68" s="2713"/>
      <c r="BE68" s="2713"/>
      <c r="BF68" s="2713"/>
      <c r="BG68" s="2713"/>
      <c r="BH68" s="2713"/>
      <c r="BI68" s="2713"/>
      <c r="BJ68" s="2713"/>
      <c r="BK68" s="2713"/>
      <c r="BL68" s="2713"/>
      <c r="BM68" s="2713"/>
      <c r="BN68" s="2713"/>
      <c r="BO68" s="2713"/>
      <c r="BP68" s="2780">
        <v>1</v>
      </c>
      <c r="BQ68" s="2780">
        <v>1</v>
      </c>
      <c r="BR68" s="2780">
        <v>1</v>
      </c>
      <c r="BS68" s="2780">
        <v>1</v>
      </c>
      <c r="BT68" s="2780">
        <v>1</v>
      </c>
      <c r="BU68" s="2780">
        <v>1</v>
      </c>
      <c r="BV68" s="2780">
        <v>1</v>
      </c>
      <c r="BW68" s="2780">
        <v>1</v>
      </c>
      <c r="BX68" s="2780">
        <v>1</v>
      </c>
      <c r="BY68" s="2780">
        <v>1</v>
      </c>
      <c r="BZ68" s="2780"/>
      <c r="CA68" s="2780"/>
      <c r="CB68" s="2780"/>
      <c r="CC68" s="2780"/>
    </row>
    <row r="69" spans="1:81" ht="29.25" customHeight="1">
      <c r="A69" s="162">
        <v>55</v>
      </c>
      <c r="B69" s="2694" t="s">
        <v>3155</v>
      </c>
      <c r="C69" s="5959" t="s">
        <v>1480</v>
      </c>
      <c r="D69" s="5960">
        <v>41808</v>
      </c>
      <c r="E69" s="2778"/>
      <c r="F69" s="2778"/>
      <c r="G69" s="2778"/>
      <c r="H69" s="2778"/>
      <c r="I69" s="2778"/>
      <c r="J69" s="2778"/>
      <c r="K69" s="2778"/>
      <c r="L69" s="2778"/>
      <c r="M69" s="2778"/>
      <c r="N69" s="2778"/>
      <c r="O69" s="2778"/>
      <c r="P69" s="2778"/>
      <c r="Q69" s="2778"/>
      <c r="R69" s="2778"/>
      <c r="S69" s="2778"/>
      <c r="T69" s="2778"/>
      <c r="U69" s="2778"/>
      <c r="V69" s="2778"/>
      <c r="W69" s="2778"/>
      <c r="X69" s="2778"/>
      <c r="Y69" s="2778"/>
      <c r="Z69" s="2778"/>
      <c r="AA69" s="2778"/>
      <c r="AB69" s="2778"/>
      <c r="AC69" s="2778"/>
      <c r="AD69" s="2778"/>
      <c r="AE69" s="2778"/>
      <c r="AF69" s="2778"/>
      <c r="AG69" s="2778"/>
      <c r="AH69" s="2713"/>
      <c r="AI69" s="2713"/>
      <c r="AJ69" s="2713"/>
      <c r="AK69" s="2713"/>
      <c r="AL69" s="2713"/>
      <c r="AM69" s="2712" t="s">
        <v>689</v>
      </c>
      <c r="AN69" s="2713"/>
      <c r="AO69" s="2713"/>
      <c r="AP69" s="2713"/>
      <c r="AQ69" s="2713"/>
      <c r="AR69" s="2713"/>
      <c r="AS69" s="2713"/>
      <c r="AT69" s="2714"/>
      <c r="AU69" s="2713"/>
      <c r="AV69" s="2713"/>
      <c r="AW69" s="2714"/>
      <c r="AX69" s="2713"/>
      <c r="AY69" s="2713"/>
      <c r="AZ69" s="2713"/>
      <c r="BA69" s="2713"/>
      <c r="BB69" s="2713"/>
      <c r="BC69" s="3904"/>
      <c r="BD69" s="2713"/>
      <c r="BE69" s="2713"/>
      <c r="BF69" s="2713"/>
      <c r="BG69" s="2713"/>
      <c r="BH69" s="2713"/>
      <c r="BI69" s="2713"/>
      <c r="BJ69" s="2713"/>
      <c r="BK69" s="2713"/>
      <c r="BL69" s="2713"/>
      <c r="BM69" s="2713"/>
      <c r="BN69" s="2713"/>
      <c r="BO69" s="2713"/>
      <c r="BP69" s="2780"/>
      <c r="BQ69" s="2780"/>
      <c r="BR69" s="2780"/>
      <c r="BS69" s="2780"/>
      <c r="BT69" s="2780">
        <v>1</v>
      </c>
      <c r="BU69" s="2780">
        <v>1</v>
      </c>
      <c r="BV69" s="2780">
        <v>1</v>
      </c>
      <c r="BW69" s="2780">
        <v>1</v>
      </c>
      <c r="BX69" s="2780">
        <v>1</v>
      </c>
      <c r="BY69" s="2780"/>
      <c r="BZ69" s="2780"/>
      <c r="CA69" s="2780"/>
      <c r="CB69" s="2780"/>
      <c r="CC69" s="2780"/>
    </row>
    <row r="70" spans="1:81" ht="29.25" customHeight="1">
      <c r="A70" s="162">
        <v>56</v>
      </c>
      <c r="B70" s="2694" t="s">
        <v>3156</v>
      </c>
      <c r="C70" s="5959" t="s">
        <v>1480</v>
      </c>
      <c r="D70" s="5960">
        <v>41808</v>
      </c>
      <c r="E70" s="2778"/>
      <c r="F70" s="2778"/>
      <c r="G70" s="2778"/>
      <c r="H70" s="2778"/>
      <c r="I70" s="2778"/>
      <c r="J70" s="2778"/>
      <c r="K70" s="2778"/>
      <c r="L70" s="2778"/>
      <c r="M70" s="2778"/>
      <c r="N70" s="2778"/>
      <c r="O70" s="2778"/>
      <c r="P70" s="2778"/>
      <c r="Q70" s="2778"/>
      <c r="R70" s="2778"/>
      <c r="S70" s="2778"/>
      <c r="T70" s="2778"/>
      <c r="U70" s="2778"/>
      <c r="V70" s="2778"/>
      <c r="W70" s="2778"/>
      <c r="X70" s="2778"/>
      <c r="Y70" s="2778"/>
      <c r="Z70" s="2778"/>
      <c r="AA70" s="2778"/>
      <c r="AB70" s="2778"/>
      <c r="AC70" s="2778"/>
      <c r="AD70" s="2778"/>
      <c r="AE70" s="2778"/>
      <c r="AF70" s="2778"/>
      <c r="AG70" s="2778"/>
      <c r="AH70" s="2713"/>
      <c r="AI70" s="2713"/>
      <c r="AJ70" s="2713"/>
      <c r="AK70" s="2713"/>
      <c r="AL70" s="2713"/>
      <c r="AM70" s="2712" t="s">
        <v>689</v>
      </c>
      <c r="AN70" s="2713"/>
      <c r="AO70" s="2713"/>
      <c r="AP70" s="2713"/>
      <c r="AQ70" s="2713"/>
      <c r="AR70" s="2713"/>
      <c r="AS70" s="2713"/>
      <c r="AT70" s="2714"/>
      <c r="AU70" s="2713"/>
      <c r="AV70" s="2713"/>
      <c r="AW70" s="2714"/>
      <c r="AX70" s="2713"/>
      <c r="AY70" s="2713"/>
      <c r="AZ70" s="2713"/>
      <c r="BA70" s="2713"/>
      <c r="BB70" s="2713"/>
      <c r="BC70" s="3904"/>
      <c r="BD70" s="2713"/>
      <c r="BE70" s="2713"/>
      <c r="BF70" s="2713"/>
      <c r="BG70" s="2713"/>
      <c r="BH70" s="2713"/>
      <c r="BI70" s="2713"/>
      <c r="BJ70" s="2713"/>
      <c r="BK70" s="2713"/>
      <c r="BL70" s="2713"/>
      <c r="BM70" s="2713"/>
      <c r="BN70" s="2713"/>
      <c r="BO70" s="2713"/>
      <c r="BP70" s="2780"/>
      <c r="BQ70" s="2780"/>
      <c r="BR70" s="2780"/>
      <c r="BS70" s="2780"/>
      <c r="BT70" s="2780">
        <v>1</v>
      </c>
      <c r="BU70" s="2780">
        <v>1</v>
      </c>
      <c r="BV70" s="2780">
        <v>1</v>
      </c>
      <c r="BW70" s="2780">
        <v>1</v>
      </c>
      <c r="BX70" s="2780">
        <v>1</v>
      </c>
      <c r="BY70" s="2780"/>
      <c r="BZ70" s="2780"/>
      <c r="CA70" s="2780"/>
      <c r="CB70" s="2780"/>
      <c r="CC70" s="2780"/>
    </row>
    <row r="71" spans="1:81" ht="29.25" customHeight="1">
      <c r="A71" s="162">
        <v>57</v>
      </c>
      <c r="B71" s="2694" t="s">
        <v>3157</v>
      </c>
      <c r="C71" s="5959" t="s">
        <v>648</v>
      </c>
      <c r="D71" s="5960">
        <v>41437</v>
      </c>
      <c r="E71" s="2778"/>
      <c r="F71" s="2778"/>
      <c r="G71" s="2778"/>
      <c r="H71" s="2778"/>
      <c r="I71" s="2778"/>
      <c r="J71" s="2778"/>
      <c r="K71" s="2778"/>
      <c r="L71" s="2778"/>
      <c r="M71" s="2778"/>
      <c r="N71" s="2778"/>
      <c r="O71" s="2778"/>
      <c r="P71" s="2778"/>
      <c r="Q71" s="2778"/>
      <c r="R71" s="2778"/>
      <c r="S71" s="2778"/>
      <c r="T71" s="2778"/>
      <c r="U71" s="2778"/>
      <c r="V71" s="2778"/>
      <c r="W71" s="2778"/>
      <c r="X71" s="2778"/>
      <c r="Y71" s="2778"/>
      <c r="Z71" s="2778"/>
      <c r="AA71" s="2778"/>
      <c r="AB71" s="2783" t="s">
        <v>251</v>
      </c>
      <c r="AC71" s="2778"/>
      <c r="AD71" s="2715" t="s">
        <v>230</v>
      </c>
      <c r="AE71" s="2778"/>
      <c r="AF71" s="2778"/>
      <c r="AG71" s="2778"/>
      <c r="AH71" s="2713"/>
      <c r="AI71" s="2713"/>
      <c r="AJ71" s="2712" t="s">
        <v>604</v>
      </c>
      <c r="AK71" s="2713"/>
      <c r="AL71" s="2713"/>
      <c r="AM71" s="2713"/>
      <c r="AN71" s="2713"/>
      <c r="AO71" s="2713"/>
      <c r="AP71" s="2713"/>
      <c r="AQ71" s="2713"/>
      <c r="AR71" s="2713"/>
      <c r="AS71" s="2713"/>
      <c r="AT71" s="2714"/>
      <c r="AU71" s="2713"/>
      <c r="AV71" s="2713"/>
      <c r="AW71" s="2714"/>
      <c r="AX71" s="2713"/>
      <c r="AY71" s="2713"/>
      <c r="AZ71" s="2713"/>
      <c r="BA71" s="2713"/>
      <c r="BB71" s="2713"/>
      <c r="BC71" s="3904"/>
      <c r="BD71" s="2713"/>
      <c r="BE71" s="2713"/>
      <c r="BF71" s="2713"/>
      <c r="BG71" s="2713"/>
      <c r="BH71" s="2713"/>
      <c r="BI71" s="2713"/>
      <c r="BJ71" s="2738" t="s">
        <v>3089</v>
      </c>
      <c r="BK71" s="2713"/>
      <c r="BL71" s="2713"/>
      <c r="BM71" s="2713"/>
      <c r="BN71" s="2713"/>
      <c r="BO71" s="2713"/>
      <c r="BP71" s="2780"/>
      <c r="BQ71" s="2780">
        <v>1</v>
      </c>
      <c r="BR71" s="2780">
        <v>1</v>
      </c>
      <c r="BS71" s="2780">
        <v>1</v>
      </c>
      <c r="BT71" s="2780">
        <v>1</v>
      </c>
      <c r="BU71" s="2780">
        <v>1</v>
      </c>
      <c r="BV71" s="2780">
        <v>1</v>
      </c>
      <c r="BW71" s="2780">
        <v>1</v>
      </c>
      <c r="BX71" s="2780"/>
      <c r="BY71" s="2780"/>
      <c r="BZ71" s="2780"/>
      <c r="CA71" s="2780"/>
      <c r="CB71" s="2780">
        <v>1</v>
      </c>
      <c r="CC71" s="2780">
        <v>1</v>
      </c>
    </row>
    <row r="72" spans="1:81" ht="29.25" customHeight="1">
      <c r="A72" s="162">
        <v>58</v>
      </c>
      <c r="B72" s="2694" t="s">
        <v>3158</v>
      </c>
      <c r="C72" s="5959" t="s">
        <v>648</v>
      </c>
      <c r="D72" s="5960">
        <v>41437</v>
      </c>
      <c r="E72" s="2778"/>
      <c r="F72" s="2778"/>
      <c r="G72" s="2778"/>
      <c r="H72" s="2778"/>
      <c r="I72" s="2778"/>
      <c r="J72" s="2778"/>
      <c r="K72" s="2778"/>
      <c r="L72" s="2778"/>
      <c r="M72" s="2778"/>
      <c r="N72" s="2778"/>
      <c r="O72" s="2778"/>
      <c r="P72" s="2778"/>
      <c r="Q72" s="2778"/>
      <c r="R72" s="2778"/>
      <c r="S72" s="2778"/>
      <c r="T72" s="2778"/>
      <c r="U72" s="2778"/>
      <c r="V72" s="2778"/>
      <c r="W72" s="2778"/>
      <c r="X72" s="2778"/>
      <c r="Y72" s="2778"/>
      <c r="Z72" s="2778"/>
      <c r="AA72" s="2778"/>
      <c r="AB72" s="2783" t="s">
        <v>251</v>
      </c>
      <c r="AC72" s="2778"/>
      <c r="AD72" s="2715" t="s">
        <v>230</v>
      </c>
      <c r="AE72" s="2778"/>
      <c r="AF72" s="2778"/>
      <c r="AG72" s="2778"/>
      <c r="AH72" s="2713"/>
      <c r="AI72" s="2713"/>
      <c r="AJ72" s="2712" t="s">
        <v>604</v>
      </c>
      <c r="AK72" s="2713"/>
      <c r="AL72" s="2713"/>
      <c r="AM72" s="2713"/>
      <c r="AN72" s="2713"/>
      <c r="AO72" s="2713"/>
      <c r="AP72" s="2713"/>
      <c r="AQ72" s="2713"/>
      <c r="AR72" s="2713"/>
      <c r="AS72" s="2713"/>
      <c r="AT72" s="2714"/>
      <c r="AU72" s="2713"/>
      <c r="AV72" s="2713"/>
      <c r="AW72" s="2714"/>
      <c r="AX72" s="2713"/>
      <c r="AY72" s="2713"/>
      <c r="AZ72" s="2713"/>
      <c r="BA72" s="2713"/>
      <c r="BB72" s="2713"/>
      <c r="BC72" s="3904"/>
      <c r="BD72" s="2713"/>
      <c r="BE72" s="2713"/>
      <c r="BF72" s="2713"/>
      <c r="BG72" s="2713"/>
      <c r="BH72" s="2713"/>
      <c r="BI72" s="2713"/>
      <c r="BJ72" s="2738" t="s">
        <v>3089</v>
      </c>
      <c r="BK72" s="2713"/>
      <c r="BL72" s="2713"/>
      <c r="BM72" s="2713"/>
      <c r="BN72" s="2713"/>
      <c r="BO72" s="2713"/>
      <c r="BP72" s="2780"/>
      <c r="BQ72" s="2780">
        <v>1</v>
      </c>
      <c r="BR72" s="2780">
        <v>1</v>
      </c>
      <c r="BS72" s="2780">
        <v>1</v>
      </c>
      <c r="BT72" s="2780">
        <v>1</v>
      </c>
      <c r="BU72" s="2780">
        <v>1</v>
      </c>
      <c r="BV72" s="2780">
        <v>1</v>
      </c>
      <c r="BW72" s="2780">
        <v>1</v>
      </c>
      <c r="BX72" s="2780"/>
      <c r="BY72" s="2780"/>
      <c r="BZ72" s="2780"/>
      <c r="CA72" s="2780"/>
      <c r="CB72" s="2780">
        <v>1</v>
      </c>
      <c r="CC72" s="2780">
        <v>1</v>
      </c>
    </row>
    <row r="73" spans="1:81" ht="29.25" customHeight="1">
      <c r="A73" s="162">
        <v>59</v>
      </c>
      <c r="B73" s="2694" t="s">
        <v>3121</v>
      </c>
      <c r="C73" s="5987" t="s">
        <v>2144</v>
      </c>
      <c r="D73" s="5988">
        <v>43258</v>
      </c>
      <c r="E73" s="2778"/>
      <c r="F73" s="2778"/>
      <c r="G73" s="2778"/>
      <c r="H73" s="2778"/>
      <c r="I73" s="2778"/>
      <c r="J73" s="2778"/>
      <c r="K73" s="2778"/>
      <c r="L73" s="2778"/>
      <c r="M73" s="2778"/>
      <c r="N73" s="2778"/>
      <c r="O73" s="2778"/>
      <c r="P73" s="2778"/>
      <c r="Q73" s="2778"/>
      <c r="R73" s="2778"/>
      <c r="S73" s="2778"/>
      <c r="T73" s="2778"/>
      <c r="U73" s="2778"/>
      <c r="V73" s="2778"/>
      <c r="W73" s="2778"/>
      <c r="X73" s="2778"/>
      <c r="Y73" s="2778"/>
      <c r="Z73" s="2778"/>
      <c r="AA73" s="2778"/>
      <c r="AB73" s="2778"/>
      <c r="AC73" s="2778"/>
      <c r="AD73" s="2778"/>
      <c r="AE73" s="2778"/>
      <c r="AF73" s="2778"/>
      <c r="AG73" s="2783" t="s">
        <v>1511</v>
      </c>
      <c r="AH73" s="2713"/>
      <c r="AI73" s="2713"/>
      <c r="AJ73" s="2713"/>
      <c r="AK73" s="2713"/>
      <c r="AL73" s="2713"/>
      <c r="AM73" s="2713"/>
      <c r="AN73" s="2713"/>
      <c r="AO73" s="2713"/>
      <c r="AP73" s="2712" t="s">
        <v>1512</v>
      </c>
      <c r="AQ73" s="2713"/>
      <c r="AR73" s="2713"/>
      <c r="AS73" s="2713"/>
      <c r="AT73" s="2714"/>
      <c r="AU73" s="2713"/>
      <c r="AV73" s="2713"/>
      <c r="AW73" s="2714"/>
      <c r="AX73" s="2713"/>
      <c r="AY73" s="2715" t="s">
        <v>2354</v>
      </c>
      <c r="AZ73" s="2713"/>
      <c r="BA73" s="2713"/>
      <c r="BB73" s="2713"/>
      <c r="BC73" s="3904"/>
      <c r="BD73" s="2713"/>
      <c r="BE73" s="2713"/>
      <c r="BF73" s="2713"/>
      <c r="BG73" s="2713"/>
      <c r="BH73" s="2713"/>
      <c r="BI73" s="2713"/>
      <c r="BJ73" s="2713"/>
      <c r="BK73" s="2713"/>
      <c r="BL73" s="2713"/>
      <c r="BM73" s="2713"/>
      <c r="BN73" s="2713"/>
      <c r="BO73" s="2713"/>
      <c r="BP73" s="2780"/>
      <c r="BQ73" s="2780"/>
      <c r="BR73" s="2780">
        <v>1</v>
      </c>
      <c r="BS73" s="2780">
        <v>1</v>
      </c>
      <c r="BT73" s="2780">
        <v>1</v>
      </c>
      <c r="BU73" s="2780">
        <v>1</v>
      </c>
      <c r="BV73" s="2780">
        <v>1</v>
      </c>
      <c r="BW73" s="2780">
        <v>1</v>
      </c>
      <c r="BX73" s="2780">
        <v>1</v>
      </c>
      <c r="BY73" s="2780">
        <v>1</v>
      </c>
      <c r="BZ73" s="2780">
        <v>1</v>
      </c>
      <c r="CA73" s="2780">
        <v>1</v>
      </c>
      <c r="CB73" s="2780">
        <v>1</v>
      </c>
      <c r="CC73" s="2780"/>
    </row>
    <row r="74" spans="1:81" ht="28.8">
      <c r="A74" s="162">
        <v>60</v>
      </c>
      <c r="B74" s="2694" t="s">
        <v>3159</v>
      </c>
      <c r="C74" s="5987" t="s">
        <v>2144</v>
      </c>
      <c r="D74" s="5988">
        <v>43258</v>
      </c>
      <c r="E74" s="2778"/>
      <c r="F74" s="2778"/>
      <c r="G74" s="2778"/>
      <c r="H74" s="2778"/>
      <c r="I74" s="2778"/>
      <c r="J74" s="2778"/>
      <c r="K74" s="2778"/>
      <c r="L74" s="2778"/>
      <c r="M74" s="2778"/>
      <c r="N74" s="2778"/>
      <c r="O74" s="2778"/>
      <c r="P74" s="2778"/>
      <c r="Q74" s="2778"/>
      <c r="R74" s="2778"/>
      <c r="S74" s="2778"/>
      <c r="T74" s="2778"/>
      <c r="U74" s="2778"/>
      <c r="V74" s="2778"/>
      <c r="W74" s="2778"/>
      <c r="X74" s="2778"/>
      <c r="Y74" s="2778"/>
      <c r="Z74" s="2778"/>
      <c r="AA74" s="2778"/>
      <c r="AB74" s="2778"/>
      <c r="AC74" s="2778"/>
      <c r="AD74" s="2778"/>
      <c r="AE74" s="2778"/>
      <c r="AF74" s="2778"/>
      <c r="AG74" s="2783" t="s">
        <v>1511</v>
      </c>
      <c r="AH74" s="2713"/>
      <c r="AI74" s="2713"/>
      <c r="AJ74" s="2713"/>
      <c r="AK74" s="2713"/>
      <c r="AL74" s="2713"/>
      <c r="AM74" s="2713"/>
      <c r="AN74" s="2713"/>
      <c r="AO74" s="2713"/>
      <c r="AP74" s="3340" t="s">
        <v>1512</v>
      </c>
      <c r="AQ74" s="2713"/>
      <c r="AR74" s="2713"/>
      <c r="AS74" s="2713"/>
      <c r="AT74" s="2714"/>
      <c r="AU74" s="2713"/>
      <c r="AV74" s="2713"/>
      <c r="AW74" s="2714"/>
      <c r="AX74" s="2713"/>
      <c r="AY74" s="2715" t="s">
        <v>2354</v>
      </c>
      <c r="AZ74" s="2713"/>
      <c r="BA74" s="2713"/>
      <c r="BB74" s="2713"/>
      <c r="BC74" s="3904"/>
      <c r="BD74" s="2713"/>
      <c r="BE74" s="2713"/>
      <c r="BF74" s="2713"/>
      <c r="BG74" s="2713"/>
      <c r="BH74" s="2713"/>
      <c r="BI74" s="2713"/>
      <c r="BJ74" s="2713"/>
      <c r="BK74" s="2713"/>
      <c r="BL74" s="2713"/>
      <c r="BM74" s="2713"/>
      <c r="BN74" s="2713"/>
      <c r="BO74" s="2713"/>
      <c r="BP74" s="2780"/>
      <c r="BQ74" s="2780"/>
      <c r="BR74" s="2780">
        <v>1</v>
      </c>
      <c r="BS74" s="2780">
        <v>1</v>
      </c>
      <c r="BT74" s="2780">
        <v>1</v>
      </c>
      <c r="BU74" s="2780">
        <v>1</v>
      </c>
      <c r="BV74" s="2780">
        <v>1</v>
      </c>
      <c r="BW74" s="2780"/>
      <c r="BX74" s="2780">
        <v>1</v>
      </c>
      <c r="BY74" s="2780">
        <v>1</v>
      </c>
      <c r="BZ74" s="2780">
        <v>1</v>
      </c>
      <c r="CA74" s="2780">
        <v>1</v>
      </c>
      <c r="CB74" s="2780">
        <v>1</v>
      </c>
      <c r="CC74" s="2780"/>
    </row>
    <row r="75" spans="1:81" ht="29.25" customHeight="1">
      <c r="A75" s="162">
        <v>61</v>
      </c>
      <c r="B75" s="2799" t="s">
        <v>3122</v>
      </c>
      <c r="C75" s="5987" t="s">
        <v>1487</v>
      </c>
      <c r="D75" s="5988">
        <v>42355</v>
      </c>
      <c r="E75" s="2778"/>
      <c r="F75" s="2778"/>
      <c r="G75" s="2778"/>
      <c r="H75" s="2778"/>
      <c r="I75" s="2778"/>
      <c r="J75" s="2778"/>
      <c r="K75" s="2778"/>
      <c r="L75" s="2778"/>
      <c r="M75" s="2778"/>
      <c r="N75" s="2778"/>
      <c r="O75" s="2778"/>
      <c r="P75" s="2778"/>
      <c r="Q75" s="2778"/>
      <c r="R75" s="2778"/>
      <c r="S75" s="2778"/>
      <c r="T75" s="2778"/>
      <c r="U75" s="2778"/>
      <c r="V75" s="2778"/>
      <c r="W75" s="2778"/>
      <c r="X75" s="2778"/>
      <c r="Y75" s="2778"/>
      <c r="Z75" s="2778"/>
      <c r="AA75" s="2778"/>
      <c r="AB75" s="2778"/>
      <c r="AC75" s="2778"/>
      <c r="AD75" s="2778"/>
      <c r="AE75" s="2778"/>
      <c r="AF75" s="2778"/>
      <c r="AG75" s="2778"/>
      <c r="AH75" s="2713"/>
      <c r="AI75" s="2713"/>
      <c r="AJ75" s="2713"/>
      <c r="AK75" s="2713"/>
      <c r="AL75" s="2713"/>
      <c r="AM75" s="2713"/>
      <c r="AN75" s="2713"/>
      <c r="AO75" s="2713"/>
      <c r="AP75" s="2713"/>
      <c r="AQ75" s="2783" t="s">
        <v>1711</v>
      </c>
      <c r="AR75" s="2713"/>
      <c r="AS75" s="2713"/>
      <c r="AT75" s="2714"/>
      <c r="AU75" s="2713"/>
      <c r="AV75" s="2713"/>
      <c r="AW75" s="2714"/>
      <c r="AX75" s="2713"/>
      <c r="AY75" s="2713"/>
      <c r="AZ75" s="2713"/>
      <c r="BA75" s="2713"/>
      <c r="BB75" s="2713"/>
      <c r="BC75" s="3904"/>
      <c r="BD75" s="2713"/>
      <c r="BE75" s="2713"/>
      <c r="BF75" s="2713"/>
      <c r="BG75" s="2713"/>
      <c r="BH75" s="2713"/>
      <c r="BI75" s="2713"/>
      <c r="BJ75" s="2713"/>
      <c r="BK75" s="2713"/>
      <c r="BL75" s="2713"/>
      <c r="BM75" s="2713"/>
      <c r="BN75" s="2713"/>
      <c r="BO75" s="2713"/>
      <c r="BP75" s="2780"/>
      <c r="BQ75" s="2780"/>
      <c r="BR75" s="2780"/>
      <c r="BS75" s="2780"/>
      <c r="BT75" s="2780"/>
      <c r="BU75" s="2780"/>
      <c r="BV75" s="2780">
        <v>1</v>
      </c>
      <c r="BW75" s="2780">
        <v>1</v>
      </c>
      <c r="BX75" s="2780">
        <v>1</v>
      </c>
      <c r="BY75" s="2780">
        <v>1</v>
      </c>
      <c r="BZ75" s="2780"/>
      <c r="CA75" s="2780"/>
      <c r="CB75" s="2780"/>
      <c r="CC75" s="2780"/>
    </row>
    <row r="76" spans="1:81" ht="29.25" customHeight="1">
      <c r="B76" s="2794" t="s">
        <v>345</v>
      </c>
      <c r="C76" s="5985"/>
      <c r="D76" s="2794"/>
      <c r="E76" s="2795"/>
      <c r="F76" s="2795"/>
      <c r="G76" s="2795"/>
      <c r="H76" s="2795"/>
      <c r="I76" s="2795"/>
      <c r="J76" s="2795"/>
      <c r="K76" s="2795"/>
      <c r="L76" s="2795"/>
      <c r="M76" s="2795"/>
      <c r="N76" s="2795"/>
      <c r="O76" s="2795"/>
      <c r="P76" s="2795"/>
      <c r="Q76" s="2795"/>
      <c r="R76" s="2795"/>
      <c r="S76" s="2795"/>
      <c r="T76" s="2795"/>
      <c r="U76" s="2795"/>
      <c r="V76" s="2795"/>
      <c r="W76" s="2795"/>
      <c r="X76" s="2795"/>
      <c r="Y76" s="2795"/>
      <c r="Z76" s="2795"/>
      <c r="AA76" s="2795"/>
      <c r="AB76" s="2795"/>
      <c r="AC76" s="2795"/>
      <c r="AD76" s="2795"/>
      <c r="AE76" s="2795"/>
      <c r="AF76" s="2795"/>
      <c r="AG76" s="2795"/>
      <c r="AH76" s="2796"/>
      <c r="AI76" s="2796"/>
      <c r="AJ76" s="2796"/>
      <c r="AK76" s="2796"/>
      <c r="AL76" s="2796"/>
      <c r="AM76" s="2796"/>
      <c r="AN76" s="2796"/>
      <c r="AO76" s="2796"/>
      <c r="AP76" s="2796"/>
      <c r="AQ76" s="2796"/>
      <c r="AR76" s="4879"/>
      <c r="AS76" s="4879"/>
      <c r="AT76" s="4879"/>
      <c r="AU76" s="5986"/>
      <c r="AV76" s="4879"/>
      <c r="AW76" s="4879"/>
      <c r="AX76" s="4879"/>
      <c r="AY76" s="4879"/>
      <c r="AZ76" s="4879"/>
      <c r="BA76" s="4879"/>
      <c r="BB76" s="4879"/>
      <c r="BC76" s="4879"/>
      <c r="BD76" s="4879"/>
      <c r="BE76" s="4879"/>
      <c r="BF76" s="4879"/>
      <c r="BG76" s="4879"/>
      <c r="BH76" s="4879"/>
      <c r="BI76" s="4879"/>
      <c r="BJ76" s="4879"/>
      <c r="BK76" s="4879"/>
      <c r="BL76" s="4879"/>
      <c r="BM76" s="4879"/>
      <c r="BN76" s="4879"/>
      <c r="BO76" s="4879"/>
      <c r="BP76" s="4879"/>
      <c r="BQ76" s="4879"/>
      <c r="BR76" s="2797"/>
      <c r="BS76" s="2797"/>
      <c r="BT76" s="2797"/>
      <c r="BU76" s="2797"/>
      <c r="BV76" s="2797"/>
      <c r="BW76" s="2797"/>
      <c r="BX76" s="2797"/>
      <c r="BY76" s="2797"/>
      <c r="BZ76" s="2797"/>
      <c r="CA76" s="2797"/>
      <c r="CB76" s="2797"/>
      <c r="CC76" s="2797"/>
    </row>
    <row r="77" spans="1:81" ht="29.25" customHeight="1">
      <c r="A77" s="162">
        <f>+A75+1</f>
        <v>62</v>
      </c>
      <c r="B77" s="2694" t="s">
        <v>656</v>
      </c>
      <c r="C77" s="5959" t="s">
        <v>2150</v>
      </c>
      <c r="D77" s="5960" t="s">
        <v>2868</v>
      </c>
      <c r="E77" s="2800"/>
      <c r="F77" s="2778"/>
      <c r="G77" s="2778"/>
      <c r="H77" s="2778"/>
      <c r="I77" s="2778"/>
      <c r="J77" s="2778"/>
      <c r="K77" s="2778"/>
      <c r="L77" s="2778"/>
      <c r="M77" s="2778"/>
      <c r="N77" s="2778"/>
      <c r="O77" s="2778"/>
      <c r="P77" s="2778"/>
      <c r="Q77" s="2778"/>
      <c r="R77" s="2715" t="s">
        <v>229</v>
      </c>
      <c r="S77" s="2778"/>
      <c r="T77" s="2778"/>
      <c r="U77" s="2778"/>
      <c r="V77" s="2778"/>
      <c r="W77" s="2778"/>
      <c r="X77" s="2778"/>
      <c r="Y77" s="2778"/>
      <c r="Z77" s="2778"/>
      <c r="AA77" s="2778"/>
      <c r="AB77" s="2715" t="s">
        <v>232</v>
      </c>
      <c r="AC77" s="2778"/>
      <c r="AD77" s="2778"/>
      <c r="AE77" s="2778"/>
      <c r="AF77" s="2778"/>
      <c r="AG77" s="2712" t="s">
        <v>464</v>
      </c>
      <c r="AH77" s="2778"/>
      <c r="AI77" s="2712" t="s">
        <v>602</v>
      </c>
      <c r="AJ77" s="2713"/>
      <c r="AK77" s="2713"/>
      <c r="AL77" s="2713"/>
      <c r="AM77" s="2712" t="s">
        <v>688</v>
      </c>
      <c r="AN77" s="2713"/>
      <c r="AO77" s="2713"/>
      <c r="AP77" s="2713"/>
      <c r="AQ77" s="2713"/>
      <c r="AR77" s="2713"/>
      <c r="AS77" s="2713"/>
      <c r="AT77" s="2714"/>
      <c r="AU77" s="2713"/>
      <c r="AV77" s="2712" t="s">
        <v>2155</v>
      </c>
      <c r="AW77" s="2714"/>
      <c r="AX77" s="2713"/>
      <c r="AY77" s="2713"/>
      <c r="AZ77" s="2713"/>
      <c r="BA77" s="2713"/>
      <c r="BB77" s="2713"/>
      <c r="BC77" s="3904"/>
      <c r="BD77" s="2713"/>
      <c r="BE77" s="2713"/>
      <c r="BF77" s="2713"/>
      <c r="BG77" s="2713"/>
      <c r="BH77" s="2713"/>
      <c r="BI77" s="2713"/>
      <c r="BJ77" s="2738" t="s">
        <v>3088</v>
      </c>
      <c r="BK77" s="2713"/>
      <c r="BL77" s="2713"/>
      <c r="BM77" s="2713"/>
      <c r="BN77" s="2713"/>
      <c r="BO77" s="2713"/>
      <c r="BP77" s="2780">
        <v>1</v>
      </c>
      <c r="BQ77" s="2780">
        <v>1</v>
      </c>
      <c r="BR77" s="2780">
        <v>1</v>
      </c>
      <c r="BS77" s="2780">
        <v>1</v>
      </c>
      <c r="BT77" s="2780">
        <v>1</v>
      </c>
      <c r="BU77" s="2780">
        <v>1</v>
      </c>
      <c r="BV77" s="2780">
        <v>1</v>
      </c>
      <c r="BW77" s="2780">
        <v>1</v>
      </c>
      <c r="BX77" s="2780">
        <v>1</v>
      </c>
      <c r="BY77" s="2780">
        <v>1</v>
      </c>
      <c r="BZ77" s="2780">
        <v>1</v>
      </c>
      <c r="CA77" s="2780">
        <v>1</v>
      </c>
      <c r="CB77" s="2780">
        <v>1</v>
      </c>
      <c r="CC77" s="2780">
        <v>1</v>
      </c>
    </row>
    <row r="78" spans="1:81" ht="29.25" customHeight="1">
      <c r="A78" s="162">
        <f>+A77+1</f>
        <v>63</v>
      </c>
      <c r="B78" s="2694" t="s">
        <v>657</v>
      </c>
      <c r="C78" s="5959" t="s">
        <v>2150</v>
      </c>
      <c r="D78" s="5960" t="s">
        <v>2868</v>
      </c>
      <c r="E78" s="2800"/>
      <c r="F78" s="2778"/>
      <c r="G78" s="2778"/>
      <c r="H78" s="2778"/>
      <c r="I78" s="2778"/>
      <c r="J78" s="2778"/>
      <c r="K78" s="2778"/>
      <c r="L78" s="2778"/>
      <c r="M78" s="2778"/>
      <c r="N78" s="2778"/>
      <c r="O78" s="2778"/>
      <c r="P78" s="2778"/>
      <c r="Q78" s="2778"/>
      <c r="R78" s="2715" t="s">
        <v>229</v>
      </c>
      <c r="S78" s="2778"/>
      <c r="T78" s="2778"/>
      <c r="U78" s="2778"/>
      <c r="V78" s="2778"/>
      <c r="W78" s="2778"/>
      <c r="X78" s="2778"/>
      <c r="Y78" s="2778"/>
      <c r="Z78" s="2778"/>
      <c r="AA78" s="2778"/>
      <c r="AB78" s="2715" t="s">
        <v>232</v>
      </c>
      <c r="AC78" s="2778"/>
      <c r="AD78" s="2778"/>
      <c r="AE78" s="2778"/>
      <c r="AF78" s="2778"/>
      <c r="AG78" s="2712" t="s">
        <v>464</v>
      </c>
      <c r="AH78" s="2778"/>
      <c r="AI78" s="2712" t="s">
        <v>602</v>
      </c>
      <c r="AJ78" s="2713"/>
      <c r="AK78" s="2713"/>
      <c r="AL78" s="2713"/>
      <c r="AM78" s="2712" t="s">
        <v>688</v>
      </c>
      <c r="AN78" s="2713"/>
      <c r="AO78" s="2713"/>
      <c r="AP78" s="2713"/>
      <c r="AQ78" s="2713"/>
      <c r="AR78" s="2713"/>
      <c r="AS78" s="2713"/>
      <c r="AT78" s="2714"/>
      <c r="AU78" s="2713"/>
      <c r="AV78" s="2738" t="s">
        <v>2155</v>
      </c>
      <c r="AW78" s="2714"/>
      <c r="AX78" s="2713"/>
      <c r="AY78" s="2713"/>
      <c r="AZ78" s="2713"/>
      <c r="BA78" s="2713"/>
      <c r="BB78" s="2713"/>
      <c r="BC78" s="3904"/>
      <c r="BD78" s="2713"/>
      <c r="BE78" s="2713"/>
      <c r="BF78" s="2713"/>
      <c r="BG78" s="2713"/>
      <c r="BH78" s="2713"/>
      <c r="BI78" s="2713"/>
      <c r="BJ78" s="2738" t="s">
        <v>3088</v>
      </c>
      <c r="BK78" s="2713"/>
      <c r="BL78" s="2713"/>
      <c r="BM78" s="2713"/>
      <c r="BN78" s="2713"/>
      <c r="BO78" s="2713"/>
      <c r="BP78" s="2780">
        <v>1</v>
      </c>
      <c r="BQ78" s="2780">
        <v>1</v>
      </c>
      <c r="BR78" s="2780">
        <v>1</v>
      </c>
      <c r="BS78" s="2780">
        <v>1</v>
      </c>
      <c r="BT78" s="2780">
        <v>1</v>
      </c>
      <c r="BU78" s="2780">
        <v>1</v>
      </c>
      <c r="BV78" s="2780">
        <v>1</v>
      </c>
      <c r="BW78" s="2780">
        <v>1</v>
      </c>
      <c r="BX78" s="2780">
        <v>1</v>
      </c>
      <c r="BY78" s="2780">
        <v>1</v>
      </c>
      <c r="BZ78" s="2780">
        <v>1</v>
      </c>
      <c r="CA78" s="2780">
        <v>1</v>
      </c>
      <c r="CB78" s="2780">
        <v>1</v>
      </c>
      <c r="CC78" s="2780">
        <v>1</v>
      </c>
    </row>
    <row r="79" spans="1:81" ht="29.25" customHeight="1">
      <c r="A79" s="162">
        <f>+A78+1</f>
        <v>64</v>
      </c>
      <c r="B79" s="2694" t="s">
        <v>280</v>
      </c>
      <c r="C79" s="5959" t="s">
        <v>2150</v>
      </c>
      <c r="D79" s="5960" t="s">
        <v>2868</v>
      </c>
      <c r="E79" s="2800"/>
      <c r="F79" s="2778"/>
      <c r="G79" s="2778"/>
      <c r="H79" s="2778"/>
      <c r="I79" s="2778"/>
      <c r="J79" s="2778"/>
      <c r="K79" s="2778"/>
      <c r="L79" s="2778"/>
      <c r="M79" s="2778"/>
      <c r="N79" s="2778"/>
      <c r="O79" s="2778"/>
      <c r="P79" s="2778"/>
      <c r="Q79" s="2778"/>
      <c r="R79" s="2715" t="s">
        <v>229</v>
      </c>
      <c r="S79" s="2778"/>
      <c r="T79" s="2778"/>
      <c r="U79" s="2778"/>
      <c r="V79" s="2778"/>
      <c r="W79" s="2778"/>
      <c r="X79" s="2778"/>
      <c r="Y79" s="2778"/>
      <c r="Z79" s="2778"/>
      <c r="AA79" s="2778"/>
      <c r="AB79" s="2715" t="s">
        <v>232</v>
      </c>
      <c r="AC79" s="2778"/>
      <c r="AD79" s="2778"/>
      <c r="AE79" s="2778"/>
      <c r="AF79" s="2778"/>
      <c r="AG79" s="2712" t="s">
        <v>464</v>
      </c>
      <c r="AH79" s="2778"/>
      <c r="AI79" s="2712" t="s">
        <v>602</v>
      </c>
      <c r="AJ79" s="2713"/>
      <c r="AK79" s="2713"/>
      <c r="AL79" s="2713"/>
      <c r="AM79" s="2712" t="s">
        <v>688</v>
      </c>
      <c r="AN79" s="2713"/>
      <c r="AO79" s="2713"/>
      <c r="AP79" s="2713"/>
      <c r="AQ79" s="2713"/>
      <c r="AR79" s="2713"/>
      <c r="AS79" s="2713"/>
      <c r="AT79" s="2714"/>
      <c r="AU79" s="2713"/>
      <c r="AV79" s="2738" t="s">
        <v>2155</v>
      </c>
      <c r="AW79" s="2714"/>
      <c r="AX79" s="2713"/>
      <c r="AY79" s="2713"/>
      <c r="AZ79" s="2713"/>
      <c r="BA79" s="2713"/>
      <c r="BB79" s="2713"/>
      <c r="BC79" s="3904"/>
      <c r="BD79" s="2713"/>
      <c r="BE79" s="2713"/>
      <c r="BF79" s="2713"/>
      <c r="BG79" s="2713"/>
      <c r="BH79" s="2713"/>
      <c r="BI79" s="2713"/>
      <c r="BJ79" s="2738" t="s">
        <v>3088</v>
      </c>
      <c r="BK79" s="2713"/>
      <c r="BL79" s="2713"/>
      <c r="BM79" s="2713"/>
      <c r="BN79" s="2713"/>
      <c r="BO79" s="2713"/>
      <c r="BP79" s="2780">
        <v>1</v>
      </c>
      <c r="BQ79" s="2780">
        <v>1</v>
      </c>
      <c r="BR79" s="2780">
        <v>1</v>
      </c>
      <c r="BS79" s="2780">
        <v>1</v>
      </c>
      <c r="BT79" s="2780">
        <v>1</v>
      </c>
      <c r="BU79" s="2780">
        <v>1</v>
      </c>
      <c r="BV79" s="2780">
        <v>1</v>
      </c>
      <c r="BW79" s="2780">
        <v>1</v>
      </c>
      <c r="BX79" s="2780">
        <v>1</v>
      </c>
      <c r="BY79" s="2780">
        <v>1</v>
      </c>
      <c r="BZ79" s="2780">
        <v>1</v>
      </c>
      <c r="CA79" s="2780">
        <v>1</v>
      </c>
      <c r="CB79" s="2780">
        <v>1</v>
      </c>
      <c r="CC79" s="2780">
        <v>1</v>
      </c>
    </row>
    <row r="80" spans="1:81" ht="29.25" customHeight="1">
      <c r="A80" s="162">
        <f>+A79+1</f>
        <v>65</v>
      </c>
      <c r="B80" s="2694" t="s">
        <v>275</v>
      </c>
      <c r="C80" s="5959" t="s">
        <v>600</v>
      </c>
      <c r="D80" s="5960">
        <v>41333</v>
      </c>
      <c r="E80" s="2778"/>
      <c r="F80" s="2778"/>
      <c r="G80" s="2778"/>
      <c r="H80" s="2778"/>
      <c r="I80" s="2778"/>
      <c r="J80" s="2715" t="s">
        <v>206</v>
      </c>
      <c r="K80" s="2778"/>
      <c r="L80" s="2778"/>
      <c r="M80" s="2778"/>
      <c r="N80" s="2778"/>
      <c r="O80" s="2778"/>
      <c r="P80" s="2778"/>
      <c r="Q80" s="2778"/>
      <c r="R80" s="2778"/>
      <c r="S80" s="2778"/>
      <c r="T80" s="2778"/>
      <c r="U80" s="2778"/>
      <c r="V80" s="2778"/>
      <c r="W80" s="2778"/>
      <c r="X80" s="2778"/>
      <c r="Y80" s="2778"/>
      <c r="Z80" s="2778"/>
      <c r="AA80" s="2778"/>
      <c r="AB80" s="2715" t="s">
        <v>232</v>
      </c>
      <c r="AC80" s="2778"/>
      <c r="AD80" s="2778"/>
      <c r="AE80" s="2778"/>
      <c r="AF80" s="2778"/>
      <c r="AG80" s="2778"/>
      <c r="AH80" s="2713"/>
      <c r="AI80" s="2712" t="s">
        <v>602</v>
      </c>
      <c r="AJ80" s="2713"/>
      <c r="AK80" s="2713"/>
      <c r="AL80" s="2713"/>
      <c r="AM80" s="2713"/>
      <c r="AN80" s="2713"/>
      <c r="AO80" s="2713"/>
      <c r="AP80" s="2713"/>
      <c r="AQ80" s="2713"/>
      <c r="AR80" s="2713"/>
      <c r="AS80" s="2713"/>
      <c r="AT80" s="2714"/>
      <c r="AU80" s="2713"/>
      <c r="AV80" s="2713"/>
      <c r="AW80" s="2714"/>
      <c r="AX80" s="2713"/>
      <c r="AY80" s="2713"/>
      <c r="AZ80" s="2713"/>
      <c r="BA80" s="2713"/>
      <c r="BB80" s="2713"/>
      <c r="BC80" s="3904"/>
      <c r="BD80" s="2713"/>
      <c r="BE80" s="2713"/>
      <c r="BF80" s="2713"/>
      <c r="BG80" s="2713"/>
      <c r="BH80" s="2713"/>
      <c r="BI80" s="2713"/>
      <c r="BJ80" s="2713"/>
      <c r="BK80" s="2713"/>
      <c r="BL80" s="2713"/>
      <c r="BM80" s="2713"/>
      <c r="BN80" s="2713"/>
      <c r="BO80" s="2713"/>
      <c r="BP80" s="2780"/>
      <c r="BQ80" s="2780">
        <v>1</v>
      </c>
      <c r="BR80" s="2780">
        <v>1</v>
      </c>
      <c r="BS80" s="2780">
        <v>1</v>
      </c>
      <c r="BT80" s="2780">
        <v>1</v>
      </c>
      <c r="BU80" s="2780">
        <v>1</v>
      </c>
      <c r="BV80" s="2780">
        <v>1</v>
      </c>
      <c r="BW80" s="2780">
        <v>1</v>
      </c>
      <c r="BX80" s="2780"/>
      <c r="BY80" s="2780"/>
      <c r="BZ80" s="2780"/>
      <c r="CA80" s="2780"/>
      <c r="CB80" s="2780"/>
      <c r="CC80" s="2780"/>
    </row>
    <row r="81" spans="1:81" ht="29.25" customHeight="1">
      <c r="A81" s="162">
        <f t="shared" ref="A81:A87" si="4">+A80+1</f>
        <v>66</v>
      </c>
      <c r="B81" s="2694" t="s">
        <v>3137</v>
      </c>
      <c r="C81" s="5959" t="s">
        <v>600</v>
      </c>
      <c r="D81" s="5960">
        <v>41333</v>
      </c>
      <c r="E81" s="2778"/>
      <c r="F81" s="2778"/>
      <c r="G81" s="2778"/>
      <c r="H81" s="2778"/>
      <c r="I81" s="2778"/>
      <c r="J81" s="2715" t="s">
        <v>206</v>
      </c>
      <c r="K81" s="2778"/>
      <c r="L81" s="2778"/>
      <c r="M81" s="2778"/>
      <c r="N81" s="2778"/>
      <c r="O81" s="2778"/>
      <c r="P81" s="2778"/>
      <c r="Q81" s="2778"/>
      <c r="R81" s="2778"/>
      <c r="S81" s="2778"/>
      <c r="T81" s="2778"/>
      <c r="U81" s="2778"/>
      <c r="V81" s="2778"/>
      <c r="W81" s="2778"/>
      <c r="X81" s="2778"/>
      <c r="Y81" s="2778"/>
      <c r="Z81" s="2778"/>
      <c r="AA81" s="2778"/>
      <c r="AB81" s="2715" t="s">
        <v>232</v>
      </c>
      <c r="AC81" s="2778"/>
      <c r="AD81" s="2778"/>
      <c r="AE81" s="2778"/>
      <c r="AF81" s="2778"/>
      <c r="AG81" s="2778"/>
      <c r="AH81" s="2713"/>
      <c r="AI81" s="2712" t="s">
        <v>602</v>
      </c>
      <c r="AJ81" s="2713"/>
      <c r="AK81" s="2713"/>
      <c r="AL81" s="2713"/>
      <c r="AM81" s="2713"/>
      <c r="AN81" s="2713"/>
      <c r="AO81" s="2713"/>
      <c r="AP81" s="2713"/>
      <c r="AQ81" s="2713"/>
      <c r="AR81" s="2713"/>
      <c r="AS81" s="2713"/>
      <c r="AT81" s="2714"/>
      <c r="AU81" s="2713"/>
      <c r="AV81" s="2713"/>
      <c r="AW81" s="2714"/>
      <c r="AX81" s="2713"/>
      <c r="AY81" s="2713"/>
      <c r="AZ81" s="2713"/>
      <c r="BA81" s="2713"/>
      <c r="BB81" s="2713"/>
      <c r="BC81" s="3904"/>
      <c r="BD81" s="2713"/>
      <c r="BE81" s="2713"/>
      <c r="BF81" s="2713"/>
      <c r="BG81" s="2713"/>
      <c r="BH81" s="2713"/>
      <c r="BI81" s="2713"/>
      <c r="BJ81" s="2713"/>
      <c r="BK81" s="2713"/>
      <c r="BL81" s="2713"/>
      <c r="BM81" s="2713"/>
      <c r="BN81" s="2713"/>
      <c r="BO81" s="2713"/>
      <c r="BP81" s="2780"/>
      <c r="BQ81" s="2780">
        <v>1</v>
      </c>
      <c r="BR81" s="2780">
        <v>1</v>
      </c>
      <c r="BS81" s="2780">
        <v>1</v>
      </c>
      <c r="BT81" s="2780">
        <v>1</v>
      </c>
      <c r="BU81" s="2780">
        <v>1</v>
      </c>
      <c r="BV81" s="2780">
        <v>1</v>
      </c>
      <c r="BW81" s="2780">
        <v>1</v>
      </c>
      <c r="BX81" s="2780"/>
      <c r="BY81" s="2780"/>
      <c r="BZ81" s="2780"/>
      <c r="CA81" s="2780"/>
      <c r="CB81" s="2780"/>
      <c r="CC81" s="2780"/>
    </row>
    <row r="82" spans="1:81" ht="29.25" customHeight="1">
      <c r="A82" s="162">
        <f t="shared" si="4"/>
        <v>67</v>
      </c>
      <c r="B82" s="2694" t="s">
        <v>3138</v>
      </c>
      <c r="C82" s="5959" t="s">
        <v>2139</v>
      </c>
      <c r="D82" s="5960">
        <v>42794</v>
      </c>
      <c r="E82" s="2778"/>
      <c r="F82" s="2778"/>
      <c r="G82" s="2778"/>
      <c r="H82" s="2778"/>
      <c r="I82" s="2778"/>
      <c r="J82" s="2778"/>
      <c r="K82" s="2778"/>
      <c r="L82" s="2778"/>
      <c r="M82" s="2778"/>
      <c r="N82" s="2778"/>
      <c r="O82" s="2715" t="s">
        <v>245</v>
      </c>
      <c r="P82" s="2715" t="s">
        <v>207</v>
      </c>
      <c r="Q82" s="2778"/>
      <c r="R82" s="2778"/>
      <c r="S82" s="2715" t="s">
        <v>744</v>
      </c>
      <c r="T82" s="2698"/>
      <c r="U82" s="2778"/>
      <c r="V82" s="2778"/>
      <c r="W82" s="2778"/>
      <c r="X82" s="2778"/>
      <c r="Y82" s="2778"/>
      <c r="Z82" s="2778"/>
      <c r="AA82" s="2778"/>
      <c r="AB82" s="2715" t="s">
        <v>232</v>
      </c>
      <c r="AC82" s="2778"/>
      <c r="AD82" s="2778"/>
      <c r="AE82" s="2778"/>
      <c r="AF82" s="2778"/>
      <c r="AG82" s="2778"/>
      <c r="AH82" s="2713"/>
      <c r="AI82" s="2713"/>
      <c r="AJ82" s="2713"/>
      <c r="AK82" s="2713"/>
      <c r="AL82" s="2713"/>
      <c r="AM82" s="2782" t="s">
        <v>1513</v>
      </c>
      <c r="AN82" s="2713"/>
      <c r="AO82" s="2713"/>
      <c r="AP82" s="2713"/>
      <c r="AQ82" s="2713"/>
      <c r="AR82" s="2713"/>
      <c r="AS82" s="2713"/>
      <c r="AT82" s="2714"/>
      <c r="AU82" s="2738" t="s">
        <v>2160</v>
      </c>
      <c r="AV82" s="2713"/>
      <c r="AW82" s="2778"/>
      <c r="AX82" s="2713"/>
      <c r="AY82" s="2713"/>
      <c r="AZ82" s="2713"/>
      <c r="BA82" s="2713"/>
      <c r="BB82" s="2713"/>
      <c r="BC82" s="3904"/>
      <c r="BD82" s="2713"/>
      <c r="BE82" s="2713"/>
      <c r="BF82" s="2713"/>
      <c r="BG82" s="2713"/>
      <c r="BH82" s="2713"/>
      <c r="BI82" s="2713"/>
      <c r="BJ82" s="2713"/>
      <c r="BK82" s="2713"/>
      <c r="BL82" s="2713"/>
      <c r="BM82" s="2713"/>
      <c r="BN82" s="2713"/>
      <c r="BO82" s="2713"/>
      <c r="BP82" s="2780">
        <v>1</v>
      </c>
      <c r="BQ82" s="2780">
        <v>1</v>
      </c>
      <c r="BR82" s="2780">
        <v>1</v>
      </c>
      <c r="BS82" s="2780">
        <v>1</v>
      </c>
      <c r="BT82" s="2780">
        <v>1</v>
      </c>
      <c r="BU82" s="2780">
        <v>1</v>
      </c>
      <c r="BV82" s="2780">
        <v>1</v>
      </c>
      <c r="BW82" s="2780">
        <v>1</v>
      </c>
      <c r="BX82" s="2780">
        <v>1</v>
      </c>
      <c r="BY82" s="2780">
        <v>1</v>
      </c>
      <c r="BZ82" s="2780">
        <v>1</v>
      </c>
      <c r="CA82" s="2780">
        <v>1</v>
      </c>
      <c r="CB82" s="2780"/>
      <c r="CC82" s="2780"/>
    </row>
    <row r="83" spans="1:81" ht="29.25" customHeight="1">
      <c r="A83" s="162">
        <f t="shared" si="4"/>
        <v>68</v>
      </c>
      <c r="B83" s="2694" t="s">
        <v>3139</v>
      </c>
      <c r="C83" s="5959" t="s">
        <v>2139</v>
      </c>
      <c r="D83" s="5960">
        <v>42794</v>
      </c>
      <c r="E83" s="2778"/>
      <c r="F83" s="2778"/>
      <c r="G83" s="2778"/>
      <c r="H83" s="2778"/>
      <c r="I83" s="2778"/>
      <c r="J83" s="2778"/>
      <c r="K83" s="2778"/>
      <c r="L83" s="2778"/>
      <c r="M83" s="2778"/>
      <c r="N83" s="2778"/>
      <c r="O83" s="2715" t="s">
        <v>245</v>
      </c>
      <c r="P83" s="2715" t="s">
        <v>207</v>
      </c>
      <c r="Q83" s="2778"/>
      <c r="R83" s="2778"/>
      <c r="S83" s="2715" t="s">
        <v>744</v>
      </c>
      <c r="T83" s="2698"/>
      <c r="U83" s="2778"/>
      <c r="V83" s="2778"/>
      <c r="W83" s="2778"/>
      <c r="X83" s="2778"/>
      <c r="Y83" s="2778"/>
      <c r="Z83" s="2778"/>
      <c r="AA83" s="2778"/>
      <c r="AB83" s="2715" t="s">
        <v>232</v>
      </c>
      <c r="AC83" s="2778"/>
      <c r="AD83" s="2778"/>
      <c r="AE83" s="2778"/>
      <c r="AF83" s="2778"/>
      <c r="AG83" s="2778"/>
      <c r="AH83" s="2713"/>
      <c r="AI83" s="2713"/>
      <c r="AJ83" s="2713"/>
      <c r="AK83" s="2713"/>
      <c r="AL83" s="2713"/>
      <c r="AM83" s="2782" t="s">
        <v>1513</v>
      </c>
      <c r="AN83" s="2713"/>
      <c r="AO83" s="2713"/>
      <c r="AP83" s="2713"/>
      <c r="AQ83" s="2713"/>
      <c r="AR83" s="2713"/>
      <c r="AS83" s="2713"/>
      <c r="AT83" s="2714"/>
      <c r="AU83" s="2738" t="s">
        <v>2160</v>
      </c>
      <c r="AV83" s="2713"/>
      <c r="AW83" s="2781"/>
      <c r="AX83" s="2713"/>
      <c r="AY83" s="2713"/>
      <c r="AZ83" s="2713"/>
      <c r="BA83" s="2713"/>
      <c r="BB83" s="2713"/>
      <c r="BC83" s="3904"/>
      <c r="BD83" s="2713"/>
      <c r="BE83" s="2713"/>
      <c r="BF83" s="2713"/>
      <c r="BG83" s="2713"/>
      <c r="BH83" s="2713"/>
      <c r="BI83" s="2713"/>
      <c r="BJ83" s="2713"/>
      <c r="BK83" s="2713"/>
      <c r="BL83" s="2713"/>
      <c r="BM83" s="2713"/>
      <c r="BN83" s="2713"/>
      <c r="BO83" s="2713"/>
      <c r="BP83" s="2780">
        <v>1</v>
      </c>
      <c r="BQ83" s="2780">
        <v>1</v>
      </c>
      <c r="BR83" s="2780">
        <v>1</v>
      </c>
      <c r="BS83" s="2780">
        <v>1</v>
      </c>
      <c r="BT83" s="2780">
        <v>1</v>
      </c>
      <c r="BU83" s="2780">
        <v>1</v>
      </c>
      <c r="BV83" s="2780">
        <v>1</v>
      </c>
      <c r="BW83" s="2780">
        <v>1</v>
      </c>
      <c r="BX83" s="2780">
        <v>1</v>
      </c>
      <c r="BY83" s="2780">
        <v>1</v>
      </c>
      <c r="BZ83" s="2780">
        <v>1</v>
      </c>
      <c r="CA83" s="2780">
        <v>1</v>
      </c>
      <c r="CB83" s="2780"/>
      <c r="CC83" s="2780"/>
    </row>
    <row r="84" spans="1:81" ht="29.25" customHeight="1">
      <c r="A84" s="162">
        <f t="shared" si="4"/>
        <v>69</v>
      </c>
      <c r="B84" s="2694" t="s">
        <v>277</v>
      </c>
      <c r="C84" s="5959" t="s">
        <v>687</v>
      </c>
      <c r="D84" s="5960">
        <v>41808</v>
      </c>
      <c r="E84" s="2778"/>
      <c r="F84" s="2778"/>
      <c r="G84" s="2778"/>
      <c r="H84" s="2778"/>
      <c r="I84" s="2778"/>
      <c r="J84" s="2778"/>
      <c r="K84" s="2778"/>
      <c r="L84" s="2778"/>
      <c r="M84" s="2778"/>
      <c r="N84" s="2778"/>
      <c r="O84" s="2715"/>
      <c r="P84" s="2715"/>
      <c r="Q84" s="2778"/>
      <c r="R84" s="2778"/>
      <c r="S84" s="2715"/>
      <c r="T84" s="2698"/>
      <c r="U84" s="2778"/>
      <c r="V84" s="2778"/>
      <c r="W84" s="2778"/>
      <c r="X84" s="2778"/>
      <c r="Y84" s="2778"/>
      <c r="Z84" s="2778"/>
      <c r="AA84" s="2778"/>
      <c r="AB84" s="2715"/>
      <c r="AC84" s="2778"/>
      <c r="AD84" s="2778"/>
      <c r="AE84" s="2778"/>
      <c r="AF84" s="2778"/>
      <c r="AG84" s="2778"/>
      <c r="AH84" s="2713"/>
      <c r="AI84" s="2713"/>
      <c r="AJ84" s="2713"/>
      <c r="AK84" s="2713"/>
      <c r="AL84" s="2713"/>
      <c r="AM84" s="2715" t="s">
        <v>688</v>
      </c>
      <c r="AN84" s="2713"/>
      <c r="AO84" s="2713"/>
      <c r="AP84" s="2713"/>
      <c r="AQ84" s="2713"/>
      <c r="AR84" s="2713"/>
      <c r="AS84" s="2713"/>
      <c r="AT84" s="2714"/>
      <c r="AU84" s="2713"/>
      <c r="AV84" s="2713"/>
      <c r="AW84" s="2714"/>
      <c r="AX84" s="2713"/>
      <c r="AY84" s="2713"/>
      <c r="AZ84" s="2713"/>
      <c r="BA84" s="2713"/>
      <c r="BB84" s="2713"/>
      <c r="BC84" s="3904"/>
      <c r="BD84" s="2713"/>
      <c r="BE84" s="2713"/>
      <c r="BF84" s="2713"/>
      <c r="BG84" s="2713"/>
      <c r="BH84" s="2713"/>
      <c r="BI84" s="2713"/>
      <c r="BJ84" s="2713"/>
      <c r="BK84" s="2713"/>
      <c r="BL84" s="2713"/>
      <c r="BM84" s="2713"/>
      <c r="BN84" s="2713"/>
      <c r="BO84" s="2713"/>
      <c r="BP84" s="2780"/>
      <c r="BQ84" s="2780"/>
      <c r="BR84" s="2780"/>
      <c r="BS84" s="2780"/>
      <c r="BT84" s="2780"/>
      <c r="BU84" s="2780"/>
      <c r="BV84" s="2780"/>
      <c r="BW84" s="2780"/>
      <c r="BX84" s="2780">
        <v>1</v>
      </c>
      <c r="BY84" s="2780"/>
      <c r="BZ84" s="2780"/>
      <c r="CA84" s="2780"/>
      <c r="CB84" s="2780"/>
      <c r="CC84" s="2780"/>
    </row>
    <row r="85" spans="1:81" ht="29.25" customHeight="1">
      <c r="A85" s="162">
        <f t="shared" si="4"/>
        <v>70</v>
      </c>
      <c r="B85" s="2694" t="s">
        <v>2148</v>
      </c>
      <c r="C85" s="5959" t="s">
        <v>687</v>
      </c>
      <c r="D85" s="5960">
        <v>41808</v>
      </c>
      <c r="E85" s="2778"/>
      <c r="F85" s="2778"/>
      <c r="G85" s="2778"/>
      <c r="H85" s="2778"/>
      <c r="I85" s="2778"/>
      <c r="J85" s="2778"/>
      <c r="K85" s="2778"/>
      <c r="L85" s="2778"/>
      <c r="M85" s="2778"/>
      <c r="N85" s="2778"/>
      <c r="O85" s="2715"/>
      <c r="P85" s="2715"/>
      <c r="Q85" s="2778"/>
      <c r="R85" s="2778"/>
      <c r="S85" s="2715"/>
      <c r="T85" s="2698"/>
      <c r="U85" s="2778"/>
      <c r="V85" s="2778"/>
      <c r="W85" s="2778"/>
      <c r="X85" s="2778"/>
      <c r="Y85" s="2778"/>
      <c r="Z85" s="2778"/>
      <c r="AA85" s="2778"/>
      <c r="AB85" s="2715"/>
      <c r="AC85" s="2778"/>
      <c r="AD85" s="2778"/>
      <c r="AE85" s="2778"/>
      <c r="AF85" s="2778"/>
      <c r="AG85" s="2778"/>
      <c r="AH85" s="2713"/>
      <c r="AI85" s="2713"/>
      <c r="AJ85" s="2713"/>
      <c r="AK85" s="2713"/>
      <c r="AL85" s="2713"/>
      <c r="AM85" s="2715" t="s">
        <v>688</v>
      </c>
      <c r="AN85" s="2713"/>
      <c r="AO85" s="2713"/>
      <c r="AP85" s="2713"/>
      <c r="AQ85" s="2713"/>
      <c r="AR85" s="2713"/>
      <c r="AS85" s="2713"/>
      <c r="AT85" s="2714"/>
      <c r="AU85" s="2713"/>
      <c r="AV85" s="2713"/>
      <c r="AW85" s="2714"/>
      <c r="AX85" s="2713"/>
      <c r="AY85" s="2713"/>
      <c r="AZ85" s="2713"/>
      <c r="BA85" s="2713"/>
      <c r="BB85" s="2713"/>
      <c r="BC85" s="3904"/>
      <c r="BD85" s="2713"/>
      <c r="BE85" s="2713"/>
      <c r="BF85" s="2713"/>
      <c r="BG85" s="2713"/>
      <c r="BH85" s="2713"/>
      <c r="BI85" s="2713"/>
      <c r="BJ85" s="2713"/>
      <c r="BK85" s="2713"/>
      <c r="BL85" s="2713"/>
      <c r="BM85" s="2713"/>
      <c r="BN85" s="2713"/>
      <c r="BO85" s="2713"/>
      <c r="BP85" s="2780"/>
      <c r="BQ85" s="2780"/>
      <c r="BR85" s="2780"/>
      <c r="BS85" s="2780"/>
      <c r="BT85" s="2780"/>
      <c r="BU85" s="2780"/>
      <c r="BV85" s="2780"/>
      <c r="BW85" s="2780"/>
      <c r="BX85" s="2780">
        <v>1</v>
      </c>
      <c r="BY85" s="2780"/>
      <c r="BZ85" s="2780"/>
      <c r="CA85" s="2780"/>
      <c r="CB85" s="2780"/>
      <c r="CC85" s="2780"/>
    </row>
    <row r="86" spans="1:81" ht="29.25" customHeight="1">
      <c r="A86" s="162">
        <f t="shared" si="4"/>
        <v>71</v>
      </c>
      <c r="B86" s="2694" t="s">
        <v>2146</v>
      </c>
      <c r="C86" s="5959" t="s">
        <v>2820</v>
      </c>
      <c r="D86" s="5960">
        <v>44416</v>
      </c>
      <c r="E86" s="2778"/>
      <c r="F86" s="2778"/>
      <c r="G86" s="2778"/>
      <c r="H86" s="2778"/>
      <c r="I86" s="2778"/>
      <c r="J86" s="2778"/>
      <c r="K86" s="2778"/>
      <c r="L86" s="2778"/>
      <c r="M86" s="2778"/>
      <c r="N86" s="2778"/>
      <c r="O86" s="2715"/>
      <c r="P86" s="2715"/>
      <c r="Q86" s="2778"/>
      <c r="R86" s="2778"/>
      <c r="S86" s="2715"/>
      <c r="T86" s="2698"/>
      <c r="U86" s="2778"/>
      <c r="V86" s="2778"/>
      <c r="W86" s="2778"/>
      <c r="X86" s="2778"/>
      <c r="Y86" s="2778"/>
      <c r="Z86" s="2778"/>
      <c r="AA86" s="2778"/>
      <c r="AB86" s="2715"/>
      <c r="AC86" s="2778"/>
      <c r="AD86" s="2778"/>
      <c r="AE86" s="2778"/>
      <c r="AF86" s="2778"/>
      <c r="AG86" s="2778"/>
      <c r="AH86" s="2713"/>
      <c r="AI86" s="2713"/>
      <c r="AJ86" s="2713"/>
      <c r="AK86" s="2713"/>
      <c r="AL86" s="2713"/>
      <c r="AM86" s="2778"/>
      <c r="AN86" s="2713"/>
      <c r="AO86" s="2713"/>
      <c r="AP86" s="2713"/>
      <c r="AQ86" s="2713"/>
      <c r="AR86" s="2713"/>
      <c r="AS86" s="2713"/>
      <c r="AT86" s="5989" t="s">
        <v>1712</v>
      </c>
      <c r="AU86" s="2778"/>
      <c r="AV86" s="2778"/>
      <c r="AW86" s="2784"/>
      <c r="AX86" s="2778"/>
      <c r="AY86" s="2778"/>
      <c r="AZ86" s="2778"/>
      <c r="BA86" s="2778"/>
      <c r="BB86" s="2778"/>
      <c r="BC86" s="3907"/>
      <c r="BD86" s="2778"/>
      <c r="BE86" s="2778"/>
      <c r="BF86" s="2778"/>
      <c r="BG86" s="2778"/>
      <c r="BH86" s="2738" t="s">
        <v>2821</v>
      </c>
      <c r="BI86" s="2713"/>
      <c r="BJ86" s="2713"/>
      <c r="BK86" s="2713"/>
      <c r="BL86" s="2713"/>
      <c r="BM86" s="2713"/>
      <c r="BN86" s="2713"/>
      <c r="BO86" s="2713"/>
      <c r="BP86" s="2780"/>
      <c r="BQ86" s="2780"/>
      <c r="BR86" s="2780"/>
      <c r="BS86" s="2780"/>
      <c r="BT86" s="2780"/>
      <c r="BU86" s="2780"/>
      <c r="BV86" s="2780">
        <v>1</v>
      </c>
      <c r="BW86" s="2780">
        <v>1</v>
      </c>
      <c r="BX86" s="2780">
        <v>1</v>
      </c>
      <c r="BY86" s="2780">
        <v>1</v>
      </c>
      <c r="BZ86" s="2780">
        <v>1</v>
      </c>
      <c r="CA86" s="2780">
        <v>1</v>
      </c>
      <c r="CB86" s="2780">
        <v>1</v>
      </c>
      <c r="CC86" s="2780">
        <v>1</v>
      </c>
    </row>
    <row r="87" spans="1:81" ht="29.25" customHeight="1">
      <c r="A87" s="162">
        <f t="shared" si="4"/>
        <v>72</v>
      </c>
      <c r="B87" s="2694" t="s">
        <v>2147</v>
      </c>
      <c r="C87" s="5959" t="s">
        <v>2820</v>
      </c>
      <c r="D87" s="5960">
        <v>44416</v>
      </c>
      <c r="E87" s="2778"/>
      <c r="F87" s="2778"/>
      <c r="G87" s="2778"/>
      <c r="H87" s="2778"/>
      <c r="I87" s="2778"/>
      <c r="J87" s="2778"/>
      <c r="K87" s="2778"/>
      <c r="L87" s="2778"/>
      <c r="M87" s="2778"/>
      <c r="N87" s="2778"/>
      <c r="O87" s="2715"/>
      <c r="P87" s="2715"/>
      <c r="Q87" s="2778"/>
      <c r="R87" s="2778"/>
      <c r="S87" s="2715"/>
      <c r="T87" s="2698"/>
      <c r="U87" s="2778"/>
      <c r="V87" s="2778"/>
      <c r="W87" s="2778"/>
      <c r="X87" s="2778"/>
      <c r="Y87" s="2778"/>
      <c r="Z87" s="2778"/>
      <c r="AA87" s="2778"/>
      <c r="AB87" s="2715"/>
      <c r="AC87" s="2778"/>
      <c r="AD87" s="2778"/>
      <c r="AE87" s="2778"/>
      <c r="AF87" s="2778"/>
      <c r="AG87" s="2778"/>
      <c r="AH87" s="2713"/>
      <c r="AI87" s="2713"/>
      <c r="AJ87" s="2713"/>
      <c r="AK87" s="2713"/>
      <c r="AL87" s="2713"/>
      <c r="AM87" s="2778"/>
      <c r="AN87" s="2713"/>
      <c r="AO87" s="2713"/>
      <c r="AP87" s="2713"/>
      <c r="AQ87" s="2713"/>
      <c r="AR87" s="2713"/>
      <c r="AS87" s="2713"/>
      <c r="AT87" s="5989" t="s">
        <v>1712</v>
      </c>
      <c r="AU87" s="2778"/>
      <c r="AV87" s="2778"/>
      <c r="AW87" s="2784"/>
      <c r="AX87" s="2778"/>
      <c r="AY87" s="2778"/>
      <c r="AZ87" s="2778"/>
      <c r="BA87" s="2778"/>
      <c r="BB87" s="2778"/>
      <c r="BC87" s="3907"/>
      <c r="BD87" s="2778"/>
      <c r="BE87" s="2778"/>
      <c r="BF87" s="2778"/>
      <c r="BG87" s="2778"/>
      <c r="BH87" s="2738" t="s">
        <v>2821</v>
      </c>
      <c r="BI87" s="2713"/>
      <c r="BJ87" s="2713"/>
      <c r="BK87" s="2713"/>
      <c r="BL87" s="2713"/>
      <c r="BM87" s="2713"/>
      <c r="BN87" s="2713"/>
      <c r="BO87" s="2713"/>
      <c r="BP87" s="2780"/>
      <c r="BQ87" s="2780"/>
      <c r="BR87" s="2780"/>
      <c r="BS87" s="2780"/>
      <c r="BT87" s="2780"/>
      <c r="BU87" s="2780"/>
      <c r="BV87" s="2780">
        <v>1</v>
      </c>
      <c r="BW87" s="2780">
        <v>1</v>
      </c>
      <c r="BX87" s="2780">
        <v>1</v>
      </c>
      <c r="BY87" s="2780">
        <v>1</v>
      </c>
      <c r="BZ87" s="2780">
        <v>1</v>
      </c>
      <c r="CA87" s="2780">
        <v>1</v>
      </c>
      <c r="CB87" s="2780">
        <v>1</v>
      </c>
      <c r="CC87" s="2780">
        <v>1</v>
      </c>
    </row>
    <row r="88" spans="1:81" ht="29.25" hidden="1" customHeight="1">
      <c r="B88" s="2801" t="s">
        <v>658</v>
      </c>
      <c r="C88" s="5959" t="s">
        <v>687</v>
      </c>
      <c r="D88" s="5960">
        <v>41808</v>
      </c>
      <c r="E88" s="2791"/>
      <c r="F88" s="2791"/>
      <c r="G88" s="2791"/>
      <c r="H88" s="2791"/>
      <c r="I88" s="2791"/>
      <c r="J88" s="2791"/>
      <c r="K88" s="2791"/>
      <c r="L88" s="2791"/>
      <c r="M88" s="2791"/>
      <c r="N88" s="2791"/>
      <c r="O88" s="2791"/>
      <c r="P88" s="2791"/>
      <c r="Q88" s="2791"/>
      <c r="R88" s="2791"/>
      <c r="S88" s="2791"/>
      <c r="T88" s="2791"/>
      <c r="U88" s="2791"/>
      <c r="V88" s="2791"/>
      <c r="W88" s="2791"/>
      <c r="X88" s="2791"/>
      <c r="Y88" s="2791"/>
      <c r="Z88" s="2791"/>
      <c r="AA88" s="2791"/>
      <c r="AB88" s="2791"/>
      <c r="AC88" s="2791"/>
      <c r="AD88" s="2791"/>
      <c r="AE88" s="2791"/>
      <c r="AF88" s="2791"/>
      <c r="AG88" s="2791"/>
      <c r="AH88" s="2792"/>
      <c r="AI88" s="2792"/>
      <c r="AJ88" s="2792"/>
      <c r="AK88" s="2792"/>
      <c r="AL88" s="2792"/>
      <c r="AM88" s="2792"/>
      <c r="AN88" s="2792"/>
      <c r="AO88" s="2792"/>
      <c r="AP88" s="2792"/>
      <c r="AQ88" s="2792"/>
      <c r="AR88" s="2792"/>
      <c r="AS88" s="2792"/>
      <c r="AT88" s="5990"/>
      <c r="AU88" s="2713"/>
      <c r="AV88" s="2713"/>
      <c r="AW88" s="2714"/>
      <c r="AX88" s="2713"/>
      <c r="AY88" s="2713"/>
      <c r="AZ88" s="2713"/>
      <c r="BA88" s="2713"/>
      <c r="BB88" s="2713"/>
      <c r="BC88" s="3904"/>
      <c r="BD88" s="2713"/>
      <c r="BE88" s="2713"/>
      <c r="BF88" s="2713"/>
      <c r="BG88" s="2713"/>
      <c r="BH88" s="2713"/>
      <c r="BI88" s="2713"/>
      <c r="BJ88" s="2713"/>
      <c r="BK88" s="2713"/>
      <c r="BL88" s="2713"/>
      <c r="BM88" s="2713"/>
      <c r="BN88" s="2713"/>
      <c r="BO88" s="2713"/>
      <c r="BP88" s="2780"/>
      <c r="BQ88" s="2780"/>
      <c r="BR88" s="2780"/>
      <c r="BS88" s="2780"/>
      <c r="BT88" s="2780"/>
      <c r="BU88" s="2780"/>
      <c r="BV88" s="2780"/>
      <c r="BW88" s="2780"/>
      <c r="BX88" s="2780"/>
      <c r="BY88" s="2780"/>
      <c r="BZ88" s="2780"/>
      <c r="CA88" s="2780"/>
      <c r="CB88" s="2780"/>
      <c r="CC88" s="2780"/>
    </row>
    <row r="89" spans="1:81" ht="14.4" hidden="1">
      <c r="B89" s="2801" t="s">
        <v>659</v>
      </c>
      <c r="C89" s="5959" t="s">
        <v>1510</v>
      </c>
      <c r="D89" s="5960">
        <v>42657</v>
      </c>
      <c r="E89" s="2791"/>
      <c r="F89" s="2791"/>
      <c r="G89" s="2791"/>
      <c r="H89" s="2791"/>
      <c r="I89" s="2791"/>
      <c r="J89" s="2791"/>
      <c r="K89" s="2791"/>
      <c r="L89" s="2791"/>
      <c r="M89" s="2791"/>
      <c r="N89" s="2791"/>
      <c r="O89" s="2791"/>
      <c r="P89" s="2791"/>
      <c r="Q89" s="2791"/>
      <c r="R89" s="2791"/>
      <c r="S89" s="2791"/>
      <c r="T89" s="2791"/>
      <c r="U89" s="2791"/>
      <c r="V89" s="2791"/>
      <c r="W89" s="2791"/>
      <c r="X89" s="2791"/>
      <c r="Y89" s="2791"/>
      <c r="Z89" s="2791"/>
      <c r="AA89" s="2791"/>
      <c r="AB89" s="2791"/>
      <c r="AC89" s="2791"/>
      <c r="AD89" s="2791"/>
      <c r="AE89" s="2791"/>
      <c r="AF89" s="2791"/>
      <c r="AG89" s="2791"/>
      <c r="AH89" s="2792"/>
      <c r="AI89" s="2792"/>
      <c r="AJ89" s="2792"/>
      <c r="AK89" s="2792"/>
      <c r="AL89" s="2792"/>
      <c r="AM89" s="2792"/>
      <c r="AN89" s="2792"/>
      <c r="AO89" s="2792"/>
      <c r="AP89" s="2792"/>
      <c r="AQ89" s="2792"/>
      <c r="AR89" s="2792"/>
      <c r="AS89" s="2792"/>
      <c r="AT89" s="5990"/>
      <c r="AU89" s="2713"/>
      <c r="AV89" s="2713"/>
      <c r="AW89" s="2714"/>
      <c r="AX89" s="2713"/>
      <c r="AY89" s="2713"/>
      <c r="AZ89" s="2713"/>
      <c r="BA89" s="2713"/>
      <c r="BB89" s="2713"/>
      <c r="BC89" s="3904"/>
      <c r="BD89" s="2713"/>
      <c r="BE89" s="2713"/>
      <c r="BF89" s="2713"/>
      <c r="BG89" s="2713"/>
      <c r="BH89" s="2713"/>
      <c r="BI89" s="2713"/>
      <c r="BJ89" s="2713"/>
      <c r="BK89" s="2713"/>
      <c r="BL89" s="2713"/>
      <c r="BM89" s="2713"/>
      <c r="BN89" s="2713"/>
      <c r="BO89" s="2713"/>
      <c r="BP89" s="2780"/>
      <c r="BQ89" s="2780"/>
      <c r="BR89" s="2780"/>
      <c r="BS89" s="2780"/>
      <c r="BT89" s="2780"/>
      <c r="BU89" s="2780"/>
      <c r="BV89" s="2780"/>
      <c r="BW89" s="2780"/>
      <c r="BX89" s="2780"/>
      <c r="BY89" s="2780"/>
      <c r="BZ89" s="2780"/>
      <c r="CA89" s="2780"/>
      <c r="CB89" s="2780"/>
      <c r="CC89" s="2780"/>
    </row>
    <row r="90" spans="1:81" ht="29.25" hidden="1" customHeight="1">
      <c r="B90" s="2801" t="s">
        <v>660</v>
      </c>
      <c r="C90" s="5959" t="s">
        <v>1510</v>
      </c>
      <c r="D90" s="5960">
        <v>42657</v>
      </c>
      <c r="E90" s="2791"/>
      <c r="F90" s="2791"/>
      <c r="G90" s="2791"/>
      <c r="H90" s="2791"/>
      <c r="I90" s="2791"/>
      <c r="J90" s="2791"/>
      <c r="K90" s="2791"/>
      <c r="L90" s="2791"/>
      <c r="M90" s="2791"/>
      <c r="N90" s="2791"/>
      <c r="O90" s="2791"/>
      <c r="P90" s="2791"/>
      <c r="Q90" s="2791"/>
      <c r="R90" s="2791"/>
      <c r="S90" s="2791"/>
      <c r="T90" s="2791"/>
      <c r="U90" s="2791"/>
      <c r="V90" s="2791"/>
      <c r="W90" s="2791"/>
      <c r="X90" s="2791"/>
      <c r="Y90" s="2791"/>
      <c r="Z90" s="2791"/>
      <c r="AA90" s="2791"/>
      <c r="AB90" s="2791"/>
      <c r="AC90" s="2791"/>
      <c r="AD90" s="2791"/>
      <c r="AE90" s="2791"/>
      <c r="AF90" s="2791"/>
      <c r="AG90" s="2791"/>
      <c r="AH90" s="2792"/>
      <c r="AI90" s="2792"/>
      <c r="AJ90" s="2792"/>
      <c r="AK90" s="2792"/>
      <c r="AL90" s="2792"/>
      <c r="AM90" s="2792"/>
      <c r="AN90" s="2792"/>
      <c r="AO90" s="2792"/>
      <c r="AP90" s="2792"/>
      <c r="AQ90" s="2792"/>
      <c r="AR90" s="2792"/>
      <c r="AS90" s="2792"/>
      <c r="AT90" s="5990"/>
      <c r="AU90" s="2713"/>
      <c r="AV90" s="2713"/>
      <c r="AW90" s="2714"/>
      <c r="AX90" s="2713"/>
      <c r="AY90" s="2713"/>
      <c r="AZ90" s="2713"/>
      <c r="BA90" s="2713"/>
      <c r="BB90" s="2713"/>
      <c r="BC90" s="3904"/>
      <c r="BD90" s="2713"/>
      <c r="BE90" s="2713"/>
      <c r="BF90" s="2713"/>
      <c r="BG90" s="2713"/>
      <c r="BH90" s="2713"/>
      <c r="BI90" s="2713"/>
      <c r="BJ90" s="2713"/>
      <c r="BK90" s="2713"/>
      <c r="BL90" s="2713"/>
      <c r="BM90" s="2713"/>
      <c r="BN90" s="2713"/>
      <c r="BO90" s="2713"/>
      <c r="BP90" s="2780"/>
      <c r="BQ90" s="2780"/>
      <c r="BR90" s="2780"/>
      <c r="BS90" s="2780"/>
      <c r="BT90" s="2780"/>
      <c r="BU90" s="2780"/>
      <c r="BV90" s="2780"/>
      <c r="BW90" s="2780"/>
      <c r="BX90" s="2780"/>
      <c r="BY90" s="2780"/>
      <c r="BZ90" s="2780"/>
      <c r="CA90" s="2780"/>
      <c r="CB90" s="2780"/>
      <c r="CC90" s="2780"/>
    </row>
    <row r="91" spans="1:81" ht="29.25" customHeight="1">
      <c r="B91" s="2794" t="s">
        <v>346</v>
      </c>
      <c r="C91" s="5985"/>
      <c r="D91" s="2794"/>
      <c r="E91" s="2795"/>
      <c r="F91" s="2795"/>
      <c r="G91" s="2795"/>
      <c r="H91" s="2795"/>
      <c r="I91" s="2795"/>
      <c r="J91" s="2795"/>
      <c r="K91" s="2795"/>
      <c r="L91" s="2795"/>
      <c r="M91" s="2795"/>
      <c r="N91" s="2795"/>
      <c r="O91" s="2795"/>
      <c r="P91" s="2795"/>
      <c r="Q91" s="2795"/>
      <c r="R91" s="2795"/>
      <c r="S91" s="2795"/>
      <c r="T91" s="2795"/>
      <c r="U91" s="2795"/>
      <c r="V91" s="2795"/>
      <c r="W91" s="2795"/>
      <c r="X91" s="2795"/>
      <c r="Y91" s="2795"/>
      <c r="Z91" s="2795"/>
      <c r="AA91" s="2795"/>
      <c r="AB91" s="2795"/>
      <c r="AC91" s="2795"/>
      <c r="AD91" s="2795"/>
      <c r="AE91" s="2795"/>
      <c r="AF91" s="2795"/>
      <c r="AG91" s="2795"/>
      <c r="AH91" s="2796"/>
      <c r="AI91" s="2796"/>
      <c r="AJ91" s="2796"/>
      <c r="AK91" s="2796"/>
      <c r="AL91" s="2796"/>
      <c r="AM91" s="2796"/>
      <c r="AN91" s="2796"/>
      <c r="AO91" s="2796"/>
      <c r="AP91" s="2796"/>
      <c r="AQ91" s="2796"/>
      <c r="AR91" s="4879"/>
      <c r="AS91" s="4879"/>
      <c r="AT91" s="4879"/>
      <c r="AU91" s="5986"/>
      <c r="AV91" s="4879"/>
      <c r="AW91" s="4879"/>
      <c r="AX91" s="4879"/>
      <c r="AY91" s="4879"/>
      <c r="AZ91" s="4879"/>
      <c r="BA91" s="4879"/>
      <c r="BB91" s="4879"/>
      <c r="BC91" s="4879"/>
      <c r="BD91" s="4879"/>
      <c r="BE91" s="4879"/>
      <c r="BF91" s="4879"/>
      <c r="BG91" s="4879"/>
      <c r="BH91" s="4879"/>
      <c r="BI91" s="4879"/>
      <c r="BJ91" s="4879"/>
      <c r="BK91" s="4879"/>
      <c r="BL91" s="4879"/>
      <c r="BM91" s="4879"/>
      <c r="BN91" s="4879"/>
      <c r="BO91" s="4879"/>
      <c r="BP91" s="4879"/>
      <c r="BQ91" s="2797"/>
      <c r="BR91" s="2797"/>
      <c r="BS91" s="2797"/>
      <c r="BT91" s="2797"/>
      <c r="BU91" s="2797"/>
      <c r="BV91" s="2797"/>
      <c r="BW91" s="2797"/>
      <c r="BX91" s="2797"/>
      <c r="BY91" s="2797"/>
      <c r="BZ91" s="2797"/>
      <c r="CA91" s="2797"/>
      <c r="CB91" s="2797"/>
      <c r="CC91" s="2797"/>
    </row>
    <row r="92" spans="1:81" ht="29.25" customHeight="1">
      <c r="A92" s="162">
        <f>+A87+1</f>
        <v>73</v>
      </c>
      <c r="B92" s="2694" t="s">
        <v>283</v>
      </c>
      <c r="C92" s="5959" t="s">
        <v>2858</v>
      </c>
      <c r="D92" s="5960">
        <v>44517</v>
      </c>
      <c r="E92" s="2778"/>
      <c r="F92" s="2778"/>
      <c r="G92" s="2778"/>
      <c r="H92" s="2778"/>
      <c r="I92" s="2778"/>
      <c r="J92" s="2778"/>
      <c r="K92" s="2778"/>
      <c r="L92" s="2778"/>
      <c r="M92" s="2778"/>
      <c r="N92" s="2778"/>
      <c r="O92" s="2778"/>
      <c r="P92" s="2778"/>
      <c r="Q92" s="2778"/>
      <c r="R92" s="2778"/>
      <c r="S92" s="2778"/>
      <c r="T92" s="2778"/>
      <c r="U92" s="2778"/>
      <c r="V92" s="2778"/>
      <c r="W92" s="2778"/>
      <c r="X92" s="2778"/>
      <c r="Y92" s="2778"/>
      <c r="Z92" s="2778"/>
      <c r="AA92" s="2778"/>
      <c r="AB92" s="2778"/>
      <c r="AC92" s="2778"/>
      <c r="AD92" s="2715" t="s">
        <v>354</v>
      </c>
      <c r="AE92" s="2778"/>
      <c r="AF92" s="2781"/>
      <c r="AG92" s="2778"/>
      <c r="AH92" s="2713"/>
      <c r="AI92" s="2713"/>
      <c r="AJ92" s="2713"/>
      <c r="AK92" s="2713"/>
      <c r="AL92" s="2713"/>
      <c r="AM92" s="2713"/>
      <c r="AN92" s="2713"/>
      <c r="AO92" s="2713"/>
      <c r="AP92" s="2713"/>
      <c r="AQ92" s="2713"/>
      <c r="AR92" s="2713"/>
      <c r="AS92" s="2713"/>
      <c r="AT92" s="2714"/>
      <c r="AU92" s="2713"/>
      <c r="AV92" s="2713"/>
      <c r="AW92" s="2714"/>
      <c r="AX92" s="2713"/>
      <c r="AY92" s="2778"/>
      <c r="AZ92" s="2715" t="s">
        <v>2355</v>
      </c>
      <c r="BA92" s="3338"/>
      <c r="BB92" s="3338"/>
      <c r="BC92" s="3905"/>
      <c r="BD92" s="3338"/>
      <c r="BE92" s="3338"/>
      <c r="BF92" s="3338"/>
      <c r="BG92" s="3338"/>
      <c r="BH92" s="3338"/>
      <c r="BI92" s="2715" t="s">
        <v>2876</v>
      </c>
      <c r="BJ92" s="3339"/>
      <c r="BK92" s="3339"/>
      <c r="BL92" s="3339"/>
      <c r="BM92" s="3339"/>
      <c r="BN92" s="3339"/>
      <c r="BO92" s="3339"/>
      <c r="BP92" s="2780"/>
      <c r="BQ92" s="2780"/>
      <c r="BR92" s="2780">
        <v>1</v>
      </c>
      <c r="BS92" s="2780">
        <v>1</v>
      </c>
      <c r="BT92" s="2780">
        <v>1</v>
      </c>
      <c r="BU92" s="2780">
        <v>1</v>
      </c>
      <c r="BV92" s="2780"/>
      <c r="BW92" s="2780"/>
      <c r="BX92" s="2780">
        <v>1</v>
      </c>
      <c r="BY92" s="2780">
        <v>1</v>
      </c>
      <c r="BZ92" s="2780">
        <v>1</v>
      </c>
      <c r="CA92" s="2780">
        <v>1</v>
      </c>
      <c r="CB92" s="2780">
        <v>1</v>
      </c>
      <c r="CC92" s="2780">
        <v>1</v>
      </c>
    </row>
    <row r="93" spans="1:81" ht="29.25" customHeight="1">
      <c r="A93" s="162">
        <f>+A92+1</f>
        <v>74</v>
      </c>
      <c r="B93" s="2694" t="s">
        <v>3136</v>
      </c>
      <c r="C93" s="5959" t="s">
        <v>2581</v>
      </c>
      <c r="D93" s="5960">
        <v>43719</v>
      </c>
      <c r="E93" s="2778"/>
      <c r="F93" s="2778"/>
      <c r="G93" s="2778"/>
      <c r="H93" s="2778"/>
      <c r="I93" s="2778"/>
      <c r="J93" s="2778"/>
      <c r="K93" s="2778"/>
      <c r="L93" s="2778"/>
      <c r="M93" s="2778"/>
      <c r="N93" s="2778"/>
      <c r="O93" s="2778"/>
      <c r="P93" s="2778"/>
      <c r="Q93" s="2778"/>
      <c r="R93" s="2778"/>
      <c r="S93" s="2778"/>
      <c r="T93" s="2778"/>
      <c r="U93" s="2778"/>
      <c r="V93" s="2778"/>
      <c r="W93" s="2778"/>
      <c r="X93" s="2778"/>
      <c r="Y93" s="2778"/>
      <c r="Z93" s="2778"/>
      <c r="AA93" s="2778"/>
      <c r="AB93" s="2715" t="s">
        <v>232</v>
      </c>
      <c r="AC93" s="2781"/>
      <c r="AD93" s="2778"/>
      <c r="AE93" s="2778"/>
      <c r="AF93" s="2778"/>
      <c r="AG93" s="2778"/>
      <c r="AH93" s="2713"/>
      <c r="AI93" s="2713"/>
      <c r="AJ93" s="2713"/>
      <c r="AK93" s="2713"/>
      <c r="AL93" s="2713"/>
      <c r="AM93" s="2713"/>
      <c r="AN93" s="2713"/>
      <c r="AO93" s="2713"/>
      <c r="AP93" s="2713"/>
      <c r="AQ93" s="2713"/>
      <c r="AR93" s="2713"/>
      <c r="AS93" s="2713"/>
      <c r="AT93" s="2714"/>
      <c r="AU93" s="2713"/>
      <c r="AV93" s="2713"/>
      <c r="AW93" s="2714"/>
      <c r="AX93" s="2713"/>
      <c r="AY93" s="2782" t="s">
        <v>2369</v>
      </c>
      <c r="AZ93" s="2778"/>
      <c r="BA93" s="3338"/>
      <c r="BB93" s="2715" t="s">
        <v>2471</v>
      </c>
      <c r="BC93" s="3905"/>
      <c r="BD93" s="3338"/>
      <c r="BE93" s="3338"/>
      <c r="BF93" s="3338"/>
      <c r="BG93" s="3338"/>
      <c r="BH93" s="3338"/>
      <c r="BI93" s="3338"/>
      <c r="BJ93" s="3339"/>
      <c r="BK93" s="3339"/>
      <c r="BL93" s="3339"/>
      <c r="BM93" s="3339"/>
      <c r="BN93" s="3339"/>
      <c r="BO93" s="3339"/>
      <c r="BP93" s="2780"/>
      <c r="BQ93" s="2780">
        <v>1</v>
      </c>
      <c r="BR93" s="2780">
        <v>1</v>
      </c>
      <c r="BS93" s="2780">
        <v>1</v>
      </c>
      <c r="BT93" s="2780">
        <v>1</v>
      </c>
      <c r="BU93" s="2780"/>
      <c r="BV93" s="2780"/>
      <c r="BW93" s="2780"/>
      <c r="BX93" s="2780">
        <v>1</v>
      </c>
      <c r="BY93" s="2780">
        <v>1</v>
      </c>
      <c r="BZ93" s="2780">
        <v>1</v>
      </c>
      <c r="CA93" s="2780">
        <v>1</v>
      </c>
      <c r="CB93" s="2780">
        <v>1</v>
      </c>
      <c r="CC93" s="2780">
        <v>1</v>
      </c>
    </row>
    <row r="94" spans="1:81" ht="29.25" customHeight="1">
      <c r="A94" s="162">
        <f>+A93+1</f>
        <v>75</v>
      </c>
      <c r="B94" s="2694" t="s">
        <v>3135</v>
      </c>
      <c r="C94" s="5959" t="s">
        <v>601</v>
      </c>
      <c r="D94" s="5960">
        <v>41333</v>
      </c>
      <c r="E94" s="2778"/>
      <c r="F94" s="2778"/>
      <c r="G94" s="2778"/>
      <c r="H94" s="2778"/>
      <c r="I94" s="2778"/>
      <c r="J94" s="2778"/>
      <c r="K94" s="2778"/>
      <c r="L94" s="2778"/>
      <c r="M94" s="2778"/>
      <c r="N94" s="2778"/>
      <c r="O94" s="2778"/>
      <c r="P94" s="2778"/>
      <c r="Q94" s="2778"/>
      <c r="R94" s="2778"/>
      <c r="S94" s="2778"/>
      <c r="T94" s="2778"/>
      <c r="U94" s="2778"/>
      <c r="V94" s="2715" t="s">
        <v>204</v>
      </c>
      <c r="W94" s="2778"/>
      <c r="X94" s="2778"/>
      <c r="Y94" s="2778"/>
      <c r="Z94" s="2778"/>
      <c r="AA94" s="2778"/>
      <c r="AB94" s="2778"/>
      <c r="AC94" s="2778"/>
      <c r="AD94" s="2778"/>
      <c r="AE94" s="2778"/>
      <c r="AF94" s="2778"/>
      <c r="AG94" s="2778"/>
      <c r="AH94" s="2713"/>
      <c r="AI94" s="2713"/>
      <c r="AJ94" s="2713"/>
      <c r="AK94" s="2712" t="s">
        <v>602</v>
      </c>
      <c r="AL94" s="2713"/>
      <c r="AM94" s="2713"/>
      <c r="AN94" s="2713"/>
      <c r="AO94" s="2713"/>
      <c r="AP94" s="2713"/>
      <c r="AQ94" s="2713"/>
      <c r="AR94" s="2713"/>
      <c r="AS94" s="2713"/>
      <c r="AT94" s="2714"/>
      <c r="AU94" s="2713"/>
      <c r="AV94" s="2713"/>
      <c r="AW94" s="2714"/>
      <c r="AX94" s="2713"/>
      <c r="AY94" s="3339"/>
      <c r="AZ94" s="3339"/>
      <c r="BA94" s="3339"/>
      <c r="BB94" s="3339"/>
      <c r="BC94" s="3906"/>
      <c r="BD94" s="3339"/>
      <c r="BE94" s="3339"/>
      <c r="BF94" s="3339"/>
      <c r="BG94" s="3339"/>
      <c r="BH94" s="3339"/>
      <c r="BI94" s="3339"/>
      <c r="BJ94" s="2738" t="s">
        <v>3089</v>
      </c>
      <c r="BK94" s="3339"/>
      <c r="BL94" s="3339"/>
      <c r="BM94" s="2712" t="s">
        <v>3330</v>
      </c>
      <c r="BN94" s="3339"/>
      <c r="BO94" s="3339"/>
      <c r="BP94" s="2780">
        <v>1</v>
      </c>
      <c r="BQ94" s="2780">
        <v>1</v>
      </c>
      <c r="BR94" s="2780">
        <v>1</v>
      </c>
      <c r="BS94" s="2780">
        <v>1</v>
      </c>
      <c r="BT94" s="2780">
        <v>1</v>
      </c>
      <c r="BU94" s="2780">
        <v>1</v>
      </c>
      <c r="BV94" s="2780">
        <v>1</v>
      </c>
      <c r="BW94" s="2780">
        <v>1</v>
      </c>
      <c r="BX94" s="2780"/>
      <c r="BY94" s="2780"/>
      <c r="BZ94" s="2780"/>
      <c r="CA94" s="2780"/>
      <c r="CB94" s="2780">
        <v>1</v>
      </c>
      <c r="CC94" s="2780">
        <v>1</v>
      </c>
    </row>
    <row r="95" spans="1:81" ht="29.25" customHeight="1">
      <c r="A95" s="162">
        <f t="shared" ref="A95:A97" si="5">+A94+1</f>
        <v>76</v>
      </c>
      <c r="B95" s="2694" t="s">
        <v>285</v>
      </c>
      <c r="C95" s="5959" t="s">
        <v>2858</v>
      </c>
      <c r="D95" s="5960">
        <v>44517</v>
      </c>
      <c r="E95" s="2715" t="s">
        <v>1514</v>
      </c>
      <c r="F95" s="2778"/>
      <c r="G95" s="2778"/>
      <c r="H95" s="2778"/>
      <c r="I95" s="2778"/>
      <c r="J95" s="2778"/>
      <c r="K95" s="2778"/>
      <c r="L95" s="2778"/>
      <c r="M95" s="2778"/>
      <c r="N95" s="2778"/>
      <c r="O95" s="2778"/>
      <c r="P95" s="2778"/>
      <c r="Q95" s="2778"/>
      <c r="R95" s="2778"/>
      <c r="S95" s="2778"/>
      <c r="T95" s="2778"/>
      <c r="U95" s="2778"/>
      <c r="V95" s="2715" t="s">
        <v>204</v>
      </c>
      <c r="W95" s="2778"/>
      <c r="X95" s="2778"/>
      <c r="Y95" s="2778"/>
      <c r="Z95" s="2778"/>
      <c r="AA95" s="2715" t="s">
        <v>208</v>
      </c>
      <c r="AB95" s="2778"/>
      <c r="AC95" s="2778"/>
      <c r="AD95" s="2778"/>
      <c r="AE95" s="2778"/>
      <c r="AF95" s="2778"/>
      <c r="AG95" s="2778"/>
      <c r="AH95" s="2715" t="s">
        <v>1515</v>
      </c>
      <c r="AI95" s="2713"/>
      <c r="AJ95" s="2713"/>
      <c r="AK95" s="2713"/>
      <c r="AL95" s="2713"/>
      <c r="AM95" s="2713"/>
      <c r="AN95" s="2713"/>
      <c r="AO95" s="2713"/>
      <c r="AP95" s="2713"/>
      <c r="AQ95" s="2713"/>
      <c r="AR95" s="2713"/>
      <c r="AS95" s="2713"/>
      <c r="AT95" s="2714"/>
      <c r="AU95" s="2713"/>
      <c r="AV95" s="2713"/>
      <c r="AW95" s="2714"/>
      <c r="AX95" s="2713"/>
      <c r="AY95" s="2713"/>
      <c r="AZ95" s="5991" t="s">
        <v>2355</v>
      </c>
      <c r="BA95" s="4880"/>
      <c r="BB95" s="4880"/>
      <c r="BC95" s="5992"/>
      <c r="BD95" s="4880"/>
      <c r="BE95" s="4880"/>
      <c r="BF95" s="4880"/>
      <c r="BG95" s="4880"/>
      <c r="BH95" s="4880"/>
      <c r="BI95" s="2715" t="s">
        <v>2876</v>
      </c>
      <c r="BJ95" s="3339"/>
      <c r="BK95" s="3339"/>
      <c r="BL95" s="3339"/>
      <c r="BM95" s="3339"/>
      <c r="BN95" s="3339"/>
      <c r="BO95" s="3339"/>
      <c r="BP95" s="2780">
        <v>1</v>
      </c>
      <c r="BQ95" s="2780">
        <v>1</v>
      </c>
      <c r="BR95" s="2780">
        <v>1</v>
      </c>
      <c r="BS95" s="2780">
        <v>1</v>
      </c>
      <c r="BT95" s="2780">
        <v>1</v>
      </c>
      <c r="BU95" s="2780">
        <v>1</v>
      </c>
      <c r="BV95" s="2780">
        <v>1</v>
      </c>
      <c r="BW95" s="2780"/>
      <c r="BX95" s="2780"/>
      <c r="BY95" s="2780">
        <v>1</v>
      </c>
      <c r="BZ95" s="2780">
        <v>1</v>
      </c>
      <c r="CA95" s="2780">
        <v>1</v>
      </c>
      <c r="CB95" s="2780">
        <v>1</v>
      </c>
      <c r="CC95" s="2780">
        <v>1</v>
      </c>
    </row>
    <row r="96" spans="1:81" ht="29.25" customHeight="1">
      <c r="A96" s="162">
        <f t="shared" si="5"/>
        <v>77</v>
      </c>
      <c r="B96" s="2694" t="s">
        <v>287</v>
      </c>
      <c r="C96" s="5959" t="s">
        <v>2858</v>
      </c>
      <c r="D96" s="5960">
        <v>44517</v>
      </c>
      <c r="E96" s="2715" t="s">
        <v>1514</v>
      </c>
      <c r="F96" s="2778"/>
      <c r="G96" s="2778"/>
      <c r="H96" s="2778"/>
      <c r="I96" s="2778"/>
      <c r="J96" s="2778"/>
      <c r="K96" s="2778"/>
      <c r="L96" s="2778"/>
      <c r="M96" s="2778"/>
      <c r="N96" s="2778"/>
      <c r="O96" s="2778"/>
      <c r="P96" s="2778"/>
      <c r="Q96" s="2778"/>
      <c r="R96" s="2778"/>
      <c r="S96" s="2778"/>
      <c r="T96" s="2778"/>
      <c r="U96" s="2778"/>
      <c r="V96" s="2715" t="s">
        <v>204</v>
      </c>
      <c r="W96" s="2778"/>
      <c r="X96" s="2778"/>
      <c r="Y96" s="2778"/>
      <c r="Z96" s="2778"/>
      <c r="AA96" s="2715" t="s">
        <v>208</v>
      </c>
      <c r="AB96" s="2778"/>
      <c r="AC96" s="2778"/>
      <c r="AD96" s="2778"/>
      <c r="AE96" s="2778"/>
      <c r="AF96" s="2778"/>
      <c r="AG96" s="2778"/>
      <c r="AH96" s="2715" t="s">
        <v>1515</v>
      </c>
      <c r="AI96" s="2713"/>
      <c r="AJ96" s="2713"/>
      <c r="AK96" s="2713"/>
      <c r="AL96" s="2713"/>
      <c r="AM96" s="2713"/>
      <c r="AN96" s="2713"/>
      <c r="AO96" s="2713"/>
      <c r="AP96" s="2713"/>
      <c r="AQ96" s="2713"/>
      <c r="AR96" s="2713"/>
      <c r="AS96" s="2713"/>
      <c r="AT96" s="2714"/>
      <c r="AU96" s="2713"/>
      <c r="AV96" s="2713"/>
      <c r="AW96" s="2714"/>
      <c r="AX96" s="2713"/>
      <c r="AY96" s="2713"/>
      <c r="AZ96" s="5991" t="s">
        <v>2355</v>
      </c>
      <c r="BA96" s="4880"/>
      <c r="BB96" s="4880"/>
      <c r="BC96" s="5992"/>
      <c r="BD96" s="4880"/>
      <c r="BE96" s="4880"/>
      <c r="BF96" s="4880"/>
      <c r="BG96" s="4880"/>
      <c r="BH96" s="4880"/>
      <c r="BI96" s="2715" t="s">
        <v>2876</v>
      </c>
      <c r="BJ96" s="3339"/>
      <c r="BK96" s="3339"/>
      <c r="BL96" s="3339"/>
      <c r="BM96" s="3339"/>
      <c r="BN96" s="3339"/>
      <c r="BO96" s="3339"/>
      <c r="BP96" s="2780">
        <v>1</v>
      </c>
      <c r="BQ96" s="2780">
        <v>1</v>
      </c>
      <c r="BR96" s="2780">
        <v>1</v>
      </c>
      <c r="BS96" s="2780">
        <v>1</v>
      </c>
      <c r="BT96" s="2780">
        <v>1</v>
      </c>
      <c r="BU96" s="2780">
        <v>1</v>
      </c>
      <c r="BV96" s="2780">
        <v>1</v>
      </c>
      <c r="BW96" s="2780"/>
      <c r="BX96" s="2780"/>
      <c r="BY96" s="2780">
        <v>1</v>
      </c>
      <c r="BZ96" s="2780">
        <v>1</v>
      </c>
      <c r="CA96" s="2780">
        <v>1</v>
      </c>
      <c r="CB96" s="2780">
        <v>1</v>
      </c>
      <c r="CC96" s="2780">
        <v>1</v>
      </c>
    </row>
    <row r="97" spans="1:81" ht="29.25" customHeight="1">
      <c r="A97" s="162">
        <f t="shared" si="5"/>
        <v>78</v>
      </c>
      <c r="B97" s="2802" t="s">
        <v>3160</v>
      </c>
      <c r="C97" s="5993" t="s">
        <v>1510</v>
      </c>
      <c r="D97" s="5994">
        <v>42794</v>
      </c>
      <c r="E97" s="2778"/>
      <c r="F97" s="2778"/>
      <c r="G97" s="2778"/>
      <c r="H97" s="2778"/>
      <c r="I97" s="2778"/>
      <c r="J97" s="2778"/>
      <c r="K97" s="2778"/>
      <c r="L97" s="2778"/>
      <c r="M97" s="2778"/>
      <c r="N97" s="2778"/>
      <c r="O97" s="2778"/>
      <c r="P97" s="2778"/>
      <c r="Q97" s="2778" t="s">
        <v>315</v>
      </c>
      <c r="R97" s="2778"/>
      <c r="S97" s="2778"/>
      <c r="T97" s="2778"/>
      <c r="U97" s="2778"/>
      <c r="V97" s="2778"/>
      <c r="W97" s="2778"/>
      <c r="X97" s="2778"/>
      <c r="Y97" s="2778"/>
      <c r="Z97" s="2778"/>
      <c r="AA97" s="2778"/>
      <c r="AB97" s="2778"/>
      <c r="AC97" s="2778"/>
      <c r="AD97" s="2782" t="s">
        <v>355</v>
      </c>
      <c r="AE97" s="2778"/>
      <c r="AF97" s="2781"/>
      <c r="AG97" s="2778"/>
      <c r="AH97" s="2713"/>
      <c r="AI97" s="2713"/>
      <c r="AJ97" s="2713"/>
      <c r="AK97" s="2713"/>
      <c r="AL97" s="2713"/>
      <c r="AM97" s="2713"/>
      <c r="AN97" s="2713"/>
      <c r="AO97" s="2713"/>
      <c r="AP97" s="2713"/>
      <c r="AQ97" s="2713"/>
      <c r="AR97" s="2713"/>
      <c r="AS97" s="2713"/>
      <c r="AT97" s="2714"/>
      <c r="AU97" s="2779" t="s">
        <v>2160</v>
      </c>
      <c r="AV97" s="2713"/>
      <c r="AW97" s="2714"/>
      <c r="AX97" s="2713"/>
      <c r="AY97" s="2713"/>
      <c r="AZ97" s="2713"/>
      <c r="BA97" s="3339"/>
      <c r="BB97" s="3339"/>
      <c r="BC97" s="3906"/>
      <c r="BD97" s="3339"/>
      <c r="BE97" s="3339"/>
      <c r="BF97" s="3339"/>
      <c r="BG97" s="3339"/>
      <c r="BH97" s="3339"/>
      <c r="BI97" s="3339"/>
      <c r="BJ97" s="3339"/>
      <c r="BK97" s="3339"/>
      <c r="BL97" s="3339"/>
      <c r="BM97" s="3339"/>
      <c r="BN97" s="3339"/>
      <c r="BO97" s="3339"/>
      <c r="BP97" s="2780">
        <v>1</v>
      </c>
      <c r="BQ97" s="2780"/>
      <c r="BR97" s="2780">
        <v>1</v>
      </c>
      <c r="BS97" s="2780">
        <v>1</v>
      </c>
      <c r="BT97" s="2780">
        <v>1</v>
      </c>
      <c r="BU97" s="2780">
        <v>1</v>
      </c>
      <c r="BV97" s="2780"/>
      <c r="BW97" s="2780">
        <v>1</v>
      </c>
      <c r="BX97" s="2780">
        <v>1</v>
      </c>
      <c r="BY97" s="2780">
        <v>1</v>
      </c>
      <c r="BZ97" s="2780">
        <v>1</v>
      </c>
      <c r="CA97" s="2780">
        <v>1</v>
      </c>
      <c r="CB97" s="2780"/>
      <c r="CC97" s="2780"/>
    </row>
    <row r="98" spans="1:81" ht="29.25" customHeight="1">
      <c r="A98" s="162">
        <f>+A97+1</f>
        <v>79</v>
      </c>
      <c r="B98" s="2694" t="s">
        <v>3161</v>
      </c>
      <c r="C98" s="5959" t="s">
        <v>1510</v>
      </c>
      <c r="D98" s="5960">
        <v>42895</v>
      </c>
      <c r="E98" s="2778"/>
      <c r="F98" s="2778"/>
      <c r="G98" s="2778"/>
      <c r="H98" s="2715" t="s">
        <v>231</v>
      </c>
      <c r="I98" s="2778"/>
      <c r="J98" s="2778"/>
      <c r="K98" s="2778"/>
      <c r="L98" s="2778"/>
      <c r="M98" s="2778"/>
      <c r="N98" s="2778"/>
      <c r="O98" s="2778"/>
      <c r="P98" s="2778"/>
      <c r="Q98" s="2778"/>
      <c r="R98" s="2778"/>
      <c r="S98" s="2778"/>
      <c r="T98" s="2778"/>
      <c r="U98" s="2778"/>
      <c r="V98" s="2715" t="s">
        <v>204</v>
      </c>
      <c r="W98" s="2778"/>
      <c r="X98" s="2778"/>
      <c r="Y98" s="2778"/>
      <c r="Z98" s="2778"/>
      <c r="AA98" s="2715" t="s">
        <v>208</v>
      </c>
      <c r="AB98" s="2778"/>
      <c r="AC98" s="2778"/>
      <c r="AD98" s="2715" t="s">
        <v>356</v>
      </c>
      <c r="AE98" s="2778"/>
      <c r="AF98" s="2778"/>
      <c r="AG98" s="2778"/>
      <c r="AH98" s="2713"/>
      <c r="AI98" s="2713"/>
      <c r="AJ98" s="2713"/>
      <c r="AK98" s="2713"/>
      <c r="AL98" s="2713"/>
      <c r="AM98" s="2713"/>
      <c r="AN98" s="2713"/>
      <c r="AO98" s="2713"/>
      <c r="AP98" s="2713"/>
      <c r="AQ98" s="2713"/>
      <c r="AR98" s="2713"/>
      <c r="AS98" s="2713"/>
      <c r="AT98" s="2714"/>
      <c r="AU98" s="2713"/>
      <c r="AV98" s="2779" t="s">
        <v>2158</v>
      </c>
      <c r="AW98" s="2714"/>
      <c r="AX98" s="2713"/>
      <c r="AY98" s="3339"/>
      <c r="AZ98" s="3339"/>
      <c r="BA98" s="3339"/>
      <c r="BB98" s="3339"/>
      <c r="BC98" s="3906"/>
      <c r="BD98" s="3339"/>
      <c r="BE98" s="3339"/>
      <c r="BF98" s="3339"/>
      <c r="BG98" s="3339"/>
      <c r="BH98" s="3339"/>
      <c r="BI98" s="3339"/>
      <c r="BJ98" s="3339"/>
      <c r="BK98" s="3339"/>
      <c r="BL98" s="3339"/>
      <c r="BM98" s="3339"/>
      <c r="BN98" s="3339"/>
      <c r="BO98" s="3339"/>
      <c r="BP98" s="2780">
        <v>1</v>
      </c>
      <c r="BQ98" s="2780">
        <v>1</v>
      </c>
      <c r="BR98" s="2780">
        <v>1</v>
      </c>
      <c r="BS98" s="2780">
        <v>1</v>
      </c>
      <c r="BT98" s="2780">
        <v>1</v>
      </c>
      <c r="BU98" s="2780">
        <v>1</v>
      </c>
      <c r="BV98" s="2780"/>
      <c r="BW98" s="2780">
        <v>1</v>
      </c>
      <c r="BX98" s="2780">
        <v>1</v>
      </c>
      <c r="BY98" s="2780">
        <v>1</v>
      </c>
      <c r="BZ98" s="2780">
        <v>1</v>
      </c>
      <c r="CA98" s="2780">
        <v>1</v>
      </c>
      <c r="CB98" s="2780"/>
      <c r="CC98" s="2780"/>
    </row>
    <row r="99" spans="1:81" ht="29.25" customHeight="1">
      <c r="A99" s="162">
        <f>+A98+1</f>
        <v>80</v>
      </c>
      <c r="B99" s="2694" t="s">
        <v>3162</v>
      </c>
      <c r="C99" s="5959" t="s">
        <v>1510</v>
      </c>
      <c r="D99" s="5960">
        <v>42895</v>
      </c>
      <c r="E99" s="2778"/>
      <c r="F99" s="2778"/>
      <c r="G99" s="2778"/>
      <c r="H99" s="2715" t="s">
        <v>231</v>
      </c>
      <c r="I99" s="2778"/>
      <c r="J99" s="2778"/>
      <c r="K99" s="2778"/>
      <c r="L99" s="2778"/>
      <c r="M99" s="2778"/>
      <c r="N99" s="2778"/>
      <c r="O99" s="2778"/>
      <c r="P99" s="2778"/>
      <c r="Q99" s="2778"/>
      <c r="R99" s="2778"/>
      <c r="S99" s="2778"/>
      <c r="T99" s="2778"/>
      <c r="U99" s="2778"/>
      <c r="V99" s="2715" t="s">
        <v>204</v>
      </c>
      <c r="W99" s="2778"/>
      <c r="X99" s="2778"/>
      <c r="Y99" s="2778"/>
      <c r="Z99" s="2778"/>
      <c r="AA99" s="2715" t="s">
        <v>208</v>
      </c>
      <c r="AB99" s="2778"/>
      <c r="AC99" s="2778"/>
      <c r="AD99" s="2715" t="s">
        <v>356</v>
      </c>
      <c r="AE99" s="2778"/>
      <c r="AF99" s="2778"/>
      <c r="AG99" s="2778"/>
      <c r="AH99" s="2713"/>
      <c r="AI99" s="2713"/>
      <c r="AJ99" s="2713"/>
      <c r="AK99" s="2713"/>
      <c r="AL99" s="2713"/>
      <c r="AM99" s="2713"/>
      <c r="AN99" s="2713"/>
      <c r="AO99" s="2713"/>
      <c r="AP99" s="2713"/>
      <c r="AQ99" s="2713"/>
      <c r="AR99" s="2713"/>
      <c r="AS99" s="2713"/>
      <c r="AT99" s="2714"/>
      <c r="AU99" s="2713"/>
      <c r="AV99" s="2779" t="s">
        <v>2158</v>
      </c>
      <c r="AW99" s="2714"/>
      <c r="AX99" s="2713"/>
      <c r="AY99" s="4878"/>
      <c r="AZ99" s="3339"/>
      <c r="BA99" s="3339"/>
      <c r="BB99" s="3339"/>
      <c r="BC99" s="3906"/>
      <c r="BD99" s="3339"/>
      <c r="BE99" s="3339"/>
      <c r="BF99" s="3339"/>
      <c r="BG99" s="3339"/>
      <c r="BH99" s="3339"/>
      <c r="BI99" s="3339"/>
      <c r="BJ99" s="3339"/>
      <c r="BK99" s="3339"/>
      <c r="BL99" s="3339"/>
      <c r="BM99" s="3339"/>
      <c r="BN99" s="3339"/>
      <c r="BO99" s="3339"/>
      <c r="BP99" s="2780">
        <v>1</v>
      </c>
      <c r="BQ99" s="2780">
        <v>1</v>
      </c>
      <c r="BR99" s="2780">
        <v>1</v>
      </c>
      <c r="BS99" s="2780">
        <v>1</v>
      </c>
      <c r="BT99" s="2780">
        <v>1</v>
      </c>
      <c r="BU99" s="2780">
        <v>1</v>
      </c>
      <c r="BV99" s="2780"/>
      <c r="BW99" s="2780">
        <v>1</v>
      </c>
      <c r="BX99" s="2780">
        <v>1</v>
      </c>
      <c r="BY99" s="2780">
        <v>1</v>
      </c>
      <c r="BZ99" s="2780">
        <v>1</v>
      </c>
      <c r="CA99" s="2780">
        <v>1</v>
      </c>
      <c r="CB99" s="2780"/>
      <c r="CC99" s="2780"/>
    </row>
    <row r="100" spans="1:81" ht="29.25" customHeight="1">
      <c r="B100" s="6039" t="s">
        <v>3163</v>
      </c>
      <c r="C100" s="5987" t="s">
        <v>2144</v>
      </c>
      <c r="D100" s="5988">
        <v>43258</v>
      </c>
      <c r="E100" s="2778"/>
      <c r="F100" s="2778"/>
      <c r="G100" s="2778"/>
      <c r="H100" s="2778"/>
      <c r="I100" s="2778"/>
      <c r="J100" s="2778"/>
      <c r="K100" s="2778"/>
      <c r="L100" s="2778"/>
      <c r="M100" s="2778"/>
      <c r="N100" s="2778"/>
      <c r="O100" s="2778"/>
      <c r="P100" s="2778"/>
      <c r="Q100" s="2778"/>
      <c r="R100" s="2778"/>
      <c r="S100" s="2778"/>
      <c r="T100" s="2778"/>
      <c r="U100" s="2778"/>
      <c r="V100" s="2778"/>
      <c r="W100" s="2778"/>
      <c r="X100" s="2778"/>
      <c r="Y100" s="2778"/>
      <c r="Z100" s="2778"/>
      <c r="AA100" s="2778"/>
      <c r="AB100" s="2778"/>
      <c r="AC100" s="2778"/>
      <c r="AD100" s="2778"/>
      <c r="AE100" s="2778"/>
      <c r="AF100" s="2778"/>
      <c r="AG100" s="2783" t="s">
        <v>492</v>
      </c>
      <c r="AH100" s="2713"/>
      <c r="AI100" s="2713"/>
      <c r="AJ100" s="2713"/>
      <c r="AK100" s="2713"/>
      <c r="AL100" s="2713"/>
      <c r="AM100" s="2713"/>
      <c r="AN100" s="2713"/>
      <c r="AO100" s="2713"/>
      <c r="AP100" s="2713"/>
      <c r="AQ100" s="2713"/>
      <c r="AR100" s="2713"/>
      <c r="AS100" s="2713"/>
      <c r="AT100" s="2714"/>
      <c r="AU100" s="2713"/>
      <c r="AV100" s="2713"/>
      <c r="AW100" s="2714"/>
      <c r="AX100" s="2714"/>
      <c r="AY100" s="5991" t="s">
        <v>2354</v>
      </c>
      <c r="AZ100" s="3906"/>
      <c r="BA100" s="3339"/>
      <c r="BB100" s="3339"/>
      <c r="BC100" s="3906"/>
      <c r="BD100" s="3339"/>
      <c r="BE100" s="3339"/>
      <c r="BF100" s="3339"/>
      <c r="BG100" s="3339"/>
      <c r="BH100" s="3339"/>
      <c r="BI100" s="3339"/>
      <c r="BJ100" s="3339"/>
      <c r="BK100" s="3339"/>
      <c r="BL100" s="3339"/>
      <c r="BM100" s="3339"/>
      <c r="BN100" s="3339"/>
      <c r="BO100" s="3339"/>
      <c r="BP100" s="2780"/>
      <c r="BQ100" s="2780"/>
      <c r="BR100" s="2780"/>
      <c r="BS100" s="2780"/>
      <c r="BT100" s="2780"/>
      <c r="BU100" s="2780"/>
      <c r="BV100" s="2780"/>
      <c r="BW100" s="2780"/>
      <c r="BX100" s="2780"/>
      <c r="BY100" s="2780"/>
      <c r="BZ100" s="2780"/>
      <c r="CA100" s="2780"/>
      <c r="CB100" s="2780"/>
      <c r="CC100" s="2780"/>
    </row>
    <row r="101" spans="1:81" ht="29.4" thickBot="1">
      <c r="B101" s="6039" t="s">
        <v>3164</v>
      </c>
      <c r="C101" s="5987" t="s">
        <v>2144</v>
      </c>
      <c r="D101" s="5988">
        <v>43258</v>
      </c>
      <c r="E101" s="2778"/>
      <c r="F101" s="2778"/>
      <c r="G101" s="2778"/>
      <c r="H101" s="2778"/>
      <c r="I101" s="2778"/>
      <c r="J101" s="2778"/>
      <c r="K101" s="2778"/>
      <c r="L101" s="2778"/>
      <c r="M101" s="2778"/>
      <c r="N101" s="2778"/>
      <c r="O101" s="2778"/>
      <c r="P101" s="2778"/>
      <c r="Q101" s="2778"/>
      <c r="R101" s="2778"/>
      <c r="S101" s="2778"/>
      <c r="T101" s="2778"/>
      <c r="U101" s="2778"/>
      <c r="V101" s="2778"/>
      <c r="W101" s="2778"/>
      <c r="X101" s="2778"/>
      <c r="Y101" s="2778"/>
      <c r="Z101" s="2778"/>
      <c r="AA101" s="2778"/>
      <c r="AB101" s="2778"/>
      <c r="AC101" s="2778"/>
      <c r="AD101" s="2778"/>
      <c r="AE101" s="2778"/>
      <c r="AF101" s="2778"/>
      <c r="AG101" s="2783" t="s">
        <v>493</v>
      </c>
      <c r="AH101" s="2713"/>
      <c r="AI101" s="2713"/>
      <c r="AJ101" s="2713"/>
      <c r="AK101" s="2713"/>
      <c r="AL101" s="2713"/>
      <c r="AM101" s="2713"/>
      <c r="AN101" s="2713"/>
      <c r="AO101" s="2713"/>
      <c r="AP101" s="2713"/>
      <c r="AQ101" s="5970"/>
      <c r="AR101" s="2713"/>
      <c r="AS101" s="2713"/>
      <c r="AT101" s="2714"/>
      <c r="AU101" s="2713"/>
      <c r="AV101" s="2713"/>
      <c r="AW101" s="2714"/>
      <c r="AX101" s="2714"/>
      <c r="AY101" s="5991" t="s">
        <v>2354</v>
      </c>
      <c r="AZ101" s="3906"/>
      <c r="BA101" s="3339"/>
      <c r="BB101" s="3339"/>
      <c r="BC101" s="3906"/>
      <c r="BD101" s="3339"/>
      <c r="BE101" s="3339"/>
      <c r="BF101" s="3339"/>
      <c r="BG101" s="3339"/>
      <c r="BH101" s="3339"/>
      <c r="BI101" s="3339"/>
      <c r="BJ101" s="3339"/>
      <c r="BK101" s="3339"/>
      <c r="BL101" s="3339"/>
      <c r="BM101" s="3339"/>
      <c r="BN101" s="3339"/>
      <c r="BO101" s="3339"/>
      <c r="BP101" s="2780"/>
      <c r="BQ101" s="2780"/>
      <c r="BR101" s="2780"/>
      <c r="BS101" s="2780"/>
      <c r="BT101" s="2780"/>
      <c r="BU101" s="2780"/>
      <c r="BV101" s="2780"/>
      <c r="BW101" s="2780"/>
      <c r="BX101" s="2780"/>
      <c r="BY101" s="2780"/>
      <c r="BZ101" s="2780"/>
      <c r="CA101" s="2780"/>
      <c r="CB101" s="2780"/>
      <c r="CC101" s="2780"/>
    </row>
    <row r="102" spans="1:81" ht="29.25" customHeight="1">
      <c r="B102" s="6039" t="s">
        <v>3104</v>
      </c>
      <c r="C102" s="5987" t="s">
        <v>1487</v>
      </c>
      <c r="D102" s="5995">
        <v>42355</v>
      </c>
      <c r="E102" s="2778"/>
      <c r="F102" s="2778"/>
      <c r="G102" s="2778"/>
      <c r="H102" s="2778"/>
      <c r="I102" s="2778"/>
      <c r="J102" s="2778"/>
      <c r="K102" s="2778"/>
      <c r="L102" s="2778"/>
      <c r="M102" s="2778"/>
      <c r="N102" s="2778"/>
      <c r="O102" s="2778"/>
      <c r="P102" s="2778"/>
      <c r="Q102" s="2778"/>
      <c r="R102" s="2778"/>
      <c r="S102" s="2778"/>
      <c r="T102" s="2778"/>
      <c r="U102" s="2778"/>
      <c r="V102" s="2778"/>
      <c r="W102" s="2778"/>
      <c r="X102" s="2778"/>
      <c r="Y102" s="2778"/>
      <c r="Z102" s="2778"/>
      <c r="AA102" s="2778"/>
      <c r="AB102" s="2778"/>
      <c r="AC102" s="2778"/>
      <c r="AD102" s="2778"/>
      <c r="AE102" s="2778"/>
      <c r="AF102" s="2778"/>
      <c r="AG102" s="2778"/>
      <c r="AH102" s="2713"/>
      <c r="AI102" s="2713"/>
      <c r="AJ102" s="2713"/>
      <c r="AK102" s="2713"/>
      <c r="AL102" s="2713"/>
      <c r="AM102" s="2713"/>
      <c r="AN102" s="2713"/>
      <c r="AO102" s="2713"/>
      <c r="AP102" s="2714"/>
      <c r="AQ102" s="5996" t="s">
        <v>1711</v>
      </c>
      <c r="AR102" s="3904"/>
      <c r="AS102" s="2713"/>
      <c r="AT102" s="2714"/>
      <c r="AU102" s="2713"/>
      <c r="AV102" s="2713"/>
      <c r="AW102" s="2714"/>
      <c r="AX102" s="2713"/>
      <c r="AY102" s="5997"/>
      <c r="AZ102" s="3339"/>
      <c r="BA102" s="3339"/>
      <c r="BB102" s="3339"/>
      <c r="BC102" s="3906"/>
      <c r="BD102" s="3339"/>
      <c r="BE102" s="3339"/>
      <c r="BF102" s="3339"/>
      <c r="BG102" s="3339"/>
      <c r="BH102" s="3339"/>
      <c r="BI102" s="3339"/>
      <c r="BJ102" s="3339"/>
      <c r="BK102" s="3339"/>
      <c r="BL102" s="3339"/>
      <c r="BM102" s="3339"/>
      <c r="BN102" s="3339"/>
      <c r="BO102" s="3339"/>
      <c r="BP102" s="2780"/>
      <c r="BQ102" s="2780"/>
      <c r="BR102" s="2780"/>
      <c r="BS102" s="2780"/>
      <c r="BT102" s="2780"/>
      <c r="BU102" s="2780"/>
      <c r="BV102" s="2780"/>
      <c r="BW102" s="2780"/>
      <c r="BX102" s="2798"/>
      <c r="BY102" s="2798"/>
      <c r="BZ102" s="2798"/>
      <c r="CA102" s="2798"/>
      <c r="CB102" s="2798"/>
      <c r="CC102" s="2798"/>
    </row>
    <row r="103" spans="1:81" ht="29.25" customHeight="1">
      <c r="B103" s="6012" t="s">
        <v>3094</v>
      </c>
      <c r="C103" s="6013"/>
      <c r="D103" s="6014"/>
      <c r="E103" s="6015"/>
      <c r="F103" s="6015"/>
      <c r="G103" s="6015"/>
      <c r="H103" s="6015"/>
      <c r="I103" s="6015"/>
      <c r="J103" s="6015"/>
      <c r="K103" s="6015"/>
      <c r="L103" s="6015"/>
      <c r="M103" s="6015"/>
      <c r="N103" s="6015"/>
      <c r="O103" s="6015"/>
      <c r="P103" s="6015"/>
      <c r="Q103" s="6015"/>
      <c r="R103" s="6015"/>
      <c r="S103" s="6015"/>
      <c r="T103" s="6015"/>
      <c r="U103" s="6015"/>
      <c r="V103" s="6015"/>
      <c r="W103" s="6015"/>
      <c r="X103" s="6015"/>
      <c r="Y103" s="6015"/>
      <c r="Z103" s="6015"/>
      <c r="AA103" s="6015"/>
      <c r="AB103" s="6015"/>
      <c r="AC103" s="6015"/>
      <c r="AD103" s="6015"/>
      <c r="AE103" s="6016"/>
      <c r="AF103" s="6015"/>
      <c r="AG103" s="6015"/>
      <c r="AH103" s="6016"/>
      <c r="AI103" s="6016"/>
      <c r="AJ103" s="6016"/>
      <c r="AK103" s="6016"/>
      <c r="AL103" s="6016"/>
      <c r="AM103" s="6016"/>
      <c r="AN103" s="6016"/>
      <c r="AO103" s="6016"/>
      <c r="AP103" s="6016"/>
      <c r="AQ103" s="6016"/>
      <c r="AR103" s="6016"/>
      <c r="AS103" s="6016"/>
      <c r="AT103" s="6016"/>
      <c r="AU103" s="6017"/>
      <c r="AV103" s="6018"/>
      <c r="AW103" s="6019"/>
      <c r="AX103" s="6016"/>
      <c r="AY103" s="5942"/>
      <c r="AZ103" s="5942"/>
      <c r="BA103" s="5942"/>
      <c r="BB103" s="5942"/>
      <c r="BC103" s="5942"/>
      <c r="BD103" s="5942"/>
      <c r="BE103" s="5942"/>
      <c r="BF103" s="5942"/>
      <c r="BG103" s="5942"/>
      <c r="BH103" s="5942"/>
      <c r="BI103" s="5942"/>
      <c r="BJ103" s="5942"/>
      <c r="BK103" s="5942"/>
      <c r="BL103" s="5942"/>
      <c r="BM103" s="5942"/>
      <c r="BN103" s="5942"/>
      <c r="BO103" s="5942"/>
      <c r="BP103" s="6020"/>
      <c r="BQ103" s="6020"/>
      <c r="BR103" s="6020"/>
      <c r="BS103" s="6020"/>
      <c r="BT103" s="6020"/>
      <c r="BU103" s="6020"/>
      <c r="BV103" s="6020"/>
      <c r="BW103" s="6020"/>
      <c r="BX103" s="6020"/>
      <c r="BY103" s="6020"/>
      <c r="BZ103" s="6020"/>
      <c r="CA103" s="6020"/>
      <c r="CB103" s="6020"/>
      <c r="CC103" s="6020"/>
    </row>
    <row r="104" spans="1:81" ht="29.25" customHeight="1">
      <c r="A104" s="162">
        <v>81</v>
      </c>
      <c r="B104" s="6039" t="s">
        <v>3106</v>
      </c>
      <c r="C104" s="5987" t="s">
        <v>3095</v>
      </c>
      <c r="D104" s="6041">
        <v>44656</v>
      </c>
      <c r="E104" s="2813"/>
      <c r="F104" s="2813"/>
      <c r="G104" s="2813"/>
      <c r="H104" s="2813"/>
      <c r="I104" s="2813"/>
      <c r="J104" s="2813"/>
      <c r="K104" s="2813"/>
      <c r="L104" s="2813"/>
      <c r="M104" s="2813"/>
      <c r="N104" s="2813"/>
      <c r="O104" s="2813"/>
      <c r="P104" s="2813"/>
      <c r="Q104" s="2813"/>
      <c r="R104" s="2813"/>
      <c r="S104" s="2813"/>
      <c r="T104" s="2813"/>
      <c r="U104" s="2813"/>
      <c r="V104" s="2813"/>
      <c r="W104" s="2813"/>
      <c r="X104" s="2813"/>
      <c r="Y104" s="2813"/>
      <c r="Z104" s="2813"/>
      <c r="AA104" s="2813"/>
      <c r="AB104" s="2813"/>
      <c r="AC104" s="2813"/>
      <c r="AD104" s="2813"/>
      <c r="AE104" s="2813"/>
      <c r="AF104" s="2813"/>
      <c r="AG104" s="2813"/>
      <c r="AH104" s="2781"/>
      <c r="AI104" s="2778"/>
      <c r="AJ104" s="2778"/>
      <c r="AK104" s="2778"/>
      <c r="AL104" s="2778"/>
      <c r="AM104" s="2778"/>
      <c r="AN104" s="2778"/>
      <c r="AO104" s="2778"/>
      <c r="AP104" s="2778"/>
      <c r="AQ104" s="2778"/>
      <c r="AR104" s="2778"/>
      <c r="AS104" s="2778"/>
      <c r="AT104" s="2778"/>
      <c r="AU104" s="2778"/>
      <c r="AV104" s="2778"/>
      <c r="AW104" s="2778"/>
      <c r="AX104" s="2778"/>
      <c r="AY104" s="3352"/>
      <c r="AZ104" s="3352"/>
      <c r="BA104" s="3352"/>
      <c r="BB104" s="3352"/>
      <c r="BC104" s="3908"/>
      <c r="BD104" s="3352"/>
      <c r="BE104" s="3352"/>
      <c r="BF104" s="3352"/>
      <c r="BG104" s="3352"/>
      <c r="BH104" s="3352"/>
      <c r="BI104" s="3352"/>
      <c r="BJ104" s="5943" t="s">
        <v>3090</v>
      </c>
      <c r="BK104" s="2782" t="s">
        <v>3336</v>
      </c>
      <c r="BL104" s="3352"/>
      <c r="BM104" s="2778"/>
      <c r="BN104" s="2712" t="s">
        <v>3337</v>
      </c>
      <c r="BO104" s="3352"/>
      <c r="BP104" s="2780"/>
      <c r="BQ104" s="2780"/>
      <c r="BR104" s="2780"/>
      <c r="BS104" s="2780"/>
      <c r="BT104" s="2780"/>
      <c r="BU104" s="2780"/>
      <c r="BV104" s="2780"/>
      <c r="BW104" s="2780"/>
      <c r="BX104" s="2780"/>
      <c r="BY104" s="2780"/>
      <c r="BZ104" s="2780"/>
      <c r="CA104" s="2780"/>
      <c r="CB104" s="2780">
        <v>1</v>
      </c>
      <c r="CC104" s="2780">
        <v>1</v>
      </c>
    </row>
    <row r="105" spans="1:81" ht="29.25" customHeight="1">
      <c r="A105" s="162">
        <v>82</v>
      </c>
      <c r="B105" s="6039" t="s">
        <v>291</v>
      </c>
      <c r="C105" s="5987" t="s">
        <v>3095</v>
      </c>
      <c r="D105" s="6041">
        <v>44656</v>
      </c>
      <c r="E105" s="2813"/>
      <c r="F105" s="2813"/>
      <c r="G105" s="2813"/>
      <c r="H105" s="2813"/>
      <c r="I105" s="2813"/>
      <c r="J105" s="2813"/>
      <c r="K105" s="2813"/>
      <c r="L105" s="2813"/>
      <c r="M105" s="2813"/>
      <c r="N105" s="2813"/>
      <c r="O105" s="2813"/>
      <c r="P105" s="2813"/>
      <c r="Q105" s="2813"/>
      <c r="R105" s="2813"/>
      <c r="S105" s="2813"/>
      <c r="T105" s="2813"/>
      <c r="U105" s="2813"/>
      <c r="V105" s="2813"/>
      <c r="W105" s="2813"/>
      <c r="X105" s="2813"/>
      <c r="Y105" s="2813"/>
      <c r="Z105" s="2813"/>
      <c r="AA105" s="2813"/>
      <c r="AB105" s="2813"/>
      <c r="AC105" s="2813"/>
      <c r="AD105" s="2813"/>
      <c r="AE105" s="2813"/>
      <c r="AF105" s="2813"/>
      <c r="AG105" s="2813"/>
      <c r="AH105" s="2781"/>
      <c r="AI105" s="2778"/>
      <c r="AJ105" s="2778"/>
      <c r="AK105" s="2778"/>
      <c r="AL105" s="2778"/>
      <c r="AM105" s="2778"/>
      <c r="AN105" s="2778"/>
      <c r="AO105" s="2778"/>
      <c r="AP105" s="2778"/>
      <c r="AQ105" s="2778"/>
      <c r="AR105" s="2778"/>
      <c r="AS105" s="2778"/>
      <c r="AT105" s="2778"/>
      <c r="AU105" s="2778"/>
      <c r="AV105" s="2778"/>
      <c r="AW105" s="2778"/>
      <c r="AX105" s="2778"/>
      <c r="AY105" s="3352"/>
      <c r="AZ105" s="3352"/>
      <c r="BA105" s="3352"/>
      <c r="BB105" s="3352"/>
      <c r="BC105" s="3908"/>
      <c r="BD105" s="3352"/>
      <c r="BE105" s="3352"/>
      <c r="BF105" s="3352"/>
      <c r="BG105" s="3352"/>
      <c r="BH105" s="3352"/>
      <c r="BI105" s="3352"/>
      <c r="BJ105" s="5943" t="s">
        <v>3090</v>
      </c>
      <c r="BK105" s="2782" t="s">
        <v>3336</v>
      </c>
      <c r="BL105" s="3352"/>
      <c r="BM105" s="2778"/>
      <c r="BN105" s="2712" t="s">
        <v>3337</v>
      </c>
      <c r="BO105" s="3352"/>
      <c r="BP105" s="2780"/>
      <c r="BQ105" s="2780"/>
      <c r="BR105" s="2780"/>
      <c r="BS105" s="2780"/>
      <c r="BT105" s="2780"/>
      <c r="BU105" s="2780"/>
      <c r="BV105" s="2780"/>
      <c r="BW105" s="2780"/>
      <c r="BX105" s="2780"/>
      <c r="BY105" s="2780"/>
      <c r="BZ105" s="2780"/>
      <c r="CA105" s="2780"/>
      <c r="CB105" s="2780">
        <v>1</v>
      </c>
      <c r="CC105" s="2780">
        <v>1</v>
      </c>
    </row>
    <row r="106" spans="1:81" ht="29.25" customHeight="1">
      <c r="B106" s="2803" t="s">
        <v>347</v>
      </c>
      <c r="C106" s="5998"/>
      <c r="D106" s="2803"/>
      <c r="E106" s="3349"/>
      <c r="F106" s="3349"/>
      <c r="G106" s="3349"/>
      <c r="H106" s="3349"/>
      <c r="I106" s="3349"/>
      <c r="J106" s="3349"/>
      <c r="K106" s="3349"/>
      <c r="L106" s="3349"/>
      <c r="M106" s="3349"/>
      <c r="N106" s="3349"/>
      <c r="O106" s="3349"/>
      <c r="P106" s="3349"/>
      <c r="Q106" s="3349"/>
      <c r="R106" s="3349"/>
      <c r="S106" s="3349"/>
      <c r="T106" s="3349"/>
      <c r="U106" s="3349"/>
      <c r="V106" s="3349"/>
      <c r="W106" s="3349"/>
      <c r="X106" s="3349"/>
      <c r="Y106" s="3349"/>
      <c r="Z106" s="3349"/>
      <c r="AA106" s="3349"/>
      <c r="AB106" s="3349"/>
      <c r="AC106" s="3349"/>
      <c r="AD106" s="3349"/>
      <c r="AE106" s="3349"/>
      <c r="AF106" s="3349"/>
      <c r="AG106" s="3349"/>
      <c r="AH106" s="3349"/>
      <c r="AI106" s="3349"/>
      <c r="AJ106" s="3349"/>
      <c r="AK106" s="3349"/>
      <c r="AL106" s="3349"/>
      <c r="AM106" s="3349"/>
      <c r="AN106" s="3349"/>
      <c r="AO106" s="3349"/>
      <c r="AP106" s="3349"/>
      <c r="AQ106" s="5999"/>
      <c r="AR106" s="5940"/>
      <c r="AS106" s="5940"/>
      <c r="AT106" s="5940"/>
      <c r="AU106" s="6000"/>
      <c r="AV106" s="5940"/>
      <c r="AW106" s="5940"/>
      <c r="AX106" s="5940"/>
      <c r="AY106" s="5940"/>
      <c r="AZ106" s="5940"/>
      <c r="BA106" s="5940"/>
      <c r="BB106" s="5940"/>
      <c r="BC106" s="5940"/>
      <c r="BD106" s="5940"/>
      <c r="BE106" s="5940"/>
      <c r="BF106" s="5940"/>
      <c r="BG106" s="5940"/>
      <c r="BH106" s="5940"/>
      <c r="BI106" s="5940"/>
      <c r="BJ106" s="5940"/>
      <c r="BK106" s="5940"/>
      <c r="BL106" s="5940"/>
      <c r="BM106" s="5940"/>
      <c r="BN106" s="5940"/>
      <c r="BO106" s="5940"/>
      <c r="BP106" s="5940"/>
      <c r="BQ106" s="5940"/>
      <c r="BR106" s="5940"/>
      <c r="BS106" s="2804"/>
      <c r="BT106" s="2804"/>
      <c r="BU106" s="2804"/>
      <c r="BV106" s="2804"/>
      <c r="BW106" s="2804"/>
      <c r="BX106" s="2804"/>
      <c r="BY106" s="2804"/>
      <c r="BZ106" s="2804"/>
      <c r="CA106" s="2804"/>
      <c r="CB106" s="2804"/>
      <c r="CC106" s="2804"/>
    </row>
    <row r="107" spans="1:81" ht="29.25" customHeight="1">
      <c r="A107" s="162">
        <f>+A105+1</f>
        <v>83</v>
      </c>
      <c r="B107" s="2694" t="s">
        <v>289</v>
      </c>
      <c r="C107" s="5959" t="s">
        <v>2150</v>
      </c>
      <c r="D107" s="5960">
        <v>43039</v>
      </c>
      <c r="E107" s="2778"/>
      <c r="F107" s="2778"/>
      <c r="G107" s="2778"/>
      <c r="H107" s="2778"/>
      <c r="I107" s="2778"/>
      <c r="J107" s="2778"/>
      <c r="K107" s="2778"/>
      <c r="L107" s="2778"/>
      <c r="M107" s="2778"/>
      <c r="N107" s="2778"/>
      <c r="O107" s="2778"/>
      <c r="P107" s="2778"/>
      <c r="Q107" s="2778"/>
      <c r="R107" s="2778"/>
      <c r="S107" s="2778"/>
      <c r="T107" s="2778"/>
      <c r="U107" s="2778"/>
      <c r="V107" s="2778"/>
      <c r="W107" s="2778"/>
      <c r="X107" s="2778"/>
      <c r="Y107" s="2778"/>
      <c r="Z107" s="2778"/>
      <c r="AA107" s="2778"/>
      <c r="AB107" s="2715" t="s">
        <v>242</v>
      </c>
      <c r="AC107" s="2781"/>
      <c r="AD107" s="2778"/>
      <c r="AE107" s="2778"/>
      <c r="AF107" s="2778"/>
      <c r="AG107" s="2778"/>
      <c r="AH107" s="2713"/>
      <c r="AI107" s="2713"/>
      <c r="AJ107" s="2713"/>
      <c r="AK107" s="2713"/>
      <c r="AL107" s="2713"/>
      <c r="AM107" s="2713"/>
      <c r="AN107" s="2713"/>
      <c r="AO107" s="2713"/>
      <c r="AP107" s="2713"/>
      <c r="AQ107" s="2713"/>
      <c r="AR107" s="2713"/>
      <c r="AS107" s="2713"/>
      <c r="AT107" s="2714"/>
      <c r="AU107" s="2713"/>
      <c r="AV107" s="2713"/>
      <c r="AW107" s="2779" t="s">
        <v>2151</v>
      </c>
      <c r="AX107" s="2778"/>
      <c r="AY107" s="2778"/>
      <c r="AZ107" s="2778"/>
      <c r="BA107" s="2778"/>
      <c r="BB107" s="2778"/>
      <c r="BC107" s="3907"/>
      <c r="BD107" s="2778"/>
      <c r="BE107" s="2778"/>
      <c r="BF107" s="2778"/>
      <c r="BG107" s="2778"/>
      <c r="BH107" s="2778"/>
      <c r="BI107" s="2778"/>
      <c r="BJ107" s="2778"/>
      <c r="BK107" s="2778"/>
      <c r="BL107" s="2778"/>
      <c r="BM107" s="2778"/>
      <c r="BN107" s="2778"/>
      <c r="BO107" s="2778"/>
      <c r="BP107" s="2780"/>
      <c r="BQ107" s="2780">
        <v>1</v>
      </c>
      <c r="BR107" s="2780">
        <v>1</v>
      </c>
      <c r="BS107" s="2780">
        <v>1</v>
      </c>
      <c r="BT107" s="2780">
        <v>1</v>
      </c>
      <c r="BU107" s="2780"/>
      <c r="BV107" s="2780"/>
      <c r="BW107" s="2780">
        <v>1</v>
      </c>
      <c r="BX107" s="2780">
        <v>1</v>
      </c>
      <c r="BY107" s="2780">
        <v>1</v>
      </c>
      <c r="BZ107" s="2780">
        <v>1</v>
      </c>
      <c r="CA107" s="2780">
        <v>1</v>
      </c>
      <c r="CB107" s="2780"/>
      <c r="CC107" s="2780"/>
    </row>
    <row r="108" spans="1:81" ht="29.25" customHeight="1">
      <c r="A108" s="162">
        <f>+A107+1</f>
        <v>84</v>
      </c>
      <c r="B108" s="2694" t="s">
        <v>661</v>
      </c>
      <c r="C108" s="5959" t="s">
        <v>1696</v>
      </c>
      <c r="D108" s="6001">
        <v>42529</v>
      </c>
      <c r="E108" s="2778"/>
      <c r="F108" s="2778"/>
      <c r="G108" s="2778"/>
      <c r="H108" s="2778"/>
      <c r="I108" s="2778"/>
      <c r="J108" s="2778"/>
      <c r="K108" s="2778"/>
      <c r="L108" s="2778"/>
      <c r="M108" s="2778"/>
      <c r="N108" s="2778"/>
      <c r="O108" s="2778"/>
      <c r="P108" s="2778"/>
      <c r="Q108" s="2778"/>
      <c r="R108" s="2778"/>
      <c r="S108" s="2778"/>
      <c r="T108" s="2778"/>
      <c r="U108" s="2778"/>
      <c r="V108" s="2778"/>
      <c r="W108" s="2778"/>
      <c r="X108" s="2778"/>
      <c r="Y108" s="2778"/>
      <c r="Z108" s="2778"/>
      <c r="AA108" s="2778"/>
      <c r="AB108" s="2715" t="s">
        <v>232</v>
      </c>
      <c r="AC108" s="2778"/>
      <c r="AD108" s="2778"/>
      <c r="AE108" s="2778"/>
      <c r="AF108" s="2778"/>
      <c r="AG108" s="2778"/>
      <c r="AH108" s="2713"/>
      <c r="AI108" s="2713"/>
      <c r="AJ108" s="2713"/>
      <c r="AK108" s="2713"/>
      <c r="AL108" s="2713"/>
      <c r="AM108" s="2713"/>
      <c r="AN108" s="2715" t="s">
        <v>693</v>
      </c>
      <c r="AO108" s="2778"/>
      <c r="AP108" s="2778"/>
      <c r="AQ108" s="2778"/>
      <c r="AR108" s="2715" t="s">
        <v>1716</v>
      </c>
      <c r="AS108" s="2778"/>
      <c r="AT108" s="2784"/>
      <c r="AU108" s="2778"/>
      <c r="AV108" s="2778"/>
      <c r="AW108" s="2784"/>
      <c r="AX108" s="2778"/>
      <c r="AY108" s="2778"/>
      <c r="AZ108" s="2778"/>
      <c r="BA108" s="2778"/>
      <c r="BB108" s="2778"/>
      <c r="BC108" s="3907"/>
      <c r="BD108" s="2778"/>
      <c r="BE108" s="2778"/>
      <c r="BF108" s="2778"/>
      <c r="BG108" s="2778"/>
      <c r="BH108" s="2778"/>
      <c r="BI108" s="2778"/>
      <c r="BJ108" s="2778"/>
      <c r="BK108" s="2778"/>
      <c r="BL108" s="2778"/>
      <c r="BM108" s="2778"/>
      <c r="BN108" s="2778"/>
      <c r="BO108" s="2778"/>
      <c r="BP108" s="2780"/>
      <c r="BQ108" s="2780">
        <v>1</v>
      </c>
      <c r="BR108" s="2780">
        <v>1</v>
      </c>
      <c r="BS108" s="2780">
        <v>1</v>
      </c>
      <c r="BT108" s="2780">
        <v>1</v>
      </c>
      <c r="BU108" s="2780">
        <v>1</v>
      </c>
      <c r="BV108" s="2780">
        <v>1</v>
      </c>
      <c r="BW108" s="2780">
        <v>1</v>
      </c>
      <c r="BX108" s="2780">
        <v>1</v>
      </c>
      <c r="BY108" s="2780">
        <v>1</v>
      </c>
      <c r="BZ108" s="2780">
        <v>1</v>
      </c>
      <c r="CA108" s="2780"/>
      <c r="CB108" s="2780"/>
      <c r="CC108" s="2780"/>
    </row>
    <row r="109" spans="1:81" ht="29.25" customHeight="1">
      <c r="A109" s="162">
        <f t="shared" ref="A109:A111" si="6">+A108+1</f>
        <v>85</v>
      </c>
      <c r="B109" s="2694" t="s">
        <v>662</v>
      </c>
      <c r="C109" s="5959" t="s">
        <v>1696</v>
      </c>
      <c r="D109" s="6001">
        <v>42529</v>
      </c>
      <c r="E109" s="2778"/>
      <c r="F109" s="2778"/>
      <c r="G109" s="2778"/>
      <c r="H109" s="2778"/>
      <c r="I109" s="2778"/>
      <c r="J109" s="2778"/>
      <c r="K109" s="2778"/>
      <c r="L109" s="2778"/>
      <c r="M109" s="2778"/>
      <c r="N109" s="2778"/>
      <c r="O109" s="2778"/>
      <c r="P109" s="2778"/>
      <c r="Q109" s="2778"/>
      <c r="R109" s="2778"/>
      <c r="S109" s="2778"/>
      <c r="T109" s="2778"/>
      <c r="U109" s="2778"/>
      <c r="V109" s="2778"/>
      <c r="W109" s="2778"/>
      <c r="X109" s="2778"/>
      <c r="Y109" s="2778"/>
      <c r="Z109" s="2778"/>
      <c r="AA109" s="2778"/>
      <c r="AB109" s="2715" t="s">
        <v>232</v>
      </c>
      <c r="AC109" s="2778"/>
      <c r="AD109" s="2778"/>
      <c r="AE109" s="2778"/>
      <c r="AF109" s="2778"/>
      <c r="AG109" s="2778"/>
      <c r="AH109" s="2713"/>
      <c r="AI109" s="2713"/>
      <c r="AJ109" s="2713"/>
      <c r="AK109" s="2713"/>
      <c r="AL109" s="2713"/>
      <c r="AM109" s="2713"/>
      <c r="AN109" s="2715" t="s">
        <v>693</v>
      </c>
      <c r="AO109" s="2778"/>
      <c r="AP109" s="2778"/>
      <c r="AQ109" s="2778"/>
      <c r="AR109" s="2715" t="s">
        <v>1716</v>
      </c>
      <c r="AS109" s="2778"/>
      <c r="AT109" s="2784"/>
      <c r="AU109" s="2778"/>
      <c r="AV109" s="2778"/>
      <c r="AW109" s="2784"/>
      <c r="AX109" s="2778"/>
      <c r="AY109" s="2778"/>
      <c r="AZ109" s="2778"/>
      <c r="BA109" s="2778"/>
      <c r="BB109" s="2778"/>
      <c r="BC109" s="3907"/>
      <c r="BD109" s="2778"/>
      <c r="BE109" s="2778"/>
      <c r="BF109" s="2778"/>
      <c r="BG109" s="2778"/>
      <c r="BH109" s="2778"/>
      <c r="BI109" s="2778"/>
      <c r="BJ109" s="2778"/>
      <c r="BK109" s="2778"/>
      <c r="BL109" s="2778"/>
      <c r="BM109" s="2778"/>
      <c r="BN109" s="2778"/>
      <c r="BO109" s="2778"/>
      <c r="BP109" s="2780"/>
      <c r="BQ109" s="2780">
        <v>1</v>
      </c>
      <c r="BR109" s="2780">
        <v>1</v>
      </c>
      <c r="BS109" s="2780">
        <v>1</v>
      </c>
      <c r="BT109" s="2780">
        <v>1</v>
      </c>
      <c r="BU109" s="2780">
        <v>1</v>
      </c>
      <c r="BV109" s="2780">
        <v>1</v>
      </c>
      <c r="BW109" s="2780">
        <v>1</v>
      </c>
      <c r="BX109" s="2780">
        <v>1</v>
      </c>
      <c r="BY109" s="2780">
        <v>1</v>
      </c>
      <c r="BZ109" s="2780">
        <v>1</v>
      </c>
      <c r="CA109" s="2780"/>
      <c r="CB109" s="2780"/>
      <c r="CC109" s="2780"/>
    </row>
    <row r="110" spans="1:81" ht="29.25" customHeight="1">
      <c r="A110" s="162">
        <f t="shared" si="6"/>
        <v>86</v>
      </c>
      <c r="B110" s="2694" t="s">
        <v>663</v>
      </c>
      <c r="C110" s="5959" t="s">
        <v>1696</v>
      </c>
      <c r="D110" s="6001">
        <v>42529</v>
      </c>
      <c r="E110" s="2778"/>
      <c r="F110" s="2778"/>
      <c r="G110" s="2778"/>
      <c r="H110" s="2778"/>
      <c r="I110" s="2778"/>
      <c r="J110" s="2778"/>
      <c r="K110" s="2778"/>
      <c r="L110" s="2778"/>
      <c r="M110" s="2778"/>
      <c r="N110" s="2778"/>
      <c r="O110" s="2778"/>
      <c r="P110" s="2778"/>
      <c r="Q110" s="2778"/>
      <c r="R110" s="2778"/>
      <c r="S110" s="2778"/>
      <c r="T110" s="2778"/>
      <c r="U110" s="2778"/>
      <c r="V110" s="2778"/>
      <c r="W110" s="2778"/>
      <c r="X110" s="2778"/>
      <c r="Y110" s="2778"/>
      <c r="Z110" s="2778"/>
      <c r="AA110" s="2778"/>
      <c r="AB110" s="2715" t="s">
        <v>232</v>
      </c>
      <c r="AC110" s="2778"/>
      <c r="AD110" s="2778"/>
      <c r="AE110" s="2778"/>
      <c r="AF110" s="2778"/>
      <c r="AG110" s="2778"/>
      <c r="AH110" s="2713"/>
      <c r="AI110" s="2713"/>
      <c r="AJ110" s="2713"/>
      <c r="AK110" s="2713"/>
      <c r="AL110" s="2713"/>
      <c r="AM110" s="2713"/>
      <c r="AN110" s="2715" t="s">
        <v>693</v>
      </c>
      <c r="AO110" s="2778"/>
      <c r="AP110" s="2778"/>
      <c r="AQ110" s="2778"/>
      <c r="AR110" s="2715" t="s">
        <v>1716</v>
      </c>
      <c r="AS110" s="2778"/>
      <c r="AT110" s="2784"/>
      <c r="AU110" s="2778"/>
      <c r="AV110" s="2778"/>
      <c r="AW110" s="2784"/>
      <c r="AX110" s="2778"/>
      <c r="AY110" s="2778"/>
      <c r="AZ110" s="2778"/>
      <c r="BA110" s="2778"/>
      <c r="BB110" s="2778"/>
      <c r="BC110" s="3907"/>
      <c r="BD110" s="2778"/>
      <c r="BE110" s="2778"/>
      <c r="BF110" s="2778"/>
      <c r="BG110" s="2778"/>
      <c r="BH110" s="2778"/>
      <c r="BI110" s="2778"/>
      <c r="BJ110" s="2778"/>
      <c r="BK110" s="2778"/>
      <c r="BL110" s="2778"/>
      <c r="BM110" s="2778"/>
      <c r="BN110" s="2778"/>
      <c r="BO110" s="2778"/>
      <c r="BP110" s="2780"/>
      <c r="BQ110" s="2780">
        <v>1</v>
      </c>
      <c r="BR110" s="2780">
        <v>1</v>
      </c>
      <c r="BS110" s="2780">
        <v>1</v>
      </c>
      <c r="BT110" s="2780">
        <v>1</v>
      </c>
      <c r="BU110" s="2780">
        <v>1</v>
      </c>
      <c r="BV110" s="2780">
        <v>1</v>
      </c>
      <c r="BW110" s="2780">
        <v>1</v>
      </c>
      <c r="BX110" s="2780">
        <v>1</v>
      </c>
      <c r="BY110" s="2780">
        <v>1</v>
      </c>
      <c r="BZ110" s="2780">
        <v>1</v>
      </c>
      <c r="CA110" s="2780"/>
      <c r="CB110" s="2780"/>
      <c r="CC110" s="2780"/>
    </row>
    <row r="111" spans="1:81" ht="29.25" hidden="1" customHeight="1">
      <c r="A111" s="162">
        <f t="shared" si="6"/>
        <v>87</v>
      </c>
      <c r="B111" s="2694" t="s">
        <v>443</v>
      </c>
      <c r="C111" s="5959" t="s">
        <v>1483</v>
      </c>
      <c r="D111" s="5960" t="s">
        <v>2869</v>
      </c>
      <c r="E111" s="2778"/>
      <c r="F111" s="2778"/>
      <c r="G111" s="2778"/>
      <c r="H111" s="2778"/>
      <c r="I111" s="2778"/>
      <c r="J111" s="2778"/>
      <c r="K111" s="2778"/>
      <c r="L111" s="2778"/>
      <c r="M111" s="2778"/>
      <c r="N111" s="2778"/>
      <c r="O111" s="2778"/>
      <c r="P111" s="2778"/>
      <c r="Q111" s="2778"/>
      <c r="R111" s="2715" t="s">
        <v>233</v>
      </c>
      <c r="S111" s="2778"/>
      <c r="T111" s="2778"/>
      <c r="U111" s="2778"/>
      <c r="V111" s="2778"/>
      <c r="W111" s="2778"/>
      <c r="X111" s="2778"/>
      <c r="Y111" s="2778"/>
      <c r="Z111" s="2778"/>
      <c r="AA111" s="2778"/>
      <c r="AB111" s="2778"/>
      <c r="AC111" s="2778"/>
      <c r="AD111" s="2778"/>
      <c r="AE111" s="2778"/>
      <c r="AF111" s="2778"/>
      <c r="AG111" s="2778"/>
      <c r="AH111" s="2713"/>
      <c r="AI111" s="2713"/>
      <c r="AJ111" s="2713"/>
      <c r="AK111" s="2713"/>
      <c r="AL111" s="2713"/>
      <c r="AM111" s="2713"/>
      <c r="AN111" s="2713"/>
      <c r="AO111" s="2805" t="s">
        <v>1516</v>
      </c>
      <c r="AP111" s="2713"/>
      <c r="AQ111" s="2713"/>
      <c r="AR111" s="2713"/>
      <c r="AS111" s="2713"/>
      <c r="AT111" s="2714"/>
      <c r="AU111" s="2713"/>
      <c r="AV111" s="2713"/>
      <c r="AW111" s="2714"/>
      <c r="AX111" s="2713"/>
      <c r="AY111" s="2713"/>
      <c r="AZ111" s="2713"/>
      <c r="BA111" s="2713"/>
      <c r="BB111" s="2713"/>
      <c r="BC111" s="3904"/>
      <c r="BD111" s="2713"/>
      <c r="BE111" s="2713"/>
      <c r="BF111" s="2713"/>
      <c r="BG111" s="2713"/>
      <c r="BH111" s="2713"/>
      <c r="BI111" s="2713"/>
      <c r="BJ111" s="2713"/>
      <c r="BK111" s="2713"/>
      <c r="BL111" s="2713"/>
      <c r="BM111" s="2713"/>
      <c r="BN111" s="2713"/>
      <c r="BO111" s="2713"/>
      <c r="BP111" s="2780">
        <v>1</v>
      </c>
      <c r="BQ111" s="2780">
        <v>1</v>
      </c>
      <c r="BR111" s="2780">
        <v>1</v>
      </c>
      <c r="BS111" s="2780"/>
      <c r="BT111" s="2780"/>
      <c r="BU111" s="2780">
        <v>1</v>
      </c>
      <c r="BV111" s="2780">
        <v>1</v>
      </c>
      <c r="BW111" s="2780">
        <v>1</v>
      </c>
      <c r="BX111" s="2780">
        <v>1</v>
      </c>
      <c r="BY111" s="2780">
        <v>1</v>
      </c>
      <c r="BZ111" s="2780"/>
      <c r="CA111" s="2780"/>
      <c r="CB111" s="2780"/>
      <c r="CC111" s="2780"/>
    </row>
    <row r="112" spans="1:81" ht="29.25" customHeight="1">
      <c r="A112" s="162">
        <f>A111+1</f>
        <v>88</v>
      </c>
      <c r="B112" s="2694" t="s">
        <v>288</v>
      </c>
      <c r="C112" s="5959" t="s">
        <v>1713</v>
      </c>
      <c r="D112" s="5960">
        <v>42657</v>
      </c>
      <c r="E112" s="2778"/>
      <c r="F112" s="2778"/>
      <c r="G112" s="2778"/>
      <c r="H112" s="2778"/>
      <c r="I112" s="2778"/>
      <c r="J112" s="2778"/>
      <c r="K112" s="2778"/>
      <c r="L112" s="2778"/>
      <c r="M112" s="2778"/>
      <c r="N112" s="2778"/>
      <c r="O112" s="2778"/>
      <c r="P112" s="2778"/>
      <c r="Q112" s="2778"/>
      <c r="R112" s="2715" t="s">
        <v>233</v>
      </c>
      <c r="S112" s="2778"/>
      <c r="T112" s="2778"/>
      <c r="U112" s="2778"/>
      <c r="V112" s="2778"/>
      <c r="W112" s="2778"/>
      <c r="X112" s="2778"/>
      <c r="Y112" s="2778"/>
      <c r="Z112" s="2778"/>
      <c r="AA112" s="2778"/>
      <c r="AB112" s="2778"/>
      <c r="AC112" s="2778"/>
      <c r="AD112" s="2778"/>
      <c r="AE112" s="2778"/>
      <c r="AF112" s="2778"/>
      <c r="AG112" s="2778"/>
      <c r="AH112" s="2713"/>
      <c r="AI112" s="2713"/>
      <c r="AJ112" s="2713"/>
      <c r="AK112" s="2713"/>
      <c r="AL112" s="2713"/>
      <c r="AM112" s="2713"/>
      <c r="AN112" s="2713"/>
      <c r="AO112" s="2713"/>
      <c r="AP112" s="2713"/>
      <c r="AQ112" s="2713"/>
      <c r="AR112" s="2713"/>
      <c r="AS112" s="2715" t="s">
        <v>1717</v>
      </c>
      <c r="AT112" s="2714"/>
      <c r="AU112" s="2713"/>
      <c r="AV112" s="2713"/>
      <c r="AW112" s="2714"/>
      <c r="AX112" s="2713"/>
      <c r="AY112" s="2713"/>
      <c r="AZ112" s="2713"/>
      <c r="BA112" s="2713"/>
      <c r="BB112" s="2713"/>
      <c r="BC112" s="3904"/>
      <c r="BD112" s="2713"/>
      <c r="BE112" s="2713"/>
      <c r="BF112" s="2713"/>
      <c r="BG112" s="2713"/>
      <c r="BH112" s="2713"/>
      <c r="BI112" s="2713"/>
      <c r="BJ112" s="2713"/>
      <c r="BK112" s="2713"/>
      <c r="BL112" s="2713"/>
      <c r="BM112" s="2713"/>
      <c r="BN112" s="2712" t="s">
        <v>3340</v>
      </c>
      <c r="BO112" s="2713"/>
      <c r="BP112" s="2780">
        <v>1</v>
      </c>
      <c r="BQ112" s="2780">
        <v>1</v>
      </c>
      <c r="BR112" s="2780">
        <v>1</v>
      </c>
      <c r="BS112" s="2780"/>
      <c r="BT112" s="2780"/>
      <c r="BU112" s="2780"/>
      <c r="BV112" s="2780">
        <v>1</v>
      </c>
      <c r="BW112" s="2780">
        <v>1</v>
      </c>
      <c r="BX112" s="2780">
        <v>1</v>
      </c>
      <c r="BY112" s="2780">
        <v>1</v>
      </c>
      <c r="BZ112" s="2780">
        <v>1</v>
      </c>
      <c r="CA112" s="2780"/>
      <c r="CB112" s="2780"/>
      <c r="CC112" s="2780">
        <v>1</v>
      </c>
    </row>
    <row r="113" spans="1:81" ht="29.25" hidden="1" customHeight="1">
      <c r="A113" s="162">
        <v>79</v>
      </c>
      <c r="B113" s="2801" t="s">
        <v>664</v>
      </c>
      <c r="C113" s="5959" t="s">
        <v>519</v>
      </c>
      <c r="D113" s="6002">
        <v>41115</v>
      </c>
      <c r="E113" s="2791"/>
      <c r="F113" s="2791"/>
      <c r="G113" s="2791"/>
      <c r="H113" s="2791"/>
      <c r="I113" s="2791"/>
      <c r="J113" s="2791"/>
      <c r="K113" s="2791"/>
      <c r="L113" s="2791"/>
      <c r="M113" s="2791"/>
      <c r="N113" s="2791"/>
      <c r="O113" s="2791"/>
      <c r="P113" s="2791"/>
      <c r="Q113" s="2791"/>
      <c r="R113" s="2715" t="s">
        <v>233</v>
      </c>
      <c r="S113" s="2791"/>
      <c r="T113" s="2791"/>
      <c r="U113" s="2791"/>
      <c r="V113" s="2791"/>
      <c r="W113" s="2791"/>
      <c r="X113" s="2791"/>
      <c r="Y113" s="2791"/>
      <c r="Z113" s="2791"/>
      <c r="AA113" s="2791"/>
      <c r="AB113" s="2791"/>
      <c r="AC113" s="2791"/>
      <c r="AD113" s="2791"/>
      <c r="AE113" s="2791"/>
      <c r="AF113" s="2791"/>
      <c r="AG113" s="2806" t="s">
        <v>466</v>
      </c>
      <c r="AH113" s="2791"/>
      <c r="AI113" s="2792"/>
      <c r="AJ113" s="2792"/>
      <c r="AK113" s="2792"/>
      <c r="AL113" s="2792"/>
      <c r="AM113" s="2792"/>
      <c r="AN113" s="2792"/>
      <c r="AO113" s="2792"/>
      <c r="AP113" s="2792"/>
      <c r="AQ113" s="2792"/>
      <c r="AR113" s="2792"/>
      <c r="AS113" s="2792"/>
      <c r="AT113" s="5990"/>
      <c r="AU113" s="2713"/>
      <c r="AV113" s="2713"/>
      <c r="AW113" s="2714"/>
      <c r="AX113" s="2713"/>
      <c r="AY113" s="2713"/>
      <c r="AZ113" s="2713"/>
      <c r="BA113" s="2713"/>
      <c r="BB113" s="2713"/>
      <c r="BC113" s="3904"/>
      <c r="BD113" s="2713"/>
      <c r="BE113" s="2713"/>
      <c r="BF113" s="2713"/>
      <c r="BG113" s="2713"/>
      <c r="BH113" s="2713"/>
      <c r="BI113" s="2713"/>
      <c r="BJ113" s="2713"/>
      <c r="BK113" s="2713"/>
      <c r="BL113" s="2713"/>
      <c r="BM113" s="2713"/>
      <c r="BN113" s="2713"/>
      <c r="BO113" s="2713"/>
      <c r="BP113" s="2780">
        <v>1</v>
      </c>
      <c r="BQ113" s="2780">
        <v>1</v>
      </c>
      <c r="BR113" s="2780"/>
      <c r="BS113" s="2780"/>
      <c r="BT113" s="2780"/>
      <c r="BU113" s="2780"/>
      <c r="BV113" s="2780"/>
      <c r="BW113" s="2780"/>
      <c r="BX113" s="2780"/>
      <c r="BY113" s="2780"/>
      <c r="BZ113" s="2780"/>
      <c r="CA113" s="2780"/>
      <c r="CB113" s="2780"/>
      <c r="CC113" s="2780"/>
    </row>
    <row r="114" spans="1:81" ht="29.25" customHeight="1">
      <c r="A114" s="162">
        <f>+A112+1</f>
        <v>89</v>
      </c>
      <c r="B114" s="2694" t="s">
        <v>290</v>
      </c>
      <c r="C114" s="5959" t="s">
        <v>519</v>
      </c>
      <c r="D114" s="5960">
        <v>41115</v>
      </c>
      <c r="E114" s="2778"/>
      <c r="F114" s="2778"/>
      <c r="G114" s="2778"/>
      <c r="H114" s="2778"/>
      <c r="I114" s="2778"/>
      <c r="J114" s="2778"/>
      <c r="K114" s="2778"/>
      <c r="L114" s="2778"/>
      <c r="M114" s="2778"/>
      <c r="N114" s="2778"/>
      <c r="O114" s="2778"/>
      <c r="P114" s="2778"/>
      <c r="Q114" s="2778"/>
      <c r="R114" s="2715" t="s">
        <v>233</v>
      </c>
      <c r="S114" s="2778"/>
      <c r="T114" s="2778"/>
      <c r="U114" s="2778"/>
      <c r="V114" s="2778"/>
      <c r="W114" s="2778"/>
      <c r="X114" s="2778"/>
      <c r="Y114" s="2778"/>
      <c r="Z114" s="2778"/>
      <c r="AA114" s="2778"/>
      <c r="AB114" s="2778"/>
      <c r="AC114" s="2778"/>
      <c r="AD114" s="2778"/>
      <c r="AE114" s="2778"/>
      <c r="AF114" s="2778"/>
      <c r="AG114" s="2805" t="s">
        <v>465</v>
      </c>
      <c r="AH114" s="2778"/>
      <c r="AI114" s="2713"/>
      <c r="AJ114" s="2713"/>
      <c r="AK114" s="2713"/>
      <c r="AL114" s="2713"/>
      <c r="AM114" s="2713"/>
      <c r="AN114" s="2713"/>
      <c r="AO114" s="2713"/>
      <c r="AP114" s="2713"/>
      <c r="AQ114" s="2713"/>
      <c r="AR114" s="2713"/>
      <c r="AS114" s="2713"/>
      <c r="AT114" s="2714"/>
      <c r="AU114" s="2713"/>
      <c r="AV114" s="2713"/>
      <c r="AW114" s="2714"/>
      <c r="AX114" s="2713"/>
      <c r="AY114" s="2713"/>
      <c r="AZ114" s="2713"/>
      <c r="BA114" s="2713"/>
      <c r="BB114" s="2713"/>
      <c r="BC114" s="3904"/>
      <c r="BD114" s="2713"/>
      <c r="BE114" s="2713"/>
      <c r="BF114" s="2713"/>
      <c r="BG114" s="2713"/>
      <c r="BH114" s="2713"/>
      <c r="BI114" s="2713"/>
      <c r="BJ114" s="2713"/>
      <c r="BK114" s="2713"/>
      <c r="BL114" s="2713"/>
      <c r="BM114" s="2713"/>
      <c r="BN114" s="2713"/>
      <c r="BO114" s="2713"/>
      <c r="BP114" s="2780">
        <v>1</v>
      </c>
      <c r="BQ114" s="2780">
        <v>1</v>
      </c>
      <c r="BR114" s="2780">
        <v>1</v>
      </c>
      <c r="BS114" s="2780">
        <v>1</v>
      </c>
      <c r="BT114" s="2780">
        <v>1</v>
      </c>
      <c r="BU114" s="2780">
        <v>1</v>
      </c>
      <c r="BV114" s="2780">
        <v>1</v>
      </c>
      <c r="BW114" s="2780">
        <v>1</v>
      </c>
      <c r="BX114" s="2780">
        <v>1</v>
      </c>
      <c r="BY114" s="2780"/>
      <c r="BZ114" s="2780"/>
      <c r="CA114" s="2780"/>
      <c r="CB114" s="2780"/>
      <c r="CC114" s="2780"/>
    </row>
    <row r="115" spans="1:81" ht="29.25" customHeight="1">
      <c r="A115" s="162">
        <f>+A114+1</f>
        <v>90</v>
      </c>
      <c r="B115" s="2694" t="s">
        <v>382</v>
      </c>
      <c r="C115" s="5959" t="s">
        <v>1713</v>
      </c>
      <c r="D115" s="5960">
        <v>42657</v>
      </c>
      <c r="E115" s="2778"/>
      <c r="F115" s="2778"/>
      <c r="G115" s="2778"/>
      <c r="H115" s="2778"/>
      <c r="I115" s="2778"/>
      <c r="J115" s="2778"/>
      <c r="K115" s="2778"/>
      <c r="L115" s="2778"/>
      <c r="M115" s="2778"/>
      <c r="N115" s="2778"/>
      <c r="O115" s="2778"/>
      <c r="P115" s="2778"/>
      <c r="Q115" s="2778"/>
      <c r="R115" s="2715" t="s">
        <v>233</v>
      </c>
      <c r="S115" s="2778"/>
      <c r="T115" s="2778"/>
      <c r="U115" s="2778"/>
      <c r="V115" s="2778"/>
      <c r="W115" s="2778"/>
      <c r="X115" s="2778"/>
      <c r="Y115" s="2778"/>
      <c r="Z115" s="2778"/>
      <c r="AA115" s="2778"/>
      <c r="AB115" s="2778"/>
      <c r="AC115" s="2778"/>
      <c r="AD115" s="2778"/>
      <c r="AE115" s="2778"/>
      <c r="AF115" s="2778"/>
      <c r="AG115" s="2778"/>
      <c r="AH115" s="2713"/>
      <c r="AI115" s="2713"/>
      <c r="AJ115" s="2713"/>
      <c r="AK115" s="2713"/>
      <c r="AL115" s="2713"/>
      <c r="AM115" s="2713"/>
      <c r="AN115" s="2713"/>
      <c r="AO115" s="2713"/>
      <c r="AP115" s="2713"/>
      <c r="AQ115" s="2713"/>
      <c r="AR115" s="2713"/>
      <c r="AS115" s="2715" t="s">
        <v>1717</v>
      </c>
      <c r="AT115" s="2714"/>
      <c r="AU115" s="2713"/>
      <c r="AV115" s="2713"/>
      <c r="AW115" s="2714"/>
      <c r="AX115" s="2713"/>
      <c r="AY115" s="2713"/>
      <c r="AZ115" s="2713"/>
      <c r="BA115" s="2713"/>
      <c r="BB115" s="2713"/>
      <c r="BC115" s="3904"/>
      <c r="BD115" s="2713"/>
      <c r="BE115" s="2713"/>
      <c r="BF115" s="2713"/>
      <c r="BG115" s="2713"/>
      <c r="BH115" s="2713"/>
      <c r="BI115" s="2713"/>
      <c r="BJ115" s="2713"/>
      <c r="BK115" s="2712" t="s">
        <v>3083</v>
      </c>
      <c r="BL115" s="2713"/>
      <c r="BM115" s="2713"/>
      <c r="BN115" s="2713"/>
      <c r="BO115" s="2713"/>
      <c r="BP115" s="2780">
        <v>1</v>
      </c>
      <c r="BQ115" s="2780">
        <v>1</v>
      </c>
      <c r="BR115" s="2780">
        <v>1</v>
      </c>
      <c r="BS115" s="2780"/>
      <c r="BT115" s="2780"/>
      <c r="BU115" s="2780"/>
      <c r="BV115" s="2780">
        <v>1</v>
      </c>
      <c r="BW115" s="2780">
        <v>1</v>
      </c>
      <c r="BX115" s="2780">
        <v>1</v>
      </c>
      <c r="BY115" s="2780">
        <v>1</v>
      </c>
      <c r="BZ115" s="2780">
        <v>1</v>
      </c>
      <c r="CA115" s="2780"/>
      <c r="CB115" s="2780">
        <v>1</v>
      </c>
      <c r="CC115" s="2780">
        <v>1</v>
      </c>
    </row>
    <row r="116" spans="1:81" ht="29.25" customHeight="1">
      <c r="A116" s="162">
        <f>+A115+1</f>
        <v>91</v>
      </c>
      <c r="B116" s="2694" t="s">
        <v>2060</v>
      </c>
      <c r="C116" s="5959" t="s">
        <v>1483</v>
      </c>
      <c r="D116" s="5960" t="s">
        <v>2870</v>
      </c>
      <c r="E116" s="2778"/>
      <c r="F116" s="2778"/>
      <c r="G116" s="2778"/>
      <c r="H116" s="2778"/>
      <c r="I116" s="2778"/>
      <c r="J116" s="2778"/>
      <c r="K116" s="2778"/>
      <c r="L116" s="2778"/>
      <c r="M116" s="2778"/>
      <c r="N116" s="2778"/>
      <c r="O116" s="2778"/>
      <c r="P116" s="2778"/>
      <c r="Q116" s="2778"/>
      <c r="R116" s="2715" t="s">
        <v>233</v>
      </c>
      <c r="S116" s="2778"/>
      <c r="T116" s="2778"/>
      <c r="U116" s="2778"/>
      <c r="V116" s="2778"/>
      <c r="W116" s="2778"/>
      <c r="X116" s="2778"/>
      <c r="Y116" s="2778"/>
      <c r="Z116" s="2778"/>
      <c r="AA116" s="2778"/>
      <c r="AB116" s="2778"/>
      <c r="AC116" s="2778"/>
      <c r="AD116" s="2778"/>
      <c r="AE116" s="2778"/>
      <c r="AF116" s="2778"/>
      <c r="AG116" s="2778"/>
      <c r="AH116" s="2713"/>
      <c r="AI116" s="2713"/>
      <c r="AJ116" s="2713"/>
      <c r="AK116" s="2713"/>
      <c r="AL116" s="2713"/>
      <c r="AM116" s="2713"/>
      <c r="AN116" s="2713"/>
      <c r="AO116" s="2715" t="s">
        <v>1512</v>
      </c>
      <c r="AP116" s="2778"/>
      <c r="AQ116" s="2778"/>
      <c r="AR116" s="2778"/>
      <c r="AS116" s="2778"/>
      <c r="AT116" s="2784"/>
      <c r="AU116" s="2778"/>
      <c r="AV116" s="2778"/>
      <c r="AW116" s="2784"/>
      <c r="AX116" s="2778"/>
      <c r="AY116" s="2778"/>
      <c r="AZ116" s="2778"/>
      <c r="BA116" s="2778"/>
      <c r="BB116" s="2778"/>
      <c r="BC116" s="3907"/>
      <c r="BD116" s="2778"/>
      <c r="BE116" s="2778"/>
      <c r="BF116" s="2778"/>
      <c r="BG116" s="2778"/>
      <c r="BH116" s="2778"/>
      <c r="BI116" s="2778"/>
      <c r="BJ116" s="2778"/>
      <c r="BK116" s="2778"/>
      <c r="BL116" s="2778"/>
      <c r="BM116" s="2778"/>
      <c r="BN116" s="2805" t="s">
        <v>3339</v>
      </c>
      <c r="BO116" s="2805" t="s">
        <v>3360</v>
      </c>
      <c r="BP116" s="2780">
        <v>1</v>
      </c>
      <c r="BQ116" s="2780">
        <v>1</v>
      </c>
      <c r="BR116" s="2780">
        <v>1</v>
      </c>
      <c r="BS116" s="2780"/>
      <c r="BT116" s="2780"/>
      <c r="BU116" s="2780">
        <v>1</v>
      </c>
      <c r="BV116" s="2780">
        <v>1</v>
      </c>
      <c r="BW116" s="2780">
        <v>1</v>
      </c>
      <c r="BX116" s="2780">
        <v>1</v>
      </c>
      <c r="BY116" s="2780">
        <v>1</v>
      </c>
      <c r="BZ116" s="2780"/>
      <c r="CA116" s="2780"/>
      <c r="CB116" s="2780"/>
      <c r="CC116" s="2780">
        <v>1</v>
      </c>
    </row>
    <row r="117" spans="1:81" ht="29.25" customHeight="1">
      <c r="A117" s="162">
        <f t="shared" ref="A117:A121" si="7">+A116+1</f>
        <v>92</v>
      </c>
      <c r="B117" s="2694" t="s">
        <v>291</v>
      </c>
      <c r="C117" s="5959" t="s">
        <v>516</v>
      </c>
      <c r="D117" s="5960">
        <v>40318</v>
      </c>
      <c r="E117" s="2778"/>
      <c r="F117" s="2778"/>
      <c r="G117" s="2778"/>
      <c r="H117" s="2778"/>
      <c r="I117" s="2778"/>
      <c r="J117" s="2778"/>
      <c r="K117" s="2778"/>
      <c r="L117" s="2778"/>
      <c r="M117" s="2778"/>
      <c r="N117" s="2778"/>
      <c r="O117" s="2778"/>
      <c r="P117" s="2778"/>
      <c r="Q117" s="2778"/>
      <c r="R117" s="2715" t="s">
        <v>233</v>
      </c>
      <c r="S117" s="2778"/>
      <c r="T117" s="2778"/>
      <c r="U117" s="2778"/>
      <c r="V117" s="2778"/>
      <c r="W117" s="2778"/>
      <c r="X117" s="2778"/>
      <c r="Y117" s="2778"/>
      <c r="Z117" s="2778"/>
      <c r="AA117" s="2715" t="s">
        <v>208</v>
      </c>
      <c r="AB117" s="2698"/>
      <c r="AC117" s="2778"/>
      <c r="AD117" s="2778"/>
      <c r="AE117" s="2778"/>
      <c r="AF117" s="2778"/>
      <c r="AG117" s="2778"/>
      <c r="AH117" s="2713"/>
      <c r="AI117" s="2713"/>
      <c r="AJ117" s="2713"/>
      <c r="AK117" s="2713"/>
      <c r="AL117" s="2713"/>
      <c r="AM117" s="2713"/>
      <c r="AN117" s="2713"/>
      <c r="AO117" s="2713"/>
      <c r="AP117" s="2713"/>
      <c r="AQ117" s="2713"/>
      <c r="AR117" s="2713"/>
      <c r="AS117" s="2713"/>
      <c r="AT117" s="2714"/>
      <c r="AU117" s="2713"/>
      <c r="AV117" s="2713"/>
      <c r="AW117" s="2714"/>
      <c r="AX117" s="2713"/>
      <c r="AY117" s="2713"/>
      <c r="AZ117" s="2713"/>
      <c r="BA117" s="2713"/>
      <c r="BB117" s="2713"/>
      <c r="BC117" s="3904"/>
      <c r="BD117" s="2713"/>
      <c r="BE117" s="2713"/>
      <c r="BF117" s="2713"/>
      <c r="BG117" s="2713"/>
      <c r="BH117" s="2713"/>
      <c r="BI117" s="2713"/>
      <c r="BJ117" s="2713"/>
      <c r="BK117" s="2713"/>
      <c r="BL117" s="2713"/>
      <c r="BM117" s="2713"/>
      <c r="BN117" s="2713"/>
      <c r="BO117" s="2713"/>
      <c r="BP117" s="2780">
        <v>1</v>
      </c>
      <c r="BQ117" s="2780">
        <v>1</v>
      </c>
      <c r="BR117" s="2780">
        <v>1</v>
      </c>
      <c r="BS117" s="2780">
        <v>1</v>
      </c>
      <c r="BT117" s="2780">
        <v>1</v>
      </c>
      <c r="BU117" s="2780"/>
      <c r="BV117" s="2780"/>
      <c r="BW117" s="2780"/>
      <c r="BX117" s="2780"/>
      <c r="BY117" s="2780"/>
      <c r="BZ117" s="2780"/>
      <c r="CA117" s="2780"/>
      <c r="CB117" s="2780"/>
      <c r="CC117" s="2780"/>
    </row>
    <row r="118" spans="1:81" ht="29.25" customHeight="1">
      <c r="A118" s="162">
        <f t="shared" si="7"/>
        <v>93</v>
      </c>
      <c r="B118" s="2694" t="s">
        <v>2082</v>
      </c>
      <c r="C118" s="5959" t="s">
        <v>517</v>
      </c>
      <c r="D118" s="6003">
        <v>40745</v>
      </c>
      <c r="E118" s="2778"/>
      <c r="F118" s="2778"/>
      <c r="G118" s="2778"/>
      <c r="H118" s="2778"/>
      <c r="I118" s="2778"/>
      <c r="J118" s="2778"/>
      <c r="K118" s="2778"/>
      <c r="L118" s="2778"/>
      <c r="M118" s="2778"/>
      <c r="N118" s="2778"/>
      <c r="O118" s="2778"/>
      <c r="P118" s="2778"/>
      <c r="Q118" s="2778"/>
      <c r="R118" s="2778"/>
      <c r="S118" s="2778"/>
      <c r="T118" s="2778"/>
      <c r="U118" s="2778"/>
      <c r="V118" s="2778"/>
      <c r="W118" s="2778"/>
      <c r="X118" s="2778"/>
      <c r="Y118" s="2778"/>
      <c r="Z118" s="2778"/>
      <c r="AA118" s="2778"/>
      <c r="AB118" s="2778"/>
      <c r="AC118" s="2778"/>
      <c r="AD118" s="2783" t="s">
        <v>357</v>
      </c>
      <c r="AE118" s="2778"/>
      <c r="AF118" s="2781"/>
      <c r="AG118" s="2778"/>
      <c r="AH118" s="2713"/>
      <c r="AI118" s="2713"/>
      <c r="AJ118" s="2713"/>
      <c r="AK118" s="2713"/>
      <c r="AL118" s="2713"/>
      <c r="AM118" s="2713"/>
      <c r="AN118" s="2713"/>
      <c r="AO118" s="2713"/>
      <c r="AP118" s="2713"/>
      <c r="AQ118" s="2713"/>
      <c r="AR118" s="2713"/>
      <c r="AS118" s="2713"/>
      <c r="AT118" s="2714"/>
      <c r="AU118" s="2713"/>
      <c r="AV118" s="2713"/>
      <c r="AW118" s="2714"/>
      <c r="AX118" s="2713"/>
      <c r="AY118" s="2713"/>
      <c r="AZ118" s="2713"/>
      <c r="BA118" s="2713"/>
      <c r="BB118" s="2713"/>
      <c r="BC118" s="3904"/>
      <c r="BD118" s="2713"/>
      <c r="BE118" s="2713"/>
      <c r="BF118" s="2713"/>
      <c r="BG118" s="2713"/>
      <c r="BH118" s="2713"/>
      <c r="BI118" s="2713"/>
      <c r="BJ118" s="2713"/>
      <c r="BK118" s="2713"/>
      <c r="BL118" s="2713"/>
      <c r="BM118" s="2713"/>
      <c r="BN118" s="2713"/>
      <c r="BO118" s="2713"/>
      <c r="BP118" s="2780"/>
      <c r="BQ118" s="2780"/>
      <c r="BR118" s="2780">
        <v>1</v>
      </c>
      <c r="BS118" s="2780">
        <v>1</v>
      </c>
      <c r="BT118" s="2780">
        <v>1</v>
      </c>
      <c r="BU118" s="2780">
        <v>1</v>
      </c>
      <c r="BV118" s="2780"/>
      <c r="BW118" s="2780"/>
      <c r="BX118" s="2780"/>
      <c r="BY118" s="2780"/>
      <c r="BZ118" s="2780"/>
      <c r="CA118" s="2780"/>
      <c r="CB118" s="2780"/>
      <c r="CC118" s="2780"/>
    </row>
    <row r="119" spans="1:81" ht="29.25" customHeight="1">
      <c r="A119" s="162">
        <f t="shared" si="7"/>
        <v>94</v>
      </c>
      <c r="B119" s="2694" t="s">
        <v>2083</v>
      </c>
      <c r="C119" s="5966" t="s">
        <v>1713</v>
      </c>
      <c r="D119" s="5960">
        <v>42426</v>
      </c>
      <c r="E119" s="2778"/>
      <c r="F119" s="2778"/>
      <c r="G119" s="2778"/>
      <c r="H119" s="2778"/>
      <c r="I119" s="2778"/>
      <c r="J119" s="2778"/>
      <c r="K119" s="2778"/>
      <c r="L119" s="2778"/>
      <c r="M119" s="2778"/>
      <c r="N119" s="2778"/>
      <c r="O119" s="2778"/>
      <c r="P119" s="2778"/>
      <c r="Q119" s="2778"/>
      <c r="R119" s="2778"/>
      <c r="S119" s="2778"/>
      <c r="T119" s="2778"/>
      <c r="U119" s="2778"/>
      <c r="V119" s="2778"/>
      <c r="W119" s="2778"/>
      <c r="X119" s="2778"/>
      <c r="Y119" s="2778"/>
      <c r="Z119" s="2778"/>
      <c r="AA119" s="2778"/>
      <c r="AB119" s="2778"/>
      <c r="AC119" s="2778"/>
      <c r="AD119" s="2778"/>
      <c r="AE119" s="2778"/>
      <c r="AF119" s="2778"/>
      <c r="AG119" s="2778"/>
      <c r="AH119" s="2713"/>
      <c r="AI119" s="2713"/>
      <c r="AJ119" s="2713"/>
      <c r="AK119" s="2713"/>
      <c r="AL119" s="2713"/>
      <c r="AM119" s="2713"/>
      <c r="AN119" s="2713"/>
      <c r="AO119" s="2713"/>
      <c r="AP119" s="2713"/>
      <c r="AQ119" s="2713"/>
      <c r="AR119" s="2783" t="s">
        <v>1714</v>
      </c>
      <c r="AS119" s="2713"/>
      <c r="AT119" s="2714"/>
      <c r="AU119" s="2713"/>
      <c r="AV119" s="2713"/>
      <c r="AW119" s="2714"/>
      <c r="AX119" s="2713"/>
      <c r="AY119" s="2713"/>
      <c r="AZ119" s="2713"/>
      <c r="BA119" s="2713"/>
      <c r="BB119" s="2713"/>
      <c r="BC119" s="3904"/>
      <c r="BD119" s="2713"/>
      <c r="BE119" s="2713"/>
      <c r="BF119" s="2713"/>
      <c r="BG119" s="2713"/>
      <c r="BH119" s="2713"/>
      <c r="BI119" s="2713"/>
      <c r="BJ119" s="2713"/>
      <c r="BK119" s="2713"/>
      <c r="BL119" s="2713"/>
      <c r="BM119" s="2713"/>
      <c r="BN119" s="2713"/>
      <c r="BO119" s="2713"/>
      <c r="BP119" s="2780"/>
      <c r="BQ119" s="2780"/>
      <c r="BR119" s="2780"/>
      <c r="BS119" s="2780"/>
      <c r="BT119" s="2780"/>
      <c r="BU119" s="2780"/>
      <c r="BV119" s="2780">
        <v>1</v>
      </c>
      <c r="BW119" s="2780">
        <v>1</v>
      </c>
      <c r="BX119" s="2780">
        <v>1</v>
      </c>
      <c r="BY119" s="2780">
        <v>1</v>
      </c>
      <c r="BZ119" s="2780">
        <v>1</v>
      </c>
      <c r="CA119" s="2780"/>
      <c r="CB119" s="2780"/>
      <c r="CC119" s="2780"/>
    </row>
    <row r="120" spans="1:81" ht="29.25" customHeight="1">
      <c r="A120" s="162">
        <f t="shared" si="7"/>
        <v>95</v>
      </c>
      <c r="B120" s="2694" t="s">
        <v>279</v>
      </c>
      <c r="C120" s="5966" t="s">
        <v>1510</v>
      </c>
      <c r="D120" s="5960">
        <v>42529</v>
      </c>
      <c r="E120" s="2778"/>
      <c r="F120" s="2778"/>
      <c r="G120" s="2778"/>
      <c r="H120" s="2778"/>
      <c r="I120" s="2778"/>
      <c r="J120" s="2778"/>
      <c r="K120" s="2778"/>
      <c r="L120" s="2778"/>
      <c r="M120" s="2778"/>
      <c r="N120" s="2778"/>
      <c r="O120" s="2778"/>
      <c r="P120" s="2778"/>
      <c r="Q120" s="2778"/>
      <c r="R120" s="2778"/>
      <c r="S120" s="2778"/>
      <c r="T120" s="2778"/>
      <c r="U120" s="2778"/>
      <c r="V120" s="2778"/>
      <c r="W120" s="2778"/>
      <c r="X120" s="2778"/>
      <c r="Y120" s="2778"/>
      <c r="Z120" s="2778"/>
      <c r="AA120" s="2778"/>
      <c r="AB120" s="2778"/>
      <c r="AC120" s="2778"/>
      <c r="AD120" s="2778"/>
      <c r="AE120" s="2778"/>
      <c r="AF120" s="2778"/>
      <c r="AG120" s="2778"/>
      <c r="AH120" s="2713"/>
      <c r="AI120" s="2713"/>
      <c r="AJ120" s="2713"/>
      <c r="AK120" s="2713"/>
      <c r="AL120" s="2713"/>
      <c r="AM120" s="2713"/>
      <c r="AN120" s="2713"/>
      <c r="AO120" s="2713"/>
      <c r="AP120" s="2713"/>
      <c r="AQ120" s="2713"/>
      <c r="AR120" s="2783" t="s">
        <v>1715</v>
      </c>
      <c r="AS120" s="2713"/>
      <c r="AT120" s="2714"/>
      <c r="AU120" s="2713"/>
      <c r="AV120" s="2713"/>
      <c r="AW120" s="2714"/>
      <c r="AX120" s="2713"/>
      <c r="AY120" s="2713"/>
      <c r="AZ120" s="2713"/>
      <c r="BA120" s="2713"/>
      <c r="BB120" s="2713"/>
      <c r="BC120" s="3904"/>
      <c r="BD120" s="2713"/>
      <c r="BE120" s="2713"/>
      <c r="BF120" s="2713"/>
      <c r="BG120" s="2713"/>
      <c r="BH120" s="2713"/>
      <c r="BI120" s="2713"/>
      <c r="BJ120" s="2713"/>
      <c r="BK120" s="2713"/>
      <c r="BL120" s="2713"/>
      <c r="BM120" s="2713"/>
      <c r="BN120" s="2712" t="s">
        <v>3338</v>
      </c>
      <c r="BO120" s="2713"/>
      <c r="BP120" s="2780"/>
      <c r="BQ120" s="2780"/>
      <c r="BR120" s="2780"/>
      <c r="BS120" s="2780"/>
      <c r="BT120" s="2780"/>
      <c r="BU120" s="2780"/>
      <c r="BV120" s="2780">
        <v>1</v>
      </c>
      <c r="BW120" s="2780">
        <v>1</v>
      </c>
      <c r="BX120" s="2780">
        <v>1</v>
      </c>
      <c r="BY120" s="2780">
        <v>1</v>
      </c>
      <c r="BZ120" s="2780">
        <v>1</v>
      </c>
      <c r="CA120" s="2780"/>
      <c r="CB120" s="2780"/>
      <c r="CC120" s="2780">
        <v>1</v>
      </c>
    </row>
    <row r="121" spans="1:81" ht="29.25" customHeight="1">
      <c r="A121" s="162">
        <f t="shared" si="7"/>
        <v>96</v>
      </c>
      <c r="B121" s="2807" t="s">
        <v>2149</v>
      </c>
      <c r="C121" s="5966" t="s">
        <v>2150</v>
      </c>
      <c r="D121" s="5960">
        <v>42895</v>
      </c>
      <c r="E121" s="2778"/>
      <c r="F121" s="2778"/>
      <c r="G121" s="2778"/>
      <c r="H121" s="2778"/>
      <c r="I121" s="2778"/>
      <c r="J121" s="2778"/>
      <c r="K121" s="2778"/>
      <c r="L121" s="2778"/>
      <c r="M121" s="2778"/>
      <c r="N121" s="2778"/>
      <c r="O121" s="2778"/>
      <c r="P121" s="2778"/>
      <c r="Q121" s="2778"/>
      <c r="R121" s="2778"/>
      <c r="S121" s="2778"/>
      <c r="T121" s="2778"/>
      <c r="U121" s="2778"/>
      <c r="V121" s="2778"/>
      <c r="W121" s="2778"/>
      <c r="X121" s="2778"/>
      <c r="Y121" s="2778"/>
      <c r="Z121" s="2778"/>
      <c r="AA121" s="2778"/>
      <c r="AB121" s="2778"/>
      <c r="AC121" s="2778"/>
      <c r="AD121" s="2778"/>
      <c r="AE121" s="2778"/>
      <c r="AF121" s="2778"/>
      <c r="AG121" s="2778"/>
      <c r="AH121" s="2713"/>
      <c r="AI121" s="2713"/>
      <c r="AJ121" s="2713"/>
      <c r="AK121" s="2713"/>
      <c r="AL121" s="2713"/>
      <c r="AM121" s="2713"/>
      <c r="AN121" s="2713"/>
      <c r="AO121" s="2713"/>
      <c r="AP121" s="2713"/>
      <c r="AQ121" s="2713"/>
      <c r="AR121" s="2713"/>
      <c r="AS121" s="2713"/>
      <c r="AT121" s="2714"/>
      <c r="AU121" s="2713"/>
      <c r="AV121" s="2783" t="s">
        <v>2152</v>
      </c>
      <c r="AW121" s="2714"/>
      <c r="AX121" s="2713"/>
      <c r="AY121" s="2713"/>
      <c r="AZ121" s="2713"/>
      <c r="BA121" s="2713"/>
      <c r="BB121" s="2713"/>
      <c r="BC121" s="3904"/>
      <c r="BD121" s="2713"/>
      <c r="BE121" s="2713"/>
      <c r="BF121" s="2713"/>
      <c r="BG121" s="2713"/>
      <c r="BH121" s="2713"/>
      <c r="BI121" s="2713"/>
      <c r="BJ121" s="2713"/>
      <c r="BK121" s="2713"/>
      <c r="BL121" s="2713"/>
      <c r="BM121" s="2713"/>
      <c r="BN121" s="2713"/>
      <c r="BO121" s="2713"/>
      <c r="BP121" s="2780"/>
      <c r="BQ121" s="2780"/>
      <c r="BR121" s="2780"/>
      <c r="BS121" s="2780"/>
      <c r="BT121" s="2780"/>
      <c r="BU121" s="2780"/>
      <c r="BV121" s="2780"/>
      <c r="BW121" s="2780"/>
      <c r="BX121" s="2780">
        <v>1</v>
      </c>
      <c r="BY121" s="2780">
        <v>1</v>
      </c>
      <c r="BZ121" s="2780">
        <v>1</v>
      </c>
      <c r="CA121" s="2780">
        <v>1</v>
      </c>
      <c r="CB121" s="2780"/>
      <c r="CC121" s="2780"/>
    </row>
    <row r="122" spans="1:81" ht="29.25" customHeight="1">
      <c r="B122" s="2803" t="s">
        <v>348</v>
      </c>
      <c r="C122" s="5998"/>
      <c r="D122" s="2803"/>
      <c r="E122" s="3349"/>
      <c r="F122" s="3349"/>
      <c r="G122" s="3349"/>
      <c r="H122" s="3349"/>
      <c r="I122" s="3349"/>
      <c r="J122" s="3349"/>
      <c r="K122" s="3349"/>
      <c r="L122" s="3349"/>
      <c r="M122" s="3349"/>
      <c r="N122" s="3349"/>
      <c r="O122" s="3349"/>
      <c r="P122" s="3349"/>
      <c r="Q122" s="3349"/>
      <c r="R122" s="3349"/>
      <c r="S122" s="3349"/>
      <c r="T122" s="3349"/>
      <c r="U122" s="3349"/>
      <c r="V122" s="3349"/>
      <c r="W122" s="3349"/>
      <c r="X122" s="3349"/>
      <c r="Y122" s="3349"/>
      <c r="Z122" s="3349"/>
      <c r="AA122" s="3349"/>
      <c r="AB122" s="3349"/>
      <c r="AC122" s="3349"/>
      <c r="AD122" s="3349"/>
      <c r="AE122" s="3349"/>
      <c r="AF122" s="3349"/>
      <c r="AG122" s="3349"/>
      <c r="AH122" s="3349"/>
      <c r="AI122" s="3349"/>
      <c r="AJ122" s="3349"/>
      <c r="AK122" s="3349"/>
      <c r="AL122" s="3349"/>
      <c r="AM122" s="3349"/>
      <c r="AN122" s="3349"/>
      <c r="AO122" s="3349"/>
      <c r="AP122" s="3349"/>
      <c r="AQ122" s="3349"/>
      <c r="AR122" s="5940"/>
      <c r="AS122" s="5940"/>
      <c r="AT122" s="5940"/>
      <c r="AU122" s="6000"/>
      <c r="AV122" s="5940"/>
      <c r="AW122" s="5940"/>
      <c r="AX122" s="5940"/>
      <c r="AY122" s="5940"/>
      <c r="AZ122" s="5940"/>
      <c r="BA122" s="5940"/>
      <c r="BB122" s="5940"/>
      <c r="BC122" s="5940"/>
      <c r="BD122" s="5940"/>
      <c r="BE122" s="5940"/>
      <c r="BF122" s="5940"/>
      <c r="BG122" s="5940"/>
      <c r="BH122" s="5940"/>
      <c r="BI122" s="5940"/>
      <c r="BJ122" s="5940"/>
      <c r="BK122" s="5940"/>
      <c r="BL122" s="5940"/>
      <c r="BM122" s="5940"/>
      <c r="BN122" s="5940"/>
      <c r="BO122" s="5940"/>
      <c r="BP122" s="5940"/>
      <c r="BQ122" s="2804"/>
      <c r="BR122" s="2804"/>
      <c r="BS122" s="2804"/>
      <c r="BT122" s="2804"/>
      <c r="BU122" s="2804"/>
      <c r="BV122" s="2804"/>
      <c r="BW122" s="2804"/>
      <c r="BX122" s="2804"/>
      <c r="BY122" s="2804"/>
      <c r="BZ122" s="2804"/>
      <c r="CA122" s="2804"/>
      <c r="CB122" s="2804"/>
      <c r="CC122" s="2804"/>
    </row>
    <row r="123" spans="1:81" ht="29.25" customHeight="1">
      <c r="A123" s="162">
        <f>+A121+1</f>
        <v>97</v>
      </c>
      <c r="B123" s="2694" t="s">
        <v>3105</v>
      </c>
      <c r="C123" s="5959" t="s">
        <v>1713</v>
      </c>
      <c r="D123" s="6001">
        <v>42657</v>
      </c>
      <c r="E123" s="2778"/>
      <c r="F123" s="2778"/>
      <c r="G123" s="2778"/>
      <c r="H123" s="2778"/>
      <c r="I123" s="2778"/>
      <c r="J123" s="2778"/>
      <c r="K123" s="2778"/>
      <c r="L123" s="2778"/>
      <c r="M123" s="2778"/>
      <c r="N123" s="2778"/>
      <c r="O123" s="2715" t="s">
        <v>203</v>
      </c>
      <c r="P123" s="2778"/>
      <c r="Q123" s="2781"/>
      <c r="R123" s="2778"/>
      <c r="S123" s="2778"/>
      <c r="T123" s="2778"/>
      <c r="U123" s="2778"/>
      <c r="V123" s="2778"/>
      <c r="W123" s="2778"/>
      <c r="X123" s="2778"/>
      <c r="Y123" s="2778"/>
      <c r="Z123" s="2778"/>
      <c r="AA123" s="2778"/>
      <c r="AB123" s="2778"/>
      <c r="AC123" s="2778"/>
      <c r="AD123" s="2778"/>
      <c r="AE123" s="2778"/>
      <c r="AF123" s="2778"/>
      <c r="AG123" s="2778"/>
      <c r="AH123" s="2713"/>
      <c r="AI123" s="2713"/>
      <c r="AJ123" s="2713"/>
      <c r="AK123" s="2713"/>
      <c r="AL123" s="2713"/>
      <c r="AM123" s="2713"/>
      <c r="AN123" s="2713"/>
      <c r="AO123" s="2713"/>
      <c r="AP123" s="2713"/>
      <c r="AQ123" s="2713"/>
      <c r="AR123" s="2713"/>
      <c r="AS123" s="2713"/>
      <c r="AT123" s="2779" t="s">
        <v>1717</v>
      </c>
      <c r="AU123" s="2778"/>
      <c r="AV123" s="2778"/>
      <c r="AW123" s="2784"/>
      <c r="AX123" s="2778"/>
      <c r="AY123" s="2778"/>
      <c r="AZ123" s="2778"/>
      <c r="BA123" s="2778"/>
      <c r="BB123" s="2778"/>
      <c r="BC123" s="3907"/>
      <c r="BD123" s="2778"/>
      <c r="BE123" s="2778"/>
      <c r="BF123" s="2778"/>
      <c r="BG123" s="2778"/>
      <c r="BH123" s="2778"/>
      <c r="BI123" s="2778"/>
      <c r="BJ123" s="2778"/>
      <c r="BK123" s="2778"/>
      <c r="BL123" s="2778"/>
      <c r="BM123" s="2778"/>
      <c r="BN123" s="2778"/>
      <c r="BO123" s="2778"/>
      <c r="BP123" s="2780">
        <v>1</v>
      </c>
      <c r="BQ123" s="2780">
        <v>1</v>
      </c>
      <c r="BR123" s="2780"/>
      <c r="BS123" s="2780"/>
      <c r="BT123" s="2780"/>
      <c r="BU123" s="2780"/>
      <c r="BV123" s="2780">
        <v>1</v>
      </c>
      <c r="BW123" s="2780">
        <v>1</v>
      </c>
      <c r="BX123" s="2780">
        <v>1</v>
      </c>
      <c r="BY123" s="2780">
        <v>1</v>
      </c>
      <c r="BZ123" s="2780">
        <v>1</v>
      </c>
      <c r="CA123" s="2780"/>
      <c r="CB123" s="2780"/>
      <c r="CC123" s="2780"/>
    </row>
    <row r="124" spans="1:81" ht="29.25" customHeight="1">
      <c r="A124" s="162">
        <f>+A123+1</f>
        <v>98</v>
      </c>
      <c r="B124" s="2694" t="s">
        <v>665</v>
      </c>
      <c r="C124" s="5959" t="s">
        <v>500</v>
      </c>
      <c r="D124" s="6001">
        <v>38313</v>
      </c>
      <c r="E124" s="2778"/>
      <c r="F124" s="2778"/>
      <c r="G124" s="2778"/>
      <c r="H124" s="2778"/>
      <c r="I124" s="2778"/>
      <c r="J124" s="2715" t="s">
        <v>234</v>
      </c>
      <c r="K124" s="2781"/>
      <c r="L124" s="2778"/>
      <c r="M124" s="2778"/>
      <c r="N124" s="2778"/>
      <c r="O124" s="2778"/>
      <c r="P124" s="2778"/>
      <c r="Q124" s="2778"/>
      <c r="R124" s="2778"/>
      <c r="S124" s="2778"/>
      <c r="T124" s="2778"/>
      <c r="U124" s="2778"/>
      <c r="V124" s="2778"/>
      <c r="W124" s="2778"/>
      <c r="X124" s="2778"/>
      <c r="Y124" s="2778"/>
      <c r="Z124" s="2778"/>
      <c r="AA124" s="2778"/>
      <c r="AB124" s="2778"/>
      <c r="AC124" s="2778"/>
      <c r="AD124" s="2778"/>
      <c r="AE124" s="2778"/>
      <c r="AF124" s="2778"/>
      <c r="AG124" s="2778"/>
      <c r="AH124" s="2713"/>
      <c r="AI124" s="2713"/>
      <c r="AJ124" s="2713"/>
      <c r="AK124" s="2713"/>
      <c r="AL124" s="2713"/>
      <c r="AM124" s="2713"/>
      <c r="AN124" s="2713"/>
      <c r="AO124" s="2713"/>
      <c r="AP124" s="2713"/>
      <c r="AQ124" s="2713"/>
      <c r="AR124" s="2713"/>
      <c r="AS124" s="2713"/>
      <c r="AT124" s="2714"/>
      <c r="AU124" s="2713"/>
      <c r="AV124" s="2713"/>
      <c r="AW124" s="2714"/>
      <c r="AX124" s="2713"/>
      <c r="AY124" s="2713"/>
      <c r="AZ124" s="2713"/>
      <c r="BA124" s="2713"/>
      <c r="BB124" s="2713"/>
      <c r="BC124" s="3904"/>
      <c r="BD124" s="2713"/>
      <c r="BE124" s="2713"/>
      <c r="BF124" s="2713"/>
      <c r="BG124" s="2713"/>
      <c r="BH124" s="2713"/>
      <c r="BI124" s="2713"/>
      <c r="BJ124" s="2713"/>
      <c r="BK124" s="2713"/>
      <c r="BL124" s="2713"/>
      <c r="BM124" s="2713"/>
      <c r="BN124" s="2713"/>
      <c r="BO124" s="2713"/>
      <c r="BP124" s="2780"/>
      <c r="BQ124" s="2780"/>
      <c r="BR124" s="2780"/>
      <c r="BS124" s="2780"/>
      <c r="BT124" s="2780"/>
      <c r="BU124" s="2780"/>
      <c r="BV124" s="2780"/>
      <c r="BW124" s="2780"/>
      <c r="BX124" s="2780"/>
      <c r="BY124" s="2780"/>
      <c r="BZ124" s="2780"/>
      <c r="CA124" s="2780"/>
      <c r="CB124" s="2780"/>
      <c r="CC124" s="2780"/>
    </row>
    <row r="125" spans="1:81" ht="29.25" customHeight="1">
      <c r="A125" s="162">
        <f>+A124+1</f>
        <v>99</v>
      </c>
      <c r="B125" s="2694" t="s">
        <v>295</v>
      </c>
      <c r="C125" s="5959" t="s">
        <v>2583</v>
      </c>
      <c r="D125" s="5960">
        <v>43802</v>
      </c>
      <c r="E125" s="2778"/>
      <c r="F125" s="2778"/>
      <c r="G125" s="2778"/>
      <c r="H125" s="2778"/>
      <c r="I125" s="2778"/>
      <c r="J125" s="2778"/>
      <c r="K125" s="2778"/>
      <c r="L125" s="2778"/>
      <c r="M125" s="2778"/>
      <c r="N125" s="2778"/>
      <c r="O125" s="2778"/>
      <c r="P125" s="2778"/>
      <c r="Q125" s="2778"/>
      <c r="R125" s="2778"/>
      <c r="S125" s="2778"/>
      <c r="T125" s="2778"/>
      <c r="U125" s="2778"/>
      <c r="V125" s="2778"/>
      <c r="W125" s="2778"/>
      <c r="X125" s="2778"/>
      <c r="Y125" s="2778"/>
      <c r="Z125" s="2778"/>
      <c r="AA125" s="2778"/>
      <c r="AB125" s="2778"/>
      <c r="AC125" s="2778"/>
      <c r="AD125" s="2778"/>
      <c r="AE125" s="2778"/>
      <c r="AF125" s="2778"/>
      <c r="AG125" s="2778"/>
      <c r="AH125" s="2713"/>
      <c r="AI125" s="2713"/>
      <c r="AJ125" s="2713"/>
      <c r="AK125" s="2713"/>
      <c r="AL125" s="2713"/>
      <c r="AM125" s="2713"/>
      <c r="AN125" s="2715" t="s">
        <v>693</v>
      </c>
      <c r="AO125" s="2713"/>
      <c r="AP125" s="2713"/>
      <c r="AQ125" s="2713"/>
      <c r="AR125" s="2713"/>
      <c r="AS125" s="2713"/>
      <c r="AT125" s="2714"/>
      <c r="AU125" s="2713"/>
      <c r="AV125" s="2713"/>
      <c r="AW125" s="2714"/>
      <c r="AX125" s="2713"/>
      <c r="AY125" s="2713"/>
      <c r="AZ125" s="2713"/>
      <c r="BA125" s="2713"/>
      <c r="BB125" s="2713"/>
      <c r="BC125" s="2805" t="s">
        <v>2596</v>
      </c>
      <c r="BD125" s="2713"/>
      <c r="BE125" s="2713"/>
      <c r="BF125" s="2713"/>
      <c r="BG125" s="2713"/>
      <c r="BH125" s="2713"/>
      <c r="BI125" s="2713"/>
      <c r="BJ125" s="2713"/>
      <c r="BK125" s="2713"/>
      <c r="BL125" s="2713"/>
      <c r="BM125" s="2713"/>
      <c r="BN125" s="2713"/>
      <c r="BO125" s="2713"/>
      <c r="BP125" s="2780"/>
      <c r="BQ125" s="2780"/>
      <c r="BR125" s="2780"/>
      <c r="BS125" s="2780"/>
      <c r="BT125" s="2780">
        <v>1</v>
      </c>
      <c r="BU125" s="2780">
        <v>1</v>
      </c>
      <c r="BV125" s="2780">
        <v>1</v>
      </c>
      <c r="BW125" s="2780">
        <v>1</v>
      </c>
      <c r="BX125" s="2780">
        <v>1</v>
      </c>
      <c r="BY125" s="2780">
        <v>1</v>
      </c>
      <c r="BZ125" s="2780">
        <v>1</v>
      </c>
      <c r="CA125" s="2780">
        <v>1</v>
      </c>
      <c r="CB125" s="2780">
        <v>1</v>
      </c>
      <c r="CC125" s="2780">
        <v>1</v>
      </c>
    </row>
    <row r="126" spans="1:81" ht="29.25" customHeight="1">
      <c r="A126" s="162">
        <f t="shared" ref="A126:A129" si="8">+A125+1</f>
        <v>100</v>
      </c>
      <c r="B126" s="2694" t="s">
        <v>292</v>
      </c>
      <c r="C126" s="5959" t="s">
        <v>366</v>
      </c>
      <c r="D126" s="6001" t="s">
        <v>2871</v>
      </c>
      <c r="E126" s="2778"/>
      <c r="F126" s="2778"/>
      <c r="G126" s="2778"/>
      <c r="H126" s="2778"/>
      <c r="I126" s="2778"/>
      <c r="J126" s="2778"/>
      <c r="K126" s="2778"/>
      <c r="L126" s="2715" t="s">
        <v>253</v>
      </c>
      <c r="M126" s="2781"/>
      <c r="N126" s="2778"/>
      <c r="O126" s="2778"/>
      <c r="P126" s="2778"/>
      <c r="Q126" s="2778"/>
      <c r="R126" s="2778"/>
      <c r="S126" s="2778"/>
      <c r="T126" s="2778"/>
      <c r="U126" s="2778"/>
      <c r="V126" s="2778"/>
      <c r="W126" s="2778"/>
      <c r="X126" s="2778"/>
      <c r="Y126" s="2778"/>
      <c r="Z126" s="2778"/>
      <c r="AA126" s="2778"/>
      <c r="AB126" s="2778"/>
      <c r="AC126" s="2778"/>
      <c r="AD126" s="2715" t="s">
        <v>230</v>
      </c>
      <c r="AE126" s="2778"/>
      <c r="AF126" s="2778"/>
      <c r="AG126" s="2778"/>
      <c r="AH126" s="2713"/>
      <c r="AI126" s="2713"/>
      <c r="AJ126" s="2713"/>
      <c r="AK126" s="2713"/>
      <c r="AL126" s="2713"/>
      <c r="AM126" s="2713"/>
      <c r="AN126" s="2713"/>
      <c r="AO126" s="2713"/>
      <c r="AP126" s="2713"/>
      <c r="AQ126" s="2713"/>
      <c r="AR126" s="2713"/>
      <c r="AS126" s="2713"/>
      <c r="AT126" s="2714"/>
      <c r="AU126" s="2713"/>
      <c r="AV126" s="2713"/>
      <c r="AW126" s="2714"/>
      <c r="AX126" s="2713"/>
      <c r="AY126" s="2713"/>
      <c r="AZ126" s="2713"/>
      <c r="BA126" s="2713"/>
      <c r="BB126" s="2713"/>
      <c r="BC126" s="3904"/>
      <c r="BD126" s="2713"/>
      <c r="BE126" s="2713"/>
      <c r="BF126" s="2713"/>
      <c r="BG126" s="2713"/>
      <c r="BH126" s="2713"/>
      <c r="BI126" s="2713"/>
      <c r="BJ126" s="2713"/>
      <c r="BK126" s="2713"/>
      <c r="BL126" s="2713"/>
      <c r="BM126" s="2713"/>
      <c r="BN126" s="2713"/>
      <c r="BO126" s="2713"/>
      <c r="BP126" s="2780"/>
      <c r="BQ126" s="2780">
        <v>1</v>
      </c>
      <c r="BR126" s="2780">
        <v>1</v>
      </c>
      <c r="BS126" s="2780">
        <v>1</v>
      </c>
      <c r="BT126" s="2780">
        <v>1</v>
      </c>
      <c r="BU126" s="2780">
        <v>1</v>
      </c>
      <c r="BV126" s="2780"/>
      <c r="BW126" s="2780"/>
      <c r="BX126" s="2780"/>
      <c r="BY126" s="2780"/>
      <c r="BZ126" s="2780"/>
      <c r="CA126" s="2780"/>
      <c r="CB126" s="2780"/>
      <c r="CC126" s="2780"/>
    </row>
    <row r="127" spans="1:81" ht="29.25" customHeight="1">
      <c r="A127" s="162">
        <f t="shared" si="8"/>
        <v>101</v>
      </c>
      <c r="B127" s="2694" t="s">
        <v>296</v>
      </c>
      <c r="C127" s="5959" t="s">
        <v>601</v>
      </c>
      <c r="D127" s="6001">
        <v>41366</v>
      </c>
      <c r="E127" s="2778"/>
      <c r="F127" s="2778"/>
      <c r="G127" s="2808"/>
      <c r="H127" s="2778"/>
      <c r="I127" s="2778"/>
      <c r="J127" s="2778"/>
      <c r="K127" s="2778"/>
      <c r="L127" s="2778"/>
      <c r="M127" s="2778"/>
      <c r="N127" s="2778"/>
      <c r="O127" s="2778"/>
      <c r="P127" s="2778"/>
      <c r="Q127" s="2778"/>
      <c r="R127" s="2778"/>
      <c r="S127" s="2778"/>
      <c r="T127" s="2778"/>
      <c r="U127" s="2778"/>
      <c r="V127" s="2778"/>
      <c r="W127" s="2778"/>
      <c r="X127" s="2778"/>
      <c r="Y127" s="2778"/>
      <c r="Z127" s="2778"/>
      <c r="AA127" s="2778"/>
      <c r="AB127" s="2778"/>
      <c r="AC127" s="2778"/>
      <c r="AD127" s="2778"/>
      <c r="AE127" s="2778"/>
      <c r="AF127" s="2778"/>
      <c r="AG127" s="2778"/>
      <c r="AH127" s="2713"/>
      <c r="AI127" s="2713"/>
      <c r="AJ127" s="2715" t="s">
        <v>1718</v>
      </c>
      <c r="AK127" s="2713"/>
      <c r="AL127" s="2713"/>
      <c r="AM127" s="2713"/>
      <c r="AN127" s="2713"/>
      <c r="AO127" s="2713"/>
      <c r="AP127" s="2713"/>
      <c r="AQ127" s="2713"/>
      <c r="AR127" s="2713"/>
      <c r="AS127" s="2713"/>
      <c r="AT127" s="2714"/>
      <c r="AU127" s="2713"/>
      <c r="AV127" s="2713"/>
      <c r="AW127" s="2714"/>
      <c r="AX127" s="2713"/>
      <c r="AY127" s="2713"/>
      <c r="AZ127" s="2713"/>
      <c r="BA127" s="2713"/>
      <c r="BB127" s="2713"/>
      <c r="BC127" s="3904"/>
      <c r="BD127" s="2713"/>
      <c r="BE127" s="2713"/>
      <c r="BF127" s="2713"/>
      <c r="BG127" s="2713"/>
      <c r="BH127" s="2713"/>
      <c r="BI127" s="2713"/>
      <c r="BJ127" s="2713"/>
      <c r="BK127" s="2713"/>
      <c r="BL127" s="2713"/>
      <c r="BM127" s="2713"/>
      <c r="BN127" s="2713"/>
      <c r="BO127" s="2713"/>
      <c r="BP127" s="2780"/>
      <c r="BQ127" s="2780"/>
      <c r="BR127" s="2780"/>
      <c r="BS127" s="2780">
        <v>1</v>
      </c>
      <c r="BT127" s="2780">
        <v>1</v>
      </c>
      <c r="BU127" s="2780">
        <v>1</v>
      </c>
      <c r="BV127" s="2780">
        <v>1</v>
      </c>
      <c r="BW127" s="2780">
        <v>1</v>
      </c>
      <c r="BX127" s="2780"/>
      <c r="BY127" s="2780"/>
      <c r="BZ127" s="2780"/>
      <c r="CA127" s="2780"/>
      <c r="CB127" s="2780"/>
      <c r="CC127" s="2780"/>
    </row>
    <row r="128" spans="1:81" ht="29.25" customHeight="1">
      <c r="A128" s="162">
        <f t="shared" si="8"/>
        <v>102</v>
      </c>
      <c r="B128" s="2694" t="s">
        <v>3133</v>
      </c>
      <c r="C128" s="5959" t="s">
        <v>649</v>
      </c>
      <c r="D128" s="5960">
        <v>35356</v>
      </c>
      <c r="E128" s="2778"/>
      <c r="F128" s="2778"/>
      <c r="G128" s="2778"/>
      <c r="H128" s="2778"/>
      <c r="I128" s="2778"/>
      <c r="J128" s="2778"/>
      <c r="K128" s="2778"/>
      <c r="L128" s="2778"/>
      <c r="M128" s="2778"/>
      <c r="N128" s="2778"/>
      <c r="O128" s="2778"/>
      <c r="P128" s="2778"/>
      <c r="Q128" s="2778"/>
      <c r="R128" s="2778"/>
      <c r="S128" s="2778"/>
      <c r="T128" s="2778"/>
      <c r="U128" s="2778"/>
      <c r="V128" s="2778"/>
      <c r="W128" s="2778"/>
      <c r="X128" s="2778"/>
      <c r="Y128" s="2778"/>
      <c r="Z128" s="2778"/>
      <c r="AA128" s="2778"/>
      <c r="AB128" s="2778"/>
      <c r="AC128" s="2778"/>
      <c r="AD128" s="2778"/>
      <c r="AE128" s="2778"/>
      <c r="AF128" s="2778"/>
      <c r="AG128" s="2778"/>
      <c r="AH128" s="2713"/>
      <c r="AI128" s="2713"/>
      <c r="AJ128" s="2713"/>
      <c r="AK128" s="2713"/>
      <c r="AL128" s="2713"/>
      <c r="AM128" s="2713"/>
      <c r="AN128" s="2713"/>
      <c r="AO128" s="2713"/>
      <c r="AP128" s="2713"/>
      <c r="AQ128" s="2713"/>
      <c r="AR128" s="2713"/>
      <c r="AS128" s="2713"/>
      <c r="AT128" s="2714"/>
      <c r="AU128" s="2713"/>
      <c r="AV128" s="2713"/>
      <c r="AW128" s="2714"/>
      <c r="AX128" s="2713"/>
      <c r="AY128" s="2713"/>
      <c r="AZ128" s="2713"/>
      <c r="BA128" s="2713"/>
      <c r="BB128" s="2713"/>
      <c r="BC128" s="3904"/>
      <c r="BD128" s="2713"/>
      <c r="BE128" s="2713"/>
      <c r="BF128" s="2713"/>
      <c r="BG128" s="2713"/>
      <c r="BH128" s="2713"/>
      <c r="BI128" s="2713"/>
      <c r="BJ128" s="2713"/>
      <c r="BK128" s="2713"/>
      <c r="BL128" s="2713"/>
      <c r="BM128" s="2713"/>
      <c r="BN128" s="2713"/>
      <c r="BO128" s="2713"/>
      <c r="BP128" s="2780"/>
      <c r="BQ128" s="2780"/>
      <c r="BR128" s="2780"/>
      <c r="BS128" s="2780"/>
      <c r="BT128" s="2780"/>
      <c r="BU128" s="2780"/>
      <c r="BV128" s="2780"/>
      <c r="BW128" s="2780"/>
      <c r="BX128" s="2780"/>
      <c r="BY128" s="2780"/>
      <c r="BZ128" s="2780"/>
      <c r="CA128" s="2780"/>
      <c r="CB128" s="2780"/>
      <c r="CC128" s="2780"/>
    </row>
    <row r="129" spans="1:81" ht="29.25" customHeight="1">
      <c r="A129" s="162">
        <f t="shared" si="8"/>
        <v>103</v>
      </c>
      <c r="B129" s="2694" t="s">
        <v>3134</v>
      </c>
      <c r="C129" s="5959" t="s">
        <v>650</v>
      </c>
      <c r="D129" s="5960">
        <v>37035</v>
      </c>
      <c r="E129" s="2778"/>
      <c r="F129" s="2778"/>
      <c r="G129" s="2778"/>
      <c r="H129" s="2778"/>
      <c r="I129" s="2778"/>
      <c r="J129" s="2778"/>
      <c r="K129" s="2778"/>
      <c r="L129" s="2778"/>
      <c r="M129" s="2778"/>
      <c r="N129" s="2778"/>
      <c r="O129" s="2778"/>
      <c r="P129" s="2778"/>
      <c r="Q129" s="2778"/>
      <c r="R129" s="2778"/>
      <c r="S129" s="2778"/>
      <c r="T129" s="2778"/>
      <c r="U129" s="2778"/>
      <c r="V129" s="2778"/>
      <c r="W129" s="2778"/>
      <c r="X129" s="2778"/>
      <c r="Y129" s="2778"/>
      <c r="Z129" s="2778"/>
      <c r="AA129" s="2778"/>
      <c r="AB129" s="2778"/>
      <c r="AC129" s="2778"/>
      <c r="AD129" s="2778"/>
      <c r="AE129" s="2778"/>
      <c r="AF129" s="2778"/>
      <c r="AG129" s="2778"/>
      <c r="AH129" s="2713"/>
      <c r="AI129" s="2713"/>
      <c r="AJ129" s="2713"/>
      <c r="AK129" s="2713"/>
      <c r="AL129" s="2713"/>
      <c r="AM129" s="2713"/>
      <c r="AN129" s="2713"/>
      <c r="AO129" s="2713"/>
      <c r="AP129" s="2713"/>
      <c r="AQ129" s="2713"/>
      <c r="AR129" s="2713"/>
      <c r="AS129" s="2713"/>
      <c r="AT129" s="2714"/>
      <c r="AU129" s="2713"/>
      <c r="AV129" s="2713"/>
      <c r="AW129" s="2714"/>
      <c r="AX129" s="2713"/>
      <c r="AY129" s="2713"/>
      <c r="AZ129" s="2713"/>
      <c r="BA129" s="2713"/>
      <c r="BB129" s="2713"/>
      <c r="BC129" s="3904"/>
      <c r="BD129" s="2713"/>
      <c r="BE129" s="2713"/>
      <c r="BF129" s="2713"/>
      <c r="BG129" s="2713"/>
      <c r="BH129" s="2713"/>
      <c r="BI129" s="2713"/>
      <c r="BJ129" s="2713"/>
      <c r="BK129" s="2713"/>
      <c r="BL129" s="2713"/>
      <c r="BM129" s="2713"/>
      <c r="BN129" s="2713"/>
      <c r="BO129" s="2713"/>
      <c r="BP129" s="2780"/>
      <c r="BQ129" s="2780"/>
      <c r="BR129" s="2780"/>
      <c r="BS129" s="2780"/>
      <c r="BT129" s="2780"/>
      <c r="BU129" s="2780"/>
      <c r="BV129" s="2780"/>
      <c r="BW129" s="2780"/>
      <c r="BX129" s="2780"/>
      <c r="BY129" s="2780"/>
      <c r="BZ129" s="2780"/>
      <c r="CA129" s="2780"/>
      <c r="CB129" s="2780"/>
      <c r="CC129" s="2780"/>
    </row>
    <row r="130" spans="1:81" ht="29.25" hidden="1" customHeight="1">
      <c r="B130" s="2694" t="s">
        <v>666</v>
      </c>
      <c r="C130" s="5959" t="s">
        <v>2150</v>
      </c>
      <c r="D130" s="3346">
        <v>43039</v>
      </c>
      <c r="E130" s="2778"/>
      <c r="F130" s="2778"/>
      <c r="G130" s="2778"/>
      <c r="H130" s="2778"/>
      <c r="I130" s="2778"/>
      <c r="J130" s="2778"/>
      <c r="K130" s="2778"/>
      <c r="L130" s="2778"/>
      <c r="M130" s="2778"/>
      <c r="N130" s="2778"/>
      <c r="O130" s="2778"/>
      <c r="P130" s="2778"/>
      <c r="Q130" s="2778"/>
      <c r="R130" s="2778"/>
      <c r="S130" s="2778"/>
      <c r="T130" s="2778"/>
      <c r="U130" s="2778"/>
      <c r="V130" s="2778"/>
      <c r="W130" s="2778"/>
      <c r="X130" s="2778"/>
      <c r="Y130" s="2778"/>
      <c r="Z130" s="2778"/>
      <c r="AA130" s="2778"/>
      <c r="AB130" s="2778"/>
      <c r="AC130" s="2778"/>
      <c r="AD130" s="2778"/>
      <c r="AE130" s="2778"/>
      <c r="AF130" s="2778"/>
      <c r="AG130" s="2778"/>
      <c r="AH130" s="2713"/>
      <c r="AI130" s="2713"/>
      <c r="AJ130" s="2713"/>
      <c r="AK130" s="2713"/>
      <c r="AL130" s="2713"/>
      <c r="AM130" s="2713"/>
      <c r="AN130" s="2713"/>
      <c r="AO130" s="2713"/>
      <c r="AP130" s="2713"/>
      <c r="AQ130" s="2713"/>
      <c r="AR130" s="2713"/>
      <c r="AS130" s="2713"/>
      <c r="AT130" s="2714"/>
      <c r="AU130" s="2713"/>
      <c r="AV130" s="2713"/>
      <c r="AW130" s="2713"/>
      <c r="AX130" s="2713"/>
      <c r="AY130" s="3339"/>
      <c r="AZ130" s="3339"/>
      <c r="BA130" s="3339"/>
      <c r="BB130" s="3339"/>
      <c r="BC130" s="3906"/>
      <c r="BD130" s="3339"/>
      <c r="BE130" s="3339"/>
      <c r="BF130" s="3339"/>
      <c r="BG130" s="3339"/>
      <c r="BH130" s="3339"/>
      <c r="BI130" s="3339"/>
      <c r="BJ130" s="3339"/>
      <c r="BK130" s="3339"/>
      <c r="BL130" s="3339"/>
      <c r="BM130" s="3339"/>
      <c r="BN130" s="3339"/>
      <c r="BO130" s="3339"/>
      <c r="BP130" s="2780"/>
      <c r="BQ130" s="2780"/>
      <c r="BR130" s="2780"/>
      <c r="BS130" s="2780"/>
      <c r="BT130" s="2780"/>
      <c r="BU130" s="2780"/>
      <c r="BV130" s="2780"/>
      <c r="BW130" s="2780"/>
      <c r="BX130" s="2780"/>
      <c r="BY130" s="2780"/>
      <c r="BZ130" s="2780"/>
      <c r="CA130" s="2780"/>
      <c r="CB130" s="2780"/>
      <c r="CC130" s="2780"/>
    </row>
    <row r="131" spans="1:81" ht="29.25" customHeight="1">
      <c r="A131" s="162">
        <f>+A129+1</f>
        <v>104</v>
      </c>
      <c r="B131" s="2694" t="s">
        <v>3124</v>
      </c>
      <c r="C131" s="5959" t="s">
        <v>2150</v>
      </c>
      <c r="D131" s="6001">
        <v>43039</v>
      </c>
      <c r="E131" s="2778"/>
      <c r="F131" s="2778"/>
      <c r="G131" s="2778"/>
      <c r="H131" s="2778"/>
      <c r="I131" s="2778"/>
      <c r="J131" s="2778"/>
      <c r="K131" s="2778"/>
      <c r="L131" s="2778"/>
      <c r="M131" s="2778"/>
      <c r="N131" s="2778"/>
      <c r="O131" s="2778"/>
      <c r="P131" s="2778"/>
      <c r="Q131" s="2778"/>
      <c r="R131" s="2778"/>
      <c r="S131" s="2778"/>
      <c r="T131" s="2778"/>
      <c r="U131" s="2778"/>
      <c r="V131" s="2778"/>
      <c r="W131" s="2778"/>
      <c r="X131" s="2778"/>
      <c r="Y131" s="2778"/>
      <c r="Z131" s="2778"/>
      <c r="AA131" s="2778"/>
      <c r="AB131" s="2778"/>
      <c r="AC131" s="2778"/>
      <c r="AD131" s="2778"/>
      <c r="AE131" s="2778"/>
      <c r="AF131" s="2778"/>
      <c r="AG131" s="2778"/>
      <c r="AH131" s="2713"/>
      <c r="AI131" s="2713"/>
      <c r="AJ131" s="2713"/>
      <c r="AK131" s="2713"/>
      <c r="AL131" s="2713"/>
      <c r="AM131" s="2713"/>
      <c r="AN131" s="2713"/>
      <c r="AO131" s="2713"/>
      <c r="AP131" s="2713"/>
      <c r="AQ131" s="2713"/>
      <c r="AR131" s="2713"/>
      <c r="AS131" s="2713"/>
      <c r="AT131" s="2714"/>
      <c r="AU131" s="2713"/>
      <c r="AV131" s="2713"/>
      <c r="AW131" s="2805" t="s">
        <v>2473</v>
      </c>
      <c r="AX131" s="3339"/>
      <c r="AY131" s="3339"/>
      <c r="AZ131" s="3339"/>
      <c r="BA131" s="3339"/>
      <c r="BB131" s="3339"/>
      <c r="BC131" s="3906"/>
      <c r="BD131" s="3339"/>
      <c r="BE131" s="3339"/>
      <c r="BF131" s="3339"/>
      <c r="BG131" s="3339"/>
      <c r="BH131" s="3339"/>
      <c r="BI131" s="3339"/>
      <c r="BJ131" s="3339"/>
      <c r="BK131" s="3339"/>
      <c r="BL131" s="3339"/>
      <c r="BM131" s="3339"/>
      <c r="BN131" s="3339"/>
      <c r="BO131" s="3339"/>
      <c r="BP131" s="2780"/>
      <c r="BQ131" s="2780"/>
      <c r="BR131" s="2780"/>
      <c r="BS131" s="2780"/>
      <c r="BT131" s="2780"/>
      <c r="BU131" s="2780"/>
      <c r="BV131" s="2780"/>
      <c r="BW131" s="2780"/>
      <c r="BX131" s="2780"/>
      <c r="BY131" s="2780">
        <v>1</v>
      </c>
      <c r="BZ131" s="2780">
        <v>1</v>
      </c>
      <c r="CA131" s="2780">
        <v>1</v>
      </c>
      <c r="CB131" s="2780"/>
      <c r="CC131" s="2780"/>
    </row>
    <row r="132" spans="1:81" ht="29.25" hidden="1" customHeight="1">
      <c r="A132" s="162">
        <v>93</v>
      </c>
      <c r="B132" s="2809" t="s">
        <v>667</v>
      </c>
      <c r="C132" s="5959" t="s">
        <v>1480</v>
      </c>
      <c r="D132" s="5960">
        <v>41964</v>
      </c>
      <c r="E132" s="2778"/>
      <c r="F132" s="2778"/>
      <c r="G132" s="2778"/>
      <c r="H132" s="2778"/>
      <c r="I132" s="2778"/>
      <c r="J132" s="2778"/>
      <c r="K132" s="2778"/>
      <c r="L132" s="2778"/>
      <c r="M132" s="2778"/>
      <c r="N132" s="2778"/>
      <c r="O132" s="2778"/>
      <c r="P132" s="2778"/>
      <c r="Q132" s="2778"/>
      <c r="R132" s="2778"/>
      <c r="S132" s="2778"/>
      <c r="T132" s="2778"/>
      <c r="U132" s="2783" t="s">
        <v>358</v>
      </c>
      <c r="V132" s="2778"/>
      <c r="W132" s="2778"/>
      <c r="X132" s="2778"/>
      <c r="Y132" s="2778"/>
      <c r="Z132" s="2778"/>
      <c r="AA132" s="2778"/>
      <c r="AB132" s="2778"/>
      <c r="AC132" s="2778"/>
      <c r="AD132" s="2778"/>
      <c r="AE132" s="2778"/>
      <c r="AF132" s="2778"/>
      <c r="AG132" s="2778"/>
      <c r="AH132" s="2713"/>
      <c r="AI132" s="2713"/>
      <c r="AJ132" s="2713"/>
      <c r="AK132" s="2713"/>
      <c r="AL132" s="2713"/>
      <c r="AM132" s="2713"/>
      <c r="AN132" s="2805" t="s">
        <v>694</v>
      </c>
      <c r="AO132" s="2713"/>
      <c r="AP132" s="2713"/>
      <c r="AQ132" s="2713"/>
      <c r="AR132" s="2713"/>
      <c r="AS132" s="2713"/>
      <c r="AT132" s="2714"/>
      <c r="AU132" s="2713"/>
      <c r="AV132" s="2713"/>
      <c r="AW132" s="3339"/>
      <c r="AX132" s="3339"/>
      <c r="AY132" s="3339"/>
      <c r="AZ132" s="3339"/>
      <c r="BA132" s="3339"/>
      <c r="BB132" s="3339"/>
      <c r="BC132" s="3906"/>
      <c r="BD132" s="3339"/>
      <c r="BE132" s="3339"/>
      <c r="BF132" s="3339"/>
      <c r="BG132" s="3339"/>
      <c r="BH132" s="3339"/>
      <c r="BI132" s="3339"/>
      <c r="BJ132" s="3339"/>
      <c r="BK132" s="3339"/>
      <c r="BL132" s="3339"/>
      <c r="BM132" s="3339"/>
      <c r="BN132" s="3339"/>
      <c r="BO132" s="3339"/>
      <c r="BP132" s="2780">
        <v>1</v>
      </c>
      <c r="BQ132" s="2780">
        <v>1</v>
      </c>
      <c r="BR132" s="2780">
        <v>1</v>
      </c>
      <c r="BS132" s="2780">
        <v>1</v>
      </c>
      <c r="BT132" s="2780">
        <v>1</v>
      </c>
      <c r="BU132" s="2780">
        <v>1</v>
      </c>
      <c r="BV132" s="2780">
        <v>1</v>
      </c>
      <c r="BW132" s="2780"/>
      <c r="BX132" s="2780"/>
      <c r="BY132" s="2780"/>
      <c r="BZ132" s="2780"/>
      <c r="CA132" s="2780"/>
      <c r="CB132" s="2780"/>
      <c r="CC132" s="2780"/>
    </row>
    <row r="133" spans="1:81" ht="29.25" customHeight="1">
      <c r="A133" s="162">
        <f>+A131+1</f>
        <v>105</v>
      </c>
      <c r="B133" s="2694" t="s">
        <v>668</v>
      </c>
      <c r="C133" s="5959" t="s">
        <v>2581</v>
      </c>
      <c r="D133" s="5960">
        <v>43622</v>
      </c>
      <c r="E133" s="2778"/>
      <c r="F133" s="2778"/>
      <c r="G133" s="2778"/>
      <c r="H133" s="2778"/>
      <c r="I133" s="2778"/>
      <c r="J133" s="2778"/>
      <c r="K133" s="2778"/>
      <c r="L133" s="2778"/>
      <c r="M133" s="2778"/>
      <c r="N133" s="2778"/>
      <c r="O133" s="2778"/>
      <c r="P133" s="2778"/>
      <c r="Q133" s="2778"/>
      <c r="R133" s="2778"/>
      <c r="S133" s="2778"/>
      <c r="T133" s="2778"/>
      <c r="U133" s="2783" t="s">
        <v>358</v>
      </c>
      <c r="V133" s="2778"/>
      <c r="W133" s="2778"/>
      <c r="X133" s="2778"/>
      <c r="Y133" s="2778"/>
      <c r="Z133" s="2778"/>
      <c r="AA133" s="2778"/>
      <c r="AB133" s="2778"/>
      <c r="AC133" s="2778"/>
      <c r="AD133" s="2778"/>
      <c r="AE133" s="2778"/>
      <c r="AF133" s="2778"/>
      <c r="AG133" s="2778"/>
      <c r="AH133" s="2713"/>
      <c r="AI133" s="2713"/>
      <c r="AJ133" s="2713"/>
      <c r="AK133" s="2713"/>
      <c r="AL133" s="2713"/>
      <c r="AM133" s="2713"/>
      <c r="AN133" s="2805" t="s">
        <v>694</v>
      </c>
      <c r="AO133" s="2713"/>
      <c r="AP133" s="2713"/>
      <c r="AQ133" s="2713"/>
      <c r="AR133" s="2713"/>
      <c r="AS133" s="2713"/>
      <c r="AT133" s="2714"/>
      <c r="AU133" s="2713"/>
      <c r="AV133" s="2713"/>
      <c r="AW133" s="3339"/>
      <c r="AX133" s="3339"/>
      <c r="AY133" s="3339"/>
      <c r="AZ133" s="3339"/>
      <c r="BA133" s="2712" t="s">
        <v>2470</v>
      </c>
      <c r="BB133" s="3339"/>
      <c r="BC133" s="3906"/>
      <c r="BD133" s="3339"/>
      <c r="BE133" s="3339"/>
      <c r="BF133" s="3339"/>
      <c r="BG133" s="3339"/>
      <c r="BH133" s="3339"/>
      <c r="BI133" s="3339"/>
      <c r="BJ133" s="3339"/>
      <c r="BK133" s="3339"/>
      <c r="BL133" s="3339"/>
      <c r="BM133" s="3339"/>
      <c r="BN133" s="3339"/>
      <c r="BO133" s="3339"/>
      <c r="BP133" s="2780">
        <v>1</v>
      </c>
      <c r="BQ133" s="2780">
        <v>1</v>
      </c>
      <c r="BR133" s="2780">
        <v>1</v>
      </c>
      <c r="BS133" s="2780">
        <v>1</v>
      </c>
      <c r="BT133" s="2780">
        <v>1</v>
      </c>
      <c r="BU133" s="2780">
        <v>1</v>
      </c>
      <c r="BV133" s="2780">
        <v>1</v>
      </c>
      <c r="BW133" s="2780">
        <v>1</v>
      </c>
      <c r="BX133" s="2780">
        <v>1</v>
      </c>
      <c r="BY133" s="2780">
        <v>1</v>
      </c>
      <c r="BZ133" s="2780">
        <v>1</v>
      </c>
      <c r="CA133" s="2780">
        <v>1</v>
      </c>
      <c r="CB133" s="2780">
        <v>1</v>
      </c>
      <c r="CC133" s="2780">
        <v>1</v>
      </c>
    </row>
    <row r="134" spans="1:81" ht="29.25" customHeight="1">
      <c r="A134" s="162">
        <f>+A133+1</f>
        <v>106</v>
      </c>
      <c r="B134" s="2694" t="s">
        <v>2892</v>
      </c>
      <c r="C134" s="5959" t="s">
        <v>2583</v>
      </c>
      <c r="D134" s="5960">
        <v>43802</v>
      </c>
      <c r="E134" s="2778"/>
      <c r="F134" s="2778"/>
      <c r="G134" s="2778"/>
      <c r="H134" s="2778"/>
      <c r="I134" s="2778"/>
      <c r="J134" s="2778"/>
      <c r="K134" s="2778"/>
      <c r="L134" s="2778"/>
      <c r="M134" s="2778"/>
      <c r="N134" s="2778"/>
      <c r="O134" s="2778"/>
      <c r="P134" s="2778"/>
      <c r="Q134" s="2778"/>
      <c r="R134" s="2778"/>
      <c r="S134" s="2778"/>
      <c r="T134" s="2778"/>
      <c r="U134" s="2783"/>
      <c r="V134" s="2778"/>
      <c r="W134" s="2778"/>
      <c r="X134" s="2778"/>
      <c r="Y134" s="2778"/>
      <c r="Z134" s="2778"/>
      <c r="AA134" s="2778"/>
      <c r="AB134" s="2778"/>
      <c r="AC134" s="2778"/>
      <c r="AD134" s="2778"/>
      <c r="AE134" s="2778"/>
      <c r="AF134" s="2778"/>
      <c r="AG134" s="2778"/>
      <c r="AH134" s="2713"/>
      <c r="AI134" s="2713"/>
      <c r="AJ134" s="2713"/>
      <c r="AK134" s="2713"/>
      <c r="AL134" s="2713"/>
      <c r="AM134" s="2713"/>
      <c r="AN134" s="2805"/>
      <c r="AO134" s="2713"/>
      <c r="AP134" s="2713"/>
      <c r="AQ134" s="2713"/>
      <c r="AR134" s="2713"/>
      <c r="AS134" s="2713"/>
      <c r="AT134" s="2714"/>
      <c r="AU134" s="2713"/>
      <c r="AV134" s="2713"/>
      <c r="AW134" s="3339"/>
      <c r="AX134" s="3339"/>
      <c r="AY134" s="3339"/>
      <c r="AZ134" s="3339"/>
      <c r="BA134" s="3339"/>
      <c r="BB134" s="3339"/>
      <c r="BC134" s="3906"/>
      <c r="BD134" s="3339"/>
      <c r="BE134" s="3339"/>
      <c r="BF134" s="3339"/>
      <c r="BG134" s="3339"/>
      <c r="BH134" s="3339"/>
      <c r="BI134" s="3339"/>
      <c r="BJ134" s="3339"/>
      <c r="BK134" s="3339"/>
      <c r="BL134" s="3339"/>
      <c r="BM134" s="3339"/>
      <c r="BN134" s="3339"/>
      <c r="BO134" s="3339"/>
      <c r="BP134" s="2780"/>
      <c r="BQ134" s="2780"/>
      <c r="BR134" s="2780"/>
      <c r="BS134" s="2780"/>
      <c r="BT134" s="2780"/>
      <c r="BU134" s="2780"/>
      <c r="BV134" s="2780"/>
      <c r="BW134" s="2780"/>
      <c r="BX134" s="2780"/>
      <c r="BY134" s="2780"/>
      <c r="BZ134" s="2780"/>
      <c r="CA134" s="2780"/>
      <c r="CB134" s="2780"/>
      <c r="CC134" s="2780"/>
    </row>
    <row r="135" spans="1:81" ht="29.25" customHeight="1">
      <c r="A135" s="162">
        <f>+A134+1</f>
        <v>107</v>
      </c>
      <c r="B135" s="6550" t="s">
        <v>525</v>
      </c>
      <c r="C135" s="5959" t="s">
        <v>2818</v>
      </c>
      <c r="D135" s="5960">
        <v>44154</v>
      </c>
      <c r="E135" s="2778"/>
      <c r="F135" s="2778"/>
      <c r="G135" s="2778"/>
      <c r="H135" s="2778"/>
      <c r="I135" s="2778"/>
      <c r="J135" s="2778"/>
      <c r="K135" s="2778"/>
      <c r="L135" s="2778"/>
      <c r="M135" s="2778"/>
      <c r="N135" s="2778"/>
      <c r="O135" s="2778"/>
      <c r="P135" s="2778"/>
      <c r="Q135" s="2778"/>
      <c r="R135" s="2778"/>
      <c r="S135" s="2778"/>
      <c r="T135" s="2778"/>
      <c r="U135" s="2778"/>
      <c r="V135" s="2778"/>
      <c r="W135" s="2778"/>
      <c r="X135" s="2778"/>
      <c r="Y135" s="2778"/>
      <c r="Z135" s="2778"/>
      <c r="AA135" s="2778"/>
      <c r="AB135" s="2778"/>
      <c r="AC135" s="2778"/>
      <c r="AD135" s="2778"/>
      <c r="AE135" s="2778"/>
      <c r="AF135" s="2778"/>
      <c r="AG135" s="2783" t="s">
        <v>494</v>
      </c>
      <c r="AH135" s="2713"/>
      <c r="AI135" s="2713"/>
      <c r="AJ135" s="2713"/>
      <c r="AK135" s="2713"/>
      <c r="AL135" s="2713"/>
      <c r="AM135" s="2713"/>
      <c r="AN135" s="2713"/>
      <c r="AO135" s="2713"/>
      <c r="AP135" s="2713"/>
      <c r="AQ135" s="2713"/>
      <c r="AR135" s="2713"/>
      <c r="AS135" s="2713"/>
      <c r="AT135" s="2714"/>
      <c r="AU135" s="2713"/>
      <c r="AV135" s="2713"/>
      <c r="AW135" s="3339"/>
      <c r="AX135" s="3339"/>
      <c r="AY135" s="2712" t="s">
        <v>2354</v>
      </c>
      <c r="AZ135" s="3339"/>
      <c r="BA135" s="3339"/>
      <c r="BB135" s="3339"/>
      <c r="BC135" s="3906"/>
      <c r="BD135" s="3339"/>
      <c r="BE135" s="2712" t="s">
        <v>2597</v>
      </c>
      <c r="BF135" s="3339"/>
      <c r="BG135" s="3339"/>
      <c r="BH135" s="3339"/>
      <c r="BI135" s="3339"/>
      <c r="BJ135" s="3339"/>
      <c r="BK135" s="3339"/>
      <c r="BL135" s="3339"/>
      <c r="BM135" s="3339"/>
      <c r="BN135" s="3339"/>
      <c r="BO135" s="3339"/>
      <c r="BP135" s="2780"/>
      <c r="BQ135" s="2780"/>
      <c r="BR135" s="2780">
        <v>1</v>
      </c>
      <c r="BS135" s="2780">
        <v>1</v>
      </c>
      <c r="BT135" s="2780">
        <v>1</v>
      </c>
      <c r="BU135" s="2780">
        <v>1</v>
      </c>
      <c r="BV135" s="2780">
        <v>1</v>
      </c>
      <c r="BW135" s="2780"/>
      <c r="BX135" s="2780">
        <v>1</v>
      </c>
      <c r="BY135" s="2780">
        <v>1</v>
      </c>
      <c r="BZ135" s="2780">
        <v>1</v>
      </c>
      <c r="CA135" s="2780">
        <v>1</v>
      </c>
      <c r="CB135" s="2780">
        <v>1</v>
      </c>
      <c r="CC135" s="2780">
        <v>1</v>
      </c>
    </row>
    <row r="136" spans="1:81" ht="28.5" customHeight="1">
      <c r="A136" s="162">
        <f>+A135+1</f>
        <v>108</v>
      </c>
      <c r="B136" s="6039" t="s">
        <v>3123</v>
      </c>
      <c r="C136" s="5959" t="s">
        <v>651</v>
      </c>
      <c r="D136" s="5960">
        <v>41585</v>
      </c>
      <c r="E136" s="2778"/>
      <c r="F136" s="2778"/>
      <c r="G136" s="2778"/>
      <c r="H136" s="2778"/>
      <c r="I136" s="2778"/>
      <c r="J136" s="2778"/>
      <c r="K136" s="2778"/>
      <c r="L136" s="2778"/>
      <c r="M136" s="2778"/>
      <c r="N136" s="2778"/>
      <c r="O136" s="2778"/>
      <c r="P136" s="2778"/>
      <c r="Q136" s="2778"/>
      <c r="R136" s="2778"/>
      <c r="S136" s="2778"/>
      <c r="T136" s="2778"/>
      <c r="U136" s="2778"/>
      <c r="V136" s="2778"/>
      <c r="W136" s="2778"/>
      <c r="X136" s="2778"/>
      <c r="Y136" s="2778"/>
      <c r="Z136" s="2778"/>
      <c r="AA136" s="2778"/>
      <c r="AB136" s="2778"/>
      <c r="AC136" s="2778"/>
      <c r="AD136" s="2778"/>
      <c r="AE136" s="2778"/>
      <c r="AF136" s="2778"/>
      <c r="AG136" s="2778"/>
      <c r="AH136" s="2713"/>
      <c r="AI136" s="2713"/>
      <c r="AJ136" s="2713"/>
      <c r="AK136" s="2783" t="s">
        <v>605</v>
      </c>
      <c r="AL136" s="2778"/>
      <c r="AM136" s="2778"/>
      <c r="AN136" s="2778"/>
      <c r="AO136" s="2778"/>
      <c r="AP136" s="2778"/>
      <c r="AQ136" s="2778"/>
      <c r="AR136" s="2778"/>
      <c r="AS136" s="2778"/>
      <c r="AT136" s="2784"/>
      <c r="AU136" s="2778"/>
      <c r="AV136" s="2778"/>
      <c r="AW136" s="3338"/>
      <c r="AX136" s="3338"/>
      <c r="AY136" s="3338"/>
      <c r="AZ136" s="3338"/>
      <c r="BA136" s="3338"/>
      <c r="BB136" s="3338"/>
      <c r="BC136" s="3905"/>
      <c r="BD136" s="3338"/>
      <c r="BE136" s="3338"/>
      <c r="BF136" s="3338"/>
      <c r="BG136" s="3338"/>
      <c r="BH136" s="3338"/>
      <c r="BI136" s="3338"/>
      <c r="BJ136" s="3338"/>
      <c r="BK136" s="3338"/>
      <c r="BL136" s="3338"/>
      <c r="BM136" s="3338"/>
      <c r="BN136" s="3338"/>
      <c r="BO136" s="3338"/>
      <c r="BP136" s="2780"/>
      <c r="BQ136" s="2780"/>
      <c r="BR136" s="2780"/>
      <c r="BS136" s="2780">
        <v>1</v>
      </c>
      <c r="BT136" s="2780">
        <v>1</v>
      </c>
      <c r="BU136" s="2780">
        <v>1</v>
      </c>
      <c r="BV136" s="2780">
        <v>1</v>
      </c>
      <c r="BW136" s="2780">
        <v>1</v>
      </c>
      <c r="BX136" s="2780"/>
      <c r="BY136" s="2780"/>
      <c r="BZ136" s="2780"/>
      <c r="CA136" s="2780"/>
      <c r="CB136" s="2780"/>
      <c r="CC136" s="2780"/>
    </row>
    <row r="137" spans="1:81" ht="29.25" customHeight="1">
      <c r="A137" s="162">
        <f>+A136+1</f>
        <v>109</v>
      </c>
      <c r="B137" s="2694" t="s">
        <v>2153</v>
      </c>
      <c r="C137" s="5959" t="s">
        <v>2142</v>
      </c>
      <c r="D137" s="5960">
        <v>43076</v>
      </c>
      <c r="E137" s="2778"/>
      <c r="F137" s="2778"/>
      <c r="G137" s="2778"/>
      <c r="H137" s="2778"/>
      <c r="I137" s="2778"/>
      <c r="J137" s="2778"/>
      <c r="K137" s="2778"/>
      <c r="L137" s="2778"/>
      <c r="M137" s="2778"/>
      <c r="N137" s="2778"/>
      <c r="O137" s="2778"/>
      <c r="P137" s="2778"/>
      <c r="Q137" s="2778"/>
      <c r="R137" s="2778"/>
      <c r="S137" s="2778"/>
      <c r="T137" s="2778"/>
      <c r="U137" s="2778"/>
      <c r="V137" s="2778"/>
      <c r="W137" s="2778"/>
      <c r="X137" s="2778"/>
      <c r="Y137" s="2778"/>
      <c r="Z137" s="2778"/>
      <c r="AA137" s="2778"/>
      <c r="AB137" s="2778"/>
      <c r="AC137" s="2778"/>
      <c r="AD137" s="2778"/>
      <c r="AE137" s="2778"/>
      <c r="AF137" s="2778"/>
      <c r="AG137" s="2778"/>
      <c r="AH137" s="2713"/>
      <c r="AI137" s="2713"/>
      <c r="AJ137" s="2713"/>
      <c r="AK137" s="2713"/>
      <c r="AL137" s="2778"/>
      <c r="AM137" s="2778"/>
      <c r="AN137" s="2778"/>
      <c r="AO137" s="2778"/>
      <c r="AP137" s="2778"/>
      <c r="AQ137" s="2778"/>
      <c r="AR137" s="2778"/>
      <c r="AS137" s="2778"/>
      <c r="AT137" s="2784"/>
      <c r="AU137" s="2778"/>
      <c r="AV137" s="2778"/>
      <c r="AW137" s="2760" t="s">
        <v>2154</v>
      </c>
      <c r="AX137" s="4881"/>
      <c r="AY137" s="4881"/>
      <c r="AZ137" s="4881"/>
      <c r="BA137" s="4881"/>
      <c r="BB137" s="4881"/>
      <c r="BC137" s="6004"/>
      <c r="BD137" s="4881"/>
      <c r="BE137" s="4881"/>
      <c r="BF137" s="4881"/>
      <c r="BG137" s="4881"/>
      <c r="BH137" s="4881"/>
      <c r="BI137" s="3338"/>
      <c r="BJ137" s="3338"/>
      <c r="BK137" s="3338"/>
      <c r="BL137" s="3338"/>
      <c r="BM137" s="3338"/>
      <c r="BN137" s="3338"/>
      <c r="BO137" s="3338"/>
      <c r="BP137" s="2780"/>
      <c r="BQ137" s="2780"/>
      <c r="BR137" s="2780"/>
      <c r="BS137" s="2780"/>
      <c r="BT137" s="2780"/>
      <c r="BU137" s="2780"/>
      <c r="BV137" s="2780"/>
      <c r="BW137" s="2780"/>
      <c r="BX137" s="2780">
        <v>1</v>
      </c>
      <c r="BY137" s="2780">
        <v>1</v>
      </c>
      <c r="BZ137" s="2780">
        <v>1</v>
      </c>
      <c r="CA137" s="2780">
        <v>1</v>
      </c>
      <c r="CB137" s="2780"/>
      <c r="CC137" s="2780"/>
    </row>
    <row r="138" spans="1:81" ht="29.25" customHeight="1">
      <c r="A138" s="162">
        <f>+A137+1</f>
        <v>110</v>
      </c>
      <c r="B138" s="6005" t="s">
        <v>2862</v>
      </c>
      <c r="C138" s="5959" t="s">
        <v>2858</v>
      </c>
      <c r="D138" s="5960">
        <v>44334</v>
      </c>
      <c r="E138" s="2778"/>
      <c r="F138" s="2778"/>
      <c r="G138" s="2778"/>
      <c r="H138" s="2778"/>
      <c r="I138" s="2778"/>
      <c r="J138" s="2778"/>
      <c r="K138" s="2778"/>
      <c r="L138" s="2778"/>
      <c r="M138" s="2778"/>
      <c r="N138" s="2778"/>
      <c r="O138" s="2778"/>
      <c r="P138" s="2778"/>
      <c r="Q138" s="2778"/>
      <c r="R138" s="2778"/>
      <c r="S138" s="2778"/>
      <c r="T138" s="2778"/>
      <c r="U138" s="2778"/>
      <c r="V138" s="2778"/>
      <c r="W138" s="2778"/>
      <c r="X138" s="2778"/>
      <c r="Y138" s="2778"/>
      <c r="Z138" s="2778"/>
      <c r="AA138" s="2778"/>
      <c r="AB138" s="2778"/>
      <c r="AC138" s="2778"/>
      <c r="AD138" s="2778"/>
      <c r="AE138" s="2778"/>
      <c r="AF138" s="2778"/>
      <c r="AG138" s="2778"/>
      <c r="AH138" s="2713"/>
      <c r="AI138" s="2713"/>
      <c r="AJ138" s="2713"/>
      <c r="AK138" s="2713"/>
      <c r="AL138" s="2778"/>
      <c r="AM138" s="2778"/>
      <c r="AN138" s="2778"/>
      <c r="AO138" s="2778"/>
      <c r="AP138" s="2778"/>
      <c r="AQ138" s="2778"/>
      <c r="AR138" s="2778"/>
      <c r="AS138" s="2778"/>
      <c r="AT138" s="2784"/>
      <c r="AU138" s="2778"/>
      <c r="AV138" s="2778"/>
      <c r="AW138" s="5933"/>
      <c r="AX138" s="4881"/>
      <c r="AY138" s="4881"/>
      <c r="AZ138" s="4881"/>
      <c r="BA138" s="4881"/>
      <c r="BB138" s="4881"/>
      <c r="BC138" s="6004"/>
      <c r="BD138" s="4881"/>
      <c r="BE138" s="4881"/>
      <c r="BF138" s="4881"/>
      <c r="BG138" s="2760" t="s">
        <v>2877</v>
      </c>
      <c r="BH138" s="4881"/>
      <c r="BI138" s="3338"/>
      <c r="BJ138" s="3338"/>
      <c r="BK138" s="3338"/>
      <c r="BL138" s="3338"/>
      <c r="BM138" s="3338"/>
      <c r="BN138" s="3338"/>
      <c r="BO138" s="3338"/>
      <c r="BP138" s="2780"/>
      <c r="BQ138" s="2780"/>
      <c r="BR138" s="2780"/>
      <c r="BS138" s="2780"/>
      <c r="BT138" s="2780"/>
      <c r="BU138" s="2780"/>
      <c r="BV138" s="2780"/>
      <c r="BW138" s="2780"/>
      <c r="BX138" s="2780"/>
      <c r="BY138" s="2780"/>
      <c r="BZ138" s="2780"/>
      <c r="CA138" s="2780">
        <v>1</v>
      </c>
      <c r="CB138" s="2780">
        <v>1</v>
      </c>
      <c r="CC138" s="2780">
        <v>1</v>
      </c>
    </row>
    <row r="139" spans="1:81" ht="29.25" customHeight="1">
      <c r="B139" s="2803" t="s">
        <v>349</v>
      </c>
      <c r="C139" s="5998"/>
      <c r="D139" s="2803"/>
      <c r="E139" s="3349"/>
      <c r="F139" s="3349"/>
      <c r="G139" s="3349"/>
      <c r="H139" s="3349"/>
      <c r="I139" s="3349"/>
      <c r="J139" s="3349"/>
      <c r="K139" s="3349"/>
      <c r="L139" s="3349"/>
      <c r="M139" s="3349"/>
      <c r="N139" s="3349"/>
      <c r="O139" s="3349"/>
      <c r="P139" s="3349"/>
      <c r="Q139" s="3349"/>
      <c r="R139" s="3349"/>
      <c r="S139" s="3349"/>
      <c r="T139" s="3349"/>
      <c r="U139" s="3349"/>
      <c r="V139" s="3349"/>
      <c r="W139" s="3349"/>
      <c r="X139" s="3349"/>
      <c r="Y139" s="3349"/>
      <c r="Z139" s="3349"/>
      <c r="AA139" s="3349"/>
      <c r="AB139" s="3349"/>
      <c r="AC139" s="3349"/>
      <c r="AD139" s="3349"/>
      <c r="AE139" s="3349"/>
      <c r="AF139" s="3349"/>
      <c r="AG139" s="3349"/>
      <c r="AH139" s="3349"/>
      <c r="AI139" s="3349"/>
      <c r="AJ139" s="3349"/>
      <c r="AK139" s="3349"/>
      <c r="AL139" s="3349"/>
      <c r="AM139" s="3349"/>
      <c r="AN139" s="3349"/>
      <c r="AO139" s="3349"/>
      <c r="AP139" s="3349"/>
      <c r="AQ139" s="3349"/>
      <c r="AR139" s="5940"/>
      <c r="AS139" s="5940"/>
      <c r="AT139" s="5940"/>
      <c r="AU139" s="6000"/>
      <c r="AV139" s="5940"/>
      <c r="AW139" s="5940"/>
      <c r="AX139" s="5940"/>
      <c r="AY139" s="5940"/>
      <c r="AZ139" s="5940"/>
      <c r="BA139" s="5940"/>
      <c r="BB139" s="5940"/>
      <c r="BC139" s="5940"/>
      <c r="BD139" s="5940"/>
      <c r="BE139" s="5940"/>
      <c r="BF139" s="5940"/>
      <c r="BG139" s="5940"/>
      <c r="BH139" s="5940"/>
      <c r="BI139" s="5940"/>
      <c r="BJ139" s="5940"/>
      <c r="BK139" s="5940"/>
      <c r="BL139" s="5940"/>
      <c r="BM139" s="5940"/>
      <c r="BN139" s="5940"/>
      <c r="BO139" s="5940"/>
      <c r="BP139" s="5940"/>
      <c r="BQ139" s="5940"/>
      <c r="BR139" s="5940"/>
      <c r="BS139" s="2804"/>
      <c r="BT139" s="2804"/>
      <c r="BU139" s="2804"/>
      <c r="BV139" s="2804"/>
      <c r="BW139" s="2804"/>
      <c r="BX139" s="2804"/>
      <c r="BY139" s="2804"/>
      <c r="BZ139" s="2804"/>
      <c r="CA139" s="2804"/>
      <c r="CB139" s="2804"/>
      <c r="CC139" s="2804"/>
    </row>
    <row r="140" spans="1:81" ht="29.25" customHeight="1">
      <c r="A140" s="162">
        <f>+A138+1</f>
        <v>111</v>
      </c>
      <c r="B140" s="2694" t="s">
        <v>3125</v>
      </c>
      <c r="C140" s="5959" t="s">
        <v>512</v>
      </c>
      <c r="D140" s="6001">
        <v>39860</v>
      </c>
      <c r="E140" s="2778"/>
      <c r="F140" s="2778"/>
      <c r="G140" s="2778"/>
      <c r="H140" s="2778"/>
      <c r="I140" s="2778"/>
      <c r="J140" s="2778"/>
      <c r="K140" s="2778"/>
      <c r="L140" s="2778"/>
      <c r="M140" s="2778"/>
      <c r="N140" s="2778"/>
      <c r="O140" s="2778"/>
      <c r="P140" s="2778"/>
      <c r="Q140" s="2778"/>
      <c r="R140" s="2778"/>
      <c r="S140" s="2778"/>
      <c r="T140" s="2778"/>
      <c r="U140" s="2778"/>
      <c r="V140" s="2778"/>
      <c r="W140" s="2778"/>
      <c r="X140" s="2778"/>
      <c r="Y140" s="2778"/>
      <c r="Z140" s="2778"/>
      <c r="AA140" s="2778"/>
      <c r="AB140" s="2778"/>
      <c r="AC140" s="2778"/>
      <c r="AD140" s="2778"/>
      <c r="AE140" s="2778"/>
      <c r="AF140" s="2778"/>
      <c r="AG140" s="2778"/>
      <c r="AH140" s="2713"/>
      <c r="AI140" s="2713"/>
      <c r="AJ140" s="2713"/>
      <c r="AK140" s="2713"/>
      <c r="AL140" s="2713"/>
      <c r="AM140" s="2713"/>
      <c r="AN140" s="2713"/>
      <c r="AO140" s="2713"/>
      <c r="AP140" s="2713"/>
      <c r="AQ140" s="2713"/>
      <c r="AR140" s="2713"/>
      <c r="AS140" s="2713"/>
      <c r="AT140" s="2714"/>
      <c r="AU140" s="2713"/>
      <c r="AV140" s="2713"/>
      <c r="AW140" s="2714"/>
      <c r="AX140" s="2713"/>
      <c r="AY140" s="2713"/>
      <c r="AZ140" s="2713"/>
      <c r="BA140" s="2713"/>
      <c r="BB140" s="2713"/>
      <c r="BC140" s="3904"/>
      <c r="BD140" s="2713"/>
      <c r="BE140" s="2713"/>
      <c r="BF140" s="2713"/>
      <c r="BG140" s="2713"/>
      <c r="BH140" s="2713"/>
      <c r="BI140" s="2713"/>
      <c r="BJ140" s="2713"/>
      <c r="BK140" s="2713"/>
      <c r="BL140" s="2713"/>
      <c r="BM140" s="2713"/>
      <c r="BN140" s="2713"/>
      <c r="BO140" s="2713"/>
      <c r="BP140" s="2780"/>
      <c r="BQ140" s="2780"/>
      <c r="BR140" s="2780"/>
      <c r="BS140" s="2780"/>
      <c r="BT140" s="2780"/>
      <c r="BU140" s="2780"/>
      <c r="BV140" s="2780"/>
      <c r="BW140" s="2780"/>
      <c r="BX140" s="2780"/>
      <c r="BY140" s="2780"/>
      <c r="BZ140" s="2780"/>
      <c r="CA140" s="2780"/>
      <c r="CB140" s="2780"/>
      <c r="CC140" s="2780"/>
    </row>
    <row r="141" spans="1:81" ht="28.8">
      <c r="A141" s="162">
        <f>+A140+1</f>
        <v>112</v>
      </c>
      <c r="B141" s="2694" t="s">
        <v>3126</v>
      </c>
      <c r="C141" s="5959" t="s">
        <v>1483</v>
      </c>
      <c r="D141" s="6001" t="s">
        <v>2872</v>
      </c>
      <c r="E141" s="2778"/>
      <c r="F141" s="2778"/>
      <c r="G141" s="2778"/>
      <c r="H141" s="2778"/>
      <c r="I141" s="2778"/>
      <c r="J141" s="2778"/>
      <c r="K141" s="2778"/>
      <c r="L141" s="2778"/>
      <c r="M141" s="2778"/>
      <c r="N141" s="2778"/>
      <c r="O141" s="2778"/>
      <c r="P141" s="2778"/>
      <c r="Q141" s="2778"/>
      <c r="R141" s="2778"/>
      <c r="S141" s="2778"/>
      <c r="T141" s="2778"/>
      <c r="U141" s="2778"/>
      <c r="V141" s="2778"/>
      <c r="W141" s="2778"/>
      <c r="X141" s="2778"/>
      <c r="Y141" s="2778"/>
      <c r="Z141" s="2778"/>
      <c r="AA141" s="2778"/>
      <c r="AB141" s="2778"/>
      <c r="AC141" s="2778"/>
      <c r="AD141" s="2778"/>
      <c r="AE141" s="2778"/>
      <c r="AF141" s="2712" t="s">
        <v>462</v>
      </c>
      <c r="AG141" s="2781"/>
      <c r="AH141" s="2713"/>
      <c r="AI141" s="2713"/>
      <c r="AJ141" s="2713"/>
      <c r="AK141" s="2713"/>
      <c r="AL141" s="2713"/>
      <c r="AM141" s="2713"/>
      <c r="AN141" s="2713"/>
      <c r="AO141" s="2713"/>
      <c r="AP141" s="2712" t="s">
        <v>1512</v>
      </c>
      <c r="AQ141" s="2713"/>
      <c r="AR141" s="2713"/>
      <c r="AS141" s="2713"/>
      <c r="AT141" s="2714"/>
      <c r="AU141" s="2713"/>
      <c r="AV141" s="2713"/>
      <c r="AW141" s="2714"/>
      <c r="AX141" s="2713"/>
      <c r="AY141" s="2713"/>
      <c r="AZ141" s="2713"/>
      <c r="BA141" s="2713"/>
      <c r="BB141" s="2713"/>
      <c r="BC141" s="3904"/>
      <c r="BD141" s="2713"/>
      <c r="BE141" s="2713"/>
      <c r="BF141" s="2713"/>
      <c r="BG141" s="2713"/>
      <c r="BH141" s="2713"/>
      <c r="BI141" s="2713"/>
      <c r="BJ141" s="2713"/>
      <c r="BK141" s="2713"/>
      <c r="BL141" s="2713"/>
      <c r="BM141" s="2713"/>
      <c r="BN141" s="2713"/>
      <c r="BO141" s="2713"/>
      <c r="BP141" s="2780"/>
      <c r="BQ141" s="2780"/>
      <c r="BR141" s="2780">
        <v>1</v>
      </c>
      <c r="BS141" s="2780">
        <v>1</v>
      </c>
      <c r="BT141" s="2780">
        <v>1</v>
      </c>
      <c r="BU141" s="2780">
        <v>1</v>
      </c>
      <c r="BV141" s="2780">
        <v>1</v>
      </c>
      <c r="BW141" s="2780">
        <v>1</v>
      </c>
      <c r="BX141" s="2780">
        <v>1</v>
      </c>
      <c r="BY141" s="2780">
        <v>1</v>
      </c>
      <c r="BZ141" s="2780"/>
      <c r="CA141" s="2780"/>
      <c r="CB141" s="2780"/>
      <c r="CC141" s="2780"/>
    </row>
    <row r="142" spans="1:81" ht="29.25" customHeight="1">
      <c r="A142" s="162">
        <f>+A141+1</f>
        <v>113</v>
      </c>
      <c r="B142" s="2694" t="s">
        <v>3128</v>
      </c>
      <c r="C142" s="5959" t="s">
        <v>2150</v>
      </c>
      <c r="D142" s="6001" t="s">
        <v>2873</v>
      </c>
      <c r="E142" s="2778"/>
      <c r="F142" s="2778"/>
      <c r="G142" s="2778"/>
      <c r="H142" s="2778"/>
      <c r="I142" s="2778"/>
      <c r="J142" s="2778"/>
      <c r="K142" s="2778"/>
      <c r="L142" s="2778"/>
      <c r="M142" s="2778"/>
      <c r="N142" s="2778"/>
      <c r="O142" s="2778"/>
      <c r="P142" s="2778"/>
      <c r="Q142" s="2778"/>
      <c r="R142" s="2778"/>
      <c r="S142" s="2778"/>
      <c r="T142" s="2778"/>
      <c r="U142" s="2783" t="s">
        <v>359</v>
      </c>
      <c r="V142" s="2778"/>
      <c r="W142" s="2778"/>
      <c r="X142" s="2781"/>
      <c r="Y142" s="2778"/>
      <c r="Z142" s="2778"/>
      <c r="AA142" s="2778"/>
      <c r="AB142" s="2778"/>
      <c r="AC142" s="2778"/>
      <c r="AD142" s="2778"/>
      <c r="AE142" s="2778"/>
      <c r="AF142" s="2778"/>
      <c r="AG142" s="2778"/>
      <c r="AH142" s="2713"/>
      <c r="AI142" s="2713"/>
      <c r="AJ142" s="2713"/>
      <c r="AK142" s="2713"/>
      <c r="AL142" s="2713"/>
      <c r="AM142" s="2713"/>
      <c r="AN142" s="2713"/>
      <c r="AO142" s="2713"/>
      <c r="AP142" s="2713"/>
      <c r="AQ142" s="2713"/>
      <c r="AR142" s="2713"/>
      <c r="AS142" s="2713"/>
      <c r="AT142" s="2714"/>
      <c r="AU142" s="2713"/>
      <c r="AV142" s="2712" t="s">
        <v>2155</v>
      </c>
      <c r="AW142" s="2714"/>
      <c r="AX142" s="2713"/>
      <c r="AY142" s="2713"/>
      <c r="AZ142" s="2713"/>
      <c r="BA142" s="2713"/>
      <c r="BB142" s="2713"/>
      <c r="BC142" s="3904"/>
      <c r="BD142" s="2713"/>
      <c r="BE142" s="2713"/>
      <c r="BF142" s="2713"/>
      <c r="BG142" s="2713"/>
      <c r="BH142" s="2713"/>
      <c r="BI142" s="2713"/>
      <c r="BJ142" s="2713"/>
      <c r="BK142" s="2713"/>
      <c r="BL142" s="2713"/>
      <c r="BM142" s="2713"/>
      <c r="BN142" s="2713"/>
      <c r="BO142" s="2713"/>
      <c r="BP142" s="2780">
        <v>1</v>
      </c>
      <c r="BQ142" s="2780">
        <v>1</v>
      </c>
      <c r="BR142" s="2780">
        <v>1</v>
      </c>
      <c r="BS142" s="2780">
        <v>1</v>
      </c>
      <c r="BT142" s="2780"/>
      <c r="BU142" s="2780"/>
      <c r="BV142" s="2780"/>
      <c r="BW142" s="2780">
        <v>1</v>
      </c>
      <c r="BX142" s="2780">
        <v>1</v>
      </c>
      <c r="BY142" s="2780">
        <v>1</v>
      </c>
      <c r="BZ142" s="2780">
        <v>1</v>
      </c>
      <c r="CA142" s="2780">
        <v>1</v>
      </c>
      <c r="CB142" s="2780"/>
      <c r="CC142" s="2780"/>
    </row>
    <row r="143" spans="1:81" ht="29.25" customHeight="1">
      <c r="A143" s="162">
        <f>+A142+1</f>
        <v>114</v>
      </c>
      <c r="B143" s="2694" t="s">
        <v>3127</v>
      </c>
      <c r="C143" s="5966" t="s">
        <v>1481</v>
      </c>
      <c r="D143" s="6001">
        <v>41990</v>
      </c>
      <c r="E143" s="2781"/>
      <c r="F143" s="2778"/>
      <c r="G143" s="2778"/>
      <c r="H143" s="2778"/>
      <c r="I143" s="2778"/>
      <c r="J143" s="2778"/>
      <c r="K143" s="2778"/>
      <c r="L143" s="2778"/>
      <c r="M143" s="2778"/>
      <c r="N143" s="2778"/>
      <c r="O143" s="2778"/>
      <c r="P143" s="2778"/>
      <c r="Q143" s="2778"/>
      <c r="R143" s="2778"/>
      <c r="S143" s="2778"/>
      <c r="T143" s="2778"/>
      <c r="U143" s="2778"/>
      <c r="V143" s="2778"/>
      <c r="W143" s="2783" t="s">
        <v>360</v>
      </c>
      <c r="X143" s="2783" t="s">
        <v>1517</v>
      </c>
      <c r="Y143" s="2781"/>
      <c r="Z143" s="2778"/>
      <c r="AA143" s="2778"/>
      <c r="AB143" s="2778"/>
      <c r="AC143" s="2778"/>
      <c r="AD143" s="2778"/>
      <c r="AE143" s="2778"/>
      <c r="AF143" s="2778"/>
      <c r="AG143" s="2778"/>
      <c r="AH143" s="2713"/>
      <c r="AI143" s="2713"/>
      <c r="AJ143" s="2713"/>
      <c r="AK143" s="2713"/>
      <c r="AL143" s="2713"/>
      <c r="AM143" s="2713"/>
      <c r="AN143" s="2712" t="s">
        <v>693</v>
      </c>
      <c r="AO143" s="2713"/>
      <c r="AP143" s="2713"/>
      <c r="AQ143" s="2713"/>
      <c r="AR143" s="2713"/>
      <c r="AS143" s="2713"/>
      <c r="AT143" s="2714"/>
      <c r="AU143" s="2713"/>
      <c r="AV143" s="2713"/>
      <c r="AW143" s="2714"/>
      <c r="AX143" s="2713"/>
      <c r="AY143" s="2713"/>
      <c r="AZ143" s="2713"/>
      <c r="BA143" s="2713"/>
      <c r="BB143" s="2713"/>
      <c r="BC143" s="3904"/>
      <c r="BD143" s="2713"/>
      <c r="BE143" s="2713"/>
      <c r="BF143" s="2713"/>
      <c r="BG143" s="2713"/>
      <c r="BH143" s="2713"/>
      <c r="BI143" s="2713"/>
      <c r="BJ143" s="2713"/>
      <c r="BK143" s="2713"/>
      <c r="BL143" s="2713"/>
      <c r="BM143" s="2713"/>
      <c r="BN143" s="2713"/>
      <c r="BO143" s="2713"/>
      <c r="BP143" s="2780">
        <v>1</v>
      </c>
      <c r="BQ143" s="2780">
        <v>1</v>
      </c>
      <c r="BR143" s="2780">
        <v>1</v>
      </c>
      <c r="BS143" s="2780">
        <v>1</v>
      </c>
      <c r="BT143" s="2780">
        <v>1</v>
      </c>
      <c r="BU143" s="2780">
        <v>1</v>
      </c>
      <c r="BV143" s="2780">
        <v>1</v>
      </c>
      <c r="BW143" s="2780">
        <v>1</v>
      </c>
      <c r="BX143" s="2780">
        <v>1</v>
      </c>
      <c r="BY143" s="2780">
        <v>1</v>
      </c>
      <c r="BZ143" s="2780"/>
      <c r="CA143" s="2780"/>
      <c r="CB143" s="2780"/>
      <c r="CC143" s="2780"/>
    </row>
    <row r="144" spans="1:81" ht="29.25" customHeight="1">
      <c r="B144" s="2814" t="s">
        <v>526</v>
      </c>
      <c r="C144" s="6021"/>
      <c r="D144" s="6021"/>
      <c r="E144" s="3353"/>
      <c r="F144" s="3353"/>
      <c r="G144" s="3353"/>
      <c r="H144" s="3353"/>
      <c r="I144" s="3353"/>
      <c r="J144" s="3353"/>
      <c r="K144" s="3353"/>
      <c r="L144" s="3353"/>
      <c r="M144" s="3353"/>
      <c r="N144" s="3353"/>
      <c r="O144" s="3353"/>
      <c r="P144" s="3353"/>
      <c r="Q144" s="3353"/>
      <c r="R144" s="3353"/>
      <c r="S144" s="3353"/>
      <c r="T144" s="3353"/>
      <c r="U144" s="3353"/>
      <c r="V144" s="3353"/>
      <c r="W144" s="3353"/>
      <c r="X144" s="3353"/>
      <c r="Y144" s="3353"/>
      <c r="Z144" s="3353"/>
      <c r="AA144" s="3353"/>
      <c r="AB144" s="3353"/>
      <c r="AC144" s="3353"/>
      <c r="AD144" s="3353"/>
      <c r="AE144" s="3353"/>
      <c r="AF144" s="3353"/>
      <c r="AG144" s="3353"/>
      <c r="AH144" s="3353"/>
      <c r="AI144" s="3353"/>
      <c r="AJ144" s="3353"/>
      <c r="AK144" s="3353"/>
      <c r="AL144" s="3353"/>
      <c r="AM144" s="3353"/>
      <c r="AN144" s="3353"/>
      <c r="AO144" s="3353"/>
      <c r="AP144" s="3353"/>
      <c r="AQ144" s="3353"/>
      <c r="AR144" s="4882"/>
      <c r="AS144" s="4882"/>
      <c r="AT144" s="4882"/>
      <c r="AU144" s="6022"/>
      <c r="AV144" s="4882"/>
      <c r="AW144" s="4882"/>
      <c r="AX144" s="4882"/>
      <c r="AY144" s="4882"/>
      <c r="AZ144" s="4882"/>
      <c r="BA144" s="4882"/>
      <c r="BB144" s="4882"/>
      <c r="BC144" s="4882"/>
      <c r="BD144" s="4882"/>
      <c r="BE144" s="4882"/>
      <c r="BF144" s="4882"/>
      <c r="BG144" s="4882"/>
      <c r="BH144" s="4882"/>
      <c r="BI144" s="4882"/>
      <c r="BJ144" s="5944"/>
      <c r="BK144" s="4882"/>
      <c r="BL144" s="4882"/>
      <c r="BM144" s="5944"/>
      <c r="BN144" s="4882"/>
      <c r="BO144" s="4882"/>
      <c r="BP144" s="4882"/>
      <c r="BQ144" s="2815"/>
      <c r="BR144" s="2815"/>
      <c r="BS144" s="2815"/>
      <c r="BT144" s="2815"/>
      <c r="BU144" s="2815"/>
      <c r="BV144" s="2815"/>
      <c r="BW144" s="2815"/>
      <c r="BX144" s="2815"/>
      <c r="BY144" s="2815"/>
      <c r="BZ144" s="2815"/>
      <c r="CA144" s="2815"/>
      <c r="CB144" s="2815"/>
      <c r="CC144" s="2815"/>
    </row>
    <row r="145" spans="1:81" ht="29.25" customHeight="1">
      <c r="A145" s="162">
        <f>+A143+1</f>
        <v>115</v>
      </c>
      <c r="B145" s="2694" t="s">
        <v>669</v>
      </c>
      <c r="C145" s="5959" t="s">
        <v>2467</v>
      </c>
      <c r="D145" s="5960">
        <v>43306</v>
      </c>
      <c r="E145" s="2778"/>
      <c r="F145" s="2778"/>
      <c r="G145" s="2778"/>
      <c r="H145" s="2778"/>
      <c r="I145" s="2715" t="s">
        <v>205</v>
      </c>
      <c r="J145" s="2778"/>
      <c r="K145" s="2778"/>
      <c r="L145" s="2778"/>
      <c r="M145" s="2778"/>
      <c r="N145" s="2778"/>
      <c r="O145" s="2778"/>
      <c r="P145" s="2778"/>
      <c r="Q145" s="2778"/>
      <c r="R145" s="2778"/>
      <c r="S145" s="2778"/>
      <c r="T145" s="2778"/>
      <c r="U145" s="2778"/>
      <c r="V145" s="2778"/>
      <c r="W145" s="2778"/>
      <c r="X145" s="2778"/>
      <c r="Y145" s="2778"/>
      <c r="Z145" s="2778"/>
      <c r="AA145" s="2715" t="s">
        <v>208</v>
      </c>
      <c r="AB145" s="2778"/>
      <c r="AC145" s="2778"/>
      <c r="AD145" s="2778"/>
      <c r="AE145" s="2778"/>
      <c r="AF145" s="2778"/>
      <c r="AG145" s="2778"/>
      <c r="AH145" s="2713"/>
      <c r="AI145" s="2713"/>
      <c r="AJ145" s="2713"/>
      <c r="AK145" s="2713"/>
      <c r="AL145" s="2713"/>
      <c r="AM145" s="2713"/>
      <c r="AN145" s="2715" t="s">
        <v>692</v>
      </c>
      <c r="AO145" s="2778"/>
      <c r="AP145" s="2778"/>
      <c r="AQ145" s="2778"/>
      <c r="AR145" s="2778"/>
      <c r="AS145" s="2778"/>
      <c r="AT145" s="2784"/>
      <c r="AU145" s="2778"/>
      <c r="AV145" s="2778"/>
      <c r="AW145" s="2784"/>
      <c r="AX145" s="2778"/>
      <c r="AY145" s="3352"/>
      <c r="AZ145" s="2712" t="s">
        <v>2354</v>
      </c>
      <c r="BA145" s="3352"/>
      <c r="BB145" s="2778"/>
      <c r="BC145" s="3907"/>
      <c r="BD145" s="2778"/>
      <c r="BE145" s="2778"/>
      <c r="BF145" s="2778"/>
      <c r="BG145" s="2778"/>
      <c r="BH145" s="2778"/>
      <c r="BI145" s="2778"/>
      <c r="BJ145" s="2778"/>
      <c r="BK145" s="2778"/>
      <c r="BL145" s="2778"/>
      <c r="BM145" s="2778"/>
      <c r="BN145" s="2778"/>
      <c r="BO145" s="2778"/>
      <c r="BP145" s="2780">
        <v>1</v>
      </c>
      <c r="BQ145" s="2780">
        <v>1</v>
      </c>
      <c r="BR145" s="2780">
        <v>1</v>
      </c>
      <c r="BS145" s="2780">
        <v>1</v>
      </c>
      <c r="BT145" s="2780">
        <v>1</v>
      </c>
      <c r="BU145" s="2780">
        <v>1</v>
      </c>
      <c r="BV145" s="2780">
        <v>1</v>
      </c>
      <c r="BW145" s="2780">
        <v>1</v>
      </c>
      <c r="BX145" s="2780">
        <v>1</v>
      </c>
      <c r="BY145" s="2780">
        <v>1</v>
      </c>
      <c r="BZ145" s="2780">
        <v>1</v>
      </c>
      <c r="CA145" s="2780">
        <v>1</v>
      </c>
      <c r="CB145" s="2780">
        <v>1</v>
      </c>
      <c r="CC145" s="2780"/>
    </row>
    <row r="146" spans="1:81" ht="29.25" customHeight="1">
      <c r="A146" s="162">
        <f>+A145+1</f>
        <v>116</v>
      </c>
      <c r="B146" s="2694" t="s">
        <v>670</v>
      </c>
      <c r="C146" s="5959" t="s">
        <v>2467</v>
      </c>
      <c r="D146" s="5960">
        <v>43306</v>
      </c>
      <c r="E146" s="2778"/>
      <c r="F146" s="2778"/>
      <c r="G146" s="2778"/>
      <c r="H146" s="2778"/>
      <c r="I146" s="2715" t="s">
        <v>205</v>
      </c>
      <c r="J146" s="2778"/>
      <c r="K146" s="2778"/>
      <c r="L146" s="2778"/>
      <c r="M146" s="2778"/>
      <c r="N146" s="2778"/>
      <c r="O146" s="2778"/>
      <c r="P146" s="2778"/>
      <c r="Q146" s="2778"/>
      <c r="R146" s="2778"/>
      <c r="S146" s="2778"/>
      <c r="T146" s="2778"/>
      <c r="U146" s="2778"/>
      <c r="V146" s="2778"/>
      <c r="W146" s="2778"/>
      <c r="X146" s="2778"/>
      <c r="Y146" s="2778"/>
      <c r="Z146" s="2778"/>
      <c r="AA146" s="2715" t="s">
        <v>208</v>
      </c>
      <c r="AB146" s="2778"/>
      <c r="AC146" s="2778"/>
      <c r="AD146" s="2778"/>
      <c r="AE146" s="2778"/>
      <c r="AF146" s="2778"/>
      <c r="AG146" s="2778"/>
      <c r="AH146" s="2713"/>
      <c r="AI146" s="2713"/>
      <c r="AJ146" s="2713"/>
      <c r="AK146" s="2713"/>
      <c r="AL146" s="2713"/>
      <c r="AM146" s="2713"/>
      <c r="AN146" s="2715" t="s">
        <v>692</v>
      </c>
      <c r="AO146" s="2778"/>
      <c r="AP146" s="2778"/>
      <c r="AQ146" s="2778"/>
      <c r="AR146" s="2778"/>
      <c r="AS146" s="2778"/>
      <c r="AT146" s="2784"/>
      <c r="AU146" s="2778"/>
      <c r="AV146" s="2778"/>
      <c r="AW146" s="2784"/>
      <c r="AX146" s="2778"/>
      <c r="AY146" s="3352"/>
      <c r="AZ146" s="2712" t="s">
        <v>2354</v>
      </c>
      <c r="BA146" s="3352"/>
      <c r="BB146" s="2778"/>
      <c r="BC146" s="3907"/>
      <c r="BD146" s="2778"/>
      <c r="BE146" s="2778"/>
      <c r="BF146" s="2778"/>
      <c r="BG146" s="2778"/>
      <c r="BH146" s="2778"/>
      <c r="BI146" s="2778"/>
      <c r="BJ146" s="2778"/>
      <c r="BK146" s="2778"/>
      <c r="BL146" s="2778"/>
      <c r="BM146" s="2778"/>
      <c r="BN146" s="2778"/>
      <c r="BO146" s="2778"/>
      <c r="BP146" s="2780">
        <v>1</v>
      </c>
      <c r="BQ146" s="2780">
        <v>1</v>
      </c>
      <c r="BR146" s="2780">
        <v>1</v>
      </c>
      <c r="BS146" s="2780">
        <v>1</v>
      </c>
      <c r="BT146" s="2780">
        <v>1</v>
      </c>
      <c r="BU146" s="2780">
        <v>1</v>
      </c>
      <c r="BV146" s="2780">
        <v>1</v>
      </c>
      <c r="BW146" s="2780">
        <v>1</v>
      </c>
      <c r="BX146" s="2780">
        <v>1</v>
      </c>
      <c r="BY146" s="2780">
        <v>1</v>
      </c>
      <c r="BZ146" s="2780">
        <v>1</v>
      </c>
      <c r="CA146" s="2780">
        <v>1</v>
      </c>
      <c r="CB146" s="2780">
        <v>1</v>
      </c>
      <c r="CC146" s="2780"/>
    </row>
    <row r="147" spans="1:81" ht="29.25" customHeight="1">
      <c r="A147" s="162">
        <f>+A146+1</f>
        <v>117</v>
      </c>
      <c r="B147" s="2694" t="s">
        <v>671</v>
      </c>
      <c r="C147" s="5959" t="s">
        <v>1510</v>
      </c>
      <c r="D147" s="5960">
        <v>43404</v>
      </c>
      <c r="E147" s="2778"/>
      <c r="F147" s="2778"/>
      <c r="G147" s="2715" t="s">
        <v>202</v>
      </c>
      <c r="H147" s="2778"/>
      <c r="I147" s="2778"/>
      <c r="J147" s="2778"/>
      <c r="K147" s="2778"/>
      <c r="L147" s="2778"/>
      <c r="M147" s="2778"/>
      <c r="N147" s="2778"/>
      <c r="O147" s="2778"/>
      <c r="P147" s="2778"/>
      <c r="Q147" s="2778"/>
      <c r="R147" s="2778"/>
      <c r="S147" s="2782" t="s">
        <v>252</v>
      </c>
      <c r="T147" s="2778"/>
      <c r="U147" s="2778"/>
      <c r="V147" s="2778"/>
      <c r="W147" s="2778"/>
      <c r="X147" s="2778"/>
      <c r="Y147" s="2778"/>
      <c r="Z147" s="2778"/>
      <c r="AA147" s="2778"/>
      <c r="AB147" s="2715" t="s">
        <v>232</v>
      </c>
      <c r="AC147" s="2778"/>
      <c r="AD147" s="2778"/>
      <c r="AE147" s="2778"/>
      <c r="AF147" s="2778"/>
      <c r="AG147" s="2778"/>
      <c r="AH147" s="2713"/>
      <c r="AI147" s="2713"/>
      <c r="AJ147" s="2713"/>
      <c r="AK147" s="2713"/>
      <c r="AL147" s="2713"/>
      <c r="AM147" s="2715" t="s">
        <v>690</v>
      </c>
      <c r="AN147" s="2778"/>
      <c r="AO147" s="2778"/>
      <c r="AP147" s="2778"/>
      <c r="AQ147" s="2778"/>
      <c r="AR147" s="2778"/>
      <c r="AS147" s="2778"/>
      <c r="AT147" s="2784"/>
      <c r="AU147" s="2715" t="s">
        <v>2157</v>
      </c>
      <c r="AV147" s="2778"/>
      <c r="AW147" s="2784"/>
      <c r="AX147" s="2778"/>
      <c r="AY147" s="3352"/>
      <c r="AZ147" s="2712" t="s">
        <v>2357</v>
      </c>
      <c r="BA147" s="3352"/>
      <c r="BB147" s="2778"/>
      <c r="BC147" s="3907"/>
      <c r="BD147" s="2778"/>
      <c r="BE147" s="2778"/>
      <c r="BF147" s="2778"/>
      <c r="BG147" s="2778"/>
      <c r="BH147" s="2778"/>
      <c r="BI147" s="2778"/>
      <c r="BJ147" s="2778"/>
      <c r="BK147" s="2712" t="s">
        <v>3083</v>
      </c>
      <c r="BL147" s="2778"/>
      <c r="BM147" s="2778"/>
      <c r="BN147" s="2778"/>
      <c r="BO147" s="2778"/>
      <c r="BP147" s="2780">
        <v>1</v>
      </c>
      <c r="BQ147" s="2780">
        <v>1</v>
      </c>
      <c r="BR147" s="2780">
        <v>1</v>
      </c>
      <c r="BS147" s="2780">
        <v>1</v>
      </c>
      <c r="BT147" s="2780">
        <v>1</v>
      </c>
      <c r="BU147" s="2780">
        <v>1</v>
      </c>
      <c r="BV147" s="2780">
        <v>1</v>
      </c>
      <c r="BW147" s="2780">
        <v>1</v>
      </c>
      <c r="BX147" s="2780">
        <v>1</v>
      </c>
      <c r="BY147" s="2780">
        <v>1</v>
      </c>
      <c r="BZ147" s="2780">
        <v>1</v>
      </c>
      <c r="CA147" s="2780">
        <v>1</v>
      </c>
      <c r="CB147" s="2780">
        <v>1</v>
      </c>
      <c r="CC147" s="2780">
        <v>1</v>
      </c>
    </row>
    <row r="148" spans="1:81" ht="29.25" customHeight="1">
      <c r="A148" s="162">
        <f>+A147+1</f>
        <v>118</v>
      </c>
      <c r="B148" s="2694" t="s">
        <v>3131</v>
      </c>
      <c r="C148" s="5959" t="s">
        <v>1713</v>
      </c>
      <c r="D148" s="6001">
        <v>42657</v>
      </c>
      <c r="E148" s="2778"/>
      <c r="F148" s="2778"/>
      <c r="G148" s="2778"/>
      <c r="H148" s="2778"/>
      <c r="I148" s="2778"/>
      <c r="J148" s="2778"/>
      <c r="K148" s="2778"/>
      <c r="L148" s="2778"/>
      <c r="M148" s="2778"/>
      <c r="N148" s="2778"/>
      <c r="O148" s="2778"/>
      <c r="P148" s="2778"/>
      <c r="Q148" s="2778"/>
      <c r="R148" s="2778"/>
      <c r="S148" s="2778"/>
      <c r="T148" s="2778"/>
      <c r="U148" s="2778"/>
      <c r="V148" s="2778"/>
      <c r="W148" s="2778"/>
      <c r="X148" s="2778"/>
      <c r="Y148" s="2778"/>
      <c r="Z148" s="2778"/>
      <c r="AA148" s="2778"/>
      <c r="AB148" s="2778"/>
      <c r="AC148" s="2778"/>
      <c r="AD148" s="2778"/>
      <c r="AE148" s="2778"/>
      <c r="AF148" s="2778"/>
      <c r="AG148" s="2778"/>
      <c r="AH148" s="2713"/>
      <c r="AI148" s="2713"/>
      <c r="AJ148" s="2713"/>
      <c r="AK148" s="2713"/>
      <c r="AL148" s="2713"/>
      <c r="AM148" s="2713"/>
      <c r="AN148" s="2778"/>
      <c r="AO148" s="2778"/>
      <c r="AP148" s="2778"/>
      <c r="AQ148" s="2778"/>
      <c r="AR148" s="2778"/>
      <c r="AS148" s="2778"/>
      <c r="AT148" s="5873" t="s">
        <v>2391</v>
      </c>
      <c r="AU148" s="2778"/>
      <c r="AV148" s="2778"/>
      <c r="AW148" s="2784"/>
      <c r="AX148" s="2778"/>
      <c r="AY148" s="2778"/>
      <c r="AZ148" s="2778"/>
      <c r="BA148" s="2778"/>
      <c r="BB148" s="2778"/>
      <c r="BC148" s="3907"/>
      <c r="BD148" s="2778"/>
      <c r="BE148" s="2778"/>
      <c r="BF148" s="2778"/>
      <c r="BG148" s="2778"/>
      <c r="BH148" s="2778"/>
      <c r="BI148" s="2778"/>
      <c r="BJ148" s="2778"/>
      <c r="BK148" s="2778"/>
      <c r="BL148" s="2778"/>
      <c r="BM148" s="2778"/>
      <c r="BN148" s="2778"/>
      <c r="BO148" s="2778"/>
      <c r="BP148" s="2780"/>
      <c r="BQ148" s="2780"/>
      <c r="BR148" s="2780"/>
      <c r="BS148" s="2780"/>
      <c r="BT148" s="2780"/>
      <c r="BU148" s="2780"/>
      <c r="BV148" s="2780"/>
      <c r="BW148" s="2780"/>
      <c r="BX148" s="2780">
        <v>1</v>
      </c>
      <c r="BY148" s="2780">
        <v>1</v>
      </c>
      <c r="BZ148" s="2780">
        <v>1</v>
      </c>
      <c r="CA148" s="2780"/>
      <c r="CB148" s="2780"/>
      <c r="CC148" s="2780"/>
    </row>
    <row r="149" spans="1:81" ht="29.25" customHeight="1">
      <c r="A149" s="162">
        <f>+A148+1</f>
        <v>119</v>
      </c>
      <c r="B149" s="2762" t="s">
        <v>3132</v>
      </c>
      <c r="C149" s="6023" t="s">
        <v>1713</v>
      </c>
      <c r="D149" s="6024">
        <v>42657</v>
      </c>
      <c r="E149" s="2816"/>
      <c r="F149" s="2816"/>
      <c r="G149" s="2816"/>
      <c r="H149" s="2816"/>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816"/>
      <c r="AD149" s="2816"/>
      <c r="AE149" s="2816"/>
      <c r="AF149" s="2816"/>
      <c r="AG149" s="2816"/>
      <c r="AH149" s="2817"/>
      <c r="AI149" s="2817"/>
      <c r="AJ149" s="2817"/>
      <c r="AK149" s="2817"/>
      <c r="AL149" s="2817"/>
      <c r="AM149" s="2816"/>
      <c r="AN149" s="2816"/>
      <c r="AO149" s="2816"/>
      <c r="AP149" s="2816"/>
      <c r="AQ149" s="2818" t="s">
        <v>1719</v>
      </c>
      <c r="AR149" s="2816"/>
      <c r="AS149" s="2816"/>
      <c r="AT149" s="5874" t="s">
        <v>2391</v>
      </c>
      <c r="AU149" s="2816"/>
      <c r="AV149" s="2816"/>
      <c r="AW149" s="2819"/>
      <c r="AX149" s="2816"/>
      <c r="AY149" s="2816"/>
      <c r="AZ149" s="2816"/>
      <c r="BA149" s="2816"/>
      <c r="BB149" s="2816"/>
      <c r="BC149" s="3909"/>
      <c r="BD149" s="2816"/>
      <c r="BE149" s="2816"/>
      <c r="BF149" s="2816"/>
      <c r="BG149" s="2816"/>
      <c r="BH149" s="2816"/>
      <c r="BI149" s="2816"/>
      <c r="BJ149" s="2816"/>
      <c r="BK149" s="2816"/>
      <c r="BL149" s="2816"/>
      <c r="BM149" s="2816"/>
      <c r="BN149" s="2816"/>
      <c r="BO149" s="2816"/>
      <c r="BP149" s="2820"/>
      <c r="BQ149" s="2820"/>
      <c r="BR149" s="2820"/>
      <c r="BS149" s="2820"/>
      <c r="BT149" s="2820"/>
      <c r="BU149" s="2820"/>
      <c r="BV149" s="2820">
        <v>1</v>
      </c>
      <c r="BW149" s="2820">
        <v>1</v>
      </c>
      <c r="BX149" s="2820">
        <v>1</v>
      </c>
      <c r="BY149" s="2820">
        <v>1</v>
      </c>
      <c r="BZ149" s="2820">
        <v>1</v>
      </c>
      <c r="CA149" s="2820"/>
      <c r="CB149" s="2820"/>
      <c r="CC149" s="2820"/>
    </row>
    <row r="150" spans="1:81" ht="14.4">
      <c r="B150" s="1093" t="s">
        <v>419</v>
      </c>
      <c r="C150" s="5983"/>
      <c r="D150" s="5983"/>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71"/>
      <c r="AC150" s="160"/>
      <c r="AD150" s="160"/>
      <c r="AE150" s="160"/>
      <c r="AF150" s="160"/>
      <c r="AG150" s="160"/>
      <c r="AH150" s="160"/>
      <c r="AI150" s="160"/>
      <c r="AJ150" s="160"/>
      <c r="AK150" s="160"/>
      <c r="AL150" s="160"/>
      <c r="AM150" s="160"/>
      <c r="AN150" s="160"/>
      <c r="AO150" s="160"/>
      <c r="AP150" s="160"/>
      <c r="AQ150" s="160"/>
      <c r="AR150" s="3799"/>
      <c r="AS150" s="3799"/>
      <c r="AT150" s="3799"/>
      <c r="AU150" s="3799"/>
      <c r="AV150" s="3799"/>
      <c r="AW150" s="3799"/>
      <c r="AX150" s="3799"/>
      <c r="AY150" s="3799"/>
      <c r="AZ150" s="3799"/>
      <c r="BA150" s="3799"/>
      <c r="BB150" s="3799"/>
      <c r="BC150" s="3799"/>
      <c r="BD150" s="3799"/>
      <c r="BE150" s="3799"/>
      <c r="BF150" s="3799"/>
      <c r="BG150" s="4883"/>
      <c r="BH150" s="4883"/>
      <c r="BI150" s="4883"/>
      <c r="BJ150" s="4883"/>
      <c r="BK150" s="4883"/>
      <c r="BL150" s="4883"/>
      <c r="BM150" s="4883"/>
      <c r="BN150" s="4883"/>
      <c r="BO150" s="4883"/>
      <c r="BP150" s="6025">
        <v>42</v>
      </c>
      <c r="BQ150" s="6025">
        <f>SUM(BQ5:BQ147)</f>
        <v>53</v>
      </c>
      <c r="BR150" s="6025">
        <f>SUM(BR5:BR147)</f>
        <v>61</v>
      </c>
      <c r="BS150" s="6025">
        <f>SUM(BS5:BS147)</f>
        <v>59</v>
      </c>
      <c r="BT150" s="6025">
        <f>SUM(BT5:BT147)</f>
        <v>64</v>
      </c>
      <c r="BU150" s="6025">
        <f>SUM(BU4:BU147)</f>
        <v>73</v>
      </c>
      <c r="BV150" s="6025">
        <f t="shared" ref="BV150:CC150" si="9">SUM(BV5:BV149)</f>
        <v>84</v>
      </c>
      <c r="BW150" s="6025">
        <f t="shared" si="9"/>
        <v>83</v>
      </c>
      <c r="BX150" s="6025">
        <f t="shared" si="9"/>
        <v>81</v>
      </c>
      <c r="BY150" s="6025">
        <f t="shared" si="9"/>
        <v>84</v>
      </c>
      <c r="BZ150" s="6025">
        <f t="shared" si="9"/>
        <v>62</v>
      </c>
      <c r="CA150" s="6025">
        <f t="shared" si="9"/>
        <v>49</v>
      </c>
      <c r="CB150" s="6036">
        <f t="shared" si="9"/>
        <v>49</v>
      </c>
      <c r="CC150" s="6431">
        <f t="shared" si="9"/>
        <v>41</v>
      </c>
    </row>
    <row r="151" spans="1:81" ht="14.4">
      <c r="B151" s="5928" t="s">
        <v>417</v>
      </c>
      <c r="C151" s="6026"/>
      <c r="D151" s="6026"/>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BS151" s="162"/>
      <c r="BW151" s="162"/>
      <c r="BX151" s="162"/>
      <c r="BY151" s="162"/>
      <c r="BZ151" s="162"/>
      <c r="CA151" s="162"/>
      <c r="CB151" s="162"/>
      <c r="CC151" s="162"/>
    </row>
    <row r="152" spans="1:81" ht="14.4">
      <c r="B152" s="5928" t="s">
        <v>418</v>
      </c>
      <c r="C152" s="6026"/>
      <c r="D152" s="6026"/>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1"/>
      <c r="AB152" s="161"/>
      <c r="AC152" s="161"/>
      <c r="AD152" s="161"/>
      <c r="AE152" s="161"/>
      <c r="BP152" s="6028">
        <f>BP150/73</f>
        <v>0.57534246575342463</v>
      </c>
      <c r="BQ152" s="6028">
        <f>BQ150/75</f>
        <v>0.70666666666666667</v>
      </c>
      <c r="BR152" s="6028">
        <f>BR150/90</f>
        <v>0.67777777777777781</v>
      </c>
      <c r="BS152" s="6028">
        <f>BS150/90</f>
        <v>0.65555555555555556</v>
      </c>
      <c r="BT152" s="6029">
        <f>BT150/91</f>
        <v>0.70329670329670335</v>
      </c>
      <c r="BU152" s="6029">
        <f>BU150/98</f>
        <v>0.74489795918367352</v>
      </c>
      <c r="BV152" s="6029">
        <f>BV150/99</f>
        <v>0.84848484848484851</v>
      </c>
      <c r="BW152" s="6029">
        <f>BW150/108</f>
        <v>0.76851851851851849</v>
      </c>
      <c r="BX152" s="6029">
        <f>BX150/110</f>
        <v>0.73636363636363633</v>
      </c>
      <c r="BY152" s="6029">
        <f>BY150/112</f>
        <v>0.75</v>
      </c>
      <c r="BZ152" s="6029">
        <f>BZ150/113</f>
        <v>0.54867256637168138</v>
      </c>
      <c r="CA152" s="6030">
        <f>CA150/113</f>
        <v>0.4336283185840708</v>
      </c>
      <c r="CB152" s="6031">
        <f>CB150/115</f>
        <v>0.42608695652173911</v>
      </c>
      <c r="CC152" s="6432">
        <f>CC150/119</f>
        <v>0.34453781512605042</v>
      </c>
    </row>
    <row r="153" spans="1:81" ht="14.4">
      <c r="C153" s="5983"/>
      <c r="D153" s="5983"/>
      <c r="BV153" s="161"/>
      <c r="BW153" s="6038"/>
      <c r="BX153" s="6038"/>
      <c r="BY153" s="6038"/>
      <c r="BZ153" s="6038"/>
      <c r="CA153" s="6038"/>
      <c r="CB153" s="6038"/>
      <c r="CC153" s="6027" t="s">
        <v>3285</v>
      </c>
    </row>
    <row r="154" spans="1:81" ht="14.4">
      <c r="B154" s="188" t="s">
        <v>496</v>
      </c>
      <c r="C154" s="5983"/>
      <c r="D154" s="5983"/>
      <c r="BP154" s="7278"/>
      <c r="BQ154" s="1095"/>
    </row>
    <row r="155" spans="1:81" ht="14.4">
      <c r="B155" s="189" t="s">
        <v>209</v>
      </c>
      <c r="C155" s="5983"/>
      <c r="D155" s="5983"/>
      <c r="BP155" s="7278"/>
      <c r="BQ155" s="1095"/>
      <c r="BR155" s="1095"/>
      <c r="BS155" s="1095"/>
      <c r="BT155" s="1095"/>
      <c r="BU155" s="1095"/>
      <c r="BV155" s="5929"/>
      <c r="CB155" s="6549"/>
    </row>
    <row r="156" spans="1:81" ht="14.4">
      <c r="B156" s="190" t="s">
        <v>210</v>
      </c>
      <c r="C156" s="5983"/>
      <c r="D156" s="5983"/>
      <c r="BP156" s="7278"/>
      <c r="BQ156" s="1095"/>
      <c r="BR156" s="1095"/>
      <c r="BS156" s="1095"/>
      <c r="BT156" s="1095"/>
      <c r="BU156" s="1095"/>
      <c r="BV156" s="5929"/>
    </row>
    <row r="157" spans="1:81" ht="14.4">
      <c r="B157" s="191" t="s">
        <v>211</v>
      </c>
      <c r="C157" s="5983"/>
      <c r="D157" s="5983"/>
      <c r="BP157" s="7278"/>
      <c r="BQ157" s="1095"/>
      <c r="BR157" s="1095"/>
      <c r="BS157" s="1095"/>
      <c r="BT157" s="1095"/>
      <c r="BU157" s="1095"/>
      <c r="BV157" s="5929"/>
    </row>
    <row r="158" spans="1:81" ht="14.4">
      <c r="B158" s="192" t="s">
        <v>521</v>
      </c>
      <c r="C158" s="5983"/>
      <c r="D158" s="5983"/>
      <c r="BP158" s="7278"/>
      <c r="BQ158" s="1095"/>
    </row>
    <row r="159" spans="1:81" ht="14.4">
      <c r="B159" s="6062" t="s">
        <v>867</v>
      </c>
      <c r="C159" s="5983"/>
      <c r="D159" s="5983"/>
      <c r="BP159" s="1095"/>
    </row>
    <row r="160" spans="1:81" ht="14.4">
      <c r="B160" s="197" t="s">
        <v>495</v>
      </c>
      <c r="C160" s="187"/>
      <c r="D160" s="187"/>
      <c r="BP160" s="1095"/>
    </row>
    <row r="161" spans="2:8" ht="14.4">
      <c r="B161" s="1086" t="s">
        <v>520</v>
      </c>
      <c r="C161" s="5983"/>
      <c r="D161" s="5983"/>
    </row>
    <row r="162" spans="2:8" ht="21">
      <c r="B162" s="162"/>
      <c r="C162" s="6032" t="s">
        <v>3096</v>
      </c>
      <c r="D162" s="5983"/>
      <c r="E162" s="161"/>
      <c r="F162" s="161"/>
    </row>
    <row r="163" spans="2:8" ht="14.4">
      <c r="B163" s="162"/>
      <c r="C163" s="6033"/>
      <c r="D163" s="7280"/>
      <c r="E163" s="7280"/>
      <c r="F163" s="7280"/>
      <c r="G163" s="7280"/>
      <c r="H163" s="7280"/>
    </row>
    <row r="164" spans="2:8" ht="30" customHeight="1">
      <c r="B164" s="162"/>
      <c r="C164" s="6034" t="s">
        <v>3097</v>
      </c>
      <c r="D164" s="7279" t="s">
        <v>3098</v>
      </c>
      <c r="E164" s="7279"/>
      <c r="F164" s="7279"/>
      <c r="G164" s="7279"/>
      <c r="H164" s="7279"/>
    </row>
    <row r="165" spans="2:8" ht="60">
      <c r="B165" s="162"/>
      <c r="C165" s="6034" t="s">
        <v>3099</v>
      </c>
      <c r="D165" s="6035" t="s">
        <v>3100</v>
      </c>
      <c r="E165" s="7279" t="s">
        <v>3101</v>
      </c>
      <c r="F165" s="7279"/>
      <c r="G165" s="7279"/>
      <c r="H165" s="7279"/>
    </row>
    <row r="166" spans="2:8" ht="14.4"/>
    <row r="167" spans="2:8" ht="14.4"/>
    <row r="168" spans="2:8" ht="14.4"/>
    <row r="169" spans="2:8" ht="14.4"/>
    <row r="170" spans="2:8" ht="14.4"/>
    <row r="171" spans="2:8" ht="14.4"/>
    <row r="172" spans="2:8" ht="14.4"/>
    <row r="173" spans="2:8" ht="14.4"/>
    <row r="174" spans="2:8" ht="14.4"/>
    <row r="175" spans="2:8" ht="14.4"/>
    <row r="176" spans="2:8" ht="14.4"/>
    <row r="177" ht="14.4"/>
    <row r="178" ht="14.4"/>
    <row r="179" ht="14.4"/>
    <row r="180" ht="14.4"/>
    <row r="181" ht="14.4"/>
    <row r="182" ht="14.4"/>
    <row r="183" ht="14.4"/>
    <row r="184" ht="14.4"/>
    <row r="185" ht="14.4"/>
    <row r="186" ht="14.4"/>
    <row r="187" ht="14.4"/>
    <row r="188" ht="14.4"/>
    <row r="189" ht="14.4"/>
    <row r="190" ht="14.4"/>
    <row r="191" ht="14.4"/>
    <row r="192" ht="14.4"/>
    <row r="193" ht="14.4"/>
    <row r="194" ht="14.4"/>
    <row r="195" ht="14.4"/>
    <row r="196" ht="14.4"/>
    <row r="197" ht="14.4"/>
    <row r="198" ht="14.4"/>
    <row r="199" ht="14.4"/>
    <row r="200" ht="14.4"/>
    <row r="201" ht="14.4"/>
    <row r="202" ht="14.4"/>
    <row r="203" ht="14.4"/>
    <row r="204" ht="14.4"/>
    <row r="205" ht="14.4"/>
    <row r="206" ht="14.4"/>
    <row r="207" ht="14.4"/>
    <row r="208" ht="14.4"/>
    <row r="209" ht="14.4"/>
    <row r="210" ht="14.4"/>
    <row r="211" ht="14.4"/>
    <row r="212" ht="14.4"/>
    <row r="213" ht="14.4"/>
    <row r="214" ht="14.4"/>
    <row r="215" ht="14.4"/>
    <row r="216" ht="14.4"/>
    <row r="217" ht="14.4"/>
    <row r="218" ht="14.4"/>
    <row r="219" ht="14.4"/>
    <row r="220" ht="14.4"/>
    <row r="221" ht="14.4"/>
    <row r="222" ht="14.4"/>
    <row r="223" ht="14.4"/>
    <row r="224" ht="14.4"/>
    <row r="225" ht="14.4"/>
    <row r="226" ht="14.4"/>
    <row r="227" ht="14.4"/>
    <row r="228" ht="14.4"/>
    <row r="229" ht="14.4"/>
    <row r="230" ht="14.4"/>
    <row r="231" ht="14.4"/>
    <row r="232" ht="14.4"/>
    <row r="233" ht="14.4"/>
    <row r="234" ht="14.4"/>
    <row r="235" ht="14.4"/>
    <row r="236" ht="14.4"/>
    <row r="237" ht="14.4"/>
    <row r="238" ht="14.4"/>
    <row r="239" ht="14.4"/>
    <row r="240" ht="14.4"/>
    <row r="241" ht="14.4"/>
    <row r="242" ht="14.4"/>
    <row r="243" ht="14.4"/>
    <row r="244" ht="14.4"/>
    <row r="245" ht="14.4"/>
    <row r="246" ht="14.4"/>
    <row r="247" ht="14.4"/>
    <row r="248" ht="14.4"/>
    <row r="249" ht="14.4"/>
    <row r="250" ht="14.4"/>
    <row r="251" ht="14.4"/>
    <row r="252" ht="14.4"/>
    <row r="253" ht="14.4"/>
    <row r="254" ht="14.4"/>
    <row r="255" ht="14.4"/>
    <row r="256" ht="14.4"/>
    <row r="257" ht="14.4"/>
    <row r="258" ht="14.4"/>
    <row r="259" ht="14.4"/>
    <row r="260" ht="14.4"/>
    <row r="261" ht="14.4"/>
    <row r="262" ht="14.4"/>
    <row r="263" ht="14.4"/>
    <row r="264" ht="14.4"/>
    <row r="265" ht="14.4"/>
    <row r="266" ht="14.4"/>
    <row r="267" ht="14.4"/>
    <row r="268" ht="14.4"/>
    <row r="269" ht="14.4"/>
    <row r="270" ht="14.4"/>
    <row r="271" ht="14.4"/>
    <row r="272" ht="14.4"/>
    <row r="273" ht="14.4"/>
    <row r="274" ht="14.4"/>
    <row r="275" ht="14.4"/>
    <row r="276" ht="14.4"/>
    <row r="277" ht="14.4"/>
    <row r="278" ht="14.4"/>
    <row r="279" ht="14.4"/>
    <row r="280" ht="14.4"/>
    <row r="281" ht="14.4"/>
    <row r="282" ht="14.4"/>
    <row r="283" ht="14.4"/>
    <row r="284" ht="14.4"/>
    <row r="285" ht="14.4"/>
    <row r="286" ht="14.4"/>
    <row r="287" ht="14.4"/>
    <row r="288" ht="14.4"/>
    <row r="289" ht="14.4"/>
    <row r="290" ht="14.4"/>
    <row r="291" ht="14.4"/>
    <row r="292" ht="14.4"/>
    <row r="293" ht="14.4"/>
    <row r="294" ht="14.4"/>
    <row r="295" ht="14.4"/>
    <row r="296" ht="14.4"/>
    <row r="297" ht="14.4"/>
    <row r="298" ht="14.4"/>
    <row r="299" ht="14.4"/>
    <row r="300" ht="14.4"/>
    <row r="301" ht="14.4"/>
    <row r="302" ht="14.4"/>
    <row r="303" ht="14.4"/>
    <row r="304" ht="14.4"/>
    <row r="305" ht="14.4"/>
    <row r="306" ht="14.4"/>
    <row r="307" ht="14.4"/>
    <row r="308" ht="14.4"/>
    <row r="309" ht="14.4"/>
    <row r="310" ht="14.4"/>
    <row r="311" ht="14.4"/>
    <row r="312" ht="14.4"/>
    <row r="313" ht="14.4"/>
    <row r="314" ht="14.4"/>
    <row r="315" ht="14.4"/>
    <row r="316" ht="14.4"/>
    <row r="317" ht="14.4"/>
    <row r="318" ht="14.4"/>
    <row r="319" ht="14.4"/>
    <row r="320" ht="14.4"/>
    <row r="321" ht="14.4"/>
    <row r="322" ht="14.4"/>
    <row r="323" ht="14.4"/>
    <row r="324" ht="14.4"/>
    <row r="325" ht="14.4"/>
    <row r="326" ht="14.4"/>
    <row r="327" ht="14.4"/>
    <row r="328" ht="14.4"/>
    <row r="329" ht="14.4"/>
    <row r="330" ht="14.4"/>
    <row r="331" ht="14.4"/>
    <row r="332" ht="14.4"/>
    <row r="333" ht="14.4"/>
    <row r="334" ht="14.4"/>
    <row r="335" ht="14.4"/>
    <row r="336" ht="14.4"/>
    <row r="337" ht="14.4"/>
    <row r="338" ht="14.4"/>
    <row r="339" ht="14.4"/>
    <row r="340" ht="14.4"/>
    <row r="341" ht="14.4"/>
    <row r="342" ht="14.4"/>
    <row r="343" ht="14.4"/>
    <row r="344" ht="14.4"/>
    <row r="345" ht="14.4"/>
    <row r="346" ht="14.4"/>
    <row r="347" ht="14.4"/>
    <row r="348" ht="14.4"/>
    <row r="349" ht="14.4"/>
    <row r="350" ht="14.4"/>
    <row r="351" ht="14.4"/>
    <row r="352" ht="14.4"/>
    <row r="353" ht="14.4"/>
    <row r="354" ht="14.4"/>
    <row r="355" ht="14.4"/>
    <row r="356" ht="14.4"/>
    <row r="357" ht="14.4"/>
    <row r="358" ht="14.4"/>
    <row r="359" ht="14.4"/>
    <row r="360" ht="14.4"/>
    <row r="361" ht="14.4"/>
    <row r="362" ht="14.4"/>
    <row r="363" ht="14.4"/>
    <row r="364" ht="14.4"/>
    <row r="365" ht="14.4"/>
    <row r="366" ht="14.4"/>
    <row r="367" ht="14.4"/>
    <row r="368" ht="14.4"/>
    <row r="369" ht="14.4"/>
    <row r="370" ht="14.4"/>
    <row r="371" ht="14.4"/>
    <row r="372" ht="14.4"/>
    <row r="373" ht="14.4"/>
    <row r="374" ht="14.4"/>
    <row r="375" ht="14.4"/>
    <row r="376" ht="14.4"/>
    <row r="377" ht="14.4"/>
    <row r="378" ht="14.4"/>
    <row r="379" ht="14.4"/>
    <row r="380" ht="14.4"/>
    <row r="381" ht="14.4"/>
    <row r="382" ht="14.4"/>
    <row r="383" ht="14.4"/>
    <row r="384" ht="14.4"/>
    <row r="385" ht="14.4"/>
    <row r="386" ht="14.4"/>
    <row r="387" ht="14.4"/>
    <row r="388" ht="14.4"/>
    <row r="389" ht="14.4"/>
    <row r="390" ht="14.4"/>
    <row r="391" ht="14.4"/>
    <row r="392" ht="14.4"/>
    <row r="393" ht="14.4"/>
    <row r="394" ht="14.4"/>
    <row r="395" ht="14.4"/>
    <row r="396" ht="14.4"/>
    <row r="397" ht="14.4"/>
    <row r="398" ht="14.4"/>
    <row r="399" ht="14.4"/>
    <row r="400" ht="14.4"/>
    <row r="401" ht="14.4"/>
    <row r="402" ht="14.4"/>
    <row r="403" ht="14.4"/>
    <row r="404" ht="14.4"/>
    <row r="405" ht="14.4"/>
    <row r="406" ht="14.4"/>
    <row r="407" ht="14.4"/>
    <row r="408" ht="14.4"/>
    <row r="409" ht="14.4"/>
    <row r="410" ht="14.4"/>
    <row r="411" ht="14.4"/>
    <row r="412" ht="14.4"/>
    <row r="413" ht="14.4"/>
    <row r="414" ht="14.4"/>
    <row r="415" ht="14.4"/>
    <row r="416" ht="14.4"/>
    <row r="417" ht="14.4"/>
    <row r="418" ht="14.4"/>
    <row r="419" ht="14.4"/>
    <row r="420" ht="14.4"/>
    <row r="421" ht="14.4"/>
    <row r="422" ht="14.4"/>
    <row r="423" ht="14.4"/>
    <row r="424" ht="14.4"/>
    <row r="425" ht="14.4"/>
    <row r="426" ht="14.4"/>
    <row r="427" ht="14.4"/>
    <row r="428" ht="14.4"/>
    <row r="429" ht="14.4"/>
    <row r="430" ht="14.4"/>
    <row r="431" ht="14.4"/>
    <row r="432" ht="14.4"/>
    <row r="433" ht="14.4"/>
    <row r="434" ht="14.4"/>
    <row r="435" ht="14.4"/>
    <row r="436" ht="14.4"/>
    <row r="437" ht="14.4"/>
    <row r="438" ht="14.4"/>
    <row r="439" ht="14.4"/>
    <row r="440" ht="14.4"/>
    <row r="441" ht="14.4"/>
    <row r="442" ht="14.4"/>
    <row r="443" ht="14.4"/>
    <row r="444" ht="14.4"/>
    <row r="445" ht="14.4"/>
    <row r="446" ht="14.4"/>
    <row r="447" ht="14.4"/>
    <row r="448" ht="14.4"/>
    <row r="449" ht="14.4"/>
    <row r="450" ht="14.4"/>
    <row r="451" ht="14.4"/>
    <row r="452" ht="14.4"/>
    <row r="453" ht="14.4"/>
    <row r="454" ht="14.4"/>
    <row r="455" ht="14.4"/>
    <row r="456" ht="14.4"/>
    <row r="457" ht="14.4"/>
    <row r="458" ht="14.4"/>
    <row r="459" ht="14.4"/>
    <row r="460" ht="14.4"/>
    <row r="461" ht="14.4"/>
    <row r="462" ht="14.4"/>
    <row r="463" ht="14.4"/>
    <row r="464" ht="14.4"/>
    <row r="465" ht="14.4"/>
    <row r="466" ht="14.4"/>
    <row r="467" ht="14.4"/>
    <row r="468" ht="14.4"/>
    <row r="469" ht="14.4"/>
    <row r="470" ht="14.4"/>
    <row r="471" ht="14.4"/>
    <row r="472" ht="14.4"/>
    <row r="473" ht="14.4"/>
    <row r="474" ht="14.4"/>
    <row r="475" ht="14.4"/>
  </sheetData>
  <mergeCells count="5">
    <mergeCell ref="BP154:BP158"/>
    <mergeCell ref="E165:H165"/>
    <mergeCell ref="D163:H163"/>
    <mergeCell ref="D164:H164"/>
    <mergeCell ref="BY1:CC1"/>
  </mergeCells>
  <printOptions horizontalCentered="1" verticalCentered="1"/>
  <pageMargins left="0.70866141732283472" right="0.70866141732283472" top="0.74803149606299213" bottom="0.74803149606299213" header="0.31496062992125984" footer="0.31496062992125984"/>
  <pageSetup scale="45" firstPageNumber="23" fitToHeight="3" orientation="portrait" useFirstPageNumber="1" r:id="rId1"/>
  <headerFooter scaleWithDoc="0" alignWithMargins="0">
    <oddFooter>&amp;R&amp;P</oddFooter>
  </headerFooter>
  <rowBreaks count="2" manualBreakCount="2">
    <brk id="56" min="73" max="80" man="1"/>
    <brk id="105" min="73" max="80"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35"/>
  <sheetViews>
    <sheetView showGridLines="0" zoomScaleNormal="100" workbookViewId="0">
      <pane xSplit="3" ySplit="5" topLeftCell="AI6" activePane="bottomRight" state="frozen"/>
      <selection activeCell="C65" sqref="C65:C67"/>
      <selection pane="topRight" activeCell="C65" sqref="C65:C67"/>
      <selection pane="bottomLeft" activeCell="C65" sqref="C65:C67"/>
      <selection pane="bottomRight" activeCell="BH11" sqref="BH11"/>
    </sheetView>
  </sheetViews>
  <sheetFormatPr baseColWidth="10" defaultRowHeight="14.4"/>
  <cols>
    <col min="1" max="1" width="3.6640625" customWidth="1"/>
    <col min="2" max="2" width="20.33203125" customWidth="1"/>
    <col min="3" max="3" width="1.6640625" customWidth="1"/>
    <col min="4" max="8" width="7.6640625" customWidth="1"/>
    <col min="10" max="10" width="12.33203125" customWidth="1"/>
    <col min="11" max="11" width="1.6640625" customWidth="1"/>
    <col min="12" max="16" width="7.6640625" customWidth="1"/>
    <col min="18" max="18" width="11.88671875" customWidth="1"/>
    <col min="19" max="19" width="1.6640625" customWidth="1"/>
    <col min="20" max="24" width="7.6640625" customWidth="1"/>
    <col min="25" max="25" width="11.44140625" customWidth="1"/>
    <col min="26" max="26" width="12.44140625" customWidth="1"/>
    <col min="27" max="27" width="1.6640625" customWidth="1"/>
    <col min="28" max="32" width="7.6640625" customWidth="1"/>
    <col min="33" max="33" width="11.44140625" customWidth="1"/>
    <col min="34" max="34" width="12.33203125" customWidth="1"/>
    <col min="35" max="35" width="1.6640625" customWidth="1"/>
    <col min="36" max="40" width="7.6640625" customWidth="1"/>
    <col min="41" max="41" width="11.44140625" customWidth="1"/>
    <col min="42" max="42" width="12.33203125" customWidth="1"/>
    <col min="43" max="43" width="1.6640625" customWidth="1"/>
    <col min="44" max="48" width="7.6640625" customWidth="1"/>
    <col min="49" max="49" width="12.88671875" customWidth="1"/>
    <col min="50" max="50" width="13" customWidth="1"/>
    <col min="51" max="51" width="1.6640625" style="5317" customWidth="1"/>
    <col min="52" max="55" width="7.6640625" customWidth="1"/>
    <col min="58" max="58" width="13.5546875" customWidth="1"/>
  </cols>
  <sheetData>
    <row r="1" spans="1:58" ht="15" customHeight="1">
      <c r="AK1" s="7286" t="s">
        <v>428</v>
      </c>
      <c r="AL1" s="7286"/>
      <c r="AM1" s="7286"/>
      <c r="AN1" s="7286"/>
      <c r="AO1" s="7286"/>
      <c r="AP1" s="7286"/>
      <c r="AQ1" s="3031"/>
      <c r="AR1" s="3031"/>
      <c r="AS1" s="3031"/>
      <c r="AT1" s="3031"/>
      <c r="AU1" s="3031"/>
      <c r="AV1" s="3031"/>
      <c r="BA1" s="3031"/>
      <c r="BB1" s="7286" t="s">
        <v>428</v>
      </c>
      <c r="BC1" s="7286"/>
      <c r="BD1" s="7286"/>
      <c r="BE1" s="7286"/>
      <c r="BF1" s="7286"/>
    </row>
    <row r="2" spans="1:58" ht="15" customHeight="1">
      <c r="AL2" s="6494"/>
      <c r="AM2" s="7284" t="s">
        <v>2446</v>
      </c>
      <c r="AN2" s="7284"/>
      <c r="AO2" s="7284"/>
      <c r="AP2" s="7284"/>
      <c r="AQ2" s="6492"/>
      <c r="AR2" s="7281"/>
      <c r="AS2" s="7281"/>
      <c r="AT2" s="7281"/>
      <c r="AU2" s="7281"/>
      <c r="AV2" s="7281"/>
      <c r="BB2" s="7284" t="s">
        <v>2446</v>
      </c>
      <c r="BC2" s="7284"/>
      <c r="BD2" s="7284"/>
      <c r="BE2" s="7284"/>
      <c r="BF2" s="7284"/>
    </row>
    <row r="3" spans="1:58">
      <c r="B3" s="1097"/>
    </row>
    <row r="4" spans="1:58" ht="15" customHeight="1">
      <c r="B4" s="7287" t="s">
        <v>2312</v>
      </c>
      <c r="C4" s="3294"/>
      <c r="D4" s="7285">
        <v>2017</v>
      </c>
      <c r="E4" s="7285"/>
      <c r="F4" s="7285"/>
      <c r="G4" s="7285"/>
      <c r="H4" s="7285"/>
      <c r="I4" s="7282" t="s">
        <v>407</v>
      </c>
      <c r="J4" s="7282" t="s">
        <v>408</v>
      </c>
      <c r="K4" s="3294"/>
      <c r="L4" s="7285">
        <v>2018</v>
      </c>
      <c r="M4" s="7285"/>
      <c r="N4" s="7285"/>
      <c r="O4" s="7285"/>
      <c r="P4" s="7285"/>
      <c r="Q4" s="7282" t="s">
        <v>407</v>
      </c>
      <c r="R4" s="7282" t="s">
        <v>408</v>
      </c>
      <c r="T4" s="7285">
        <v>2019</v>
      </c>
      <c r="U4" s="7285"/>
      <c r="V4" s="7285"/>
      <c r="W4" s="7285"/>
      <c r="X4" s="7285"/>
      <c r="Y4" s="7282" t="s">
        <v>407</v>
      </c>
      <c r="Z4" s="7282" t="s">
        <v>408</v>
      </c>
      <c r="AA4" s="4139"/>
      <c r="AB4" s="7285">
        <v>2020</v>
      </c>
      <c r="AC4" s="7285"/>
      <c r="AD4" s="7285"/>
      <c r="AE4" s="7285"/>
      <c r="AF4" s="7285"/>
      <c r="AG4" s="7282" t="s">
        <v>407</v>
      </c>
      <c r="AH4" s="7282" t="s">
        <v>408</v>
      </c>
      <c r="AJ4" s="7285">
        <v>2021</v>
      </c>
      <c r="AK4" s="7285"/>
      <c r="AL4" s="7285"/>
      <c r="AM4" s="7285"/>
      <c r="AN4" s="7285"/>
      <c r="AO4" s="7282" t="s">
        <v>407</v>
      </c>
      <c r="AP4" s="7282" t="s">
        <v>408</v>
      </c>
      <c r="AR4" s="7285">
        <v>2022</v>
      </c>
      <c r="AS4" s="7285"/>
      <c r="AT4" s="7285"/>
      <c r="AU4" s="7285"/>
      <c r="AV4" s="7285"/>
      <c r="AW4" s="7282" t="s">
        <v>407</v>
      </c>
      <c r="AX4" s="7282" t="s">
        <v>408</v>
      </c>
      <c r="AZ4" s="7285">
        <v>2023</v>
      </c>
      <c r="BA4" s="7285"/>
      <c r="BB4" s="7285"/>
      <c r="BC4" s="7285"/>
      <c r="BD4" s="7285"/>
      <c r="BE4" s="7282" t="s">
        <v>407</v>
      </c>
      <c r="BF4" s="7282" t="s">
        <v>408</v>
      </c>
    </row>
    <row r="5" spans="1:58" ht="15" thickBot="1">
      <c r="B5" s="7288"/>
      <c r="C5" s="3294"/>
      <c r="D5" s="3297" t="s">
        <v>77</v>
      </c>
      <c r="E5" s="3297" t="s">
        <v>78</v>
      </c>
      <c r="F5" s="3297" t="s">
        <v>79</v>
      </c>
      <c r="G5" s="3297" t="s">
        <v>80</v>
      </c>
      <c r="H5" s="3297" t="s">
        <v>15</v>
      </c>
      <c r="I5" s="7283"/>
      <c r="J5" s="7283"/>
      <c r="K5" s="3294"/>
      <c r="L5" s="3297" t="s">
        <v>77</v>
      </c>
      <c r="M5" s="3297" t="s">
        <v>78</v>
      </c>
      <c r="N5" s="3297" t="s">
        <v>79</v>
      </c>
      <c r="O5" s="3297" t="s">
        <v>80</v>
      </c>
      <c r="P5" s="3297" t="s">
        <v>15</v>
      </c>
      <c r="Q5" s="7283"/>
      <c r="R5" s="7283"/>
      <c r="T5" s="3297" t="s">
        <v>77</v>
      </c>
      <c r="U5" s="3297" t="s">
        <v>78</v>
      </c>
      <c r="V5" s="3297" t="s">
        <v>79</v>
      </c>
      <c r="W5" s="3297" t="s">
        <v>80</v>
      </c>
      <c r="X5" s="3297" t="s">
        <v>15</v>
      </c>
      <c r="Y5" s="7283"/>
      <c r="Z5" s="7283"/>
      <c r="AA5" s="4139"/>
      <c r="AB5" s="3297" t="s">
        <v>77</v>
      </c>
      <c r="AC5" s="3297" t="s">
        <v>78</v>
      </c>
      <c r="AD5" s="3297" t="s">
        <v>79</v>
      </c>
      <c r="AE5" s="3297" t="s">
        <v>80</v>
      </c>
      <c r="AF5" s="3297" t="s">
        <v>15</v>
      </c>
      <c r="AG5" s="7283"/>
      <c r="AH5" s="7283"/>
      <c r="AJ5" s="3297" t="s">
        <v>77</v>
      </c>
      <c r="AK5" s="3297" t="s">
        <v>78</v>
      </c>
      <c r="AL5" s="3297" t="s">
        <v>79</v>
      </c>
      <c r="AM5" s="3297" t="s">
        <v>80</v>
      </c>
      <c r="AN5" s="3297" t="s">
        <v>15</v>
      </c>
      <c r="AO5" s="7283"/>
      <c r="AP5" s="7283"/>
      <c r="AR5" s="3297" t="s">
        <v>77</v>
      </c>
      <c r="AS5" s="3297" t="s">
        <v>78</v>
      </c>
      <c r="AT5" s="3297" t="s">
        <v>79</v>
      </c>
      <c r="AU5" s="3297" t="s">
        <v>80</v>
      </c>
      <c r="AV5" s="3297" t="s">
        <v>15</v>
      </c>
      <c r="AW5" s="7283"/>
      <c r="AX5" s="7283"/>
      <c r="AZ5" s="3297" t="s">
        <v>77</v>
      </c>
      <c r="BA5" s="3297" t="s">
        <v>78</v>
      </c>
      <c r="BB5" s="3297" t="s">
        <v>79</v>
      </c>
      <c r="BC5" s="3297" t="s">
        <v>80</v>
      </c>
      <c r="BD5" s="3297" t="s">
        <v>15</v>
      </c>
      <c r="BE5" s="7283"/>
      <c r="BF5" s="7283"/>
    </row>
    <row r="6" spans="1:58">
      <c r="B6" s="3298"/>
      <c r="C6" s="3295"/>
      <c r="D6" s="3298"/>
      <c r="E6" s="3298"/>
      <c r="F6" s="3298"/>
      <c r="G6" s="3298"/>
      <c r="H6" s="3298"/>
      <c r="I6" s="3295"/>
      <c r="J6" s="3295"/>
      <c r="K6" s="3295"/>
      <c r="L6" s="3298"/>
      <c r="M6" s="3298"/>
      <c r="N6" s="3298"/>
      <c r="O6" s="3298"/>
      <c r="P6" s="3298"/>
      <c r="Q6" s="3295"/>
      <c r="R6" s="3295"/>
      <c r="T6" s="3298"/>
      <c r="U6" s="3298"/>
      <c r="V6" s="3298"/>
      <c r="W6" s="3298"/>
      <c r="X6" s="3298"/>
      <c r="Y6" s="3295"/>
      <c r="Z6" s="3295"/>
      <c r="AA6" s="4139"/>
      <c r="AB6" s="3298"/>
      <c r="AC6" s="3298"/>
      <c r="AD6" s="3298"/>
      <c r="AE6" s="3298"/>
      <c r="AF6" s="3298"/>
      <c r="AG6" s="3295"/>
      <c r="AH6" s="3295"/>
      <c r="AJ6" s="3298"/>
      <c r="AK6" s="3298"/>
      <c r="AL6" s="3298"/>
      <c r="AM6" s="3298"/>
      <c r="AN6" s="3298"/>
      <c r="AO6" s="3295"/>
      <c r="AP6" s="3295"/>
      <c r="AR6" s="3298"/>
      <c r="AS6" s="3298"/>
      <c r="AT6" s="3298"/>
      <c r="AU6" s="3298"/>
      <c r="AV6" s="3298"/>
      <c r="AW6" s="3295"/>
      <c r="AX6" s="3295"/>
      <c r="AZ6" s="3298"/>
      <c r="BA6" s="3298"/>
      <c r="BB6" s="3298"/>
      <c r="BC6" s="3298"/>
      <c r="BD6" s="3298"/>
      <c r="BE6" s="3295"/>
      <c r="BF6" s="3295"/>
    </row>
    <row r="7" spans="1:58">
      <c r="B7" s="3299" t="s">
        <v>4</v>
      </c>
      <c r="C7" s="2026"/>
      <c r="D7" s="3300">
        <v>56</v>
      </c>
      <c r="E7" s="3300">
        <v>5</v>
      </c>
      <c r="F7" s="3300">
        <v>115</v>
      </c>
      <c r="G7" s="3300">
        <v>222</v>
      </c>
      <c r="H7" s="3301">
        <f>SUM(D7:G7)</f>
        <v>398</v>
      </c>
      <c r="I7" s="2133">
        <f>(E7+F7+G7)/H7</f>
        <v>0.85929648241206025</v>
      </c>
      <c r="J7" s="2133">
        <f>G7/H7</f>
        <v>0.55778894472361806</v>
      </c>
      <c r="K7" s="2026"/>
      <c r="L7" s="3300">
        <v>53</v>
      </c>
      <c r="M7" s="3300">
        <v>4</v>
      </c>
      <c r="N7" s="3300">
        <v>116</v>
      </c>
      <c r="O7" s="3300">
        <v>229</v>
      </c>
      <c r="P7" s="3301">
        <f>SUM(L7:O7)</f>
        <v>402</v>
      </c>
      <c r="Q7" s="2133">
        <f>(M7+N7+O7)/P7</f>
        <v>0.86815920398009949</v>
      </c>
      <c r="R7" s="2133">
        <f>O7/P7</f>
        <v>0.56965174129353235</v>
      </c>
      <c r="T7" s="3300">
        <v>52</v>
      </c>
      <c r="U7" s="3300">
        <v>4</v>
      </c>
      <c r="V7" s="3300">
        <v>110</v>
      </c>
      <c r="W7" s="3300">
        <v>240</v>
      </c>
      <c r="X7" s="3301">
        <f>SUM(T7:W7)</f>
        <v>406</v>
      </c>
      <c r="Y7" s="2133">
        <f>(U7+V7+W7)/X7</f>
        <v>0.8719211822660099</v>
      </c>
      <c r="Z7" s="2133">
        <f>W7/X7</f>
        <v>0.59113300492610843</v>
      </c>
      <c r="AA7" s="4139"/>
      <c r="AB7" s="3300">
        <v>49</v>
      </c>
      <c r="AC7" s="3300">
        <v>4</v>
      </c>
      <c r="AD7" s="3300">
        <v>107</v>
      </c>
      <c r="AE7" s="3300">
        <v>242</v>
      </c>
      <c r="AF7" s="3301">
        <f>SUM(AB7:AE7)</f>
        <v>402</v>
      </c>
      <c r="AG7" s="2133">
        <f>(AC7+AD7+AE7)/AF7</f>
        <v>0.87810945273631846</v>
      </c>
      <c r="AH7" s="2133">
        <f>AE7/AF7</f>
        <v>0.60199004975124382</v>
      </c>
      <c r="AJ7" s="3300">
        <v>51</v>
      </c>
      <c r="AK7" s="3300">
        <v>4</v>
      </c>
      <c r="AL7" s="3300">
        <v>94</v>
      </c>
      <c r="AM7" s="3300">
        <v>247</v>
      </c>
      <c r="AN7" s="3301">
        <f>SUM(AJ7:AM7)</f>
        <v>396</v>
      </c>
      <c r="AO7" s="2133">
        <f>(AK7+AL7+AM7)/AN7</f>
        <v>0.87121212121212122</v>
      </c>
      <c r="AP7" s="2133">
        <f>AM7/AN7</f>
        <v>0.6237373737373737</v>
      </c>
      <c r="AR7" s="3300">
        <v>47</v>
      </c>
      <c r="AS7" s="3300">
        <v>4</v>
      </c>
      <c r="AT7" s="3300">
        <v>91</v>
      </c>
      <c r="AU7" s="3300">
        <v>243</v>
      </c>
      <c r="AV7" s="3301">
        <f>SUM(AR7:AU7)</f>
        <v>385</v>
      </c>
      <c r="AW7" s="2133">
        <f>(AS7+AT7+AU7)/AV7</f>
        <v>0.87792207792207788</v>
      </c>
      <c r="AX7" s="2133">
        <f>AU7/AV7</f>
        <v>0.63116883116883116</v>
      </c>
      <c r="AZ7" s="3300">
        <v>44</v>
      </c>
      <c r="BA7" s="3300">
        <v>2</v>
      </c>
      <c r="BB7" s="3300">
        <v>92</v>
      </c>
      <c r="BC7" s="3300">
        <v>237</v>
      </c>
      <c r="BD7" s="3301">
        <f>SUM(AZ7:BC7)</f>
        <v>375</v>
      </c>
      <c r="BE7" s="2133">
        <f>(BA7+BB7+BC7)/BD7</f>
        <v>0.88266666666666671</v>
      </c>
      <c r="BF7" s="2133">
        <f>BC7/BD7</f>
        <v>0.63200000000000001</v>
      </c>
    </row>
    <row r="8" spans="1:58">
      <c r="B8" s="3302" t="s">
        <v>16</v>
      </c>
      <c r="C8" s="2026"/>
      <c r="D8" s="3303">
        <v>83</v>
      </c>
      <c r="E8" s="3303">
        <v>1</v>
      </c>
      <c r="F8" s="3303">
        <v>104</v>
      </c>
      <c r="G8" s="3303">
        <v>179</v>
      </c>
      <c r="H8" s="3304">
        <f>SUM(D8:G8)</f>
        <v>367</v>
      </c>
      <c r="I8" s="2134">
        <f>(E8+F8+G8)/H8</f>
        <v>0.77384196185286103</v>
      </c>
      <c r="J8" s="2134">
        <f>G8/H8</f>
        <v>0.4877384196185286</v>
      </c>
      <c r="K8" s="2026"/>
      <c r="L8" s="3303">
        <v>85</v>
      </c>
      <c r="M8" s="3303">
        <v>1</v>
      </c>
      <c r="N8" s="3303">
        <v>100</v>
      </c>
      <c r="O8" s="3303">
        <v>187</v>
      </c>
      <c r="P8" s="3304">
        <f>SUM(L8:O8)</f>
        <v>373</v>
      </c>
      <c r="Q8" s="2134">
        <f>(M8+N8+O8)/P8</f>
        <v>0.77211796246648789</v>
      </c>
      <c r="R8" s="2134">
        <f>O8/P8</f>
        <v>0.50134048257372654</v>
      </c>
      <c r="T8" s="3303">
        <v>67</v>
      </c>
      <c r="U8" s="3303">
        <v>2</v>
      </c>
      <c r="V8" s="3303">
        <v>105</v>
      </c>
      <c r="W8" s="3303">
        <v>188</v>
      </c>
      <c r="X8" s="3304">
        <f>SUM(T8:W8)</f>
        <v>362</v>
      </c>
      <c r="Y8" s="2134">
        <f>(U8+V8+W8)/X8</f>
        <v>0.81491712707182318</v>
      </c>
      <c r="Z8" s="2134">
        <f>W8/X8</f>
        <v>0.51933701657458564</v>
      </c>
      <c r="AA8" s="4139"/>
      <c r="AB8" s="3303">
        <v>66</v>
      </c>
      <c r="AC8" s="3303">
        <v>2</v>
      </c>
      <c r="AD8" s="3303">
        <v>102</v>
      </c>
      <c r="AE8" s="3303">
        <v>184</v>
      </c>
      <c r="AF8" s="3304">
        <f>SUM(AB8:AE8)</f>
        <v>354</v>
      </c>
      <c r="AG8" s="2134">
        <f>(AC8+AD8+AE8)/AF8</f>
        <v>0.81355932203389836</v>
      </c>
      <c r="AH8" s="2134">
        <f>AE8/AF8</f>
        <v>0.51977401129943501</v>
      </c>
      <c r="AJ8" s="3303">
        <v>71</v>
      </c>
      <c r="AK8" s="3303">
        <v>1</v>
      </c>
      <c r="AL8" s="3303">
        <v>86</v>
      </c>
      <c r="AM8" s="3303">
        <v>190</v>
      </c>
      <c r="AN8" s="3304">
        <f>SUM(AJ8:AM8)</f>
        <v>348</v>
      </c>
      <c r="AO8" s="2134">
        <f>(AK8+AL8+AM8)/AN8</f>
        <v>0.79597701149425293</v>
      </c>
      <c r="AP8" s="2134">
        <f>AM8/AN8</f>
        <v>0.54597701149425293</v>
      </c>
      <c r="AR8" s="3303">
        <v>69</v>
      </c>
      <c r="AS8" s="3303">
        <v>1</v>
      </c>
      <c r="AT8" s="3303">
        <v>82</v>
      </c>
      <c r="AU8" s="3303">
        <v>185</v>
      </c>
      <c r="AV8" s="3304">
        <f>SUM(AR8:AU8)</f>
        <v>337</v>
      </c>
      <c r="AW8" s="2134">
        <f>(AS8+AT8+AU8)/AV8</f>
        <v>0.79525222551928787</v>
      </c>
      <c r="AX8" s="2134">
        <f>AU8/AV8</f>
        <v>0.54896142433234418</v>
      </c>
      <c r="AZ8" s="3303">
        <v>65</v>
      </c>
      <c r="BA8" s="3303">
        <v>1</v>
      </c>
      <c r="BB8" s="3303">
        <v>80</v>
      </c>
      <c r="BC8" s="3303">
        <v>179</v>
      </c>
      <c r="BD8" s="3304">
        <f>SUM(AZ8:BC8)</f>
        <v>325</v>
      </c>
      <c r="BE8" s="2134">
        <f>(BA8+BB8+BC8)/BD8</f>
        <v>0.8</v>
      </c>
      <c r="BF8" s="2134">
        <f>BC8/BD8</f>
        <v>0.55076923076923079</v>
      </c>
    </row>
    <row r="9" spans="1:58">
      <c r="B9" s="4153" t="s">
        <v>21</v>
      </c>
      <c r="C9" s="4154"/>
      <c r="D9" s="4155">
        <v>51</v>
      </c>
      <c r="E9" s="4155">
        <v>4</v>
      </c>
      <c r="F9" s="4155">
        <v>123</v>
      </c>
      <c r="G9" s="4155">
        <v>59</v>
      </c>
      <c r="H9" s="4156">
        <f>SUM(D9:G9)</f>
        <v>237</v>
      </c>
      <c r="I9" s="4157">
        <f>(E9+F9+G9)/H9</f>
        <v>0.78481012658227844</v>
      </c>
      <c r="J9" s="4157">
        <f>G9/H9</f>
        <v>0.24894514767932491</v>
      </c>
      <c r="K9" s="4154"/>
      <c r="L9" s="4155">
        <v>45</v>
      </c>
      <c r="M9" s="4155">
        <v>4</v>
      </c>
      <c r="N9" s="4155">
        <v>130</v>
      </c>
      <c r="O9" s="4155">
        <v>62</v>
      </c>
      <c r="P9" s="4156">
        <f>SUM(L9:O9)</f>
        <v>241</v>
      </c>
      <c r="Q9" s="4157">
        <f>(M9+N9+O9)/P9</f>
        <v>0.81327800829875518</v>
      </c>
      <c r="R9" s="4157">
        <f>O9/P9</f>
        <v>0.25726141078838172</v>
      </c>
      <c r="S9" s="4158"/>
      <c r="T9" s="4155">
        <v>49</v>
      </c>
      <c r="U9" s="4155">
        <v>3</v>
      </c>
      <c r="V9" s="4155">
        <v>118</v>
      </c>
      <c r="W9" s="4155">
        <v>66</v>
      </c>
      <c r="X9" s="4156">
        <f>SUM(T9:W9)</f>
        <v>236</v>
      </c>
      <c r="Y9" s="4157">
        <f>(U9+V9+W9)/X9</f>
        <v>0.7923728813559322</v>
      </c>
      <c r="Z9" s="4157">
        <f>W9/X9</f>
        <v>0.27966101694915252</v>
      </c>
      <c r="AA9" s="4139"/>
      <c r="AB9" s="4155">
        <v>47</v>
      </c>
      <c r="AC9" s="4155">
        <v>3</v>
      </c>
      <c r="AD9" s="4155">
        <v>121</v>
      </c>
      <c r="AE9" s="4155">
        <v>64</v>
      </c>
      <c r="AF9" s="4156">
        <f>SUM(AB9:AE9)</f>
        <v>235</v>
      </c>
      <c r="AG9" s="4157">
        <f>(AC9+AD9+AE9)/AF9</f>
        <v>0.8</v>
      </c>
      <c r="AH9" s="4157">
        <f>AE9/AF9</f>
        <v>0.2723404255319149</v>
      </c>
      <c r="AJ9" s="4155">
        <v>40</v>
      </c>
      <c r="AK9" s="4155">
        <v>3</v>
      </c>
      <c r="AL9" s="4155">
        <v>116</v>
      </c>
      <c r="AM9" s="4155">
        <v>70</v>
      </c>
      <c r="AN9" s="4156">
        <f>SUM(AJ9:AM9)</f>
        <v>229</v>
      </c>
      <c r="AO9" s="4157">
        <f>(AK9+AL9+AM9)/AN9</f>
        <v>0.8253275109170306</v>
      </c>
      <c r="AP9" s="4157">
        <f>AM9/AN9</f>
        <v>0.3056768558951965</v>
      </c>
      <c r="AR9" s="4155">
        <v>39</v>
      </c>
      <c r="AS9" s="4155">
        <v>3</v>
      </c>
      <c r="AT9" s="4155">
        <v>109</v>
      </c>
      <c r="AU9" s="4155">
        <v>73</v>
      </c>
      <c r="AV9" s="4156">
        <f>SUM(AR9:AU9)</f>
        <v>224</v>
      </c>
      <c r="AW9" s="4157">
        <f>(AS9+AT9+AU9)/AV9</f>
        <v>0.8258928571428571</v>
      </c>
      <c r="AX9" s="4157">
        <f>AU9/AV9</f>
        <v>0.32589285714285715</v>
      </c>
      <c r="AZ9" s="4155">
        <v>36</v>
      </c>
      <c r="BA9" s="4155">
        <v>3</v>
      </c>
      <c r="BB9" s="4155">
        <v>108</v>
      </c>
      <c r="BC9" s="4155">
        <v>69</v>
      </c>
      <c r="BD9" s="4156">
        <f>SUM(AZ9:BC9)</f>
        <v>216</v>
      </c>
      <c r="BE9" s="4157">
        <f>(BA9+BB9+BC9)/BD9</f>
        <v>0.83333333333333337</v>
      </c>
      <c r="BF9" s="4157">
        <f>BC9/BD9</f>
        <v>0.31944444444444442</v>
      </c>
    </row>
    <row r="10" spans="1:58" s="4078" customFormat="1">
      <c r="B10" s="4079" t="s">
        <v>3</v>
      </c>
      <c r="C10" s="3294"/>
      <c r="D10" s="4080">
        <f>SUM(D7:D9)</f>
        <v>190</v>
      </c>
      <c r="E10" s="4080">
        <f>SUM(E7:E9)</f>
        <v>10</v>
      </c>
      <c r="F10" s="4080">
        <f>SUM(F7:F9)</f>
        <v>342</v>
      </c>
      <c r="G10" s="4080">
        <f>SUM(G7:G9)</f>
        <v>460</v>
      </c>
      <c r="H10" s="4080">
        <f>SUM(H7:H9)</f>
        <v>1002</v>
      </c>
      <c r="I10" s="4081">
        <f>(E10+F10+G10)/H10</f>
        <v>0.81037924151696605</v>
      </c>
      <c r="J10" s="4081">
        <f>G10/H10</f>
        <v>0.45908183632734528</v>
      </c>
      <c r="K10" s="3294"/>
      <c r="L10" s="4080">
        <f>SUM(L7:L9)</f>
        <v>183</v>
      </c>
      <c r="M10" s="4080">
        <f>SUM(M7:M9)</f>
        <v>9</v>
      </c>
      <c r="N10" s="4080">
        <f>SUM(N7:N9)</f>
        <v>346</v>
      </c>
      <c r="O10" s="4080">
        <f>SUM(O7:O9)</f>
        <v>478</v>
      </c>
      <c r="P10" s="4080">
        <f>SUM(P7:P9)</f>
        <v>1016</v>
      </c>
      <c r="Q10" s="4081">
        <f>(M10+N10+O10)/P10</f>
        <v>0.81988188976377951</v>
      </c>
      <c r="R10" s="4081">
        <f>O10/P10</f>
        <v>0.47047244094488189</v>
      </c>
      <c r="T10" s="4080">
        <f>SUM(T7:T9)</f>
        <v>168</v>
      </c>
      <c r="U10" s="4080">
        <f>SUM(U7:U9)</f>
        <v>9</v>
      </c>
      <c r="V10" s="4080">
        <f>SUM(V7:V9)</f>
        <v>333</v>
      </c>
      <c r="W10" s="4080">
        <f>SUM(W7:W9)</f>
        <v>494</v>
      </c>
      <c r="X10" s="4080">
        <f>SUM(X7:X9)</f>
        <v>1004</v>
      </c>
      <c r="Y10" s="4081">
        <f>(U10+V10+W10)/X10</f>
        <v>0.83266932270916338</v>
      </c>
      <c r="Z10" s="4081">
        <f>W10/X10</f>
        <v>0.49203187250996017</v>
      </c>
      <c r="AA10" s="4139"/>
      <c r="AB10" s="4080">
        <f>SUM(AB7:AB9)</f>
        <v>162</v>
      </c>
      <c r="AC10" s="4080">
        <f>SUM(AC7:AC9)</f>
        <v>9</v>
      </c>
      <c r="AD10" s="4080">
        <f>SUM(AD7:AD9)</f>
        <v>330</v>
      </c>
      <c r="AE10" s="4080">
        <f>SUM(AE7:AE9)</f>
        <v>490</v>
      </c>
      <c r="AF10" s="4080">
        <f>SUM(AF7:AF9)</f>
        <v>991</v>
      </c>
      <c r="AG10" s="4081">
        <f>(AC10+AD10+AE10)/AF10</f>
        <v>0.8365287588294652</v>
      </c>
      <c r="AH10" s="4081">
        <f>AE10/AF10</f>
        <v>0.4944500504540868</v>
      </c>
      <c r="AJ10" s="4080">
        <f>SUM(AJ7:AJ9)</f>
        <v>162</v>
      </c>
      <c r="AK10" s="4080">
        <f>SUM(AK7:AK9)</f>
        <v>8</v>
      </c>
      <c r="AL10" s="4080">
        <f>SUM(AL7:AL9)</f>
        <v>296</v>
      </c>
      <c r="AM10" s="4080">
        <f>SUM(AM7:AM9)</f>
        <v>507</v>
      </c>
      <c r="AN10" s="4080">
        <f>SUM(AN7:AN9)</f>
        <v>973</v>
      </c>
      <c r="AO10" s="4081">
        <f>(AK10+AL10+AM10)/AN10</f>
        <v>0.83350462487153132</v>
      </c>
      <c r="AP10" s="4081">
        <f>AM10/AN10</f>
        <v>0.52106885919835555</v>
      </c>
      <c r="AR10" s="4080">
        <f>SUM(AR7:AR9)</f>
        <v>155</v>
      </c>
      <c r="AS10" s="4080">
        <f>SUM(AS7:AS9)</f>
        <v>8</v>
      </c>
      <c r="AT10" s="4080">
        <f>SUM(AT7:AT9)</f>
        <v>282</v>
      </c>
      <c r="AU10" s="4080">
        <f>SUM(AU7:AU9)</f>
        <v>501</v>
      </c>
      <c r="AV10" s="4080">
        <f>SUM(AV7:AV9)</f>
        <v>946</v>
      </c>
      <c r="AW10" s="4081">
        <f>(AS10+AT10+AU10)/AV10</f>
        <v>0.83615221987315014</v>
      </c>
      <c r="AX10" s="4081">
        <f>AU10/AV10</f>
        <v>0.52959830866807611</v>
      </c>
      <c r="AZ10" s="4080">
        <f>SUM(AZ7:AZ9)</f>
        <v>145</v>
      </c>
      <c r="BA10" s="4080">
        <f>SUM(BA7:BA9)</f>
        <v>6</v>
      </c>
      <c r="BB10" s="4080">
        <f>SUM(BB7:BB9)</f>
        <v>280</v>
      </c>
      <c r="BC10" s="4080">
        <f>SUM(BC7:BC9)</f>
        <v>485</v>
      </c>
      <c r="BD10" s="4080">
        <f>SUM(BD7:BD9)</f>
        <v>916</v>
      </c>
      <c r="BE10" s="4081">
        <f>(BA10+BB10+BC10)/BD10</f>
        <v>0.84170305676855894</v>
      </c>
      <c r="BF10" s="4081">
        <f>BC10/BD10</f>
        <v>0.52947598253275108</v>
      </c>
    </row>
    <row r="11" spans="1:58">
      <c r="A11" s="2107"/>
      <c r="B11" s="3295"/>
      <c r="C11" s="2026"/>
      <c r="D11" s="3295"/>
      <c r="E11" s="3295"/>
      <c r="F11" s="3295"/>
      <c r="G11" s="3295"/>
      <c r="H11" s="3295"/>
      <c r="I11" s="3295"/>
      <c r="J11" s="3295"/>
      <c r="K11" s="2026"/>
      <c r="L11" s="3295"/>
      <c r="M11" s="3295"/>
      <c r="N11" s="3295"/>
      <c r="O11" s="3295"/>
      <c r="P11" s="3295"/>
      <c r="Q11" s="3295"/>
      <c r="R11" s="3295"/>
      <c r="T11" s="3295"/>
      <c r="U11" s="3295"/>
      <c r="V11" s="3295"/>
      <c r="W11" s="3295"/>
      <c r="X11" s="3295"/>
      <c r="Y11" s="3295"/>
      <c r="Z11" s="3295"/>
      <c r="AA11" s="4139"/>
      <c r="AB11" s="3295"/>
      <c r="AC11" s="3295"/>
      <c r="AD11" s="3295"/>
      <c r="AE11" s="3295"/>
      <c r="AF11" s="3295"/>
      <c r="AG11" s="3295"/>
      <c r="AH11" s="3295"/>
      <c r="AJ11" s="3295"/>
      <c r="AK11" s="3295"/>
      <c r="AL11" s="3295"/>
      <c r="AM11" s="3295"/>
      <c r="AN11" s="3295"/>
      <c r="AO11" s="3295"/>
      <c r="AP11" s="3295"/>
      <c r="AR11" s="3295"/>
      <c r="AS11" s="3295"/>
      <c r="AT11" s="3295"/>
      <c r="AU11" s="3295"/>
      <c r="AV11" s="3295"/>
      <c r="AW11" s="3295"/>
      <c r="AX11" s="3295"/>
      <c r="AZ11" s="3295"/>
      <c r="BA11" s="3295"/>
      <c r="BB11" s="3295"/>
      <c r="BC11" s="3295"/>
      <c r="BD11" s="3295"/>
      <c r="BE11" s="3295"/>
      <c r="BF11" s="3295"/>
    </row>
    <row r="12" spans="1:58">
      <c r="B12" s="3299" t="s">
        <v>16</v>
      </c>
      <c r="C12" s="3295"/>
      <c r="D12" s="3300"/>
      <c r="E12" s="3300"/>
      <c r="F12" s="3300"/>
      <c r="G12" s="3300">
        <v>63</v>
      </c>
      <c r="H12" s="3301">
        <f>SUM(D12:G12)</f>
        <v>63</v>
      </c>
      <c r="I12" s="2133">
        <f>(E12+F12+G12)/H12</f>
        <v>1</v>
      </c>
      <c r="J12" s="2133">
        <f>G12/H12</f>
        <v>1</v>
      </c>
      <c r="K12" s="3295"/>
      <c r="L12" s="3300"/>
      <c r="M12" s="3300"/>
      <c r="N12" s="3300"/>
      <c r="O12" s="3300">
        <v>61</v>
      </c>
      <c r="P12" s="3301">
        <f>SUM(L12:O12)</f>
        <v>61</v>
      </c>
      <c r="Q12" s="2133">
        <f>(M12+N12+O12)/P12</f>
        <v>1</v>
      </c>
      <c r="R12" s="2133">
        <f>O12/P12</f>
        <v>1</v>
      </c>
      <c r="T12" s="3300"/>
      <c r="U12" s="3300"/>
      <c r="V12" s="3300"/>
      <c r="W12" s="3300">
        <v>60</v>
      </c>
      <c r="X12" s="3301">
        <f>SUM(T12:W12)</f>
        <v>60</v>
      </c>
      <c r="Y12" s="2133">
        <f>(U12+V12+W12)/X12</f>
        <v>1</v>
      </c>
      <c r="Z12" s="2133">
        <f>W12/X12</f>
        <v>1</v>
      </c>
      <c r="AA12" s="4139"/>
      <c r="AB12" s="3300">
        <v>0</v>
      </c>
      <c r="AC12" s="3300">
        <v>0</v>
      </c>
      <c r="AD12" s="3300">
        <v>1</v>
      </c>
      <c r="AE12" s="3300">
        <v>59</v>
      </c>
      <c r="AF12" s="3301">
        <f>SUM(AB12:AE12)</f>
        <v>60</v>
      </c>
      <c r="AG12" s="2133">
        <f>(AC12+AD12+AE12)/AF12</f>
        <v>1</v>
      </c>
      <c r="AH12" s="2133">
        <f>AE12/AF12</f>
        <v>0.98333333333333328</v>
      </c>
      <c r="AJ12" s="3300">
        <v>0</v>
      </c>
      <c r="AK12" s="3300">
        <v>0</v>
      </c>
      <c r="AL12" s="3300">
        <v>1</v>
      </c>
      <c r="AM12" s="3300">
        <v>59</v>
      </c>
      <c r="AN12" s="3301">
        <f>SUM(AJ12:AM12)</f>
        <v>60</v>
      </c>
      <c r="AO12" s="2133">
        <f>(AK12+AL12+AM12)/AN12</f>
        <v>1</v>
      </c>
      <c r="AP12" s="2133">
        <f>AM12/AN12</f>
        <v>0.98333333333333328</v>
      </c>
      <c r="AR12" s="3300">
        <v>0</v>
      </c>
      <c r="AS12" s="3300">
        <v>0</v>
      </c>
      <c r="AT12" s="3300">
        <v>1</v>
      </c>
      <c r="AU12" s="3300">
        <v>58</v>
      </c>
      <c r="AV12" s="3301">
        <f>SUM(AR12:AU12)</f>
        <v>59</v>
      </c>
      <c r="AW12" s="2133">
        <f>(AS12+AT12+AU12)/AV12</f>
        <v>1</v>
      </c>
      <c r="AX12" s="2133">
        <f>AU12/AV12</f>
        <v>0.98305084745762716</v>
      </c>
      <c r="AZ12" s="3300">
        <v>0</v>
      </c>
      <c r="BA12" s="3300">
        <v>0</v>
      </c>
      <c r="BB12" s="3300">
        <v>1</v>
      </c>
      <c r="BC12" s="3300">
        <v>56</v>
      </c>
      <c r="BD12" s="3301">
        <f>SUM(AZ12:BC12)</f>
        <v>57</v>
      </c>
      <c r="BE12" s="2133">
        <f>(BA12+BB12+BC12)/BD12</f>
        <v>1</v>
      </c>
      <c r="BF12" s="2133">
        <f>BC12/BD12</f>
        <v>0.98245614035087714</v>
      </c>
    </row>
    <row r="13" spans="1:58">
      <c r="B13" s="3302" t="s">
        <v>61</v>
      </c>
      <c r="C13" s="2026"/>
      <c r="D13" s="3303">
        <v>1</v>
      </c>
      <c r="E13" s="3303"/>
      <c r="F13" s="3303">
        <v>13</v>
      </c>
      <c r="G13" s="3303">
        <v>40</v>
      </c>
      <c r="H13" s="3304">
        <f>SUM(D13:G13)</f>
        <v>54</v>
      </c>
      <c r="I13" s="2134">
        <f>(E13+F13+G13)/H13</f>
        <v>0.98148148148148151</v>
      </c>
      <c r="J13" s="2134">
        <f>G13/H13</f>
        <v>0.7407407407407407</v>
      </c>
      <c r="K13" s="2026"/>
      <c r="L13" s="3303">
        <v>1</v>
      </c>
      <c r="M13" s="3303"/>
      <c r="N13" s="3303">
        <v>13</v>
      </c>
      <c r="O13" s="3303">
        <v>38</v>
      </c>
      <c r="P13" s="3304">
        <f>SUM(L13:O13)</f>
        <v>52</v>
      </c>
      <c r="Q13" s="2134">
        <f>(M13+N13+O13)/P13</f>
        <v>0.98076923076923073</v>
      </c>
      <c r="R13" s="2134">
        <f>O13/P13</f>
        <v>0.73076923076923073</v>
      </c>
      <c r="T13" s="3303">
        <v>1</v>
      </c>
      <c r="U13" s="3303"/>
      <c r="V13" s="3303">
        <v>13</v>
      </c>
      <c r="W13" s="3303">
        <v>39</v>
      </c>
      <c r="X13" s="3304">
        <f>SUM(T13:W13)</f>
        <v>53</v>
      </c>
      <c r="Y13" s="2134">
        <f>(U13+V13+W13)/X13</f>
        <v>0.98113207547169812</v>
      </c>
      <c r="Z13" s="2134">
        <f>W13/X13</f>
        <v>0.73584905660377353</v>
      </c>
      <c r="AA13" s="4139"/>
      <c r="AB13" s="3303">
        <v>1</v>
      </c>
      <c r="AC13" s="3303">
        <v>0</v>
      </c>
      <c r="AD13" s="3303">
        <v>13</v>
      </c>
      <c r="AE13" s="3303">
        <v>41</v>
      </c>
      <c r="AF13" s="3304">
        <f>SUM(AB13:AE13)</f>
        <v>55</v>
      </c>
      <c r="AG13" s="2134">
        <f>(AC13+AD13+AE13)/AF13</f>
        <v>0.98181818181818181</v>
      </c>
      <c r="AH13" s="2134">
        <f>AE13/AF13</f>
        <v>0.74545454545454548</v>
      </c>
      <c r="AJ13" s="3303">
        <v>0</v>
      </c>
      <c r="AK13" s="3303">
        <v>0</v>
      </c>
      <c r="AL13" s="3303">
        <v>16</v>
      </c>
      <c r="AM13" s="3303">
        <v>41</v>
      </c>
      <c r="AN13" s="3304">
        <f>SUM(AJ13:AM13)</f>
        <v>57</v>
      </c>
      <c r="AO13" s="2134">
        <f>(AK13+AL13+AM13)/AN13</f>
        <v>1</v>
      </c>
      <c r="AP13" s="2134">
        <f>AM13/AN13</f>
        <v>0.7192982456140351</v>
      </c>
      <c r="AR13" s="3303">
        <v>0</v>
      </c>
      <c r="AS13" s="3303">
        <v>0</v>
      </c>
      <c r="AT13" s="3303">
        <v>16</v>
      </c>
      <c r="AU13" s="3303">
        <v>43</v>
      </c>
      <c r="AV13" s="3304">
        <f>SUM(AR13:AU13)</f>
        <v>59</v>
      </c>
      <c r="AW13" s="2134">
        <f>(AS13+AT13+AU13)/AV13</f>
        <v>1</v>
      </c>
      <c r="AX13" s="2134">
        <f>AU13/AV13</f>
        <v>0.72881355932203384</v>
      </c>
      <c r="AZ13" s="3303">
        <v>0</v>
      </c>
      <c r="BA13" s="3303">
        <v>0</v>
      </c>
      <c r="BB13" s="3303">
        <v>13</v>
      </c>
      <c r="BC13" s="3303">
        <v>45</v>
      </c>
      <c r="BD13" s="3304">
        <f>SUM(AZ13:BC13)</f>
        <v>58</v>
      </c>
      <c r="BE13" s="2134">
        <f>(BA13+BB13+BC13)/BD13</f>
        <v>1</v>
      </c>
      <c r="BF13" s="2134">
        <f>BC13/BD13</f>
        <v>0.77586206896551724</v>
      </c>
    </row>
    <row r="14" spans="1:58">
      <c r="B14" s="3302" t="s">
        <v>64</v>
      </c>
      <c r="C14" s="2026"/>
      <c r="D14" s="3303">
        <v>2</v>
      </c>
      <c r="E14" s="3303"/>
      <c r="F14" s="3303">
        <v>4</v>
      </c>
      <c r="G14" s="3303">
        <v>48</v>
      </c>
      <c r="H14" s="3304">
        <f>SUM(D14:G14)</f>
        <v>54</v>
      </c>
      <c r="I14" s="2134">
        <f>(E14+F14+G14)/H14</f>
        <v>0.96296296296296291</v>
      </c>
      <c r="J14" s="2134">
        <f>G14/H14</f>
        <v>0.88888888888888884</v>
      </c>
      <c r="K14" s="2026"/>
      <c r="L14" s="3303">
        <v>1</v>
      </c>
      <c r="M14" s="3303"/>
      <c r="N14" s="3303">
        <v>4</v>
      </c>
      <c r="O14" s="3303">
        <v>48</v>
      </c>
      <c r="P14" s="3304">
        <f>SUM(L14:O14)</f>
        <v>53</v>
      </c>
      <c r="Q14" s="2134">
        <f>(M14+N14+O14)/P14</f>
        <v>0.98113207547169812</v>
      </c>
      <c r="R14" s="2134">
        <f>O14/P14</f>
        <v>0.90566037735849059</v>
      </c>
      <c r="T14" s="3303"/>
      <c r="U14" s="3303"/>
      <c r="V14" s="3303">
        <v>2</v>
      </c>
      <c r="W14" s="3303">
        <v>51</v>
      </c>
      <c r="X14" s="3304">
        <f>SUM(T14:W14)</f>
        <v>53</v>
      </c>
      <c r="Y14" s="2134">
        <f>(U14+V14+W14)/X14</f>
        <v>1</v>
      </c>
      <c r="Z14" s="2134">
        <f>W14/X14</f>
        <v>0.96226415094339623</v>
      </c>
      <c r="AA14" s="4139"/>
      <c r="AB14" s="3303">
        <v>0</v>
      </c>
      <c r="AC14" s="3303">
        <v>0</v>
      </c>
      <c r="AD14" s="3303">
        <v>2</v>
      </c>
      <c r="AE14" s="3303">
        <v>52</v>
      </c>
      <c r="AF14" s="3304">
        <f>SUM(AB14:AE14)</f>
        <v>54</v>
      </c>
      <c r="AG14" s="2134">
        <f>(AC14+AD14+AE14)/AF14</f>
        <v>1</v>
      </c>
      <c r="AH14" s="2134">
        <f>AE14/AF14</f>
        <v>0.96296296296296291</v>
      </c>
      <c r="AJ14" s="3303">
        <v>0</v>
      </c>
      <c r="AK14" s="3303">
        <v>0</v>
      </c>
      <c r="AL14" s="3303">
        <v>4</v>
      </c>
      <c r="AM14" s="3303">
        <v>50</v>
      </c>
      <c r="AN14" s="3304">
        <f>SUM(AJ14:AM14)</f>
        <v>54</v>
      </c>
      <c r="AO14" s="2134">
        <f>(AK14+AL14+AM14)/AN14</f>
        <v>1</v>
      </c>
      <c r="AP14" s="2134">
        <f>AM14/AN14</f>
        <v>0.92592592592592593</v>
      </c>
      <c r="AR14" s="3303">
        <v>0</v>
      </c>
      <c r="AS14" s="3303">
        <v>0</v>
      </c>
      <c r="AT14" s="3303">
        <v>4</v>
      </c>
      <c r="AU14" s="3303">
        <v>49</v>
      </c>
      <c r="AV14" s="3304">
        <f>SUM(AR14:AU14)</f>
        <v>53</v>
      </c>
      <c r="AW14" s="2134">
        <f>(AS14+AT14+AU14)/AV14</f>
        <v>1</v>
      </c>
      <c r="AX14" s="2134">
        <f>AU14/AV14</f>
        <v>0.92452830188679247</v>
      </c>
      <c r="AZ14" s="3303">
        <v>0</v>
      </c>
      <c r="BA14" s="3303">
        <v>0</v>
      </c>
      <c r="BB14" s="3303">
        <v>4</v>
      </c>
      <c r="BC14" s="3303">
        <v>55</v>
      </c>
      <c r="BD14" s="3304">
        <f>SUM(AZ14:BC14)</f>
        <v>59</v>
      </c>
      <c r="BE14" s="2134">
        <f>(BA14+BB14+BC14)/BD14</f>
        <v>1</v>
      </c>
      <c r="BF14" s="2134">
        <f>BC14/BD14</f>
        <v>0.93220338983050843</v>
      </c>
    </row>
    <row r="15" spans="1:58" s="4078" customFormat="1">
      <c r="B15" s="4079" t="s">
        <v>59</v>
      </c>
      <c r="C15" s="3294"/>
      <c r="D15" s="4080">
        <f>SUM(D12:D14)</f>
        <v>3</v>
      </c>
      <c r="E15" s="4080"/>
      <c r="F15" s="4080">
        <f>SUM(F12:F14)</f>
        <v>17</v>
      </c>
      <c r="G15" s="4080">
        <f>SUM(G12:G14)</f>
        <v>151</v>
      </c>
      <c r="H15" s="4080">
        <f>SUM(H12:H14)</f>
        <v>171</v>
      </c>
      <c r="I15" s="4081">
        <f>(E15+F15+G15)/H15</f>
        <v>0.98245614035087714</v>
      </c>
      <c r="J15" s="4081">
        <f>G15/H15</f>
        <v>0.88304093567251463</v>
      </c>
      <c r="K15" s="3294"/>
      <c r="L15" s="4080">
        <f>SUM(L12:L14)</f>
        <v>2</v>
      </c>
      <c r="M15" s="4080"/>
      <c r="N15" s="4080">
        <f>SUM(N12:N14)</f>
        <v>17</v>
      </c>
      <c r="O15" s="4080">
        <f>SUM(O12:O14)</f>
        <v>147</v>
      </c>
      <c r="P15" s="4080">
        <f>SUM(P12:P14)</f>
        <v>166</v>
      </c>
      <c r="Q15" s="4081">
        <f>(M15+N15+O15)/P15</f>
        <v>0.98795180722891562</v>
      </c>
      <c r="R15" s="4081">
        <f>O15/P15</f>
        <v>0.88554216867469882</v>
      </c>
      <c r="T15" s="4080">
        <f>SUM(T12:T14)</f>
        <v>1</v>
      </c>
      <c r="U15" s="4080"/>
      <c r="V15" s="4080">
        <f>SUM(V12:V14)</f>
        <v>15</v>
      </c>
      <c r="W15" s="4080">
        <f>SUM(W12:W14)</f>
        <v>150</v>
      </c>
      <c r="X15" s="4080">
        <f>SUM(X12:X14)</f>
        <v>166</v>
      </c>
      <c r="Y15" s="4081">
        <f>(U15+V15+W15)/X15</f>
        <v>0.99397590361445787</v>
      </c>
      <c r="Z15" s="4081">
        <f>W15/X15</f>
        <v>0.90361445783132532</v>
      </c>
      <c r="AA15" s="4139"/>
      <c r="AB15" s="4080">
        <f>SUM(AB12:AB14)</f>
        <v>1</v>
      </c>
      <c r="AC15" s="4080"/>
      <c r="AD15" s="4080">
        <f>SUM(AD12:AD14)</f>
        <v>16</v>
      </c>
      <c r="AE15" s="4080">
        <f>SUM(AE12:AE14)</f>
        <v>152</v>
      </c>
      <c r="AF15" s="4080">
        <f>SUM(AF12:AF14)</f>
        <v>169</v>
      </c>
      <c r="AG15" s="4081">
        <f>(AC15+AD15+AE15)/AF15</f>
        <v>0.99408284023668636</v>
      </c>
      <c r="AH15" s="4081">
        <f>AE15/AF15</f>
        <v>0.89940828402366868</v>
      </c>
      <c r="AJ15" s="4080">
        <f>SUM(AJ12:AJ14)</f>
        <v>0</v>
      </c>
      <c r="AK15" s="4080"/>
      <c r="AL15" s="4080">
        <f>SUM(AL12:AL14)</f>
        <v>21</v>
      </c>
      <c r="AM15" s="4080">
        <f>SUM(AM12:AM14)</f>
        <v>150</v>
      </c>
      <c r="AN15" s="4080">
        <f>SUM(AN12:AN14)</f>
        <v>171</v>
      </c>
      <c r="AO15" s="4081">
        <f>(AK15+AL15+AM15)/AN15</f>
        <v>1</v>
      </c>
      <c r="AP15" s="4081">
        <f>AM15/AN15</f>
        <v>0.8771929824561403</v>
      </c>
      <c r="AR15" s="4080">
        <f>SUM(AR12:AR14)</f>
        <v>0</v>
      </c>
      <c r="AS15" s="4080"/>
      <c r="AT15" s="4080">
        <f>SUM(AT12:AT14)</f>
        <v>21</v>
      </c>
      <c r="AU15" s="4080">
        <f>SUM(AU12:AU14)</f>
        <v>150</v>
      </c>
      <c r="AV15" s="4080">
        <f>SUM(AV12:AV14)</f>
        <v>171</v>
      </c>
      <c r="AW15" s="4081">
        <f>(AS15+AT15+AU15)/AV15</f>
        <v>1</v>
      </c>
      <c r="AX15" s="4081">
        <f>AU15/AV15</f>
        <v>0.8771929824561403</v>
      </c>
      <c r="AZ15" s="4080">
        <f>SUM(AZ12:AZ14)</f>
        <v>0</v>
      </c>
      <c r="BA15" s="4080"/>
      <c r="BB15" s="4080">
        <f>SUM(BB12:BB14)</f>
        <v>18</v>
      </c>
      <c r="BC15" s="4080">
        <f>SUM(BC12:BC14)</f>
        <v>156</v>
      </c>
      <c r="BD15" s="4080">
        <f>SUM(BD12:BD14)</f>
        <v>174</v>
      </c>
      <c r="BE15" s="4081">
        <f>(BA15+BB15+BC15)/BD15</f>
        <v>1</v>
      </c>
      <c r="BF15" s="4081">
        <f>BC15/BD15</f>
        <v>0.89655172413793105</v>
      </c>
    </row>
    <row r="16" spans="1:58">
      <c r="B16" s="3305"/>
      <c r="C16" s="2026"/>
      <c r="D16" s="3305"/>
      <c r="E16" s="3305"/>
      <c r="F16" s="3305"/>
      <c r="G16" s="3305"/>
      <c r="H16" s="3305"/>
      <c r="I16" s="2131"/>
      <c r="J16" s="2131"/>
      <c r="K16" s="2026"/>
      <c r="L16" s="3305"/>
      <c r="M16" s="3305"/>
      <c r="N16" s="3305"/>
      <c r="O16" s="3305"/>
      <c r="P16" s="3305"/>
      <c r="Q16" s="2131"/>
      <c r="R16" s="2131"/>
      <c r="T16" s="3305"/>
      <c r="U16" s="3305"/>
      <c r="V16" s="3305"/>
      <c r="W16" s="3305"/>
      <c r="X16" s="3305"/>
      <c r="Y16" s="2131"/>
      <c r="Z16" s="2131"/>
      <c r="AA16" s="4139"/>
      <c r="AB16" s="3305"/>
      <c r="AC16" s="3305"/>
      <c r="AD16" s="3305"/>
      <c r="AE16" s="3305"/>
      <c r="AF16" s="3305"/>
      <c r="AG16" s="2131"/>
      <c r="AH16" s="2131"/>
      <c r="AJ16" s="3305"/>
      <c r="AK16" s="3305"/>
      <c r="AL16" s="3305"/>
      <c r="AM16" s="3305"/>
      <c r="AN16" s="3305"/>
      <c r="AO16" s="2131"/>
      <c r="AP16" s="2131"/>
      <c r="AR16" s="3305"/>
      <c r="AS16" s="3305"/>
      <c r="AT16" s="3305"/>
      <c r="AU16" s="3305"/>
      <c r="AV16" s="3305"/>
      <c r="AW16" s="2131"/>
      <c r="AX16" s="2131"/>
      <c r="AZ16" s="3305"/>
      <c r="BA16" s="3305"/>
      <c r="BB16" s="3305"/>
      <c r="BC16" s="3305"/>
      <c r="BD16" s="3305"/>
      <c r="BE16" s="2131"/>
      <c r="BF16" s="2131"/>
    </row>
    <row r="17" spans="1:58">
      <c r="B17" s="3299" t="s">
        <v>4</v>
      </c>
      <c r="C17" s="3295"/>
      <c r="D17" s="3300">
        <v>10</v>
      </c>
      <c r="E17" s="3300">
        <v>1</v>
      </c>
      <c r="F17" s="3300">
        <v>44</v>
      </c>
      <c r="G17" s="3300">
        <v>234</v>
      </c>
      <c r="H17" s="3301">
        <f>SUM(D17:G17)</f>
        <v>289</v>
      </c>
      <c r="I17" s="2133">
        <f>(E17+F17+G17)/H17</f>
        <v>0.96539792387543255</v>
      </c>
      <c r="J17" s="2133">
        <f>G17/H17</f>
        <v>0.80968858131487886</v>
      </c>
      <c r="K17" s="3295"/>
      <c r="L17" s="3300">
        <v>11</v>
      </c>
      <c r="M17" s="3300">
        <v>1</v>
      </c>
      <c r="N17" s="3300">
        <v>43</v>
      </c>
      <c r="O17" s="3300">
        <v>234</v>
      </c>
      <c r="P17" s="3301">
        <f>SUM(L17:O17)</f>
        <v>289</v>
      </c>
      <c r="Q17" s="2133">
        <f>(M17+N17+O17)/P17</f>
        <v>0.96193771626297575</v>
      </c>
      <c r="R17" s="2133">
        <f>O17/P17</f>
        <v>0.80968858131487886</v>
      </c>
      <c r="T17" s="3300">
        <v>11</v>
      </c>
      <c r="U17" s="3300">
        <v>1</v>
      </c>
      <c r="V17" s="3300">
        <v>37</v>
      </c>
      <c r="W17" s="3300">
        <v>234</v>
      </c>
      <c r="X17" s="3301">
        <f>SUM(T17:W17)</f>
        <v>283</v>
      </c>
      <c r="Y17" s="2133">
        <f>(U17+V17+W17)/X17</f>
        <v>0.96113074204946991</v>
      </c>
      <c r="Z17" s="2133">
        <f>W17/X17</f>
        <v>0.82685512367491165</v>
      </c>
      <c r="AA17" s="4139"/>
      <c r="AB17" s="3300">
        <v>9</v>
      </c>
      <c r="AC17" s="3300">
        <v>1</v>
      </c>
      <c r="AD17" s="3300">
        <v>36</v>
      </c>
      <c r="AE17" s="3300">
        <v>234</v>
      </c>
      <c r="AF17" s="3301">
        <f>SUM(AB17:AE17)</f>
        <v>280</v>
      </c>
      <c r="AG17" s="2133">
        <f>(AC17+AD17+AE17)/AF17</f>
        <v>0.96785714285714286</v>
      </c>
      <c r="AH17" s="2133">
        <f>AE17/AF17</f>
        <v>0.83571428571428574</v>
      </c>
      <c r="AJ17" s="3300">
        <v>8</v>
      </c>
      <c r="AK17" s="3300">
        <v>1</v>
      </c>
      <c r="AL17" s="3300">
        <v>35</v>
      </c>
      <c r="AM17" s="3300">
        <v>229</v>
      </c>
      <c r="AN17" s="3301">
        <f>SUM(AJ17:AM17)</f>
        <v>273</v>
      </c>
      <c r="AO17" s="2133">
        <f>(AK17+AL17+AM17)/AN17</f>
        <v>0.97069597069597069</v>
      </c>
      <c r="AP17" s="2133">
        <f>AM17/AN17</f>
        <v>0.83882783882783885</v>
      </c>
      <c r="AR17" s="3300">
        <v>8</v>
      </c>
      <c r="AS17" s="3300">
        <v>1</v>
      </c>
      <c r="AT17" s="3300">
        <v>33</v>
      </c>
      <c r="AU17" s="3300">
        <v>228</v>
      </c>
      <c r="AV17" s="3301">
        <f>SUM(AR17:AU17)</f>
        <v>270</v>
      </c>
      <c r="AW17" s="2133">
        <f>(AS17+AT17+AU17)/AV17</f>
        <v>0.97037037037037033</v>
      </c>
      <c r="AX17" s="2133">
        <f>AU17/AV17</f>
        <v>0.84444444444444444</v>
      </c>
      <c r="AZ17" s="3300">
        <v>8</v>
      </c>
      <c r="BA17" s="3300">
        <v>1</v>
      </c>
      <c r="BB17" s="3300">
        <v>32</v>
      </c>
      <c r="BC17" s="3300">
        <v>230</v>
      </c>
      <c r="BD17" s="3301">
        <f>SUM(AZ17:BC17)</f>
        <v>271</v>
      </c>
      <c r="BE17" s="2133">
        <f>(BA17+BB17+BC17)/BD17</f>
        <v>0.97047970479704793</v>
      </c>
      <c r="BF17" s="2133">
        <f>BC17/BD17</f>
        <v>0.8487084870848709</v>
      </c>
    </row>
    <row r="18" spans="1:58">
      <c r="B18" s="3302" t="s">
        <v>16</v>
      </c>
      <c r="C18" s="2026"/>
      <c r="D18" s="3303">
        <v>45</v>
      </c>
      <c r="E18" s="3303">
        <v>1</v>
      </c>
      <c r="F18" s="3303">
        <v>83</v>
      </c>
      <c r="G18" s="3303">
        <v>220</v>
      </c>
      <c r="H18" s="3304">
        <f>SUM(D18:G18)</f>
        <v>349</v>
      </c>
      <c r="I18" s="2134">
        <f>(E18+F18+G18)/H18</f>
        <v>0.87106017191977081</v>
      </c>
      <c r="J18" s="2134">
        <f>G18/H18</f>
        <v>0.63037249283667618</v>
      </c>
      <c r="K18" s="2026"/>
      <c r="L18" s="3303">
        <v>37</v>
      </c>
      <c r="M18" s="3303">
        <v>1</v>
      </c>
      <c r="N18" s="3303">
        <v>88</v>
      </c>
      <c r="O18" s="3303">
        <v>228</v>
      </c>
      <c r="P18" s="3304">
        <f>SUM(L18:O18)</f>
        <v>354</v>
      </c>
      <c r="Q18" s="2134">
        <f>(M18+N18+O18)/P18</f>
        <v>0.89548022598870058</v>
      </c>
      <c r="R18" s="2134">
        <f>O18/P18</f>
        <v>0.64406779661016944</v>
      </c>
      <c r="T18" s="3303">
        <v>28</v>
      </c>
      <c r="U18" s="3303">
        <v>1</v>
      </c>
      <c r="V18" s="3303">
        <v>76</v>
      </c>
      <c r="W18" s="3303">
        <v>231</v>
      </c>
      <c r="X18" s="3304">
        <f>SUM(T18:W18)</f>
        <v>336</v>
      </c>
      <c r="Y18" s="2134">
        <f>(U18+V18+W18)/X18</f>
        <v>0.91666666666666663</v>
      </c>
      <c r="Z18" s="2134">
        <f>W18/X18</f>
        <v>0.6875</v>
      </c>
      <c r="AB18" s="3303">
        <v>25</v>
      </c>
      <c r="AC18" s="3303">
        <v>0</v>
      </c>
      <c r="AD18" s="3303">
        <v>75</v>
      </c>
      <c r="AE18" s="3303">
        <v>227</v>
      </c>
      <c r="AF18" s="3304">
        <f>SUM(AB18:AE18)</f>
        <v>327</v>
      </c>
      <c r="AG18" s="2134">
        <f>(AC18+AD18+AE18)/AF18</f>
        <v>0.92354740061162077</v>
      </c>
      <c r="AH18" s="2134">
        <f>AE18/AF18</f>
        <v>0.6941896024464832</v>
      </c>
      <c r="AJ18" s="3303">
        <v>27</v>
      </c>
      <c r="AK18" s="3303">
        <v>0</v>
      </c>
      <c r="AL18" s="3303">
        <v>69</v>
      </c>
      <c r="AM18" s="3303">
        <v>219</v>
      </c>
      <c r="AN18" s="3304">
        <f>SUM(AJ18:AM18)</f>
        <v>315</v>
      </c>
      <c r="AO18" s="2134">
        <f>(AK18+AL18+AM18)/AN18</f>
        <v>0.91428571428571426</v>
      </c>
      <c r="AP18" s="2134">
        <f>AM18/AN18</f>
        <v>0.69523809523809521</v>
      </c>
      <c r="AR18" s="3303">
        <v>27</v>
      </c>
      <c r="AS18" s="3303"/>
      <c r="AT18" s="3303">
        <v>70</v>
      </c>
      <c r="AU18" s="3303">
        <v>217</v>
      </c>
      <c r="AV18" s="3304">
        <f>SUM(AR18:AU18)</f>
        <v>314</v>
      </c>
      <c r="AW18" s="2134">
        <f>(AS18+AT18+AU18)/AV18</f>
        <v>0.9140127388535032</v>
      </c>
      <c r="AX18" s="2134">
        <f>AU18/AV18</f>
        <v>0.69108280254777066</v>
      </c>
      <c r="AZ18" s="3303">
        <v>27</v>
      </c>
      <c r="BA18" s="3303">
        <v>0</v>
      </c>
      <c r="BB18" s="3303">
        <v>66</v>
      </c>
      <c r="BC18" s="3303">
        <v>214</v>
      </c>
      <c r="BD18" s="3304">
        <f>SUM(AZ18:BC18)</f>
        <v>307</v>
      </c>
      <c r="BE18" s="2134">
        <f>(BA18+BB18+BC18)/BD18</f>
        <v>0.91205211726384361</v>
      </c>
      <c r="BF18" s="2134">
        <f>BC18/BD18</f>
        <v>0.69706840390879476</v>
      </c>
    </row>
    <row r="19" spans="1:58">
      <c r="B19" s="3302" t="s">
        <v>41</v>
      </c>
      <c r="C19" s="2026"/>
      <c r="D19" s="3303">
        <v>20</v>
      </c>
      <c r="E19" s="3303">
        <v>2</v>
      </c>
      <c r="F19" s="3303">
        <v>54</v>
      </c>
      <c r="G19" s="3303">
        <v>176</v>
      </c>
      <c r="H19" s="3304">
        <f>SUM(D19:G19)</f>
        <v>252</v>
      </c>
      <c r="I19" s="2134">
        <f>(E19+F19+G19)/H19</f>
        <v>0.92063492063492058</v>
      </c>
      <c r="J19" s="2134">
        <f>G19/H19</f>
        <v>0.69841269841269837</v>
      </c>
      <c r="K19" s="2026"/>
      <c r="L19" s="3303">
        <v>20</v>
      </c>
      <c r="M19" s="3303">
        <v>2</v>
      </c>
      <c r="N19" s="3303">
        <v>52</v>
      </c>
      <c r="O19" s="3303">
        <v>175</v>
      </c>
      <c r="P19" s="3304">
        <f>SUM(L19:O19)</f>
        <v>249</v>
      </c>
      <c r="Q19" s="2134">
        <f>(M19+N19+O19)/P19</f>
        <v>0.91967871485943775</v>
      </c>
      <c r="R19" s="2134">
        <f>O19/P19</f>
        <v>0.70281124497991965</v>
      </c>
      <c r="T19" s="3303">
        <v>16</v>
      </c>
      <c r="U19" s="3303"/>
      <c r="V19" s="3303">
        <v>55</v>
      </c>
      <c r="W19" s="3303">
        <v>175</v>
      </c>
      <c r="X19" s="3304">
        <f>SUM(T19:W19)</f>
        <v>246</v>
      </c>
      <c r="Y19" s="2134">
        <f>(U19+V19+W19)/X19</f>
        <v>0.93495934959349591</v>
      </c>
      <c r="Z19" s="2134">
        <f>W19/X19</f>
        <v>0.71138211382113825</v>
      </c>
      <c r="AB19" s="3303">
        <v>16</v>
      </c>
      <c r="AC19" s="3303">
        <v>0</v>
      </c>
      <c r="AD19" s="3303">
        <v>53</v>
      </c>
      <c r="AE19" s="3303">
        <v>173</v>
      </c>
      <c r="AF19" s="3304">
        <f>SUM(AB19:AE19)</f>
        <v>242</v>
      </c>
      <c r="AG19" s="2134">
        <f>(AC19+AD19+AE19)/AF19</f>
        <v>0.93388429752066116</v>
      </c>
      <c r="AH19" s="2134">
        <f>AE19/AF19</f>
        <v>0.71487603305785119</v>
      </c>
      <c r="AJ19" s="3303">
        <v>19</v>
      </c>
      <c r="AK19" s="3303">
        <v>2</v>
      </c>
      <c r="AL19" s="3303">
        <v>47</v>
      </c>
      <c r="AM19" s="3303">
        <v>170</v>
      </c>
      <c r="AN19" s="3304">
        <f>SUM(AJ19:AM19)</f>
        <v>238</v>
      </c>
      <c r="AO19" s="2134">
        <f>(AK19+AL19+AM19)/AN19</f>
        <v>0.92016806722689071</v>
      </c>
      <c r="AP19" s="2134">
        <f>AM19/AN19</f>
        <v>0.7142857142857143</v>
      </c>
      <c r="AR19" s="3303">
        <v>18</v>
      </c>
      <c r="AS19" s="3303">
        <v>2</v>
      </c>
      <c r="AT19" s="3303">
        <v>47</v>
      </c>
      <c r="AU19" s="3303">
        <v>165</v>
      </c>
      <c r="AV19" s="3304">
        <f>SUM(AR19:AU19)</f>
        <v>232</v>
      </c>
      <c r="AW19" s="2134">
        <f>(AS19+AT19+AU19)/AV19</f>
        <v>0.92241379310344829</v>
      </c>
      <c r="AX19" s="2134">
        <f>AU19/AV19</f>
        <v>0.71120689655172409</v>
      </c>
      <c r="AZ19" s="3303">
        <v>16</v>
      </c>
      <c r="BA19" s="3303">
        <v>2</v>
      </c>
      <c r="BB19" s="3303">
        <v>47</v>
      </c>
      <c r="BC19" s="3303">
        <v>162</v>
      </c>
      <c r="BD19" s="3304">
        <f>SUM(AZ19:BC19)</f>
        <v>227</v>
      </c>
      <c r="BE19" s="2134">
        <f>(BA19+BB19+BC19)/BD19</f>
        <v>0.92951541850220265</v>
      </c>
      <c r="BF19" s="2134">
        <f>BC19/BD19</f>
        <v>0.71365638766519823</v>
      </c>
    </row>
    <row r="20" spans="1:58" s="4078" customFormat="1">
      <c r="B20" s="4079" t="s">
        <v>25</v>
      </c>
      <c r="C20" s="3294"/>
      <c r="D20" s="4080">
        <f>SUM(D17:D19)</f>
        <v>75</v>
      </c>
      <c r="E20" s="4080">
        <f>SUM(E17:E19)</f>
        <v>4</v>
      </c>
      <c r="F20" s="4080">
        <f>SUM(F17:F19)</f>
        <v>181</v>
      </c>
      <c r="G20" s="4080">
        <f>SUM(G17:G19)</f>
        <v>630</v>
      </c>
      <c r="H20" s="4080">
        <f>SUM(D20:G20)</f>
        <v>890</v>
      </c>
      <c r="I20" s="4081">
        <f>(E20+F20+G20)/H20</f>
        <v>0.9157303370786517</v>
      </c>
      <c r="J20" s="4081">
        <f>G20/H20</f>
        <v>0.7078651685393258</v>
      </c>
      <c r="K20" s="3294"/>
      <c r="L20" s="4080">
        <f>SUM(L17:L19)</f>
        <v>68</v>
      </c>
      <c r="M20" s="4080">
        <f>SUM(M17:M19)</f>
        <v>4</v>
      </c>
      <c r="N20" s="4080">
        <f>SUM(N17:N19)</f>
        <v>183</v>
      </c>
      <c r="O20" s="4080">
        <f>SUM(O17:O19)</f>
        <v>637</v>
      </c>
      <c r="P20" s="4080">
        <f>SUM(L20:O20)</f>
        <v>892</v>
      </c>
      <c r="Q20" s="4081">
        <f>(M20+N20+O20)/P20</f>
        <v>0.92376681614349776</v>
      </c>
      <c r="R20" s="4081">
        <f>O20/P20</f>
        <v>0.7141255605381166</v>
      </c>
      <c r="T20" s="4080">
        <f>SUM(T17:T19)</f>
        <v>55</v>
      </c>
      <c r="U20" s="4080">
        <f>SUM(U17:U19)</f>
        <v>2</v>
      </c>
      <c r="V20" s="4080">
        <f>SUM(V17:V19)</f>
        <v>168</v>
      </c>
      <c r="W20" s="4080">
        <f>SUM(W17:W19)</f>
        <v>640</v>
      </c>
      <c r="X20" s="4080">
        <f>SUM(T20:W20)</f>
        <v>865</v>
      </c>
      <c r="Y20" s="4081">
        <f>(U20+V20+W20)/X20</f>
        <v>0.93641618497109824</v>
      </c>
      <c r="Z20" s="4081">
        <f>W20/X20</f>
        <v>0.73988439306358378</v>
      </c>
      <c r="AB20" s="4080">
        <f>SUM(AB17:AB19)</f>
        <v>50</v>
      </c>
      <c r="AC20" s="4080">
        <f>SUM(AC17:AC19)</f>
        <v>1</v>
      </c>
      <c r="AD20" s="4080">
        <f>SUM(AD17:AD19)</f>
        <v>164</v>
      </c>
      <c r="AE20" s="4080">
        <f>SUM(AE17:AE19)</f>
        <v>634</v>
      </c>
      <c r="AF20" s="4080">
        <f>SUM(AB20:AE20)</f>
        <v>849</v>
      </c>
      <c r="AG20" s="4081">
        <f>(AC20+AD20+AE20)/AF20</f>
        <v>0.94110718492343937</v>
      </c>
      <c r="AH20" s="4081">
        <f>AE20/AF20</f>
        <v>0.74676089517078914</v>
      </c>
      <c r="AJ20" s="4080">
        <f>SUM(AJ17:AJ19)</f>
        <v>54</v>
      </c>
      <c r="AK20" s="4080">
        <f>SUM(AK17:AK19)</f>
        <v>3</v>
      </c>
      <c r="AL20" s="4080">
        <f>SUM(AL17:AL19)</f>
        <v>151</v>
      </c>
      <c r="AM20" s="4080">
        <f>SUM(AM17:AM19)</f>
        <v>618</v>
      </c>
      <c r="AN20" s="4080">
        <f>SUM(AJ20:AM20)</f>
        <v>826</v>
      </c>
      <c r="AO20" s="4081">
        <f>(AK20+AL20+AM20)/AN20</f>
        <v>0.93462469733656173</v>
      </c>
      <c r="AP20" s="4081">
        <f>AM20/AN20</f>
        <v>0.74818401937046008</v>
      </c>
      <c r="AR20" s="4080">
        <f>SUM(AR17:AR19)</f>
        <v>53</v>
      </c>
      <c r="AS20" s="4080">
        <f>SUM(AS17:AS19)</f>
        <v>3</v>
      </c>
      <c r="AT20" s="4080">
        <f>SUM(AT17:AT19)</f>
        <v>150</v>
      </c>
      <c r="AU20" s="4080">
        <f>SUM(AU17:AU19)</f>
        <v>610</v>
      </c>
      <c r="AV20" s="4080">
        <f>SUM(AR20:AU20)</f>
        <v>816</v>
      </c>
      <c r="AW20" s="4081">
        <f>(AS20+AT20+AU20)/AV20</f>
        <v>0.93504901960784315</v>
      </c>
      <c r="AX20" s="4081">
        <f>AU20/AV20</f>
        <v>0.74754901960784315</v>
      </c>
      <c r="AZ20" s="4080">
        <f>SUM(AZ17:AZ19)</f>
        <v>51</v>
      </c>
      <c r="BA20" s="4080">
        <f>SUM(BA17:BA19)</f>
        <v>3</v>
      </c>
      <c r="BB20" s="4080">
        <f>SUM(BB17:BB19)</f>
        <v>145</v>
      </c>
      <c r="BC20" s="4080">
        <f>SUM(BC17:BC19)</f>
        <v>606</v>
      </c>
      <c r="BD20" s="4080">
        <f>SUM(AZ20:BC20)</f>
        <v>805</v>
      </c>
      <c r="BE20" s="4081">
        <f>(BA20+BB20+BC20)/BD20</f>
        <v>0.93664596273291922</v>
      </c>
      <c r="BF20" s="4081">
        <f>BC20/BD20</f>
        <v>0.75279503105590062</v>
      </c>
    </row>
    <row r="21" spans="1:58">
      <c r="B21" s="3296"/>
      <c r="C21" s="2026"/>
      <c r="D21" s="3296"/>
      <c r="E21" s="3296"/>
      <c r="F21" s="3296"/>
      <c r="G21" s="3296"/>
      <c r="H21" s="3296"/>
      <c r="I21" s="3296"/>
      <c r="J21" s="3296"/>
      <c r="K21" s="2026"/>
      <c r="L21" s="3296"/>
      <c r="M21" s="3296"/>
      <c r="N21" s="3296"/>
      <c r="O21" s="3296"/>
      <c r="P21" s="3296"/>
      <c r="Q21" s="3296"/>
      <c r="R21" s="3296"/>
      <c r="T21" s="3296"/>
      <c r="U21" s="3296"/>
      <c r="V21" s="3296"/>
      <c r="W21" s="3296"/>
      <c r="X21" s="3296"/>
      <c r="Y21" s="3296"/>
      <c r="Z21" s="3296"/>
      <c r="AB21" s="3296"/>
      <c r="AC21" s="3296"/>
      <c r="AD21" s="3296"/>
      <c r="AE21" s="3296"/>
      <c r="AF21" s="3296"/>
      <c r="AG21" s="3296"/>
      <c r="AH21" s="3296"/>
      <c r="AJ21" s="3296"/>
      <c r="AK21" s="3296"/>
      <c r="AL21" s="3296"/>
      <c r="AM21" s="3296"/>
      <c r="AN21" s="3296"/>
      <c r="AO21" s="3296"/>
      <c r="AP21" s="3296"/>
      <c r="AR21" s="3296"/>
      <c r="AS21" s="3296"/>
      <c r="AT21" s="3296"/>
      <c r="AU21" s="3296"/>
      <c r="AV21" s="3296"/>
      <c r="AW21" s="3296"/>
      <c r="AX21" s="3296"/>
      <c r="AZ21" s="3296"/>
      <c r="BA21" s="3296"/>
      <c r="BB21" s="3296"/>
      <c r="BC21" s="3296"/>
      <c r="BD21" s="3296"/>
      <c r="BE21" s="3296"/>
      <c r="BF21" s="3296"/>
    </row>
    <row r="22" spans="1:58">
      <c r="B22" s="3299" t="s">
        <v>4</v>
      </c>
      <c r="C22" s="3295"/>
      <c r="D22" s="3300"/>
      <c r="E22" s="3300"/>
      <c r="F22" s="3300">
        <v>2</v>
      </c>
      <c r="G22" s="3300">
        <v>17</v>
      </c>
      <c r="H22" s="3301">
        <f>SUM(D22:G22)</f>
        <v>19</v>
      </c>
      <c r="I22" s="2133">
        <f>(E22+F22+G22)/H22</f>
        <v>1</v>
      </c>
      <c r="J22" s="2133">
        <f>G22/H22</f>
        <v>0.89473684210526316</v>
      </c>
      <c r="K22" s="3295"/>
      <c r="L22" s="3300"/>
      <c r="M22" s="3300"/>
      <c r="N22" s="3300">
        <v>3</v>
      </c>
      <c r="O22" s="3300">
        <v>18</v>
      </c>
      <c r="P22" s="3301">
        <f>SUM(L22:O22)</f>
        <v>21</v>
      </c>
      <c r="Q22" s="2133">
        <f>(M22+N22+O22)/P22</f>
        <v>1</v>
      </c>
      <c r="R22" s="2133">
        <f>O22/P22</f>
        <v>0.8571428571428571</v>
      </c>
      <c r="T22" s="3300"/>
      <c r="U22" s="3300"/>
      <c r="V22" s="3300">
        <v>2</v>
      </c>
      <c r="W22" s="3300">
        <v>21</v>
      </c>
      <c r="X22" s="3301">
        <f>SUM(T22:W22)</f>
        <v>23</v>
      </c>
      <c r="Y22" s="2133">
        <f>(U22+V22+W22)/X22</f>
        <v>1</v>
      </c>
      <c r="Z22" s="2133">
        <f>W22/X22</f>
        <v>0.91304347826086951</v>
      </c>
      <c r="AB22" s="3300">
        <v>0</v>
      </c>
      <c r="AC22" s="3300">
        <v>0</v>
      </c>
      <c r="AD22" s="3300">
        <v>2</v>
      </c>
      <c r="AE22" s="3300">
        <v>20</v>
      </c>
      <c r="AF22" s="3301">
        <f>SUM(AB22:AE22)</f>
        <v>22</v>
      </c>
      <c r="AG22" s="2133">
        <f>(AC22+AD22+AE22)/AF22</f>
        <v>1</v>
      </c>
      <c r="AH22" s="2133">
        <f>AE22/AF22</f>
        <v>0.90909090909090906</v>
      </c>
      <c r="AJ22" s="3300">
        <v>0</v>
      </c>
      <c r="AK22" s="3300">
        <v>0</v>
      </c>
      <c r="AL22" s="3300">
        <v>2</v>
      </c>
      <c r="AM22" s="3300">
        <v>20</v>
      </c>
      <c r="AN22" s="3301">
        <f>SUM(AJ22:AM22)</f>
        <v>22</v>
      </c>
      <c r="AO22" s="2133">
        <f>(AK22+AL22+AM22)/AN22</f>
        <v>1</v>
      </c>
      <c r="AP22" s="2133">
        <f>AM22/AN22</f>
        <v>0.90909090909090906</v>
      </c>
      <c r="AR22" s="3300">
        <v>0</v>
      </c>
      <c r="AS22" s="3300">
        <v>0</v>
      </c>
      <c r="AT22" s="3300">
        <v>0</v>
      </c>
      <c r="AU22" s="3300">
        <v>19</v>
      </c>
      <c r="AV22" s="3301">
        <f>SUM(AR22:AU22)</f>
        <v>19</v>
      </c>
      <c r="AW22" s="2133">
        <f>(AS22+AT22+AU22)/AV22</f>
        <v>1</v>
      </c>
      <c r="AX22" s="2133">
        <f>AU22/AV22</f>
        <v>1</v>
      </c>
      <c r="AZ22" s="3300">
        <v>0</v>
      </c>
      <c r="BA22" s="3300">
        <v>0</v>
      </c>
      <c r="BB22" s="3300">
        <v>0</v>
      </c>
      <c r="BC22" s="3300">
        <v>20</v>
      </c>
      <c r="BD22" s="3301">
        <f>SUM(AZ22:BC22)</f>
        <v>20</v>
      </c>
      <c r="BE22" s="2133">
        <f>(BA22+BB22+BC22)/BD22</f>
        <v>1</v>
      </c>
      <c r="BF22" s="2133">
        <f>BC22/BD22</f>
        <v>1</v>
      </c>
    </row>
    <row r="23" spans="1:58">
      <c r="B23" s="3302" t="s">
        <v>16</v>
      </c>
      <c r="C23" s="2026"/>
      <c r="D23" s="3303"/>
      <c r="E23" s="3303"/>
      <c r="F23" s="3303">
        <v>7</v>
      </c>
      <c r="G23" s="3303">
        <v>22</v>
      </c>
      <c r="H23" s="3304">
        <f>SUM(D23:G23)</f>
        <v>29</v>
      </c>
      <c r="I23" s="2134">
        <f>(E23+F23+G23)/H23</f>
        <v>1</v>
      </c>
      <c r="J23" s="2134">
        <f>G23/H23</f>
        <v>0.75862068965517238</v>
      </c>
      <c r="K23" s="2026"/>
      <c r="L23" s="3303"/>
      <c r="M23" s="3303"/>
      <c r="N23" s="3303">
        <v>6</v>
      </c>
      <c r="O23" s="3303">
        <v>26</v>
      </c>
      <c r="P23" s="3304">
        <f>SUM(L23:O23)</f>
        <v>32</v>
      </c>
      <c r="Q23" s="2134">
        <f>(M23+N23+O23)/P23</f>
        <v>1</v>
      </c>
      <c r="R23" s="2134">
        <f>O23/P23</f>
        <v>0.8125</v>
      </c>
      <c r="T23" s="3303"/>
      <c r="U23" s="3303"/>
      <c r="V23" s="3303">
        <v>5</v>
      </c>
      <c r="W23" s="3303">
        <v>25</v>
      </c>
      <c r="X23" s="3304">
        <f>SUM(T23:W23)</f>
        <v>30</v>
      </c>
      <c r="Y23" s="2134">
        <f>(U23+V23+W23)/X23</f>
        <v>1</v>
      </c>
      <c r="Z23" s="2134">
        <f>W23/X23</f>
        <v>0.83333333333333337</v>
      </c>
      <c r="AB23" s="3303">
        <v>0</v>
      </c>
      <c r="AC23" s="3303">
        <v>0</v>
      </c>
      <c r="AD23" s="3303">
        <v>5</v>
      </c>
      <c r="AE23" s="3303">
        <v>26</v>
      </c>
      <c r="AF23" s="3304">
        <f>SUM(AB23:AE23)</f>
        <v>31</v>
      </c>
      <c r="AG23" s="2134">
        <f>(AC23+AD23+AE23)/AF23</f>
        <v>1</v>
      </c>
      <c r="AH23" s="2134">
        <f>AE23/AF23</f>
        <v>0.83870967741935487</v>
      </c>
      <c r="AJ23" s="3303">
        <v>0</v>
      </c>
      <c r="AK23" s="3303">
        <v>0</v>
      </c>
      <c r="AL23" s="3303">
        <v>4</v>
      </c>
      <c r="AM23" s="3303">
        <v>27</v>
      </c>
      <c r="AN23" s="3304">
        <f>SUM(AJ23:AM23)</f>
        <v>31</v>
      </c>
      <c r="AO23" s="2134">
        <f>(AK23+AL23+AM23)/AN23</f>
        <v>1</v>
      </c>
      <c r="AP23" s="2134">
        <f>AM23/AN23</f>
        <v>0.87096774193548387</v>
      </c>
      <c r="AR23" s="3303">
        <v>0</v>
      </c>
      <c r="AS23" s="3303">
        <v>0</v>
      </c>
      <c r="AT23" s="3303">
        <v>5</v>
      </c>
      <c r="AU23" s="3303">
        <v>25</v>
      </c>
      <c r="AV23" s="3304">
        <f>SUM(AR23:AU23)</f>
        <v>30</v>
      </c>
      <c r="AW23" s="2134">
        <f>(AS23+AT23+AU23)/AV23</f>
        <v>1</v>
      </c>
      <c r="AX23" s="2134">
        <f>AU23/AV23</f>
        <v>0.83333333333333337</v>
      </c>
      <c r="AZ23" s="3303">
        <v>0</v>
      </c>
      <c r="BA23" s="3303">
        <v>0</v>
      </c>
      <c r="BB23" s="3303">
        <v>5</v>
      </c>
      <c r="BC23" s="3303">
        <v>28</v>
      </c>
      <c r="BD23" s="3304">
        <f>SUM(AZ23:BC23)</f>
        <v>33</v>
      </c>
      <c r="BE23" s="2134">
        <f>(BA23+BB23+BC23)/BD23</f>
        <v>1</v>
      </c>
      <c r="BF23" s="2134">
        <f>BC23/BD23</f>
        <v>0.84848484848484851</v>
      </c>
    </row>
    <row r="24" spans="1:58">
      <c r="B24" s="3302" t="s">
        <v>41</v>
      </c>
      <c r="C24" s="2026"/>
      <c r="D24" s="3303"/>
      <c r="E24" s="3303"/>
      <c r="F24" s="3303"/>
      <c r="G24" s="3303">
        <v>20</v>
      </c>
      <c r="H24" s="3304">
        <f>SUM(D24:G24)</f>
        <v>20</v>
      </c>
      <c r="I24" s="2134">
        <f>(E24+F24+G24)/H24</f>
        <v>1</v>
      </c>
      <c r="J24" s="2134">
        <f>G24/H24</f>
        <v>1</v>
      </c>
      <c r="K24" s="2026"/>
      <c r="L24" s="3303"/>
      <c r="M24" s="3303"/>
      <c r="N24" s="3303"/>
      <c r="O24" s="3303">
        <v>20</v>
      </c>
      <c r="P24" s="3304">
        <f>SUM(L24:O24)</f>
        <v>20</v>
      </c>
      <c r="Q24" s="2134">
        <f>(M24+N24+O24)/P24</f>
        <v>1</v>
      </c>
      <c r="R24" s="2134">
        <f>O24/P24</f>
        <v>1</v>
      </c>
      <c r="T24" s="3303"/>
      <c r="U24" s="3303"/>
      <c r="V24" s="3303"/>
      <c r="W24" s="3303">
        <v>21</v>
      </c>
      <c r="X24" s="3304">
        <f>SUM(T24:W24)</f>
        <v>21</v>
      </c>
      <c r="Y24" s="2134">
        <f>(U24+V24+W24)/X24</f>
        <v>1</v>
      </c>
      <c r="Z24" s="2134">
        <f>W24/X24</f>
        <v>1</v>
      </c>
      <c r="AB24" s="3303">
        <v>0</v>
      </c>
      <c r="AC24" s="3303">
        <v>0</v>
      </c>
      <c r="AD24" s="3303">
        <v>0</v>
      </c>
      <c r="AE24" s="3303">
        <v>22</v>
      </c>
      <c r="AF24" s="3304">
        <f>SUM(AB24:AE24)</f>
        <v>22</v>
      </c>
      <c r="AG24" s="2134">
        <f>(AC24+AD24+AE24)/AF24</f>
        <v>1</v>
      </c>
      <c r="AH24" s="2134">
        <f>AE24/AF24</f>
        <v>1</v>
      </c>
      <c r="AJ24" s="3303">
        <v>0</v>
      </c>
      <c r="AK24" s="3303">
        <v>0</v>
      </c>
      <c r="AL24" s="3303">
        <v>0</v>
      </c>
      <c r="AM24" s="3303">
        <v>21</v>
      </c>
      <c r="AN24" s="3304">
        <f>SUM(AJ24:AM24)</f>
        <v>21</v>
      </c>
      <c r="AO24" s="2134">
        <f>(AK24+AL24+AM24)/AN24</f>
        <v>1</v>
      </c>
      <c r="AP24" s="2134">
        <f>AM24/AN24</f>
        <v>1</v>
      </c>
      <c r="AR24" s="3303">
        <v>0</v>
      </c>
      <c r="AS24" s="3303">
        <v>0</v>
      </c>
      <c r="AT24" s="3303">
        <v>1</v>
      </c>
      <c r="AU24" s="3303">
        <v>20</v>
      </c>
      <c r="AV24" s="3304">
        <f>SUM(AR24:AU24)</f>
        <v>21</v>
      </c>
      <c r="AW24" s="2134">
        <f>(AS24+AT24+AU24)/AV24</f>
        <v>1</v>
      </c>
      <c r="AX24" s="2134">
        <f>AU24/AV24</f>
        <v>0.95238095238095233</v>
      </c>
      <c r="AZ24" s="3303">
        <v>0</v>
      </c>
      <c r="BA24" s="3303">
        <v>0</v>
      </c>
      <c r="BB24" s="3303">
        <v>1</v>
      </c>
      <c r="BC24" s="3303">
        <v>21</v>
      </c>
      <c r="BD24" s="3304">
        <f>SUM(AZ24:BC24)</f>
        <v>22</v>
      </c>
      <c r="BE24" s="2134">
        <f>(BA24+BB24+BC24)/BD24</f>
        <v>1</v>
      </c>
      <c r="BF24" s="2134">
        <f>BC24/BD24</f>
        <v>0.95454545454545459</v>
      </c>
    </row>
    <row r="25" spans="1:58" s="4078" customFormat="1">
      <c r="B25" s="4079" t="s">
        <v>240</v>
      </c>
      <c r="C25" s="3294"/>
      <c r="D25" s="4080"/>
      <c r="E25" s="4080"/>
      <c r="F25" s="4080">
        <f>SUM(F22:F24)</f>
        <v>9</v>
      </c>
      <c r="G25" s="4080">
        <f>SUM(G22:G24)</f>
        <v>59</v>
      </c>
      <c r="H25" s="4080">
        <f>SUM(D25:G25)</f>
        <v>68</v>
      </c>
      <c r="I25" s="4081">
        <f>(E25+F25+G25)/H25</f>
        <v>1</v>
      </c>
      <c r="J25" s="4081">
        <f>G25/H25</f>
        <v>0.86764705882352944</v>
      </c>
      <c r="K25" s="3294"/>
      <c r="L25" s="4080"/>
      <c r="M25" s="4080"/>
      <c r="N25" s="4080">
        <f>SUM(N22:N24)</f>
        <v>9</v>
      </c>
      <c r="O25" s="4080">
        <f>SUM(O22:O24)</f>
        <v>64</v>
      </c>
      <c r="P25" s="4080">
        <f>SUM(L25:O25)</f>
        <v>73</v>
      </c>
      <c r="Q25" s="4081">
        <f>(M25+N25+O25)/P25</f>
        <v>1</v>
      </c>
      <c r="R25" s="4081">
        <f>O25/P25</f>
        <v>0.87671232876712324</v>
      </c>
      <c r="T25" s="4080"/>
      <c r="U25" s="4080"/>
      <c r="V25" s="4080">
        <f>SUM(V22:V24)</f>
        <v>7</v>
      </c>
      <c r="W25" s="4080">
        <f>SUM(W22:W24)</f>
        <v>67</v>
      </c>
      <c r="X25" s="4080">
        <f>SUM(T25:W25)</f>
        <v>74</v>
      </c>
      <c r="Y25" s="4081">
        <f>(U25+V25+W25)/X25</f>
        <v>1</v>
      </c>
      <c r="Z25" s="4081">
        <f>W25/X25</f>
        <v>0.90540540540540537</v>
      </c>
      <c r="AB25" s="4080"/>
      <c r="AC25" s="4080"/>
      <c r="AD25" s="4080">
        <f>SUM(AD22:AD24)</f>
        <v>7</v>
      </c>
      <c r="AE25" s="4080">
        <f>SUM(AE22:AE24)</f>
        <v>68</v>
      </c>
      <c r="AF25" s="4080">
        <f>SUM(AB25:AE25)</f>
        <v>75</v>
      </c>
      <c r="AG25" s="4081">
        <f>(AC25+AD25+AE25)/AF25</f>
        <v>1</v>
      </c>
      <c r="AH25" s="4081">
        <f>AE25/AF25</f>
        <v>0.90666666666666662</v>
      </c>
      <c r="AJ25" s="4080"/>
      <c r="AK25" s="4080"/>
      <c r="AL25" s="4080">
        <f>SUM(AL22:AL24)</f>
        <v>6</v>
      </c>
      <c r="AM25" s="4080">
        <f>SUM(AM22:AM24)</f>
        <v>68</v>
      </c>
      <c r="AN25" s="4080">
        <f>SUM(AJ25:AM25)</f>
        <v>74</v>
      </c>
      <c r="AO25" s="4081">
        <f>(AK25+AL25+AM25)/AN25</f>
        <v>1</v>
      </c>
      <c r="AP25" s="4081">
        <f>AM25/AN25</f>
        <v>0.91891891891891897</v>
      </c>
      <c r="AR25" s="4080"/>
      <c r="AS25" s="4080"/>
      <c r="AT25" s="4080">
        <f>SUM(AT22:AT24)</f>
        <v>6</v>
      </c>
      <c r="AU25" s="4080">
        <f>SUM(AU22:AU24)</f>
        <v>64</v>
      </c>
      <c r="AV25" s="4080">
        <f>SUM(AR25:AU25)</f>
        <v>70</v>
      </c>
      <c r="AW25" s="4081">
        <f>(AS25+AT25+AU25)/AV25</f>
        <v>1</v>
      </c>
      <c r="AX25" s="4081">
        <f>AU25/AV25</f>
        <v>0.91428571428571426</v>
      </c>
      <c r="AZ25" s="4080"/>
      <c r="BA25" s="4080"/>
      <c r="BB25" s="4080">
        <f>SUM(BB22:BB24)</f>
        <v>6</v>
      </c>
      <c r="BC25" s="4080">
        <f>SUM(BC22:BC24)</f>
        <v>69</v>
      </c>
      <c r="BD25" s="4080">
        <f>SUM(AZ25:BC25)</f>
        <v>75</v>
      </c>
      <c r="BE25" s="4081">
        <f>(BA25+BB25+BC25)/BD25</f>
        <v>1</v>
      </c>
      <c r="BF25" s="4081">
        <f>BC25/BD25</f>
        <v>0.92</v>
      </c>
    </row>
    <row r="26" spans="1:58">
      <c r="B26" s="3306"/>
      <c r="C26" s="2026"/>
      <c r="D26" s="3306"/>
      <c r="E26" s="3306"/>
      <c r="F26" s="3306"/>
      <c r="G26" s="3306"/>
      <c r="H26" s="3306"/>
      <c r="I26" s="2135"/>
      <c r="J26" s="2135"/>
      <c r="K26" s="2026"/>
      <c r="L26" s="3306"/>
      <c r="M26" s="3306"/>
      <c r="N26" s="3306"/>
      <c r="O26" s="3306"/>
      <c r="P26" s="3306"/>
      <c r="Q26" s="2135"/>
      <c r="R26" s="2135"/>
      <c r="T26" s="3306"/>
      <c r="U26" s="3306"/>
      <c r="V26" s="3306"/>
      <c r="W26" s="3306"/>
      <c r="X26" s="3306"/>
      <c r="Y26" s="2135"/>
      <c r="Z26" s="2135"/>
      <c r="AB26" s="3306"/>
      <c r="AC26" s="3306"/>
      <c r="AD26" s="3306"/>
      <c r="AE26" s="3306"/>
      <c r="AF26" s="3306"/>
      <c r="AG26" s="2135"/>
      <c r="AH26" s="2135"/>
      <c r="AJ26" s="3306"/>
      <c r="AK26" s="3306"/>
      <c r="AL26" s="3306"/>
      <c r="AM26" s="3306"/>
      <c r="AN26" s="3306"/>
      <c r="AO26" s="2135"/>
      <c r="AP26" s="2135"/>
      <c r="AR26" s="3306"/>
      <c r="AS26" s="3306"/>
      <c r="AT26" s="3306"/>
      <c r="AU26" s="3306"/>
      <c r="AV26" s="3306"/>
      <c r="AW26" s="2135"/>
      <c r="AX26" s="2135"/>
      <c r="AZ26" s="3306"/>
      <c r="BA26" s="3306"/>
      <c r="BB26" s="3306"/>
      <c r="BC26" s="3306"/>
      <c r="BD26" s="3306"/>
      <c r="BE26" s="2135"/>
      <c r="BF26" s="2135"/>
    </row>
    <row r="27" spans="1:58">
      <c r="B27" s="3299" t="s">
        <v>16</v>
      </c>
      <c r="C27" s="3295"/>
      <c r="D27" s="3300">
        <v>54</v>
      </c>
      <c r="E27" s="3300">
        <v>2</v>
      </c>
      <c r="F27" s="3300">
        <v>122</v>
      </c>
      <c r="G27" s="3300">
        <v>210</v>
      </c>
      <c r="H27" s="3301">
        <f>SUM(D27:G27)</f>
        <v>388</v>
      </c>
      <c r="I27" s="2133">
        <f>(E27+F27+G27)/H27</f>
        <v>0.86082474226804129</v>
      </c>
      <c r="J27" s="2133">
        <f>G27/H27</f>
        <v>0.54123711340206182</v>
      </c>
      <c r="K27" s="3295"/>
      <c r="L27" s="3300">
        <v>52</v>
      </c>
      <c r="M27" s="3300">
        <v>1</v>
      </c>
      <c r="N27" s="3300">
        <v>122</v>
      </c>
      <c r="O27" s="3300">
        <v>218</v>
      </c>
      <c r="P27" s="3301">
        <f>SUM(L27:O27)</f>
        <v>393</v>
      </c>
      <c r="Q27" s="2133">
        <f>(M27+N27+O27)/P27</f>
        <v>0.86768447837150131</v>
      </c>
      <c r="R27" s="2133">
        <f>O27/P27</f>
        <v>0.55470737913486001</v>
      </c>
      <c r="T27" s="3300">
        <v>42</v>
      </c>
      <c r="U27" s="3300">
        <v>1</v>
      </c>
      <c r="V27" s="3300">
        <v>108</v>
      </c>
      <c r="W27" s="3300">
        <v>227</v>
      </c>
      <c r="X27" s="3301">
        <f>SUM(T27:W27)</f>
        <v>378</v>
      </c>
      <c r="Y27" s="2133">
        <f>(U27+V27+W27)/X27</f>
        <v>0.88888888888888884</v>
      </c>
      <c r="Z27" s="2133">
        <f>W27/X27</f>
        <v>0.60052910052910058</v>
      </c>
      <c r="AB27" s="3300">
        <v>42</v>
      </c>
      <c r="AC27" s="3300">
        <v>1</v>
      </c>
      <c r="AD27" s="3300">
        <v>104</v>
      </c>
      <c r="AE27" s="3300">
        <v>224</v>
      </c>
      <c r="AF27" s="3301">
        <f>SUM(AB27:AE27)</f>
        <v>371</v>
      </c>
      <c r="AG27" s="2133">
        <f>(AC27+AD27+AE27)/AF27</f>
        <v>0.8867924528301887</v>
      </c>
      <c r="AH27" s="2133">
        <f>AE27/AF27</f>
        <v>0.60377358490566035</v>
      </c>
      <c r="AJ27" s="3300">
        <v>45</v>
      </c>
      <c r="AK27" s="3300">
        <v>1</v>
      </c>
      <c r="AL27" s="3300">
        <v>99</v>
      </c>
      <c r="AM27" s="3300">
        <v>219</v>
      </c>
      <c r="AN27" s="3301">
        <f>SUM(AJ27:AM27)</f>
        <v>364</v>
      </c>
      <c r="AO27" s="2133">
        <f>(AK27+AL27+AM27)/AN27</f>
        <v>0.87637362637362637</v>
      </c>
      <c r="AP27" s="2133">
        <f>AM27/AN27</f>
        <v>0.60164835164835162</v>
      </c>
      <c r="AR27" s="3300">
        <v>46</v>
      </c>
      <c r="AS27" s="3300">
        <v>1</v>
      </c>
      <c r="AT27" s="3300">
        <v>93</v>
      </c>
      <c r="AU27" s="3300">
        <v>217</v>
      </c>
      <c r="AV27" s="3301">
        <f>SUM(AR27:AU27)</f>
        <v>357</v>
      </c>
      <c r="AW27" s="2133">
        <f>(AS27+AT27+AU27)/AV27</f>
        <v>0.87114845938375352</v>
      </c>
      <c r="AX27" s="2133">
        <f>AU27/AV27</f>
        <v>0.60784313725490191</v>
      </c>
      <c r="AZ27" s="3300">
        <v>38</v>
      </c>
      <c r="BA27" s="3300"/>
      <c r="BB27" s="3300">
        <v>91</v>
      </c>
      <c r="BC27" s="3300">
        <v>219</v>
      </c>
      <c r="BD27" s="3301">
        <f>SUM(AZ27:BC27)</f>
        <v>348</v>
      </c>
      <c r="BE27" s="2133">
        <f>(BA27+BB27+BC27)/BD27</f>
        <v>0.89080459770114939</v>
      </c>
      <c r="BF27" s="2133">
        <f>BC27/BD27</f>
        <v>0.62931034482758619</v>
      </c>
    </row>
    <row r="28" spans="1:58">
      <c r="B28" s="3302" t="s">
        <v>41</v>
      </c>
      <c r="C28" s="2026"/>
      <c r="D28" s="3303">
        <v>42</v>
      </c>
      <c r="E28" s="3303">
        <v>7</v>
      </c>
      <c r="F28" s="3303">
        <v>143</v>
      </c>
      <c r="G28" s="3303">
        <v>194</v>
      </c>
      <c r="H28" s="3304">
        <f>SUM(D28:G28)</f>
        <v>386</v>
      </c>
      <c r="I28" s="2134">
        <f>(E28+F28+G28)/H28</f>
        <v>0.89119170984455953</v>
      </c>
      <c r="J28" s="2134">
        <f>G28/H28</f>
        <v>0.50259067357512954</v>
      </c>
      <c r="K28" s="2026"/>
      <c r="L28" s="3303">
        <v>40</v>
      </c>
      <c r="M28" s="3303">
        <v>6</v>
      </c>
      <c r="N28" s="3303">
        <v>142</v>
      </c>
      <c r="O28" s="3303">
        <v>195</v>
      </c>
      <c r="P28" s="3304">
        <f>SUM(L28:O28)</f>
        <v>383</v>
      </c>
      <c r="Q28" s="2134">
        <f>(M28+N28+O28)/P28</f>
        <v>0.8955613577023499</v>
      </c>
      <c r="R28" s="2134">
        <f>O28/P28</f>
        <v>0.50913838120104438</v>
      </c>
      <c r="T28" s="3303">
        <v>35</v>
      </c>
      <c r="U28" s="3303">
        <v>2</v>
      </c>
      <c r="V28" s="3303">
        <v>143</v>
      </c>
      <c r="W28" s="3303">
        <v>202</v>
      </c>
      <c r="X28" s="3304">
        <f>SUM(T28:W28)</f>
        <v>382</v>
      </c>
      <c r="Y28" s="2134">
        <f>(U28+V28+W28)/X28</f>
        <v>0.90837696335078533</v>
      </c>
      <c r="Z28" s="2134">
        <f>W28/X28</f>
        <v>0.52879581151832455</v>
      </c>
      <c r="AB28" s="3303">
        <v>32</v>
      </c>
      <c r="AC28" s="3303">
        <v>2</v>
      </c>
      <c r="AD28" s="3303">
        <v>137</v>
      </c>
      <c r="AE28" s="3303">
        <v>197</v>
      </c>
      <c r="AF28" s="3304">
        <f>SUM(AB28:AE28)</f>
        <v>368</v>
      </c>
      <c r="AG28" s="2134">
        <f>(AC28+AD28+AE28)/AF28</f>
        <v>0.91304347826086951</v>
      </c>
      <c r="AH28" s="2134">
        <f>AE28/AF28</f>
        <v>0.53532608695652173</v>
      </c>
      <c r="AJ28" s="3303">
        <v>32</v>
      </c>
      <c r="AK28" s="3303">
        <v>4</v>
      </c>
      <c r="AL28" s="3303">
        <v>130</v>
      </c>
      <c r="AM28" s="3303">
        <v>197</v>
      </c>
      <c r="AN28" s="3304">
        <f>SUM(AJ28:AM28)</f>
        <v>363</v>
      </c>
      <c r="AO28" s="2134">
        <f>(AK28+AL28+AM28)/AN28</f>
        <v>0.91184573002754821</v>
      </c>
      <c r="AP28" s="2134">
        <f>AM28/AN28</f>
        <v>0.54269972451790638</v>
      </c>
      <c r="AR28" s="3303">
        <v>29</v>
      </c>
      <c r="AS28" s="3303">
        <v>3</v>
      </c>
      <c r="AT28" s="3303">
        <v>120</v>
      </c>
      <c r="AU28" s="3303">
        <v>198</v>
      </c>
      <c r="AV28" s="3304">
        <f>SUM(AR28:AU28)</f>
        <v>350</v>
      </c>
      <c r="AW28" s="2134">
        <f>(AS28+AT28+AU28)/AV28</f>
        <v>0.91714285714285715</v>
      </c>
      <c r="AX28" s="2134">
        <f>AU28/AV28</f>
        <v>0.56571428571428573</v>
      </c>
      <c r="AZ28" s="3303">
        <v>28</v>
      </c>
      <c r="BA28" s="3303">
        <v>6</v>
      </c>
      <c r="BB28" s="3303">
        <v>109</v>
      </c>
      <c r="BC28" s="3303">
        <v>195</v>
      </c>
      <c r="BD28" s="3304">
        <f>SUM(AZ28:BC28)</f>
        <v>338</v>
      </c>
      <c r="BE28" s="2134">
        <f>(BA28+BB28+BC28)/BD28</f>
        <v>0.91715976331360949</v>
      </c>
      <c r="BF28" s="2134">
        <f>BC28/BD28</f>
        <v>0.57692307692307687</v>
      </c>
    </row>
    <row r="29" spans="1:58">
      <c r="B29" s="3302" t="s">
        <v>21</v>
      </c>
      <c r="C29" s="2026"/>
      <c r="D29" s="3303">
        <v>43</v>
      </c>
      <c r="E29" s="3303">
        <v>4</v>
      </c>
      <c r="F29" s="3303">
        <v>79</v>
      </c>
      <c r="G29" s="3303">
        <v>41</v>
      </c>
      <c r="H29" s="3304">
        <f>SUM(D29:G29)</f>
        <v>167</v>
      </c>
      <c r="I29" s="2134">
        <f>(E29+F29+G29)/H29</f>
        <v>0.74251497005988021</v>
      </c>
      <c r="J29" s="2134">
        <f>G29/H29</f>
        <v>0.24550898203592814</v>
      </c>
      <c r="K29" s="2026"/>
      <c r="L29" s="3303">
        <v>39</v>
      </c>
      <c r="M29" s="3303">
        <v>4</v>
      </c>
      <c r="N29" s="3303">
        <v>79</v>
      </c>
      <c r="O29" s="3303">
        <v>43</v>
      </c>
      <c r="P29" s="3304">
        <f>SUM(L29:O29)</f>
        <v>165</v>
      </c>
      <c r="Q29" s="2134">
        <f>(M29+N29+O29)/P29</f>
        <v>0.76363636363636367</v>
      </c>
      <c r="R29" s="2134">
        <f>O29/P29</f>
        <v>0.26060606060606062</v>
      </c>
      <c r="T29" s="3303">
        <v>34</v>
      </c>
      <c r="U29" s="3303">
        <v>3</v>
      </c>
      <c r="V29" s="3303">
        <v>81</v>
      </c>
      <c r="W29" s="3303">
        <v>50</v>
      </c>
      <c r="X29" s="3304">
        <f>SUM(T29:W29)</f>
        <v>168</v>
      </c>
      <c r="Y29" s="2134">
        <f>(U29+V29+W29)/X29</f>
        <v>0.79761904761904767</v>
      </c>
      <c r="Z29" s="2134">
        <f>W29/X29</f>
        <v>0.29761904761904762</v>
      </c>
      <c r="AB29" s="3303">
        <v>31</v>
      </c>
      <c r="AC29" s="3303">
        <v>3</v>
      </c>
      <c r="AD29" s="3303">
        <v>81</v>
      </c>
      <c r="AE29" s="3303">
        <v>50</v>
      </c>
      <c r="AF29" s="3304">
        <f>SUM(AB29:AE29)</f>
        <v>165</v>
      </c>
      <c r="AG29" s="2134">
        <f>(AC29+AD29+AE29)/AF29</f>
        <v>0.81212121212121213</v>
      </c>
      <c r="AH29" s="2134">
        <f>AE29/AF29</f>
        <v>0.30303030303030304</v>
      </c>
      <c r="AJ29" s="3303">
        <v>31</v>
      </c>
      <c r="AK29" s="3303">
        <v>3</v>
      </c>
      <c r="AL29" s="3303">
        <v>73</v>
      </c>
      <c r="AM29" s="3303">
        <v>53</v>
      </c>
      <c r="AN29" s="3304">
        <f>SUM(AJ29:AM29)</f>
        <v>160</v>
      </c>
      <c r="AO29" s="2134">
        <f>(AK29+AL29+AM29)/AN29</f>
        <v>0.80625000000000002</v>
      </c>
      <c r="AP29" s="2134">
        <f>AM29/AN29</f>
        <v>0.33124999999999999</v>
      </c>
      <c r="AR29" s="3303">
        <v>28</v>
      </c>
      <c r="AS29" s="3303">
        <v>3</v>
      </c>
      <c r="AT29" s="3303">
        <v>69</v>
      </c>
      <c r="AU29" s="3303">
        <v>52</v>
      </c>
      <c r="AV29" s="3304">
        <f>SUM(AR29:AU29)</f>
        <v>152</v>
      </c>
      <c r="AW29" s="2134">
        <f>(AS29+AT29+AU29)/AV29</f>
        <v>0.81578947368421051</v>
      </c>
      <c r="AX29" s="2134">
        <f>AU29/AV29</f>
        <v>0.34210526315789475</v>
      </c>
      <c r="AZ29" s="3303">
        <v>25</v>
      </c>
      <c r="BA29" s="3303">
        <v>2</v>
      </c>
      <c r="BB29" s="3303">
        <v>70</v>
      </c>
      <c r="BC29" s="3303">
        <v>53</v>
      </c>
      <c r="BD29" s="3304">
        <f>SUM(AZ29:BC29)</f>
        <v>150</v>
      </c>
      <c r="BE29" s="2134">
        <f>(BA29+BB29+BC29)/BD29</f>
        <v>0.83333333333333337</v>
      </c>
      <c r="BF29" s="2134">
        <f>BC29/BD29</f>
        <v>0.35333333333333333</v>
      </c>
    </row>
    <row r="30" spans="1:58" s="4078" customFormat="1">
      <c r="B30" s="4079" t="s">
        <v>48</v>
      </c>
      <c r="C30" s="3294"/>
      <c r="D30" s="4080">
        <f>SUM(D27:D29)</f>
        <v>139</v>
      </c>
      <c r="E30" s="4080">
        <f>SUM(E27:E29)</f>
        <v>13</v>
      </c>
      <c r="F30" s="4080">
        <f>SUM(F27:F29)</f>
        <v>344</v>
      </c>
      <c r="G30" s="4080">
        <f>SUM(G27:G29)</f>
        <v>445</v>
      </c>
      <c r="H30" s="4080">
        <f>SUM(H27:H29)</f>
        <v>941</v>
      </c>
      <c r="I30" s="4081">
        <f>(E30+F30+G30)/H30</f>
        <v>0.85228480340063761</v>
      </c>
      <c r="J30" s="4081">
        <f>G30/H30</f>
        <v>0.47290116896918172</v>
      </c>
      <c r="K30" s="3294"/>
      <c r="L30" s="4080">
        <f>SUM(L27:L29)</f>
        <v>131</v>
      </c>
      <c r="M30" s="4080">
        <f>SUM(M27:M29)</f>
        <v>11</v>
      </c>
      <c r="N30" s="4080">
        <f>SUM(N27:N29)</f>
        <v>343</v>
      </c>
      <c r="O30" s="4080">
        <f>SUM(O27:O29)</f>
        <v>456</v>
      </c>
      <c r="P30" s="4080">
        <f>SUM(P27:P29)</f>
        <v>941</v>
      </c>
      <c r="Q30" s="4081">
        <f>(M30+N30+O30)/P30</f>
        <v>0.86078639744952179</v>
      </c>
      <c r="R30" s="4081">
        <f>O30/P30</f>
        <v>0.48459086078639746</v>
      </c>
      <c r="T30" s="4080">
        <f>SUM(T27:T29)</f>
        <v>111</v>
      </c>
      <c r="U30" s="4080">
        <f>SUM(U27:U29)</f>
        <v>6</v>
      </c>
      <c r="V30" s="4080">
        <f>SUM(V27:V29)</f>
        <v>332</v>
      </c>
      <c r="W30" s="4080">
        <f>SUM(W27:W29)</f>
        <v>479</v>
      </c>
      <c r="X30" s="4080">
        <f>SUM(X27:X29)</f>
        <v>928</v>
      </c>
      <c r="Y30" s="4081">
        <f>(U30+V30+W30)/X30</f>
        <v>0.88038793103448276</v>
      </c>
      <c r="Z30" s="4081">
        <f>W30/X30</f>
        <v>0.51616379310344829</v>
      </c>
      <c r="AB30" s="4080">
        <f>SUM(AB27:AB29)</f>
        <v>105</v>
      </c>
      <c r="AC30" s="4080">
        <f>SUM(AC27:AC29)</f>
        <v>6</v>
      </c>
      <c r="AD30" s="4080">
        <f>SUM(AD27:AD29)</f>
        <v>322</v>
      </c>
      <c r="AE30" s="4080">
        <f>SUM(AE27:AE29)</f>
        <v>471</v>
      </c>
      <c r="AF30" s="4080">
        <f>SUM(AF27:AF29)</f>
        <v>904</v>
      </c>
      <c r="AG30" s="4081">
        <f>(AC30+AD30+AE30)/AF30</f>
        <v>0.88384955752212391</v>
      </c>
      <c r="AH30" s="4081">
        <f>AE30/AF30</f>
        <v>0.52101769911504425</v>
      </c>
      <c r="AJ30" s="4080">
        <f>SUM(AJ27:AJ29)</f>
        <v>108</v>
      </c>
      <c r="AK30" s="4080">
        <f>SUM(AK27:AK29)</f>
        <v>8</v>
      </c>
      <c r="AL30" s="4080">
        <f>SUM(AL27:AL29)</f>
        <v>302</v>
      </c>
      <c r="AM30" s="4080">
        <f>SUM(AM27:AM29)</f>
        <v>469</v>
      </c>
      <c r="AN30" s="4080">
        <f>SUM(AN27:AN29)</f>
        <v>887</v>
      </c>
      <c r="AO30" s="4081">
        <f>(AK30+AL30+AM30)/AN30</f>
        <v>0.8782412626832018</v>
      </c>
      <c r="AP30" s="4081">
        <f>AM30/AN30</f>
        <v>0.52874859075535507</v>
      </c>
      <c r="AR30" s="4080">
        <f>SUM(AR27:AR29)</f>
        <v>103</v>
      </c>
      <c r="AS30" s="4080">
        <f>SUM(AS27:AS29)</f>
        <v>7</v>
      </c>
      <c r="AT30" s="4080">
        <f>SUM(AT27:AT29)</f>
        <v>282</v>
      </c>
      <c r="AU30" s="4080">
        <f>SUM(AU27:AU29)</f>
        <v>467</v>
      </c>
      <c r="AV30" s="4080">
        <f>SUM(AV27:AV29)</f>
        <v>859</v>
      </c>
      <c r="AW30" s="4081">
        <f>(AS30+AT30+AU30)/AV30</f>
        <v>0.88009313154831204</v>
      </c>
      <c r="AX30" s="4081">
        <f>AU30/AV30</f>
        <v>0.54365541327124567</v>
      </c>
      <c r="AZ30" s="4080">
        <f>SUM(AZ27:AZ29)</f>
        <v>91</v>
      </c>
      <c r="BA30" s="4080">
        <f>SUM(BA27:BA29)</f>
        <v>8</v>
      </c>
      <c r="BB30" s="4080">
        <f>SUM(BB27:BB29)</f>
        <v>270</v>
      </c>
      <c r="BC30" s="4080">
        <f>SUM(BC27:BC29)</f>
        <v>467</v>
      </c>
      <c r="BD30" s="4080">
        <f>SUM(BD27:BD29)</f>
        <v>836</v>
      </c>
      <c r="BE30" s="4081">
        <f>(BA30+BB30+BC30)/BD30</f>
        <v>0.89114832535885169</v>
      </c>
      <c r="BF30" s="4081">
        <f>BC30/BD30</f>
        <v>0.55861244019138756</v>
      </c>
    </row>
    <row r="31" spans="1:58" s="4078" customFormat="1">
      <c r="B31" s="4082"/>
      <c r="C31" s="4083"/>
      <c r="D31" s="4082"/>
      <c r="E31" s="4082"/>
      <c r="F31" s="4082"/>
      <c r="G31" s="4082"/>
      <c r="H31" s="4082"/>
      <c r="I31" s="4082"/>
      <c r="J31" s="4082"/>
      <c r="K31" s="4083"/>
      <c r="L31" s="4082"/>
      <c r="M31" s="4082"/>
      <c r="N31" s="4082"/>
      <c r="O31" s="4082"/>
      <c r="P31" s="4082"/>
      <c r="Q31" s="4082"/>
      <c r="R31" s="4082"/>
      <c r="T31" s="4082"/>
      <c r="U31" s="4082"/>
      <c r="V31" s="4082"/>
      <c r="W31" s="4082"/>
      <c r="X31" s="4082"/>
      <c r="Y31" s="4082"/>
      <c r="Z31" s="4082"/>
      <c r="AB31" s="4082"/>
      <c r="AC31" s="4082"/>
      <c r="AD31" s="4082"/>
      <c r="AE31" s="4082"/>
      <c r="AF31" s="4082"/>
      <c r="AG31" s="4082"/>
      <c r="AH31" s="4082"/>
      <c r="AJ31" s="4082"/>
      <c r="AK31" s="4082"/>
      <c r="AL31" s="4082"/>
      <c r="AM31" s="4082"/>
      <c r="AN31" s="4082"/>
      <c r="AO31" s="4082"/>
      <c r="AP31" s="4082"/>
      <c r="AR31" s="4082"/>
      <c r="AS31" s="4082"/>
      <c r="AT31" s="4082"/>
      <c r="AU31" s="4082"/>
      <c r="AV31" s="4082"/>
      <c r="AW31" s="4082"/>
      <c r="AX31" s="4082"/>
      <c r="AZ31" s="4082"/>
      <c r="BA31" s="4082"/>
      <c r="BB31" s="4082"/>
      <c r="BC31" s="4082"/>
      <c r="BD31" s="4082"/>
      <c r="BE31" s="4082"/>
      <c r="BF31" s="4082"/>
    </row>
    <row r="32" spans="1:58" s="4087" customFormat="1" ht="20.25" customHeight="1">
      <c r="A32" s="4078"/>
      <c r="B32" s="4084" t="s">
        <v>112</v>
      </c>
      <c r="C32" s="4085"/>
      <c r="D32" s="4080">
        <f>SUM(D10,D15,D20,D25,D30)</f>
        <v>407</v>
      </c>
      <c r="E32" s="4080">
        <f>SUM(E10,E15,E20,E25,E30)</f>
        <v>27</v>
      </c>
      <c r="F32" s="4080">
        <f>SUM(F10,F15,F20,F25,F30)</f>
        <v>893</v>
      </c>
      <c r="G32" s="4080">
        <f>SUM(G10,G15,G20,G25,G30)</f>
        <v>1745</v>
      </c>
      <c r="H32" s="4080">
        <f>SUM(H10,H15,H20,H25,H30)</f>
        <v>3072</v>
      </c>
      <c r="I32" s="4086">
        <f>(E32+F32+G32)/H32</f>
        <v>0.86751302083333337</v>
      </c>
      <c r="J32" s="4086">
        <f>G32/H32</f>
        <v>0.56803385416666663</v>
      </c>
      <c r="K32" s="4085"/>
      <c r="L32" s="4080">
        <f>SUM(L10,L15,L20,L25,L30)</f>
        <v>384</v>
      </c>
      <c r="M32" s="4080">
        <f>SUM(M10,M15,M20,M25,M30)</f>
        <v>24</v>
      </c>
      <c r="N32" s="4080">
        <f>SUM(N10,N15,N20,N25,N30)</f>
        <v>898</v>
      </c>
      <c r="O32" s="4080">
        <f>SUM(O10,O15,O20,O25,O30)</f>
        <v>1782</v>
      </c>
      <c r="P32" s="4080">
        <f>SUM(P10,P15,P20,P25,P30)</f>
        <v>3088</v>
      </c>
      <c r="Q32" s="4086">
        <f>(M32+N32+O32)/P32</f>
        <v>0.87564766839378239</v>
      </c>
      <c r="R32" s="4086">
        <f>O32/P32</f>
        <v>0.57707253886010368</v>
      </c>
      <c r="S32" s="4078"/>
      <c r="T32" s="4080">
        <f>SUM(T10,T15,T20,T25,T30)</f>
        <v>335</v>
      </c>
      <c r="U32" s="4080">
        <f>SUM(U10,U15,U20,U25,U30)</f>
        <v>17</v>
      </c>
      <c r="V32" s="4080">
        <f>SUM(V10,V15,V20,V25,V30)</f>
        <v>855</v>
      </c>
      <c r="W32" s="4080">
        <f>SUM(W10,W15,W20,W25,W30)</f>
        <v>1830</v>
      </c>
      <c r="X32" s="4080">
        <f>SUM(X10,X15,X20,X25,X30)</f>
        <v>3037</v>
      </c>
      <c r="Y32" s="4086">
        <f>(U32+V32+W32)/X32</f>
        <v>0.88969377675337502</v>
      </c>
      <c r="Z32" s="4086">
        <f>W32/X32</f>
        <v>0.60256832400395122</v>
      </c>
      <c r="AB32" s="4080">
        <f>SUM(AB10,AB15,AB20,AB25,AB30)</f>
        <v>318</v>
      </c>
      <c r="AC32" s="4080">
        <f>SUM(AC10,AC15,AC20,AC25,AC30)</f>
        <v>16</v>
      </c>
      <c r="AD32" s="4080">
        <f>SUM(AD10,AD15,AD20,AD25,AD30)</f>
        <v>839</v>
      </c>
      <c r="AE32" s="4080">
        <f>SUM(AE10,AE15,AE20,AE25,AE30)</f>
        <v>1815</v>
      </c>
      <c r="AF32" s="4080">
        <f>SUM(AF10,AF15,AF20,AF25,AF30)</f>
        <v>2988</v>
      </c>
      <c r="AG32" s="4086">
        <f>(AC32+AD32+AE32)/AF32</f>
        <v>0.89357429718875503</v>
      </c>
      <c r="AH32" s="4086">
        <f>AE32/AF32</f>
        <v>0.60742971887550201</v>
      </c>
      <c r="AJ32" s="4080">
        <f>SUM(AJ10,AJ15,AJ20,AJ25,AJ30)</f>
        <v>324</v>
      </c>
      <c r="AK32" s="4080">
        <f>SUM(AK10,AK15,AK20,AK25,AK30)</f>
        <v>19</v>
      </c>
      <c r="AL32" s="4080">
        <f>SUM(AL10,AL15,AL20,AL25,AL30)</f>
        <v>776</v>
      </c>
      <c r="AM32" s="4080">
        <f>SUM(AM10,AM15,AM20,AM25,AM30)</f>
        <v>1812</v>
      </c>
      <c r="AN32" s="4080">
        <f>SUM(AN10,AN15,AN20,AN25,AN30)</f>
        <v>2931</v>
      </c>
      <c r="AO32" s="4086">
        <f>(AK32+AL32+AM32)/AN32</f>
        <v>0.88945752302968273</v>
      </c>
      <c r="AP32" s="4086">
        <f>AM32/AN32</f>
        <v>0.61821903787103383</v>
      </c>
      <c r="AR32" s="4080">
        <f>SUM(AR10,AR15,AR20,AR25,AR30)</f>
        <v>311</v>
      </c>
      <c r="AS32" s="4080">
        <f>SUM(AS10,AS15,AS20,AS25,AS30)</f>
        <v>18</v>
      </c>
      <c r="AT32" s="4080">
        <f>SUM(AT10,AT15,AT20,AT25,AT30)</f>
        <v>741</v>
      </c>
      <c r="AU32" s="4080">
        <f>SUM(AU10,AU15,AU20,AU25,AU30)</f>
        <v>1792</v>
      </c>
      <c r="AV32" s="4080">
        <f>SUM(AV10,AV15,AV20,AV25,AV30)</f>
        <v>2862</v>
      </c>
      <c r="AW32" s="4086">
        <f>(AS32+AT32+AU32)/AV32</f>
        <v>0.89133473095737248</v>
      </c>
      <c r="AX32" s="4086">
        <f>AU32/AV32</f>
        <v>0.62613556953179594</v>
      </c>
      <c r="AZ32" s="4080">
        <f>SUM(AZ10,AZ15,AZ20,AZ25,AZ30)</f>
        <v>287</v>
      </c>
      <c r="BA32" s="4080">
        <f>SUM(BA10,BA15,BA20,BA25,BA30)</f>
        <v>17</v>
      </c>
      <c r="BB32" s="4080">
        <f>SUM(BB10,BB15,BB20,BB25,BB30)</f>
        <v>719</v>
      </c>
      <c r="BC32" s="4080">
        <f>SUM(BC10,BC15,BC20,BC25,BC30)</f>
        <v>1783</v>
      </c>
      <c r="BD32" s="4080">
        <f>SUM(BD10,BD15,BD20,BD25,BD30)</f>
        <v>2806</v>
      </c>
      <c r="BE32" s="4086">
        <f>(BA32+BB32+BC32)/BD32</f>
        <v>0.89771917320028516</v>
      </c>
      <c r="BF32" s="4086">
        <f>BC32/BD32</f>
        <v>0.63542409123307197</v>
      </c>
    </row>
    <row r="33" spans="3:11">
      <c r="C33" s="2107"/>
      <c r="K33" s="2107"/>
    </row>
    <row r="34" spans="3:11" ht="15" customHeight="1"/>
    <row r="35" spans="3:11" ht="15" customHeight="1"/>
  </sheetData>
  <mergeCells count="27">
    <mergeCell ref="BB1:BF1"/>
    <mergeCell ref="AK1:AP1"/>
    <mergeCell ref="AM2:AP2"/>
    <mergeCell ref="B4:B5"/>
    <mergeCell ref="L4:P4"/>
    <mergeCell ref="Q4:Q5"/>
    <mergeCell ref="R4:R5"/>
    <mergeCell ref="D4:H4"/>
    <mergeCell ref="I4:I5"/>
    <mergeCell ref="J4:J5"/>
    <mergeCell ref="AX4:AX5"/>
    <mergeCell ref="AJ4:AN4"/>
    <mergeCell ref="AO4:AO5"/>
    <mergeCell ref="AP4:AP5"/>
    <mergeCell ref="T4:X4"/>
    <mergeCell ref="Y4:Y5"/>
    <mergeCell ref="Z4:Z5"/>
    <mergeCell ref="AB4:AF4"/>
    <mergeCell ref="AG4:AG5"/>
    <mergeCell ref="AH4:AH5"/>
    <mergeCell ref="AR4:AV4"/>
    <mergeCell ref="AR2:AV2"/>
    <mergeCell ref="AW4:AW5"/>
    <mergeCell ref="BB2:BF2"/>
    <mergeCell ref="AZ4:BD4"/>
    <mergeCell ref="BE4:BE5"/>
    <mergeCell ref="BF4:BF5"/>
  </mergeCells>
  <printOptions horizontalCentered="1" verticalCentered="1"/>
  <pageMargins left="0.70866141732283472" right="0.70866141732283472" top="0.74803149606299213" bottom="0.74803149606299213" header="0.31496062992125984" footer="0.31496062992125984"/>
  <pageSetup scale="70" firstPageNumber="26" orientation="landscape" useFirstPageNumber="1" r:id="rId1"/>
  <headerFooter scaleWithDoc="0" alignWithMargins="0">
    <oddFooter>&amp;R&amp;P</oddFooter>
  </headerFooter>
  <colBreaks count="1" manualBreakCount="1">
    <brk id="43" max="31"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C195"/>
  <sheetViews>
    <sheetView showGridLines="0" zoomScaleNormal="100" workbookViewId="0">
      <pane xSplit="3" ySplit="5" topLeftCell="AG6" activePane="bottomRight" state="frozen"/>
      <selection activeCell="C65" sqref="C65:C67"/>
      <selection pane="topRight" activeCell="C65" sqref="C65:C67"/>
      <selection pane="bottomLeft" activeCell="C65" sqref="C65:C67"/>
      <selection pane="bottomRight" activeCell="AU4" sqref="AU4"/>
    </sheetView>
  </sheetViews>
  <sheetFormatPr baseColWidth="10" defaultColWidth="11.44140625" defaultRowHeight="14.4"/>
  <cols>
    <col min="1" max="1" width="2.6640625" customWidth="1"/>
    <col min="2" max="2" width="20.33203125" customWidth="1"/>
    <col min="3" max="3" width="1.6640625" customWidth="1"/>
    <col min="6" max="6" width="1.6640625" customWidth="1"/>
    <col min="9" max="9" width="1.6640625" customWidth="1"/>
    <col min="12" max="12" width="1.6640625" customWidth="1"/>
    <col min="15" max="15" width="1.6640625" customWidth="1"/>
    <col min="16" max="17" width="11.44140625" customWidth="1"/>
    <col min="18" max="18" width="1.6640625" customWidth="1"/>
    <col min="19" max="20" width="11.44140625" customWidth="1"/>
    <col min="21" max="21" width="1.6640625" customWidth="1"/>
    <col min="22" max="23" width="11.44140625" customWidth="1"/>
    <col min="24" max="24" width="1.6640625" customWidth="1"/>
    <col min="25" max="26" width="11.44140625" customWidth="1"/>
    <col min="27" max="27" width="1.6640625" customWidth="1"/>
    <col min="28" max="29" width="11.44140625" customWidth="1"/>
    <col min="30" max="30" width="1.6640625" customWidth="1"/>
    <col min="31" max="32" width="11.44140625" style="3023" customWidth="1"/>
    <col min="33" max="33" width="1.6640625" style="3890" customWidth="1"/>
    <col min="34" max="35" width="11.44140625" style="3890" customWidth="1"/>
    <col min="36" max="36" width="1.6640625" style="3890" customWidth="1"/>
    <col min="37" max="38" width="11.44140625" style="4783" customWidth="1"/>
    <col min="39" max="39" width="1.6640625" style="4783" customWidth="1"/>
    <col min="40" max="41" width="11.44140625" style="4783" customWidth="1"/>
    <col min="42" max="42" width="1.6640625" style="5317" customWidth="1"/>
    <col min="43" max="43" width="11.44140625" style="4783" customWidth="1"/>
    <col min="44" max="45" width="11.44140625" style="5317" customWidth="1"/>
    <col min="46" max="51" width="7.6640625" style="5317" customWidth="1"/>
    <col min="52" max="60" width="7.6640625" style="4783" customWidth="1"/>
    <col min="61" max="68" width="11.44140625" style="4783" customWidth="1"/>
  </cols>
  <sheetData>
    <row r="1" spans="1:68" ht="39.75" customHeight="1">
      <c r="C1" s="2928"/>
      <c r="D1" s="295"/>
      <c r="E1" s="18"/>
      <c r="F1" s="18"/>
      <c r="G1" s="18"/>
      <c r="H1" s="18"/>
      <c r="I1" s="18"/>
      <c r="J1" s="18"/>
      <c r="K1" s="18"/>
      <c r="L1" s="18"/>
      <c r="M1" s="18"/>
      <c r="N1" s="18"/>
      <c r="O1" s="18"/>
      <c r="AF1" s="1793"/>
      <c r="AG1" s="1793"/>
      <c r="AH1" s="1793"/>
      <c r="AI1" s="7297" t="s">
        <v>3314</v>
      </c>
      <c r="AJ1" s="7297"/>
      <c r="AK1" s="7297"/>
      <c r="AL1" s="7297"/>
      <c r="AM1" s="7297"/>
      <c r="AN1" s="7297"/>
      <c r="AO1" s="7297"/>
      <c r="AP1" s="7297"/>
      <c r="AQ1" s="7297"/>
      <c r="AR1" s="7297"/>
    </row>
    <row r="2" spans="1:68" s="5317" customFormat="1" ht="15.6">
      <c r="C2" s="2928"/>
      <c r="D2" s="295"/>
      <c r="E2" s="18"/>
      <c r="F2" s="18"/>
      <c r="G2" s="18"/>
      <c r="H2" s="18"/>
      <c r="I2" s="18"/>
      <c r="J2" s="18"/>
      <c r="K2" s="18"/>
      <c r="L2" s="18"/>
      <c r="M2" s="18"/>
      <c r="N2" s="18"/>
      <c r="O2" s="18"/>
      <c r="AF2" s="1793"/>
      <c r="AG2" s="1793"/>
      <c r="AH2" s="1793"/>
      <c r="AI2" s="6495"/>
      <c r="AJ2" s="6495"/>
      <c r="AK2" s="6495"/>
      <c r="AL2" s="6495"/>
      <c r="AM2" s="6495"/>
      <c r="AN2" s="6495"/>
      <c r="AO2" s="6495"/>
      <c r="AP2" s="6495"/>
      <c r="AQ2" s="6495"/>
      <c r="AR2" s="6495"/>
    </row>
    <row r="3" spans="1:68" s="8" customFormat="1" ht="15.75" customHeight="1">
      <c r="C3" s="18"/>
      <c r="D3" s="7291">
        <v>2010</v>
      </c>
      <c r="E3" s="7291"/>
      <c r="F3" s="2073"/>
      <c r="G3" s="7291">
        <v>2011</v>
      </c>
      <c r="H3" s="7291"/>
      <c r="I3" s="5924"/>
      <c r="J3" s="7291">
        <v>2012</v>
      </c>
      <c r="K3" s="7291"/>
      <c r="L3" s="5924"/>
      <c r="M3" s="7291">
        <v>2013</v>
      </c>
      <c r="N3" s="7291"/>
      <c r="O3" s="5924"/>
      <c r="P3" s="7291">
        <v>2014</v>
      </c>
      <c r="Q3" s="7291"/>
      <c r="R3" s="5925"/>
      <c r="S3" s="7291">
        <v>2015</v>
      </c>
      <c r="T3" s="7291"/>
      <c r="U3" s="2076"/>
      <c r="V3" s="7291">
        <v>2016</v>
      </c>
      <c r="W3" s="7291"/>
      <c r="X3" s="2077"/>
      <c r="Y3" s="7291">
        <v>2017</v>
      </c>
      <c r="Z3" s="7291"/>
      <c r="AA3" s="5926"/>
      <c r="AB3" s="7291">
        <v>2018</v>
      </c>
      <c r="AC3" s="7291"/>
      <c r="AE3" s="7291">
        <v>2019</v>
      </c>
      <c r="AF3" s="7291"/>
      <c r="AG3" s="5925"/>
      <c r="AH3" s="7291">
        <v>2020</v>
      </c>
      <c r="AI3" s="7291"/>
      <c r="AJ3" s="5925"/>
      <c r="AK3" s="7291">
        <v>2021</v>
      </c>
      <c r="AL3" s="7291"/>
      <c r="AM3" s="5925"/>
      <c r="AN3" s="7291">
        <v>2022</v>
      </c>
      <c r="AO3" s="7291"/>
      <c r="AP3" s="5317"/>
      <c r="AQ3" s="7291">
        <v>2023</v>
      </c>
      <c r="AR3" s="7291"/>
      <c r="AS3" s="5925"/>
      <c r="AT3" s="5925"/>
      <c r="AU3" s="5925"/>
      <c r="AV3" s="5925"/>
      <c r="AW3" s="5925"/>
      <c r="AX3" s="5925"/>
      <c r="AY3" s="5925"/>
      <c r="AZ3" s="5925"/>
      <c r="BA3" s="5925"/>
      <c r="BB3" s="5925"/>
      <c r="BC3" s="5925"/>
      <c r="BD3" s="5925"/>
      <c r="BE3" s="5925"/>
      <c r="BF3" s="5925"/>
      <c r="BG3" s="5925"/>
      <c r="BH3" s="5925"/>
      <c r="BI3" s="5925"/>
      <c r="BJ3" s="5925"/>
      <c r="BK3" s="5925"/>
      <c r="BL3" s="5925"/>
      <c r="BM3" s="5925"/>
      <c r="BN3" s="5925"/>
      <c r="BO3" s="5925"/>
      <c r="BP3" s="5925"/>
    </row>
    <row r="4" spans="1:68" ht="15" customHeight="1">
      <c r="B4" s="7298" t="s">
        <v>941</v>
      </c>
      <c r="C4" s="18"/>
      <c r="D4" s="7292" t="s">
        <v>410</v>
      </c>
      <c r="E4" s="7292" t="s">
        <v>411</v>
      </c>
      <c r="F4" s="2073"/>
      <c r="G4" s="7292" t="s">
        <v>410</v>
      </c>
      <c r="H4" s="7292" t="s">
        <v>411</v>
      </c>
      <c r="I4" s="2074"/>
      <c r="J4" s="7292" t="s">
        <v>410</v>
      </c>
      <c r="K4" s="7292" t="s">
        <v>411</v>
      </c>
      <c r="L4" s="2074"/>
      <c r="M4" s="7292" t="s">
        <v>410</v>
      </c>
      <c r="N4" s="7292" t="s">
        <v>411</v>
      </c>
      <c r="O4" s="2074"/>
      <c r="P4" s="7292" t="s">
        <v>410</v>
      </c>
      <c r="Q4" s="7292" t="s">
        <v>411</v>
      </c>
      <c r="R4" s="2075"/>
      <c r="S4" s="7292" t="s">
        <v>410</v>
      </c>
      <c r="T4" s="7292" t="s">
        <v>411</v>
      </c>
      <c r="U4" s="2076"/>
      <c r="V4" s="7292" t="s">
        <v>410</v>
      </c>
      <c r="W4" s="7292" t="s">
        <v>411</v>
      </c>
      <c r="X4" s="2079"/>
      <c r="Y4" s="7295" t="s">
        <v>410</v>
      </c>
      <c r="Z4" s="7292" t="s">
        <v>411</v>
      </c>
      <c r="AA4" s="2078"/>
      <c r="AB4" s="7292" t="s">
        <v>410</v>
      </c>
      <c r="AC4" s="7292" t="s">
        <v>411</v>
      </c>
      <c r="AE4" s="7292" t="s">
        <v>410</v>
      </c>
      <c r="AF4" s="7292" t="s">
        <v>411</v>
      </c>
      <c r="AG4" s="3901"/>
      <c r="AH4" s="7292" t="s">
        <v>410</v>
      </c>
      <c r="AI4" s="7292" t="s">
        <v>411</v>
      </c>
      <c r="AJ4" s="3901"/>
      <c r="AK4" s="7292" t="s">
        <v>410</v>
      </c>
      <c r="AL4" s="7292" t="s">
        <v>411</v>
      </c>
      <c r="AM4" s="4784"/>
      <c r="AN4" s="7292" t="s">
        <v>410</v>
      </c>
      <c r="AO4" s="7292" t="s">
        <v>411</v>
      </c>
      <c r="AQ4" s="7292" t="s">
        <v>410</v>
      </c>
      <c r="AR4" s="7292" t="s">
        <v>411</v>
      </c>
      <c r="AS4" s="6448"/>
      <c r="AT4" s="6448"/>
      <c r="AU4" s="6448"/>
      <c r="AV4" s="5903"/>
      <c r="AW4" s="5903"/>
      <c r="AX4" s="5903"/>
      <c r="AY4" s="5903"/>
      <c r="BI4" s="4784"/>
      <c r="BJ4" s="4784"/>
      <c r="BK4" s="4784"/>
      <c r="BL4" s="4784"/>
      <c r="BM4" s="4784"/>
      <c r="BN4" s="4784"/>
      <c r="BO4" s="4784"/>
      <c r="BP4" s="4784"/>
    </row>
    <row r="5" spans="1:68" s="28" customFormat="1" ht="15.75" customHeight="1" thickBot="1">
      <c r="A5"/>
      <c r="B5" s="7299"/>
      <c r="C5" s="18"/>
      <c r="D5" s="7293"/>
      <c r="E5" s="7293"/>
      <c r="F5" s="2073"/>
      <c r="G5" s="7293"/>
      <c r="H5" s="7293"/>
      <c r="I5" s="2074"/>
      <c r="J5" s="7293"/>
      <c r="K5" s="7293"/>
      <c r="L5" s="2074"/>
      <c r="M5" s="7293"/>
      <c r="N5" s="7293"/>
      <c r="O5" s="2074"/>
      <c r="P5" s="7293"/>
      <c r="Q5" s="7293"/>
      <c r="R5" s="2075"/>
      <c r="S5" s="7293"/>
      <c r="T5" s="7293"/>
      <c r="U5" s="2076"/>
      <c r="V5" s="7293"/>
      <c r="W5" s="7293"/>
      <c r="X5" s="2079"/>
      <c r="Y5" s="7296"/>
      <c r="Z5" s="7293"/>
      <c r="AA5" s="2078"/>
      <c r="AB5" s="7293"/>
      <c r="AC5" s="7293"/>
      <c r="AE5" s="7293"/>
      <c r="AF5" s="7293"/>
      <c r="AG5" s="3901"/>
      <c r="AH5" s="7293"/>
      <c r="AI5" s="7293"/>
      <c r="AJ5" s="3901"/>
      <c r="AK5" s="7293"/>
      <c r="AL5" s="7293"/>
      <c r="AM5" s="4784"/>
      <c r="AN5" s="7293"/>
      <c r="AO5" s="7293"/>
      <c r="AP5" s="5317"/>
      <c r="AQ5" s="7293"/>
      <c r="AR5" s="7293"/>
      <c r="AS5" s="6448"/>
      <c r="AT5" s="6448"/>
      <c r="AU5" s="6448"/>
      <c r="AV5" s="5903"/>
      <c r="AW5" s="5903"/>
      <c r="AX5" s="5903"/>
      <c r="AY5" s="5903"/>
      <c r="BI5" s="4784"/>
      <c r="BJ5" s="4784"/>
      <c r="BK5" s="4784"/>
      <c r="BL5" s="4784"/>
      <c r="BM5" s="4784"/>
      <c r="BN5" s="4784"/>
      <c r="BO5" s="4784"/>
      <c r="BP5" s="4784"/>
    </row>
    <row r="6" spans="1:68" s="29" customFormat="1" ht="14.25" customHeight="1">
      <c r="A6"/>
      <c r="C6" s="18"/>
      <c r="F6" s="2073"/>
      <c r="I6" s="2074"/>
      <c r="L6" s="2074"/>
      <c r="O6" s="2074"/>
      <c r="R6" s="2075"/>
      <c r="U6" s="2076"/>
      <c r="X6" s="2079"/>
      <c r="AA6" s="2078"/>
      <c r="AP6" s="5317"/>
    </row>
    <row r="7" spans="1:68" s="29" customFormat="1" ht="15.6">
      <c r="A7"/>
      <c r="B7" s="2080" t="s">
        <v>4</v>
      </c>
      <c r="C7" s="18"/>
      <c r="D7" s="2082">
        <v>8519</v>
      </c>
      <c r="E7" s="2083">
        <v>2.0072778495128535E-2</v>
      </c>
      <c r="F7" s="2073"/>
      <c r="G7" s="2082">
        <v>8730</v>
      </c>
      <c r="H7" s="2083">
        <v>2.0389461626575029E-2</v>
      </c>
      <c r="I7" s="2074"/>
      <c r="J7" s="2082">
        <v>8645</v>
      </c>
      <c r="K7" s="2083">
        <v>1.8970503181029497E-2</v>
      </c>
      <c r="L7" s="2074"/>
      <c r="M7" s="2082">
        <v>8601</v>
      </c>
      <c r="N7" s="2083">
        <v>2.185792349726776E-2</v>
      </c>
      <c r="O7" s="2074"/>
      <c r="P7" s="2082">
        <v>8372</v>
      </c>
      <c r="Q7" s="2083">
        <v>2.7472527472527472E-2</v>
      </c>
      <c r="R7" s="2075"/>
      <c r="S7" s="2082">
        <v>8005</v>
      </c>
      <c r="T7" s="2083">
        <v>3.16052467207995E-2</v>
      </c>
      <c r="U7" s="2076"/>
      <c r="V7" s="2082">
        <v>7725</v>
      </c>
      <c r="W7" s="2083">
        <v>3.7281553398058255E-2</v>
      </c>
      <c r="X7" s="2079"/>
      <c r="Y7" s="2082">
        <v>7316</v>
      </c>
      <c r="Z7" s="2083">
        <v>3.9092400218698739E-2</v>
      </c>
      <c r="AA7" s="2078"/>
      <c r="AB7" s="2082">
        <v>7262</v>
      </c>
      <c r="AC7" s="2083">
        <v>3.9796199394106307E-2</v>
      </c>
      <c r="AE7" s="2082">
        <v>7520</v>
      </c>
      <c r="AF7" s="2083">
        <v>3.7234042553191488E-2</v>
      </c>
      <c r="AG7" s="2208"/>
      <c r="AH7" s="2082">
        <v>7354</v>
      </c>
      <c r="AI7" s="2083">
        <f>BD37/BC37</f>
        <v>3.7528216704288936E-2</v>
      </c>
      <c r="AK7" s="2082">
        <v>7794</v>
      </c>
      <c r="AL7" s="2083">
        <f>BA37/AZ37</f>
        <v>3.4098447658219448E-2</v>
      </c>
      <c r="AN7" s="2082">
        <v>8002</v>
      </c>
      <c r="AO7" s="2083">
        <f>AX37/AW37</f>
        <v>3.1052699394407936E-2</v>
      </c>
      <c r="AP7" s="5317"/>
      <c r="AQ7" s="2082">
        <f>+AV37</f>
        <v>7924</v>
      </c>
      <c r="AR7" s="2083">
        <f>AU37/AT37</f>
        <v>3.3520281726881443E-2</v>
      </c>
    </row>
    <row r="8" spans="1:68" s="29" customFormat="1" ht="15.6">
      <c r="A8"/>
      <c r="B8" s="2081" t="s">
        <v>16</v>
      </c>
      <c r="C8" s="18"/>
      <c r="D8" s="2084">
        <v>5806</v>
      </c>
      <c r="E8" s="2085">
        <v>3.0485704443678954E-2</v>
      </c>
      <c r="F8" s="60"/>
      <c r="G8" s="2084">
        <v>5968</v>
      </c>
      <c r="H8" s="2085">
        <v>3.5690348525469172E-2</v>
      </c>
      <c r="I8"/>
      <c r="J8" s="2084">
        <v>6339</v>
      </c>
      <c r="K8" s="2085">
        <v>2.9815428300993846E-2</v>
      </c>
      <c r="L8" s="2074"/>
      <c r="M8" s="2084">
        <v>6601</v>
      </c>
      <c r="N8" s="2085">
        <v>3.6206635358279046E-2</v>
      </c>
      <c r="P8" s="2084">
        <v>6619</v>
      </c>
      <c r="Q8" s="2085">
        <v>3.6863574558090348E-2</v>
      </c>
      <c r="R8" s="193"/>
      <c r="S8" s="2084">
        <v>6812</v>
      </c>
      <c r="T8" s="2085">
        <v>3.5525543159130944E-2</v>
      </c>
      <c r="U8" s="18"/>
      <c r="V8" s="2084">
        <v>6934</v>
      </c>
      <c r="W8" s="2085">
        <v>3.4179405826362849E-2</v>
      </c>
      <c r="X8" s="2079"/>
      <c r="Y8" s="2084">
        <v>6941</v>
      </c>
      <c r="Z8" s="2085">
        <v>4.3653652211496904E-2</v>
      </c>
      <c r="AA8" s="2078"/>
      <c r="AB8" s="2084">
        <v>7173</v>
      </c>
      <c r="AC8" s="2085">
        <v>4.1126446396208001E-2</v>
      </c>
      <c r="AE8" s="2084">
        <v>7485</v>
      </c>
      <c r="AF8" s="2085">
        <v>5.2237808951235802E-2</v>
      </c>
      <c r="AG8" s="2208"/>
      <c r="AH8" s="2082">
        <v>7439</v>
      </c>
      <c r="AI8" s="2085">
        <f t="shared" ref="AI8:AI32" si="0">BD38/BC38</f>
        <v>4.3777185351480286E-2</v>
      </c>
      <c r="AK8" s="2082">
        <v>7652</v>
      </c>
      <c r="AL8" s="2085">
        <f t="shared" ref="AL8:AL32" si="1">BA38/AZ38</f>
        <v>4.3786659391624606E-2</v>
      </c>
      <c r="AN8" s="2082">
        <v>7700</v>
      </c>
      <c r="AO8" s="2085">
        <f t="shared" ref="AO8:AO32" si="2">AX38/AW38</f>
        <v>4.0962552386102476E-2</v>
      </c>
      <c r="AP8" s="5317"/>
      <c r="AQ8" s="2082">
        <f t="shared" ref="AQ8:AQ29" si="3">+AV38</f>
        <v>7902</v>
      </c>
      <c r="AR8" s="2085">
        <f t="shared" ref="AR8:AR32" si="4">AU38/AT38</f>
        <v>4.4547257105089229E-2</v>
      </c>
    </row>
    <row r="9" spans="1:68" s="29" customFormat="1" ht="15.6">
      <c r="A9"/>
      <c r="B9" s="2081" t="s">
        <v>21</v>
      </c>
      <c r="C9" s="18"/>
      <c r="D9" s="2084">
        <v>3309</v>
      </c>
      <c r="E9" s="2085">
        <v>7.5853732245391353E-2</v>
      </c>
      <c r="F9" s="60"/>
      <c r="G9" s="2084">
        <v>3268</v>
      </c>
      <c r="H9" s="2085">
        <v>5.6303549571603426E-2</v>
      </c>
      <c r="I9"/>
      <c r="J9" s="2084">
        <v>3461</v>
      </c>
      <c r="K9" s="2085">
        <v>6.8477318694019074E-2</v>
      </c>
      <c r="L9" s="61"/>
      <c r="M9" s="2084">
        <v>3543</v>
      </c>
      <c r="N9" s="2085">
        <v>5.0804403048264182E-2</v>
      </c>
      <c r="P9" s="2084">
        <v>3673</v>
      </c>
      <c r="Q9" s="2085">
        <v>6.0985570378437243E-2</v>
      </c>
      <c r="R9" s="193"/>
      <c r="S9" s="2084">
        <v>3698</v>
      </c>
      <c r="T9" s="2085">
        <v>5.7328285559762035E-2</v>
      </c>
      <c r="U9" s="18"/>
      <c r="V9" s="2084">
        <v>3705</v>
      </c>
      <c r="W9" s="2085">
        <v>5.4520917678812418E-2</v>
      </c>
      <c r="X9" s="18"/>
      <c r="Y9" s="2084">
        <v>3808</v>
      </c>
      <c r="Z9" s="2085">
        <v>5.9611344537815129E-2</v>
      </c>
      <c r="AA9"/>
      <c r="AB9" s="2084">
        <v>3830</v>
      </c>
      <c r="AC9" s="2085">
        <v>4.804177545691906E-2</v>
      </c>
      <c r="AE9" s="2084">
        <v>3949</v>
      </c>
      <c r="AF9" s="2085">
        <v>4.051658647758926E-2</v>
      </c>
      <c r="AG9" s="2208"/>
      <c r="AH9" s="2082">
        <v>4046</v>
      </c>
      <c r="AI9" s="2085">
        <f t="shared" si="0"/>
        <v>4.5478036175710591E-2</v>
      </c>
      <c r="AK9" s="2082">
        <v>4174</v>
      </c>
      <c r="AL9" s="2085">
        <f t="shared" si="1"/>
        <v>4.8216976393771975E-2</v>
      </c>
      <c r="AN9" s="2082">
        <v>4278</v>
      </c>
      <c r="AO9" s="2085">
        <f t="shared" si="2"/>
        <v>5.8386937159821871E-2</v>
      </c>
      <c r="AP9" s="5317"/>
      <c r="AQ9" s="2082">
        <f t="shared" si="3"/>
        <v>4399</v>
      </c>
      <c r="AR9" s="2085">
        <f t="shared" si="4"/>
        <v>7.0837390457643618E-2</v>
      </c>
    </row>
    <row r="10" spans="1:68" s="4094" customFormat="1" ht="15.6">
      <c r="A10" s="4078"/>
      <c r="B10" s="4088" t="s">
        <v>3</v>
      </c>
      <c r="C10" s="4089"/>
      <c r="D10" s="4090">
        <v>17634</v>
      </c>
      <c r="E10" s="4091">
        <v>3.396847000113417E-2</v>
      </c>
      <c r="F10" s="4092"/>
      <c r="G10" s="4090">
        <v>17966</v>
      </c>
      <c r="H10" s="4091">
        <v>3.2004898140932873E-2</v>
      </c>
      <c r="I10" s="4078"/>
      <c r="J10" s="4090">
        <v>18445</v>
      </c>
      <c r="K10" s="4091">
        <v>3.1986988343724584E-2</v>
      </c>
      <c r="L10" s="4093"/>
      <c r="M10" s="4090">
        <v>18745</v>
      </c>
      <c r="N10" s="4091">
        <v>3.2381968524939984E-2</v>
      </c>
      <c r="P10" s="4090">
        <v>18664</v>
      </c>
      <c r="Q10" s="4091">
        <v>3.7398199742820402E-2</v>
      </c>
      <c r="R10" s="4095"/>
      <c r="S10" s="4090">
        <v>18515</v>
      </c>
      <c r="T10" s="4091">
        <v>3.8185255198487714E-2</v>
      </c>
      <c r="U10" s="4089"/>
      <c r="V10" s="4090">
        <v>18364</v>
      </c>
      <c r="W10" s="4091">
        <v>3.9588324983663693E-2</v>
      </c>
      <c r="X10" s="4089"/>
      <c r="Y10" s="4090">
        <v>18065</v>
      </c>
      <c r="Z10" s="4091">
        <v>4.5170218654857458E-2</v>
      </c>
      <c r="AA10" s="4078"/>
      <c r="AB10" s="4090">
        <v>18265</v>
      </c>
      <c r="AC10" s="4091">
        <v>4.2047632083219273E-2</v>
      </c>
      <c r="AE10" s="4090">
        <v>18954</v>
      </c>
      <c r="AF10" s="4091">
        <v>4.384298828743273E-2</v>
      </c>
      <c r="AG10" s="4099"/>
      <c r="AH10" s="4090">
        <v>18839</v>
      </c>
      <c r="AI10" s="4091">
        <f t="shared" si="0"/>
        <v>4.1692009952999723E-2</v>
      </c>
      <c r="AJ10" s="29"/>
      <c r="AK10" s="4090">
        <v>19620</v>
      </c>
      <c r="AL10" s="4091">
        <f t="shared" si="1"/>
        <v>4.0848806366047742E-2</v>
      </c>
      <c r="AM10" s="29"/>
      <c r="AN10" s="4090">
        <v>19980</v>
      </c>
      <c r="AO10" s="4091">
        <f t="shared" si="2"/>
        <v>4.0625000000000001E-2</v>
      </c>
      <c r="AP10" s="5317"/>
      <c r="AQ10" s="4090">
        <f>SUM(AQ7:AQ9)</f>
        <v>20225</v>
      </c>
      <c r="AR10" s="4091">
        <f t="shared" si="4"/>
        <v>4.576008273009307E-2</v>
      </c>
      <c r="AS10" s="29"/>
      <c r="AT10" s="29"/>
      <c r="AU10" s="29"/>
      <c r="AV10" s="29"/>
      <c r="AW10" s="29"/>
      <c r="AX10" s="29"/>
      <c r="AY10" s="29"/>
      <c r="BI10" s="29"/>
      <c r="BJ10" s="29"/>
      <c r="BK10" s="29"/>
      <c r="BL10" s="29"/>
      <c r="BM10" s="29"/>
      <c r="BN10" s="29"/>
      <c r="BO10" s="29"/>
      <c r="BP10" s="29"/>
    </row>
    <row r="11" spans="1:68" s="29" customFormat="1" ht="15.6">
      <c r="A11"/>
      <c r="C11" s="18"/>
      <c r="D11" s="58"/>
      <c r="E11" s="59"/>
      <c r="F11" s="60"/>
      <c r="G11" s="58"/>
      <c r="H11" s="59"/>
      <c r="I11" s="61"/>
      <c r="J11" s="58"/>
      <c r="K11" s="59"/>
      <c r="L11" s="61"/>
      <c r="M11" s="58"/>
      <c r="N11" s="59"/>
      <c r="P11" s="58"/>
      <c r="Q11" s="59"/>
      <c r="R11" s="193"/>
      <c r="S11" s="58"/>
      <c r="T11" s="59"/>
      <c r="U11" s="18"/>
      <c r="V11" s="58"/>
      <c r="W11" s="59"/>
      <c r="X11" s="18"/>
      <c r="Y11" s="58"/>
      <c r="Z11" s="59"/>
      <c r="AA11"/>
      <c r="AB11" s="58"/>
      <c r="AC11" s="59"/>
      <c r="AE11" s="58"/>
      <c r="AF11" s="59"/>
      <c r="AG11" s="59"/>
      <c r="AH11" s="58"/>
      <c r="AI11" s="59"/>
      <c r="AK11" s="58"/>
      <c r="AL11" s="59"/>
      <c r="AN11" s="58"/>
      <c r="AO11" s="59"/>
      <c r="AP11" s="5317"/>
      <c r="AQ11" s="58"/>
      <c r="AR11" s="59"/>
    </row>
    <row r="12" spans="1:68" s="29" customFormat="1" ht="15.6">
      <c r="A12"/>
      <c r="B12" s="2080" t="s">
        <v>16</v>
      </c>
      <c r="C12" s="18"/>
      <c r="D12" s="2082">
        <v>420</v>
      </c>
      <c r="E12" s="2083">
        <v>0</v>
      </c>
      <c r="F12" s="60"/>
      <c r="G12" s="2082">
        <v>487</v>
      </c>
      <c r="H12" s="2083">
        <v>6.5708418891170434E-2</v>
      </c>
      <c r="I12"/>
      <c r="J12" s="2082">
        <v>499</v>
      </c>
      <c r="K12" s="2083">
        <v>0.10621242484969939</v>
      </c>
      <c r="L12" s="61"/>
      <c r="M12" s="2082">
        <v>533</v>
      </c>
      <c r="N12" s="2083">
        <v>0.13883677298311445</v>
      </c>
      <c r="P12" s="2082">
        <v>654</v>
      </c>
      <c r="Q12" s="2083">
        <v>0.11926605504587157</v>
      </c>
      <c r="R12" s="193"/>
      <c r="S12" s="2082">
        <v>794</v>
      </c>
      <c r="T12" s="2083">
        <v>0.11586901763224182</v>
      </c>
      <c r="U12" s="18"/>
      <c r="V12" s="2082">
        <v>944</v>
      </c>
      <c r="W12" s="2083">
        <v>0.11228813559322035</v>
      </c>
      <c r="X12" s="18"/>
      <c r="Y12" s="2082">
        <v>1060</v>
      </c>
      <c r="Z12" s="2083">
        <v>9.6226415094339629E-2</v>
      </c>
      <c r="AA12"/>
      <c r="AB12" s="2082">
        <v>1143</v>
      </c>
      <c r="AC12" s="2083">
        <v>8.0489938757655297E-2</v>
      </c>
      <c r="AE12" s="2082">
        <v>1275</v>
      </c>
      <c r="AF12" s="2083">
        <v>8.5490196078431377E-2</v>
      </c>
      <c r="AG12" s="2208"/>
      <c r="AH12" s="2082">
        <v>1300</v>
      </c>
      <c r="AI12" s="2083">
        <f t="shared" si="0"/>
        <v>7.6158940397350994E-2</v>
      </c>
      <c r="AK12" s="2082">
        <v>1385</v>
      </c>
      <c r="AL12" s="2083">
        <f t="shared" si="1"/>
        <v>9.8334655035685961E-2</v>
      </c>
      <c r="AN12" s="2082">
        <v>1436</v>
      </c>
      <c r="AO12" s="2083">
        <f t="shared" si="2"/>
        <v>0.10717039321511179</v>
      </c>
      <c r="AP12" s="5317"/>
      <c r="AQ12" s="2082">
        <f t="shared" si="3"/>
        <v>1447</v>
      </c>
      <c r="AR12" s="2083">
        <f t="shared" si="4"/>
        <v>8.2273747195213159E-2</v>
      </c>
    </row>
    <row r="13" spans="1:68" s="29" customFormat="1" ht="15.6">
      <c r="A13"/>
      <c r="B13" s="2081" t="s">
        <v>61</v>
      </c>
      <c r="C13" s="18"/>
      <c r="D13" s="2084">
        <v>462</v>
      </c>
      <c r="E13" s="2085">
        <v>0</v>
      </c>
      <c r="F13" s="60"/>
      <c r="G13" s="2084">
        <v>539</v>
      </c>
      <c r="H13" s="2085">
        <v>0</v>
      </c>
      <c r="I13"/>
      <c r="J13" s="2084">
        <v>615</v>
      </c>
      <c r="K13" s="2085">
        <v>1.9512195121951219E-2</v>
      </c>
      <c r="L13" s="61"/>
      <c r="M13" s="2084">
        <v>653</v>
      </c>
      <c r="N13" s="2085">
        <v>3.6753445635528334E-2</v>
      </c>
      <c r="P13" s="2084">
        <v>753</v>
      </c>
      <c r="Q13" s="2085">
        <v>5.5776892430278883E-2</v>
      </c>
      <c r="R13" s="193"/>
      <c r="S13" s="2084">
        <v>866</v>
      </c>
      <c r="T13" s="2085">
        <v>5.7736720554272515E-2</v>
      </c>
      <c r="U13" s="18"/>
      <c r="V13" s="2084">
        <v>994</v>
      </c>
      <c r="W13" s="2085">
        <v>6.1368209255533199E-2</v>
      </c>
      <c r="X13" s="18"/>
      <c r="Y13" s="2084">
        <v>1101</v>
      </c>
      <c r="Z13" s="2085">
        <v>5.6312443233424159E-2</v>
      </c>
      <c r="AA13"/>
      <c r="AB13" s="2084">
        <v>1171</v>
      </c>
      <c r="AC13" s="2085">
        <v>5.6362083689154567E-2</v>
      </c>
      <c r="AE13" s="2084">
        <v>1278</v>
      </c>
      <c r="AF13" s="2085">
        <v>6.6510172143974963E-2</v>
      </c>
      <c r="AG13" s="2208"/>
      <c r="AH13" s="2082">
        <v>1289</v>
      </c>
      <c r="AI13" s="2085">
        <f t="shared" si="0"/>
        <v>5.4828150572831427E-2</v>
      </c>
      <c r="AK13" s="2082">
        <v>1347</v>
      </c>
      <c r="AL13" s="2085">
        <f t="shared" si="1"/>
        <v>4.7433903576982892E-2</v>
      </c>
      <c r="AN13" s="2082">
        <v>1405</v>
      </c>
      <c r="AO13" s="2085">
        <f t="shared" si="2"/>
        <v>5.2434456928838954E-2</v>
      </c>
      <c r="AP13" s="5317"/>
      <c r="AQ13" s="2082">
        <f t="shared" si="3"/>
        <v>1414</v>
      </c>
      <c r="AR13" s="2085">
        <f t="shared" si="4"/>
        <v>4.5857988165680472E-2</v>
      </c>
    </row>
    <row r="14" spans="1:68" s="29" customFormat="1" ht="15.6">
      <c r="A14"/>
      <c r="B14" s="2081" t="s">
        <v>64</v>
      </c>
      <c r="C14" s="18"/>
      <c r="D14" s="2084">
        <v>323</v>
      </c>
      <c r="E14" s="2085">
        <v>0</v>
      </c>
      <c r="F14" s="60"/>
      <c r="G14" s="2084">
        <v>394</v>
      </c>
      <c r="H14" s="2085">
        <v>0</v>
      </c>
      <c r="I14"/>
      <c r="J14" s="2084">
        <v>498</v>
      </c>
      <c r="K14" s="2085">
        <v>3.8152610441767071E-2</v>
      </c>
      <c r="L14" s="61"/>
      <c r="M14" s="2084">
        <v>606</v>
      </c>
      <c r="N14" s="2085">
        <v>6.6006600660066E-2</v>
      </c>
      <c r="P14" s="2084">
        <v>781</v>
      </c>
      <c r="Q14" s="2085">
        <v>7.5544174135723438E-2</v>
      </c>
      <c r="R14" s="193"/>
      <c r="S14" s="2084">
        <v>885</v>
      </c>
      <c r="T14" s="2085">
        <v>8.7005649717514122E-2</v>
      </c>
      <c r="U14" s="18"/>
      <c r="V14" s="2084">
        <v>1012</v>
      </c>
      <c r="W14" s="2085">
        <v>8.4980237154150193E-2</v>
      </c>
      <c r="X14" s="18"/>
      <c r="Y14" s="2084">
        <v>1097</v>
      </c>
      <c r="Z14" s="2085">
        <v>8.0218778486782133E-2</v>
      </c>
      <c r="AA14"/>
      <c r="AB14" s="2084">
        <v>1175</v>
      </c>
      <c r="AC14" s="2085">
        <v>7.3191489361702125E-2</v>
      </c>
      <c r="AE14" s="2084">
        <v>1249</v>
      </c>
      <c r="AF14" s="2085">
        <v>6.4051240992794231E-2</v>
      </c>
      <c r="AG14" s="2208"/>
      <c r="AH14" s="2082">
        <v>1298</v>
      </c>
      <c r="AI14" s="2085">
        <f t="shared" si="0"/>
        <v>5.2716950527169508E-2</v>
      </c>
      <c r="AK14" s="2082">
        <v>1361</v>
      </c>
      <c r="AL14" s="2085">
        <f t="shared" si="1"/>
        <v>4.1315990818668706E-2</v>
      </c>
      <c r="AN14" s="2082">
        <v>1430</v>
      </c>
      <c r="AO14" s="2085">
        <f t="shared" si="2"/>
        <v>5.0698016164584865E-2</v>
      </c>
      <c r="AP14" s="5317"/>
      <c r="AQ14" s="2082">
        <f t="shared" si="3"/>
        <v>1448</v>
      </c>
      <c r="AR14" s="2085">
        <f t="shared" si="4"/>
        <v>5.0798258345428157E-2</v>
      </c>
    </row>
    <row r="15" spans="1:68" s="4094" customFormat="1" ht="15.6">
      <c r="A15" s="4078"/>
      <c r="B15" s="4088" t="s">
        <v>59</v>
      </c>
      <c r="C15" s="4089"/>
      <c r="D15" s="4090">
        <v>1205</v>
      </c>
      <c r="E15" s="4091">
        <v>0</v>
      </c>
      <c r="F15" s="4092"/>
      <c r="G15" s="4090">
        <v>1420</v>
      </c>
      <c r="H15" s="4091">
        <v>2.2535211267605635E-2</v>
      </c>
      <c r="I15" s="4078"/>
      <c r="J15" s="4090">
        <v>1612</v>
      </c>
      <c r="K15" s="4091">
        <v>5.2109181141439205E-2</v>
      </c>
      <c r="L15" s="4093"/>
      <c r="M15" s="4090">
        <v>1792</v>
      </c>
      <c r="N15" s="4091">
        <v>7.7008928571428575E-2</v>
      </c>
      <c r="P15" s="4090">
        <v>2188</v>
      </c>
      <c r="Q15" s="4091">
        <v>8.1809872029250455E-2</v>
      </c>
      <c r="R15" s="4095"/>
      <c r="S15" s="4090">
        <v>2545</v>
      </c>
      <c r="T15" s="4091">
        <v>8.6051080550098233E-2</v>
      </c>
      <c r="U15" s="4089"/>
      <c r="V15" s="4090">
        <v>2950</v>
      </c>
      <c r="W15" s="4091">
        <v>8.5762711864406774E-2</v>
      </c>
      <c r="X15" s="4089"/>
      <c r="Y15" s="4090">
        <v>3258</v>
      </c>
      <c r="Z15" s="4091">
        <v>7.7348066298342538E-2</v>
      </c>
      <c r="AA15" s="4078"/>
      <c r="AB15" s="4090">
        <v>3489</v>
      </c>
      <c r="AC15" s="4091">
        <v>6.9934078532530808E-2</v>
      </c>
      <c r="AE15" s="4090">
        <v>3802</v>
      </c>
      <c r="AF15" s="4091">
        <v>7.2067332982640717E-2</v>
      </c>
      <c r="AG15" s="4099"/>
      <c r="AH15" s="4090">
        <v>3887</v>
      </c>
      <c r="AI15" s="4091">
        <f t="shared" si="0"/>
        <v>6.1152061152061149E-2</v>
      </c>
      <c r="AJ15" s="29"/>
      <c r="AK15" s="4090">
        <v>4093</v>
      </c>
      <c r="AL15" s="4091">
        <f t="shared" si="1"/>
        <v>6.2013492475350283E-2</v>
      </c>
      <c r="AM15" s="29"/>
      <c r="AN15" s="4090">
        <v>4271</v>
      </c>
      <c r="AO15" s="4091">
        <f t="shared" si="2"/>
        <v>6.9621838216879534E-2</v>
      </c>
      <c r="AP15" s="5317"/>
      <c r="AQ15" s="4090">
        <f>SUM(AQ12:AQ14)</f>
        <v>4309</v>
      </c>
      <c r="AR15" s="4091">
        <f t="shared" si="4"/>
        <v>5.9503319400049173E-2</v>
      </c>
      <c r="AS15" s="29"/>
      <c r="AT15" s="29"/>
      <c r="AU15" s="29"/>
      <c r="AV15" s="29"/>
      <c r="AW15" s="29"/>
      <c r="AX15" s="29"/>
      <c r="AY15" s="29"/>
      <c r="BI15" s="29"/>
      <c r="BJ15" s="29"/>
      <c r="BK15" s="29"/>
      <c r="BL15" s="29"/>
      <c r="BM15" s="29"/>
      <c r="BN15" s="29"/>
      <c r="BO15" s="29"/>
      <c r="BP15" s="29"/>
    </row>
    <row r="16" spans="1:68" s="29" customFormat="1" ht="15.6">
      <c r="A16"/>
      <c r="C16" s="18"/>
      <c r="D16" s="58"/>
      <c r="E16" s="59"/>
      <c r="F16" s="60"/>
      <c r="G16" s="58"/>
      <c r="H16" s="59"/>
      <c r="I16"/>
      <c r="J16" s="58"/>
      <c r="K16" s="59"/>
      <c r="L16" s="61"/>
      <c r="M16" s="58"/>
      <c r="N16" s="59"/>
      <c r="P16" s="58"/>
      <c r="Q16" s="59"/>
      <c r="R16" s="193"/>
      <c r="S16" s="58"/>
      <c r="T16" s="59"/>
      <c r="U16" s="18"/>
      <c r="V16" s="58"/>
      <c r="W16" s="59"/>
      <c r="X16" s="18"/>
      <c r="Y16" s="58"/>
      <c r="Z16" s="59"/>
      <c r="AA16"/>
      <c r="AB16" s="58"/>
      <c r="AC16" s="59"/>
      <c r="AE16" s="58"/>
      <c r="AF16" s="59"/>
      <c r="AG16" s="59"/>
      <c r="AH16" s="58"/>
      <c r="AI16" s="59"/>
      <c r="AK16" s="58"/>
      <c r="AL16" s="59"/>
      <c r="AN16" s="58"/>
      <c r="AO16" s="59"/>
      <c r="AP16" s="5317"/>
      <c r="AQ16" s="58"/>
      <c r="AR16" s="59"/>
    </row>
    <row r="17" spans="1:68" s="29" customFormat="1" ht="15.6">
      <c r="A17"/>
      <c r="B17" s="2080" t="s">
        <v>4</v>
      </c>
      <c r="C17" s="18"/>
      <c r="D17" s="2082">
        <v>3834</v>
      </c>
      <c r="E17" s="2083">
        <v>0.11841418883672405</v>
      </c>
      <c r="F17" s="60"/>
      <c r="G17" s="2082">
        <v>4031</v>
      </c>
      <c r="H17" s="2083">
        <v>0.12329446787397669</v>
      </c>
      <c r="I17"/>
      <c r="J17" s="2082">
        <v>4250</v>
      </c>
      <c r="K17" s="2083">
        <v>0.12235294117647059</v>
      </c>
      <c r="L17" s="61"/>
      <c r="M17" s="2082">
        <v>4653</v>
      </c>
      <c r="N17" s="2083">
        <v>0.11949280034386417</v>
      </c>
      <c r="P17" s="2082">
        <v>4858</v>
      </c>
      <c r="Q17" s="2083">
        <v>0.11650885137916839</v>
      </c>
      <c r="R17" s="193"/>
      <c r="S17" s="2082">
        <v>4953</v>
      </c>
      <c r="T17" s="2083">
        <v>0.11467797294568947</v>
      </c>
      <c r="U17" s="18"/>
      <c r="V17" s="2082">
        <v>5074</v>
      </c>
      <c r="W17" s="2083">
        <v>0.11726448561292865</v>
      </c>
      <c r="X17" s="18"/>
      <c r="Y17" s="2082">
        <v>4932</v>
      </c>
      <c r="Z17" s="2083">
        <v>0.11658556366585564</v>
      </c>
      <c r="AA17"/>
      <c r="AB17" s="2082">
        <v>4905</v>
      </c>
      <c r="AC17" s="2083">
        <v>0.11580020387359836</v>
      </c>
      <c r="AE17" s="2082">
        <v>4885</v>
      </c>
      <c r="AF17" s="2083">
        <v>0.11873080859774821</v>
      </c>
      <c r="AG17" s="2208"/>
      <c r="AH17" s="2082">
        <v>4671</v>
      </c>
      <c r="AI17" s="2083">
        <f t="shared" si="0"/>
        <v>0.12771607918879768</v>
      </c>
      <c r="AK17" s="2082">
        <v>4631</v>
      </c>
      <c r="AL17" s="2083">
        <f t="shared" si="1"/>
        <v>0.12648990513257116</v>
      </c>
      <c r="AN17" s="2082">
        <v>4746</v>
      </c>
      <c r="AO17" s="2083">
        <f t="shared" si="2"/>
        <v>0.14196342637151108</v>
      </c>
      <c r="AP17" s="5317"/>
      <c r="AQ17" s="2082">
        <f t="shared" si="3"/>
        <v>4651</v>
      </c>
      <c r="AR17" s="2083">
        <f t="shared" si="4"/>
        <v>0.14953040039545229</v>
      </c>
    </row>
    <row r="18" spans="1:68" s="29" customFormat="1" ht="15.6">
      <c r="A18"/>
      <c r="B18" s="2081" t="s">
        <v>16</v>
      </c>
      <c r="C18" s="18"/>
      <c r="D18" s="2084">
        <v>7118</v>
      </c>
      <c r="E18" s="2085">
        <v>0.12166338859230121</v>
      </c>
      <c r="F18" s="60"/>
      <c r="G18" s="2084">
        <v>7153</v>
      </c>
      <c r="H18" s="2085">
        <v>0.11533622256395917</v>
      </c>
      <c r="I18"/>
      <c r="J18" s="2084">
        <v>7332</v>
      </c>
      <c r="K18" s="2085">
        <v>0.10488270594653573</v>
      </c>
      <c r="L18" s="61"/>
      <c r="M18" s="2084">
        <v>7294</v>
      </c>
      <c r="N18" s="2085">
        <v>8.8977241568412399E-2</v>
      </c>
      <c r="P18" s="2084">
        <v>7318</v>
      </c>
      <c r="Q18" s="2085">
        <v>9.7567641432085267E-2</v>
      </c>
      <c r="R18" s="193"/>
      <c r="S18" s="2084">
        <v>7237</v>
      </c>
      <c r="T18" s="2085">
        <v>8.8434434157800196E-2</v>
      </c>
      <c r="U18" s="18"/>
      <c r="V18" s="2084">
        <v>7330</v>
      </c>
      <c r="W18" s="2085">
        <v>9.1950886766712148E-2</v>
      </c>
      <c r="X18" s="18"/>
      <c r="Y18" s="2084">
        <v>7191</v>
      </c>
      <c r="Z18" s="2085">
        <v>8.4967320261437912E-2</v>
      </c>
      <c r="AA18"/>
      <c r="AB18" s="2084">
        <v>7281</v>
      </c>
      <c r="AC18" s="2085">
        <v>8.5565169619557749E-2</v>
      </c>
      <c r="AE18" s="2084">
        <v>7233</v>
      </c>
      <c r="AF18" s="2085">
        <v>8.4612194110327665E-2</v>
      </c>
      <c r="AG18" s="2208"/>
      <c r="AH18" s="2082">
        <v>7225</v>
      </c>
      <c r="AI18" s="2085">
        <f t="shared" si="0"/>
        <v>8.892238131122833E-2</v>
      </c>
      <c r="AK18" s="2082">
        <v>7367</v>
      </c>
      <c r="AL18" s="2085">
        <f t="shared" si="1"/>
        <v>8.4339122755372392E-2</v>
      </c>
      <c r="AN18" s="2082">
        <v>7578</v>
      </c>
      <c r="AO18" s="2085">
        <f t="shared" si="2"/>
        <v>0.10676208558492771</v>
      </c>
      <c r="AP18" s="5317"/>
      <c r="AQ18" s="2082">
        <f t="shared" si="3"/>
        <v>7295</v>
      </c>
      <c r="AR18" s="2085">
        <f t="shared" si="4"/>
        <v>9.5016511558090669E-2</v>
      </c>
    </row>
    <row r="19" spans="1:68" s="29" customFormat="1" ht="15.6">
      <c r="A19"/>
      <c r="B19" s="2081" t="s">
        <v>41</v>
      </c>
      <c r="C19" s="18"/>
      <c r="D19" s="2084">
        <v>4217</v>
      </c>
      <c r="E19" s="2085">
        <v>0.10931942138961347</v>
      </c>
      <c r="F19" s="60"/>
      <c r="G19" s="2084">
        <v>4478</v>
      </c>
      <c r="H19" s="2085">
        <v>0.11143367574810183</v>
      </c>
      <c r="I19"/>
      <c r="J19" s="2084">
        <v>4791</v>
      </c>
      <c r="K19" s="2085">
        <v>0.11208515967438948</v>
      </c>
      <c r="L19" s="61"/>
      <c r="M19" s="2084">
        <v>5141</v>
      </c>
      <c r="N19" s="2085">
        <v>0.11048434156778837</v>
      </c>
      <c r="P19" s="2084">
        <v>5281</v>
      </c>
      <c r="Q19" s="2085">
        <v>0.11266805529255823</v>
      </c>
      <c r="R19" s="193"/>
      <c r="S19" s="2084">
        <v>5289</v>
      </c>
      <c r="T19" s="2085">
        <v>0.11230856494611458</v>
      </c>
      <c r="U19" s="18"/>
      <c r="V19" s="2084">
        <v>5207</v>
      </c>
      <c r="W19" s="2085">
        <v>0.10831572882657961</v>
      </c>
      <c r="X19" s="18"/>
      <c r="Y19" s="2084">
        <v>5080</v>
      </c>
      <c r="Z19" s="2085">
        <v>0.10452755905511811</v>
      </c>
      <c r="AA19"/>
      <c r="AB19" s="2084">
        <v>4825</v>
      </c>
      <c r="AC19" s="2085">
        <v>0.10756476683937824</v>
      </c>
      <c r="AE19" s="2084">
        <v>4565</v>
      </c>
      <c r="AF19" s="2085">
        <v>0.10952902519167579</v>
      </c>
      <c r="AG19" s="2208"/>
      <c r="AH19" s="2082">
        <v>4284</v>
      </c>
      <c r="AI19" s="2085">
        <f t="shared" si="0"/>
        <v>0.11882998171846434</v>
      </c>
      <c r="AK19" s="2082">
        <v>4123</v>
      </c>
      <c r="AL19" s="2085">
        <f t="shared" si="1"/>
        <v>0.10211173483025929</v>
      </c>
      <c r="AN19" s="2082">
        <v>4087</v>
      </c>
      <c r="AO19" s="2085">
        <f t="shared" si="2"/>
        <v>0.10939196525515743</v>
      </c>
      <c r="AP19" s="5317"/>
      <c r="AQ19" s="2082">
        <f t="shared" si="3"/>
        <v>3951</v>
      </c>
      <c r="AR19" s="2085">
        <f t="shared" si="4"/>
        <v>0.11233108108108109</v>
      </c>
    </row>
    <row r="20" spans="1:68" s="4094" customFormat="1" ht="15" customHeight="1">
      <c r="A20" s="4078"/>
      <c r="B20" s="4088" t="s">
        <v>25</v>
      </c>
      <c r="C20" s="4089"/>
      <c r="D20" s="4090">
        <v>15169</v>
      </c>
      <c r="E20" s="4091">
        <v>0.11741050827345244</v>
      </c>
      <c r="F20" s="4092"/>
      <c r="G20" s="4090">
        <v>15662</v>
      </c>
      <c r="H20" s="4091">
        <v>0.116268675775763</v>
      </c>
      <c r="I20" s="4078"/>
      <c r="J20" s="4090">
        <v>16373</v>
      </c>
      <c r="K20" s="4091">
        <v>0.11152507176449032</v>
      </c>
      <c r="L20" s="4093"/>
      <c r="M20" s="4090">
        <v>17088</v>
      </c>
      <c r="N20" s="4091">
        <v>0.10375702247191011</v>
      </c>
      <c r="P20" s="4090">
        <v>17457</v>
      </c>
      <c r="Q20" s="4091">
        <v>0.10740677092283897</v>
      </c>
      <c r="R20" s="4095"/>
      <c r="S20" s="4090">
        <v>17479</v>
      </c>
      <c r="T20" s="4091">
        <v>0.10309514274271983</v>
      </c>
      <c r="U20" s="4089"/>
      <c r="V20" s="4090">
        <v>17611</v>
      </c>
      <c r="W20" s="4091">
        <v>0.10408267560047697</v>
      </c>
      <c r="X20" s="4089"/>
      <c r="Y20" s="4090">
        <v>17203</v>
      </c>
      <c r="Z20" s="4091">
        <v>9.9808172993082603E-2</v>
      </c>
      <c r="AA20" s="4078"/>
      <c r="AB20" s="4090">
        <v>17011</v>
      </c>
      <c r="AC20" s="4091">
        <v>0.10052319087649168</v>
      </c>
      <c r="AE20" s="4090">
        <v>16683</v>
      </c>
      <c r="AF20" s="4091">
        <v>0.10142060780435173</v>
      </c>
      <c r="AG20" s="4099"/>
      <c r="AH20" s="4090">
        <v>16180</v>
      </c>
      <c r="AI20" s="4091">
        <f t="shared" si="0"/>
        <v>0.10776393263042586</v>
      </c>
      <c r="AJ20" s="29"/>
      <c r="AK20" s="4090">
        <v>16121</v>
      </c>
      <c r="AL20" s="4091">
        <f t="shared" si="1"/>
        <v>0.10071009149255769</v>
      </c>
      <c r="AM20" s="29"/>
      <c r="AN20" s="4090">
        <v>16411</v>
      </c>
      <c r="AO20" s="4091">
        <f t="shared" si="2"/>
        <v>0.11738271941172465</v>
      </c>
      <c r="AP20" s="5317"/>
      <c r="AQ20" s="4090">
        <f>SUM(AQ17:AQ19)</f>
        <v>15897</v>
      </c>
      <c r="AR20" s="4091">
        <f t="shared" si="4"/>
        <v>0.11479663394109398</v>
      </c>
      <c r="AS20" s="29"/>
      <c r="AT20" s="29"/>
      <c r="AU20" s="29"/>
      <c r="AV20" s="29"/>
      <c r="AW20" s="29"/>
      <c r="AX20" s="29"/>
      <c r="AY20" s="29"/>
      <c r="BI20" s="29"/>
      <c r="BJ20" s="29"/>
      <c r="BK20" s="29"/>
      <c r="BL20" s="29"/>
      <c r="BM20" s="29"/>
      <c r="BN20" s="29"/>
      <c r="BO20" s="29"/>
      <c r="BP20" s="29"/>
    </row>
    <row r="21" spans="1:68" s="29" customFormat="1" ht="15.6">
      <c r="A21"/>
      <c r="B21"/>
      <c r="C21" s="18"/>
      <c r="D21"/>
      <c r="E21"/>
      <c r="F21"/>
      <c r="G21" s="2071"/>
      <c r="H21" s="2071"/>
      <c r="I21"/>
      <c r="J21" s="2071"/>
      <c r="K21" s="2071"/>
      <c r="L21" s="61"/>
      <c r="M21" s="2071"/>
      <c r="N21" s="2071"/>
      <c r="P21" s="2071"/>
      <c r="Q21" s="2071"/>
      <c r="R21" s="193"/>
      <c r="S21" s="2071"/>
      <c r="T21" s="2071"/>
      <c r="U21" s="18"/>
      <c r="V21" s="2071"/>
      <c r="W21" s="2071"/>
      <c r="X21" s="18"/>
      <c r="Y21" s="2071"/>
      <c r="Z21" s="2071"/>
      <c r="AA21"/>
      <c r="AB21" s="2071"/>
      <c r="AC21" s="2071"/>
      <c r="AE21" s="3023"/>
      <c r="AF21" s="3469"/>
      <c r="AG21" s="3890"/>
      <c r="AH21" s="3890"/>
      <c r="AI21" s="5317"/>
      <c r="AK21" s="4783"/>
      <c r="AL21" s="5317"/>
      <c r="AN21" s="5317"/>
      <c r="AO21" s="5317"/>
      <c r="AP21" s="5317"/>
      <c r="AQ21" s="5317"/>
      <c r="AR21" s="5317"/>
    </row>
    <row r="22" spans="1:68" s="29" customFormat="1" ht="15.6">
      <c r="A22"/>
      <c r="B22" s="2080" t="s">
        <v>4</v>
      </c>
      <c r="C22" s="18"/>
      <c r="D22" s="2082"/>
      <c r="E22" s="2083"/>
      <c r="F22" s="60"/>
      <c r="G22" s="2082">
        <v>60</v>
      </c>
      <c r="H22" s="2083"/>
      <c r="I22"/>
      <c r="J22" s="2082">
        <v>79</v>
      </c>
      <c r="K22" s="2083"/>
      <c r="L22" s="61"/>
      <c r="M22" s="2082">
        <v>123</v>
      </c>
      <c r="N22" s="2083"/>
      <c r="P22" s="2082">
        <v>139</v>
      </c>
      <c r="Q22" s="2083"/>
      <c r="R22" s="193"/>
      <c r="S22" s="2082">
        <v>173</v>
      </c>
      <c r="T22" s="2083"/>
      <c r="U22" s="18"/>
      <c r="V22" s="2082">
        <v>180</v>
      </c>
      <c r="W22" s="2083"/>
      <c r="X22" s="18"/>
      <c r="Y22" s="2082">
        <v>268</v>
      </c>
      <c r="Z22" s="2083"/>
      <c r="AA22"/>
      <c r="AB22" s="2082">
        <v>334</v>
      </c>
      <c r="AC22" s="2083"/>
      <c r="AE22" s="2082">
        <v>426</v>
      </c>
      <c r="AF22" s="2083"/>
      <c r="AG22" s="2208"/>
      <c r="AH22" s="2082">
        <v>489</v>
      </c>
      <c r="AI22" s="2083">
        <f t="shared" si="0"/>
        <v>0</v>
      </c>
      <c r="AK22" s="2082">
        <v>548</v>
      </c>
      <c r="AL22" s="2083">
        <f t="shared" si="1"/>
        <v>0</v>
      </c>
      <c r="AN22" s="2082">
        <v>626</v>
      </c>
      <c r="AO22" s="2083">
        <f t="shared" si="2"/>
        <v>0</v>
      </c>
      <c r="AP22" s="5317"/>
      <c r="AQ22" s="2082">
        <f t="shared" si="3"/>
        <v>679</v>
      </c>
      <c r="AR22" s="2083">
        <f t="shared" si="4"/>
        <v>0</v>
      </c>
    </row>
    <row r="23" spans="1:68" s="29" customFormat="1" ht="15.6">
      <c r="A23"/>
      <c r="B23" s="2081" t="s">
        <v>16</v>
      </c>
      <c r="C23" s="18"/>
      <c r="D23" s="2084"/>
      <c r="E23" s="2085"/>
      <c r="F23" s="60"/>
      <c r="G23" s="2084">
        <v>58</v>
      </c>
      <c r="H23" s="2085"/>
      <c r="I23"/>
      <c r="J23" s="2084">
        <v>80</v>
      </c>
      <c r="K23" s="2085"/>
      <c r="L23" s="61"/>
      <c r="M23" s="2084">
        <v>138</v>
      </c>
      <c r="N23" s="2085"/>
      <c r="P23" s="2084">
        <v>172</v>
      </c>
      <c r="Q23" s="2085"/>
      <c r="R23" s="193"/>
      <c r="S23" s="2084">
        <v>213</v>
      </c>
      <c r="T23" s="2085"/>
      <c r="U23" s="18"/>
      <c r="V23" s="2084">
        <v>247</v>
      </c>
      <c r="W23" s="2085"/>
      <c r="X23" s="18"/>
      <c r="Y23" s="2084">
        <v>301</v>
      </c>
      <c r="Z23" s="2085"/>
      <c r="AA23"/>
      <c r="AB23" s="2084">
        <v>371</v>
      </c>
      <c r="AC23" s="2085"/>
      <c r="AE23" s="2084">
        <v>411</v>
      </c>
      <c r="AF23" s="2085"/>
      <c r="AG23" s="2208"/>
      <c r="AH23" s="2082">
        <v>497</v>
      </c>
      <c r="AI23" s="2085">
        <f t="shared" si="0"/>
        <v>0</v>
      </c>
      <c r="AK23" s="2082">
        <v>534</v>
      </c>
      <c r="AL23" s="2085">
        <f t="shared" si="1"/>
        <v>0</v>
      </c>
      <c r="AN23" s="2082">
        <v>562</v>
      </c>
      <c r="AO23" s="2085">
        <f t="shared" si="2"/>
        <v>0</v>
      </c>
      <c r="AP23" s="5317"/>
      <c r="AQ23" s="2082">
        <f t="shared" si="3"/>
        <v>619</v>
      </c>
      <c r="AR23" s="2085">
        <f t="shared" si="4"/>
        <v>3.6850921273031828E-2</v>
      </c>
    </row>
    <row r="24" spans="1:68" s="29" customFormat="1" ht="15" customHeight="1">
      <c r="A24"/>
      <c r="B24" s="2081" t="s">
        <v>41</v>
      </c>
      <c r="C24" s="18"/>
      <c r="D24" s="2084"/>
      <c r="E24" s="2085"/>
      <c r="F24" s="60"/>
      <c r="G24" s="2084">
        <v>55</v>
      </c>
      <c r="H24" s="2085"/>
      <c r="I24"/>
      <c r="J24" s="2084">
        <v>69</v>
      </c>
      <c r="K24" s="2085"/>
      <c r="L24" s="61"/>
      <c r="M24" s="2084">
        <v>116</v>
      </c>
      <c r="N24" s="2085"/>
      <c r="P24" s="2084">
        <v>147</v>
      </c>
      <c r="Q24" s="2085"/>
      <c r="R24" s="193"/>
      <c r="S24" s="2084">
        <v>208</v>
      </c>
      <c r="T24" s="2085"/>
      <c r="U24" s="18"/>
      <c r="V24" s="2084">
        <v>247</v>
      </c>
      <c r="W24" s="2085"/>
      <c r="X24" s="18"/>
      <c r="Y24" s="2084">
        <v>299</v>
      </c>
      <c r="Z24" s="2085"/>
      <c r="AA24"/>
      <c r="AB24" s="2084">
        <v>341</v>
      </c>
      <c r="AC24" s="2085">
        <v>2.9325513196480938E-3</v>
      </c>
      <c r="AE24" s="2084">
        <v>415</v>
      </c>
      <c r="AF24" s="2085">
        <v>7.2289156626506026E-3</v>
      </c>
      <c r="AG24" s="2208"/>
      <c r="AH24" s="2082">
        <v>496</v>
      </c>
      <c r="AI24" s="2085">
        <f t="shared" si="0"/>
        <v>1.4314928425357873E-2</v>
      </c>
      <c r="AK24" s="2082">
        <v>563</v>
      </c>
      <c r="AL24" s="2085">
        <f t="shared" si="1"/>
        <v>1.6245487364620937E-2</v>
      </c>
      <c r="AN24" s="2082">
        <v>618</v>
      </c>
      <c r="AO24" s="2085">
        <f t="shared" si="2"/>
        <v>2.1487603305785124E-2</v>
      </c>
      <c r="AP24" s="5317"/>
      <c r="AQ24" s="2082">
        <f t="shared" si="3"/>
        <v>665</v>
      </c>
      <c r="AR24" s="2085">
        <f t="shared" si="4"/>
        <v>2.3076923076923078E-2</v>
      </c>
    </row>
    <row r="25" spans="1:68" s="4094" customFormat="1" ht="15.6">
      <c r="A25" s="4078"/>
      <c r="B25" s="4088" t="s">
        <v>240</v>
      </c>
      <c r="C25" s="4089"/>
      <c r="D25" s="4090"/>
      <c r="E25" s="4091"/>
      <c r="F25" s="4092"/>
      <c r="G25" s="4090">
        <v>173</v>
      </c>
      <c r="H25" s="4091"/>
      <c r="I25" s="4078"/>
      <c r="J25" s="4090">
        <v>228</v>
      </c>
      <c r="K25" s="4091"/>
      <c r="L25" s="4093"/>
      <c r="M25" s="4090">
        <v>377</v>
      </c>
      <c r="N25" s="4091"/>
      <c r="P25" s="4090">
        <v>458</v>
      </c>
      <c r="Q25" s="4091"/>
      <c r="R25" s="4095"/>
      <c r="S25" s="4090">
        <v>594</v>
      </c>
      <c r="T25" s="4091"/>
      <c r="U25" s="4089"/>
      <c r="V25" s="4090">
        <v>674</v>
      </c>
      <c r="W25" s="4091"/>
      <c r="X25" s="4089"/>
      <c r="Y25" s="4090">
        <v>868</v>
      </c>
      <c r="Z25" s="4091"/>
      <c r="AA25" s="4078"/>
      <c r="AB25" s="4090">
        <v>1046</v>
      </c>
      <c r="AC25" s="4091">
        <v>9.5602294455066918E-4</v>
      </c>
      <c r="AE25" s="4090">
        <v>1252</v>
      </c>
      <c r="AF25" s="4091">
        <v>0</v>
      </c>
      <c r="AG25" s="4099"/>
      <c r="AH25" s="4090">
        <v>1482</v>
      </c>
      <c r="AI25" s="4091">
        <f t="shared" si="0"/>
        <v>4.7457627118644066E-3</v>
      </c>
      <c r="AJ25" s="29"/>
      <c r="AK25" s="4090">
        <v>1645</v>
      </c>
      <c r="AL25" s="4091">
        <f t="shared" si="1"/>
        <v>5.5012224938875308E-3</v>
      </c>
      <c r="AM25" s="29"/>
      <c r="AN25" s="4090">
        <v>1806</v>
      </c>
      <c r="AO25" s="4091">
        <f t="shared" si="2"/>
        <v>7.2504182933630784E-3</v>
      </c>
      <c r="AP25" s="5317"/>
      <c r="AQ25" s="4090">
        <f>SUM(AQ22:AQ24)</f>
        <v>1963</v>
      </c>
      <c r="AR25" s="4091">
        <f t="shared" si="4"/>
        <v>1.9210799584631361E-2</v>
      </c>
      <c r="AS25" s="29"/>
      <c r="AT25" s="29"/>
      <c r="AU25" s="29"/>
      <c r="AV25" s="29"/>
      <c r="AW25" s="29"/>
      <c r="AX25" s="29"/>
      <c r="AY25" s="29"/>
      <c r="BI25" s="29"/>
      <c r="BJ25" s="29"/>
      <c r="BK25" s="29"/>
      <c r="BL25" s="29"/>
      <c r="BM25" s="29"/>
      <c r="BN25" s="29"/>
      <c r="BO25" s="29"/>
      <c r="BP25" s="29"/>
    </row>
    <row r="26" spans="1:68" s="29" customFormat="1" ht="15.6">
      <c r="A26"/>
      <c r="C26" s="18"/>
      <c r="D26" s="58"/>
      <c r="E26" s="59"/>
      <c r="F26" s="60"/>
      <c r="G26" s="58"/>
      <c r="H26" s="59"/>
      <c r="I26"/>
      <c r="J26" s="58"/>
      <c r="K26" s="59"/>
      <c r="L26" s="61"/>
      <c r="M26" s="58"/>
      <c r="N26" s="59"/>
      <c r="P26" s="58"/>
      <c r="Q26" s="59"/>
      <c r="R26" s="193"/>
      <c r="S26" s="58"/>
      <c r="T26" s="59"/>
      <c r="U26" s="18"/>
      <c r="V26" s="58"/>
      <c r="W26" s="59"/>
      <c r="X26" s="18"/>
      <c r="Y26" s="58"/>
      <c r="Z26" s="59"/>
      <c r="AA26"/>
      <c r="AB26" s="58"/>
      <c r="AC26" s="59"/>
      <c r="AE26" s="58"/>
      <c r="AF26" s="59"/>
      <c r="AG26" s="59"/>
      <c r="AH26" s="58"/>
      <c r="AI26" s="59"/>
      <c r="AK26" s="58"/>
      <c r="AL26" s="59"/>
      <c r="AN26" s="58"/>
      <c r="AO26" s="59"/>
      <c r="AP26" s="5317"/>
      <c r="AQ26" s="58"/>
      <c r="AR26" s="59"/>
    </row>
    <row r="27" spans="1:68" s="29" customFormat="1" ht="15.6">
      <c r="A27"/>
      <c r="B27" s="2080" t="s">
        <v>16</v>
      </c>
      <c r="C27" s="18"/>
      <c r="D27" s="2082">
        <v>6625</v>
      </c>
      <c r="E27" s="2083">
        <v>7.3509433962264156E-2</v>
      </c>
      <c r="F27" s="60"/>
      <c r="G27" s="2082">
        <v>6485</v>
      </c>
      <c r="H27" s="2083">
        <v>6.6152659984579795E-2</v>
      </c>
      <c r="I27"/>
      <c r="J27" s="2082">
        <v>6593</v>
      </c>
      <c r="K27" s="2083">
        <v>7.083270134991658E-2</v>
      </c>
      <c r="L27" s="61"/>
      <c r="M27" s="2082">
        <v>6662</v>
      </c>
      <c r="N27" s="2083">
        <v>6.3794656259381563E-2</v>
      </c>
      <c r="P27" s="2082">
        <v>6602</v>
      </c>
      <c r="Q27" s="2083">
        <v>6.8767040290820966E-2</v>
      </c>
      <c r="R27" s="193"/>
      <c r="S27" s="2082">
        <v>6598</v>
      </c>
      <c r="T27" s="2083">
        <v>6.1382237041527739E-2</v>
      </c>
      <c r="U27" s="18"/>
      <c r="V27" s="2082">
        <v>6700</v>
      </c>
      <c r="W27" s="2083">
        <v>6.9850746268656713E-2</v>
      </c>
      <c r="X27" s="18"/>
      <c r="Y27" s="2082">
        <v>6734</v>
      </c>
      <c r="Z27" s="2083">
        <v>6.7419067419067419E-2</v>
      </c>
      <c r="AA27"/>
      <c r="AB27" s="2082">
        <v>6983</v>
      </c>
      <c r="AC27" s="2083">
        <v>8.4490906487183159E-2</v>
      </c>
      <c r="AE27" s="2082">
        <v>7021</v>
      </c>
      <c r="AF27" s="2083">
        <v>7.1927075915111813E-2</v>
      </c>
      <c r="AG27" s="2208"/>
      <c r="AH27" s="4129">
        <v>7232</v>
      </c>
      <c r="AI27" s="2083">
        <f t="shared" si="0"/>
        <v>8.5071267816954232E-2</v>
      </c>
      <c r="AK27" s="4129">
        <v>7147</v>
      </c>
      <c r="AL27" s="2083">
        <f t="shared" si="1"/>
        <v>8.0750037804324812E-2</v>
      </c>
      <c r="AN27" s="4129">
        <v>7173</v>
      </c>
      <c r="AO27" s="2083">
        <f t="shared" si="2"/>
        <v>8.2390221819827983E-2</v>
      </c>
      <c r="AP27" s="5317"/>
      <c r="AQ27" s="4129">
        <f t="shared" si="3"/>
        <v>7015</v>
      </c>
      <c r="AR27" s="2083">
        <f t="shared" si="4"/>
        <v>8.0061585835257895E-2</v>
      </c>
    </row>
    <row r="28" spans="1:68" s="29" customFormat="1" ht="15.6">
      <c r="A28"/>
      <c r="B28" s="2081" t="s">
        <v>41</v>
      </c>
      <c r="C28" s="18"/>
      <c r="D28" s="2084">
        <v>7952</v>
      </c>
      <c r="E28" s="2085">
        <v>3.8983903420523137E-2</v>
      </c>
      <c r="F28" s="60"/>
      <c r="G28" s="2084">
        <v>7901</v>
      </c>
      <c r="H28" s="2085">
        <v>4.2146563726110621E-2</v>
      </c>
      <c r="I28"/>
      <c r="J28" s="2084">
        <v>7833</v>
      </c>
      <c r="K28" s="2085">
        <v>4.1363462274990423E-2</v>
      </c>
      <c r="L28" s="61"/>
      <c r="M28" s="2084">
        <v>7938</v>
      </c>
      <c r="N28" s="2085">
        <v>4.6989166036785088E-2</v>
      </c>
      <c r="P28" s="2084">
        <v>7914</v>
      </c>
      <c r="Q28" s="2085">
        <v>4.2835481425322217E-2</v>
      </c>
      <c r="R28" s="193"/>
      <c r="S28" s="2084">
        <v>8022</v>
      </c>
      <c r="T28" s="2085">
        <v>4.8117676389927699E-2</v>
      </c>
      <c r="U28" s="18"/>
      <c r="V28" s="2084">
        <v>8088</v>
      </c>
      <c r="W28" s="2085">
        <v>4.9332344213649855E-2</v>
      </c>
      <c r="X28" s="18"/>
      <c r="Y28" s="2084">
        <v>8318</v>
      </c>
      <c r="Z28" s="2085">
        <v>4.8809810050492904E-2</v>
      </c>
      <c r="AA28"/>
      <c r="AB28" s="2084">
        <v>8461</v>
      </c>
      <c r="AC28" s="2085">
        <v>4.7630303746602057E-2</v>
      </c>
      <c r="AE28" s="2084">
        <v>8610</v>
      </c>
      <c r="AF28" s="2085">
        <v>4.878048780487805E-2</v>
      </c>
      <c r="AG28" s="2208"/>
      <c r="AH28" s="4129">
        <v>8723</v>
      </c>
      <c r="AI28" s="2085">
        <f t="shared" si="0"/>
        <v>4.8059593896431572E-2</v>
      </c>
      <c r="AK28" s="4129">
        <v>8848</v>
      </c>
      <c r="AL28" s="2085">
        <f t="shared" si="1"/>
        <v>4.6976689149213109E-2</v>
      </c>
      <c r="AN28" s="4129">
        <v>8851</v>
      </c>
      <c r="AO28" s="2085">
        <f t="shared" si="2"/>
        <v>4.1784369114877588E-2</v>
      </c>
      <c r="AP28" s="5317"/>
      <c r="AQ28" s="4129">
        <f t="shared" si="3"/>
        <v>8803</v>
      </c>
      <c r="AR28" s="2085">
        <f t="shared" si="4"/>
        <v>4.5238660650676797E-2</v>
      </c>
    </row>
    <row r="29" spans="1:68" s="29" customFormat="1" ht="15.6">
      <c r="A29"/>
      <c r="B29" s="2081" t="s">
        <v>21</v>
      </c>
      <c r="C29" s="18"/>
      <c r="D29" s="2084">
        <v>3337</v>
      </c>
      <c r="E29" s="2085">
        <v>4.4650884027569671E-2</v>
      </c>
      <c r="F29" s="60"/>
      <c r="G29" s="2084">
        <v>3281</v>
      </c>
      <c r="H29" s="2085">
        <v>5.790917403230722E-2</v>
      </c>
      <c r="I29"/>
      <c r="J29" s="2084">
        <v>3280</v>
      </c>
      <c r="K29" s="2085">
        <v>4.4207317073170729E-2</v>
      </c>
      <c r="L29" s="61"/>
      <c r="M29" s="2084">
        <v>3365</v>
      </c>
      <c r="N29" s="2085">
        <v>5.7057949479940563E-2</v>
      </c>
      <c r="P29" s="2084">
        <v>3323</v>
      </c>
      <c r="Q29" s="2085">
        <v>4.9052061390309959E-2</v>
      </c>
      <c r="R29" s="193"/>
      <c r="S29" s="2084">
        <v>3339</v>
      </c>
      <c r="T29" s="2085">
        <v>5.9598682240191672E-2</v>
      </c>
      <c r="U29" s="18"/>
      <c r="V29" s="2084">
        <v>3355</v>
      </c>
      <c r="W29" s="2085">
        <v>4.8286140089418776E-2</v>
      </c>
      <c r="X29" s="18"/>
      <c r="Y29" s="2084">
        <v>3381</v>
      </c>
      <c r="Z29" s="2085">
        <v>5.7083703046435966E-2</v>
      </c>
      <c r="AA29"/>
      <c r="AB29" s="2084">
        <v>3368</v>
      </c>
      <c r="AC29" s="2085">
        <v>4.5130641330166268E-2</v>
      </c>
      <c r="AE29" s="2084">
        <v>3383</v>
      </c>
      <c r="AF29" s="2085">
        <v>4.9955660656222291E-2</v>
      </c>
      <c r="AG29" s="2208"/>
      <c r="AH29" s="4129">
        <v>3366</v>
      </c>
      <c r="AI29" s="2085">
        <f t="shared" si="0"/>
        <v>4.5017075442409189E-2</v>
      </c>
      <c r="AK29" s="4129">
        <v>3391</v>
      </c>
      <c r="AL29" s="2085">
        <f t="shared" si="1"/>
        <v>5.5728518057285181E-2</v>
      </c>
      <c r="AN29" s="4129">
        <v>3416</v>
      </c>
      <c r="AO29" s="2085">
        <f t="shared" si="2"/>
        <v>4.5927740355174523E-2</v>
      </c>
      <c r="AP29" s="5317"/>
      <c r="AQ29" s="4129">
        <f t="shared" si="3"/>
        <v>3410</v>
      </c>
      <c r="AR29" s="2085">
        <f t="shared" si="4"/>
        <v>5.7364341085271317E-2</v>
      </c>
    </row>
    <row r="30" spans="1:68" s="4096" customFormat="1" ht="15.6">
      <c r="A30" s="4078"/>
      <c r="B30" s="4088" t="s">
        <v>48</v>
      </c>
      <c r="C30" s="4089"/>
      <c r="D30" s="4090">
        <v>17914</v>
      </c>
      <c r="E30" s="4091">
        <v>5.2807859774478064E-2</v>
      </c>
      <c r="F30" s="4092"/>
      <c r="G30" s="4090">
        <v>17667</v>
      </c>
      <c r="H30" s="4091">
        <v>5.3885775740080376E-2</v>
      </c>
      <c r="I30" s="4078"/>
      <c r="J30" s="4090">
        <v>17706</v>
      </c>
      <c r="K30" s="4091">
        <v>5.2863436123348019E-2</v>
      </c>
      <c r="L30" s="4093"/>
      <c r="M30" s="4090">
        <v>17965</v>
      </c>
      <c r="N30" s="4091">
        <v>5.5107152797105485E-2</v>
      </c>
      <c r="P30" s="4090">
        <v>17839</v>
      </c>
      <c r="Q30" s="4091">
        <v>5.3590447895061386E-2</v>
      </c>
      <c r="R30" s="4095"/>
      <c r="S30" s="4090">
        <v>17959</v>
      </c>
      <c r="T30" s="4091">
        <v>5.5125563784175068E-2</v>
      </c>
      <c r="U30" s="4089"/>
      <c r="V30" s="4090">
        <v>18143</v>
      </c>
      <c r="W30" s="4091">
        <v>5.6716088849694098E-2</v>
      </c>
      <c r="X30" s="4089"/>
      <c r="Y30" s="4090">
        <v>18433</v>
      </c>
      <c r="Z30" s="4091">
        <v>5.7125806976618024E-2</v>
      </c>
      <c r="AA30" s="4078"/>
      <c r="AB30" s="4090">
        <v>18812</v>
      </c>
      <c r="AC30" s="4091">
        <v>6.086540506059962E-2</v>
      </c>
      <c r="AE30" s="4090">
        <v>19014</v>
      </c>
      <c r="AF30" s="4091">
        <v>5.7536552014305249E-2</v>
      </c>
      <c r="AG30" s="4099"/>
      <c r="AH30" s="4090">
        <v>19321</v>
      </c>
      <c r="AI30" s="4091">
        <f t="shared" si="0"/>
        <v>6.1068702290076333E-2</v>
      </c>
      <c r="AJ30" s="4099"/>
      <c r="AK30" s="4090">
        <v>19386</v>
      </c>
      <c r="AL30" s="4091">
        <f t="shared" si="1"/>
        <v>6.0735390676296783E-2</v>
      </c>
      <c r="AM30" s="4099"/>
      <c r="AN30" s="4090">
        <v>19440</v>
      </c>
      <c r="AO30" s="4091">
        <f t="shared" si="2"/>
        <v>5.7153733210071236E-2</v>
      </c>
      <c r="AP30" s="5317"/>
      <c r="AQ30" s="4090">
        <f>SUM(AQ27:AQ29)</f>
        <v>19228</v>
      </c>
      <c r="AR30" s="4091">
        <f t="shared" si="4"/>
        <v>5.9861095799801568E-2</v>
      </c>
      <c r="AS30" s="4099"/>
      <c r="AT30" s="4099"/>
      <c r="AU30" s="4099"/>
      <c r="AV30" s="4099"/>
      <c r="AW30" s="4099"/>
      <c r="AX30" s="4099"/>
      <c r="AY30" s="4099"/>
      <c r="BI30" s="4099"/>
      <c r="BJ30" s="4099"/>
      <c r="BK30" s="4099"/>
      <c r="BL30" s="4099"/>
      <c r="BM30" s="4099"/>
      <c r="BN30" s="4099"/>
      <c r="BO30" s="4099"/>
      <c r="BP30" s="4099"/>
    </row>
    <row r="31" spans="1:68" s="29" customFormat="1" ht="15.6">
      <c r="A31"/>
      <c r="C31" s="18"/>
      <c r="D31" s="58"/>
      <c r="E31" s="59"/>
      <c r="F31" s="60"/>
      <c r="G31" s="58"/>
      <c r="H31" s="59"/>
      <c r="I31"/>
      <c r="J31" s="58"/>
      <c r="K31" s="59"/>
      <c r="L31" s="61"/>
      <c r="M31" s="58"/>
      <c r="N31" s="59"/>
      <c r="P31" s="58"/>
      <c r="Q31" s="59"/>
      <c r="R31" s="193"/>
      <c r="S31" s="58"/>
      <c r="T31" s="59"/>
      <c r="U31" s="18"/>
      <c r="V31" s="58"/>
      <c r="W31" s="59"/>
      <c r="X31" s="18"/>
      <c r="Y31" s="58"/>
      <c r="Z31" s="59"/>
      <c r="AA31"/>
      <c r="AB31" s="58"/>
      <c r="AC31" s="59"/>
      <c r="AE31" s="58"/>
      <c r="AF31" s="59"/>
      <c r="AG31" s="59"/>
      <c r="AH31" s="58"/>
      <c r="AI31" s="59"/>
      <c r="AJ31" s="59"/>
      <c r="AK31" s="58"/>
      <c r="AL31" s="59"/>
      <c r="AM31" s="59"/>
      <c r="AN31" s="58"/>
      <c r="AO31" s="59"/>
      <c r="AP31" s="5317"/>
      <c r="AQ31" s="58"/>
      <c r="AR31" s="59"/>
      <c r="AS31" s="59"/>
      <c r="AT31" s="59"/>
      <c r="AU31" s="59"/>
      <c r="AV31" s="59"/>
      <c r="AW31" s="59"/>
      <c r="AX31" s="59"/>
      <c r="AY31" s="59"/>
      <c r="BI31" s="59"/>
      <c r="BJ31" s="59"/>
      <c r="BK31" s="59"/>
      <c r="BL31" s="59"/>
      <c r="BM31" s="59"/>
      <c r="BN31" s="59"/>
      <c r="BO31" s="59"/>
      <c r="BP31" s="59"/>
    </row>
    <row r="32" spans="1:68" s="4096" customFormat="1" ht="15.6">
      <c r="A32" s="4078"/>
      <c r="B32" s="4097" t="s">
        <v>67</v>
      </c>
      <c r="C32" s="4089"/>
      <c r="D32" s="4098">
        <v>51922</v>
      </c>
      <c r="E32" s="4081">
        <v>6.4057624898886792E-2</v>
      </c>
      <c r="F32" s="4092"/>
      <c r="G32" s="4098">
        <v>52888</v>
      </c>
      <c r="H32" s="4081">
        <v>6.3908637119951595E-2</v>
      </c>
      <c r="I32" s="4078"/>
      <c r="J32" s="4098">
        <v>54364</v>
      </c>
      <c r="K32" s="4081">
        <v>6.3203590611434032E-2</v>
      </c>
      <c r="L32" s="4093"/>
      <c r="M32" s="4098">
        <v>55967</v>
      </c>
      <c r="N32" s="4081">
        <v>6.2679793449711432E-2</v>
      </c>
      <c r="P32" s="4098">
        <v>56606</v>
      </c>
      <c r="Q32" s="4081">
        <v>6.5505423453344175E-2</v>
      </c>
      <c r="R32" s="4095"/>
      <c r="S32" s="4098">
        <v>57092</v>
      </c>
      <c r="T32" s="4081">
        <v>6.5122959433896163E-2</v>
      </c>
      <c r="U32" s="4089"/>
      <c r="V32" s="4098">
        <v>57742</v>
      </c>
      <c r="W32" s="4081">
        <v>6.6537355824183436E-2</v>
      </c>
      <c r="X32" s="4089"/>
      <c r="Y32" s="4098">
        <v>57827</v>
      </c>
      <c r="Z32" s="4081">
        <v>6.6370380618050395E-2</v>
      </c>
      <c r="AA32" s="4078"/>
      <c r="AB32" s="4098">
        <v>58623</v>
      </c>
      <c r="AC32" s="4081">
        <v>6.5980928986916404E-2</v>
      </c>
      <c r="AE32" s="4098">
        <v>59705</v>
      </c>
      <c r="AF32" s="4081">
        <v>6.5220668285738206E-2</v>
      </c>
      <c r="AG32" s="4100"/>
      <c r="AH32" s="4098">
        <v>59709</v>
      </c>
      <c r="AI32" s="4081">
        <f t="shared" si="0"/>
        <v>6.5509118812234549E-2</v>
      </c>
      <c r="AJ32" s="4100"/>
      <c r="AK32" s="4098">
        <v>60865</v>
      </c>
      <c r="AL32" s="4081">
        <f t="shared" si="1"/>
        <v>6.2921309070587822E-2</v>
      </c>
      <c r="AM32" s="4100"/>
      <c r="AN32" s="4098">
        <v>61908</v>
      </c>
      <c r="AO32" s="4081">
        <f t="shared" si="2"/>
        <v>6.623953704660536E-2</v>
      </c>
      <c r="AP32" s="5317"/>
      <c r="AQ32" s="4098">
        <f>SUM(AQ10,AQ15,AQ20,AQ25,AQ30)</f>
        <v>61622</v>
      </c>
      <c r="AR32" s="4081">
        <f t="shared" si="4"/>
        <v>6.7324846280419154E-2</v>
      </c>
      <c r="AS32" s="4100"/>
      <c r="AT32" s="4100"/>
      <c r="AU32" s="4100"/>
      <c r="AV32" s="4100"/>
      <c r="AW32" s="4100"/>
      <c r="AX32" s="4100"/>
      <c r="AY32" s="4100"/>
      <c r="BI32" s="4100"/>
      <c r="BJ32" s="4100"/>
      <c r="BK32" s="4100"/>
      <c r="BL32" s="4100"/>
      <c r="BM32" s="4100"/>
      <c r="BN32" s="4100"/>
      <c r="BO32" s="4100"/>
      <c r="BP32" s="4100"/>
    </row>
    <row r="33" spans="1:81" s="30" customFormat="1" ht="15.75" customHeight="1">
      <c r="A33"/>
      <c r="B33"/>
      <c r="C33" s="18"/>
      <c r="D33" s="2"/>
      <c r="E33"/>
      <c r="F33" s="60"/>
      <c r="G33"/>
      <c r="H33" s="57"/>
      <c r="I33"/>
      <c r="J33" s="57"/>
      <c r="K33" s="57"/>
      <c r="L33" s="61"/>
      <c r="M33" s="57"/>
      <c r="N33" s="57"/>
      <c r="R33" s="193"/>
      <c r="U33" s="18"/>
      <c r="X33" s="18"/>
      <c r="AA33"/>
      <c r="AP33" s="5317"/>
    </row>
    <row r="34" spans="1:81" s="31" customFormat="1" ht="15.75" customHeight="1">
      <c r="A34"/>
      <c r="B34"/>
      <c r="C34" s="18"/>
      <c r="AA34"/>
      <c r="AN34" s="4812"/>
      <c r="AO34" s="4812"/>
      <c r="AP34" s="5317"/>
      <c r="AQ34" s="4812"/>
      <c r="AR34" s="4812"/>
      <c r="AS34" s="4812"/>
      <c r="AT34" s="7294" t="s">
        <v>2789</v>
      </c>
      <c r="AU34" s="7294"/>
      <c r="AV34" s="7289" t="s">
        <v>3289</v>
      </c>
      <c r="AW34" s="7294" t="s">
        <v>2789</v>
      </c>
      <c r="AX34" s="7294"/>
      <c r="AY34" s="7289" t="s">
        <v>3081</v>
      </c>
      <c r="AZ34" s="7294" t="s">
        <v>2789</v>
      </c>
      <c r="BA34" s="7294"/>
      <c r="BB34" s="7289" t="s">
        <v>2787</v>
      </c>
      <c r="BC34" s="7294" t="s">
        <v>2789</v>
      </c>
      <c r="BD34" s="7294"/>
      <c r="BE34" s="7289" t="s">
        <v>2788</v>
      </c>
      <c r="BI34" s="4812"/>
      <c r="BJ34" s="4812"/>
      <c r="BK34" s="4812"/>
      <c r="BL34" s="4812"/>
      <c r="BM34" s="4812"/>
      <c r="BN34" s="4812"/>
      <c r="BO34" s="4812"/>
      <c r="BP34" s="4812"/>
    </row>
    <row r="35" spans="1:81" s="31" customFormat="1" ht="16.2" thickBot="1">
      <c r="A35"/>
      <c r="B35"/>
      <c r="C35"/>
      <c r="D35"/>
      <c r="E35"/>
      <c r="F35"/>
      <c r="G35"/>
      <c r="H35"/>
      <c r="I35"/>
      <c r="J35"/>
      <c r="K35"/>
      <c r="L35"/>
      <c r="M35"/>
      <c r="N35"/>
      <c r="U35" s="18"/>
      <c r="AN35" s="4809"/>
      <c r="AO35" s="4809"/>
      <c r="AP35" s="5317"/>
      <c r="AQ35" s="4809"/>
      <c r="AR35" s="4809"/>
      <c r="AS35" s="4809"/>
      <c r="AT35" s="4811" t="s">
        <v>2790</v>
      </c>
      <c r="AU35" s="4811" t="s">
        <v>2791</v>
      </c>
      <c r="AV35" s="7290"/>
      <c r="AW35" s="4811" t="s">
        <v>2790</v>
      </c>
      <c r="AX35" s="4811" t="s">
        <v>2791</v>
      </c>
      <c r="AY35" s="7290"/>
      <c r="AZ35" s="4811" t="s">
        <v>2790</v>
      </c>
      <c r="BA35" s="4811" t="s">
        <v>2791</v>
      </c>
      <c r="BB35" s="7290"/>
      <c r="BC35" s="4811" t="s">
        <v>2790</v>
      </c>
      <c r="BD35" s="4811" t="s">
        <v>2791</v>
      </c>
      <c r="BE35" s="7290"/>
      <c r="BI35" s="4809"/>
      <c r="BJ35" s="4809"/>
      <c r="BK35" s="4809"/>
      <c r="BL35" s="4809"/>
      <c r="BM35" s="4809"/>
      <c r="BN35" s="4809"/>
      <c r="BO35" s="4809"/>
      <c r="BP35" s="4809"/>
    </row>
    <row r="36" spans="1:81" ht="15" customHeight="1">
      <c r="C36" s="18"/>
      <c r="J36" s="24"/>
      <c r="U36" s="18"/>
      <c r="AN36" s="4809"/>
      <c r="AO36" s="4809"/>
      <c r="AQ36" s="4809"/>
      <c r="AR36" s="4809"/>
      <c r="AS36" s="4809"/>
      <c r="AT36" s="29"/>
      <c r="AU36" s="29"/>
      <c r="AV36" s="29"/>
      <c r="AW36" s="29"/>
      <c r="AX36" s="29"/>
      <c r="AY36" s="29"/>
      <c r="AZ36" s="29"/>
      <c r="BA36" s="29"/>
      <c r="BB36" s="29"/>
      <c r="BC36" s="29"/>
      <c r="BD36" s="29"/>
      <c r="BE36" s="29"/>
      <c r="BI36" s="4809"/>
      <c r="BJ36" s="4809"/>
      <c r="BK36" s="4809"/>
      <c r="BL36" s="4809"/>
      <c r="BM36" s="4809"/>
      <c r="BN36" s="4809"/>
      <c r="BO36" s="4809"/>
      <c r="BP36" s="4809"/>
      <c r="BQ36" s="4783"/>
      <c r="BR36" s="4783"/>
      <c r="BS36" s="4783"/>
      <c r="BT36" s="4783"/>
      <c r="BU36" s="4783"/>
      <c r="BV36" s="4783"/>
      <c r="BW36" s="4783"/>
      <c r="BX36" s="4783"/>
      <c r="BY36" s="4783"/>
      <c r="BZ36" s="4783"/>
      <c r="CA36" s="4783"/>
      <c r="CB36" s="4783"/>
      <c r="CC36" s="4783"/>
    </row>
    <row r="37" spans="1:81" ht="15" customHeight="1">
      <c r="C37" s="18"/>
      <c r="AN37" s="4809"/>
      <c r="AO37" s="4809"/>
      <c r="AQ37" s="4809"/>
      <c r="AR37" s="4809"/>
      <c r="AS37" s="4809" t="s">
        <v>4</v>
      </c>
      <c r="AT37" s="5927">
        <v>7667</v>
      </c>
      <c r="AU37" s="5927">
        <v>257</v>
      </c>
      <c r="AV37" s="6561">
        <f>SUM(AT37:AU37)</f>
        <v>7924</v>
      </c>
      <c r="AW37" s="5927">
        <v>7761</v>
      </c>
      <c r="AX37" s="5927">
        <v>241</v>
      </c>
      <c r="AY37" s="6561">
        <f>SUM(AW37:AX37)</f>
        <v>8002</v>
      </c>
      <c r="AZ37" s="5927">
        <v>7537</v>
      </c>
      <c r="BA37" s="5927">
        <v>257</v>
      </c>
      <c r="BB37" s="6561">
        <f>SUM(AZ37:BA37)</f>
        <v>7794</v>
      </c>
      <c r="BC37" s="5927">
        <v>7088</v>
      </c>
      <c r="BD37" s="5927">
        <v>266</v>
      </c>
      <c r="BE37" s="6561">
        <f>SUM(BC37:BD37)</f>
        <v>7354</v>
      </c>
      <c r="BI37" s="4809"/>
      <c r="BJ37" s="4809"/>
      <c r="BK37" s="4809"/>
      <c r="BL37" s="4809"/>
      <c r="BM37" s="4809"/>
      <c r="BN37" s="4809"/>
      <c r="BO37" s="4809"/>
      <c r="BP37" s="4809"/>
      <c r="BQ37" s="4783"/>
      <c r="BR37" s="4783"/>
      <c r="BS37" s="4783"/>
      <c r="BT37" s="4783"/>
      <c r="BU37" s="4783"/>
      <c r="BV37" s="4783"/>
      <c r="BW37" s="4783"/>
      <c r="BX37" s="4783"/>
      <c r="BY37" s="4783"/>
      <c r="BZ37" s="4783"/>
      <c r="CA37" s="4783"/>
      <c r="CB37" s="4783"/>
      <c r="CC37" s="4783"/>
    </row>
    <row r="38" spans="1:81" ht="15.6">
      <c r="C38" s="18"/>
      <c r="AN38" s="4809"/>
      <c r="AO38" s="4809"/>
      <c r="AQ38" s="4809"/>
      <c r="AR38" s="4809"/>
      <c r="AS38" s="4809" t="s">
        <v>16</v>
      </c>
      <c r="AT38" s="6564">
        <v>7565</v>
      </c>
      <c r="AU38" s="6564">
        <v>337</v>
      </c>
      <c r="AV38" s="6561">
        <f t="shared" ref="AV38:AV59" si="5">SUM(AT38:AU38)</f>
        <v>7902</v>
      </c>
      <c r="AW38" s="6564">
        <v>7397</v>
      </c>
      <c r="AX38" s="6564">
        <v>303</v>
      </c>
      <c r="AY38" s="6561">
        <f t="shared" ref="AY38:AY62" si="6">SUM(AW38:AX38)</f>
        <v>7700</v>
      </c>
      <c r="AZ38" s="6564">
        <v>7331</v>
      </c>
      <c r="BA38" s="6564">
        <v>321</v>
      </c>
      <c r="BB38" s="6561">
        <f>SUM(AZ38:BA38)</f>
        <v>7652</v>
      </c>
      <c r="BC38" s="6564">
        <v>7127</v>
      </c>
      <c r="BD38" s="6564">
        <v>312</v>
      </c>
      <c r="BE38" s="6561">
        <f t="shared" ref="BE38:BE62" si="7">SUM(BC38:BD38)</f>
        <v>7439</v>
      </c>
      <c r="BI38" s="4809"/>
      <c r="BJ38" s="4809"/>
      <c r="BK38" s="4809"/>
      <c r="BL38" s="4809"/>
      <c r="BM38" s="4809"/>
      <c r="BN38" s="4809"/>
      <c r="BO38" s="4809"/>
      <c r="BP38" s="4809"/>
      <c r="BQ38" s="4783"/>
      <c r="BR38" s="4783"/>
      <c r="BS38" s="4783"/>
      <c r="BT38" s="4783"/>
      <c r="BU38" s="4783"/>
      <c r="BV38" s="4783"/>
      <c r="BW38" s="4783"/>
      <c r="BX38" s="4783"/>
      <c r="BY38" s="4783"/>
      <c r="BZ38" s="4783"/>
      <c r="CA38" s="4783"/>
      <c r="CB38" s="4783"/>
      <c r="CC38" s="4783"/>
    </row>
    <row r="39" spans="1:81" ht="15.6">
      <c r="C39" s="18"/>
      <c r="AN39" s="4809"/>
      <c r="AO39" s="4809"/>
      <c r="AQ39" s="4809"/>
      <c r="AR39" s="4809"/>
      <c r="AS39" s="4809" t="s">
        <v>21</v>
      </c>
      <c r="AT39" s="6564">
        <v>4108</v>
      </c>
      <c r="AU39" s="6564">
        <v>291</v>
      </c>
      <c r="AV39" s="6561">
        <f t="shared" si="5"/>
        <v>4399</v>
      </c>
      <c r="AW39" s="6564">
        <v>4042</v>
      </c>
      <c r="AX39" s="6564">
        <v>236</v>
      </c>
      <c r="AY39" s="6561">
        <f t="shared" si="6"/>
        <v>4278</v>
      </c>
      <c r="AZ39" s="6564">
        <v>3982</v>
      </c>
      <c r="BA39" s="6564">
        <v>192</v>
      </c>
      <c r="BB39" s="6561">
        <f>SUM(AZ39:BA39)</f>
        <v>4174</v>
      </c>
      <c r="BC39" s="6564">
        <v>3870</v>
      </c>
      <c r="BD39" s="6564">
        <v>176</v>
      </c>
      <c r="BE39" s="6561">
        <f t="shared" si="7"/>
        <v>4046</v>
      </c>
      <c r="BI39" s="4809"/>
      <c r="BJ39" s="4809"/>
      <c r="BK39" s="4809"/>
      <c r="BL39" s="4809"/>
      <c r="BM39" s="4809"/>
      <c r="BN39" s="4809"/>
      <c r="BO39" s="4809"/>
      <c r="BP39" s="4809"/>
      <c r="BQ39" s="4783"/>
      <c r="BR39" s="4783"/>
      <c r="BS39" s="4783"/>
      <c r="BT39" s="4783"/>
      <c r="BU39" s="4783"/>
      <c r="BV39" s="4783"/>
      <c r="BW39" s="4783"/>
      <c r="BX39" s="4783"/>
      <c r="BY39" s="4783"/>
      <c r="BZ39" s="4783"/>
      <c r="CA39" s="4783"/>
      <c r="CB39" s="4783"/>
      <c r="CC39" s="4783"/>
    </row>
    <row r="40" spans="1:81" ht="15.6">
      <c r="C40" s="18"/>
      <c r="AN40" s="4809"/>
      <c r="AO40" s="4809"/>
      <c r="AQ40" s="4809"/>
      <c r="AR40" s="4809"/>
      <c r="AS40" s="4809" t="s">
        <v>3</v>
      </c>
      <c r="AT40" s="6565">
        <v>19340</v>
      </c>
      <c r="AU40" s="6565">
        <v>885</v>
      </c>
      <c r="AV40" s="6562">
        <f>SUM(AV37:AV39)</f>
        <v>20225</v>
      </c>
      <c r="AW40" s="6565">
        <v>19200</v>
      </c>
      <c r="AX40" s="6565">
        <v>780</v>
      </c>
      <c r="AY40" s="6562">
        <f t="shared" si="6"/>
        <v>19980</v>
      </c>
      <c r="AZ40" s="6565">
        <v>18850</v>
      </c>
      <c r="BA40" s="6565">
        <v>770</v>
      </c>
      <c r="BB40" s="6562">
        <f>SUM(AZ40:BA40)</f>
        <v>19620</v>
      </c>
      <c r="BC40" s="6565">
        <v>18085</v>
      </c>
      <c r="BD40" s="6565">
        <v>754</v>
      </c>
      <c r="BE40" s="6566">
        <f t="shared" si="7"/>
        <v>18839</v>
      </c>
      <c r="BI40" s="4809"/>
      <c r="BJ40" s="4809"/>
      <c r="BK40" s="4809"/>
      <c r="BL40" s="4809"/>
      <c r="BM40" s="4809"/>
      <c r="BN40" s="4809"/>
      <c r="BO40" s="4809"/>
      <c r="BP40" s="4809"/>
      <c r="BQ40" s="4783"/>
      <c r="BR40" s="4783"/>
      <c r="BS40" s="4783"/>
      <c r="BT40" s="4783"/>
      <c r="BU40" s="4783"/>
      <c r="BV40" s="4783"/>
      <c r="BW40" s="4783"/>
      <c r="BX40" s="4783"/>
      <c r="BY40" s="4783"/>
      <c r="BZ40" s="4783"/>
      <c r="CA40" s="4783"/>
      <c r="CB40" s="4783"/>
      <c r="CC40" s="4783"/>
    </row>
    <row r="41" spans="1:81" ht="15.6">
      <c r="C41" s="18"/>
      <c r="AN41" s="4809"/>
      <c r="AO41" s="4809"/>
      <c r="AQ41" s="4809"/>
      <c r="AR41" s="4809"/>
      <c r="AS41" s="4809"/>
      <c r="AT41" s="6567"/>
      <c r="AU41" s="6567"/>
      <c r="AV41" s="6567"/>
      <c r="AW41" s="6567"/>
      <c r="AX41" s="6567"/>
      <c r="AY41" s="6567"/>
      <c r="AZ41" s="6567"/>
      <c r="BA41" s="6567"/>
      <c r="BB41" s="6567"/>
      <c r="BC41" s="6567"/>
      <c r="BD41" s="6567"/>
      <c r="BE41" s="6567"/>
      <c r="BI41" s="4809"/>
      <c r="BJ41" s="4809"/>
      <c r="BK41" s="4809"/>
      <c r="BL41" s="4809"/>
      <c r="BM41" s="4809"/>
      <c r="BN41" s="4809"/>
      <c r="BO41" s="4809"/>
      <c r="BP41" s="4809"/>
      <c r="BQ41" s="4783"/>
      <c r="BR41" s="4783"/>
      <c r="BS41" s="4783"/>
      <c r="BT41" s="4783"/>
      <c r="BU41" s="4783"/>
      <c r="BV41" s="4783"/>
      <c r="BW41" s="4783"/>
      <c r="BX41" s="4783"/>
      <c r="BY41" s="4783"/>
      <c r="BZ41" s="4783"/>
      <c r="CA41" s="4783"/>
      <c r="CB41" s="4783"/>
      <c r="CC41" s="4783"/>
    </row>
    <row r="42" spans="1:81" ht="15.6">
      <c r="C42" s="18"/>
      <c r="AN42" s="4809"/>
      <c r="AO42" s="4809"/>
      <c r="AQ42" s="4809"/>
      <c r="AR42" s="4809"/>
      <c r="AS42" s="4809" t="s">
        <v>16</v>
      </c>
      <c r="AT42" s="6564">
        <v>1337</v>
      </c>
      <c r="AU42" s="6564">
        <v>110</v>
      </c>
      <c r="AV42" s="6561">
        <f t="shared" si="5"/>
        <v>1447</v>
      </c>
      <c r="AW42" s="6564">
        <v>1297</v>
      </c>
      <c r="AX42" s="6564">
        <v>139</v>
      </c>
      <c r="AY42" s="6561">
        <f t="shared" si="6"/>
        <v>1436</v>
      </c>
      <c r="AZ42" s="6564">
        <v>1261</v>
      </c>
      <c r="BA42" s="6564">
        <v>124</v>
      </c>
      <c r="BB42" s="6561">
        <f>SUM(AZ42:BA42)</f>
        <v>1385</v>
      </c>
      <c r="BC42" s="6564">
        <v>1208</v>
      </c>
      <c r="BD42" s="6564">
        <v>92</v>
      </c>
      <c r="BE42" s="6561">
        <f t="shared" si="7"/>
        <v>1300</v>
      </c>
      <c r="BI42" s="4809"/>
      <c r="BJ42" s="4809"/>
      <c r="BK42" s="4809"/>
      <c r="BL42" s="4809"/>
      <c r="BM42" s="4809"/>
      <c r="BN42" s="4809"/>
      <c r="BO42" s="4809"/>
      <c r="BP42" s="4809"/>
      <c r="BQ42" s="4783"/>
      <c r="BR42" s="4783"/>
      <c r="BS42" s="4783"/>
      <c r="BT42" s="4783"/>
      <c r="BU42" s="4783"/>
      <c r="BV42" s="4783"/>
      <c r="BW42" s="4783"/>
      <c r="BX42" s="4783"/>
      <c r="BY42" s="4783"/>
      <c r="BZ42" s="4783"/>
      <c r="CA42" s="4783"/>
      <c r="CB42" s="4783"/>
      <c r="CC42" s="4783"/>
    </row>
    <row r="43" spans="1:81" ht="15.6">
      <c r="C43" s="18"/>
      <c r="AN43" s="4809"/>
      <c r="AO43" s="4809"/>
      <c r="AQ43" s="4809"/>
      <c r="AR43" s="4809"/>
      <c r="AS43" s="4809" t="s">
        <v>61</v>
      </c>
      <c r="AT43" s="6564">
        <v>1352</v>
      </c>
      <c r="AU43" s="6564">
        <v>62</v>
      </c>
      <c r="AV43" s="6561">
        <f t="shared" si="5"/>
        <v>1414</v>
      </c>
      <c r="AW43" s="6564">
        <v>1335</v>
      </c>
      <c r="AX43" s="6564">
        <v>70</v>
      </c>
      <c r="AY43" s="6561">
        <f t="shared" si="6"/>
        <v>1405</v>
      </c>
      <c r="AZ43" s="6564">
        <v>1286</v>
      </c>
      <c r="BA43" s="6564">
        <v>61</v>
      </c>
      <c r="BB43" s="6561">
        <f>SUM(AZ43:BA43)</f>
        <v>1347</v>
      </c>
      <c r="BC43" s="6564">
        <v>1222</v>
      </c>
      <c r="BD43" s="6564">
        <v>67</v>
      </c>
      <c r="BE43" s="6561">
        <f t="shared" si="7"/>
        <v>1289</v>
      </c>
      <c r="BI43" s="4809"/>
      <c r="BJ43" s="4809"/>
      <c r="BK43" s="4809"/>
      <c r="BL43" s="4809"/>
      <c r="BM43" s="4809"/>
      <c r="BN43" s="4809"/>
      <c r="BO43" s="4809"/>
      <c r="BP43" s="4809"/>
      <c r="BQ43" s="4783"/>
      <c r="BR43" s="4783"/>
      <c r="BS43" s="4783"/>
      <c r="BT43" s="4783"/>
      <c r="BU43" s="4783"/>
      <c r="BV43" s="4783"/>
      <c r="BW43" s="4783"/>
      <c r="BX43" s="4783"/>
      <c r="BY43" s="4783"/>
      <c r="BZ43" s="4783"/>
      <c r="CA43" s="4783"/>
      <c r="CB43" s="4783"/>
      <c r="CC43" s="4783"/>
    </row>
    <row r="44" spans="1:81" ht="15.6">
      <c r="C44" s="18"/>
      <c r="AN44" s="4809"/>
      <c r="AO44" s="4809"/>
      <c r="AQ44" s="4809"/>
      <c r="AR44" s="4809"/>
      <c r="AS44" s="4809" t="s">
        <v>64</v>
      </c>
      <c r="AT44" s="6564">
        <v>1378</v>
      </c>
      <c r="AU44" s="6564">
        <v>70</v>
      </c>
      <c r="AV44" s="6561">
        <f t="shared" si="5"/>
        <v>1448</v>
      </c>
      <c r="AW44" s="6564">
        <v>1361</v>
      </c>
      <c r="AX44" s="6564">
        <v>69</v>
      </c>
      <c r="AY44" s="6561">
        <f t="shared" si="6"/>
        <v>1430</v>
      </c>
      <c r="AZ44" s="6564">
        <v>1307</v>
      </c>
      <c r="BA44" s="6564">
        <v>54</v>
      </c>
      <c r="BB44" s="6561">
        <f>SUM(AZ44:BA44)</f>
        <v>1361</v>
      </c>
      <c r="BC44" s="6564">
        <v>1233</v>
      </c>
      <c r="BD44" s="6564">
        <v>65</v>
      </c>
      <c r="BE44" s="6561">
        <f t="shared" si="7"/>
        <v>1298</v>
      </c>
      <c r="BI44" s="4809"/>
      <c r="BJ44" s="4809"/>
      <c r="BK44" s="4809"/>
      <c r="BL44" s="4809"/>
      <c r="BM44" s="4809"/>
      <c r="BN44" s="4809"/>
      <c r="BO44" s="4809"/>
      <c r="BP44" s="4809"/>
      <c r="BQ44" s="4783"/>
      <c r="BR44" s="4783"/>
      <c r="BS44" s="4783"/>
      <c r="BT44" s="4783"/>
      <c r="BU44" s="4783"/>
      <c r="BV44" s="4783"/>
      <c r="BW44" s="4783"/>
      <c r="BX44" s="4783"/>
      <c r="BY44" s="4783"/>
      <c r="BZ44" s="4783"/>
      <c r="CA44" s="4783"/>
      <c r="CB44" s="4783"/>
      <c r="CC44" s="4783"/>
    </row>
    <row r="45" spans="1:81" ht="15.6">
      <c r="C45" s="18"/>
      <c r="AN45" s="4809"/>
      <c r="AO45" s="4809"/>
      <c r="AQ45" s="4809"/>
      <c r="AR45" s="4809"/>
      <c r="AS45" s="4809" t="s">
        <v>59</v>
      </c>
      <c r="AT45" s="6565">
        <v>4067</v>
      </c>
      <c r="AU45" s="6565">
        <v>242</v>
      </c>
      <c r="AV45" s="6562">
        <f>SUM(AV41:AV44)</f>
        <v>4309</v>
      </c>
      <c r="AW45" s="6565">
        <v>3993</v>
      </c>
      <c r="AX45" s="6565">
        <v>278</v>
      </c>
      <c r="AY45" s="6562">
        <f t="shared" si="6"/>
        <v>4271</v>
      </c>
      <c r="AZ45" s="6565">
        <v>3854</v>
      </c>
      <c r="BA45" s="6565">
        <v>239</v>
      </c>
      <c r="BB45" s="6562">
        <f>SUM(AZ45:BA45)</f>
        <v>4093</v>
      </c>
      <c r="BC45" s="6565">
        <v>3663</v>
      </c>
      <c r="BD45" s="6565">
        <v>224</v>
      </c>
      <c r="BE45" s="6566">
        <f t="shared" si="7"/>
        <v>3887</v>
      </c>
      <c r="BI45" s="4809"/>
      <c r="BJ45" s="4809"/>
      <c r="BK45" s="4809"/>
      <c r="BL45" s="4809"/>
      <c r="BM45" s="4809"/>
      <c r="BN45" s="4809"/>
      <c r="BO45" s="4809"/>
      <c r="BP45" s="4809"/>
      <c r="BQ45" s="4783"/>
      <c r="BR45" s="4783"/>
      <c r="BS45" s="4783"/>
      <c r="BT45" s="4783"/>
      <c r="BU45" s="4783"/>
      <c r="BV45" s="4783"/>
      <c r="BW45" s="4783"/>
      <c r="BX45" s="4783"/>
      <c r="BY45" s="4783"/>
      <c r="BZ45" s="4783"/>
      <c r="CA45" s="4783"/>
      <c r="CB45" s="4783"/>
      <c r="CC45" s="4783"/>
    </row>
    <row r="46" spans="1:81" ht="15.6">
      <c r="C46" s="18"/>
      <c r="AN46" s="4809"/>
      <c r="AO46" s="4809"/>
      <c r="AQ46" s="4809"/>
      <c r="AR46" s="4809"/>
      <c r="AS46" s="4809"/>
      <c r="AT46" s="6567"/>
      <c r="AU46" s="6567"/>
      <c r="AV46" s="6567"/>
      <c r="AW46" s="6567"/>
      <c r="AX46" s="6567"/>
      <c r="AY46" s="6567"/>
      <c r="AZ46" s="6567"/>
      <c r="BA46" s="6567"/>
      <c r="BB46" s="6567"/>
      <c r="BC46" s="6567"/>
      <c r="BD46" s="6567"/>
      <c r="BE46" s="6567"/>
      <c r="BI46" s="4809"/>
      <c r="BJ46" s="4809"/>
      <c r="BK46" s="4809"/>
      <c r="BL46" s="4809"/>
      <c r="BM46" s="4809"/>
      <c r="BN46" s="4809"/>
      <c r="BO46" s="4809"/>
      <c r="BP46" s="4809"/>
      <c r="BQ46" s="4783"/>
      <c r="BR46" s="4783"/>
      <c r="BS46" s="4783"/>
      <c r="BT46" s="4783"/>
      <c r="BU46" s="4783"/>
      <c r="BV46" s="4783"/>
      <c r="BW46" s="4783"/>
      <c r="BX46" s="4783"/>
      <c r="BY46" s="4783"/>
      <c r="BZ46" s="4783"/>
      <c r="CA46" s="4783"/>
      <c r="CB46" s="4783"/>
      <c r="CC46" s="4783"/>
    </row>
    <row r="47" spans="1:81" ht="15.6">
      <c r="C47" s="18"/>
      <c r="AN47" s="4809"/>
      <c r="AO47" s="4809"/>
      <c r="AQ47" s="4809"/>
      <c r="AR47" s="4809"/>
      <c r="AS47" s="4809" t="s">
        <v>4</v>
      </c>
      <c r="AT47" s="6564">
        <v>4046</v>
      </c>
      <c r="AU47" s="6564">
        <v>605</v>
      </c>
      <c r="AV47" s="6561">
        <f t="shared" si="5"/>
        <v>4651</v>
      </c>
      <c r="AW47" s="6564">
        <v>4156</v>
      </c>
      <c r="AX47" s="6564">
        <v>590</v>
      </c>
      <c r="AY47" s="6561">
        <f t="shared" si="6"/>
        <v>4746</v>
      </c>
      <c r="AZ47" s="6564">
        <v>4111</v>
      </c>
      <c r="BA47" s="6564">
        <v>520</v>
      </c>
      <c r="BB47" s="6561">
        <f>SUM(AZ47:BA47)</f>
        <v>4631</v>
      </c>
      <c r="BC47" s="6564">
        <v>4142</v>
      </c>
      <c r="BD47" s="6564">
        <v>529</v>
      </c>
      <c r="BE47" s="6561">
        <f t="shared" si="7"/>
        <v>4671</v>
      </c>
      <c r="BI47" s="4809"/>
      <c r="BJ47" s="4809"/>
      <c r="BK47" s="4809"/>
      <c r="BL47" s="4809"/>
      <c r="BM47" s="4809"/>
      <c r="BN47" s="4809"/>
      <c r="BO47" s="4809"/>
      <c r="BP47" s="4809"/>
      <c r="BQ47" s="4783"/>
      <c r="BR47" s="4783"/>
      <c r="BS47" s="4783"/>
      <c r="BT47" s="4783"/>
      <c r="BU47" s="4783"/>
      <c r="BV47" s="4783"/>
      <c r="BW47" s="4783"/>
      <c r="BX47" s="4783"/>
      <c r="BY47" s="4783"/>
      <c r="BZ47" s="4783"/>
      <c r="CA47" s="4783"/>
      <c r="CB47" s="4783"/>
      <c r="CC47" s="4783"/>
    </row>
    <row r="48" spans="1:81" ht="15.6">
      <c r="C48" s="18"/>
      <c r="AN48" s="4809"/>
      <c r="AO48" s="4809"/>
      <c r="AQ48" s="4809"/>
      <c r="AR48" s="4809"/>
      <c r="AS48" s="4809" t="s">
        <v>16</v>
      </c>
      <c r="AT48" s="6564">
        <v>6662</v>
      </c>
      <c r="AU48" s="6564">
        <v>633</v>
      </c>
      <c r="AV48" s="6561">
        <f t="shared" si="5"/>
        <v>7295</v>
      </c>
      <c r="AW48" s="6564">
        <v>6847</v>
      </c>
      <c r="AX48" s="6564">
        <v>731</v>
      </c>
      <c r="AY48" s="6561">
        <f t="shared" si="6"/>
        <v>7578</v>
      </c>
      <c r="AZ48" s="6564">
        <v>6794</v>
      </c>
      <c r="BA48" s="6564">
        <v>573</v>
      </c>
      <c r="BB48" s="6561">
        <f>SUM(AZ48:BA48)</f>
        <v>7367</v>
      </c>
      <c r="BC48" s="6564">
        <v>6635</v>
      </c>
      <c r="BD48" s="6564">
        <v>590</v>
      </c>
      <c r="BE48" s="6561">
        <f t="shared" si="7"/>
        <v>7225</v>
      </c>
      <c r="BI48" s="4809"/>
      <c r="BJ48" s="4809"/>
      <c r="BK48" s="4809"/>
      <c r="BL48" s="4809"/>
      <c r="BM48" s="4809"/>
      <c r="BN48" s="4809"/>
      <c r="BO48" s="4809"/>
      <c r="BP48" s="4809"/>
      <c r="BQ48" s="4783"/>
      <c r="BR48" s="4783"/>
      <c r="BS48" s="4783"/>
      <c r="BT48" s="4783"/>
      <c r="BU48" s="4783"/>
      <c r="BV48" s="4783"/>
      <c r="BW48" s="4783"/>
      <c r="BX48" s="4783"/>
      <c r="BY48" s="4783"/>
      <c r="BZ48" s="4783"/>
      <c r="CA48" s="4783"/>
      <c r="CB48" s="4783"/>
      <c r="CC48" s="4783"/>
    </row>
    <row r="49" spans="3:81" ht="15.6">
      <c r="C49" s="18"/>
      <c r="AN49" s="4809"/>
      <c r="AO49" s="4809"/>
      <c r="AQ49" s="4809"/>
      <c r="AR49" s="4809"/>
      <c r="AS49" s="4809" t="s">
        <v>41</v>
      </c>
      <c r="AT49" s="6564">
        <v>3552</v>
      </c>
      <c r="AU49" s="6564">
        <v>399</v>
      </c>
      <c r="AV49" s="6561">
        <f t="shared" si="5"/>
        <v>3951</v>
      </c>
      <c r="AW49" s="6564">
        <v>3684</v>
      </c>
      <c r="AX49" s="6564">
        <v>403</v>
      </c>
      <c r="AY49" s="6561">
        <f t="shared" si="6"/>
        <v>4087</v>
      </c>
      <c r="AZ49" s="6564">
        <v>3741</v>
      </c>
      <c r="BA49" s="6564">
        <v>382</v>
      </c>
      <c r="BB49" s="6561">
        <f>SUM(AZ49:BA49)</f>
        <v>4123</v>
      </c>
      <c r="BC49" s="6564">
        <v>3829</v>
      </c>
      <c r="BD49" s="6564">
        <v>455</v>
      </c>
      <c r="BE49" s="6561">
        <f t="shared" si="7"/>
        <v>4284</v>
      </c>
      <c r="BI49" s="4809"/>
      <c r="BJ49" s="4809"/>
      <c r="BK49" s="4809"/>
      <c r="BL49" s="4809"/>
      <c r="BM49" s="4809"/>
      <c r="BN49" s="4809"/>
      <c r="BO49" s="4809"/>
      <c r="BP49" s="4809"/>
      <c r="BQ49" s="4783"/>
      <c r="BR49" s="4783"/>
      <c r="BS49" s="4783"/>
      <c r="BT49" s="4783"/>
      <c r="BU49" s="4783"/>
      <c r="BV49" s="4783"/>
      <c r="BW49" s="4783"/>
      <c r="BX49" s="4783"/>
      <c r="BY49" s="4783"/>
      <c r="BZ49" s="4783"/>
      <c r="CA49" s="4783"/>
      <c r="CB49" s="4783"/>
      <c r="CC49" s="4783"/>
    </row>
    <row r="50" spans="3:81" ht="15.6">
      <c r="C50" s="18"/>
      <c r="AN50" s="4809"/>
      <c r="AO50" s="4809"/>
      <c r="AQ50" s="4809"/>
      <c r="AR50" s="4809"/>
      <c r="AS50" s="4809" t="s">
        <v>25</v>
      </c>
      <c r="AT50" s="6565">
        <v>14260</v>
      </c>
      <c r="AU50" s="6565">
        <v>1637</v>
      </c>
      <c r="AV50" s="6562">
        <f>SUM(AV46:AV49)</f>
        <v>15897</v>
      </c>
      <c r="AW50" s="6565">
        <v>14687</v>
      </c>
      <c r="AX50" s="6565">
        <v>1724</v>
      </c>
      <c r="AY50" s="6562">
        <f t="shared" si="6"/>
        <v>16411</v>
      </c>
      <c r="AZ50" s="6565">
        <v>14646</v>
      </c>
      <c r="BA50" s="6565">
        <v>1475</v>
      </c>
      <c r="BB50" s="6562">
        <f>SUM(AZ50:BA50)</f>
        <v>16121</v>
      </c>
      <c r="BC50" s="6565">
        <v>14606</v>
      </c>
      <c r="BD50" s="6565">
        <v>1574</v>
      </c>
      <c r="BE50" s="6566">
        <f t="shared" si="7"/>
        <v>16180</v>
      </c>
      <c r="BI50" s="4809"/>
      <c r="BJ50" s="4809"/>
      <c r="BK50" s="4809"/>
      <c r="BL50" s="4809"/>
      <c r="BM50" s="4809"/>
      <c r="BN50" s="4809"/>
      <c r="BO50" s="4809"/>
      <c r="BP50" s="4809"/>
      <c r="BQ50" s="4783"/>
      <c r="BR50" s="4783"/>
      <c r="BS50" s="4783"/>
      <c r="BT50" s="4783"/>
      <c r="BU50" s="4783"/>
      <c r="BV50" s="4783"/>
      <c r="BW50" s="4783"/>
      <c r="BX50" s="4783"/>
      <c r="BY50" s="4783"/>
      <c r="BZ50" s="4783"/>
      <c r="CA50" s="4783"/>
      <c r="CB50" s="4783"/>
      <c r="CC50" s="4783"/>
    </row>
    <row r="51" spans="3:81" ht="15.75" customHeight="1">
      <c r="C51" s="18"/>
      <c r="AN51" s="4809"/>
      <c r="AO51" s="4809"/>
      <c r="AQ51" s="4809"/>
      <c r="AR51" s="4809"/>
      <c r="AS51" s="4809"/>
      <c r="AT51" s="6567"/>
      <c r="AU51" s="6567"/>
      <c r="AV51" s="6567"/>
      <c r="AW51" s="6567"/>
      <c r="AX51" s="6567"/>
      <c r="AY51" s="6567"/>
      <c r="AZ51" s="6567"/>
      <c r="BA51" s="6567"/>
      <c r="BB51" s="6567"/>
      <c r="BC51" s="6567"/>
      <c r="BD51" s="6567"/>
      <c r="BE51" s="6567"/>
      <c r="BI51" s="4809"/>
      <c r="BJ51" s="4809"/>
      <c r="BK51" s="4809"/>
      <c r="BL51" s="4809"/>
      <c r="BM51" s="4809"/>
      <c r="BN51" s="4809"/>
      <c r="BO51" s="4809"/>
      <c r="BP51" s="4809"/>
      <c r="BQ51" s="4783"/>
      <c r="BR51" s="4783"/>
      <c r="BS51" s="4783"/>
      <c r="BT51" s="4783"/>
      <c r="BU51" s="4783"/>
      <c r="BV51" s="4783"/>
      <c r="BW51" s="4783"/>
      <c r="BX51" s="4783"/>
      <c r="BY51" s="4783"/>
      <c r="BZ51" s="4783"/>
      <c r="CA51" s="4783"/>
      <c r="CB51" s="4783"/>
      <c r="CC51" s="4783"/>
    </row>
    <row r="52" spans="3:81" ht="15.6">
      <c r="C52" s="18"/>
      <c r="AN52" s="4809"/>
      <c r="AO52" s="4809"/>
      <c r="AQ52" s="4809"/>
      <c r="AR52" s="4809"/>
      <c r="AS52" s="4809" t="s">
        <v>4</v>
      </c>
      <c r="AT52" s="6564">
        <v>679</v>
      </c>
      <c r="AU52" s="6564"/>
      <c r="AV52" s="6561">
        <f t="shared" si="5"/>
        <v>679</v>
      </c>
      <c r="AW52" s="6564">
        <v>626</v>
      </c>
      <c r="AX52" s="6564"/>
      <c r="AY52" s="6561">
        <f t="shared" si="6"/>
        <v>626</v>
      </c>
      <c r="AZ52" s="6564">
        <v>548</v>
      </c>
      <c r="BA52" s="6564"/>
      <c r="BB52" s="6561">
        <f>SUM(AZ52:BA52)</f>
        <v>548</v>
      </c>
      <c r="BC52" s="6564">
        <v>489</v>
      </c>
      <c r="BD52" s="6564"/>
      <c r="BE52" s="6561">
        <f t="shared" si="7"/>
        <v>489</v>
      </c>
      <c r="BI52" s="4809"/>
      <c r="BJ52" s="4809"/>
      <c r="BK52" s="4809"/>
      <c r="BL52" s="4809"/>
      <c r="BM52" s="4809"/>
      <c r="BN52" s="4809"/>
      <c r="BO52" s="4809"/>
      <c r="BP52" s="4809"/>
      <c r="BQ52" s="4783"/>
      <c r="BR52" s="4783"/>
      <c r="BS52" s="4783"/>
      <c r="BT52" s="4783"/>
      <c r="BU52" s="4783"/>
      <c r="BV52" s="4783"/>
      <c r="BW52" s="4783"/>
      <c r="BX52" s="4783"/>
      <c r="BY52" s="4783"/>
      <c r="BZ52" s="4783"/>
      <c r="CA52" s="4783"/>
      <c r="CB52" s="4783"/>
      <c r="CC52" s="4783"/>
    </row>
    <row r="53" spans="3:81" ht="15" customHeight="1">
      <c r="C53" s="18"/>
      <c r="AN53" s="4809"/>
      <c r="AO53" s="4809"/>
      <c r="AQ53" s="4809"/>
      <c r="AR53" s="4809"/>
      <c r="AS53" s="4809" t="s">
        <v>16</v>
      </c>
      <c r="AT53" s="6564">
        <v>597</v>
      </c>
      <c r="AU53" s="6564">
        <v>22</v>
      </c>
      <c r="AV53" s="6561">
        <f t="shared" si="5"/>
        <v>619</v>
      </c>
      <c r="AW53" s="6564">
        <v>562</v>
      </c>
      <c r="AX53" s="6564"/>
      <c r="AY53" s="6561">
        <f t="shared" si="6"/>
        <v>562</v>
      </c>
      <c r="AZ53" s="6564">
        <v>534</v>
      </c>
      <c r="BA53" s="6564"/>
      <c r="BB53" s="6561">
        <f>SUM(AZ53:BA53)</f>
        <v>534</v>
      </c>
      <c r="BC53" s="6564">
        <v>497</v>
      </c>
      <c r="BD53" s="6564"/>
      <c r="BE53" s="6561">
        <f t="shared" si="7"/>
        <v>497</v>
      </c>
      <c r="BI53" s="4809"/>
      <c r="BJ53" s="4809"/>
      <c r="BK53" s="4809"/>
      <c r="BL53" s="4809"/>
      <c r="BM53" s="4809"/>
      <c r="BN53" s="4809"/>
      <c r="BO53" s="4809"/>
      <c r="BP53" s="4809"/>
      <c r="BQ53" s="4783"/>
      <c r="BR53" s="4783"/>
      <c r="BS53" s="4783"/>
      <c r="BT53" s="4783"/>
      <c r="BU53" s="4783"/>
      <c r="BV53" s="4783"/>
      <c r="BW53" s="4783"/>
      <c r="BX53" s="4783"/>
      <c r="BY53" s="4783"/>
      <c r="BZ53" s="4783"/>
      <c r="CA53" s="4783"/>
      <c r="CB53" s="4783"/>
      <c r="CC53" s="4783"/>
    </row>
    <row r="54" spans="3:81" ht="15" customHeight="1">
      <c r="C54" s="18"/>
      <c r="AN54" s="4809"/>
      <c r="AO54" s="4809"/>
      <c r="AQ54" s="4809"/>
      <c r="AR54" s="4809"/>
      <c r="AS54" s="4809" t="s">
        <v>41</v>
      </c>
      <c r="AT54" s="6564">
        <v>650</v>
      </c>
      <c r="AU54" s="6564">
        <v>15</v>
      </c>
      <c r="AV54" s="6561">
        <f t="shared" si="5"/>
        <v>665</v>
      </c>
      <c r="AW54" s="6564">
        <v>605</v>
      </c>
      <c r="AX54" s="6564">
        <v>13</v>
      </c>
      <c r="AY54" s="6561">
        <f t="shared" si="6"/>
        <v>618</v>
      </c>
      <c r="AZ54" s="6564">
        <v>554</v>
      </c>
      <c r="BA54" s="6564">
        <v>9</v>
      </c>
      <c r="BB54" s="6561">
        <f>SUM(AZ54:BA54)</f>
        <v>563</v>
      </c>
      <c r="BC54" s="6564">
        <v>489</v>
      </c>
      <c r="BD54" s="6564">
        <v>7</v>
      </c>
      <c r="BE54" s="6561">
        <f t="shared" si="7"/>
        <v>496</v>
      </c>
      <c r="BI54" s="4809"/>
      <c r="BJ54" s="4809"/>
      <c r="BK54" s="4809"/>
      <c r="BL54" s="4809"/>
      <c r="BM54" s="4809"/>
      <c r="BN54" s="4809"/>
      <c r="BO54" s="4809"/>
      <c r="BP54" s="4809"/>
      <c r="BQ54" s="4783"/>
      <c r="BR54" s="4783"/>
      <c r="BS54" s="4783"/>
      <c r="BT54" s="4783"/>
      <c r="BU54" s="4783"/>
      <c r="BV54" s="4783"/>
      <c r="BW54" s="4783"/>
      <c r="BX54" s="4783"/>
      <c r="BY54" s="4783"/>
      <c r="BZ54" s="4783"/>
      <c r="CA54" s="4783"/>
      <c r="CB54" s="4783"/>
      <c r="CC54" s="4783"/>
    </row>
    <row r="55" spans="3:81" ht="15.6">
      <c r="C55" s="18"/>
      <c r="AN55" s="4809"/>
      <c r="AO55" s="4809"/>
      <c r="AP55" s="4809"/>
      <c r="AQ55" s="4809"/>
      <c r="AR55" s="4809"/>
      <c r="AS55" s="4809" t="s">
        <v>240</v>
      </c>
      <c r="AT55" s="6565">
        <v>1926</v>
      </c>
      <c r="AU55" s="6565">
        <v>37</v>
      </c>
      <c r="AV55" s="6562">
        <f>SUM(AV52:AV54)</f>
        <v>1963</v>
      </c>
      <c r="AW55" s="6565">
        <v>1793</v>
      </c>
      <c r="AX55" s="6565">
        <v>13</v>
      </c>
      <c r="AY55" s="6562">
        <f t="shared" si="6"/>
        <v>1806</v>
      </c>
      <c r="AZ55" s="6565">
        <v>1636</v>
      </c>
      <c r="BA55" s="6565">
        <v>9</v>
      </c>
      <c r="BB55" s="6562">
        <f>SUM(AZ55:BA55)</f>
        <v>1645</v>
      </c>
      <c r="BC55" s="6565">
        <v>1475</v>
      </c>
      <c r="BD55" s="6565">
        <v>7</v>
      </c>
      <c r="BE55" s="6566">
        <f t="shared" si="7"/>
        <v>1482</v>
      </c>
      <c r="BI55" s="4809"/>
      <c r="BJ55" s="4809"/>
      <c r="BK55" s="4809"/>
      <c r="BL55" s="4809"/>
      <c r="BM55" s="4809"/>
      <c r="BN55" s="4809"/>
      <c r="BO55" s="4809"/>
      <c r="BP55" s="4809"/>
      <c r="BQ55" s="4783"/>
      <c r="BR55" s="4783"/>
      <c r="BS55" s="4783"/>
      <c r="BT55" s="4783"/>
      <c r="BU55" s="4783"/>
      <c r="BV55" s="4783"/>
      <c r="BW55" s="4783"/>
      <c r="BX55" s="4783"/>
      <c r="BY55" s="4783"/>
      <c r="BZ55" s="4783"/>
      <c r="CA55" s="4783"/>
      <c r="CB55" s="4783"/>
      <c r="CC55" s="4783"/>
    </row>
    <row r="56" spans="3:81" ht="15.6">
      <c r="C56" s="18"/>
      <c r="AN56" s="4809"/>
      <c r="AO56" s="4809"/>
      <c r="AP56" s="4809"/>
      <c r="AQ56" s="4809"/>
      <c r="AR56" s="4809"/>
      <c r="AS56" s="4809"/>
      <c r="AT56" s="6567"/>
      <c r="AU56" s="6567"/>
      <c r="AV56" s="6567"/>
      <c r="AW56" s="6567"/>
      <c r="AX56" s="6567"/>
      <c r="AY56" s="6567"/>
      <c r="AZ56" s="6567"/>
      <c r="BA56" s="6567"/>
      <c r="BB56" s="6567"/>
      <c r="BC56" s="6567"/>
      <c r="BD56" s="6567"/>
      <c r="BE56" s="6567"/>
      <c r="BI56" s="4809"/>
      <c r="BJ56" s="4809"/>
      <c r="BK56" s="4809"/>
      <c r="BL56" s="4809"/>
      <c r="BM56" s="4809"/>
      <c r="BN56" s="4809"/>
      <c r="BO56" s="4809"/>
      <c r="BP56" s="4809"/>
      <c r="BQ56" s="4783"/>
      <c r="BR56" s="4783"/>
      <c r="BS56" s="4783"/>
      <c r="BT56" s="4783"/>
      <c r="BU56" s="4783"/>
      <c r="BV56" s="4783"/>
      <c r="BW56" s="4783"/>
      <c r="BX56" s="4783"/>
      <c r="BY56" s="4783"/>
      <c r="BZ56" s="4783"/>
      <c r="CA56" s="4783"/>
      <c r="CB56" s="4783"/>
      <c r="CC56" s="4783"/>
    </row>
    <row r="57" spans="3:81" ht="15.6">
      <c r="C57" s="18"/>
      <c r="AN57" s="4809"/>
      <c r="AO57" s="4809"/>
      <c r="AP57" s="4809"/>
      <c r="AQ57" s="4809"/>
      <c r="AR57" s="4809"/>
      <c r="AS57" s="4809" t="s">
        <v>16</v>
      </c>
      <c r="AT57" s="6564">
        <v>6495</v>
      </c>
      <c r="AU57" s="6564">
        <v>520</v>
      </c>
      <c r="AV57" s="6561">
        <f t="shared" si="5"/>
        <v>7015</v>
      </c>
      <c r="AW57" s="6564">
        <v>6627</v>
      </c>
      <c r="AX57" s="6564">
        <v>546</v>
      </c>
      <c r="AY57" s="6561">
        <f t="shared" si="6"/>
        <v>7173</v>
      </c>
      <c r="AZ57" s="6564">
        <v>6613</v>
      </c>
      <c r="BA57" s="6564">
        <v>534</v>
      </c>
      <c r="BB57" s="6561">
        <f>SUM(AZ57:BA57)</f>
        <v>7147</v>
      </c>
      <c r="BC57" s="6564">
        <v>6665</v>
      </c>
      <c r="BD57" s="6564">
        <v>567</v>
      </c>
      <c r="BE57" s="6561">
        <f t="shared" si="7"/>
        <v>7232</v>
      </c>
      <c r="BI57" s="4809"/>
      <c r="BJ57" s="4809"/>
      <c r="BK57" s="4809"/>
      <c r="BL57" s="4809"/>
      <c r="BM57" s="4809"/>
      <c r="BN57" s="4809"/>
      <c r="BO57" s="4809"/>
      <c r="BP57" s="4809"/>
      <c r="BQ57" s="4783"/>
      <c r="BR57" s="4783"/>
      <c r="BS57" s="4783"/>
      <c r="BT57" s="4783"/>
      <c r="BU57" s="4783"/>
      <c r="BV57" s="4783"/>
      <c r="BW57" s="4783"/>
      <c r="BX57" s="4783"/>
      <c r="BY57" s="4783"/>
      <c r="BZ57" s="4783"/>
      <c r="CA57" s="4783"/>
      <c r="CB57" s="4783"/>
      <c r="CC57" s="4783"/>
    </row>
    <row r="58" spans="3:81" ht="15.6">
      <c r="C58" s="18"/>
      <c r="AN58" s="4809"/>
      <c r="AO58" s="4809"/>
      <c r="AP58" s="4809"/>
      <c r="AQ58" s="4809"/>
      <c r="AR58" s="4809"/>
      <c r="AS58" s="4809" t="s">
        <v>41</v>
      </c>
      <c r="AT58" s="6564">
        <v>8422</v>
      </c>
      <c r="AU58" s="6564">
        <v>381</v>
      </c>
      <c r="AV58" s="6561">
        <f t="shared" si="5"/>
        <v>8803</v>
      </c>
      <c r="AW58" s="6564">
        <v>8496</v>
      </c>
      <c r="AX58" s="6564">
        <v>355</v>
      </c>
      <c r="AY58" s="6561">
        <f t="shared" si="6"/>
        <v>8851</v>
      </c>
      <c r="AZ58" s="6564">
        <v>8451</v>
      </c>
      <c r="BA58" s="6564">
        <v>397</v>
      </c>
      <c r="BB58" s="6561">
        <f>SUM(AZ58:BA58)</f>
        <v>8848</v>
      </c>
      <c r="BC58" s="6564">
        <v>8323</v>
      </c>
      <c r="BD58" s="6564">
        <v>400</v>
      </c>
      <c r="BE58" s="6561">
        <f t="shared" si="7"/>
        <v>8723</v>
      </c>
      <c r="BI58" s="4809"/>
      <c r="BJ58" s="4809"/>
      <c r="BK58" s="4809"/>
      <c r="BL58" s="4809"/>
      <c r="BM58" s="4809"/>
      <c r="BN58" s="4809"/>
      <c r="BO58" s="4809"/>
      <c r="BP58" s="4809"/>
      <c r="BQ58" s="4783"/>
      <c r="BR58" s="4783"/>
      <c r="BS58" s="4783"/>
      <c r="BT58" s="4783"/>
      <c r="BU58" s="4783"/>
      <c r="BV58" s="4783"/>
      <c r="BW58" s="4783"/>
      <c r="BX58" s="4783"/>
      <c r="BY58" s="4783"/>
      <c r="BZ58" s="4783"/>
      <c r="CA58" s="4783"/>
      <c r="CB58" s="4783"/>
      <c r="CC58" s="4783"/>
    </row>
    <row r="59" spans="3:81" ht="15" customHeight="1">
      <c r="C59" s="18"/>
      <c r="AN59" s="4809"/>
      <c r="AO59" s="4809"/>
      <c r="AP59" s="4809"/>
      <c r="AQ59" s="4809"/>
      <c r="AR59" s="4809"/>
      <c r="AS59" s="4809" t="s">
        <v>21</v>
      </c>
      <c r="AT59" s="6564">
        <v>3225</v>
      </c>
      <c r="AU59" s="6564">
        <v>185</v>
      </c>
      <c r="AV59" s="6561">
        <f t="shared" si="5"/>
        <v>3410</v>
      </c>
      <c r="AW59" s="6564">
        <v>3266</v>
      </c>
      <c r="AX59" s="6564">
        <v>150</v>
      </c>
      <c r="AY59" s="6561">
        <f t="shared" si="6"/>
        <v>3416</v>
      </c>
      <c r="AZ59" s="6564">
        <v>3212</v>
      </c>
      <c r="BA59" s="6564">
        <v>179</v>
      </c>
      <c r="BB59" s="6561">
        <f>SUM(AZ59:BA59)</f>
        <v>3391</v>
      </c>
      <c r="BC59" s="6564">
        <v>3221</v>
      </c>
      <c r="BD59" s="6564">
        <v>145</v>
      </c>
      <c r="BE59" s="6561">
        <f t="shared" si="7"/>
        <v>3366</v>
      </c>
      <c r="BI59" s="4809"/>
      <c r="BJ59" s="4809"/>
      <c r="BK59" s="4809"/>
      <c r="BL59" s="4809"/>
      <c r="BM59" s="4809"/>
      <c r="BN59" s="4809"/>
      <c r="BO59" s="4809"/>
      <c r="BP59" s="4809"/>
      <c r="BQ59" s="4783"/>
      <c r="BR59" s="4783"/>
      <c r="BS59" s="4783"/>
      <c r="BT59" s="4783"/>
      <c r="BU59" s="4783"/>
      <c r="BV59" s="4783"/>
      <c r="BW59" s="4783"/>
      <c r="BX59" s="4783"/>
      <c r="BY59" s="4783"/>
      <c r="BZ59" s="4783"/>
      <c r="CA59" s="4783"/>
      <c r="CB59" s="4783"/>
      <c r="CC59" s="4783"/>
    </row>
    <row r="60" spans="3:81" ht="15.6">
      <c r="C60" s="18"/>
      <c r="AN60" s="4810"/>
      <c r="AO60" s="4810"/>
      <c r="AP60" s="4810"/>
      <c r="AQ60" s="4810"/>
      <c r="AR60" s="4810"/>
      <c r="AS60" s="4810" t="s">
        <v>48</v>
      </c>
      <c r="AT60" s="6565">
        <v>18142</v>
      </c>
      <c r="AU60" s="6565">
        <v>1086</v>
      </c>
      <c r="AV60" s="6562">
        <f>SUM(AV57:AV59)</f>
        <v>19228</v>
      </c>
      <c r="AW60" s="6565">
        <v>18389</v>
      </c>
      <c r="AX60" s="6565">
        <v>1051</v>
      </c>
      <c r="AY60" s="6562">
        <f t="shared" si="6"/>
        <v>19440</v>
      </c>
      <c r="AZ60" s="6565">
        <v>18276</v>
      </c>
      <c r="BA60" s="6565">
        <v>1110</v>
      </c>
      <c r="BB60" s="6562">
        <f>SUM(AZ60:BA60)</f>
        <v>19386</v>
      </c>
      <c r="BC60" s="6565">
        <v>18209</v>
      </c>
      <c r="BD60" s="6565">
        <v>1112</v>
      </c>
      <c r="BE60" s="6566">
        <f t="shared" si="7"/>
        <v>19321</v>
      </c>
      <c r="BI60" s="4810"/>
      <c r="BJ60" s="4810"/>
      <c r="BK60" s="4810"/>
      <c r="BL60" s="4810"/>
      <c r="BM60" s="4810"/>
      <c r="BN60" s="4810"/>
      <c r="BO60" s="4810"/>
      <c r="BP60" s="4810"/>
      <c r="BQ60" s="4783"/>
      <c r="BR60" s="4783"/>
      <c r="BS60" s="4783"/>
      <c r="BT60" s="4783"/>
      <c r="BU60" s="4783"/>
      <c r="BV60" s="4783"/>
      <c r="BW60" s="4783"/>
      <c r="BX60" s="4783"/>
      <c r="BY60" s="4783"/>
      <c r="BZ60" s="4783"/>
      <c r="CA60" s="4783"/>
      <c r="CB60" s="4783"/>
      <c r="CC60" s="4783"/>
    </row>
    <row r="61" spans="3:81" ht="15.6">
      <c r="C61" s="18"/>
      <c r="AH61" s="1520"/>
      <c r="AI61" s="1520"/>
      <c r="AT61" s="6568"/>
      <c r="AU61" s="6568"/>
      <c r="AV61" s="6568"/>
      <c r="AW61" s="6568"/>
      <c r="AX61" s="6568"/>
      <c r="AY61" s="6568"/>
      <c r="AZ61" s="6568"/>
      <c r="BA61" s="6568"/>
      <c r="BB61" s="6568"/>
      <c r="BC61" s="6568"/>
      <c r="BD61" s="6568"/>
      <c r="BE61" s="6568"/>
      <c r="BQ61" s="4783"/>
      <c r="BR61" s="4783"/>
      <c r="BS61" s="4783"/>
      <c r="BT61" s="4783"/>
      <c r="BU61" s="4783"/>
      <c r="BV61" s="4783"/>
      <c r="BW61" s="4783"/>
      <c r="BX61" s="4783"/>
      <c r="BY61" s="4783"/>
      <c r="BZ61" s="4783"/>
      <c r="CA61" s="4783"/>
      <c r="CB61" s="4783"/>
      <c r="CC61" s="4783"/>
    </row>
    <row r="62" spans="3:81" ht="15.6">
      <c r="C62" s="18"/>
      <c r="AS62" s="6563" t="s">
        <v>75</v>
      </c>
      <c r="AT62" s="6565">
        <f>SUM(AT40,AT45,AT50,AT55,AT60)</f>
        <v>57735</v>
      </c>
      <c r="AU62" s="6565">
        <f t="shared" ref="AU62:AV62" si="8">SUM(AU40,AU45,AU50,AU55,AU60)</f>
        <v>3887</v>
      </c>
      <c r="AV62" s="6562">
        <f t="shared" si="8"/>
        <v>61622</v>
      </c>
      <c r="AW62" s="6565">
        <v>58062</v>
      </c>
      <c r="AX62" s="6565">
        <v>3846</v>
      </c>
      <c r="AY62" s="6562">
        <f t="shared" si="6"/>
        <v>61908</v>
      </c>
      <c r="AZ62" s="6565">
        <v>57262</v>
      </c>
      <c r="BA62" s="6565">
        <f>SUM(BA40,BA45,BA50,BA55,BA60)</f>
        <v>3603</v>
      </c>
      <c r="BB62" s="6562">
        <f>SUM(AZ62:BA62)</f>
        <v>60865</v>
      </c>
      <c r="BC62" s="6565">
        <v>56038</v>
      </c>
      <c r="BD62" s="6565">
        <v>3671</v>
      </c>
      <c r="BE62" s="6566">
        <f t="shared" si="7"/>
        <v>59709</v>
      </c>
      <c r="BQ62" s="4783"/>
      <c r="BR62" s="4783"/>
      <c r="BS62" s="4783"/>
      <c r="BT62" s="4783"/>
      <c r="BU62" s="4783"/>
      <c r="BV62" s="4783"/>
      <c r="BW62" s="4783"/>
      <c r="BX62" s="4783"/>
      <c r="BY62" s="4783"/>
      <c r="BZ62" s="4783"/>
      <c r="CA62" s="4783"/>
      <c r="CB62" s="4783"/>
      <c r="CC62" s="4783"/>
    </row>
    <row r="63" spans="3:81" ht="15.6">
      <c r="C63" s="18"/>
      <c r="BQ63" s="4783"/>
      <c r="BR63" s="4783"/>
      <c r="BS63" s="4783"/>
      <c r="BT63" s="4783"/>
      <c r="BU63" s="4783"/>
      <c r="BV63" s="4783"/>
      <c r="BW63" s="4783"/>
      <c r="BX63" s="4783"/>
      <c r="BY63" s="4783"/>
      <c r="BZ63" s="4783"/>
      <c r="CA63" s="4783"/>
      <c r="CB63" s="4783"/>
      <c r="CC63" s="4783"/>
    </row>
    <row r="64" spans="3:81" ht="15.6">
      <c r="C64" s="18"/>
      <c r="BQ64" s="4783"/>
      <c r="BR64" s="4783"/>
      <c r="BS64" s="4783"/>
      <c r="BT64" s="4783"/>
      <c r="BU64" s="4783"/>
      <c r="BV64" s="4783"/>
      <c r="BW64" s="4783"/>
      <c r="BX64" s="4783"/>
      <c r="BY64" s="4783"/>
      <c r="BZ64" s="4783"/>
      <c r="CA64" s="4783"/>
      <c r="CB64" s="4783"/>
      <c r="CC64" s="4783"/>
    </row>
    <row r="65" spans="3:81" ht="15" customHeight="1">
      <c r="C65" s="18"/>
      <c r="BQ65" s="4783"/>
      <c r="BR65" s="4783"/>
      <c r="BS65" s="4783"/>
      <c r="BT65" s="4783"/>
      <c r="BU65" s="4783"/>
      <c r="BV65" s="4783"/>
      <c r="BW65" s="4783"/>
      <c r="BX65" s="4783"/>
      <c r="BY65" s="4783"/>
      <c r="BZ65" s="4783"/>
      <c r="CA65" s="4783"/>
      <c r="CB65" s="4783"/>
      <c r="CC65" s="4783"/>
    </row>
    <row r="66" spans="3:81" ht="15.6">
      <c r="C66" s="18"/>
      <c r="BQ66" s="4783"/>
      <c r="BR66" s="4783"/>
      <c r="BS66" s="4783"/>
      <c r="BT66" s="4783"/>
      <c r="BU66" s="4783"/>
      <c r="BV66" s="4783"/>
      <c r="BW66" s="4783"/>
      <c r="BX66" s="4783"/>
      <c r="BY66" s="4783"/>
      <c r="BZ66" s="4783"/>
      <c r="CA66" s="4783"/>
      <c r="CB66" s="4783"/>
      <c r="CC66" s="4783"/>
    </row>
    <row r="67" spans="3:81" ht="15.6">
      <c r="C67" s="18"/>
      <c r="BQ67" s="4783"/>
      <c r="BR67" s="4783"/>
      <c r="BS67" s="4783"/>
      <c r="BT67" s="4783"/>
      <c r="BU67" s="4783"/>
      <c r="BV67" s="4783"/>
      <c r="BW67" s="4783"/>
      <c r="BX67" s="4783"/>
      <c r="BY67" s="4783"/>
      <c r="BZ67" s="4783"/>
      <c r="CA67" s="4783"/>
      <c r="CB67" s="4783"/>
      <c r="CC67" s="4783"/>
    </row>
    <row r="68" spans="3:81" ht="15.6">
      <c r="C68" s="18"/>
      <c r="O68" s="43"/>
      <c r="BQ68" s="4783"/>
      <c r="BR68" s="4783"/>
      <c r="BS68" s="4783"/>
      <c r="BT68" s="4783"/>
      <c r="BU68" s="4783"/>
      <c r="BV68" s="4783"/>
      <c r="BW68" s="4783"/>
      <c r="BX68" s="4783"/>
      <c r="BY68" s="4783"/>
      <c r="BZ68" s="4783"/>
      <c r="CA68" s="4783"/>
      <c r="CB68" s="4783"/>
      <c r="CC68" s="4783"/>
    </row>
    <row r="69" spans="3:81" ht="15" customHeight="1">
      <c r="C69" s="18"/>
      <c r="BQ69" s="4783"/>
      <c r="BR69" s="4783"/>
      <c r="BS69" s="4783"/>
      <c r="BT69" s="4783"/>
      <c r="BU69" s="4783"/>
      <c r="BV69" s="4783"/>
      <c r="BW69" s="4783"/>
      <c r="BX69" s="4783"/>
      <c r="BY69" s="4783"/>
      <c r="BZ69" s="4783"/>
      <c r="CA69" s="4783"/>
      <c r="CB69" s="4783"/>
      <c r="CC69" s="4783"/>
    </row>
    <row r="70" spans="3:81" ht="15" customHeight="1">
      <c r="C70" s="18"/>
      <c r="BQ70" s="4783"/>
      <c r="BR70" s="4783"/>
      <c r="BS70" s="4783"/>
      <c r="BT70" s="4783"/>
      <c r="BU70" s="4783"/>
      <c r="BV70" s="4783"/>
      <c r="BW70" s="4783"/>
      <c r="BX70" s="4783"/>
      <c r="BY70" s="4783"/>
      <c r="BZ70" s="4783"/>
      <c r="CA70" s="4783"/>
      <c r="CB70" s="4783"/>
      <c r="CC70" s="4783"/>
    </row>
    <row r="71" spans="3:81" ht="15.6">
      <c r="C71" s="18"/>
      <c r="BQ71" s="4783"/>
      <c r="BR71" s="4783"/>
      <c r="BS71" s="4783"/>
      <c r="BT71" s="4783"/>
      <c r="BU71" s="4783"/>
      <c r="BV71" s="4783"/>
      <c r="BW71" s="4783"/>
      <c r="BX71" s="4783"/>
      <c r="BY71" s="4783"/>
      <c r="BZ71" s="4783"/>
      <c r="CA71" s="4783"/>
      <c r="CB71" s="4783"/>
      <c r="CC71" s="4783"/>
    </row>
    <row r="72" spans="3:81" ht="15.6">
      <c r="C72" s="18"/>
      <c r="BQ72" s="4783"/>
      <c r="BR72" s="4783"/>
      <c r="BS72" s="4783"/>
      <c r="BT72" s="4783"/>
      <c r="BU72" s="4783"/>
      <c r="BV72" s="4783"/>
      <c r="BW72" s="4783"/>
      <c r="BX72" s="4783"/>
      <c r="BY72" s="4783"/>
      <c r="BZ72" s="4783"/>
      <c r="CA72" s="4783"/>
      <c r="CB72" s="4783"/>
      <c r="CC72" s="4783"/>
    </row>
    <row r="73" spans="3:81" ht="15.6">
      <c r="C73" s="18"/>
      <c r="BQ73" s="4783"/>
      <c r="BR73" s="4783"/>
      <c r="BS73" s="4783"/>
      <c r="BT73" s="4783"/>
      <c r="BU73" s="4783"/>
      <c r="BV73" s="4783"/>
      <c r="BW73" s="4783"/>
      <c r="BX73" s="4783"/>
      <c r="BY73" s="4783"/>
      <c r="BZ73" s="4783"/>
      <c r="CA73" s="4783"/>
      <c r="CB73" s="4783"/>
      <c r="CC73" s="4783"/>
    </row>
    <row r="74" spans="3:81" ht="15.6">
      <c r="C74" s="18"/>
      <c r="BQ74" s="4783"/>
      <c r="BR74" s="4783"/>
      <c r="BS74" s="4783"/>
      <c r="BT74" s="4783"/>
      <c r="BU74" s="4783"/>
      <c r="BV74" s="4783"/>
      <c r="BW74" s="4783"/>
      <c r="BX74" s="4783"/>
      <c r="BY74" s="4783"/>
      <c r="BZ74" s="4783"/>
      <c r="CA74" s="4783"/>
      <c r="CB74" s="4783"/>
      <c r="CC74" s="4783"/>
    </row>
    <row r="75" spans="3:81" ht="15" customHeight="1">
      <c r="C75" s="18"/>
      <c r="BQ75" s="4783"/>
      <c r="BR75" s="4783"/>
      <c r="BS75" s="4783"/>
      <c r="BT75" s="4783"/>
      <c r="BU75" s="4783"/>
      <c r="BV75" s="4783"/>
      <c r="BW75" s="4783"/>
      <c r="BX75" s="4783"/>
      <c r="BY75" s="4783"/>
      <c r="BZ75" s="4783"/>
      <c r="CA75" s="4783"/>
      <c r="CB75" s="4783"/>
      <c r="CC75" s="4783"/>
    </row>
    <row r="76" spans="3:81" ht="15.6">
      <c r="C76" s="18"/>
      <c r="BQ76" s="4783"/>
      <c r="BR76" s="4783"/>
      <c r="BS76" s="4783"/>
      <c r="BT76" s="4783"/>
      <c r="BU76" s="4783"/>
      <c r="BV76" s="4783"/>
      <c r="BW76" s="4783"/>
      <c r="BX76" s="4783"/>
      <c r="BY76" s="4783"/>
      <c r="BZ76" s="4783"/>
      <c r="CA76" s="4783"/>
      <c r="CB76" s="4783"/>
      <c r="CC76" s="4783"/>
    </row>
    <row r="77" spans="3:81" ht="15.6">
      <c r="C77" s="18"/>
      <c r="BQ77" s="4783"/>
      <c r="BR77" s="4783"/>
      <c r="BS77" s="4783"/>
      <c r="BT77" s="4783"/>
      <c r="BU77" s="4783"/>
      <c r="BV77" s="4783"/>
      <c r="BW77" s="4783"/>
      <c r="BX77" s="4783"/>
      <c r="BY77" s="4783"/>
      <c r="BZ77" s="4783"/>
      <c r="CA77" s="4783"/>
      <c r="CB77" s="4783"/>
      <c r="CC77" s="4783"/>
    </row>
    <row r="78" spans="3:81" ht="15.6">
      <c r="C78" s="18"/>
      <c r="BQ78" s="4783"/>
      <c r="BR78" s="4783"/>
      <c r="BS78" s="4783"/>
      <c r="BT78" s="4783"/>
      <c r="BU78" s="4783"/>
      <c r="BV78" s="4783"/>
      <c r="BW78" s="4783"/>
      <c r="BX78" s="4783"/>
      <c r="BY78" s="4783"/>
      <c r="BZ78" s="4783"/>
      <c r="CA78" s="4783"/>
      <c r="CB78" s="4783"/>
      <c r="CC78" s="4783"/>
    </row>
    <row r="79" spans="3:81" ht="15.6">
      <c r="C79" s="18"/>
      <c r="BQ79" s="4783"/>
      <c r="BR79" s="4783"/>
      <c r="BS79" s="4783"/>
      <c r="BT79" s="4783"/>
      <c r="BU79" s="4783"/>
      <c r="BV79" s="4783"/>
      <c r="BW79" s="4783"/>
      <c r="BX79" s="4783"/>
      <c r="BY79" s="4783"/>
      <c r="BZ79" s="4783"/>
      <c r="CA79" s="4783"/>
      <c r="CB79" s="4783"/>
      <c r="CC79" s="4783"/>
    </row>
    <row r="80" spans="3:81" ht="15.6">
      <c r="C80" s="18"/>
      <c r="BQ80" s="4783"/>
      <c r="BR80" s="4783"/>
      <c r="BS80" s="4783"/>
      <c r="BT80" s="4783"/>
      <c r="BU80" s="4783"/>
      <c r="BV80" s="4783"/>
      <c r="BW80" s="4783"/>
      <c r="BX80" s="4783"/>
      <c r="BY80" s="4783"/>
      <c r="BZ80" s="4783"/>
      <c r="CA80" s="4783"/>
      <c r="CB80" s="4783"/>
      <c r="CC80" s="4783"/>
    </row>
    <row r="81" spans="3:81" ht="15.6">
      <c r="C81" s="18"/>
      <c r="BQ81" s="4783"/>
      <c r="BR81" s="4783"/>
      <c r="BS81" s="4783"/>
      <c r="BT81" s="4783"/>
      <c r="BU81" s="4783"/>
      <c r="BV81" s="4783"/>
      <c r="BW81" s="4783"/>
      <c r="BX81" s="4783"/>
      <c r="BY81" s="4783"/>
      <c r="BZ81" s="4783"/>
      <c r="CA81" s="4783"/>
      <c r="CB81" s="4783"/>
      <c r="CC81" s="4783"/>
    </row>
    <row r="82" spans="3:81" ht="15.6">
      <c r="C82" s="18"/>
      <c r="BQ82" s="4783"/>
      <c r="BR82" s="4783"/>
      <c r="BS82" s="4783"/>
      <c r="BT82" s="4783"/>
      <c r="BU82" s="4783"/>
      <c r="BV82" s="4783"/>
      <c r="BW82" s="4783"/>
      <c r="BX82" s="4783"/>
      <c r="BY82" s="4783"/>
      <c r="BZ82" s="4783"/>
      <c r="CA82" s="4783"/>
      <c r="CB82" s="4783"/>
      <c r="CC82" s="4783"/>
    </row>
    <row r="83" spans="3:81" ht="15.6">
      <c r="C83" s="18"/>
      <c r="BQ83" s="4783"/>
      <c r="BR83" s="4783"/>
      <c r="BS83" s="4783"/>
      <c r="BT83" s="4783"/>
      <c r="BU83" s="4783"/>
      <c r="BV83" s="4783"/>
      <c r="BW83" s="4783"/>
      <c r="BX83" s="4783"/>
      <c r="BY83" s="4783"/>
      <c r="BZ83" s="4783"/>
      <c r="CA83" s="4783"/>
      <c r="CB83" s="4783"/>
      <c r="CC83" s="4783"/>
    </row>
    <row r="84" spans="3:81" ht="15.6">
      <c r="C84" s="18"/>
      <c r="BQ84" s="4783"/>
      <c r="BR84" s="4783"/>
      <c r="BS84" s="4783"/>
      <c r="BT84" s="4783"/>
      <c r="BU84" s="4783"/>
      <c r="BV84" s="4783"/>
      <c r="BW84" s="4783"/>
      <c r="BX84" s="4783"/>
      <c r="BY84" s="4783"/>
      <c r="BZ84" s="4783"/>
      <c r="CA84" s="4783"/>
      <c r="CB84" s="4783"/>
      <c r="CC84" s="4783"/>
    </row>
    <row r="85" spans="3:81" ht="15" customHeight="1">
      <c r="C85" s="18"/>
      <c r="BQ85" s="4783"/>
      <c r="BR85" s="4783"/>
      <c r="BS85" s="4783"/>
      <c r="BT85" s="4783"/>
      <c r="BU85" s="4783"/>
      <c r="BV85" s="4783"/>
      <c r="BW85" s="4783"/>
      <c r="BX85" s="4783"/>
      <c r="BY85" s="4783"/>
      <c r="BZ85" s="4783"/>
      <c r="CA85" s="4783"/>
      <c r="CB85" s="4783"/>
      <c r="CC85" s="4783"/>
    </row>
    <row r="86" spans="3:81" ht="15.6">
      <c r="C86" s="18"/>
      <c r="BQ86" s="4783"/>
      <c r="BR86" s="4783"/>
      <c r="BS86" s="4783"/>
      <c r="BT86" s="4783"/>
      <c r="BU86" s="4783"/>
      <c r="BV86" s="4783"/>
      <c r="BW86" s="4783"/>
      <c r="BX86" s="4783"/>
      <c r="BY86" s="4783"/>
      <c r="BZ86" s="4783"/>
      <c r="CA86" s="4783"/>
      <c r="CB86" s="4783"/>
      <c r="CC86" s="4783"/>
    </row>
    <row r="87" spans="3:81" ht="15.6">
      <c r="C87" s="18"/>
      <c r="BQ87" s="4783"/>
      <c r="BR87" s="4783"/>
      <c r="BS87" s="4783"/>
      <c r="BT87" s="4783"/>
      <c r="BU87" s="4783"/>
      <c r="BV87" s="4783"/>
      <c r="BW87" s="4783"/>
      <c r="BX87" s="4783"/>
      <c r="BY87" s="4783"/>
      <c r="BZ87" s="4783"/>
      <c r="CA87" s="4783"/>
      <c r="CB87" s="4783"/>
      <c r="CC87" s="4783"/>
    </row>
    <row r="88" spans="3:81" ht="15.6">
      <c r="C88" s="18"/>
      <c r="BQ88" s="4783"/>
      <c r="BR88" s="4783"/>
      <c r="BS88" s="4783"/>
      <c r="BT88" s="4783"/>
      <c r="BU88" s="4783"/>
      <c r="BV88" s="4783"/>
      <c r="BW88" s="4783"/>
      <c r="BX88" s="4783"/>
      <c r="BY88" s="4783"/>
      <c r="BZ88" s="4783"/>
      <c r="CA88" s="4783"/>
      <c r="CB88" s="4783"/>
      <c r="CC88" s="4783"/>
    </row>
    <row r="89" spans="3:81" ht="15.6">
      <c r="C89" s="18"/>
      <c r="BQ89" s="4783"/>
      <c r="BR89" s="4783"/>
      <c r="BS89" s="4783"/>
      <c r="BT89" s="4783"/>
      <c r="BU89" s="4783"/>
      <c r="BV89" s="4783"/>
      <c r="BW89" s="4783"/>
      <c r="BX89" s="4783"/>
      <c r="BY89" s="4783"/>
      <c r="BZ89" s="4783"/>
      <c r="CA89" s="4783"/>
      <c r="CB89" s="4783"/>
      <c r="CC89" s="4783"/>
    </row>
    <row r="90" spans="3:81" ht="15.6">
      <c r="C90" s="18"/>
      <c r="BQ90" s="4783"/>
      <c r="BR90" s="4783"/>
      <c r="BS90" s="4783"/>
      <c r="BT90" s="4783"/>
      <c r="BU90" s="4783"/>
      <c r="BV90" s="4783"/>
      <c r="BW90" s="4783"/>
      <c r="BX90" s="4783"/>
      <c r="BY90" s="4783"/>
      <c r="BZ90" s="4783"/>
      <c r="CA90" s="4783"/>
      <c r="CB90" s="4783"/>
      <c r="CC90" s="4783"/>
    </row>
    <row r="91" spans="3:81" ht="15.6">
      <c r="C91" s="18"/>
      <c r="BQ91" s="4783"/>
      <c r="BR91" s="4783"/>
      <c r="BS91" s="4783"/>
      <c r="BT91" s="4783"/>
      <c r="BU91" s="4783"/>
      <c r="BV91" s="4783"/>
      <c r="BW91" s="4783"/>
      <c r="BX91" s="4783"/>
      <c r="BY91" s="4783"/>
      <c r="BZ91" s="4783"/>
      <c r="CA91" s="4783"/>
      <c r="CB91" s="4783"/>
      <c r="CC91" s="4783"/>
    </row>
    <row r="92" spans="3:81" ht="15.6">
      <c r="C92" s="18"/>
      <c r="BQ92" s="4783"/>
      <c r="BR92" s="4783"/>
      <c r="BS92" s="4783"/>
      <c r="BT92" s="4783"/>
      <c r="BU92" s="4783"/>
      <c r="BV92" s="4783"/>
      <c r="BW92" s="4783"/>
      <c r="BX92" s="4783"/>
      <c r="BY92" s="4783"/>
      <c r="BZ92" s="4783"/>
      <c r="CA92" s="4783"/>
      <c r="CB92" s="4783"/>
      <c r="CC92" s="4783"/>
    </row>
    <row r="93" spans="3:81" ht="15.6">
      <c r="C93" s="18"/>
      <c r="BQ93" s="4783"/>
      <c r="BR93" s="4783"/>
      <c r="BS93" s="4783"/>
      <c r="BT93" s="4783"/>
      <c r="BU93" s="4783"/>
      <c r="BV93" s="4783"/>
      <c r="BW93" s="4783"/>
      <c r="BX93" s="4783"/>
      <c r="BY93" s="4783"/>
      <c r="BZ93" s="4783"/>
      <c r="CA93" s="4783"/>
      <c r="CB93" s="4783"/>
      <c r="CC93" s="4783"/>
    </row>
    <row r="94" spans="3:81" ht="15.6">
      <c r="C94" s="18"/>
      <c r="BQ94" s="4783"/>
      <c r="BR94" s="4783"/>
      <c r="BS94" s="4783"/>
      <c r="BT94" s="4783"/>
      <c r="BU94" s="4783"/>
      <c r="BV94" s="4783"/>
      <c r="BW94" s="4783"/>
      <c r="BX94" s="4783"/>
      <c r="BY94" s="4783"/>
      <c r="BZ94" s="4783"/>
      <c r="CA94" s="4783"/>
      <c r="CB94" s="4783"/>
      <c r="CC94" s="4783"/>
    </row>
    <row r="95" spans="3:81" ht="15.6">
      <c r="C95" s="18"/>
      <c r="BQ95" s="4783"/>
      <c r="BR95" s="4783"/>
      <c r="BS95" s="4783"/>
      <c r="BT95" s="4783"/>
      <c r="BU95" s="4783"/>
      <c r="BV95" s="4783"/>
      <c r="BW95" s="4783"/>
      <c r="BX95" s="4783"/>
      <c r="BY95" s="4783"/>
      <c r="BZ95" s="4783"/>
      <c r="CA95" s="4783"/>
      <c r="CB95" s="4783"/>
      <c r="CC95" s="4783"/>
    </row>
    <row r="96" spans="3:81" ht="15.6">
      <c r="C96" s="18"/>
      <c r="BQ96" s="4783"/>
      <c r="BR96" s="4783"/>
      <c r="BS96" s="4783"/>
      <c r="BT96" s="4783"/>
      <c r="BU96" s="4783"/>
      <c r="BV96" s="4783"/>
      <c r="BW96" s="4783"/>
      <c r="BX96" s="4783"/>
      <c r="BY96" s="4783"/>
      <c r="BZ96" s="4783"/>
      <c r="CA96" s="4783"/>
      <c r="CB96" s="4783"/>
      <c r="CC96" s="4783"/>
    </row>
    <row r="97" spans="3:81" ht="15.6">
      <c r="C97" s="18"/>
      <c r="BQ97" s="4783"/>
      <c r="BR97" s="4783"/>
      <c r="BS97" s="4783"/>
      <c r="BT97" s="4783"/>
      <c r="BU97" s="4783"/>
      <c r="BV97" s="4783"/>
      <c r="BW97" s="4783"/>
      <c r="BX97" s="4783"/>
      <c r="BY97" s="4783"/>
      <c r="BZ97" s="4783"/>
      <c r="CA97" s="4783"/>
      <c r="CB97" s="4783"/>
      <c r="CC97" s="4783"/>
    </row>
    <row r="98" spans="3:81" ht="15.6">
      <c r="C98" s="18"/>
      <c r="BQ98" s="4783"/>
      <c r="BR98" s="4783"/>
      <c r="BS98" s="4783"/>
      <c r="BT98" s="4783"/>
      <c r="BU98" s="4783"/>
      <c r="BV98" s="4783"/>
      <c r="BW98" s="4783"/>
      <c r="BX98" s="4783"/>
      <c r="BY98" s="4783"/>
      <c r="BZ98" s="4783"/>
      <c r="CA98" s="4783"/>
      <c r="CB98" s="4783"/>
      <c r="CC98" s="4783"/>
    </row>
    <row r="99" spans="3:81" ht="15.6">
      <c r="C99" s="18"/>
      <c r="BQ99" s="4783"/>
      <c r="BR99" s="4783"/>
      <c r="BS99" s="4783"/>
      <c r="BT99" s="4783"/>
      <c r="BU99" s="4783"/>
      <c r="BV99" s="4783"/>
      <c r="BW99" s="4783"/>
      <c r="BX99" s="4783"/>
      <c r="BY99" s="4783"/>
      <c r="BZ99" s="4783"/>
      <c r="CA99" s="4783"/>
      <c r="CB99" s="4783"/>
      <c r="CC99" s="4783"/>
    </row>
    <row r="100" spans="3:81" ht="15.6">
      <c r="C100" s="18"/>
      <c r="BQ100" s="4783"/>
      <c r="BR100" s="4783"/>
      <c r="BS100" s="4783"/>
      <c r="BT100" s="4783"/>
      <c r="BU100" s="4783"/>
      <c r="BV100" s="4783"/>
      <c r="BW100" s="4783"/>
      <c r="BX100" s="4783"/>
      <c r="BY100" s="4783"/>
      <c r="BZ100" s="4783"/>
      <c r="CA100" s="4783"/>
      <c r="CB100" s="4783"/>
      <c r="CC100" s="4783"/>
    </row>
    <row r="101" spans="3:81" ht="15.6">
      <c r="C101" s="18"/>
      <c r="BQ101" s="4783"/>
      <c r="BR101" s="4783"/>
      <c r="BS101" s="4783"/>
      <c r="BT101" s="4783"/>
      <c r="BU101" s="4783"/>
      <c r="BV101" s="4783"/>
      <c r="BW101" s="4783"/>
      <c r="BX101" s="4783"/>
      <c r="BY101" s="4783"/>
      <c r="BZ101" s="4783"/>
      <c r="CA101" s="4783"/>
      <c r="CB101" s="4783"/>
      <c r="CC101" s="4783"/>
    </row>
    <row r="102" spans="3:81" ht="15" customHeight="1">
      <c r="C102" s="18"/>
      <c r="BQ102" s="4783"/>
      <c r="BR102" s="4783"/>
      <c r="BS102" s="4783"/>
      <c r="BT102" s="4783"/>
      <c r="BU102" s="4783"/>
      <c r="BV102" s="4783"/>
      <c r="BW102" s="4783"/>
      <c r="BX102" s="4783"/>
      <c r="BY102" s="4783"/>
      <c r="BZ102" s="4783"/>
      <c r="CA102" s="4783"/>
      <c r="CB102" s="4783"/>
      <c r="CC102" s="4783"/>
    </row>
    <row r="103" spans="3:81" ht="15.6">
      <c r="C103" s="18"/>
      <c r="BQ103" s="4783"/>
      <c r="BR103" s="4783"/>
      <c r="BS103" s="4783"/>
      <c r="BT103" s="4783"/>
      <c r="BU103" s="4783"/>
      <c r="BV103" s="4783"/>
      <c r="BW103" s="4783"/>
      <c r="BX103" s="4783"/>
      <c r="BY103" s="4783"/>
      <c r="BZ103" s="4783"/>
      <c r="CA103" s="4783"/>
      <c r="CB103" s="4783"/>
      <c r="CC103" s="4783"/>
    </row>
    <row r="104" spans="3:81" ht="15.6">
      <c r="C104" s="18"/>
      <c r="BQ104" s="4783"/>
      <c r="BR104" s="4783"/>
      <c r="BS104" s="4783"/>
      <c r="BT104" s="4783"/>
      <c r="BU104" s="4783"/>
      <c r="BV104" s="4783"/>
      <c r="BW104" s="4783"/>
      <c r="BX104" s="4783"/>
      <c r="BY104" s="4783"/>
      <c r="BZ104" s="4783"/>
      <c r="CA104" s="4783"/>
      <c r="CB104" s="4783"/>
      <c r="CC104" s="4783"/>
    </row>
    <row r="105" spans="3:81" ht="15.6">
      <c r="C105" s="18"/>
      <c r="BQ105" s="4783"/>
      <c r="BR105" s="4783"/>
      <c r="BS105" s="4783"/>
      <c r="BT105" s="4783"/>
      <c r="BU105" s="4783"/>
      <c r="BV105" s="4783"/>
      <c r="BW105" s="4783"/>
      <c r="BX105" s="4783"/>
      <c r="BY105" s="4783"/>
      <c r="BZ105" s="4783"/>
      <c r="CA105" s="4783"/>
      <c r="CB105" s="4783"/>
      <c r="CC105" s="4783"/>
    </row>
    <row r="106" spans="3:81" ht="15.6">
      <c r="C106" s="18"/>
      <c r="BQ106" s="4783"/>
      <c r="BR106" s="4783"/>
      <c r="BS106" s="4783"/>
      <c r="BT106" s="4783"/>
      <c r="BU106" s="4783"/>
      <c r="BV106" s="4783"/>
      <c r="BW106" s="4783"/>
      <c r="BX106" s="4783"/>
      <c r="BY106" s="4783"/>
      <c r="BZ106" s="4783"/>
      <c r="CA106" s="4783"/>
      <c r="CB106" s="4783"/>
      <c r="CC106" s="4783"/>
    </row>
    <row r="107" spans="3:81" ht="15" customHeight="1">
      <c r="C107" s="18"/>
      <c r="BQ107" s="4783"/>
      <c r="BR107" s="4783"/>
      <c r="BS107" s="4783"/>
      <c r="BT107" s="4783"/>
      <c r="BU107" s="4783"/>
      <c r="BV107" s="4783"/>
      <c r="BW107" s="4783"/>
      <c r="BX107" s="4783"/>
      <c r="BY107" s="4783"/>
      <c r="BZ107" s="4783"/>
      <c r="CA107" s="4783"/>
      <c r="CB107" s="4783"/>
      <c r="CC107" s="4783"/>
    </row>
    <row r="108" spans="3:81" ht="15.6">
      <c r="C108" s="18"/>
      <c r="BQ108" s="4783"/>
      <c r="BR108" s="4783"/>
      <c r="BS108" s="4783"/>
      <c r="BT108" s="4783"/>
      <c r="BU108" s="4783"/>
      <c r="BV108" s="4783"/>
      <c r="BW108" s="4783"/>
      <c r="BX108" s="4783"/>
      <c r="BY108" s="4783"/>
      <c r="BZ108" s="4783"/>
      <c r="CA108" s="4783"/>
      <c r="CB108" s="4783"/>
      <c r="CC108" s="4783"/>
    </row>
    <row r="109" spans="3:81" ht="15.6">
      <c r="C109" s="18"/>
      <c r="BQ109" s="4783"/>
      <c r="BR109" s="4783"/>
      <c r="BS109" s="4783"/>
      <c r="BT109" s="4783"/>
      <c r="BU109" s="4783"/>
      <c r="BV109" s="4783"/>
      <c r="BW109" s="4783"/>
      <c r="BX109" s="4783"/>
      <c r="BY109" s="4783"/>
      <c r="BZ109" s="4783"/>
      <c r="CA109" s="4783"/>
      <c r="CB109" s="4783"/>
      <c r="CC109" s="4783"/>
    </row>
    <row r="110" spans="3:81" ht="15.6">
      <c r="C110" s="18"/>
      <c r="BQ110" s="4783"/>
      <c r="BR110" s="4783"/>
      <c r="BS110" s="4783"/>
      <c r="BT110" s="4783"/>
      <c r="BU110" s="4783"/>
      <c r="BV110" s="4783"/>
      <c r="BW110" s="4783"/>
      <c r="BX110" s="4783"/>
      <c r="BY110" s="4783"/>
      <c r="BZ110" s="4783"/>
      <c r="CA110" s="4783"/>
      <c r="CB110" s="4783"/>
      <c r="CC110" s="4783"/>
    </row>
    <row r="111" spans="3:81" ht="15.6">
      <c r="C111" s="18"/>
      <c r="BQ111" s="4783"/>
      <c r="BR111" s="4783"/>
      <c r="BS111" s="4783"/>
      <c r="BT111" s="4783"/>
      <c r="BU111" s="4783"/>
      <c r="BV111" s="4783"/>
      <c r="BW111" s="4783"/>
      <c r="BX111" s="4783"/>
      <c r="BY111" s="4783"/>
      <c r="BZ111" s="4783"/>
      <c r="CA111" s="4783"/>
      <c r="CB111" s="4783"/>
      <c r="CC111" s="4783"/>
    </row>
    <row r="112" spans="3:81" ht="15.6">
      <c r="C112" s="18"/>
      <c r="BQ112" s="4783"/>
      <c r="BR112" s="4783"/>
      <c r="BS112" s="4783"/>
      <c r="BT112" s="4783"/>
      <c r="BU112" s="4783"/>
      <c r="BV112" s="4783"/>
      <c r="BW112" s="4783"/>
      <c r="BX112" s="4783"/>
      <c r="BY112" s="4783"/>
      <c r="BZ112" s="4783"/>
      <c r="CA112" s="4783"/>
      <c r="CB112" s="4783"/>
      <c r="CC112" s="4783"/>
    </row>
    <row r="113" spans="3:81" ht="15.6">
      <c r="C113" s="18"/>
      <c r="BQ113" s="4783"/>
      <c r="BR113" s="4783"/>
      <c r="BS113" s="4783"/>
      <c r="BT113" s="4783"/>
      <c r="BU113" s="4783"/>
      <c r="BV113" s="4783"/>
      <c r="BW113" s="4783"/>
      <c r="BX113" s="4783"/>
      <c r="BY113" s="4783"/>
      <c r="BZ113" s="4783"/>
      <c r="CA113" s="4783"/>
      <c r="CB113" s="4783"/>
      <c r="CC113" s="4783"/>
    </row>
    <row r="114" spans="3:81" ht="15.6">
      <c r="C114" s="18"/>
      <c r="BQ114" s="4783"/>
      <c r="BR114" s="4783"/>
      <c r="BS114" s="4783"/>
      <c r="BT114" s="4783"/>
      <c r="BU114" s="4783"/>
      <c r="BV114" s="4783"/>
      <c r="BW114" s="4783"/>
      <c r="BX114" s="4783"/>
      <c r="BY114" s="4783"/>
      <c r="BZ114" s="4783"/>
      <c r="CA114" s="4783"/>
      <c r="CB114" s="4783"/>
      <c r="CC114" s="4783"/>
    </row>
    <row r="115" spans="3:81">
      <c r="BQ115" s="4783"/>
      <c r="BR115" s="4783"/>
      <c r="BS115" s="4783"/>
      <c r="BT115" s="4783"/>
      <c r="BU115" s="4783"/>
      <c r="BV115" s="4783"/>
      <c r="BW115" s="4783"/>
      <c r="BX115" s="4783"/>
      <c r="BY115" s="4783"/>
      <c r="BZ115" s="4783"/>
      <c r="CA115" s="4783"/>
      <c r="CB115" s="4783"/>
      <c r="CC115" s="4783"/>
    </row>
    <row r="116" spans="3:81">
      <c r="BQ116" s="4783"/>
      <c r="BR116" s="4783"/>
      <c r="BS116" s="4783"/>
      <c r="BT116" s="4783"/>
      <c r="BU116" s="4783"/>
      <c r="BV116" s="4783"/>
      <c r="BW116" s="4783"/>
      <c r="BX116" s="4783"/>
      <c r="BY116" s="4783"/>
      <c r="BZ116" s="4783"/>
      <c r="CA116" s="4783"/>
      <c r="CB116" s="4783"/>
      <c r="CC116" s="4783"/>
    </row>
    <row r="117" spans="3:81">
      <c r="BQ117" s="4783"/>
      <c r="BR117" s="4783"/>
      <c r="BS117" s="4783"/>
      <c r="BT117" s="4783"/>
      <c r="BU117" s="4783"/>
      <c r="BV117" s="4783"/>
      <c r="BW117" s="4783"/>
      <c r="BX117" s="4783"/>
      <c r="BY117" s="4783"/>
      <c r="BZ117" s="4783"/>
      <c r="CA117" s="4783"/>
      <c r="CB117" s="4783"/>
      <c r="CC117" s="4783"/>
    </row>
    <row r="118" spans="3:81">
      <c r="BQ118" s="4783"/>
      <c r="BR118" s="4783"/>
      <c r="BS118" s="4783"/>
      <c r="BT118" s="4783"/>
      <c r="BU118" s="4783"/>
      <c r="BV118" s="4783"/>
      <c r="BW118" s="4783"/>
      <c r="BX118" s="4783"/>
      <c r="BY118" s="4783"/>
      <c r="BZ118" s="4783"/>
      <c r="CA118" s="4783"/>
      <c r="CB118" s="4783"/>
      <c r="CC118" s="4783"/>
    </row>
    <row r="119" spans="3:81">
      <c r="BQ119" s="4783"/>
      <c r="BR119" s="4783"/>
      <c r="BS119" s="4783"/>
      <c r="BT119" s="4783"/>
      <c r="BU119" s="4783"/>
      <c r="BV119" s="4783"/>
      <c r="BW119" s="4783"/>
      <c r="BX119" s="4783"/>
      <c r="BY119" s="4783"/>
      <c r="BZ119" s="4783"/>
      <c r="CA119" s="4783"/>
      <c r="CB119" s="4783"/>
      <c r="CC119" s="4783"/>
    </row>
    <row r="120" spans="3:81">
      <c r="BQ120" s="4783"/>
      <c r="BR120" s="4783"/>
      <c r="BS120" s="4783"/>
      <c r="BT120" s="4783"/>
      <c r="BU120" s="4783"/>
      <c r="BV120" s="4783"/>
      <c r="BW120" s="4783"/>
      <c r="BX120" s="4783"/>
      <c r="BY120" s="4783"/>
      <c r="BZ120" s="4783"/>
      <c r="CA120" s="4783"/>
      <c r="CB120" s="4783"/>
      <c r="CC120" s="4783"/>
    </row>
    <row r="121" spans="3:81">
      <c r="BQ121" s="4783"/>
      <c r="BR121" s="4783"/>
      <c r="BS121" s="4783"/>
      <c r="BT121" s="4783"/>
      <c r="BU121" s="4783"/>
      <c r="BV121" s="4783"/>
      <c r="BW121" s="4783"/>
      <c r="BX121" s="4783"/>
      <c r="BY121" s="4783"/>
      <c r="BZ121" s="4783"/>
      <c r="CA121" s="4783"/>
      <c r="CB121" s="4783"/>
      <c r="CC121" s="4783"/>
    </row>
    <row r="122" spans="3:81">
      <c r="BQ122" s="4783"/>
      <c r="BR122" s="4783"/>
      <c r="BS122" s="4783"/>
      <c r="BT122" s="4783"/>
      <c r="BU122" s="4783"/>
      <c r="BV122" s="4783"/>
      <c r="BW122" s="4783"/>
      <c r="BX122" s="4783"/>
      <c r="BY122" s="4783"/>
      <c r="BZ122" s="4783"/>
      <c r="CA122" s="4783"/>
      <c r="CB122" s="4783"/>
      <c r="CC122" s="4783"/>
    </row>
    <row r="123" spans="3:81">
      <c r="BQ123" s="4783"/>
      <c r="BR123" s="4783"/>
      <c r="BS123" s="4783"/>
      <c r="BT123" s="4783"/>
      <c r="BU123" s="4783"/>
      <c r="BV123" s="4783"/>
      <c r="BW123" s="4783"/>
      <c r="BX123" s="4783"/>
      <c r="BY123" s="4783"/>
      <c r="BZ123" s="4783"/>
      <c r="CA123" s="4783"/>
      <c r="CB123" s="4783"/>
      <c r="CC123" s="4783"/>
    </row>
    <row r="124" spans="3:81">
      <c r="BQ124" s="4783"/>
      <c r="BR124" s="4783"/>
      <c r="BS124" s="4783"/>
      <c r="BT124" s="4783"/>
      <c r="BU124" s="4783"/>
      <c r="BV124" s="4783"/>
      <c r="BW124" s="4783"/>
      <c r="BX124" s="4783"/>
      <c r="BY124" s="4783"/>
      <c r="BZ124" s="4783"/>
      <c r="CA124" s="4783"/>
      <c r="CB124" s="4783"/>
      <c r="CC124" s="4783"/>
    </row>
    <row r="125" spans="3:81">
      <c r="BQ125" s="4783"/>
      <c r="BR125" s="4783"/>
      <c r="BS125" s="4783"/>
      <c r="BT125" s="4783"/>
      <c r="BU125" s="4783"/>
      <c r="BV125" s="4783"/>
      <c r="BW125" s="4783"/>
      <c r="BX125" s="4783"/>
      <c r="BY125" s="4783"/>
      <c r="BZ125" s="4783"/>
      <c r="CA125" s="4783"/>
      <c r="CB125" s="4783"/>
      <c r="CC125" s="4783"/>
    </row>
    <row r="126" spans="3:81">
      <c r="BQ126" s="4783"/>
      <c r="BR126" s="4783"/>
      <c r="BS126" s="4783"/>
      <c r="BT126" s="4783"/>
      <c r="BU126" s="4783"/>
      <c r="BV126" s="4783"/>
      <c r="BW126" s="4783"/>
      <c r="BX126" s="4783"/>
      <c r="BY126" s="4783"/>
      <c r="BZ126" s="4783"/>
      <c r="CA126" s="4783"/>
      <c r="CB126" s="4783"/>
      <c r="CC126" s="4783"/>
    </row>
    <row r="127" spans="3:81">
      <c r="BQ127" s="4783"/>
      <c r="BR127" s="4783"/>
      <c r="BS127" s="4783"/>
      <c r="BT127" s="4783"/>
      <c r="BU127" s="4783"/>
      <c r="BV127" s="4783"/>
      <c r="BW127" s="4783"/>
      <c r="BX127" s="4783"/>
      <c r="BY127" s="4783"/>
      <c r="BZ127" s="4783"/>
      <c r="CA127" s="4783"/>
      <c r="CB127" s="4783"/>
      <c r="CC127" s="4783"/>
    </row>
    <row r="128" spans="3:81">
      <c r="BQ128" s="4783"/>
      <c r="BR128" s="4783"/>
      <c r="BS128" s="4783"/>
      <c r="BT128" s="4783"/>
      <c r="BU128" s="4783"/>
      <c r="BV128" s="4783"/>
      <c r="BW128" s="4783"/>
      <c r="BX128" s="4783"/>
      <c r="BY128" s="4783"/>
      <c r="BZ128" s="4783"/>
      <c r="CA128" s="4783"/>
      <c r="CB128" s="4783"/>
      <c r="CC128" s="4783"/>
    </row>
    <row r="129" spans="69:81">
      <c r="BQ129" s="4783"/>
      <c r="BR129" s="4783"/>
      <c r="BS129" s="4783"/>
      <c r="BT129" s="4783"/>
      <c r="BU129" s="4783"/>
      <c r="BV129" s="4783"/>
      <c r="BW129" s="4783"/>
      <c r="BX129" s="4783"/>
      <c r="BY129" s="4783"/>
      <c r="BZ129" s="4783"/>
      <c r="CA129" s="4783"/>
      <c r="CB129" s="4783"/>
      <c r="CC129" s="4783"/>
    </row>
    <row r="130" spans="69:81">
      <c r="BQ130" s="4783"/>
      <c r="BR130" s="4783"/>
      <c r="BS130" s="4783"/>
      <c r="BT130" s="4783"/>
      <c r="BU130" s="4783"/>
      <c r="BV130" s="4783"/>
      <c r="BW130" s="4783"/>
      <c r="BX130" s="4783"/>
      <c r="BY130" s="4783"/>
      <c r="BZ130" s="4783"/>
      <c r="CA130" s="4783"/>
      <c r="CB130" s="4783"/>
      <c r="CC130" s="4783"/>
    </row>
    <row r="131" spans="69:81">
      <c r="BQ131" s="4783"/>
      <c r="BR131" s="4783"/>
      <c r="BS131" s="4783"/>
      <c r="BT131" s="4783"/>
      <c r="BU131" s="4783"/>
      <c r="BV131" s="4783"/>
      <c r="BW131" s="4783"/>
      <c r="BX131" s="4783"/>
      <c r="BY131" s="4783"/>
      <c r="BZ131" s="4783"/>
      <c r="CA131" s="4783"/>
      <c r="CB131" s="4783"/>
      <c r="CC131" s="4783"/>
    </row>
    <row r="132" spans="69:81" ht="15" customHeight="1">
      <c r="BQ132" s="4783"/>
      <c r="BR132" s="4783"/>
      <c r="BS132" s="4783"/>
      <c r="BT132" s="4783"/>
      <c r="BU132" s="4783"/>
      <c r="BV132" s="4783"/>
      <c r="BW132" s="4783"/>
      <c r="BX132" s="4783"/>
      <c r="BY132" s="4783"/>
      <c r="BZ132" s="4783"/>
      <c r="CA132" s="4783"/>
      <c r="CB132" s="4783"/>
      <c r="CC132" s="4783"/>
    </row>
    <row r="133" spans="69:81">
      <c r="BQ133" s="4783"/>
      <c r="BR133" s="4783"/>
      <c r="BS133" s="4783"/>
      <c r="BT133" s="4783"/>
      <c r="BU133" s="4783"/>
      <c r="BV133" s="4783"/>
      <c r="BW133" s="4783"/>
      <c r="BX133" s="4783"/>
      <c r="BY133" s="4783"/>
      <c r="BZ133" s="4783"/>
      <c r="CA133" s="4783"/>
      <c r="CB133" s="4783"/>
      <c r="CC133" s="4783"/>
    </row>
    <row r="134" spans="69:81">
      <c r="BQ134" s="4783"/>
      <c r="BR134" s="4783"/>
      <c r="BS134" s="4783"/>
      <c r="BT134" s="4783"/>
      <c r="BU134" s="4783"/>
      <c r="BV134" s="4783"/>
      <c r="BW134" s="4783"/>
      <c r="BX134" s="4783"/>
      <c r="BY134" s="4783"/>
      <c r="BZ134" s="4783"/>
      <c r="CA134" s="4783"/>
      <c r="CB134" s="4783"/>
      <c r="CC134" s="4783"/>
    </row>
    <row r="135" spans="69:81">
      <c r="BQ135" s="4783"/>
      <c r="BR135" s="4783"/>
      <c r="BS135" s="4783"/>
      <c r="BT135" s="4783"/>
      <c r="BU135" s="4783"/>
      <c r="BV135" s="4783"/>
      <c r="BW135" s="4783"/>
      <c r="BX135" s="4783"/>
      <c r="BY135" s="4783"/>
      <c r="BZ135" s="4783"/>
      <c r="CA135" s="4783"/>
      <c r="CB135" s="4783"/>
      <c r="CC135" s="4783"/>
    </row>
    <row r="136" spans="69:81">
      <c r="BQ136" s="4783"/>
      <c r="BR136" s="4783"/>
      <c r="BS136" s="4783"/>
      <c r="BT136" s="4783"/>
      <c r="BU136" s="4783"/>
      <c r="BV136" s="4783"/>
      <c r="BW136" s="4783"/>
      <c r="BX136" s="4783"/>
      <c r="BY136" s="4783"/>
      <c r="BZ136" s="4783"/>
      <c r="CA136" s="4783"/>
      <c r="CB136" s="4783"/>
      <c r="CC136" s="4783"/>
    </row>
    <row r="137" spans="69:81">
      <c r="BQ137" s="4783"/>
      <c r="BR137" s="4783"/>
      <c r="BS137" s="4783"/>
      <c r="BT137" s="4783"/>
      <c r="BU137" s="4783"/>
      <c r="BV137" s="4783"/>
      <c r="BW137" s="4783"/>
      <c r="BX137" s="4783"/>
      <c r="BY137" s="4783"/>
      <c r="BZ137" s="4783"/>
      <c r="CA137" s="4783"/>
      <c r="CB137" s="4783"/>
      <c r="CC137" s="4783"/>
    </row>
    <row r="138" spans="69:81">
      <c r="BQ138" s="4783"/>
      <c r="BR138" s="4783"/>
      <c r="BS138" s="4783"/>
      <c r="BT138" s="4783"/>
      <c r="BU138" s="4783"/>
      <c r="BV138" s="4783"/>
      <c r="BW138" s="4783"/>
      <c r="BX138" s="4783"/>
      <c r="BY138" s="4783"/>
      <c r="BZ138" s="4783"/>
      <c r="CA138" s="4783"/>
      <c r="CB138" s="4783"/>
      <c r="CC138" s="4783"/>
    </row>
    <row r="139" spans="69:81">
      <c r="BQ139" s="4783"/>
      <c r="BR139" s="4783"/>
      <c r="BS139" s="4783"/>
      <c r="BT139" s="4783"/>
      <c r="BU139" s="4783"/>
      <c r="BV139" s="4783"/>
      <c r="BW139" s="4783"/>
      <c r="BX139" s="4783"/>
      <c r="BY139" s="4783"/>
      <c r="BZ139" s="4783"/>
      <c r="CA139" s="4783"/>
      <c r="CB139" s="4783"/>
      <c r="CC139" s="4783"/>
    </row>
    <row r="140" spans="69:81">
      <c r="BQ140" s="4783"/>
      <c r="BR140" s="4783"/>
      <c r="BS140" s="4783"/>
      <c r="BT140" s="4783"/>
      <c r="BU140" s="4783"/>
      <c r="BV140" s="4783"/>
      <c r="BW140" s="4783"/>
      <c r="BX140" s="4783"/>
      <c r="BY140" s="4783"/>
      <c r="BZ140" s="4783"/>
      <c r="CA140" s="4783"/>
      <c r="CB140" s="4783"/>
      <c r="CC140" s="4783"/>
    </row>
    <row r="141" spans="69:81">
      <c r="BQ141" s="4783"/>
      <c r="BR141" s="4783"/>
      <c r="BS141" s="4783"/>
      <c r="BT141" s="4783"/>
      <c r="BU141" s="4783"/>
      <c r="BV141" s="4783"/>
      <c r="BW141" s="4783"/>
      <c r="BX141" s="4783"/>
      <c r="BY141" s="4783"/>
      <c r="BZ141" s="4783"/>
      <c r="CA141" s="4783"/>
      <c r="CB141" s="4783"/>
      <c r="CC141" s="4783"/>
    </row>
    <row r="142" spans="69:81">
      <c r="BQ142" s="4783"/>
      <c r="BR142" s="4783"/>
      <c r="BS142" s="4783"/>
      <c r="BT142" s="4783"/>
      <c r="BU142" s="4783"/>
      <c r="BV142" s="4783"/>
      <c r="BW142" s="4783"/>
      <c r="BX142" s="4783"/>
      <c r="BY142" s="4783"/>
      <c r="BZ142" s="4783"/>
      <c r="CA142" s="4783"/>
      <c r="CB142" s="4783"/>
      <c r="CC142" s="4783"/>
    </row>
    <row r="143" spans="69:81">
      <c r="BQ143" s="4783"/>
      <c r="BR143" s="4783"/>
      <c r="BS143" s="4783"/>
      <c r="BT143" s="4783"/>
      <c r="BU143" s="4783"/>
      <c r="BV143" s="4783"/>
      <c r="BW143" s="4783"/>
      <c r="BX143" s="4783"/>
      <c r="BY143" s="4783"/>
      <c r="BZ143" s="4783"/>
      <c r="CA143" s="4783"/>
      <c r="CB143" s="4783"/>
      <c r="CC143" s="4783"/>
    </row>
    <row r="144" spans="69:81">
      <c r="BQ144" s="4783"/>
      <c r="BR144" s="4783"/>
      <c r="BS144" s="4783"/>
      <c r="BT144" s="4783"/>
      <c r="BU144" s="4783"/>
      <c r="BV144" s="4783"/>
      <c r="BW144" s="4783"/>
      <c r="BX144" s="4783"/>
      <c r="BY144" s="4783"/>
      <c r="BZ144" s="4783"/>
      <c r="CA144" s="4783"/>
      <c r="CB144" s="4783"/>
      <c r="CC144" s="4783"/>
    </row>
    <row r="145" spans="69:81">
      <c r="BQ145" s="4783"/>
      <c r="BR145" s="4783"/>
      <c r="BS145" s="4783"/>
      <c r="BT145" s="4783"/>
      <c r="BU145" s="4783"/>
      <c r="BV145" s="4783"/>
      <c r="BW145" s="4783"/>
      <c r="BX145" s="4783"/>
      <c r="BY145" s="4783"/>
      <c r="BZ145" s="4783"/>
      <c r="CA145" s="4783"/>
      <c r="CB145" s="4783"/>
      <c r="CC145" s="4783"/>
    </row>
    <row r="146" spans="69:81">
      <c r="BQ146" s="4783"/>
      <c r="BR146" s="4783"/>
      <c r="BS146" s="4783"/>
      <c r="BT146" s="4783"/>
      <c r="BU146" s="4783"/>
      <c r="BV146" s="4783"/>
      <c r="BW146" s="4783"/>
      <c r="BX146" s="4783"/>
      <c r="BY146" s="4783"/>
      <c r="BZ146" s="4783"/>
      <c r="CA146" s="4783"/>
      <c r="CB146" s="4783"/>
      <c r="CC146" s="4783"/>
    </row>
    <row r="147" spans="69:81">
      <c r="BQ147" s="4783"/>
      <c r="BR147" s="4783"/>
      <c r="BS147" s="4783"/>
      <c r="BT147" s="4783"/>
      <c r="BU147" s="4783"/>
      <c r="BV147" s="4783"/>
      <c r="BW147" s="4783"/>
      <c r="BX147" s="4783"/>
      <c r="BY147" s="4783"/>
      <c r="BZ147" s="4783"/>
      <c r="CA147" s="4783"/>
      <c r="CB147" s="4783"/>
      <c r="CC147" s="4783"/>
    </row>
    <row r="148" spans="69:81">
      <c r="BQ148" s="4783"/>
      <c r="BR148" s="4783"/>
      <c r="BS148" s="4783"/>
      <c r="BT148" s="4783"/>
      <c r="BU148" s="4783"/>
      <c r="BV148" s="4783"/>
      <c r="BW148" s="4783"/>
      <c r="BX148" s="4783"/>
      <c r="BY148" s="4783"/>
      <c r="BZ148" s="4783"/>
      <c r="CA148" s="4783"/>
      <c r="CB148" s="4783"/>
      <c r="CC148" s="4783"/>
    </row>
    <row r="149" spans="69:81">
      <c r="BQ149" s="4783"/>
      <c r="BR149" s="4783"/>
      <c r="BS149" s="4783"/>
      <c r="BT149" s="4783"/>
      <c r="BU149" s="4783"/>
      <c r="BV149" s="4783"/>
      <c r="BW149" s="4783"/>
      <c r="BX149" s="4783"/>
      <c r="BY149" s="4783"/>
      <c r="BZ149" s="4783"/>
      <c r="CA149" s="4783"/>
      <c r="CB149" s="4783"/>
      <c r="CC149" s="4783"/>
    </row>
    <row r="150" spans="69:81">
      <c r="BQ150" s="4783"/>
      <c r="BR150" s="4783"/>
      <c r="BS150" s="4783"/>
      <c r="BT150" s="4783"/>
      <c r="BU150" s="4783"/>
      <c r="BV150" s="4783"/>
      <c r="BW150" s="4783"/>
      <c r="BX150" s="4783"/>
      <c r="BY150" s="4783"/>
      <c r="BZ150" s="4783"/>
      <c r="CA150" s="4783"/>
      <c r="CB150" s="4783"/>
      <c r="CC150" s="4783"/>
    </row>
    <row r="151" spans="69:81">
      <c r="BQ151" s="4783"/>
      <c r="BR151" s="4783"/>
      <c r="BS151" s="4783"/>
      <c r="BT151" s="4783"/>
      <c r="BU151" s="4783"/>
      <c r="BV151" s="4783"/>
      <c r="BW151" s="4783"/>
      <c r="BX151" s="4783"/>
      <c r="BY151" s="4783"/>
      <c r="BZ151" s="4783"/>
      <c r="CA151" s="4783"/>
      <c r="CB151" s="4783"/>
      <c r="CC151" s="4783"/>
    </row>
    <row r="152" spans="69:81">
      <c r="BQ152" s="4783"/>
      <c r="BR152" s="4783"/>
      <c r="BS152" s="4783"/>
      <c r="BT152" s="4783"/>
      <c r="BU152" s="4783"/>
      <c r="BV152" s="4783"/>
      <c r="BW152" s="4783"/>
      <c r="BX152" s="4783"/>
      <c r="BY152" s="4783"/>
      <c r="BZ152" s="4783"/>
      <c r="CA152" s="4783"/>
      <c r="CB152" s="4783"/>
      <c r="CC152" s="4783"/>
    </row>
    <row r="153" spans="69:81">
      <c r="BQ153" s="4783"/>
      <c r="BR153" s="4783"/>
      <c r="BS153" s="4783"/>
      <c r="BT153" s="4783"/>
      <c r="BU153" s="4783"/>
      <c r="BV153" s="4783"/>
      <c r="BW153" s="4783"/>
      <c r="BX153" s="4783"/>
      <c r="BY153" s="4783"/>
      <c r="BZ153" s="4783"/>
      <c r="CA153" s="4783"/>
      <c r="CB153" s="4783"/>
      <c r="CC153" s="4783"/>
    </row>
    <row r="154" spans="69:81">
      <c r="BQ154" s="4783"/>
      <c r="BR154" s="4783"/>
      <c r="BS154" s="4783"/>
      <c r="BT154" s="4783"/>
      <c r="BU154" s="4783"/>
      <c r="BV154" s="4783"/>
      <c r="BW154" s="4783"/>
      <c r="BX154" s="4783"/>
      <c r="BY154" s="4783"/>
      <c r="BZ154" s="4783"/>
      <c r="CA154" s="4783"/>
      <c r="CB154" s="4783"/>
      <c r="CC154" s="4783"/>
    </row>
    <row r="155" spans="69:81">
      <c r="BQ155" s="4783"/>
      <c r="BR155" s="4783"/>
      <c r="BS155" s="4783"/>
      <c r="BT155" s="4783"/>
      <c r="BU155" s="4783"/>
      <c r="BV155" s="4783"/>
      <c r="BW155" s="4783"/>
      <c r="BX155" s="4783"/>
      <c r="BY155" s="4783"/>
      <c r="BZ155" s="4783"/>
      <c r="CA155" s="4783"/>
      <c r="CB155" s="4783"/>
      <c r="CC155" s="4783"/>
    </row>
    <row r="156" spans="69:81">
      <c r="BQ156" s="4783"/>
      <c r="BR156" s="4783"/>
      <c r="BS156" s="4783"/>
      <c r="BT156" s="4783"/>
      <c r="BU156" s="4783"/>
      <c r="BV156" s="4783"/>
      <c r="BW156" s="4783"/>
      <c r="BX156" s="4783"/>
      <c r="BY156" s="4783"/>
      <c r="BZ156" s="4783"/>
      <c r="CA156" s="4783"/>
      <c r="CB156" s="4783"/>
      <c r="CC156" s="4783"/>
    </row>
    <row r="157" spans="69:81">
      <c r="BQ157" s="4783"/>
      <c r="BR157" s="4783"/>
      <c r="BS157" s="4783"/>
      <c r="BT157" s="4783"/>
      <c r="BU157" s="4783"/>
      <c r="BV157" s="4783"/>
      <c r="BW157" s="4783"/>
      <c r="BX157" s="4783"/>
      <c r="BY157" s="4783"/>
      <c r="BZ157" s="4783"/>
      <c r="CA157" s="4783"/>
      <c r="CB157" s="4783"/>
      <c r="CC157" s="4783"/>
    </row>
    <row r="158" spans="69:81">
      <c r="BQ158" s="4783"/>
      <c r="BR158" s="4783"/>
      <c r="BS158" s="4783"/>
      <c r="BT158" s="4783"/>
      <c r="BU158" s="4783"/>
      <c r="BV158" s="4783"/>
      <c r="BW158" s="4783"/>
      <c r="BX158" s="4783"/>
      <c r="BY158" s="4783"/>
      <c r="BZ158" s="4783"/>
      <c r="CA158" s="4783"/>
      <c r="CB158" s="4783"/>
      <c r="CC158" s="4783"/>
    </row>
    <row r="159" spans="69:81">
      <c r="BQ159" s="4783"/>
      <c r="BR159" s="4783"/>
      <c r="BS159" s="4783"/>
      <c r="BT159" s="4783"/>
      <c r="BU159" s="4783"/>
      <c r="BV159" s="4783"/>
      <c r="BW159" s="4783"/>
      <c r="BX159" s="4783"/>
      <c r="BY159" s="4783"/>
      <c r="BZ159" s="4783"/>
      <c r="CA159" s="4783"/>
      <c r="CB159" s="4783"/>
      <c r="CC159" s="4783"/>
    </row>
    <row r="160" spans="69:81">
      <c r="BQ160" s="4783"/>
      <c r="BR160" s="4783"/>
      <c r="BS160" s="4783"/>
      <c r="BT160" s="4783"/>
      <c r="BU160" s="4783"/>
      <c r="BV160" s="4783"/>
      <c r="BW160" s="4783"/>
      <c r="BX160" s="4783"/>
      <c r="BY160" s="4783"/>
      <c r="BZ160" s="4783"/>
      <c r="CA160" s="4783"/>
      <c r="CB160" s="4783"/>
      <c r="CC160" s="4783"/>
    </row>
    <row r="161" spans="69:81">
      <c r="BQ161" s="4783"/>
      <c r="BR161" s="4783"/>
      <c r="BS161" s="4783"/>
      <c r="BT161" s="4783"/>
      <c r="BU161" s="4783"/>
      <c r="BV161" s="4783"/>
      <c r="BW161" s="4783"/>
      <c r="BX161" s="4783"/>
      <c r="BY161" s="4783"/>
      <c r="BZ161" s="4783"/>
      <c r="CA161" s="4783"/>
      <c r="CB161" s="4783"/>
      <c r="CC161" s="4783"/>
    </row>
    <row r="162" spans="69:81">
      <c r="BQ162" s="4783"/>
      <c r="BR162" s="4783"/>
      <c r="BS162" s="4783"/>
      <c r="BT162" s="4783"/>
      <c r="BU162" s="4783"/>
      <c r="BV162" s="4783"/>
      <c r="BW162" s="4783"/>
      <c r="BX162" s="4783"/>
      <c r="BY162" s="4783"/>
      <c r="BZ162" s="4783"/>
      <c r="CA162" s="4783"/>
      <c r="CB162" s="4783"/>
      <c r="CC162" s="4783"/>
    </row>
    <row r="163" spans="69:81">
      <c r="BQ163" s="4783"/>
      <c r="BR163" s="4783"/>
      <c r="BS163" s="4783"/>
      <c r="BT163" s="4783"/>
      <c r="BU163" s="4783"/>
      <c r="BV163" s="4783"/>
      <c r="BW163" s="4783"/>
      <c r="BX163" s="4783"/>
      <c r="BY163" s="4783"/>
      <c r="BZ163" s="4783"/>
      <c r="CA163" s="4783"/>
      <c r="CB163" s="4783"/>
      <c r="CC163" s="4783"/>
    </row>
    <row r="164" spans="69:81">
      <c r="BQ164" s="4783"/>
      <c r="BR164" s="4783"/>
      <c r="BS164" s="4783"/>
      <c r="BT164" s="4783"/>
      <c r="BU164" s="4783"/>
      <c r="BV164" s="4783"/>
      <c r="BW164" s="4783"/>
      <c r="BX164" s="4783"/>
      <c r="BY164" s="4783"/>
      <c r="BZ164" s="4783"/>
      <c r="CA164" s="4783"/>
      <c r="CB164" s="4783"/>
      <c r="CC164" s="4783"/>
    </row>
    <row r="165" spans="69:81">
      <c r="BQ165" s="4783"/>
      <c r="BR165" s="4783"/>
      <c r="BS165" s="4783"/>
      <c r="BT165" s="4783"/>
      <c r="BU165" s="4783"/>
      <c r="BV165" s="4783"/>
      <c r="BW165" s="4783"/>
      <c r="BX165" s="4783"/>
      <c r="BY165" s="4783"/>
      <c r="BZ165" s="4783"/>
      <c r="CA165" s="4783"/>
      <c r="CB165" s="4783"/>
      <c r="CC165" s="4783"/>
    </row>
    <row r="166" spans="69:81">
      <c r="BQ166" s="4783"/>
      <c r="BR166" s="4783"/>
      <c r="BS166" s="4783"/>
      <c r="BT166" s="4783"/>
      <c r="BU166" s="4783"/>
      <c r="BV166" s="4783"/>
      <c r="BW166" s="4783"/>
      <c r="BX166" s="4783"/>
      <c r="BY166" s="4783"/>
      <c r="BZ166" s="4783"/>
      <c r="CA166" s="4783"/>
      <c r="CB166" s="4783"/>
      <c r="CC166" s="4783"/>
    </row>
    <row r="167" spans="69:81">
      <c r="BQ167" s="4783"/>
      <c r="BR167" s="4783"/>
      <c r="BS167" s="4783"/>
      <c r="BT167" s="4783"/>
      <c r="BU167" s="4783"/>
      <c r="BV167" s="4783"/>
      <c r="BW167" s="4783"/>
      <c r="BX167" s="4783"/>
      <c r="BY167" s="4783"/>
      <c r="BZ167" s="4783"/>
      <c r="CA167" s="4783"/>
      <c r="CB167" s="4783"/>
      <c r="CC167" s="4783"/>
    </row>
    <row r="168" spans="69:81">
      <c r="BQ168" s="4783"/>
      <c r="BR168" s="4783"/>
      <c r="BS168" s="4783"/>
      <c r="BT168" s="4783"/>
      <c r="BU168" s="4783"/>
      <c r="BV168" s="4783"/>
      <c r="BW168" s="4783"/>
      <c r="BX168" s="4783"/>
      <c r="BY168" s="4783"/>
      <c r="BZ168" s="4783"/>
      <c r="CA168" s="4783"/>
      <c r="CB168" s="4783"/>
      <c r="CC168" s="4783"/>
    </row>
    <row r="169" spans="69:81">
      <c r="BQ169" s="4783"/>
      <c r="BR169" s="4783"/>
      <c r="BS169" s="4783"/>
      <c r="BT169" s="4783"/>
      <c r="BU169" s="4783"/>
      <c r="BV169" s="4783"/>
      <c r="BW169" s="4783"/>
      <c r="BX169" s="4783"/>
      <c r="BY169" s="4783"/>
      <c r="BZ169" s="4783"/>
      <c r="CA169" s="4783"/>
      <c r="CB169" s="4783"/>
      <c r="CC169" s="4783"/>
    </row>
    <row r="170" spans="69:81">
      <c r="BQ170" s="4783"/>
      <c r="BR170" s="4783"/>
      <c r="BS170" s="4783"/>
      <c r="BT170" s="4783"/>
      <c r="BU170" s="4783"/>
      <c r="BV170" s="4783"/>
      <c r="BW170" s="4783"/>
      <c r="BX170" s="4783"/>
      <c r="BY170" s="4783"/>
      <c r="BZ170" s="4783"/>
      <c r="CA170" s="4783"/>
      <c r="CB170" s="4783"/>
      <c r="CC170" s="4783"/>
    </row>
    <row r="171" spans="69:81">
      <c r="BQ171" s="4783"/>
      <c r="BR171" s="4783"/>
      <c r="BS171" s="4783"/>
      <c r="BT171" s="4783"/>
      <c r="BU171" s="4783"/>
      <c r="BV171" s="4783"/>
      <c r="BW171" s="4783"/>
      <c r="BX171" s="4783"/>
      <c r="BY171" s="4783"/>
      <c r="BZ171" s="4783"/>
      <c r="CA171" s="4783"/>
      <c r="CB171" s="4783"/>
      <c r="CC171" s="4783"/>
    </row>
    <row r="172" spans="69:81">
      <c r="BQ172" s="4783"/>
      <c r="BR172" s="4783"/>
      <c r="BS172" s="4783"/>
      <c r="BT172" s="4783"/>
      <c r="BU172" s="4783"/>
      <c r="BV172" s="4783"/>
      <c r="BW172" s="4783"/>
      <c r="BX172" s="4783"/>
      <c r="BY172" s="4783"/>
      <c r="BZ172" s="4783"/>
      <c r="CA172" s="4783"/>
      <c r="CB172" s="4783"/>
      <c r="CC172" s="4783"/>
    </row>
    <row r="173" spans="69:81" ht="15" customHeight="1">
      <c r="BQ173" s="4783"/>
      <c r="BR173" s="4783"/>
      <c r="BS173" s="4783"/>
      <c r="BT173" s="4783"/>
      <c r="BU173" s="4783"/>
      <c r="BV173" s="4783"/>
      <c r="BW173" s="4783"/>
      <c r="BX173" s="4783"/>
      <c r="BY173" s="4783"/>
      <c r="BZ173" s="4783"/>
      <c r="CA173" s="4783"/>
      <c r="CB173" s="4783"/>
      <c r="CC173" s="4783"/>
    </row>
    <row r="174" spans="69:81">
      <c r="BQ174" s="4783"/>
      <c r="BR174" s="4783"/>
      <c r="BS174" s="4783"/>
      <c r="BT174" s="4783"/>
      <c r="BU174" s="4783"/>
      <c r="BV174" s="4783"/>
      <c r="BW174" s="4783"/>
      <c r="BX174" s="4783"/>
      <c r="BY174" s="4783"/>
      <c r="BZ174" s="4783"/>
      <c r="CA174" s="4783"/>
      <c r="CB174" s="4783"/>
      <c r="CC174" s="4783"/>
    </row>
    <row r="175" spans="69:81">
      <c r="BQ175" s="4783"/>
      <c r="BR175" s="4783"/>
      <c r="BS175" s="4783"/>
      <c r="BT175" s="4783"/>
      <c r="BU175" s="4783"/>
      <c r="BV175" s="4783"/>
      <c r="BW175" s="4783"/>
      <c r="BX175" s="4783"/>
      <c r="BY175" s="4783"/>
      <c r="BZ175" s="4783"/>
      <c r="CA175" s="4783"/>
      <c r="CB175" s="4783"/>
      <c r="CC175" s="4783"/>
    </row>
    <row r="176" spans="69:81">
      <c r="BQ176" s="4783"/>
      <c r="BR176" s="4783"/>
      <c r="BS176" s="4783"/>
      <c r="BT176" s="4783"/>
      <c r="BU176" s="4783"/>
      <c r="BV176" s="4783"/>
      <c r="BW176" s="4783"/>
      <c r="BX176" s="4783"/>
      <c r="BY176" s="4783"/>
      <c r="BZ176" s="4783"/>
      <c r="CA176" s="4783"/>
      <c r="CB176" s="4783"/>
      <c r="CC176" s="4783"/>
    </row>
    <row r="177" spans="69:81">
      <c r="BQ177" s="4783"/>
      <c r="BR177" s="4783"/>
      <c r="BS177" s="4783"/>
      <c r="BT177" s="4783"/>
      <c r="BU177" s="4783"/>
      <c r="BV177" s="4783"/>
      <c r="BW177" s="4783"/>
      <c r="BX177" s="4783"/>
      <c r="BY177" s="4783"/>
      <c r="BZ177" s="4783"/>
      <c r="CA177" s="4783"/>
      <c r="CB177" s="4783"/>
      <c r="CC177" s="4783"/>
    </row>
    <row r="178" spans="69:81">
      <c r="BQ178" s="4783"/>
      <c r="BR178" s="4783"/>
      <c r="BS178" s="4783"/>
      <c r="BT178" s="4783"/>
      <c r="BU178" s="4783"/>
      <c r="BV178" s="4783"/>
      <c r="BW178" s="4783"/>
      <c r="BX178" s="4783"/>
      <c r="BY178" s="4783"/>
      <c r="BZ178" s="4783"/>
      <c r="CA178" s="4783"/>
      <c r="CB178" s="4783"/>
      <c r="CC178" s="4783"/>
    </row>
    <row r="179" spans="69:81">
      <c r="BQ179" s="4783"/>
      <c r="BR179" s="4783"/>
      <c r="BS179" s="4783"/>
      <c r="BT179" s="4783"/>
      <c r="BU179" s="4783"/>
      <c r="BV179" s="4783"/>
      <c r="BW179" s="4783"/>
      <c r="BX179" s="4783"/>
      <c r="BY179" s="4783"/>
      <c r="BZ179" s="4783"/>
      <c r="CA179" s="4783"/>
      <c r="CB179" s="4783"/>
      <c r="CC179" s="4783"/>
    </row>
    <row r="180" spans="69:81">
      <c r="BQ180" s="4783"/>
      <c r="BR180" s="4783"/>
      <c r="BS180" s="4783"/>
      <c r="BT180" s="4783"/>
      <c r="BU180" s="4783"/>
      <c r="BV180" s="4783"/>
      <c r="BW180" s="4783"/>
      <c r="BX180" s="4783"/>
      <c r="BY180" s="4783"/>
      <c r="BZ180" s="4783"/>
      <c r="CA180" s="4783"/>
      <c r="CB180" s="4783"/>
      <c r="CC180" s="4783"/>
    </row>
    <row r="181" spans="69:81">
      <c r="BQ181" s="4783"/>
      <c r="BR181" s="4783"/>
      <c r="BS181" s="4783"/>
      <c r="BT181" s="4783"/>
      <c r="BU181" s="4783"/>
      <c r="BV181" s="4783"/>
      <c r="BW181" s="4783"/>
      <c r="BX181" s="4783"/>
      <c r="BY181" s="4783"/>
      <c r="BZ181" s="4783"/>
      <c r="CA181" s="4783"/>
      <c r="CB181" s="4783"/>
      <c r="CC181" s="4783"/>
    </row>
    <row r="182" spans="69:81">
      <c r="BQ182" s="4783"/>
      <c r="BR182" s="4783"/>
      <c r="BS182" s="4783"/>
      <c r="BT182" s="4783"/>
      <c r="BU182" s="4783"/>
      <c r="BV182" s="4783"/>
      <c r="BW182" s="4783"/>
      <c r="BX182" s="4783"/>
      <c r="BY182" s="4783"/>
      <c r="BZ182" s="4783"/>
      <c r="CA182" s="4783"/>
      <c r="CB182" s="4783"/>
      <c r="CC182" s="4783"/>
    </row>
    <row r="183" spans="69:81">
      <c r="BQ183" s="4783"/>
      <c r="BR183" s="4783"/>
      <c r="BS183" s="4783"/>
      <c r="BT183" s="4783"/>
      <c r="BU183" s="4783"/>
      <c r="BV183" s="4783"/>
      <c r="BW183" s="4783"/>
      <c r="BX183" s="4783"/>
      <c r="BY183" s="4783"/>
      <c r="BZ183" s="4783"/>
      <c r="CA183" s="4783"/>
      <c r="CB183" s="4783"/>
      <c r="CC183" s="4783"/>
    </row>
    <row r="184" spans="69:81">
      <c r="BQ184" s="4783"/>
      <c r="BR184" s="4783"/>
      <c r="BS184" s="4783"/>
      <c r="BT184" s="4783"/>
      <c r="BU184" s="4783"/>
      <c r="BV184" s="4783"/>
      <c r="BW184" s="4783"/>
      <c r="BX184" s="4783"/>
      <c r="BY184" s="4783"/>
      <c r="BZ184" s="4783"/>
      <c r="CA184" s="4783"/>
      <c r="CB184" s="4783"/>
      <c r="CC184" s="4783"/>
    </row>
    <row r="185" spans="69:81">
      <c r="BQ185" s="4783"/>
      <c r="BR185" s="4783"/>
      <c r="BS185" s="4783"/>
      <c r="BT185" s="4783"/>
      <c r="BU185" s="4783"/>
      <c r="BV185" s="4783"/>
      <c r="BW185" s="4783"/>
      <c r="BX185" s="4783"/>
      <c r="BY185" s="4783"/>
      <c r="BZ185" s="4783"/>
      <c r="CA185" s="4783"/>
      <c r="CB185" s="4783"/>
      <c r="CC185" s="4783"/>
    </row>
    <row r="186" spans="69:81">
      <c r="BQ186" s="4783"/>
      <c r="BR186" s="4783"/>
      <c r="BS186" s="4783"/>
      <c r="BT186" s="4783"/>
      <c r="BU186" s="4783"/>
      <c r="BV186" s="4783"/>
      <c r="BW186" s="4783"/>
      <c r="BX186" s="4783"/>
      <c r="BY186" s="4783"/>
      <c r="BZ186" s="4783"/>
      <c r="CA186" s="4783"/>
      <c r="CB186" s="4783"/>
      <c r="CC186" s="4783"/>
    </row>
    <row r="187" spans="69:81">
      <c r="BQ187" s="4783"/>
      <c r="BR187" s="4783"/>
      <c r="BS187" s="4783"/>
      <c r="BT187" s="4783"/>
      <c r="BU187" s="4783"/>
      <c r="BV187" s="4783"/>
      <c r="BW187" s="4783"/>
      <c r="BX187" s="4783"/>
      <c r="BY187" s="4783"/>
      <c r="BZ187" s="4783"/>
      <c r="CA187" s="4783"/>
      <c r="CB187" s="4783"/>
      <c r="CC187" s="4783"/>
    </row>
    <row r="188" spans="69:81">
      <c r="BQ188" s="4783"/>
      <c r="BR188" s="4783"/>
      <c r="BS188" s="4783"/>
      <c r="BT188" s="4783"/>
      <c r="BU188" s="4783"/>
      <c r="BV188" s="4783"/>
      <c r="BW188" s="4783"/>
      <c r="BX188" s="4783"/>
      <c r="BY188" s="4783"/>
      <c r="BZ188" s="4783"/>
      <c r="CA188" s="4783"/>
      <c r="CB188" s="4783"/>
      <c r="CC188" s="4783"/>
    </row>
    <row r="189" spans="69:81">
      <c r="BQ189" s="4783"/>
      <c r="BR189" s="4783"/>
      <c r="BS189" s="4783"/>
      <c r="BT189" s="4783"/>
      <c r="BU189" s="4783"/>
      <c r="BV189" s="4783"/>
      <c r="BW189" s="4783"/>
      <c r="BX189" s="4783"/>
      <c r="BY189" s="4783"/>
      <c r="BZ189" s="4783"/>
      <c r="CA189" s="4783"/>
      <c r="CB189" s="4783"/>
      <c r="CC189" s="4783"/>
    </row>
    <row r="190" spans="69:81">
      <c r="BQ190" s="4783"/>
      <c r="BR190" s="4783"/>
      <c r="BS190" s="4783"/>
      <c r="BT190" s="4783"/>
      <c r="BU190" s="4783"/>
      <c r="BV190" s="4783"/>
      <c r="BW190" s="4783"/>
      <c r="BX190" s="4783"/>
      <c r="BY190" s="4783"/>
      <c r="BZ190" s="4783"/>
      <c r="CA190" s="4783"/>
      <c r="CB190" s="4783"/>
      <c r="CC190" s="4783"/>
    </row>
    <row r="191" spans="69:81">
      <c r="BQ191" s="4783"/>
      <c r="BR191" s="4783"/>
      <c r="BS191" s="4783"/>
      <c r="BT191" s="4783"/>
      <c r="BU191" s="4783"/>
      <c r="BV191" s="4783"/>
      <c r="BW191" s="4783"/>
      <c r="BX191" s="4783"/>
      <c r="BY191" s="4783"/>
      <c r="BZ191" s="4783"/>
      <c r="CA191" s="4783"/>
      <c r="CB191" s="4783"/>
      <c r="CC191" s="4783"/>
    </row>
    <row r="193" spans="69:81">
      <c r="BQ193" s="4783"/>
      <c r="BR193" s="4783"/>
      <c r="BS193" s="4783"/>
      <c r="BT193" s="4783"/>
      <c r="BU193" s="4783"/>
      <c r="BV193" s="4783"/>
      <c r="BW193" s="4783"/>
      <c r="BX193" s="4783"/>
      <c r="BY193" s="4783"/>
      <c r="BZ193" s="4783"/>
      <c r="CA193" s="4783"/>
      <c r="CB193" s="4783"/>
      <c r="CC193" s="4783"/>
    </row>
    <row r="195" spans="69:81">
      <c r="BQ195" s="4783"/>
      <c r="BR195" s="4783"/>
      <c r="BS195" s="4783"/>
      <c r="BT195" s="4783"/>
      <c r="BU195" s="4783"/>
      <c r="BV195" s="4783"/>
      <c r="BW195" s="4783"/>
      <c r="BX195" s="4783"/>
      <c r="BY195" s="4783"/>
      <c r="BZ195" s="4783"/>
      <c r="CA195" s="4783"/>
      <c r="CB195" s="4783"/>
      <c r="CC195" s="4783"/>
    </row>
  </sheetData>
  <mergeCells count="52">
    <mergeCell ref="AI1:AR1"/>
    <mergeCell ref="E4:E5"/>
    <mergeCell ref="G4:G5"/>
    <mergeCell ref="H4:H5"/>
    <mergeCell ref="B4:B5"/>
    <mergeCell ref="M3:N3"/>
    <mergeCell ref="D3:E3"/>
    <mergeCell ref="G3:H3"/>
    <mergeCell ref="D4:D5"/>
    <mergeCell ref="P3:Q3"/>
    <mergeCell ref="S3:T3"/>
    <mergeCell ref="K4:K5"/>
    <mergeCell ref="M4:M5"/>
    <mergeCell ref="N4:N5"/>
    <mergeCell ref="J3:K3"/>
    <mergeCell ref="J4:J5"/>
    <mergeCell ref="P4:P5"/>
    <mergeCell ref="Q4:Q5"/>
    <mergeCell ref="S4:S5"/>
    <mergeCell ref="T4:T5"/>
    <mergeCell ref="AB3:AC3"/>
    <mergeCell ref="AB4:AB5"/>
    <mergeCell ref="AC4:AC5"/>
    <mergeCell ref="V3:W3"/>
    <mergeCell ref="V4:V5"/>
    <mergeCell ref="W4:W5"/>
    <mergeCell ref="Y3:Z3"/>
    <mergeCell ref="Y4:Y5"/>
    <mergeCell ref="Z4:Z5"/>
    <mergeCell ref="AT34:AU34"/>
    <mergeCell ref="AH3:AI3"/>
    <mergeCell ref="AH4:AH5"/>
    <mergeCell ref="AI4:AI5"/>
    <mergeCell ref="AE4:AE5"/>
    <mergeCell ref="AF4:AF5"/>
    <mergeCell ref="AE3:AF3"/>
    <mergeCell ref="AV34:AV35"/>
    <mergeCell ref="BE34:BE35"/>
    <mergeCell ref="AK3:AL3"/>
    <mergeCell ref="AK4:AK5"/>
    <mergeCell ref="AL4:AL5"/>
    <mergeCell ref="BC34:BD34"/>
    <mergeCell ref="AN3:AO3"/>
    <mergeCell ref="AN4:AN5"/>
    <mergeCell ref="AO4:AO5"/>
    <mergeCell ref="AW34:AX34"/>
    <mergeCell ref="AY34:AY35"/>
    <mergeCell ref="AZ34:BA34"/>
    <mergeCell ref="BB34:BB35"/>
    <mergeCell ref="AQ3:AR3"/>
    <mergeCell ref="AQ4:AQ5"/>
    <mergeCell ref="AR4:AR5"/>
  </mergeCells>
  <printOptions horizontalCentered="1" verticalCentered="1"/>
  <pageMargins left="0.70866141732283472" right="0.70866141732283472" top="0.74803149606299213" bottom="0.74803149606299213" header="0.31496062992125984" footer="0.31496062992125984"/>
  <pageSetup scale="75" firstPageNumber="28" orientation="landscape" useFirstPageNumber="1" r:id="rId1"/>
  <headerFooter scaleWithDoc="0" alignWithMargins="0">
    <oddFooter>&amp;R&amp;P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T57"/>
  <sheetViews>
    <sheetView showGridLines="0" zoomScaleNormal="100" zoomScaleSheetLayoutView="70" workbookViewId="0">
      <pane ySplit="2" topLeftCell="A3" activePane="bottomLeft" state="frozen"/>
      <selection activeCell="C65" sqref="C65:C67"/>
      <selection pane="bottomLeft" activeCell="F72" sqref="F72"/>
    </sheetView>
  </sheetViews>
  <sheetFormatPr baseColWidth="10" defaultRowHeight="14.4"/>
  <cols>
    <col min="1" max="1" width="16.109375" customWidth="1"/>
    <col min="2" max="2" width="13.33203125" bestFit="1" customWidth="1"/>
    <col min="3" max="3" width="1.6640625" customWidth="1"/>
    <col min="4" max="6" width="8.6640625" style="5317" customWidth="1"/>
    <col min="7" max="7" width="1.6640625" style="5317" customWidth="1"/>
    <col min="8" max="10" width="8.6640625" style="5317" customWidth="1"/>
    <col min="11" max="11" width="1.6640625" style="5317" customWidth="1"/>
    <col min="12" max="13" width="8.6640625" style="5064" customWidth="1"/>
    <col min="14" max="14" width="8.88671875" style="5064" customWidth="1"/>
    <col min="15" max="15" width="1.6640625" style="5064" customWidth="1"/>
    <col min="16" max="18" width="8.6640625" style="3890" customWidth="1"/>
    <col min="19" max="19" width="1.6640625" style="3890" customWidth="1"/>
    <col min="20" max="21" width="8.6640625" style="3023" customWidth="1"/>
    <col min="22" max="22" width="10.33203125" style="3023" bestFit="1" customWidth="1"/>
    <col min="23" max="23" width="1.6640625" style="3023" customWidth="1"/>
    <col min="24" max="26" width="8.6640625" customWidth="1"/>
    <col min="27" max="27" width="1.6640625" customWidth="1"/>
    <col min="28" max="30" width="8.6640625" customWidth="1"/>
    <col min="31" max="31" width="1.6640625" customWidth="1"/>
    <col min="32" max="34" width="8.6640625" customWidth="1"/>
    <col min="35" max="35" width="1.6640625" customWidth="1"/>
    <col min="36" max="38" width="8.6640625" customWidth="1"/>
    <col min="39" max="39" width="1.6640625" customWidth="1"/>
    <col min="40" max="42" width="8.6640625" customWidth="1"/>
    <col min="43" max="43" width="1.6640625" customWidth="1"/>
    <col min="44" max="46" width="8.6640625" customWidth="1"/>
    <col min="47" max="47" width="1.6640625" customWidth="1"/>
    <col min="48" max="48" width="8.6640625" customWidth="1"/>
    <col min="49" max="49" width="13.5546875" customWidth="1"/>
    <col min="50" max="50" width="8.6640625" customWidth="1"/>
    <col min="51" max="51" width="1.6640625" customWidth="1"/>
    <col min="52" max="52" width="10" customWidth="1"/>
    <col min="53" max="53" width="10.33203125" customWidth="1"/>
    <col min="54" max="54" width="8.6640625" style="119" customWidth="1"/>
    <col min="55" max="55" width="11.44140625" style="119"/>
  </cols>
  <sheetData>
    <row r="1" spans="1:56" ht="19.5" customHeight="1">
      <c r="B1" s="140"/>
      <c r="C1" s="140"/>
      <c r="D1" s="140"/>
      <c r="E1" s="140"/>
      <c r="F1" s="140"/>
      <c r="G1" s="140"/>
      <c r="H1" s="140"/>
      <c r="I1" s="140"/>
      <c r="J1" s="140"/>
      <c r="K1" s="140"/>
      <c r="L1" s="140"/>
      <c r="M1" s="140"/>
      <c r="N1" s="140"/>
      <c r="O1" s="140"/>
      <c r="P1" s="140"/>
      <c r="Q1" s="140"/>
      <c r="R1" s="140"/>
      <c r="S1" s="140"/>
      <c r="T1" s="140"/>
      <c r="U1" s="140"/>
      <c r="V1" s="6496" t="s">
        <v>877</v>
      </c>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214"/>
      <c r="AZ1" s="214"/>
      <c r="BA1" s="214"/>
    </row>
    <row r="2" spans="1:56" ht="15.6">
      <c r="B2" s="211"/>
      <c r="C2" s="211"/>
      <c r="D2" s="211"/>
      <c r="E2" s="211"/>
      <c r="F2" s="211"/>
      <c r="G2" s="211"/>
      <c r="H2" s="211"/>
      <c r="I2" s="211"/>
      <c r="J2" s="211"/>
      <c r="K2" s="211"/>
      <c r="L2" s="211"/>
      <c r="M2" s="211"/>
      <c r="N2" s="211"/>
      <c r="O2" s="211"/>
      <c r="P2" s="211"/>
      <c r="Q2" s="211"/>
      <c r="R2" s="211"/>
      <c r="S2" s="211"/>
      <c r="T2" s="211"/>
      <c r="U2" s="211"/>
      <c r="V2" s="5315" t="s">
        <v>2503</v>
      </c>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211"/>
      <c r="AV2" s="211"/>
    </row>
    <row r="3" spans="1:56" s="513" customFormat="1" ht="24.9" customHeight="1">
      <c r="C3" s="6462"/>
      <c r="E3" s="6463">
        <v>2023</v>
      </c>
      <c r="F3" s="6464"/>
      <c r="G3" s="6462"/>
      <c r="I3" s="6463">
        <v>2022</v>
      </c>
      <c r="J3" s="6464"/>
      <c r="K3" s="6462"/>
      <c r="L3" s="7315">
        <v>2021</v>
      </c>
      <c r="M3" s="7315"/>
      <c r="N3" s="7315"/>
      <c r="O3" s="6462"/>
      <c r="P3" s="7315">
        <v>2020</v>
      </c>
      <c r="Q3" s="7315"/>
      <c r="R3" s="7315"/>
      <c r="S3" s="6462"/>
      <c r="T3" s="7315">
        <v>2019</v>
      </c>
      <c r="U3" s="7315"/>
      <c r="V3" s="7315"/>
      <c r="W3" s="6465"/>
      <c r="X3" s="7315">
        <v>2018</v>
      </c>
      <c r="Y3" s="7315"/>
      <c r="Z3" s="7315"/>
      <c r="AA3" s="6465"/>
      <c r="AB3" s="7315">
        <v>2017</v>
      </c>
      <c r="AC3" s="7315"/>
      <c r="AD3" s="7315"/>
      <c r="AE3" s="6465"/>
      <c r="AF3" s="7315" t="s">
        <v>2553</v>
      </c>
      <c r="AG3" s="7315"/>
      <c r="AH3" s="7315"/>
      <c r="AI3" s="6465"/>
      <c r="AJ3" s="7315">
        <v>2015</v>
      </c>
      <c r="AK3" s="7315"/>
      <c r="AL3" s="7315"/>
      <c r="AM3" s="6465"/>
      <c r="AN3" s="7315">
        <v>2014</v>
      </c>
      <c r="AO3" s="7315"/>
      <c r="AP3" s="7315"/>
      <c r="AQ3" s="6465"/>
      <c r="AR3" s="7315">
        <v>2013</v>
      </c>
      <c r="AS3" s="7315"/>
      <c r="AT3" s="7315"/>
      <c r="AU3" s="6465"/>
      <c r="AV3" s="7315">
        <v>2012</v>
      </c>
      <c r="AW3" s="7315"/>
      <c r="AX3" s="7315"/>
      <c r="AY3" s="6466"/>
      <c r="AZ3" s="7315">
        <v>2011</v>
      </c>
      <c r="BA3" s="7315"/>
      <c r="BB3" s="7315"/>
      <c r="BC3" s="1555"/>
      <c r="BD3" s="1555"/>
    </row>
    <row r="4" spans="1:56" s="36" customFormat="1" ht="15" thickBot="1">
      <c r="A4" s="6457" t="s">
        <v>879</v>
      </c>
      <c r="B4" s="6458" t="s">
        <v>880</v>
      </c>
      <c r="C4" s="2929"/>
      <c r="D4" s="3757" t="s">
        <v>881</v>
      </c>
      <c r="E4" s="3757" t="s">
        <v>882</v>
      </c>
      <c r="F4" s="3757" t="s">
        <v>883</v>
      </c>
      <c r="G4" s="2929"/>
      <c r="H4" s="3757" t="s">
        <v>881</v>
      </c>
      <c r="I4" s="3757" t="s">
        <v>882</v>
      </c>
      <c r="J4" s="3757" t="s">
        <v>883</v>
      </c>
      <c r="K4" s="2929"/>
      <c r="L4" s="3757" t="s">
        <v>881</v>
      </c>
      <c r="M4" s="3757" t="s">
        <v>882</v>
      </c>
      <c r="N4" s="3757" t="s">
        <v>883</v>
      </c>
      <c r="O4" s="2929"/>
      <c r="P4" s="3757" t="s">
        <v>881</v>
      </c>
      <c r="Q4" s="3757" t="s">
        <v>882</v>
      </c>
      <c r="R4" s="3757" t="s">
        <v>883</v>
      </c>
      <c r="S4" s="2929"/>
      <c r="T4" s="3757" t="s">
        <v>881</v>
      </c>
      <c r="U4" s="3757" t="s">
        <v>882</v>
      </c>
      <c r="V4" s="3757" t="s">
        <v>883</v>
      </c>
      <c r="W4" s="160"/>
      <c r="X4" s="3757" t="s">
        <v>881</v>
      </c>
      <c r="Y4" s="3757" t="s">
        <v>882</v>
      </c>
      <c r="Z4" s="3757" t="s">
        <v>883</v>
      </c>
      <c r="AA4" s="3758"/>
      <c r="AB4" s="3757" t="s">
        <v>881</v>
      </c>
      <c r="AC4" s="3757" t="s">
        <v>882</v>
      </c>
      <c r="AD4" s="3757" t="s">
        <v>883</v>
      </c>
      <c r="AE4" s="3758"/>
      <c r="AF4" s="3757" t="s">
        <v>881</v>
      </c>
      <c r="AG4" s="3757" t="s">
        <v>882</v>
      </c>
      <c r="AH4" s="3757" t="s">
        <v>883</v>
      </c>
      <c r="AI4" s="3758"/>
      <c r="AJ4" s="3757" t="s">
        <v>881</v>
      </c>
      <c r="AK4" s="3757" t="s">
        <v>882</v>
      </c>
      <c r="AL4" s="3757" t="s">
        <v>883</v>
      </c>
      <c r="AM4" s="3758"/>
      <c r="AN4" s="3757" t="s">
        <v>881</v>
      </c>
      <c r="AO4" s="3757" t="s">
        <v>882</v>
      </c>
      <c r="AP4" s="3757" t="s">
        <v>883</v>
      </c>
      <c r="AQ4" s="3758"/>
      <c r="AR4" s="3757" t="s">
        <v>881</v>
      </c>
      <c r="AS4" s="3757" t="s">
        <v>882</v>
      </c>
      <c r="AT4" s="3757" t="s">
        <v>883</v>
      </c>
      <c r="AU4" s="3758"/>
      <c r="AV4" s="3757" t="s">
        <v>881</v>
      </c>
      <c r="AW4" s="3757" t="s">
        <v>882</v>
      </c>
      <c r="AX4" s="3757" t="s">
        <v>883</v>
      </c>
      <c r="AY4" s="3759"/>
      <c r="AZ4" s="3757" t="s">
        <v>881</v>
      </c>
      <c r="BA4" s="3757" t="s">
        <v>882</v>
      </c>
      <c r="BB4" s="3757" t="s">
        <v>883</v>
      </c>
      <c r="BC4" s="42"/>
      <c r="BD4" s="42"/>
    </row>
    <row r="5" spans="1:56" s="36" customFormat="1">
      <c r="A5" s="7302" t="s">
        <v>884</v>
      </c>
      <c r="B5" s="2932" t="s">
        <v>885</v>
      </c>
      <c r="C5" s="160"/>
      <c r="D5" s="2933">
        <v>981</v>
      </c>
      <c r="E5" s="2934">
        <v>1146</v>
      </c>
      <c r="F5" s="2935">
        <v>997</v>
      </c>
      <c r="G5" s="160"/>
      <c r="H5" s="2933">
        <v>614</v>
      </c>
      <c r="I5" s="2934">
        <v>570</v>
      </c>
      <c r="J5" s="2935">
        <v>672</v>
      </c>
      <c r="K5" s="160"/>
      <c r="L5" s="2933">
        <v>529</v>
      </c>
      <c r="M5" s="2934">
        <v>567</v>
      </c>
      <c r="N5" s="2935">
        <v>635</v>
      </c>
      <c r="O5" s="160"/>
      <c r="P5" s="2933">
        <v>1115</v>
      </c>
      <c r="Q5" s="2934">
        <v>922</v>
      </c>
      <c r="R5" s="2935">
        <v>863</v>
      </c>
      <c r="S5" s="160"/>
      <c r="T5" s="2933">
        <v>1115</v>
      </c>
      <c r="U5" s="2934">
        <v>922</v>
      </c>
      <c r="V5" s="2935">
        <v>863</v>
      </c>
      <c r="W5" s="160"/>
      <c r="X5" s="2933">
        <v>1221</v>
      </c>
      <c r="Y5" s="2934">
        <v>1231</v>
      </c>
      <c r="Z5" s="2935">
        <v>1187</v>
      </c>
      <c r="AA5" s="160"/>
      <c r="AB5" s="2933">
        <v>1198</v>
      </c>
      <c r="AC5" s="2934">
        <v>1138</v>
      </c>
      <c r="AD5" s="2935">
        <v>1166</v>
      </c>
      <c r="AE5" s="2367"/>
      <c r="AF5" s="2933">
        <v>1000</v>
      </c>
      <c r="AG5" s="2934">
        <v>1027</v>
      </c>
      <c r="AH5" s="2935">
        <v>998</v>
      </c>
      <c r="AI5" s="3758"/>
      <c r="AJ5" s="2933">
        <v>1000</v>
      </c>
      <c r="AK5" s="2934">
        <v>1027</v>
      </c>
      <c r="AL5" s="2935">
        <v>998</v>
      </c>
      <c r="AM5" s="160"/>
      <c r="AN5" s="2933">
        <v>838</v>
      </c>
      <c r="AO5" s="2934">
        <v>934</v>
      </c>
      <c r="AP5" s="2935">
        <v>951</v>
      </c>
      <c r="AQ5" s="89"/>
      <c r="AR5" s="2933">
        <v>481</v>
      </c>
      <c r="AS5" s="2934">
        <v>437</v>
      </c>
      <c r="AT5" s="2935">
        <v>466</v>
      </c>
      <c r="AU5" s="160"/>
      <c r="AV5" s="2933">
        <v>857</v>
      </c>
      <c r="AW5" s="2934">
        <v>974</v>
      </c>
      <c r="AX5" s="2935">
        <v>915</v>
      </c>
      <c r="AY5" s="293"/>
      <c r="AZ5" s="2933">
        <v>579</v>
      </c>
      <c r="BA5" s="2934">
        <v>687</v>
      </c>
      <c r="BB5" s="2935">
        <v>633</v>
      </c>
      <c r="BC5" s="42"/>
      <c r="BD5" s="42"/>
    </row>
    <row r="6" spans="1:56" s="36" customFormat="1">
      <c r="A6" s="7303"/>
      <c r="B6" s="2936" t="s">
        <v>886</v>
      </c>
      <c r="C6" s="160"/>
      <c r="D6" s="2937">
        <v>199</v>
      </c>
      <c r="E6" s="2938">
        <v>156</v>
      </c>
      <c r="F6" s="2939">
        <v>130</v>
      </c>
      <c r="G6" s="160"/>
      <c r="H6" s="2937">
        <v>203</v>
      </c>
      <c r="I6" s="2938">
        <v>152</v>
      </c>
      <c r="J6" s="2939">
        <v>169</v>
      </c>
      <c r="K6" s="160"/>
      <c r="L6" s="2937">
        <v>258</v>
      </c>
      <c r="M6" s="2938">
        <v>243</v>
      </c>
      <c r="N6" s="2939">
        <v>219</v>
      </c>
      <c r="O6" s="160"/>
      <c r="P6" s="2937">
        <v>184</v>
      </c>
      <c r="Q6" s="2938">
        <v>152</v>
      </c>
      <c r="R6" s="2939">
        <v>154</v>
      </c>
      <c r="S6" s="160"/>
      <c r="T6" s="2937">
        <v>184</v>
      </c>
      <c r="U6" s="2938">
        <v>152</v>
      </c>
      <c r="V6" s="2939">
        <v>154</v>
      </c>
      <c r="W6" s="160"/>
      <c r="X6" s="2937">
        <v>171</v>
      </c>
      <c r="Y6" s="2938">
        <v>164</v>
      </c>
      <c r="Z6" s="2939">
        <v>143</v>
      </c>
      <c r="AA6" s="160"/>
      <c r="AB6" s="2937">
        <v>158</v>
      </c>
      <c r="AC6" s="2938">
        <v>162</v>
      </c>
      <c r="AD6" s="2939">
        <v>152</v>
      </c>
      <c r="AE6" s="2367"/>
      <c r="AF6" s="2937">
        <v>175</v>
      </c>
      <c r="AG6" s="2938">
        <v>185</v>
      </c>
      <c r="AH6" s="2939">
        <v>194</v>
      </c>
      <c r="AI6" s="3758"/>
      <c r="AJ6" s="2937">
        <v>175</v>
      </c>
      <c r="AK6" s="2938">
        <v>185</v>
      </c>
      <c r="AL6" s="2939">
        <v>194</v>
      </c>
      <c r="AM6" s="160"/>
      <c r="AN6" s="2937">
        <v>141</v>
      </c>
      <c r="AO6" s="2938">
        <v>184</v>
      </c>
      <c r="AP6" s="2939">
        <v>186</v>
      </c>
      <c r="AQ6" s="89"/>
      <c r="AR6" s="2937">
        <v>51</v>
      </c>
      <c r="AS6" s="2938">
        <v>41</v>
      </c>
      <c r="AT6" s="2939">
        <v>55</v>
      </c>
      <c r="AU6" s="160"/>
      <c r="AV6" s="2937">
        <v>92</v>
      </c>
      <c r="AW6" s="2938">
        <v>109</v>
      </c>
      <c r="AX6" s="2939">
        <v>118</v>
      </c>
      <c r="AY6" s="293"/>
      <c r="AZ6" s="2937">
        <v>184</v>
      </c>
      <c r="BA6" s="2938">
        <v>99</v>
      </c>
      <c r="BB6" s="2939">
        <v>105</v>
      </c>
      <c r="BC6" s="42"/>
      <c r="BD6" s="42"/>
    </row>
    <row r="7" spans="1:56" s="36" customFormat="1">
      <c r="A7" s="7304"/>
      <c r="B7" s="2940" t="s">
        <v>887</v>
      </c>
      <c r="C7" s="160"/>
      <c r="D7" s="2941">
        <v>22</v>
      </c>
      <c r="E7" s="2942">
        <v>46</v>
      </c>
      <c r="F7" s="2943">
        <v>26</v>
      </c>
      <c r="G7" s="160"/>
      <c r="H7" s="2941">
        <v>54</v>
      </c>
      <c r="I7" s="2942">
        <v>46</v>
      </c>
      <c r="J7" s="2943">
        <v>14</v>
      </c>
      <c r="K7" s="160"/>
      <c r="L7" s="2941">
        <v>51</v>
      </c>
      <c r="M7" s="2942">
        <v>77</v>
      </c>
      <c r="N7" s="2943">
        <v>59</v>
      </c>
      <c r="O7" s="160"/>
      <c r="P7" s="2941">
        <v>37</v>
      </c>
      <c r="Q7" s="2942">
        <v>13</v>
      </c>
      <c r="R7" s="2943">
        <v>20</v>
      </c>
      <c r="S7" s="160"/>
      <c r="T7" s="2941">
        <v>37</v>
      </c>
      <c r="U7" s="2942">
        <v>13</v>
      </c>
      <c r="V7" s="2943">
        <v>20</v>
      </c>
      <c r="W7" s="160"/>
      <c r="X7" s="2941">
        <v>25</v>
      </c>
      <c r="Y7" s="2942">
        <v>41</v>
      </c>
      <c r="Z7" s="2943">
        <v>55</v>
      </c>
      <c r="AA7" s="160"/>
      <c r="AB7" s="2941">
        <v>41</v>
      </c>
      <c r="AC7" s="2942">
        <v>53</v>
      </c>
      <c r="AD7" s="2943">
        <v>37</v>
      </c>
      <c r="AE7" s="2367"/>
      <c r="AF7" s="2941">
        <v>33</v>
      </c>
      <c r="AG7" s="2942">
        <v>28</v>
      </c>
      <c r="AH7" s="2943">
        <v>49</v>
      </c>
      <c r="AI7" s="3758"/>
      <c r="AJ7" s="2941">
        <v>33</v>
      </c>
      <c r="AK7" s="2942">
        <v>28</v>
      </c>
      <c r="AL7" s="2943">
        <v>49</v>
      </c>
      <c r="AM7" s="160"/>
      <c r="AN7" s="2941">
        <v>12</v>
      </c>
      <c r="AO7" s="2942">
        <v>13</v>
      </c>
      <c r="AP7" s="2943">
        <v>16</v>
      </c>
      <c r="AQ7" s="89"/>
      <c r="AR7" s="2941">
        <v>6</v>
      </c>
      <c r="AS7" s="2942">
        <v>6</v>
      </c>
      <c r="AT7" s="2943">
        <v>7</v>
      </c>
      <c r="AU7" s="160"/>
      <c r="AV7" s="2941">
        <v>44</v>
      </c>
      <c r="AW7" s="2942">
        <v>44</v>
      </c>
      <c r="AX7" s="2943">
        <v>15</v>
      </c>
      <c r="AY7" s="293"/>
      <c r="AZ7" s="2941">
        <v>52</v>
      </c>
      <c r="BA7" s="2942">
        <v>41</v>
      </c>
      <c r="BB7" s="2943">
        <v>23</v>
      </c>
      <c r="BC7" s="42"/>
      <c r="BD7" s="42"/>
    </row>
    <row r="8" spans="1:56" s="36" customFormat="1">
      <c r="A8" s="7314" t="s">
        <v>888</v>
      </c>
      <c r="B8" s="7314"/>
      <c r="C8" s="160"/>
      <c r="D8" s="3766">
        <f>SUM(D5:D7)</f>
        <v>1202</v>
      </c>
      <c r="E8" s="3767">
        <f>SUM(E5:E7)</f>
        <v>1348</v>
      </c>
      <c r="F8" s="3768">
        <f>SUM(F5:F7)</f>
        <v>1153</v>
      </c>
      <c r="G8" s="160"/>
      <c r="H8" s="3766">
        <f>SUM(H5:H7)</f>
        <v>871</v>
      </c>
      <c r="I8" s="3767">
        <f>SUM(I5:I7)</f>
        <v>768</v>
      </c>
      <c r="J8" s="3768">
        <f>SUM(J5:J7)</f>
        <v>855</v>
      </c>
      <c r="K8" s="160"/>
      <c r="L8" s="3766">
        <f>SUM(L5:L7)</f>
        <v>838</v>
      </c>
      <c r="M8" s="3767">
        <f>SUM(M5:M7)</f>
        <v>887</v>
      </c>
      <c r="N8" s="3768">
        <f>SUM(N5:N7)</f>
        <v>913</v>
      </c>
      <c r="O8" s="160"/>
      <c r="P8" s="3766">
        <f>SUM(P5:P7)</f>
        <v>1336</v>
      </c>
      <c r="Q8" s="3767">
        <f>SUM(Q5:Q7)</f>
        <v>1087</v>
      </c>
      <c r="R8" s="3768">
        <f>SUM(R5:R7)</f>
        <v>1037</v>
      </c>
      <c r="S8" s="160"/>
      <c r="T8" s="3766">
        <f>SUM(T5:T7)</f>
        <v>1336</v>
      </c>
      <c r="U8" s="3767">
        <f>SUM(U5:U7)</f>
        <v>1087</v>
      </c>
      <c r="V8" s="3768">
        <f>SUM(V5:V7)</f>
        <v>1037</v>
      </c>
      <c r="W8" s="160"/>
      <c r="X8" s="3766">
        <f>SUM(X5:X7)</f>
        <v>1417</v>
      </c>
      <c r="Y8" s="3767">
        <f>SUM(Y5:Y7)</f>
        <v>1436</v>
      </c>
      <c r="Z8" s="3768">
        <f>SUM(Z5:Z7)</f>
        <v>1385</v>
      </c>
      <c r="AA8" s="160"/>
      <c r="AB8" s="3766">
        <f>SUM(AB5:AB7)</f>
        <v>1397</v>
      </c>
      <c r="AC8" s="3767">
        <f>SUM(AC5:AC7)</f>
        <v>1353</v>
      </c>
      <c r="AD8" s="3768">
        <f>SUM(AD5:AD7)</f>
        <v>1355</v>
      </c>
      <c r="AE8" s="2367"/>
      <c r="AF8" s="3766">
        <f>SUM(AF5:AF7)</f>
        <v>1208</v>
      </c>
      <c r="AG8" s="3767">
        <f>SUM(AG5:AG7)</f>
        <v>1240</v>
      </c>
      <c r="AH8" s="3768">
        <f>SUM(AH5:AH7)</f>
        <v>1241</v>
      </c>
      <c r="AI8" s="3758"/>
      <c r="AJ8" s="3766">
        <f>SUM(AJ5:AJ7)</f>
        <v>1208</v>
      </c>
      <c r="AK8" s="3767">
        <f>SUM(AK5:AK7)</f>
        <v>1240</v>
      </c>
      <c r="AL8" s="3768">
        <f>SUM(AL5:AL7)</f>
        <v>1241</v>
      </c>
      <c r="AM8" s="160"/>
      <c r="AN8" s="3766">
        <f>SUM(AN5:AN7)</f>
        <v>991</v>
      </c>
      <c r="AO8" s="3767">
        <f>SUM(AO5:AO7)</f>
        <v>1131</v>
      </c>
      <c r="AP8" s="3768">
        <f>SUM(AP5:AP7)</f>
        <v>1153</v>
      </c>
      <c r="AQ8" s="89"/>
      <c r="AR8" s="3766">
        <f>SUM(AR5:AR7)</f>
        <v>538</v>
      </c>
      <c r="AS8" s="3767">
        <f>SUM(AS5:AS7)</f>
        <v>484</v>
      </c>
      <c r="AT8" s="3768">
        <f>SUM(AT5:AT7)</f>
        <v>528</v>
      </c>
      <c r="AU8" s="160"/>
      <c r="AV8" s="3766">
        <f>SUM(AV5:AV7)</f>
        <v>993</v>
      </c>
      <c r="AW8" s="3767">
        <f>SUM(AW5:AW7)</f>
        <v>1127</v>
      </c>
      <c r="AX8" s="3768">
        <f>SUM(AX5:AX7)</f>
        <v>1048</v>
      </c>
      <c r="AY8" s="293"/>
      <c r="AZ8" s="3766">
        <f>SUM(AZ5:AZ7)</f>
        <v>815</v>
      </c>
      <c r="BA8" s="3767">
        <f>SUM(BA5:BA7)</f>
        <v>827</v>
      </c>
      <c r="BB8" s="3768">
        <f>SUM(BB5:BB7)</f>
        <v>761</v>
      </c>
      <c r="BC8" s="42"/>
      <c r="BD8" s="42"/>
    </row>
    <row r="9" spans="1:56" s="36" customFormat="1">
      <c r="A9" s="2944" t="s">
        <v>889</v>
      </c>
      <c r="B9" s="2945"/>
      <c r="C9" s="2946"/>
      <c r="D9" s="3772"/>
      <c r="E9" s="2948"/>
      <c r="F9" s="2948"/>
      <c r="G9" s="2946"/>
      <c r="H9" s="2947"/>
      <c r="I9" s="2948"/>
      <c r="J9" s="2948"/>
      <c r="K9" s="2946"/>
      <c r="L9" s="2947"/>
      <c r="M9" s="2948"/>
      <c r="N9" s="2948"/>
      <c r="O9" s="2946"/>
      <c r="P9" s="2947"/>
      <c r="Q9" s="2948"/>
      <c r="R9" s="2948"/>
      <c r="S9" s="2946"/>
      <c r="T9" s="2947"/>
      <c r="U9" s="2948"/>
      <c r="V9" s="2948"/>
      <c r="W9" s="160"/>
      <c r="X9" s="2947"/>
      <c r="Y9" s="2948"/>
      <c r="Z9" s="2948"/>
      <c r="AA9" s="160"/>
      <c r="AB9" s="2947"/>
      <c r="AC9" s="2948"/>
      <c r="AD9" s="2948"/>
      <c r="AE9" s="2367"/>
      <c r="AF9" s="3772" t="s">
        <v>2554</v>
      </c>
      <c r="AG9" s="2948"/>
      <c r="AH9" s="2948"/>
      <c r="AI9" s="2946"/>
      <c r="AJ9" s="2947"/>
      <c r="AK9" s="2948"/>
      <c r="AL9" s="2948"/>
      <c r="AM9" s="160"/>
      <c r="AN9" s="2947"/>
      <c r="AO9" s="2948"/>
      <c r="AP9" s="2948"/>
      <c r="AQ9" s="89"/>
      <c r="AR9" s="2947"/>
      <c r="AS9" s="2948"/>
      <c r="AT9" s="2948"/>
      <c r="AU9" s="160"/>
      <c r="AV9" s="2947"/>
      <c r="AW9" s="2948"/>
      <c r="AX9" s="2948"/>
      <c r="AY9" s="293"/>
      <c r="AZ9" s="2947"/>
      <c r="BA9" s="2948"/>
      <c r="BB9" s="2948"/>
      <c r="BC9" s="42"/>
      <c r="BD9" s="42"/>
    </row>
    <row r="10" spans="1:56" s="36" customFormat="1">
      <c r="A10" s="160"/>
      <c r="B10" s="160"/>
      <c r="C10" s="160"/>
      <c r="D10" s="2929"/>
      <c r="E10" s="2929"/>
      <c r="F10" s="2929"/>
      <c r="G10" s="160"/>
      <c r="H10" s="2929"/>
      <c r="I10" s="2929"/>
      <c r="J10" s="2929"/>
      <c r="K10" s="160"/>
      <c r="L10" s="2929"/>
      <c r="M10" s="2929"/>
      <c r="N10" s="2929"/>
      <c r="O10" s="160"/>
      <c r="P10" s="2929"/>
      <c r="Q10" s="2929"/>
      <c r="R10" s="2929"/>
      <c r="S10" s="160"/>
      <c r="T10" s="2929"/>
      <c r="U10" s="2929"/>
      <c r="V10" s="2929"/>
      <c r="W10" s="160"/>
      <c r="X10" s="2929"/>
      <c r="Y10" s="2929"/>
      <c r="Z10" s="2929"/>
      <c r="AA10" s="160"/>
      <c r="AB10" s="2929"/>
      <c r="AC10" s="2929"/>
      <c r="AD10" s="2929"/>
      <c r="AE10" s="2367"/>
      <c r="AF10" s="2929"/>
      <c r="AG10" s="2929"/>
      <c r="AH10" s="2929"/>
      <c r="AI10" s="160"/>
      <c r="AJ10" s="2929"/>
      <c r="AK10" s="2929"/>
      <c r="AL10" s="2929"/>
      <c r="AM10" s="160"/>
      <c r="AN10" s="2929"/>
      <c r="AO10" s="2929"/>
      <c r="AP10" s="2929"/>
      <c r="AQ10" s="89"/>
      <c r="AR10" s="2929"/>
      <c r="AS10" s="2929"/>
      <c r="AT10" s="2929"/>
      <c r="AU10" s="160"/>
      <c r="AV10" s="2929"/>
      <c r="AW10" s="2929"/>
      <c r="AX10" s="2929"/>
      <c r="AY10" s="293"/>
      <c r="AZ10" s="2929"/>
      <c r="BA10" s="2929"/>
      <c r="BB10" s="2929"/>
      <c r="BC10" s="42"/>
      <c r="BD10" s="42"/>
    </row>
    <row r="11" spans="1:56" s="36" customFormat="1" ht="15" thickBot="1">
      <c r="A11" s="6459" t="s">
        <v>879</v>
      </c>
      <c r="B11" s="6460" t="s">
        <v>880</v>
      </c>
      <c r="C11" s="2929"/>
      <c r="D11" s="3760" t="s">
        <v>881</v>
      </c>
      <c r="E11" s="3760" t="s">
        <v>882</v>
      </c>
      <c r="F11" s="3760" t="s">
        <v>883</v>
      </c>
      <c r="G11" s="2929"/>
      <c r="H11" s="3760" t="s">
        <v>881</v>
      </c>
      <c r="I11" s="3760" t="s">
        <v>882</v>
      </c>
      <c r="J11" s="3760" t="s">
        <v>883</v>
      </c>
      <c r="K11" s="2929"/>
      <c r="L11" s="3760" t="s">
        <v>881</v>
      </c>
      <c r="M11" s="3760" t="s">
        <v>882</v>
      </c>
      <c r="N11" s="3760" t="s">
        <v>883</v>
      </c>
      <c r="O11" s="2929"/>
      <c r="P11" s="3760" t="s">
        <v>881</v>
      </c>
      <c r="Q11" s="3760" t="s">
        <v>882</v>
      </c>
      <c r="R11" s="3760" t="s">
        <v>883</v>
      </c>
      <c r="S11" s="2929"/>
      <c r="T11" s="3760" t="s">
        <v>881</v>
      </c>
      <c r="U11" s="3760" t="s">
        <v>882</v>
      </c>
      <c r="V11" s="3760" t="s">
        <v>883</v>
      </c>
      <c r="W11" s="3761"/>
      <c r="X11" s="3760" t="s">
        <v>881</v>
      </c>
      <c r="Y11" s="3760" t="s">
        <v>882</v>
      </c>
      <c r="Z11" s="3760" t="s">
        <v>883</v>
      </c>
      <c r="AA11" s="3761"/>
      <c r="AB11" s="3760" t="s">
        <v>881</v>
      </c>
      <c r="AC11" s="3760" t="s">
        <v>882</v>
      </c>
      <c r="AD11" s="3760" t="s">
        <v>883</v>
      </c>
      <c r="AE11" s="3761"/>
      <c r="AF11" s="3760" t="s">
        <v>881</v>
      </c>
      <c r="AG11" s="3760" t="s">
        <v>882</v>
      </c>
      <c r="AH11" s="3760" t="s">
        <v>883</v>
      </c>
      <c r="AI11" s="3761"/>
      <c r="AJ11" s="3760" t="s">
        <v>881</v>
      </c>
      <c r="AK11" s="3760" t="s">
        <v>882</v>
      </c>
      <c r="AL11" s="3760" t="s">
        <v>883</v>
      </c>
      <c r="AM11" s="3761"/>
      <c r="AN11" s="3760" t="s">
        <v>881</v>
      </c>
      <c r="AO11" s="3760" t="s">
        <v>882</v>
      </c>
      <c r="AP11" s="3760" t="s">
        <v>883</v>
      </c>
      <c r="AQ11" s="3761"/>
      <c r="AR11" s="3760" t="s">
        <v>881</v>
      </c>
      <c r="AS11" s="3760" t="s">
        <v>882</v>
      </c>
      <c r="AT11" s="3760" t="s">
        <v>883</v>
      </c>
      <c r="AU11" s="3761"/>
      <c r="AV11" s="3760" t="s">
        <v>881</v>
      </c>
      <c r="AW11" s="3760" t="s">
        <v>882</v>
      </c>
      <c r="AX11" s="3760" t="s">
        <v>883</v>
      </c>
      <c r="AY11" s="3762"/>
      <c r="AZ11" s="3760" t="s">
        <v>881</v>
      </c>
      <c r="BA11" s="3760" t="s">
        <v>882</v>
      </c>
      <c r="BB11" s="3760" t="s">
        <v>883</v>
      </c>
      <c r="BC11" s="42"/>
      <c r="BD11" s="42"/>
    </row>
    <row r="12" spans="1:56" s="36" customFormat="1">
      <c r="A12" s="7302" t="s">
        <v>884</v>
      </c>
      <c r="B12" s="2932" t="s">
        <v>885</v>
      </c>
      <c r="C12" s="160"/>
      <c r="D12" s="2933">
        <v>404</v>
      </c>
      <c r="E12" s="2934">
        <v>385</v>
      </c>
      <c r="F12" s="2935">
        <v>378</v>
      </c>
      <c r="G12" s="160"/>
      <c r="H12" s="2933">
        <v>309</v>
      </c>
      <c r="I12" s="2934">
        <v>388</v>
      </c>
      <c r="J12" s="2935">
        <v>614</v>
      </c>
      <c r="K12" s="160"/>
      <c r="L12" s="2933">
        <v>381</v>
      </c>
      <c r="M12" s="2934">
        <v>270</v>
      </c>
      <c r="N12" s="2935">
        <v>304</v>
      </c>
      <c r="O12" s="160"/>
      <c r="P12" s="2933">
        <v>249</v>
      </c>
      <c r="Q12" s="2934">
        <v>262</v>
      </c>
      <c r="R12" s="2935">
        <v>27</v>
      </c>
      <c r="S12" s="160"/>
      <c r="T12" s="2933">
        <v>182</v>
      </c>
      <c r="U12" s="2934">
        <v>230</v>
      </c>
      <c r="V12" s="2935">
        <v>42</v>
      </c>
      <c r="W12" s="160"/>
      <c r="X12" s="2933">
        <v>139</v>
      </c>
      <c r="Y12" s="2934">
        <v>240</v>
      </c>
      <c r="Z12" s="2935">
        <v>308</v>
      </c>
      <c r="AA12" s="160"/>
      <c r="AB12" s="2933">
        <v>236</v>
      </c>
      <c r="AC12" s="2934">
        <v>200</v>
      </c>
      <c r="AD12" s="2935">
        <v>233</v>
      </c>
      <c r="AE12" s="2367"/>
      <c r="AF12" s="2933">
        <v>242</v>
      </c>
      <c r="AG12" s="2934">
        <v>209</v>
      </c>
      <c r="AH12" s="2935">
        <v>422</v>
      </c>
      <c r="AI12" s="160"/>
      <c r="AJ12" s="2933">
        <v>202</v>
      </c>
      <c r="AK12" s="2934">
        <v>181</v>
      </c>
      <c r="AL12" s="2935">
        <v>392</v>
      </c>
      <c r="AM12" s="160"/>
      <c r="AN12" s="2933">
        <v>128</v>
      </c>
      <c r="AO12" s="2934">
        <v>131</v>
      </c>
      <c r="AP12" s="2935">
        <v>293</v>
      </c>
      <c r="AQ12" s="89"/>
      <c r="AR12" s="2933">
        <v>144</v>
      </c>
      <c r="AS12" s="2934">
        <v>104</v>
      </c>
      <c r="AT12" s="2935">
        <v>276</v>
      </c>
      <c r="AU12" s="160"/>
      <c r="AV12" s="2933">
        <v>140</v>
      </c>
      <c r="AW12" s="2934">
        <v>92</v>
      </c>
      <c r="AX12" s="2935">
        <v>43</v>
      </c>
      <c r="AY12" s="293"/>
      <c r="AZ12" s="2933">
        <v>202</v>
      </c>
      <c r="BA12" s="2934">
        <v>102</v>
      </c>
      <c r="BB12" s="2935">
        <v>28</v>
      </c>
      <c r="BC12" s="42"/>
      <c r="BD12" s="42"/>
    </row>
    <row r="13" spans="1:56" s="36" customFormat="1">
      <c r="A13" s="7303"/>
      <c r="B13" s="2936" t="s">
        <v>886</v>
      </c>
      <c r="C13" s="160"/>
      <c r="D13" s="2937">
        <v>221</v>
      </c>
      <c r="E13" s="2938">
        <v>224</v>
      </c>
      <c r="F13" s="2939">
        <v>202</v>
      </c>
      <c r="G13" s="160"/>
      <c r="H13" s="2937">
        <v>241</v>
      </c>
      <c r="I13" s="2938">
        <v>262</v>
      </c>
      <c r="J13" s="2939">
        <v>385</v>
      </c>
      <c r="K13" s="160"/>
      <c r="L13" s="2937">
        <v>248</v>
      </c>
      <c r="M13" s="2938">
        <v>329</v>
      </c>
      <c r="N13" s="2939">
        <v>239</v>
      </c>
      <c r="O13" s="160"/>
      <c r="P13" s="2937">
        <v>153</v>
      </c>
      <c r="Q13" s="2938">
        <v>143</v>
      </c>
      <c r="R13" s="2939">
        <v>33</v>
      </c>
      <c r="S13" s="160"/>
      <c r="T13" s="2937">
        <v>95</v>
      </c>
      <c r="U13" s="2938">
        <v>182</v>
      </c>
      <c r="V13" s="2939">
        <v>35</v>
      </c>
      <c r="W13" s="160"/>
      <c r="X13" s="2937">
        <v>130</v>
      </c>
      <c r="Y13" s="2938">
        <v>116</v>
      </c>
      <c r="Z13" s="2939">
        <v>169</v>
      </c>
      <c r="AA13" s="160"/>
      <c r="AB13" s="2937">
        <v>127</v>
      </c>
      <c r="AC13" s="2938">
        <v>112</v>
      </c>
      <c r="AD13" s="2939">
        <v>117</v>
      </c>
      <c r="AE13" s="2367"/>
      <c r="AF13" s="2937">
        <v>111</v>
      </c>
      <c r="AG13" s="2938">
        <v>75</v>
      </c>
      <c r="AH13" s="2939">
        <v>229</v>
      </c>
      <c r="AI13" s="160"/>
      <c r="AJ13" s="2937">
        <v>77</v>
      </c>
      <c r="AK13" s="2938">
        <v>66</v>
      </c>
      <c r="AL13" s="2939">
        <v>108</v>
      </c>
      <c r="AM13" s="160"/>
      <c r="AN13" s="2937">
        <v>89</v>
      </c>
      <c r="AO13" s="2938">
        <v>87</v>
      </c>
      <c r="AP13" s="2939">
        <v>140</v>
      </c>
      <c r="AQ13" s="89"/>
      <c r="AR13" s="2937">
        <v>82</v>
      </c>
      <c r="AS13" s="2938">
        <v>67</v>
      </c>
      <c r="AT13" s="2939">
        <v>133</v>
      </c>
      <c r="AU13" s="160"/>
      <c r="AV13" s="2937">
        <v>76</v>
      </c>
      <c r="AW13" s="2938">
        <v>50</v>
      </c>
      <c r="AX13" s="2939">
        <v>30</v>
      </c>
      <c r="AY13" s="293"/>
      <c r="AZ13" s="2937">
        <v>50</v>
      </c>
      <c r="BA13" s="2938">
        <v>24</v>
      </c>
      <c r="BB13" s="2939">
        <v>17</v>
      </c>
      <c r="BC13" s="42"/>
      <c r="BD13" s="42"/>
    </row>
    <row r="14" spans="1:56" s="36" customFormat="1">
      <c r="A14" s="7303"/>
      <c r="B14" s="2936" t="s">
        <v>887</v>
      </c>
      <c r="C14" s="160"/>
      <c r="D14" s="2937">
        <v>48</v>
      </c>
      <c r="E14" s="2938">
        <v>24</v>
      </c>
      <c r="F14" s="2939">
        <v>3</v>
      </c>
      <c r="G14" s="160"/>
      <c r="H14" s="2937">
        <v>53</v>
      </c>
      <c r="I14" s="2938">
        <v>74</v>
      </c>
      <c r="J14" s="2939">
        <v>101</v>
      </c>
      <c r="K14" s="160"/>
      <c r="L14" s="2937">
        <v>77</v>
      </c>
      <c r="M14" s="2938">
        <v>68</v>
      </c>
      <c r="N14" s="2939">
        <v>70</v>
      </c>
      <c r="O14" s="160"/>
      <c r="P14" s="2937">
        <v>76</v>
      </c>
      <c r="Q14" s="2938">
        <v>156</v>
      </c>
      <c r="R14" s="2939">
        <v>24</v>
      </c>
      <c r="S14" s="160"/>
      <c r="T14" s="2937">
        <v>36</v>
      </c>
      <c r="U14" s="2938">
        <v>41</v>
      </c>
      <c r="V14" s="2939">
        <v>15</v>
      </c>
      <c r="W14" s="160"/>
      <c r="X14" s="2937">
        <v>30</v>
      </c>
      <c r="Y14" s="2938">
        <v>50</v>
      </c>
      <c r="Z14" s="2939">
        <v>57</v>
      </c>
      <c r="AA14" s="160"/>
      <c r="AB14" s="2937">
        <v>91</v>
      </c>
      <c r="AC14" s="2938">
        <v>38</v>
      </c>
      <c r="AD14" s="2939">
        <v>32</v>
      </c>
      <c r="AE14" s="2367"/>
      <c r="AF14" s="2937">
        <v>82</v>
      </c>
      <c r="AG14" s="2938">
        <v>44</v>
      </c>
      <c r="AH14" s="2939">
        <v>136</v>
      </c>
      <c r="AI14" s="160"/>
      <c r="AJ14" s="2937">
        <v>61</v>
      </c>
      <c r="AK14" s="2938">
        <v>40</v>
      </c>
      <c r="AL14" s="2939">
        <v>108</v>
      </c>
      <c r="AM14" s="160"/>
      <c r="AN14" s="2937">
        <v>70</v>
      </c>
      <c r="AO14" s="2938">
        <v>62</v>
      </c>
      <c r="AP14" s="2939">
        <v>63</v>
      </c>
      <c r="AQ14" s="89"/>
      <c r="AR14" s="2937">
        <v>37</v>
      </c>
      <c r="AS14" s="2938">
        <v>39</v>
      </c>
      <c r="AT14" s="2939">
        <v>71</v>
      </c>
      <c r="AU14" s="160"/>
      <c r="AV14" s="2937">
        <v>59</v>
      </c>
      <c r="AW14" s="2938">
        <v>20</v>
      </c>
      <c r="AX14" s="2939"/>
      <c r="AY14" s="293"/>
      <c r="AZ14" s="2937">
        <v>41</v>
      </c>
      <c r="BA14" s="2938">
        <v>24</v>
      </c>
      <c r="BB14" s="2939"/>
      <c r="BC14" s="42"/>
      <c r="BD14" s="42"/>
    </row>
    <row r="15" spans="1:56" s="36" customFormat="1">
      <c r="A15" s="7304"/>
      <c r="B15" s="2932" t="s">
        <v>3186</v>
      </c>
      <c r="C15" s="160"/>
      <c r="D15" s="2937"/>
      <c r="E15" s="2938"/>
      <c r="F15" s="2939"/>
      <c r="G15" s="160"/>
      <c r="H15" s="2937"/>
      <c r="I15" s="2938"/>
      <c r="J15" s="2939"/>
      <c r="K15" s="160"/>
      <c r="L15" s="2937"/>
      <c r="M15" s="2938"/>
      <c r="N15" s="2939"/>
      <c r="O15" s="160"/>
      <c r="P15" s="2937"/>
      <c r="Q15" s="2938"/>
      <c r="R15" s="2939"/>
      <c r="S15" s="160"/>
      <c r="T15" s="2937"/>
      <c r="U15" s="2938"/>
      <c r="V15" s="2939"/>
      <c r="W15" s="160"/>
      <c r="X15" s="2937"/>
      <c r="Y15" s="2938"/>
      <c r="Z15" s="2939"/>
      <c r="AA15" s="160"/>
      <c r="AB15" s="2937"/>
      <c r="AC15" s="2938"/>
      <c r="AD15" s="2939"/>
      <c r="AE15" s="2367"/>
      <c r="AF15" s="2937">
        <v>14</v>
      </c>
      <c r="AG15" s="2938">
        <v>16</v>
      </c>
      <c r="AH15" s="2939">
        <v>1</v>
      </c>
      <c r="AI15" s="160"/>
      <c r="AJ15" s="2937"/>
      <c r="AK15" s="2938"/>
      <c r="AL15" s="2939"/>
      <c r="AM15" s="160"/>
      <c r="AN15" s="2937"/>
      <c r="AO15" s="2938"/>
      <c r="AP15" s="2939"/>
      <c r="AQ15" s="89"/>
      <c r="AR15" s="2937">
        <v>80</v>
      </c>
      <c r="AS15" s="2938">
        <v>64</v>
      </c>
      <c r="AT15" s="2939">
        <v>93</v>
      </c>
      <c r="AU15" s="160"/>
      <c r="AV15" s="2937">
        <v>9</v>
      </c>
      <c r="AW15" s="2938">
        <v>5</v>
      </c>
      <c r="AX15" s="2939"/>
      <c r="AY15" s="293"/>
      <c r="AZ15" s="2937">
        <v>21</v>
      </c>
      <c r="BA15" s="2938">
        <v>21</v>
      </c>
      <c r="BB15" s="2939"/>
      <c r="BC15" s="42"/>
      <c r="BD15" s="42"/>
    </row>
    <row r="16" spans="1:56" s="36" customFormat="1">
      <c r="A16" s="7313" t="s">
        <v>890</v>
      </c>
      <c r="B16" s="7313"/>
      <c r="C16" s="160"/>
      <c r="D16" s="2949">
        <f>SUM(D12:D15)</f>
        <v>673</v>
      </c>
      <c r="E16" s="2950">
        <f>SUM(E12:E15)</f>
        <v>633</v>
      </c>
      <c r="F16" s="2951">
        <f>SUM(F12:F15)</f>
        <v>583</v>
      </c>
      <c r="G16" s="160"/>
      <c r="H16" s="2949">
        <f>SUM(H12:H15)</f>
        <v>603</v>
      </c>
      <c r="I16" s="2950">
        <f>SUM(I12:I15)</f>
        <v>724</v>
      </c>
      <c r="J16" s="2951">
        <f>SUM(J12:J15)</f>
        <v>1100</v>
      </c>
      <c r="K16" s="160"/>
      <c r="L16" s="2949">
        <f>SUM(L12:L15)</f>
        <v>706</v>
      </c>
      <c r="M16" s="2950">
        <f>SUM(M12:M15)</f>
        <v>667</v>
      </c>
      <c r="N16" s="2951">
        <f>SUM(N12:N15)</f>
        <v>613</v>
      </c>
      <c r="O16" s="160"/>
      <c r="P16" s="2949">
        <f>SUM(P12:P15)</f>
        <v>478</v>
      </c>
      <c r="Q16" s="2950">
        <f>SUM(Q12:Q15)</f>
        <v>561</v>
      </c>
      <c r="R16" s="2951">
        <f>SUM(R12:R15)</f>
        <v>84</v>
      </c>
      <c r="S16" s="160"/>
      <c r="T16" s="2949">
        <f>SUM(T12:T15)</f>
        <v>313</v>
      </c>
      <c r="U16" s="2950">
        <f>SUM(U12:U15)</f>
        <v>453</v>
      </c>
      <c r="V16" s="2951">
        <f>SUM(V12:V15)</f>
        <v>92</v>
      </c>
      <c r="W16" s="160"/>
      <c r="X16" s="2949">
        <f>SUM(X12:X15)</f>
        <v>299</v>
      </c>
      <c r="Y16" s="2950">
        <f>SUM(Y12:Y15)</f>
        <v>406</v>
      </c>
      <c r="Z16" s="2951">
        <f>SUM(Z12:Z15)</f>
        <v>534</v>
      </c>
      <c r="AA16" s="160"/>
      <c r="AB16" s="2949">
        <f>SUM(AB12:AB15)</f>
        <v>454</v>
      </c>
      <c r="AC16" s="2950">
        <f>SUM(AC12:AC15)</f>
        <v>350</v>
      </c>
      <c r="AD16" s="2951">
        <f>SUM(AD12:AD15)</f>
        <v>382</v>
      </c>
      <c r="AE16" s="2367"/>
      <c r="AF16" s="2949">
        <f>SUM(AF12:AF15)</f>
        <v>449</v>
      </c>
      <c r="AG16" s="2950">
        <f>SUM(AG12:AG15)</f>
        <v>344</v>
      </c>
      <c r="AH16" s="2951">
        <f>SUM(AH12:AH15)</f>
        <v>788</v>
      </c>
      <c r="AI16" s="160"/>
      <c r="AJ16" s="2949">
        <f>SUM(AJ12:AJ15)</f>
        <v>340</v>
      </c>
      <c r="AK16" s="2950">
        <f>SUM(AK12:AK15)</f>
        <v>287</v>
      </c>
      <c r="AL16" s="2951">
        <f>SUM(AL12:AL15)</f>
        <v>608</v>
      </c>
      <c r="AM16" s="160"/>
      <c r="AN16" s="2949">
        <f>SUM(AN12:AN15)</f>
        <v>287</v>
      </c>
      <c r="AO16" s="2950">
        <f>SUM(AO12:AO15)</f>
        <v>280</v>
      </c>
      <c r="AP16" s="2951">
        <f>SUM(AP12:AP15)</f>
        <v>496</v>
      </c>
      <c r="AQ16" s="89"/>
      <c r="AR16" s="2949">
        <f>SUM(AR12:AR15)</f>
        <v>343</v>
      </c>
      <c r="AS16" s="2950">
        <f>SUM(AS12:AS15)</f>
        <v>274</v>
      </c>
      <c r="AT16" s="2951">
        <f>SUM(AT12:AT15)</f>
        <v>573</v>
      </c>
      <c r="AU16" s="160"/>
      <c r="AV16" s="2949">
        <f>SUM(AV12:AV15)</f>
        <v>284</v>
      </c>
      <c r="AW16" s="2950">
        <f>SUM(AW12:AW15)</f>
        <v>167</v>
      </c>
      <c r="AX16" s="2951">
        <f>SUM(AX12:AX15)</f>
        <v>73</v>
      </c>
      <c r="AY16" s="293"/>
      <c r="AZ16" s="2949">
        <f>SUM(AZ12:AZ15)</f>
        <v>314</v>
      </c>
      <c r="BA16" s="2950">
        <f>SUM(BA12:BA15)</f>
        <v>171</v>
      </c>
      <c r="BB16" s="2951">
        <f>SUM(BB12:BB15)</f>
        <v>45</v>
      </c>
      <c r="BC16" s="42"/>
      <c r="BD16" s="42"/>
    </row>
    <row r="17" spans="1:56" s="36" customFormat="1">
      <c r="A17" s="2944" t="s">
        <v>891</v>
      </c>
      <c r="B17" s="2945"/>
      <c r="C17" s="2946"/>
      <c r="D17" s="2948"/>
      <c r="E17" s="2948"/>
      <c r="F17" s="2948"/>
      <c r="G17" s="2946"/>
      <c r="H17" s="2948"/>
      <c r="I17" s="2948"/>
      <c r="J17" s="2948"/>
      <c r="K17" s="2946"/>
      <c r="L17" s="2948"/>
      <c r="M17" s="2948"/>
      <c r="N17" s="2948"/>
      <c r="O17" s="2946"/>
      <c r="P17" s="2948"/>
      <c r="Q17" s="2948"/>
      <c r="R17" s="2948"/>
      <c r="S17" s="2946"/>
      <c r="T17" s="2948"/>
      <c r="U17" s="2948"/>
      <c r="V17" s="2948"/>
      <c r="W17" s="2946"/>
      <c r="X17" s="2948"/>
      <c r="Y17" s="2948"/>
      <c r="Z17" s="2948"/>
      <c r="AA17" s="2946"/>
      <c r="AB17" s="2948"/>
      <c r="AC17" s="2948"/>
      <c r="AD17" s="2948"/>
      <c r="AE17" s="2367"/>
      <c r="AF17" s="2948"/>
      <c r="AG17" s="2948"/>
      <c r="AH17" s="2948"/>
      <c r="AI17" s="2946"/>
      <c r="AJ17" s="2948"/>
      <c r="AK17" s="2948"/>
      <c r="AL17" s="2948"/>
      <c r="AM17" s="2946"/>
      <c r="AN17" s="2948"/>
      <c r="AO17" s="2948"/>
      <c r="AP17" s="2948"/>
      <c r="AQ17" s="89"/>
      <c r="AR17" s="2948"/>
      <c r="AS17" s="2948"/>
      <c r="AT17" s="2948"/>
      <c r="AU17" s="2946"/>
      <c r="AV17" s="2948"/>
      <c r="AW17" s="2948"/>
      <c r="AX17" s="2948"/>
      <c r="AY17" s="293"/>
      <c r="AZ17" s="2948"/>
      <c r="BA17" s="2948"/>
      <c r="BB17" s="2948"/>
      <c r="BC17" s="42"/>
      <c r="BD17" s="42"/>
    </row>
    <row r="18" spans="1:56" s="36" customFormat="1">
      <c r="A18" s="89"/>
      <c r="B18" s="89"/>
      <c r="C18" s="89"/>
      <c r="D18" s="2367"/>
      <c r="E18" s="2367"/>
      <c r="F18" s="2367"/>
      <c r="G18" s="89"/>
      <c r="H18" s="2367"/>
      <c r="I18" s="2367"/>
      <c r="J18" s="2367"/>
      <c r="K18" s="89"/>
      <c r="L18" s="2367"/>
      <c r="M18" s="2367"/>
      <c r="N18" s="2367"/>
      <c r="O18" s="89"/>
      <c r="P18" s="2367"/>
      <c r="Q18" s="2367"/>
      <c r="R18" s="2367"/>
      <c r="S18" s="89"/>
      <c r="T18" s="2367"/>
      <c r="U18" s="2367"/>
      <c r="V18" s="2367"/>
      <c r="W18" s="89"/>
      <c r="X18" s="2367"/>
      <c r="Y18" s="2367"/>
      <c r="Z18" s="2367"/>
      <c r="AA18" s="89"/>
      <c r="AB18" s="2367"/>
      <c r="AC18" s="2367"/>
      <c r="AD18" s="2367"/>
      <c r="AE18" s="2367"/>
      <c r="AF18" s="2367"/>
      <c r="AG18" s="2367"/>
      <c r="AH18" s="2367"/>
      <c r="AI18" s="89"/>
      <c r="AJ18" s="2367"/>
      <c r="AK18" s="2367"/>
      <c r="AL18" s="2367"/>
      <c r="AM18" s="89"/>
      <c r="AN18" s="2367"/>
      <c r="AO18" s="2367"/>
      <c r="AP18" s="2367"/>
      <c r="AQ18" s="89"/>
      <c r="AR18" s="2367"/>
      <c r="AS18" s="2367"/>
      <c r="AT18" s="2367"/>
      <c r="AU18" s="89"/>
      <c r="AV18" s="2367"/>
      <c r="AW18" s="2367"/>
      <c r="AX18" s="2367"/>
      <c r="AY18" s="293"/>
      <c r="AZ18" s="2367"/>
      <c r="BA18" s="2367"/>
      <c r="BB18" s="2367"/>
      <c r="BC18" s="42"/>
      <c r="BD18" s="42"/>
    </row>
    <row r="19" spans="1:56" s="36" customFormat="1" ht="15" customHeight="1" thickBot="1">
      <c r="A19" s="6455" t="s">
        <v>879</v>
      </c>
      <c r="B19" s="6456" t="s">
        <v>880</v>
      </c>
      <c r="C19" s="2367"/>
      <c r="D19" s="3763" t="s">
        <v>881</v>
      </c>
      <c r="E19" s="3763" t="s">
        <v>882</v>
      </c>
      <c r="F19" s="3763" t="s">
        <v>2551</v>
      </c>
      <c r="G19" s="2367"/>
      <c r="H19" s="3763" t="s">
        <v>881</v>
      </c>
      <c r="I19" s="3763" t="s">
        <v>882</v>
      </c>
      <c r="J19" s="3763" t="s">
        <v>2551</v>
      </c>
      <c r="K19" s="2367"/>
      <c r="L19" s="3763" t="s">
        <v>881</v>
      </c>
      <c r="M19" s="3763" t="s">
        <v>882</v>
      </c>
      <c r="N19" s="3763" t="s">
        <v>2551</v>
      </c>
      <c r="O19" s="2367"/>
      <c r="P19" s="3763" t="s">
        <v>881</v>
      </c>
      <c r="Q19" s="3763" t="s">
        <v>882</v>
      </c>
      <c r="R19" s="3763" t="s">
        <v>2551</v>
      </c>
      <c r="S19" s="2367"/>
      <c r="T19" s="3763" t="s">
        <v>881</v>
      </c>
      <c r="U19" s="3763" t="s">
        <v>882</v>
      </c>
      <c r="V19" s="3763" t="s">
        <v>2551</v>
      </c>
      <c r="W19" s="3764"/>
      <c r="X19" s="3763" t="s">
        <v>881</v>
      </c>
      <c r="Y19" s="3763" t="s">
        <v>882</v>
      </c>
      <c r="Z19" s="3763" t="s">
        <v>883</v>
      </c>
      <c r="AA19" s="3764"/>
      <c r="AB19" s="3763" t="s">
        <v>881</v>
      </c>
      <c r="AC19" s="3763" t="s">
        <v>882</v>
      </c>
      <c r="AD19" s="3763" t="s">
        <v>883</v>
      </c>
      <c r="AE19" s="3764"/>
      <c r="AF19" s="3763" t="s">
        <v>881</v>
      </c>
      <c r="AG19" s="3763" t="s">
        <v>882</v>
      </c>
      <c r="AH19" s="3763" t="s">
        <v>883</v>
      </c>
      <c r="AI19" s="3764"/>
      <c r="AJ19" s="3763" t="s">
        <v>881</v>
      </c>
      <c r="AK19" s="3763" t="s">
        <v>882</v>
      </c>
      <c r="AL19" s="3763" t="s">
        <v>883</v>
      </c>
      <c r="AM19" s="3764"/>
      <c r="AN19" s="3763" t="s">
        <v>881</v>
      </c>
      <c r="AO19" s="3763" t="s">
        <v>882</v>
      </c>
      <c r="AP19" s="3763" t="s">
        <v>883</v>
      </c>
      <c r="AQ19" s="3764"/>
      <c r="AR19" s="3763" t="s">
        <v>881</v>
      </c>
      <c r="AS19" s="3763" t="s">
        <v>882</v>
      </c>
      <c r="AT19" s="3763" t="s">
        <v>883</v>
      </c>
      <c r="AU19" s="3764"/>
      <c r="AV19" s="3763" t="s">
        <v>881</v>
      </c>
      <c r="AW19" s="3763" t="s">
        <v>882</v>
      </c>
      <c r="AX19" s="3763" t="s">
        <v>883</v>
      </c>
      <c r="AY19" s="3765"/>
      <c r="AZ19" s="3763" t="s">
        <v>881</v>
      </c>
      <c r="BA19" s="3763" t="s">
        <v>882</v>
      </c>
      <c r="BB19" s="3763" t="s">
        <v>883</v>
      </c>
    </row>
    <row r="20" spans="1:56" s="36" customFormat="1">
      <c r="A20" s="7310" t="s">
        <v>884</v>
      </c>
      <c r="B20" s="2932" t="s">
        <v>885</v>
      </c>
      <c r="C20" s="89"/>
      <c r="D20" s="2952">
        <v>862</v>
      </c>
      <c r="E20" s="2953">
        <v>879</v>
      </c>
      <c r="F20" s="2954">
        <v>745</v>
      </c>
      <c r="G20" s="89"/>
      <c r="H20" s="2952">
        <v>768</v>
      </c>
      <c r="I20" s="2953">
        <v>891</v>
      </c>
      <c r="J20" s="2954">
        <v>797</v>
      </c>
      <c r="K20" s="89"/>
      <c r="L20" s="2952">
        <v>950</v>
      </c>
      <c r="M20" s="2953">
        <v>1011</v>
      </c>
      <c r="N20" s="2954">
        <v>1249</v>
      </c>
      <c r="O20" s="89"/>
      <c r="P20" s="2952">
        <v>652</v>
      </c>
      <c r="Q20" s="2953">
        <v>705</v>
      </c>
      <c r="R20" s="2954">
        <v>1249</v>
      </c>
      <c r="S20" s="89"/>
      <c r="T20" s="2952">
        <v>1004</v>
      </c>
      <c r="U20" s="2953">
        <v>634</v>
      </c>
      <c r="V20" s="2954">
        <v>1249</v>
      </c>
      <c r="W20" s="89"/>
      <c r="X20" s="2952">
        <v>1199</v>
      </c>
      <c r="Y20" s="2953">
        <v>1155</v>
      </c>
      <c r="Z20" s="2954">
        <v>1249</v>
      </c>
      <c r="AA20" s="89"/>
      <c r="AB20" s="2952">
        <v>2465</v>
      </c>
      <c r="AC20" s="2953">
        <v>2328</v>
      </c>
      <c r="AD20" s="2954">
        <v>2295</v>
      </c>
      <c r="AE20" s="2367"/>
      <c r="AF20" s="2952">
        <v>1675</v>
      </c>
      <c r="AG20" s="2953">
        <v>1567</v>
      </c>
      <c r="AH20" s="2954">
        <v>1516</v>
      </c>
      <c r="AI20" s="89"/>
      <c r="AJ20" s="2952">
        <v>2091</v>
      </c>
      <c r="AK20" s="2953">
        <v>1734</v>
      </c>
      <c r="AL20" s="2954">
        <v>1424</v>
      </c>
      <c r="AM20" s="89"/>
      <c r="AN20" s="2952">
        <v>2054</v>
      </c>
      <c r="AO20" s="2953">
        <v>1907</v>
      </c>
      <c r="AP20" s="2954">
        <v>2195</v>
      </c>
      <c r="AQ20" s="89"/>
      <c r="AR20" s="2952">
        <v>1963</v>
      </c>
      <c r="AS20" s="2953">
        <v>1757</v>
      </c>
      <c r="AT20" s="2954">
        <v>1994</v>
      </c>
      <c r="AU20" s="89"/>
      <c r="AV20" s="2952">
        <v>1646</v>
      </c>
      <c r="AW20" s="2953">
        <v>1459</v>
      </c>
      <c r="AX20" s="2954">
        <v>1998</v>
      </c>
      <c r="AY20" s="293"/>
      <c r="AZ20" s="2952">
        <v>1022</v>
      </c>
      <c r="BA20" s="2953">
        <v>1061</v>
      </c>
      <c r="BB20" s="2954">
        <v>1068</v>
      </c>
    </row>
    <row r="21" spans="1:56" s="36" customFormat="1">
      <c r="A21" s="7310"/>
      <c r="B21" s="2936" t="s">
        <v>886</v>
      </c>
      <c r="C21" s="89"/>
      <c r="D21" s="2955">
        <v>1283</v>
      </c>
      <c r="E21" s="2956">
        <v>1376</v>
      </c>
      <c r="F21" s="2957">
        <v>1314</v>
      </c>
      <c r="G21" s="89"/>
      <c r="H21" s="2955">
        <v>1248</v>
      </c>
      <c r="I21" s="2956">
        <v>1293</v>
      </c>
      <c r="J21" s="2957">
        <v>1272</v>
      </c>
      <c r="K21" s="89"/>
      <c r="L21" s="2955">
        <v>1237</v>
      </c>
      <c r="M21" s="2956">
        <v>1246</v>
      </c>
      <c r="N21" s="2957">
        <v>1130</v>
      </c>
      <c r="O21" s="89"/>
      <c r="P21" s="2955">
        <v>51</v>
      </c>
      <c r="Q21" s="2956">
        <v>28</v>
      </c>
      <c r="R21" s="2957">
        <v>1130</v>
      </c>
      <c r="S21" s="89"/>
      <c r="T21" s="2955">
        <v>30</v>
      </c>
      <c r="U21" s="2956">
        <v>24</v>
      </c>
      <c r="V21" s="2957">
        <v>1130</v>
      </c>
      <c r="W21" s="89"/>
      <c r="X21" s="2955">
        <v>1197</v>
      </c>
      <c r="Y21" s="2956">
        <v>1152</v>
      </c>
      <c r="Z21" s="2957">
        <v>1130</v>
      </c>
      <c r="AA21" s="89"/>
      <c r="AB21" s="2955">
        <v>418</v>
      </c>
      <c r="AC21" s="2956">
        <v>430</v>
      </c>
      <c r="AD21" s="2957">
        <v>413</v>
      </c>
      <c r="AE21" s="2367"/>
      <c r="AF21" s="2955">
        <v>1252</v>
      </c>
      <c r="AG21" s="2956">
        <v>1260</v>
      </c>
      <c r="AH21" s="2957">
        <v>1276</v>
      </c>
      <c r="AI21" s="89"/>
      <c r="AJ21" s="2955">
        <v>1287</v>
      </c>
      <c r="AK21" s="2956">
        <v>1369</v>
      </c>
      <c r="AL21" s="2957">
        <v>1443</v>
      </c>
      <c r="AM21" s="89"/>
      <c r="AN21" s="2955">
        <v>1025</v>
      </c>
      <c r="AO21" s="2956">
        <v>997</v>
      </c>
      <c r="AP21" s="2957">
        <v>1101</v>
      </c>
      <c r="AQ21" s="89"/>
      <c r="AR21" s="2955">
        <v>949</v>
      </c>
      <c r="AS21" s="2956">
        <v>946</v>
      </c>
      <c r="AT21" s="2957">
        <v>1087</v>
      </c>
      <c r="AU21" s="89"/>
      <c r="AV21" s="2955">
        <v>494</v>
      </c>
      <c r="AW21" s="2956">
        <v>548</v>
      </c>
      <c r="AX21" s="2957">
        <v>699</v>
      </c>
      <c r="AY21" s="293"/>
      <c r="AZ21" s="2955">
        <v>429</v>
      </c>
      <c r="BA21" s="2956">
        <v>455</v>
      </c>
      <c r="BB21" s="2957">
        <v>394</v>
      </c>
    </row>
    <row r="22" spans="1:56" s="36" customFormat="1">
      <c r="A22" s="7310"/>
      <c r="B22" s="2940" t="s">
        <v>887</v>
      </c>
      <c r="C22" s="89"/>
      <c r="D22" s="2958">
        <v>32</v>
      </c>
      <c r="E22" s="2959">
        <v>20</v>
      </c>
      <c r="F22" s="2960">
        <v>29</v>
      </c>
      <c r="G22" s="89"/>
      <c r="H22" s="2958">
        <v>96</v>
      </c>
      <c r="I22" s="2959">
        <v>76</v>
      </c>
      <c r="J22" s="2960">
        <v>95</v>
      </c>
      <c r="K22" s="89"/>
      <c r="L22" s="2958">
        <v>117</v>
      </c>
      <c r="M22" s="2959">
        <v>121</v>
      </c>
      <c r="N22" s="2960">
        <v>154</v>
      </c>
      <c r="O22" s="89"/>
      <c r="P22" s="2958">
        <v>84</v>
      </c>
      <c r="Q22" s="2959">
        <v>66</v>
      </c>
      <c r="R22" s="2960">
        <v>154</v>
      </c>
      <c r="S22" s="89"/>
      <c r="T22" s="2958">
        <v>148</v>
      </c>
      <c r="U22" s="2959">
        <v>112</v>
      </c>
      <c r="V22" s="2960">
        <v>154</v>
      </c>
      <c r="W22" s="89"/>
      <c r="X22" s="2958">
        <v>115</v>
      </c>
      <c r="Y22" s="2959">
        <v>144</v>
      </c>
      <c r="Z22" s="2960">
        <v>154</v>
      </c>
      <c r="AA22" s="89"/>
      <c r="AB22" s="2958">
        <v>176</v>
      </c>
      <c r="AC22" s="2959">
        <v>184</v>
      </c>
      <c r="AD22" s="2960">
        <v>190</v>
      </c>
      <c r="AE22" s="2367"/>
      <c r="AF22" s="2958">
        <v>142</v>
      </c>
      <c r="AG22" s="2959">
        <v>185</v>
      </c>
      <c r="AH22" s="2960">
        <v>157</v>
      </c>
      <c r="AI22" s="89"/>
      <c r="AJ22" s="2958">
        <v>107</v>
      </c>
      <c r="AK22" s="2959">
        <v>140</v>
      </c>
      <c r="AL22" s="2960">
        <v>278</v>
      </c>
      <c r="AM22" s="89"/>
      <c r="AN22" s="2958">
        <v>99</v>
      </c>
      <c r="AO22" s="2959">
        <v>88</v>
      </c>
      <c r="AP22" s="2960">
        <v>185</v>
      </c>
      <c r="AQ22" s="89"/>
      <c r="AR22" s="2958">
        <v>62</v>
      </c>
      <c r="AS22" s="2959">
        <v>113</v>
      </c>
      <c r="AT22" s="2960">
        <v>101</v>
      </c>
      <c r="AU22" s="89"/>
      <c r="AV22" s="2958">
        <v>53</v>
      </c>
      <c r="AW22" s="2959">
        <v>49</v>
      </c>
      <c r="AX22" s="2960">
        <v>65</v>
      </c>
      <c r="AY22" s="293"/>
      <c r="AZ22" s="2958">
        <v>50</v>
      </c>
      <c r="BA22" s="2959">
        <v>65</v>
      </c>
      <c r="BB22" s="2960">
        <v>45</v>
      </c>
    </row>
    <row r="23" spans="1:56" s="36" customFormat="1" ht="15" customHeight="1">
      <c r="A23" s="7312" t="s">
        <v>893</v>
      </c>
      <c r="B23" s="7312"/>
      <c r="C23" s="89"/>
      <c r="D23" s="2961">
        <f>SUM(D20:D22)</f>
        <v>2177</v>
      </c>
      <c r="E23" s="2962">
        <f>SUM(E20:E22)</f>
        <v>2275</v>
      </c>
      <c r="F23" s="2963">
        <f>SUM(F20:F22)</f>
        <v>2088</v>
      </c>
      <c r="G23" s="89"/>
      <c r="H23" s="2961">
        <f>SUM(H20:H22)</f>
        <v>2112</v>
      </c>
      <c r="I23" s="2962">
        <f>SUM(I20:I22)</f>
        <v>2260</v>
      </c>
      <c r="J23" s="2963">
        <f>SUM(J20:J22)</f>
        <v>2164</v>
      </c>
      <c r="K23" s="89"/>
      <c r="L23" s="2961">
        <f>SUM(L20:L22)</f>
        <v>2304</v>
      </c>
      <c r="M23" s="2962">
        <f>SUM(M20:M22)</f>
        <v>2378</v>
      </c>
      <c r="N23" s="2963">
        <f>SUM(N20:N22)</f>
        <v>2533</v>
      </c>
      <c r="O23" s="89"/>
      <c r="P23" s="2961">
        <f>SUM(P20:P22)</f>
        <v>787</v>
      </c>
      <c r="Q23" s="2962">
        <f>SUM(Q20:Q22)</f>
        <v>799</v>
      </c>
      <c r="R23" s="2963">
        <f>SUM(R20:R22)</f>
        <v>2533</v>
      </c>
      <c r="S23" s="89"/>
      <c r="T23" s="2961">
        <f>SUM(T20:T22)</f>
        <v>1182</v>
      </c>
      <c r="U23" s="2962">
        <f>SUM(U20:U22)</f>
        <v>770</v>
      </c>
      <c r="V23" s="2963">
        <f>SUM(V20:V22)</f>
        <v>2533</v>
      </c>
      <c r="W23" s="89"/>
      <c r="X23" s="2961">
        <f>SUM(X20:X22)</f>
        <v>2511</v>
      </c>
      <c r="Y23" s="2962">
        <f>SUM(Y20:Y22)</f>
        <v>2451</v>
      </c>
      <c r="Z23" s="2963">
        <f>SUM(Z20:Z22)</f>
        <v>2533</v>
      </c>
      <c r="AA23" s="89"/>
      <c r="AB23" s="2961">
        <f>SUM(AB20:AB22)</f>
        <v>3059</v>
      </c>
      <c r="AC23" s="2962">
        <f>SUM(AC20:AC22)</f>
        <v>2942</v>
      </c>
      <c r="AD23" s="2963">
        <f>SUM(AD20:AD22)</f>
        <v>2898</v>
      </c>
      <c r="AE23" s="2367"/>
      <c r="AF23" s="2961">
        <f>SUM(AF20:AF22)</f>
        <v>3069</v>
      </c>
      <c r="AG23" s="2962">
        <f>SUM(AG20:AG22)</f>
        <v>3012</v>
      </c>
      <c r="AH23" s="2963">
        <f>SUM(AH20:AH22)</f>
        <v>2949</v>
      </c>
      <c r="AI23" s="89"/>
      <c r="AJ23" s="2961">
        <f>SUM(AJ20:AJ22)</f>
        <v>3485</v>
      </c>
      <c r="AK23" s="2962">
        <f>SUM(AK20:AK22)</f>
        <v>3243</v>
      </c>
      <c r="AL23" s="2963">
        <f>SUM(AL20:AL22)</f>
        <v>3145</v>
      </c>
      <c r="AM23" s="89"/>
      <c r="AN23" s="2961">
        <f>SUM(AN20:AN22)</f>
        <v>3178</v>
      </c>
      <c r="AO23" s="2962">
        <f>SUM(AO20:AO22)</f>
        <v>2992</v>
      </c>
      <c r="AP23" s="2963">
        <f>SUM(AP20:AP22)</f>
        <v>3481</v>
      </c>
      <c r="AQ23" s="1041"/>
      <c r="AR23" s="2961">
        <f>SUM(AR20:AR22)</f>
        <v>2974</v>
      </c>
      <c r="AS23" s="2962">
        <f>SUM(AS20:AS22)</f>
        <v>2816</v>
      </c>
      <c r="AT23" s="2963">
        <f>SUM(AT20:AT22)</f>
        <v>3182</v>
      </c>
      <c r="AU23" s="1041"/>
      <c r="AV23" s="2961">
        <f>SUM(AV20:AV22)</f>
        <v>2193</v>
      </c>
      <c r="AW23" s="2962">
        <f>SUM(AW20:AW22)</f>
        <v>2056</v>
      </c>
      <c r="AX23" s="2963">
        <f>SUM(AX20:AX22)</f>
        <v>2762</v>
      </c>
      <c r="AY23" s="293"/>
      <c r="AZ23" s="2961">
        <f>SUM(AZ20:AZ22)</f>
        <v>1501</v>
      </c>
      <c r="BA23" s="2962">
        <f>SUM(BA20:BA22)</f>
        <v>1581</v>
      </c>
      <c r="BB23" s="2963">
        <f>SUM(BB20:BB22)</f>
        <v>1507</v>
      </c>
    </row>
    <row r="24" spans="1:56" s="36" customFormat="1" ht="15" customHeight="1">
      <c r="A24" s="2964" t="s">
        <v>894</v>
      </c>
      <c r="B24" s="2965"/>
      <c r="C24" s="89"/>
      <c r="D24" s="2367"/>
      <c r="E24" s="2367"/>
      <c r="F24" s="2367"/>
      <c r="G24" s="89"/>
      <c r="H24" s="2367"/>
      <c r="I24" s="2367"/>
      <c r="J24" s="2367"/>
      <c r="K24" s="89"/>
      <c r="L24" s="2367"/>
      <c r="M24" s="2367"/>
      <c r="N24" s="2367"/>
      <c r="O24" s="89"/>
      <c r="P24" s="2367"/>
      <c r="Q24" s="2367"/>
      <c r="R24" s="2367"/>
      <c r="S24" s="89"/>
      <c r="T24" s="2367"/>
      <c r="U24" s="2367"/>
      <c r="V24" s="2367"/>
      <c r="W24" s="89"/>
      <c r="X24" s="2367"/>
      <c r="Y24" s="2367"/>
      <c r="Z24" s="2367"/>
      <c r="AA24" s="89"/>
      <c r="AB24" s="2367"/>
      <c r="AC24" s="2367"/>
      <c r="AD24" s="2367"/>
      <c r="AE24" s="2367"/>
      <c r="AF24" s="2367"/>
      <c r="AG24" s="2367"/>
      <c r="AH24" s="2367"/>
      <c r="AI24" s="89"/>
      <c r="AJ24" s="2367"/>
      <c r="AK24" s="2367"/>
      <c r="AL24" s="2367"/>
      <c r="AM24" s="89"/>
      <c r="AN24" s="2367"/>
      <c r="AO24" s="2367"/>
      <c r="AP24" s="2367"/>
      <c r="AQ24" s="89"/>
      <c r="AR24" s="2367"/>
      <c r="AS24" s="2367"/>
      <c r="AT24" s="2367"/>
      <c r="AU24" s="89"/>
      <c r="AV24" s="2367"/>
      <c r="AW24" s="2367"/>
      <c r="AX24" s="2367"/>
      <c r="AY24" s="293"/>
      <c r="AZ24" s="2367"/>
      <c r="BA24" s="2367"/>
      <c r="BB24" s="2367"/>
    </row>
    <row r="25" spans="1:56" s="36" customFormat="1">
      <c r="A25" s="1041"/>
      <c r="B25" s="1041"/>
      <c r="C25" s="1041"/>
      <c r="D25" s="2966"/>
      <c r="E25" s="2966"/>
      <c r="F25" s="6447"/>
      <c r="G25" s="1041"/>
      <c r="H25" s="2966"/>
      <c r="I25" s="2966"/>
      <c r="J25" s="6065"/>
      <c r="K25" s="1041"/>
      <c r="L25" s="2966"/>
      <c r="M25" s="2966"/>
      <c r="O25" s="1041"/>
      <c r="P25" s="2966"/>
      <c r="Q25" s="2966"/>
      <c r="S25" s="1041"/>
      <c r="T25" s="2966"/>
      <c r="U25" s="2966"/>
      <c r="W25" s="1041"/>
      <c r="X25" s="2966"/>
      <c r="Y25" s="2966"/>
      <c r="Z25" s="2966"/>
      <c r="AA25" s="1041"/>
      <c r="AB25" s="2966"/>
      <c r="AC25" s="2966"/>
      <c r="AD25" s="2966"/>
      <c r="AE25" s="2367"/>
      <c r="AF25" s="2966"/>
      <c r="AG25" s="2966"/>
      <c r="AH25" s="2966"/>
      <c r="AI25" s="1041"/>
      <c r="AJ25" s="2966"/>
      <c r="AK25" s="2966"/>
      <c r="AL25" s="2966"/>
      <c r="AM25" s="1041"/>
      <c r="AN25" s="2966"/>
      <c r="AO25" s="2966"/>
      <c r="AP25" s="2966"/>
      <c r="AQ25" s="89"/>
      <c r="AR25" s="2966"/>
      <c r="AS25" s="2966"/>
      <c r="AT25" s="2966"/>
      <c r="AU25" s="1041"/>
      <c r="AV25" s="2966"/>
      <c r="AW25" s="2966"/>
      <c r="AX25" s="2966"/>
      <c r="AY25" s="293"/>
      <c r="AZ25" s="2966"/>
      <c r="BA25" s="2966"/>
      <c r="BB25" s="2966"/>
    </row>
    <row r="26" spans="1:56" s="36" customFormat="1" ht="15" thickBot="1">
      <c r="A26" s="6453" t="s">
        <v>879</v>
      </c>
      <c r="B26" s="6454" t="s">
        <v>880</v>
      </c>
      <c r="C26" s="2367"/>
      <c r="D26" s="3755" t="s">
        <v>881</v>
      </c>
      <c r="E26" s="3755" t="s">
        <v>882</v>
      </c>
      <c r="F26" s="3755" t="s">
        <v>2551</v>
      </c>
      <c r="G26" s="2367"/>
      <c r="H26" s="3755" t="s">
        <v>881</v>
      </c>
      <c r="I26" s="3755" t="s">
        <v>882</v>
      </c>
      <c r="J26" s="3755" t="s">
        <v>2551</v>
      </c>
      <c r="K26" s="2367"/>
      <c r="L26" s="3755" t="s">
        <v>881</v>
      </c>
      <c r="M26" s="3755" t="s">
        <v>882</v>
      </c>
      <c r="N26" s="3755" t="s">
        <v>2551</v>
      </c>
      <c r="O26" s="2367"/>
      <c r="P26" s="3755" t="s">
        <v>881</v>
      </c>
      <c r="Q26" s="3755" t="s">
        <v>882</v>
      </c>
      <c r="R26" s="3755" t="s">
        <v>2551</v>
      </c>
      <c r="S26" s="2367"/>
      <c r="T26" s="3755" t="s">
        <v>881</v>
      </c>
      <c r="U26" s="3755" t="s">
        <v>882</v>
      </c>
      <c r="V26" s="3755" t="s">
        <v>2551</v>
      </c>
      <c r="W26" s="3756"/>
      <c r="X26" s="3755" t="s">
        <v>881</v>
      </c>
      <c r="Y26" s="3755" t="s">
        <v>882</v>
      </c>
      <c r="Z26" s="3755" t="s">
        <v>883</v>
      </c>
      <c r="AA26" s="3756"/>
      <c r="AB26" s="3755" t="s">
        <v>881</v>
      </c>
      <c r="AC26" s="3755" t="s">
        <v>882</v>
      </c>
      <c r="AD26" s="3755" t="s">
        <v>883</v>
      </c>
      <c r="AE26" s="2367"/>
      <c r="AF26" s="3755" t="s">
        <v>881</v>
      </c>
      <c r="AG26" s="3755" t="s">
        <v>882</v>
      </c>
      <c r="AH26" s="3755" t="s">
        <v>883</v>
      </c>
      <c r="AI26" s="3756"/>
      <c r="AJ26" s="3755" t="s">
        <v>881</v>
      </c>
      <c r="AK26" s="3755" t="s">
        <v>882</v>
      </c>
      <c r="AL26" s="3755" t="s">
        <v>883</v>
      </c>
      <c r="AM26" s="3756"/>
      <c r="AN26" s="3755" t="s">
        <v>881</v>
      </c>
      <c r="AO26" s="3755" t="s">
        <v>882</v>
      </c>
      <c r="AP26" s="3755" t="s">
        <v>883</v>
      </c>
      <c r="AQ26" s="3756"/>
      <c r="AR26" s="3755" t="s">
        <v>881</v>
      </c>
      <c r="AS26" s="3755" t="s">
        <v>882</v>
      </c>
      <c r="AT26" s="3755" t="s">
        <v>883</v>
      </c>
      <c r="AU26" s="1041"/>
      <c r="AV26" s="89"/>
      <c r="AW26" s="89"/>
      <c r="AX26" s="89"/>
      <c r="AY26" s="89"/>
      <c r="AZ26" s="89"/>
      <c r="BA26" s="89"/>
      <c r="BB26" s="89"/>
    </row>
    <row r="27" spans="1:56" s="36" customFormat="1">
      <c r="A27" s="7310" t="s">
        <v>884</v>
      </c>
      <c r="B27" s="2932" t="s">
        <v>885</v>
      </c>
      <c r="C27" s="89"/>
      <c r="D27" s="2952"/>
      <c r="E27" s="2953">
        <v>209</v>
      </c>
      <c r="F27" s="2954">
        <v>40</v>
      </c>
      <c r="G27" s="89"/>
      <c r="H27" s="2952"/>
      <c r="I27" s="2953"/>
      <c r="J27" s="2954"/>
      <c r="K27" s="89"/>
      <c r="L27" s="2952">
        <v>0</v>
      </c>
      <c r="M27" s="2953">
        <v>242</v>
      </c>
      <c r="N27" s="2954">
        <v>118</v>
      </c>
      <c r="O27" s="89"/>
      <c r="P27" s="2952"/>
      <c r="Q27" s="2953"/>
      <c r="R27" s="2954">
        <v>125</v>
      </c>
      <c r="S27" s="89"/>
      <c r="T27" s="2952"/>
      <c r="U27" s="2953"/>
      <c r="V27" s="2954">
        <v>125</v>
      </c>
      <c r="W27" s="89"/>
      <c r="X27" s="2952"/>
      <c r="Y27" s="2953">
        <v>40</v>
      </c>
      <c r="Z27" s="2954">
        <v>125</v>
      </c>
      <c r="AA27" s="89"/>
      <c r="AB27" s="2952"/>
      <c r="AC27" s="2953">
        <v>12</v>
      </c>
      <c r="AD27" s="2954"/>
      <c r="AE27" s="2367"/>
      <c r="AF27" s="2952"/>
      <c r="AG27" s="2953">
        <v>12</v>
      </c>
      <c r="AH27" s="2954"/>
      <c r="AI27" s="89"/>
      <c r="AJ27" s="2952">
        <v>24</v>
      </c>
      <c r="AK27" s="2953">
        <v>89</v>
      </c>
      <c r="AL27" s="2954">
        <v>24</v>
      </c>
      <c r="AM27" s="89"/>
      <c r="AN27" s="2952"/>
      <c r="AO27" s="2953"/>
      <c r="AP27" s="2954">
        <v>50</v>
      </c>
      <c r="AQ27" s="89"/>
      <c r="AR27" s="2952">
        <v>37</v>
      </c>
      <c r="AS27" s="2953"/>
      <c r="AT27" s="2954">
        <v>16</v>
      </c>
      <c r="AU27" s="1041"/>
      <c r="AV27" s="89"/>
      <c r="AW27" s="89"/>
      <c r="AX27" s="89"/>
      <c r="AY27" s="89"/>
      <c r="AZ27" s="89"/>
      <c r="BA27" s="89"/>
      <c r="BB27" s="89"/>
    </row>
    <row r="28" spans="1:56" s="36" customFormat="1">
      <c r="A28" s="7310"/>
      <c r="B28" s="2936" t="s">
        <v>886</v>
      </c>
      <c r="C28" s="89"/>
      <c r="D28" s="2955"/>
      <c r="E28" s="2956"/>
      <c r="F28" s="2957"/>
      <c r="G28" s="89"/>
      <c r="H28" s="2955"/>
      <c r="I28" s="2956"/>
      <c r="J28" s="2957"/>
      <c r="K28" s="89"/>
      <c r="L28" s="2955">
        <v>0</v>
      </c>
      <c r="M28" s="2956">
        <v>22</v>
      </c>
      <c r="N28" s="2957">
        <v>21</v>
      </c>
      <c r="O28" s="89"/>
      <c r="P28" s="2955"/>
      <c r="Q28" s="2956"/>
      <c r="R28" s="2957">
        <v>42</v>
      </c>
      <c r="S28" s="89"/>
      <c r="T28" s="2955"/>
      <c r="U28" s="2956"/>
      <c r="V28" s="2957">
        <v>42</v>
      </c>
      <c r="W28" s="89"/>
      <c r="X28" s="2955"/>
      <c r="Y28" s="2956">
        <v>33</v>
      </c>
      <c r="Z28" s="2957">
        <v>42</v>
      </c>
      <c r="AA28" s="89"/>
      <c r="AB28" s="2955"/>
      <c r="AC28" s="2956">
        <v>17</v>
      </c>
      <c r="AD28" s="2957"/>
      <c r="AE28" s="2367"/>
      <c r="AF28" s="2955"/>
      <c r="AG28" s="2956">
        <v>17</v>
      </c>
      <c r="AH28" s="2957"/>
      <c r="AI28" s="89"/>
      <c r="AJ28" s="2955"/>
      <c r="AK28" s="2956"/>
      <c r="AL28" s="2957"/>
      <c r="AM28" s="89"/>
      <c r="AN28" s="2955"/>
      <c r="AO28" s="2956"/>
      <c r="AP28" s="2957"/>
      <c r="AQ28" s="89"/>
      <c r="AR28" s="2955"/>
      <c r="AS28" s="2956">
        <v>23</v>
      </c>
      <c r="AT28" s="2957">
        <v>25</v>
      </c>
      <c r="AU28" s="1041"/>
      <c r="AV28" s="89"/>
      <c r="AW28" s="89"/>
      <c r="AX28" s="89"/>
      <c r="AY28" s="89"/>
      <c r="AZ28" s="89"/>
      <c r="BA28" s="89"/>
      <c r="BB28" s="89"/>
    </row>
    <row r="29" spans="1:56" s="36" customFormat="1">
      <c r="A29" s="7310"/>
      <c r="B29" s="2940" t="s">
        <v>887</v>
      </c>
      <c r="C29" s="89"/>
      <c r="D29" s="2958"/>
      <c r="E29" s="2959"/>
      <c r="F29" s="2960"/>
      <c r="G29" s="89"/>
      <c r="H29" s="2958"/>
      <c r="I29" s="2959"/>
      <c r="J29" s="2960"/>
      <c r="K29" s="89"/>
      <c r="L29" s="2958">
        <v>0</v>
      </c>
      <c r="M29" s="2959">
        <v>0</v>
      </c>
      <c r="N29" s="2960">
        <v>0</v>
      </c>
      <c r="O29" s="89"/>
      <c r="P29" s="2958"/>
      <c r="Q29" s="2959"/>
      <c r="R29" s="2960">
        <v>9</v>
      </c>
      <c r="S29" s="89"/>
      <c r="T29" s="2958"/>
      <c r="U29" s="2959"/>
      <c r="V29" s="2960">
        <v>9</v>
      </c>
      <c r="W29" s="89"/>
      <c r="X29" s="2958"/>
      <c r="Y29" s="2959">
        <v>14</v>
      </c>
      <c r="Z29" s="2960">
        <v>9</v>
      </c>
      <c r="AA29" s="89"/>
      <c r="AB29" s="2958"/>
      <c r="AC29" s="2959">
        <v>5</v>
      </c>
      <c r="AD29" s="2960"/>
      <c r="AE29" s="2367"/>
      <c r="AF29" s="2958"/>
      <c r="AG29" s="2959">
        <v>5</v>
      </c>
      <c r="AH29" s="2960"/>
      <c r="AI29" s="89"/>
      <c r="AJ29" s="2958"/>
      <c r="AK29" s="2959"/>
      <c r="AL29" s="2960"/>
      <c r="AM29" s="89"/>
      <c r="AN29" s="2958"/>
      <c r="AO29" s="2959"/>
      <c r="AP29" s="2960"/>
      <c r="AQ29" s="89"/>
      <c r="AR29" s="2958"/>
      <c r="AS29" s="2959"/>
      <c r="AT29" s="2960">
        <v>25</v>
      </c>
      <c r="AU29" s="1041"/>
      <c r="AV29" s="89"/>
      <c r="AW29" s="89"/>
      <c r="AX29" s="89"/>
      <c r="AY29" s="89"/>
      <c r="AZ29" s="89"/>
      <c r="BA29" s="89"/>
      <c r="BB29" s="89"/>
    </row>
    <row r="30" spans="1:56" s="36" customFormat="1">
      <c r="A30" s="7311" t="s">
        <v>895</v>
      </c>
      <c r="B30" s="7311"/>
      <c r="C30" s="89"/>
      <c r="D30" s="2967"/>
      <c r="E30" s="2968">
        <f>SUM(E27:E29)</f>
        <v>209</v>
      </c>
      <c r="F30" s="2969">
        <f>SUM(F27:F29)</f>
        <v>40</v>
      </c>
      <c r="G30" s="89"/>
      <c r="H30" s="2967"/>
      <c r="I30" s="2968">
        <f>SUM(I27:I29)</f>
        <v>0</v>
      </c>
      <c r="J30" s="2969">
        <f>SUM(J27:J29)</f>
        <v>0</v>
      </c>
      <c r="K30" s="89"/>
      <c r="L30" s="2967"/>
      <c r="M30" s="2968">
        <f>SUM(M27:M29)</f>
        <v>264</v>
      </c>
      <c r="N30" s="2969">
        <f>SUM(N27:N29)</f>
        <v>139</v>
      </c>
      <c r="O30" s="89"/>
      <c r="P30" s="2967"/>
      <c r="Q30" s="2968">
        <f>SUM(Q27:Q29)</f>
        <v>0</v>
      </c>
      <c r="R30" s="2969">
        <f>SUM(R27:R29)</f>
        <v>176</v>
      </c>
      <c r="S30" s="89"/>
      <c r="T30" s="2967"/>
      <c r="U30" s="2968">
        <f>SUM(U27:U29)</f>
        <v>0</v>
      </c>
      <c r="V30" s="2969">
        <f>SUM(V27:V29)</f>
        <v>176</v>
      </c>
      <c r="W30" s="89"/>
      <c r="X30" s="2967"/>
      <c r="Y30" s="2968">
        <f>SUM(Y27:Y29)</f>
        <v>87</v>
      </c>
      <c r="Z30" s="2969">
        <f>SUM(Z27:Z29)</f>
        <v>176</v>
      </c>
      <c r="AA30" s="89"/>
      <c r="AB30" s="2967">
        <f>SUM(AB27:AB29)</f>
        <v>0</v>
      </c>
      <c r="AC30" s="2968">
        <f>SUM(AC27:AC29)</f>
        <v>34</v>
      </c>
      <c r="AD30" s="2969">
        <f>SUM(AD27:AD29)</f>
        <v>0</v>
      </c>
      <c r="AE30" s="2367"/>
      <c r="AF30" s="2967">
        <f>SUM(AF27:AF29)</f>
        <v>0</v>
      </c>
      <c r="AG30" s="2968">
        <f>SUM(AG27:AG29)</f>
        <v>34</v>
      </c>
      <c r="AH30" s="2969">
        <f>SUM(AH27:AH29)</f>
        <v>0</v>
      </c>
      <c r="AI30" s="89"/>
      <c r="AJ30" s="2967">
        <f>SUM(AJ27:AJ29)</f>
        <v>24</v>
      </c>
      <c r="AK30" s="2968">
        <f>SUM(AK27:AK29)</f>
        <v>89</v>
      </c>
      <c r="AL30" s="2969">
        <f>SUM(AL27:AL29)</f>
        <v>24</v>
      </c>
      <c r="AM30" s="89"/>
      <c r="AN30" s="2967">
        <f>SUM(AN27:AN29)</f>
        <v>0</v>
      </c>
      <c r="AO30" s="2968">
        <f>SUM(AO27:AO29)</f>
        <v>0</v>
      </c>
      <c r="AP30" s="2969">
        <f>SUM(AP27:AP29)</f>
        <v>50</v>
      </c>
      <c r="AQ30" s="89"/>
      <c r="AR30" s="2967">
        <f>SUM(AR27:AR29)</f>
        <v>37</v>
      </c>
      <c r="AS30" s="2968">
        <f>SUM(AS27:AS29)</f>
        <v>23</v>
      </c>
      <c r="AT30" s="2969">
        <f>SUM(AT27:AT29)</f>
        <v>66</v>
      </c>
      <c r="AU30" s="1041"/>
      <c r="AV30" s="89"/>
      <c r="AW30" s="89"/>
      <c r="AX30" s="89"/>
      <c r="AY30" s="89"/>
      <c r="AZ30" s="89"/>
      <c r="BA30" s="89"/>
      <c r="BB30" s="89"/>
    </row>
    <row r="31" spans="1:56" s="36" customFormat="1">
      <c r="A31" s="89"/>
      <c r="B31" s="89"/>
      <c r="C31" s="89"/>
      <c r="D31" s="3770"/>
      <c r="E31" s="2966"/>
      <c r="F31" s="3770"/>
      <c r="G31" s="89"/>
      <c r="H31" s="3770" t="s">
        <v>3227</v>
      </c>
      <c r="I31" s="2966"/>
      <c r="J31" s="3770"/>
      <c r="K31" s="89"/>
      <c r="L31" s="2970"/>
      <c r="M31" s="2966"/>
      <c r="N31" s="3770"/>
      <c r="O31" s="89"/>
      <c r="P31" s="2970"/>
      <c r="Q31" s="2966"/>
      <c r="R31" s="3770" t="s">
        <v>2552</v>
      </c>
      <c r="S31" s="89"/>
      <c r="T31" s="2970"/>
      <c r="U31" s="2966"/>
      <c r="V31" s="3770" t="s">
        <v>2552</v>
      </c>
      <c r="W31" s="89"/>
      <c r="X31" s="2970"/>
      <c r="Y31" s="2966"/>
      <c r="Z31" s="2966"/>
      <c r="AA31" s="89"/>
      <c r="AB31" s="3770" t="s">
        <v>2550</v>
      </c>
      <c r="AC31" s="2966"/>
      <c r="AD31" s="2966"/>
      <c r="AE31" s="2367"/>
      <c r="AF31" s="2970"/>
      <c r="AG31" s="2966"/>
      <c r="AH31" s="2966"/>
      <c r="AI31" s="1041"/>
      <c r="AJ31" s="2970"/>
      <c r="AK31" s="2966"/>
      <c r="AL31" s="2966"/>
      <c r="AM31" s="1041"/>
      <c r="AN31" s="2970"/>
      <c r="AO31" s="2966"/>
      <c r="AP31" s="2966"/>
      <c r="AQ31" s="1041"/>
      <c r="AR31" s="2970"/>
      <c r="AS31" s="2966"/>
      <c r="AT31" s="2966"/>
      <c r="AU31" s="1041"/>
      <c r="AV31" s="2970"/>
      <c r="AW31" s="2966"/>
      <c r="AX31" s="2966"/>
      <c r="AY31" s="293"/>
      <c r="AZ31" s="2970"/>
      <c r="BA31" s="2966"/>
      <c r="BB31" s="2966"/>
    </row>
    <row r="32" spans="1:56" s="36" customFormat="1">
      <c r="A32" s="89"/>
      <c r="B32" s="89"/>
      <c r="C32" s="89"/>
      <c r="D32" s="2367"/>
      <c r="E32" s="6447"/>
      <c r="F32" s="2367"/>
      <c r="G32" s="89"/>
      <c r="H32" s="2367"/>
      <c r="J32" s="2367"/>
      <c r="K32" s="89"/>
      <c r="L32" s="2367"/>
      <c r="M32" s="2367"/>
      <c r="N32" s="2367"/>
      <c r="O32" s="89"/>
      <c r="P32" s="2367"/>
      <c r="Q32" s="2367"/>
      <c r="R32" s="2367"/>
      <c r="S32" s="89"/>
      <c r="T32" s="2367"/>
      <c r="U32" s="2367"/>
      <c r="V32" s="2367"/>
      <c r="W32" s="89"/>
      <c r="X32" s="2367"/>
      <c r="Y32" s="2367"/>
      <c r="Z32" s="2367"/>
      <c r="AA32" s="89"/>
      <c r="AB32" s="2367"/>
      <c r="AC32" s="2367"/>
      <c r="AD32" s="2367"/>
      <c r="AE32" s="2367"/>
      <c r="AF32" s="2367"/>
      <c r="AG32" s="2367"/>
      <c r="AH32" s="2367"/>
      <c r="AI32" s="89"/>
      <c r="AJ32" s="2367"/>
      <c r="AK32" s="2367"/>
      <c r="AL32" s="2367"/>
      <c r="AM32" s="89"/>
      <c r="AN32" s="2367"/>
      <c r="AO32" s="2367"/>
      <c r="AP32" s="2367"/>
      <c r="AQ32" s="89"/>
      <c r="AR32" s="2367"/>
      <c r="AS32" s="2367"/>
      <c r="AT32" s="2367"/>
      <c r="AU32" s="89"/>
      <c r="AV32" s="2367"/>
      <c r="AW32" s="2367"/>
      <c r="AX32" s="2367"/>
      <c r="AY32" s="293"/>
      <c r="AZ32" s="2367"/>
      <c r="BA32" s="2367"/>
      <c r="BB32" s="2367"/>
      <c r="BC32" s="42"/>
      <c r="BD32" s="42"/>
    </row>
    <row r="33" spans="1:58" s="36" customFormat="1" ht="15" thickBot="1">
      <c r="A33" s="6451" t="s">
        <v>879</v>
      </c>
      <c r="B33" s="6452" t="s">
        <v>880</v>
      </c>
      <c r="C33" s="2367"/>
      <c r="D33" s="3752" t="s">
        <v>881</v>
      </c>
      <c r="E33" s="3752" t="s">
        <v>882</v>
      </c>
      <c r="F33" s="3752" t="s">
        <v>883</v>
      </c>
      <c r="G33" s="2367"/>
      <c r="H33" s="3752" t="s">
        <v>881</v>
      </c>
      <c r="I33" s="3752" t="s">
        <v>882</v>
      </c>
      <c r="J33" s="3752" t="s">
        <v>883</v>
      </c>
      <c r="K33" s="2367"/>
      <c r="L33" s="3752" t="s">
        <v>881</v>
      </c>
      <c r="M33" s="3752" t="s">
        <v>882</v>
      </c>
      <c r="N33" s="3752" t="s">
        <v>883</v>
      </c>
      <c r="O33" s="2367"/>
      <c r="P33" s="3752" t="s">
        <v>881</v>
      </c>
      <c r="Q33" s="3752" t="s">
        <v>882</v>
      </c>
      <c r="R33" s="3752" t="s">
        <v>883</v>
      </c>
      <c r="S33" s="2367"/>
      <c r="T33" s="3752" t="s">
        <v>881</v>
      </c>
      <c r="U33" s="3752" t="s">
        <v>882</v>
      </c>
      <c r="V33" s="3752" t="s">
        <v>883</v>
      </c>
      <c r="W33" s="2367"/>
      <c r="X33" s="3752" t="s">
        <v>881</v>
      </c>
      <c r="Y33" s="3752" t="s">
        <v>882</v>
      </c>
      <c r="Z33" s="3752" t="s">
        <v>883</v>
      </c>
      <c r="AA33" s="2367"/>
      <c r="AB33" s="3752" t="s">
        <v>881</v>
      </c>
      <c r="AC33" s="3752" t="s">
        <v>882</v>
      </c>
      <c r="AD33" s="3752" t="s">
        <v>883</v>
      </c>
      <c r="AE33" s="2367"/>
      <c r="AF33" s="3752" t="s">
        <v>881</v>
      </c>
      <c r="AG33" s="3752" t="s">
        <v>882</v>
      </c>
      <c r="AH33" s="3752" t="s">
        <v>883</v>
      </c>
      <c r="AI33" s="2367"/>
      <c r="AJ33" s="3752" t="s">
        <v>881</v>
      </c>
      <c r="AK33" s="3752" t="s">
        <v>882</v>
      </c>
      <c r="AL33" s="3752" t="s">
        <v>883</v>
      </c>
      <c r="AM33" s="2367"/>
      <c r="AN33" s="3752" t="s">
        <v>881</v>
      </c>
      <c r="AO33" s="3752" t="s">
        <v>882</v>
      </c>
      <c r="AP33" s="3752" t="s">
        <v>883</v>
      </c>
      <c r="AQ33" s="2367"/>
      <c r="AR33" s="3752" t="s">
        <v>881</v>
      </c>
      <c r="AS33" s="3752" t="s">
        <v>882</v>
      </c>
      <c r="AT33" s="3752" t="s">
        <v>883</v>
      </c>
      <c r="AU33" s="2367"/>
      <c r="AV33" s="3752" t="s">
        <v>881</v>
      </c>
      <c r="AW33" s="3752" t="s">
        <v>882</v>
      </c>
      <c r="AX33" s="3752" t="s">
        <v>883</v>
      </c>
      <c r="AY33" s="2930"/>
      <c r="AZ33" s="3752" t="s">
        <v>881</v>
      </c>
      <c r="BA33" s="3752" t="s">
        <v>882</v>
      </c>
      <c r="BB33" s="3752" t="s">
        <v>883</v>
      </c>
      <c r="BC33" s="42"/>
    </row>
    <row r="34" spans="1:58" s="36" customFormat="1">
      <c r="A34" s="7306" t="s">
        <v>896</v>
      </c>
      <c r="B34" s="2932" t="s">
        <v>885</v>
      </c>
      <c r="C34" s="2971"/>
      <c r="D34" s="2952">
        <v>754</v>
      </c>
      <c r="E34" s="2953">
        <v>539</v>
      </c>
      <c r="F34" s="2954">
        <v>448</v>
      </c>
      <c r="G34" s="2971"/>
      <c r="H34" s="2952">
        <v>1356</v>
      </c>
      <c r="I34" s="2953">
        <v>1194</v>
      </c>
      <c r="J34" s="2954">
        <v>1390</v>
      </c>
      <c r="K34" s="2971"/>
      <c r="L34" s="2952">
        <v>250</v>
      </c>
      <c r="M34" s="2953">
        <v>135</v>
      </c>
      <c r="N34" s="2954">
        <v>202</v>
      </c>
      <c r="O34" s="2971"/>
      <c r="P34" s="2952"/>
      <c r="Q34" s="2953"/>
      <c r="R34" s="2954"/>
      <c r="S34" s="2971"/>
      <c r="T34" s="2952">
        <v>80</v>
      </c>
      <c r="U34" s="2953">
        <v>45</v>
      </c>
      <c r="V34" s="2954">
        <v>62</v>
      </c>
      <c r="W34" s="2367"/>
      <c r="X34" s="2952">
        <v>64</v>
      </c>
      <c r="Y34" s="2953">
        <v>63</v>
      </c>
      <c r="Z34" s="2954">
        <v>33</v>
      </c>
      <c r="AA34" s="2367"/>
      <c r="AB34" s="2952">
        <v>154</v>
      </c>
      <c r="AC34" s="2953">
        <v>136</v>
      </c>
      <c r="AD34" s="2954">
        <v>115</v>
      </c>
      <c r="AE34" s="2367"/>
      <c r="AF34" s="2952">
        <v>150</v>
      </c>
      <c r="AG34" s="2953">
        <v>148</v>
      </c>
      <c r="AH34" s="2954">
        <v>145</v>
      </c>
      <c r="AI34" s="2367"/>
      <c r="AJ34" s="2952">
        <v>150</v>
      </c>
      <c r="AK34" s="2953">
        <v>148</v>
      </c>
      <c r="AL34" s="2954">
        <v>145</v>
      </c>
      <c r="AM34" s="2367"/>
      <c r="AN34" s="2952"/>
      <c r="AO34" s="2953"/>
      <c r="AP34" s="2954"/>
      <c r="AQ34" s="2367"/>
      <c r="AR34" s="2952"/>
      <c r="AS34" s="2953"/>
      <c r="AT34" s="2954"/>
      <c r="AU34" s="2367"/>
      <c r="AV34" s="2952">
        <v>144</v>
      </c>
      <c r="AW34" s="2953">
        <v>153</v>
      </c>
      <c r="AX34" s="2954">
        <v>198</v>
      </c>
      <c r="AY34" s="2930"/>
      <c r="AZ34" s="2952">
        <v>112</v>
      </c>
      <c r="BA34" s="2953">
        <v>145</v>
      </c>
      <c r="BB34" s="2954">
        <v>71</v>
      </c>
      <c r="BC34" s="42"/>
    </row>
    <row r="35" spans="1:58" s="36" customFormat="1">
      <c r="A35" s="7306"/>
      <c r="B35" s="2936" t="s">
        <v>886</v>
      </c>
      <c r="C35" s="2971"/>
      <c r="D35" s="2955">
        <v>95</v>
      </c>
      <c r="E35" s="2956">
        <v>48</v>
      </c>
      <c r="F35" s="2957">
        <v>64</v>
      </c>
      <c r="G35" s="2971"/>
      <c r="H35" s="2955">
        <v>207</v>
      </c>
      <c r="I35" s="2956">
        <v>182</v>
      </c>
      <c r="J35" s="2957">
        <v>80</v>
      </c>
      <c r="K35" s="2971"/>
      <c r="L35" s="2955">
        <v>265</v>
      </c>
      <c r="M35" s="2956">
        <v>249</v>
      </c>
      <c r="N35" s="2957">
        <v>288</v>
      </c>
      <c r="O35" s="2971"/>
      <c r="P35" s="2955">
        <v>122</v>
      </c>
      <c r="Q35" s="2956">
        <v>127</v>
      </c>
      <c r="R35" s="2957">
        <v>152</v>
      </c>
      <c r="S35" s="2971"/>
      <c r="T35" s="2955">
        <v>58</v>
      </c>
      <c r="U35" s="2956">
        <v>43</v>
      </c>
      <c r="V35" s="2957">
        <v>36</v>
      </c>
      <c r="W35" s="2367"/>
      <c r="X35" s="2955">
        <v>38</v>
      </c>
      <c r="Y35" s="2956">
        <v>40</v>
      </c>
      <c r="Z35" s="2957">
        <v>26</v>
      </c>
      <c r="AA35" s="2367"/>
      <c r="AB35" s="2955">
        <v>81</v>
      </c>
      <c r="AC35" s="2956">
        <v>75</v>
      </c>
      <c r="AD35" s="2957">
        <v>52</v>
      </c>
      <c r="AE35" s="2367"/>
      <c r="AF35" s="2955">
        <v>152</v>
      </c>
      <c r="AG35" s="2956">
        <v>151</v>
      </c>
      <c r="AH35" s="2957">
        <v>132</v>
      </c>
      <c r="AI35" s="2971"/>
      <c r="AJ35" s="2955">
        <v>152</v>
      </c>
      <c r="AK35" s="2956">
        <v>151</v>
      </c>
      <c r="AL35" s="2957">
        <v>132</v>
      </c>
      <c r="AM35" s="2971"/>
      <c r="AN35" s="2955"/>
      <c r="AO35" s="2956"/>
      <c r="AP35" s="2957"/>
      <c r="AQ35" s="89"/>
      <c r="AR35" s="2955"/>
      <c r="AS35" s="2956"/>
      <c r="AT35" s="2957"/>
      <c r="AU35" s="2971"/>
      <c r="AV35" s="2955">
        <v>170</v>
      </c>
      <c r="AW35" s="2956">
        <v>146</v>
      </c>
      <c r="AX35" s="2957">
        <v>213</v>
      </c>
      <c r="AY35" s="2930"/>
      <c r="AZ35" s="2955">
        <v>7</v>
      </c>
      <c r="BA35" s="2956">
        <v>8</v>
      </c>
      <c r="BB35" s="2957">
        <v>4</v>
      </c>
      <c r="BC35" s="42"/>
    </row>
    <row r="36" spans="1:58" s="36" customFormat="1">
      <c r="A36" s="7307"/>
      <c r="B36" s="2972" t="s">
        <v>887</v>
      </c>
      <c r="C36" s="2971"/>
      <c r="D36" s="2973">
        <v>0</v>
      </c>
      <c r="E36" s="2974">
        <v>0</v>
      </c>
      <c r="F36" s="2975">
        <v>0</v>
      </c>
      <c r="G36" s="2971"/>
      <c r="H36" s="2973">
        <v>0</v>
      </c>
      <c r="I36" s="2974">
        <v>0</v>
      </c>
      <c r="J36" s="2975">
        <v>0</v>
      </c>
      <c r="K36" s="2971"/>
      <c r="L36" s="2973">
        <v>179</v>
      </c>
      <c r="M36" s="2974">
        <v>225</v>
      </c>
      <c r="N36" s="2975">
        <v>171</v>
      </c>
      <c r="O36" s="2971"/>
      <c r="P36" s="2973"/>
      <c r="Q36" s="2974"/>
      <c r="R36" s="2975"/>
      <c r="S36" s="2971"/>
      <c r="T36" s="2973">
        <v>25</v>
      </c>
      <c r="U36" s="2974">
        <v>34</v>
      </c>
      <c r="V36" s="2975">
        <v>42</v>
      </c>
      <c r="W36" s="2971"/>
      <c r="X36" s="2973">
        <v>49</v>
      </c>
      <c r="Y36" s="2974">
        <v>52</v>
      </c>
      <c r="Z36" s="2975">
        <v>27</v>
      </c>
      <c r="AA36" s="2971"/>
      <c r="AB36" s="2973"/>
      <c r="AC36" s="2974"/>
      <c r="AD36" s="2975"/>
      <c r="AE36" s="2367"/>
      <c r="AF36" s="2973">
        <v>145</v>
      </c>
      <c r="AG36" s="2974">
        <v>133</v>
      </c>
      <c r="AH36" s="2975">
        <v>121</v>
      </c>
      <c r="AI36" s="2971"/>
      <c r="AJ36" s="2973">
        <v>145</v>
      </c>
      <c r="AK36" s="2974">
        <v>133</v>
      </c>
      <c r="AL36" s="2975">
        <v>121</v>
      </c>
      <c r="AM36" s="2971"/>
      <c r="AN36" s="2973"/>
      <c r="AO36" s="2974"/>
      <c r="AP36" s="2975"/>
      <c r="AQ36" s="89"/>
      <c r="AR36" s="2973"/>
      <c r="AS36" s="2974"/>
      <c r="AT36" s="2975"/>
      <c r="AU36" s="2971"/>
      <c r="AV36" s="2973">
        <v>144</v>
      </c>
      <c r="AW36" s="2974">
        <v>128</v>
      </c>
      <c r="AX36" s="2975">
        <v>129</v>
      </c>
      <c r="AY36" s="293"/>
      <c r="AZ36" s="2973"/>
      <c r="BA36" s="2974"/>
      <c r="BB36" s="2975"/>
      <c r="BC36" s="42"/>
    </row>
    <row r="37" spans="1:58" s="36" customFormat="1">
      <c r="A37" s="7308" t="s">
        <v>897</v>
      </c>
      <c r="B37" s="2976" t="s">
        <v>885</v>
      </c>
      <c r="C37" s="2971"/>
      <c r="D37" s="2977"/>
      <c r="E37" s="2978"/>
      <c r="F37" s="2979"/>
      <c r="G37" s="2971"/>
      <c r="H37" s="2977"/>
      <c r="I37" s="2978"/>
      <c r="J37" s="2979"/>
      <c r="K37" s="2971"/>
      <c r="L37" s="2977"/>
      <c r="M37" s="2978"/>
      <c r="N37" s="2979"/>
      <c r="O37" s="2971"/>
      <c r="P37" s="2977"/>
      <c r="Q37" s="2978"/>
      <c r="R37" s="2979"/>
      <c r="S37" s="2971"/>
      <c r="T37" s="2977">
        <v>269</v>
      </c>
      <c r="U37" s="2978">
        <v>154</v>
      </c>
      <c r="V37" s="2979">
        <v>181</v>
      </c>
      <c r="W37" s="2971"/>
      <c r="X37" s="2977">
        <v>270</v>
      </c>
      <c r="Y37" s="2978">
        <v>265</v>
      </c>
      <c r="Z37" s="2979">
        <v>175</v>
      </c>
      <c r="AA37" s="2971"/>
      <c r="AB37" s="2977">
        <v>207</v>
      </c>
      <c r="AC37" s="2978">
        <v>209</v>
      </c>
      <c r="AD37" s="2979">
        <v>270</v>
      </c>
      <c r="AE37" s="2367"/>
      <c r="AF37" s="2977">
        <v>79</v>
      </c>
      <c r="AG37" s="2978">
        <v>80</v>
      </c>
      <c r="AH37" s="2979">
        <v>83</v>
      </c>
      <c r="AI37" s="2971"/>
      <c r="AJ37" s="2977">
        <v>79</v>
      </c>
      <c r="AK37" s="2978">
        <v>80</v>
      </c>
      <c r="AL37" s="2979">
        <v>83</v>
      </c>
      <c r="AM37" s="2971"/>
      <c r="AN37" s="2977"/>
      <c r="AO37" s="2978"/>
      <c r="AP37" s="2979">
        <v>668</v>
      </c>
      <c r="AQ37" s="89"/>
      <c r="AR37" s="2977">
        <v>214</v>
      </c>
      <c r="AS37" s="2978">
        <v>216</v>
      </c>
      <c r="AT37" s="2979">
        <v>157</v>
      </c>
      <c r="AU37" s="2971"/>
      <c r="AV37" s="2977">
        <v>113</v>
      </c>
      <c r="AW37" s="2978">
        <v>91</v>
      </c>
      <c r="AX37" s="2979">
        <v>114</v>
      </c>
      <c r="AY37" s="293"/>
      <c r="AZ37" s="2977">
        <v>204</v>
      </c>
      <c r="BA37" s="2978">
        <v>185</v>
      </c>
      <c r="BB37" s="2979">
        <v>215</v>
      </c>
    </row>
    <row r="38" spans="1:58" s="36" customFormat="1">
      <c r="A38" s="7306"/>
      <c r="B38" s="2936" t="s">
        <v>886</v>
      </c>
      <c r="C38" s="2971"/>
      <c r="D38" s="2955"/>
      <c r="E38" s="2956"/>
      <c r="F38" s="2957"/>
      <c r="G38" s="2971"/>
      <c r="H38" s="2955"/>
      <c r="I38" s="2956"/>
      <c r="J38" s="2957"/>
      <c r="K38" s="2971"/>
      <c r="L38" s="2955"/>
      <c r="M38" s="2956"/>
      <c r="N38" s="2957"/>
      <c r="O38" s="2971"/>
      <c r="P38" s="2955">
        <v>448</v>
      </c>
      <c r="Q38" s="2956">
        <v>372</v>
      </c>
      <c r="R38" s="2957">
        <v>449</v>
      </c>
      <c r="S38" s="2971"/>
      <c r="T38" s="2955">
        <v>134</v>
      </c>
      <c r="U38" s="2956">
        <v>142</v>
      </c>
      <c r="V38" s="2957">
        <v>49</v>
      </c>
      <c r="W38" s="2971"/>
      <c r="X38" s="2955">
        <v>149</v>
      </c>
      <c r="Y38" s="2956">
        <v>134</v>
      </c>
      <c r="Z38" s="2957">
        <v>130</v>
      </c>
      <c r="AA38" s="2971"/>
      <c r="AB38" s="2955">
        <v>145</v>
      </c>
      <c r="AC38" s="2956">
        <v>161</v>
      </c>
      <c r="AD38" s="2957">
        <v>160</v>
      </c>
      <c r="AE38" s="2367"/>
      <c r="AF38" s="2955">
        <v>58</v>
      </c>
      <c r="AG38" s="2956">
        <v>58</v>
      </c>
      <c r="AH38" s="2957">
        <v>59</v>
      </c>
      <c r="AI38" s="2971"/>
      <c r="AJ38" s="2955">
        <v>58</v>
      </c>
      <c r="AK38" s="2956">
        <v>58</v>
      </c>
      <c r="AL38" s="2957">
        <v>59</v>
      </c>
      <c r="AM38" s="2971"/>
      <c r="AN38" s="2955"/>
      <c r="AO38" s="2956"/>
      <c r="AP38" s="2957"/>
      <c r="AQ38" s="89"/>
      <c r="AR38" s="2955">
        <v>277</v>
      </c>
      <c r="AS38" s="2956">
        <v>206</v>
      </c>
      <c r="AT38" s="2957">
        <v>260</v>
      </c>
      <c r="AU38" s="2971"/>
      <c r="AV38" s="2955">
        <v>3</v>
      </c>
      <c r="AW38" s="2956">
        <v>6</v>
      </c>
      <c r="AX38" s="2957">
        <v>0</v>
      </c>
      <c r="AY38" s="293"/>
      <c r="AZ38" s="2955">
        <v>195</v>
      </c>
      <c r="BA38" s="2956">
        <v>161</v>
      </c>
      <c r="BB38" s="2957">
        <v>188</v>
      </c>
    </row>
    <row r="39" spans="1:58" s="36" customFormat="1">
      <c r="A39" s="7306"/>
      <c r="B39" s="2940" t="s">
        <v>887</v>
      </c>
      <c r="C39" s="2971"/>
      <c r="D39" s="2958"/>
      <c r="E39" s="2959"/>
      <c r="F39" s="2960"/>
      <c r="G39" s="2971"/>
      <c r="H39" s="2958"/>
      <c r="I39" s="2959"/>
      <c r="J39" s="2960"/>
      <c r="K39" s="2971"/>
      <c r="L39" s="2958"/>
      <c r="M39" s="2959"/>
      <c r="N39" s="2960"/>
      <c r="O39" s="2971"/>
      <c r="P39" s="2958"/>
      <c r="Q39" s="2959"/>
      <c r="R39" s="2960"/>
      <c r="S39" s="2971"/>
      <c r="T39" s="2958">
        <v>44</v>
      </c>
      <c r="U39" s="2959">
        <v>52</v>
      </c>
      <c r="V39" s="2960"/>
      <c r="W39" s="2971"/>
      <c r="X39" s="2958">
        <v>34</v>
      </c>
      <c r="Y39" s="2959">
        <v>52</v>
      </c>
      <c r="Z39" s="2960">
        <v>40</v>
      </c>
      <c r="AA39" s="2971"/>
      <c r="AB39" s="2958"/>
      <c r="AC39" s="2959"/>
      <c r="AD39" s="2960"/>
      <c r="AE39" s="2367"/>
      <c r="AF39" s="2958">
        <v>27</v>
      </c>
      <c r="AG39" s="2959">
        <v>33</v>
      </c>
      <c r="AH39" s="2960">
        <v>41</v>
      </c>
      <c r="AI39" s="2971"/>
      <c r="AJ39" s="2958">
        <v>27</v>
      </c>
      <c r="AK39" s="2959">
        <v>33</v>
      </c>
      <c r="AL39" s="2960">
        <v>41</v>
      </c>
      <c r="AM39" s="2971"/>
      <c r="AN39" s="2958"/>
      <c r="AO39" s="2959"/>
      <c r="AP39" s="2960"/>
      <c r="AQ39" s="89"/>
      <c r="AR39" s="2958">
        <v>174</v>
      </c>
      <c r="AS39" s="2959">
        <v>208</v>
      </c>
      <c r="AT39" s="2960">
        <v>197</v>
      </c>
      <c r="AU39" s="2971"/>
      <c r="AV39" s="2958">
        <v>0</v>
      </c>
      <c r="AW39" s="2959">
        <v>0</v>
      </c>
      <c r="AX39" s="2960">
        <v>0</v>
      </c>
      <c r="AY39" s="293"/>
      <c r="AZ39" s="2958">
        <v>121</v>
      </c>
      <c r="BA39" s="2959">
        <v>130</v>
      </c>
      <c r="BB39" s="2960">
        <v>116</v>
      </c>
    </row>
    <row r="40" spans="1:58" s="36" customFormat="1">
      <c r="A40" s="7309" t="s">
        <v>898</v>
      </c>
      <c r="B40" s="7309"/>
      <c r="C40" s="2971"/>
      <c r="D40" s="2980">
        <f>SUM(D34:D39)</f>
        <v>849</v>
      </c>
      <c r="E40" s="2981">
        <f>SUM(E34:E39)</f>
        <v>587</v>
      </c>
      <c r="F40" s="2982">
        <f>SUM(F34:F39)</f>
        <v>512</v>
      </c>
      <c r="G40" s="2971"/>
      <c r="H40" s="2980">
        <f>SUM(H34:H39)</f>
        <v>1563</v>
      </c>
      <c r="I40" s="2981">
        <f>SUM(I34:I39)</f>
        <v>1376</v>
      </c>
      <c r="J40" s="2982">
        <f>SUM(J34:J39)</f>
        <v>1470</v>
      </c>
      <c r="K40" s="2971"/>
      <c r="L40" s="2980">
        <f>SUM(L34:L39)</f>
        <v>694</v>
      </c>
      <c r="M40" s="2981">
        <f>SUM(M34:M39)</f>
        <v>609</v>
      </c>
      <c r="N40" s="2982">
        <f>SUM(N34:N39)</f>
        <v>661</v>
      </c>
      <c r="O40" s="2971"/>
      <c r="P40" s="2980">
        <f>SUM(P34:P39)</f>
        <v>570</v>
      </c>
      <c r="Q40" s="2981">
        <f>SUM(Q34:Q39)</f>
        <v>499</v>
      </c>
      <c r="R40" s="2982">
        <f>SUM(R34:R39)</f>
        <v>601</v>
      </c>
      <c r="S40" s="2971"/>
      <c r="T40" s="2980">
        <f>SUM(T34:T39)</f>
        <v>610</v>
      </c>
      <c r="U40" s="2981">
        <f>SUM(U34:U39)</f>
        <v>470</v>
      </c>
      <c r="V40" s="2982">
        <f>SUM(V34:V39)</f>
        <v>370</v>
      </c>
      <c r="W40" s="2971"/>
      <c r="X40" s="2980">
        <f>SUM(X34:X39)</f>
        <v>604</v>
      </c>
      <c r="Y40" s="2981">
        <f>SUM(Y34:Y39)</f>
        <v>606</v>
      </c>
      <c r="Z40" s="2982">
        <f>SUM(Z34:Z39)</f>
        <v>431</v>
      </c>
      <c r="AA40" s="2971"/>
      <c r="AB40" s="2980">
        <f>SUM(AB34:AB39)</f>
        <v>587</v>
      </c>
      <c r="AC40" s="2981">
        <f>SUM(AC34:AC39)</f>
        <v>581</v>
      </c>
      <c r="AD40" s="2982">
        <f>SUM(AD34:AD39)</f>
        <v>597</v>
      </c>
      <c r="AE40" s="2367"/>
      <c r="AF40" s="2980">
        <f>SUM(AF34:AF39)</f>
        <v>611</v>
      </c>
      <c r="AG40" s="2981">
        <f>SUM(AG34:AG39)</f>
        <v>603</v>
      </c>
      <c r="AH40" s="2982">
        <f>SUM(AH34:AH39)</f>
        <v>581</v>
      </c>
      <c r="AI40" s="2971"/>
      <c r="AJ40" s="2980">
        <f>SUM(AJ34:AJ39)</f>
        <v>611</v>
      </c>
      <c r="AK40" s="2981">
        <f>SUM(AK34:AK39)</f>
        <v>603</v>
      </c>
      <c r="AL40" s="2982">
        <f>SUM(AL34:AL39)</f>
        <v>581</v>
      </c>
      <c r="AM40" s="2971"/>
      <c r="AN40" s="2980">
        <f>SUM(AN37:AN39)</f>
        <v>0</v>
      </c>
      <c r="AO40" s="2981">
        <f>SUM(AO37:AO39)</f>
        <v>0</v>
      </c>
      <c r="AP40" s="2982">
        <f>SUM(AP37:AP39)</f>
        <v>668</v>
      </c>
      <c r="AQ40" s="89"/>
      <c r="AR40" s="2980">
        <f>SUM(AR37:AR39)</f>
        <v>665</v>
      </c>
      <c r="AS40" s="2981">
        <f>SUM(AS37:AS39)</f>
        <v>630</v>
      </c>
      <c r="AT40" s="2982">
        <f>SUM(AT37:AT39)</f>
        <v>614</v>
      </c>
      <c r="AU40" s="2971"/>
      <c r="AV40" s="2980">
        <f>SUM(AV34:AV39)</f>
        <v>574</v>
      </c>
      <c r="AW40" s="2981">
        <f>SUM(AW34:AW39)</f>
        <v>524</v>
      </c>
      <c r="AX40" s="2982">
        <f>SUM(AX34:AX39)</f>
        <v>654</v>
      </c>
      <c r="AY40" s="293"/>
      <c r="AZ40" s="2980">
        <f>SUM(AZ34:AZ39)</f>
        <v>639</v>
      </c>
      <c r="BA40" s="2981">
        <f>SUM(BA34:BA39)</f>
        <v>629</v>
      </c>
      <c r="BB40" s="2982">
        <f>SUM(BB34:BB39)</f>
        <v>594</v>
      </c>
      <c r="BC40" s="42"/>
    </row>
    <row r="41" spans="1:58" s="36" customFormat="1">
      <c r="A41" s="2946"/>
      <c r="B41" s="2946"/>
      <c r="C41" s="2946"/>
      <c r="D41" s="2983"/>
      <c r="E41" s="2966"/>
      <c r="F41" s="2367"/>
      <c r="G41" s="2946"/>
      <c r="H41" s="2983"/>
      <c r="I41" s="2966"/>
      <c r="J41" s="2367"/>
      <c r="K41" s="2946"/>
      <c r="L41" s="2983"/>
      <c r="M41" s="2966"/>
      <c r="N41" s="2367"/>
      <c r="O41" s="2946"/>
      <c r="P41" s="2983"/>
      <c r="Q41" s="2966"/>
      <c r="R41" s="2367"/>
      <c r="S41" s="2946"/>
      <c r="T41" s="2983"/>
      <c r="U41" s="2966"/>
      <c r="V41" s="2367"/>
      <c r="W41" s="2946"/>
      <c r="X41" s="2983"/>
      <c r="Y41" s="2966"/>
      <c r="Z41" s="2367"/>
      <c r="AA41" s="2946"/>
      <c r="AB41" s="2983"/>
      <c r="AC41" s="2966"/>
      <c r="AD41" s="2367"/>
      <c r="AE41" s="2367"/>
      <c r="AF41" s="3771" t="s">
        <v>2554</v>
      </c>
      <c r="AG41" s="2966"/>
      <c r="AH41" s="2367"/>
      <c r="AI41" s="2946"/>
      <c r="AJ41" s="2983"/>
      <c r="AK41" s="2966"/>
      <c r="AL41" s="2367"/>
      <c r="AM41" s="2946"/>
      <c r="AN41" s="2983"/>
      <c r="AO41" s="2966"/>
      <c r="AP41" s="2367"/>
      <c r="AQ41" s="89"/>
      <c r="AR41" s="2983"/>
      <c r="AS41" s="2966"/>
      <c r="AT41" s="2367"/>
      <c r="AU41" s="2946"/>
      <c r="AV41" s="2983"/>
      <c r="AW41" s="2966"/>
      <c r="AX41" s="2367"/>
      <c r="AY41" s="293"/>
      <c r="AZ41" s="2983"/>
      <c r="BA41" s="2966"/>
      <c r="BB41" s="2367"/>
      <c r="BC41" s="42"/>
    </row>
    <row r="42" spans="1:58" s="36" customFormat="1">
      <c r="A42" s="1041"/>
      <c r="B42" s="1041"/>
      <c r="C42" s="1041"/>
      <c r="D42" s="2966"/>
      <c r="E42" s="2966"/>
      <c r="F42" s="2984"/>
      <c r="G42" s="1041"/>
      <c r="H42" s="2966"/>
      <c r="I42" s="2966"/>
      <c r="J42" s="2984"/>
      <c r="K42" s="1041"/>
      <c r="L42" s="2966"/>
      <c r="M42" s="2966"/>
      <c r="N42" s="2984"/>
      <c r="O42" s="1041"/>
      <c r="P42" s="2966"/>
      <c r="Q42" s="2966"/>
      <c r="R42" s="2984"/>
      <c r="S42" s="1041"/>
      <c r="T42" s="2966"/>
      <c r="U42" s="2966"/>
      <c r="V42" s="2984"/>
      <c r="W42" s="1041"/>
      <c r="X42" s="2966"/>
      <c r="Y42" s="2966"/>
      <c r="Z42" s="2984"/>
      <c r="AA42" s="1041"/>
      <c r="AB42" s="2966"/>
      <c r="AC42" s="2966"/>
      <c r="AD42" s="2984"/>
      <c r="AE42" s="2367"/>
      <c r="AF42" s="2966"/>
      <c r="AG42" s="2966"/>
      <c r="AH42" s="2984"/>
      <c r="AI42" s="1041"/>
      <c r="AJ42" s="2966"/>
      <c r="AK42" s="2966"/>
      <c r="AL42" s="2984"/>
      <c r="AM42" s="1041"/>
      <c r="AN42" s="2966"/>
      <c r="AO42" s="2966"/>
      <c r="AP42" s="2984"/>
      <c r="AQ42" s="89"/>
      <c r="AR42" s="2966"/>
      <c r="AS42" s="2966"/>
      <c r="AT42" s="2984"/>
      <c r="AU42" s="1041"/>
      <c r="AV42" s="2966"/>
      <c r="AW42" s="2966"/>
      <c r="AX42" s="2984"/>
      <c r="AY42" s="293"/>
      <c r="AZ42" s="2966"/>
      <c r="BA42" s="2966"/>
      <c r="BB42" s="2984"/>
      <c r="BC42" s="42"/>
    </row>
    <row r="43" spans="1:58" s="36" customFormat="1" ht="15" thickBot="1">
      <c r="A43" s="6449" t="s">
        <v>879</v>
      </c>
      <c r="B43" s="6450" t="s">
        <v>880</v>
      </c>
      <c r="C43" s="2966"/>
      <c r="D43" s="3753" t="s">
        <v>881</v>
      </c>
      <c r="E43" s="3753" t="s">
        <v>882</v>
      </c>
      <c r="F43" s="3753" t="s">
        <v>883</v>
      </c>
      <c r="G43" s="2966"/>
      <c r="H43" s="3753" t="s">
        <v>881</v>
      </c>
      <c r="I43" s="3753" t="s">
        <v>882</v>
      </c>
      <c r="J43" s="3753" t="s">
        <v>883</v>
      </c>
      <c r="K43" s="2966"/>
      <c r="L43" s="3753" t="s">
        <v>881</v>
      </c>
      <c r="M43" s="3753" t="s">
        <v>882</v>
      </c>
      <c r="N43" s="3753" t="s">
        <v>883</v>
      </c>
      <c r="O43" s="2966"/>
      <c r="P43" s="3753" t="s">
        <v>881</v>
      </c>
      <c r="Q43" s="3753" t="s">
        <v>882</v>
      </c>
      <c r="R43" s="3753" t="s">
        <v>883</v>
      </c>
      <c r="S43" s="2966"/>
      <c r="T43" s="3753" t="s">
        <v>881</v>
      </c>
      <c r="U43" s="3753" t="s">
        <v>882</v>
      </c>
      <c r="V43" s="3753" t="s">
        <v>883</v>
      </c>
      <c r="W43" s="2078"/>
      <c r="X43" s="3753" t="s">
        <v>881</v>
      </c>
      <c r="Y43" s="3753" t="s">
        <v>882</v>
      </c>
      <c r="Z43" s="3753" t="s">
        <v>883</v>
      </c>
      <c r="AA43" s="2078"/>
      <c r="AB43" s="3753" t="s">
        <v>881</v>
      </c>
      <c r="AC43" s="3753" t="s">
        <v>882</v>
      </c>
      <c r="AD43" s="3753" t="s">
        <v>883</v>
      </c>
      <c r="AE43" s="2367"/>
      <c r="AF43" s="3753" t="s">
        <v>881</v>
      </c>
      <c r="AG43" s="3753" t="s">
        <v>882</v>
      </c>
      <c r="AH43" s="3753" t="s">
        <v>883</v>
      </c>
      <c r="AI43" s="2078"/>
      <c r="AJ43" s="3753" t="s">
        <v>881</v>
      </c>
      <c r="AK43" s="3753" t="s">
        <v>882</v>
      </c>
      <c r="AL43" s="3753" t="s">
        <v>883</v>
      </c>
      <c r="AM43" s="2078"/>
      <c r="AN43" s="3753" t="s">
        <v>881</v>
      </c>
      <c r="AO43" s="3753" t="s">
        <v>882</v>
      </c>
      <c r="AP43" s="3753" t="s">
        <v>883</v>
      </c>
      <c r="AQ43" s="2078"/>
      <c r="AR43" s="3753" t="s">
        <v>881</v>
      </c>
      <c r="AS43" s="3753" t="s">
        <v>882</v>
      </c>
      <c r="AT43" s="3753" t="s">
        <v>883</v>
      </c>
      <c r="AU43" s="2078"/>
      <c r="AV43" s="3753" t="s">
        <v>881</v>
      </c>
      <c r="AW43" s="3753" t="s">
        <v>882</v>
      </c>
      <c r="AX43" s="3753" t="s">
        <v>883</v>
      </c>
      <c r="AY43" s="3754"/>
      <c r="AZ43" s="3753" t="s">
        <v>881</v>
      </c>
      <c r="BA43" s="3753" t="s">
        <v>882</v>
      </c>
      <c r="BB43" s="3753" t="s">
        <v>883</v>
      </c>
      <c r="BC43" s="42"/>
    </row>
    <row r="44" spans="1:58" s="36" customFormat="1">
      <c r="A44" s="7302" t="s">
        <v>892</v>
      </c>
      <c r="B44" s="2932" t="s">
        <v>885</v>
      </c>
      <c r="C44" s="1041"/>
      <c r="D44" s="2985">
        <f t="shared" ref="D44:F46" si="0">SUM(D5,D12,D20,D27,D34,D37)</f>
        <v>3001</v>
      </c>
      <c r="E44" s="2986">
        <f t="shared" si="0"/>
        <v>3158</v>
      </c>
      <c r="F44" s="2987">
        <f t="shared" si="0"/>
        <v>2608</v>
      </c>
      <c r="G44" s="1041"/>
      <c r="H44" s="2985">
        <f t="shared" ref="H44:J46" si="1">SUM(H5,H12,H20,H27,H34,H37)</f>
        <v>3047</v>
      </c>
      <c r="I44" s="2986">
        <f t="shared" si="1"/>
        <v>3043</v>
      </c>
      <c r="J44" s="2987">
        <f t="shared" si="1"/>
        <v>3473</v>
      </c>
      <c r="K44" s="1041"/>
      <c r="L44" s="2985">
        <f t="shared" ref="L44:N46" si="2">SUM(L5,L12,L20,L27,L34,L37)</f>
        <v>2110</v>
      </c>
      <c r="M44" s="2986">
        <f t="shared" si="2"/>
        <v>2225</v>
      </c>
      <c r="N44" s="2987">
        <f t="shared" si="2"/>
        <v>2508</v>
      </c>
      <c r="O44" s="1041"/>
      <c r="P44" s="2985">
        <f t="shared" ref="P44:R46" si="3">SUM(P5,P12,P20,P27,P34,P37)</f>
        <v>2016</v>
      </c>
      <c r="Q44" s="2986">
        <f t="shared" si="3"/>
        <v>1889</v>
      </c>
      <c r="R44" s="2987">
        <f t="shared" si="3"/>
        <v>2264</v>
      </c>
      <c r="S44" s="1041"/>
      <c r="T44" s="2985">
        <f t="shared" ref="T44:V46" si="4">SUM(T5,T12,T20,T27,T34,T37)</f>
        <v>2650</v>
      </c>
      <c r="U44" s="2986">
        <f t="shared" si="4"/>
        <v>1985</v>
      </c>
      <c r="V44" s="2987">
        <f t="shared" si="4"/>
        <v>2522</v>
      </c>
      <c r="W44" s="1041"/>
      <c r="X44" s="2985">
        <f t="shared" ref="X44:Z46" si="5">SUM(X5,X12,X20,X27,X34,X37)</f>
        <v>2893</v>
      </c>
      <c r="Y44" s="2986">
        <f t="shared" si="5"/>
        <v>2994</v>
      </c>
      <c r="Z44" s="2987">
        <f t="shared" si="5"/>
        <v>3077</v>
      </c>
      <c r="AA44" s="1041"/>
      <c r="AB44" s="2985">
        <f t="shared" ref="AB44:AD46" si="6">SUM(AB5,AB12,AB20,AB27,AB34,AB37)</f>
        <v>4260</v>
      </c>
      <c r="AC44" s="2986">
        <f t="shared" si="6"/>
        <v>4023</v>
      </c>
      <c r="AD44" s="2987">
        <f t="shared" si="6"/>
        <v>4079</v>
      </c>
      <c r="AE44" s="2367"/>
      <c r="AF44" s="2985">
        <f t="shared" ref="AF44:AH46" si="7">SUM(AF5,AF12,AF20,AF27,AF34,AF37)</f>
        <v>3146</v>
      </c>
      <c r="AG44" s="2986">
        <f t="shared" si="7"/>
        <v>3043</v>
      </c>
      <c r="AH44" s="2987">
        <f t="shared" si="7"/>
        <v>3164</v>
      </c>
      <c r="AI44" s="1041"/>
      <c r="AJ44" s="2985">
        <f t="shared" ref="AJ44:AL46" si="8">SUM(AJ5,AJ12,AJ20,AJ27,AJ34,AJ37)</f>
        <v>3546</v>
      </c>
      <c r="AK44" s="2986">
        <f t="shared" si="8"/>
        <v>3259</v>
      </c>
      <c r="AL44" s="2987">
        <f t="shared" si="8"/>
        <v>3066</v>
      </c>
      <c r="AM44" s="1041"/>
      <c r="AN44" s="2985">
        <f t="shared" ref="AN44:AP46" si="9">SUM(AN5,AN12,AN20,AN27,AN37)</f>
        <v>3020</v>
      </c>
      <c r="AO44" s="2986">
        <f t="shared" si="9"/>
        <v>2972</v>
      </c>
      <c r="AP44" s="2987">
        <f t="shared" si="9"/>
        <v>4157</v>
      </c>
      <c r="AQ44" s="89"/>
      <c r="AR44" s="2985">
        <f t="shared" ref="AR44:AT46" si="10">SUM(AR5,AR12,AR20,AR27,AR37)</f>
        <v>2839</v>
      </c>
      <c r="AS44" s="2986">
        <f t="shared" si="10"/>
        <v>2514</v>
      </c>
      <c r="AT44" s="2987">
        <f t="shared" si="10"/>
        <v>2909</v>
      </c>
      <c r="AU44" s="1041"/>
      <c r="AV44" s="2985">
        <f t="shared" ref="AV44:AX45" si="11">SUM(AV5,AV12,AV20,AV34,AV37)</f>
        <v>2900</v>
      </c>
      <c r="AW44" s="2986">
        <f t="shared" si="11"/>
        <v>2769</v>
      </c>
      <c r="AX44" s="2987">
        <f t="shared" si="11"/>
        <v>3268</v>
      </c>
      <c r="AY44" s="293"/>
      <c r="AZ44" s="2985">
        <f t="shared" ref="AZ44:BB45" si="12">SUM(AZ5,AZ12,AZ20,AZ34,AZ37)</f>
        <v>2119</v>
      </c>
      <c r="BA44" s="2986">
        <f t="shared" si="12"/>
        <v>2180</v>
      </c>
      <c r="BB44" s="2987">
        <f t="shared" si="12"/>
        <v>2015</v>
      </c>
      <c r="BC44" s="42"/>
    </row>
    <row r="45" spans="1:58" s="36" customFormat="1">
      <c r="A45" s="7303"/>
      <c r="B45" s="2936" t="s">
        <v>886</v>
      </c>
      <c r="C45" s="1041"/>
      <c r="D45" s="2988">
        <f t="shared" si="0"/>
        <v>1798</v>
      </c>
      <c r="E45" s="2989">
        <f t="shared" si="0"/>
        <v>1804</v>
      </c>
      <c r="F45" s="2990">
        <f t="shared" si="0"/>
        <v>1710</v>
      </c>
      <c r="G45" s="1041"/>
      <c r="H45" s="2988">
        <f t="shared" si="1"/>
        <v>1899</v>
      </c>
      <c r="I45" s="2989">
        <f t="shared" si="1"/>
        <v>1889</v>
      </c>
      <c r="J45" s="2990">
        <f t="shared" si="1"/>
        <v>1906</v>
      </c>
      <c r="K45" s="1041"/>
      <c r="L45" s="2988">
        <f t="shared" si="2"/>
        <v>2008</v>
      </c>
      <c r="M45" s="2989">
        <f t="shared" si="2"/>
        <v>2089</v>
      </c>
      <c r="N45" s="2990">
        <f t="shared" si="2"/>
        <v>1897</v>
      </c>
      <c r="O45" s="1041"/>
      <c r="P45" s="2988">
        <f t="shared" si="3"/>
        <v>958</v>
      </c>
      <c r="Q45" s="2989">
        <f t="shared" si="3"/>
        <v>822</v>
      </c>
      <c r="R45" s="2990">
        <f t="shared" si="3"/>
        <v>1960</v>
      </c>
      <c r="S45" s="1041"/>
      <c r="T45" s="2988">
        <f t="shared" si="4"/>
        <v>501</v>
      </c>
      <c r="U45" s="2989">
        <f t="shared" si="4"/>
        <v>543</v>
      </c>
      <c r="V45" s="2990">
        <f t="shared" si="4"/>
        <v>1446</v>
      </c>
      <c r="W45" s="1041"/>
      <c r="X45" s="2988">
        <f t="shared" si="5"/>
        <v>1685</v>
      </c>
      <c r="Y45" s="2989">
        <f t="shared" si="5"/>
        <v>1639</v>
      </c>
      <c r="Z45" s="2990">
        <f t="shared" si="5"/>
        <v>1640</v>
      </c>
      <c r="AA45" s="1041"/>
      <c r="AB45" s="2988">
        <f t="shared" si="6"/>
        <v>929</v>
      </c>
      <c r="AC45" s="2989">
        <f t="shared" si="6"/>
        <v>957</v>
      </c>
      <c r="AD45" s="2990">
        <f t="shared" si="6"/>
        <v>894</v>
      </c>
      <c r="AE45" s="2367"/>
      <c r="AF45" s="2988">
        <f t="shared" si="7"/>
        <v>1748</v>
      </c>
      <c r="AG45" s="2989">
        <f t="shared" si="7"/>
        <v>1746</v>
      </c>
      <c r="AH45" s="2990">
        <f t="shared" si="7"/>
        <v>1890</v>
      </c>
      <c r="AI45" s="1041"/>
      <c r="AJ45" s="2988">
        <f t="shared" si="8"/>
        <v>1749</v>
      </c>
      <c r="AK45" s="2989">
        <f t="shared" si="8"/>
        <v>1829</v>
      </c>
      <c r="AL45" s="2990">
        <f t="shared" si="8"/>
        <v>1936</v>
      </c>
      <c r="AM45" s="1041"/>
      <c r="AN45" s="2988">
        <f t="shared" si="9"/>
        <v>1255</v>
      </c>
      <c r="AO45" s="2989">
        <f t="shared" si="9"/>
        <v>1268</v>
      </c>
      <c r="AP45" s="2990">
        <f t="shared" si="9"/>
        <v>1427</v>
      </c>
      <c r="AQ45" s="89"/>
      <c r="AR45" s="2988">
        <f t="shared" si="10"/>
        <v>1359</v>
      </c>
      <c r="AS45" s="2989">
        <f t="shared" si="10"/>
        <v>1283</v>
      </c>
      <c r="AT45" s="2990">
        <f t="shared" si="10"/>
        <v>1560</v>
      </c>
      <c r="AU45" s="1041"/>
      <c r="AV45" s="2988">
        <f t="shared" si="11"/>
        <v>835</v>
      </c>
      <c r="AW45" s="2989">
        <f t="shared" si="11"/>
        <v>859</v>
      </c>
      <c r="AX45" s="2990">
        <f t="shared" si="11"/>
        <v>1060</v>
      </c>
      <c r="AY45" s="293"/>
      <c r="AZ45" s="2988">
        <f t="shared" si="12"/>
        <v>865</v>
      </c>
      <c r="BA45" s="2989">
        <f t="shared" si="12"/>
        <v>747</v>
      </c>
      <c r="BB45" s="2990">
        <f t="shared" si="12"/>
        <v>708</v>
      </c>
      <c r="BC45" s="42"/>
    </row>
    <row r="46" spans="1:58" s="36" customFormat="1">
      <c r="A46" s="7304"/>
      <c r="B46" s="2940" t="s">
        <v>887</v>
      </c>
      <c r="C46" s="1041"/>
      <c r="D46" s="2988">
        <f t="shared" si="0"/>
        <v>102</v>
      </c>
      <c r="E46" s="2989">
        <f t="shared" si="0"/>
        <v>90</v>
      </c>
      <c r="F46" s="2990">
        <f t="shared" si="0"/>
        <v>58</v>
      </c>
      <c r="G46" s="1041"/>
      <c r="H46" s="2988">
        <f t="shared" si="1"/>
        <v>203</v>
      </c>
      <c r="I46" s="2989">
        <f t="shared" si="1"/>
        <v>196</v>
      </c>
      <c r="J46" s="2990">
        <f t="shared" si="1"/>
        <v>210</v>
      </c>
      <c r="K46" s="1041"/>
      <c r="L46" s="2988">
        <f t="shared" si="2"/>
        <v>424</v>
      </c>
      <c r="M46" s="2989">
        <f t="shared" si="2"/>
        <v>491</v>
      </c>
      <c r="N46" s="2990">
        <f t="shared" si="2"/>
        <v>454</v>
      </c>
      <c r="O46" s="1041"/>
      <c r="P46" s="2988">
        <f t="shared" si="3"/>
        <v>197</v>
      </c>
      <c r="Q46" s="2989">
        <f t="shared" si="3"/>
        <v>235</v>
      </c>
      <c r="R46" s="2990">
        <f t="shared" si="3"/>
        <v>207</v>
      </c>
      <c r="S46" s="1041"/>
      <c r="T46" s="2988">
        <f t="shared" si="4"/>
        <v>290</v>
      </c>
      <c r="U46" s="2989">
        <f t="shared" si="4"/>
        <v>252</v>
      </c>
      <c r="V46" s="2990">
        <f t="shared" si="4"/>
        <v>240</v>
      </c>
      <c r="W46" s="1041"/>
      <c r="X46" s="2988">
        <f t="shared" si="5"/>
        <v>253</v>
      </c>
      <c r="Y46" s="2989">
        <f t="shared" si="5"/>
        <v>353</v>
      </c>
      <c r="Z46" s="2990">
        <f t="shared" si="5"/>
        <v>342</v>
      </c>
      <c r="AA46" s="1041"/>
      <c r="AB46" s="2988">
        <f t="shared" si="6"/>
        <v>308</v>
      </c>
      <c r="AC46" s="2989">
        <f t="shared" si="6"/>
        <v>280</v>
      </c>
      <c r="AD46" s="2990">
        <f t="shared" si="6"/>
        <v>259</v>
      </c>
      <c r="AE46" s="2367"/>
      <c r="AF46" s="2988">
        <f t="shared" si="7"/>
        <v>429</v>
      </c>
      <c r="AG46" s="2989">
        <f t="shared" si="7"/>
        <v>428</v>
      </c>
      <c r="AH46" s="2990">
        <f t="shared" si="7"/>
        <v>504</v>
      </c>
      <c r="AI46" s="1041"/>
      <c r="AJ46" s="2988">
        <f t="shared" si="8"/>
        <v>373</v>
      </c>
      <c r="AK46" s="2989">
        <f t="shared" si="8"/>
        <v>374</v>
      </c>
      <c r="AL46" s="2990">
        <f t="shared" si="8"/>
        <v>597</v>
      </c>
      <c r="AM46" s="1041"/>
      <c r="AN46" s="2988">
        <f t="shared" si="9"/>
        <v>181</v>
      </c>
      <c r="AO46" s="2989">
        <f t="shared" si="9"/>
        <v>163</v>
      </c>
      <c r="AP46" s="2990">
        <f t="shared" si="9"/>
        <v>264</v>
      </c>
      <c r="AQ46" s="89"/>
      <c r="AR46" s="2988">
        <f t="shared" si="10"/>
        <v>279</v>
      </c>
      <c r="AS46" s="2989">
        <f t="shared" si="10"/>
        <v>366</v>
      </c>
      <c r="AT46" s="2990">
        <f t="shared" si="10"/>
        <v>401</v>
      </c>
      <c r="AU46" s="1041"/>
      <c r="AV46" s="2988">
        <f>SUM(AV7,AV14:AV15,AV22,AV36,AV39)</f>
        <v>309</v>
      </c>
      <c r="AW46" s="2989">
        <f>SUM(AW7,AW14:AW15,AW22,AW36,AW39)</f>
        <v>246</v>
      </c>
      <c r="AX46" s="2990">
        <f>SUM(AX7,AX14:AX15,AX22,AX36,AX39)</f>
        <v>209</v>
      </c>
      <c r="AY46" s="293"/>
      <c r="AZ46" s="2988">
        <f>SUM(AZ7,AZ14:AZ15,AZ22,AZ36,AZ39)</f>
        <v>285</v>
      </c>
      <c r="BA46" s="2989">
        <f>SUM(BA7,BA14:BA15,BA22,BA36,BA39)</f>
        <v>281</v>
      </c>
      <c r="BB46" s="2990">
        <f>SUM(BB7,BB14:BB15,BB22,BB36,BB39)</f>
        <v>184</v>
      </c>
      <c r="BC46" s="42"/>
    </row>
    <row r="47" spans="1:58" s="36" customFormat="1">
      <c r="A47" s="7305" t="s">
        <v>67</v>
      </c>
      <c r="B47" s="7305"/>
      <c r="C47" s="1041"/>
      <c r="D47" s="2991">
        <f>SUM(D44:D46)</f>
        <v>4901</v>
      </c>
      <c r="E47" s="2992">
        <f>SUM(E44:E46)</f>
        <v>5052</v>
      </c>
      <c r="F47" s="2993">
        <f>SUM(F44:F46)</f>
        <v>4376</v>
      </c>
      <c r="G47" s="1041"/>
      <c r="H47" s="2991">
        <f>SUM(H44:H46)</f>
        <v>5149</v>
      </c>
      <c r="I47" s="2992">
        <f>SUM(I44:I46)</f>
        <v>5128</v>
      </c>
      <c r="J47" s="2993">
        <f>SUM(J44:J46)</f>
        <v>5589</v>
      </c>
      <c r="K47" s="1041"/>
      <c r="L47" s="2991">
        <f>SUM(L44:L46)</f>
        <v>4542</v>
      </c>
      <c r="M47" s="2992">
        <f>SUM(M44:M46)</f>
        <v>4805</v>
      </c>
      <c r="N47" s="2993">
        <f>SUM(N44:N46)</f>
        <v>4859</v>
      </c>
      <c r="O47" s="1041"/>
      <c r="P47" s="2991">
        <f>SUM(P44:P46)</f>
        <v>3171</v>
      </c>
      <c r="Q47" s="2992">
        <f>SUM(Q44:Q46)</f>
        <v>2946</v>
      </c>
      <c r="R47" s="2993">
        <f>SUM(R44:R46)</f>
        <v>4431</v>
      </c>
      <c r="S47" s="1041"/>
      <c r="T47" s="2991">
        <f>SUM(T44:T46)</f>
        <v>3441</v>
      </c>
      <c r="U47" s="2992">
        <f>SUM(U44:U46)</f>
        <v>2780</v>
      </c>
      <c r="V47" s="2993">
        <f>SUM(V44:V46)</f>
        <v>4208</v>
      </c>
      <c r="W47" s="1041"/>
      <c r="X47" s="2991">
        <f>SUM(X44:X46)</f>
        <v>4831</v>
      </c>
      <c r="Y47" s="2992">
        <f>SUM(Y44:Y46)</f>
        <v>4986</v>
      </c>
      <c r="Z47" s="2993">
        <f>SUM(Z44:Z46)</f>
        <v>5059</v>
      </c>
      <c r="AA47" s="1041"/>
      <c r="AB47" s="2991">
        <f>SUM(AB44:AB46)</f>
        <v>5497</v>
      </c>
      <c r="AC47" s="2992">
        <f>SUM(AC44:AC46)</f>
        <v>5260</v>
      </c>
      <c r="AD47" s="2993">
        <f>SUM(AD44:AD46)</f>
        <v>5232</v>
      </c>
      <c r="AE47" s="2367"/>
      <c r="AF47" s="2991">
        <f>SUM(AF44:AF46)</f>
        <v>5323</v>
      </c>
      <c r="AG47" s="2992">
        <f>SUM(AG44:AG46)</f>
        <v>5217</v>
      </c>
      <c r="AH47" s="2993">
        <f>SUM(AH44:AH46)</f>
        <v>5558</v>
      </c>
      <c r="AI47" s="1041"/>
      <c r="AJ47" s="2991">
        <f>SUM(AJ44:AJ46)</f>
        <v>5668</v>
      </c>
      <c r="AK47" s="2992">
        <f>SUM(AK44:AK46)</f>
        <v>5462</v>
      </c>
      <c r="AL47" s="2993">
        <f>SUM(AL44:AL46)</f>
        <v>5599</v>
      </c>
      <c r="AM47" s="1041"/>
      <c r="AN47" s="2991">
        <f>SUM(AN44:AN46)</f>
        <v>4456</v>
      </c>
      <c r="AO47" s="2992">
        <f>SUM(AO44:AO46)</f>
        <v>4403</v>
      </c>
      <c r="AP47" s="2993">
        <f>SUM(AP44:AP46)</f>
        <v>5848</v>
      </c>
      <c r="AQ47" s="89"/>
      <c r="AR47" s="2991">
        <f>SUM(AR44:AR46)</f>
        <v>4477</v>
      </c>
      <c r="AS47" s="2992">
        <f>SUM(AS44:AS46)</f>
        <v>4163</v>
      </c>
      <c r="AT47" s="2993">
        <f>SUM(AT44:AT46)</f>
        <v>4870</v>
      </c>
      <c r="AU47" s="1041"/>
      <c r="AV47" s="2991">
        <f>SUM(AV44:AV46)</f>
        <v>4044</v>
      </c>
      <c r="AW47" s="2992">
        <f>SUM(AW44:AW46)</f>
        <v>3874</v>
      </c>
      <c r="AX47" s="2993">
        <f>SUM(AX44:AX46)</f>
        <v>4537</v>
      </c>
      <c r="AY47" s="293"/>
      <c r="AZ47" s="2991">
        <f>SUM(AZ44:AZ46)</f>
        <v>3269</v>
      </c>
      <c r="BA47" s="2992">
        <f>SUM(BA44:BA46)</f>
        <v>3208</v>
      </c>
      <c r="BB47" s="2993">
        <f>SUM(BB44:BB46)</f>
        <v>2907</v>
      </c>
      <c r="BC47" s="42"/>
    </row>
    <row r="48" spans="1:58">
      <c r="A48" s="1041"/>
      <c r="B48" s="1041"/>
      <c r="C48" s="1041"/>
      <c r="D48" s="1041"/>
      <c r="E48" s="1041"/>
      <c r="F48" s="1041"/>
      <c r="G48" s="1041"/>
      <c r="H48" s="1041"/>
      <c r="I48" s="1041"/>
      <c r="J48" s="1041"/>
      <c r="K48" s="1041"/>
      <c r="L48" s="1041"/>
      <c r="M48" s="1041"/>
      <c r="N48" s="1041"/>
      <c r="O48" s="1041"/>
      <c r="P48" s="1041"/>
      <c r="Q48" s="1041"/>
      <c r="R48" s="1041"/>
      <c r="S48" s="1041"/>
      <c r="T48" s="1041"/>
      <c r="U48" s="1041"/>
      <c r="V48" s="1041"/>
      <c r="W48" s="1041"/>
      <c r="X48" s="1041"/>
      <c r="Y48" s="1041"/>
      <c r="Z48" s="1041"/>
      <c r="AA48" s="1041"/>
      <c r="AB48" s="1041"/>
      <c r="AC48" s="1041"/>
      <c r="AD48" s="1041"/>
      <c r="AE48" s="2367"/>
      <c r="AF48" s="1041"/>
      <c r="AG48" s="1041"/>
      <c r="AH48" s="1041"/>
      <c r="AI48" s="1041"/>
      <c r="AJ48" s="1041"/>
      <c r="AK48" s="1041"/>
      <c r="AL48" s="1041"/>
      <c r="AM48" s="1041"/>
      <c r="AN48" s="89"/>
      <c r="AO48" s="89"/>
      <c r="AP48" s="89"/>
      <c r="AQ48" s="89"/>
      <c r="AR48" s="1041"/>
      <c r="AS48" s="1041"/>
      <c r="AT48" s="928"/>
      <c r="AU48" s="1041"/>
      <c r="AV48" s="1041"/>
      <c r="AW48" s="1041"/>
      <c r="AX48" s="1041"/>
      <c r="AY48" s="1041"/>
      <c r="AZ48" s="1041"/>
      <c r="BA48" s="1041"/>
      <c r="BB48" s="1041"/>
      <c r="BC48" s="39"/>
      <c r="BD48" s="36"/>
      <c r="BE48" s="36"/>
      <c r="BF48" s="36"/>
    </row>
    <row r="49" spans="1:72">
      <c r="A49" s="2994"/>
      <c r="B49" s="2994"/>
      <c r="C49" s="2994"/>
      <c r="D49" s="2994"/>
      <c r="E49" s="2994"/>
      <c r="F49" s="2994"/>
      <c r="G49" s="2994"/>
      <c r="H49" s="2994"/>
      <c r="I49" s="2994"/>
      <c r="J49" s="2994"/>
      <c r="K49" s="2994"/>
      <c r="L49" s="2994"/>
      <c r="M49" s="2994"/>
      <c r="N49" s="2994"/>
      <c r="O49" s="2994"/>
      <c r="P49" s="2994"/>
      <c r="Q49" s="2994"/>
      <c r="R49" s="2994"/>
      <c r="S49" s="2994"/>
      <c r="T49" s="2994"/>
      <c r="U49" s="2994"/>
      <c r="V49" s="2994"/>
      <c r="W49" s="2994"/>
      <c r="X49" s="2994"/>
      <c r="Y49" s="2994"/>
      <c r="Z49" s="2994"/>
      <c r="AA49" s="2994"/>
      <c r="AB49" s="2994"/>
      <c r="AC49" s="2994"/>
      <c r="AD49" s="2994"/>
      <c r="AE49" s="2367"/>
      <c r="AF49" s="2994"/>
      <c r="AG49" s="2994"/>
      <c r="AH49" s="2994"/>
      <c r="AI49" s="2994"/>
      <c r="AJ49" s="2994"/>
      <c r="AK49" s="2994"/>
      <c r="AL49" s="2994"/>
      <c r="AM49" s="2994"/>
      <c r="AN49" s="89"/>
      <c r="AO49" s="89"/>
      <c r="AP49" s="89"/>
      <c r="AQ49" s="89"/>
      <c r="AR49" s="1041"/>
      <c r="AS49" s="1041"/>
      <c r="AT49" s="928"/>
      <c r="AU49" s="2994"/>
      <c r="AV49" s="2994"/>
      <c r="AW49" s="2994"/>
      <c r="AX49" s="2994"/>
      <c r="AY49" s="293"/>
      <c r="AZ49" s="1041"/>
      <c r="BA49" s="1041"/>
      <c r="BB49" s="1041"/>
      <c r="BC49" s="39"/>
      <c r="BD49" s="36"/>
      <c r="BE49" s="36"/>
      <c r="BF49" s="36"/>
    </row>
    <row r="50" spans="1:72">
      <c r="A50" s="42" t="s">
        <v>899</v>
      </c>
      <c r="B50" s="1041"/>
      <c r="C50" s="1041"/>
      <c r="D50" s="1041"/>
      <c r="E50" s="2995">
        <f>SUM(F45:F46)</f>
        <v>1768</v>
      </c>
      <c r="F50" s="1041"/>
      <c r="G50" s="1041"/>
      <c r="H50" s="1041"/>
      <c r="I50" s="2995">
        <f>SUM(J45:J46)</f>
        <v>2116</v>
      </c>
      <c r="J50" s="1041"/>
      <c r="K50" s="1041"/>
      <c r="L50" s="1041"/>
      <c r="M50" s="1041"/>
      <c r="N50" s="2995">
        <f>SUM(N45:N46)</f>
        <v>2351</v>
      </c>
      <c r="O50" s="1041"/>
      <c r="P50" s="89"/>
      <c r="Q50" s="1041"/>
      <c r="R50" s="2995">
        <f>SUM(R45:R46)</f>
        <v>2167</v>
      </c>
      <c r="S50" s="1041"/>
      <c r="T50" s="89"/>
      <c r="U50" s="1041"/>
      <c r="V50" s="2995">
        <f>SUM(V45:V46)</f>
        <v>1686</v>
      </c>
      <c r="W50" s="1041"/>
      <c r="X50" s="89"/>
      <c r="Y50" s="1041"/>
      <c r="Z50" s="2995">
        <f>SUM(Z45:Z46)</f>
        <v>1982</v>
      </c>
      <c r="AA50" s="2966"/>
      <c r="AB50" s="2367"/>
      <c r="AC50" s="2966"/>
      <c r="AD50" s="2995">
        <f>SUM(AD45:AD46)</f>
        <v>1153</v>
      </c>
      <c r="AE50" s="2367"/>
      <c r="AF50" s="2966"/>
      <c r="AG50" s="2966"/>
      <c r="AH50" s="2995">
        <f>SUM(AH45:AH46)</f>
        <v>2394</v>
      </c>
      <c r="AI50" s="2966"/>
      <c r="AJ50" s="2966"/>
      <c r="AK50" s="2966"/>
      <c r="AL50" s="2995">
        <f>SUM(AL45:AL46)</f>
        <v>2533</v>
      </c>
      <c r="AM50" s="2966"/>
      <c r="AN50" s="2367"/>
      <c r="AO50" s="2367"/>
      <c r="AP50" s="2995">
        <f>SUM(AP45:AP46)</f>
        <v>1691</v>
      </c>
      <c r="AQ50" s="2367"/>
      <c r="AR50" s="2966"/>
      <c r="AS50" s="2966"/>
      <c r="AT50" s="2995">
        <f>SUM(AT45:AT46)</f>
        <v>1961</v>
      </c>
      <c r="AU50" s="2966"/>
      <c r="AV50" s="2966"/>
      <c r="AW50" s="2966"/>
      <c r="AX50" s="2995">
        <f>SUM(AX45:AX46)</f>
        <v>1269</v>
      </c>
      <c r="AY50" s="2931"/>
      <c r="AZ50" s="2367"/>
      <c r="BA50" s="2367"/>
      <c r="BB50" s="2995">
        <f>SUM(BB45:BB46)</f>
        <v>892</v>
      </c>
      <c r="BC50" s="39"/>
    </row>
    <row r="51" spans="1:72">
      <c r="A51" s="3769" t="s">
        <v>900</v>
      </c>
      <c r="B51" s="1303"/>
      <c r="C51" s="1303"/>
      <c r="D51" s="1303"/>
      <c r="E51" s="2996">
        <v>10072</v>
      </c>
      <c r="F51" s="1303"/>
      <c r="G51" s="1303"/>
      <c r="H51" s="1303"/>
      <c r="I51" s="2996">
        <v>10329</v>
      </c>
      <c r="J51" s="1303"/>
      <c r="K51" s="1303"/>
      <c r="L51" s="1303"/>
      <c r="M51" s="1303"/>
      <c r="N51" s="2996">
        <v>9865</v>
      </c>
      <c r="O51" s="1303"/>
      <c r="P51" s="89"/>
      <c r="Q51" s="1303"/>
      <c r="R51" s="2996">
        <v>9512</v>
      </c>
      <c r="S51" s="1303"/>
      <c r="T51" s="89"/>
      <c r="U51" s="1303"/>
      <c r="V51" s="2996">
        <v>8713</v>
      </c>
      <c r="W51" s="1303"/>
      <c r="X51" s="89"/>
      <c r="Y51" s="1303"/>
      <c r="Z51" s="2996">
        <v>9224</v>
      </c>
      <c r="AA51" s="2997"/>
      <c r="AB51" s="2367"/>
      <c r="AC51" s="2997"/>
      <c r="AD51" s="2996">
        <v>8700</v>
      </c>
      <c r="AE51" s="2367"/>
      <c r="AF51" s="2997"/>
      <c r="AG51" s="2997"/>
      <c r="AH51" s="2996">
        <v>7927</v>
      </c>
      <c r="AI51" s="2997"/>
      <c r="AJ51" s="2997"/>
      <c r="AK51" s="2966"/>
      <c r="AL51" s="2996">
        <v>7502</v>
      </c>
      <c r="AM51" s="2966"/>
      <c r="AN51" s="2367"/>
      <c r="AO51" s="2367"/>
      <c r="AP51" s="2996">
        <v>6904</v>
      </c>
      <c r="AQ51" s="2367"/>
      <c r="AR51" s="2966"/>
      <c r="AS51" s="2966"/>
      <c r="AT51" s="2996">
        <v>6362</v>
      </c>
      <c r="AU51" s="2966"/>
      <c r="AV51" s="2966"/>
      <c r="AW51" s="2966"/>
      <c r="AX51" s="2996">
        <v>6405</v>
      </c>
      <c r="AY51" s="2931"/>
      <c r="AZ51" s="2367"/>
      <c r="BA51" s="2367"/>
      <c r="BB51" s="2996">
        <v>5891</v>
      </c>
      <c r="BC51" s="39"/>
    </row>
    <row r="52" spans="1:72">
      <c r="A52" s="1041"/>
      <c r="B52" s="1041"/>
      <c r="C52" s="1041"/>
      <c r="D52" s="1041"/>
      <c r="E52" s="2998">
        <f>E50/E51</f>
        <v>0.17553613979348689</v>
      </c>
      <c r="F52" s="1041"/>
      <c r="G52" s="1041"/>
      <c r="H52" s="1041"/>
      <c r="I52" s="2998">
        <f>I50/I51</f>
        <v>0.2048601026236809</v>
      </c>
      <c r="J52" s="1041"/>
      <c r="K52" s="1041"/>
      <c r="L52" s="1041"/>
      <c r="M52" s="1041"/>
      <c r="N52" s="2998">
        <f>N50/N51</f>
        <v>0.23831728332488597</v>
      </c>
      <c r="O52" s="1041"/>
      <c r="P52" s="89"/>
      <c r="Q52" s="1041"/>
      <c r="R52" s="2998">
        <f>R50/R51</f>
        <v>0.2278174936921783</v>
      </c>
      <c r="S52" s="1041"/>
      <c r="T52" s="89"/>
      <c r="U52" s="1041"/>
      <c r="V52" s="2998">
        <f>V50/V51</f>
        <v>0.1935039596005968</v>
      </c>
      <c r="W52" s="1041"/>
      <c r="X52" s="89"/>
      <c r="Y52" s="1041"/>
      <c r="Z52" s="2998">
        <f>Z50/Z51</f>
        <v>0.21487424111014744</v>
      </c>
      <c r="AA52" s="2966"/>
      <c r="AB52" s="2367"/>
      <c r="AC52" s="2966"/>
      <c r="AD52" s="2998">
        <f>AD50/AD51</f>
        <v>0.1325287356321839</v>
      </c>
      <c r="AE52" s="2367"/>
      <c r="AF52" s="2966"/>
      <c r="AG52" s="2966"/>
      <c r="AH52" s="2998">
        <f>AH50/AH51</f>
        <v>0.30200580295193641</v>
      </c>
      <c r="AI52" s="2966"/>
      <c r="AJ52" s="2966"/>
      <c r="AK52" s="2966"/>
      <c r="AL52" s="2998">
        <f>AL50/AL51</f>
        <v>0.33764329512130098</v>
      </c>
      <c r="AM52" s="2966"/>
      <c r="AN52" s="2367"/>
      <c r="AO52" s="2367"/>
      <c r="AP52" s="2998">
        <f>AP50/AP51</f>
        <v>0.24493047508690613</v>
      </c>
      <c r="AQ52" s="2367"/>
      <c r="AR52" s="2966"/>
      <c r="AS52" s="2966"/>
      <c r="AT52" s="2998">
        <f>AT50/AT51</f>
        <v>0.308236403646652</v>
      </c>
      <c r="AU52" s="2966"/>
      <c r="AV52" s="2966" t="s">
        <v>315</v>
      </c>
      <c r="AW52" s="2966"/>
      <c r="AX52" s="2998">
        <f>AX50/AX51</f>
        <v>0.19812646370023418</v>
      </c>
      <c r="AY52" s="2966"/>
      <c r="AZ52" s="2367"/>
      <c r="BA52" s="2367"/>
      <c r="BB52" s="2998">
        <f>BB50/BB51</f>
        <v>0.1514174163978951</v>
      </c>
      <c r="BC52" s="216"/>
    </row>
    <row r="53" spans="1:72">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2367"/>
      <c r="AF53" s="39"/>
      <c r="AG53" s="39"/>
      <c r="AH53" s="39"/>
      <c r="AI53" s="39"/>
      <c r="AJ53" s="39"/>
      <c r="AK53" s="39"/>
      <c r="AL53" s="39"/>
      <c r="AM53" s="39"/>
      <c r="AN53" s="39"/>
      <c r="AO53" s="39"/>
      <c r="AP53" s="39"/>
      <c r="AQ53" s="39"/>
      <c r="AR53" s="39"/>
      <c r="AS53" s="39"/>
      <c r="AT53" s="39"/>
      <c r="AU53" s="39"/>
      <c r="AV53" s="39"/>
      <c r="AW53" s="39"/>
      <c r="AX53" s="39"/>
      <c r="AY53" s="39"/>
      <c r="AZ53" s="39"/>
      <c r="BA53" s="39"/>
    </row>
    <row r="54" spans="1:72">
      <c r="AE54" s="2367"/>
    </row>
    <row r="55" spans="1:72" s="122" customFormat="1" ht="36.75" customHeight="1">
      <c r="A55" s="7300" t="s">
        <v>901</v>
      </c>
      <c r="B55" s="7301"/>
      <c r="C55" s="7301"/>
      <c r="D55" s="7301"/>
      <c r="E55" s="7301"/>
      <c r="F55" s="7301"/>
      <c r="G55" s="7301"/>
      <c r="H55" s="7301"/>
      <c r="I55" s="7301"/>
      <c r="J55" s="7301"/>
      <c r="K55" s="7301"/>
      <c r="L55" s="7301"/>
      <c r="M55" s="7301"/>
      <c r="N55" s="7301"/>
      <c r="O55" s="7301"/>
      <c r="P55" s="7301"/>
      <c r="Q55" s="7301"/>
      <c r="R55" s="7301"/>
      <c r="S55" s="7301"/>
      <c r="T55" s="7301"/>
      <c r="U55" s="3328"/>
      <c r="V55" s="3328"/>
      <c r="W55" s="3328"/>
      <c r="X55" s="3328"/>
      <c r="Y55" s="3328"/>
      <c r="Z55" s="3328"/>
      <c r="AA55" s="3328"/>
      <c r="AB55" s="3328"/>
      <c r="AC55" s="3328"/>
      <c r="AD55" s="3328"/>
      <c r="AE55" s="2367"/>
      <c r="AF55" s="3328"/>
      <c r="AG55" s="3328"/>
      <c r="AH55" s="3328"/>
      <c r="AI55" s="3328"/>
      <c r="AJ55" s="3328"/>
      <c r="AK55" s="3328"/>
      <c r="AL55" s="3328"/>
      <c r="AM55" s="3328"/>
      <c r="AN55" s="3328"/>
      <c r="AO55" s="3328"/>
      <c r="AP55" s="3328"/>
      <c r="AQ55" s="3328"/>
      <c r="AR55" s="3328"/>
      <c r="AS55" s="3328"/>
      <c r="AT55" s="3328"/>
      <c r="AU55" s="3328"/>
      <c r="AV55" s="3328"/>
      <c r="AW55" s="3328"/>
      <c r="AX55" s="3328"/>
      <c r="AY55" s="156"/>
      <c r="AZ55" s="156"/>
      <c r="BA55" s="156"/>
      <c r="BB55" s="3326"/>
      <c r="BC55" s="3326"/>
      <c r="BD55" s="3327"/>
      <c r="BE55" s="3327"/>
      <c r="BF55" s="3327"/>
      <c r="BG55" s="3327"/>
      <c r="BH55" s="3327"/>
      <c r="BI55" s="3327"/>
      <c r="BJ55" s="3327"/>
      <c r="BK55" s="3327"/>
      <c r="BL55" s="3327"/>
      <c r="BM55" s="3327"/>
      <c r="BN55" s="3327"/>
      <c r="BO55" s="3327"/>
      <c r="BP55" s="3327"/>
      <c r="BQ55" s="3327"/>
      <c r="BR55" s="3327"/>
      <c r="BS55" s="3327"/>
      <c r="BT55" s="3327"/>
    </row>
    <row r="56" spans="1:72">
      <c r="A56" s="3329"/>
      <c r="B56" s="3329"/>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72" ht="31.5" customHeight="1">
      <c r="A57" s="7300" t="s">
        <v>902</v>
      </c>
      <c r="B57" s="7301"/>
      <c r="C57" s="7301"/>
      <c r="D57" s="7301"/>
      <c r="E57" s="7301"/>
      <c r="F57" s="7301"/>
      <c r="G57" s="7301"/>
      <c r="H57" s="7301"/>
      <c r="I57" s="7301"/>
      <c r="J57" s="7301"/>
      <c r="K57" s="7301"/>
      <c r="L57" s="7301"/>
      <c r="M57" s="7301"/>
      <c r="N57" s="7301"/>
      <c r="O57" s="7301"/>
      <c r="P57" s="7301"/>
      <c r="Q57" s="7301"/>
      <c r="R57" s="7301"/>
      <c r="S57" s="7301"/>
      <c r="T57" s="7301"/>
      <c r="U57" s="3328"/>
      <c r="V57" s="3328"/>
      <c r="W57" s="3328"/>
      <c r="X57" s="3328"/>
      <c r="Y57" s="3328"/>
      <c r="Z57" s="3328"/>
      <c r="AA57" s="3328"/>
      <c r="AB57" s="3328"/>
      <c r="AC57" s="3328"/>
      <c r="AD57" s="3328"/>
      <c r="AE57" s="3328"/>
      <c r="AF57" s="3328"/>
      <c r="AG57" s="3328"/>
      <c r="AH57" s="3328"/>
      <c r="AI57" s="3328"/>
      <c r="AJ57" s="3328"/>
      <c r="AK57" s="3328"/>
      <c r="AL57" s="3328"/>
      <c r="AM57" s="3328"/>
      <c r="AN57" s="3328"/>
      <c r="AO57" s="3328"/>
      <c r="AP57" s="3328"/>
      <c r="AQ57" s="3328"/>
      <c r="AR57" s="3328"/>
      <c r="AS57" s="3328"/>
      <c r="AT57" s="3328"/>
      <c r="AU57" s="3328"/>
      <c r="AV57" s="3328"/>
      <c r="AW57" s="3328"/>
      <c r="AX57" s="3328"/>
      <c r="AY57" s="156"/>
      <c r="AZ57" s="156"/>
      <c r="BA57" s="156"/>
      <c r="BB57" s="63"/>
      <c r="BC57" s="63"/>
      <c r="BD57" s="37"/>
      <c r="BE57" s="37"/>
      <c r="BF57" s="37"/>
      <c r="BG57" s="37"/>
      <c r="BH57" s="37"/>
      <c r="BI57" s="37"/>
      <c r="BJ57" s="37"/>
      <c r="BK57" s="37"/>
      <c r="BL57" s="37"/>
      <c r="BM57" s="37"/>
      <c r="BN57" s="37"/>
      <c r="BO57" s="37"/>
      <c r="BP57" s="37"/>
      <c r="BQ57" s="37"/>
      <c r="BR57" s="37"/>
      <c r="BS57" s="37"/>
      <c r="BT57" s="37"/>
    </row>
  </sheetData>
  <mergeCells count="26">
    <mergeCell ref="AV3:AX3"/>
    <mergeCell ref="AF3:AH3"/>
    <mergeCell ref="AZ3:BB3"/>
    <mergeCell ref="P3:R3"/>
    <mergeCell ref="L3:N3"/>
    <mergeCell ref="AR3:AT3"/>
    <mergeCell ref="A5:A7"/>
    <mergeCell ref="A8:B8"/>
    <mergeCell ref="AB3:AD3"/>
    <mergeCell ref="AJ3:AL3"/>
    <mergeCell ref="AN3:AP3"/>
    <mergeCell ref="X3:Z3"/>
    <mergeCell ref="T3:V3"/>
    <mergeCell ref="A27:A29"/>
    <mergeCell ref="A30:B30"/>
    <mergeCell ref="A20:A22"/>
    <mergeCell ref="A23:B23"/>
    <mergeCell ref="A12:A15"/>
    <mergeCell ref="A16:B16"/>
    <mergeCell ref="A57:T57"/>
    <mergeCell ref="A44:A46"/>
    <mergeCell ref="A47:B47"/>
    <mergeCell ref="A55:T55"/>
    <mergeCell ref="A34:A36"/>
    <mergeCell ref="A37:A39"/>
    <mergeCell ref="A40:B40"/>
  </mergeCells>
  <printOptions horizontalCentered="1" verticalCentered="1"/>
  <pageMargins left="0.70866141732283472" right="0.70866141732283472" top="0.74803149606299213" bottom="0.74803149606299213" header="0.31496062992125984" footer="0.31496062992125984"/>
  <pageSetup scale="55" firstPageNumber="29" orientation="landscape" useFirstPageNumber="1" r:id="rId1"/>
  <headerFooter scaleWithDoc="0" alignWithMargins="0">
    <oddFooter>&amp;R&amp;P</oddFooter>
  </headerFooter>
  <ignoredErrors>
    <ignoredError sqref="AZ46:BB46"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51"/>
  <sheetViews>
    <sheetView showGridLines="0" topLeftCell="A118" workbookViewId="0">
      <selection activeCell="A47" sqref="A47:A72"/>
    </sheetView>
  </sheetViews>
  <sheetFormatPr baseColWidth="10" defaultColWidth="11.44140625" defaultRowHeight="13.2"/>
  <cols>
    <col min="1" max="1" width="20.44140625" style="49" bestFit="1" customWidth="1"/>
    <col min="2" max="2" width="8.33203125" style="49" customWidth="1"/>
    <col min="3" max="3" width="4.33203125" style="49" bestFit="1" customWidth="1"/>
    <col min="4" max="4" width="39.33203125" style="49" customWidth="1"/>
    <col min="5" max="5" width="4.33203125" style="49" bestFit="1" customWidth="1"/>
    <col min="6" max="6" width="9.6640625" style="49" customWidth="1"/>
    <col min="7" max="7" width="4.33203125" style="49" customWidth="1"/>
    <col min="8" max="8" width="28.6640625" style="49" customWidth="1"/>
    <col min="9" max="9" width="3" style="49" customWidth="1"/>
    <col min="10" max="10" width="30.6640625" style="49" customWidth="1"/>
    <col min="11" max="11" width="4.33203125" style="49" bestFit="1" customWidth="1"/>
    <col min="12" max="16384" width="11.44140625" style="49"/>
  </cols>
  <sheetData>
    <row r="2" spans="1:14" ht="25.5" customHeight="1">
      <c r="A2" s="1032" t="s">
        <v>187</v>
      </c>
      <c r="C2" s="6941" t="s">
        <v>1107</v>
      </c>
      <c r="D2" s="378" t="s">
        <v>1106</v>
      </c>
      <c r="E2" s="6941" t="s">
        <v>1108</v>
      </c>
      <c r="F2" s="6942" t="s">
        <v>1104</v>
      </c>
    </row>
    <row r="3" spans="1:14" ht="25.5" customHeight="1">
      <c r="C3" s="6941"/>
      <c r="D3" s="80" t="s">
        <v>1105</v>
      </c>
      <c r="E3" s="6941"/>
      <c r="F3" s="6942"/>
    </row>
    <row r="4" spans="1:14">
      <c r="F4" s="956"/>
    </row>
    <row r="5" spans="1:14" ht="39.6">
      <c r="C5" s="6941" t="s">
        <v>1107</v>
      </c>
      <c r="D5" s="378" t="s">
        <v>1116</v>
      </c>
      <c r="E5" s="6941" t="s">
        <v>1108</v>
      </c>
      <c r="F5" s="6942" t="s">
        <v>1104</v>
      </c>
    </row>
    <row r="6" spans="1:14" ht="26.4">
      <c r="C6" s="6941"/>
      <c r="D6" s="80" t="s">
        <v>1115</v>
      </c>
      <c r="E6" s="6941"/>
      <c r="F6" s="6942"/>
    </row>
    <row r="7" spans="1:14">
      <c r="F7" s="956"/>
    </row>
    <row r="8" spans="1:14" ht="26.4">
      <c r="C8" s="6941" t="s">
        <v>1107</v>
      </c>
      <c r="D8" s="378" t="s">
        <v>1117</v>
      </c>
      <c r="E8" s="6941" t="s">
        <v>1108</v>
      </c>
      <c r="F8" s="6942" t="s">
        <v>1104</v>
      </c>
    </row>
    <row r="9" spans="1:14">
      <c r="C9" s="6941"/>
      <c r="D9" s="49" t="s">
        <v>1118</v>
      </c>
      <c r="E9" s="6941"/>
      <c r="F9" s="6942"/>
    </row>
    <row r="10" spans="1:14">
      <c r="F10" s="956"/>
    </row>
    <row r="11" spans="1:14" ht="39.6">
      <c r="C11" s="6941" t="s">
        <v>1107</v>
      </c>
      <c r="D11" s="378" t="s">
        <v>1119</v>
      </c>
      <c r="E11" s="6941" t="s">
        <v>1108</v>
      </c>
      <c r="F11" s="6942" t="s">
        <v>1104</v>
      </c>
    </row>
    <row r="12" spans="1:14" ht="26.4">
      <c r="C12" s="6941"/>
      <c r="D12" s="80" t="s">
        <v>1120</v>
      </c>
      <c r="E12" s="6941"/>
      <c r="F12" s="6942"/>
    </row>
    <row r="13" spans="1:14">
      <c r="F13" s="956"/>
    </row>
    <row r="14" spans="1:14" ht="42" customHeight="1">
      <c r="F14" s="956"/>
      <c r="G14" s="1029" t="s">
        <v>1107</v>
      </c>
      <c r="H14" s="954" t="s">
        <v>1207</v>
      </c>
      <c r="I14" s="937"/>
      <c r="J14" s="955" t="s">
        <v>1208</v>
      </c>
      <c r="K14" s="1029" t="s">
        <v>1108</v>
      </c>
      <c r="M14" s="936"/>
      <c r="N14" s="385"/>
    </row>
    <row r="15" spans="1:14" ht="12.75" customHeight="1">
      <c r="F15" s="956"/>
      <c r="G15" s="1029"/>
      <c r="K15" s="1029"/>
    </row>
    <row r="16" spans="1:14" ht="39.6">
      <c r="C16" s="6941" t="s">
        <v>1107</v>
      </c>
      <c r="D16" s="378" t="s">
        <v>1211</v>
      </c>
      <c r="E16" s="6941" t="s">
        <v>1108</v>
      </c>
      <c r="F16" s="6942" t="s">
        <v>1104</v>
      </c>
    </row>
    <row r="17" spans="3:11">
      <c r="C17" s="6941"/>
      <c r="D17" s="80" t="s">
        <v>1210</v>
      </c>
      <c r="E17" s="6941"/>
      <c r="F17" s="6942"/>
    </row>
    <row r="18" spans="3:11">
      <c r="F18" s="956"/>
    </row>
    <row r="19" spans="3:11" ht="39.6">
      <c r="C19" s="6941" t="s">
        <v>1107</v>
      </c>
      <c r="D19" s="378" t="s">
        <v>1212</v>
      </c>
      <c r="E19" s="6941" t="s">
        <v>1108</v>
      </c>
      <c r="F19" s="6942" t="s">
        <v>1104</v>
      </c>
    </row>
    <row r="20" spans="3:11">
      <c r="C20" s="6941"/>
      <c r="D20" s="80" t="s">
        <v>1210</v>
      </c>
      <c r="E20" s="6941"/>
      <c r="F20" s="6942"/>
    </row>
    <row r="21" spans="3:11">
      <c r="F21" s="956"/>
    </row>
    <row r="22" spans="3:11" ht="39.6">
      <c r="C22" s="6941" t="s">
        <v>1107</v>
      </c>
      <c r="D22" s="378" t="s">
        <v>1213</v>
      </c>
      <c r="E22" s="6941" t="s">
        <v>1108</v>
      </c>
      <c r="F22" s="6942" t="s">
        <v>1104</v>
      </c>
    </row>
    <row r="23" spans="3:11">
      <c r="C23" s="6941"/>
      <c r="D23" s="80" t="s">
        <v>1210</v>
      </c>
      <c r="E23" s="6941"/>
      <c r="F23" s="6942"/>
    </row>
    <row r="26" spans="3:11" ht="52.8">
      <c r="G26" s="1029" t="s">
        <v>1107</v>
      </c>
      <c r="H26" s="954" t="s">
        <v>1214</v>
      </c>
      <c r="I26" s="937"/>
      <c r="J26" s="955" t="s">
        <v>1215</v>
      </c>
      <c r="K26" s="1029" t="s">
        <v>1108</v>
      </c>
    </row>
    <row r="27" spans="3:11">
      <c r="H27" s="954"/>
      <c r="J27" s="956"/>
    </row>
    <row r="28" spans="3:11" ht="52.8">
      <c r="G28" s="1029" t="s">
        <v>1107</v>
      </c>
      <c r="H28" s="954" t="s">
        <v>1216</v>
      </c>
      <c r="I28" s="937"/>
      <c r="J28" s="955" t="s">
        <v>1217</v>
      </c>
      <c r="K28" s="1029" t="s">
        <v>1108</v>
      </c>
    </row>
    <row r="29" spans="3:11">
      <c r="H29" s="954"/>
      <c r="J29" s="956"/>
    </row>
    <row r="30" spans="3:11" ht="52.8">
      <c r="G30" s="1029" t="s">
        <v>1107</v>
      </c>
      <c r="H30" s="954" t="s">
        <v>1218</v>
      </c>
      <c r="I30" s="937"/>
      <c r="J30" s="955" t="s">
        <v>1219</v>
      </c>
      <c r="K30" s="1029" t="s">
        <v>1108</v>
      </c>
    </row>
    <row r="33" spans="3:6" ht="39.6">
      <c r="C33" s="6941" t="s">
        <v>1107</v>
      </c>
      <c r="D33" s="378" t="s">
        <v>1221</v>
      </c>
      <c r="E33" s="6941" t="s">
        <v>1108</v>
      </c>
      <c r="F33" s="6942" t="s">
        <v>1104</v>
      </c>
    </row>
    <row r="34" spans="3:6">
      <c r="C34" s="6941"/>
      <c r="D34" s="80" t="s">
        <v>1220</v>
      </c>
      <c r="E34" s="6941"/>
      <c r="F34" s="6942"/>
    </row>
    <row r="35" spans="3:6">
      <c r="F35" s="380"/>
    </row>
    <row r="36" spans="3:6" ht="39.6">
      <c r="C36" s="6941" t="s">
        <v>1107</v>
      </c>
      <c r="D36" s="378" t="s">
        <v>1446</v>
      </c>
      <c r="E36" s="6941" t="s">
        <v>1108</v>
      </c>
      <c r="F36" s="6942" t="s">
        <v>1104</v>
      </c>
    </row>
    <row r="37" spans="3:6">
      <c r="C37" s="6941"/>
      <c r="D37" s="80" t="s">
        <v>1445</v>
      </c>
      <c r="E37" s="6941"/>
      <c r="F37" s="6942"/>
    </row>
    <row r="38" spans="3:6">
      <c r="F38" s="380"/>
    </row>
    <row r="39" spans="3:6">
      <c r="F39" s="380"/>
    </row>
    <row r="40" spans="3:6" ht="26.4">
      <c r="C40" s="6941" t="s">
        <v>1107</v>
      </c>
      <c r="D40" s="378" t="s">
        <v>1222</v>
      </c>
      <c r="E40" s="6941" t="s">
        <v>1108</v>
      </c>
      <c r="F40" s="6942" t="s">
        <v>1104</v>
      </c>
    </row>
    <row r="41" spans="3:6">
      <c r="C41" s="6941"/>
      <c r="D41" s="385" t="s">
        <v>1223</v>
      </c>
      <c r="E41" s="6941"/>
      <c r="F41" s="6942"/>
    </row>
    <row r="42" spans="3:6">
      <c r="F42" s="380"/>
    </row>
    <row r="43" spans="3:6" ht="26.4">
      <c r="C43" s="6941" t="s">
        <v>1107</v>
      </c>
      <c r="D43" s="378" t="s">
        <v>1447</v>
      </c>
      <c r="E43" s="6941" t="s">
        <v>1108</v>
      </c>
      <c r="F43" s="6942" t="s">
        <v>1104</v>
      </c>
    </row>
    <row r="44" spans="3:6">
      <c r="C44" s="6941"/>
      <c r="D44" s="385" t="s">
        <v>1448</v>
      </c>
      <c r="E44" s="6941"/>
      <c r="F44" s="6942"/>
    </row>
    <row r="45" spans="3:6">
      <c r="F45" s="380"/>
    </row>
    <row r="46" spans="3:6">
      <c r="F46" s="380"/>
    </row>
    <row r="47" spans="3:6" ht="39.6">
      <c r="C47" s="6941" t="s">
        <v>1107</v>
      </c>
      <c r="D47" s="378" t="s">
        <v>1225</v>
      </c>
      <c r="E47" s="6941" t="s">
        <v>1108</v>
      </c>
      <c r="F47" s="6942" t="s">
        <v>1104</v>
      </c>
    </row>
    <row r="48" spans="3:6">
      <c r="C48" s="6941"/>
      <c r="D48" s="80" t="s">
        <v>1224</v>
      </c>
      <c r="E48" s="6941"/>
      <c r="F48" s="6942"/>
    </row>
    <row r="49" spans="3:6">
      <c r="F49" s="380"/>
    </row>
    <row r="50" spans="3:6" ht="39.6">
      <c r="C50" s="6941" t="s">
        <v>1107</v>
      </c>
      <c r="D50" s="378" t="s">
        <v>1226</v>
      </c>
      <c r="E50" s="6941" t="s">
        <v>1108</v>
      </c>
      <c r="F50" s="6942" t="s">
        <v>1104</v>
      </c>
    </row>
    <row r="51" spans="3:6">
      <c r="C51" s="6941"/>
      <c r="D51" s="80" t="s">
        <v>1223</v>
      </c>
      <c r="E51" s="6941"/>
      <c r="F51" s="6942"/>
    </row>
    <row r="52" spans="3:6">
      <c r="F52" s="380"/>
    </row>
    <row r="53" spans="3:6">
      <c r="F53" s="380"/>
    </row>
    <row r="54" spans="3:6" ht="12.75" customHeight="1">
      <c r="C54" s="6943" t="s">
        <v>1107</v>
      </c>
      <c r="D54" s="942" t="s">
        <v>1227</v>
      </c>
      <c r="E54" s="6943" t="s">
        <v>1108</v>
      </c>
      <c r="F54" s="6942" t="s">
        <v>1104</v>
      </c>
    </row>
    <row r="55" spans="3:6" ht="12.75" customHeight="1">
      <c r="C55" s="6943"/>
      <c r="D55" s="385" t="s">
        <v>1228</v>
      </c>
      <c r="E55" s="6943"/>
      <c r="F55" s="6942"/>
    </row>
    <row r="56" spans="3:6">
      <c r="F56" s="380"/>
    </row>
    <row r="57" spans="3:6" ht="26.4">
      <c r="C57" s="6941" t="s">
        <v>1107</v>
      </c>
      <c r="D57" s="378" t="s">
        <v>1229</v>
      </c>
      <c r="E57" s="6941" t="s">
        <v>1108</v>
      </c>
      <c r="F57" s="6942" t="s">
        <v>1104</v>
      </c>
    </row>
    <row r="58" spans="3:6">
      <c r="C58" s="6941"/>
      <c r="D58" s="80" t="s">
        <v>1230</v>
      </c>
      <c r="E58" s="6941"/>
      <c r="F58" s="6942"/>
    </row>
    <row r="59" spans="3:6">
      <c r="F59" s="380"/>
    </row>
    <row r="60" spans="3:6" ht="39.6">
      <c r="C60" s="6941" t="s">
        <v>1107</v>
      </c>
      <c r="D60" s="378" t="s">
        <v>1231</v>
      </c>
      <c r="E60" s="6941" t="s">
        <v>1108</v>
      </c>
      <c r="F60" s="6942" t="s">
        <v>1104</v>
      </c>
    </row>
    <row r="61" spans="3:6" ht="26.4">
      <c r="C61" s="6941"/>
      <c r="D61" s="80" t="s">
        <v>1232</v>
      </c>
      <c r="E61" s="6941"/>
      <c r="F61" s="6942"/>
    </row>
    <row r="62" spans="3:6">
      <c r="F62" s="380"/>
    </row>
    <row r="63" spans="3:6" ht="39.6">
      <c r="C63" s="6941" t="s">
        <v>1107</v>
      </c>
      <c r="D63" s="378" t="s">
        <v>1233</v>
      </c>
      <c r="E63" s="6941" t="s">
        <v>1108</v>
      </c>
      <c r="F63" s="6942" t="s">
        <v>1104</v>
      </c>
    </row>
    <row r="64" spans="3:6" ht="26.4">
      <c r="C64" s="6941"/>
      <c r="D64" s="80" t="s">
        <v>1234</v>
      </c>
      <c r="E64" s="6941"/>
      <c r="F64" s="6942"/>
    </row>
    <row r="65" spans="1:6">
      <c r="F65" s="380"/>
    </row>
    <row r="66" spans="1:6" ht="26.4">
      <c r="C66" s="6941" t="s">
        <v>1107</v>
      </c>
      <c r="D66" s="378" t="s">
        <v>1235</v>
      </c>
      <c r="E66" s="6941" t="s">
        <v>1108</v>
      </c>
      <c r="F66" s="6942" t="s">
        <v>1104</v>
      </c>
    </row>
    <row r="67" spans="1:6" ht="26.4">
      <c r="C67" s="6941"/>
      <c r="D67" s="80" t="s">
        <v>1234</v>
      </c>
      <c r="E67" s="6941"/>
      <c r="F67" s="6942"/>
    </row>
    <row r="68" spans="1:6">
      <c r="F68" s="380"/>
    </row>
    <row r="69" spans="1:6" ht="26.4">
      <c r="A69" s="1032" t="s">
        <v>84</v>
      </c>
      <c r="C69" s="6941" t="s">
        <v>1107</v>
      </c>
      <c r="D69" s="378" t="s">
        <v>1240</v>
      </c>
      <c r="E69" s="6941" t="s">
        <v>1108</v>
      </c>
      <c r="F69" s="6942" t="s">
        <v>1104</v>
      </c>
    </row>
    <row r="70" spans="1:6">
      <c r="C70" s="6941"/>
      <c r="D70" s="385" t="s">
        <v>1241</v>
      </c>
      <c r="E70" s="6941"/>
      <c r="F70" s="6942"/>
    </row>
    <row r="71" spans="1:6">
      <c r="F71" s="380"/>
    </row>
    <row r="72" spans="1:6">
      <c r="F72" s="380"/>
    </row>
    <row r="73" spans="1:6" ht="26.4">
      <c r="C73" s="6941" t="s">
        <v>1107</v>
      </c>
      <c r="D73" s="378" t="s">
        <v>1240</v>
      </c>
      <c r="E73" s="6941" t="s">
        <v>1108</v>
      </c>
      <c r="F73" s="6942" t="s">
        <v>1104</v>
      </c>
    </row>
    <row r="74" spans="1:6" ht="26.4">
      <c r="C74" s="6941"/>
      <c r="D74" s="80" t="s">
        <v>1242</v>
      </c>
      <c r="E74" s="6941"/>
      <c r="F74" s="6942"/>
    </row>
    <row r="75" spans="1:6">
      <c r="F75" s="380"/>
    </row>
    <row r="76" spans="1:6" ht="26.4">
      <c r="C76" s="6941" t="s">
        <v>1107</v>
      </c>
      <c r="D76" s="378" t="s">
        <v>1244</v>
      </c>
      <c r="E76" s="6941" t="s">
        <v>1108</v>
      </c>
      <c r="F76" s="6942" t="s">
        <v>1104</v>
      </c>
    </row>
    <row r="77" spans="1:6" ht="26.4">
      <c r="C77" s="6941"/>
      <c r="D77" s="80" t="s">
        <v>1245</v>
      </c>
      <c r="E77" s="6941"/>
      <c r="F77" s="6942"/>
    </row>
    <row r="78" spans="1:6">
      <c r="F78" s="380"/>
    </row>
    <row r="79" spans="1:6">
      <c r="F79" s="380"/>
    </row>
    <row r="80" spans="1:6">
      <c r="C80" s="6943" t="s">
        <v>1107</v>
      </c>
      <c r="D80" s="942" t="s">
        <v>1246</v>
      </c>
      <c r="E80" s="6943" t="s">
        <v>1108</v>
      </c>
      <c r="F80" s="6942" t="s">
        <v>1104</v>
      </c>
    </row>
    <row r="81" spans="3:6">
      <c r="C81" s="6943"/>
      <c r="D81" s="385" t="s">
        <v>1247</v>
      </c>
      <c r="E81" s="6943"/>
      <c r="F81" s="6942"/>
    </row>
    <row r="82" spans="3:6">
      <c r="F82" s="380"/>
    </row>
    <row r="83" spans="3:6" ht="26.4">
      <c r="C83" s="6945" t="s">
        <v>1107</v>
      </c>
      <c r="D83" s="378" t="s">
        <v>1248</v>
      </c>
      <c r="E83" s="6945" t="s">
        <v>1108</v>
      </c>
      <c r="F83" s="6942" t="s">
        <v>1104</v>
      </c>
    </row>
    <row r="84" spans="3:6" ht="39.6">
      <c r="C84" s="6945"/>
      <c r="D84" s="80" t="s">
        <v>1249</v>
      </c>
      <c r="E84" s="6945"/>
      <c r="F84" s="6942"/>
    </row>
    <row r="85" spans="3:6">
      <c r="F85" s="380"/>
    </row>
    <row r="86" spans="3:6" ht="26.4">
      <c r="C86" s="6941" t="s">
        <v>1107</v>
      </c>
      <c r="D86" s="378" t="s">
        <v>1257</v>
      </c>
      <c r="E86" s="6941" t="s">
        <v>1108</v>
      </c>
      <c r="F86" s="6942" t="s">
        <v>1104</v>
      </c>
    </row>
    <row r="87" spans="3:6" ht="26.4">
      <c r="C87" s="6941"/>
      <c r="D87" s="80" t="s">
        <v>1234</v>
      </c>
      <c r="E87" s="6941"/>
      <c r="F87" s="6942"/>
    </row>
    <row r="88" spans="3:6">
      <c r="F88" s="380"/>
    </row>
    <row r="89" spans="3:6">
      <c r="F89" s="380"/>
    </row>
    <row r="90" spans="3:6" ht="26.4">
      <c r="C90" s="6941" t="s">
        <v>1107</v>
      </c>
      <c r="D90" s="378" t="s">
        <v>1258</v>
      </c>
      <c r="E90" s="6941" t="s">
        <v>1108</v>
      </c>
      <c r="F90" s="6942" t="s">
        <v>1104</v>
      </c>
    </row>
    <row r="91" spans="3:6" ht="26.4">
      <c r="C91" s="6941"/>
      <c r="D91" s="80" t="s">
        <v>1234</v>
      </c>
      <c r="E91" s="6941"/>
      <c r="F91" s="6942"/>
    </row>
    <row r="92" spans="3:6">
      <c r="F92" s="380"/>
    </row>
    <row r="93" spans="3:6">
      <c r="F93" s="380"/>
    </row>
    <row r="94" spans="3:6" ht="26.4">
      <c r="C94" s="6941" t="s">
        <v>1107</v>
      </c>
      <c r="D94" s="378" t="s">
        <v>1258</v>
      </c>
      <c r="E94" s="6941" t="s">
        <v>1108</v>
      </c>
      <c r="F94" s="6942" t="s">
        <v>1104</v>
      </c>
    </row>
    <row r="95" spans="3:6" ht="26.4">
      <c r="C95" s="6941"/>
      <c r="D95" s="80" t="s">
        <v>1257</v>
      </c>
      <c r="E95" s="6941"/>
      <c r="F95" s="6942"/>
    </row>
    <row r="96" spans="3:6">
      <c r="F96" s="380"/>
    </row>
    <row r="97" spans="1:6">
      <c r="F97" s="380"/>
    </row>
    <row r="98" spans="1:6" ht="19.5" customHeight="1">
      <c r="C98" s="6941" t="s">
        <v>1107</v>
      </c>
      <c r="D98" s="378" t="s">
        <v>1262</v>
      </c>
      <c r="E98" s="6941" t="s">
        <v>1108</v>
      </c>
      <c r="F98" s="6942" t="s">
        <v>1272</v>
      </c>
    </row>
    <row r="99" spans="1:6" ht="15.75" customHeight="1">
      <c r="C99" s="6941"/>
      <c r="D99" s="80" t="s">
        <v>1268</v>
      </c>
      <c r="E99" s="6941"/>
      <c r="F99" s="6942"/>
    </row>
    <row r="100" spans="1:6" ht="13.5" customHeight="1">
      <c r="F100" s="380"/>
    </row>
    <row r="101" spans="1:6">
      <c r="C101" s="6941" t="s">
        <v>1107</v>
      </c>
      <c r="D101" s="378" t="s">
        <v>1314</v>
      </c>
      <c r="E101" s="6941" t="s">
        <v>1108</v>
      </c>
      <c r="F101" s="6942" t="s">
        <v>1104</v>
      </c>
    </row>
    <row r="102" spans="1:6">
      <c r="C102" s="6941"/>
      <c r="D102" s="80" t="s">
        <v>1315</v>
      </c>
      <c r="E102" s="6941"/>
      <c r="F102" s="6942"/>
    </row>
    <row r="103" spans="1:6" ht="13.5" customHeight="1">
      <c r="F103" s="380"/>
    </row>
    <row r="104" spans="1:6" ht="13.5" customHeight="1">
      <c r="F104" s="380"/>
    </row>
    <row r="105" spans="1:6" ht="13.5" customHeight="1">
      <c r="F105" s="380"/>
    </row>
    <row r="106" spans="1:6">
      <c r="F106" s="380"/>
    </row>
    <row r="107" spans="1:6" ht="12.75" customHeight="1">
      <c r="A107" s="1032" t="s">
        <v>1270</v>
      </c>
      <c r="C107" s="6943" t="s">
        <v>1107</v>
      </c>
      <c r="D107" s="942" t="s">
        <v>1263</v>
      </c>
      <c r="E107" s="6943" t="s">
        <v>1108</v>
      </c>
      <c r="F107" s="6942" t="s">
        <v>1104</v>
      </c>
    </row>
    <row r="108" spans="1:6" ht="12.75" customHeight="1">
      <c r="C108" s="6943"/>
      <c r="D108" s="385" t="s">
        <v>1264</v>
      </c>
      <c r="E108" s="6943"/>
      <c r="F108" s="6942"/>
    </row>
    <row r="110" spans="1:6" ht="31.2">
      <c r="C110" s="6941" t="s">
        <v>1107</v>
      </c>
      <c r="D110" s="957" t="s">
        <v>1267</v>
      </c>
      <c r="E110" s="6941" t="s">
        <v>1108</v>
      </c>
      <c r="F110" s="6907"/>
    </row>
    <row r="111" spans="1:6">
      <c r="C111" s="6941"/>
      <c r="D111" s="385" t="s">
        <v>1266</v>
      </c>
      <c r="E111" s="6941"/>
      <c r="F111" s="6907"/>
    </row>
    <row r="114" spans="1:6" ht="12.75" customHeight="1">
      <c r="C114" s="6943" t="s">
        <v>1107</v>
      </c>
      <c r="D114" s="378" t="s">
        <v>1269</v>
      </c>
      <c r="E114" s="6943" t="s">
        <v>1108</v>
      </c>
      <c r="F114" s="6944" t="s">
        <v>1272</v>
      </c>
    </row>
    <row r="115" spans="1:6" ht="12.75" customHeight="1">
      <c r="C115" s="6943"/>
      <c r="D115" s="80" t="s">
        <v>1316</v>
      </c>
      <c r="E115" s="6943"/>
      <c r="F115" s="6944"/>
    </row>
    <row r="118" spans="1:6">
      <c r="A118" s="1032" t="s">
        <v>1271</v>
      </c>
      <c r="C118" s="6943" t="s">
        <v>1107</v>
      </c>
      <c r="D118" s="942" t="s">
        <v>1273</v>
      </c>
      <c r="E118" s="6943" t="s">
        <v>1108</v>
      </c>
      <c r="F118" s="6944" t="s">
        <v>1272</v>
      </c>
    </row>
    <row r="119" spans="1:6">
      <c r="C119" s="6943"/>
      <c r="D119" s="385" t="s">
        <v>1274</v>
      </c>
      <c r="E119" s="6943"/>
      <c r="F119" s="6944"/>
    </row>
    <row r="121" spans="1:6">
      <c r="C121" s="6943" t="s">
        <v>1107</v>
      </c>
      <c r="D121" s="942" t="s">
        <v>1275</v>
      </c>
      <c r="E121" s="6943" t="s">
        <v>1108</v>
      </c>
      <c r="F121" s="6942" t="s">
        <v>1104</v>
      </c>
    </row>
    <row r="122" spans="1:6">
      <c r="C122" s="6943"/>
      <c r="D122" s="385" t="s">
        <v>1276</v>
      </c>
      <c r="E122" s="6943"/>
      <c r="F122" s="6942"/>
    </row>
    <row r="124" spans="1:6">
      <c r="C124" s="6943" t="s">
        <v>1107</v>
      </c>
      <c r="D124" s="942" t="s">
        <v>1277</v>
      </c>
      <c r="E124" s="6943" t="s">
        <v>1108</v>
      </c>
      <c r="F124" s="6942" t="s">
        <v>1104</v>
      </c>
    </row>
    <row r="125" spans="1:6" ht="12.75" customHeight="1">
      <c r="C125" s="6943"/>
      <c r="D125" s="385" t="s">
        <v>1278</v>
      </c>
      <c r="E125" s="6943"/>
      <c r="F125" s="6942"/>
    </row>
    <row r="127" spans="1:6" ht="26.4">
      <c r="C127" s="6941" t="s">
        <v>1107</v>
      </c>
      <c r="D127" s="378" t="s">
        <v>1279</v>
      </c>
      <c r="E127" s="6941" t="s">
        <v>1108</v>
      </c>
      <c r="F127" s="6942" t="s">
        <v>1104</v>
      </c>
    </row>
    <row r="128" spans="1:6" ht="39.6">
      <c r="C128" s="6941"/>
      <c r="D128" s="80" t="s">
        <v>1280</v>
      </c>
      <c r="E128" s="6941"/>
      <c r="F128" s="6942"/>
    </row>
    <row r="130" spans="3:6" ht="26.4">
      <c r="C130" s="6941" t="s">
        <v>1107</v>
      </c>
      <c r="D130" s="378" t="s">
        <v>1281</v>
      </c>
      <c r="E130" s="6941" t="s">
        <v>1108</v>
      </c>
      <c r="F130" s="6942" t="s">
        <v>1104</v>
      </c>
    </row>
    <row r="131" spans="3:6" ht="39.6">
      <c r="C131" s="6941"/>
      <c r="D131" s="80" t="s">
        <v>1280</v>
      </c>
      <c r="E131" s="6941"/>
      <c r="F131" s="6942"/>
    </row>
    <row r="133" spans="3:6">
      <c r="C133" s="6941" t="s">
        <v>1107</v>
      </c>
      <c r="D133" s="378" t="s">
        <v>1282</v>
      </c>
      <c r="E133" s="6941" t="s">
        <v>1108</v>
      </c>
    </row>
    <row r="134" spans="3:6" ht="26.4">
      <c r="C134" s="6941"/>
      <c r="D134" s="80" t="s">
        <v>1284</v>
      </c>
      <c r="E134" s="6941"/>
    </row>
    <row r="136" spans="3:6">
      <c r="C136" s="6941" t="s">
        <v>1107</v>
      </c>
      <c r="D136" s="378" t="s">
        <v>1283</v>
      </c>
      <c r="E136" s="6941" t="s">
        <v>1108</v>
      </c>
    </row>
    <row r="137" spans="3:6" ht="26.4">
      <c r="C137" s="6941"/>
      <c r="D137" s="80" t="s">
        <v>1285</v>
      </c>
      <c r="E137" s="6941"/>
    </row>
    <row r="139" spans="3:6">
      <c r="C139" s="6941" t="s">
        <v>1107</v>
      </c>
      <c r="D139" s="378" t="s">
        <v>1287</v>
      </c>
      <c r="E139" s="6941" t="s">
        <v>1108</v>
      </c>
    </row>
    <row r="140" spans="3:6" ht="26.4">
      <c r="C140" s="6941"/>
      <c r="D140" s="80" t="s">
        <v>1286</v>
      </c>
      <c r="E140" s="6941"/>
    </row>
    <row r="143" spans="3:6">
      <c r="C143" s="6941" t="s">
        <v>1107</v>
      </c>
      <c r="D143" s="378" t="s">
        <v>1289</v>
      </c>
      <c r="E143" s="6941" t="s">
        <v>1108</v>
      </c>
      <c r="F143" s="6942" t="s">
        <v>1104</v>
      </c>
    </row>
    <row r="144" spans="3:6" ht="26.4">
      <c r="C144" s="6941"/>
      <c r="D144" s="80" t="s">
        <v>415</v>
      </c>
      <c r="E144" s="6941"/>
      <c r="F144" s="6942"/>
    </row>
    <row r="147" spans="3:6" ht="26.4">
      <c r="C147" s="6941" t="s">
        <v>1107</v>
      </c>
      <c r="D147" s="378" t="s">
        <v>1290</v>
      </c>
      <c r="E147" s="6941" t="s">
        <v>1108</v>
      </c>
      <c r="F147" s="6942" t="s">
        <v>1272</v>
      </c>
    </row>
    <row r="148" spans="3:6" ht="26.4">
      <c r="C148" s="6941"/>
      <c r="D148" s="80" t="s">
        <v>1291</v>
      </c>
      <c r="E148" s="6941"/>
      <c r="F148" s="6942"/>
    </row>
    <row r="150" spans="3:6" ht="26.4">
      <c r="C150" s="6941" t="s">
        <v>1107</v>
      </c>
      <c r="D150" s="378" t="s">
        <v>1292</v>
      </c>
      <c r="E150" s="6941" t="s">
        <v>1108</v>
      </c>
      <c r="F150" s="6942" t="s">
        <v>1272</v>
      </c>
    </row>
    <row r="151" spans="3:6" ht="26.4">
      <c r="C151" s="6941"/>
      <c r="D151" s="80" t="s">
        <v>1293</v>
      </c>
      <c r="E151" s="6941"/>
      <c r="F151" s="6942"/>
    </row>
  </sheetData>
  <mergeCells count="123">
    <mergeCell ref="C43:C44"/>
    <mergeCell ref="E43:E44"/>
    <mergeCell ref="F43:F44"/>
    <mergeCell ref="C83:C84"/>
    <mergeCell ref="E83:E84"/>
    <mergeCell ref="F83:F84"/>
    <mergeCell ref="C76:C77"/>
    <mergeCell ref="E76:E77"/>
    <mergeCell ref="F76:F77"/>
    <mergeCell ref="C80:C81"/>
    <mergeCell ref="E80:E81"/>
    <mergeCell ref="F80:F81"/>
    <mergeCell ref="C66:C67"/>
    <mergeCell ref="E66:E67"/>
    <mergeCell ref="F66:F67"/>
    <mergeCell ref="C69:C70"/>
    <mergeCell ref="E69:E70"/>
    <mergeCell ref="F69:F70"/>
    <mergeCell ref="C73:C74"/>
    <mergeCell ref="E73:E74"/>
    <mergeCell ref="F73:F74"/>
    <mergeCell ref="C57:C58"/>
    <mergeCell ref="E57:E58"/>
    <mergeCell ref="F57:F58"/>
    <mergeCell ref="C60:C61"/>
    <mergeCell ref="E60:E61"/>
    <mergeCell ref="F60:F61"/>
    <mergeCell ref="C63:C64"/>
    <mergeCell ref="E63:E64"/>
    <mergeCell ref="F63:F64"/>
    <mergeCell ref="C47:C48"/>
    <mergeCell ref="F47:F48"/>
    <mergeCell ref="E47:E48"/>
    <mergeCell ref="C50:C51"/>
    <mergeCell ref="E50:E51"/>
    <mergeCell ref="F50:F51"/>
    <mergeCell ref="C54:C55"/>
    <mergeCell ref="E54:E55"/>
    <mergeCell ref="F54:F55"/>
    <mergeCell ref="C22:C23"/>
    <mergeCell ref="E22:E23"/>
    <mergeCell ref="F22:F23"/>
    <mergeCell ref="E33:E34"/>
    <mergeCell ref="F33:F34"/>
    <mergeCell ref="C33:C34"/>
    <mergeCell ref="C40:C41"/>
    <mergeCell ref="E40:E41"/>
    <mergeCell ref="F40:F41"/>
    <mergeCell ref="C36:C37"/>
    <mergeCell ref="E36:E37"/>
    <mergeCell ref="F36:F37"/>
    <mergeCell ref="C86:C87"/>
    <mergeCell ref="E86:E87"/>
    <mergeCell ref="F86:F87"/>
    <mergeCell ref="C90:C91"/>
    <mergeCell ref="E90:E91"/>
    <mergeCell ref="F90:F91"/>
    <mergeCell ref="F2:F3"/>
    <mergeCell ref="E2:E3"/>
    <mergeCell ref="C2:C3"/>
    <mergeCell ref="C5:C6"/>
    <mergeCell ref="E5:E6"/>
    <mergeCell ref="F5:F6"/>
    <mergeCell ref="E8:E9"/>
    <mergeCell ref="F8:F9"/>
    <mergeCell ref="C8:C9"/>
    <mergeCell ref="C11:C12"/>
    <mergeCell ref="E11:E12"/>
    <mergeCell ref="F11:F12"/>
    <mergeCell ref="C16:C17"/>
    <mergeCell ref="E16:E17"/>
    <mergeCell ref="F16:F17"/>
    <mergeCell ref="C19:C20"/>
    <mergeCell ref="E19:E20"/>
    <mergeCell ref="F19:F20"/>
    <mergeCell ref="C107:C108"/>
    <mergeCell ref="E107:E108"/>
    <mergeCell ref="F107:F108"/>
    <mergeCell ref="C110:C111"/>
    <mergeCell ref="E110:E111"/>
    <mergeCell ref="F110:F111"/>
    <mergeCell ref="C94:C95"/>
    <mergeCell ref="E94:E95"/>
    <mergeCell ref="F94:F95"/>
    <mergeCell ref="C98:C99"/>
    <mergeCell ref="E98:E99"/>
    <mergeCell ref="F98:F99"/>
    <mergeCell ref="C101:C102"/>
    <mergeCell ref="E101:E102"/>
    <mergeCell ref="F101:F102"/>
    <mergeCell ref="C121:C122"/>
    <mergeCell ref="E121:E122"/>
    <mergeCell ref="F121:F122"/>
    <mergeCell ref="C124:C125"/>
    <mergeCell ref="E124:E125"/>
    <mergeCell ref="F124:F125"/>
    <mergeCell ref="C114:C115"/>
    <mergeCell ref="E114:E115"/>
    <mergeCell ref="F114:F115"/>
    <mergeCell ref="C118:C119"/>
    <mergeCell ref="E118:E119"/>
    <mergeCell ref="F118:F119"/>
    <mergeCell ref="C133:C134"/>
    <mergeCell ref="E133:E134"/>
    <mergeCell ref="C136:C137"/>
    <mergeCell ref="E136:E137"/>
    <mergeCell ref="C139:C140"/>
    <mergeCell ref="E139:E140"/>
    <mergeCell ref="C127:C128"/>
    <mergeCell ref="E127:E128"/>
    <mergeCell ref="F127:F128"/>
    <mergeCell ref="C130:C131"/>
    <mergeCell ref="E130:E131"/>
    <mergeCell ref="F130:F131"/>
    <mergeCell ref="C150:C151"/>
    <mergeCell ref="E150:E151"/>
    <mergeCell ref="F150:F151"/>
    <mergeCell ref="C143:C144"/>
    <mergeCell ref="E143:E144"/>
    <mergeCell ref="F143:F144"/>
    <mergeCell ref="C147:C148"/>
    <mergeCell ref="E147:E148"/>
    <mergeCell ref="F147:F148"/>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G22"/>
  <sheetViews>
    <sheetView workbookViewId="0">
      <selection activeCell="I33" sqref="I33"/>
    </sheetView>
  </sheetViews>
  <sheetFormatPr baseColWidth="10" defaultColWidth="11.44140625" defaultRowHeight="14.4"/>
  <cols>
    <col min="1" max="1" width="11.44140625" style="5065"/>
    <col min="2" max="10" width="11.44140625" style="5317"/>
    <col min="11" max="16384" width="11.44140625" style="5065"/>
  </cols>
  <sheetData>
    <row r="3" spans="3:33">
      <c r="C3" s="6121" t="s">
        <v>2912</v>
      </c>
      <c r="D3" s="6124">
        <v>2022</v>
      </c>
      <c r="E3" s="6121" t="s">
        <v>2645</v>
      </c>
      <c r="F3" s="6121" t="s">
        <v>2616</v>
      </c>
      <c r="G3" s="6121" t="s">
        <v>2617</v>
      </c>
      <c r="H3" s="6121" t="s">
        <v>2618</v>
      </c>
      <c r="I3" s="6121" t="s">
        <v>2913</v>
      </c>
      <c r="K3" s="5066" t="s">
        <v>2912</v>
      </c>
      <c r="L3" s="5067">
        <v>2021</v>
      </c>
      <c r="M3" s="5066" t="s">
        <v>2645</v>
      </c>
      <c r="N3" s="5066" t="s">
        <v>2616</v>
      </c>
      <c r="O3" s="5066" t="s">
        <v>2617</v>
      </c>
      <c r="P3" s="5066" t="s">
        <v>2618</v>
      </c>
      <c r="Q3" s="5066" t="s">
        <v>2913</v>
      </c>
      <c r="S3" s="5066" t="s">
        <v>2912</v>
      </c>
      <c r="T3" s="5067">
        <v>2020</v>
      </c>
      <c r="U3" s="5066" t="s">
        <v>2645</v>
      </c>
      <c r="V3" s="5066" t="s">
        <v>2616</v>
      </c>
      <c r="W3" s="5066" t="s">
        <v>2617</v>
      </c>
      <c r="X3" s="5066" t="s">
        <v>2618</v>
      </c>
      <c r="Y3" s="5066" t="s">
        <v>2913</v>
      </c>
      <c r="AA3" s="5066" t="s">
        <v>2912</v>
      </c>
      <c r="AB3" s="5067">
        <v>2019</v>
      </c>
      <c r="AC3" s="5066">
        <v>1</v>
      </c>
      <c r="AD3" s="5066" t="s">
        <v>2616</v>
      </c>
      <c r="AE3" s="5066" t="s">
        <v>2617</v>
      </c>
      <c r="AF3" s="5066" t="s">
        <v>2618</v>
      </c>
      <c r="AG3" s="5066" t="s">
        <v>2913</v>
      </c>
    </row>
    <row r="4" spans="3:33">
      <c r="C4" s="6125" t="s">
        <v>3181</v>
      </c>
      <c r="D4" s="6122">
        <v>5</v>
      </c>
      <c r="E4" s="6122">
        <v>1</v>
      </c>
      <c r="F4" s="6122">
        <v>3</v>
      </c>
      <c r="G4" s="6122">
        <v>1</v>
      </c>
      <c r="H4" s="6123"/>
      <c r="I4" s="6123"/>
      <c r="K4" s="5068">
        <v>0</v>
      </c>
      <c r="L4" s="5069">
        <v>5</v>
      </c>
      <c r="M4" s="5070"/>
      <c r="N4" s="5069">
        <v>2</v>
      </c>
      <c r="O4" s="5070"/>
      <c r="P4" s="5069">
        <v>3</v>
      </c>
      <c r="Q4" s="5070"/>
      <c r="S4" s="5068">
        <v>1</v>
      </c>
      <c r="T4" s="5069">
        <v>7842</v>
      </c>
      <c r="U4" s="5069">
        <v>2519</v>
      </c>
      <c r="V4" s="5069">
        <v>2246</v>
      </c>
      <c r="W4" s="5069">
        <v>1976</v>
      </c>
      <c r="X4" s="5069">
        <v>675</v>
      </c>
      <c r="Y4" s="5069">
        <v>426</v>
      </c>
      <c r="AA4" s="5071" t="s">
        <v>2914</v>
      </c>
      <c r="AB4" s="5069">
        <v>8839</v>
      </c>
      <c r="AC4" s="5069">
        <v>3288</v>
      </c>
      <c r="AD4" s="5069">
        <v>2440</v>
      </c>
      <c r="AE4" s="5069">
        <v>2028</v>
      </c>
      <c r="AF4" s="5069">
        <v>676</v>
      </c>
      <c r="AG4" s="5069">
        <v>407</v>
      </c>
    </row>
    <row r="5" spans="3:33">
      <c r="C5" s="6125" t="s">
        <v>2645</v>
      </c>
      <c r="D5" s="6122">
        <v>8110</v>
      </c>
      <c r="E5" s="6122">
        <v>2780</v>
      </c>
      <c r="F5" s="6122">
        <v>2271</v>
      </c>
      <c r="G5" s="6122">
        <v>1973</v>
      </c>
      <c r="H5" s="6122">
        <v>664</v>
      </c>
      <c r="I5" s="6122">
        <v>422</v>
      </c>
      <c r="K5" s="5068">
        <v>1</v>
      </c>
      <c r="L5" s="5069">
        <v>7495</v>
      </c>
      <c r="M5" s="5069">
        <v>2470</v>
      </c>
      <c r="N5" s="5069">
        <v>2081</v>
      </c>
      <c r="O5" s="5069">
        <v>1893</v>
      </c>
      <c r="P5" s="5069">
        <v>636</v>
      </c>
      <c r="Q5" s="5069">
        <v>415</v>
      </c>
      <c r="S5" s="5068">
        <v>2</v>
      </c>
      <c r="T5" s="5069">
        <v>5171</v>
      </c>
      <c r="U5" s="5069">
        <v>1901</v>
      </c>
      <c r="V5" s="5069">
        <v>1159</v>
      </c>
      <c r="W5" s="5069">
        <v>1770</v>
      </c>
      <c r="X5" s="5069">
        <v>213</v>
      </c>
      <c r="Y5" s="5069">
        <v>128</v>
      </c>
      <c r="AA5" s="5071" t="s">
        <v>2915</v>
      </c>
      <c r="AB5" s="5069">
        <v>4263</v>
      </c>
      <c r="AC5" s="5069">
        <v>1152</v>
      </c>
      <c r="AD5" s="5069">
        <v>914</v>
      </c>
      <c r="AE5" s="5069">
        <v>1860</v>
      </c>
      <c r="AF5" s="5069">
        <v>218</v>
      </c>
      <c r="AG5" s="5069">
        <v>119</v>
      </c>
    </row>
    <row r="6" spans="3:33">
      <c r="C6" s="6125" t="s">
        <v>2923</v>
      </c>
      <c r="D6" s="6126">
        <v>3376</v>
      </c>
      <c r="E6" s="6122">
        <v>849</v>
      </c>
      <c r="F6" s="6122">
        <v>719</v>
      </c>
      <c r="G6" s="6122">
        <v>1474</v>
      </c>
      <c r="H6" s="6122">
        <v>236</v>
      </c>
      <c r="I6" s="6122">
        <v>98</v>
      </c>
      <c r="K6" s="5068">
        <v>2</v>
      </c>
      <c r="L6" s="5069">
        <v>4581</v>
      </c>
      <c r="M6" s="5069">
        <v>1679</v>
      </c>
      <c r="N6" s="5069">
        <v>955</v>
      </c>
      <c r="O6" s="5069">
        <v>1610</v>
      </c>
      <c r="P6" s="5069">
        <v>220</v>
      </c>
      <c r="Q6" s="5069">
        <v>117</v>
      </c>
      <c r="S6" s="5068">
        <v>3</v>
      </c>
      <c r="T6" s="5069">
        <v>3440</v>
      </c>
      <c r="U6" s="5069">
        <v>1482</v>
      </c>
      <c r="V6" s="5069">
        <v>1162</v>
      </c>
      <c r="W6" s="5069">
        <v>383</v>
      </c>
      <c r="X6" s="5069">
        <v>241</v>
      </c>
      <c r="Y6" s="5069">
        <v>172</v>
      </c>
      <c r="AA6" s="5071" t="s">
        <v>2916</v>
      </c>
      <c r="AB6" s="5069">
        <v>3266</v>
      </c>
      <c r="AC6" s="5069">
        <v>1332</v>
      </c>
      <c r="AD6" s="5069">
        <v>1132</v>
      </c>
      <c r="AE6" s="5069">
        <v>393</v>
      </c>
      <c r="AF6" s="5069">
        <v>268</v>
      </c>
      <c r="AG6" s="5069">
        <v>141</v>
      </c>
    </row>
    <row r="7" spans="3:33">
      <c r="C7" s="6125" t="s">
        <v>2392</v>
      </c>
      <c r="D7" s="6126">
        <v>3307</v>
      </c>
      <c r="E7" s="6122">
        <v>926</v>
      </c>
      <c r="F7" s="6122">
        <v>811</v>
      </c>
      <c r="G7" s="6122">
        <v>1267</v>
      </c>
      <c r="H7" s="6122">
        <v>252</v>
      </c>
      <c r="I7" s="6122">
        <v>51</v>
      </c>
      <c r="K7" s="5068">
        <v>3</v>
      </c>
      <c r="L7" s="5069">
        <v>3352</v>
      </c>
      <c r="M7" s="5069">
        <v>1404</v>
      </c>
      <c r="N7" s="5069">
        <v>1119</v>
      </c>
      <c r="O7" s="5069">
        <v>356</v>
      </c>
      <c r="P7" s="5069">
        <v>267</v>
      </c>
      <c r="Q7" s="5069">
        <v>206</v>
      </c>
      <c r="S7" s="5068">
        <v>4</v>
      </c>
      <c r="T7" s="5069">
        <v>5183</v>
      </c>
      <c r="U7" s="5069">
        <v>1503</v>
      </c>
      <c r="V7" s="5069">
        <v>1205</v>
      </c>
      <c r="W7" s="5069">
        <v>1971</v>
      </c>
      <c r="X7" s="5069">
        <v>380</v>
      </c>
      <c r="Y7" s="5069">
        <v>124</v>
      </c>
      <c r="AA7" s="5071" t="s">
        <v>2917</v>
      </c>
      <c r="AB7" s="5069">
        <v>5187</v>
      </c>
      <c r="AC7" s="5069">
        <v>1478</v>
      </c>
      <c r="AD7" s="5069">
        <v>1302</v>
      </c>
      <c r="AE7" s="5069">
        <v>1926</v>
      </c>
      <c r="AF7" s="5069">
        <v>364</v>
      </c>
      <c r="AG7" s="5069">
        <v>117</v>
      </c>
    </row>
    <row r="8" spans="3:33">
      <c r="C8" s="6125" t="s">
        <v>2924</v>
      </c>
      <c r="D8" s="6126">
        <v>3166</v>
      </c>
      <c r="E8" s="6122">
        <v>1279</v>
      </c>
      <c r="F8" s="6122">
        <v>1191</v>
      </c>
      <c r="G8" s="6122">
        <v>368</v>
      </c>
      <c r="H8" s="6122">
        <v>250</v>
      </c>
      <c r="I8" s="6122">
        <v>78</v>
      </c>
      <c r="K8" s="5068">
        <v>4</v>
      </c>
      <c r="L8" s="5069">
        <v>5529</v>
      </c>
      <c r="M8" s="5069">
        <v>1635</v>
      </c>
      <c r="N8" s="5069">
        <v>1459</v>
      </c>
      <c r="O8" s="5069">
        <v>1931</v>
      </c>
      <c r="P8" s="5069">
        <v>396</v>
      </c>
      <c r="Q8" s="5069">
        <v>108</v>
      </c>
      <c r="S8" s="5068">
        <v>5</v>
      </c>
      <c r="T8" s="5069">
        <v>3890</v>
      </c>
      <c r="U8" s="5069">
        <v>1167</v>
      </c>
      <c r="V8" s="5069">
        <v>872</v>
      </c>
      <c r="W8" s="5069">
        <v>1580</v>
      </c>
      <c r="X8" s="5069">
        <v>208</v>
      </c>
      <c r="Y8" s="5069">
        <v>63</v>
      </c>
      <c r="AA8" s="5071" t="s">
        <v>2918</v>
      </c>
      <c r="AB8" s="5069">
        <v>3692</v>
      </c>
      <c r="AC8" s="5069">
        <v>1034</v>
      </c>
      <c r="AD8" s="5069">
        <v>894</v>
      </c>
      <c r="AE8" s="5069">
        <v>1532</v>
      </c>
      <c r="AF8" s="5069">
        <v>187</v>
      </c>
      <c r="AG8" s="5069">
        <v>45</v>
      </c>
    </row>
    <row r="9" spans="3:33">
      <c r="C9" s="6125" t="s">
        <v>2925</v>
      </c>
      <c r="D9" s="6126">
        <v>194</v>
      </c>
      <c r="E9" s="6123"/>
      <c r="F9" s="6123"/>
      <c r="G9" s="6122">
        <v>194</v>
      </c>
      <c r="H9" s="6123"/>
      <c r="I9" s="6123"/>
      <c r="K9" s="5068">
        <v>5</v>
      </c>
      <c r="L9" s="5069">
        <v>4097</v>
      </c>
      <c r="M9" s="5069">
        <v>1381</v>
      </c>
      <c r="N9" s="5069">
        <v>917</v>
      </c>
      <c r="O9" s="5069">
        <v>1547</v>
      </c>
      <c r="P9" s="5069">
        <v>175</v>
      </c>
      <c r="Q9" s="5069">
        <v>77</v>
      </c>
      <c r="S9" s="5068">
        <v>6</v>
      </c>
      <c r="T9" s="5069">
        <v>2804</v>
      </c>
      <c r="U9" s="5069">
        <v>1037</v>
      </c>
      <c r="V9" s="5069">
        <v>1068</v>
      </c>
      <c r="W9" s="5069">
        <v>377</v>
      </c>
      <c r="X9" s="5069">
        <v>247</v>
      </c>
      <c r="Y9" s="5069">
        <v>75</v>
      </c>
      <c r="AA9" s="5071" t="s">
        <v>2919</v>
      </c>
      <c r="AB9" s="5069">
        <v>2602</v>
      </c>
      <c r="AC9" s="5069">
        <v>1002</v>
      </c>
      <c r="AD9" s="5069">
        <v>926</v>
      </c>
      <c r="AE9" s="5069">
        <v>441</v>
      </c>
      <c r="AF9" s="5069">
        <v>179</v>
      </c>
      <c r="AG9" s="5069">
        <v>54</v>
      </c>
    </row>
    <row r="10" spans="3:33">
      <c r="C10" s="6125" t="s">
        <v>2926</v>
      </c>
      <c r="D10" s="6126">
        <v>143</v>
      </c>
      <c r="E10" s="6123"/>
      <c r="F10" s="6123"/>
      <c r="G10" s="6122">
        <v>143</v>
      </c>
      <c r="H10" s="6123"/>
      <c r="I10" s="6123"/>
      <c r="K10" s="5068">
        <v>6</v>
      </c>
      <c r="L10" s="5069">
        <v>2770</v>
      </c>
      <c r="M10" s="5069">
        <v>1108</v>
      </c>
      <c r="N10" s="5069">
        <v>939</v>
      </c>
      <c r="O10" s="5069">
        <v>385</v>
      </c>
      <c r="P10" s="5069">
        <v>245</v>
      </c>
      <c r="Q10" s="5069">
        <v>93</v>
      </c>
      <c r="S10" s="5068">
        <v>7</v>
      </c>
      <c r="T10" s="5069">
        <v>3891</v>
      </c>
      <c r="U10" s="5069">
        <v>1198</v>
      </c>
      <c r="V10" s="5069">
        <v>742</v>
      </c>
      <c r="W10" s="5069">
        <v>1625</v>
      </c>
      <c r="X10" s="5069">
        <v>232</v>
      </c>
      <c r="Y10" s="5069">
        <v>94</v>
      </c>
      <c r="AA10" s="5071" t="s">
        <v>2920</v>
      </c>
      <c r="AB10" s="5069">
        <v>3536</v>
      </c>
      <c r="AC10" s="5069">
        <v>1125</v>
      </c>
      <c r="AD10" s="5069">
        <v>710</v>
      </c>
      <c r="AE10" s="5069">
        <v>1403</v>
      </c>
      <c r="AF10" s="5069">
        <v>244</v>
      </c>
      <c r="AG10" s="5069">
        <v>54</v>
      </c>
    </row>
    <row r="11" spans="3:33">
      <c r="C11" s="6125" t="s">
        <v>2927</v>
      </c>
      <c r="D11" s="6126">
        <v>143</v>
      </c>
      <c r="E11" s="6123"/>
      <c r="F11" s="6123"/>
      <c r="G11" s="6122">
        <v>143</v>
      </c>
      <c r="H11" s="6123"/>
      <c r="I11" s="6123"/>
      <c r="K11" s="5068">
        <v>7</v>
      </c>
      <c r="L11" s="5069">
        <v>3796</v>
      </c>
      <c r="M11" s="5069">
        <v>1109</v>
      </c>
      <c r="N11" s="5069">
        <v>750</v>
      </c>
      <c r="O11" s="5069">
        <v>1598</v>
      </c>
      <c r="P11" s="5069">
        <v>236</v>
      </c>
      <c r="Q11" s="5069">
        <v>103</v>
      </c>
      <c r="S11" s="5068">
        <v>8</v>
      </c>
      <c r="T11" s="5069">
        <v>3021</v>
      </c>
      <c r="U11" s="5069">
        <v>817</v>
      </c>
      <c r="V11" s="5069">
        <v>673</v>
      </c>
      <c r="W11" s="5069">
        <v>1337</v>
      </c>
      <c r="X11" s="5069">
        <v>157</v>
      </c>
      <c r="Y11" s="5069">
        <v>37</v>
      </c>
      <c r="AA11" s="5071" t="s">
        <v>2921</v>
      </c>
      <c r="AB11" s="5069">
        <v>2937</v>
      </c>
      <c r="AC11" s="5069">
        <v>828</v>
      </c>
      <c r="AD11" s="5069">
        <v>687</v>
      </c>
      <c r="AE11" s="5069">
        <v>1238</v>
      </c>
      <c r="AF11" s="5069">
        <v>138</v>
      </c>
      <c r="AG11" s="5069">
        <v>46</v>
      </c>
    </row>
    <row r="12" spans="3:33">
      <c r="C12" s="6125" t="s">
        <v>2616</v>
      </c>
      <c r="D12" s="6122">
        <v>4664</v>
      </c>
      <c r="E12" s="6122">
        <v>1655</v>
      </c>
      <c r="F12" s="6122">
        <v>960</v>
      </c>
      <c r="G12" s="6122">
        <v>1657</v>
      </c>
      <c r="H12" s="6122">
        <v>251</v>
      </c>
      <c r="I12" s="6122">
        <v>141</v>
      </c>
      <c r="K12" s="5068">
        <v>8</v>
      </c>
      <c r="L12" s="5069">
        <v>3228</v>
      </c>
      <c r="M12" s="5069">
        <v>983</v>
      </c>
      <c r="N12" s="5069">
        <v>661</v>
      </c>
      <c r="O12" s="5069">
        <v>1361</v>
      </c>
      <c r="P12" s="5069">
        <v>178</v>
      </c>
      <c r="Q12" s="5069">
        <v>45</v>
      </c>
      <c r="S12" s="5068">
        <v>9</v>
      </c>
      <c r="T12" s="5069">
        <v>2073</v>
      </c>
      <c r="U12" s="5069">
        <v>760</v>
      </c>
      <c r="V12" s="5069">
        <v>664</v>
      </c>
      <c r="W12" s="5069">
        <v>376</v>
      </c>
      <c r="X12" s="5069">
        <v>220</v>
      </c>
      <c r="Y12" s="5069">
        <v>53</v>
      </c>
      <c r="AA12" s="5071" t="s">
        <v>2922</v>
      </c>
      <c r="AB12" s="5069">
        <v>2053</v>
      </c>
      <c r="AC12" s="5069">
        <v>716</v>
      </c>
      <c r="AD12" s="5069">
        <v>709</v>
      </c>
      <c r="AE12" s="5069">
        <v>376</v>
      </c>
      <c r="AF12" s="5069">
        <v>210</v>
      </c>
      <c r="AG12" s="5069">
        <v>42</v>
      </c>
    </row>
    <row r="13" spans="3:33">
      <c r="C13" s="6125" t="s">
        <v>2617</v>
      </c>
      <c r="D13" s="6122">
        <v>3237</v>
      </c>
      <c r="E13" s="6122">
        <v>1391</v>
      </c>
      <c r="F13" s="6122">
        <v>1044</v>
      </c>
      <c r="G13" s="6122">
        <v>334</v>
      </c>
      <c r="H13" s="6122">
        <v>302</v>
      </c>
      <c r="I13" s="6122">
        <v>166</v>
      </c>
      <c r="K13" s="5068">
        <v>9</v>
      </c>
      <c r="L13" s="5069">
        <v>2348</v>
      </c>
      <c r="M13" s="5069">
        <v>858</v>
      </c>
      <c r="N13" s="5069">
        <v>762</v>
      </c>
      <c r="O13" s="5069">
        <v>433</v>
      </c>
      <c r="P13" s="5069">
        <v>245</v>
      </c>
      <c r="Q13" s="5069">
        <v>50</v>
      </c>
      <c r="S13" s="5068">
        <v>10</v>
      </c>
      <c r="T13" s="5072">
        <v>3289</v>
      </c>
      <c r="U13" s="5069">
        <v>908</v>
      </c>
      <c r="V13" s="5069">
        <v>777</v>
      </c>
      <c r="W13" s="5069">
        <v>1322</v>
      </c>
      <c r="X13" s="5069">
        <v>215</v>
      </c>
      <c r="Y13" s="5069">
        <v>67</v>
      </c>
      <c r="AA13" s="5071" t="s">
        <v>2923</v>
      </c>
      <c r="AB13" s="5072">
        <v>3197</v>
      </c>
      <c r="AC13" s="5069">
        <v>920</v>
      </c>
      <c r="AD13" s="5069">
        <v>727</v>
      </c>
      <c r="AE13" s="5069">
        <v>1308</v>
      </c>
      <c r="AF13" s="5069">
        <v>196</v>
      </c>
      <c r="AG13" s="5069">
        <v>46</v>
      </c>
    </row>
    <row r="14" spans="3:33">
      <c r="C14" s="6125" t="s">
        <v>2618</v>
      </c>
      <c r="D14" s="6122">
        <v>5149</v>
      </c>
      <c r="E14" s="6122">
        <v>1436</v>
      </c>
      <c r="F14" s="6122">
        <v>1287</v>
      </c>
      <c r="G14" s="6122">
        <v>1981</v>
      </c>
      <c r="H14" s="6122">
        <v>310</v>
      </c>
      <c r="I14" s="6122">
        <v>135</v>
      </c>
      <c r="K14" s="5068">
        <v>10</v>
      </c>
      <c r="L14" s="5072">
        <v>3305</v>
      </c>
      <c r="M14" s="5069">
        <v>875</v>
      </c>
      <c r="N14" s="5069">
        <v>707</v>
      </c>
      <c r="O14" s="5069">
        <v>1415</v>
      </c>
      <c r="P14" s="5069">
        <v>227</v>
      </c>
      <c r="Q14" s="5069">
        <v>81</v>
      </c>
      <c r="S14" s="5068">
        <v>11</v>
      </c>
      <c r="T14" s="5072">
        <v>3113</v>
      </c>
      <c r="U14" s="5069">
        <v>837</v>
      </c>
      <c r="V14" s="5069">
        <v>837</v>
      </c>
      <c r="W14" s="5069">
        <v>1204</v>
      </c>
      <c r="X14" s="5069">
        <v>194</v>
      </c>
      <c r="Y14" s="5069">
        <v>41</v>
      </c>
      <c r="AA14" s="5071" t="s">
        <v>2392</v>
      </c>
      <c r="AB14" s="5072">
        <v>2726</v>
      </c>
      <c r="AC14" s="5069">
        <v>762</v>
      </c>
      <c r="AD14" s="5069">
        <v>727</v>
      </c>
      <c r="AE14" s="5069">
        <v>1061</v>
      </c>
      <c r="AF14" s="5069">
        <v>151</v>
      </c>
      <c r="AG14" s="5069">
        <v>25</v>
      </c>
    </row>
    <row r="15" spans="3:33">
      <c r="C15" s="6125" t="s">
        <v>2913</v>
      </c>
      <c r="D15" s="6122">
        <v>3917</v>
      </c>
      <c r="E15" s="6122">
        <v>1273</v>
      </c>
      <c r="F15" s="6122">
        <v>914</v>
      </c>
      <c r="G15" s="6122">
        <v>1464</v>
      </c>
      <c r="H15" s="6122">
        <v>200</v>
      </c>
      <c r="I15" s="6122">
        <v>66</v>
      </c>
      <c r="K15" s="5068">
        <v>11</v>
      </c>
      <c r="L15" s="5072">
        <v>3062</v>
      </c>
      <c r="M15" s="5069">
        <v>848</v>
      </c>
      <c r="N15" s="5069">
        <v>774</v>
      </c>
      <c r="O15" s="5069">
        <v>1167</v>
      </c>
      <c r="P15" s="5069">
        <v>214</v>
      </c>
      <c r="Q15" s="5069">
        <v>59</v>
      </c>
      <c r="S15" s="5068">
        <v>12</v>
      </c>
      <c r="T15" s="5072">
        <v>2736</v>
      </c>
      <c r="U15" s="5069">
        <v>1207</v>
      </c>
      <c r="V15" s="5069">
        <v>983</v>
      </c>
      <c r="W15" s="5069">
        <v>328</v>
      </c>
      <c r="X15" s="5069">
        <v>187</v>
      </c>
      <c r="Y15" s="5069">
        <v>31</v>
      </c>
      <c r="AA15" s="5071" t="s">
        <v>2924</v>
      </c>
      <c r="AB15" s="5072">
        <v>2465</v>
      </c>
      <c r="AC15" s="5069">
        <v>1149</v>
      </c>
      <c r="AD15" s="5069">
        <v>861</v>
      </c>
      <c r="AE15" s="5069">
        <v>276</v>
      </c>
      <c r="AF15" s="5069">
        <v>156</v>
      </c>
      <c r="AG15" s="5069">
        <v>23</v>
      </c>
    </row>
    <row r="16" spans="3:33">
      <c r="C16" s="6125" t="s">
        <v>3182</v>
      </c>
      <c r="D16" s="6122">
        <v>2802</v>
      </c>
      <c r="E16" s="6122">
        <v>1124</v>
      </c>
      <c r="F16" s="6122">
        <v>905</v>
      </c>
      <c r="G16" s="6122">
        <v>372</v>
      </c>
      <c r="H16" s="6122">
        <v>297</v>
      </c>
      <c r="I16" s="6122">
        <v>104</v>
      </c>
      <c r="K16" s="5068">
        <v>12</v>
      </c>
      <c r="L16" s="5072">
        <v>3118</v>
      </c>
      <c r="M16" s="5069">
        <v>1325</v>
      </c>
      <c r="N16" s="5069">
        <v>1153</v>
      </c>
      <c r="O16" s="5069">
        <v>387</v>
      </c>
      <c r="P16" s="5069">
        <v>210</v>
      </c>
      <c r="Q16" s="5069">
        <v>43</v>
      </c>
      <c r="S16" s="5068">
        <v>13</v>
      </c>
      <c r="T16" s="5072">
        <v>227</v>
      </c>
      <c r="U16" s="5070"/>
      <c r="V16" s="5070"/>
      <c r="W16" s="5069">
        <v>227</v>
      </c>
      <c r="X16" s="5070"/>
      <c r="Y16" s="5070"/>
      <c r="AA16" s="5071" t="s">
        <v>2925</v>
      </c>
      <c r="AB16" s="5072">
        <v>148</v>
      </c>
      <c r="AC16" s="5070"/>
      <c r="AD16" s="5070"/>
      <c r="AE16" s="5069">
        <v>148</v>
      </c>
      <c r="AF16" s="5070"/>
      <c r="AG16" s="5070"/>
    </row>
    <row r="17" spans="3:33">
      <c r="C17" s="6125" t="s">
        <v>2504</v>
      </c>
      <c r="D17" s="6122">
        <v>3971</v>
      </c>
      <c r="E17" s="6122">
        <v>1233</v>
      </c>
      <c r="F17" s="6122">
        <v>837</v>
      </c>
      <c r="G17" s="6122">
        <v>1515</v>
      </c>
      <c r="H17" s="6122">
        <v>258</v>
      </c>
      <c r="I17" s="6122">
        <v>128</v>
      </c>
      <c r="K17" s="5068">
        <v>13</v>
      </c>
      <c r="L17" s="5072">
        <v>182</v>
      </c>
      <c r="M17" s="5070"/>
      <c r="N17" s="5070"/>
      <c r="O17" s="5069">
        <v>182</v>
      </c>
      <c r="P17" s="5070"/>
      <c r="Q17" s="5070"/>
      <c r="S17" s="5068">
        <v>14</v>
      </c>
      <c r="T17" s="5072">
        <v>78</v>
      </c>
      <c r="U17" s="5070"/>
      <c r="V17" s="5070"/>
      <c r="W17" s="5069">
        <v>78</v>
      </c>
      <c r="X17" s="5070"/>
      <c r="Y17" s="5070"/>
      <c r="AA17" s="5071" t="s">
        <v>2926</v>
      </c>
      <c r="AB17" s="5072">
        <v>118</v>
      </c>
      <c r="AC17" s="5070"/>
      <c r="AD17" s="5070"/>
      <c r="AE17" s="5069">
        <v>118</v>
      </c>
      <c r="AF17" s="5070"/>
      <c r="AG17" s="5070"/>
    </row>
    <row r="18" spans="3:33">
      <c r="C18" s="6125" t="s">
        <v>3183</v>
      </c>
      <c r="D18" s="6122">
        <v>3187</v>
      </c>
      <c r="E18" s="6122">
        <v>1033</v>
      </c>
      <c r="F18" s="6122">
        <v>636</v>
      </c>
      <c r="G18" s="6122">
        <v>1285</v>
      </c>
      <c r="H18" s="6122">
        <v>169</v>
      </c>
      <c r="I18" s="6122">
        <v>64</v>
      </c>
      <c r="K18" s="5068">
        <v>14</v>
      </c>
      <c r="L18" s="5072">
        <v>122</v>
      </c>
      <c r="M18" s="5070"/>
      <c r="N18" s="5070"/>
      <c r="O18" s="5069">
        <v>122</v>
      </c>
      <c r="P18" s="5070"/>
      <c r="Q18" s="5070"/>
      <c r="S18" s="5068">
        <v>15</v>
      </c>
      <c r="T18" s="5072">
        <v>69</v>
      </c>
      <c r="U18" s="5070"/>
      <c r="V18" s="5070"/>
      <c r="W18" s="5069">
        <v>69</v>
      </c>
      <c r="X18" s="5070"/>
      <c r="Y18" s="5070"/>
      <c r="AA18" s="5071" t="s">
        <v>2927</v>
      </c>
      <c r="AB18" s="5072">
        <v>59</v>
      </c>
      <c r="AC18" s="5070"/>
      <c r="AD18" s="5070"/>
      <c r="AE18" s="5069">
        <v>59</v>
      </c>
      <c r="AF18" s="5070"/>
      <c r="AG18" s="5070"/>
    </row>
    <row r="19" spans="3:33">
      <c r="C19" s="6125" t="s">
        <v>3184</v>
      </c>
      <c r="D19" s="6122">
        <v>2270</v>
      </c>
      <c r="E19" s="6122">
        <v>860</v>
      </c>
      <c r="F19" s="6122">
        <v>700</v>
      </c>
      <c r="G19" s="6122">
        <v>410</v>
      </c>
      <c r="H19" s="6122">
        <v>209</v>
      </c>
      <c r="I19" s="6122">
        <v>91</v>
      </c>
      <c r="K19" s="5068">
        <v>15</v>
      </c>
      <c r="L19" s="5072">
        <v>76</v>
      </c>
      <c r="M19" s="5070"/>
      <c r="N19" s="5070"/>
      <c r="O19" s="5069">
        <v>76</v>
      </c>
      <c r="P19" s="5070"/>
      <c r="Q19" s="5070"/>
      <c r="S19" s="5069" t="s">
        <v>2613</v>
      </c>
      <c r="T19" s="5073" t="s">
        <v>2928</v>
      </c>
      <c r="U19" s="5073" t="s">
        <v>2613</v>
      </c>
      <c r="V19" s="5073" t="s">
        <v>2613</v>
      </c>
      <c r="W19" s="5073" t="s">
        <v>2613</v>
      </c>
      <c r="X19" s="5073" t="s">
        <v>2613</v>
      </c>
      <c r="Y19" s="5073" t="s">
        <v>2613</v>
      </c>
      <c r="Z19" s="27"/>
      <c r="AA19" s="5073" t="s">
        <v>2613</v>
      </c>
      <c r="AB19" s="5073" t="s">
        <v>2929</v>
      </c>
      <c r="AC19" s="5073" t="s">
        <v>2613</v>
      </c>
      <c r="AD19" s="5073" t="s">
        <v>2613</v>
      </c>
      <c r="AE19" s="5073" t="s">
        <v>2613</v>
      </c>
      <c r="AF19" s="5073" t="s">
        <v>2613</v>
      </c>
      <c r="AG19" s="5073" t="s">
        <v>2613</v>
      </c>
    </row>
    <row r="20" spans="3:33">
      <c r="D20" s="27">
        <f>SUM(D4:D19)</f>
        <v>47641</v>
      </c>
      <c r="L20" s="27">
        <f>SUM(L4:L19)</f>
        <v>47066</v>
      </c>
    </row>
    <row r="21" spans="3:33">
      <c r="T21" s="5074">
        <f>SUM(T13:T18)</f>
        <v>9512</v>
      </c>
      <c r="U21" s="27"/>
      <c r="V21" s="27"/>
      <c r="W21" s="27"/>
      <c r="X21" s="27"/>
      <c r="Y21" s="27"/>
      <c r="Z21" s="27"/>
      <c r="AA21" s="27"/>
      <c r="AB21" s="5074">
        <f>SUM(AB13:AB18)</f>
        <v>8713</v>
      </c>
    </row>
    <row r="22" spans="3:33">
      <c r="D22" s="6127">
        <f>SUM(D6:D11)</f>
        <v>10329</v>
      </c>
      <c r="L22" s="5074">
        <f>SUM(L14:L19)</f>
        <v>9865</v>
      </c>
    </row>
  </sheetData>
  <autoFilter ref="C3:I3"/>
  <pageMargins left="0.7" right="0.7" top="0.75" bottom="0.75" header="0.3" footer="0.3"/>
  <pageSetup paperSize="9" orientation="portrait" r:id="rId1"/>
  <ignoredErrors>
    <ignoredError sqref="C4:C1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F86"/>
  <sheetViews>
    <sheetView showGridLines="0" zoomScaleNormal="100" workbookViewId="0">
      <pane xSplit="2" ySplit="4" topLeftCell="AL32" activePane="bottomRight" state="frozen"/>
      <selection activeCell="O12" sqref="O12"/>
      <selection pane="topRight" activeCell="O12" sqref="O12"/>
      <selection pane="bottomLeft" activeCell="O12" sqref="O12"/>
      <selection pane="bottomRight" activeCell="BH4" sqref="BH4"/>
    </sheetView>
  </sheetViews>
  <sheetFormatPr baseColWidth="10" defaultRowHeight="14.4"/>
  <cols>
    <col min="1" max="1" width="2.6640625" style="157" customWidth="1"/>
    <col min="2" max="2" width="45.5546875" customWidth="1"/>
    <col min="3" max="3" width="1.6640625" style="5317" customWidth="1"/>
    <col min="4" max="6" width="9.6640625" customWidth="1"/>
    <col min="7" max="7" width="1.6640625" style="2107" customWidth="1"/>
    <col min="8" max="10" width="9.6640625" customWidth="1"/>
    <col min="11" max="11" width="1.6640625" style="2107" customWidth="1"/>
    <col min="12" max="14" width="9.6640625" customWidth="1"/>
    <col min="15" max="15" width="1.6640625" style="2107" customWidth="1"/>
    <col min="16" max="18" width="9.6640625" customWidth="1"/>
    <col min="19" max="19" width="1.6640625" style="2107" customWidth="1"/>
    <col min="20" max="22" width="9.6640625" customWidth="1"/>
    <col min="23" max="23" width="1.6640625" style="2107" customWidth="1"/>
    <col min="24" max="26" width="9.6640625" customWidth="1"/>
    <col min="27" max="27" width="1.6640625" style="2107" customWidth="1"/>
    <col min="28" max="28" width="11.33203125" customWidth="1"/>
    <col min="29" max="30" width="9.6640625" customWidth="1"/>
    <col min="31" max="31" width="1.6640625" style="2107" customWidth="1"/>
    <col min="32" max="32" width="9.6640625" customWidth="1"/>
    <col min="33" max="33" width="11.109375" bestFit="1" customWidth="1"/>
    <col min="34" max="34" width="9.6640625" customWidth="1"/>
    <col min="35" max="35" width="1.6640625" style="2107" customWidth="1"/>
    <col min="36" max="36" width="9.6640625" customWidth="1"/>
    <col min="37" max="37" width="9.5546875" bestFit="1" customWidth="1"/>
    <col min="38" max="38" width="11" customWidth="1"/>
    <col min="39" max="39" width="1.5546875" customWidth="1"/>
    <col min="40" max="40" width="9.6640625" customWidth="1"/>
    <col min="41" max="41" width="11.109375" bestFit="1" customWidth="1"/>
    <col min="42" max="42" width="11" customWidth="1"/>
    <col min="43" max="43" width="1.6640625" customWidth="1"/>
    <col min="44" max="44" width="8.6640625" bestFit="1" customWidth="1"/>
    <col min="45" max="45" width="11.109375" bestFit="1" customWidth="1"/>
    <col min="46" max="46" width="10.6640625" customWidth="1"/>
    <col min="47" max="47" width="1.6640625" customWidth="1"/>
    <col min="48" max="48" width="9.6640625" customWidth="1"/>
    <col min="49" max="49" width="11.109375" bestFit="1" customWidth="1"/>
    <col min="50" max="50" width="9.6640625" customWidth="1"/>
    <col min="51" max="51" width="1.6640625" customWidth="1"/>
    <col min="52" max="52" width="9.6640625" customWidth="1"/>
    <col min="55" max="55" width="1.6640625" customWidth="1"/>
  </cols>
  <sheetData>
    <row r="1" spans="1:58" ht="15.6">
      <c r="D1" s="81"/>
      <c r="E1" s="81"/>
      <c r="F1" s="81"/>
      <c r="G1" s="81"/>
      <c r="H1" s="81"/>
      <c r="I1" s="81"/>
      <c r="U1" s="180"/>
      <c r="AR1" s="7286" t="s">
        <v>3315</v>
      </c>
      <c r="AS1" s="7286"/>
      <c r="AT1" s="7286"/>
      <c r="AU1" s="7286"/>
      <c r="AV1" s="7286"/>
      <c r="AW1" s="7286"/>
      <c r="AX1" s="7286"/>
      <c r="AY1" s="7286"/>
      <c r="AZ1" s="7286"/>
      <c r="BA1" s="7286"/>
      <c r="BB1" s="7286"/>
      <c r="BC1" s="7286"/>
      <c r="BD1" s="7286"/>
      <c r="BE1" s="7286"/>
      <c r="BF1" s="7286"/>
    </row>
    <row r="2" spans="1:58" s="5317" customFormat="1" ht="15.6">
      <c r="A2" s="157"/>
      <c r="D2" s="81"/>
      <c r="E2" s="81"/>
      <c r="F2" s="81"/>
      <c r="G2" s="81"/>
      <c r="H2" s="81"/>
      <c r="I2" s="81"/>
      <c r="U2" s="180"/>
      <c r="AR2" s="6493"/>
      <c r="AS2" s="6493"/>
      <c r="AT2" s="6493"/>
      <c r="AU2" s="6493"/>
      <c r="AV2" s="6493"/>
      <c r="AW2" s="6493"/>
      <c r="AX2" s="6493"/>
      <c r="AY2" s="6493"/>
      <c r="AZ2" s="6493"/>
      <c r="BA2" s="6493"/>
      <c r="BB2" s="6493"/>
      <c r="BC2" s="6493"/>
      <c r="BD2" s="6493"/>
      <c r="BE2" s="6493"/>
      <c r="BF2" s="6493"/>
    </row>
    <row r="3" spans="1:58" s="8" customFormat="1" ht="15.6">
      <c r="A3" s="5852"/>
      <c r="B3" s="5912"/>
      <c r="C3" s="5317"/>
      <c r="D3" s="7316">
        <v>2010</v>
      </c>
      <c r="E3" s="7316"/>
      <c r="F3" s="7316"/>
      <c r="G3" s="5913"/>
      <c r="H3" s="7316">
        <v>2011</v>
      </c>
      <c r="I3" s="7316"/>
      <c r="J3" s="7316"/>
      <c r="K3" s="5913"/>
      <c r="L3" s="7316">
        <v>2012</v>
      </c>
      <c r="M3" s="7316"/>
      <c r="N3" s="7316"/>
      <c r="O3" s="5913"/>
      <c r="P3" s="7316">
        <v>2013</v>
      </c>
      <c r="Q3" s="7316"/>
      <c r="R3" s="7316"/>
      <c r="S3" s="5913"/>
      <c r="T3" s="7316">
        <v>2014</v>
      </c>
      <c r="U3" s="7316"/>
      <c r="V3" s="7316"/>
      <c r="W3" s="5913"/>
      <c r="X3" s="7316">
        <v>2015</v>
      </c>
      <c r="Y3" s="7316"/>
      <c r="Z3" s="7316"/>
      <c r="AA3" s="5913"/>
      <c r="AB3" s="7316">
        <v>2016</v>
      </c>
      <c r="AC3" s="7316"/>
      <c r="AD3" s="7316"/>
      <c r="AE3" s="5913"/>
      <c r="AF3" s="7316">
        <v>2017</v>
      </c>
      <c r="AG3" s="7316"/>
      <c r="AH3" s="7316"/>
      <c r="AI3" s="5913"/>
      <c r="AJ3" s="7316">
        <v>2018</v>
      </c>
      <c r="AK3" s="7316"/>
      <c r="AL3" s="7316"/>
      <c r="AN3" s="7316">
        <v>2019</v>
      </c>
      <c r="AO3" s="7316"/>
      <c r="AP3" s="7316"/>
      <c r="AR3" s="7316">
        <v>2020</v>
      </c>
      <c r="AS3" s="7316"/>
      <c r="AT3" s="7316"/>
      <c r="AV3" s="7316">
        <v>2021</v>
      </c>
      <c r="AW3" s="7316"/>
      <c r="AX3" s="7316"/>
      <c r="AZ3" s="7316">
        <v>2022</v>
      </c>
      <c r="BA3" s="7316"/>
      <c r="BB3" s="7316"/>
      <c r="BD3" s="7316">
        <v>2023</v>
      </c>
      <c r="BE3" s="7316"/>
      <c r="BF3" s="7316"/>
    </row>
    <row r="4" spans="1:58" s="1" customFormat="1" ht="55.8" thickBot="1">
      <c r="A4" s="157"/>
      <c r="B4" s="2138" t="s">
        <v>2383</v>
      </c>
      <c r="C4" s="5317"/>
      <c r="D4" s="2160" t="s">
        <v>83</v>
      </c>
      <c r="E4" s="2159" t="s">
        <v>953</v>
      </c>
      <c r="F4" s="2139" t="s">
        <v>76</v>
      </c>
      <c r="G4" s="2207"/>
      <c r="H4" s="2160" t="s">
        <v>83</v>
      </c>
      <c r="I4" s="2159" t="s">
        <v>953</v>
      </c>
      <c r="J4" s="2139" t="s">
        <v>76</v>
      </c>
      <c r="K4" s="2207"/>
      <c r="L4" s="2160" t="s">
        <v>83</v>
      </c>
      <c r="M4" s="2159" t="s">
        <v>953</v>
      </c>
      <c r="N4" s="2139" t="s">
        <v>76</v>
      </c>
      <c r="O4" s="2207"/>
      <c r="P4" s="2160" t="s">
        <v>83</v>
      </c>
      <c r="Q4" s="2159" t="s">
        <v>953</v>
      </c>
      <c r="R4" s="2139" t="s">
        <v>76</v>
      </c>
      <c r="S4" s="2207"/>
      <c r="T4" s="2160" t="s">
        <v>83</v>
      </c>
      <c r="U4" s="2159" t="s">
        <v>953</v>
      </c>
      <c r="V4" s="2139" t="s">
        <v>76</v>
      </c>
      <c r="W4" s="2207"/>
      <c r="X4" s="2160" t="s">
        <v>83</v>
      </c>
      <c r="Y4" s="2159" t="s">
        <v>953</v>
      </c>
      <c r="Z4" s="2139" t="s">
        <v>76</v>
      </c>
      <c r="AA4" s="2207"/>
      <c r="AB4" s="2160" t="s">
        <v>83</v>
      </c>
      <c r="AC4" s="2159" t="s">
        <v>953</v>
      </c>
      <c r="AD4" s="2139" t="s">
        <v>76</v>
      </c>
      <c r="AE4" s="2207"/>
      <c r="AF4" s="2160" t="s">
        <v>83</v>
      </c>
      <c r="AG4" s="2159" t="s">
        <v>953</v>
      </c>
      <c r="AH4" s="2139" t="s">
        <v>76</v>
      </c>
      <c r="AI4" s="2207"/>
      <c r="AJ4" s="2160" t="s">
        <v>83</v>
      </c>
      <c r="AK4" s="2159" t="s">
        <v>953</v>
      </c>
      <c r="AL4" s="2139" t="s">
        <v>76</v>
      </c>
      <c r="AN4" s="2160" t="s">
        <v>83</v>
      </c>
      <c r="AO4" s="2159" t="s">
        <v>953</v>
      </c>
      <c r="AP4" s="2139" t="s">
        <v>76</v>
      </c>
      <c r="AR4" s="2160" t="s">
        <v>83</v>
      </c>
      <c r="AS4" s="2159" t="s">
        <v>953</v>
      </c>
      <c r="AT4" s="2139" t="s">
        <v>76</v>
      </c>
      <c r="AV4" s="2160" t="s">
        <v>83</v>
      </c>
      <c r="AW4" s="2159" t="s">
        <v>953</v>
      </c>
      <c r="AX4" s="2139" t="s">
        <v>76</v>
      </c>
      <c r="AZ4" s="2160" t="s">
        <v>83</v>
      </c>
      <c r="BA4" s="2159" t="s">
        <v>953</v>
      </c>
      <c r="BB4" s="2139" t="s">
        <v>76</v>
      </c>
      <c r="BD4" s="2160" t="s">
        <v>83</v>
      </c>
      <c r="BE4" s="2159" t="s">
        <v>953</v>
      </c>
      <c r="BF4" s="2139" t="s">
        <v>76</v>
      </c>
    </row>
    <row r="5" spans="1:58" s="1" customFormat="1">
      <c r="A5" s="157"/>
      <c r="B5" s="2999" t="s">
        <v>956</v>
      </c>
      <c r="C5" s="5317"/>
      <c r="D5" s="2225">
        <v>49</v>
      </c>
      <c r="E5" s="2226">
        <v>134</v>
      </c>
      <c r="F5" s="2227">
        <f>D5/E5</f>
        <v>0.36567164179104478</v>
      </c>
      <c r="G5" s="2207"/>
      <c r="H5" s="2225">
        <v>53</v>
      </c>
      <c r="I5" s="2226">
        <v>136</v>
      </c>
      <c r="J5" s="2227">
        <f>H5/I5</f>
        <v>0.38970588235294118</v>
      </c>
      <c r="K5" s="2207"/>
      <c r="L5" s="2225">
        <v>52</v>
      </c>
      <c r="M5" s="2226">
        <v>139</v>
      </c>
      <c r="N5" s="2227">
        <f>L5/M5</f>
        <v>0.37410071942446044</v>
      </c>
      <c r="O5" s="2207"/>
      <c r="P5" s="2225">
        <v>57</v>
      </c>
      <c r="Q5" s="2226">
        <v>139</v>
      </c>
      <c r="R5" s="2227">
        <f>P5/Q5</f>
        <v>0.41007194244604317</v>
      </c>
      <c r="S5" s="2207"/>
      <c r="T5" s="2225">
        <v>59</v>
      </c>
      <c r="U5" s="2226">
        <v>145</v>
      </c>
      <c r="V5" s="2227">
        <f>T5/U5</f>
        <v>0.40689655172413791</v>
      </c>
      <c r="W5" s="2207"/>
      <c r="X5" s="2225">
        <v>59</v>
      </c>
      <c r="Y5" s="2226">
        <v>143</v>
      </c>
      <c r="Z5" s="2227">
        <f>X5/Y5</f>
        <v>0.41258741258741261</v>
      </c>
      <c r="AA5" s="2207"/>
      <c r="AB5" s="2225">
        <v>60</v>
      </c>
      <c r="AC5" s="2226">
        <v>142</v>
      </c>
      <c r="AD5" s="2227">
        <f>AB5/AC5</f>
        <v>0.42253521126760563</v>
      </c>
      <c r="AE5" s="2207"/>
      <c r="AF5" s="2225">
        <v>50</v>
      </c>
      <c r="AG5" s="2226">
        <v>142</v>
      </c>
      <c r="AH5" s="2227">
        <f>AF5/AG5</f>
        <v>0.352112676056338</v>
      </c>
      <c r="AI5" s="2207"/>
      <c r="AJ5" s="2225">
        <v>49</v>
      </c>
      <c r="AK5" s="2226">
        <v>143</v>
      </c>
      <c r="AL5" s="2227">
        <f>AJ5/AK5</f>
        <v>0.34265734265734266</v>
      </c>
      <c r="AN5" s="2225">
        <v>49</v>
      </c>
      <c r="AO5" s="2226">
        <v>143</v>
      </c>
      <c r="AP5" s="2227">
        <f>AN5/AO5</f>
        <v>0.34265734265734266</v>
      </c>
      <c r="AR5" s="2225">
        <v>52</v>
      </c>
      <c r="AS5" s="2226">
        <v>144</v>
      </c>
      <c r="AT5" s="2227">
        <f>AR5/AS5</f>
        <v>0.3611111111111111</v>
      </c>
      <c r="AV5" s="2225">
        <v>55</v>
      </c>
      <c r="AW5" s="2226">
        <v>140</v>
      </c>
      <c r="AX5" s="2227">
        <f>AV5/AW5</f>
        <v>0.39285714285714285</v>
      </c>
      <c r="AZ5" s="2225">
        <v>55</v>
      </c>
      <c r="BA5" s="2226">
        <v>138</v>
      </c>
      <c r="BB5" s="2227">
        <f>AZ5/BA5</f>
        <v>0.39855072463768115</v>
      </c>
      <c r="BD5" s="2225">
        <v>59</v>
      </c>
      <c r="BE5" s="2226">
        <v>138</v>
      </c>
      <c r="BF5" s="2227">
        <f>BD5/BE5</f>
        <v>0.42753623188405798</v>
      </c>
    </row>
    <row r="6" spans="1:58" s="1" customFormat="1">
      <c r="A6" s="157"/>
      <c r="B6" s="3000" t="s">
        <v>957</v>
      </c>
      <c r="C6" s="5317"/>
      <c r="D6" s="1138">
        <v>4</v>
      </c>
      <c r="E6" s="2228">
        <v>52</v>
      </c>
      <c r="F6" s="2229">
        <f t="shared" ref="F6:F69" si="0">D6/E6</f>
        <v>7.6923076923076927E-2</v>
      </c>
      <c r="G6" s="2207"/>
      <c r="H6" s="1138">
        <v>5</v>
      </c>
      <c r="I6" s="2228">
        <v>52</v>
      </c>
      <c r="J6" s="2229">
        <f t="shared" ref="J6:J69" si="1">H6/I6</f>
        <v>9.6153846153846159E-2</v>
      </c>
      <c r="K6" s="2207"/>
      <c r="L6" s="1138">
        <v>4</v>
      </c>
      <c r="M6" s="2228">
        <v>52</v>
      </c>
      <c r="N6" s="2229">
        <f t="shared" ref="N6:N69" si="2">L6/M6</f>
        <v>7.6923076923076927E-2</v>
      </c>
      <c r="O6" s="2207"/>
      <c r="P6" s="1138">
        <v>5</v>
      </c>
      <c r="Q6" s="2228">
        <v>51</v>
      </c>
      <c r="R6" s="2229">
        <f t="shared" ref="R6:R69" si="3">P6/Q6</f>
        <v>9.8039215686274508E-2</v>
      </c>
      <c r="S6" s="2207"/>
      <c r="T6" s="1138">
        <v>5</v>
      </c>
      <c r="U6" s="2228">
        <v>53</v>
      </c>
      <c r="V6" s="2229">
        <f t="shared" ref="V6:V69" si="4">T6/U6</f>
        <v>9.4339622641509441E-2</v>
      </c>
      <c r="W6" s="2207"/>
      <c r="X6" s="1138">
        <v>5</v>
      </c>
      <c r="Y6" s="2228">
        <v>56</v>
      </c>
      <c r="Z6" s="2229">
        <f t="shared" ref="Z6:Z69" si="5">X6/Y6</f>
        <v>8.9285714285714288E-2</v>
      </c>
      <c r="AA6" s="2207"/>
      <c r="AB6" s="1138">
        <v>7</v>
      </c>
      <c r="AC6" s="2228">
        <v>54</v>
      </c>
      <c r="AD6" s="2229">
        <f t="shared" ref="AD6:AD20" si="6">AB6/AC6</f>
        <v>0.12962962962962962</v>
      </c>
      <c r="AE6" s="2207"/>
      <c r="AF6" s="1138">
        <v>9</v>
      </c>
      <c r="AG6" s="2228">
        <v>56</v>
      </c>
      <c r="AH6" s="2229">
        <f t="shared" ref="AH6:AH69" si="7">AF6/AG6</f>
        <v>0.16071428571428573</v>
      </c>
      <c r="AI6" s="2207"/>
      <c r="AJ6" s="1138">
        <v>8</v>
      </c>
      <c r="AK6" s="2228">
        <v>55</v>
      </c>
      <c r="AL6" s="2229">
        <f t="shared" ref="AL6:AL69" si="8">AJ6/AK6</f>
        <v>0.14545454545454545</v>
      </c>
      <c r="AN6" s="1138">
        <v>7</v>
      </c>
      <c r="AO6" s="2228">
        <v>54</v>
      </c>
      <c r="AP6" s="2229">
        <f t="shared" ref="AP6:AP69" si="9">AN6/AO6</f>
        <v>0.12962962962962962</v>
      </c>
      <c r="AR6" s="1138">
        <v>7</v>
      </c>
      <c r="AS6" s="2228">
        <v>51</v>
      </c>
      <c r="AT6" s="2229">
        <f t="shared" ref="AT6:AT69" si="10">AR6/AS6</f>
        <v>0.13725490196078433</v>
      </c>
      <c r="AV6" s="1138">
        <v>7</v>
      </c>
      <c r="AW6" s="2228">
        <v>51</v>
      </c>
      <c r="AX6" s="2229">
        <f t="shared" ref="AX6:AX16" si="11">AV6/AW6</f>
        <v>0.13725490196078433</v>
      </c>
      <c r="AZ6" s="1138">
        <v>8</v>
      </c>
      <c r="BA6" s="2228">
        <v>49</v>
      </c>
      <c r="BB6" s="2229">
        <f t="shared" ref="BB6:BB18" si="12">AZ6/BA6</f>
        <v>0.16326530612244897</v>
      </c>
      <c r="BD6" s="1138">
        <v>10</v>
      </c>
      <c r="BE6" s="2228">
        <v>46</v>
      </c>
      <c r="BF6" s="2229">
        <f t="shared" ref="BF6:BF18" si="13">BD6/BE6</f>
        <v>0.21739130434782608</v>
      </c>
    </row>
    <row r="7" spans="1:58" s="1" customFormat="1">
      <c r="A7" s="157"/>
      <c r="B7" s="3000" t="s">
        <v>958</v>
      </c>
      <c r="C7" s="5317"/>
      <c r="D7" s="1138">
        <v>11</v>
      </c>
      <c r="E7" s="2228">
        <v>64</v>
      </c>
      <c r="F7" s="2229">
        <f t="shared" si="0"/>
        <v>0.171875</v>
      </c>
      <c r="G7" s="2207"/>
      <c r="H7" s="1138">
        <v>13</v>
      </c>
      <c r="I7" s="2228">
        <v>62</v>
      </c>
      <c r="J7" s="2229">
        <f t="shared" si="1"/>
        <v>0.20967741935483872</v>
      </c>
      <c r="K7" s="2207"/>
      <c r="L7" s="1138">
        <v>14</v>
      </c>
      <c r="M7" s="2228">
        <v>63</v>
      </c>
      <c r="N7" s="2229">
        <f t="shared" si="2"/>
        <v>0.22222222222222221</v>
      </c>
      <c r="O7" s="2207"/>
      <c r="P7" s="1138">
        <v>17</v>
      </c>
      <c r="Q7" s="2228">
        <v>64</v>
      </c>
      <c r="R7" s="2229">
        <f t="shared" si="3"/>
        <v>0.265625</v>
      </c>
      <c r="S7" s="2207"/>
      <c r="T7" s="1138">
        <v>16</v>
      </c>
      <c r="U7" s="2228">
        <v>66</v>
      </c>
      <c r="V7" s="2229">
        <f t="shared" si="4"/>
        <v>0.24242424242424243</v>
      </c>
      <c r="W7" s="2207"/>
      <c r="X7" s="1138">
        <v>17</v>
      </c>
      <c r="Y7" s="2228">
        <v>61</v>
      </c>
      <c r="Z7" s="2229">
        <f t="shared" si="5"/>
        <v>0.27868852459016391</v>
      </c>
      <c r="AA7" s="2207"/>
      <c r="AB7" s="1138">
        <v>23</v>
      </c>
      <c r="AC7" s="2228">
        <v>60</v>
      </c>
      <c r="AD7" s="2229">
        <f t="shared" si="6"/>
        <v>0.38333333333333336</v>
      </c>
      <c r="AE7" s="2207"/>
      <c r="AF7" s="1138">
        <v>26</v>
      </c>
      <c r="AG7" s="2228">
        <v>62</v>
      </c>
      <c r="AH7" s="2229">
        <f t="shared" si="7"/>
        <v>0.41935483870967744</v>
      </c>
      <c r="AI7" s="2207"/>
      <c r="AJ7" s="1138">
        <v>22</v>
      </c>
      <c r="AK7" s="2228">
        <v>65</v>
      </c>
      <c r="AL7" s="2229">
        <f t="shared" si="8"/>
        <v>0.33846153846153848</v>
      </c>
      <c r="AN7" s="1138">
        <v>21</v>
      </c>
      <c r="AO7" s="2228">
        <v>67</v>
      </c>
      <c r="AP7" s="2229">
        <f t="shared" si="9"/>
        <v>0.31343283582089554</v>
      </c>
      <c r="AR7" s="1138">
        <v>22</v>
      </c>
      <c r="AS7" s="2228">
        <v>63</v>
      </c>
      <c r="AT7" s="2229">
        <f t="shared" si="10"/>
        <v>0.34920634920634919</v>
      </c>
      <c r="AV7" s="1138">
        <v>22</v>
      </c>
      <c r="AW7" s="2228">
        <v>62</v>
      </c>
      <c r="AX7" s="2229">
        <f t="shared" si="11"/>
        <v>0.35483870967741937</v>
      </c>
      <c r="AZ7" s="1138">
        <v>24</v>
      </c>
      <c r="BA7" s="2228">
        <v>63</v>
      </c>
      <c r="BB7" s="2229">
        <f t="shared" si="12"/>
        <v>0.38095238095238093</v>
      </c>
      <c r="BD7" s="1138">
        <v>26</v>
      </c>
      <c r="BE7" s="2228">
        <v>63</v>
      </c>
      <c r="BF7" s="2229">
        <f t="shared" si="13"/>
        <v>0.41269841269841268</v>
      </c>
    </row>
    <row r="8" spans="1:58" s="1" customFormat="1">
      <c r="A8" s="157"/>
      <c r="B8" s="3000" t="s">
        <v>959</v>
      </c>
      <c r="C8" s="5317"/>
      <c r="D8" s="1138">
        <v>15</v>
      </c>
      <c r="E8" s="2228">
        <v>50</v>
      </c>
      <c r="F8" s="2229">
        <f t="shared" si="0"/>
        <v>0.3</v>
      </c>
      <c r="G8" s="2207"/>
      <c r="H8" s="1138">
        <v>14</v>
      </c>
      <c r="I8" s="2228">
        <v>51</v>
      </c>
      <c r="J8" s="2229">
        <f t="shared" si="1"/>
        <v>0.27450980392156865</v>
      </c>
      <c r="K8" s="2207"/>
      <c r="L8" s="1138">
        <v>13</v>
      </c>
      <c r="M8" s="2228">
        <v>49</v>
      </c>
      <c r="N8" s="2229">
        <f t="shared" si="2"/>
        <v>0.26530612244897961</v>
      </c>
      <c r="O8" s="2207"/>
      <c r="P8" s="1138">
        <v>15</v>
      </c>
      <c r="Q8" s="2228">
        <v>51</v>
      </c>
      <c r="R8" s="2229">
        <f t="shared" si="3"/>
        <v>0.29411764705882354</v>
      </c>
      <c r="S8" s="2207"/>
      <c r="T8" s="1138">
        <v>16</v>
      </c>
      <c r="U8" s="2228">
        <v>51</v>
      </c>
      <c r="V8" s="2229">
        <f t="shared" si="4"/>
        <v>0.31372549019607843</v>
      </c>
      <c r="W8" s="2207"/>
      <c r="X8" s="1138">
        <v>16</v>
      </c>
      <c r="Y8" s="2228">
        <v>50</v>
      </c>
      <c r="Z8" s="2229">
        <f t="shared" si="5"/>
        <v>0.32</v>
      </c>
      <c r="AA8" s="2207"/>
      <c r="AB8" s="1138">
        <v>18</v>
      </c>
      <c r="AC8" s="2228">
        <v>49</v>
      </c>
      <c r="AD8" s="2229">
        <f t="shared" si="6"/>
        <v>0.36734693877551022</v>
      </c>
      <c r="AE8" s="2207"/>
      <c r="AF8" s="1138">
        <v>19</v>
      </c>
      <c r="AG8" s="2228">
        <v>50</v>
      </c>
      <c r="AH8" s="2229">
        <f t="shared" si="7"/>
        <v>0.38</v>
      </c>
      <c r="AI8" s="2207"/>
      <c r="AJ8" s="1138">
        <v>19</v>
      </c>
      <c r="AK8" s="2228">
        <v>50</v>
      </c>
      <c r="AL8" s="2229">
        <f t="shared" si="8"/>
        <v>0.38</v>
      </c>
      <c r="AN8" s="1138">
        <v>22</v>
      </c>
      <c r="AO8" s="2228">
        <v>53</v>
      </c>
      <c r="AP8" s="2229">
        <f t="shared" si="9"/>
        <v>0.41509433962264153</v>
      </c>
      <c r="AR8" s="1138">
        <v>22</v>
      </c>
      <c r="AS8" s="2228">
        <v>53</v>
      </c>
      <c r="AT8" s="2229">
        <f t="shared" si="10"/>
        <v>0.41509433962264153</v>
      </c>
      <c r="AV8" s="1138">
        <v>21</v>
      </c>
      <c r="AW8" s="2228">
        <v>52</v>
      </c>
      <c r="AX8" s="2229">
        <f t="shared" si="11"/>
        <v>0.40384615384615385</v>
      </c>
      <c r="AZ8" s="1138">
        <v>21</v>
      </c>
      <c r="BA8" s="2228">
        <v>51</v>
      </c>
      <c r="BB8" s="2229">
        <f t="shared" si="12"/>
        <v>0.41176470588235292</v>
      </c>
      <c r="BD8" s="1138">
        <v>22</v>
      </c>
      <c r="BE8" s="2228">
        <v>49</v>
      </c>
      <c r="BF8" s="2229">
        <f t="shared" si="13"/>
        <v>0.44897959183673469</v>
      </c>
    </row>
    <row r="9" spans="1:58" s="1" customFormat="1" ht="15" thickBot="1">
      <c r="A9" s="157"/>
      <c r="B9" s="3001" t="s">
        <v>960</v>
      </c>
      <c r="C9" s="5317"/>
      <c r="D9" s="1138">
        <v>9</v>
      </c>
      <c r="E9" s="1139">
        <v>42</v>
      </c>
      <c r="F9" s="2229">
        <f t="shared" si="0"/>
        <v>0.21428571428571427</v>
      </c>
      <c r="G9" s="2207"/>
      <c r="H9" s="1138">
        <v>9</v>
      </c>
      <c r="I9" s="1139">
        <v>41</v>
      </c>
      <c r="J9" s="2229">
        <f t="shared" si="1"/>
        <v>0.21951219512195122</v>
      </c>
      <c r="K9" s="2207"/>
      <c r="L9" s="1138">
        <v>13</v>
      </c>
      <c r="M9" s="1139">
        <v>45</v>
      </c>
      <c r="N9" s="2229">
        <f t="shared" si="2"/>
        <v>0.28888888888888886</v>
      </c>
      <c r="O9" s="2207"/>
      <c r="P9" s="1138">
        <v>16</v>
      </c>
      <c r="Q9" s="1139">
        <v>44</v>
      </c>
      <c r="R9" s="2229">
        <f t="shared" si="3"/>
        <v>0.36363636363636365</v>
      </c>
      <c r="S9" s="2207"/>
      <c r="T9" s="1138">
        <v>15</v>
      </c>
      <c r="U9" s="1139">
        <v>42</v>
      </c>
      <c r="V9" s="2229">
        <f t="shared" si="4"/>
        <v>0.35714285714285715</v>
      </c>
      <c r="W9" s="2207"/>
      <c r="X9" s="1138">
        <v>13</v>
      </c>
      <c r="Y9" s="1139">
        <v>41</v>
      </c>
      <c r="Z9" s="2229">
        <f t="shared" si="5"/>
        <v>0.31707317073170732</v>
      </c>
      <c r="AA9" s="2207"/>
      <c r="AB9" s="1138">
        <v>16</v>
      </c>
      <c r="AC9" s="1139">
        <v>43</v>
      </c>
      <c r="AD9" s="2229">
        <f t="shared" si="6"/>
        <v>0.37209302325581395</v>
      </c>
      <c r="AE9" s="2207"/>
      <c r="AF9" s="1138">
        <v>16</v>
      </c>
      <c r="AG9" s="1139">
        <v>45</v>
      </c>
      <c r="AH9" s="2229">
        <f t="shared" si="7"/>
        <v>0.35555555555555557</v>
      </c>
      <c r="AI9" s="2207"/>
      <c r="AJ9" s="1138">
        <v>15</v>
      </c>
      <c r="AK9" s="1139">
        <v>47</v>
      </c>
      <c r="AL9" s="2229">
        <f t="shared" si="8"/>
        <v>0.31914893617021278</v>
      </c>
      <c r="AN9" s="1138">
        <v>18</v>
      </c>
      <c r="AO9" s="1139">
        <v>47</v>
      </c>
      <c r="AP9" s="2229">
        <f t="shared" si="9"/>
        <v>0.38297872340425532</v>
      </c>
      <c r="AR9" s="1138">
        <v>19</v>
      </c>
      <c r="AS9" s="1139">
        <v>49</v>
      </c>
      <c r="AT9" s="2229">
        <f t="shared" si="10"/>
        <v>0.38775510204081631</v>
      </c>
      <c r="AV9" s="1138">
        <v>20</v>
      </c>
      <c r="AW9" s="1139">
        <v>49</v>
      </c>
      <c r="AX9" s="2229">
        <f t="shared" si="11"/>
        <v>0.40816326530612246</v>
      </c>
      <c r="AZ9" s="1138">
        <v>22</v>
      </c>
      <c r="BA9" s="1139">
        <v>48</v>
      </c>
      <c r="BB9" s="2229">
        <f t="shared" si="12"/>
        <v>0.45833333333333331</v>
      </c>
      <c r="BD9" s="1138">
        <v>22</v>
      </c>
      <c r="BE9" s="1139">
        <v>47</v>
      </c>
      <c r="BF9" s="2229">
        <f t="shared" si="13"/>
        <v>0.46808510638297873</v>
      </c>
    </row>
    <row r="10" spans="1:58" s="1" customFormat="1" ht="15" thickBot="1">
      <c r="A10" s="157"/>
      <c r="B10" s="2418" t="s">
        <v>4</v>
      </c>
      <c r="C10" s="5317"/>
      <c r="D10" s="1140">
        <f>SUM(D5:D9)</f>
        <v>88</v>
      </c>
      <c r="E10" s="1141">
        <f>SUM(E5:E9)</f>
        <v>342</v>
      </c>
      <c r="F10" s="2230">
        <f t="shared" si="0"/>
        <v>0.25730994152046782</v>
      </c>
      <c r="G10" s="2207"/>
      <c r="H10" s="1140">
        <v>94</v>
      </c>
      <c r="I10" s="1141">
        <f>SUM(I5:I9)</f>
        <v>342</v>
      </c>
      <c r="J10" s="2230">
        <f t="shared" si="1"/>
        <v>0.27485380116959063</v>
      </c>
      <c r="K10" s="2207"/>
      <c r="L10" s="1140">
        <v>96</v>
      </c>
      <c r="M10" s="1141">
        <f>SUM(M5:M9)</f>
        <v>348</v>
      </c>
      <c r="N10" s="2230">
        <f t="shared" si="2"/>
        <v>0.27586206896551724</v>
      </c>
      <c r="O10" s="2207"/>
      <c r="P10" s="1140">
        <v>110</v>
      </c>
      <c r="Q10" s="1141">
        <f>SUM(Q5:Q9)</f>
        <v>349</v>
      </c>
      <c r="R10" s="2230">
        <f t="shared" si="3"/>
        <v>0.31518624641833809</v>
      </c>
      <c r="S10" s="2207"/>
      <c r="T10" s="1140">
        <v>111</v>
      </c>
      <c r="U10" s="1141">
        <f>SUM(U5:U9)</f>
        <v>357</v>
      </c>
      <c r="V10" s="2230">
        <f t="shared" si="4"/>
        <v>0.31092436974789917</v>
      </c>
      <c r="W10" s="2207"/>
      <c r="X10" s="1140">
        <f>SUM(X5:X9)</f>
        <v>110</v>
      </c>
      <c r="Y10" s="1141">
        <f>SUM(Y5:Y9)</f>
        <v>351</v>
      </c>
      <c r="Z10" s="2230">
        <f t="shared" si="5"/>
        <v>0.31339031339031337</v>
      </c>
      <c r="AA10" s="2207"/>
      <c r="AB10" s="1140">
        <f>SUM(AB5:AB9)</f>
        <v>124</v>
      </c>
      <c r="AC10" s="1141">
        <f>SUM(AC5:AC9)</f>
        <v>348</v>
      </c>
      <c r="AD10" s="2230">
        <f t="shared" si="6"/>
        <v>0.35632183908045978</v>
      </c>
      <c r="AE10" s="2207"/>
      <c r="AF10" s="1140">
        <v>120</v>
      </c>
      <c r="AG10" s="1141">
        <f>SUM(AG5:AG9)</f>
        <v>355</v>
      </c>
      <c r="AH10" s="2230">
        <f t="shared" si="7"/>
        <v>0.3380281690140845</v>
      </c>
      <c r="AI10" s="2207"/>
      <c r="AJ10" s="1140">
        <v>113</v>
      </c>
      <c r="AK10" s="1141">
        <f>SUM(AK5:AK9)</f>
        <v>360</v>
      </c>
      <c r="AL10" s="2230">
        <f t="shared" si="8"/>
        <v>0.31388888888888888</v>
      </c>
      <c r="AN10" s="1140">
        <v>117</v>
      </c>
      <c r="AO10" s="1141">
        <f>SUM(AO5:AO9)</f>
        <v>364</v>
      </c>
      <c r="AP10" s="2230">
        <f t="shared" si="9"/>
        <v>0.32142857142857145</v>
      </c>
      <c r="AR10" s="1140">
        <f>SUM(AR5:AR9)</f>
        <v>122</v>
      </c>
      <c r="AS10" s="1141">
        <f>SUM(AS5:AS9)</f>
        <v>360</v>
      </c>
      <c r="AT10" s="2230">
        <f t="shared" si="10"/>
        <v>0.33888888888888891</v>
      </c>
      <c r="AV10" s="1140">
        <f>SUM(AV5:AV9)</f>
        <v>125</v>
      </c>
      <c r="AW10" s="1141">
        <v>354</v>
      </c>
      <c r="AX10" s="2230">
        <f t="shared" si="11"/>
        <v>0.35310734463276838</v>
      </c>
      <c r="AZ10" s="1140">
        <v>130</v>
      </c>
      <c r="BA10" s="1141">
        <v>349</v>
      </c>
      <c r="BB10" s="2230">
        <f t="shared" si="12"/>
        <v>0.37249283667621774</v>
      </c>
      <c r="BD10" s="1140">
        <v>139</v>
      </c>
      <c r="BE10" s="1141">
        <v>343</v>
      </c>
      <c r="BF10" s="2230">
        <f t="shared" si="13"/>
        <v>0.40524781341107874</v>
      </c>
    </row>
    <row r="11" spans="1:58" s="1" customFormat="1">
      <c r="A11" s="157"/>
      <c r="B11" s="3002" t="s">
        <v>961</v>
      </c>
      <c r="C11" s="5317"/>
      <c r="D11" s="1138">
        <v>9</v>
      </c>
      <c r="E11" s="2231">
        <v>42</v>
      </c>
      <c r="F11" s="2229">
        <f t="shared" si="0"/>
        <v>0.21428571428571427</v>
      </c>
      <c r="G11" s="2207"/>
      <c r="H11" s="1138">
        <v>10</v>
      </c>
      <c r="I11" s="2231">
        <v>44</v>
      </c>
      <c r="J11" s="2229">
        <f t="shared" si="1"/>
        <v>0.22727272727272727</v>
      </c>
      <c r="K11" s="2207"/>
      <c r="L11" s="1138">
        <v>9</v>
      </c>
      <c r="M11" s="2231">
        <v>44</v>
      </c>
      <c r="N11" s="2229">
        <f t="shared" si="2"/>
        <v>0.20454545454545456</v>
      </c>
      <c r="O11" s="2207"/>
      <c r="P11" s="1138">
        <v>10</v>
      </c>
      <c r="Q11" s="2231">
        <v>43</v>
      </c>
      <c r="R11" s="2229">
        <f t="shared" si="3"/>
        <v>0.23255813953488372</v>
      </c>
      <c r="S11" s="2207"/>
      <c r="T11" s="1138">
        <v>10</v>
      </c>
      <c r="U11" s="2231">
        <v>44</v>
      </c>
      <c r="V11" s="2229">
        <f t="shared" si="4"/>
        <v>0.22727272727272727</v>
      </c>
      <c r="W11" s="2207"/>
      <c r="X11" s="1138">
        <v>11</v>
      </c>
      <c r="Y11" s="2231">
        <v>43</v>
      </c>
      <c r="Z11" s="2229">
        <f t="shared" si="5"/>
        <v>0.2558139534883721</v>
      </c>
      <c r="AA11" s="2207"/>
      <c r="AB11" s="1138">
        <v>10</v>
      </c>
      <c r="AC11" s="2231">
        <v>41</v>
      </c>
      <c r="AD11" s="2229">
        <f t="shared" si="6"/>
        <v>0.24390243902439024</v>
      </c>
      <c r="AE11" s="2207"/>
      <c r="AF11" s="1138">
        <v>12</v>
      </c>
      <c r="AG11" s="2231">
        <v>45</v>
      </c>
      <c r="AH11" s="2229">
        <f t="shared" si="7"/>
        <v>0.26666666666666666</v>
      </c>
      <c r="AI11" s="2207"/>
      <c r="AJ11" s="1138">
        <v>13</v>
      </c>
      <c r="AK11" s="2231">
        <v>49</v>
      </c>
      <c r="AL11" s="2229">
        <f t="shared" si="8"/>
        <v>0.26530612244897961</v>
      </c>
      <c r="AN11" s="1138">
        <v>12</v>
      </c>
      <c r="AO11" s="2231">
        <v>47</v>
      </c>
      <c r="AP11" s="2229">
        <f t="shared" si="9"/>
        <v>0.25531914893617019</v>
      </c>
      <c r="AR11" s="1138">
        <v>13</v>
      </c>
      <c r="AS11" s="2231">
        <v>46</v>
      </c>
      <c r="AT11" s="2229">
        <f t="shared" si="10"/>
        <v>0.28260869565217389</v>
      </c>
      <c r="AV11" s="1138">
        <v>14</v>
      </c>
      <c r="AW11" s="2231">
        <v>47</v>
      </c>
      <c r="AX11" s="2229">
        <f t="shared" si="11"/>
        <v>0.2978723404255319</v>
      </c>
      <c r="AZ11" s="1138">
        <v>21</v>
      </c>
      <c r="BA11" s="2231">
        <v>46</v>
      </c>
      <c r="BB11" s="2229">
        <f t="shared" si="12"/>
        <v>0.45652173913043476</v>
      </c>
      <c r="BD11" s="1138">
        <v>21</v>
      </c>
      <c r="BE11" s="2231">
        <v>45</v>
      </c>
      <c r="BF11" s="2229">
        <f t="shared" si="13"/>
        <v>0.46666666666666667</v>
      </c>
    </row>
    <row r="12" spans="1:58" s="1" customFormat="1">
      <c r="A12" s="157"/>
      <c r="B12" s="3000" t="s">
        <v>962</v>
      </c>
      <c r="C12" s="5317"/>
      <c r="D12" s="1142">
        <v>9</v>
      </c>
      <c r="E12" s="2231">
        <v>64</v>
      </c>
      <c r="F12" s="2229">
        <f t="shared" si="0"/>
        <v>0.140625</v>
      </c>
      <c r="G12" s="2207"/>
      <c r="H12" s="1142">
        <v>8</v>
      </c>
      <c r="I12" s="2231">
        <v>63</v>
      </c>
      <c r="J12" s="2229">
        <f t="shared" si="1"/>
        <v>0.12698412698412698</v>
      </c>
      <c r="K12" s="2207"/>
      <c r="L12" s="1142">
        <v>8</v>
      </c>
      <c r="M12" s="2231">
        <v>62</v>
      </c>
      <c r="N12" s="2229">
        <f t="shared" si="2"/>
        <v>0.12903225806451613</v>
      </c>
      <c r="O12" s="2207"/>
      <c r="P12" s="1142">
        <v>13</v>
      </c>
      <c r="Q12" s="2231">
        <v>73</v>
      </c>
      <c r="R12" s="2229">
        <f t="shared" si="3"/>
        <v>0.17808219178082191</v>
      </c>
      <c r="S12" s="2207"/>
      <c r="T12" s="1142">
        <v>15</v>
      </c>
      <c r="U12" s="2231">
        <v>71</v>
      </c>
      <c r="V12" s="2229">
        <f t="shared" si="4"/>
        <v>0.21126760563380281</v>
      </c>
      <c r="W12" s="2207"/>
      <c r="X12" s="1142">
        <v>17</v>
      </c>
      <c r="Y12" s="2231">
        <v>71</v>
      </c>
      <c r="Z12" s="2229">
        <f t="shared" si="5"/>
        <v>0.23943661971830985</v>
      </c>
      <c r="AA12" s="2207"/>
      <c r="AB12" s="1142">
        <v>18</v>
      </c>
      <c r="AC12" s="2231">
        <v>68</v>
      </c>
      <c r="AD12" s="2229">
        <f t="shared" si="6"/>
        <v>0.26470588235294118</v>
      </c>
      <c r="AE12" s="2207"/>
      <c r="AF12" s="1142">
        <v>18</v>
      </c>
      <c r="AG12" s="2231">
        <v>70</v>
      </c>
      <c r="AH12" s="2229">
        <f t="shared" si="7"/>
        <v>0.25714285714285712</v>
      </c>
      <c r="AI12" s="2207"/>
      <c r="AJ12" s="1142">
        <v>16</v>
      </c>
      <c r="AK12" s="2231">
        <v>72</v>
      </c>
      <c r="AL12" s="2229">
        <f t="shared" si="8"/>
        <v>0.22222222222222221</v>
      </c>
      <c r="AN12" s="1142">
        <v>16</v>
      </c>
      <c r="AO12" s="2231">
        <v>70</v>
      </c>
      <c r="AP12" s="2229">
        <f t="shared" si="9"/>
        <v>0.22857142857142856</v>
      </c>
      <c r="AR12" s="1142">
        <v>19</v>
      </c>
      <c r="AS12" s="2231">
        <v>69</v>
      </c>
      <c r="AT12" s="2229">
        <f t="shared" si="10"/>
        <v>0.27536231884057971</v>
      </c>
      <c r="AV12" s="1142">
        <v>17</v>
      </c>
      <c r="AW12" s="2231">
        <v>66</v>
      </c>
      <c r="AX12" s="2229">
        <f t="shared" si="11"/>
        <v>0.25757575757575757</v>
      </c>
      <c r="AZ12" s="1142">
        <v>17</v>
      </c>
      <c r="BA12" s="2231">
        <v>66</v>
      </c>
      <c r="BB12" s="2229">
        <f t="shared" si="12"/>
        <v>0.25757575757575757</v>
      </c>
      <c r="BD12" s="1142">
        <v>15</v>
      </c>
      <c r="BE12" s="2231">
        <v>62</v>
      </c>
      <c r="BF12" s="2229">
        <f t="shared" si="13"/>
        <v>0.24193548387096775</v>
      </c>
    </row>
    <row r="13" spans="1:58" s="1" customFormat="1">
      <c r="A13" s="157"/>
      <c r="B13" s="3000" t="s">
        <v>963</v>
      </c>
      <c r="C13" s="5317"/>
      <c r="D13" s="1142">
        <v>23</v>
      </c>
      <c r="E13" s="2231">
        <v>71</v>
      </c>
      <c r="F13" s="2229">
        <f t="shared" si="0"/>
        <v>0.323943661971831</v>
      </c>
      <c r="G13" s="2207"/>
      <c r="H13" s="1142">
        <v>22</v>
      </c>
      <c r="I13" s="2231">
        <v>74</v>
      </c>
      <c r="J13" s="2229">
        <f t="shared" si="1"/>
        <v>0.29729729729729731</v>
      </c>
      <c r="K13" s="2207"/>
      <c r="L13" s="1142">
        <v>22</v>
      </c>
      <c r="M13" s="2231">
        <v>74</v>
      </c>
      <c r="N13" s="2229">
        <f t="shared" si="2"/>
        <v>0.29729729729729731</v>
      </c>
      <c r="O13" s="2207"/>
      <c r="P13" s="1142">
        <v>25</v>
      </c>
      <c r="Q13" s="2231">
        <v>76</v>
      </c>
      <c r="R13" s="2229">
        <f t="shared" si="3"/>
        <v>0.32894736842105265</v>
      </c>
      <c r="S13" s="2207"/>
      <c r="T13" s="1142">
        <v>25</v>
      </c>
      <c r="U13" s="2231">
        <v>76</v>
      </c>
      <c r="V13" s="2229">
        <f t="shared" si="4"/>
        <v>0.32894736842105265</v>
      </c>
      <c r="W13" s="2207"/>
      <c r="X13" s="1142">
        <v>24</v>
      </c>
      <c r="Y13" s="2231">
        <v>74</v>
      </c>
      <c r="Z13" s="2229">
        <f t="shared" si="5"/>
        <v>0.32432432432432434</v>
      </c>
      <c r="AA13" s="2207"/>
      <c r="AB13" s="1142">
        <v>25</v>
      </c>
      <c r="AC13" s="2231">
        <v>74</v>
      </c>
      <c r="AD13" s="2229">
        <f t="shared" si="6"/>
        <v>0.33783783783783783</v>
      </c>
      <c r="AE13" s="2207"/>
      <c r="AF13" s="1142">
        <v>27</v>
      </c>
      <c r="AG13" s="2231">
        <v>78</v>
      </c>
      <c r="AH13" s="2229">
        <f t="shared" si="7"/>
        <v>0.34615384615384615</v>
      </c>
      <c r="AI13" s="2207"/>
      <c r="AJ13" s="1142">
        <v>28</v>
      </c>
      <c r="AK13" s="2231">
        <v>77</v>
      </c>
      <c r="AL13" s="2229">
        <f t="shared" si="8"/>
        <v>0.36363636363636365</v>
      </c>
      <c r="AN13" s="1142">
        <v>27</v>
      </c>
      <c r="AO13" s="2231">
        <v>76</v>
      </c>
      <c r="AP13" s="2229">
        <f t="shared" si="9"/>
        <v>0.35526315789473684</v>
      </c>
      <c r="AR13" s="1142">
        <v>26</v>
      </c>
      <c r="AS13" s="2231">
        <v>73</v>
      </c>
      <c r="AT13" s="2229">
        <f t="shared" si="10"/>
        <v>0.35616438356164382</v>
      </c>
      <c r="AV13" s="1142">
        <v>25</v>
      </c>
      <c r="AW13" s="2231">
        <v>72</v>
      </c>
      <c r="AX13" s="2229">
        <f t="shared" si="11"/>
        <v>0.34722222222222221</v>
      </c>
      <c r="AZ13" s="1142">
        <v>25</v>
      </c>
      <c r="BA13" s="2231">
        <v>71</v>
      </c>
      <c r="BB13" s="2229">
        <f t="shared" si="12"/>
        <v>0.352112676056338</v>
      </c>
      <c r="BD13" s="1142">
        <v>26</v>
      </c>
      <c r="BE13" s="2231">
        <v>67</v>
      </c>
      <c r="BF13" s="2229">
        <f t="shared" si="13"/>
        <v>0.38805970149253732</v>
      </c>
    </row>
    <row r="14" spans="1:58" s="1" customFormat="1">
      <c r="A14" s="157"/>
      <c r="B14" s="3000" t="s">
        <v>695</v>
      </c>
      <c r="C14" s="5317"/>
      <c r="D14" s="1138">
        <v>17</v>
      </c>
      <c r="E14" s="2231">
        <v>56</v>
      </c>
      <c r="F14" s="2229">
        <f t="shared" si="0"/>
        <v>0.30357142857142855</v>
      </c>
      <c r="G14" s="2207"/>
      <c r="H14" s="1138">
        <v>17</v>
      </c>
      <c r="I14" s="2231">
        <v>57</v>
      </c>
      <c r="J14" s="2229">
        <f t="shared" si="1"/>
        <v>0.2982456140350877</v>
      </c>
      <c r="K14" s="2207"/>
      <c r="L14" s="1138">
        <v>18</v>
      </c>
      <c r="M14" s="2231">
        <v>58</v>
      </c>
      <c r="N14" s="2229">
        <f t="shared" si="2"/>
        <v>0.31034482758620691</v>
      </c>
      <c r="O14" s="2207"/>
      <c r="P14" s="1138">
        <v>19</v>
      </c>
      <c r="Q14" s="2231">
        <v>58</v>
      </c>
      <c r="R14" s="2229">
        <f t="shared" si="3"/>
        <v>0.32758620689655171</v>
      </c>
      <c r="S14" s="2207"/>
      <c r="T14" s="1138">
        <v>19</v>
      </c>
      <c r="U14" s="2231">
        <v>58</v>
      </c>
      <c r="V14" s="2229">
        <f t="shared" si="4"/>
        <v>0.32758620689655171</v>
      </c>
      <c r="W14" s="2207"/>
      <c r="X14" s="1138">
        <v>18</v>
      </c>
      <c r="Y14" s="2231">
        <v>56</v>
      </c>
      <c r="Z14" s="2229">
        <f t="shared" si="5"/>
        <v>0.32142857142857145</v>
      </c>
      <c r="AA14" s="2207"/>
      <c r="AB14" s="1138">
        <v>16</v>
      </c>
      <c r="AC14" s="2231">
        <v>56</v>
      </c>
      <c r="AD14" s="2229">
        <f t="shared" si="6"/>
        <v>0.2857142857142857</v>
      </c>
      <c r="AE14" s="2207"/>
      <c r="AF14" s="1138">
        <v>16</v>
      </c>
      <c r="AG14" s="2231">
        <v>57</v>
      </c>
      <c r="AH14" s="2229">
        <f t="shared" si="7"/>
        <v>0.2807017543859649</v>
      </c>
      <c r="AI14" s="2207"/>
      <c r="AJ14" s="1138">
        <v>20</v>
      </c>
      <c r="AK14" s="2231">
        <v>57</v>
      </c>
      <c r="AL14" s="2229">
        <f t="shared" si="8"/>
        <v>0.35087719298245612</v>
      </c>
      <c r="AN14" s="1138">
        <v>18</v>
      </c>
      <c r="AO14" s="2231">
        <v>57</v>
      </c>
      <c r="AP14" s="2229">
        <f t="shared" si="9"/>
        <v>0.31578947368421051</v>
      </c>
      <c r="AR14" s="1138">
        <v>18</v>
      </c>
      <c r="AS14" s="2231">
        <v>56</v>
      </c>
      <c r="AT14" s="2229">
        <f t="shared" si="10"/>
        <v>0.32142857142857145</v>
      </c>
      <c r="AV14" s="1138">
        <v>19</v>
      </c>
      <c r="AW14" s="2231">
        <v>54</v>
      </c>
      <c r="AX14" s="2229">
        <f t="shared" si="11"/>
        <v>0.35185185185185186</v>
      </c>
      <c r="AZ14" s="1138">
        <v>24</v>
      </c>
      <c r="BA14" s="2231">
        <v>51</v>
      </c>
      <c r="BB14" s="2229">
        <f t="shared" si="12"/>
        <v>0.47058823529411764</v>
      </c>
      <c r="BD14" s="1138">
        <v>22</v>
      </c>
      <c r="BE14" s="2231">
        <v>51</v>
      </c>
      <c r="BF14" s="2229">
        <f t="shared" si="13"/>
        <v>0.43137254901960786</v>
      </c>
    </row>
    <row r="15" spans="1:58" s="1" customFormat="1" ht="15" thickBot="1">
      <c r="A15" s="157"/>
      <c r="B15" s="3003" t="s">
        <v>964</v>
      </c>
      <c r="C15" s="5317"/>
      <c r="D15" s="1142">
        <v>31</v>
      </c>
      <c r="E15" s="1143">
        <v>75</v>
      </c>
      <c r="F15" s="2229">
        <f t="shared" si="0"/>
        <v>0.41333333333333333</v>
      </c>
      <c r="G15" s="2207"/>
      <c r="H15" s="1142">
        <v>31</v>
      </c>
      <c r="I15" s="1143">
        <v>77</v>
      </c>
      <c r="J15" s="2229">
        <f t="shared" si="1"/>
        <v>0.40259740259740262</v>
      </c>
      <c r="K15" s="2207"/>
      <c r="L15" s="1142">
        <v>31</v>
      </c>
      <c r="M15" s="1143">
        <v>76</v>
      </c>
      <c r="N15" s="2229">
        <f t="shared" si="2"/>
        <v>0.40789473684210525</v>
      </c>
      <c r="O15" s="2207"/>
      <c r="P15" s="1142">
        <v>37</v>
      </c>
      <c r="Q15" s="1143">
        <v>76</v>
      </c>
      <c r="R15" s="2229">
        <f t="shared" si="3"/>
        <v>0.48684210526315791</v>
      </c>
      <c r="S15" s="2207"/>
      <c r="T15" s="1142">
        <v>40</v>
      </c>
      <c r="U15" s="1143">
        <v>76</v>
      </c>
      <c r="V15" s="2229">
        <f t="shared" si="4"/>
        <v>0.52631578947368418</v>
      </c>
      <c r="W15" s="2207"/>
      <c r="X15" s="1142">
        <v>41</v>
      </c>
      <c r="Y15" s="1143">
        <v>75</v>
      </c>
      <c r="Z15" s="2229">
        <f t="shared" si="5"/>
        <v>0.54666666666666663</v>
      </c>
      <c r="AA15" s="2207"/>
      <c r="AB15" s="1142">
        <v>43</v>
      </c>
      <c r="AC15" s="1143">
        <v>72</v>
      </c>
      <c r="AD15" s="2229">
        <f t="shared" si="6"/>
        <v>0.59722222222222221</v>
      </c>
      <c r="AE15" s="2207"/>
      <c r="AF15" s="1142">
        <v>45</v>
      </c>
      <c r="AG15" s="1143">
        <v>73</v>
      </c>
      <c r="AH15" s="2229">
        <f t="shared" si="7"/>
        <v>0.61643835616438358</v>
      </c>
      <c r="AI15" s="2207"/>
      <c r="AJ15" s="1142">
        <v>40</v>
      </c>
      <c r="AK15" s="1143">
        <v>76</v>
      </c>
      <c r="AL15" s="2229">
        <f t="shared" si="8"/>
        <v>0.52631578947368418</v>
      </c>
      <c r="AN15" s="1142">
        <v>39</v>
      </c>
      <c r="AO15" s="1143">
        <v>73</v>
      </c>
      <c r="AP15" s="2229">
        <f t="shared" si="9"/>
        <v>0.53424657534246578</v>
      </c>
      <c r="AR15" s="1142">
        <v>39</v>
      </c>
      <c r="AS15" s="1143">
        <v>73</v>
      </c>
      <c r="AT15" s="2229">
        <f t="shared" si="10"/>
        <v>0.53424657534246578</v>
      </c>
      <c r="AV15" s="1142">
        <v>39</v>
      </c>
      <c r="AW15" s="1143">
        <v>72</v>
      </c>
      <c r="AX15" s="2229">
        <f t="shared" si="11"/>
        <v>0.54166666666666663</v>
      </c>
      <c r="AZ15" s="1142">
        <v>39</v>
      </c>
      <c r="BA15" s="1143">
        <v>70</v>
      </c>
      <c r="BB15" s="2229">
        <f t="shared" si="12"/>
        <v>0.55714285714285716</v>
      </c>
      <c r="BD15" s="1142">
        <v>41</v>
      </c>
      <c r="BE15" s="1143">
        <v>73</v>
      </c>
      <c r="BF15" s="2229">
        <f t="shared" si="13"/>
        <v>0.56164383561643838</v>
      </c>
    </row>
    <row r="16" spans="1:58" s="1" customFormat="1" ht="15" thickBot="1">
      <c r="A16" s="157"/>
      <c r="B16" s="2418" t="s">
        <v>16</v>
      </c>
      <c r="C16" s="5317"/>
      <c r="D16" s="1140">
        <f>SUM(D11:D15)</f>
        <v>89</v>
      </c>
      <c r="E16" s="1141">
        <f>SUM(E11:E15)</f>
        <v>308</v>
      </c>
      <c r="F16" s="2230">
        <f t="shared" si="0"/>
        <v>0.28896103896103897</v>
      </c>
      <c r="G16" s="2207"/>
      <c r="H16" s="1140">
        <v>88</v>
      </c>
      <c r="I16" s="1141">
        <f>SUM(I11:I15)</f>
        <v>315</v>
      </c>
      <c r="J16" s="2230">
        <f t="shared" si="1"/>
        <v>0.27936507936507937</v>
      </c>
      <c r="K16" s="2207"/>
      <c r="L16" s="1140">
        <v>88</v>
      </c>
      <c r="M16" s="1141">
        <f>SUM(M11:M15)</f>
        <v>314</v>
      </c>
      <c r="N16" s="2230">
        <f t="shared" si="2"/>
        <v>0.28025477707006369</v>
      </c>
      <c r="O16" s="2207"/>
      <c r="P16" s="1140">
        <v>104</v>
      </c>
      <c r="Q16" s="1141">
        <f>SUM(Q11:Q15)</f>
        <v>326</v>
      </c>
      <c r="R16" s="2230">
        <f t="shared" si="3"/>
        <v>0.31901840490797545</v>
      </c>
      <c r="S16" s="2207"/>
      <c r="T16" s="1140">
        <v>109</v>
      </c>
      <c r="U16" s="1141">
        <f>SUM(U11:U15)</f>
        <v>325</v>
      </c>
      <c r="V16" s="2230">
        <f t="shared" si="4"/>
        <v>0.33538461538461539</v>
      </c>
      <c r="W16" s="2207"/>
      <c r="X16" s="1140">
        <f>SUM(X11:X15)</f>
        <v>111</v>
      </c>
      <c r="Y16" s="1141">
        <f>SUM(Y11:Y15)</f>
        <v>319</v>
      </c>
      <c r="Z16" s="2230">
        <f t="shared" si="5"/>
        <v>0.34796238244514105</v>
      </c>
      <c r="AA16" s="2207"/>
      <c r="AB16" s="1140">
        <f>SUM(AB11:AB15)</f>
        <v>112</v>
      </c>
      <c r="AC16" s="1141">
        <f>SUM(AC11:AC15)</f>
        <v>311</v>
      </c>
      <c r="AD16" s="2230">
        <f t="shared" si="6"/>
        <v>0.36012861736334406</v>
      </c>
      <c r="AE16" s="2207"/>
      <c r="AF16" s="1140">
        <v>118</v>
      </c>
      <c r="AG16" s="1141">
        <f>SUM(AG11:AG15)</f>
        <v>323</v>
      </c>
      <c r="AH16" s="2230">
        <f t="shared" si="7"/>
        <v>0.3653250773993808</v>
      </c>
      <c r="AI16" s="2207"/>
      <c r="AJ16" s="1140">
        <v>117</v>
      </c>
      <c r="AK16" s="1141">
        <f>SUM(AK11:AK15)</f>
        <v>331</v>
      </c>
      <c r="AL16" s="2230">
        <f t="shared" si="8"/>
        <v>0.35347432024169184</v>
      </c>
      <c r="AN16" s="1140">
        <v>112</v>
      </c>
      <c r="AO16" s="1141">
        <f>SUM(AO11:AO15)</f>
        <v>323</v>
      </c>
      <c r="AP16" s="2230">
        <f t="shared" si="9"/>
        <v>0.34674922600619196</v>
      </c>
      <c r="AR16" s="1140">
        <f>SUM(AR11:AR15)</f>
        <v>115</v>
      </c>
      <c r="AS16" s="1141">
        <f>SUM(AS11:AS15)</f>
        <v>317</v>
      </c>
      <c r="AT16" s="2230">
        <f t="shared" si="10"/>
        <v>0.36277602523659308</v>
      </c>
      <c r="AV16" s="1140">
        <f>SUM(AV11:AV15)</f>
        <v>114</v>
      </c>
      <c r="AW16" s="1141">
        <f>SUM(AW11:AW15)</f>
        <v>311</v>
      </c>
      <c r="AX16" s="2230">
        <f t="shared" si="11"/>
        <v>0.36655948553054662</v>
      </c>
      <c r="AZ16" s="1140">
        <v>126</v>
      </c>
      <c r="BA16" s="1141">
        <v>304</v>
      </c>
      <c r="BB16" s="2230">
        <f t="shared" si="12"/>
        <v>0.41447368421052633</v>
      </c>
      <c r="BD16" s="1140">
        <v>125</v>
      </c>
      <c r="BE16" s="1141">
        <v>298</v>
      </c>
      <c r="BF16" s="2230">
        <f t="shared" si="13"/>
        <v>0.41946308724832215</v>
      </c>
    </row>
    <row r="17" spans="1:58" s="1" customFormat="1">
      <c r="A17" s="157"/>
      <c r="B17" s="3004" t="s">
        <v>1412</v>
      </c>
      <c r="C17" s="5317"/>
      <c r="D17" s="1138">
        <v>3</v>
      </c>
      <c r="E17" s="2231">
        <v>55</v>
      </c>
      <c r="F17" s="2229">
        <f t="shared" si="0"/>
        <v>5.4545454545454543E-2</v>
      </c>
      <c r="G17" s="2207"/>
      <c r="H17" s="1138">
        <v>3</v>
      </c>
      <c r="I17" s="2231">
        <v>58</v>
      </c>
      <c r="J17" s="2229">
        <f t="shared" si="1"/>
        <v>5.1724137931034482E-2</v>
      </c>
      <c r="K17" s="2207"/>
      <c r="L17" s="1138">
        <v>2</v>
      </c>
      <c r="M17" s="2231">
        <v>57</v>
      </c>
      <c r="N17" s="2229">
        <f t="shared" si="2"/>
        <v>3.5087719298245612E-2</v>
      </c>
      <c r="O17" s="2207"/>
      <c r="P17" s="1138">
        <v>3</v>
      </c>
      <c r="Q17" s="2231">
        <v>59</v>
      </c>
      <c r="R17" s="2229">
        <f t="shared" si="3"/>
        <v>5.0847457627118647E-2</v>
      </c>
      <c r="S17" s="2207"/>
      <c r="T17" s="1138">
        <v>3</v>
      </c>
      <c r="U17" s="2231">
        <v>60</v>
      </c>
      <c r="V17" s="2229">
        <f t="shared" si="4"/>
        <v>0.05</v>
      </c>
      <c r="W17" s="2207"/>
      <c r="X17" s="1138">
        <v>4</v>
      </c>
      <c r="Y17" s="2231">
        <v>60</v>
      </c>
      <c r="Z17" s="2229">
        <f t="shared" si="5"/>
        <v>6.6666666666666666E-2</v>
      </c>
      <c r="AA17" s="2207"/>
      <c r="AB17" s="1138">
        <v>4</v>
      </c>
      <c r="AC17" s="2231">
        <v>61</v>
      </c>
      <c r="AD17" s="2229">
        <f t="shared" si="6"/>
        <v>6.5573770491803282E-2</v>
      </c>
      <c r="AE17" s="2207"/>
      <c r="AF17" s="1138">
        <v>4</v>
      </c>
      <c r="AG17" s="2231">
        <v>60</v>
      </c>
      <c r="AH17" s="2229">
        <f t="shared" si="7"/>
        <v>6.6666666666666666E-2</v>
      </c>
      <c r="AI17" s="2207"/>
      <c r="AJ17" s="1138">
        <v>4</v>
      </c>
      <c r="AK17" s="2231">
        <v>61</v>
      </c>
      <c r="AL17" s="2229">
        <f t="shared" si="8"/>
        <v>6.5573770491803282E-2</v>
      </c>
      <c r="AN17" s="1138">
        <v>5</v>
      </c>
      <c r="AO17" s="2231">
        <v>60</v>
      </c>
      <c r="AP17" s="2229">
        <f t="shared" si="9"/>
        <v>8.3333333333333329E-2</v>
      </c>
      <c r="AR17" s="1138">
        <v>6</v>
      </c>
      <c r="AS17" s="2231">
        <v>61</v>
      </c>
      <c r="AT17" s="2229">
        <f t="shared" si="10"/>
        <v>9.8360655737704916E-2</v>
      </c>
      <c r="AV17" s="1138">
        <v>7</v>
      </c>
      <c r="AW17" s="2231">
        <v>61</v>
      </c>
      <c r="AX17" s="2229">
        <f t="shared" ref="AX17:AX81" si="14">AV17/AW17</f>
        <v>0.11475409836065574</v>
      </c>
      <c r="AZ17" s="1138">
        <v>8</v>
      </c>
      <c r="BA17" s="2231">
        <v>39</v>
      </c>
      <c r="BB17" s="2229">
        <f t="shared" si="12"/>
        <v>0.20512820512820512</v>
      </c>
      <c r="BD17" s="1138">
        <v>9</v>
      </c>
      <c r="BE17" s="2231">
        <v>40</v>
      </c>
      <c r="BF17" s="2229">
        <f t="shared" si="13"/>
        <v>0.22500000000000001</v>
      </c>
    </row>
    <row r="18" spans="1:58" s="1" customFormat="1">
      <c r="A18" s="157"/>
      <c r="B18" s="3004" t="s">
        <v>1413</v>
      </c>
      <c r="C18" s="5317"/>
      <c r="D18" s="1138">
        <v>1</v>
      </c>
      <c r="E18" s="2231">
        <v>41</v>
      </c>
      <c r="F18" s="2229">
        <f t="shared" si="0"/>
        <v>2.4390243902439025E-2</v>
      </c>
      <c r="G18" s="2207"/>
      <c r="H18" s="1138">
        <v>1</v>
      </c>
      <c r="I18" s="2231">
        <v>41</v>
      </c>
      <c r="J18" s="2229">
        <f t="shared" si="1"/>
        <v>2.4390243902439025E-2</v>
      </c>
      <c r="K18" s="2207"/>
      <c r="L18" s="1138">
        <v>1</v>
      </c>
      <c r="M18" s="2231">
        <v>41</v>
      </c>
      <c r="N18" s="2229">
        <f t="shared" si="2"/>
        <v>2.4390243902439025E-2</v>
      </c>
      <c r="O18" s="2207"/>
      <c r="P18" s="1138">
        <v>1</v>
      </c>
      <c r="Q18" s="2231">
        <v>44</v>
      </c>
      <c r="R18" s="2229">
        <f t="shared" si="3"/>
        <v>2.2727272727272728E-2</v>
      </c>
      <c r="S18" s="2207"/>
      <c r="T18" s="1138">
        <v>2</v>
      </c>
      <c r="U18" s="2231">
        <v>45</v>
      </c>
      <c r="V18" s="2229">
        <f t="shared" si="4"/>
        <v>4.4444444444444446E-2</v>
      </c>
      <c r="W18" s="2207"/>
      <c r="X18" s="1138">
        <v>3</v>
      </c>
      <c r="Y18" s="2231">
        <v>42</v>
      </c>
      <c r="Z18" s="2229">
        <f t="shared" si="5"/>
        <v>7.1428571428571425E-2</v>
      </c>
      <c r="AA18" s="2207"/>
      <c r="AB18" s="1138">
        <v>3</v>
      </c>
      <c r="AC18" s="2231">
        <v>40</v>
      </c>
      <c r="AD18" s="2229">
        <f t="shared" si="6"/>
        <v>7.4999999999999997E-2</v>
      </c>
      <c r="AE18" s="2207"/>
      <c r="AF18" s="1138">
        <v>3</v>
      </c>
      <c r="AG18" s="2231">
        <v>38</v>
      </c>
      <c r="AH18" s="2229">
        <f t="shared" si="7"/>
        <v>7.8947368421052627E-2</v>
      </c>
      <c r="AI18" s="2207"/>
      <c r="AJ18" s="1138">
        <v>2</v>
      </c>
      <c r="AK18" s="2231">
        <v>37</v>
      </c>
      <c r="AL18" s="2229">
        <f t="shared" si="8"/>
        <v>5.4054054054054057E-2</v>
      </c>
      <c r="AN18" s="1138">
        <v>3</v>
      </c>
      <c r="AO18" s="2231">
        <v>41</v>
      </c>
      <c r="AP18" s="2229">
        <f t="shared" si="9"/>
        <v>7.3170731707317069E-2</v>
      </c>
      <c r="AR18" s="1138">
        <v>5</v>
      </c>
      <c r="AS18" s="2231">
        <v>35</v>
      </c>
      <c r="AT18" s="2229">
        <f t="shared" si="10"/>
        <v>0.14285714285714285</v>
      </c>
      <c r="AV18" s="1138">
        <v>4</v>
      </c>
      <c r="AW18" s="2231">
        <v>35</v>
      </c>
      <c r="AX18" s="2229">
        <f t="shared" si="14"/>
        <v>0.11428571428571428</v>
      </c>
      <c r="AZ18" s="1138">
        <v>6</v>
      </c>
      <c r="BA18" s="2231">
        <v>61</v>
      </c>
      <c r="BB18" s="2229">
        <f t="shared" si="12"/>
        <v>9.8360655737704916E-2</v>
      </c>
      <c r="BD18" s="1138">
        <v>4</v>
      </c>
      <c r="BE18" s="2231">
        <v>59</v>
      </c>
      <c r="BF18" s="2229">
        <f t="shared" si="13"/>
        <v>6.7796610169491525E-2</v>
      </c>
    </row>
    <row r="19" spans="1:58" s="1" customFormat="1">
      <c r="A19" s="157"/>
      <c r="B19" s="3000" t="s">
        <v>968</v>
      </c>
      <c r="C19" s="5317"/>
      <c r="D19" s="1138">
        <v>1</v>
      </c>
      <c r="E19" s="2231">
        <v>36</v>
      </c>
      <c r="F19" s="2229">
        <f>D19/E19</f>
        <v>2.7777777777777776E-2</v>
      </c>
      <c r="G19" s="2207"/>
      <c r="H19" s="1138">
        <v>1</v>
      </c>
      <c r="I19" s="2231">
        <v>36</v>
      </c>
      <c r="J19" s="2229">
        <f>H19/I19</f>
        <v>2.7777777777777776E-2</v>
      </c>
      <c r="K19" s="2207"/>
      <c r="L19" s="1138">
        <v>2</v>
      </c>
      <c r="M19" s="2231">
        <v>38</v>
      </c>
      <c r="N19" s="2229">
        <f>L19/M19</f>
        <v>5.2631578947368418E-2</v>
      </c>
      <c r="O19" s="2207"/>
      <c r="P19" s="1138">
        <v>3</v>
      </c>
      <c r="Q19" s="2231">
        <v>39</v>
      </c>
      <c r="R19" s="2229">
        <f>P19/Q19</f>
        <v>7.6923076923076927E-2</v>
      </c>
      <c r="S19" s="2207"/>
      <c r="T19" s="1138">
        <v>3</v>
      </c>
      <c r="U19" s="2231">
        <v>41</v>
      </c>
      <c r="V19" s="2229">
        <f>T19/U19</f>
        <v>7.3170731707317069E-2</v>
      </c>
      <c r="W19" s="2207"/>
      <c r="X19" s="1138">
        <v>3</v>
      </c>
      <c r="Y19" s="2231">
        <v>41</v>
      </c>
      <c r="Z19" s="2229">
        <f>X19/Y19</f>
        <v>7.3170731707317069E-2</v>
      </c>
      <c r="AA19" s="2207"/>
      <c r="AB19" s="1138">
        <v>5</v>
      </c>
      <c r="AC19" s="2231">
        <v>41</v>
      </c>
      <c r="AD19" s="2229">
        <f>AB19/AC19</f>
        <v>0.12195121951219512</v>
      </c>
      <c r="AE19" s="2207"/>
      <c r="AF19" s="1138">
        <v>5</v>
      </c>
      <c r="AG19" s="2231">
        <v>40</v>
      </c>
      <c r="AH19" s="2229">
        <f>AF19/AG19</f>
        <v>0.125</v>
      </c>
      <c r="AI19" s="2207"/>
      <c r="AJ19" s="1138">
        <v>4</v>
      </c>
      <c r="AK19" s="2231">
        <v>42</v>
      </c>
      <c r="AL19" s="2229">
        <f>AJ19/AK19</f>
        <v>9.5238095238095233E-2</v>
      </c>
      <c r="AN19" s="1138">
        <v>3</v>
      </c>
      <c r="AO19" s="2231">
        <v>37</v>
      </c>
      <c r="AP19" s="2229">
        <f>AN19/AO19</f>
        <v>8.1081081081081086E-2</v>
      </c>
      <c r="AR19" s="1138">
        <v>3</v>
      </c>
      <c r="AS19" s="2231">
        <v>41</v>
      </c>
      <c r="AT19" s="2229">
        <f>AR19/AS19</f>
        <v>7.3170731707317069E-2</v>
      </c>
      <c r="AV19" s="1138">
        <v>3</v>
      </c>
      <c r="AW19" s="2231">
        <v>41</v>
      </c>
      <c r="AX19" s="2229">
        <f>AV19/AW19</f>
        <v>7.3170731707317069E-2</v>
      </c>
      <c r="AZ19" s="1138">
        <v>3</v>
      </c>
      <c r="BA19" s="2231">
        <v>34</v>
      </c>
      <c r="BB19" s="2229">
        <f>AZ19/BA19</f>
        <v>8.8235294117647065E-2</v>
      </c>
      <c r="BD19" s="1138">
        <v>3</v>
      </c>
      <c r="BE19" s="2231">
        <v>35</v>
      </c>
      <c r="BF19" s="2229">
        <f>BD19/BE19</f>
        <v>8.5714285714285715E-2</v>
      </c>
    </row>
    <row r="20" spans="1:58" s="1" customFormat="1" ht="15" thickBot="1">
      <c r="A20" s="157"/>
      <c r="B20" s="3003" t="s">
        <v>1414</v>
      </c>
      <c r="C20" s="5317"/>
      <c r="D20" s="1138">
        <v>1</v>
      </c>
      <c r="E20" s="2231">
        <v>67</v>
      </c>
      <c r="F20" s="2229">
        <f t="shared" si="0"/>
        <v>1.4925373134328358E-2</v>
      </c>
      <c r="G20" s="2207"/>
      <c r="H20" s="1138">
        <v>1</v>
      </c>
      <c r="I20" s="2231">
        <v>66</v>
      </c>
      <c r="J20" s="2229">
        <f t="shared" si="1"/>
        <v>1.5151515151515152E-2</v>
      </c>
      <c r="K20" s="2207"/>
      <c r="L20" s="1138">
        <v>1</v>
      </c>
      <c r="M20" s="2231">
        <v>70</v>
      </c>
      <c r="N20" s="2229">
        <f t="shared" si="2"/>
        <v>1.4285714285714285E-2</v>
      </c>
      <c r="O20" s="2207"/>
      <c r="P20" s="1138">
        <v>1</v>
      </c>
      <c r="Q20" s="2231">
        <v>69</v>
      </c>
      <c r="R20" s="2229">
        <f t="shared" si="3"/>
        <v>1.4492753623188406E-2</v>
      </c>
      <c r="S20" s="2207"/>
      <c r="T20" s="1138">
        <v>3</v>
      </c>
      <c r="U20" s="2231">
        <v>75</v>
      </c>
      <c r="V20" s="2229">
        <f t="shared" si="4"/>
        <v>0.04</v>
      </c>
      <c r="W20" s="2207"/>
      <c r="X20" s="1138">
        <v>3</v>
      </c>
      <c r="Y20" s="2231">
        <v>72</v>
      </c>
      <c r="Z20" s="2229">
        <f t="shared" si="5"/>
        <v>4.1666666666666664E-2</v>
      </c>
      <c r="AA20" s="2207"/>
      <c r="AB20" s="1138">
        <v>3</v>
      </c>
      <c r="AC20" s="2231">
        <v>71</v>
      </c>
      <c r="AD20" s="2229">
        <f t="shared" si="6"/>
        <v>4.2253521126760563E-2</v>
      </c>
      <c r="AE20" s="2207"/>
      <c r="AF20" s="1138">
        <v>3</v>
      </c>
      <c r="AG20" s="2231">
        <v>71</v>
      </c>
      <c r="AH20" s="2229">
        <f t="shared" si="7"/>
        <v>4.2253521126760563E-2</v>
      </c>
      <c r="AI20" s="2207"/>
      <c r="AJ20" s="1138">
        <v>4</v>
      </c>
      <c r="AK20" s="2231">
        <v>73</v>
      </c>
      <c r="AL20" s="2229">
        <f t="shared" si="8"/>
        <v>5.4794520547945202E-2</v>
      </c>
      <c r="AN20" s="1138">
        <v>5</v>
      </c>
      <c r="AO20" s="2231">
        <v>71</v>
      </c>
      <c r="AP20" s="2229">
        <f t="shared" si="9"/>
        <v>7.0422535211267609E-2</v>
      </c>
      <c r="AR20" s="1138">
        <v>5</v>
      </c>
      <c r="AS20" s="2231">
        <v>72</v>
      </c>
      <c r="AT20" s="2229">
        <f t="shared" si="10"/>
        <v>6.9444444444444448E-2</v>
      </c>
      <c r="AV20" s="1138">
        <v>6</v>
      </c>
      <c r="AW20" s="2231">
        <v>67</v>
      </c>
      <c r="AX20" s="2229">
        <f t="shared" si="14"/>
        <v>8.9552238805970144E-2</v>
      </c>
      <c r="AZ20" s="1138">
        <v>5</v>
      </c>
      <c r="BA20" s="2231">
        <v>67</v>
      </c>
      <c r="BB20" s="2229">
        <f t="shared" ref="BB20:BB82" si="15">AZ20/BA20</f>
        <v>7.4626865671641784E-2</v>
      </c>
      <c r="BD20" s="1138">
        <v>5</v>
      </c>
      <c r="BE20" s="2231">
        <v>67</v>
      </c>
      <c r="BF20" s="2229">
        <f t="shared" ref="BF20:BF82" si="16">BD20/BE20</f>
        <v>7.4626865671641784E-2</v>
      </c>
    </row>
    <row r="21" spans="1:58" s="1" customFormat="1">
      <c r="A21" s="157"/>
      <c r="B21" s="2419" t="s">
        <v>21</v>
      </c>
      <c r="C21" s="5317"/>
      <c r="D21" s="1148">
        <f>SUM(D17:D20)</f>
        <v>6</v>
      </c>
      <c r="E21" s="1970">
        <f>SUM(E17:E20)</f>
        <v>199</v>
      </c>
      <c r="F21" s="2230">
        <f t="shared" si="0"/>
        <v>3.015075376884422E-2</v>
      </c>
      <c r="G21" s="2207"/>
      <c r="H21" s="1148">
        <v>6</v>
      </c>
      <c r="I21" s="1970">
        <f>SUM(I17:I20)</f>
        <v>201</v>
      </c>
      <c r="J21" s="2230">
        <f t="shared" si="1"/>
        <v>2.9850746268656716E-2</v>
      </c>
      <c r="K21" s="2207"/>
      <c r="L21" s="1148">
        <v>6</v>
      </c>
      <c r="M21" s="1970">
        <f>SUM(M17:M20)</f>
        <v>206</v>
      </c>
      <c r="N21" s="2230">
        <f t="shared" si="2"/>
        <v>2.9126213592233011E-2</v>
      </c>
      <c r="O21" s="2207"/>
      <c r="P21" s="1148">
        <v>8</v>
      </c>
      <c r="Q21" s="1970">
        <f>SUM(Q17:Q20)</f>
        <v>211</v>
      </c>
      <c r="R21" s="2230">
        <f t="shared" si="3"/>
        <v>3.7914691943127965E-2</v>
      </c>
      <c r="S21" s="2207"/>
      <c r="T21" s="1148">
        <v>11</v>
      </c>
      <c r="U21" s="1970">
        <f>SUM(U17:U20)</f>
        <v>221</v>
      </c>
      <c r="V21" s="2230">
        <f t="shared" si="4"/>
        <v>4.9773755656108594E-2</v>
      </c>
      <c r="W21" s="2207"/>
      <c r="X21" s="1148">
        <f>SUM(X17:X20)</f>
        <v>13</v>
      </c>
      <c r="Y21" s="1970">
        <f>SUM(Y17:Y20)</f>
        <v>215</v>
      </c>
      <c r="Z21" s="2230">
        <f t="shared" si="5"/>
        <v>6.0465116279069767E-2</v>
      </c>
      <c r="AA21" s="2207"/>
      <c r="AB21" s="1148">
        <f>SUM(AB17:AB20)</f>
        <v>15</v>
      </c>
      <c r="AC21" s="1970">
        <f>SUM(AC17:AC20)</f>
        <v>213</v>
      </c>
      <c r="AD21" s="2230">
        <f t="shared" ref="AD21:AD52" si="17">AB21/AC21</f>
        <v>7.0422535211267609E-2</v>
      </c>
      <c r="AE21" s="2207"/>
      <c r="AF21" s="1148">
        <v>15</v>
      </c>
      <c r="AG21" s="1970">
        <f>SUM(AG17:AG20)</f>
        <v>209</v>
      </c>
      <c r="AH21" s="2230">
        <f t="shared" si="7"/>
        <v>7.1770334928229665E-2</v>
      </c>
      <c r="AI21" s="2207"/>
      <c r="AJ21" s="1148">
        <v>14</v>
      </c>
      <c r="AK21" s="1970">
        <f>SUM(AK17:AK20)</f>
        <v>213</v>
      </c>
      <c r="AL21" s="2230">
        <f t="shared" si="8"/>
        <v>6.5727699530516437E-2</v>
      </c>
      <c r="AN21" s="1148">
        <v>16</v>
      </c>
      <c r="AO21" s="1970">
        <f>SUM(AO17:AO20)</f>
        <v>209</v>
      </c>
      <c r="AP21" s="2230">
        <f t="shared" si="9"/>
        <v>7.6555023923444973E-2</v>
      </c>
      <c r="AR21" s="1148">
        <f>SUM(AR17:AR20)</f>
        <v>19</v>
      </c>
      <c r="AS21" s="1970">
        <f>SUM(AS17:AS20)</f>
        <v>209</v>
      </c>
      <c r="AT21" s="2230">
        <f t="shared" si="10"/>
        <v>9.0909090909090912E-2</v>
      </c>
      <c r="AV21" s="1148">
        <f>SUM(AV17:AV20)</f>
        <v>20</v>
      </c>
      <c r="AW21" s="1970">
        <f>SUM(AW17:AW20)</f>
        <v>204</v>
      </c>
      <c r="AX21" s="2230">
        <f t="shared" si="14"/>
        <v>9.8039215686274508E-2</v>
      </c>
      <c r="AZ21" s="1148">
        <v>22</v>
      </c>
      <c r="BA21" s="1970">
        <v>201</v>
      </c>
      <c r="BB21" s="2230">
        <f t="shared" si="15"/>
        <v>0.10945273631840796</v>
      </c>
      <c r="BD21" s="1148">
        <v>21</v>
      </c>
      <c r="BE21" s="1970">
        <v>201</v>
      </c>
      <c r="BF21" s="2230">
        <f t="shared" si="16"/>
        <v>0.1044776119402985</v>
      </c>
    </row>
    <row r="22" spans="1:58" s="1" customFormat="1" ht="15" customHeight="1">
      <c r="A22" s="157"/>
      <c r="B22" s="3005" t="s">
        <v>888</v>
      </c>
      <c r="C22" s="5317"/>
      <c r="D22" s="2232">
        <f>SUM(D21,D16,D10)</f>
        <v>183</v>
      </c>
      <c r="E22" s="2233">
        <f>SUM(E10,E16,E21)</f>
        <v>849</v>
      </c>
      <c r="F22" s="2234">
        <f t="shared" si="0"/>
        <v>0.21554770318021202</v>
      </c>
      <c r="G22" s="2207"/>
      <c r="H22" s="2232">
        <v>188</v>
      </c>
      <c r="I22" s="2233">
        <f>SUM(I10,I16,I21)</f>
        <v>858</v>
      </c>
      <c r="J22" s="2234">
        <f t="shared" si="1"/>
        <v>0.21911421911421911</v>
      </c>
      <c r="K22" s="2207"/>
      <c r="L22" s="2232">
        <v>190</v>
      </c>
      <c r="M22" s="2233">
        <f>SUM(M10,M16,M21)</f>
        <v>868</v>
      </c>
      <c r="N22" s="2234">
        <f t="shared" si="2"/>
        <v>0.21889400921658986</v>
      </c>
      <c r="O22" s="2207"/>
      <c r="P22" s="2232">
        <v>222</v>
      </c>
      <c r="Q22" s="2233">
        <f>SUM(Q10,Q16,Q21)</f>
        <v>886</v>
      </c>
      <c r="R22" s="2234">
        <f t="shared" si="3"/>
        <v>0.25056433408577877</v>
      </c>
      <c r="S22" s="2207"/>
      <c r="T22" s="2232">
        <v>231</v>
      </c>
      <c r="U22" s="2233">
        <f>SUM(U10,U16,U21)</f>
        <v>903</v>
      </c>
      <c r="V22" s="2234">
        <f t="shared" si="4"/>
        <v>0.2558139534883721</v>
      </c>
      <c r="W22" s="2207"/>
      <c r="X22" s="2232">
        <f>SUM(X10,X16,X21)</f>
        <v>234</v>
      </c>
      <c r="Y22" s="2233">
        <v>885</v>
      </c>
      <c r="Z22" s="2234">
        <f t="shared" si="5"/>
        <v>0.26440677966101694</v>
      </c>
      <c r="AA22" s="2207"/>
      <c r="AB22" s="2232">
        <f>SUM(AB10,AB16,AB21)</f>
        <v>251</v>
      </c>
      <c r="AC22" s="2233">
        <f>SUM(AC10,AC16,AC21)</f>
        <v>872</v>
      </c>
      <c r="AD22" s="2234">
        <f t="shared" si="17"/>
        <v>0.28784403669724773</v>
      </c>
      <c r="AE22" s="2207"/>
      <c r="AF22" s="2232">
        <v>253</v>
      </c>
      <c r="AG22" s="2233">
        <f>SUM(AG10,AG16,AG21)</f>
        <v>887</v>
      </c>
      <c r="AH22" s="2234">
        <f t="shared" si="7"/>
        <v>0.28523111612175872</v>
      </c>
      <c r="AI22" s="2207"/>
      <c r="AJ22" s="2232">
        <v>244</v>
      </c>
      <c r="AK22" s="2233">
        <f>SUM(AK10,AK16,AK21)</f>
        <v>904</v>
      </c>
      <c r="AL22" s="2234">
        <f t="shared" si="8"/>
        <v>0.26991150442477874</v>
      </c>
      <c r="AN22" s="2232">
        <v>245</v>
      </c>
      <c r="AO22" s="2233">
        <f>SUM(AO10,AO16,AO21)</f>
        <v>896</v>
      </c>
      <c r="AP22" s="2234">
        <f t="shared" si="9"/>
        <v>0.2734375</v>
      </c>
      <c r="AR22" s="2232">
        <f>SUM(AR10,AR16,AR21)</f>
        <v>256</v>
      </c>
      <c r="AS22" s="2233">
        <f>SUM(AS10,AS16,AS21)</f>
        <v>886</v>
      </c>
      <c r="AT22" s="2234">
        <f t="shared" si="10"/>
        <v>0.28893905191873587</v>
      </c>
      <c r="AV22" s="2232">
        <f>SUM(AV10,AV16,AV21)</f>
        <v>259</v>
      </c>
      <c r="AW22" s="2233">
        <f>SUM(AW10,AW16,AW21)</f>
        <v>869</v>
      </c>
      <c r="AX22" s="2234">
        <f t="shared" si="14"/>
        <v>0.29804372842347526</v>
      </c>
      <c r="AZ22" s="2232">
        <v>278</v>
      </c>
      <c r="BA22" s="2233">
        <v>854</v>
      </c>
      <c r="BB22" s="2234">
        <f t="shared" si="15"/>
        <v>0.32552693208430911</v>
      </c>
      <c r="BD22" s="2232">
        <v>285</v>
      </c>
      <c r="BE22" s="2233">
        <v>842</v>
      </c>
      <c r="BF22" s="2234">
        <f t="shared" si="16"/>
        <v>0.33847980997624705</v>
      </c>
    </row>
    <row r="23" spans="1:58" s="1" customFormat="1">
      <c r="A23" s="157"/>
      <c r="B23" s="3002" t="s">
        <v>971</v>
      </c>
      <c r="C23" s="5317"/>
      <c r="D23" s="1144">
        <v>9</v>
      </c>
      <c r="E23" s="2231">
        <v>16</v>
      </c>
      <c r="F23" s="2235">
        <f t="shared" si="0"/>
        <v>0.5625</v>
      </c>
      <c r="G23" s="2207"/>
      <c r="H23" s="1144">
        <v>9</v>
      </c>
      <c r="I23" s="2231">
        <v>17</v>
      </c>
      <c r="J23" s="2235">
        <f t="shared" si="1"/>
        <v>0.52941176470588236</v>
      </c>
      <c r="K23" s="2207"/>
      <c r="L23" s="1144">
        <v>9</v>
      </c>
      <c r="M23" s="2231">
        <v>18</v>
      </c>
      <c r="N23" s="2235">
        <f t="shared" si="2"/>
        <v>0.5</v>
      </c>
      <c r="O23" s="2207"/>
      <c r="P23" s="1144">
        <v>6</v>
      </c>
      <c r="Q23" s="2231">
        <v>21</v>
      </c>
      <c r="R23" s="2235">
        <f t="shared" si="3"/>
        <v>0.2857142857142857</v>
      </c>
      <c r="S23" s="2207"/>
      <c r="T23" s="1144">
        <v>7</v>
      </c>
      <c r="U23" s="2231">
        <v>21</v>
      </c>
      <c r="V23" s="2235">
        <f t="shared" si="4"/>
        <v>0.33333333333333331</v>
      </c>
      <c r="W23" s="2207"/>
      <c r="X23" s="1144">
        <v>7</v>
      </c>
      <c r="Y23" s="2231">
        <v>19</v>
      </c>
      <c r="Z23" s="2235">
        <f t="shared" si="5"/>
        <v>0.36842105263157893</v>
      </c>
      <c r="AA23" s="2207"/>
      <c r="AB23" s="1144">
        <v>6</v>
      </c>
      <c r="AC23" s="2231">
        <v>18</v>
      </c>
      <c r="AD23" s="2235">
        <f t="shared" si="17"/>
        <v>0.33333333333333331</v>
      </c>
      <c r="AE23" s="2207"/>
      <c r="AF23" s="1144">
        <v>10</v>
      </c>
      <c r="AG23" s="2231">
        <v>19</v>
      </c>
      <c r="AH23" s="2235">
        <f t="shared" si="7"/>
        <v>0.52631578947368418</v>
      </c>
      <c r="AI23" s="2207"/>
      <c r="AJ23" s="1144">
        <v>9</v>
      </c>
      <c r="AK23" s="2231">
        <v>16</v>
      </c>
      <c r="AL23" s="2235">
        <f t="shared" si="8"/>
        <v>0.5625</v>
      </c>
      <c r="AN23" s="1144">
        <v>9</v>
      </c>
      <c r="AO23" s="2231">
        <v>16</v>
      </c>
      <c r="AP23" s="2235">
        <f t="shared" si="9"/>
        <v>0.5625</v>
      </c>
      <c r="AR23" s="1144">
        <v>7</v>
      </c>
      <c r="AS23" s="2231">
        <v>16</v>
      </c>
      <c r="AT23" s="2235">
        <f t="shared" si="10"/>
        <v>0.4375</v>
      </c>
      <c r="AV23" s="1144">
        <v>9</v>
      </c>
      <c r="AW23" s="2231">
        <v>16</v>
      </c>
      <c r="AX23" s="2235">
        <f t="shared" si="14"/>
        <v>0.5625</v>
      </c>
      <c r="AZ23" s="1144">
        <v>7</v>
      </c>
      <c r="BA23" s="2231">
        <v>17</v>
      </c>
      <c r="BB23" s="2235">
        <f t="shared" si="15"/>
        <v>0.41176470588235292</v>
      </c>
      <c r="BD23" s="1144">
        <v>9</v>
      </c>
      <c r="BE23" s="2231">
        <v>18</v>
      </c>
      <c r="BF23" s="2235">
        <f t="shared" si="16"/>
        <v>0.5</v>
      </c>
    </row>
    <row r="24" spans="1:58" s="1" customFormat="1">
      <c r="A24" s="157"/>
      <c r="B24" s="3000" t="s">
        <v>972</v>
      </c>
      <c r="C24" s="5317"/>
      <c r="D24" s="1138">
        <v>2</v>
      </c>
      <c r="E24" s="2231">
        <v>6</v>
      </c>
      <c r="F24" s="2229">
        <f t="shared" si="0"/>
        <v>0.33333333333333331</v>
      </c>
      <c r="G24" s="2207"/>
      <c r="H24" s="1138">
        <v>2</v>
      </c>
      <c r="I24" s="2231">
        <v>7</v>
      </c>
      <c r="J24" s="2229">
        <f t="shared" si="1"/>
        <v>0.2857142857142857</v>
      </c>
      <c r="K24" s="2207"/>
      <c r="L24" s="1138">
        <v>4</v>
      </c>
      <c r="M24" s="2231">
        <v>14</v>
      </c>
      <c r="N24" s="2229">
        <f t="shared" si="2"/>
        <v>0.2857142857142857</v>
      </c>
      <c r="O24" s="2207"/>
      <c r="P24" s="1138">
        <v>6</v>
      </c>
      <c r="Q24" s="2231">
        <v>13</v>
      </c>
      <c r="R24" s="2229">
        <f t="shared" si="3"/>
        <v>0.46153846153846156</v>
      </c>
      <c r="S24" s="2207"/>
      <c r="T24" s="1138">
        <v>5</v>
      </c>
      <c r="U24" s="2231">
        <v>14</v>
      </c>
      <c r="V24" s="2229">
        <f t="shared" si="4"/>
        <v>0.35714285714285715</v>
      </c>
      <c r="W24" s="2207"/>
      <c r="X24" s="1138">
        <v>7</v>
      </c>
      <c r="Y24" s="2231">
        <v>16</v>
      </c>
      <c r="Z24" s="2229">
        <f t="shared" si="5"/>
        <v>0.4375</v>
      </c>
      <c r="AA24" s="2207"/>
      <c r="AB24" s="1138">
        <v>5</v>
      </c>
      <c r="AC24" s="2231">
        <v>16</v>
      </c>
      <c r="AD24" s="2229">
        <f t="shared" si="17"/>
        <v>0.3125</v>
      </c>
      <c r="AE24" s="2207"/>
      <c r="AF24" s="1138">
        <v>6</v>
      </c>
      <c r="AG24" s="2231">
        <v>16</v>
      </c>
      <c r="AH24" s="2229">
        <f t="shared" si="7"/>
        <v>0.375</v>
      </c>
      <c r="AI24" s="2207"/>
      <c r="AJ24" s="1138">
        <v>5</v>
      </c>
      <c r="AK24" s="2231">
        <v>17</v>
      </c>
      <c r="AL24" s="2229">
        <f t="shared" si="8"/>
        <v>0.29411764705882354</v>
      </c>
      <c r="AN24" s="1138">
        <v>5</v>
      </c>
      <c r="AO24" s="2231">
        <v>18</v>
      </c>
      <c r="AP24" s="2229">
        <f t="shared" si="9"/>
        <v>0.27777777777777779</v>
      </c>
      <c r="AR24" s="1138">
        <v>5</v>
      </c>
      <c r="AS24" s="2231">
        <v>18</v>
      </c>
      <c r="AT24" s="2229">
        <f t="shared" si="10"/>
        <v>0.27777777777777779</v>
      </c>
      <c r="AV24" s="1138">
        <v>5</v>
      </c>
      <c r="AW24" s="2231">
        <v>18</v>
      </c>
      <c r="AX24" s="2229">
        <f t="shared" si="14"/>
        <v>0.27777777777777779</v>
      </c>
      <c r="AZ24" s="1138">
        <v>5</v>
      </c>
      <c r="BA24" s="2231">
        <v>19</v>
      </c>
      <c r="BB24" s="2229">
        <f t="shared" si="15"/>
        <v>0.26315789473684209</v>
      </c>
      <c r="BD24" s="1138">
        <v>5</v>
      </c>
      <c r="BE24" s="2231">
        <v>17</v>
      </c>
      <c r="BF24" s="2229">
        <f t="shared" si="16"/>
        <v>0.29411764705882354</v>
      </c>
    </row>
    <row r="25" spans="1:58" s="1" customFormat="1" ht="15" thickBot="1">
      <c r="A25" s="157"/>
      <c r="B25" s="3003" t="s">
        <v>973</v>
      </c>
      <c r="C25" s="5317"/>
      <c r="D25" s="1138">
        <v>4</v>
      </c>
      <c r="E25" s="2231">
        <v>16</v>
      </c>
      <c r="F25" s="2229">
        <f t="shared" si="0"/>
        <v>0.25</v>
      </c>
      <c r="G25" s="2207"/>
      <c r="H25" s="1138">
        <v>4</v>
      </c>
      <c r="I25" s="2231">
        <v>17</v>
      </c>
      <c r="J25" s="2229">
        <f t="shared" si="1"/>
        <v>0.23529411764705882</v>
      </c>
      <c r="K25" s="2207"/>
      <c r="L25" s="1138">
        <v>5</v>
      </c>
      <c r="M25" s="2231">
        <v>20</v>
      </c>
      <c r="N25" s="2229">
        <f t="shared" si="2"/>
        <v>0.25</v>
      </c>
      <c r="O25" s="2207"/>
      <c r="P25" s="1138">
        <v>6</v>
      </c>
      <c r="Q25" s="2231">
        <v>17</v>
      </c>
      <c r="R25" s="2229">
        <f t="shared" si="3"/>
        <v>0.35294117647058826</v>
      </c>
      <c r="S25" s="2207"/>
      <c r="T25" s="1138">
        <v>7</v>
      </c>
      <c r="U25" s="2231">
        <v>17</v>
      </c>
      <c r="V25" s="2229">
        <f t="shared" si="4"/>
        <v>0.41176470588235292</v>
      </c>
      <c r="W25" s="2207"/>
      <c r="X25" s="1138">
        <v>8</v>
      </c>
      <c r="Y25" s="2231">
        <v>19</v>
      </c>
      <c r="Z25" s="2229">
        <f t="shared" si="5"/>
        <v>0.42105263157894735</v>
      </c>
      <c r="AA25" s="2207"/>
      <c r="AB25" s="1138">
        <v>8</v>
      </c>
      <c r="AC25" s="2231">
        <v>19</v>
      </c>
      <c r="AD25" s="2229">
        <f t="shared" si="17"/>
        <v>0.42105263157894735</v>
      </c>
      <c r="AE25" s="2207"/>
      <c r="AF25" s="1138">
        <v>5</v>
      </c>
      <c r="AG25" s="2231">
        <v>19</v>
      </c>
      <c r="AH25" s="2229">
        <f t="shared" si="7"/>
        <v>0.26315789473684209</v>
      </c>
      <c r="AI25" s="2207"/>
      <c r="AJ25" s="1138">
        <v>6</v>
      </c>
      <c r="AK25" s="2231">
        <v>19</v>
      </c>
      <c r="AL25" s="2229">
        <f t="shared" si="8"/>
        <v>0.31578947368421051</v>
      </c>
      <c r="AN25" s="1138">
        <v>6</v>
      </c>
      <c r="AO25" s="2231">
        <v>19</v>
      </c>
      <c r="AP25" s="2229">
        <f t="shared" si="9"/>
        <v>0.31578947368421051</v>
      </c>
      <c r="AR25" s="1138">
        <v>6</v>
      </c>
      <c r="AS25" s="2231">
        <v>21</v>
      </c>
      <c r="AT25" s="2229">
        <f t="shared" si="10"/>
        <v>0.2857142857142857</v>
      </c>
      <c r="AV25" s="1138">
        <v>6</v>
      </c>
      <c r="AW25" s="2231">
        <v>23</v>
      </c>
      <c r="AX25" s="2229">
        <f t="shared" si="14"/>
        <v>0.2608695652173913</v>
      </c>
      <c r="AZ25" s="1138">
        <v>7</v>
      </c>
      <c r="BA25" s="2231">
        <v>23</v>
      </c>
      <c r="BB25" s="2229">
        <f t="shared" si="15"/>
        <v>0.30434782608695654</v>
      </c>
      <c r="BD25" s="1138">
        <v>7</v>
      </c>
      <c r="BE25" s="2231">
        <v>23</v>
      </c>
      <c r="BF25" s="2229">
        <f t="shared" si="16"/>
        <v>0.30434782608695654</v>
      </c>
    </row>
    <row r="26" spans="1:58" s="1" customFormat="1" ht="15" thickBot="1">
      <c r="A26" s="157"/>
      <c r="B26" s="2418" t="s">
        <v>61</v>
      </c>
      <c r="C26" s="5317"/>
      <c r="D26" s="1145">
        <f>SUM(D23:D25)</f>
        <v>15</v>
      </c>
      <c r="E26" s="1141">
        <f>SUM(E23:E25)</f>
        <v>38</v>
      </c>
      <c r="F26" s="2230">
        <f t="shared" si="0"/>
        <v>0.39473684210526316</v>
      </c>
      <c r="G26" s="2207"/>
      <c r="H26" s="1145">
        <v>15</v>
      </c>
      <c r="I26" s="1141">
        <f>SUM(I23:I25)</f>
        <v>41</v>
      </c>
      <c r="J26" s="2230">
        <f t="shared" si="1"/>
        <v>0.36585365853658536</v>
      </c>
      <c r="K26" s="2207"/>
      <c r="L26" s="1145">
        <v>18</v>
      </c>
      <c r="M26" s="1141">
        <f>SUM(M23:M25)</f>
        <v>52</v>
      </c>
      <c r="N26" s="2230">
        <f t="shared" si="2"/>
        <v>0.34615384615384615</v>
      </c>
      <c r="O26" s="2207"/>
      <c r="P26" s="1145">
        <v>18</v>
      </c>
      <c r="Q26" s="1141">
        <f>SUM(Q23:Q25)</f>
        <v>51</v>
      </c>
      <c r="R26" s="2230">
        <f t="shared" si="3"/>
        <v>0.35294117647058826</v>
      </c>
      <c r="S26" s="2207"/>
      <c r="T26" s="1145">
        <v>19</v>
      </c>
      <c r="U26" s="1141">
        <f>SUM(U23:U25)</f>
        <v>52</v>
      </c>
      <c r="V26" s="2230">
        <f t="shared" si="4"/>
        <v>0.36538461538461536</v>
      </c>
      <c r="W26" s="2207"/>
      <c r="X26" s="1145">
        <f>SUM(X23:X25)</f>
        <v>22</v>
      </c>
      <c r="Y26" s="1141">
        <v>54</v>
      </c>
      <c r="Z26" s="2230">
        <f t="shared" si="5"/>
        <v>0.40740740740740738</v>
      </c>
      <c r="AA26" s="2207"/>
      <c r="AB26" s="1145">
        <f>SUM(AB23:AB25)</f>
        <v>19</v>
      </c>
      <c r="AC26" s="1141">
        <f>SUM(AC23:AC25)</f>
        <v>53</v>
      </c>
      <c r="AD26" s="2230">
        <f t="shared" si="17"/>
        <v>0.35849056603773582</v>
      </c>
      <c r="AE26" s="2207"/>
      <c r="AF26" s="1145">
        <v>21</v>
      </c>
      <c r="AG26" s="1141">
        <f>SUM(AG23:AG25)</f>
        <v>54</v>
      </c>
      <c r="AH26" s="2230">
        <f t="shared" si="7"/>
        <v>0.3888888888888889</v>
      </c>
      <c r="AI26" s="2207"/>
      <c r="AJ26" s="1145">
        <v>20</v>
      </c>
      <c r="AK26" s="1141">
        <f>SUM(AK23:AK25)</f>
        <v>52</v>
      </c>
      <c r="AL26" s="2230">
        <f t="shared" si="8"/>
        <v>0.38461538461538464</v>
      </c>
      <c r="AN26" s="1145">
        <v>20</v>
      </c>
      <c r="AO26" s="1141">
        <f>SUM(AO23:AO25)</f>
        <v>53</v>
      </c>
      <c r="AP26" s="2230">
        <f t="shared" si="9"/>
        <v>0.37735849056603776</v>
      </c>
      <c r="AR26" s="1145">
        <f>SUM(AR23:AR25)</f>
        <v>18</v>
      </c>
      <c r="AS26" s="1141">
        <f>SUM(AS23:AS25)</f>
        <v>55</v>
      </c>
      <c r="AT26" s="2230">
        <f t="shared" si="10"/>
        <v>0.32727272727272727</v>
      </c>
      <c r="AV26" s="1145">
        <f>SUM(AV23:AV25)</f>
        <v>20</v>
      </c>
      <c r="AW26" s="1141">
        <v>57</v>
      </c>
      <c r="AX26" s="2230">
        <f t="shared" si="14"/>
        <v>0.35087719298245612</v>
      </c>
      <c r="AZ26" s="1145">
        <v>19</v>
      </c>
      <c r="BA26" s="1141">
        <v>59</v>
      </c>
      <c r="BB26" s="2230">
        <f t="shared" si="15"/>
        <v>0.32203389830508472</v>
      </c>
      <c r="BD26" s="1145">
        <v>21</v>
      </c>
      <c r="BE26" s="1141">
        <v>58</v>
      </c>
      <c r="BF26" s="2230">
        <f t="shared" si="16"/>
        <v>0.36206896551724138</v>
      </c>
    </row>
    <row r="27" spans="1:58" s="1" customFormat="1">
      <c r="A27" s="157"/>
      <c r="B27" s="3006" t="s">
        <v>974</v>
      </c>
      <c r="C27" s="5317"/>
      <c r="D27" s="1138">
        <v>14</v>
      </c>
      <c r="E27" s="2231">
        <v>8</v>
      </c>
      <c r="F27" s="2229">
        <f t="shared" si="0"/>
        <v>1.75</v>
      </c>
      <c r="G27" s="2207"/>
      <c r="H27" s="1138">
        <v>13</v>
      </c>
      <c r="I27" s="2231">
        <v>8</v>
      </c>
      <c r="J27" s="2229">
        <f t="shared" si="1"/>
        <v>1.625</v>
      </c>
      <c r="K27" s="2207"/>
      <c r="L27" s="1138">
        <v>15</v>
      </c>
      <c r="M27" s="2231">
        <v>9</v>
      </c>
      <c r="N27" s="2229">
        <f t="shared" si="2"/>
        <v>1.6666666666666667</v>
      </c>
      <c r="O27" s="2207"/>
      <c r="P27" s="1138">
        <v>15</v>
      </c>
      <c r="Q27" s="2231">
        <v>10</v>
      </c>
      <c r="R27" s="2229">
        <f t="shared" si="3"/>
        <v>1.5</v>
      </c>
      <c r="S27" s="2207"/>
      <c r="T27" s="1138">
        <v>18</v>
      </c>
      <c r="U27" s="2231">
        <v>10</v>
      </c>
      <c r="V27" s="2229">
        <f t="shared" si="4"/>
        <v>1.8</v>
      </c>
      <c r="W27" s="2207"/>
      <c r="X27" s="1138">
        <v>13</v>
      </c>
      <c r="Y27" s="2231">
        <v>12</v>
      </c>
      <c r="Z27" s="2229">
        <f t="shared" si="5"/>
        <v>1.0833333333333333</v>
      </c>
      <c r="AA27" s="2207"/>
      <c r="AB27" s="1138">
        <v>14</v>
      </c>
      <c r="AC27" s="2231">
        <v>13</v>
      </c>
      <c r="AD27" s="2229">
        <f t="shared" si="17"/>
        <v>1.0769230769230769</v>
      </c>
      <c r="AE27" s="2207"/>
      <c r="AF27" s="1138">
        <v>11</v>
      </c>
      <c r="AG27" s="2231">
        <v>13</v>
      </c>
      <c r="AH27" s="2229">
        <f t="shared" si="7"/>
        <v>0.84615384615384615</v>
      </c>
      <c r="AI27" s="2207"/>
      <c r="AJ27" s="1138">
        <v>12</v>
      </c>
      <c r="AK27" s="2231">
        <v>13</v>
      </c>
      <c r="AL27" s="2229">
        <f t="shared" si="8"/>
        <v>0.92307692307692313</v>
      </c>
      <c r="AN27" s="1138">
        <v>13</v>
      </c>
      <c r="AO27" s="2231">
        <v>14</v>
      </c>
      <c r="AP27" s="2229">
        <f t="shared" si="9"/>
        <v>0.9285714285714286</v>
      </c>
      <c r="AR27" s="1138">
        <v>12</v>
      </c>
      <c r="AS27" s="2231">
        <v>15</v>
      </c>
      <c r="AT27" s="2229">
        <f t="shared" si="10"/>
        <v>0.8</v>
      </c>
      <c r="AV27" s="1138">
        <v>13</v>
      </c>
      <c r="AW27" s="2231">
        <v>15</v>
      </c>
      <c r="AX27" s="2229">
        <f t="shared" si="14"/>
        <v>0.8666666666666667</v>
      </c>
      <c r="AZ27" s="1138">
        <v>17</v>
      </c>
      <c r="BA27" s="2231">
        <v>14</v>
      </c>
      <c r="BB27" s="2229">
        <f t="shared" si="15"/>
        <v>1.2142857142857142</v>
      </c>
      <c r="BD27" s="1138">
        <v>17</v>
      </c>
      <c r="BE27" s="2231">
        <v>15</v>
      </c>
      <c r="BF27" s="2229">
        <f t="shared" si="16"/>
        <v>1.1333333333333333</v>
      </c>
    </row>
    <row r="28" spans="1:58" s="1" customFormat="1">
      <c r="A28" s="157"/>
      <c r="B28" s="3007" t="s">
        <v>975</v>
      </c>
      <c r="C28" s="5317"/>
      <c r="D28" s="1138">
        <v>14</v>
      </c>
      <c r="E28" s="2231">
        <v>8</v>
      </c>
      <c r="F28" s="2229">
        <f t="shared" si="0"/>
        <v>1.75</v>
      </c>
      <c r="G28" s="2207"/>
      <c r="H28" s="1138">
        <v>13</v>
      </c>
      <c r="I28" s="2231">
        <v>11</v>
      </c>
      <c r="J28" s="2229">
        <f t="shared" si="1"/>
        <v>1.1818181818181819</v>
      </c>
      <c r="K28" s="2207"/>
      <c r="L28" s="1138">
        <v>18</v>
      </c>
      <c r="M28" s="2231">
        <v>14</v>
      </c>
      <c r="N28" s="2229">
        <f t="shared" si="2"/>
        <v>1.2857142857142858</v>
      </c>
      <c r="O28" s="2207"/>
      <c r="P28" s="1138">
        <v>19</v>
      </c>
      <c r="Q28" s="2231">
        <v>14</v>
      </c>
      <c r="R28" s="2229">
        <f t="shared" si="3"/>
        <v>1.3571428571428572</v>
      </c>
      <c r="S28" s="2207"/>
      <c r="T28" s="1138">
        <v>17</v>
      </c>
      <c r="U28" s="2231">
        <v>17</v>
      </c>
      <c r="V28" s="2229">
        <f t="shared" si="4"/>
        <v>1</v>
      </c>
      <c r="W28" s="2207"/>
      <c r="X28" s="1138">
        <v>16</v>
      </c>
      <c r="Y28" s="2231">
        <v>16</v>
      </c>
      <c r="Z28" s="2229">
        <f t="shared" si="5"/>
        <v>1</v>
      </c>
      <c r="AA28" s="2207"/>
      <c r="AB28" s="1138">
        <v>17</v>
      </c>
      <c r="AC28" s="2231">
        <v>18</v>
      </c>
      <c r="AD28" s="2229">
        <f t="shared" si="17"/>
        <v>0.94444444444444442</v>
      </c>
      <c r="AE28" s="2207"/>
      <c r="AF28" s="1138">
        <v>16</v>
      </c>
      <c r="AG28" s="2231">
        <v>19</v>
      </c>
      <c r="AH28" s="2229">
        <f t="shared" si="7"/>
        <v>0.84210526315789469</v>
      </c>
      <c r="AI28" s="2207"/>
      <c r="AJ28" s="1138">
        <v>16</v>
      </c>
      <c r="AK28" s="2231">
        <v>19</v>
      </c>
      <c r="AL28" s="2229">
        <f t="shared" si="8"/>
        <v>0.84210526315789469</v>
      </c>
      <c r="AN28" s="1138">
        <v>20</v>
      </c>
      <c r="AO28" s="2231">
        <v>19</v>
      </c>
      <c r="AP28" s="2229">
        <f t="shared" si="9"/>
        <v>1.0526315789473684</v>
      </c>
      <c r="AR28" s="1138">
        <v>17</v>
      </c>
      <c r="AS28" s="2231">
        <v>20</v>
      </c>
      <c r="AT28" s="2229">
        <f t="shared" si="10"/>
        <v>0.85</v>
      </c>
      <c r="AV28" s="1138">
        <v>18</v>
      </c>
      <c r="AW28" s="2231">
        <v>20</v>
      </c>
      <c r="AX28" s="2229">
        <f t="shared" si="14"/>
        <v>0.9</v>
      </c>
      <c r="AZ28" s="1138">
        <v>15</v>
      </c>
      <c r="BA28" s="2231">
        <v>20</v>
      </c>
      <c r="BB28" s="2229">
        <f t="shared" si="15"/>
        <v>0.75</v>
      </c>
      <c r="BD28" s="1138">
        <v>17</v>
      </c>
      <c r="BE28" s="2231">
        <v>22</v>
      </c>
      <c r="BF28" s="2229">
        <f t="shared" si="16"/>
        <v>0.77272727272727271</v>
      </c>
    </row>
    <row r="29" spans="1:58" s="1" customFormat="1" ht="15" thickBot="1">
      <c r="A29" s="157"/>
      <c r="B29" s="3007" t="s">
        <v>976</v>
      </c>
      <c r="C29" s="5317"/>
      <c r="D29" s="1142">
        <v>12</v>
      </c>
      <c r="E29" s="2231">
        <v>11</v>
      </c>
      <c r="F29" s="2229">
        <f t="shared" si="0"/>
        <v>1.0909090909090908</v>
      </c>
      <c r="G29" s="2207"/>
      <c r="H29" s="1142">
        <v>13</v>
      </c>
      <c r="I29" s="2231">
        <v>14</v>
      </c>
      <c r="J29" s="2229">
        <f t="shared" si="1"/>
        <v>0.9285714285714286</v>
      </c>
      <c r="K29" s="2207"/>
      <c r="L29" s="1142">
        <v>13</v>
      </c>
      <c r="M29" s="2231">
        <v>13</v>
      </c>
      <c r="N29" s="2229">
        <f t="shared" si="2"/>
        <v>1</v>
      </c>
      <c r="O29" s="2207"/>
      <c r="P29" s="1142">
        <v>17</v>
      </c>
      <c r="Q29" s="2231">
        <v>14</v>
      </c>
      <c r="R29" s="2229">
        <f t="shared" si="3"/>
        <v>1.2142857142857142</v>
      </c>
      <c r="S29" s="2207"/>
      <c r="T29" s="1142">
        <v>17</v>
      </c>
      <c r="U29" s="2231">
        <v>15</v>
      </c>
      <c r="V29" s="2229">
        <f t="shared" si="4"/>
        <v>1.1333333333333333</v>
      </c>
      <c r="W29" s="2207"/>
      <c r="X29" s="1142">
        <v>18</v>
      </c>
      <c r="Y29" s="2231">
        <v>15</v>
      </c>
      <c r="Z29" s="2229">
        <f t="shared" si="5"/>
        <v>1.2</v>
      </c>
      <c r="AA29" s="2207"/>
      <c r="AB29" s="1142">
        <v>18</v>
      </c>
      <c r="AC29" s="2231">
        <v>15</v>
      </c>
      <c r="AD29" s="2229">
        <f t="shared" si="17"/>
        <v>1.2</v>
      </c>
      <c r="AE29" s="2207"/>
      <c r="AF29" s="1142">
        <v>18</v>
      </c>
      <c r="AG29" s="2231">
        <v>16</v>
      </c>
      <c r="AH29" s="2229">
        <f t="shared" si="7"/>
        <v>1.125</v>
      </c>
      <c r="AI29" s="2207"/>
      <c r="AJ29" s="1142">
        <v>26</v>
      </c>
      <c r="AK29" s="2231">
        <v>17</v>
      </c>
      <c r="AL29" s="2229">
        <f t="shared" si="8"/>
        <v>1.5294117647058822</v>
      </c>
      <c r="AN29" s="1142">
        <v>25</v>
      </c>
      <c r="AO29" s="2231">
        <v>17</v>
      </c>
      <c r="AP29" s="2229">
        <f t="shared" si="9"/>
        <v>1.4705882352941178</v>
      </c>
      <c r="AR29" s="1142">
        <v>24</v>
      </c>
      <c r="AS29" s="2231">
        <v>17</v>
      </c>
      <c r="AT29" s="2229">
        <f t="shared" si="10"/>
        <v>1.411764705882353</v>
      </c>
      <c r="AV29" s="1142">
        <v>19</v>
      </c>
      <c r="AW29" s="2231">
        <v>17</v>
      </c>
      <c r="AX29" s="2229">
        <f t="shared" si="14"/>
        <v>1.1176470588235294</v>
      </c>
      <c r="AZ29" s="1142">
        <v>21</v>
      </c>
      <c r="BA29" s="2231">
        <v>17</v>
      </c>
      <c r="BB29" s="2229">
        <f t="shared" si="15"/>
        <v>1.2352941176470589</v>
      </c>
      <c r="BD29" s="1142">
        <v>22</v>
      </c>
      <c r="BE29" s="2231">
        <v>19</v>
      </c>
      <c r="BF29" s="2229">
        <f t="shared" si="16"/>
        <v>1.1578947368421053</v>
      </c>
    </row>
    <row r="30" spans="1:58" s="1" customFormat="1" ht="15" thickBot="1">
      <c r="A30" s="157"/>
      <c r="B30" s="2418" t="s">
        <v>64</v>
      </c>
      <c r="C30" s="5317"/>
      <c r="D30" s="1145">
        <f>SUM(D27:D29)</f>
        <v>40</v>
      </c>
      <c r="E30" s="1141">
        <f>SUM(E27:E29)</f>
        <v>27</v>
      </c>
      <c r="F30" s="2230">
        <f t="shared" si="0"/>
        <v>1.4814814814814814</v>
      </c>
      <c r="G30" s="2207"/>
      <c r="H30" s="1145">
        <v>39</v>
      </c>
      <c r="I30" s="1141">
        <f>SUM(I27:I29)</f>
        <v>33</v>
      </c>
      <c r="J30" s="2230">
        <f t="shared" si="1"/>
        <v>1.1818181818181819</v>
      </c>
      <c r="K30" s="2207"/>
      <c r="L30" s="1145">
        <v>46</v>
      </c>
      <c r="M30" s="1141">
        <f>SUM(M27:M29)</f>
        <v>36</v>
      </c>
      <c r="N30" s="2230">
        <f t="shared" si="2"/>
        <v>1.2777777777777777</v>
      </c>
      <c r="O30" s="2207"/>
      <c r="P30" s="1145">
        <v>51</v>
      </c>
      <c r="Q30" s="1141">
        <f>SUM(Q27:Q29)</f>
        <v>38</v>
      </c>
      <c r="R30" s="2230">
        <f t="shared" si="3"/>
        <v>1.3421052631578947</v>
      </c>
      <c r="S30" s="2207"/>
      <c r="T30" s="1145">
        <v>52</v>
      </c>
      <c r="U30" s="1141">
        <f>SUM(U27:U29)</f>
        <v>42</v>
      </c>
      <c r="V30" s="2230">
        <f t="shared" si="4"/>
        <v>1.2380952380952381</v>
      </c>
      <c r="W30" s="2207"/>
      <c r="X30" s="1145">
        <f>SUM(X27:X29)</f>
        <v>47</v>
      </c>
      <c r="Y30" s="1141">
        <v>43</v>
      </c>
      <c r="Z30" s="2230">
        <f t="shared" si="5"/>
        <v>1.0930232558139534</v>
      </c>
      <c r="AA30" s="2207"/>
      <c r="AB30" s="1145">
        <f>SUM(AB27:AB29)</f>
        <v>49</v>
      </c>
      <c r="AC30" s="1141">
        <f>SUM(AC27:AC29)</f>
        <v>46</v>
      </c>
      <c r="AD30" s="2230">
        <f t="shared" si="17"/>
        <v>1.0652173913043479</v>
      </c>
      <c r="AE30" s="2207"/>
      <c r="AF30" s="1145">
        <v>45</v>
      </c>
      <c r="AG30" s="1141">
        <f>SUM(AG27:AG29)</f>
        <v>48</v>
      </c>
      <c r="AH30" s="2230">
        <f t="shared" si="7"/>
        <v>0.9375</v>
      </c>
      <c r="AI30" s="2207"/>
      <c r="AJ30" s="1145">
        <v>54</v>
      </c>
      <c r="AK30" s="1141">
        <f>SUM(AK27:AK29)</f>
        <v>49</v>
      </c>
      <c r="AL30" s="2230">
        <f t="shared" si="8"/>
        <v>1.1020408163265305</v>
      </c>
      <c r="AN30" s="1145">
        <v>58</v>
      </c>
      <c r="AO30" s="1141">
        <f>SUM(AO27:AO29)</f>
        <v>50</v>
      </c>
      <c r="AP30" s="2230">
        <f t="shared" si="9"/>
        <v>1.1599999999999999</v>
      </c>
      <c r="AR30" s="1145">
        <f>SUM(AR27:AR29)</f>
        <v>53</v>
      </c>
      <c r="AS30" s="1141">
        <f>SUM(AS27:AS29)</f>
        <v>52</v>
      </c>
      <c r="AT30" s="2230">
        <f t="shared" si="10"/>
        <v>1.0192307692307692</v>
      </c>
      <c r="AV30" s="1145">
        <f>SUM(AV27:AV29)</f>
        <v>50</v>
      </c>
      <c r="AW30" s="1141">
        <v>52</v>
      </c>
      <c r="AX30" s="2230">
        <f t="shared" si="14"/>
        <v>0.96153846153846156</v>
      </c>
      <c r="AZ30" s="1145">
        <v>53</v>
      </c>
      <c r="BA30" s="1141">
        <v>51</v>
      </c>
      <c r="BB30" s="2230">
        <f t="shared" si="15"/>
        <v>1.0392156862745099</v>
      </c>
      <c r="BD30" s="1145">
        <v>56</v>
      </c>
      <c r="BE30" s="1141">
        <v>56</v>
      </c>
      <c r="BF30" s="2230">
        <f t="shared" si="16"/>
        <v>1</v>
      </c>
    </row>
    <row r="31" spans="1:58" s="1" customFormat="1">
      <c r="A31" s="157"/>
      <c r="B31" s="3006" t="s">
        <v>977</v>
      </c>
      <c r="C31" s="5317"/>
      <c r="D31" s="1138">
        <v>11</v>
      </c>
      <c r="E31" s="2231">
        <v>11</v>
      </c>
      <c r="F31" s="2229">
        <f t="shared" si="0"/>
        <v>1</v>
      </c>
      <c r="G31" s="2207"/>
      <c r="H31" s="1138">
        <v>14</v>
      </c>
      <c r="I31" s="2231">
        <v>13</v>
      </c>
      <c r="J31" s="2229">
        <f t="shared" si="1"/>
        <v>1.0769230769230769</v>
      </c>
      <c r="K31" s="2207"/>
      <c r="L31" s="1138">
        <v>14</v>
      </c>
      <c r="M31" s="2231">
        <v>13</v>
      </c>
      <c r="N31" s="2229">
        <f t="shared" si="2"/>
        <v>1.0769230769230769</v>
      </c>
      <c r="O31" s="2207"/>
      <c r="P31" s="1138">
        <v>13</v>
      </c>
      <c r="Q31" s="2231">
        <v>13</v>
      </c>
      <c r="R31" s="2229">
        <f t="shared" si="3"/>
        <v>1</v>
      </c>
      <c r="S31" s="2207"/>
      <c r="T31" s="1138">
        <v>12</v>
      </c>
      <c r="U31" s="2231">
        <v>13</v>
      </c>
      <c r="V31" s="2229">
        <f t="shared" si="4"/>
        <v>0.92307692307692313</v>
      </c>
      <c r="W31" s="2207"/>
      <c r="X31" s="1138">
        <v>16</v>
      </c>
      <c r="Y31" s="2231">
        <v>15</v>
      </c>
      <c r="Z31" s="2229">
        <f t="shared" si="5"/>
        <v>1.0666666666666667</v>
      </c>
      <c r="AA31" s="2207"/>
      <c r="AB31" s="1138">
        <v>17</v>
      </c>
      <c r="AC31" s="2231">
        <v>15</v>
      </c>
      <c r="AD31" s="2229">
        <f t="shared" si="17"/>
        <v>1.1333333333333333</v>
      </c>
      <c r="AE31" s="2207"/>
      <c r="AF31" s="1138">
        <v>19</v>
      </c>
      <c r="AG31" s="2231">
        <v>19</v>
      </c>
      <c r="AH31" s="2229">
        <f t="shared" si="7"/>
        <v>1</v>
      </c>
      <c r="AI31" s="2207"/>
      <c r="AJ31" s="1138">
        <v>15</v>
      </c>
      <c r="AK31" s="2231">
        <v>17</v>
      </c>
      <c r="AL31" s="2229">
        <f t="shared" si="8"/>
        <v>0.88235294117647056</v>
      </c>
      <c r="AN31" s="1138">
        <v>15</v>
      </c>
      <c r="AO31" s="2231">
        <v>18</v>
      </c>
      <c r="AP31" s="2229">
        <f t="shared" si="9"/>
        <v>0.83333333333333337</v>
      </c>
      <c r="AR31" s="1138">
        <v>15</v>
      </c>
      <c r="AS31" s="2231">
        <v>17</v>
      </c>
      <c r="AT31" s="2229">
        <f t="shared" si="10"/>
        <v>0.88235294117647056</v>
      </c>
      <c r="AV31" s="1138">
        <v>17</v>
      </c>
      <c r="AW31" s="2231">
        <v>16</v>
      </c>
      <c r="AX31" s="2229">
        <f t="shared" si="14"/>
        <v>1.0625</v>
      </c>
      <c r="AZ31" s="1138">
        <v>19</v>
      </c>
      <c r="BA31" s="2231">
        <v>15</v>
      </c>
      <c r="BB31" s="2229">
        <f t="shared" si="15"/>
        <v>1.2666666666666666</v>
      </c>
      <c r="BD31" s="1138">
        <v>18</v>
      </c>
      <c r="BE31" s="2231">
        <v>17</v>
      </c>
      <c r="BF31" s="2229">
        <f t="shared" si="16"/>
        <v>1.0588235294117647</v>
      </c>
    </row>
    <row r="32" spans="1:58" s="1" customFormat="1">
      <c r="A32" s="157"/>
      <c r="B32" s="3007" t="s">
        <v>978</v>
      </c>
      <c r="C32" s="5317"/>
      <c r="D32" s="1138">
        <v>14</v>
      </c>
      <c r="E32" s="2231">
        <v>12</v>
      </c>
      <c r="F32" s="2229">
        <f t="shared" si="0"/>
        <v>1.1666666666666667</v>
      </c>
      <c r="G32" s="2207"/>
      <c r="H32" s="1138">
        <v>14</v>
      </c>
      <c r="I32" s="2231">
        <v>15</v>
      </c>
      <c r="J32" s="2229">
        <f t="shared" si="1"/>
        <v>0.93333333333333335</v>
      </c>
      <c r="K32" s="2207"/>
      <c r="L32" s="1138">
        <v>11</v>
      </c>
      <c r="M32" s="2231">
        <v>12</v>
      </c>
      <c r="N32" s="2229">
        <f t="shared" si="2"/>
        <v>0.91666666666666663</v>
      </c>
      <c r="O32" s="2207"/>
      <c r="P32" s="1138">
        <v>11</v>
      </c>
      <c r="Q32" s="2231">
        <v>13</v>
      </c>
      <c r="R32" s="2229">
        <f t="shared" si="3"/>
        <v>0.84615384615384615</v>
      </c>
      <c r="S32" s="2207"/>
      <c r="T32" s="1138">
        <v>10</v>
      </c>
      <c r="U32" s="2231">
        <v>16</v>
      </c>
      <c r="V32" s="2229">
        <f t="shared" si="4"/>
        <v>0.625</v>
      </c>
      <c r="W32" s="2207"/>
      <c r="X32" s="1138">
        <v>12</v>
      </c>
      <c r="Y32" s="2231">
        <v>16</v>
      </c>
      <c r="Z32" s="2229">
        <f t="shared" si="5"/>
        <v>0.75</v>
      </c>
      <c r="AA32" s="2207"/>
      <c r="AB32" s="1138">
        <v>13</v>
      </c>
      <c r="AC32" s="2231">
        <v>18</v>
      </c>
      <c r="AD32" s="2229">
        <f t="shared" si="17"/>
        <v>0.72222222222222221</v>
      </c>
      <c r="AE32" s="2207"/>
      <c r="AF32" s="1138">
        <v>10</v>
      </c>
      <c r="AG32" s="2231">
        <v>21</v>
      </c>
      <c r="AH32" s="2229">
        <f t="shared" si="7"/>
        <v>0.47619047619047616</v>
      </c>
      <c r="AI32" s="2207"/>
      <c r="AJ32" s="1138">
        <v>7</v>
      </c>
      <c r="AK32" s="2231">
        <v>20</v>
      </c>
      <c r="AL32" s="2229">
        <f t="shared" si="8"/>
        <v>0.35</v>
      </c>
      <c r="AN32" s="1138">
        <v>8</v>
      </c>
      <c r="AO32" s="2231">
        <v>20</v>
      </c>
      <c r="AP32" s="2229">
        <f t="shared" si="9"/>
        <v>0.4</v>
      </c>
      <c r="AR32" s="1138">
        <v>8</v>
      </c>
      <c r="AS32" s="2231">
        <v>21</v>
      </c>
      <c r="AT32" s="2229">
        <f t="shared" si="10"/>
        <v>0.38095238095238093</v>
      </c>
      <c r="AV32" s="1138">
        <v>9</v>
      </c>
      <c r="AW32" s="2231">
        <v>21</v>
      </c>
      <c r="AX32" s="2229">
        <f t="shared" si="14"/>
        <v>0.42857142857142855</v>
      </c>
      <c r="AZ32" s="1138">
        <v>14</v>
      </c>
      <c r="BA32" s="2231">
        <v>22</v>
      </c>
      <c r="BB32" s="2229">
        <f t="shared" si="15"/>
        <v>0.63636363636363635</v>
      </c>
      <c r="BD32" s="1138">
        <v>17</v>
      </c>
      <c r="BE32" s="2231">
        <v>20</v>
      </c>
      <c r="BF32" s="2229">
        <f t="shared" si="16"/>
        <v>0.85</v>
      </c>
    </row>
    <row r="33" spans="1:58" s="1" customFormat="1" ht="15" thickBot="1">
      <c r="A33" s="157"/>
      <c r="B33" s="3008" t="s">
        <v>695</v>
      </c>
      <c r="C33" s="5317"/>
      <c r="D33" s="1138">
        <v>14</v>
      </c>
      <c r="E33" s="2231">
        <v>15</v>
      </c>
      <c r="F33" s="2229">
        <f t="shared" si="0"/>
        <v>0.93333333333333335</v>
      </c>
      <c r="G33" s="2207"/>
      <c r="H33" s="1138">
        <v>15</v>
      </c>
      <c r="I33" s="2231">
        <v>17</v>
      </c>
      <c r="J33" s="2229">
        <f t="shared" si="1"/>
        <v>0.88235294117647056</v>
      </c>
      <c r="K33" s="2207"/>
      <c r="L33" s="1138">
        <v>17</v>
      </c>
      <c r="M33" s="2231">
        <v>17</v>
      </c>
      <c r="N33" s="2229">
        <f t="shared" si="2"/>
        <v>1</v>
      </c>
      <c r="O33" s="2207"/>
      <c r="P33" s="1138">
        <v>22</v>
      </c>
      <c r="Q33" s="2231">
        <v>20</v>
      </c>
      <c r="R33" s="2229">
        <f t="shared" si="3"/>
        <v>1.1000000000000001</v>
      </c>
      <c r="S33" s="2207"/>
      <c r="T33" s="1138">
        <v>22</v>
      </c>
      <c r="U33" s="2231">
        <v>20</v>
      </c>
      <c r="V33" s="2229">
        <f t="shared" si="4"/>
        <v>1.1000000000000001</v>
      </c>
      <c r="W33" s="2207"/>
      <c r="X33" s="1138">
        <v>21</v>
      </c>
      <c r="Y33" s="2231">
        <v>19</v>
      </c>
      <c r="Z33" s="2229">
        <f t="shared" si="5"/>
        <v>1.1052631578947369</v>
      </c>
      <c r="AA33" s="2207"/>
      <c r="AB33" s="1138">
        <v>25</v>
      </c>
      <c r="AC33" s="2231">
        <v>21</v>
      </c>
      <c r="AD33" s="2229">
        <f t="shared" si="17"/>
        <v>1.1904761904761905</v>
      </c>
      <c r="AE33" s="2207"/>
      <c r="AF33" s="1138">
        <v>23</v>
      </c>
      <c r="AG33" s="2231">
        <v>21</v>
      </c>
      <c r="AH33" s="2229">
        <f t="shared" si="7"/>
        <v>1.0952380952380953</v>
      </c>
      <c r="AI33" s="2207"/>
      <c r="AJ33" s="1138">
        <v>22</v>
      </c>
      <c r="AK33" s="2231">
        <v>22</v>
      </c>
      <c r="AL33" s="2229">
        <f t="shared" si="8"/>
        <v>1</v>
      </c>
      <c r="AN33" s="1138">
        <v>21</v>
      </c>
      <c r="AO33" s="2231">
        <v>21</v>
      </c>
      <c r="AP33" s="2229">
        <f t="shared" si="9"/>
        <v>1</v>
      </c>
      <c r="AR33" s="1138">
        <v>20</v>
      </c>
      <c r="AS33" s="2231">
        <v>21</v>
      </c>
      <c r="AT33" s="2229">
        <f t="shared" si="10"/>
        <v>0.95238095238095233</v>
      </c>
      <c r="AV33" s="1138">
        <v>21</v>
      </c>
      <c r="AW33" s="2231">
        <v>22</v>
      </c>
      <c r="AX33" s="2229">
        <f t="shared" si="14"/>
        <v>0.95454545454545459</v>
      </c>
      <c r="AZ33" s="1138">
        <v>24</v>
      </c>
      <c r="BA33" s="2231">
        <v>22</v>
      </c>
      <c r="BB33" s="2229">
        <f t="shared" si="15"/>
        <v>1.0909090909090908</v>
      </c>
      <c r="BD33" s="1138">
        <v>25</v>
      </c>
      <c r="BE33" s="2231">
        <v>20</v>
      </c>
      <c r="BF33" s="2229">
        <f t="shared" si="16"/>
        <v>1.25</v>
      </c>
    </row>
    <row r="34" spans="1:58" s="1" customFormat="1">
      <c r="A34" s="157"/>
      <c r="B34" s="2419" t="s">
        <v>16</v>
      </c>
      <c r="C34" s="5317"/>
      <c r="D34" s="1146">
        <f>SUM(D31:D33)</f>
        <v>39</v>
      </c>
      <c r="E34" s="1970">
        <f>SUM(E31:E33)</f>
        <v>38</v>
      </c>
      <c r="F34" s="2230">
        <f t="shared" si="0"/>
        <v>1.0263157894736843</v>
      </c>
      <c r="G34" s="2207"/>
      <c r="H34" s="1146">
        <v>43</v>
      </c>
      <c r="I34" s="1970">
        <f>SUM(I31:I33)</f>
        <v>45</v>
      </c>
      <c r="J34" s="2230">
        <f t="shared" si="1"/>
        <v>0.9555555555555556</v>
      </c>
      <c r="K34" s="2207"/>
      <c r="L34" s="1146">
        <v>42</v>
      </c>
      <c r="M34" s="1970">
        <f>SUM(M31:M33)</f>
        <v>42</v>
      </c>
      <c r="N34" s="2230">
        <f t="shared" si="2"/>
        <v>1</v>
      </c>
      <c r="O34" s="2207"/>
      <c r="P34" s="1146">
        <v>46</v>
      </c>
      <c r="Q34" s="1970">
        <f>SUM(Q31:Q33)</f>
        <v>46</v>
      </c>
      <c r="R34" s="2230">
        <f t="shared" si="3"/>
        <v>1</v>
      </c>
      <c r="S34" s="2207"/>
      <c r="T34" s="1146">
        <v>44</v>
      </c>
      <c r="U34" s="1970">
        <f>SUM(U31:U33)</f>
        <v>49</v>
      </c>
      <c r="V34" s="2230">
        <f t="shared" si="4"/>
        <v>0.89795918367346939</v>
      </c>
      <c r="W34" s="2207"/>
      <c r="X34" s="1146">
        <f>SUM(X31:X33)</f>
        <v>49</v>
      </c>
      <c r="Y34" s="1970">
        <v>50</v>
      </c>
      <c r="Z34" s="2230">
        <f t="shared" si="5"/>
        <v>0.98</v>
      </c>
      <c r="AA34" s="2207"/>
      <c r="AB34" s="1146">
        <f>SUM(AB31:AB33)</f>
        <v>55</v>
      </c>
      <c r="AC34" s="1970">
        <f>SUM(AC31:AC33)</f>
        <v>54</v>
      </c>
      <c r="AD34" s="2230">
        <f t="shared" si="17"/>
        <v>1.0185185185185186</v>
      </c>
      <c r="AE34" s="2207"/>
      <c r="AF34" s="1146">
        <v>52</v>
      </c>
      <c r="AG34" s="1970">
        <f>SUM(AG31:AG33)</f>
        <v>61</v>
      </c>
      <c r="AH34" s="2230">
        <f t="shared" si="7"/>
        <v>0.85245901639344257</v>
      </c>
      <c r="AI34" s="2207"/>
      <c r="AJ34" s="1146">
        <v>44</v>
      </c>
      <c r="AK34" s="1970">
        <f>SUM(AK31:AK33)</f>
        <v>59</v>
      </c>
      <c r="AL34" s="2230">
        <f t="shared" si="8"/>
        <v>0.74576271186440679</v>
      </c>
      <c r="AN34" s="1146">
        <v>44</v>
      </c>
      <c r="AO34" s="1970">
        <f>SUM(AO31:AO33)</f>
        <v>59</v>
      </c>
      <c r="AP34" s="2230">
        <f t="shared" si="9"/>
        <v>0.74576271186440679</v>
      </c>
      <c r="AR34" s="1146">
        <f>SUM(AR31:AR33)</f>
        <v>43</v>
      </c>
      <c r="AS34" s="1970">
        <f>SUM(AS31:AS33)</f>
        <v>59</v>
      </c>
      <c r="AT34" s="2230">
        <f t="shared" si="10"/>
        <v>0.72881355932203384</v>
      </c>
      <c r="AV34" s="1146">
        <f>SUM(AV31:AV33)</f>
        <v>47</v>
      </c>
      <c r="AW34" s="1970">
        <f>SUM(AW31:AW33)</f>
        <v>59</v>
      </c>
      <c r="AX34" s="2230">
        <f t="shared" si="14"/>
        <v>0.79661016949152541</v>
      </c>
      <c r="AZ34" s="1146">
        <v>57</v>
      </c>
      <c r="BA34" s="1970">
        <v>59</v>
      </c>
      <c r="BB34" s="2230">
        <f t="shared" si="15"/>
        <v>0.96610169491525422</v>
      </c>
      <c r="BD34" s="1146">
        <v>60</v>
      </c>
      <c r="BE34" s="1970">
        <v>57</v>
      </c>
      <c r="BF34" s="2230">
        <f t="shared" si="16"/>
        <v>1.0526315789473684</v>
      </c>
    </row>
    <row r="35" spans="1:58" s="1" customFormat="1" ht="15" customHeight="1">
      <c r="A35" s="157"/>
      <c r="B35" s="3009" t="s">
        <v>890</v>
      </c>
      <c r="C35" s="5317"/>
      <c r="D35" s="2236">
        <f>SUM(D34,D30,D26)</f>
        <v>94</v>
      </c>
      <c r="E35" s="2237">
        <f>SUM(E34,E30,E26)</f>
        <v>103</v>
      </c>
      <c r="F35" s="2238">
        <f t="shared" si="0"/>
        <v>0.91262135922330101</v>
      </c>
      <c r="G35" s="2207"/>
      <c r="H35" s="2236">
        <v>97</v>
      </c>
      <c r="I35" s="2237">
        <f>SUM(I34,I30,I26)</f>
        <v>119</v>
      </c>
      <c r="J35" s="2238">
        <f t="shared" si="1"/>
        <v>0.81512605042016806</v>
      </c>
      <c r="K35" s="2207"/>
      <c r="L35" s="2236">
        <v>106</v>
      </c>
      <c r="M35" s="2237">
        <f>SUM(M34,M30,M26)</f>
        <v>130</v>
      </c>
      <c r="N35" s="2238">
        <f t="shared" si="2"/>
        <v>0.81538461538461537</v>
      </c>
      <c r="O35" s="2207"/>
      <c r="P35" s="2236">
        <v>115</v>
      </c>
      <c r="Q35" s="2237">
        <f>SUM(Q34,Q30,Q26)</f>
        <v>135</v>
      </c>
      <c r="R35" s="2238">
        <f t="shared" si="3"/>
        <v>0.85185185185185186</v>
      </c>
      <c r="S35" s="2207"/>
      <c r="T35" s="2236">
        <v>115</v>
      </c>
      <c r="U35" s="2237">
        <f>SUM(U34,U30,U26)</f>
        <v>143</v>
      </c>
      <c r="V35" s="2238">
        <f t="shared" si="4"/>
        <v>0.80419580419580416</v>
      </c>
      <c r="W35" s="2207"/>
      <c r="X35" s="2236">
        <f>SUM(X26,X30,X34)</f>
        <v>118</v>
      </c>
      <c r="Y35" s="2237">
        <v>147</v>
      </c>
      <c r="Z35" s="2238">
        <f t="shared" si="5"/>
        <v>0.80272108843537415</v>
      </c>
      <c r="AA35" s="2207"/>
      <c r="AB35" s="2236">
        <f>SUM(AB26,AB30,AB34)</f>
        <v>123</v>
      </c>
      <c r="AC35" s="2237">
        <f>SUM(AC26,AC30,AC34)</f>
        <v>153</v>
      </c>
      <c r="AD35" s="2238">
        <f t="shared" si="17"/>
        <v>0.80392156862745101</v>
      </c>
      <c r="AE35" s="2207"/>
      <c r="AF35" s="2236">
        <v>118</v>
      </c>
      <c r="AG35" s="2237">
        <f>SUM(AG26,AG30,AG34)</f>
        <v>163</v>
      </c>
      <c r="AH35" s="2238">
        <f t="shared" si="7"/>
        <v>0.7239263803680982</v>
      </c>
      <c r="AI35" s="2207"/>
      <c r="AJ35" s="2236">
        <v>118</v>
      </c>
      <c r="AK35" s="2237">
        <f>SUM(AK26,AK30,AK34)</f>
        <v>160</v>
      </c>
      <c r="AL35" s="2238">
        <f t="shared" si="8"/>
        <v>0.73750000000000004</v>
      </c>
      <c r="AN35" s="2236">
        <v>122</v>
      </c>
      <c r="AO35" s="2237">
        <f>SUM(AO26,AO30,AO34)</f>
        <v>162</v>
      </c>
      <c r="AP35" s="2238">
        <f t="shared" si="9"/>
        <v>0.75308641975308643</v>
      </c>
      <c r="AR35" s="2236">
        <f>SUM(AR26,AR30,AR34)</f>
        <v>114</v>
      </c>
      <c r="AS35" s="2237">
        <f>SUM(AS26,AS30,AS34)</f>
        <v>166</v>
      </c>
      <c r="AT35" s="2238">
        <f t="shared" si="10"/>
        <v>0.68674698795180722</v>
      </c>
      <c r="AV35" s="2236">
        <f>SUM(AV26,AV30,AV34)</f>
        <v>117</v>
      </c>
      <c r="AW35" s="2237">
        <f>SUM(AW26,AW30,AW34)</f>
        <v>168</v>
      </c>
      <c r="AX35" s="2238">
        <f t="shared" si="14"/>
        <v>0.6964285714285714</v>
      </c>
      <c r="AZ35" s="2236">
        <v>129</v>
      </c>
      <c r="BA35" s="2237">
        <v>169</v>
      </c>
      <c r="BB35" s="2238">
        <f t="shared" si="15"/>
        <v>0.76331360946745563</v>
      </c>
      <c r="BD35" s="2236">
        <v>137</v>
      </c>
      <c r="BE35" s="2237">
        <v>171</v>
      </c>
      <c r="BF35" s="2238">
        <f t="shared" si="16"/>
        <v>0.80116959064327486</v>
      </c>
    </row>
    <row r="36" spans="1:58" s="1" customFormat="1">
      <c r="A36" s="157"/>
      <c r="B36" s="3002" t="s">
        <v>979</v>
      </c>
      <c r="C36" s="5317"/>
      <c r="D36" s="1137">
        <v>43</v>
      </c>
      <c r="E36" s="2231">
        <v>56</v>
      </c>
      <c r="F36" s="2235">
        <f t="shared" si="0"/>
        <v>0.7678571428571429</v>
      </c>
      <c r="G36" s="2207"/>
      <c r="H36" s="1137">
        <v>44</v>
      </c>
      <c r="I36" s="2231">
        <v>56</v>
      </c>
      <c r="J36" s="2235">
        <f t="shared" si="1"/>
        <v>0.7857142857142857</v>
      </c>
      <c r="K36" s="2207"/>
      <c r="L36" s="1137">
        <v>44</v>
      </c>
      <c r="M36" s="2231">
        <v>56</v>
      </c>
      <c r="N36" s="2235">
        <f t="shared" si="2"/>
        <v>0.7857142857142857</v>
      </c>
      <c r="O36" s="2207"/>
      <c r="P36" s="1137">
        <v>48</v>
      </c>
      <c r="Q36" s="2231">
        <v>58</v>
      </c>
      <c r="R36" s="2235">
        <f t="shared" si="3"/>
        <v>0.82758620689655171</v>
      </c>
      <c r="S36" s="2207"/>
      <c r="T36" s="1137">
        <v>53</v>
      </c>
      <c r="U36" s="2231">
        <v>57</v>
      </c>
      <c r="V36" s="2235">
        <f t="shared" si="4"/>
        <v>0.92982456140350878</v>
      </c>
      <c r="W36" s="2207"/>
      <c r="X36" s="1137">
        <v>54</v>
      </c>
      <c r="Y36" s="2231">
        <v>56</v>
      </c>
      <c r="Z36" s="2235">
        <f t="shared" si="5"/>
        <v>0.9642857142857143</v>
      </c>
      <c r="AA36" s="2207"/>
      <c r="AB36" s="1137">
        <v>59</v>
      </c>
      <c r="AC36" s="2231">
        <v>57</v>
      </c>
      <c r="AD36" s="2235">
        <f t="shared" si="17"/>
        <v>1.0350877192982457</v>
      </c>
      <c r="AE36" s="2207"/>
      <c r="AF36" s="1137">
        <v>52</v>
      </c>
      <c r="AG36" s="2231">
        <v>56</v>
      </c>
      <c r="AH36" s="2235">
        <f t="shared" si="7"/>
        <v>0.9285714285714286</v>
      </c>
      <c r="AI36" s="2207"/>
      <c r="AJ36" s="1137">
        <v>48</v>
      </c>
      <c r="AK36" s="2231">
        <v>57</v>
      </c>
      <c r="AL36" s="2235">
        <f t="shared" si="8"/>
        <v>0.84210526315789469</v>
      </c>
      <c r="AN36" s="1137">
        <v>53</v>
      </c>
      <c r="AO36" s="2231">
        <v>54</v>
      </c>
      <c r="AP36" s="2235">
        <f t="shared" si="9"/>
        <v>0.98148148148148151</v>
      </c>
      <c r="AR36" s="1137">
        <v>53</v>
      </c>
      <c r="AS36" s="2231">
        <v>53</v>
      </c>
      <c r="AT36" s="2235">
        <f t="shared" si="10"/>
        <v>1</v>
      </c>
      <c r="AV36" s="1137">
        <v>53</v>
      </c>
      <c r="AW36" s="2231">
        <v>53</v>
      </c>
      <c r="AX36" s="2235">
        <f t="shared" si="14"/>
        <v>1</v>
      </c>
      <c r="AZ36" s="1137">
        <v>50</v>
      </c>
      <c r="BA36" s="2231">
        <v>52</v>
      </c>
      <c r="BB36" s="2235">
        <f t="shared" si="15"/>
        <v>0.96153846153846156</v>
      </c>
      <c r="BD36" s="1137">
        <v>47</v>
      </c>
      <c r="BE36" s="2231">
        <v>53</v>
      </c>
      <c r="BF36" s="2235">
        <f t="shared" si="16"/>
        <v>0.8867924528301887</v>
      </c>
    </row>
    <row r="37" spans="1:58" s="1" customFormat="1">
      <c r="A37" s="157"/>
      <c r="B37" s="3007" t="s">
        <v>980</v>
      </c>
      <c r="C37" s="5317"/>
      <c r="D37" s="1142">
        <v>21</v>
      </c>
      <c r="E37" s="2231">
        <v>38</v>
      </c>
      <c r="F37" s="2229">
        <f t="shared" si="0"/>
        <v>0.55263157894736847</v>
      </c>
      <c r="G37" s="2207"/>
      <c r="H37" s="1142">
        <v>21</v>
      </c>
      <c r="I37" s="2231">
        <v>39</v>
      </c>
      <c r="J37" s="2229">
        <f t="shared" si="1"/>
        <v>0.53846153846153844</v>
      </c>
      <c r="K37" s="2207"/>
      <c r="L37" s="1142">
        <v>26</v>
      </c>
      <c r="M37" s="2231">
        <v>43</v>
      </c>
      <c r="N37" s="2229">
        <f t="shared" si="2"/>
        <v>0.60465116279069764</v>
      </c>
      <c r="O37" s="2207"/>
      <c r="P37" s="1142">
        <v>28</v>
      </c>
      <c r="Q37" s="2231">
        <v>44</v>
      </c>
      <c r="R37" s="2229">
        <f t="shared" si="3"/>
        <v>0.63636363636363635</v>
      </c>
      <c r="S37" s="2207"/>
      <c r="T37" s="1142">
        <v>27</v>
      </c>
      <c r="U37" s="2231">
        <v>46</v>
      </c>
      <c r="V37" s="2229">
        <f t="shared" si="4"/>
        <v>0.58695652173913049</v>
      </c>
      <c r="W37" s="2207"/>
      <c r="X37" s="1142">
        <v>28</v>
      </c>
      <c r="Y37" s="2231">
        <v>46</v>
      </c>
      <c r="Z37" s="2229">
        <f t="shared" si="5"/>
        <v>0.60869565217391308</v>
      </c>
      <c r="AA37" s="2207"/>
      <c r="AB37" s="1142">
        <v>30</v>
      </c>
      <c r="AC37" s="2231">
        <v>45</v>
      </c>
      <c r="AD37" s="2229">
        <f t="shared" si="17"/>
        <v>0.66666666666666663</v>
      </c>
      <c r="AE37" s="2207"/>
      <c r="AF37" s="1142">
        <v>32</v>
      </c>
      <c r="AG37" s="2231">
        <v>42</v>
      </c>
      <c r="AH37" s="2229">
        <f t="shared" si="7"/>
        <v>0.76190476190476186</v>
      </c>
      <c r="AI37" s="2207"/>
      <c r="AJ37" s="1142">
        <v>30</v>
      </c>
      <c r="AK37" s="2231">
        <v>40</v>
      </c>
      <c r="AL37" s="2229">
        <f t="shared" si="8"/>
        <v>0.75</v>
      </c>
      <c r="AN37" s="1142">
        <v>28</v>
      </c>
      <c r="AO37" s="2231">
        <v>40</v>
      </c>
      <c r="AP37" s="2229">
        <f t="shared" si="9"/>
        <v>0.7</v>
      </c>
      <c r="AR37" s="1142">
        <v>32</v>
      </c>
      <c r="AS37" s="2231">
        <v>41</v>
      </c>
      <c r="AT37" s="2229">
        <f t="shared" si="10"/>
        <v>0.78048780487804881</v>
      </c>
      <c r="AV37" s="1142">
        <v>34</v>
      </c>
      <c r="AW37" s="2231">
        <v>40</v>
      </c>
      <c r="AX37" s="2229">
        <f t="shared" si="14"/>
        <v>0.85</v>
      </c>
      <c r="AZ37" s="1142">
        <v>34</v>
      </c>
      <c r="BA37" s="2231">
        <v>39</v>
      </c>
      <c r="BB37" s="2229">
        <f t="shared" si="15"/>
        <v>0.87179487179487181</v>
      </c>
      <c r="BD37" s="1142">
        <v>29</v>
      </c>
      <c r="BE37" s="2231">
        <v>38</v>
      </c>
      <c r="BF37" s="2229">
        <f t="shared" si="16"/>
        <v>0.76315789473684215</v>
      </c>
    </row>
    <row r="38" spans="1:58" s="1" customFormat="1">
      <c r="A38" s="157"/>
      <c r="B38" s="3007" t="s">
        <v>981</v>
      </c>
      <c r="C38" s="5317"/>
      <c r="D38" s="1142">
        <v>14</v>
      </c>
      <c r="E38" s="2231">
        <v>64</v>
      </c>
      <c r="F38" s="2229">
        <f t="shared" si="0"/>
        <v>0.21875</v>
      </c>
      <c r="G38" s="2207"/>
      <c r="H38" s="1142">
        <v>13</v>
      </c>
      <c r="I38" s="2231">
        <v>64</v>
      </c>
      <c r="J38" s="2229">
        <f t="shared" si="1"/>
        <v>0.203125</v>
      </c>
      <c r="K38" s="2207"/>
      <c r="L38" s="1142">
        <v>13</v>
      </c>
      <c r="M38" s="2231">
        <v>62</v>
      </c>
      <c r="N38" s="2229">
        <f t="shared" si="2"/>
        <v>0.20967741935483872</v>
      </c>
      <c r="O38" s="2207"/>
      <c r="P38" s="1142">
        <v>18</v>
      </c>
      <c r="Q38" s="2231">
        <v>64</v>
      </c>
      <c r="R38" s="2229">
        <f t="shared" si="3"/>
        <v>0.28125</v>
      </c>
      <c r="S38" s="2207"/>
      <c r="T38" s="1142">
        <v>17</v>
      </c>
      <c r="U38" s="2231">
        <v>64</v>
      </c>
      <c r="V38" s="2229">
        <f t="shared" si="4"/>
        <v>0.265625</v>
      </c>
      <c r="W38" s="2207"/>
      <c r="X38" s="1142">
        <v>24</v>
      </c>
      <c r="Y38" s="2231">
        <v>66</v>
      </c>
      <c r="Z38" s="2229">
        <f t="shared" si="5"/>
        <v>0.36363636363636365</v>
      </c>
      <c r="AA38" s="2207"/>
      <c r="AB38" s="1142">
        <v>23</v>
      </c>
      <c r="AC38" s="2231">
        <v>65</v>
      </c>
      <c r="AD38" s="2229">
        <f t="shared" si="17"/>
        <v>0.35384615384615387</v>
      </c>
      <c r="AE38" s="2207"/>
      <c r="AF38" s="1142">
        <v>21</v>
      </c>
      <c r="AG38" s="2231">
        <v>64</v>
      </c>
      <c r="AH38" s="2229">
        <f t="shared" si="7"/>
        <v>0.328125</v>
      </c>
      <c r="AI38" s="2207"/>
      <c r="AJ38" s="1142">
        <v>25</v>
      </c>
      <c r="AK38" s="2231">
        <v>64</v>
      </c>
      <c r="AL38" s="2229">
        <f t="shared" si="8"/>
        <v>0.390625</v>
      </c>
      <c r="AN38" s="1142">
        <v>27</v>
      </c>
      <c r="AO38" s="2231">
        <v>62</v>
      </c>
      <c r="AP38" s="2229">
        <f t="shared" si="9"/>
        <v>0.43548387096774194</v>
      </c>
      <c r="AR38" s="1142">
        <v>29</v>
      </c>
      <c r="AS38" s="2231">
        <v>60</v>
      </c>
      <c r="AT38" s="2229">
        <f t="shared" si="10"/>
        <v>0.48333333333333334</v>
      </c>
      <c r="AV38" s="1142">
        <v>30</v>
      </c>
      <c r="AW38" s="2231">
        <v>59</v>
      </c>
      <c r="AX38" s="2229">
        <f t="shared" si="14"/>
        <v>0.50847457627118642</v>
      </c>
      <c r="AZ38" s="1142">
        <v>30</v>
      </c>
      <c r="BA38" s="2231">
        <v>60</v>
      </c>
      <c r="BB38" s="2229">
        <f t="shared" si="15"/>
        <v>0.5</v>
      </c>
      <c r="BD38" s="1142">
        <v>28</v>
      </c>
      <c r="BE38" s="2231">
        <v>62</v>
      </c>
      <c r="BF38" s="2229">
        <f t="shared" si="16"/>
        <v>0.45161290322580644</v>
      </c>
    </row>
    <row r="39" spans="1:58" s="1" customFormat="1">
      <c r="A39" s="157"/>
      <c r="B39" s="3007" t="s">
        <v>982</v>
      </c>
      <c r="C39" s="5317"/>
      <c r="D39" s="1142">
        <v>38</v>
      </c>
      <c r="E39" s="2231">
        <v>63</v>
      </c>
      <c r="F39" s="2229">
        <f t="shared" si="0"/>
        <v>0.60317460317460314</v>
      </c>
      <c r="G39" s="2207"/>
      <c r="H39" s="1142">
        <v>37</v>
      </c>
      <c r="I39" s="2231">
        <v>63</v>
      </c>
      <c r="J39" s="2229">
        <f t="shared" si="1"/>
        <v>0.58730158730158732</v>
      </c>
      <c r="K39" s="2207"/>
      <c r="L39" s="1142">
        <v>37</v>
      </c>
      <c r="M39" s="2231">
        <v>62</v>
      </c>
      <c r="N39" s="2229">
        <f t="shared" si="2"/>
        <v>0.59677419354838712</v>
      </c>
      <c r="O39" s="2207"/>
      <c r="P39" s="1142">
        <v>43</v>
      </c>
      <c r="Q39" s="2231">
        <v>62</v>
      </c>
      <c r="R39" s="2229">
        <f t="shared" si="3"/>
        <v>0.69354838709677424</v>
      </c>
      <c r="S39" s="2207"/>
      <c r="T39" s="1142">
        <v>45</v>
      </c>
      <c r="U39" s="2231">
        <v>63</v>
      </c>
      <c r="V39" s="2229">
        <f t="shared" si="4"/>
        <v>0.7142857142857143</v>
      </c>
      <c r="W39" s="2207"/>
      <c r="X39" s="1142">
        <v>42</v>
      </c>
      <c r="Y39" s="2231">
        <v>60</v>
      </c>
      <c r="Z39" s="2229">
        <f t="shared" si="5"/>
        <v>0.7</v>
      </c>
      <c r="AA39" s="2207"/>
      <c r="AB39" s="1142">
        <v>46</v>
      </c>
      <c r="AC39" s="2231">
        <v>60</v>
      </c>
      <c r="AD39" s="2229">
        <f t="shared" si="17"/>
        <v>0.76666666666666672</v>
      </c>
      <c r="AE39" s="2207"/>
      <c r="AF39" s="1142">
        <v>46</v>
      </c>
      <c r="AG39" s="2231">
        <v>59</v>
      </c>
      <c r="AH39" s="2229">
        <f t="shared" si="7"/>
        <v>0.77966101694915257</v>
      </c>
      <c r="AI39" s="2207"/>
      <c r="AJ39" s="1142">
        <v>44</v>
      </c>
      <c r="AK39" s="2231">
        <v>60</v>
      </c>
      <c r="AL39" s="2229">
        <f t="shared" si="8"/>
        <v>0.73333333333333328</v>
      </c>
      <c r="AN39" s="1142">
        <v>44</v>
      </c>
      <c r="AO39" s="2231">
        <v>61</v>
      </c>
      <c r="AP39" s="2229">
        <f t="shared" si="9"/>
        <v>0.72131147540983609</v>
      </c>
      <c r="AR39" s="1142">
        <v>44</v>
      </c>
      <c r="AS39" s="2231">
        <v>63</v>
      </c>
      <c r="AT39" s="2229">
        <f t="shared" si="10"/>
        <v>0.69841269841269837</v>
      </c>
      <c r="AV39" s="1142">
        <v>48</v>
      </c>
      <c r="AW39" s="2231">
        <v>61</v>
      </c>
      <c r="AX39" s="2229">
        <f t="shared" si="14"/>
        <v>0.78688524590163933</v>
      </c>
      <c r="AZ39" s="1142">
        <v>49</v>
      </c>
      <c r="BA39" s="2231">
        <v>60</v>
      </c>
      <c r="BB39" s="2229">
        <f t="shared" si="15"/>
        <v>0.81666666666666665</v>
      </c>
      <c r="BD39" s="1142">
        <v>49</v>
      </c>
      <c r="BE39" s="2231">
        <v>62</v>
      </c>
      <c r="BF39" s="2229">
        <f t="shared" si="16"/>
        <v>0.79032258064516125</v>
      </c>
    </row>
    <row r="40" spans="1:58" s="1" customFormat="1" ht="15" thickBot="1">
      <c r="A40" s="157"/>
      <c r="B40" s="3008" t="s">
        <v>983</v>
      </c>
      <c r="C40" s="5317"/>
      <c r="D40" s="1142">
        <v>47</v>
      </c>
      <c r="E40" s="2231">
        <v>55</v>
      </c>
      <c r="F40" s="2229">
        <f t="shared" si="0"/>
        <v>0.8545454545454545</v>
      </c>
      <c r="G40" s="2207"/>
      <c r="H40" s="1142">
        <v>46</v>
      </c>
      <c r="I40" s="2231">
        <v>56</v>
      </c>
      <c r="J40" s="2229">
        <f t="shared" si="1"/>
        <v>0.8214285714285714</v>
      </c>
      <c r="K40" s="2207"/>
      <c r="L40" s="1142">
        <v>46</v>
      </c>
      <c r="M40" s="2231">
        <v>56</v>
      </c>
      <c r="N40" s="2229">
        <f t="shared" si="2"/>
        <v>0.8214285714285714</v>
      </c>
      <c r="O40" s="2207"/>
      <c r="P40" s="1142">
        <v>56</v>
      </c>
      <c r="Q40" s="2231">
        <v>56</v>
      </c>
      <c r="R40" s="2229">
        <f t="shared" si="3"/>
        <v>1</v>
      </c>
      <c r="S40" s="2207"/>
      <c r="T40" s="1142">
        <v>59</v>
      </c>
      <c r="U40" s="2231">
        <v>56</v>
      </c>
      <c r="V40" s="2229">
        <f t="shared" si="4"/>
        <v>1.0535714285714286</v>
      </c>
      <c r="W40" s="2207"/>
      <c r="X40" s="1142">
        <v>60</v>
      </c>
      <c r="Y40" s="2231">
        <v>55</v>
      </c>
      <c r="Z40" s="2229">
        <f t="shared" si="5"/>
        <v>1.0909090909090908</v>
      </c>
      <c r="AA40" s="2207"/>
      <c r="AB40" s="1142">
        <v>67</v>
      </c>
      <c r="AC40" s="2231">
        <v>54</v>
      </c>
      <c r="AD40" s="2229">
        <f t="shared" si="17"/>
        <v>1.2407407407407407</v>
      </c>
      <c r="AE40" s="2207"/>
      <c r="AF40" s="1142">
        <v>64</v>
      </c>
      <c r="AG40" s="2231">
        <v>54</v>
      </c>
      <c r="AH40" s="2229">
        <f t="shared" si="7"/>
        <v>1.1851851851851851</v>
      </c>
      <c r="AI40" s="2207"/>
      <c r="AJ40" s="1142">
        <v>65</v>
      </c>
      <c r="AK40" s="2231">
        <v>54</v>
      </c>
      <c r="AL40" s="2229">
        <f t="shared" si="8"/>
        <v>1.2037037037037037</v>
      </c>
      <c r="AN40" s="1142">
        <v>64</v>
      </c>
      <c r="AO40" s="2231">
        <v>52</v>
      </c>
      <c r="AP40" s="2229">
        <f t="shared" si="9"/>
        <v>1.2307692307692308</v>
      </c>
      <c r="AR40" s="1142">
        <v>64</v>
      </c>
      <c r="AS40" s="2231">
        <v>51</v>
      </c>
      <c r="AT40" s="2229">
        <f t="shared" si="10"/>
        <v>1.2549019607843137</v>
      </c>
      <c r="AV40" s="1142">
        <v>67</v>
      </c>
      <c r="AW40" s="2231">
        <v>49</v>
      </c>
      <c r="AX40" s="2229">
        <f t="shared" si="14"/>
        <v>1.3673469387755102</v>
      </c>
      <c r="AZ40" s="1142">
        <v>65</v>
      </c>
      <c r="BA40" s="2231">
        <v>48</v>
      </c>
      <c r="BB40" s="2229">
        <f t="shared" si="15"/>
        <v>1.3541666666666667</v>
      </c>
      <c r="BD40" s="1142">
        <v>48</v>
      </c>
      <c r="BE40" s="2231">
        <v>45</v>
      </c>
      <c r="BF40" s="2229">
        <f t="shared" si="16"/>
        <v>1.0666666666666667</v>
      </c>
    </row>
    <row r="41" spans="1:58" s="1" customFormat="1" ht="15" thickBot="1">
      <c r="A41" s="157"/>
      <c r="B41" s="2418" t="s">
        <v>4</v>
      </c>
      <c r="C41" s="5317"/>
      <c r="D41" s="1140">
        <f>SUM(D36:D40)</f>
        <v>163</v>
      </c>
      <c r="E41" s="1141">
        <f>SUM(E36:E40)</f>
        <v>276</v>
      </c>
      <c r="F41" s="2230">
        <f t="shared" si="0"/>
        <v>0.59057971014492749</v>
      </c>
      <c r="G41" s="2207"/>
      <c r="H41" s="1140">
        <v>161</v>
      </c>
      <c r="I41" s="1141">
        <f>SUM(I36:I40)</f>
        <v>278</v>
      </c>
      <c r="J41" s="2230">
        <f t="shared" si="1"/>
        <v>0.57913669064748197</v>
      </c>
      <c r="K41" s="2207"/>
      <c r="L41" s="1140">
        <v>166</v>
      </c>
      <c r="M41" s="1141">
        <f>SUM(M36:M40)</f>
        <v>279</v>
      </c>
      <c r="N41" s="2230">
        <f t="shared" si="2"/>
        <v>0.59498207885304655</v>
      </c>
      <c r="O41" s="2207"/>
      <c r="P41" s="1140">
        <v>193</v>
      </c>
      <c r="Q41" s="1141">
        <f>SUM(Q36:Q40)</f>
        <v>284</v>
      </c>
      <c r="R41" s="2230">
        <f t="shared" si="3"/>
        <v>0.67957746478873238</v>
      </c>
      <c r="S41" s="2207"/>
      <c r="T41" s="1140">
        <v>201</v>
      </c>
      <c r="U41" s="1141">
        <f>SUM(U36:U40)</f>
        <v>286</v>
      </c>
      <c r="V41" s="2230">
        <f t="shared" si="4"/>
        <v>0.70279720279720281</v>
      </c>
      <c r="W41" s="2207"/>
      <c r="X41" s="1140">
        <f>SUM(X36:X40)</f>
        <v>208</v>
      </c>
      <c r="Y41" s="1141">
        <v>283</v>
      </c>
      <c r="Z41" s="2230">
        <f t="shared" si="5"/>
        <v>0.73498233215547704</v>
      </c>
      <c r="AA41" s="2207"/>
      <c r="AB41" s="1140">
        <f>SUM(AB36:AB40)</f>
        <v>225</v>
      </c>
      <c r="AC41" s="1141">
        <f>SUM(AC36:AC40)</f>
        <v>281</v>
      </c>
      <c r="AD41" s="2230">
        <f t="shared" si="17"/>
        <v>0.80071174377224197</v>
      </c>
      <c r="AE41" s="2207"/>
      <c r="AF41" s="1140">
        <v>215</v>
      </c>
      <c r="AG41" s="1141">
        <f>SUM(AG36:AG40)</f>
        <v>275</v>
      </c>
      <c r="AH41" s="2230">
        <f t="shared" si="7"/>
        <v>0.78181818181818186</v>
      </c>
      <c r="AI41" s="2207"/>
      <c r="AJ41" s="1140">
        <v>212</v>
      </c>
      <c r="AK41" s="1141">
        <f>SUM(AK36:AK40)</f>
        <v>275</v>
      </c>
      <c r="AL41" s="2230">
        <f t="shared" si="8"/>
        <v>0.77090909090909088</v>
      </c>
      <c r="AN41" s="1140">
        <v>216</v>
      </c>
      <c r="AO41" s="1141">
        <f>SUM(AO36:AO40)</f>
        <v>269</v>
      </c>
      <c r="AP41" s="2230">
        <f t="shared" si="9"/>
        <v>0.80297397769516732</v>
      </c>
      <c r="AR41" s="1140">
        <f>SUM(AR36:AR40)</f>
        <v>222</v>
      </c>
      <c r="AS41" s="1141">
        <f>SUM(AS36:AS40)</f>
        <v>268</v>
      </c>
      <c r="AT41" s="2230">
        <f t="shared" si="10"/>
        <v>0.82835820895522383</v>
      </c>
      <c r="AV41" s="1140">
        <f>SUM(AV36:AV40)</f>
        <v>232</v>
      </c>
      <c r="AW41" s="1141">
        <v>262</v>
      </c>
      <c r="AX41" s="2230">
        <f t="shared" si="14"/>
        <v>0.8854961832061069</v>
      </c>
      <c r="AZ41" s="1140">
        <v>228</v>
      </c>
      <c r="BA41" s="1141">
        <v>259</v>
      </c>
      <c r="BB41" s="2230">
        <f t="shared" si="15"/>
        <v>0.88030888030888033</v>
      </c>
      <c r="BD41" s="1140">
        <v>201</v>
      </c>
      <c r="BE41" s="1141">
        <v>260</v>
      </c>
      <c r="BF41" s="2230">
        <f t="shared" si="16"/>
        <v>0.77307692307692311</v>
      </c>
    </row>
    <row r="42" spans="1:58" s="1" customFormat="1">
      <c r="A42" s="157"/>
      <c r="B42" s="3006" t="s">
        <v>984</v>
      </c>
      <c r="C42" s="5317"/>
      <c r="D42" s="1138">
        <v>16</v>
      </c>
      <c r="E42" s="2231">
        <v>40</v>
      </c>
      <c r="F42" s="2229">
        <f t="shared" si="0"/>
        <v>0.4</v>
      </c>
      <c r="G42" s="2207"/>
      <c r="H42" s="1138">
        <v>19</v>
      </c>
      <c r="I42" s="2231">
        <v>43</v>
      </c>
      <c r="J42" s="2229">
        <f t="shared" si="1"/>
        <v>0.44186046511627908</v>
      </c>
      <c r="K42" s="2207"/>
      <c r="L42" s="1138">
        <v>19</v>
      </c>
      <c r="M42" s="2231">
        <v>43</v>
      </c>
      <c r="N42" s="2229">
        <f t="shared" si="2"/>
        <v>0.44186046511627908</v>
      </c>
      <c r="O42" s="2207"/>
      <c r="P42" s="1138">
        <v>17</v>
      </c>
      <c r="Q42" s="2231">
        <v>46</v>
      </c>
      <c r="R42" s="2229">
        <f t="shared" si="3"/>
        <v>0.36956521739130432</v>
      </c>
      <c r="S42" s="2207"/>
      <c r="T42" s="1138">
        <v>15</v>
      </c>
      <c r="U42" s="2231">
        <v>47</v>
      </c>
      <c r="V42" s="2229">
        <f t="shared" si="4"/>
        <v>0.31914893617021278</v>
      </c>
      <c r="W42" s="2207"/>
      <c r="X42" s="1138">
        <v>13</v>
      </c>
      <c r="Y42" s="2231">
        <v>47</v>
      </c>
      <c r="Z42" s="2229">
        <f t="shared" si="5"/>
        <v>0.27659574468085107</v>
      </c>
      <c r="AA42" s="2207"/>
      <c r="AB42" s="1138">
        <v>14</v>
      </c>
      <c r="AC42" s="2231">
        <v>48</v>
      </c>
      <c r="AD42" s="2229">
        <f t="shared" si="17"/>
        <v>0.29166666666666669</v>
      </c>
      <c r="AE42" s="2207"/>
      <c r="AF42" s="1138">
        <v>15</v>
      </c>
      <c r="AG42" s="2231">
        <v>47</v>
      </c>
      <c r="AH42" s="2229">
        <f t="shared" si="7"/>
        <v>0.31914893617021278</v>
      </c>
      <c r="AI42" s="2207"/>
      <c r="AJ42" s="1138">
        <v>18</v>
      </c>
      <c r="AK42" s="2231">
        <v>47</v>
      </c>
      <c r="AL42" s="2229">
        <f t="shared" si="8"/>
        <v>0.38297872340425532</v>
      </c>
      <c r="AN42" s="1138">
        <v>19</v>
      </c>
      <c r="AO42" s="2231">
        <v>46</v>
      </c>
      <c r="AP42" s="2229">
        <f t="shared" si="9"/>
        <v>0.41304347826086957</v>
      </c>
      <c r="AR42" s="1138">
        <v>19</v>
      </c>
      <c r="AS42" s="2231">
        <v>46</v>
      </c>
      <c r="AT42" s="2229">
        <f t="shared" si="10"/>
        <v>0.41304347826086957</v>
      </c>
      <c r="AV42" s="1138">
        <v>18</v>
      </c>
      <c r="AW42" s="2231">
        <v>46</v>
      </c>
      <c r="AX42" s="2229">
        <f t="shared" si="14"/>
        <v>0.39130434782608697</v>
      </c>
      <c r="AZ42" s="1138">
        <v>20</v>
      </c>
      <c r="BA42" s="2231">
        <v>45</v>
      </c>
      <c r="BB42" s="2229">
        <f t="shared" si="15"/>
        <v>0.44444444444444442</v>
      </c>
      <c r="BD42" s="1138">
        <v>18</v>
      </c>
      <c r="BE42" s="2231">
        <v>45</v>
      </c>
      <c r="BF42" s="2229">
        <f t="shared" si="16"/>
        <v>0.4</v>
      </c>
    </row>
    <row r="43" spans="1:58" s="1" customFormat="1">
      <c r="A43" s="157"/>
      <c r="B43" s="3007" t="s">
        <v>1016</v>
      </c>
      <c r="C43" s="5317"/>
      <c r="D43" s="1142">
        <v>17</v>
      </c>
      <c r="E43" s="2231">
        <v>33</v>
      </c>
      <c r="F43" s="2229">
        <f t="shared" si="0"/>
        <v>0.51515151515151514</v>
      </c>
      <c r="G43" s="2207"/>
      <c r="H43" s="1142">
        <v>17</v>
      </c>
      <c r="I43" s="2231">
        <v>36</v>
      </c>
      <c r="J43" s="2229">
        <f t="shared" si="1"/>
        <v>0.47222222222222221</v>
      </c>
      <c r="K43" s="2207"/>
      <c r="L43" s="1142">
        <v>19</v>
      </c>
      <c r="M43" s="2231">
        <v>35</v>
      </c>
      <c r="N43" s="2229">
        <f t="shared" si="2"/>
        <v>0.54285714285714282</v>
      </c>
      <c r="O43" s="2207"/>
      <c r="P43" s="1142">
        <v>20</v>
      </c>
      <c r="Q43" s="2231">
        <v>35</v>
      </c>
      <c r="R43" s="2229">
        <f t="shared" si="3"/>
        <v>0.5714285714285714</v>
      </c>
      <c r="S43" s="2207"/>
      <c r="T43" s="1142">
        <v>19</v>
      </c>
      <c r="U43" s="2231">
        <v>34</v>
      </c>
      <c r="V43" s="2229">
        <f t="shared" si="4"/>
        <v>0.55882352941176472</v>
      </c>
      <c r="W43" s="2207"/>
      <c r="X43" s="1142">
        <v>19</v>
      </c>
      <c r="Y43" s="2231">
        <v>36</v>
      </c>
      <c r="Z43" s="2229">
        <f t="shared" si="5"/>
        <v>0.52777777777777779</v>
      </c>
      <c r="AA43" s="2207"/>
      <c r="AB43" s="1142">
        <v>20</v>
      </c>
      <c r="AC43" s="2231">
        <v>37</v>
      </c>
      <c r="AD43" s="2229">
        <f t="shared" si="17"/>
        <v>0.54054054054054057</v>
      </c>
      <c r="AE43" s="2207"/>
      <c r="AF43" s="1142">
        <v>20</v>
      </c>
      <c r="AG43" s="2231">
        <v>37</v>
      </c>
      <c r="AH43" s="2229">
        <f t="shared" si="7"/>
        <v>0.54054054054054057</v>
      </c>
      <c r="AI43" s="2207"/>
      <c r="AJ43" s="1142">
        <v>17</v>
      </c>
      <c r="AK43" s="2231">
        <v>39</v>
      </c>
      <c r="AL43" s="2229">
        <f t="shared" si="8"/>
        <v>0.4358974358974359</v>
      </c>
      <c r="AN43" s="1142">
        <v>16</v>
      </c>
      <c r="AO43" s="2231">
        <v>39</v>
      </c>
      <c r="AP43" s="2229">
        <f t="shared" si="9"/>
        <v>0.41025641025641024</v>
      </c>
      <c r="AR43" s="1142">
        <v>18</v>
      </c>
      <c r="AS43" s="2231">
        <v>38</v>
      </c>
      <c r="AT43" s="2229">
        <f t="shared" si="10"/>
        <v>0.47368421052631576</v>
      </c>
      <c r="AV43" s="1142">
        <v>19</v>
      </c>
      <c r="AW43" s="2231">
        <v>37</v>
      </c>
      <c r="AX43" s="2229">
        <f t="shared" si="14"/>
        <v>0.51351351351351349</v>
      </c>
      <c r="AZ43" s="1142">
        <v>19</v>
      </c>
      <c r="BA43" s="2231">
        <v>36</v>
      </c>
      <c r="BB43" s="2229">
        <f t="shared" si="15"/>
        <v>0.52777777777777779</v>
      </c>
      <c r="BD43" s="1142">
        <v>21</v>
      </c>
      <c r="BE43" s="2231">
        <v>34</v>
      </c>
      <c r="BF43" s="2229">
        <f t="shared" si="16"/>
        <v>0.61764705882352944</v>
      </c>
    </row>
    <row r="44" spans="1:58" s="1" customFormat="1">
      <c r="A44" s="157"/>
      <c r="B44" s="3007" t="s">
        <v>986</v>
      </c>
      <c r="C44" s="5317"/>
      <c r="D44" s="1142">
        <v>39</v>
      </c>
      <c r="E44" s="2231">
        <v>50</v>
      </c>
      <c r="F44" s="2229">
        <f t="shared" si="0"/>
        <v>0.78</v>
      </c>
      <c r="G44" s="2207"/>
      <c r="H44" s="1142">
        <v>34</v>
      </c>
      <c r="I44" s="2231">
        <v>49</v>
      </c>
      <c r="J44" s="2229">
        <f t="shared" si="1"/>
        <v>0.69387755102040816</v>
      </c>
      <c r="K44" s="2207"/>
      <c r="L44" s="1142">
        <v>34</v>
      </c>
      <c r="M44" s="2231">
        <v>48</v>
      </c>
      <c r="N44" s="2229">
        <f t="shared" si="2"/>
        <v>0.70833333333333337</v>
      </c>
      <c r="O44" s="2207"/>
      <c r="P44" s="1142">
        <v>41</v>
      </c>
      <c r="Q44" s="2231">
        <v>49</v>
      </c>
      <c r="R44" s="2229">
        <f t="shared" si="3"/>
        <v>0.83673469387755106</v>
      </c>
      <c r="S44" s="2207"/>
      <c r="T44" s="1142">
        <v>40</v>
      </c>
      <c r="U44" s="2231">
        <v>51</v>
      </c>
      <c r="V44" s="2229">
        <f t="shared" si="4"/>
        <v>0.78431372549019607</v>
      </c>
      <c r="W44" s="2207"/>
      <c r="X44" s="1142">
        <v>42</v>
      </c>
      <c r="Y44" s="2231">
        <v>53</v>
      </c>
      <c r="Z44" s="2229">
        <f t="shared" si="5"/>
        <v>0.79245283018867929</v>
      </c>
      <c r="AA44" s="2207"/>
      <c r="AB44" s="1142">
        <v>45</v>
      </c>
      <c r="AC44" s="2231">
        <v>53</v>
      </c>
      <c r="AD44" s="2229">
        <f t="shared" si="17"/>
        <v>0.84905660377358494</v>
      </c>
      <c r="AE44" s="2207"/>
      <c r="AF44" s="1142">
        <v>47</v>
      </c>
      <c r="AG44" s="2231">
        <v>51</v>
      </c>
      <c r="AH44" s="2229">
        <f t="shared" si="7"/>
        <v>0.92156862745098034</v>
      </c>
      <c r="AI44" s="2207"/>
      <c r="AJ44" s="1142">
        <v>38</v>
      </c>
      <c r="AK44" s="2231">
        <v>49</v>
      </c>
      <c r="AL44" s="2229">
        <f t="shared" si="8"/>
        <v>0.77551020408163263</v>
      </c>
      <c r="AN44" s="1142">
        <v>41</v>
      </c>
      <c r="AO44" s="2231">
        <v>50</v>
      </c>
      <c r="AP44" s="2229">
        <f t="shared" si="9"/>
        <v>0.82</v>
      </c>
      <c r="AR44" s="1142">
        <v>42</v>
      </c>
      <c r="AS44" s="2231">
        <v>49</v>
      </c>
      <c r="AT44" s="2229">
        <f t="shared" si="10"/>
        <v>0.8571428571428571</v>
      </c>
      <c r="AV44" s="1142">
        <v>44</v>
      </c>
      <c r="AW44" s="2231">
        <v>48</v>
      </c>
      <c r="AX44" s="2229">
        <f t="shared" si="14"/>
        <v>0.91666666666666663</v>
      </c>
      <c r="AZ44" s="1142">
        <v>47</v>
      </c>
      <c r="BA44" s="2231">
        <v>47</v>
      </c>
      <c r="BB44" s="2229">
        <f t="shared" si="15"/>
        <v>1</v>
      </c>
      <c r="BD44" s="1142">
        <v>48</v>
      </c>
      <c r="BE44" s="2231">
        <v>46</v>
      </c>
      <c r="BF44" s="2229">
        <f t="shared" si="16"/>
        <v>1.0434782608695652</v>
      </c>
    </row>
    <row r="45" spans="1:58" s="1" customFormat="1">
      <c r="A45" s="157"/>
      <c r="B45" s="3007" t="s">
        <v>987</v>
      </c>
      <c r="C45" s="5317"/>
      <c r="D45" s="1138">
        <v>29</v>
      </c>
      <c r="E45" s="2231">
        <v>46</v>
      </c>
      <c r="F45" s="2229">
        <f t="shared" si="0"/>
        <v>0.63043478260869568</v>
      </c>
      <c r="G45" s="2207"/>
      <c r="H45" s="1138">
        <v>28</v>
      </c>
      <c r="I45" s="2231">
        <v>48</v>
      </c>
      <c r="J45" s="2229">
        <f t="shared" si="1"/>
        <v>0.58333333333333337</v>
      </c>
      <c r="K45" s="2207"/>
      <c r="L45" s="1138">
        <v>24</v>
      </c>
      <c r="M45" s="2231">
        <v>48</v>
      </c>
      <c r="N45" s="2229">
        <f t="shared" si="2"/>
        <v>0.5</v>
      </c>
      <c r="O45" s="2207"/>
      <c r="P45" s="1138">
        <v>28</v>
      </c>
      <c r="Q45" s="2231">
        <v>50</v>
      </c>
      <c r="R45" s="2229">
        <f t="shared" si="3"/>
        <v>0.56000000000000005</v>
      </c>
      <c r="S45" s="2207"/>
      <c r="T45" s="1138">
        <v>33</v>
      </c>
      <c r="U45" s="2231">
        <v>55</v>
      </c>
      <c r="V45" s="2229">
        <f t="shared" si="4"/>
        <v>0.6</v>
      </c>
      <c r="W45" s="2207"/>
      <c r="X45" s="1138">
        <v>37</v>
      </c>
      <c r="Y45" s="2231">
        <v>54</v>
      </c>
      <c r="Z45" s="2229">
        <f t="shared" si="5"/>
        <v>0.68518518518518523</v>
      </c>
      <c r="AA45" s="2207"/>
      <c r="AB45" s="1138">
        <v>38</v>
      </c>
      <c r="AC45" s="2231">
        <v>55</v>
      </c>
      <c r="AD45" s="2229">
        <f t="shared" si="17"/>
        <v>0.69090909090909092</v>
      </c>
      <c r="AE45" s="2207"/>
      <c r="AF45" s="1138">
        <v>38</v>
      </c>
      <c r="AG45" s="2231">
        <v>55</v>
      </c>
      <c r="AH45" s="2229">
        <f t="shared" si="7"/>
        <v>0.69090909090909092</v>
      </c>
      <c r="AI45" s="2207"/>
      <c r="AJ45" s="1138">
        <v>34</v>
      </c>
      <c r="AK45" s="2231">
        <v>55</v>
      </c>
      <c r="AL45" s="2229">
        <f t="shared" si="8"/>
        <v>0.61818181818181817</v>
      </c>
      <c r="AN45" s="1138">
        <v>36</v>
      </c>
      <c r="AO45" s="2231">
        <v>54</v>
      </c>
      <c r="AP45" s="2229">
        <f t="shared" si="9"/>
        <v>0.66666666666666663</v>
      </c>
      <c r="AR45" s="1138">
        <v>33</v>
      </c>
      <c r="AS45" s="2231">
        <v>54</v>
      </c>
      <c r="AT45" s="2229">
        <f t="shared" si="10"/>
        <v>0.61111111111111116</v>
      </c>
      <c r="AV45" s="1138">
        <v>34</v>
      </c>
      <c r="AW45" s="2231">
        <v>55</v>
      </c>
      <c r="AX45" s="2229">
        <f t="shared" si="14"/>
        <v>0.61818181818181817</v>
      </c>
      <c r="AZ45" s="1138">
        <v>31</v>
      </c>
      <c r="BA45" s="2231">
        <v>53</v>
      </c>
      <c r="BB45" s="2229">
        <f t="shared" si="15"/>
        <v>0.58490566037735847</v>
      </c>
      <c r="BD45" s="1138">
        <v>33</v>
      </c>
      <c r="BE45" s="2231">
        <v>52</v>
      </c>
      <c r="BF45" s="2229">
        <f t="shared" si="16"/>
        <v>0.63461538461538458</v>
      </c>
    </row>
    <row r="46" spans="1:58" s="1" customFormat="1" ht="15" thickBot="1">
      <c r="A46" s="157"/>
      <c r="B46" s="3007" t="s">
        <v>988</v>
      </c>
      <c r="C46" s="5317"/>
      <c r="D46" s="1138">
        <v>13</v>
      </c>
      <c r="E46" s="2231">
        <v>37</v>
      </c>
      <c r="F46" s="2229">
        <f t="shared" si="0"/>
        <v>0.35135135135135137</v>
      </c>
      <c r="G46" s="2207"/>
      <c r="H46" s="1138">
        <v>12</v>
      </c>
      <c r="I46" s="2231">
        <v>38</v>
      </c>
      <c r="J46" s="2229">
        <f t="shared" si="1"/>
        <v>0.31578947368421051</v>
      </c>
      <c r="K46" s="2207"/>
      <c r="L46" s="1138">
        <v>14</v>
      </c>
      <c r="M46" s="2231">
        <v>40</v>
      </c>
      <c r="N46" s="2229">
        <f t="shared" si="2"/>
        <v>0.35</v>
      </c>
      <c r="O46" s="2207"/>
      <c r="P46" s="1138">
        <v>14</v>
      </c>
      <c r="Q46" s="2231">
        <v>41</v>
      </c>
      <c r="R46" s="2229">
        <f t="shared" si="3"/>
        <v>0.34146341463414637</v>
      </c>
      <c r="S46" s="2207"/>
      <c r="T46" s="1138">
        <v>14</v>
      </c>
      <c r="U46" s="2231">
        <v>41</v>
      </c>
      <c r="V46" s="2229">
        <f t="shared" si="4"/>
        <v>0.34146341463414637</v>
      </c>
      <c r="W46" s="2207"/>
      <c r="X46" s="1138">
        <v>13</v>
      </c>
      <c r="Y46" s="2231">
        <v>39</v>
      </c>
      <c r="Z46" s="2229">
        <f t="shared" si="5"/>
        <v>0.33333333333333331</v>
      </c>
      <c r="AA46" s="2207"/>
      <c r="AB46" s="1138">
        <v>10</v>
      </c>
      <c r="AC46" s="2231">
        <v>38</v>
      </c>
      <c r="AD46" s="2229">
        <f t="shared" si="17"/>
        <v>0.26315789473684209</v>
      </c>
      <c r="AE46" s="2207"/>
      <c r="AF46" s="1138">
        <v>9</v>
      </c>
      <c r="AG46" s="2231">
        <v>38</v>
      </c>
      <c r="AH46" s="2229">
        <f t="shared" si="7"/>
        <v>0.23684210526315788</v>
      </c>
      <c r="AI46" s="2207"/>
      <c r="AJ46" s="1138">
        <v>11</v>
      </c>
      <c r="AK46" s="2231">
        <v>37</v>
      </c>
      <c r="AL46" s="2229">
        <f t="shared" si="8"/>
        <v>0.29729729729729731</v>
      </c>
      <c r="AN46" s="1138">
        <v>12</v>
      </c>
      <c r="AO46" s="2231">
        <v>35</v>
      </c>
      <c r="AP46" s="2229">
        <f t="shared" si="9"/>
        <v>0.34285714285714286</v>
      </c>
      <c r="AR46" s="1138">
        <v>14</v>
      </c>
      <c r="AS46" s="2231">
        <v>35</v>
      </c>
      <c r="AT46" s="2229">
        <f t="shared" si="10"/>
        <v>0.4</v>
      </c>
      <c r="AV46" s="1138">
        <v>19</v>
      </c>
      <c r="AW46" s="2231">
        <v>33</v>
      </c>
      <c r="AX46" s="2229">
        <f t="shared" si="14"/>
        <v>0.5757575757575758</v>
      </c>
      <c r="AZ46" s="1138">
        <v>15</v>
      </c>
      <c r="BA46" s="2231">
        <v>32</v>
      </c>
      <c r="BB46" s="2229">
        <f t="shared" si="15"/>
        <v>0.46875</v>
      </c>
      <c r="BD46" s="1138">
        <v>16</v>
      </c>
      <c r="BE46" s="2231">
        <v>33</v>
      </c>
      <c r="BF46" s="2229">
        <f t="shared" si="16"/>
        <v>0.48484848484848486</v>
      </c>
    </row>
    <row r="47" spans="1:58" s="1" customFormat="1" ht="15" thickBot="1">
      <c r="A47" s="157"/>
      <c r="B47" s="2418" t="s">
        <v>41</v>
      </c>
      <c r="C47" s="5317"/>
      <c r="D47" s="1145">
        <f>SUM(D42:D46)</f>
        <v>114</v>
      </c>
      <c r="E47" s="1141">
        <f>SUM(E42:E46)</f>
        <v>206</v>
      </c>
      <c r="F47" s="2230">
        <f t="shared" si="0"/>
        <v>0.55339805825242716</v>
      </c>
      <c r="G47" s="2207"/>
      <c r="H47" s="1145">
        <v>110</v>
      </c>
      <c r="I47" s="1141">
        <f>SUM(I42:I46)</f>
        <v>214</v>
      </c>
      <c r="J47" s="2230">
        <f t="shared" si="1"/>
        <v>0.51401869158878499</v>
      </c>
      <c r="K47" s="2207"/>
      <c r="L47" s="1145">
        <v>110</v>
      </c>
      <c r="M47" s="1141">
        <f>SUM(M42:M46)</f>
        <v>214</v>
      </c>
      <c r="N47" s="2230">
        <f t="shared" si="2"/>
        <v>0.51401869158878499</v>
      </c>
      <c r="O47" s="2207"/>
      <c r="P47" s="1145">
        <v>120</v>
      </c>
      <c r="Q47" s="1141">
        <f>SUM(Q42:Q46)</f>
        <v>221</v>
      </c>
      <c r="R47" s="2230">
        <f t="shared" si="3"/>
        <v>0.54298642533936647</v>
      </c>
      <c r="S47" s="2207"/>
      <c r="T47" s="1145">
        <v>121</v>
      </c>
      <c r="U47" s="1141">
        <f>SUM(U42:U46)</f>
        <v>228</v>
      </c>
      <c r="V47" s="2230">
        <f t="shared" si="4"/>
        <v>0.5307017543859649</v>
      </c>
      <c r="W47" s="2207"/>
      <c r="X47" s="1145">
        <f>SUM(X42:X46)</f>
        <v>124</v>
      </c>
      <c r="Y47" s="1141">
        <v>229</v>
      </c>
      <c r="Z47" s="2230">
        <f t="shared" si="5"/>
        <v>0.54148471615720528</v>
      </c>
      <c r="AA47" s="2207"/>
      <c r="AB47" s="1145">
        <f>SUM(AB42:AB46)</f>
        <v>127</v>
      </c>
      <c r="AC47" s="1141">
        <f>SUM(AC42:AC46)</f>
        <v>231</v>
      </c>
      <c r="AD47" s="2230">
        <f t="shared" si="17"/>
        <v>0.54978354978354982</v>
      </c>
      <c r="AE47" s="2207"/>
      <c r="AF47" s="1145">
        <v>129</v>
      </c>
      <c r="AG47" s="1141">
        <f>SUM(AG42:AG46)</f>
        <v>228</v>
      </c>
      <c r="AH47" s="2230">
        <f t="shared" si="7"/>
        <v>0.56578947368421051</v>
      </c>
      <c r="AI47" s="2207"/>
      <c r="AJ47" s="1145">
        <v>118</v>
      </c>
      <c r="AK47" s="1141">
        <f>SUM(AK42:AK46)</f>
        <v>227</v>
      </c>
      <c r="AL47" s="2230">
        <f t="shared" si="8"/>
        <v>0.51982378854625555</v>
      </c>
      <c r="AN47" s="1145">
        <v>124</v>
      </c>
      <c r="AO47" s="1141">
        <f>SUM(AO42:AO46)</f>
        <v>224</v>
      </c>
      <c r="AP47" s="2230">
        <f t="shared" si="9"/>
        <v>0.5535714285714286</v>
      </c>
      <c r="AR47" s="1145">
        <f>SUM(AR42:AR46)</f>
        <v>126</v>
      </c>
      <c r="AS47" s="1141">
        <f>SUM(AS42:AS46)</f>
        <v>222</v>
      </c>
      <c r="AT47" s="2230">
        <f t="shared" si="10"/>
        <v>0.56756756756756754</v>
      </c>
      <c r="AV47" s="1145">
        <f>SUM(AV42:AV46)</f>
        <v>134</v>
      </c>
      <c r="AW47" s="1141">
        <v>219</v>
      </c>
      <c r="AX47" s="2230">
        <f t="shared" si="14"/>
        <v>0.61187214611872143</v>
      </c>
      <c r="AZ47" s="1145">
        <v>132</v>
      </c>
      <c r="BA47" s="1141">
        <v>213</v>
      </c>
      <c r="BB47" s="2230">
        <f t="shared" si="15"/>
        <v>0.61971830985915488</v>
      </c>
      <c r="BD47" s="1145">
        <v>136</v>
      </c>
      <c r="BE47" s="1141">
        <v>210</v>
      </c>
      <c r="BF47" s="2230">
        <f t="shared" si="16"/>
        <v>0.64761904761904765</v>
      </c>
    </row>
    <row r="48" spans="1:58" s="1" customFormat="1">
      <c r="A48" s="157"/>
      <c r="B48" s="3006" t="s">
        <v>989</v>
      </c>
      <c r="C48" s="5317"/>
      <c r="D48" s="1142">
        <v>21</v>
      </c>
      <c r="E48" s="2231">
        <v>25</v>
      </c>
      <c r="F48" s="2229">
        <f t="shared" si="0"/>
        <v>0.84</v>
      </c>
      <c r="G48" s="2207"/>
      <c r="H48" s="1142">
        <v>20</v>
      </c>
      <c r="I48" s="2231">
        <v>25</v>
      </c>
      <c r="J48" s="2229">
        <f t="shared" si="1"/>
        <v>0.8</v>
      </c>
      <c r="K48" s="2207"/>
      <c r="L48" s="1142">
        <v>20</v>
      </c>
      <c r="M48" s="2231">
        <v>26</v>
      </c>
      <c r="N48" s="2229">
        <f t="shared" si="2"/>
        <v>0.76923076923076927</v>
      </c>
      <c r="O48" s="2207"/>
      <c r="P48" s="1142">
        <v>20</v>
      </c>
      <c r="Q48" s="2231">
        <v>24</v>
      </c>
      <c r="R48" s="2229">
        <f t="shared" si="3"/>
        <v>0.83333333333333337</v>
      </c>
      <c r="S48" s="2207"/>
      <c r="T48" s="1142">
        <v>18</v>
      </c>
      <c r="U48" s="2231">
        <v>24</v>
      </c>
      <c r="V48" s="2229">
        <f t="shared" si="4"/>
        <v>0.75</v>
      </c>
      <c r="W48" s="2207"/>
      <c r="X48" s="1142">
        <v>22</v>
      </c>
      <c r="Y48" s="2231">
        <v>24</v>
      </c>
      <c r="Z48" s="2229">
        <f t="shared" si="5"/>
        <v>0.91666666666666663</v>
      </c>
      <c r="AA48" s="2207"/>
      <c r="AB48" s="1142">
        <v>24</v>
      </c>
      <c r="AC48" s="2231">
        <v>24</v>
      </c>
      <c r="AD48" s="2229">
        <f t="shared" si="17"/>
        <v>1</v>
      </c>
      <c r="AE48" s="2207"/>
      <c r="AF48" s="1142">
        <v>24</v>
      </c>
      <c r="AG48" s="2231">
        <v>23</v>
      </c>
      <c r="AH48" s="2229">
        <f t="shared" si="7"/>
        <v>1.0434782608695652</v>
      </c>
      <c r="AI48" s="2207"/>
      <c r="AJ48" s="1142">
        <v>23</v>
      </c>
      <c r="AK48" s="2231">
        <v>23</v>
      </c>
      <c r="AL48" s="2229">
        <f t="shared" si="8"/>
        <v>1</v>
      </c>
      <c r="AN48" s="1142">
        <v>23</v>
      </c>
      <c r="AO48" s="2231">
        <v>24</v>
      </c>
      <c r="AP48" s="2229">
        <f t="shared" si="9"/>
        <v>0.95833333333333337</v>
      </c>
      <c r="AR48" s="1142">
        <v>20</v>
      </c>
      <c r="AS48" s="2231">
        <v>24</v>
      </c>
      <c r="AT48" s="2229">
        <f t="shared" si="10"/>
        <v>0.83333333333333337</v>
      </c>
      <c r="AV48" s="1142">
        <v>21</v>
      </c>
      <c r="AW48" s="2231">
        <v>22</v>
      </c>
      <c r="AX48" s="2229">
        <f t="shared" si="14"/>
        <v>0.95454545454545459</v>
      </c>
      <c r="AZ48" s="1142">
        <v>28</v>
      </c>
      <c r="BA48" s="2231">
        <v>24</v>
      </c>
      <c r="BB48" s="2229">
        <f t="shared" si="15"/>
        <v>1.1666666666666667</v>
      </c>
      <c r="BD48" s="1142">
        <v>23</v>
      </c>
      <c r="BE48" s="2231">
        <v>23</v>
      </c>
      <c r="BF48" s="2229">
        <f t="shared" si="16"/>
        <v>1</v>
      </c>
    </row>
    <row r="49" spans="1:58" s="1" customFormat="1">
      <c r="A49" s="157"/>
      <c r="B49" s="3007" t="s">
        <v>963</v>
      </c>
      <c r="C49" s="5317"/>
      <c r="D49" s="1142">
        <v>31</v>
      </c>
      <c r="E49" s="2231">
        <v>82</v>
      </c>
      <c r="F49" s="2229">
        <f t="shared" si="0"/>
        <v>0.37804878048780488</v>
      </c>
      <c r="G49" s="2207"/>
      <c r="H49" s="1142">
        <v>30</v>
      </c>
      <c r="I49" s="2231">
        <v>80</v>
      </c>
      <c r="J49" s="2229">
        <f t="shared" si="1"/>
        <v>0.375</v>
      </c>
      <c r="K49" s="2207"/>
      <c r="L49" s="1142">
        <v>30</v>
      </c>
      <c r="M49" s="2231">
        <v>78</v>
      </c>
      <c r="N49" s="2229">
        <f t="shared" si="2"/>
        <v>0.38461538461538464</v>
      </c>
      <c r="O49" s="2207"/>
      <c r="P49" s="1142">
        <v>31</v>
      </c>
      <c r="Q49" s="2231">
        <v>79</v>
      </c>
      <c r="R49" s="2229">
        <f t="shared" si="3"/>
        <v>0.39240506329113922</v>
      </c>
      <c r="S49" s="2207"/>
      <c r="T49" s="1142">
        <v>31</v>
      </c>
      <c r="U49" s="2231">
        <v>79</v>
      </c>
      <c r="V49" s="2229">
        <f t="shared" si="4"/>
        <v>0.39240506329113922</v>
      </c>
      <c r="W49" s="2207"/>
      <c r="X49" s="1142">
        <v>30</v>
      </c>
      <c r="Y49" s="2231">
        <v>78</v>
      </c>
      <c r="Z49" s="2229">
        <f t="shared" si="5"/>
        <v>0.38461538461538464</v>
      </c>
      <c r="AA49" s="2207"/>
      <c r="AB49" s="1142">
        <v>29</v>
      </c>
      <c r="AC49" s="2231">
        <v>78</v>
      </c>
      <c r="AD49" s="2229">
        <f t="shared" si="17"/>
        <v>0.37179487179487181</v>
      </c>
      <c r="AE49" s="2207"/>
      <c r="AF49" s="1142">
        <v>29</v>
      </c>
      <c r="AG49" s="2231">
        <v>83</v>
      </c>
      <c r="AH49" s="2229">
        <f t="shared" si="7"/>
        <v>0.3493975903614458</v>
      </c>
      <c r="AI49" s="2207"/>
      <c r="AJ49" s="1142">
        <v>30</v>
      </c>
      <c r="AK49" s="2231">
        <v>87</v>
      </c>
      <c r="AL49" s="2229">
        <f t="shared" si="8"/>
        <v>0.34482758620689657</v>
      </c>
      <c r="AN49" s="1142">
        <v>30</v>
      </c>
      <c r="AO49" s="2231">
        <v>87</v>
      </c>
      <c r="AP49" s="2229">
        <f t="shared" si="9"/>
        <v>0.34482758620689657</v>
      </c>
      <c r="AR49" s="1142">
        <v>29</v>
      </c>
      <c r="AS49" s="2231">
        <v>82</v>
      </c>
      <c r="AT49" s="2229">
        <f t="shared" si="10"/>
        <v>0.35365853658536583</v>
      </c>
      <c r="AV49" s="1142">
        <v>29</v>
      </c>
      <c r="AW49" s="2231">
        <v>80</v>
      </c>
      <c r="AX49" s="2229">
        <f t="shared" si="14"/>
        <v>0.36249999999999999</v>
      </c>
      <c r="AZ49" s="1142">
        <v>29</v>
      </c>
      <c r="BA49" s="2231">
        <v>77</v>
      </c>
      <c r="BB49" s="2229">
        <f t="shared" si="15"/>
        <v>0.37662337662337664</v>
      </c>
      <c r="BD49" s="1142">
        <v>34</v>
      </c>
      <c r="BE49" s="2231">
        <v>75</v>
      </c>
      <c r="BF49" s="2229">
        <f t="shared" si="16"/>
        <v>0.45333333333333331</v>
      </c>
    </row>
    <row r="50" spans="1:58" s="1" customFormat="1">
      <c r="A50" s="157"/>
      <c r="B50" s="3007" t="s">
        <v>990</v>
      </c>
      <c r="C50" s="5317"/>
      <c r="D50" s="1142">
        <v>50</v>
      </c>
      <c r="E50" s="2231">
        <v>108</v>
      </c>
      <c r="F50" s="2229">
        <f t="shared" si="0"/>
        <v>0.46296296296296297</v>
      </c>
      <c r="G50" s="2207"/>
      <c r="H50" s="1142">
        <v>51</v>
      </c>
      <c r="I50" s="2231">
        <v>105</v>
      </c>
      <c r="J50" s="2229">
        <f t="shared" si="1"/>
        <v>0.48571428571428571</v>
      </c>
      <c r="K50" s="2207"/>
      <c r="L50" s="1142">
        <v>48</v>
      </c>
      <c r="M50" s="2231">
        <v>105</v>
      </c>
      <c r="N50" s="2229">
        <f t="shared" si="2"/>
        <v>0.45714285714285713</v>
      </c>
      <c r="O50" s="2207"/>
      <c r="P50" s="1142">
        <v>49</v>
      </c>
      <c r="Q50" s="2231">
        <v>104</v>
      </c>
      <c r="R50" s="2229">
        <f t="shared" si="3"/>
        <v>0.47115384615384615</v>
      </c>
      <c r="S50" s="2207"/>
      <c r="T50" s="1142">
        <v>51</v>
      </c>
      <c r="U50" s="2231">
        <v>106</v>
      </c>
      <c r="V50" s="2229">
        <f t="shared" si="4"/>
        <v>0.48113207547169812</v>
      </c>
      <c r="W50" s="2207"/>
      <c r="X50" s="1142">
        <v>55</v>
      </c>
      <c r="Y50" s="2231">
        <v>107</v>
      </c>
      <c r="Z50" s="2229">
        <f t="shared" si="5"/>
        <v>0.51401869158878499</v>
      </c>
      <c r="AA50" s="2207"/>
      <c r="AB50" s="1142">
        <v>53</v>
      </c>
      <c r="AC50" s="2231">
        <v>105</v>
      </c>
      <c r="AD50" s="2229">
        <f t="shared" si="17"/>
        <v>0.50476190476190474</v>
      </c>
      <c r="AE50" s="2207"/>
      <c r="AF50" s="1142">
        <v>53</v>
      </c>
      <c r="AG50" s="2231">
        <v>107</v>
      </c>
      <c r="AH50" s="2229">
        <f t="shared" si="7"/>
        <v>0.49532710280373832</v>
      </c>
      <c r="AI50" s="2207"/>
      <c r="AJ50" s="1142">
        <v>51</v>
      </c>
      <c r="AK50" s="2231">
        <v>106</v>
      </c>
      <c r="AL50" s="2229">
        <f t="shared" si="8"/>
        <v>0.48113207547169812</v>
      </c>
      <c r="AN50" s="1142">
        <v>53</v>
      </c>
      <c r="AO50" s="2231">
        <v>99</v>
      </c>
      <c r="AP50" s="2229">
        <f t="shared" si="9"/>
        <v>0.53535353535353536</v>
      </c>
      <c r="AR50" s="1142">
        <v>52</v>
      </c>
      <c r="AS50" s="2231">
        <v>98</v>
      </c>
      <c r="AT50" s="2229">
        <f t="shared" si="10"/>
        <v>0.53061224489795922</v>
      </c>
      <c r="AV50" s="1142">
        <v>55</v>
      </c>
      <c r="AW50" s="2231">
        <v>92</v>
      </c>
      <c r="AX50" s="2229">
        <f t="shared" si="14"/>
        <v>0.59782608695652173</v>
      </c>
      <c r="AZ50" s="1142">
        <v>54</v>
      </c>
      <c r="BA50" s="2231">
        <v>92</v>
      </c>
      <c r="BB50" s="2229">
        <f t="shared" si="15"/>
        <v>0.58695652173913049</v>
      </c>
      <c r="BD50" s="1142">
        <v>56</v>
      </c>
      <c r="BE50" s="2231">
        <v>94</v>
      </c>
      <c r="BF50" s="2229">
        <f t="shared" si="16"/>
        <v>0.5957446808510638</v>
      </c>
    </row>
    <row r="51" spans="1:58" s="1" customFormat="1" ht="15" thickBot="1">
      <c r="A51" s="157"/>
      <c r="B51" s="3008" t="s">
        <v>964</v>
      </c>
      <c r="C51" s="5317"/>
      <c r="D51" s="1142">
        <v>35</v>
      </c>
      <c r="E51" s="2231">
        <v>92</v>
      </c>
      <c r="F51" s="2229">
        <f t="shared" si="0"/>
        <v>0.38043478260869568</v>
      </c>
      <c r="G51" s="2207"/>
      <c r="H51" s="1142">
        <v>33</v>
      </c>
      <c r="I51" s="2231">
        <v>92</v>
      </c>
      <c r="J51" s="2229">
        <f t="shared" si="1"/>
        <v>0.35869565217391303</v>
      </c>
      <c r="K51" s="2207"/>
      <c r="L51" s="1142">
        <v>33</v>
      </c>
      <c r="M51" s="2231">
        <v>89</v>
      </c>
      <c r="N51" s="2229">
        <f t="shared" si="2"/>
        <v>0.3707865168539326</v>
      </c>
      <c r="O51" s="2207"/>
      <c r="P51" s="1142">
        <v>37</v>
      </c>
      <c r="Q51" s="2231">
        <v>92</v>
      </c>
      <c r="R51" s="2229">
        <f t="shared" si="3"/>
        <v>0.40217391304347827</v>
      </c>
      <c r="S51" s="2207"/>
      <c r="T51" s="1142">
        <v>39</v>
      </c>
      <c r="U51" s="2231">
        <v>94</v>
      </c>
      <c r="V51" s="2229">
        <f t="shared" si="4"/>
        <v>0.41489361702127658</v>
      </c>
      <c r="W51" s="2207"/>
      <c r="X51" s="1142">
        <v>38</v>
      </c>
      <c r="Y51" s="2231">
        <v>92</v>
      </c>
      <c r="Z51" s="2229">
        <f t="shared" si="5"/>
        <v>0.41304347826086957</v>
      </c>
      <c r="AA51" s="2207"/>
      <c r="AB51" s="1142">
        <v>43</v>
      </c>
      <c r="AC51" s="2231">
        <v>91</v>
      </c>
      <c r="AD51" s="2229">
        <f t="shared" si="17"/>
        <v>0.47252747252747251</v>
      </c>
      <c r="AE51" s="2207"/>
      <c r="AF51" s="1142">
        <v>42</v>
      </c>
      <c r="AG51" s="2231">
        <v>90</v>
      </c>
      <c r="AH51" s="2229">
        <f t="shared" si="7"/>
        <v>0.46666666666666667</v>
      </c>
      <c r="AI51" s="2207"/>
      <c r="AJ51" s="1142">
        <v>41</v>
      </c>
      <c r="AK51" s="2231">
        <v>93</v>
      </c>
      <c r="AL51" s="2229">
        <f t="shared" si="8"/>
        <v>0.44086021505376344</v>
      </c>
      <c r="AN51" s="1142">
        <v>43</v>
      </c>
      <c r="AO51" s="2231">
        <v>87</v>
      </c>
      <c r="AP51" s="2229">
        <f t="shared" si="9"/>
        <v>0.4942528735632184</v>
      </c>
      <c r="AR51" s="1142">
        <v>43</v>
      </c>
      <c r="AS51" s="2231">
        <v>85</v>
      </c>
      <c r="AT51" s="2229">
        <f t="shared" si="10"/>
        <v>0.50588235294117645</v>
      </c>
      <c r="AV51" s="1142">
        <v>41</v>
      </c>
      <c r="AW51" s="2231">
        <v>84</v>
      </c>
      <c r="AX51" s="2229">
        <f t="shared" si="14"/>
        <v>0.48809523809523808</v>
      </c>
      <c r="AZ51" s="1142">
        <v>43</v>
      </c>
      <c r="BA51" s="2231">
        <v>86</v>
      </c>
      <c r="BB51" s="2229">
        <f t="shared" si="15"/>
        <v>0.5</v>
      </c>
      <c r="BD51" s="1142">
        <v>48</v>
      </c>
      <c r="BE51" s="2231">
        <v>83</v>
      </c>
      <c r="BF51" s="2229">
        <f t="shared" si="16"/>
        <v>0.57831325301204817</v>
      </c>
    </row>
    <row r="52" spans="1:58" s="1" customFormat="1">
      <c r="A52" s="157"/>
      <c r="B52" s="2419" t="s">
        <v>16</v>
      </c>
      <c r="C52" s="5317"/>
      <c r="D52" s="1146">
        <f>SUM(D48:D51)</f>
        <v>137</v>
      </c>
      <c r="E52" s="1970">
        <f>SUM(E48:E51)</f>
        <v>307</v>
      </c>
      <c r="F52" s="2230">
        <f t="shared" si="0"/>
        <v>0.44625407166123776</v>
      </c>
      <c r="G52" s="2207"/>
      <c r="H52" s="1146">
        <v>134</v>
      </c>
      <c r="I52" s="1970">
        <f>SUM(I48:I51)</f>
        <v>302</v>
      </c>
      <c r="J52" s="2230">
        <f t="shared" si="1"/>
        <v>0.44370860927152317</v>
      </c>
      <c r="K52" s="2207"/>
      <c r="L52" s="1146">
        <v>131</v>
      </c>
      <c r="M52" s="1970">
        <f>SUM(M48:M51)</f>
        <v>298</v>
      </c>
      <c r="N52" s="2230">
        <f t="shared" si="2"/>
        <v>0.43959731543624159</v>
      </c>
      <c r="O52" s="2207"/>
      <c r="P52" s="1146">
        <v>137</v>
      </c>
      <c r="Q52" s="1970">
        <f>SUM(Q48:Q51)</f>
        <v>299</v>
      </c>
      <c r="R52" s="2230">
        <f t="shared" si="3"/>
        <v>0.45819397993311034</v>
      </c>
      <c r="S52" s="2207"/>
      <c r="T52" s="1146">
        <v>139</v>
      </c>
      <c r="U52" s="1970">
        <f>SUM(U48:U51)</f>
        <v>303</v>
      </c>
      <c r="V52" s="2230">
        <f t="shared" si="4"/>
        <v>0.45874587458745875</v>
      </c>
      <c r="W52" s="2207"/>
      <c r="X52" s="1146">
        <f>SUM(X48:X51)</f>
        <v>145</v>
      </c>
      <c r="Y52" s="1970">
        <v>301</v>
      </c>
      <c r="Z52" s="2230">
        <f t="shared" si="5"/>
        <v>0.48172757475083056</v>
      </c>
      <c r="AA52" s="2207"/>
      <c r="AB52" s="1146">
        <f>SUM(AB48:AB51)</f>
        <v>149</v>
      </c>
      <c r="AC52" s="1970">
        <f>SUM(AC48:AC51)</f>
        <v>298</v>
      </c>
      <c r="AD52" s="2230">
        <f t="shared" si="17"/>
        <v>0.5</v>
      </c>
      <c r="AE52" s="2207"/>
      <c r="AF52" s="1146">
        <v>148</v>
      </c>
      <c r="AG52" s="1970">
        <f>SUM(AG48:AG51)</f>
        <v>303</v>
      </c>
      <c r="AH52" s="2230">
        <f t="shared" si="7"/>
        <v>0.48844884488448848</v>
      </c>
      <c r="AI52" s="2207"/>
      <c r="AJ52" s="1146">
        <v>145</v>
      </c>
      <c r="AK52" s="1970">
        <f>SUM(AK48:AK51)</f>
        <v>309</v>
      </c>
      <c r="AL52" s="2230">
        <f t="shared" si="8"/>
        <v>0.46925566343042069</v>
      </c>
      <c r="AN52" s="1146">
        <v>149</v>
      </c>
      <c r="AO52" s="1970">
        <f>SUM(AO48:AO51)</f>
        <v>297</v>
      </c>
      <c r="AP52" s="2230">
        <f t="shared" si="9"/>
        <v>0.50168350168350173</v>
      </c>
      <c r="AR52" s="1146">
        <f>SUM(AR48:AR51)</f>
        <v>144</v>
      </c>
      <c r="AS52" s="1970">
        <f>SUM(AS48:AS51)</f>
        <v>289</v>
      </c>
      <c r="AT52" s="2230">
        <f t="shared" si="10"/>
        <v>0.4982698961937716</v>
      </c>
      <c r="AV52" s="1146">
        <f>SUM(AV48:AV51)</f>
        <v>146</v>
      </c>
      <c r="AW52" s="1970">
        <f>SUM(AW48:AW51)</f>
        <v>278</v>
      </c>
      <c r="AX52" s="2230">
        <f t="shared" si="14"/>
        <v>0.52517985611510787</v>
      </c>
      <c r="AZ52" s="1146">
        <v>154</v>
      </c>
      <c r="BA52" s="1970">
        <v>279</v>
      </c>
      <c r="BB52" s="2230">
        <f t="shared" si="15"/>
        <v>0.55197132616487454</v>
      </c>
      <c r="BD52" s="1146">
        <v>161</v>
      </c>
      <c r="BE52" s="1970">
        <v>275</v>
      </c>
      <c r="BF52" s="2230">
        <f t="shared" si="16"/>
        <v>0.58545454545454545</v>
      </c>
    </row>
    <row r="53" spans="1:58" s="1" customFormat="1" ht="15" customHeight="1">
      <c r="A53" s="157"/>
      <c r="B53" s="3010" t="s">
        <v>893</v>
      </c>
      <c r="C53" s="5317"/>
      <c r="D53" s="2239">
        <f>SUM(D52,D47,D41)</f>
        <v>414</v>
      </c>
      <c r="E53" s="2240">
        <f>SUM(E52,E47,E41)</f>
        <v>789</v>
      </c>
      <c r="F53" s="2241">
        <f t="shared" si="0"/>
        <v>0.52471482889733845</v>
      </c>
      <c r="G53" s="2207"/>
      <c r="H53" s="2239">
        <v>405</v>
      </c>
      <c r="I53" s="2240">
        <f>SUM(I52,I47,I41)</f>
        <v>794</v>
      </c>
      <c r="J53" s="2241">
        <f t="shared" si="1"/>
        <v>0.51007556675062971</v>
      </c>
      <c r="K53" s="2207"/>
      <c r="L53" s="2239">
        <v>407</v>
      </c>
      <c r="M53" s="2240">
        <f>SUM(M52,M47,M41)</f>
        <v>791</v>
      </c>
      <c r="N53" s="2241">
        <f t="shared" si="2"/>
        <v>0.51453855878634636</v>
      </c>
      <c r="O53" s="2207"/>
      <c r="P53" s="2239">
        <v>450</v>
      </c>
      <c r="Q53" s="2240">
        <f>SUM(Q52,Q47,Q41)</f>
        <v>804</v>
      </c>
      <c r="R53" s="2241">
        <f t="shared" si="3"/>
        <v>0.55970149253731338</v>
      </c>
      <c r="S53" s="2207"/>
      <c r="T53" s="2239">
        <v>461</v>
      </c>
      <c r="U53" s="2240">
        <f>SUM(U52,U47,U41)</f>
        <v>817</v>
      </c>
      <c r="V53" s="2241">
        <f t="shared" si="4"/>
        <v>0.56425948592411257</v>
      </c>
      <c r="W53" s="2207"/>
      <c r="X53" s="2239">
        <f>SUM(X41,X47,X52)</f>
        <v>477</v>
      </c>
      <c r="Y53" s="2240">
        <v>813</v>
      </c>
      <c r="Z53" s="2241">
        <f t="shared" si="5"/>
        <v>0.58671586715867163</v>
      </c>
      <c r="AA53" s="2207"/>
      <c r="AB53" s="2239">
        <f>SUM(AB41,AB47,AB52)</f>
        <v>501</v>
      </c>
      <c r="AC53" s="2240">
        <f>SUM(AC41,AC47,AC52)</f>
        <v>810</v>
      </c>
      <c r="AD53" s="2241">
        <f t="shared" ref="AD53:AD84" si="18">AB53/AC53</f>
        <v>0.61851851851851847</v>
      </c>
      <c r="AE53" s="2207"/>
      <c r="AF53" s="2239">
        <v>492</v>
      </c>
      <c r="AG53" s="2240">
        <f>SUM(AG41,AG47,AG52)</f>
        <v>806</v>
      </c>
      <c r="AH53" s="2241">
        <f t="shared" si="7"/>
        <v>0.61042183622828783</v>
      </c>
      <c r="AI53" s="2207"/>
      <c r="AJ53" s="2239">
        <v>475</v>
      </c>
      <c r="AK53" s="2240">
        <f>SUM(AK41,AK47,AK52)</f>
        <v>811</v>
      </c>
      <c r="AL53" s="2241">
        <f t="shared" si="8"/>
        <v>0.58569667077681875</v>
      </c>
      <c r="AN53" s="2239">
        <v>489</v>
      </c>
      <c r="AO53" s="2240">
        <f>SUM(AO41,AO47,AO52)</f>
        <v>790</v>
      </c>
      <c r="AP53" s="2241">
        <f t="shared" si="9"/>
        <v>0.61898734177215187</v>
      </c>
      <c r="AR53" s="2239">
        <f>SUM(AR41,AR47,AR52)</f>
        <v>492</v>
      </c>
      <c r="AS53" s="2240">
        <f>SUM(AS41,AS47,AS52)</f>
        <v>779</v>
      </c>
      <c r="AT53" s="2241">
        <f t="shared" si="10"/>
        <v>0.63157894736842102</v>
      </c>
      <c r="AV53" s="2239">
        <f>SUM(AV41,AV47,AV52)</f>
        <v>512</v>
      </c>
      <c r="AW53" s="2240">
        <f>SUM(AW41,AW47,AW52)</f>
        <v>759</v>
      </c>
      <c r="AX53" s="2241">
        <f t="shared" si="14"/>
        <v>0.67457180500658764</v>
      </c>
      <c r="AZ53" s="2239">
        <v>514</v>
      </c>
      <c r="BA53" s="2240">
        <v>751</v>
      </c>
      <c r="BB53" s="2241">
        <f t="shared" si="15"/>
        <v>0.68442077230359522</v>
      </c>
      <c r="BD53" s="2239">
        <v>498</v>
      </c>
      <c r="BE53" s="2240">
        <v>745</v>
      </c>
      <c r="BF53" s="2241">
        <f t="shared" si="16"/>
        <v>0.66845637583892614</v>
      </c>
    </row>
    <row r="54" spans="1:58" s="1" customFormat="1">
      <c r="A54" s="157"/>
      <c r="B54" s="3011" t="s">
        <v>992</v>
      </c>
      <c r="C54" s="5317"/>
      <c r="D54" s="1147"/>
      <c r="E54" s="2242">
        <v>1</v>
      </c>
      <c r="F54" s="2235">
        <f t="shared" si="0"/>
        <v>0</v>
      </c>
      <c r="G54" s="2207"/>
      <c r="H54" s="1147"/>
      <c r="I54" s="2242">
        <v>1</v>
      </c>
      <c r="J54" s="2235">
        <f t="shared" si="1"/>
        <v>0</v>
      </c>
      <c r="K54" s="2207"/>
      <c r="L54" s="1147">
        <v>0</v>
      </c>
      <c r="M54" s="2242">
        <v>2</v>
      </c>
      <c r="N54" s="2235">
        <f t="shared" si="2"/>
        <v>0</v>
      </c>
      <c r="O54" s="2207"/>
      <c r="P54" s="1147">
        <v>1</v>
      </c>
      <c r="Q54" s="2242">
        <v>2</v>
      </c>
      <c r="R54" s="2235">
        <f t="shared" si="3"/>
        <v>0.5</v>
      </c>
      <c r="S54" s="2207"/>
      <c r="T54" s="1147">
        <v>1</v>
      </c>
      <c r="U54" s="2242">
        <v>2</v>
      </c>
      <c r="V54" s="2235">
        <f t="shared" si="4"/>
        <v>0.5</v>
      </c>
      <c r="W54" s="2207"/>
      <c r="X54" s="1147">
        <v>1</v>
      </c>
      <c r="Y54" s="2242">
        <v>5</v>
      </c>
      <c r="Z54" s="2235">
        <f t="shared" si="5"/>
        <v>0.2</v>
      </c>
      <c r="AA54" s="2207"/>
      <c r="AB54" s="1147">
        <v>0</v>
      </c>
      <c r="AC54" s="2242">
        <v>5</v>
      </c>
      <c r="AD54" s="2235">
        <f t="shared" si="18"/>
        <v>0</v>
      </c>
      <c r="AE54" s="2207"/>
      <c r="AF54" s="1147">
        <v>1</v>
      </c>
      <c r="AG54" s="2242">
        <v>6</v>
      </c>
      <c r="AH54" s="2235">
        <f t="shared" si="7"/>
        <v>0.16666666666666666</v>
      </c>
      <c r="AI54" s="2207"/>
      <c r="AJ54" s="1147">
        <v>2</v>
      </c>
      <c r="AK54" s="2242">
        <v>6</v>
      </c>
      <c r="AL54" s="2235">
        <f t="shared" si="8"/>
        <v>0.33333333333333331</v>
      </c>
      <c r="AN54" s="1147">
        <v>3</v>
      </c>
      <c r="AO54" s="2242">
        <v>6</v>
      </c>
      <c r="AP54" s="2235">
        <f t="shared" si="9"/>
        <v>0.5</v>
      </c>
      <c r="AR54" s="1147">
        <v>3</v>
      </c>
      <c r="AS54" s="2242">
        <v>6</v>
      </c>
      <c r="AT54" s="2235">
        <f t="shared" si="10"/>
        <v>0.5</v>
      </c>
      <c r="AV54" s="1147">
        <v>3</v>
      </c>
      <c r="AW54" s="2242">
        <v>6</v>
      </c>
      <c r="AX54" s="2235">
        <f t="shared" si="14"/>
        <v>0.5</v>
      </c>
      <c r="AZ54" s="1147">
        <v>3</v>
      </c>
      <c r="BA54" s="2242">
        <v>5</v>
      </c>
      <c r="BB54" s="2235">
        <f t="shared" si="15"/>
        <v>0.6</v>
      </c>
      <c r="BD54" s="1147">
        <v>3</v>
      </c>
      <c r="BE54" s="2242">
        <v>4</v>
      </c>
      <c r="BF54" s="2235">
        <f t="shared" si="16"/>
        <v>0.75</v>
      </c>
    </row>
    <row r="55" spans="1:58" s="1" customFormat="1">
      <c r="A55" s="157"/>
      <c r="B55" s="3012" t="s">
        <v>993</v>
      </c>
      <c r="C55" s="5317"/>
      <c r="D55" s="1142">
        <v>2</v>
      </c>
      <c r="E55" s="2242">
        <v>1</v>
      </c>
      <c r="F55" s="2229">
        <f t="shared" si="0"/>
        <v>2</v>
      </c>
      <c r="G55" s="2207"/>
      <c r="H55" s="1142">
        <v>4</v>
      </c>
      <c r="I55" s="2242">
        <v>2</v>
      </c>
      <c r="J55" s="2229">
        <f t="shared" si="1"/>
        <v>2</v>
      </c>
      <c r="K55" s="2207"/>
      <c r="L55" s="1142">
        <v>3</v>
      </c>
      <c r="M55" s="2242">
        <v>3</v>
      </c>
      <c r="N55" s="2229">
        <f t="shared" si="2"/>
        <v>1</v>
      </c>
      <c r="O55" s="2207"/>
      <c r="P55" s="1142">
        <v>7</v>
      </c>
      <c r="Q55" s="2242">
        <v>4</v>
      </c>
      <c r="R55" s="2229">
        <f t="shared" si="3"/>
        <v>1.75</v>
      </c>
      <c r="S55" s="2207"/>
      <c r="T55" s="1142">
        <v>4</v>
      </c>
      <c r="U55" s="2242">
        <v>6</v>
      </c>
      <c r="V55" s="2229">
        <f t="shared" si="4"/>
        <v>0.66666666666666663</v>
      </c>
      <c r="W55" s="2207"/>
      <c r="X55" s="1142">
        <v>7</v>
      </c>
      <c r="Y55" s="2242">
        <v>8</v>
      </c>
      <c r="Z55" s="2229">
        <f t="shared" si="5"/>
        <v>0.875</v>
      </c>
      <c r="AA55" s="2207"/>
      <c r="AB55" s="1142">
        <v>9</v>
      </c>
      <c r="AC55" s="2242">
        <v>8</v>
      </c>
      <c r="AD55" s="2229">
        <f t="shared" si="18"/>
        <v>1.125</v>
      </c>
      <c r="AE55" s="2207"/>
      <c r="AF55" s="1142">
        <v>10</v>
      </c>
      <c r="AG55" s="2242">
        <v>9</v>
      </c>
      <c r="AH55" s="2229">
        <f t="shared" si="7"/>
        <v>1.1111111111111112</v>
      </c>
      <c r="AI55" s="2207"/>
      <c r="AJ55" s="1142">
        <v>8</v>
      </c>
      <c r="AK55" s="2242">
        <v>11</v>
      </c>
      <c r="AL55" s="2229">
        <f t="shared" si="8"/>
        <v>0.72727272727272729</v>
      </c>
      <c r="AN55" s="1142">
        <v>8</v>
      </c>
      <c r="AO55" s="2242">
        <v>12</v>
      </c>
      <c r="AP55" s="2229">
        <f t="shared" si="9"/>
        <v>0.66666666666666663</v>
      </c>
      <c r="AR55" s="1142">
        <v>9</v>
      </c>
      <c r="AS55" s="2242">
        <v>12</v>
      </c>
      <c r="AT55" s="2229">
        <f t="shared" si="10"/>
        <v>0.75</v>
      </c>
      <c r="AV55" s="1142">
        <v>8</v>
      </c>
      <c r="AW55" s="2242">
        <v>10</v>
      </c>
      <c r="AX55" s="2229">
        <f t="shared" si="14"/>
        <v>0.8</v>
      </c>
      <c r="AZ55" s="1142">
        <v>7</v>
      </c>
      <c r="BA55" s="2242">
        <v>10</v>
      </c>
      <c r="BB55" s="2229">
        <f t="shared" si="15"/>
        <v>0.7</v>
      </c>
      <c r="BD55" s="1142">
        <v>6</v>
      </c>
      <c r="BE55" s="2242">
        <v>10</v>
      </c>
      <c r="BF55" s="2229">
        <f t="shared" si="16"/>
        <v>0.6</v>
      </c>
    </row>
    <row r="56" spans="1:58" s="1" customFormat="1" ht="15" thickBot="1">
      <c r="A56" s="157"/>
      <c r="B56" s="3013" t="s">
        <v>994</v>
      </c>
      <c r="C56" s="5317"/>
      <c r="D56" s="1142"/>
      <c r="E56" s="2242">
        <v>1</v>
      </c>
      <c r="F56" s="2229">
        <f t="shared" si="0"/>
        <v>0</v>
      </c>
      <c r="G56" s="2207"/>
      <c r="H56" s="1142"/>
      <c r="I56" s="2242">
        <v>1</v>
      </c>
      <c r="J56" s="2229">
        <f t="shared" si="1"/>
        <v>0</v>
      </c>
      <c r="K56" s="2207"/>
      <c r="L56" s="1142">
        <v>1</v>
      </c>
      <c r="M56" s="2242">
        <v>2</v>
      </c>
      <c r="N56" s="2229">
        <f t="shared" si="2"/>
        <v>0.5</v>
      </c>
      <c r="O56" s="2207"/>
      <c r="P56" s="1142">
        <v>1</v>
      </c>
      <c r="Q56" s="2242">
        <v>2</v>
      </c>
      <c r="R56" s="2229">
        <f t="shared" si="3"/>
        <v>0.5</v>
      </c>
      <c r="S56" s="2207"/>
      <c r="T56" s="1142">
        <v>1</v>
      </c>
      <c r="U56" s="2242">
        <v>2</v>
      </c>
      <c r="V56" s="2229">
        <f t="shared" si="4"/>
        <v>0.5</v>
      </c>
      <c r="W56" s="2207"/>
      <c r="X56" s="1142">
        <v>0</v>
      </c>
      <c r="Y56" s="2242">
        <v>2</v>
      </c>
      <c r="Z56" s="2229">
        <f t="shared" si="5"/>
        <v>0</v>
      </c>
      <c r="AA56" s="2207"/>
      <c r="AB56" s="1142">
        <v>0</v>
      </c>
      <c r="AC56" s="2242">
        <v>3</v>
      </c>
      <c r="AD56" s="2229">
        <f t="shared" si="18"/>
        <v>0</v>
      </c>
      <c r="AE56" s="2207"/>
      <c r="AF56" s="1142">
        <v>2</v>
      </c>
      <c r="AG56" s="2242">
        <v>4</v>
      </c>
      <c r="AH56" s="2229">
        <f t="shared" si="7"/>
        <v>0.5</v>
      </c>
      <c r="AI56" s="2207"/>
      <c r="AJ56" s="1142">
        <v>4</v>
      </c>
      <c r="AK56" s="2242">
        <v>4</v>
      </c>
      <c r="AL56" s="2229">
        <f t="shared" si="8"/>
        <v>1</v>
      </c>
      <c r="AN56" s="1142">
        <v>5</v>
      </c>
      <c r="AO56" s="2242">
        <v>5</v>
      </c>
      <c r="AP56" s="2229">
        <f t="shared" si="9"/>
        <v>1</v>
      </c>
      <c r="AR56" s="1142">
        <v>4</v>
      </c>
      <c r="AS56" s="2242">
        <v>4</v>
      </c>
      <c r="AT56" s="2229">
        <f t="shared" si="10"/>
        <v>1</v>
      </c>
      <c r="AV56" s="1142">
        <v>4</v>
      </c>
      <c r="AW56" s="2242">
        <v>6</v>
      </c>
      <c r="AX56" s="2229">
        <f t="shared" si="14"/>
        <v>0.66666666666666663</v>
      </c>
      <c r="AZ56" s="1142">
        <v>3</v>
      </c>
      <c r="BA56" s="2242">
        <v>4</v>
      </c>
      <c r="BB56" s="2229">
        <f t="shared" si="15"/>
        <v>0.75</v>
      </c>
      <c r="BD56" s="1142">
        <v>1</v>
      </c>
      <c r="BE56" s="2242">
        <v>6</v>
      </c>
      <c r="BF56" s="2229">
        <f t="shared" si="16"/>
        <v>0.16666666666666666</v>
      </c>
    </row>
    <row r="57" spans="1:58" s="1" customFormat="1" ht="15" thickBot="1">
      <c r="A57" s="157"/>
      <c r="B57" s="2418" t="s">
        <v>4</v>
      </c>
      <c r="C57" s="5317"/>
      <c r="D57" s="1145">
        <f>SUM(D54:D56)</f>
        <v>2</v>
      </c>
      <c r="E57" s="1141">
        <f>SUM(E54:E56)</f>
        <v>3</v>
      </c>
      <c r="F57" s="2230">
        <f t="shared" si="0"/>
        <v>0.66666666666666663</v>
      </c>
      <c r="G57" s="2207"/>
      <c r="H57" s="1145">
        <v>4</v>
      </c>
      <c r="I57" s="1141">
        <f>SUM(I54:I56)</f>
        <v>4</v>
      </c>
      <c r="J57" s="2230">
        <f t="shared" si="1"/>
        <v>1</v>
      </c>
      <c r="K57" s="2207"/>
      <c r="L57" s="1145">
        <v>4</v>
      </c>
      <c r="M57" s="1141">
        <f>SUM(M54:M56)</f>
        <v>7</v>
      </c>
      <c r="N57" s="2230">
        <f t="shared" si="2"/>
        <v>0.5714285714285714</v>
      </c>
      <c r="O57" s="2207"/>
      <c r="P57" s="1145">
        <v>9</v>
      </c>
      <c r="Q57" s="1141">
        <f>SUM(Q54:Q56)</f>
        <v>8</v>
      </c>
      <c r="R57" s="2230">
        <f t="shared" si="3"/>
        <v>1.125</v>
      </c>
      <c r="S57" s="2207"/>
      <c r="T57" s="1145">
        <v>6</v>
      </c>
      <c r="U57" s="1141">
        <f>SUM(U54:U56)</f>
        <v>10</v>
      </c>
      <c r="V57" s="2230">
        <f t="shared" si="4"/>
        <v>0.6</v>
      </c>
      <c r="W57" s="2207"/>
      <c r="X57" s="1145">
        <f>SUM(X54:X56)</f>
        <v>8</v>
      </c>
      <c r="Y57" s="1141">
        <v>15</v>
      </c>
      <c r="Z57" s="2230">
        <f t="shared" si="5"/>
        <v>0.53333333333333333</v>
      </c>
      <c r="AA57" s="2207"/>
      <c r="AB57" s="1145">
        <f>SUM(AB54:AB56)</f>
        <v>9</v>
      </c>
      <c r="AC57" s="1141">
        <f>SUM(AC54:AC56)</f>
        <v>16</v>
      </c>
      <c r="AD57" s="2230">
        <f t="shared" si="18"/>
        <v>0.5625</v>
      </c>
      <c r="AE57" s="2207"/>
      <c r="AF57" s="1145">
        <v>13</v>
      </c>
      <c r="AG57" s="1141">
        <f>SUM(AG54:AG56)</f>
        <v>19</v>
      </c>
      <c r="AH57" s="2230">
        <f t="shared" si="7"/>
        <v>0.68421052631578949</v>
      </c>
      <c r="AI57" s="2207"/>
      <c r="AJ57" s="1145">
        <v>14</v>
      </c>
      <c r="AK57" s="1141">
        <f>SUM(AK54:AK56)</f>
        <v>21</v>
      </c>
      <c r="AL57" s="2230">
        <f t="shared" si="8"/>
        <v>0.66666666666666663</v>
      </c>
      <c r="AN57" s="1145">
        <v>16</v>
      </c>
      <c r="AO57" s="1141">
        <f>SUM(AO54:AO56)</f>
        <v>23</v>
      </c>
      <c r="AP57" s="2230">
        <f t="shared" si="9"/>
        <v>0.69565217391304346</v>
      </c>
      <c r="AR57" s="1145">
        <f>SUM(AR54:AR56)</f>
        <v>16</v>
      </c>
      <c r="AS57" s="1141">
        <f>SUM(AS54:AS56)</f>
        <v>22</v>
      </c>
      <c r="AT57" s="2230">
        <f t="shared" si="10"/>
        <v>0.72727272727272729</v>
      </c>
      <c r="AV57" s="1145">
        <f>SUM(AV54:AV56)</f>
        <v>15</v>
      </c>
      <c r="AW57" s="1141">
        <v>22</v>
      </c>
      <c r="AX57" s="2230">
        <f t="shared" si="14"/>
        <v>0.68181818181818177</v>
      </c>
      <c r="AZ57" s="1145">
        <v>13</v>
      </c>
      <c r="BA57" s="1141">
        <v>19</v>
      </c>
      <c r="BB57" s="2230">
        <f t="shared" si="15"/>
        <v>0.68421052631578949</v>
      </c>
      <c r="BD57" s="1145">
        <v>10</v>
      </c>
      <c r="BE57" s="1141">
        <v>20</v>
      </c>
      <c r="BF57" s="2230">
        <f t="shared" si="16"/>
        <v>0.5</v>
      </c>
    </row>
    <row r="58" spans="1:58" s="1" customFormat="1">
      <c r="A58" s="157"/>
      <c r="B58" s="3007" t="s">
        <v>995</v>
      </c>
      <c r="C58" s="5317"/>
      <c r="D58" s="1142">
        <v>1</v>
      </c>
      <c r="E58" s="2242">
        <v>1</v>
      </c>
      <c r="F58" s="2229">
        <f t="shared" si="0"/>
        <v>1</v>
      </c>
      <c r="G58" s="2207"/>
      <c r="H58" s="1142">
        <v>4</v>
      </c>
      <c r="I58" s="2242">
        <v>2</v>
      </c>
      <c r="J58" s="2229">
        <f t="shared" si="1"/>
        <v>2</v>
      </c>
      <c r="K58" s="2207"/>
      <c r="L58" s="1142">
        <v>4</v>
      </c>
      <c r="M58" s="2242">
        <v>2</v>
      </c>
      <c r="N58" s="2229">
        <f t="shared" si="2"/>
        <v>2</v>
      </c>
      <c r="O58" s="2207"/>
      <c r="P58" s="1142">
        <v>7</v>
      </c>
      <c r="Q58" s="2242">
        <v>6</v>
      </c>
      <c r="R58" s="2229">
        <f t="shared" si="3"/>
        <v>1.1666666666666667</v>
      </c>
      <c r="S58" s="2207"/>
      <c r="T58" s="1142">
        <v>8</v>
      </c>
      <c r="U58" s="2242">
        <v>8</v>
      </c>
      <c r="V58" s="2229">
        <f t="shared" si="4"/>
        <v>1</v>
      </c>
      <c r="W58" s="2207"/>
      <c r="X58" s="1142">
        <v>5</v>
      </c>
      <c r="Y58" s="2242">
        <v>7</v>
      </c>
      <c r="Z58" s="2229">
        <f t="shared" si="5"/>
        <v>0.7142857142857143</v>
      </c>
      <c r="AA58" s="2207"/>
      <c r="AB58" s="1142">
        <v>6</v>
      </c>
      <c r="AC58" s="2242">
        <v>8</v>
      </c>
      <c r="AD58" s="2229">
        <f t="shared" si="18"/>
        <v>0.75</v>
      </c>
      <c r="AE58" s="2207"/>
      <c r="AF58" s="1142">
        <v>5</v>
      </c>
      <c r="AG58" s="2242">
        <v>9</v>
      </c>
      <c r="AH58" s="2229">
        <f t="shared" si="7"/>
        <v>0.55555555555555558</v>
      </c>
      <c r="AI58" s="2207"/>
      <c r="AJ58" s="1142">
        <v>8</v>
      </c>
      <c r="AK58" s="2242">
        <v>9</v>
      </c>
      <c r="AL58" s="2229">
        <f t="shared" si="8"/>
        <v>0.88888888888888884</v>
      </c>
      <c r="AN58" s="1142">
        <v>9</v>
      </c>
      <c r="AO58" s="2242">
        <v>11</v>
      </c>
      <c r="AP58" s="2229">
        <f t="shared" si="9"/>
        <v>0.81818181818181823</v>
      </c>
      <c r="AR58" s="1142">
        <v>9</v>
      </c>
      <c r="AS58" s="2242">
        <v>11</v>
      </c>
      <c r="AT58" s="2229">
        <f t="shared" si="10"/>
        <v>0.81818181818181823</v>
      </c>
      <c r="AV58" s="1142">
        <v>9</v>
      </c>
      <c r="AW58" s="2242">
        <v>11</v>
      </c>
      <c r="AX58" s="2229">
        <f t="shared" si="14"/>
        <v>0.81818181818181823</v>
      </c>
      <c r="AZ58" s="1142">
        <v>7</v>
      </c>
      <c r="BA58" s="2242">
        <v>11</v>
      </c>
      <c r="BB58" s="2229">
        <f t="shared" si="15"/>
        <v>0.63636363636363635</v>
      </c>
      <c r="BD58" s="1142">
        <v>8</v>
      </c>
      <c r="BE58" s="2242">
        <v>10</v>
      </c>
      <c r="BF58" s="2229">
        <f t="shared" si="16"/>
        <v>0.8</v>
      </c>
    </row>
    <row r="59" spans="1:58" s="1" customFormat="1">
      <c r="A59" s="157"/>
      <c r="B59" s="3007" t="s">
        <v>996</v>
      </c>
      <c r="C59" s="5317"/>
      <c r="D59" s="1142">
        <v>1</v>
      </c>
      <c r="E59" s="2242">
        <v>2</v>
      </c>
      <c r="F59" s="2229">
        <f t="shared" si="0"/>
        <v>0.5</v>
      </c>
      <c r="G59" s="2207"/>
      <c r="H59" s="1142">
        <v>2</v>
      </c>
      <c r="I59" s="2242">
        <v>2</v>
      </c>
      <c r="J59" s="2229">
        <f t="shared" si="1"/>
        <v>1</v>
      </c>
      <c r="K59" s="2207"/>
      <c r="L59" s="1142">
        <v>3</v>
      </c>
      <c r="M59" s="2242">
        <v>4</v>
      </c>
      <c r="N59" s="2229">
        <f t="shared" si="2"/>
        <v>0.75</v>
      </c>
      <c r="O59" s="2207"/>
      <c r="P59" s="1142">
        <v>4</v>
      </c>
      <c r="Q59" s="2242">
        <v>4</v>
      </c>
      <c r="R59" s="2229">
        <f t="shared" si="3"/>
        <v>1</v>
      </c>
      <c r="S59" s="2207"/>
      <c r="T59" s="1142">
        <v>5</v>
      </c>
      <c r="U59" s="2242">
        <v>2</v>
      </c>
      <c r="V59" s="2229">
        <f t="shared" si="4"/>
        <v>2.5</v>
      </c>
      <c r="W59" s="2207"/>
      <c r="X59" s="1142">
        <v>5</v>
      </c>
      <c r="Y59" s="2242">
        <v>4</v>
      </c>
      <c r="Z59" s="2229">
        <f t="shared" si="5"/>
        <v>1.25</v>
      </c>
      <c r="AA59" s="2207"/>
      <c r="AB59" s="1142">
        <v>4</v>
      </c>
      <c r="AC59" s="2242">
        <v>6</v>
      </c>
      <c r="AD59" s="2229">
        <f t="shared" si="18"/>
        <v>0.66666666666666663</v>
      </c>
      <c r="AE59" s="2207"/>
      <c r="AF59" s="1142">
        <v>5</v>
      </c>
      <c r="AG59" s="2242">
        <v>7</v>
      </c>
      <c r="AH59" s="2229">
        <f t="shared" si="7"/>
        <v>0.7142857142857143</v>
      </c>
      <c r="AI59" s="2207"/>
      <c r="AJ59" s="1142">
        <v>5</v>
      </c>
      <c r="AK59" s="2242">
        <v>8</v>
      </c>
      <c r="AL59" s="2229">
        <f t="shared" si="8"/>
        <v>0.625</v>
      </c>
      <c r="AN59" s="1142">
        <v>5</v>
      </c>
      <c r="AO59" s="2242">
        <v>6</v>
      </c>
      <c r="AP59" s="2229">
        <f t="shared" si="9"/>
        <v>0.83333333333333337</v>
      </c>
      <c r="AR59" s="1142">
        <v>6</v>
      </c>
      <c r="AS59" s="2242">
        <v>6</v>
      </c>
      <c r="AT59" s="2229">
        <f t="shared" si="10"/>
        <v>1</v>
      </c>
      <c r="AV59" s="1142">
        <v>7</v>
      </c>
      <c r="AW59" s="2242">
        <v>5</v>
      </c>
      <c r="AX59" s="2229">
        <f t="shared" si="14"/>
        <v>1.4</v>
      </c>
      <c r="AZ59" s="1142">
        <v>7</v>
      </c>
      <c r="BA59" s="2242">
        <v>4</v>
      </c>
      <c r="BB59" s="2229">
        <f t="shared" si="15"/>
        <v>1.75</v>
      </c>
      <c r="BD59" s="1142">
        <v>7</v>
      </c>
      <c r="BE59" s="2242">
        <v>5</v>
      </c>
      <c r="BF59" s="2229">
        <f t="shared" si="16"/>
        <v>1.4</v>
      </c>
    </row>
    <row r="60" spans="1:58" s="1" customFormat="1" ht="15" thickBot="1">
      <c r="A60" s="157"/>
      <c r="B60" s="3007" t="s">
        <v>987</v>
      </c>
      <c r="C60" s="5317"/>
      <c r="D60" s="1142"/>
      <c r="E60" s="2242">
        <v>2</v>
      </c>
      <c r="F60" s="2229">
        <f t="shared" si="0"/>
        <v>0</v>
      </c>
      <c r="G60" s="2207"/>
      <c r="H60" s="1142">
        <v>1</v>
      </c>
      <c r="I60" s="2242">
        <v>2</v>
      </c>
      <c r="J60" s="2229">
        <f t="shared" si="1"/>
        <v>0.5</v>
      </c>
      <c r="K60" s="2207"/>
      <c r="L60" s="1142">
        <v>1</v>
      </c>
      <c r="M60" s="2242">
        <v>3</v>
      </c>
      <c r="N60" s="2229">
        <f t="shared" si="2"/>
        <v>0.33333333333333331</v>
      </c>
      <c r="O60" s="2207"/>
      <c r="P60" s="1142">
        <v>6</v>
      </c>
      <c r="Q60" s="2242">
        <v>3</v>
      </c>
      <c r="R60" s="2229">
        <f t="shared" si="3"/>
        <v>2</v>
      </c>
      <c r="S60" s="2207"/>
      <c r="T60" s="1142">
        <v>2</v>
      </c>
      <c r="U60" s="2242">
        <v>3</v>
      </c>
      <c r="V60" s="2229">
        <f t="shared" si="4"/>
        <v>0.66666666666666663</v>
      </c>
      <c r="W60" s="2207"/>
      <c r="X60" s="1142">
        <v>5</v>
      </c>
      <c r="Y60" s="2242">
        <v>3</v>
      </c>
      <c r="Z60" s="2229">
        <f t="shared" si="5"/>
        <v>1.6666666666666667</v>
      </c>
      <c r="AA60" s="2207"/>
      <c r="AB60" s="1142">
        <v>4</v>
      </c>
      <c r="AC60" s="2242">
        <v>4</v>
      </c>
      <c r="AD60" s="2229">
        <f t="shared" si="18"/>
        <v>1</v>
      </c>
      <c r="AE60" s="2207"/>
      <c r="AF60" s="1142">
        <v>7</v>
      </c>
      <c r="AG60" s="2242">
        <v>4</v>
      </c>
      <c r="AH60" s="2229">
        <f t="shared" si="7"/>
        <v>1.75</v>
      </c>
      <c r="AI60" s="2207"/>
      <c r="AJ60" s="1142">
        <v>6</v>
      </c>
      <c r="AK60" s="2242">
        <v>3</v>
      </c>
      <c r="AL60" s="2229">
        <f t="shared" si="8"/>
        <v>2</v>
      </c>
      <c r="AN60" s="1142">
        <v>7</v>
      </c>
      <c r="AO60" s="2242">
        <v>4</v>
      </c>
      <c r="AP60" s="2229">
        <f t="shared" si="9"/>
        <v>1.75</v>
      </c>
      <c r="AR60" s="1142">
        <v>8</v>
      </c>
      <c r="AS60" s="2242">
        <v>5</v>
      </c>
      <c r="AT60" s="2229">
        <f t="shared" si="10"/>
        <v>1.6</v>
      </c>
      <c r="AV60" s="1142">
        <v>9</v>
      </c>
      <c r="AW60" s="2242">
        <v>5</v>
      </c>
      <c r="AX60" s="2229">
        <f t="shared" si="14"/>
        <v>1.8</v>
      </c>
      <c r="AZ60" s="1142">
        <v>12</v>
      </c>
      <c r="BA60" s="2242">
        <v>6</v>
      </c>
      <c r="BB60" s="2229">
        <f t="shared" si="15"/>
        <v>2</v>
      </c>
      <c r="BD60" s="1142">
        <v>10</v>
      </c>
      <c r="BE60" s="2242">
        <v>7</v>
      </c>
      <c r="BF60" s="2229">
        <f t="shared" si="16"/>
        <v>1.4285714285714286</v>
      </c>
    </row>
    <row r="61" spans="1:58" s="1" customFormat="1" ht="15" thickBot="1">
      <c r="A61" s="157"/>
      <c r="B61" s="2418" t="s">
        <v>41</v>
      </c>
      <c r="C61" s="5317"/>
      <c r="D61" s="1145">
        <f>SUM(D58:D60)</f>
        <v>2</v>
      </c>
      <c r="E61" s="1141">
        <f>SUM(E58:E60)</f>
        <v>5</v>
      </c>
      <c r="F61" s="2230">
        <f t="shared" si="0"/>
        <v>0.4</v>
      </c>
      <c r="G61" s="2207"/>
      <c r="H61" s="1145">
        <v>7</v>
      </c>
      <c r="I61" s="1141">
        <f>SUM(I58:I60)</f>
        <v>6</v>
      </c>
      <c r="J61" s="2230">
        <f t="shared" si="1"/>
        <v>1.1666666666666667</v>
      </c>
      <c r="K61" s="2207"/>
      <c r="L61" s="1145">
        <v>8</v>
      </c>
      <c r="M61" s="1141">
        <f>SUM(M58:M60)</f>
        <v>9</v>
      </c>
      <c r="N61" s="2230">
        <f t="shared" si="2"/>
        <v>0.88888888888888884</v>
      </c>
      <c r="O61" s="2207"/>
      <c r="P61" s="1145">
        <v>17</v>
      </c>
      <c r="Q61" s="1141">
        <f>SUM(Q58:Q60)</f>
        <v>13</v>
      </c>
      <c r="R61" s="2230">
        <f t="shared" si="3"/>
        <v>1.3076923076923077</v>
      </c>
      <c r="S61" s="2207"/>
      <c r="T61" s="1145">
        <v>15</v>
      </c>
      <c r="U61" s="1141">
        <f>SUM(U58:U60)</f>
        <v>13</v>
      </c>
      <c r="V61" s="2230">
        <f t="shared" si="4"/>
        <v>1.1538461538461537</v>
      </c>
      <c r="W61" s="2207"/>
      <c r="X61" s="1145">
        <f>SUM(X58:X60)</f>
        <v>15</v>
      </c>
      <c r="Y61" s="1141">
        <v>14</v>
      </c>
      <c r="Z61" s="2230">
        <f t="shared" si="5"/>
        <v>1.0714285714285714</v>
      </c>
      <c r="AA61" s="2207"/>
      <c r="AB61" s="1145">
        <f>SUM(AB58:AB60)</f>
        <v>14</v>
      </c>
      <c r="AC61" s="1141">
        <f>SUM(AC58:AC60)</f>
        <v>18</v>
      </c>
      <c r="AD61" s="2230">
        <f t="shared" si="18"/>
        <v>0.77777777777777779</v>
      </c>
      <c r="AE61" s="2207"/>
      <c r="AF61" s="1145">
        <v>17</v>
      </c>
      <c r="AG61" s="1141">
        <f>SUM(AG58:AG60)</f>
        <v>20</v>
      </c>
      <c r="AH61" s="2230">
        <f t="shared" si="7"/>
        <v>0.85</v>
      </c>
      <c r="AI61" s="2207"/>
      <c r="AJ61" s="1145">
        <v>19</v>
      </c>
      <c r="AK61" s="1141">
        <f>SUM(AK58:AK60)</f>
        <v>20</v>
      </c>
      <c r="AL61" s="2230">
        <f t="shared" si="8"/>
        <v>0.95</v>
      </c>
      <c r="AN61" s="1145">
        <v>21</v>
      </c>
      <c r="AO61" s="1141">
        <f>SUM(AO58:AO60)</f>
        <v>21</v>
      </c>
      <c r="AP61" s="2230">
        <f t="shared" si="9"/>
        <v>1</v>
      </c>
      <c r="AR61" s="1145">
        <f>SUM(AR58:AR60)</f>
        <v>23</v>
      </c>
      <c r="AS61" s="1141">
        <f>SUM(AS58:AS60)</f>
        <v>22</v>
      </c>
      <c r="AT61" s="2230">
        <f t="shared" si="10"/>
        <v>1.0454545454545454</v>
      </c>
      <c r="AV61" s="1145">
        <f>SUM(AV58:AV60)</f>
        <v>25</v>
      </c>
      <c r="AW61" s="1141">
        <v>21</v>
      </c>
      <c r="AX61" s="2230">
        <f t="shared" si="14"/>
        <v>1.1904761904761905</v>
      </c>
      <c r="AZ61" s="1145">
        <v>26</v>
      </c>
      <c r="BA61" s="1141">
        <v>21</v>
      </c>
      <c r="BB61" s="2230">
        <f t="shared" si="15"/>
        <v>1.2380952380952381</v>
      </c>
      <c r="BD61" s="1145">
        <v>25</v>
      </c>
      <c r="BE61" s="1141">
        <v>22</v>
      </c>
      <c r="BF61" s="2230">
        <f t="shared" si="16"/>
        <v>1.1363636363636365</v>
      </c>
    </row>
    <row r="62" spans="1:58" s="1" customFormat="1">
      <c r="A62" s="157"/>
      <c r="B62" s="3012" t="s">
        <v>997</v>
      </c>
      <c r="C62" s="5317"/>
      <c r="D62" s="1142">
        <v>0</v>
      </c>
      <c r="E62" s="2242"/>
      <c r="F62" s="2229"/>
      <c r="G62" s="2207"/>
      <c r="H62" s="1142">
        <v>0</v>
      </c>
      <c r="I62" s="2242"/>
      <c r="J62" s="2229"/>
      <c r="K62" s="2207"/>
      <c r="L62" s="1142">
        <v>0</v>
      </c>
      <c r="M62" s="2242">
        <v>1</v>
      </c>
      <c r="N62" s="2229"/>
      <c r="O62" s="2207"/>
      <c r="P62" s="1142">
        <v>1</v>
      </c>
      <c r="Q62" s="2242">
        <v>1</v>
      </c>
      <c r="R62" s="2229"/>
      <c r="S62" s="2207"/>
      <c r="T62" s="1142">
        <v>1</v>
      </c>
      <c r="U62" s="2242">
        <v>2</v>
      </c>
      <c r="V62" s="2229">
        <f t="shared" si="4"/>
        <v>0.5</v>
      </c>
      <c r="W62" s="2207"/>
      <c r="X62" s="1142">
        <v>2</v>
      </c>
      <c r="Y62" s="2242">
        <v>1</v>
      </c>
      <c r="Z62" s="2229">
        <f t="shared" si="5"/>
        <v>2</v>
      </c>
      <c r="AA62" s="2207"/>
      <c r="AB62" s="1142">
        <v>2</v>
      </c>
      <c r="AC62" s="2242">
        <v>6</v>
      </c>
      <c r="AD62" s="2229">
        <f t="shared" si="18"/>
        <v>0.33333333333333331</v>
      </c>
      <c r="AE62" s="2207"/>
      <c r="AF62" s="1142">
        <v>4</v>
      </c>
      <c r="AG62" s="2242">
        <v>9</v>
      </c>
      <c r="AH62" s="2229">
        <f t="shared" si="7"/>
        <v>0.44444444444444442</v>
      </c>
      <c r="AI62" s="2207"/>
      <c r="AJ62" s="1142">
        <v>3</v>
      </c>
      <c r="AK62" s="2242">
        <v>9</v>
      </c>
      <c r="AL62" s="2229">
        <f t="shared" si="8"/>
        <v>0.33333333333333331</v>
      </c>
      <c r="AN62" s="1142">
        <v>4</v>
      </c>
      <c r="AO62" s="2242">
        <v>9</v>
      </c>
      <c r="AP62" s="2229">
        <f t="shared" si="9"/>
        <v>0.44444444444444442</v>
      </c>
      <c r="AR62" s="1142">
        <v>4</v>
      </c>
      <c r="AS62" s="2242">
        <v>10</v>
      </c>
      <c r="AT62" s="2229">
        <f t="shared" si="10"/>
        <v>0.4</v>
      </c>
      <c r="AV62" s="1142">
        <v>3</v>
      </c>
      <c r="AW62" s="2242">
        <v>10</v>
      </c>
      <c r="AX62" s="2229">
        <f t="shared" si="14"/>
        <v>0.3</v>
      </c>
      <c r="AZ62" s="1142">
        <v>6</v>
      </c>
      <c r="BA62" s="2242">
        <v>10</v>
      </c>
      <c r="BB62" s="2229">
        <f t="shared" si="15"/>
        <v>0.6</v>
      </c>
      <c r="BD62" s="1142">
        <v>5</v>
      </c>
      <c r="BE62" s="2242">
        <v>9</v>
      </c>
      <c r="BF62" s="2229">
        <f t="shared" si="16"/>
        <v>0.55555555555555558</v>
      </c>
    </row>
    <row r="63" spans="1:58" s="1" customFormat="1">
      <c r="A63" s="157"/>
      <c r="B63" s="3012" t="s">
        <v>998</v>
      </c>
      <c r="C63" s="5317"/>
      <c r="D63" s="1142"/>
      <c r="E63" s="2242"/>
      <c r="F63" s="2229"/>
      <c r="G63" s="2207"/>
      <c r="H63" s="1142"/>
      <c r="I63" s="2242"/>
      <c r="J63" s="2229"/>
      <c r="K63" s="2207"/>
      <c r="L63" s="1142">
        <v>0</v>
      </c>
      <c r="M63" s="2242">
        <v>1</v>
      </c>
      <c r="N63" s="2229"/>
      <c r="O63" s="2207"/>
      <c r="P63" s="1142">
        <v>0</v>
      </c>
      <c r="Q63" s="2242">
        <v>1</v>
      </c>
      <c r="R63" s="2229"/>
      <c r="S63" s="2207"/>
      <c r="T63" s="1142">
        <v>1</v>
      </c>
      <c r="U63" s="2242">
        <v>3</v>
      </c>
      <c r="V63" s="2229">
        <f t="shared" si="4"/>
        <v>0.33333333333333331</v>
      </c>
      <c r="W63" s="2207"/>
      <c r="X63" s="1142">
        <v>2</v>
      </c>
      <c r="Y63" s="2242">
        <v>2</v>
      </c>
      <c r="Z63" s="2229">
        <f t="shared" si="5"/>
        <v>1</v>
      </c>
      <c r="AA63" s="2207"/>
      <c r="AB63" s="1142">
        <v>3</v>
      </c>
      <c r="AC63" s="2242">
        <v>3</v>
      </c>
      <c r="AD63" s="2229">
        <f t="shared" si="18"/>
        <v>1</v>
      </c>
      <c r="AE63" s="2207"/>
      <c r="AF63" s="1142">
        <v>4</v>
      </c>
      <c r="AG63" s="2242">
        <v>4</v>
      </c>
      <c r="AH63" s="2229">
        <f t="shared" si="7"/>
        <v>1</v>
      </c>
      <c r="AI63" s="2207"/>
      <c r="AJ63" s="1142">
        <v>5</v>
      </c>
      <c r="AK63" s="2242">
        <v>7</v>
      </c>
      <c r="AL63" s="2229">
        <f t="shared" si="8"/>
        <v>0.7142857142857143</v>
      </c>
      <c r="AN63" s="1142">
        <v>5</v>
      </c>
      <c r="AO63" s="2242">
        <v>5</v>
      </c>
      <c r="AP63" s="2229">
        <f t="shared" si="9"/>
        <v>1</v>
      </c>
      <c r="AR63" s="1142">
        <v>5</v>
      </c>
      <c r="AS63" s="2242">
        <v>5</v>
      </c>
      <c r="AT63" s="2229">
        <f t="shared" si="10"/>
        <v>1</v>
      </c>
      <c r="AV63" s="1142">
        <v>6</v>
      </c>
      <c r="AW63" s="2242">
        <v>6</v>
      </c>
      <c r="AX63" s="2229">
        <f t="shared" si="14"/>
        <v>1</v>
      </c>
      <c r="AZ63" s="1142">
        <v>7</v>
      </c>
      <c r="BA63" s="2242">
        <v>7</v>
      </c>
      <c r="BB63" s="2229">
        <f t="shared" si="15"/>
        <v>1</v>
      </c>
      <c r="BD63" s="1142">
        <v>7</v>
      </c>
      <c r="BE63" s="2242">
        <v>8</v>
      </c>
      <c r="BF63" s="2229">
        <f t="shared" si="16"/>
        <v>0.875</v>
      </c>
    </row>
    <row r="64" spans="1:58" s="1" customFormat="1" ht="15" thickBot="1">
      <c r="A64" s="157"/>
      <c r="B64" s="3013" t="s">
        <v>999</v>
      </c>
      <c r="C64" s="5317"/>
      <c r="D64" s="1142"/>
      <c r="E64" s="2242">
        <v>2</v>
      </c>
      <c r="F64" s="2229">
        <f t="shared" si="0"/>
        <v>0</v>
      </c>
      <c r="G64" s="2207"/>
      <c r="H64" s="1142"/>
      <c r="I64" s="2242">
        <v>3</v>
      </c>
      <c r="J64" s="2229">
        <f t="shared" si="1"/>
        <v>0</v>
      </c>
      <c r="K64" s="2207"/>
      <c r="L64" s="1142">
        <v>1</v>
      </c>
      <c r="M64" s="2242">
        <v>4</v>
      </c>
      <c r="N64" s="2229">
        <f t="shared" si="2"/>
        <v>0.25</v>
      </c>
      <c r="O64" s="2207"/>
      <c r="P64" s="1142">
        <v>4</v>
      </c>
      <c r="Q64" s="2242">
        <v>5</v>
      </c>
      <c r="R64" s="2229">
        <f t="shared" si="3"/>
        <v>0.8</v>
      </c>
      <c r="S64" s="2207"/>
      <c r="T64" s="1142">
        <v>5</v>
      </c>
      <c r="U64" s="2242">
        <v>8</v>
      </c>
      <c r="V64" s="2229">
        <f t="shared" si="4"/>
        <v>0.625</v>
      </c>
      <c r="W64" s="2207"/>
      <c r="X64" s="1142">
        <v>7</v>
      </c>
      <c r="Y64" s="2242">
        <v>10</v>
      </c>
      <c r="Z64" s="2229">
        <f t="shared" si="5"/>
        <v>0.7</v>
      </c>
      <c r="AA64" s="2207"/>
      <c r="AB64" s="1142">
        <v>9</v>
      </c>
      <c r="AC64" s="2242">
        <v>12</v>
      </c>
      <c r="AD64" s="2229">
        <f t="shared" si="18"/>
        <v>0.75</v>
      </c>
      <c r="AE64" s="2207"/>
      <c r="AF64" s="1142">
        <v>13</v>
      </c>
      <c r="AG64" s="2242">
        <v>14</v>
      </c>
      <c r="AH64" s="2229">
        <f t="shared" si="7"/>
        <v>0.9285714285714286</v>
      </c>
      <c r="AI64" s="2207"/>
      <c r="AJ64" s="1142">
        <v>10</v>
      </c>
      <c r="AK64" s="2242">
        <v>14</v>
      </c>
      <c r="AL64" s="2229">
        <f t="shared" si="8"/>
        <v>0.7142857142857143</v>
      </c>
      <c r="AN64" s="1142">
        <v>13</v>
      </c>
      <c r="AO64" s="2242">
        <v>16</v>
      </c>
      <c r="AP64" s="2229">
        <f t="shared" si="9"/>
        <v>0.8125</v>
      </c>
      <c r="AR64" s="1142">
        <v>13</v>
      </c>
      <c r="AS64" s="2242">
        <v>16</v>
      </c>
      <c r="AT64" s="2229">
        <f t="shared" si="10"/>
        <v>0.8125</v>
      </c>
      <c r="AV64" s="1142">
        <v>11</v>
      </c>
      <c r="AW64" s="2242">
        <v>15</v>
      </c>
      <c r="AX64" s="2229">
        <f t="shared" si="14"/>
        <v>0.73333333333333328</v>
      </c>
      <c r="AZ64" s="1142">
        <v>14</v>
      </c>
      <c r="BA64" s="2242">
        <v>13</v>
      </c>
      <c r="BB64" s="2229">
        <f t="shared" si="15"/>
        <v>1.0769230769230769</v>
      </c>
      <c r="BD64" s="1142">
        <v>14</v>
      </c>
      <c r="BE64" s="2242">
        <v>16</v>
      </c>
      <c r="BF64" s="2229">
        <f t="shared" si="16"/>
        <v>0.875</v>
      </c>
    </row>
    <row r="65" spans="1:58" s="1" customFormat="1">
      <c r="A65" s="157"/>
      <c r="B65" s="2419" t="s">
        <v>16</v>
      </c>
      <c r="C65" s="5317"/>
      <c r="D65" s="1148">
        <f>SUM(D62:D64)</f>
        <v>0</v>
      </c>
      <c r="E65" s="1970">
        <f>SUM(E62:E64)</f>
        <v>2</v>
      </c>
      <c r="F65" s="2230">
        <f t="shared" si="0"/>
        <v>0</v>
      </c>
      <c r="G65" s="2207"/>
      <c r="H65" s="1148">
        <v>0</v>
      </c>
      <c r="I65" s="1970">
        <f>SUM(I62:I64)</f>
        <v>3</v>
      </c>
      <c r="J65" s="2230">
        <f t="shared" si="1"/>
        <v>0</v>
      </c>
      <c r="K65" s="2207"/>
      <c r="L65" s="1148">
        <v>1</v>
      </c>
      <c r="M65" s="1970">
        <f>SUM(M62:M64)</f>
        <v>6</v>
      </c>
      <c r="N65" s="2230">
        <f t="shared" si="2"/>
        <v>0.16666666666666666</v>
      </c>
      <c r="O65" s="2207"/>
      <c r="P65" s="1148">
        <v>5</v>
      </c>
      <c r="Q65" s="1970">
        <f>SUM(Q62:Q64)</f>
        <v>7</v>
      </c>
      <c r="R65" s="2230">
        <f t="shared" si="3"/>
        <v>0.7142857142857143</v>
      </c>
      <c r="S65" s="2207"/>
      <c r="T65" s="1148">
        <v>7</v>
      </c>
      <c r="U65" s="1970">
        <f>SUM(U62:U64)</f>
        <v>13</v>
      </c>
      <c r="V65" s="2230">
        <f t="shared" si="4"/>
        <v>0.53846153846153844</v>
      </c>
      <c r="W65" s="2207"/>
      <c r="X65" s="1148">
        <f>SUM(X62:X64)</f>
        <v>11</v>
      </c>
      <c r="Y65" s="1970">
        <v>13</v>
      </c>
      <c r="Z65" s="2230">
        <f t="shared" si="5"/>
        <v>0.84615384615384615</v>
      </c>
      <c r="AA65" s="2207"/>
      <c r="AB65" s="1148">
        <f>SUM(AB62:AB64)</f>
        <v>14</v>
      </c>
      <c r="AC65" s="1970">
        <f>SUM(AC62:AC64)</f>
        <v>21</v>
      </c>
      <c r="AD65" s="2230">
        <f t="shared" si="18"/>
        <v>0.66666666666666663</v>
      </c>
      <c r="AE65" s="2207"/>
      <c r="AF65" s="1148">
        <v>21</v>
      </c>
      <c r="AG65" s="1970">
        <f>SUM(AG62:AG64)</f>
        <v>27</v>
      </c>
      <c r="AH65" s="2230">
        <f t="shared" si="7"/>
        <v>0.77777777777777779</v>
      </c>
      <c r="AI65" s="2207"/>
      <c r="AJ65" s="1148">
        <v>18</v>
      </c>
      <c r="AK65" s="1970">
        <f>SUM(AK62:AK64)</f>
        <v>30</v>
      </c>
      <c r="AL65" s="2230">
        <f t="shared" si="8"/>
        <v>0.6</v>
      </c>
      <c r="AN65" s="1148">
        <v>22</v>
      </c>
      <c r="AO65" s="1970">
        <f>SUM(AO62:AO64)</f>
        <v>30</v>
      </c>
      <c r="AP65" s="2230">
        <f t="shared" si="9"/>
        <v>0.73333333333333328</v>
      </c>
      <c r="AR65" s="1148">
        <f>SUM(AR62:AR64)</f>
        <v>22</v>
      </c>
      <c r="AS65" s="1970">
        <f>SUM(AS62:AS64)</f>
        <v>31</v>
      </c>
      <c r="AT65" s="2230">
        <f t="shared" si="10"/>
        <v>0.70967741935483875</v>
      </c>
      <c r="AV65" s="1148">
        <f>SUM(AV62:AV64)</f>
        <v>20</v>
      </c>
      <c r="AW65" s="1970">
        <f>SUM(AW62:AW64)</f>
        <v>31</v>
      </c>
      <c r="AX65" s="2230">
        <f t="shared" si="14"/>
        <v>0.64516129032258063</v>
      </c>
      <c r="AZ65" s="1148">
        <v>27</v>
      </c>
      <c r="BA65" s="1970">
        <v>30</v>
      </c>
      <c r="BB65" s="2230">
        <f t="shared" si="15"/>
        <v>0.9</v>
      </c>
      <c r="BD65" s="1148">
        <v>26</v>
      </c>
      <c r="BE65" s="1970">
        <v>33</v>
      </c>
      <c r="BF65" s="2230">
        <f t="shared" si="16"/>
        <v>0.78787878787878785</v>
      </c>
    </row>
    <row r="66" spans="1:58" s="1" customFormat="1">
      <c r="A66" s="157"/>
      <c r="B66" s="3014" t="s">
        <v>895</v>
      </c>
      <c r="C66" s="5317"/>
      <c r="D66" s="2243">
        <f>SUM(D65,D61,D57)</f>
        <v>4</v>
      </c>
      <c r="E66" s="2244">
        <f>SUM(E57,E61,E65)</f>
        <v>10</v>
      </c>
      <c r="F66" s="2245">
        <f t="shared" si="0"/>
        <v>0.4</v>
      </c>
      <c r="G66" s="2207"/>
      <c r="H66" s="2243">
        <v>11</v>
      </c>
      <c r="I66" s="2244">
        <f>SUM(I57,I61,I65)</f>
        <v>13</v>
      </c>
      <c r="J66" s="2245">
        <f t="shared" si="1"/>
        <v>0.84615384615384615</v>
      </c>
      <c r="K66" s="2207"/>
      <c r="L66" s="2243">
        <v>13</v>
      </c>
      <c r="M66" s="2244">
        <f>SUM(M57,M61,M65)</f>
        <v>22</v>
      </c>
      <c r="N66" s="2245">
        <f t="shared" si="2"/>
        <v>0.59090909090909094</v>
      </c>
      <c r="O66" s="2207"/>
      <c r="P66" s="2243">
        <v>31</v>
      </c>
      <c r="Q66" s="2244">
        <f>SUM(Q57,Q61,Q65)</f>
        <v>28</v>
      </c>
      <c r="R66" s="2245">
        <f t="shared" si="3"/>
        <v>1.1071428571428572</v>
      </c>
      <c r="S66" s="2207"/>
      <c r="T66" s="2243">
        <v>28</v>
      </c>
      <c r="U66" s="2244">
        <f>SUM(U57,U61,U65)</f>
        <v>36</v>
      </c>
      <c r="V66" s="2245">
        <f t="shared" si="4"/>
        <v>0.77777777777777779</v>
      </c>
      <c r="W66" s="2207"/>
      <c r="X66" s="2243">
        <f>SUM(X57,X61,X65)</f>
        <v>34</v>
      </c>
      <c r="Y66" s="2244">
        <v>42</v>
      </c>
      <c r="Z66" s="2245">
        <f t="shared" si="5"/>
        <v>0.80952380952380953</v>
      </c>
      <c r="AA66" s="2207"/>
      <c r="AB66" s="2243">
        <f>SUM(AB57,AB61,AB65)</f>
        <v>37</v>
      </c>
      <c r="AC66" s="2244">
        <f>SUM(AC57,AC61,AC65)</f>
        <v>55</v>
      </c>
      <c r="AD66" s="2245">
        <f t="shared" si="18"/>
        <v>0.67272727272727273</v>
      </c>
      <c r="AE66" s="2207"/>
      <c r="AF66" s="2243">
        <v>51</v>
      </c>
      <c r="AG66" s="2244">
        <f>SUM(AG57,AG61,AG65)</f>
        <v>66</v>
      </c>
      <c r="AH66" s="2245">
        <f t="shared" si="7"/>
        <v>0.77272727272727271</v>
      </c>
      <c r="AI66" s="2207"/>
      <c r="AJ66" s="2243">
        <v>51</v>
      </c>
      <c r="AK66" s="2244">
        <f>SUM(AK57,AK61,AK65)</f>
        <v>71</v>
      </c>
      <c r="AL66" s="2245">
        <f t="shared" si="8"/>
        <v>0.71830985915492962</v>
      </c>
      <c r="AN66" s="2243">
        <v>59</v>
      </c>
      <c r="AO66" s="2244">
        <f>SUM(AO57,AO61,AO65)</f>
        <v>74</v>
      </c>
      <c r="AP66" s="2245">
        <f t="shared" si="9"/>
        <v>0.79729729729729726</v>
      </c>
      <c r="AR66" s="2243">
        <f>SUM(AR57,AR61,AR65)</f>
        <v>61</v>
      </c>
      <c r="AS66" s="2244">
        <f>SUM(AS57,AS61,AS65)</f>
        <v>75</v>
      </c>
      <c r="AT66" s="2245">
        <f t="shared" si="10"/>
        <v>0.81333333333333335</v>
      </c>
      <c r="AV66" s="2243">
        <f>SUM(AV57,AV61,AV65)</f>
        <v>60</v>
      </c>
      <c r="AW66" s="2244">
        <f>SUM(AW57,AW61,AW65)</f>
        <v>74</v>
      </c>
      <c r="AX66" s="2245">
        <f t="shared" si="14"/>
        <v>0.81081081081081086</v>
      </c>
      <c r="AZ66" s="2243">
        <v>66</v>
      </c>
      <c r="BA66" s="2244">
        <v>70</v>
      </c>
      <c r="BB66" s="2245">
        <f t="shared" si="15"/>
        <v>0.94285714285714284</v>
      </c>
      <c r="BD66" s="2243">
        <v>61</v>
      </c>
      <c r="BE66" s="2244">
        <v>75</v>
      </c>
      <c r="BF66" s="2245">
        <f t="shared" si="16"/>
        <v>0.81333333333333335</v>
      </c>
    </row>
    <row r="67" spans="1:58" s="1" customFormat="1">
      <c r="A67" s="157"/>
      <c r="B67" s="3002" t="s">
        <v>1000</v>
      </c>
      <c r="C67" s="5317"/>
      <c r="D67" s="1147">
        <v>22</v>
      </c>
      <c r="E67" s="2231">
        <v>129</v>
      </c>
      <c r="F67" s="2235">
        <f t="shared" si="0"/>
        <v>0.17054263565891473</v>
      </c>
      <c r="G67" s="2207"/>
      <c r="H67" s="1147">
        <v>23</v>
      </c>
      <c r="I67" s="2231">
        <v>129</v>
      </c>
      <c r="J67" s="2235">
        <f t="shared" si="1"/>
        <v>0.17829457364341086</v>
      </c>
      <c r="K67" s="2207"/>
      <c r="L67" s="1147">
        <v>23</v>
      </c>
      <c r="M67" s="2231">
        <v>135</v>
      </c>
      <c r="N67" s="2235">
        <f t="shared" si="2"/>
        <v>0.17037037037037037</v>
      </c>
      <c r="O67" s="2207"/>
      <c r="P67" s="1147">
        <v>23</v>
      </c>
      <c r="Q67" s="2231">
        <v>137</v>
      </c>
      <c r="R67" s="2235">
        <f t="shared" si="3"/>
        <v>0.16788321167883211</v>
      </c>
      <c r="S67" s="2207"/>
      <c r="T67" s="1147">
        <v>29</v>
      </c>
      <c r="U67" s="2231">
        <v>138</v>
      </c>
      <c r="V67" s="2235">
        <f t="shared" si="4"/>
        <v>0.21014492753623187</v>
      </c>
      <c r="W67" s="2207"/>
      <c r="X67" s="1147">
        <v>32</v>
      </c>
      <c r="Y67" s="2231">
        <v>140</v>
      </c>
      <c r="Z67" s="2235">
        <f t="shared" si="5"/>
        <v>0.22857142857142856</v>
      </c>
      <c r="AA67" s="2207"/>
      <c r="AB67" s="1147">
        <v>39</v>
      </c>
      <c r="AC67" s="2231">
        <v>135</v>
      </c>
      <c r="AD67" s="2235">
        <f t="shared" si="18"/>
        <v>0.28888888888888886</v>
      </c>
      <c r="AE67" s="2207"/>
      <c r="AF67" s="1147">
        <v>38</v>
      </c>
      <c r="AG67" s="2231">
        <v>138</v>
      </c>
      <c r="AH67" s="2235">
        <f t="shared" si="7"/>
        <v>0.27536231884057971</v>
      </c>
      <c r="AI67" s="2207"/>
      <c r="AJ67" s="1147">
        <v>38</v>
      </c>
      <c r="AK67" s="2231">
        <v>136</v>
      </c>
      <c r="AL67" s="2235">
        <f t="shared" si="8"/>
        <v>0.27941176470588236</v>
      </c>
      <c r="AN67" s="1147">
        <v>33</v>
      </c>
      <c r="AO67" s="2231">
        <v>135</v>
      </c>
      <c r="AP67" s="2235">
        <f t="shared" si="9"/>
        <v>0.24444444444444444</v>
      </c>
      <c r="AR67" s="1147">
        <v>30</v>
      </c>
      <c r="AS67" s="2231">
        <v>130</v>
      </c>
      <c r="AT67" s="2235">
        <f t="shared" si="10"/>
        <v>0.23076923076923078</v>
      </c>
      <c r="AV67" s="1147">
        <v>35</v>
      </c>
      <c r="AW67" s="2231">
        <v>127</v>
      </c>
      <c r="AX67" s="2235">
        <f t="shared" si="14"/>
        <v>0.27559055118110237</v>
      </c>
      <c r="AZ67" s="1147">
        <v>37</v>
      </c>
      <c r="BA67" s="2231">
        <v>119</v>
      </c>
      <c r="BB67" s="2235">
        <f t="shared" si="15"/>
        <v>0.31092436974789917</v>
      </c>
      <c r="BD67" s="1147">
        <v>42</v>
      </c>
      <c r="BE67" s="2231">
        <v>119</v>
      </c>
      <c r="BF67" s="2235">
        <f t="shared" si="16"/>
        <v>0.35294117647058826</v>
      </c>
    </row>
    <row r="68" spans="1:58" s="1" customFormat="1">
      <c r="A68" s="157"/>
      <c r="B68" s="3007" t="s">
        <v>1001</v>
      </c>
      <c r="C68" s="5317"/>
      <c r="D68" s="1138">
        <v>12</v>
      </c>
      <c r="E68" s="2231">
        <v>56</v>
      </c>
      <c r="F68" s="2229">
        <f t="shared" si="0"/>
        <v>0.21428571428571427</v>
      </c>
      <c r="G68" s="2207"/>
      <c r="H68" s="1138">
        <v>12</v>
      </c>
      <c r="I68" s="2231">
        <v>55</v>
      </c>
      <c r="J68" s="2229">
        <f t="shared" si="1"/>
        <v>0.21818181818181817</v>
      </c>
      <c r="K68" s="2207"/>
      <c r="L68" s="1138">
        <v>11</v>
      </c>
      <c r="M68" s="2231">
        <v>55</v>
      </c>
      <c r="N68" s="2229">
        <f t="shared" si="2"/>
        <v>0.2</v>
      </c>
      <c r="O68" s="2207"/>
      <c r="P68" s="1138">
        <v>10</v>
      </c>
      <c r="Q68" s="2231">
        <v>52</v>
      </c>
      <c r="R68" s="2229">
        <f t="shared" si="3"/>
        <v>0.19230769230769232</v>
      </c>
      <c r="S68" s="2207"/>
      <c r="T68" s="1138">
        <v>7</v>
      </c>
      <c r="U68" s="2231">
        <v>53</v>
      </c>
      <c r="V68" s="2229">
        <f t="shared" si="4"/>
        <v>0.13207547169811321</v>
      </c>
      <c r="W68" s="2207"/>
      <c r="X68" s="1138">
        <v>10</v>
      </c>
      <c r="Y68" s="2231">
        <v>53</v>
      </c>
      <c r="Z68" s="2229">
        <f t="shared" si="5"/>
        <v>0.18867924528301888</v>
      </c>
      <c r="AA68" s="2207"/>
      <c r="AB68" s="1138">
        <v>15</v>
      </c>
      <c r="AC68" s="2231">
        <v>53</v>
      </c>
      <c r="AD68" s="2229">
        <f t="shared" si="18"/>
        <v>0.28301886792452829</v>
      </c>
      <c r="AE68" s="2207"/>
      <c r="AF68" s="1138">
        <v>14</v>
      </c>
      <c r="AG68" s="2231">
        <v>52</v>
      </c>
      <c r="AH68" s="2229">
        <f t="shared" si="7"/>
        <v>0.26923076923076922</v>
      </c>
      <c r="AI68" s="2207"/>
      <c r="AJ68" s="1138">
        <v>12</v>
      </c>
      <c r="AK68" s="2231">
        <v>52</v>
      </c>
      <c r="AL68" s="2229">
        <f t="shared" si="8"/>
        <v>0.23076923076923078</v>
      </c>
      <c r="AN68" s="1138">
        <v>10</v>
      </c>
      <c r="AO68" s="2231">
        <v>52</v>
      </c>
      <c r="AP68" s="2229">
        <f t="shared" si="9"/>
        <v>0.19230769230769232</v>
      </c>
      <c r="AR68" s="1138">
        <v>12</v>
      </c>
      <c r="AS68" s="2231">
        <v>52</v>
      </c>
      <c r="AT68" s="2229">
        <f t="shared" si="10"/>
        <v>0.23076923076923078</v>
      </c>
      <c r="AV68" s="1138">
        <v>8</v>
      </c>
      <c r="AW68" s="2231">
        <v>51</v>
      </c>
      <c r="AX68" s="2229">
        <f t="shared" si="14"/>
        <v>0.15686274509803921</v>
      </c>
      <c r="AZ68" s="1138">
        <v>13</v>
      </c>
      <c r="BA68" s="2231">
        <v>49</v>
      </c>
      <c r="BB68" s="2229">
        <f t="shared" si="15"/>
        <v>0.26530612244897961</v>
      </c>
      <c r="BD68" s="1138">
        <v>15</v>
      </c>
      <c r="BE68" s="2231">
        <v>49</v>
      </c>
      <c r="BF68" s="2229">
        <f t="shared" si="16"/>
        <v>0.30612244897959184</v>
      </c>
    </row>
    <row r="69" spans="1:58" s="1" customFormat="1">
      <c r="A69" s="157"/>
      <c r="B69" s="3007" t="s">
        <v>1002</v>
      </c>
      <c r="C69" s="5317"/>
      <c r="D69" s="1142">
        <v>21</v>
      </c>
      <c r="E69" s="2231">
        <v>86</v>
      </c>
      <c r="F69" s="2229">
        <f t="shared" si="0"/>
        <v>0.2441860465116279</v>
      </c>
      <c r="G69" s="2207"/>
      <c r="H69" s="1142">
        <v>21</v>
      </c>
      <c r="I69" s="2231">
        <v>87</v>
      </c>
      <c r="J69" s="2229">
        <f t="shared" si="1"/>
        <v>0.2413793103448276</v>
      </c>
      <c r="K69" s="2207"/>
      <c r="L69" s="1142">
        <v>21</v>
      </c>
      <c r="M69" s="2231">
        <v>89</v>
      </c>
      <c r="N69" s="2229">
        <f t="shared" si="2"/>
        <v>0.23595505617977527</v>
      </c>
      <c r="O69" s="2207"/>
      <c r="P69" s="1142">
        <v>25</v>
      </c>
      <c r="Q69" s="2231">
        <v>89</v>
      </c>
      <c r="R69" s="2229">
        <f t="shared" si="3"/>
        <v>0.2808988764044944</v>
      </c>
      <c r="S69" s="2207"/>
      <c r="T69" s="1142">
        <v>26</v>
      </c>
      <c r="U69" s="2231">
        <v>91</v>
      </c>
      <c r="V69" s="2229">
        <f t="shared" si="4"/>
        <v>0.2857142857142857</v>
      </c>
      <c r="W69" s="2207"/>
      <c r="X69" s="1142">
        <v>27</v>
      </c>
      <c r="Y69" s="2231">
        <v>93</v>
      </c>
      <c r="Z69" s="2229">
        <f t="shared" si="5"/>
        <v>0.29032258064516131</v>
      </c>
      <c r="AA69" s="2207"/>
      <c r="AB69" s="1142">
        <v>25</v>
      </c>
      <c r="AC69" s="2231">
        <v>92</v>
      </c>
      <c r="AD69" s="2229">
        <f t="shared" si="18"/>
        <v>0.27173913043478259</v>
      </c>
      <c r="AE69" s="2207"/>
      <c r="AF69" s="1142">
        <v>24</v>
      </c>
      <c r="AG69" s="2231">
        <v>89</v>
      </c>
      <c r="AH69" s="2229">
        <f t="shared" si="7"/>
        <v>0.2696629213483146</v>
      </c>
      <c r="AI69" s="2207"/>
      <c r="AJ69" s="1142">
        <v>24</v>
      </c>
      <c r="AK69" s="2231">
        <v>88</v>
      </c>
      <c r="AL69" s="2229">
        <f t="shared" si="8"/>
        <v>0.27272727272727271</v>
      </c>
      <c r="AN69" s="1142">
        <v>22</v>
      </c>
      <c r="AO69" s="2231">
        <v>88</v>
      </c>
      <c r="AP69" s="2229">
        <f t="shared" si="9"/>
        <v>0.25</v>
      </c>
      <c r="AR69" s="1142">
        <v>23</v>
      </c>
      <c r="AS69" s="2231">
        <v>85</v>
      </c>
      <c r="AT69" s="2229">
        <f t="shared" si="10"/>
        <v>0.27058823529411763</v>
      </c>
      <c r="AV69" s="1142">
        <v>27</v>
      </c>
      <c r="AW69" s="2231">
        <v>83</v>
      </c>
      <c r="AX69" s="2229">
        <f t="shared" si="14"/>
        <v>0.3253012048192771</v>
      </c>
      <c r="AZ69" s="1142">
        <v>37</v>
      </c>
      <c r="BA69" s="2231">
        <v>83</v>
      </c>
      <c r="BB69" s="2229">
        <f t="shared" si="15"/>
        <v>0.44578313253012047</v>
      </c>
      <c r="BD69" s="1142">
        <v>34</v>
      </c>
      <c r="BE69" s="2231">
        <v>80</v>
      </c>
      <c r="BF69" s="2229">
        <f t="shared" si="16"/>
        <v>0.42499999999999999</v>
      </c>
    </row>
    <row r="70" spans="1:58" s="1" customFormat="1" ht="15" thickBot="1">
      <c r="A70" s="157"/>
      <c r="B70" s="3008" t="s">
        <v>1003</v>
      </c>
      <c r="C70" s="5317"/>
      <c r="D70" s="1138">
        <v>21</v>
      </c>
      <c r="E70" s="2231">
        <v>69</v>
      </c>
      <c r="F70" s="2229">
        <f t="shared" ref="F70:F84" si="19">D70/E70</f>
        <v>0.30434782608695654</v>
      </c>
      <c r="G70" s="2207"/>
      <c r="H70" s="1138">
        <v>23</v>
      </c>
      <c r="I70" s="2231">
        <v>69</v>
      </c>
      <c r="J70" s="2229">
        <f t="shared" ref="J70:J84" si="20">H70/I70</f>
        <v>0.33333333333333331</v>
      </c>
      <c r="K70" s="2207"/>
      <c r="L70" s="1138">
        <v>31</v>
      </c>
      <c r="M70" s="2231">
        <v>69</v>
      </c>
      <c r="N70" s="2229">
        <f t="shared" ref="N70:N84" si="21">L70/M70</f>
        <v>0.44927536231884058</v>
      </c>
      <c r="O70" s="2207"/>
      <c r="P70" s="1138">
        <v>40</v>
      </c>
      <c r="Q70" s="2231">
        <v>71</v>
      </c>
      <c r="R70" s="2229">
        <f t="shared" ref="R70:R84" si="22">P70/Q70</f>
        <v>0.56338028169014087</v>
      </c>
      <c r="S70" s="2207"/>
      <c r="T70" s="1138">
        <v>40</v>
      </c>
      <c r="U70" s="2231">
        <v>71</v>
      </c>
      <c r="V70" s="2229">
        <f t="shared" ref="V70:V84" si="23">T70/U70</f>
        <v>0.56338028169014087</v>
      </c>
      <c r="W70" s="2207"/>
      <c r="X70" s="1138">
        <v>39</v>
      </c>
      <c r="Y70" s="2231">
        <v>68</v>
      </c>
      <c r="Z70" s="2229">
        <f t="shared" ref="Z70:Z84" si="24">X70/Y70</f>
        <v>0.57352941176470584</v>
      </c>
      <c r="AA70" s="2207"/>
      <c r="AB70" s="1138">
        <v>41</v>
      </c>
      <c r="AC70" s="2231">
        <v>67</v>
      </c>
      <c r="AD70" s="2229">
        <f t="shared" si="18"/>
        <v>0.61194029850746268</v>
      </c>
      <c r="AE70" s="2207"/>
      <c r="AF70" s="1138">
        <v>40</v>
      </c>
      <c r="AG70" s="2231">
        <v>68</v>
      </c>
      <c r="AH70" s="2229">
        <f t="shared" ref="AH70:AH84" si="25">AF70/AG70</f>
        <v>0.58823529411764708</v>
      </c>
      <c r="AI70" s="2207"/>
      <c r="AJ70" s="1138">
        <v>36</v>
      </c>
      <c r="AK70" s="2231">
        <v>68</v>
      </c>
      <c r="AL70" s="2229">
        <f t="shared" ref="AL70:AL84" si="26">AJ70/AK70</f>
        <v>0.52941176470588236</v>
      </c>
      <c r="AN70" s="1138">
        <v>40</v>
      </c>
      <c r="AO70" s="2231">
        <v>69</v>
      </c>
      <c r="AP70" s="2229">
        <f t="shared" ref="AP70:AP82" si="27">AN70/AO70</f>
        <v>0.57971014492753625</v>
      </c>
      <c r="AR70" s="1138">
        <v>41</v>
      </c>
      <c r="AS70" s="2231">
        <v>65</v>
      </c>
      <c r="AT70" s="2229">
        <f t="shared" ref="AT70:AT82" si="28">AR70/AS70</f>
        <v>0.63076923076923075</v>
      </c>
      <c r="AV70" s="1138">
        <v>40</v>
      </c>
      <c r="AW70" s="2231">
        <v>65</v>
      </c>
      <c r="AX70" s="2229">
        <f t="shared" si="14"/>
        <v>0.61538461538461542</v>
      </c>
      <c r="AZ70" s="1138">
        <v>38</v>
      </c>
      <c r="BA70" s="2231">
        <v>64</v>
      </c>
      <c r="BB70" s="2229">
        <f t="shared" si="15"/>
        <v>0.59375</v>
      </c>
      <c r="BD70" s="1138">
        <v>36</v>
      </c>
      <c r="BE70" s="2231">
        <v>61</v>
      </c>
      <c r="BF70" s="2229">
        <f t="shared" si="16"/>
        <v>0.5901639344262295</v>
      </c>
    </row>
    <row r="71" spans="1:58" s="1" customFormat="1" ht="15" thickBot="1">
      <c r="A71" s="157"/>
      <c r="B71" s="2418" t="s">
        <v>41</v>
      </c>
      <c r="C71" s="5317"/>
      <c r="D71" s="1145">
        <f>SUM(D67:D70)</f>
        <v>76</v>
      </c>
      <c r="E71" s="1141">
        <f>SUM(E67:E70)</f>
        <v>340</v>
      </c>
      <c r="F71" s="2230">
        <f t="shared" si="19"/>
        <v>0.22352941176470589</v>
      </c>
      <c r="G71" s="2207"/>
      <c r="H71" s="1145">
        <v>79</v>
      </c>
      <c r="I71" s="1141">
        <f>SUM(I67:I70)</f>
        <v>340</v>
      </c>
      <c r="J71" s="2230">
        <f t="shared" si="20"/>
        <v>0.2323529411764706</v>
      </c>
      <c r="K71" s="2207"/>
      <c r="L71" s="1145">
        <v>86</v>
      </c>
      <c r="M71" s="1141">
        <f>SUM(M67:M70)</f>
        <v>348</v>
      </c>
      <c r="N71" s="2230">
        <f t="shared" si="21"/>
        <v>0.2471264367816092</v>
      </c>
      <c r="O71" s="2207"/>
      <c r="P71" s="1145">
        <v>98</v>
      </c>
      <c r="Q71" s="1141">
        <f>SUM(Q67:Q70)</f>
        <v>349</v>
      </c>
      <c r="R71" s="2230">
        <f t="shared" si="22"/>
        <v>0.28080229226361031</v>
      </c>
      <c r="S71" s="2207"/>
      <c r="T71" s="1145">
        <v>102</v>
      </c>
      <c r="U71" s="1141">
        <f>SUM(U67:U70)</f>
        <v>353</v>
      </c>
      <c r="V71" s="2230">
        <f t="shared" si="23"/>
        <v>0.28895184135977336</v>
      </c>
      <c r="W71" s="2207"/>
      <c r="X71" s="1145">
        <f>SUM(X67:X70)</f>
        <v>108</v>
      </c>
      <c r="Y71" s="1141">
        <v>354</v>
      </c>
      <c r="Z71" s="2230">
        <f t="shared" si="24"/>
        <v>0.30508474576271188</v>
      </c>
      <c r="AA71" s="2207"/>
      <c r="AB71" s="1145">
        <f>SUM(AB67:AB70)</f>
        <v>120</v>
      </c>
      <c r="AC71" s="1141">
        <f>SUM(AC67:AC70)</f>
        <v>347</v>
      </c>
      <c r="AD71" s="2230">
        <f t="shared" si="18"/>
        <v>0.345821325648415</v>
      </c>
      <c r="AE71" s="2207"/>
      <c r="AF71" s="1145">
        <v>116</v>
      </c>
      <c r="AG71" s="1141">
        <f>SUM(AG67:AG70)</f>
        <v>347</v>
      </c>
      <c r="AH71" s="2230">
        <f t="shared" si="25"/>
        <v>0.33429394812680113</v>
      </c>
      <c r="AI71" s="2207"/>
      <c r="AJ71" s="1145">
        <v>110</v>
      </c>
      <c r="AK71" s="1141">
        <f>SUM(AK67:AK70)</f>
        <v>344</v>
      </c>
      <c r="AL71" s="2230">
        <f t="shared" si="26"/>
        <v>0.31976744186046513</v>
      </c>
      <c r="AN71" s="1145">
        <v>105</v>
      </c>
      <c r="AO71" s="1141">
        <f>SUM(AO67:AO70)</f>
        <v>344</v>
      </c>
      <c r="AP71" s="2230">
        <f t="shared" si="27"/>
        <v>0.30523255813953487</v>
      </c>
      <c r="AR71" s="1145">
        <f>SUM(AR67:AR70)</f>
        <v>106</v>
      </c>
      <c r="AS71" s="1141">
        <f>SUM(AS67:AS70)</f>
        <v>332</v>
      </c>
      <c r="AT71" s="2230">
        <f t="shared" si="28"/>
        <v>0.31927710843373491</v>
      </c>
      <c r="AV71" s="1145">
        <f>SUM(AV67:AV70)</f>
        <v>110</v>
      </c>
      <c r="AW71" s="1141">
        <v>326</v>
      </c>
      <c r="AX71" s="2230">
        <f t="shared" si="14"/>
        <v>0.33742331288343558</v>
      </c>
      <c r="AZ71" s="1145">
        <v>125</v>
      </c>
      <c r="BA71" s="1141">
        <v>315</v>
      </c>
      <c r="BB71" s="2230">
        <f t="shared" si="15"/>
        <v>0.3968253968253968</v>
      </c>
      <c r="BD71" s="1145">
        <v>127</v>
      </c>
      <c r="BE71" s="1141">
        <v>309</v>
      </c>
      <c r="BF71" s="2230">
        <f t="shared" si="16"/>
        <v>0.4110032362459547</v>
      </c>
    </row>
    <row r="72" spans="1:58" s="1" customFormat="1">
      <c r="A72" s="157"/>
      <c r="B72" s="3006" t="s">
        <v>1004</v>
      </c>
      <c r="C72" s="5317"/>
      <c r="D72" s="1138">
        <v>28</v>
      </c>
      <c r="E72" s="2231">
        <v>128</v>
      </c>
      <c r="F72" s="2229">
        <f t="shared" si="19"/>
        <v>0.21875</v>
      </c>
      <c r="G72" s="2207"/>
      <c r="H72" s="1138">
        <v>28</v>
      </c>
      <c r="I72" s="2231">
        <v>131</v>
      </c>
      <c r="J72" s="2229">
        <f t="shared" si="20"/>
        <v>0.21374045801526717</v>
      </c>
      <c r="K72" s="2207"/>
      <c r="L72" s="1138">
        <v>29</v>
      </c>
      <c r="M72" s="2231">
        <v>134</v>
      </c>
      <c r="N72" s="2229">
        <f t="shared" si="21"/>
        <v>0.21641791044776118</v>
      </c>
      <c r="O72" s="2207"/>
      <c r="P72" s="1138">
        <v>30</v>
      </c>
      <c r="Q72" s="2231">
        <v>136</v>
      </c>
      <c r="R72" s="2229">
        <f t="shared" si="22"/>
        <v>0.22058823529411764</v>
      </c>
      <c r="S72" s="2207"/>
      <c r="T72" s="1138">
        <v>31</v>
      </c>
      <c r="U72" s="2231">
        <v>135</v>
      </c>
      <c r="V72" s="2229">
        <f t="shared" si="23"/>
        <v>0.22962962962962963</v>
      </c>
      <c r="W72" s="2207"/>
      <c r="X72" s="1138">
        <v>30</v>
      </c>
      <c r="Y72" s="2231">
        <v>132</v>
      </c>
      <c r="Z72" s="2229">
        <f t="shared" si="24"/>
        <v>0.22727272727272727</v>
      </c>
      <c r="AA72" s="2207"/>
      <c r="AB72" s="1138">
        <v>29</v>
      </c>
      <c r="AC72" s="2231">
        <v>130</v>
      </c>
      <c r="AD72" s="2229">
        <f t="shared" si="18"/>
        <v>0.22307692307692309</v>
      </c>
      <c r="AE72" s="2207"/>
      <c r="AF72" s="1138">
        <v>27</v>
      </c>
      <c r="AG72" s="2231">
        <v>126</v>
      </c>
      <c r="AH72" s="2229">
        <f t="shared" si="25"/>
        <v>0.21428571428571427</v>
      </c>
      <c r="AI72" s="2207"/>
      <c r="AJ72" s="1138">
        <v>29</v>
      </c>
      <c r="AK72" s="2231">
        <v>125</v>
      </c>
      <c r="AL72" s="2229">
        <f t="shared" si="26"/>
        <v>0.23200000000000001</v>
      </c>
      <c r="AN72" s="1138">
        <v>26</v>
      </c>
      <c r="AO72" s="2231">
        <v>120</v>
      </c>
      <c r="AP72" s="2229">
        <f t="shared" si="27"/>
        <v>0.21666666666666667</v>
      </c>
      <c r="AR72" s="1138">
        <v>25</v>
      </c>
      <c r="AS72" s="2231">
        <v>120</v>
      </c>
      <c r="AT72" s="2229">
        <f t="shared" si="28"/>
        <v>0.20833333333333334</v>
      </c>
      <c r="AV72" s="1138">
        <v>24</v>
      </c>
      <c r="AW72" s="2231">
        <v>118</v>
      </c>
      <c r="AX72" s="2229">
        <f t="shared" si="14"/>
        <v>0.20338983050847459</v>
      </c>
      <c r="AZ72" s="1138">
        <v>28</v>
      </c>
      <c r="BA72" s="2231">
        <v>115</v>
      </c>
      <c r="BB72" s="2229">
        <f t="shared" si="15"/>
        <v>0.24347826086956523</v>
      </c>
      <c r="BD72" s="1138">
        <v>36</v>
      </c>
      <c r="BE72" s="2231">
        <v>112</v>
      </c>
      <c r="BF72" s="2229">
        <f t="shared" si="16"/>
        <v>0.32142857142857145</v>
      </c>
    </row>
    <row r="73" spans="1:58" s="1" customFormat="1">
      <c r="A73" s="157"/>
      <c r="B73" s="3007" t="s">
        <v>1005</v>
      </c>
      <c r="C73" s="5317"/>
      <c r="D73" s="1142">
        <v>34</v>
      </c>
      <c r="E73" s="2231">
        <v>91</v>
      </c>
      <c r="F73" s="2229">
        <f t="shared" si="19"/>
        <v>0.37362637362637363</v>
      </c>
      <c r="G73" s="2207"/>
      <c r="H73" s="1142">
        <v>34</v>
      </c>
      <c r="I73" s="2231">
        <v>98</v>
      </c>
      <c r="J73" s="2229">
        <f t="shared" si="20"/>
        <v>0.34693877551020408</v>
      </c>
      <c r="K73" s="2207"/>
      <c r="L73" s="1142">
        <v>33</v>
      </c>
      <c r="M73" s="2231">
        <v>99</v>
      </c>
      <c r="N73" s="2229">
        <f t="shared" si="21"/>
        <v>0.33333333333333331</v>
      </c>
      <c r="O73" s="2207"/>
      <c r="P73" s="1142">
        <v>38</v>
      </c>
      <c r="Q73" s="2231">
        <v>99</v>
      </c>
      <c r="R73" s="2229">
        <f t="shared" si="22"/>
        <v>0.38383838383838381</v>
      </c>
      <c r="S73" s="2207"/>
      <c r="T73" s="1142">
        <v>40</v>
      </c>
      <c r="U73" s="2231">
        <v>98</v>
      </c>
      <c r="V73" s="2229">
        <f t="shared" si="23"/>
        <v>0.40816326530612246</v>
      </c>
      <c r="W73" s="2207"/>
      <c r="X73" s="1142">
        <v>39</v>
      </c>
      <c r="Y73" s="2231">
        <v>97</v>
      </c>
      <c r="Z73" s="2229">
        <f t="shared" si="24"/>
        <v>0.40206185567010311</v>
      </c>
      <c r="AA73" s="2207"/>
      <c r="AB73" s="1142">
        <v>39</v>
      </c>
      <c r="AC73" s="2231">
        <v>96</v>
      </c>
      <c r="AD73" s="2229">
        <f t="shared" si="18"/>
        <v>0.40625</v>
      </c>
      <c r="AE73" s="2207"/>
      <c r="AF73" s="1142">
        <v>36</v>
      </c>
      <c r="AG73" s="2231">
        <v>99</v>
      </c>
      <c r="AH73" s="2229">
        <f t="shared" si="25"/>
        <v>0.36363636363636365</v>
      </c>
      <c r="AI73" s="2207"/>
      <c r="AJ73" s="1142">
        <v>35</v>
      </c>
      <c r="AK73" s="2231">
        <v>100</v>
      </c>
      <c r="AL73" s="2229">
        <f t="shared" si="26"/>
        <v>0.35</v>
      </c>
      <c r="AN73" s="1142">
        <v>37</v>
      </c>
      <c r="AO73" s="2231">
        <v>96</v>
      </c>
      <c r="AP73" s="2229">
        <f t="shared" si="27"/>
        <v>0.38541666666666669</v>
      </c>
      <c r="AR73" s="1142">
        <v>36</v>
      </c>
      <c r="AS73" s="2231">
        <v>93</v>
      </c>
      <c r="AT73" s="2229">
        <f t="shared" si="28"/>
        <v>0.38709677419354838</v>
      </c>
      <c r="AV73" s="1142">
        <v>39</v>
      </c>
      <c r="AW73" s="2231">
        <v>91</v>
      </c>
      <c r="AX73" s="2229">
        <f t="shared" si="14"/>
        <v>0.42857142857142855</v>
      </c>
      <c r="AZ73" s="1142">
        <v>41</v>
      </c>
      <c r="BA73" s="2231">
        <v>91</v>
      </c>
      <c r="BB73" s="2229">
        <f t="shared" si="15"/>
        <v>0.45054945054945056</v>
      </c>
      <c r="BD73" s="1142">
        <v>46</v>
      </c>
      <c r="BE73" s="2231">
        <v>91</v>
      </c>
      <c r="BF73" s="2229">
        <f t="shared" si="16"/>
        <v>0.50549450549450547</v>
      </c>
    </row>
    <row r="74" spans="1:58" s="1" customFormat="1">
      <c r="A74" s="157"/>
      <c r="B74" s="3007" t="s">
        <v>1006</v>
      </c>
      <c r="C74" s="5317"/>
      <c r="D74" s="1142">
        <v>30</v>
      </c>
      <c r="E74" s="2231">
        <v>66</v>
      </c>
      <c r="F74" s="2229">
        <f t="shared" si="19"/>
        <v>0.45454545454545453</v>
      </c>
      <c r="G74" s="2207"/>
      <c r="H74" s="1142">
        <v>29</v>
      </c>
      <c r="I74" s="2231">
        <v>69</v>
      </c>
      <c r="J74" s="2229">
        <f t="shared" si="20"/>
        <v>0.42028985507246375</v>
      </c>
      <c r="K74" s="2207"/>
      <c r="L74" s="1142">
        <v>35</v>
      </c>
      <c r="M74" s="2231">
        <v>73</v>
      </c>
      <c r="N74" s="2229">
        <f t="shared" si="21"/>
        <v>0.47945205479452052</v>
      </c>
      <c r="O74" s="2207"/>
      <c r="P74" s="1142">
        <v>34</v>
      </c>
      <c r="Q74" s="2231">
        <v>70</v>
      </c>
      <c r="R74" s="2229">
        <f t="shared" si="22"/>
        <v>0.48571428571428571</v>
      </c>
      <c r="S74" s="2207"/>
      <c r="T74" s="1142">
        <v>34</v>
      </c>
      <c r="U74" s="2231">
        <v>68</v>
      </c>
      <c r="V74" s="2229">
        <f t="shared" si="23"/>
        <v>0.5</v>
      </c>
      <c r="W74" s="2207"/>
      <c r="X74" s="1142">
        <v>34</v>
      </c>
      <c r="Y74" s="2231">
        <v>68</v>
      </c>
      <c r="Z74" s="2229">
        <f t="shared" si="24"/>
        <v>0.5</v>
      </c>
      <c r="AA74" s="2207"/>
      <c r="AB74" s="1142">
        <v>34</v>
      </c>
      <c r="AC74" s="2231">
        <v>66</v>
      </c>
      <c r="AD74" s="2229">
        <f t="shared" si="18"/>
        <v>0.51515151515151514</v>
      </c>
      <c r="AE74" s="2207"/>
      <c r="AF74" s="1142">
        <v>34</v>
      </c>
      <c r="AG74" s="2231">
        <v>67</v>
      </c>
      <c r="AH74" s="2229">
        <f t="shared" si="25"/>
        <v>0.5074626865671642</v>
      </c>
      <c r="AI74" s="2207"/>
      <c r="AJ74" s="1142">
        <v>33</v>
      </c>
      <c r="AK74" s="2231">
        <v>68</v>
      </c>
      <c r="AL74" s="2229">
        <f t="shared" si="26"/>
        <v>0.48529411764705882</v>
      </c>
      <c r="AN74" s="1142">
        <v>33</v>
      </c>
      <c r="AO74" s="2231">
        <v>67</v>
      </c>
      <c r="AP74" s="2229">
        <f t="shared" si="27"/>
        <v>0.4925373134328358</v>
      </c>
      <c r="AR74" s="1142">
        <v>35</v>
      </c>
      <c r="AS74" s="2231">
        <v>66</v>
      </c>
      <c r="AT74" s="2229">
        <f t="shared" si="28"/>
        <v>0.53030303030303028</v>
      </c>
      <c r="AV74" s="1142">
        <v>33</v>
      </c>
      <c r="AW74" s="2231">
        <v>65</v>
      </c>
      <c r="AX74" s="2229">
        <f t="shared" si="14"/>
        <v>0.50769230769230766</v>
      </c>
      <c r="AZ74" s="1142">
        <v>35</v>
      </c>
      <c r="BA74" s="2231">
        <v>65</v>
      </c>
      <c r="BB74" s="2229">
        <f t="shared" si="15"/>
        <v>0.53846153846153844</v>
      </c>
      <c r="BD74" s="1142">
        <v>33</v>
      </c>
      <c r="BE74" s="2231">
        <v>62</v>
      </c>
      <c r="BF74" s="2229">
        <f t="shared" si="16"/>
        <v>0.532258064516129</v>
      </c>
    </row>
    <row r="75" spans="1:58" s="1" customFormat="1" ht="15" thickBot="1">
      <c r="A75" s="157"/>
      <c r="B75" s="3007" t="s">
        <v>1007</v>
      </c>
      <c r="C75" s="5317"/>
      <c r="D75" s="1142">
        <v>24</v>
      </c>
      <c r="E75" s="2231">
        <v>57</v>
      </c>
      <c r="F75" s="2229">
        <f t="shared" si="19"/>
        <v>0.42105263157894735</v>
      </c>
      <c r="G75" s="2207"/>
      <c r="H75" s="1142">
        <v>24</v>
      </c>
      <c r="I75" s="2231">
        <v>58</v>
      </c>
      <c r="J75" s="2229">
        <f t="shared" si="20"/>
        <v>0.41379310344827586</v>
      </c>
      <c r="K75" s="2207"/>
      <c r="L75" s="1142">
        <v>23</v>
      </c>
      <c r="M75" s="2231">
        <v>57</v>
      </c>
      <c r="N75" s="2229">
        <f t="shared" si="21"/>
        <v>0.40350877192982454</v>
      </c>
      <c r="O75" s="2207"/>
      <c r="P75" s="1142">
        <v>23</v>
      </c>
      <c r="Q75" s="2231">
        <v>57</v>
      </c>
      <c r="R75" s="2229">
        <f t="shared" si="22"/>
        <v>0.40350877192982454</v>
      </c>
      <c r="S75" s="2207"/>
      <c r="T75" s="1142">
        <v>23</v>
      </c>
      <c r="U75" s="2231">
        <v>60</v>
      </c>
      <c r="V75" s="2229">
        <f t="shared" si="23"/>
        <v>0.38333333333333336</v>
      </c>
      <c r="W75" s="2207"/>
      <c r="X75" s="1142">
        <v>20</v>
      </c>
      <c r="Y75" s="2231">
        <v>61</v>
      </c>
      <c r="Z75" s="2229">
        <f t="shared" si="24"/>
        <v>0.32786885245901637</v>
      </c>
      <c r="AA75" s="2207"/>
      <c r="AB75" s="1142">
        <v>21</v>
      </c>
      <c r="AC75" s="2231">
        <v>59</v>
      </c>
      <c r="AD75" s="2229">
        <f t="shared" si="18"/>
        <v>0.3559322033898305</v>
      </c>
      <c r="AE75" s="2207"/>
      <c r="AF75" s="1142">
        <v>20</v>
      </c>
      <c r="AG75" s="2231">
        <v>58</v>
      </c>
      <c r="AH75" s="2229">
        <f t="shared" si="25"/>
        <v>0.34482758620689657</v>
      </c>
      <c r="AI75" s="2207"/>
      <c r="AJ75" s="1142">
        <v>20</v>
      </c>
      <c r="AK75" s="2231">
        <v>60</v>
      </c>
      <c r="AL75" s="2229">
        <f t="shared" si="26"/>
        <v>0.33333333333333331</v>
      </c>
      <c r="AN75" s="1142">
        <v>21</v>
      </c>
      <c r="AO75" s="2231">
        <v>58</v>
      </c>
      <c r="AP75" s="2229">
        <f t="shared" si="27"/>
        <v>0.36206896551724138</v>
      </c>
      <c r="AR75" s="1142">
        <v>22</v>
      </c>
      <c r="AS75" s="2231">
        <v>58</v>
      </c>
      <c r="AT75" s="2229">
        <f t="shared" si="28"/>
        <v>0.37931034482758619</v>
      </c>
      <c r="AV75" s="1142">
        <v>23</v>
      </c>
      <c r="AW75" s="2231">
        <v>57</v>
      </c>
      <c r="AX75" s="2229">
        <f t="shared" si="14"/>
        <v>0.40350877192982454</v>
      </c>
      <c r="AZ75" s="1142">
        <v>24</v>
      </c>
      <c r="BA75" s="2231">
        <v>54</v>
      </c>
      <c r="BB75" s="2229">
        <f t="shared" si="15"/>
        <v>0.44444444444444442</v>
      </c>
      <c r="BD75" s="1142">
        <v>28</v>
      </c>
      <c r="BE75" s="2231">
        <v>56</v>
      </c>
      <c r="BF75" s="2229">
        <f t="shared" si="16"/>
        <v>0.5</v>
      </c>
    </row>
    <row r="76" spans="1:58" s="1" customFormat="1" ht="15" thickBot="1">
      <c r="A76" s="157"/>
      <c r="B76" s="2418" t="s">
        <v>16</v>
      </c>
      <c r="C76" s="5317"/>
      <c r="D76" s="1145">
        <f>SUM(D72:D75)</f>
        <v>116</v>
      </c>
      <c r="E76" s="1141">
        <f>SUM(E72:E75)</f>
        <v>342</v>
      </c>
      <c r="F76" s="2230">
        <f t="shared" si="19"/>
        <v>0.33918128654970758</v>
      </c>
      <c r="G76" s="2207"/>
      <c r="H76" s="1145">
        <v>115</v>
      </c>
      <c r="I76" s="1141">
        <f>SUM(I72:I75)</f>
        <v>356</v>
      </c>
      <c r="J76" s="2230">
        <f t="shared" si="20"/>
        <v>0.32303370786516855</v>
      </c>
      <c r="K76" s="2207"/>
      <c r="L76" s="1145">
        <v>120</v>
      </c>
      <c r="M76" s="1141">
        <f>SUM(M72:M75)</f>
        <v>363</v>
      </c>
      <c r="N76" s="2230">
        <f t="shared" si="21"/>
        <v>0.33057851239669422</v>
      </c>
      <c r="O76" s="2207"/>
      <c r="P76" s="1145">
        <v>125</v>
      </c>
      <c r="Q76" s="1141">
        <f>SUM(Q72:Q75)</f>
        <v>362</v>
      </c>
      <c r="R76" s="2230">
        <f t="shared" si="22"/>
        <v>0.34530386740331492</v>
      </c>
      <c r="S76" s="2207"/>
      <c r="T76" s="1145">
        <v>128</v>
      </c>
      <c r="U76" s="1141">
        <f>SUM(U72:U75)</f>
        <v>361</v>
      </c>
      <c r="V76" s="2230">
        <f t="shared" si="23"/>
        <v>0.35457063711911357</v>
      </c>
      <c r="W76" s="2207"/>
      <c r="X76" s="1145">
        <f>SUM(X72:X75)</f>
        <v>123</v>
      </c>
      <c r="Y76" s="1141">
        <v>358</v>
      </c>
      <c r="Z76" s="2230">
        <f t="shared" si="24"/>
        <v>0.34357541899441341</v>
      </c>
      <c r="AA76" s="2207"/>
      <c r="AB76" s="1145">
        <f>SUM(AB72:AB75)</f>
        <v>123</v>
      </c>
      <c r="AC76" s="1141">
        <f>SUM(AC72:AC75)</f>
        <v>351</v>
      </c>
      <c r="AD76" s="2230">
        <f t="shared" si="18"/>
        <v>0.3504273504273504</v>
      </c>
      <c r="AE76" s="2207"/>
      <c r="AF76" s="1145">
        <v>117</v>
      </c>
      <c r="AG76" s="1141">
        <f>SUM(AG72:AG75)</f>
        <v>350</v>
      </c>
      <c r="AH76" s="2230">
        <f t="shared" si="25"/>
        <v>0.3342857142857143</v>
      </c>
      <c r="AI76" s="2207"/>
      <c r="AJ76" s="1145">
        <v>117</v>
      </c>
      <c r="AK76" s="1141">
        <f>SUM(AK72:AK75)</f>
        <v>353</v>
      </c>
      <c r="AL76" s="2230">
        <f t="shared" si="26"/>
        <v>0.33144475920679889</v>
      </c>
      <c r="AN76" s="1145">
        <v>117</v>
      </c>
      <c r="AO76" s="1141">
        <f>SUM(AO72:AO75)</f>
        <v>341</v>
      </c>
      <c r="AP76" s="2230">
        <f t="shared" si="27"/>
        <v>0.34310850439882695</v>
      </c>
      <c r="AR76" s="1145">
        <f>SUM(AR72:AR75)</f>
        <v>118</v>
      </c>
      <c r="AS76" s="1141">
        <f>SUM(AS72:AS75)</f>
        <v>337</v>
      </c>
      <c r="AT76" s="2230">
        <f t="shared" si="28"/>
        <v>0.35014836795252224</v>
      </c>
      <c r="AV76" s="1145">
        <f>SUM(AV72:AV75)</f>
        <v>119</v>
      </c>
      <c r="AW76" s="1141">
        <v>331</v>
      </c>
      <c r="AX76" s="2230">
        <f t="shared" si="14"/>
        <v>0.3595166163141994</v>
      </c>
      <c r="AZ76" s="1145">
        <v>128</v>
      </c>
      <c r="BA76" s="1141">
        <v>325</v>
      </c>
      <c r="BB76" s="2230">
        <f t="shared" si="15"/>
        <v>0.39384615384615385</v>
      </c>
      <c r="BD76" s="1145">
        <v>143</v>
      </c>
      <c r="BE76" s="1141">
        <v>321</v>
      </c>
      <c r="BF76" s="2230">
        <f t="shared" si="16"/>
        <v>0.4454828660436137</v>
      </c>
    </row>
    <row r="77" spans="1:58" s="1" customFormat="1">
      <c r="A77" s="157"/>
      <c r="B77" s="3006" t="s">
        <v>1008</v>
      </c>
      <c r="C77" s="5317"/>
      <c r="D77" s="1138">
        <v>6</v>
      </c>
      <c r="E77" s="2231">
        <v>29</v>
      </c>
      <c r="F77" s="2229">
        <f t="shared" si="19"/>
        <v>0.20689655172413793</v>
      </c>
      <c r="G77" s="2207"/>
      <c r="H77" s="1138">
        <v>6</v>
      </c>
      <c r="I77" s="2231">
        <v>28</v>
      </c>
      <c r="J77" s="2229">
        <f t="shared" si="20"/>
        <v>0.21428571428571427</v>
      </c>
      <c r="K77" s="2207"/>
      <c r="L77" s="1138">
        <v>7</v>
      </c>
      <c r="M77" s="2231">
        <v>26</v>
      </c>
      <c r="N77" s="2229">
        <f t="shared" si="21"/>
        <v>0.26923076923076922</v>
      </c>
      <c r="O77" s="2207"/>
      <c r="P77" s="1138">
        <v>8</v>
      </c>
      <c r="Q77" s="2231">
        <v>26</v>
      </c>
      <c r="R77" s="2229">
        <f t="shared" si="22"/>
        <v>0.30769230769230771</v>
      </c>
      <c r="S77" s="2207"/>
      <c r="T77" s="1138">
        <v>7</v>
      </c>
      <c r="U77" s="2231">
        <v>29</v>
      </c>
      <c r="V77" s="2229">
        <f t="shared" si="23"/>
        <v>0.2413793103448276</v>
      </c>
      <c r="W77" s="2207"/>
      <c r="X77" s="1138">
        <v>6</v>
      </c>
      <c r="Y77" s="2231">
        <v>29</v>
      </c>
      <c r="Z77" s="2229">
        <f t="shared" si="24"/>
        <v>0.20689655172413793</v>
      </c>
      <c r="AA77" s="2207"/>
      <c r="AB77" s="1138">
        <v>7</v>
      </c>
      <c r="AC77" s="2231">
        <v>32</v>
      </c>
      <c r="AD77" s="2229">
        <f t="shared" si="18"/>
        <v>0.21875</v>
      </c>
      <c r="AE77" s="2207"/>
      <c r="AF77" s="1138">
        <v>6</v>
      </c>
      <c r="AG77" s="2231">
        <v>31</v>
      </c>
      <c r="AH77" s="2229">
        <f t="shared" si="25"/>
        <v>0.19354838709677419</v>
      </c>
      <c r="AI77" s="2207"/>
      <c r="AJ77" s="1138">
        <v>7</v>
      </c>
      <c r="AK77" s="2231">
        <v>29</v>
      </c>
      <c r="AL77" s="2229">
        <f t="shared" si="26"/>
        <v>0.2413793103448276</v>
      </c>
      <c r="AN77" s="1138">
        <v>5</v>
      </c>
      <c r="AO77" s="2231">
        <v>30</v>
      </c>
      <c r="AP77" s="2229">
        <f t="shared" si="27"/>
        <v>0.16666666666666666</v>
      </c>
      <c r="AR77" s="1138">
        <v>4</v>
      </c>
      <c r="AS77" s="2231">
        <v>30</v>
      </c>
      <c r="AT77" s="2229">
        <f t="shared" si="28"/>
        <v>0.13333333333333333</v>
      </c>
      <c r="AV77" s="1138">
        <v>4</v>
      </c>
      <c r="AW77" s="2231">
        <v>31</v>
      </c>
      <c r="AX77" s="2229">
        <f t="shared" si="14"/>
        <v>0.12903225806451613</v>
      </c>
      <c r="AZ77" s="1138">
        <v>3</v>
      </c>
      <c r="BA77" s="2231">
        <v>28</v>
      </c>
      <c r="BB77" s="2229">
        <f t="shared" si="15"/>
        <v>0.10714285714285714</v>
      </c>
      <c r="BD77" s="1138">
        <v>3</v>
      </c>
      <c r="BE77" s="2231">
        <v>31</v>
      </c>
      <c r="BF77" s="2229">
        <f t="shared" si="16"/>
        <v>9.6774193548387094E-2</v>
      </c>
    </row>
    <row r="78" spans="1:58" s="1" customFormat="1">
      <c r="A78" s="157"/>
      <c r="B78" s="3007" t="s">
        <v>1009</v>
      </c>
      <c r="C78" s="5317"/>
      <c r="D78" s="1138">
        <v>3</v>
      </c>
      <c r="E78" s="2231">
        <v>37</v>
      </c>
      <c r="F78" s="2229">
        <f t="shared" si="19"/>
        <v>8.1081081081081086E-2</v>
      </c>
      <c r="G78" s="2207"/>
      <c r="H78" s="1138">
        <v>3</v>
      </c>
      <c r="I78" s="2231">
        <v>39</v>
      </c>
      <c r="J78" s="2229">
        <f t="shared" si="20"/>
        <v>7.6923076923076927E-2</v>
      </c>
      <c r="K78" s="2207"/>
      <c r="L78" s="1138">
        <v>3</v>
      </c>
      <c r="M78" s="2231">
        <v>38</v>
      </c>
      <c r="N78" s="2229">
        <f t="shared" si="21"/>
        <v>7.8947368421052627E-2</v>
      </c>
      <c r="O78" s="2207"/>
      <c r="P78" s="1138">
        <v>4</v>
      </c>
      <c r="Q78" s="2231">
        <v>39</v>
      </c>
      <c r="R78" s="2229">
        <f t="shared" si="22"/>
        <v>0.10256410256410256</v>
      </c>
      <c r="S78" s="2207"/>
      <c r="T78" s="1138">
        <v>4</v>
      </c>
      <c r="U78" s="2231">
        <v>40</v>
      </c>
      <c r="V78" s="2229">
        <f t="shared" si="23"/>
        <v>0.1</v>
      </c>
      <c r="W78" s="2207"/>
      <c r="X78" s="1138">
        <v>3</v>
      </c>
      <c r="Y78" s="2231">
        <v>40</v>
      </c>
      <c r="Z78" s="2229">
        <f t="shared" si="24"/>
        <v>7.4999999999999997E-2</v>
      </c>
      <c r="AA78" s="2207"/>
      <c r="AB78" s="1138">
        <v>2</v>
      </c>
      <c r="AC78" s="2231">
        <v>39</v>
      </c>
      <c r="AD78" s="2229">
        <f t="shared" si="18"/>
        <v>5.128205128205128E-2</v>
      </c>
      <c r="AE78" s="2207"/>
      <c r="AF78" s="1138">
        <v>2</v>
      </c>
      <c r="AG78" s="2231">
        <v>38</v>
      </c>
      <c r="AH78" s="2229">
        <f t="shared" si="25"/>
        <v>5.2631578947368418E-2</v>
      </c>
      <c r="AI78" s="2207"/>
      <c r="AJ78" s="1138">
        <v>3</v>
      </c>
      <c r="AK78" s="2231">
        <v>36</v>
      </c>
      <c r="AL78" s="2229">
        <f t="shared" si="26"/>
        <v>8.3333333333333329E-2</v>
      </c>
      <c r="AN78" s="1138">
        <v>3</v>
      </c>
      <c r="AO78" s="2231">
        <v>40</v>
      </c>
      <c r="AP78" s="2229">
        <f t="shared" si="27"/>
        <v>7.4999999999999997E-2</v>
      </c>
      <c r="AR78" s="1138">
        <v>4</v>
      </c>
      <c r="AS78" s="2231">
        <v>40</v>
      </c>
      <c r="AT78" s="2229">
        <f t="shared" si="28"/>
        <v>0.1</v>
      </c>
      <c r="AV78" s="1138">
        <v>4</v>
      </c>
      <c r="AW78" s="2231">
        <v>38</v>
      </c>
      <c r="AX78" s="2229">
        <f t="shared" si="14"/>
        <v>0.10526315789473684</v>
      </c>
      <c r="AZ78" s="1138">
        <v>2</v>
      </c>
      <c r="BA78" s="2231">
        <v>35</v>
      </c>
      <c r="BB78" s="2229">
        <f t="shared" si="15"/>
        <v>5.7142857142857141E-2</v>
      </c>
      <c r="BD78" s="1138">
        <v>2</v>
      </c>
      <c r="BE78" s="2231">
        <v>34</v>
      </c>
      <c r="BF78" s="2229">
        <f t="shared" si="16"/>
        <v>5.8823529411764705E-2</v>
      </c>
    </row>
    <row r="79" spans="1:58" s="1" customFormat="1">
      <c r="A79" s="157"/>
      <c r="B79" s="3007" t="s">
        <v>1010</v>
      </c>
      <c r="C79" s="5317"/>
      <c r="D79" s="1138">
        <v>3</v>
      </c>
      <c r="E79" s="2231">
        <v>29</v>
      </c>
      <c r="F79" s="2229">
        <f t="shared" si="19"/>
        <v>0.10344827586206896</v>
      </c>
      <c r="G79" s="2207"/>
      <c r="H79" s="1138">
        <v>3</v>
      </c>
      <c r="I79" s="2231">
        <v>28</v>
      </c>
      <c r="J79" s="2229">
        <f t="shared" si="20"/>
        <v>0.10714285714285714</v>
      </c>
      <c r="K79" s="2207"/>
      <c r="L79" s="1138">
        <v>3</v>
      </c>
      <c r="M79" s="2231">
        <v>30</v>
      </c>
      <c r="N79" s="2229">
        <f t="shared" si="21"/>
        <v>0.1</v>
      </c>
      <c r="O79" s="2207"/>
      <c r="P79" s="1138">
        <v>2</v>
      </c>
      <c r="Q79" s="2231">
        <v>29</v>
      </c>
      <c r="R79" s="2229">
        <f t="shared" si="22"/>
        <v>6.8965517241379309E-2</v>
      </c>
      <c r="S79" s="2207"/>
      <c r="T79" s="1138">
        <v>2</v>
      </c>
      <c r="U79" s="2231">
        <v>31</v>
      </c>
      <c r="V79" s="2229">
        <f t="shared" si="23"/>
        <v>6.4516129032258063E-2</v>
      </c>
      <c r="W79" s="2207"/>
      <c r="X79" s="1138">
        <v>2</v>
      </c>
      <c r="Y79" s="2231">
        <v>30</v>
      </c>
      <c r="Z79" s="2229">
        <f t="shared" si="24"/>
        <v>6.6666666666666666E-2</v>
      </c>
      <c r="AA79" s="2207"/>
      <c r="AB79" s="1138">
        <v>1</v>
      </c>
      <c r="AC79" s="2231">
        <v>27</v>
      </c>
      <c r="AD79" s="2229">
        <f t="shared" si="18"/>
        <v>3.7037037037037035E-2</v>
      </c>
      <c r="AE79" s="2207"/>
      <c r="AF79" s="1138">
        <v>1</v>
      </c>
      <c r="AG79" s="2231">
        <v>22</v>
      </c>
      <c r="AH79" s="2229">
        <f t="shared" si="25"/>
        <v>4.5454545454545456E-2</v>
      </c>
      <c r="AI79" s="2207"/>
      <c r="AJ79" s="1138">
        <v>2</v>
      </c>
      <c r="AK79" s="2231">
        <v>24</v>
      </c>
      <c r="AL79" s="2229">
        <f t="shared" si="26"/>
        <v>8.3333333333333329E-2</v>
      </c>
      <c r="AN79" s="1138">
        <v>2</v>
      </c>
      <c r="AO79" s="2231">
        <v>26</v>
      </c>
      <c r="AP79" s="2229">
        <f t="shared" si="27"/>
        <v>7.6923076923076927E-2</v>
      </c>
      <c r="AR79" s="1138">
        <v>2</v>
      </c>
      <c r="AS79" s="2231">
        <v>26</v>
      </c>
      <c r="AT79" s="2229">
        <f t="shared" si="28"/>
        <v>7.6923076923076927E-2</v>
      </c>
      <c r="AV79" s="1138">
        <v>0</v>
      </c>
      <c r="AW79" s="2231">
        <v>26</v>
      </c>
      <c r="AX79" s="2229">
        <f t="shared" si="14"/>
        <v>0</v>
      </c>
      <c r="AZ79" s="1138">
        <v>2</v>
      </c>
      <c r="BA79" s="2231">
        <v>27</v>
      </c>
      <c r="BB79" s="2229">
        <f t="shared" si="15"/>
        <v>7.407407407407407E-2</v>
      </c>
      <c r="BD79" s="1138">
        <v>2</v>
      </c>
      <c r="BE79" s="2231">
        <v>29</v>
      </c>
      <c r="BF79" s="2229">
        <f t="shared" si="16"/>
        <v>6.8965517241379309E-2</v>
      </c>
    </row>
    <row r="80" spans="1:58" s="1" customFormat="1" ht="15" thickBot="1">
      <c r="A80" s="157"/>
      <c r="B80" s="3008" t="s">
        <v>1011</v>
      </c>
      <c r="C80" s="5317"/>
      <c r="D80" s="1138">
        <v>7</v>
      </c>
      <c r="E80" s="2231">
        <v>47</v>
      </c>
      <c r="F80" s="2229">
        <f t="shared" si="19"/>
        <v>0.14893617021276595</v>
      </c>
      <c r="G80" s="2207"/>
      <c r="H80" s="1138">
        <v>7</v>
      </c>
      <c r="I80" s="2231">
        <v>48</v>
      </c>
      <c r="J80" s="2229">
        <f t="shared" si="20"/>
        <v>0.14583333333333334</v>
      </c>
      <c r="K80" s="2207"/>
      <c r="L80" s="1138">
        <v>6</v>
      </c>
      <c r="M80" s="2231">
        <v>47</v>
      </c>
      <c r="N80" s="2229">
        <f t="shared" si="21"/>
        <v>0.1276595744680851</v>
      </c>
      <c r="O80" s="2207"/>
      <c r="P80" s="1138">
        <v>6</v>
      </c>
      <c r="Q80" s="2231">
        <v>47</v>
      </c>
      <c r="R80" s="2229">
        <f t="shared" si="22"/>
        <v>0.1276595744680851</v>
      </c>
      <c r="S80" s="2207"/>
      <c r="T80" s="1138">
        <v>6</v>
      </c>
      <c r="U80" s="2231">
        <v>46</v>
      </c>
      <c r="V80" s="2229">
        <f t="shared" si="23"/>
        <v>0.13043478260869565</v>
      </c>
      <c r="W80" s="2207"/>
      <c r="X80" s="1138">
        <v>5</v>
      </c>
      <c r="Y80" s="2231">
        <v>45</v>
      </c>
      <c r="Z80" s="2229">
        <f t="shared" si="24"/>
        <v>0.1111111111111111</v>
      </c>
      <c r="AA80" s="2207"/>
      <c r="AB80" s="1138">
        <v>5</v>
      </c>
      <c r="AC80" s="2231">
        <v>46</v>
      </c>
      <c r="AD80" s="2229">
        <f t="shared" si="18"/>
        <v>0.10869565217391304</v>
      </c>
      <c r="AE80" s="2207"/>
      <c r="AF80" s="1138">
        <v>7</v>
      </c>
      <c r="AG80" s="2231">
        <v>44</v>
      </c>
      <c r="AH80" s="2229">
        <f t="shared" si="25"/>
        <v>0.15909090909090909</v>
      </c>
      <c r="AI80" s="2207"/>
      <c r="AJ80" s="1138">
        <v>8</v>
      </c>
      <c r="AK80" s="2231">
        <v>44</v>
      </c>
      <c r="AL80" s="2229">
        <f t="shared" si="26"/>
        <v>0.18181818181818182</v>
      </c>
      <c r="AN80" s="1138">
        <v>9</v>
      </c>
      <c r="AO80" s="2231">
        <v>40</v>
      </c>
      <c r="AP80" s="2229">
        <f t="shared" si="27"/>
        <v>0.22500000000000001</v>
      </c>
      <c r="AR80" s="1138">
        <v>7</v>
      </c>
      <c r="AS80" s="2231">
        <v>38</v>
      </c>
      <c r="AT80" s="2229">
        <f t="shared" si="28"/>
        <v>0.18421052631578946</v>
      </c>
      <c r="AV80" s="1138">
        <v>6</v>
      </c>
      <c r="AW80" s="2231">
        <v>38</v>
      </c>
      <c r="AX80" s="2229">
        <f t="shared" si="14"/>
        <v>0.15789473684210525</v>
      </c>
      <c r="AZ80" s="1138">
        <v>6</v>
      </c>
      <c r="BA80" s="2231">
        <v>39</v>
      </c>
      <c r="BB80" s="2229">
        <f t="shared" si="15"/>
        <v>0.15384615384615385</v>
      </c>
      <c r="BD80" s="1138">
        <v>7</v>
      </c>
      <c r="BE80" s="2231">
        <v>43</v>
      </c>
      <c r="BF80" s="2229">
        <f t="shared" si="16"/>
        <v>0.16279069767441862</v>
      </c>
    </row>
    <row r="81" spans="1:58" s="1" customFormat="1">
      <c r="A81" s="157"/>
      <c r="B81" s="2419" t="s">
        <v>21</v>
      </c>
      <c r="C81" s="5317"/>
      <c r="D81" s="1148">
        <f>SUM(D77:D80)</f>
        <v>19</v>
      </c>
      <c r="E81" s="1970">
        <f>SUM(E77:E80)</f>
        <v>142</v>
      </c>
      <c r="F81" s="2230">
        <f t="shared" si="19"/>
        <v>0.13380281690140844</v>
      </c>
      <c r="G81" s="2207"/>
      <c r="H81" s="1148">
        <v>19</v>
      </c>
      <c r="I81" s="1970">
        <f>SUM(I77:I80)</f>
        <v>143</v>
      </c>
      <c r="J81" s="2230">
        <f t="shared" si="20"/>
        <v>0.13286713286713286</v>
      </c>
      <c r="K81" s="2207"/>
      <c r="L81" s="1148">
        <v>19</v>
      </c>
      <c r="M81" s="1970">
        <f>SUM(M77:M80)</f>
        <v>141</v>
      </c>
      <c r="N81" s="2230">
        <f t="shared" si="21"/>
        <v>0.13475177304964539</v>
      </c>
      <c r="O81" s="2207"/>
      <c r="P81" s="1148">
        <v>20</v>
      </c>
      <c r="Q81" s="1970">
        <f>SUM(Q77:Q80)</f>
        <v>141</v>
      </c>
      <c r="R81" s="2230">
        <f t="shared" si="22"/>
        <v>0.14184397163120568</v>
      </c>
      <c r="S81" s="2207"/>
      <c r="T81" s="1148">
        <v>19</v>
      </c>
      <c r="U81" s="1970">
        <f>SUM(U77:U80)</f>
        <v>146</v>
      </c>
      <c r="V81" s="2230">
        <f t="shared" si="23"/>
        <v>0.13013698630136986</v>
      </c>
      <c r="W81" s="2207"/>
      <c r="X81" s="1148">
        <f>SUM(X77:X80)</f>
        <v>16</v>
      </c>
      <c r="Y81" s="1970">
        <f>SUM(Y77:Y80)</f>
        <v>144</v>
      </c>
      <c r="Z81" s="2230">
        <f t="shared" si="24"/>
        <v>0.1111111111111111</v>
      </c>
      <c r="AA81" s="2207"/>
      <c r="AB81" s="1148">
        <f>SUM(AB77:AB80)</f>
        <v>15</v>
      </c>
      <c r="AC81" s="1970">
        <f>SUM(AC77:AC80)</f>
        <v>144</v>
      </c>
      <c r="AD81" s="2230">
        <f t="shared" si="18"/>
        <v>0.10416666666666667</v>
      </c>
      <c r="AE81" s="2207"/>
      <c r="AF81" s="1148">
        <v>16</v>
      </c>
      <c r="AG81" s="1970">
        <f>SUM(AG77:AG80)</f>
        <v>135</v>
      </c>
      <c r="AH81" s="2230">
        <f t="shared" si="25"/>
        <v>0.11851851851851852</v>
      </c>
      <c r="AI81" s="2207"/>
      <c r="AJ81" s="1148">
        <f>SUM(AJ77:AJ80)</f>
        <v>20</v>
      </c>
      <c r="AK81" s="1970">
        <f>SUM(AK77:AK80)</f>
        <v>133</v>
      </c>
      <c r="AL81" s="2230">
        <f t="shared" si="26"/>
        <v>0.15037593984962405</v>
      </c>
      <c r="AN81" s="1148">
        <v>19</v>
      </c>
      <c r="AO81" s="1970">
        <f>SUM(AO77:AO80)</f>
        <v>136</v>
      </c>
      <c r="AP81" s="2230">
        <f t="shared" si="27"/>
        <v>0.13970588235294118</v>
      </c>
      <c r="AR81" s="1148">
        <f>SUM(AR77:AR80)</f>
        <v>17</v>
      </c>
      <c r="AS81" s="1970">
        <f>SUM(AS77:AS80)</f>
        <v>134</v>
      </c>
      <c r="AT81" s="2230">
        <f t="shared" si="28"/>
        <v>0.12686567164179105</v>
      </c>
      <c r="AV81" s="1148">
        <f>SUM(AV77:AV80)</f>
        <v>14</v>
      </c>
      <c r="AW81" s="1970">
        <f>SUM(AW77:AW80)</f>
        <v>133</v>
      </c>
      <c r="AX81" s="2230">
        <f t="shared" si="14"/>
        <v>0.10526315789473684</v>
      </c>
      <c r="AZ81" s="1148">
        <v>13</v>
      </c>
      <c r="BA81" s="1970">
        <v>129</v>
      </c>
      <c r="BB81" s="2230">
        <f t="shared" si="15"/>
        <v>0.10077519379844961</v>
      </c>
      <c r="BD81" s="1148">
        <v>14</v>
      </c>
      <c r="BE81" s="1970">
        <v>137</v>
      </c>
      <c r="BF81" s="2230">
        <f t="shared" si="16"/>
        <v>0.10218978102189781</v>
      </c>
    </row>
    <row r="82" spans="1:58" s="1" customFormat="1" ht="15" customHeight="1">
      <c r="A82" s="157"/>
      <c r="B82" s="3015" t="s">
        <v>898</v>
      </c>
      <c r="C82" s="5317"/>
      <c r="D82" s="2155">
        <f>SUM(D81,D76,D71)</f>
        <v>211</v>
      </c>
      <c r="E82" s="2156">
        <f>SUM(E81,E76,E71)</f>
        <v>824</v>
      </c>
      <c r="F82" s="2246">
        <f t="shared" si="19"/>
        <v>0.25606796116504854</v>
      </c>
      <c r="G82" s="2207"/>
      <c r="H82" s="2155">
        <v>213</v>
      </c>
      <c r="I82" s="2156">
        <f>SUM(I81,I76,I71)</f>
        <v>839</v>
      </c>
      <c r="J82" s="2246">
        <f t="shared" si="20"/>
        <v>0.25387365911799764</v>
      </c>
      <c r="K82" s="2207"/>
      <c r="L82" s="2155">
        <v>225</v>
      </c>
      <c r="M82" s="2156">
        <f>SUM(M81,M76,M71)</f>
        <v>852</v>
      </c>
      <c r="N82" s="2246">
        <f t="shared" si="21"/>
        <v>0.2640845070422535</v>
      </c>
      <c r="O82" s="2207"/>
      <c r="P82" s="2155">
        <v>243</v>
      </c>
      <c r="Q82" s="2156">
        <f>SUM(Q81,Q76,Q71)</f>
        <v>852</v>
      </c>
      <c r="R82" s="2246">
        <f t="shared" si="22"/>
        <v>0.28521126760563381</v>
      </c>
      <c r="S82" s="2207"/>
      <c r="T82" s="2155">
        <v>249</v>
      </c>
      <c r="U82" s="2156">
        <f>SUM(U81,U76,U71)</f>
        <v>860</v>
      </c>
      <c r="V82" s="2246">
        <f t="shared" si="23"/>
        <v>0.28953488372093023</v>
      </c>
      <c r="W82" s="2207"/>
      <c r="X82" s="2155">
        <f>SUM(X71,X76,X81)</f>
        <v>247</v>
      </c>
      <c r="Y82" s="2156">
        <f>SUM(Y71,Y76,Y81)</f>
        <v>856</v>
      </c>
      <c r="Z82" s="2246">
        <f t="shared" si="24"/>
        <v>0.2885514018691589</v>
      </c>
      <c r="AA82" s="2207"/>
      <c r="AB82" s="2155">
        <f>SUM(AB71,AB76,AB81)</f>
        <v>258</v>
      </c>
      <c r="AC82" s="2156">
        <f>SUM(AC81,AC76,AC71)</f>
        <v>842</v>
      </c>
      <c r="AD82" s="2246">
        <f t="shared" si="18"/>
        <v>0.30641330166270786</v>
      </c>
      <c r="AE82" s="2207"/>
      <c r="AF82" s="2155">
        <f>SUM(AF71,AF76,AF81)</f>
        <v>249</v>
      </c>
      <c r="AG82" s="2156">
        <f>SUM(AG81,AG76,AG71)</f>
        <v>832</v>
      </c>
      <c r="AH82" s="2246">
        <f t="shared" si="25"/>
        <v>0.29927884615384615</v>
      </c>
      <c r="AI82" s="2207"/>
      <c r="AJ82" s="2155">
        <f>SUM(AJ71,AJ76,AJ81)</f>
        <v>247</v>
      </c>
      <c r="AK82" s="2156">
        <f>SUM(AK71,AK76,AK81)</f>
        <v>830</v>
      </c>
      <c r="AL82" s="2246">
        <f t="shared" si="26"/>
        <v>0.29759036144578316</v>
      </c>
      <c r="AN82" s="2155">
        <v>241</v>
      </c>
      <c r="AO82" s="2156">
        <f>SUM(AO71,AO76,AO81)</f>
        <v>821</v>
      </c>
      <c r="AP82" s="2246">
        <f t="shared" si="27"/>
        <v>0.29354445797807549</v>
      </c>
      <c r="AR82" s="2155">
        <f>SUM(AR71,AR76,AR81)</f>
        <v>241</v>
      </c>
      <c r="AS82" s="2156">
        <f>SUM(AS71,AS76,AS81)</f>
        <v>803</v>
      </c>
      <c r="AT82" s="2246">
        <f t="shared" si="28"/>
        <v>0.30012453300124531</v>
      </c>
      <c r="AV82" s="2155">
        <f>SUM(AV71,AV76,AV81)</f>
        <v>243</v>
      </c>
      <c r="AW82" s="2156">
        <f>SUM(AW71,AW76,AW81)</f>
        <v>790</v>
      </c>
      <c r="AX82" s="2246">
        <f t="shared" ref="AX82" si="29">AV82/AW82</f>
        <v>0.30759493670886073</v>
      </c>
      <c r="AZ82" s="2155">
        <v>266</v>
      </c>
      <c r="BA82" s="2156">
        <v>769</v>
      </c>
      <c r="BB82" s="2246">
        <f t="shared" si="15"/>
        <v>0.34590377113133941</v>
      </c>
      <c r="BD82" s="2155">
        <v>284</v>
      </c>
      <c r="BE82" s="2156">
        <v>767</v>
      </c>
      <c r="BF82" s="2246">
        <f t="shared" si="16"/>
        <v>0.37027379400260757</v>
      </c>
    </row>
    <row r="83" spans="1:58" s="1" customFormat="1" ht="15" customHeight="1">
      <c r="A83" s="157"/>
      <c r="B83" s="2132"/>
      <c r="C83" s="5317"/>
      <c r="D83" s="2132"/>
      <c r="E83" s="2132"/>
      <c r="F83" s="2132"/>
      <c r="G83" s="2207"/>
      <c r="H83" s="2132"/>
      <c r="I83" s="2132"/>
      <c r="J83" s="2132"/>
      <c r="K83" s="2207"/>
      <c r="L83" s="2132"/>
      <c r="M83" s="2132"/>
      <c r="N83" s="2132"/>
      <c r="O83" s="2207"/>
      <c r="P83" s="2132"/>
      <c r="Q83" s="2132"/>
      <c r="R83" s="2132"/>
      <c r="S83" s="2207"/>
      <c r="T83" s="2132"/>
      <c r="U83" s="2132"/>
      <c r="V83" s="2132"/>
      <c r="W83" s="2207"/>
      <c r="X83" s="2132"/>
      <c r="Y83" s="2132"/>
      <c r="Z83" s="2132"/>
      <c r="AA83" s="2207"/>
      <c r="AB83" s="2132"/>
      <c r="AC83" s="2132"/>
      <c r="AD83" s="2132"/>
      <c r="AE83" s="2207"/>
      <c r="AF83" s="2132"/>
      <c r="AG83" s="2132"/>
      <c r="AH83" s="2132"/>
      <c r="AI83" s="2207"/>
      <c r="AJ83" s="2132"/>
      <c r="AK83" s="2132"/>
      <c r="AL83" s="2132"/>
      <c r="AN83" s="2132"/>
      <c r="AO83" s="2132"/>
      <c r="AP83" s="2132"/>
      <c r="AR83" s="2132"/>
      <c r="AS83" s="2132"/>
      <c r="AT83" s="2132"/>
      <c r="AV83" s="2132"/>
      <c r="AW83" s="2132"/>
      <c r="AX83" s="2132"/>
      <c r="AZ83" s="2132"/>
      <c r="BA83" s="2132"/>
      <c r="BB83" s="2132"/>
      <c r="BD83" s="2132"/>
      <c r="BE83" s="2132"/>
      <c r="BF83" s="2132"/>
    </row>
    <row r="84" spans="1:58" s="1" customFormat="1" ht="18.75" customHeight="1">
      <c r="A84" s="157"/>
      <c r="B84" s="3016" t="s">
        <v>67</v>
      </c>
      <c r="C84" s="5317"/>
      <c r="D84" s="2157">
        <f>SUM(D82,D66,D53,D35,D22)</f>
        <v>906</v>
      </c>
      <c r="E84" s="2158">
        <f>SUM(E22,E35,E53,E66,E82)</f>
        <v>2575</v>
      </c>
      <c r="F84" s="2247">
        <f t="shared" si="19"/>
        <v>0.35184466019417476</v>
      </c>
      <c r="G84" s="2207"/>
      <c r="H84" s="2157">
        <v>914</v>
      </c>
      <c r="I84" s="2158">
        <f>SUM(I22,I35,I53,I66,I82)</f>
        <v>2623</v>
      </c>
      <c r="J84" s="2247">
        <f t="shared" si="20"/>
        <v>0.34845596645062904</v>
      </c>
      <c r="K84" s="2207"/>
      <c r="L84" s="2157">
        <v>941</v>
      </c>
      <c r="M84" s="2158">
        <f>SUM(M22,M35,M53,M66,M82)</f>
        <v>2663</v>
      </c>
      <c r="N84" s="2247">
        <f t="shared" si="21"/>
        <v>0.35336087119789711</v>
      </c>
      <c r="O84" s="2207"/>
      <c r="P84" s="2157">
        <v>1061</v>
      </c>
      <c r="Q84" s="2158">
        <f>SUM(Q22,Q35,Q53,Q66,Q82)</f>
        <v>2705</v>
      </c>
      <c r="R84" s="2247">
        <f t="shared" si="22"/>
        <v>0.3922365988909427</v>
      </c>
      <c r="S84" s="2207"/>
      <c r="T84" s="2157">
        <v>1084</v>
      </c>
      <c r="U84" s="2158">
        <f>SUM(U22,U35,U53,U66,U82)</f>
        <v>2759</v>
      </c>
      <c r="V84" s="2247">
        <f t="shared" si="23"/>
        <v>0.39289597680318955</v>
      </c>
      <c r="W84" s="2207"/>
      <c r="X84" s="2157">
        <f>SUM(X22,X35,X53,X66,X82)</f>
        <v>1110</v>
      </c>
      <c r="Y84" s="2158">
        <f>SUM(Y22,Y35,Y53,Y66,Y82)</f>
        <v>2743</v>
      </c>
      <c r="Z84" s="2247">
        <f t="shared" si="24"/>
        <v>0.40466642362376959</v>
      </c>
      <c r="AA84" s="2207"/>
      <c r="AB84" s="2157">
        <f>SUM(AB22,AB35,AB53,AB66,AB82)</f>
        <v>1170</v>
      </c>
      <c r="AC84" s="2158">
        <f>SUM(AC82,AC66,AC53,AC35,AC22)</f>
        <v>2732</v>
      </c>
      <c r="AD84" s="2247">
        <f t="shared" si="18"/>
        <v>0.42825768667642755</v>
      </c>
      <c r="AE84" s="2207"/>
      <c r="AF84" s="2157">
        <f>SUM(AF22,AF35,AF53,AF66,AF82)</f>
        <v>1163</v>
      </c>
      <c r="AG84" s="2158">
        <f>SUM(AG82,AG66,AG53,AG35,AG22)</f>
        <v>2754</v>
      </c>
      <c r="AH84" s="2247">
        <f t="shared" si="25"/>
        <v>0.42229484386347133</v>
      </c>
      <c r="AI84" s="2207"/>
      <c r="AJ84" s="2157">
        <f>SUM(AJ22,AJ35,AJ53,AJ66,AJ82)</f>
        <v>1135</v>
      </c>
      <c r="AK84" s="2158">
        <f>SUM(AK22,AK35,AK53,AK66,AK82)</f>
        <v>2776</v>
      </c>
      <c r="AL84" s="2247">
        <f t="shared" si="26"/>
        <v>0.40886167146974062</v>
      </c>
      <c r="AN84" s="2157">
        <v>1156</v>
      </c>
      <c r="AO84" s="2158">
        <f>SUM(AO22,AO35,AO53,AO66,AO82)</f>
        <v>2743</v>
      </c>
      <c r="AP84" s="2247">
        <f>AN84/AO84</f>
        <v>0.4214363835216916</v>
      </c>
      <c r="AR84" s="2157">
        <v>1164</v>
      </c>
      <c r="AS84" s="2158">
        <f>SUM(AS22,AS35,AS53,AS66,AS82)</f>
        <v>2709</v>
      </c>
      <c r="AT84" s="2247">
        <f>AR84/AS84</f>
        <v>0.42967884828349945</v>
      </c>
      <c r="AV84" s="2158">
        <f t="shared" ref="AV84:AW84" si="30">SUM(AV22,AV35,AV53,AV66,AV82)</f>
        <v>1191</v>
      </c>
      <c r="AW84" s="2158">
        <f t="shared" si="30"/>
        <v>2660</v>
      </c>
      <c r="AX84" s="2247">
        <f>AV84/AW84</f>
        <v>0.44774436090225561</v>
      </c>
      <c r="AZ84" s="2158">
        <f t="shared" ref="AZ84:BA84" si="31">SUM(AZ22,AZ35,AZ53,AZ66,AZ82)</f>
        <v>1253</v>
      </c>
      <c r="BA84" s="2158">
        <f t="shared" si="31"/>
        <v>2613</v>
      </c>
      <c r="BB84" s="2247">
        <f>AZ84/BA84</f>
        <v>0.4795254496747034</v>
      </c>
      <c r="BD84" s="2158">
        <f t="shared" ref="BD84:BE84" si="32">SUM(BD22,BD35,BD53,BD66,BD82)</f>
        <v>1265</v>
      </c>
      <c r="BE84" s="2158">
        <f t="shared" si="32"/>
        <v>2600</v>
      </c>
      <c r="BF84" s="2247">
        <f>BD84/BE84</f>
        <v>0.48653846153846153</v>
      </c>
    </row>
    <row r="85" spans="1:58">
      <c r="G85" s="2207"/>
    </row>
    <row r="86" spans="1:58">
      <c r="G86" s="2207"/>
    </row>
  </sheetData>
  <mergeCells count="15">
    <mergeCell ref="AR1:BF1"/>
    <mergeCell ref="BD3:BF3"/>
    <mergeCell ref="AZ3:BB3"/>
    <mergeCell ref="AV3:AX3"/>
    <mergeCell ref="AR3:AT3"/>
    <mergeCell ref="AN3:AP3"/>
    <mergeCell ref="D3:F3"/>
    <mergeCell ref="H3:J3"/>
    <mergeCell ref="L3:N3"/>
    <mergeCell ref="P3:R3"/>
    <mergeCell ref="AJ3:AL3"/>
    <mergeCell ref="AF3:AH3"/>
    <mergeCell ref="AB3:AD3"/>
    <mergeCell ref="X3:Z3"/>
    <mergeCell ref="T3:V3"/>
  </mergeCells>
  <printOptions horizontalCentered="1" verticalCentered="1"/>
  <pageMargins left="0.70866141732283472" right="0.70866141732283472" top="0.74803149606299213" bottom="0.74803149606299213" header="0.31496062992125984" footer="0.31496062992125984"/>
  <pageSetup scale="55" firstPageNumber="30" orientation="landscape" useFirstPageNumber="1" r:id="rId1"/>
  <headerFooter scaleWithDoc="0" alignWithMargins="0">
    <oddFooter>&amp;R&amp;P</oddFooter>
  </headerFooter>
  <rowBreaks count="1" manualBreakCount="1">
    <brk id="53" min="39" max="57" man="1"/>
  </rowBreaks>
  <ignoredErrors>
    <ignoredError sqref="V84 AH81 V17:V18 V5:V16 V20:V82" formula="1"/>
    <ignoredError sqref="Y84 Y81:Y82" formulaRange="1"/>
    <ignoredError sqref="Z84 AJ81 Z81:Z82" formula="1"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D119"/>
  <sheetViews>
    <sheetView showGridLines="0" zoomScaleNormal="100" zoomScaleSheetLayoutView="70" workbookViewId="0">
      <pane xSplit="2" ySplit="4" topLeftCell="I5" activePane="bottomRight" state="frozen"/>
      <selection activeCell="O12" sqref="O12"/>
      <selection pane="topRight" activeCell="O12" sqref="O12"/>
      <selection pane="bottomLeft" activeCell="O12" sqref="O12"/>
      <selection pane="bottomRight" activeCell="AD59" sqref="AD59"/>
    </sheetView>
  </sheetViews>
  <sheetFormatPr baseColWidth="10" defaultColWidth="11.44140625" defaultRowHeight="13.2"/>
  <cols>
    <col min="1" max="1" width="2.6640625" style="262" customWidth="1"/>
    <col min="2" max="2" width="45.33203125" style="43" bestFit="1" customWidth="1"/>
    <col min="3" max="3" width="1.6640625" style="43" customWidth="1"/>
    <col min="4" max="6" width="9.6640625" style="43" customWidth="1"/>
    <col min="7" max="7" width="1.6640625" style="43" customWidth="1"/>
    <col min="8" max="8" width="8.6640625" style="43" customWidth="1"/>
    <col min="9" max="9" width="10.44140625" style="43" customWidth="1"/>
    <col min="10" max="10" width="9.6640625" style="43" customWidth="1"/>
    <col min="11" max="11" width="1.6640625" style="43" customWidth="1"/>
    <col min="12" max="12" width="8.6640625" style="43" customWidth="1"/>
    <col min="13" max="14" width="9.6640625" style="43" customWidth="1"/>
    <col min="15" max="15" width="1.6640625" style="43" customWidth="1"/>
    <col min="16" max="17" width="8.6640625" style="43" customWidth="1"/>
    <col min="18" max="18" width="9.6640625" style="43" customWidth="1"/>
    <col min="19" max="19" width="1.6640625" style="43" customWidth="1"/>
    <col min="20" max="20" width="8.6640625" style="43" customWidth="1"/>
    <col min="21" max="21" width="11.44140625" style="43"/>
    <col min="22" max="22" width="9.6640625" style="43" customWidth="1"/>
    <col min="23" max="23" width="1.6640625" style="43" customWidth="1"/>
    <col min="24" max="26" width="11.44140625" style="43"/>
    <col min="27" max="27" width="1.6640625" style="43" customWidth="1"/>
    <col min="28" max="16384" width="11.44140625" style="43"/>
  </cols>
  <sheetData>
    <row r="1" spans="1:30" ht="15.6">
      <c r="L1" s="7317" t="s">
        <v>2450</v>
      </c>
      <c r="M1" s="7317"/>
      <c r="N1" s="7317"/>
      <c r="O1" s="7317"/>
      <c r="P1" s="7317"/>
      <c r="Q1" s="7317"/>
      <c r="R1" s="7317"/>
      <c r="S1" s="7317"/>
      <c r="T1" s="7317"/>
      <c r="U1" s="7317"/>
      <c r="V1" s="7317"/>
      <c r="W1" s="7317"/>
      <c r="X1" s="7317"/>
      <c r="Y1" s="7317"/>
      <c r="Z1" s="7317"/>
      <c r="AA1" s="7317"/>
      <c r="AB1" s="7317"/>
      <c r="AC1" s="7317"/>
      <c r="AD1" s="7317"/>
    </row>
    <row r="2" spans="1:30" ht="15.6">
      <c r="L2" s="6497"/>
      <c r="M2" s="6497"/>
      <c r="N2" s="6497"/>
      <c r="O2" s="6497"/>
      <c r="P2" s="6497"/>
      <c r="Q2" s="6497"/>
      <c r="R2" s="6497"/>
      <c r="S2" s="6497"/>
      <c r="T2" s="6497"/>
      <c r="U2" s="6497"/>
      <c r="V2" s="6497"/>
      <c r="W2" s="6497"/>
      <c r="X2" s="6497"/>
      <c r="Y2" s="6497"/>
      <c r="Z2" s="6497"/>
      <c r="AA2" s="6497"/>
      <c r="AB2" s="6497"/>
      <c r="AC2" s="6497"/>
      <c r="AD2" s="6497"/>
    </row>
    <row r="3" spans="1:30" s="5911" customFormat="1" ht="15.6">
      <c r="A3" s="5910"/>
      <c r="C3" s="43"/>
      <c r="D3" s="7316">
        <v>2017</v>
      </c>
      <c r="E3" s="7316"/>
      <c r="F3" s="7316"/>
      <c r="H3" s="7316">
        <v>2018</v>
      </c>
      <c r="I3" s="7316"/>
      <c r="J3" s="7316"/>
      <c r="L3" s="7316">
        <v>2019</v>
      </c>
      <c r="M3" s="7316"/>
      <c r="N3" s="7316"/>
      <c r="P3" s="7316">
        <v>2020</v>
      </c>
      <c r="Q3" s="7316"/>
      <c r="R3" s="7316"/>
      <c r="T3" s="7316">
        <v>2021</v>
      </c>
      <c r="U3" s="7316"/>
      <c r="V3" s="7316"/>
      <c r="X3" s="7316">
        <v>2022</v>
      </c>
      <c r="Y3" s="7316"/>
      <c r="Z3" s="7316"/>
      <c r="AB3" s="7316">
        <v>2023</v>
      </c>
      <c r="AC3" s="7316"/>
      <c r="AD3" s="7316"/>
    </row>
    <row r="4" spans="1:30" ht="55.8" thickBot="1">
      <c r="B4" s="1988" t="s">
        <v>2383</v>
      </c>
      <c r="D4" s="2160" t="s">
        <v>83</v>
      </c>
      <c r="E4" s="2159" t="s">
        <v>943</v>
      </c>
      <c r="F4" s="2139" t="s">
        <v>76</v>
      </c>
      <c r="H4" s="2160" t="s">
        <v>83</v>
      </c>
      <c r="I4" s="2159" t="s">
        <v>943</v>
      </c>
      <c r="J4" s="2139" t="s">
        <v>76</v>
      </c>
      <c r="L4" s="2160" t="s">
        <v>83</v>
      </c>
      <c r="M4" s="2159" t="s">
        <v>943</v>
      </c>
      <c r="N4" s="2139" t="s">
        <v>76</v>
      </c>
      <c r="P4" s="2160" t="s">
        <v>83</v>
      </c>
      <c r="Q4" s="2159" t="s">
        <v>943</v>
      </c>
      <c r="R4" s="2139" t="s">
        <v>76</v>
      </c>
      <c r="T4" s="2160" t="s">
        <v>83</v>
      </c>
      <c r="U4" s="2159" t="s">
        <v>943</v>
      </c>
      <c r="V4" s="2139" t="s">
        <v>76</v>
      </c>
      <c r="X4" s="2160" t="s">
        <v>83</v>
      </c>
      <c r="Y4" s="2159" t="s">
        <v>943</v>
      </c>
      <c r="Z4" s="2139" t="s">
        <v>76</v>
      </c>
      <c r="AB4" s="2160" t="s">
        <v>83</v>
      </c>
      <c r="AC4" s="2159" t="s">
        <v>943</v>
      </c>
      <c r="AD4" s="2139" t="s">
        <v>76</v>
      </c>
    </row>
    <row r="5" spans="1:30" ht="14.4">
      <c r="B5" s="2999" t="s">
        <v>956</v>
      </c>
      <c r="D5" s="2217">
        <v>50</v>
      </c>
      <c r="E5" s="2217">
        <v>100</v>
      </c>
      <c r="F5" s="2218">
        <f>D5/E5</f>
        <v>0.5</v>
      </c>
      <c r="H5" s="2217">
        <v>49</v>
      </c>
      <c r="I5" s="2217">
        <v>101</v>
      </c>
      <c r="J5" s="2218">
        <f>H5/I5</f>
        <v>0.48514851485148514</v>
      </c>
      <c r="L5" s="2217">
        <v>49</v>
      </c>
      <c r="M5" s="2217">
        <v>104</v>
      </c>
      <c r="N5" s="2218">
        <f>L5/M5</f>
        <v>0.47115384615384615</v>
      </c>
      <c r="P5" s="2217">
        <v>52</v>
      </c>
      <c r="Q5" s="2217">
        <v>106</v>
      </c>
      <c r="R5" s="2218">
        <f>P5/Q5</f>
        <v>0.49056603773584906</v>
      </c>
      <c r="T5" s="2225">
        <v>55</v>
      </c>
      <c r="U5" s="2217">
        <v>108</v>
      </c>
      <c r="V5" s="2218">
        <f>T5/U5</f>
        <v>0.5092592592592593</v>
      </c>
      <c r="X5" s="2225">
        <v>55</v>
      </c>
      <c r="Y5" s="2217">
        <v>108</v>
      </c>
      <c r="Z5" s="2218">
        <f>X5/Y5</f>
        <v>0.5092592592592593</v>
      </c>
      <c r="AB5" s="2225">
        <v>59</v>
      </c>
      <c r="AC5" s="2217">
        <v>105</v>
      </c>
      <c r="AD5" s="2218">
        <f>AB5/AC5</f>
        <v>0.56190476190476191</v>
      </c>
    </row>
    <row r="6" spans="1:30" ht="14.4">
      <c r="B6" s="3007" t="s">
        <v>957</v>
      </c>
      <c r="D6" s="1053">
        <v>9</v>
      </c>
      <c r="E6" s="1053">
        <v>21</v>
      </c>
      <c r="F6" s="2209">
        <f t="shared" ref="F6:F60" si="0">D6/E6</f>
        <v>0.42857142857142855</v>
      </c>
      <c r="H6" s="1053">
        <v>8</v>
      </c>
      <c r="I6" s="1053">
        <v>21</v>
      </c>
      <c r="J6" s="2209">
        <f t="shared" ref="J6:J60" si="1">H6/I6</f>
        <v>0.38095238095238093</v>
      </c>
      <c r="L6" s="1053">
        <v>7</v>
      </c>
      <c r="M6" s="1053">
        <v>20</v>
      </c>
      <c r="N6" s="2209">
        <f t="shared" ref="N6:N65" si="2">L6/M6</f>
        <v>0.35</v>
      </c>
      <c r="P6" s="1053">
        <v>7</v>
      </c>
      <c r="Q6" s="1053">
        <v>19</v>
      </c>
      <c r="R6" s="2209">
        <f t="shared" ref="R6:R60" si="3">P6/Q6</f>
        <v>0.36842105263157893</v>
      </c>
      <c r="T6" s="1138">
        <v>7</v>
      </c>
      <c r="U6" s="1053">
        <v>19</v>
      </c>
      <c r="V6" s="2209">
        <f t="shared" ref="V6:V18" si="4">T6/U6</f>
        <v>0.36842105263157893</v>
      </c>
      <c r="X6" s="1138">
        <v>8</v>
      </c>
      <c r="Y6" s="1053">
        <v>18</v>
      </c>
      <c r="Z6" s="2209">
        <f t="shared" ref="Z6:Z18" si="5">X6/Y6</f>
        <v>0.44444444444444442</v>
      </c>
      <c r="AB6" s="1138">
        <v>10</v>
      </c>
      <c r="AC6" s="1053">
        <v>17</v>
      </c>
      <c r="AD6" s="2209">
        <f t="shared" ref="AD6:AD18" si="6">AB6/AC6</f>
        <v>0.58823529411764708</v>
      </c>
    </row>
    <row r="7" spans="1:30" ht="14.4">
      <c r="B7" s="3007" t="s">
        <v>958</v>
      </c>
      <c r="D7" s="1053">
        <v>26</v>
      </c>
      <c r="E7" s="1053">
        <v>38</v>
      </c>
      <c r="F7" s="2209">
        <f t="shared" si="0"/>
        <v>0.68421052631578949</v>
      </c>
      <c r="H7" s="1053">
        <v>22</v>
      </c>
      <c r="I7" s="1053">
        <v>41</v>
      </c>
      <c r="J7" s="2209">
        <f t="shared" si="1"/>
        <v>0.53658536585365857</v>
      </c>
      <c r="L7" s="1053">
        <v>21</v>
      </c>
      <c r="M7" s="1053">
        <v>44</v>
      </c>
      <c r="N7" s="2209">
        <f t="shared" si="2"/>
        <v>0.47727272727272729</v>
      </c>
      <c r="P7" s="1053">
        <v>22</v>
      </c>
      <c r="Q7" s="1053">
        <v>43</v>
      </c>
      <c r="R7" s="2209">
        <f t="shared" si="3"/>
        <v>0.51162790697674421</v>
      </c>
      <c r="T7" s="1138">
        <v>22</v>
      </c>
      <c r="U7" s="1053">
        <v>44</v>
      </c>
      <c r="V7" s="2209">
        <f t="shared" si="4"/>
        <v>0.5</v>
      </c>
      <c r="X7" s="1138">
        <v>24</v>
      </c>
      <c r="Y7" s="1053">
        <v>44</v>
      </c>
      <c r="Z7" s="2209">
        <f t="shared" si="5"/>
        <v>0.54545454545454541</v>
      </c>
      <c r="AB7" s="1138">
        <v>26</v>
      </c>
      <c r="AC7" s="1053">
        <v>46</v>
      </c>
      <c r="AD7" s="2209">
        <f t="shared" si="6"/>
        <v>0.56521739130434778</v>
      </c>
    </row>
    <row r="8" spans="1:30" ht="14.4">
      <c r="B8" s="3007" t="s">
        <v>959</v>
      </c>
      <c r="D8" s="1053">
        <v>19</v>
      </c>
      <c r="E8" s="1053">
        <v>33</v>
      </c>
      <c r="F8" s="2209">
        <f t="shared" si="0"/>
        <v>0.5757575757575758</v>
      </c>
      <c r="H8" s="1053">
        <v>19</v>
      </c>
      <c r="I8" s="1053">
        <v>34</v>
      </c>
      <c r="J8" s="2209">
        <f t="shared" si="1"/>
        <v>0.55882352941176472</v>
      </c>
      <c r="L8" s="1053">
        <v>22</v>
      </c>
      <c r="M8" s="1053">
        <v>36</v>
      </c>
      <c r="N8" s="2209">
        <f t="shared" si="2"/>
        <v>0.61111111111111116</v>
      </c>
      <c r="P8" s="1053">
        <v>22</v>
      </c>
      <c r="Q8" s="1053">
        <v>36</v>
      </c>
      <c r="R8" s="2209">
        <f t="shared" si="3"/>
        <v>0.61111111111111116</v>
      </c>
      <c r="T8" s="1138">
        <v>21</v>
      </c>
      <c r="U8" s="1053">
        <v>38</v>
      </c>
      <c r="V8" s="2209">
        <f t="shared" si="4"/>
        <v>0.55263157894736847</v>
      </c>
      <c r="X8" s="1138">
        <v>21</v>
      </c>
      <c r="Y8" s="1053">
        <v>37</v>
      </c>
      <c r="Z8" s="2209">
        <f t="shared" si="5"/>
        <v>0.56756756756756754</v>
      </c>
      <c r="AB8" s="1138">
        <v>22</v>
      </c>
      <c r="AC8" s="1053">
        <v>35</v>
      </c>
      <c r="AD8" s="2209">
        <f t="shared" si="6"/>
        <v>0.62857142857142856</v>
      </c>
    </row>
    <row r="9" spans="1:30" ht="15" thickBot="1">
      <c r="B9" s="3017" t="s">
        <v>960</v>
      </c>
      <c r="D9" s="1053">
        <v>16</v>
      </c>
      <c r="E9" s="1053">
        <v>30</v>
      </c>
      <c r="F9" s="2209">
        <f t="shared" si="0"/>
        <v>0.53333333333333333</v>
      </c>
      <c r="H9" s="1053">
        <v>15</v>
      </c>
      <c r="I9" s="1053">
        <v>32</v>
      </c>
      <c r="J9" s="2209">
        <f t="shared" si="1"/>
        <v>0.46875</v>
      </c>
      <c r="L9" s="1053">
        <v>18</v>
      </c>
      <c r="M9" s="1053">
        <v>36</v>
      </c>
      <c r="N9" s="2209">
        <f t="shared" si="2"/>
        <v>0.5</v>
      </c>
      <c r="P9" s="1053">
        <v>19</v>
      </c>
      <c r="Q9" s="1053">
        <v>38</v>
      </c>
      <c r="R9" s="2209">
        <f t="shared" si="3"/>
        <v>0.5</v>
      </c>
      <c r="T9" s="1138">
        <v>20</v>
      </c>
      <c r="U9" s="1053">
        <v>38</v>
      </c>
      <c r="V9" s="2209">
        <f t="shared" si="4"/>
        <v>0.52631578947368418</v>
      </c>
      <c r="X9" s="1138">
        <v>22</v>
      </c>
      <c r="Y9" s="1053">
        <v>36</v>
      </c>
      <c r="Z9" s="2209">
        <f t="shared" si="5"/>
        <v>0.61111111111111116</v>
      </c>
      <c r="AB9" s="1138">
        <v>22</v>
      </c>
      <c r="AC9" s="1053">
        <v>34</v>
      </c>
      <c r="AD9" s="2209">
        <f t="shared" si="6"/>
        <v>0.6470588235294118</v>
      </c>
    </row>
    <row r="10" spans="1:30" ht="15" thickBot="1">
      <c r="B10" s="2418" t="s">
        <v>4</v>
      </c>
      <c r="D10" s="1054">
        <v>120</v>
      </c>
      <c r="E10" s="1054">
        <f>SUM(E5:E9)</f>
        <v>222</v>
      </c>
      <c r="F10" s="2210">
        <f t="shared" si="0"/>
        <v>0.54054054054054057</v>
      </c>
      <c r="H10" s="1054">
        <v>113</v>
      </c>
      <c r="I10" s="1054">
        <v>229</v>
      </c>
      <c r="J10" s="2210">
        <f t="shared" si="1"/>
        <v>0.49344978165938863</v>
      </c>
      <c r="L10" s="1054">
        <v>117</v>
      </c>
      <c r="M10" s="1054">
        <v>240</v>
      </c>
      <c r="N10" s="2210">
        <f t="shared" si="2"/>
        <v>0.48749999999999999</v>
      </c>
      <c r="P10" s="1054">
        <v>122</v>
      </c>
      <c r="Q10" s="1054">
        <f>SUM(Q5:Q9)</f>
        <v>242</v>
      </c>
      <c r="R10" s="2210">
        <f t="shared" si="3"/>
        <v>0.50413223140495866</v>
      </c>
      <c r="T10" s="1140">
        <f>SUM(T5:T9)</f>
        <v>125</v>
      </c>
      <c r="U10" s="1054">
        <v>247</v>
      </c>
      <c r="V10" s="2210">
        <f t="shared" si="4"/>
        <v>0.50607287449392713</v>
      </c>
      <c r="X10" s="1140">
        <v>130</v>
      </c>
      <c r="Y10" s="1054">
        <v>243</v>
      </c>
      <c r="Z10" s="2210">
        <f t="shared" si="5"/>
        <v>0.53497942386831276</v>
      </c>
      <c r="AB10" s="1140">
        <v>139</v>
      </c>
      <c r="AC10" s="1054">
        <v>237</v>
      </c>
      <c r="AD10" s="2210">
        <f t="shared" si="6"/>
        <v>0.5864978902953587</v>
      </c>
    </row>
    <row r="11" spans="1:30" ht="14.4">
      <c r="B11" s="3002" t="s">
        <v>961</v>
      </c>
      <c r="D11" s="1053">
        <v>12</v>
      </c>
      <c r="E11" s="1053">
        <v>27</v>
      </c>
      <c r="F11" s="2209">
        <f t="shared" si="0"/>
        <v>0.44444444444444442</v>
      </c>
      <c r="H11" s="1053">
        <v>13</v>
      </c>
      <c r="I11" s="1053">
        <v>29</v>
      </c>
      <c r="J11" s="2209">
        <f t="shared" si="1"/>
        <v>0.44827586206896552</v>
      </c>
      <c r="L11" s="1053">
        <v>12</v>
      </c>
      <c r="M11" s="1053">
        <v>32</v>
      </c>
      <c r="N11" s="2209">
        <f t="shared" si="2"/>
        <v>0.375</v>
      </c>
      <c r="P11" s="1053">
        <v>13</v>
      </c>
      <c r="Q11" s="1053">
        <v>31</v>
      </c>
      <c r="R11" s="2209">
        <f t="shared" si="3"/>
        <v>0.41935483870967744</v>
      </c>
      <c r="T11" s="1138">
        <v>14</v>
      </c>
      <c r="U11" s="1053">
        <v>30</v>
      </c>
      <c r="V11" s="2209">
        <f t="shared" si="4"/>
        <v>0.46666666666666667</v>
      </c>
      <c r="X11" s="1138">
        <v>21</v>
      </c>
      <c r="Y11" s="1053">
        <v>29</v>
      </c>
      <c r="Z11" s="2209">
        <f t="shared" si="5"/>
        <v>0.72413793103448276</v>
      </c>
      <c r="AB11" s="1138">
        <v>21</v>
      </c>
      <c r="AC11" s="1053">
        <v>27</v>
      </c>
      <c r="AD11" s="2209">
        <f t="shared" si="6"/>
        <v>0.77777777777777779</v>
      </c>
    </row>
    <row r="12" spans="1:30" ht="14.4">
      <c r="B12" s="3007" t="s">
        <v>962</v>
      </c>
      <c r="D12" s="1055">
        <v>18</v>
      </c>
      <c r="E12" s="1055">
        <v>25</v>
      </c>
      <c r="F12" s="2209">
        <f t="shared" si="0"/>
        <v>0.72</v>
      </c>
      <c r="H12" s="1055">
        <v>16</v>
      </c>
      <c r="I12" s="1055">
        <v>25</v>
      </c>
      <c r="J12" s="2209">
        <f t="shared" si="1"/>
        <v>0.64</v>
      </c>
      <c r="L12" s="1055">
        <v>16</v>
      </c>
      <c r="M12" s="1055">
        <v>29</v>
      </c>
      <c r="N12" s="2209">
        <f t="shared" si="2"/>
        <v>0.55172413793103448</v>
      </c>
      <c r="P12" s="1055">
        <v>19</v>
      </c>
      <c r="Q12" s="1055">
        <v>28</v>
      </c>
      <c r="R12" s="2209">
        <f t="shared" si="3"/>
        <v>0.6785714285714286</v>
      </c>
      <c r="T12" s="1142">
        <v>17</v>
      </c>
      <c r="U12" s="1055">
        <v>27</v>
      </c>
      <c r="V12" s="2209">
        <f t="shared" si="4"/>
        <v>0.62962962962962965</v>
      </c>
      <c r="X12" s="1142">
        <v>17</v>
      </c>
      <c r="Y12" s="1055">
        <v>29</v>
      </c>
      <c r="Z12" s="2209">
        <f t="shared" si="5"/>
        <v>0.58620689655172409</v>
      </c>
      <c r="AB12" s="1142">
        <v>15</v>
      </c>
      <c r="AC12" s="1055">
        <v>28</v>
      </c>
      <c r="AD12" s="2209">
        <f t="shared" si="6"/>
        <v>0.5357142857142857</v>
      </c>
    </row>
    <row r="13" spans="1:30" ht="14.4">
      <c r="B13" s="3007" t="s">
        <v>963</v>
      </c>
      <c r="D13" s="1055">
        <v>27</v>
      </c>
      <c r="E13" s="1055">
        <v>41</v>
      </c>
      <c r="F13" s="2209">
        <f t="shared" si="0"/>
        <v>0.65853658536585369</v>
      </c>
      <c r="H13" s="1055">
        <v>28</v>
      </c>
      <c r="I13" s="1055">
        <v>43</v>
      </c>
      <c r="J13" s="2209">
        <f t="shared" si="1"/>
        <v>0.65116279069767447</v>
      </c>
      <c r="L13" s="1055">
        <v>27</v>
      </c>
      <c r="M13" s="1055">
        <v>42</v>
      </c>
      <c r="N13" s="2209">
        <f t="shared" si="2"/>
        <v>0.6428571428571429</v>
      </c>
      <c r="P13" s="1055">
        <v>26</v>
      </c>
      <c r="Q13" s="1055">
        <v>39</v>
      </c>
      <c r="R13" s="2209">
        <f t="shared" si="3"/>
        <v>0.66666666666666663</v>
      </c>
      <c r="T13" s="1142">
        <v>25</v>
      </c>
      <c r="U13" s="1055">
        <v>43</v>
      </c>
      <c r="V13" s="2209">
        <f t="shared" si="4"/>
        <v>0.58139534883720934</v>
      </c>
      <c r="X13" s="1142">
        <v>25</v>
      </c>
      <c r="Y13" s="1055">
        <v>41</v>
      </c>
      <c r="Z13" s="2209">
        <f t="shared" si="5"/>
        <v>0.6097560975609756</v>
      </c>
      <c r="AB13" s="1142">
        <v>26</v>
      </c>
      <c r="AC13" s="1055">
        <v>38</v>
      </c>
      <c r="AD13" s="2209">
        <f t="shared" si="6"/>
        <v>0.68421052631578949</v>
      </c>
    </row>
    <row r="14" spans="1:30" ht="14.4">
      <c r="B14" s="3007" t="s">
        <v>695</v>
      </c>
      <c r="D14" s="1053">
        <v>16</v>
      </c>
      <c r="E14" s="1053">
        <v>30</v>
      </c>
      <c r="F14" s="2209">
        <f t="shared" si="0"/>
        <v>0.53333333333333333</v>
      </c>
      <c r="H14" s="1053">
        <v>20</v>
      </c>
      <c r="I14" s="1053">
        <v>31</v>
      </c>
      <c r="J14" s="2209">
        <f t="shared" si="1"/>
        <v>0.64516129032258063</v>
      </c>
      <c r="L14" s="1053">
        <v>18</v>
      </c>
      <c r="M14" s="1053">
        <v>31</v>
      </c>
      <c r="N14" s="2209">
        <f t="shared" si="2"/>
        <v>0.58064516129032262</v>
      </c>
      <c r="P14" s="1053">
        <v>18</v>
      </c>
      <c r="Q14" s="1053">
        <v>31</v>
      </c>
      <c r="R14" s="2209">
        <f t="shared" si="3"/>
        <v>0.58064516129032262</v>
      </c>
      <c r="T14" s="1138">
        <v>19</v>
      </c>
      <c r="U14" s="1053">
        <v>34</v>
      </c>
      <c r="V14" s="2209">
        <f t="shared" si="4"/>
        <v>0.55882352941176472</v>
      </c>
      <c r="X14" s="1138">
        <v>24</v>
      </c>
      <c r="Y14" s="1053">
        <v>32</v>
      </c>
      <c r="Z14" s="2209">
        <f t="shared" si="5"/>
        <v>0.75</v>
      </c>
      <c r="AB14" s="1138">
        <v>22</v>
      </c>
      <c r="AC14" s="1053">
        <v>31</v>
      </c>
      <c r="AD14" s="2209">
        <f t="shared" si="6"/>
        <v>0.70967741935483875</v>
      </c>
    </row>
    <row r="15" spans="1:30" ht="15" thickBot="1">
      <c r="B15" s="3008" t="s">
        <v>964</v>
      </c>
      <c r="D15" s="1055">
        <v>45</v>
      </c>
      <c r="E15" s="1055">
        <v>56</v>
      </c>
      <c r="F15" s="2209">
        <f t="shared" si="0"/>
        <v>0.8035714285714286</v>
      </c>
      <c r="H15" s="1055">
        <v>40</v>
      </c>
      <c r="I15" s="1055">
        <v>59</v>
      </c>
      <c r="J15" s="2209">
        <f t="shared" si="1"/>
        <v>0.67796610169491522</v>
      </c>
      <c r="L15" s="1055">
        <v>39</v>
      </c>
      <c r="M15" s="1055">
        <v>54</v>
      </c>
      <c r="N15" s="2209">
        <f t="shared" si="2"/>
        <v>0.72222222222222221</v>
      </c>
      <c r="P15" s="1055">
        <v>39</v>
      </c>
      <c r="Q15" s="1055">
        <v>55</v>
      </c>
      <c r="R15" s="2209">
        <f t="shared" si="3"/>
        <v>0.70909090909090911</v>
      </c>
      <c r="T15" s="1142">
        <v>39</v>
      </c>
      <c r="U15" s="1055">
        <v>56</v>
      </c>
      <c r="V15" s="2209">
        <f t="shared" si="4"/>
        <v>0.6964285714285714</v>
      </c>
      <c r="X15" s="1142">
        <v>39</v>
      </c>
      <c r="Y15" s="1055">
        <v>54</v>
      </c>
      <c r="Z15" s="2209">
        <f t="shared" si="5"/>
        <v>0.72222222222222221</v>
      </c>
      <c r="AB15" s="1142">
        <v>41</v>
      </c>
      <c r="AC15" s="1055">
        <v>55</v>
      </c>
      <c r="AD15" s="2209">
        <f t="shared" si="6"/>
        <v>0.74545454545454548</v>
      </c>
    </row>
    <row r="16" spans="1:30" ht="15" thickBot="1">
      <c r="B16" s="2418" t="s">
        <v>16</v>
      </c>
      <c r="D16" s="1054">
        <v>118</v>
      </c>
      <c r="E16" s="1054">
        <f>SUM(E11:E15)</f>
        <v>179</v>
      </c>
      <c r="F16" s="2210">
        <f t="shared" si="0"/>
        <v>0.65921787709497204</v>
      </c>
      <c r="H16" s="1054">
        <v>117</v>
      </c>
      <c r="I16" s="1054">
        <v>187</v>
      </c>
      <c r="J16" s="2210">
        <f t="shared" si="1"/>
        <v>0.62566844919786091</v>
      </c>
      <c r="L16" s="1054">
        <v>112</v>
      </c>
      <c r="M16" s="1054">
        <v>188</v>
      </c>
      <c r="N16" s="2210">
        <f t="shared" si="2"/>
        <v>0.5957446808510638</v>
      </c>
      <c r="P16" s="1054">
        <v>115</v>
      </c>
      <c r="Q16" s="1054">
        <f>SUM(Q11:Q15)</f>
        <v>184</v>
      </c>
      <c r="R16" s="2210">
        <f t="shared" si="3"/>
        <v>0.625</v>
      </c>
      <c r="T16" s="1140">
        <f>SUM(T11:T15)</f>
        <v>114</v>
      </c>
      <c r="U16" s="1054">
        <f>SUM(U11:U15)</f>
        <v>190</v>
      </c>
      <c r="V16" s="2210">
        <f t="shared" si="4"/>
        <v>0.6</v>
      </c>
      <c r="X16" s="1140">
        <v>126</v>
      </c>
      <c r="Y16" s="1054">
        <v>185</v>
      </c>
      <c r="Z16" s="2210">
        <f t="shared" si="5"/>
        <v>0.68108108108108112</v>
      </c>
      <c r="AB16" s="1140">
        <v>125</v>
      </c>
      <c r="AC16" s="1054">
        <v>179</v>
      </c>
      <c r="AD16" s="2210">
        <f t="shared" si="6"/>
        <v>0.6983240223463687</v>
      </c>
    </row>
    <row r="17" spans="2:30" ht="14.4">
      <c r="B17" s="3018" t="s">
        <v>1412</v>
      </c>
      <c r="D17" s="1053">
        <v>3</v>
      </c>
      <c r="E17" s="1053">
        <v>19</v>
      </c>
      <c r="F17" s="2209">
        <f t="shared" si="0"/>
        <v>0.15789473684210525</v>
      </c>
      <c r="H17" s="1053">
        <v>2</v>
      </c>
      <c r="I17" s="1053">
        <v>19</v>
      </c>
      <c r="J17" s="2209">
        <f t="shared" si="1"/>
        <v>0.10526315789473684</v>
      </c>
      <c r="L17" s="1053">
        <v>3</v>
      </c>
      <c r="M17" s="1053">
        <v>23</v>
      </c>
      <c r="N17" s="2209">
        <f t="shared" si="2"/>
        <v>0.13043478260869565</v>
      </c>
      <c r="P17" s="1053">
        <v>6</v>
      </c>
      <c r="Q17" s="1053">
        <v>22</v>
      </c>
      <c r="R17" s="2209">
        <f t="shared" si="3"/>
        <v>0.27272727272727271</v>
      </c>
      <c r="T17" s="1138">
        <v>7</v>
      </c>
      <c r="U17" s="1053">
        <v>25</v>
      </c>
      <c r="V17" s="2209">
        <f t="shared" si="4"/>
        <v>0.28000000000000003</v>
      </c>
      <c r="X17" s="1138">
        <v>8</v>
      </c>
      <c r="Y17" s="1053">
        <v>15</v>
      </c>
      <c r="Z17" s="2209">
        <f t="shared" si="5"/>
        <v>0.53333333333333333</v>
      </c>
      <c r="AB17" s="1138">
        <v>9</v>
      </c>
      <c r="AC17" s="1053">
        <v>16</v>
      </c>
      <c r="AD17" s="2209">
        <f t="shared" si="6"/>
        <v>0.5625</v>
      </c>
    </row>
    <row r="18" spans="2:30" ht="14.4">
      <c r="B18" s="3018" t="s">
        <v>1413</v>
      </c>
      <c r="D18" s="1053">
        <v>5</v>
      </c>
      <c r="E18" s="1053">
        <v>10</v>
      </c>
      <c r="F18" s="2209">
        <f t="shared" si="0"/>
        <v>0.5</v>
      </c>
      <c r="H18" s="1053">
        <v>4</v>
      </c>
      <c r="I18" s="1053">
        <v>11</v>
      </c>
      <c r="J18" s="2209">
        <f t="shared" si="1"/>
        <v>0.36363636363636365</v>
      </c>
      <c r="L18" s="1053">
        <v>3</v>
      </c>
      <c r="M18" s="1053">
        <v>12</v>
      </c>
      <c r="N18" s="2209">
        <f t="shared" si="2"/>
        <v>0.25</v>
      </c>
      <c r="P18" s="1053">
        <v>5</v>
      </c>
      <c r="Q18" s="1053">
        <v>11</v>
      </c>
      <c r="R18" s="2209">
        <f t="shared" si="3"/>
        <v>0.45454545454545453</v>
      </c>
      <c r="T18" s="1138">
        <v>4</v>
      </c>
      <c r="U18" s="1053">
        <v>13</v>
      </c>
      <c r="V18" s="2209">
        <f t="shared" si="4"/>
        <v>0.30769230769230771</v>
      </c>
      <c r="X18" s="1138">
        <v>6</v>
      </c>
      <c r="Y18" s="1053">
        <v>28</v>
      </c>
      <c r="Z18" s="2209">
        <f t="shared" si="5"/>
        <v>0.21428571428571427</v>
      </c>
      <c r="AB18" s="1138">
        <v>4</v>
      </c>
      <c r="AC18" s="1053">
        <v>26</v>
      </c>
      <c r="AD18" s="2209">
        <f t="shared" si="6"/>
        <v>0.15384615384615385</v>
      </c>
    </row>
    <row r="19" spans="2:30" ht="14.4">
      <c r="B19" s="3018" t="s">
        <v>968</v>
      </c>
      <c r="D19" s="1053">
        <v>4</v>
      </c>
      <c r="E19" s="1053">
        <v>14</v>
      </c>
      <c r="F19" s="2209">
        <f>D19/E19</f>
        <v>0.2857142857142857</v>
      </c>
      <c r="H19" s="1053">
        <v>4</v>
      </c>
      <c r="I19" s="1053">
        <v>14</v>
      </c>
      <c r="J19" s="2209">
        <f>H19/I19</f>
        <v>0.2857142857142857</v>
      </c>
      <c r="L19" s="1053">
        <v>5</v>
      </c>
      <c r="M19" s="1053">
        <v>13</v>
      </c>
      <c r="N19" s="2209">
        <f>L19/M19</f>
        <v>0.38461538461538464</v>
      </c>
      <c r="P19" s="1053">
        <v>3</v>
      </c>
      <c r="Q19" s="1053">
        <v>13</v>
      </c>
      <c r="R19" s="2209">
        <f>P19/Q19</f>
        <v>0.23076923076923078</v>
      </c>
      <c r="T19" s="1138">
        <v>3</v>
      </c>
      <c r="U19" s="1053">
        <v>13</v>
      </c>
      <c r="V19" s="2209">
        <f>T19/U19</f>
        <v>0.23076923076923078</v>
      </c>
      <c r="X19" s="1138">
        <v>3</v>
      </c>
      <c r="Y19" s="1053">
        <v>11</v>
      </c>
      <c r="Z19" s="2209">
        <f>X19/Y19</f>
        <v>0.27272727272727271</v>
      </c>
      <c r="AB19" s="1138">
        <v>3</v>
      </c>
      <c r="AC19" s="1053">
        <v>10</v>
      </c>
      <c r="AD19" s="2209">
        <f>AB19/AC19</f>
        <v>0.3</v>
      </c>
    </row>
    <row r="20" spans="2:30" ht="15" thickBot="1">
      <c r="B20" s="3008" t="s">
        <v>1414</v>
      </c>
      <c r="D20" s="1053">
        <v>3</v>
      </c>
      <c r="E20" s="1053">
        <v>16</v>
      </c>
      <c r="F20" s="2209">
        <f t="shared" si="0"/>
        <v>0.1875</v>
      </c>
      <c r="H20" s="1053">
        <v>4</v>
      </c>
      <c r="I20" s="1053">
        <v>18</v>
      </c>
      <c r="J20" s="2209">
        <f t="shared" si="1"/>
        <v>0.22222222222222221</v>
      </c>
      <c r="L20" s="1053">
        <v>5</v>
      </c>
      <c r="M20" s="1053">
        <v>18</v>
      </c>
      <c r="N20" s="2209">
        <f t="shared" si="2"/>
        <v>0.27777777777777779</v>
      </c>
      <c r="P20" s="1053">
        <v>5</v>
      </c>
      <c r="Q20" s="1053">
        <v>18</v>
      </c>
      <c r="R20" s="2209">
        <f t="shared" si="3"/>
        <v>0.27777777777777779</v>
      </c>
      <c r="T20" s="1138">
        <v>6</v>
      </c>
      <c r="U20" s="1053">
        <v>19</v>
      </c>
      <c r="V20" s="2209">
        <f t="shared" ref="V20:V60" si="7">T20/U20</f>
        <v>0.31578947368421051</v>
      </c>
      <c r="X20" s="1138">
        <v>5</v>
      </c>
      <c r="Y20" s="1053">
        <v>19</v>
      </c>
      <c r="Z20" s="2209">
        <f t="shared" ref="Z20:Z60" si="8">X20/Y20</f>
        <v>0.26315789473684209</v>
      </c>
      <c r="AB20" s="1138">
        <v>5</v>
      </c>
      <c r="AC20" s="1053">
        <v>17</v>
      </c>
      <c r="AD20" s="2209">
        <f t="shared" ref="AD20:AD61" si="9">AB20/AC20</f>
        <v>0.29411764705882354</v>
      </c>
    </row>
    <row r="21" spans="2:30" ht="15" customHeight="1">
      <c r="B21" s="2419" t="s">
        <v>21</v>
      </c>
      <c r="D21" s="1060">
        <v>15</v>
      </c>
      <c r="E21" s="1060">
        <f>SUM(E17:E20)</f>
        <v>59</v>
      </c>
      <c r="F21" s="2210">
        <f t="shared" si="0"/>
        <v>0.25423728813559321</v>
      </c>
      <c r="H21" s="1060">
        <v>14</v>
      </c>
      <c r="I21" s="1060">
        <v>62</v>
      </c>
      <c r="J21" s="2210">
        <f t="shared" si="1"/>
        <v>0.22580645161290322</v>
      </c>
      <c r="L21" s="1060">
        <v>16</v>
      </c>
      <c r="M21" s="1060">
        <v>66</v>
      </c>
      <c r="N21" s="2210">
        <f t="shared" si="2"/>
        <v>0.24242424242424243</v>
      </c>
      <c r="P21" s="1060">
        <v>19</v>
      </c>
      <c r="Q21" s="1060">
        <f>SUM(Q17:Q20)</f>
        <v>64</v>
      </c>
      <c r="R21" s="2210">
        <f t="shared" si="3"/>
        <v>0.296875</v>
      </c>
      <c r="T21" s="1148">
        <f>SUM(T17:T20)</f>
        <v>20</v>
      </c>
      <c r="U21" s="1060">
        <f>SUM(U17:U20)</f>
        <v>70</v>
      </c>
      <c r="V21" s="2210">
        <f t="shared" si="7"/>
        <v>0.2857142857142857</v>
      </c>
      <c r="X21" s="1148">
        <v>22</v>
      </c>
      <c r="Y21" s="1060">
        <v>73</v>
      </c>
      <c r="Z21" s="2210">
        <f t="shared" si="8"/>
        <v>0.30136986301369861</v>
      </c>
      <c r="AB21" s="1148">
        <v>21</v>
      </c>
      <c r="AC21" s="1060">
        <v>69</v>
      </c>
      <c r="AD21" s="2210">
        <f t="shared" si="9"/>
        <v>0.30434782608695654</v>
      </c>
    </row>
    <row r="22" spans="2:30" ht="15" customHeight="1">
      <c r="B22" s="3005" t="s">
        <v>888</v>
      </c>
      <c r="D22" s="2219">
        <v>253</v>
      </c>
      <c r="E22" s="2219">
        <f>SUM(E10,E16,E21)</f>
        <v>460</v>
      </c>
      <c r="F22" s="2211">
        <f t="shared" si="0"/>
        <v>0.55000000000000004</v>
      </c>
      <c r="H22" s="2219">
        <v>244</v>
      </c>
      <c r="I22" s="2219">
        <v>478</v>
      </c>
      <c r="J22" s="2211">
        <f t="shared" si="1"/>
        <v>0.5104602510460251</v>
      </c>
      <c r="L22" s="2219">
        <v>245</v>
      </c>
      <c r="M22" s="2219">
        <v>494</v>
      </c>
      <c r="N22" s="2211">
        <f t="shared" si="2"/>
        <v>0.4959514170040486</v>
      </c>
      <c r="P22" s="2219">
        <v>256</v>
      </c>
      <c r="Q22" s="2219">
        <f>SUM(Q10,Q16,Q21)</f>
        <v>490</v>
      </c>
      <c r="R22" s="2211">
        <f t="shared" si="3"/>
        <v>0.52244897959183678</v>
      </c>
      <c r="T22" s="2232">
        <f>SUM(T10,T16,T21)</f>
        <v>259</v>
      </c>
      <c r="U22" s="2219">
        <f>SUM(U10,U16,U21)</f>
        <v>507</v>
      </c>
      <c r="V22" s="2211">
        <f t="shared" si="7"/>
        <v>0.51084812623274167</v>
      </c>
      <c r="X22" s="2232">
        <v>278</v>
      </c>
      <c r="Y22" s="2219">
        <v>501</v>
      </c>
      <c r="Z22" s="2211">
        <f t="shared" si="8"/>
        <v>0.55489021956087825</v>
      </c>
      <c r="AB22" s="2232">
        <v>285</v>
      </c>
      <c r="AC22" s="2219">
        <v>485</v>
      </c>
      <c r="AD22" s="2211">
        <f t="shared" si="9"/>
        <v>0.58762886597938147</v>
      </c>
    </row>
    <row r="23" spans="2:30" ht="14.4">
      <c r="B23" s="3002" t="s">
        <v>971</v>
      </c>
      <c r="D23" s="1056">
        <v>10</v>
      </c>
      <c r="E23" s="1056">
        <v>14</v>
      </c>
      <c r="F23" s="2208">
        <f t="shared" si="0"/>
        <v>0.7142857142857143</v>
      </c>
      <c r="H23" s="1056">
        <v>9</v>
      </c>
      <c r="I23" s="1056">
        <v>12</v>
      </c>
      <c r="J23" s="2208">
        <f t="shared" si="1"/>
        <v>0.75</v>
      </c>
      <c r="L23" s="1056">
        <v>9</v>
      </c>
      <c r="M23" s="1056">
        <v>12</v>
      </c>
      <c r="N23" s="2208">
        <f t="shared" si="2"/>
        <v>0.75</v>
      </c>
      <c r="P23" s="1056">
        <v>7</v>
      </c>
      <c r="Q23" s="1056">
        <v>12</v>
      </c>
      <c r="R23" s="2208">
        <f t="shared" si="3"/>
        <v>0.58333333333333337</v>
      </c>
      <c r="T23" s="1144">
        <v>9</v>
      </c>
      <c r="U23" s="1056">
        <v>11</v>
      </c>
      <c r="V23" s="2208">
        <f t="shared" si="7"/>
        <v>0.81818181818181823</v>
      </c>
      <c r="X23" s="1144">
        <v>7</v>
      </c>
      <c r="Y23" s="1056">
        <v>12</v>
      </c>
      <c r="Z23" s="2208">
        <f t="shared" si="8"/>
        <v>0.58333333333333337</v>
      </c>
      <c r="AB23" s="1144">
        <v>9</v>
      </c>
      <c r="AC23" s="1056">
        <v>13</v>
      </c>
      <c r="AD23" s="2208">
        <f t="shared" si="9"/>
        <v>0.69230769230769229</v>
      </c>
    </row>
    <row r="24" spans="2:30" ht="14.4">
      <c r="B24" s="3007" t="s">
        <v>972</v>
      </c>
      <c r="D24" s="1053">
        <v>6</v>
      </c>
      <c r="E24" s="1053">
        <v>15</v>
      </c>
      <c r="F24" s="2209">
        <f t="shared" si="0"/>
        <v>0.4</v>
      </c>
      <c r="H24" s="1053">
        <v>5</v>
      </c>
      <c r="I24" s="1053">
        <v>15</v>
      </c>
      <c r="J24" s="2209">
        <f t="shared" si="1"/>
        <v>0.33333333333333331</v>
      </c>
      <c r="L24" s="1053">
        <v>5</v>
      </c>
      <c r="M24" s="1053">
        <v>17</v>
      </c>
      <c r="N24" s="2209">
        <f t="shared" si="2"/>
        <v>0.29411764705882354</v>
      </c>
      <c r="P24" s="1053">
        <v>5</v>
      </c>
      <c r="Q24" s="1053">
        <v>17</v>
      </c>
      <c r="R24" s="2209">
        <f t="shared" si="3"/>
        <v>0.29411764705882354</v>
      </c>
      <c r="T24" s="1138">
        <v>5</v>
      </c>
      <c r="U24" s="1053">
        <v>17</v>
      </c>
      <c r="V24" s="2209">
        <f t="shared" si="7"/>
        <v>0.29411764705882354</v>
      </c>
      <c r="X24" s="1138">
        <v>5</v>
      </c>
      <c r="Y24" s="1053">
        <v>18</v>
      </c>
      <c r="Z24" s="2209">
        <f t="shared" si="8"/>
        <v>0.27777777777777779</v>
      </c>
      <c r="AB24" s="1138">
        <v>5</v>
      </c>
      <c r="AC24" s="1053">
        <v>17</v>
      </c>
      <c r="AD24" s="2209">
        <f t="shared" si="9"/>
        <v>0.29411764705882354</v>
      </c>
    </row>
    <row r="25" spans="2:30" ht="15" thickBot="1">
      <c r="B25" s="3008" t="s">
        <v>973</v>
      </c>
      <c r="D25" s="1053">
        <v>5</v>
      </c>
      <c r="E25" s="1053">
        <v>11</v>
      </c>
      <c r="F25" s="2209">
        <f t="shared" si="0"/>
        <v>0.45454545454545453</v>
      </c>
      <c r="H25" s="1053">
        <v>6</v>
      </c>
      <c r="I25" s="1053">
        <v>11</v>
      </c>
      <c r="J25" s="2209">
        <f t="shared" si="1"/>
        <v>0.54545454545454541</v>
      </c>
      <c r="L25" s="1053">
        <v>6</v>
      </c>
      <c r="M25" s="1053">
        <v>10</v>
      </c>
      <c r="N25" s="2209">
        <f t="shared" si="2"/>
        <v>0.6</v>
      </c>
      <c r="P25" s="1053">
        <v>6</v>
      </c>
      <c r="Q25" s="1053">
        <v>12</v>
      </c>
      <c r="R25" s="2209">
        <f t="shared" si="3"/>
        <v>0.5</v>
      </c>
      <c r="T25" s="1138">
        <v>6</v>
      </c>
      <c r="U25" s="1053">
        <v>13</v>
      </c>
      <c r="V25" s="2209">
        <f t="shared" si="7"/>
        <v>0.46153846153846156</v>
      </c>
      <c r="X25" s="1138">
        <v>7</v>
      </c>
      <c r="Y25" s="1053">
        <v>13</v>
      </c>
      <c r="Z25" s="2209">
        <f t="shared" si="8"/>
        <v>0.53846153846153844</v>
      </c>
      <c r="AB25" s="1138">
        <v>7</v>
      </c>
      <c r="AC25" s="1053">
        <v>15</v>
      </c>
      <c r="AD25" s="2209">
        <f t="shared" si="9"/>
        <v>0.46666666666666667</v>
      </c>
    </row>
    <row r="26" spans="2:30" ht="15" thickBot="1">
      <c r="B26" s="2418" t="s">
        <v>61</v>
      </c>
      <c r="D26" s="1057">
        <v>21</v>
      </c>
      <c r="E26" s="1057">
        <f>SUM(E23:E25)</f>
        <v>40</v>
      </c>
      <c r="F26" s="2210">
        <f t="shared" si="0"/>
        <v>0.52500000000000002</v>
      </c>
      <c r="H26" s="1057">
        <v>20</v>
      </c>
      <c r="I26" s="1057">
        <v>38</v>
      </c>
      <c r="J26" s="2210">
        <f t="shared" si="1"/>
        <v>0.52631578947368418</v>
      </c>
      <c r="L26" s="1057">
        <v>20</v>
      </c>
      <c r="M26" s="1057">
        <v>39</v>
      </c>
      <c r="N26" s="2210">
        <f t="shared" si="2"/>
        <v>0.51282051282051277</v>
      </c>
      <c r="P26" s="1057">
        <v>18</v>
      </c>
      <c r="Q26" s="1057">
        <f>SUM(Q23:Q25)</f>
        <v>41</v>
      </c>
      <c r="R26" s="2210">
        <f t="shared" si="3"/>
        <v>0.43902439024390244</v>
      </c>
      <c r="T26" s="1145">
        <f>SUM(T23:T25)</f>
        <v>20</v>
      </c>
      <c r="U26" s="1057">
        <v>41</v>
      </c>
      <c r="V26" s="2210">
        <f t="shared" si="7"/>
        <v>0.48780487804878048</v>
      </c>
      <c r="X26" s="1145">
        <v>19</v>
      </c>
      <c r="Y26" s="1057">
        <v>43</v>
      </c>
      <c r="Z26" s="2210">
        <f t="shared" si="8"/>
        <v>0.44186046511627908</v>
      </c>
      <c r="AB26" s="1145">
        <v>21</v>
      </c>
      <c r="AC26" s="1057">
        <v>45</v>
      </c>
      <c r="AD26" s="2210">
        <f t="shared" si="9"/>
        <v>0.46666666666666667</v>
      </c>
    </row>
    <row r="27" spans="2:30" ht="14.4">
      <c r="B27" s="3006" t="s">
        <v>974</v>
      </c>
      <c r="D27" s="1053">
        <v>11</v>
      </c>
      <c r="E27" s="1053">
        <v>13</v>
      </c>
      <c r="F27" s="2209">
        <f t="shared" si="0"/>
        <v>0.84615384615384615</v>
      </c>
      <c r="H27" s="1053">
        <v>12</v>
      </c>
      <c r="I27" s="1053">
        <v>13</v>
      </c>
      <c r="J27" s="2209">
        <f t="shared" si="1"/>
        <v>0.92307692307692313</v>
      </c>
      <c r="L27" s="1053">
        <v>13</v>
      </c>
      <c r="M27" s="1053">
        <v>15</v>
      </c>
      <c r="N27" s="2209">
        <f t="shared" si="2"/>
        <v>0.8666666666666667</v>
      </c>
      <c r="P27" s="1053">
        <v>12</v>
      </c>
      <c r="Q27" s="1053">
        <v>16</v>
      </c>
      <c r="R27" s="2209">
        <f t="shared" si="3"/>
        <v>0.75</v>
      </c>
      <c r="T27" s="1138">
        <v>13</v>
      </c>
      <c r="U27" s="1053">
        <v>15</v>
      </c>
      <c r="V27" s="2209">
        <f t="shared" si="7"/>
        <v>0.8666666666666667</v>
      </c>
      <c r="X27" s="1138">
        <v>17</v>
      </c>
      <c r="Y27" s="1053">
        <v>14</v>
      </c>
      <c r="Z27" s="2209">
        <f t="shared" si="8"/>
        <v>1.2142857142857142</v>
      </c>
      <c r="AB27" s="1138">
        <v>17</v>
      </c>
      <c r="AC27" s="1053">
        <v>15</v>
      </c>
      <c r="AD27" s="2209">
        <f t="shared" si="9"/>
        <v>1.1333333333333333</v>
      </c>
    </row>
    <row r="28" spans="2:30" ht="14.4">
      <c r="B28" s="3007" t="s">
        <v>975</v>
      </c>
      <c r="D28" s="1053">
        <v>16</v>
      </c>
      <c r="E28" s="1053">
        <v>18</v>
      </c>
      <c r="F28" s="2209">
        <f t="shared" si="0"/>
        <v>0.88888888888888884</v>
      </c>
      <c r="H28" s="1053">
        <v>16</v>
      </c>
      <c r="I28" s="1053">
        <v>18</v>
      </c>
      <c r="J28" s="2209">
        <f t="shared" si="1"/>
        <v>0.88888888888888884</v>
      </c>
      <c r="L28" s="1053">
        <v>20</v>
      </c>
      <c r="M28" s="1053">
        <v>20</v>
      </c>
      <c r="N28" s="2209">
        <f t="shared" si="2"/>
        <v>1</v>
      </c>
      <c r="P28" s="1053">
        <v>17</v>
      </c>
      <c r="Q28" s="1053">
        <v>20</v>
      </c>
      <c r="R28" s="2209">
        <f t="shared" si="3"/>
        <v>0.85</v>
      </c>
      <c r="T28" s="1138">
        <v>18</v>
      </c>
      <c r="U28" s="1053">
        <v>19</v>
      </c>
      <c r="V28" s="2209">
        <f t="shared" si="7"/>
        <v>0.94736842105263153</v>
      </c>
      <c r="X28" s="1138">
        <v>15</v>
      </c>
      <c r="Y28" s="1053">
        <v>19</v>
      </c>
      <c r="Z28" s="2209">
        <f t="shared" si="8"/>
        <v>0.78947368421052633</v>
      </c>
      <c r="AB28" s="1138">
        <v>17</v>
      </c>
      <c r="AC28" s="1053">
        <v>22</v>
      </c>
      <c r="AD28" s="2209">
        <f t="shared" si="9"/>
        <v>0.77272727272727271</v>
      </c>
    </row>
    <row r="29" spans="2:30" ht="15" thickBot="1">
      <c r="B29" s="3007" t="s">
        <v>976</v>
      </c>
      <c r="D29" s="1055">
        <v>18</v>
      </c>
      <c r="E29" s="1055">
        <v>17</v>
      </c>
      <c r="F29" s="2209">
        <f t="shared" si="0"/>
        <v>1.0588235294117647</v>
      </c>
      <c r="H29" s="1055">
        <v>26</v>
      </c>
      <c r="I29" s="1055">
        <v>17</v>
      </c>
      <c r="J29" s="2209">
        <f t="shared" si="1"/>
        <v>1.5294117647058822</v>
      </c>
      <c r="L29" s="1055">
        <v>25</v>
      </c>
      <c r="M29" s="1055">
        <v>16</v>
      </c>
      <c r="N29" s="2209">
        <f t="shared" si="2"/>
        <v>1.5625</v>
      </c>
      <c r="P29" s="1055">
        <v>24</v>
      </c>
      <c r="Q29" s="1055">
        <v>16</v>
      </c>
      <c r="R29" s="2209">
        <f t="shared" si="3"/>
        <v>1.5</v>
      </c>
      <c r="T29" s="1142">
        <v>19</v>
      </c>
      <c r="U29" s="1055">
        <v>16</v>
      </c>
      <c r="V29" s="2209">
        <f t="shared" si="7"/>
        <v>1.1875</v>
      </c>
      <c r="X29" s="1142">
        <v>21</v>
      </c>
      <c r="Y29" s="1055">
        <v>16</v>
      </c>
      <c r="Z29" s="2209">
        <f t="shared" si="8"/>
        <v>1.3125</v>
      </c>
      <c r="AB29" s="1142">
        <v>22</v>
      </c>
      <c r="AC29" s="1055">
        <v>18</v>
      </c>
      <c r="AD29" s="2209">
        <f t="shared" si="9"/>
        <v>1.2222222222222223</v>
      </c>
    </row>
    <row r="30" spans="2:30" ht="15" thickBot="1">
      <c r="B30" s="2418" t="s">
        <v>64</v>
      </c>
      <c r="D30" s="1057">
        <v>45</v>
      </c>
      <c r="E30" s="1057">
        <f>SUM(E27:E29)</f>
        <v>48</v>
      </c>
      <c r="F30" s="2210">
        <f t="shared" si="0"/>
        <v>0.9375</v>
      </c>
      <c r="H30" s="1057">
        <v>54</v>
      </c>
      <c r="I30" s="1057">
        <v>48</v>
      </c>
      <c r="J30" s="2210">
        <f t="shared" si="1"/>
        <v>1.125</v>
      </c>
      <c r="L30" s="1057">
        <v>58</v>
      </c>
      <c r="M30" s="1057">
        <v>51</v>
      </c>
      <c r="N30" s="2210">
        <f t="shared" si="2"/>
        <v>1.1372549019607843</v>
      </c>
      <c r="P30" s="1057">
        <v>53</v>
      </c>
      <c r="Q30" s="1057">
        <f>SUM(Q27:Q29)</f>
        <v>52</v>
      </c>
      <c r="R30" s="2210">
        <f t="shared" si="3"/>
        <v>1.0192307692307692</v>
      </c>
      <c r="T30" s="1145">
        <f>SUM(T27:T29)</f>
        <v>50</v>
      </c>
      <c r="U30" s="1057">
        <v>50</v>
      </c>
      <c r="V30" s="2210">
        <f t="shared" si="7"/>
        <v>1</v>
      </c>
      <c r="X30" s="1145">
        <v>53</v>
      </c>
      <c r="Y30" s="1057">
        <v>49</v>
      </c>
      <c r="Z30" s="2210">
        <f t="shared" si="8"/>
        <v>1.0816326530612246</v>
      </c>
      <c r="AB30" s="1145">
        <v>56</v>
      </c>
      <c r="AC30" s="1057">
        <v>55</v>
      </c>
      <c r="AD30" s="2210">
        <f t="shared" si="9"/>
        <v>1.0181818181818181</v>
      </c>
    </row>
    <row r="31" spans="2:30" ht="14.4">
      <c r="B31" s="3006" t="s">
        <v>977</v>
      </c>
      <c r="D31" s="1053">
        <v>19</v>
      </c>
      <c r="E31" s="1053">
        <v>19</v>
      </c>
      <c r="F31" s="2209">
        <f t="shared" si="0"/>
        <v>1</v>
      </c>
      <c r="H31" s="1053">
        <v>15</v>
      </c>
      <c r="I31" s="1053">
        <v>17</v>
      </c>
      <c r="J31" s="2209">
        <f t="shared" si="1"/>
        <v>0.88235294117647056</v>
      </c>
      <c r="L31" s="1053">
        <v>15</v>
      </c>
      <c r="M31" s="1053">
        <v>18</v>
      </c>
      <c r="N31" s="2209">
        <f t="shared" si="2"/>
        <v>0.83333333333333337</v>
      </c>
      <c r="P31" s="1053">
        <v>15</v>
      </c>
      <c r="Q31" s="1053">
        <v>17</v>
      </c>
      <c r="R31" s="2209">
        <f t="shared" si="3"/>
        <v>0.88235294117647056</v>
      </c>
      <c r="T31" s="1138">
        <v>17</v>
      </c>
      <c r="U31" s="1053">
        <v>16</v>
      </c>
      <c r="V31" s="2209">
        <f t="shared" si="7"/>
        <v>1.0625</v>
      </c>
      <c r="X31" s="1138">
        <v>19</v>
      </c>
      <c r="Y31" s="1053">
        <v>15</v>
      </c>
      <c r="Z31" s="2209">
        <f t="shared" si="8"/>
        <v>1.2666666666666666</v>
      </c>
      <c r="AB31" s="1138">
        <v>18</v>
      </c>
      <c r="AC31" s="1053">
        <v>17</v>
      </c>
      <c r="AD31" s="2209">
        <f t="shared" si="9"/>
        <v>1.0588235294117647</v>
      </c>
    </row>
    <row r="32" spans="2:30" ht="14.4">
      <c r="B32" s="3007" t="s">
        <v>978</v>
      </c>
      <c r="D32" s="1053">
        <v>10</v>
      </c>
      <c r="E32" s="1053">
        <v>23</v>
      </c>
      <c r="F32" s="2209">
        <f t="shared" si="0"/>
        <v>0.43478260869565216</v>
      </c>
      <c r="H32" s="1053">
        <v>7</v>
      </c>
      <c r="I32" s="1053">
        <v>22</v>
      </c>
      <c r="J32" s="2209">
        <f t="shared" si="1"/>
        <v>0.31818181818181818</v>
      </c>
      <c r="L32" s="1053">
        <v>8</v>
      </c>
      <c r="M32" s="1053">
        <v>21</v>
      </c>
      <c r="N32" s="2209">
        <f t="shared" si="2"/>
        <v>0.38095238095238093</v>
      </c>
      <c r="P32" s="1053">
        <v>8</v>
      </c>
      <c r="Q32" s="1053">
        <v>21</v>
      </c>
      <c r="R32" s="2209">
        <f t="shared" si="3"/>
        <v>0.38095238095238093</v>
      </c>
      <c r="T32" s="1138">
        <v>9</v>
      </c>
      <c r="U32" s="1053">
        <v>21</v>
      </c>
      <c r="V32" s="2209">
        <f t="shared" si="7"/>
        <v>0.42857142857142855</v>
      </c>
      <c r="X32" s="1138">
        <v>14</v>
      </c>
      <c r="Y32" s="1053">
        <v>21</v>
      </c>
      <c r="Z32" s="2209">
        <f t="shared" si="8"/>
        <v>0.66666666666666663</v>
      </c>
      <c r="AB32" s="1138">
        <v>17</v>
      </c>
      <c r="AC32" s="1053">
        <v>19</v>
      </c>
      <c r="AD32" s="2209">
        <f t="shared" si="9"/>
        <v>0.89473684210526316</v>
      </c>
    </row>
    <row r="33" spans="2:30" ht="15" thickBot="1">
      <c r="B33" s="3008" t="s">
        <v>695</v>
      </c>
      <c r="D33" s="1053">
        <v>23</v>
      </c>
      <c r="E33" s="1053">
        <v>21</v>
      </c>
      <c r="F33" s="2209">
        <f t="shared" si="0"/>
        <v>1.0952380952380953</v>
      </c>
      <c r="H33" s="1053">
        <v>22</v>
      </c>
      <c r="I33" s="1053">
        <v>22</v>
      </c>
      <c r="J33" s="2209">
        <f t="shared" si="1"/>
        <v>1</v>
      </c>
      <c r="L33" s="1053">
        <v>21</v>
      </c>
      <c r="M33" s="1053">
        <v>21</v>
      </c>
      <c r="N33" s="2209">
        <f t="shared" si="2"/>
        <v>1</v>
      </c>
      <c r="P33" s="1053">
        <v>20</v>
      </c>
      <c r="Q33" s="1053">
        <v>21</v>
      </c>
      <c r="R33" s="2209">
        <f t="shared" si="3"/>
        <v>0.95238095238095233</v>
      </c>
      <c r="T33" s="1138">
        <v>21</v>
      </c>
      <c r="U33" s="1053">
        <v>22</v>
      </c>
      <c r="V33" s="2209">
        <f t="shared" si="7"/>
        <v>0.95454545454545459</v>
      </c>
      <c r="X33" s="1138">
        <v>24</v>
      </c>
      <c r="Y33" s="1053">
        <v>22</v>
      </c>
      <c r="Z33" s="2209">
        <f t="shared" si="8"/>
        <v>1.0909090909090908</v>
      </c>
      <c r="AB33" s="1138">
        <v>25</v>
      </c>
      <c r="AC33" s="1053">
        <v>20</v>
      </c>
      <c r="AD33" s="2209">
        <f t="shared" si="9"/>
        <v>1.25</v>
      </c>
    </row>
    <row r="34" spans="2:30" ht="14.4">
      <c r="B34" s="2419" t="s">
        <v>16</v>
      </c>
      <c r="D34" s="1058">
        <v>52</v>
      </c>
      <c r="E34" s="1058">
        <f>SUM(E31:E33)</f>
        <v>63</v>
      </c>
      <c r="F34" s="2210">
        <f t="shared" si="0"/>
        <v>0.82539682539682535</v>
      </c>
      <c r="H34" s="1058">
        <v>44</v>
      </c>
      <c r="I34" s="1058">
        <v>61</v>
      </c>
      <c r="J34" s="2210">
        <f t="shared" si="1"/>
        <v>0.72131147540983609</v>
      </c>
      <c r="L34" s="1058">
        <v>44</v>
      </c>
      <c r="M34" s="1058">
        <v>60</v>
      </c>
      <c r="N34" s="2210">
        <f t="shared" si="2"/>
        <v>0.73333333333333328</v>
      </c>
      <c r="P34" s="1058">
        <v>43</v>
      </c>
      <c r="Q34" s="1058">
        <f>SUM(Q31:Q33)</f>
        <v>59</v>
      </c>
      <c r="R34" s="2210">
        <f t="shared" si="3"/>
        <v>0.72881355932203384</v>
      </c>
      <c r="T34" s="1146">
        <f>SUM(T31:T33)</f>
        <v>47</v>
      </c>
      <c r="U34" s="1058">
        <f>SUM(U31:U33)</f>
        <v>59</v>
      </c>
      <c r="V34" s="2210">
        <f t="shared" si="7"/>
        <v>0.79661016949152541</v>
      </c>
      <c r="X34" s="1146">
        <v>57</v>
      </c>
      <c r="Y34" s="1058">
        <v>58</v>
      </c>
      <c r="Z34" s="2210">
        <f t="shared" si="8"/>
        <v>0.98275862068965514</v>
      </c>
      <c r="AB34" s="1146">
        <v>60</v>
      </c>
      <c r="AC34" s="1058">
        <v>56</v>
      </c>
      <c r="AD34" s="2210">
        <f t="shared" si="9"/>
        <v>1.0714285714285714</v>
      </c>
    </row>
    <row r="35" spans="2:30" ht="15" customHeight="1">
      <c r="B35" s="3009" t="s">
        <v>890</v>
      </c>
      <c r="D35" s="2220">
        <v>118</v>
      </c>
      <c r="E35" s="2220">
        <f>SUM(E26,E30,E34)</f>
        <v>151</v>
      </c>
      <c r="F35" s="2212">
        <f t="shared" si="0"/>
        <v>0.7814569536423841</v>
      </c>
      <c r="H35" s="2220">
        <v>118</v>
      </c>
      <c r="I35" s="2220">
        <v>147</v>
      </c>
      <c r="J35" s="2212">
        <f t="shared" si="1"/>
        <v>0.80272108843537415</v>
      </c>
      <c r="L35" s="2220">
        <v>122</v>
      </c>
      <c r="M35" s="2220">
        <v>150</v>
      </c>
      <c r="N35" s="2212">
        <f t="shared" si="2"/>
        <v>0.81333333333333335</v>
      </c>
      <c r="P35" s="2220">
        <v>114</v>
      </c>
      <c r="Q35" s="2220">
        <f>SUM(Q26,Q30,Q34)</f>
        <v>152</v>
      </c>
      <c r="R35" s="2212">
        <f t="shared" si="3"/>
        <v>0.75</v>
      </c>
      <c r="T35" s="2236">
        <f>SUM(T26,T30,T34)</f>
        <v>117</v>
      </c>
      <c r="U35" s="2220">
        <f>SUM(U26,U30,U34)</f>
        <v>150</v>
      </c>
      <c r="V35" s="2212">
        <f t="shared" si="7"/>
        <v>0.78</v>
      </c>
      <c r="X35" s="2236">
        <v>129</v>
      </c>
      <c r="Y35" s="2220">
        <v>150</v>
      </c>
      <c r="Z35" s="2212">
        <f t="shared" si="8"/>
        <v>0.86</v>
      </c>
      <c r="AB35" s="2236">
        <v>137</v>
      </c>
      <c r="AC35" s="2220">
        <v>156</v>
      </c>
      <c r="AD35" s="2212">
        <f t="shared" si="9"/>
        <v>0.87820512820512819</v>
      </c>
    </row>
    <row r="36" spans="2:30" ht="14.4">
      <c r="B36" s="3002" t="s">
        <v>979</v>
      </c>
      <c r="D36" s="1052">
        <v>52</v>
      </c>
      <c r="E36" s="1052">
        <v>56</v>
      </c>
      <c r="F36" s="2208">
        <f t="shared" si="0"/>
        <v>0.9285714285714286</v>
      </c>
      <c r="H36" s="1052">
        <v>48</v>
      </c>
      <c r="I36" s="1052">
        <v>56</v>
      </c>
      <c r="J36" s="2208">
        <f t="shared" si="1"/>
        <v>0.8571428571428571</v>
      </c>
      <c r="L36" s="1052">
        <v>53</v>
      </c>
      <c r="M36" s="1052">
        <v>55</v>
      </c>
      <c r="N36" s="2208">
        <f t="shared" si="2"/>
        <v>0.96363636363636362</v>
      </c>
      <c r="P36" s="1052">
        <v>53</v>
      </c>
      <c r="Q36" s="1052">
        <v>54</v>
      </c>
      <c r="R36" s="2208">
        <f t="shared" si="3"/>
        <v>0.98148148148148151</v>
      </c>
      <c r="T36" s="1137">
        <v>53</v>
      </c>
      <c r="U36" s="1052">
        <v>53</v>
      </c>
      <c r="V36" s="2208">
        <f t="shared" si="7"/>
        <v>1</v>
      </c>
      <c r="X36" s="1137">
        <v>50</v>
      </c>
      <c r="Y36" s="1052">
        <v>52</v>
      </c>
      <c r="Z36" s="2208">
        <f t="shared" si="8"/>
        <v>0.96153846153846156</v>
      </c>
      <c r="AB36" s="1137">
        <v>47</v>
      </c>
      <c r="AC36" s="1052">
        <v>53</v>
      </c>
      <c r="AD36" s="2208">
        <f t="shared" si="9"/>
        <v>0.8867924528301887</v>
      </c>
    </row>
    <row r="37" spans="2:30" ht="14.4">
      <c r="B37" s="3007" t="s">
        <v>980</v>
      </c>
      <c r="D37" s="1055">
        <v>32</v>
      </c>
      <c r="E37" s="1055">
        <v>34</v>
      </c>
      <c r="F37" s="2209">
        <f t="shared" si="0"/>
        <v>0.94117647058823528</v>
      </c>
      <c r="H37" s="1055">
        <v>30</v>
      </c>
      <c r="I37" s="1055">
        <v>33</v>
      </c>
      <c r="J37" s="2209">
        <f t="shared" si="1"/>
        <v>0.90909090909090906</v>
      </c>
      <c r="L37" s="1055">
        <v>28</v>
      </c>
      <c r="M37" s="1055">
        <v>36</v>
      </c>
      <c r="N37" s="2209">
        <f t="shared" si="2"/>
        <v>0.77777777777777779</v>
      </c>
      <c r="P37" s="1055">
        <v>32</v>
      </c>
      <c r="Q37" s="1055">
        <v>36</v>
      </c>
      <c r="R37" s="2209">
        <f t="shared" si="3"/>
        <v>0.88888888888888884</v>
      </c>
      <c r="T37" s="1142">
        <v>34</v>
      </c>
      <c r="U37" s="1055">
        <v>35</v>
      </c>
      <c r="V37" s="2209">
        <f t="shared" si="7"/>
        <v>0.97142857142857142</v>
      </c>
      <c r="X37" s="1142">
        <v>34</v>
      </c>
      <c r="Y37" s="1055">
        <v>34</v>
      </c>
      <c r="Z37" s="2209">
        <f t="shared" si="8"/>
        <v>1</v>
      </c>
      <c r="AB37" s="1142">
        <v>29</v>
      </c>
      <c r="AC37" s="1055">
        <v>34</v>
      </c>
      <c r="AD37" s="2209">
        <f t="shared" si="9"/>
        <v>0.8529411764705882</v>
      </c>
    </row>
    <row r="38" spans="2:30" ht="14.4">
      <c r="B38" s="3007" t="s">
        <v>981</v>
      </c>
      <c r="D38" s="1055">
        <v>21</v>
      </c>
      <c r="E38" s="1055">
        <v>43</v>
      </c>
      <c r="F38" s="2209">
        <f t="shared" si="0"/>
        <v>0.48837209302325579</v>
      </c>
      <c r="H38" s="1055">
        <v>25</v>
      </c>
      <c r="I38" s="1055">
        <v>43</v>
      </c>
      <c r="J38" s="2209">
        <f t="shared" si="1"/>
        <v>0.58139534883720934</v>
      </c>
      <c r="L38" s="1055">
        <v>27</v>
      </c>
      <c r="M38" s="1055">
        <v>40</v>
      </c>
      <c r="N38" s="2209">
        <f t="shared" si="2"/>
        <v>0.67500000000000004</v>
      </c>
      <c r="P38" s="1055">
        <v>29</v>
      </c>
      <c r="Q38" s="1055">
        <v>40</v>
      </c>
      <c r="R38" s="2209">
        <f t="shared" si="3"/>
        <v>0.72499999999999998</v>
      </c>
      <c r="T38" s="1142">
        <v>30</v>
      </c>
      <c r="U38" s="1055">
        <v>39</v>
      </c>
      <c r="V38" s="2209">
        <f t="shared" si="7"/>
        <v>0.76923076923076927</v>
      </c>
      <c r="X38" s="1142">
        <v>30</v>
      </c>
      <c r="Y38" s="1055">
        <v>42</v>
      </c>
      <c r="Z38" s="2209">
        <f t="shared" si="8"/>
        <v>0.7142857142857143</v>
      </c>
      <c r="AB38" s="1142">
        <v>28</v>
      </c>
      <c r="AC38" s="1055">
        <v>44</v>
      </c>
      <c r="AD38" s="2209">
        <f t="shared" si="9"/>
        <v>0.63636363636363635</v>
      </c>
    </row>
    <row r="39" spans="2:30" ht="14.4">
      <c r="B39" s="3007" t="s">
        <v>982</v>
      </c>
      <c r="D39" s="1055">
        <v>46</v>
      </c>
      <c r="E39" s="1055">
        <v>50</v>
      </c>
      <c r="F39" s="2209">
        <f t="shared" si="0"/>
        <v>0.92</v>
      </c>
      <c r="H39" s="1055">
        <v>44</v>
      </c>
      <c r="I39" s="1055">
        <v>51</v>
      </c>
      <c r="J39" s="2209">
        <f t="shared" si="1"/>
        <v>0.86274509803921573</v>
      </c>
      <c r="L39" s="1055">
        <v>44</v>
      </c>
      <c r="M39" s="1055">
        <v>53</v>
      </c>
      <c r="N39" s="2209">
        <f t="shared" si="2"/>
        <v>0.83018867924528306</v>
      </c>
      <c r="P39" s="1055">
        <v>44</v>
      </c>
      <c r="Q39" s="1055">
        <v>55</v>
      </c>
      <c r="R39" s="2209">
        <f t="shared" si="3"/>
        <v>0.8</v>
      </c>
      <c r="T39" s="1142">
        <v>48</v>
      </c>
      <c r="U39" s="1055">
        <v>55</v>
      </c>
      <c r="V39" s="2209">
        <f t="shared" si="7"/>
        <v>0.87272727272727268</v>
      </c>
      <c r="X39" s="1142">
        <v>49</v>
      </c>
      <c r="Y39" s="1055">
        <v>54</v>
      </c>
      <c r="Z39" s="2209">
        <f t="shared" si="8"/>
        <v>0.90740740740740744</v>
      </c>
      <c r="AB39" s="1142">
        <v>49</v>
      </c>
      <c r="AC39" s="1055">
        <v>56</v>
      </c>
      <c r="AD39" s="2209">
        <f t="shared" si="9"/>
        <v>0.875</v>
      </c>
    </row>
    <row r="40" spans="2:30" ht="15" thickBot="1">
      <c r="B40" s="3008" t="s">
        <v>983</v>
      </c>
      <c r="D40" s="1055">
        <v>64</v>
      </c>
      <c r="E40" s="1055">
        <v>51</v>
      </c>
      <c r="F40" s="2209">
        <f t="shared" si="0"/>
        <v>1.2549019607843137</v>
      </c>
      <c r="H40" s="1055">
        <v>65</v>
      </c>
      <c r="I40" s="1055">
        <v>51</v>
      </c>
      <c r="J40" s="2209">
        <f t="shared" si="1"/>
        <v>1.2745098039215685</v>
      </c>
      <c r="L40" s="1055">
        <v>64</v>
      </c>
      <c r="M40" s="1055">
        <v>50</v>
      </c>
      <c r="N40" s="2209">
        <f t="shared" si="2"/>
        <v>1.28</v>
      </c>
      <c r="P40" s="1055">
        <v>64</v>
      </c>
      <c r="Q40" s="1055">
        <v>49</v>
      </c>
      <c r="R40" s="2209">
        <f t="shared" si="3"/>
        <v>1.3061224489795917</v>
      </c>
      <c r="T40" s="1142">
        <v>67</v>
      </c>
      <c r="U40" s="1055">
        <v>47</v>
      </c>
      <c r="V40" s="2209">
        <f t="shared" si="7"/>
        <v>1.425531914893617</v>
      </c>
      <c r="X40" s="1142">
        <v>65</v>
      </c>
      <c r="Y40" s="1055">
        <v>46</v>
      </c>
      <c r="Z40" s="2209">
        <f t="shared" si="8"/>
        <v>1.4130434782608696</v>
      </c>
      <c r="AB40" s="1142">
        <v>48</v>
      </c>
      <c r="AC40" s="1055">
        <v>43</v>
      </c>
      <c r="AD40" s="2209">
        <f t="shared" si="9"/>
        <v>1.1162790697674418</v>
      </c>
    </row>
    <row r="41" spans="2:30" ht="15" thickBot="1">
      <c r="B41" s="2418" t="s">
        <v>4</v>
      </c>
      <c r="D41" s="1054">
        <v>215</v>
      </c>
      <c r="E41" s="1054">
        <f>SUM(E36:E40)</f>
        <v>234</v>
      </c>
      <c r="F41" s="2210">
        <f t="shared" si="0"/>
        <v>0.91880341880341876</v>
      </c>
      <c r="H41" s="1054">
        <v>212</v>
      </c>
      <c r="I41" s="1054">
        <v>234</v>
      </c>
      <c r="J41" s="2210">
        <f t="shared" si="1"/>
        <v>0.90598290598290598</v>
      </c>
      <c r="L41" s="1054">
        <v>216</v>
      </c>
      <c r="M41" s="1054">
        <v>234</v>
      </c>
      <c r="N41" s="2210">
        <f t="shared" si="2"/>
        <v>0.92307692307692313</v>
      </c>
      <c r="P41" s="1054">
        <v>222</v>
      </c>
      <c r="Q41" s="1054">
        <f>SUM(Q36:Q40)</f>
        <v>234</v>
      </c>
      <c r="R41" s="2210">
        <f t="shared" si="3"/>
        <v>0.94871794871794868</v>
      </c>
      <c r="T41" s="1140">
        <f>SUM(T36:T40)</f>
        <v>232</v>
      </c>
      <c r="U41" s="1054">
        <v>229</v>
      </c>
      <c r="V41" s="2210">
        <f t="shared" si="7"/>
        <v>1.0131004366812226</v>
      </c>
      <c r="X41" s="1140">
        <v>228</v>
      </c>
      <c r="Y41" s="1054">
        <v>228</v>
      </c>
      <c r="Z41" s="2210">
        <f t="shared" si="8"/>
        <v>1</v>
      </c>
      <c r="AB41" s="1140">
        <v>201</v>
      </c>
      <c r="AC41" s="1054">
        <v>230</v>
      </c>
      <c r="AD41" s="2210">
        <f t="shared" si="9"/>
        <v>0.87391304347826082</v>
      </c>
    </row>
    <row r="42" spans="2:30" ht="14.4">
      <c r="B42" s="3006" t="s">
        <v>984</v>
      </c>
      <c r="D42" s="1053">
        <v>15</v>
      </c>
      <c r="E42" s="1053">
        <v>32</v>
      </c>
      <c r="F42" s="2209">
        <f t="shared" si="0"/>
        <v>0.46875</v>
      </c>
      <c r="H42" s="1053">
        <v>18</v>
      </c>
      <c r="I42" s="1053">
        <v>31</v>
      </c>
      <c r="J42" s="2209">
        <f t="shared" si="1"/>
        <v>0.58064516129032262</v>
      </c>
      <c r="L42" s="1053">
        <v>19</v>
      </c>
      <c r="M42" s="1053">
        <v>30</v>
      </c>
      <c r="N42" s="2209">
        <f t="shared" si="2"/>
        <v>0.6333333333333333</v>
      </c>
      <c r="P42" s="1053">
        <v>19</v>
      </c>
      <c r="Q42" s="1053">
        <v>32</v>
      </c>
      <c r="R42" s="2209">
        <f t="shared" si="3"/>
        <v>0.59375</v>
      </c>
      <c r="T42" s="1138">
        <v>18</v>
      </c>
      <c r="U42" s="1053">
        <v>31</v>
      </c>
      <c r="V42" s="2209">
        <f t="shared" si="7"/>
        <v>0.58064516129032262</v>
      </c>
      <c r="X42" s="1138">
        <v>20</v>
      </c>
      <c r="Y42" s="1053">
        <v>30</v>
      </c>
      <c r="Z42" s="2209">
        <f t="shared" si="8"/>
        <v>0.66666666666666663</v>
      </c>
      <c r="AB42" s="1138">
        <v>18</v>
      </c>
      <c r="AC42" s="1053">
        <v>30</v>
      </c>
      <c r="AD42" s="2209">
        <f t="shared" si="9"/>
        <v>0.6</v>
      </c>
    </row>
    <row r="43" spans="2:30" ht="14.4">
      <c r="B43" s="3007" t="s">
        <v>1016</v>
      </c>
      <c r="D43" s="1055">
        <v>20</v>
      </c>
      <c r="E43" s="1055">
        <v>31</v>
      </c>
      <c r="F43" s="2209">
        <f t="shared" si="0"/>
        <v>0.64516129032258063</v>
      </c>
      <c r="H43" s="1055">
        <v>17</v>
      </c>
      <c r="I43" s="1055">
        <v>33</v>
      </c>
      <c r="J43" s="2209">
        <f t="shared" si="1"/>
        <v>0.51515151515151514</v>
      </c>
      <c r="L43" s="1055">
        <v>16</v>
      </c>
      <c r="M43" s="1055">
        <v>34</v>
      </c>
      <c r="N43" s="2209">
        <f t="shared" si="2"/>
        <v>0.47058823529411764</v>
      </c>
      <c r="P43" s="1055">
        <v>18</v>
      </c>
      <c r="Q43" s="1055">
        <v>33</v>
      </c>
      <c r="R43" s="2209">
        <f t="shared" si="3"/>
        <v>0.54545454545454541</v>
      </c>
      <c r="T43" s="1142">
        <v>19</v>
      </c>
      <c r="U43" s="1055">
        <v>32</v>
      </c>
      <c r="V43" s="2209">
        <f t="shared" si="7"/>
        <v>0.59375</v>
      </c>
      <c r="X43" s="1142">
        <v>19</v>
      </c>
      <c r="Y43" s="1055">
        <v>32</v>
      </c>
      <c r="Z43" s="2209">
        <f t="shared" si="8"/>
        <v>0.59375</v>
      </c>
      <c r="AB43" s="1142">
        <v>21</v>
      </c>
      <c r="AC43" s="1055">
        <v>28</v>
      </c>
      <c r="AD43" s="2209">
        <f t="shared" si="9"/>
        <v>0.75</v>
      </c>
    </row>
    <row r="44" spans="2:30" ht="14.4">
      <c r="B44" s="3007" t="s">
        <v>986</v>
      </c>
      <c r="D44" s="1055">
        <v>47</v>
      </c>
      <c r="E44" s="1055">
        <v>44</v>
      </c>
      <c r="F44" s="2209">
        <f t="shared" si="0"/>
        <v>1.0681818181818181</v>
      </c>
      <c r="H44" s="1055">
        <v>38</v>
      </c>
      <c r="I44" s="1055">
        <v>43</v>
      </c>
      <c r="J44" s="2209">
        <f t="shared" si="1"/>
        <v>0.88372093023255816</v>
      </c>
      <c r="L44" s="1055">
        <v>41</v>
      </c>
      <c r="M44" s="1055">
        <v>44</v>
      </c>
      <c r="N44" s="2209">
        <f t="shared" si="2"/>
        <v>0.93181818181818177</v>
      </c>
      <c r="P44" s="1055">
        <v>42</v>
      </c>
      <c r="Q44" s="1055">
        <v>42</v>
      </c>
      <c r="R44" s="2209">
        <f t="shared" si="3"/>
        <v>1</v>
      </c>
      <c r="T44" s="1142">
        <v>44</v>
      </c>
      <c r="U44" s="1055">
        <v>42</v>
      </c>
      <c r="V44" s="2209">
        <f t="shared" si="7"/>
        <v>1.0476190476190477</v>
      </c>
      <c r="X44" s="1142">
        <v>47</v>
      </c>
      <c r="Y44" s="1055">
        <v>42</v>
      </c>
      <c r="Z44" s="2209">
        <f t="shared" si="8"/>
        <v>1.1190476190476191</v>
      </c>
      <c r="AB44" s="1142">
        <v>48</v>
      </c>
      <c r="AC44" s="1055">
        <v>43</v>
      </c>
      <c r="AD44" s="2209">
        <f t="shared" si="9"/>
        <v>1.1162790697674418</v>
      </c>
    </row>
    <row r="45" spans="2:30" ht="14.4">
      <c r="B45" s="3007" t="s">
        <v>987</v>
      </c>
      <c r="D45" s="1053">
        <v>38</v>
      </c>
      <c r="E45" s="1053">
        <v>46</v>
      </c>
      <c r="F45" s="2209">
        <f t="shared" si="0"/>
        <v>0.82608695652173914</v>
      </c>
      <c r="H45" s="1053">
        <v>34</v>
      </c>
      <c r="I45" s="1053">
        <v>46</v>
      </c>
      <c r="J45" s="2209">
        <f t="shared" si="1"/>
        <v>0.73913043478260865</v>
      </c>
      <c r="L45" s="1053">
        <v>36</v>
      </c>
      <c r="M45" s="1053">
        <v>46</v>
      </c>
      <c r="N45" s="2209">
        <f t="shared" si="2"/>
        <v>0.78260869565217395</v>
      </c>
      <c r="P45" s="1053">
        <v>33</v>
      </c>
      <c r="Q45" s="1053">
        <v>45</v>
      </c>
      <c r="R45" s="2209">
        <f t="shared" si="3"/>
        <v>0.73333333333333328</v>
      </c>
      <c r="T45" s="1138">
        <v>34</v>
      </c>
      <c r="U45" s="1053">
        <v>45</v>
      </c>
      <c r="V45" s="2209">
        <f t="shared" si="7"/>
        <v>0.75555555555555554</v>
      </c>
      <c r="X45" s="1138">
        <v>31</v>
      </c>
      <c r="Y45" s="1053">
        <v>42</v>
      </c>
      <c r="Z45" s="2209">
        <f t="shared" si="8"/>
        <v>0.73809523809523814</v>
      </c>
      <c r="AB45" s="1138">
        <v>33</v>
      </c>
      <c r="AC45" s="1053">
        <v>41</v>
      </c>
      <c r="AD45" s="2209">
        <f t="shared" si="9"/>
        <v>0.80487804878048785</v>
      </c>
    </row>
    <row r="46" spans="2:30" ht="15" thickBot="1">
      <c r="B46" s="3008" t="s">
        <v>988</v>
      </c>
      <c r="D46" s="1053">
        <v>9</v>
      </c>
      <c r="E46" s="1053">
        <v>23</v>
      </c>
      <c r="F46" s="2209">
        <f t="shared" si="0"/>
        <v>0.39130434782608697</v>
      </c>
      <c r="H46" s="1053">
        <v>11</v>
      </c>
      <c r="I46" s="1053">
        <v>22</v>
      </c>
      <c r="J46" s="2209">
        <f t="shared" si="1"/>
        <v>0.5</v>
      </c>
      <c r="L46" s="1053">
        <v>12</v>
      </c>
      <c r="M46" s="1053">
        <v>21</v>
      </c>
      <c r="N46" s="2209">
        <f t="shared" si="2"/>
        <v>0.5714285714285714</v>
      </c>
      <c r="P46" s="1053">
        <v>14</v>
      </c>
      <c r="Q46" s="1053">
        <v>21</v>
      </c>
      <c r="R46" s="2209">
        <f t="shared" si="3"/>
        <v>0.66666666666666663</v>
      </c>
      <c r="T46" s="1138">
        <v>19</v>
      </c>
      <c r="U46" s="1053">
        <v>20</v>
      </c>
      <c r="V46" s="2209">
        <f t="shared" si="7"/>
        <v>0.95</v>
      </c>
      <c r="X46" s="1138">
        <v>15</v>
      </c>
      <c r="Y46" s="1053">
        <v>19</v>
      </c>
      <c r="Z46" s="2209">
        <f t="shared" si="8"/>
        <v>0.78947368421052633</v>
      </c>
      <c r="AB46" s="1138">
        <v>16</v>
      </c>
      <c r="AC46" s="1053">
        <v>20</v>
      </c>
      <c r="AD46" s="2209">
        <f t="shared" si="9"/>
        <v>0.8</v>
      </c>
    </row>
    <row r="47" spans="2:30" ht="15" thickBot="1">
      <c r="B47" s="2418" t="s">
        <v>41</v>
      </c>
      <c r="D47" s="1057">
        <v>129</v>
      </c>
      <c r="E47" s="1057">
        <f>SUM(E42:E46)</f>
        <v>176</v>
      </c>
      <c r="F47" s="2210">
        <f t="shared" si="0"/>
        <v>0.73295454545454541</v>
      </c>
      <c r="H47" s="1057">
        <v>118</v>
      </c>
      <c r="I47" s="1057">
        <v>175</v>
      </c>
      <c r="J47" s="2210">
        <f t="shared" si="1"/>
        <v>0.67428571428571427</v>
      </c>
      <c r="L47" s="1057">
        <v>124</v>
      </c>
      <c r="M47" s="1057">
        <v>175</v>
      </c>
      <c r="N47" s="2210">
        <f t="shared" si="2"/>
        <v>0.70857142857142852</v>
      </c>
      <c r="P47" s="1057">
        <v>126</v>
      </c>
      <c r="Q47" s="1057">
        <f>SUM(Q42:Q46)</f>
        <v>173</v>
      </c>
      <c r="R47" s="2210">
        <f t="shared" si="3"/>
        <v>0.72832369942196529</v>
      </c>
      <c r="T47" s="1145">
        <f>SUM(T42:T46)</f>
        <v>134</v>
      </c>
      <c r="U47" s="1057">
        <v>170</v>
      </c>
      <c r="V47" s="2210">
        <f t="shared" si="7"/>
        <v>0.78823529411764703</v>
      </c>
      <c r="X47" s="1145">
        <v>132</v>
      </c>
      <c r="Y47" s="1057">
        <v>165</v>
      </c>
      <c r="Z47" s="2210">
        <f t="shared" si="8"/>
        <v>0.8</v>
      </c>
      <c r="AB47" s="1145">
        <v>136</v>
      </c>
      <c r="AC47" s="1057">
        <v>162</v>
      </c>
      <c r="AD47" s="2210">
        <f t="shared" si="9"/>
        <v>0.83950617283950613</v>
      </c>
    </row>
    <row r="48" spans="2:30" ht="14.4">
      <c r="B48" s="3006" t="s">
        <v>989</v>
      </c>
      <c r="D48" s="1055">
        <v>24</v>
      </c>
      <c r="E48" s="1055">
        <v>22</v>
      </c>
      <c r="F48" s="2209">
        <f t="shared" si="0"/>
        <v>1.0909090909090908</v>
      </c>
      <c r="H48" s="1055">
        <v>23</v>
      </c>
      <c r="I48" s="1055">
        <v>22</v>
      </c>
      <c r="J48" s="2209">
        <f t="shared" si="1"/>
        <v>1.0454545454545454</v>
      </c>
      <c r="L48" s="1055">
        <v>23</v>
      </c>
      <c r="M48" s="1055">
        <v>22</v>
      </c>
      <c r="N48" s="2209">
        <f t="shared" si="2"/>
        <v>1.0454545454545454</v>
      </c>
      <c r="P48" s="1055">
        <v>20</v>
      </c>
      <c r="Q48" s="1055">
        <v>22</v>
      </c>
      <c r="R48" s="2209">
        <f t="shared" si="3"/>
        <v>0.90909090909090906</v>
      </c>
      <c r="T48" s="1142">
        <v>21</v>
      </c>
      <c r="U48" s="1055">
        <v>21</v>
      </c>
      <c r="V48" s="2209">
        <f t="shared" si="7"/>
        <v>1</v>
      </c>
      <c r="X48" s="1142">
        <v>28</v>
      </c>
      <c r="Y48" s="1055">
        <v>23</v>
      </c>
      <c r="Z48" s="2209">
        <f t="shared" si="8"/>
        <v>1.2173913043478262</v>
      </c>
      <c r="AB48" s="1142">
        <v>23</v>
      </c>
      <c r="AC48" s="1055">
        <v>22</v>
      </c>
      <c r="AD48" s="2209">
        <f t="shared" si="9"/>
        <v>1.0454545454545454</v>
      </c>
    </row>
    <row r="49" spans="2:30" ht="14.4">
      <c r="B49" s="3007" t="s">
        <v>963</v>
      </c>
      <c r="D49" s="1055">
        <v>29</v>
      </c>
      <c r="E49" s="1055">
        <v>58</v>
      </c>
      <c r="F49" s="2209">
        <f t="shared" si="0"/>
        <v>0.5</v>
      </c>
      <c r="H49" s="1055">
        <v>30</v>
      </c>
      <c r="I49" s="1055">
        <v>61</v>
      </c>
      <c r="J49" s="2209">
        <f t="shared" si="1"/>
        <v>0.49180327868852458</v>
      </c>
      <c r="L49" s="1055">
        <v>30</v>
      </c>
      <c r="M49" s="1055">
        <v>62</v>
      </c>
      <c r="N49" s="2209">
        <f t="shared" si="2"/>
        <v>0.4838709677419355</v>
      </c>
      <c r="P49" s="1055">
        <v>29</v>
      </c>
      <c r="Q49" s="1055">
        <v>61</v>
      </c>
      <c r="R49" s="2209">
        <f t="shared" si="3"/>
        <v>0.47540983606557374</v>
      </c>
      <c r="T49" s="1142">
        <v>29</v>
      </c>
      <c r="U49" s="1055">
        <v>63</v>
      </c>
      <c r="V49" s="2209">
        <f t="shared" si="7"/>
        <v>0.46031746031746029</v>
      </c>
      <c r="X49" s="1142">
        <v>29</v>
      </c>
      <c r="Y49" s="1055">
        <v>59</v>
      </c>
      <c r="Z49" s="2209">
        <f t="shared" si="8"/>
        <v>0.49152542372881358</v>
      </c>
      <c r="AB49" s="1142">
        <v>34</v>
      </c>
      <c r="AC49" s="1055">
        <v>57</v>
      </c>
      <c r="AD49" s="2209">
        <f t="shared" si="9"/>
        <v>0.59649122807017541</v>
      </c>
    </row>
    <row r="50" spans="2:30" ht="14.4">
      <c r="B50" s="3007" t="s">
        <v>990</v>
      </c>
      <c r="D50" s="1055">
        <v>53</v>
      </c>
      <c r="E50" s="1055">
        <v>75</v>
      </c>
      <c r="F50" s="2209">
        <f t="shared" si="0"/>
        <v>0.70666666666666667</v>
      </c>
      <c r="H50" s="1055">
        <v>51</v>
      </c>
      <c r="I50" s="1055">
        <v>76</v>
      </c>
      <c r="J50" s="2209">
        <f t="shared" si="1"/>
        <v>0.67105263157894735</v>
      </c>
      <c r="L50" s="1055">
        <v>53</v>
      </c>
      <c r="M50" s="1055">
        <v>76</v>
      </c>
      <c r="N50" s="2209">
        <f t="shared" si="2"/>
        <v>0.69736842105263153</v>
      </c>
      <c r="P50" s="1055">
        <v>52</v>
      </c>
      <c r="Q50" s="1055">
        <v>75</v>
      </c>
      <c r="R50" s="2209">
        <f t="shared" si="3"/>
        <v>0.69333333333333336</v>
      </c>
      <c r="T50" s="1142">
        <v>55</v>
      </c>
      <c r="U50" s="1055">
        <v>72</v>
      </c>
      <c r="V50" s="2209">
        <f t="shared" si="7"/>
        <v>0.76388888888888884</v>
      </c>
      <c r="X50" s="1142">
        <v>54</v>
      </c>
      <c r="Y50" s="1055">
        <v>71</v>
      </c>
      <c r="Z50" s="2209">
        <f t="shared" si="8"/>
        <v>0.76056338028169013</v>
      </c>
      <c r="AB50" s="1142">
        <v>56</v>
      </c>
      <c r="AC50" s="1055">
        <v>73</v>
      </c>
      <c r="AD50" s="2209">
        <f t="shared" si="9"/>
        <v>0.76712328767123283</v>
      </c>
    </row>
    <row r="51" spans="2:30" ht="15" thickBot="1">
      <c r="B51" s="3008" t="s">
        <v>964</v>
      </c>
      <c r="D51" s="1055">
        <v>42</v>
      </c>
      <c r="E51" s="1055">
        <v>65</v>
      </c>
      <c r="F51" s="2209">
        <f t="shared" si="0"/>
        <v>0.64615384615384619</v>
      </c>
      <c r="H51" s="1055">
        <v>41</v>
      </c>
      <c r="I51" s="1055">
        <v>69</v>
      </c>
      <c r="J51" s="2209">
        <f t="shared" si="1"/>
        <v>0.59420289855072461</v>
      </c>
      <c r="L51" s="1055">
        <v>43</v>
      </c>
      <c r="M51" s="1055">
        <v>71</v>
      </c>
      <c r="N51" s="2209">
        <f t="shared" si="2"/>
        <v>0.60563380281690138</v>
      </c>
      <c r="P51" s="1055">
        <v>43</v>
      </c>
      <c r="Q51" s="1055">
        <v>69</v>
      </c>
      <c r="R51" s="2209">
        <f t="shared" si="3"/>
        <v>0.62318840579710144</v>
      </c>
      <c r="T51" s="1142">
        <v>41</v>
      </c>
      <c r="U51" s="1055">
        <v>63</v>
      </c>
      <c r="V51" s="2209">
        <f t="shared" si="7"/>
        <v>0.65079365079365081</v>
      </c>
      <c r="X51" s="1142">
        <v>43</v>
      </c>
      <c r="Y51" s="1055">
        <v>64</v>
      </c>
      <c r="Z51" s="2209">
        <f t="shared" si="8"/>
        <v>0.671875</v>
      </c>
      <c r="AB51" s="1142">
        <v>48</v>
      </c>
      <c r="AC51" s="1055">
        <v>62</v>
      </c>
      <c r="AD51" s="2209">
        <f t="shared" si="9"/>
        <v>0.77419354838709675</v>
      </c>
    </row>
    <row r="52" spans="2:30" ht="14.4">
      <c r="B52" s="2419" t="s">
        <v>16</v>
      </c>
      <c r="D52" s="1058">
        <v>148</v>
      </c>
      <c r="E52" s="1058">
        <f>SUM(E48:E51)</f>
        <v>220</v>
      </c>
      <c r="F52" s="2210">
        <f t="shared" si="0"/>
        <v>0.67272727272727273</v>
      </c>
      <c r="H52" s="1058">
        <v>145</v>
      </c>
      <c r="I52" s="1058">
        <v>228</v>
      </c>
      <c r="J52" s="2210">
        <f t="shared" si="1"/>
        <v>0.63596491228070173</v>
      </c>
      <c r="L52" s="1058">
        <v>149</v>
      </c>
      <c r="M52" s="1058">
        <v>231</v>
      </c>
      <c r="N52" s="2210">
        <f t="shared" si="2"/>
        <v>0.64502164502164505</v>
      </c>
      <c r="P52" s="1058">
        <v>144</v>
      </c>
      <c r="Q52" s="1058">
        <f>SUM(Q48:Q51)</f>
        <v>227</v>
      </c>
      <c r="R52" s="2210">
        <f t="shared" si="3"/>
        <v>0.63436123348017626</v>
      </c>
      <c r="T52" s="1146">
        <f>SUM(T48:T51)</f>
        <v>146</v>
      </c>
      <c r="U52" s="1058">
        <f>SUM(U48:U51)</f>
        <v>219</v>
      </c>
      <c r="V52" s="2210">
        <f t="shared" si="7"/>
        <v>0.66666666666666663</v>
      </c>
      <c r="X52" s="1146">
        <v>154</v>
      </c>
      <c r="Y52" s="1058">
        <v>217</v>
      </c>
      <c r="Z52" s="2210">
        <f t="shared" si="8"/>
        <v>0.70967741935483875</v>
      </c>
      <c r="AB52" s="1146">
        <v>161</v>
      </c>
      <c r="AC52" s="1058">
        <v>214</v>
      </c>
      <c r="AD52" s="2210">
        <f t="shared" si="9"/>
        <v>0.75233644859813087</v>
      </c>
    </row>
    <row r="53" spans="2:30" ht="15" customHeight="1">
      <c r="B53" s="3010" t="s">
        <v>893</v>
      </c>
      <c r="D53" s="2221">
        <v>492</v>
      </c>
      <c r="E53" s="2221">
        <f>SUM(E41,E47,E52)</f>
        <v>630</v>
      </c>
      <c r="F53" s="2213">
        <f t="shared" si="0"/>
        <v>0.78095238095238095</v>
      </c>
      <c r="H53" s="2221">
        <v>475</v>
      </c>
      <c r="I53" s="2221">
        <v>637</v>
      </c>
      <c r="J53" s="2213">
        <f t="shared" si="1"/>
        <v>0.7456828885400314</v>
      </c>
      <c r="L53" s="2221">
        <v>489</v>
      </c>
      <c r="M53" s="2221">
        <v>640</v>
      </c>
      <c r="N53" s="2213">
        <f t="shared" si="2"/>
        <v>0.76406249999999998</v>
      </c>
      <c r="P53" s="2221">
        <v>492</v>
      </c>
      <c r="Q53" s="2221">
        <f>SUM(Q41,Q47,Q52)</f>
        <v>634</v>
      </c>
      <c r="R53" s="2213">
        <f t="shared" si="3"/>
        <v>0.77602523659305989</v>
      </c>
      <c r="T53" s="2239">
        <f>SUM(T41,T47,T52)</f>
        <v>512</v>
      </c>
      <c r="U53" s="2221">
        <f>SUM(U41,U47,U52)</f>
        <v>618</v>
      </c>
      <c r="V53" s="2213">
        <f t="shared" si="7"/>
        <v>0.82847896440129454</v>
      </c>
      <c r="X53" s="2239">
        <v>514</v>
      </c>
      <c r="Y53" s="2221">
        <v>610</v>
      </c>
      <c r="Z53" s="2213">
        <f t="shared" si="8"/>
        <v>0.84262295081967209</v>
      </c>
      <c r="AB53" s="2239">
        <v>498</v>
      </c>
      <c r="AC53" s="2221">
        <v>606</v>
      </c>
      <c r="AD53" s="2213">
        <f t="shared" si="9"/>
        <v>0.82178217821782173</v>
      </c>
    </row>
    <row r="54" spans="2:30" ht="14.4">
      <c r="B54" s="3011" t="s">
        <v>992</v>
      </c>
      <c r="D54" s="1059">
        <v>1</v>
      </c>
      <c r="E54" s="1059">
        <v>5</v>
      </c>
      <c r="F54" s="2208">
        <f t="shared" si="0"/>
        <v>0.2</v>
      </c>
      <c r="H54" s="1059">
        <v>2</v>
      </c>
      <c r="I54" s="1059">
        <v>4</v>
      </c>
      <c r="J54" s="2208">
        <f t="shared" si="1"/>
        <v>0.5</v>
      </c>
      <c r="L54" s="1059">
        <v>3</v>
      </c>
      <c r="M54" s="1059">
        <v>5</v>
      </c>
      <c r="N54" s="2208">
        <f t="shared" si="2"/>
        <v>0.6</v>
      </c>
      <c r="P54" s="1059">
        <v>3</v>
      </c>
      <c r="Q54" s="1059">
        <v>5</v>
      </c>
      <c r="R54" s="2208">
        <f t="shared" si="3"/>
        <v>0.6</v>
      </c>
      <c r="T54" s="1147">
        <v>3</v>
      </c>
      <c r="U54" s="1059">
        <v>4</v>
      </c>
      <c r="V54" s="2208">
        <f t="shared" si="7"/>
        <v>0.75</v>
      </c>
      <c r="X54" s="1147">
        <v>3</v>
      </c>
      <c r="Y54" s="1059">
        <v>5</v>
      </c>
      <c r="Z54" s="2208">
        <f t="shared" si="8"/>
        <v>0.6</v>
      </c>
      <c r="AB54" s="1147">
        <v>3</v>
      </c>
      <c r="AC54" s="1059">
        <v>4</v>
      </c>
      <c r="AD54" s="2208">
        <f t="shared" si="9"/>
        <v>0.75</v>
      </c>
    </row>
    <row r="55" spans="2:30" ht="14.4">
      <c r="B55" s="3012" t="s">
        <v>993</v>
      </c>
      <c r="D55" s="1055">
        <v>10</v>
      </c>
      <c r="E55" s="1055">
        <v>9</v>
      </c>
      <c r="F55" s="2209">
        <f t="shared" si="0"/>
        <v>1.1111111111111112</v>
      </c>
      <c r="H55" s="1055">
        <v>8</v>
      </c>
      <c r="I55" s="1055">
        <v>11</v>
      </c>
      <c r="J55" s="2209">
        <f t="shared" si="1"/>
        <v>0.72727272727272729</v>
      </c>
      <c r="L55" s="1055">
        <v>8</v>
      </c>
      <c r="M55" s="1055">
        <v>11</v>
      </c>
      <c r="N55" s="2209">
        <f t="shared" si="2"/>
        <v>0.72727272727272729</v>
      </c>
      <c r="P55" s="1055">
        <v>9</v>
      </c>
      <c r="Q55" s="1055">
        <v>11</v>
      </c>
      <c r="R55" s="2209">
        <f t="shared" si="3"/>
        <v>0.81818181818181823</v>
      </c>
      <c r="T55" s="1142">
        <v>8</v>
      </c>
      <c r="U55" s="1055">
        <v>10</v>
      </c>
      <c r="V55" s="2209">
        <f t="shared" si="7"/>
        <v>0.8</v>
      </c>
      <c r="X55" s="1142">
        <v>7</v>
      </c>
      <c r="Y55" s="1055">
        <v>10</v>
      </c>
      <c r="Z55" s="2209">
        <f t="shared" si="8"/>
        <v>0.7</v>
      </c>
      <c r="AB55" s="1142">
        <v>6</v>
      </c>
      <c r="AC55" s="1055">
        <v>10</v>
      </c>
      <c r="AD55" s="2209">
        <f t="shared" si="9"/>
        <v>0.6</v>
      </c>
    </row>
    <row r="56" spans="2:30" ht="15" thickBot="1">
      <c r="B56" s="3013" t="s">
        <v>994</v>
      </c>
      <c r="D56" s="1055">
        <v>2</v>
      </c>
      <c r="E56" s="1055">
        <v>3</v>
      </c>
      <c r="F56" s="2209">
        <f t="shared" si="0"/>
        <v>0.66666666666666663</v>
      </c>
      <c r="H56" s="1055">
        <v>4</v>
      </c>
      <c r="I56" s="1055">
        <v>3</v>
      </c>
      <c r="J56" s="2209">
        <f t="shared" si="1"/>
        <v>1.3333333333333333</v>
      </c>
      <c r="L56" s="1055">
        <v>5</v>
      </c>
      <c r="M56" s="1055">
        <v>5</v>
      </c>
      <c r="N56" s="2209">
        <f t="shared" si="2"/>
        <v>1</v>
      </c>
      <c r="P56" s="1055">
        <v>4</v>
      </c>
      <c r="Q56" s="1055">
        <v>4</v>
      </c>
      <c r="R56" s="2209">
        <f t="shared" si="3"/>
        <v>1</v>
      </c>
      <c r="T56" s="1142">
        <v>4</v>
      </c>
      <c r="U56" s="1055">
        <v>6</v>
      </c>
      <c r="V56" s="2209">
        <f t="shared" si="7"/>
        <v>0.66666666666666663</v>
      </c>
      <c r="X56" s="1142">
        <v>3</v>
      </c>
      <c r="Y56" s="1055">
        <v>4</v>
      </c>
      <c r="Z56" s="2209">
        <f t="shared" si="8"/>
        <v>0.75</v>
      </c>
      <c r="AB56" s="1142">
        <v>1</v>
      </c>
      <c r="AC56" s="1055">
        <v>6</v>
      </c>
      <c r="AD56" s="2209">
        <f t="shared" si="9"/>
        <v>0.16666666666666666</v>
      </c>
    </row>
    <row r="57" spans="2:30" ht="15" thickBot="1">
      <c r="B57" s="2418" t="s">
        <v>4</v>
      </c>
      <c r="D57" s="1057">
        <v>13</v>
      </c>
      <c r="E57" s="1057">
        <f>SUM(E54:E56)</f>
        <v>17</v>
      </c>
      <c r="F57" s="2210">
        <f t="shared" si="0"/>
        <v>0.76470588235294112</v>
      </c>
      <c r="H57" s="1057">
        <v>14</v>
      </c>
      <c r="I57" s="1057">
        <v>18</v>
      </c>
      <c r="J57" s="2210">
        <f t="shared" si="1"/>
        <v>0.77777777777777779</v>
      </c>
      <c r="L57" s="1057">
        <v>16</v>
      </c>
      <c r="M57" s="1057">
        <v>21</v>
      </c>
      <c r="N57" s="2210">
        <f t="shared" si="2"/>
        <v>0.76190476190476186</v>
      </c>
      <c r="P57" s="1057">
        <v>16</v>
      </c>
      <c r="Q57" s="1057">
        <f>SUM(Q54:Q56)</f>
        <v>20</v>
      </c>
      <c r="R57" s="2210">
        <f t="shared" si="3"/>
        <v>0.8</v>
      </c>
      <c r="T57" s="1145">
        <f>SUM(T54:T56)</f>
        <v>15</v>
      </c>
      <c r="U57" s="1057">
        <v>20</v>
      </c>
      <c r="V57" s="2210">
        <f t="shared" si="7"/>
        <v>0.75</v>
      </c>
      <c r="X57" s="1145">
        <v>13</v>
      </c>
      <c r="Y57" s="1057">
        <v>19</v>
      </c>
      <c r="Z57" s="2210">
        <f t="shared" si="8"/>
        <v>0.68421052631578949</v>
      </c>
      <c r="AB57" s="1145">
        <v>10</v>
      </c>
      <c r="AC57" s="1057">
        <v>20</v>
      </c>
      <c r="AD57" s="2210">
        <f t="shared" si="9"/>
        <v>0.5</v>
      </c>
    </row>
    <row r="58" spans="2:30" ht="14.4">
      <c r="B58" s="3007" t="s">
        <v>995</v>
      </c>
      <c r="D58" s="1055">
        <v>5</v>
      </c>
      <c r="E58" s="1055">
        <v>9</v>
      </c>
      <c r="F58" s="2209">
        <f t="shared" si="0"/>
        <v>0.55555555555555558</v>
      </c>
      <c r="H58" s="1055">
        <v>8</v>
      </c>
      <c r="I58" s="1055">
        <v>9</v>
      </c>
      <c r="J58" s="2209">
        <f t="shared" si="1"/>
        <v>0.88888888888888884</v>
      </c>
      <c r="L58" s="1055">
        <v>9</v>
      </c>
      <c r="M58" s="1055">
        <v>11</v>
      </c>
      <c r="N58" s="2209">
        <f t="shared" si="2"/>
        <v>0.81818181818181823</v>
      </c>
      <c r="P58" s="1055">
        <v>9</v>
      </c>
      <c r="Q58" s="1055">
        <v>11</v>
      </c>
      <c r="R58" s="2209">
        <f t="shared" si="3"/>
        <v>0.81818181818181823</v>
      </c>
      <c r="T58" s="1142">
        <v>9</v>
      </c>
      <c r="U58" s="1055">
        <v>11</v>
      </c>
      <c r="V58" s="2209">
        <f t="shared" si="7"/>
        <v>0.81818181818181823</v>
      </c>
      <c r="X58" s="1142">
        <v>7</v>
      </c>
      <c r="Y58" s="1055">
        <v>11</v>
      </c>
      <c r="Z58" s="2209">
        <f t="shared" si="8"/>
        <v>0.63636363636363635</v>
      </c>
      <c r="AB58" s="1142">
        <v>8</v>
      </c>
      <c r="AC58" s="1055">
        <v>10</v>
      </c>
      <c r="AD58" s="2209">
        <f t="shared" si="9"/>
        <v>0.8</v>
      </c>
    </row>
    <row r="59" spans="2:30" ht="14.4">
      <c r="B59" s="3007" t="s">
        <v>996</v>
      </c>
      <c r="D59" s="1055">
        <v>5</v>
      </c>
      <c r="E59" s="1055">
        <v>7</v>
      </c>
      <c r="F59" s="2209">
        <f t="shared" si="0"/>
        <v>0.7142857142857143</v>
      </c>
      <c r="H59" s="1055">
        <v>5</v>
      </c>
      <c r="I59" s="1055">
        <v>8</v>
      </c>
      <c r="J59" s="2209">
        <f t="shared" si="1"/>
        <v>0.625</v>
      </c>
      <c r="L59" s="1055">
        <v>5</v>
      </c>
      <c r="M59" s="1055">
        <v>6</v>
      </c>
      <c r="N59" s="2209">
        <f t="shared" si="2"/>
        <v>0.83333333333333337</v>
      </c>
      <c r="P59" s="1055">
        <v>6</v>
      </c>
      <c r="Q59" s="1055">
        <v>6</v>
      </c>
      <c r="R59" s="2209">
        <f t="shared" si="3"/>
        <v>1</v>
      </c>
      <c r="T59" s="1142">
        <v>7</v>
      </c>
      <c r="U59" s="1055">
        <v>5</v>
      </c>
      <c r="V59" s="2209">
        <f t="shared" si="7"/>
        <v>1.4</v>
      </c>
      <c r="X59" s="1142">
        <v>7</v>
      </c>
      <c r="Y59" s="1055">
        <v>4</v>
      </c>
      <c r="Z59" s="2209">
        <f t="shared" si="8"/>
        <v>1.75</v>
      </c>
      <c r="AB59" s="1142">
        <v>7</v>
      </c>
      <c r="AC59" s="1055">
        <v>5</v>
      </c>
      <c r="AD59" s="2209">
        <f t="shared" si="9"/>
        <v>1.4</v>
      </c>
    </row>
    <row r="60" spans="2:30" ht="15" thickBot="1">
      <c r="B60" s="3007" t="s">
        <v>987</v>
      </c>
      <c r="D60" s="1055">
        <v>7</v>
      </c>
      <c r="E60" s="1055">
        <v>4</v>
      </c>
      <c r="F60" s="2209">
        <f t="shared" si="0"/>
        <v>1.75</v>
      </c>
      <c r="H60" s="1055">
        <v>6</v>
      </c>
      <c r="I60" s="1055">
        <v>3</v>
      </c>
      <c r="J60" s="2209">
        <f t="shared" si="1"/>
        <v>2</v>
      </c>
      <c r="L60" s="1055">
        <v>7</v>
      </c>
      <c r="M60" s="1055">
        <v>4</v>
      </c>
      <c r="N60" s="2209">
        <f t="shared" si="2"/>
        <v>1.75</v>
      </c>
      <c r="P60" s="1055">
        <v>8</v>
      </c>
      <c r="Q60" s="1055">
        <v>5</v>
      </c>
      <c r="R60" s="2209">
        <f t="shared" si="3"/>
        <v>1.6</v>
      </c>
      <c r="T60" s="1142">
        <v>9</v>
      </c>
      <c r="U60" s="1055">
        <v>5</v>
      </c>
      <c r="V60" s="2209">
        <f t="shared" si="7"/>
        <v>1.8</v>
      </c>
      <c r="X60" s="1142">
        <v>12</v>
      </c>
      <c r="Y60" s="1055">
        <v>5</v>
      </c>
      <c r="Z60" s="2209">
        <f t="shared" si="8"/>
        <v>2.4</v>
      </c>
      <c r="AB60" s="1142">
        <v>10</v>
      </c>
      <c r="AC60" s="1055">
        <v>6</v>
      </c>
      <c r="AD60" s="2209">
        <f t="shared" si="9"/>
        <v>1.6666666666666667</v>
      </c>
    </row>
    <row r="61" spans="2:30" ht="15" thickBot="1">
      <c r="B61" s="2418" t="s">
        <v>41</v>
      </c>
      <c r="D61" s="1057">
        <v>17</v>
      </c>
      <c r="E61" s="1057">
        <f>SUM(E58:E60)</f>
        <v>20</v>
      </c>
      <c r="F61" s="2210">
        <v>1</v>
      </c>
      <c r="H61" s="1057">
        <v>19</v>
      </c>
      <c r="I61" s="1057">
        <v>20</v>
      </c>
      <c r="J61" s="2210"/>
      <c r="L61" s="1057">
        <v>21</v>
      </c>
      <c r="M61" s="1057">
        <v>21</v>
      </c>
      <c r="N61" s="2210">
        <f t="shared" si="2"/>
        <v>1</v>
      </c>
      <c r="P61" s="1057">
        <v>23</v>
      </c>
      <c r="Q61" s="1057">
        <f>SUM(Q58:Q60)</f>
        <v>22</v>
      </c>
      <c r="R61" s="2210"/>
      <c r="T61" s="1145">
        <f>SUM(T58:T60)</f>
        <v>25</v>
      </c>
      <c r="U61" s="1057">
        <v>21</v>
      </c>
      <c r="V61" s="2210"/>
      <c r="X61" s="1145">
        <v>26</v>
      </c>
      <c r="Y61" s="1057">
        <v>20</v>
      </c>
      <c r="Z61" s="2210"/>
      <c r="AB61" s="1145">
        <v>25</v>
      </c>
      <c r="AC61" s="1057">
        <v>21</v>
      </c>
      <c r="AD61" s="6886">
        <f t="shared" si="9"/>
        <v>1.1904761904761905</v>
      </c>
    </row>
    <row r="62" spans="2:30" ht="14.4">
      <c r="B62" s="3012" t="s">
        <v>997</v>
      </c>
      <c r="D62" s="1055">
        <v>4</v>
      </c>
      <c r="E62" s="1055">
        <v>6</v>
      </c>
      <c r="F62" s="2209">
        <f>D62/E62</f>
        <v>0.66666666666666663</v>
      </c>
      <c r="H62" s="1055">
        <v>3</v>
      </c>
      <c r="I62" s="1055">
        <v>7</v>
      </c>
      <c r="J62" s="2209">
        <f>H62/I62</f>
        <v>0.42857142857142855</v>
      </c>
      <c r="L62" s="1055">
        <v>4</v>
      </c>
      <c r="M62" s="1055">
        <v>7</v>
      </c>
      <c r="N62" s="2209">
        <f t="shared" si="2"/>
        <v>0.5714285714285714</v>
      </c>
      <c r="P62" s="1055">
        <v>4</v>
      </c>
      <c r="Q62" s="1055">
        <v>8</v>
      </c>
      <c r="R62" s="2209">
        <f>P62/Q62</f>
        <v>0.5</v>
      </c>
      <c r="T62" s="1142">
        <v>3</v>
      </c>
      <c r="U62" s="1055">
        <v>9</v>
      </c>
      <c r="V62" s="2209">
        <f>T62/U62</f>
        <v>0.33333333333333331</v>
      </c>
      <c r="X62" s="1142">
        <v>6</v>
      </c>
      <c r="Y62" s="1055">
        <v>9</v>
      </c>
      <c r="Z62" s="2209">
        <f>X62/Y62</f>
        <v>0.66666666666666663</v>
      </c>
      <c r="AB62" s="1142">
        <v>5</v>
      </c>
      <c r="AC62" s="1055">
        <v>8</v>
      </c>
      <c r="AD62" s="2209">
        <f>AB62/AC62</f>
        <v>0.625</v>
      </c>
    </row>
    <row r="63" spans="2:30" ht="14.4">
      <c r="B63" s="3012" t="s">
        <v>998</v>
      </c>
      <c r="D63" s="1055">
        <v>4</v>
      </c>
      <c r="E63" s="1055">
        <v>3</v>
      </c>
      <c r="F63" s="2209">
        <f>D63/E63</f>
        <v>1.3333333333333333</v>
      </c>
      <c r="H63" s="1055">
        <v>5</v>
      </c>
      <c r="I63" s="1055">
        <v>6</v>
      </c>
      <c r="J63" s="2209">
        <f>H63/I63</f>
        <v>0.83333333333333337</v>
      </c>
      <c r="L63" s="1055">
        <v>5</v>
      </c>
      <c r="M63" s="1055">
        <v>4</v>
      </c>
      <c r="N63" s="2209">
        <f t="shared" si="2"/>
        <v>1.25</v>
      </c>
      <c r="P63" s="1055">
        <v>5</v>
      </c>
      <c r="Q63" s="1055">
        <v>4</v>
      </c>
      <c r="R63" s="2209">
        <f>P63/Q63</f>
        <v>1.25</v>
      </c>
      <c r="T63" s="1142">
        <v>6</v>
      </c>
      <c r="U63" s="1055">
        <v>5</v>
      </c>
      <c r="V63" s="2209">
        <f>T63/U63</f>
        <v>1.2</v>
      </c>
      <c r="X63" s="1142">
        <v>7</v>
      </c>
      <c r="Y63" s="1055">
        <v>5</v>
      </c>
      <c r="Z63" s="2209">
        <f>X63/Y63</f>
        <v>1.4</v>
      </c>
      <c r="AB63" s="1142">
        <v>7</v>
      </c>
      <c r="AC63" s="1055">
        <v>6</v>
      </c>
      <c r="AD63" s="2209">
        <f>AB63/AC63</f>
        <v>1.1666666666666667</v>
      </c>
    </row>
    <row r="64" spans="2:30" ht="15" thickBot="1">
      <c r="B64" s="3013" t="s">
        <v>999</v>
      </c>
      <c r="D64" s="1055">
        <v>13</v>
      </c>
      <c r="E64" s="1055">
        <v>13</v>
      </c>
      <c r="F64" s="2209">
        <v>1</v>
      </c>
      <c r="H64" s="1055">
        <v>10</v>
      </c>
      <c r="I64" s="1055">
        <v>13</v>
      </c>
      <c r="J64" s="2209">
        <v>1</v>
      </c>
      <c r="L64" s="1055">
        <v>13</v>
      </c>
      <c r="M64" s="1055">
        <v>14</v>
      </c>
      <c r="N64" s="2209">
        <f t="shared" si="2"/>
        <v>0.9285714285714286</v>
      </c>
      <c r="P64" s="1055">
        <v>13</v>
      </c>
      <c r="Q64" s="1055">
        <v>14</v>
      </c>
      <c r="R64" s="2209">
        <v>1</v>
      </c>
      <c r="T64" s="1142">
        <v>11</v>
      </c>
      <c r="U64" s="1055">
        <v>13</v>
      </c>
      <c r="V64" s="2209">
        <v>1</v>
      </c>
      <c r="X64" s="1142">
        <v>14</v>
      </c>
      <c r="Y64" s="1055">
        <v>11</v>
      </c>
      <c r="Z64" s="2209">
        <v>1</v>
      </c>
      <c r="AB64" s="1142">
        <v>14</v>
      </c>
      <c r="AC64" s="1055">
        <v>14</v>
      </c>
      <c r="AD64" s="2209">
        <v>1</v>
      </c>
    </row>
    <row r="65" spans="2:30" ht="14.4">
      <c r="B65" s="2419" t="s">
        <v>16</v>
      </c>
      <c r="D65" s="1060">
        <v>21</v>
      </c>
      <c r="E65" s="1060">
        <f>SUM(E62:E64)</f>
        <v>22</v>
      </c>
      <c r="F65" s="2210">
        <v>1</v>
      </c>
      <c r="H65" s="1060">
        <v>18</v>
      </c>
      <c r="I65" s="1060">
        <v>26</v>
      </c>
      <c r="J65" s="2210"/>
      <c r="L65" s="1060">
        <v>22</v>
      </c>
      <c r="M65" s="1060">
        <v>25</v>
      </c>
      <c r="N65" s="2210">
        <f t="shared" si="2"/>
        <v>0.88</v>
      </c>
      <c r="P65" s="1060">
        <v>22</v>
      </c>
      <c r="Q65" s="1060">
        <f>SUM(Q62:Q64)</f>
        <v>26</v>
      </c>
      <c r="R65" s="2210"/>
      <c r="T65" s="1148">
        <f>SUM(T62:T64)</f>
        <v>20</v>
      </c>
      <c r="U65" s="1060">
        <f>SUM(U62:U64)</f>
        <v>27</v>
      </c>
      <c r="V65" s="2210"/>
      <c r="X65" s="1148">
        <v>27</v>
      </c>
      <c r="Y65" s="1060">
        <v>25</v>
      </c>
      <c r="Z65" s="2210"/>
      <c r="AB65" s="1148">
        <v>26</v>
      </c>
      <c r="AC65" s="1060">
        <v>28</v>
      </c>
      <c r="AD65" s="6886">
        <v>1</v>
      </c>
    </row>
    <row r="66" spans="2:30" ht="14.4">
      <c r="B66" s="3014" t="s">
        <v>895</v>
      </c>
      <c r="D66" s="2222">
        <v>51</v>
      </c>
      <c r="E66" s="2222">
        <f>SUM(E57,E61,E65)</f>
        <v>59</v>
      </c>
      <c r="F66" s="2214">
        <f t="shared" ref="F66:F84" si="10">D66/E66</f>
        <v>0.86440677966101698</v>
      </c>
      <c r="H66" s="2222">
        <v>51</v>
      </c>
      <c r="I66" s="2222">
        <v>64</v>
      </c>
      <c r="J66" s="2214">
        <f t="shared" ref="J66:J84" si="11">H66/I66</f>
        <v>0.796875</v>
      </c>
      <c r="L66" s="2222">
        <v>59</v>
      </c>
      <c r="M66" s="2222">
        <v>67</v>
      </c>
      <c r="N66" s="2214">
        <f t="shared" ref="N66:N82" si="12">L66/M66</f>
        <v>0.88059701492537312</v>
      </c>
      <c r="P66" s="2222">
        <v>61</v>
      </c>
      <c r="Q66" s="2222">
        <f>SUM(Q57,Q61,Q65)</f>
        <v>68</v>
      </c>
      <c r="R66" s="2214">
        <f t="shared" ref="R66:R82" si="13">P66/Q66</f>
        <v>0.8970588235294118</v>
      </c>
      <c r="T66" s="2243">
        <f>SUM(T57,T61,T65)</f>
        <v>60</v>
      </c>
      <c r="U66" s="2222">
        <f>SUM(U57,U61,U65)</f>
        <v>68</v>
      </c>
      <c r="V66" s="2214">
        <f t="shared" ref="V66:V82" si="14">T66/U66</f>
        <v>0.88235294117647056</v>
      </c>
      <c r="X66" s="2243">
        <v>66</v>
      </c>
      <c r="Y66" s="2222">
        <v>64</v>
      </c>
      <c r="Z66" s="2214">
        <f t="shared" ref="Z66:Z82" si="15">X66/Y66</f>
        <v>1.03125</v>
      </c>
      <c r="AB66" s="2243">
        <v>61</v>
      </c>
      <c r="AC66" s="2222">
        <v>69</v>
      </c>
      <c r="AD66" s="2214">
        <f t="shared" ref="AD66:AD82" si="16">AB66/AC66</f>
        <v>0.88405797101449279</v>
      </c>
    </row>
    <row r="67" spans="2:30" ht="14.4">
      <c r="B67" s="3002" t="s">
        <v>1000</v>
      </c>
      <c r="D67" s="1059">
        <v>38</v>
      </c>
      <c r="E67" s="1059">
        <v>64</v>
      </c>
      <c r="F67" s="2208">
        <f t="shared" si="10"/>
        <v>0.59375</v>
      </c>
      <c r="H67" s="1059">
        <v>38</v>
      </c>
      <c r="I67" s="1059">
        <v>64</v>
      </c>
      <c r="J67" s="2208">
        <f t="shared" si="11"/>
        <v>0.59375</v>
      </c>
      <c r="L67" s="1059">
        <v>33</v>
      </c>
      <c r="M67" s="1059">
        <v>67</v>
      </c>
      <c r="N67" s="2208">
        <f t="shared" si="12"/>
        <v>0.4925373134328358</v>
      </c>
      <c r="P67" s="1059">
        <v>30</v>
      </c>
      <c r="Q67" s="1059">
        <v>64</v>
      </c>
      <c r="R67" s="2208">
        <f t="shared" si="13"/>
        <v>0.46875</v>
      </c>
      <c r="T67" s="1147">
        <v>35</v>
      </c>
      <c r="U67" s="1059">
        <v>60</v>
      </c>
      <c r="V67" s="2208">
        <f t="shared" si="14"/>
        <v>0.58333333333333337</v>
      </c>
      <c r="X67" s="1147">
        <v>37</v>
      </c>
      <c r="Y67" s="1059">
        <v>63</v>
      </c>
      <c r="Z67" s="2208">
        <f t="shared" si="15"/>
        <v>0.58730158730158732</v>
      </c>
      <c r="AB67" s="1147">
        <v>42</v>
      </c>
      <c r="AC67" s="1059">
        <v>62</v>
      </c>
      <c r="AD67" s="2208">
        <f t="shared" si="16"/>
        <v>0.67741935483870963</v>
      </c>
    </row>
    <row r="68" spans="2:30" ht="14.4">
      <c r="B68" s="3007" t="s">
        <v>1001</v>
      </c>
      <c r="D68" s="1053">
        <v>14</v>
      </c>
      <c r="E68" s="1053">
        <v>28</v>
      </c>
      <c r="F68" s="2209">
        <f t="shared" si="10"/>
        <v>0.5</v>
      </c>
      <c r="H68" s="1053">
        <v>12</v>
      </c>
      <c r="I68" s="1053">
        <v>28</v>
      </c>
      <c r="J68" s="2209">
        <f t="shared" si="11"/>
        <v>0.42857142857142855</v>
      </c>
      <c r="L68" s="1053">
        <v>10</v>
      </c>
      <c r="M68" s="1053">
        <v>28</v>
      </c>
      <c r="N68" s="2209">
        <f t="shared" si="12"/>
        <v>0.35714285714285715</v>
      </c>
      <c r="P68" s="1053">
        <v>12</v>
      </c>
      <c r="Q68" s="1053">
        <v>28</v>
      </c>
      <c r="R68" s="2209">
        <f t="shared" si="13"/>
        <v>0.42857142857142855</v>
      </c>
      <c r="T68" s="1138">
        <v>8</v>
      </c>
      <c r="U68" s="1053">
        <v>30</v>
      </c>
      <c r="V68" s="2209">
        <f t="shared" si="14"/>
        <v>0.26666666666666666</v>
      </c>
      <c r="X68" s="1138">
        <v>13</v>
      </c>
      <c r="Y68" s="1053">
        <v>28</v>
      </c>
      <c r="Z68" s="2209">
        <f t="shared" si="15"/>
        <v>0.4642857142857143</v>
      </c>
      <c r="AB68" s="1138">
        <v>15</v>
      </c>
      <c r="AC68" s="1053">
        <v>30</v>
      </c>
      <c r="AD68" s="2209">
        <f t="shared" si="16"/>
        <v>0.5</v>
      </c>
    </row>
    <row r="69" spans="2:30" ht="14.4">
      <c r="B69" s="3007" t="s">
        <v>1002</v>
      </c>
      <c r="D69" s="1055">
        <v>24</v>
      </c>
      <c r="E69" s="1055">
        <v>55</v>
      </c>
      <c r="F69" s="2209">
        <f t="shared" si="10"/>
        <v>0.43636363636363634</v>
      </c>
      <c r="H69" s="1055">
        <v>24</v>
      </c>
      <c r="I69" s="1055">
        <v>55</v>
      </c>
      <c r="J69" s="2209">
        <f t="shared" si="11"/>
        <v>0.43636363636363634</v>
      </c>
      <c r="L69" s="1055">
        <v>22</v>
      </c>
      <c r="M69" s="1055">
        <v>57</v>
      </c>
      <c r="N69" s="2209">
        <f t="shared" si="12"/>
        <v>0.38596491228070173</v>
      </c>
      <c r="P69" s="1055">
        <v>23</v>
      </c>
      <c r="Q69" s="1055">
        <v>56</v>
      </c>
      <c r="R69" s="2209">
        <f t="shared" si="13"/>
        <v>0.4107142857142857</v>
      </c>
      <c r="T69" s="1142">
        <v>27</v>
      </c>
      <c r="U69" s="1055">
        <v>58</v>
      </c>
      <c r="V69" s="2209">
        <f t="shared" si="14"/>
        <v>0.46551724137931033</v>
      </c>
      <c r="X69" s="1142">
        <v>37</v>
      </c>
      <c r="Y69" s="1055">
        <v>59</v>
      </c>
      <c r="Z69" s="2209">
        <f t="shared" si="15"/>
        <v>0.6271186440677966</v>
      </c>
      <c r="AB69" s="1142">
        <v>34</v>
      </c>
      <c r="AC69" s="1055">
        <v>57</v>
      </c>
      <c r="AD69" s="2209">
        <f t="shared" si="16"/>
        <v>0.59649122807017541</v>
      </c>
    </row>
    <row r="70" spans="2:30" ht="15" thickBot="1">
      <c r="B70" s="3008" t="s">
        <v>1003</v>
      </c>
      <c r="D70" s="1053">
        <v>40</v>
      </c>
      <c r="E70" s="1053">
        <v>47</v>
      </c>
      <c r="F70" s="2209">
        <f t="shared" si="10"/>
        <v>0.85106382978723405</v>
      </c>
      <c r="H70" s="1053">
        <v>36</v>
      </c>
      <c r="I70" s="1053">
        <v>48</v>
      </c>
      <c r="J70" s="2209">
        <f t="shared" si="11"/>
        <v>0.75</v>
      </c>
      <c r="L70" s="1053">
        <v>40</v>
      </c>
      <c r="M70" s="1053">
        <v>50</v>
      </c>
      <c r="N70" s="2209">
        <f t="shared" si="12"/>
        <v>0.8</v>
      </c>
      <c r="P70" s="1053">
        <v>41</v>
      </c>
      <c r="Q70" s="1053">
        <v>49</v>
      </c>
      <c r="R70" s="2209">
        <f t="shared" si="13"/>
        <v>0.83673469387755106</v>
      </c>
      <c r="T70" s="1138">
        <v>40</v>
      </c>
      <c r="U70" s="1053">
        <v>49</v>
      </c>
      <c r="V70" s="2209">
        <f t="shared" si="14"/>
        <v>0.81632653061224492</v>
      </c>
      <c r="X70" s="1138">
        <v>38</v>
      </c>
      <c r="Y70" s="1053">
        <v>48</v>
      </c>
      <c r="Z70" s="2209">
        <f t="shared" si="15"/>
        <v>0.79166666666666663</v>
      </c>
      <c r="AB70" s="1138">
        <v>36</v>
      </c>
      <c r="AC70" s="1053">
        <v>46</v>
      </c>
      <c r="AD70" s="2209">
        <f t="shared" si="16"/>
        <v>0.78260869565217395</v>
      </c>
    </row>
    <row r="71" spans="2:30" ht="15" thickBot="1">
      <c r="B71" s="2418" t="s">
        <v>41</v>
      </c>
      <c r="D71" s="1057">
        <v>116</v>
      </c>
      <c r="E71" s="1057">
        <f>SUM(E67:E70)</f>
        <v>194</v>
      </c>
      <c r="F71" s="2210">
        <f t="shared" si="10"/>
        <v>0.59793814432989689</v>
      </c>
      <c r="H71" s="1057">
        <v>110</v>
      </c>
      <c r="I71" s="1057">
        <v>195</v>
      </c>
      <c r="J71" s="2210">
        <f t="shared" si="11"/>
        <v>0.5641025641025641</v>
      </c>
      <c r="L71" s="1057">
        <v>105</v>
      </c>
      <c r="M71" s="1057">
        <v>202</v>
      </c>
      <c r="N71" s="2210">
        <f t="shared" si="12"/>
        <v>0.51980198019801982</v>
      </c>
      <c r="P71" s="1057">
        <v>106</v>
      </c>
      <c r="Q71" s="1057">
        <f>SUM(Q67:Q70)</f>
        <v>197</v>
      </c>
      <c r="R71" s="2210">
        <f t="shared" si="13"/>
        <v>0.53807106598984766</v>
      </c>
      <c r="T71" s="1145">
        <f>SUM(T67:T70)</f>
        <v>110</v>
      </c>
      <c r="U71" s="1057">
        <v>197</v>
      </c>
      <c r="V71" s="2210">
        <f t="shared" si="14"/>
        <v>0.55837563451776651</v>
      </c>
      <c r="X71" s="1145">
        <v>125</v>
      </c>
      <c r="Y71" s="1057">
        <v>198</v>
      </c>
      <c r="Z71" s="2210">
        <f t="shared" si="15"/>
        <v>0.63131313131313127</v>
      </c>
      <c r="AB71" s="1145">
        <v>127</v>
      </c>
      <c r="AC71" s="1057">
        <v>195</v>
      </c>
      <c r="AD71" s="2210">
        <f t="shared" si="16"/>
        <v>0.6512820512820513</v>
      </c>
    </row>
    <row r="72" spans="2:30" ht="14.4">
      <c r="B72" s="3006" t="s">
        <v>1004</v>
      </c>
      <c r="D72" s="1053">
        <v>27</v>
      </c>
      <c r="E72" s="1053">
        <v>66</v>
      </c>
      <c r="F72" s="2209">
        <f t="shared" si="10"/>
        <v>0.40909090909090912</v>
      </c>
      <c r="H72" s="1053">
        <v>29</v>
      </c>
      <c r="I72" s="1053">
        <v>69</v>
      </c>
      <c r="J72" s="2209">
        <f t="shared" si="11"/>
        <v>0.42028985507246375</v>
      </c>
      <c r="L72" s="1053">
        <v>26</v>
      </c>
      <c r="M72" s="1053">
        <v>67</v>
      </c>
      <c r="N72" s="2209">
        <f t="shared" si="12"/>
        <v>0.38805970149253732</v>
      </c>
      <c r="P72" s="1053">
        <v>25</v>
      </c>
      <c r="Q72" s="1053">
        <v>68</v>
      </c>
      <c r="R72" s="2209">
        <f t="shared" si="13"/>
        <v>0.36764705882352944</v>
      </c>
      <c r="T72" s="1138">
        <v>24</v>
      </c>
      <c r="U72" s="1053">
        <v>66</v>
      </c>
      <c r="V72" s="2209">
        <f t="shared" si="14"/>
        <v>0.36363636363636365</v>
      </c>
      <c r="X72" s="1138">
        <v>28</v>
      </c>
      <c r="Y72" s="1053">
        <v>65</v>
      </c>
      <c r="Z72" s="2209">
        <f t="shared" si="15"/>
        <v>0.43076923076923079</v>
      </c>
      <c r="AB72" s="1138">
        <v>36</v>
      </c>
      <c r="AC72" s="1053">
        <v>66</v>
      </c>
      <c r="AD72" s="2209">
        <f t="shared" si="16"/>
        <v>0.54545454545454541</v>
      </c>
    </row>
    <row r="73" spans="2:30" ht="14.4">
      <c r="B73" s="3007" t="s">
        <v>1005</v>
      </c>
      <c r="D73" s="1055">
        <v>36</v>
      </c>
      <c r="E73" s="1055">
        <v>64</v>
      </c>
      <c r="F73" s="2209">
        <f t="shared" si="10"/>
        <v>0.5625</v>
      </c>
      <c r="H73" s="1055">
        <v>35</v>
      </c>
      <c r="I73" s="1055">
        <v>67</v>
      </c>
      <c r="J73" s="2209">
        <f t="shared" si="11"/>
        <v>0.52238805970149249</v>
      </c>
      <c r="L73" s="1055">
        <v>37</v>
      </c>
      <c r="M73" s="1055">
        <v>70</v>
      </c>
      <c r="N73" s="2209">
        <f t="shared" si="12"/>
        <v>0.52857142857142858</v>
      </c>
      <c r="P73" s="1055">
        <v>36</v>
      </c>
      <c r="Q73" s="1055">
        <v>65</v>
      </c>
      <c r="R73" s="2209">
        <f t="shared" si="13"/>
        <v>0.55384615384615388</v>
      </c>
      <c r="T73" s="1142">
        <v>39</v>
      </c>
      <c r="U73" s="1055">
        <v>63</v>
      </c>
      <c r="V73" s="2209">
        <f t="shared" si="14"/>
        <v>0.61904761904761907</v>
      </c>
      <c r="X73" s="1142">
        <v>41</v>
      </c>
      <c r="Y73" s="1055">
        <v>62</v>
      </c>
      <c r="Z73" s="2209">
        <f t="shared" si="15"/>
        <v>0.66129032258064513</v>
      </c>
      <c r="AB73" s="1142">
        <v>46</v>
      </c>
      <c r="AC73" s="1055">
        <v>66</v>
      </c>
      <c r="AD73" s="2209">
        <f t="shared" si="16"/>
        <v>0.69696969696969702</v>
      </c>
    </row>
    <row r="74" spans="2:30" ht="14.4">
      <c r="B74" s="3007" t="s">
        <v>1006</v>
      </c>
      <c r="D74" s="1055">
        <v>34</v>
      </c>
      <c r="E74" s="1055">
        <v>46</v>
      </c>
      <c r="F74" s="2209">
        <f t="shared" si="10"/>
        <v>0.73913043478260865</v>
      </c>
      <c r="H74" s="1055">
        <v>33</v>
      </c>
      <c r="I74" s="1055">
        <v>47</v>
      </c>
      <c r="J74" s="2209">
        <f t="shared" si="11"/>
        <v>0.7021276595744681</v>
      </c>
      <c r="L74" s="1055">
        <v>33</v>
      </c>
      <c r="M74" s="1055">
        <v>51</v>
      </c>
      <c r="N74" s="2209">
        <f t="shared" si="12"/>
        <v>0.6470588235294118</v>
      </c>
      <c r="P74" s="1055">
        <v>35</v>
      </c>
      <c r="Q74" s="1055">
        <v>51</v>
      </c>
      <c r="R74" s="2209">
        <f t="shared" si="13"/>
        <v>0.68627450980392157</v>
      </c>
      <c r="T74" s="1142">
        <v>33</v>
      </c>
      <c r="U74" s="1055">
        <v>51</v>
      </c>
      <c r="V74" s="2209">
        <f t="shared" si="14"/>
        <v>0.6470588235294118</v>
      </c>
      <c r="X74" s="1142">
        <v>35</v>
      </c>
      <c r="Y74" s="1055">
        <v>52</v>
      </c>
      <c r="Z74" s="2209">
        <f t="shared" si="15"/>
        <v>0.67307692307692313</v>
      </c>
      <c r="AB74" s="1142">
        <v>33</v>
      </c>
      <c r="AC74" s="1055">
        <v>48</v>
      </c>
      <c r="AD74" s="2209">
        <f t="shared" si="16"/>
        <v>0.6875</v>
      </c>
    </row>
    <row r="75" spans="2:30" ht="15" thickBot="1">
      <c r="B75" s="3007" t="s">
        <v>1007</v>
      </c>
      <c r="D75" s="1055">
        <v>20</v>
      </c>
      <c r="E75" s="1055">
        <v>34</v>
      </c>
      <c r="F75" s="2209">
        <f t="shared" si="10"/>
        <v>0.58823529411764708</v>
      </c>
      <c r="H75" s="1055">
        <v>20</v>
      </c>
      <c r="I75" s="1055">
        <v>35</v>
      </c>
      <c r="J75" s="2209">
        <f t="shared" si="11"/>
        <v>0.5714285714285714</v>
      </c>
      <c r="L75" s="1055">
        <v>21</v>
      </c>
      <c r="M75" s="1055">
        <v>39</v>
      </c>
      <c r="N75" s="2209">
        <f t="shared" si="12"/>
        <v>0.53846153846153844</v>
      </c>
      <c r="P75" s="1055">
        <v>22</v>
      </c>
      <c r="Q75" s="1055">
        <v>40</v>
      </c>
      <c r="R75" s="2209">
        <f t="shared" si="13"/>
        <v>0.55000000000000004</v>
      </c>
      <c r="T75" s="1142">
        <v>23</v>
      </c>
      <c r="U75" s="1055">
        <v>39</v>
      </c>
      <c r="V75" s="2209">
        <f t="shared" si="14"/>
        <v>0.58974358974358976</v>
      </c>
      <c r="X75" s="1142">
        <v>24</v>
      </c>
      <c r="Y75" s="1055">
        <v>38</v>
      </c>
      <c r="Z75" s="2209">
        <f t="shared" si="15"/>
        <v>0.63157894736842102</v>
      </c>
      <c r="AB75" s="1142">
        <v>28</v>
      </c>
      <c r="AC75" s="1055">
        <v>39</v>
      </c>
      <c r="AD75" s="2209">
        <f t="shared" si="16"/>
        <v>0.71794871794871795</v>
      </c>
    </row>
    <row r="76" spans="2:30" ht="15" thickBot="1">
      <c r="B76" s="2418" t="s">
        <v>16</v>
      </c>
      <c r="D76" s="1057">
        <v>117</v>
      </c>
      <c r="E76" s="1057">
        <f>SUM(E72:E75)</f>
        <v>210</v>
      </c>
      <c r="F76" s="2210">
        <f t="shared" si="10"/>
        <v>0.55714285714285716</v>
      </c>
      <c r="H76" s="1057">
        <v>117</v>
      </c>
      <c r="I76" s="1057">
        <v>218</v>
      </c>
      <c r="J76" s="2210">
        <f t="shared" si="11"/>
        <v>0.53669724770642202</v>
      </c>
      <c r="L76" s="1057">
        <v>117</v>
      </c>
      <c r="M76" s="1057">
        <v>227</v>
      </c>
      <c r="N76" s="2210">
        <f t="shared" si="12"/>
        <v>0.51541850220264318</v>
      </c>
      <c r="P76" s="1057">
        <v>118</v>
      </c>
      <c r="Q76" s="1057">
        <f>SUM(Q72:Q75)</f>
        <v>224</v>
      </c>
      <c r="R76" s="2210">
        <f t="shared" si="13"/>
        <v>0.5267857142857143</v>
      </c>
      <c r="T76" s="1145">
        <f>SUM(T72:T75)</f>
        <v>119</v>
      </c>
      <c r="U76" s="1057">
        <v>219</v>
      </c>
      <c r="V76" s="2210">
        <f t="shared" si="14"/>
        <v>0.54337899543378998</v>
      </c>
      <c r="X76" s="1145">
        <v>128</v>
      </c>
      <c r="Y76" s="1057">
        <v>217</v>
      </c>
      <c r="Z76" s="2210">
        <f t="shared" si="15"/>
        <v>0.58986175115207373</v>
      </c>
      <c r="AB76" s="1145">
        <v>143</v>
      </c>
      <c r="AC76" s="1057">
        <v>219</v>
      </c>
      <c r="AD76" s="2210">
        <f t="shared" si="16"/>
        <v>0.65296803652968038</v>
      </c>
    </row>
    <row r="77" spans="2:30" ht="14.4">
      <c r="B77" s="3006" t="s">
        <v>1008</v>
      </c>
      <c r="D77" s="1053">
        <v>6</v>
      </c>
      <c r="E77" s="1053">
        <v>17</v>
      </c>
      <c r="F77" s="2209">
        <f t="shared" si="10"/>
        <v>0.35294117647058826</v>
      </c>
      <c r="H77" s="1053">
        <v>7</v>
      </c>
      <c r="I77" s="1053">
        <v>17</v>
      </c>
      <c r="J77" s="2209">
        <f t="shared" si="11"/>
        <v>0.41176470588235292</v>
      </c>
      <c r="L77" s="1053">
        <v>5</v>
      </c>
      <c r="M77" s="1053">
        <v>19</v>
      </c>
      <c r="N77" s="2209">
        <f t="shared" si="12"/>
        <v>0.26315789473684209</v>
      </c>
      <c r="P77" s="1053">
        <v>4</v>
      </c>
      <c r="Q77" s="1053">
        <v>19</v>
      </c>
      <c r="R77" s="2209">
        <f t="shared" si="13"/>
        <v>0.21052631578947367</v>
      </c>
      <c r="T77" s="1138">
        <v>4</v>
      </c>
      <c r="U77" s="1053">
        <v>19</v>
      </c>
      <c r="V77" s="2209">
        <f t="shared" si="14"/>
        <v>0.21052631578947367</v>
      </c>
      <c r="X77" s="1138">
        <v>3</v>
      </c>
      <c r="Y77" s="1053">
        <v>20</v>
      </c>
      <c r="Z77" s="2209">
        <f t="shared" si="15"/>
        <v>0.15</v>
      </c>
      <c r="AB77" s="1138">
        <v>3</v>
      </c>
      <c r="AC77" s="1053">
        <v>19</v>
      </c>
      <c r="AD77" s="2209">
        <f t="shared" si="16"/>
        <v>0.15789473684210525</v>
      </c>
    </row>
    <row r="78" spans="2:30" ht="14.4">
      <c r="B78" s="3007" t="s">
        <v>1009</v>
      </c>
      <c r="D78" s="1053">
        <v>2</v>
      </c>
      <c r="E78" s="1053">
        <v>6</v>
      </c>
      <c r="F78" s="2209">
        <f t="shared" si="10"/>
        <v>0.33333333333333331</v>
      </c>
      <c r="H78" s="1053">
        <v>3</v>
      </c>
      <c r="I78" s="1053">
        <v>6</v>
      </c>
      <c r="J78" s="2209">
        <f t="shared" si="11"/>
        <v>0.5</v>
      </c>
      <c r="L78" s="1053">
        <v>3</v>
      </c>
      <c r="M78" s="1053">
        <v>7</v>
      </c>
      <c r="N78" s="2209">
        <f t="shared" si="12"/>
        <v>0.42857142857142855</v>
      </c>
      <c r="P78" s="1053">
        <v>4</v>
      </c>
      <c r="Q78" s="1053">
        <v>7</v>
      </c>
      <c r="R78" s="2209">
        <f t="shared" si="13"/>
        <v>0.5714285714285714</v>
      </c>
      <c r="T78" s="1138">
        <v>4</v>
      </c>
      <c r="U78" s="1053">
        <v>9</v>
      </c>
      <c r="V78" s="2209">
        <f t="shared" si="14"/>
        <v>0.44444444444444442</v>
      </c>
      <c r="X78" s="1138">
        <v>2</v>
      </c>
      <c r="Y78" s="1053">
        <v>9</v>
      </c>
      <c r="Z78" s="2209">
        <f t="shared" si="15"/>
        <v>0.22222222222222221</v>
      </c>
      <c r="AB78" s="1138">
        <v>2</v>
      </c>
      <c r="AC78" s="1053">
        <v>8</v>
      </c>
      <c r="AD78" s="2209">
        <f t="shared" si="16"/>
        <v>0.25</v>
      </c>
    </row>
    <row r="79" spans="2:30" ht="14.4">
      <c r="B79" s="3007" t="s">
        <v>1010</v>
      </c>
      <c r="D79" s="1053">
        <v>1</v>
      </c>
      <c r="E79" s="1053">
        <v>6</v>
      </c>
      <c r="F79" s="2209">
        <f t="shared" si="10"/>
        <v>0.16666666666666666</v>
      </c>
      <c r="H79" s="1053">
        <v>2</v>
      </c>
      <c r="I79" s="1053">
        <v>7</v>
      </c>
      <c r="J79" s="2209">
        <f t="shared" si="11"/>
        <v>0.2857142857142857</v>
      </c>
      <c r="L79" s="1053">
        <v>2</v>
      </c>
      <c r="M79" s="1053">
        <v>9</v>
      </c>
      <c r="N79" s="2209">
        <f t="shared" si="12"/>
        <v>0.22222222222222221</v>
      </c>
      <c r="P79" s="1053">
        <v>2</v>
      </c>
      <c r="Q79" s="1053">
        <v>9</v>
      </c>
      <c r="R79" s="2209">
        <f t="shared" si="13"/>
        <v>0.22222222222222221</v>
      </c>
      <c r="T79" s="1138">
        <v>0</v>
      </c>
      <c r="U79" s="1053">
        <v>8</v>
      </c>
      <c r="V79" s="2209">
        <f t="shared" si="14"/>
        <v>0</v>
      </c>
      <c r="X79" s="1138">
        <v>2</v>
      </c>
      <c r="Y79" s="1053">
        <v>6</v>
      </c>
      <c r="Z79" s="2209">
        <f t="shared" si="15"/>
        <v>0.33333333333333331</v>
      </c>
      <c r="AB79" s="1138">
        <v>2</v>
      </c>
      <c r="AC79" s="1053">
        <v>7</v>
      </c>
      <c r="AD79" s="2209">
        <f t="shared" si="16"/>
        <v>0.2857142857142857</v>
      </c>
    </row>
    <row r="80" spans="2:30" ht="15" thickBot="1">
      <c r="B80" s="3019" t="s">
        <v>1011</v>
      </c>
      <c r="D80" s="1053">
        <v>7</v>
      </c>
      <c r="E80" s="1053">
        <v>12</v>
      </c>
      <c r="F80" s="2209">
        <f t="shared" si="10"/>
        <v>0.58333333333333337</v>
      </c>
      <c r="H80" s="1053">
        <v>8</v>
      </c>
      <c r="I80" s="1053">
        <v>13</v>
      </c>
      <c r="J80" s="2209">
        <f t="shared" si="11"/>
        <v>0.61538461538461542</v>
      </c>
      <c r="L80" s="1053">
        <v>9</v>
      </c>
      <c r="M80" s="1053">
        <v>15</v>
      </c>
      <c r="N80" s="2209">
        <f t="shared" si="12"/>
        <v>0.6</v>
      </c>
      <c r="P80" s="1053">
        <v>7</v>
      </c>
      <c r="Q80" s="1053">
        <v>15</v>
      </c>
      <c r="R80" s="2209">
        <f t="shared" si="13"/>
        <v>0.46666666666666667</v>
      </c>
      <c r="T80" s="1138">
        <v>6</v>
      </c>
      <c r="U80" s="1053">
        <v>17</v>
      </c>
      <c r="V80" s="2209">
        <f t="shared" si="14"/>
        <v>0.35294117647058826</v>
      </c>
      <c r="X80" s="1138">
        <v>6</v>
      </c>
      <c r="Y80" s="1053">
        <v>17</v>
      </c>
      <c r="Z80" s="2209">
        <f t="shared" si="15"/>
        <v>0.35294117647058826</v>
      </c>
      <c r="AB80" s="1138">
        <v>7</v>
      </c>
      <c r="AC80" s="1053">
        <v>19</v>
      </c>
      <c r="AD80" s="2209">
        <f t="shared" si="16"/>
        <v>0.36842105263157893</v>
      </c>
    </row>
    <row r="81" spans="1:30" ht="15" customHeight="1">
      <c r="B81" s="2419" t="s">
        <v>21</v>
      </c>
      <c r="D81" s="1060">
        <v>16</v>
      </c>
      <c r="E81" s="1060">
        <f>SUM(E77:E80)</f>
        <v>41</v>
      </c>
      <c r="F81" s="2210">
        <f t="shared" si="10"/>
        <v>0.3902439024390244</v>
      </c>
      <c r="H81" s="1060">
        <v>20</v>
      </c>
      <c r="I81" s="1060">
        <v>43</v>
      </c>
      <c r="J81" s="2210">
        <f t="shared" si="11"/>
        <v>0.46511627906976744</v>
      </c>
      <c r="L81" s="1060">
        <v>19</v>
      </c>
      <c r="M81" s="1060">
        <v>50</v>
      </c>
      <c r="N81" s="2210">
        <f t="shared" si="12"/>
        <v>0.38</v>
      </c>
      <c r="P81" s="1060">
        <v>17</v>
      </c>
      <c r="Q81" s="1060">
        <f>SUM(Q77:Q80)</f>
        <v>50</v>
      </c>
      <c r="R81" s="2210">
        <f t="shared" si="13"/>
        <v>0.34</v>
      </c>
      <c r="T81" s="1148">
        <f>SUM(T77:T80)</f>
        <v>14</v>
      </c>
      <c r="U81" s="1060">
        <f>SUM(U77:U80)</f>
        <v>53</v>
      </c>
      <c r="V81" s="2210">
        <f t="shared" si="14"/>
        <v>0.26415094339622641</v>
      </c>
      <c r="X81" s="1148">
        <v>13</v>
      </c>
      <c r="Y81" s="1060">
        <v>52</v>
      </c>
      <c r="Z81" s="2210">
        <f t="shared" si="15"/>
        <v>0.25</v>
      </c>
      <c r="AB81" s="1148">
        <v>14</v>
      </c>
      <c r="AC81" s="1060">
        <v>53</v>
      </c>
      <c r="AD81" s="2210">
        <f t="shared" si="16"/>
        <v>0.26415094339622641</v>
      </c>
    </row>
    <row r="82" spans="1:30" ht="15" customHeight="1">
      <c r="B82" s="3015" t="s">
        <v>898</v>
      </c>
      <c r="D82" s="2153">
        <f>SUM(D71,D76,D81)</f>
        <v>249</v>
      </c>
      <c r="E82" s="2153">
        <f>SUM(E81,E76,E71)</f>
        <v>445</v>
      </c>
      <c r="F82" s="2215">
        <f t="shared" si="10"/>
        <v>0.55955056179775275</v>
      </c>
      <c r="H82" s="2153">
        <v>247</v>
      </c>
      <c r="I82" s="2153">
        <v>456</v>
      </c>
      <c r="J82" s="2215">
        <f t="shared" si="11"/>
        <v>0.54166666666666663</v>
      </c>
      <c r="L82" s="2153">
        <v>241</v>
      </c>
      <c r="M82" s="2153">
        <v>479</v>
      </c>
      <c r="N82" s="2215">
        <f t="shared" si="12"/>
        <v>0.50313152400835071</v>
      </c>
      <c r="P82" s="2153">
        <v>241</v>
      </c>
      <c r="Q82" s="2153">
        <f>SUM(Q71,Q76,Q81)</f>
        <v>471</v>
      </c>
      <c r="R82" s="2215">
        <f t="shared" si="13"/>
        <v>0.51167728237791932</v>
      </c>
      <c r="T82" s="2155">
        <f>SUM(T71,T76,T81)</f>
        <v>243</v>
      </c>
      <c r="U82" s="2153">
        <f>SUM(U71,U76,U81)</f>
        <v>469</v>
      </c>
      <c r="V82" s="2215">
        <f t="shared" si="14"/>
        <v>0.51812366737739868</v>
      </c>
      <c r="X82" s="2155">
        <v>266</v>
      </c>
      <c r="Y82" s="2153">
        <v>467</v>
      </c>
      <c r="Z82" s="2215">
        <f t="shared" si="15"/>
        <v>0.56959314775160597</v>
      </c>
      <c r="AB82" s="2155">
        <v>284</v>
      </c>
      <c r="AC82" s="2153">
        <v>467</v>
      </c>
      <c r="AD82" s="2215">
        <f t="shared" si="16"/>
        <v>0.60813704496788012</v>
      </c>
    </row>
    <row r="83" spans="1:30" ht="15" customHeight="1">
      <c r="A83" s="43"/>
      <c r="B83" s="2223"/>
      <c r="D83" s="2223"/>
      <c r="E83" s="2223"/>
      <c r="F83" s="2223"/>
      <c r="H83" s="2223"/>
      <c r="I83" s="2223"/>
      <c r="J83" s="2223"/>
      <c r="L83" s="2223"/>
      <c r="M83" s="2223"/>
      <c r="N83" s="2223"/>
      <c r="P83" s="2223"/>
      <c r="Q83" s="2223"/>
      <c r="R83" s="2223"/>
      <c r="T83" s="2132"/>
      <c r="U83" s="2223"/>
      <c r="V83" s="2223"/>
      <c r="X83" s="2132"/>
      <c r="Y83" s="2223"/>
      <c r="Z83" s="2223"/>
      <c r="AB83" s="2132"/>
      <c r="AC83" s="2223"/>
      <c r="AD83" s="2223"/>
    </row>
    <row r="84" spans="1:30" ht="20.25" customHeight="1">
      <c r="B84" s="3016" t="s">
        <v>67</v>
      </c>
      <c r="D84" s="2154">
        <f>SUM(D22,D35,D53,D66,D82)</f>
        <v>1163</v>
      </c>
      <c r="E84" s="2154">
        <f>SUM(E22,E35,E53,E66,E82)</f>
        <v>1745</v>
      </c>
      <c r="F84" s="2216">
        <f t="shared" si="10"/>
        <v>0.66647564469914045</v>
      </c>
      <c r="H84" s="2154">
        <v>1135</v>
      </c>
      <c r="I84" s="2154">
        <v>1782</v>
      </c>
      <c r="J84" s="2224">
        <f t="shared" si="11"/>
        <v>0.6369248035914703</v>
      </c>
      <c r="L84" s="2154">
        <v>1156</v>
      </c>
      <c r="M84" s="2154">
        <f>SUM(M22,M35,M53,M66,M82)</f>
        <v>1830</v>
      </c>
      <c r="N84" s="2224">
        <f>L84/M84</f>
        <v>0.63169398907103824</v>
      </c>
      <c r="P84" s="2154">
        <v>1164</v>
      </c>
      <c r="Q84" s="2154">
        <f>SUM(Q22,Q35,Q53,Q66,Q82)</f>
        <v>1815</v>
      </c>
      <c r="R84" s="2224">
        <f>P84/Q84</f>
        <v>0.64132231404958673</v>
      </c>
      <c r="T84" s="2158">
        <f t="shared" ref="T84" si="17">SUM(T22,T35,T53,T66,T82)</f>
        <v>1191</v>
      </c>
      <c r="U84" s="2154">
        <f>SUM(U22,U35,U53,U66,U82)</f>
        <v>1812</v>
      </c>
      <c r="V84" s="2224">
        <f>T84/U84</f>
        <v>0.6572847682119205</v>
      </c>
      <c r="X84" s="2158">
        <f t="shared" ref="X84" si="18">SUM(X22,X35,X53,X66,X82)</f>
        <v>1253</v>
      </c>
      <c r="Y84" s="2154">
        <f>SUM(Y22,Y35,Y53,Y66,Y82)</f>
        <v>1792</v>
      </c>
      <c r="Z84" s="2224">
        <f>X84/Y84</f>
        <v>0.69921875</v>
      </c>
      <c r="AB84" s="2158">
        <f t="shared" ref="AB84" si="19">SUM(AB22,AB35,AB53,AB66,AB82)</f>
        <v>1265</v>
      </c>
      <c r="AC84" s="2154">
        <f>SUM(AC22,AC35,AC53,AC66,AC82)</f>
        <v>1783</v>
      </c>
      <c r="AD84" s="2224">
        <f>AB84/AC84</f>
        <v>0.70947840717891197</v>
      </c>
    </row>
    <row r="101" spans="1:1">
      <c r="A101" s="43"/>
    </row>
    <row r="102" spans="1:1">
      <c r="A102" s="43"/>
    </row>
    <row r="103" spans="1:1">
      <c r="A103" s="43"/>
    </row>
    <row r="104" spans="1:1">
      <c r="A104" s="43"/>
    </row>
    <row r="105" spans="1:1">
      <c r="A105" s="43"/>
    </row>
    <row r="106" spans="1:1">
      <c r="A106" s="43"/>
    </row>
    <row r="107" spans="1:1">
      <c r="A107" s="43"/>
    </row>
    <row r="108" spans="1:1">
      <c r="A108" s="43"/>
    </row>
    <row r="109" spans="1:1">
      <c r="A109" s="43"/>
    </row>
    <row r="110" spans="1:1">
      <c r="A110" s="43"/>
    </row>
    <row r="111" spans="1:1">
      <c r="A111" s="43"/>
    </row>
    <row r="112" spans="1:1">
      <c r="A112" s="43"/>
    </row>
    <row r="113" spans="1:1">
      <c r="A113" s="43"/>
    </row>
    <row r="114" spans="1:1">
      <c r="A114" s="43"/>
    </row>
    <row r="115" spans="1:1">
      <c r="A115" s="43"/>
    </row>
    <row r="116" spans="1:1">
      <c r="A116" s="43"/>
    </row>
    <row r="117" spans="1:1">
      <c r="A117" s="43"/>
    </row>
    <row r="118" spans="1:1">
      <c r="A118" s="43"/>
    </row>
    <row r="119" spans="1:1">
      <c r="A119" s="43"/>
    </row>
  </sheetData>
  <mergeCells count="8">
    <mergeCell ref="L1:AD1"/>
    <mergeCell ref="AB3:AD3"/>
    <mergeCell ref="X3:Z3"/>
    <mergeCell ref="H3:J3"/>
    <mergeCell ref="D3:F3"/>
    <mergeCell ref="L3:N3"/>
    <mergeCell ref="P3:R3"/>
    <mergeCell ref="T3:V3"/>
  </mergeCells>
  <printOptions horizontalCentered="1" verticalCentered="1"/>
  <pageMargins left="0.70866141732283472" right="0.70866141732283472" top="0.74803149606299213" bottom="0.74803149606299213" header="0.31496062992125984" footer="0.31496062992125984"/>
  <pageSetup scale="55" firstPageNumber="32" orientation="landscape" useFirstPageNumber="1" r:id="rId1"/>
  <headerFooter scaleWithDoc="0" alignWithMargins="0">
    <oddFooter>&amp;R&amp;P</oddFooter>
  </headerFooter>
  <rowBreaks count="1" manualBreakCount="1">
    <brk id="53" min="11" max="2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W91"/>
  <sheetViews>
    <sheetView showGridLines="0" zoomScaleNormal="100" zoomScaleSheetLayoutView="70" workbookViewId="0">
      <pane xSplit="3" ySplit="4" topLeftCell="BY5" activePane="bottomRight" state="frozen"/>
      <selection activeCell="O12" sqref="O12"/>
      <selection pane="topRight" activeCell="O12" sqref="O12"/>
      <selection pane="bottomLeft" activeCell="O12" sqref="O12"/>
      <selection pane="bottomRight" activeCell="BN78" sqref="BN78"/>
    </sheetView>
  </sheetViews>
  <sheetFormatPr baseColWidth="10" defaultColWidth="11.44140625" defaultRowHeight="13.2"/>
  <cols>
    <col min="1" max="1" width="17.33203125" style="262" customWidth="1"/>
    <col min="2" max="2" width="10.33203125" style="262" customWidth="1"/>
    <col min="3" max="3" width="45.33203125" style="43" bestFit="1" customWidth="1"/>
    <col min="4" max="4" width="1.6640625" style="43" customWidth="1"/>
    <col min="5" max="8" width="5.6640625" style="43" customWidth="1"/>
    <col min="9" max="9" width="6.5546875" style="43" bestFit="1" customWidth="1"/>
    <col min="10" max="10" width="11.5546875" style="43" bestFit="1" customWidth="1"/>
    <col min="11" max="11" width="1.6640625" style="43" customWidth="1"/>
    <col min="12" max="15" width="5.6640625" style="43" customWidth="1"/>
    <col min="16" max="16" width="6.5546875" style="43" bestFit="1" customWidth="1"/>
    <col min="17" max="17" width="11.5546875" style="43" bestFit="1" customWidth="1"/>
    <col min="18" max="18" width="1.6640625" style="43" customWidth="1"/>
    <col min="19" max="22" width="5.6640625" style="43" customWidth="1"/>
    <col min="23" max="23" width="6.5546875" style="43" bestFit="1" customWidth="1"/>
    <col min="24" max="24" width="11.5546875" style="43" bestFit="1" customWidth="1"/>
    <col min="25" max="25" width="1.6640625" style="43" customWidth="1"/>
    <col min="26" max="29" width="5.6640625" style="262" customWidth="1"/>
    <col min="30" max="30" width="6.5546875" style="43" bestFit="1" customWidth="1"/>
    <col min="31" max="31" width="11.5546875" style="43" bestFit="1" customWidth="1"/>
    <col min="32" max="32" width="1.6640625" style="43" customWidth="1"/>
    <col min="33" max="36" width="5.6640625" style="43" customWidth="1"/>
    <col min="37" max="37" width="6.5546875" style="43" bestFit="1" customWidth="1"/>
    <col min="38" max="38" width="11.5546875" style="43" bestFit="1" customWidth="1"/>
    <col min="39" max="39" width="1.6640625" style="43" customWidth="1"/>
    <col min="40" max="43" width="5.6640625" style="43" customWidth="1"/>
    <col min="44" max="44" width="6.5546875" style="43" bestFit="1" customWidth="1"/>
    <col min="45" max="45" width="11.5546875" style="43" bestFit="1" customWidth="1"/>
    <col min="46" max="46" width="1.6640625" style="43" customWidth="1"/>
    <col min="47" max="50" width="5.6640625" style="43" customWidth="1"/>
    <col min="51" max="51" width="6.5546875" style="43" customWidth="1"/>
    <col min="52" max="52" width="11.5546875" style="43" bestFit="1" customWidth="1"/>
    <col min="53" max="53" width="1.6640625" style="43" customWidth="1"/>
    <col min="54" max="57" width="5.6640625" style="43" customWidth="1"/>
    <col min="58" max="58" width="6.5546875" style="43" bestFit="1" customWidth="1"/>
    <col min="59" max="59" width="11.44140625" style="43"/>
    <col min="60" max="60" width="1.6640625" style="43" customWidth="1"/>
    <col min="61" max="64" width="5.6640625" style="43" customWidth="1"/>
    <col min="65" max="65" width="6.5546875" style="43" bestFit="1" customWidth="1"/>
    <col min="66" max="66" width="11.44140625" style="43"/>
    <col min="67" max="67" width="1.6640625" style="43" customWidth="1"/>
    <col min="68" max="71" width="5.6640625" style="43" customWidth="1"/>
    <col min="72" max="72" width="6.6640625" style="43" bestFit="1" customWidth="1"/>
    <col min="73" max="73" width="11.44140625" style="43" customWidth="1"/>
    <col min="74" max="74" width="1.6640625" style="43" customWidth="1"/>
    <col min="75" max="78" width="5.6640625" style="43" customWidth="1"/>
    <col min="79" max="79" width="6.33203125" style="43" bestFit="1" customWidth="1"/>
    <col min="80" max="80" width="12.109375" style="43" customWidth="1"/>
    <col min="81" max="81" width="1.6640625" style="43" customWidth="1"/>
    <col min="82" max="85" width="5.6640625" style="43" customWidth="1"/>
    <col min="86" max="86" width="6.5546875" style="43" bestFit="1" customWidth="1"/>
    <col min="87" max="87" width="12.109375" style="43" customWidth="1"/>
    <col min="88" max="88" width="1.6640625" style="43" customWidth="1"/>
    <col min="89" max="93" width="5.6640625" style="43" customWidth="1"/>
    <col min="94" max="94" width="11.44140625" style="43"/>
    <col min="95" max="95" width="1.6640625" style="43" customWidth="1"/>
    <col min="96" max="100" width="5.6640625" style="43" customWidth="1"/>
    <col min="101" max="16384" width="11.44140625" style="43"/>
  </cols>
  <sheetData>
    <row r="1" spans="1:101" ht="15.6">
      <c r="E1" s="263"/>
      <c r="F1" s="263"/>
      <c r="G1" s="263"/>
      <c r="H1" s="263"/>
      <c r="I1" s="263"/>
      <c r="V1" s="1042"/>
      <c r="BX1" s="1987"/>
      <c r="BY1" s="1987"/>
      <c r="BZ1" s="1987"/>
      <c r="CA1" s="1987"/>
      <c r="CB1" s="1987"/>
      <c r="CC1" s="1987"/>
      <c r="CD1" s="7317" t="s">
        <v>3316</v>
      </c>
      <c r="CE1" s="7317"/>
      <c r="CF1" s="7317"/>
      <c r="CG1" s="7317"/>
      <c r="CH1" s="7317"/>
      <c r="CI1" s="7317"/>
      <c r="CJ1" s="7317"/>
      <c r="CK1" s="7317"/>
      <c r="CL1" s="7317"/>
      <c r="CM1" s="7317"/>
      <c r="CN1" s="7317"/>
      <c r="CO1" s="7317"/>
      <c r="CP1" s="7317"/>
      <c r="CQ1" s="7317"/>
      <c r="CR1" s="7317"/>
      <c r="CS1" s="7317"/>
      <c r="CT1" s="7317"/>
      <c r="CU1" s="7317"/>
      <c r="CV1" s="7317"/>
      <c r="CW1" s="7317"/>
    </row>
    <row r="2" spans="1:101" ht="12.75" customHeight="1">
      <c r="B2" s="1987"/>
      <c r="C2" s="1987"/>
    </row>
    <row r="3" spans="1:101" s="263" customFormat="1" ht="13.5" customHeight="1">
      <c r="A3" s="5898"/>
      <c r="B3" s="5899"/>
      <c r="C3" s="5900"/>
      <c r="D3" s="43"/>
      <c r="E3" s="7329" t="s">
        <v>942</v>
      </c>
      <c r="F3" s="7329"/>
      <c r="G3" s="7329"/>
      <c r="H3" s="7329"/>
      <c r="I3" s="7329"/>
      <c r="J3" s="7329"/>
      <c r="K3" s="5901"/>
      <c r="L3" s="7329" t="s">
        <v>944</v>
      </c>
      <c r="M3" s="7329"/>
      <c r="N3" s="7329"/>
      <c r="O3" s="7329"/>
      <c r="P3" s="7329"/>
      <c r="Q3" s="7329"/>
      <c r="R3" s="5901"/>
      <c r="S3" s="7329" t="s">
        <v>945</v>
      </c>
      <c r="T3" s="7329"/>
      <c r="U3" s="7329"/>
      <c r="V3" s="7329"/>
      <c r="W3" s="7329"/>
      <c r="X3" s="7329"/>
      <c r="Y3" s="5901"/>
      <c r="Z3" s="7329" t="s">
        <v>946</v>
      </c>
      <c r="AA3" s="7329"/>
      <c r="AB3" s="7329"/>
      <c r="AC3" s="7329"/>
      <c r="AD3" s="7329"/>
      <c r="AE3" s="7329"/>
      <c r="AF3" s="5901"/>
      <c r="AG3" s="7329" t="s">
        <v>947</v>
      </c>
      <c r="AH3" s="7329"/>
      <c r="AI3" s="7329"/>
      <c r="AJ3" s="7329"/>
      <c r="AK3" s="7329"/>
      <c r="AL3" s="7329"/>
      <c r="AM3" s="5901"/>
      <c r="AN3" s="7329" t="s">
        <v>1449</v>
      </c>
      <c r="AO3" s="7329"/>
      <c r="AP3" s="7329"/>
      <c r="AQ3" s="7329"/>
      <c r="AR3" s="7329"/>
      <c r="AS3" s="7329"/>
      <c r="AT3" s="5901"/>
      <c r="AU3" s="7329" t="s">
        <v>1618</v>
      </c>
      <c r="AV3" s="7329"/>
      <c r="AW3" s="7329"/>
      <c r="AX3" s="7329"/>
      <c r="AY3" s="7329"/>
      <c r="AZ3" s="7329"/>
      <c r="BA3" s="5901"/>
      <c r="BB3" s="7329" t="s">
        <v>2138</v>
      </c>
      <c r="BC3" s="7329"/>
      <c r="BD3" s="7329"/>
      <c r="BE3" s="7329"/>
      <c r="BF3" s="7329"/>
      <c r="BG3" s="7329"/>
      <c r="BH3" s="5901"/>
      <c r="BI3" s="7329" t="s">
        <v>2311</v>
      </c>
      <c r="BJ3" s="7329"/>
      <c r="BK3" s="7329"/>
      <c r="BL3" s="7329"/>
      <c r="BM3" s="7329"/>
      <c r="BN3" s="7329"/>
      <c r="BP3" s="7329" t="s">
        <v>2464</v>
      </c>
      <c r="BQ3" s="7329"/>
      <c r="BR3" s="7329"/>
      <c r="BS3" s="7329"/>
      <c r="BT3" s="7329"/>
      <c r="BU3" s="7329"/>
      <c r="BW3" s="7329" t="s">
        <v>2653</v>
      </c>
      <c r="BX3" s="7329"/>
      <c r="BY3" s="7329"/>
      <c r="BZ3" s="7329"/>
      <c r="CA3" s="7329"/>
      <c r="CB3" s="7329"/>
      <c r="CD3" s="7329" t="s">
        <v>2781</v>
      </c>
      <c r="CE3" s="7329"/>
      <c r="CF3" s="7329"/>
      <c r="CG3" s="7329"/>
      <c r="CH3" s="7329"/>
      <c r="CI3" s="7329"/>
      <c r="CK3" s="7329" t="s">
        <v>3076</v>
      </c>
      <c r="CL3" s="7329"/>
      <c r="CM3" s="7329"/>
      <c r="CN3" s="7329"/>
      <c r="CO3" s="7329"/>
      <c r="CP3" s="7329"/>
      <c r="CR3" s="7329" t="s">
        <v>3290</v>
      </c>
      <c r="CS3" s="7329"/>
      <c r="CT3" s="7329"/>
      <c r="CU3" s="7329"/>
      <c r="CV3" s="7329"/>
      <c r="CW3" s="7329"/>
    </row>
    <row r="4" spans="1:101" ht="27" thickBot="1">
      <c r="A4" s="6476" t="s">
        <v>68</v>
      </c>
      <c r="B4" s="6476" t="s">
        <v>1409</v>
      </c>
      <c r="C4" s="6476" t="s">
        <v>1408</v>
      </c>
      <c r="E4" s="2160" t="s">
        <v>530</v>
      </c>
      <c r="F4" s="2160">
        <v>1</v>
      </c>
      <c r="G4" s="2160">
        <v>2</v>
      </c>
      <c r="H4" s="2160">
        <v>3</v>
      </c>
      <c r="I4" s="2160" t="s">
        <v>71</v>
      </c>
      <c r="J4" s="4785" t="s">
        <v>2782</v>
      </c>
      <c r="K4" s="2108"/>
      <c r="L4" s="2160" t="s">
        <v>530</v>
      </c>
      <c r="M4" s="2160">
        <v>1</v>
      </c>
      <c r="N4" s="2160">
        <v>2</v>
      </c>
      <c r="O4" s="2160">
        <v>3</v>
      </c>
      <c r="P4" s="2160" t="s">
        <v>71</v>
      </c>
      <c r="Q4" s="4785" t="s">
        <v>2782</v>
      </c>
      <c r="R4" s="2108"/>
      <c r="S4" s="2160" t="s">
        <v>530</v>
      </c>
      <c r="T4" s="2160">
        <v>1</v>
      </c>
      <c r="U4" s="2160">
        <v>2</v>
      </c>
      <c r="V4" s="2160">
        <v>3</v>
      </c>
      <c r="W4" s="2160" t="s">
        <v>71</v>
      </c>
      <c r="X4" s="4785" t="s">
        <v>2782</v>
      </c>
      <c r="Y4" s="2108"/>
      <c r="Z4" s="2160" t="s">
        <v>530</v>
      </c>
      <c r="AA4" s="2160">
        <v>1</v>
      </c>
      <c r="AB4" s="2160">
        <v>2</v>
      </c>
      <c r="AC4" s="2160">
        <v>3</v>
      </c>
      <c r="AD4" s="2160" t="s">
        <v>71</v>
      </c>
      <c r="AE4" s="4785" t="s">
        <v>2782</v>
      </c>
      <c r="AF4" s="2108"/>
      <c r="AG4" s="2160" t="s">
        <v>2783</v>
      </c>
      <c r="AH4" s="2160">
        <v>1</v>
      </c>
      <c r="AI4" s="2160">
        <v>2</v>
      </c>
      <c r="AJ4" s="2160">
        <v>3</v>
      </c>
      <c r="AK4" s="2160" t="s">
        <v>71</v>
      </c>
      <c r="AL4" s="4785" t="s">
        <v>2782</v>
      </c>
      <c r="AM4" s="2108"/>
      <c r="AN4" s="2160" t="s">
        <v>530</v>
      </c>
      <c r="AO4" s="2160">
        <v>1</v>
      </c>
      <c r="AP4" s="2160">
        <v>2</v>
      </c>
      <c r="AQ4" s="2160">
        <v>3</v>
      </c>
      <c r="AR4" s="2160" t="s">
        <v>71</v>
      </c>
      <c r="AS4" s="4785" t="s">
        <v>2782</v>
      </c>
      <c r="AT4" s="2108"/>
      <c r="AU4" s="2160" t="s">
        <v>530</v>
      </c>
      <c r="AV4" s="2160">
        <v>1</v>
      </c>
      <c r="AW4" s="2160">
        <v>2</v>
      </c>
      <c r="AX4" s="2160">
        <v>3</v>
      </c>
      <c r="AY4" s="2160" t="s">
        <v>71</v>
      </c>
      <c r="AZ4" s="4785" t="s">
        <v>2782</v>
      </c>
      <c r="BA4" s="2108"/>
      <c r="BB4" s="2160" t="s">
        <v>530</v>
      </c>
      <c r="BC4" s="2160">
        <v>1</v>
      </c>
      <c r="BD4" s="2160">
        <v>2</v>
      </c>
      <c r="BE4" s="2160">
        <v>3</v>
      </c>
      <c r="BF4" s="2160" t="s">
        <v>71</v>
      </c>
      <c r="BG4" s="4785" t="s">
        <v>2782</v>
      </c>
      <c r="BH4" s="2108"/>
      <c r="BI4" s="2160" t="s">
        <v>530</v>
      </c>
      <c r="BJ4" s="2160">
        <v>1</v>
      </c>
      <c r="BK4" s="2160">
        <v>2</v>
      </c>
      <c r="BL4" s="2160">
        <v>3</v>
      </c>
      <c r="BM4" s="2160" t="s">
        <v>71</v>
      </c>
      <c r="BN4" s="4785" t="s">
        <v>2782</v>
      </c>
      <c r="BP4" s="2160" t="s">
        <v>530</v>
      </c>
      <c r="BQ4" s="2160">
        <v>1</v>
      </c>
      <c r="BR4" s="2160">
        <v>2</v>
      </c>
      <c r="BS4" s="2160">
        <v>3</v>
      </c>
      <c r="BT4" s="2160" t="s">
        <v>71</v>
      </c>
      <c r="BU4" s="4785" t="s">
        <v>2782</v>
      </c>
      <c r="BW4" s="2160" t="s">
        <v>530</v>
      </c>
      <c r="BX4" s="2160">
        <v>1</v>
      </c>
      <c r="BY4" s="2160">
        <v>2</v>
      </c>
      <c r="BZ4" s="2160">
        <v>3</v>
      </c>
      <c r="CA4" s="2160" t="s">
        <v>71</v>
      </c>
      <c r="CB4" s="4785" t="s">
        <v>2782</v>
      </c>
      <c r="CD4" s="2160" t="s">
        <v>530</v>
      </c>
      <c r="CE4" s="2160">
        <v>1</v>
      </c>
      <c r="CF4" s="2160">
        <v>2</v>
      </c>
      <c r="CG4" s="2160">
        <v>3</v>
      </c>
      <c r="CH4" s="2160" t="s">
        <v>71</v>
      </c>
      <c r="CI4" s="4785" t="s">
        <v>2782</v>
      </c>
      <c r="CK4" s="2160" t="s">
        <v>530</v>
      </c>
      <c r="CL4" s="2160">
        <v>1</v>
      </c>
      <c r="CM4" s="2160">
        <v>2</v>
      </c>
      <c r="CN4" s="2160">
        <v>3</v>
      </c>
      <c r="CO4" s="2160" t="s">
        <v>71</v>
      </c>
      <c r="CP4" s="4785" t="s">
        <v>2782</v>
      </c>
      <c r="CR4" s="2160" t="s">
        <v>530</v>
      </c>
      <c r="CS4" s="2160">
        <v>1</v>
      </c>
      <c r="CT4" s="2160">
        <v>2</v>
      </c>
      <c r="CU4" s="2160">
        <v>3</v>
      </c>
      <c r="CV4" s="2160" t="s">
        <v>71</v>
      </c>
      <c r="CW4" s="4785" t="s">
        <v>2782</v>
      </c>
    </row>
    <row r="5" spans="1:101" ht="17.100000000000001" customHeight="1">
      <c r="A5" s="6515" t="s">
        <v>70</v>
      </c>
      <c r="B5" s="6516" t="s">
        <v>4</v>
      </c>
      <c r="C5" s="6517" t="s">
        <v>956</v>
      </c>
      <c r="E5" s="1047">
        <v>4</v>
      </c>
      <c r="F5" s="1047">
        <v>35</v>
      </c>
      <c r="G5" s="1047">
        <v>9</v>
      </c>
      <c r="H5" s="1047">
        <v>1</v>
      </c>
      <c r="I5" s="2248">
        <f>SUM(E5:H5)</f>
        <v>49</v>
      </c>
      <c r="J5" s="2249">
        <f t="shared" ref="J5:J68" si="0">(G5+H5)/(E5+F5)</f>
        <v>0.25641025641025639</v>
      </c>
      <c r="K5" s="2108"/>
      <c r="L5" s="1047">
        <v>8</v>
      </c>
      <c r="M5" s="1047">
        <v>34</v>
      </c>
      <c r="N5" s="1047">
        <v>10</v>
      </c>
      <c r="O5" s="1047">
        <v>1</v>
      </c>
      <c r="P5" s="2248">
        <f>SUM(L5:O5)</f>
        <v>53</v>
      </c>
      <c r="Q5" s="2249">
        <f t="shared" ref="Q5:Q68" si="1">(N5+O5)/(L5+M5)</f>
        <v>0.26190476190476192</v>
      </c>
      <c r="R5" s="2108"/>
      <c r="S5" s="1047">
        <v>6</v>
      </c>
      <c r="T5" s="1047">
        <v>35</v>
      </c>
      <c r="U5" s="1047">
        <v>10</v>
      </c>
      <c r="V5" s="1047">
        <v>1</v>
      </c>
      <c r="W5" s="2248">
        <f>SUM(S5:V5)</f>
        <v>52</v>
      </c>
      <c r="X5" s="2249">
        <f t="shared" ref="X5:X68" si="2">(U5+V5)/(S5+T5)</f>
        <v>0.26829268292682928</v>
      </c>
      <c r="Y5" s="2108"/>
      <c r="Z5" s="1047">
        <v>11</v>
      </c>
      <c r="AA5" s="1047">
        <v>31</v>
      </c>
      <c r="AB5" s="1047">
        <v>14</v>
      </c>
      <c r="AC5" s="1047">
        <v>1</v>
      </c>
      <c r="AD5" s="2248">
        <f>SUM(Z5:AC5)</f>
        <v>57</v>
      </c>
      <c r="AE5" s="2249">
        <f t="shared" ref="AE5:AE68" si="3">(AB5+AC5)/(Z5+AA5)</f>
        <v>0.35714285714285715</v>
      </c>
      <c r="AF5" s="2108"/>
      <c r="AG5" s="1047">
        <v>7</v>
      </c>
      <c r="AH5" s="1047">
        <v>35</v>
      </c>
      <c r="AI5" s="1047">
        <v>15</v>
      </c>
      <c r="AJ5" s="1047">
        <v>2</v>
      </c>
      <c r="AK5" s="2248">
        <f>SUM(AG5:AJ5)</f>
        <v>59</v>
      </c>
      <c r="AL5" s="2249">
        <f t="shared" ref="AL5:AL68" si="4">(AI5+AJ5)/(AG5+AH5)</f>
        <v>0.40476190476190477</v>
      </c>
      <c r="AM5" s="2108"/>
      <c r="AN5" s="1047">
        <v>9</v>
      </c>
      <c r="AO5" s="1047">
        <v>31</v>
      </c>
      <c r="AP5" s="1047">
        <v>17</v>
      </c>
      <c r="AQ5" s="1047">
        <v>2</v>
      </c>
      <c r="AR5" s="2248">
        <f>SUM(AN5:AQ5)</f>
        <v>59</v>
      </c>
      <c r="AS5" s="2249">
        <f t="shared" ref="AS5:AS68" si="5">(AP5+AQ5)/(AN5+AO5)</f>
        <v>0.47499999999999998</v>
      </c>
      <c r="AT5" s="2108"/>
      <c r="AU5" s="1047">
        <v>9</v>
      </c>
      <c r="AV5" s="1047">
        <v>33</v>
      </c>
      <c r="AW5" s="1047">
        <v>16</v>
      </c>
      <c r="AX5" s="1047">
        <v>2</v>
      </c>
      <c r="AY5" s="2248">
        <f>SUM(AU5:AX5)</f>
        <v>60</v>
      </c>
      <c r="AZ5" s="2249">
        <f t="shared" ref="AZ5:AZ35" si="6">(AW5+AX5)/(AU5+AV5)</f>
        <v>0.42857142857142855</v>
      </c>
      <c r="BA5" s="2108"/>
      <c r="BB5" s="1047">
        <v>6</v>
      </c>
      <c r="BC5" s="1047">
        <v>26</v>
      </c>
      <c r="BD5" s="1047">
        <v>16</v>
      </c>
      <c r="BE5" s="1047">
        <v>2</v>
      </c>
      <c r="BF5" s="2248">
        <f>SUM(BB5:BE5)</f>
        <v>50</v>
      </c>
      <c r="BG5" s="2249">
        <f t="shared" ref="BG5:BG35" si="7">(BD5+BE5)/(BB5+BC5)</f>
        <v>0.5625</v>
      </c>
      <c r="BH5" s="2108"/>
      <c r="BI5" s="1047">
        <v>4</v>
      </c>
      <c r="BJ5" s="1047">
        <v>27</v>
      </c>
      <c r="BK5" s="1047">
        <v>15</v>
      </c>
      <c r="BL5" s="1047">
        <v>3</v>
      </c>
      <c r="BM5" s="2248">
        <v>49</v>
      </c>
      <c r="BN5" s="2249">
        <f t="shared" ref="BN5:BN35" si="8">(BK5+BL5)/(BI5+BJ5)</f>
        <v>0.58064516129032262</v>
      </c>
      <c r="BP5" s="1047">
        <v>6</v>
      </c>
      <c r="BQ5" s="1047">
        <v>25</v>
      </c>
      <c r="BR5" s="1047">
        <v>13</v>
      </c>
      <c r="BS5" s="1047">
        <v>5</v>
      </c>
      <c r="BT5" s="2248">
        <v>49</v>
      </c>
      <c r="BU5" s="2249">
        <f t="shared" ref="BU5:BU35" si="9">(BR5+BS5)/(BP5+BQ5)</f>
        <v>0.58064516129032262</v>
      </c>
      <c r="BW5" s="1047">
        <v>10</v>
      </c>
      <c r="BX5" s="1047">
        <v>24</v>
      </c>
      <c r="BY5" s="1047">
        <v>13</v>
      </c>
      <c r="BZ5" s="1047">
        <v>5</v>
      </c>
      <c r="CA5" s="2248">
        <v>52</v>
      </c>
      <c r="CB5" s="2249">
        <f t="shared" ref="CB5:CB35" si="10">(BY5+BZ5)/(BW5+BX5)</f>
        <v>0.52941176470588236</v>
      </c>
      <c r="CD5" s="1047">
        <v>8</v>
      </c>
      <c r="CE5" s="1047">
        <v>28</v>
      </c>
      <c r="CF5" s="1047">
        <v>14</v>
      </c>
      <c r="CG5" s="1047">
        <v>5</v>
      </c>
      <c r="CH5" s="2248">
        <v>55</v>
      </c>
      <c r="CI5" s="2249">
        <f t="shared" ref="CI5:CI18" si="11">(CF5+CG5)/(CD5+CE5)</f>
        <v>0.52777777777777779</v>
      </c>
      <c r="CK5" s="1047">
        <v>6</v>
      </c>
      <c r="CL5" s="1047">
        <v>30</v>
      </c>
      <c r="CM5" s="1047">
        <v>14</v>
      </c>
      <c r="CN5" s="1047">
        <v>5</v>
      </c>
      <c r="CO5" s="2248">
        <v>55</v>
      </c>
      <c r="CP5" s="2249">
        <f t="shared" ref="CP5:CP18" si="12">(CM5+CN5)/(CK5+CL5)</f>
        <v>0.52777777777777779</v>
      </c>
      <c r="CR5" s="1047">
        <v>4</v>
      </c>
      <c r="CS5" s="1047">
        <v>34</v>
      </c>
      <c r="CT5" s="1047">
        <v>16</v>
      </c>
      <c r="CU5" s="1047">
        <v>5</v>
      </c>
      <c r="CV5" s="2248">
        <v>59</v>
      </c>
      <c r="CW5" s="2249">
        <f t="shared" ref="CW5:CW18" si="13">(CT5+CU5)/(CR5+CS5)</f>
        <v>0.55263157894736847</v>
      </c>
    </row>
    <row r="6" spans="1:101" ht="17.100000000000001" customHeight="1">
      <c r="A6" s="6518" t="s">
        <v>70</v>
      </c>
      <c r="B6" s="6519" t="s">
        <v>4</v>
      </c>
      <c r="C6" s="6520" t="s">
        <v>957</v>
      </c>
      <c r="E6" s="1044"/>
      <c r="F6" s="1044">
        <v>4</v>
      </c>
      <c r="G6" s="1048"/>
      <c r="H6" s="1048"/>
      <c r="I6" s="2250">
        <f>SUM(E6:H6)</f>
        <v>4</v>
      </c>
      <c r="J6" s="2251">
        <f t="shared" si="0"/>
        <v>0</v>
      </c>
      <c r="K6" s="2108"/>
      <c r="L6" s="1044">
        <v>1</v>
      </c>
      <c r="M6" s="1044">
        <v>4</v>
      </c>
      <c r="N6" s="1048"/>
      <c r="O6" s="1048"/>
      <c r="P6" s="2250">
        <f>SUM(L6:O6)</f>
        <v>5</v>
      </c>
      <c r="Q6" s="2251">
        <f t="shared" si="1"/>
        <v>0</v>
      </c>
      <c r="R6" s="2108"/>
      <c r="S6" s="1044">
        <v>2</v>
      </c>
      <c r="T6" s="1044">
        <v>2</v>
      </c>
      <c r="U6" s="1048"/>
      <c r="V6" s="1048"/>
      <c r="W6" s="2250">
        <f>SUM(S6:V6)</f>
        <v>4</v>
      </c>
      <c r="X6" s="2251">
        <f t="shared" si="2"/>
        <v>0</v>
      </c>
      <c r="Y6" s="2108"/>
      <c r="Z6" s="1044">
        <v>3</v>
      </c>
      <c r="AA6" s="1044">
        <v>2</v>
      </c>
      <c r="AB6" s="1048"/>
      <c r="AC6" s="1048"/>
      <c r="AD6" s="2250">
        <f>SUM(Z6:AC6)</f>
        <v>5</v>
      </c>
      <c r="AE6" s="2251">
        <f t="shared" si="3"/>
        <v>0</v>
      </c>
      <c r="AF6" s="2108"/>
      <c r="AG6" s="1044">
        <v>2</v>
      </c>
      <c r="AH6" s="1044">
        <v>3</v>
      </c>
      <c r="AI6" s="1048"/>
      <c r="AJ6" s="1048"/>
      <c r="AK6" s="2250">
        <f t="shared" ref="AK6:AK69" si="14">SUM(AG6:AJ6)</f>
        <v>5</v>
      </c>
      <c r="AL6" s="2251">
        <f t="shared" si="4"/>
        <v>0</v>
      </c>
      <c r="AM6" s="2108"/>
      <c r="AN6" s="1044">
        <v>1</v>
      </c>
      <c r="AO6" s="1044">
        <v>4</v>
      </c>
      <c r="AP6" s="1048"/>
      <c r="AQ6" s="1048"/>
      <c r="AR6" s="2250">
        <f t="shared" ref="AR6:AR69" si="15">SUM(AN6:AQ6)</f>
        <v>5</v>
      </c>
      <c r="AS6" s="2251">
        <f t="shared" si="5"/>
        <v>0</v>
      </c>
      <c r="AT6" s="2108"/>
      <c r="AU6" s="1044">
        <v>2</v>
      </c>
      <c r="AV6" s="1044">
        <v>5</v>
      </c>
      <c r="AW6" s="1048"/>
      <c r="AX6" s="1048"/>
      <c r="AY6" s="2250">
        <f t="shared" ref="AY6:AY20" si="16">SUM(AU6:AX6)</f>
        <v>7</v>
      </c>
      <c r="AZ6" s="2251">
        <f t="shared" si="6"/>
        <v>0</v>
      </c>
      <c r="BA6" s="2108"/>
      <c r="BB6" s="1044">
        <v>4</v>
      </c>
      <c r="BC6" s="1044">
        <v>5</v>
      </c>
      <c r="BD6" s="1048">
        <v>0</v>
      </c>
      <c r="BE6" s="1048">
        <v>0</v>
      </c>
      <c r="BF6" s="2250">
        <f>SUM(BB6:BE6)</f>
        <v>9</v>
      </c>
      <c r="BG6" s="2251">
        <f t="shared" si="7"/>
        <v>0</v>
      </c>
      <c r="BH6" s="2108"/>
      <c r="BI6" s="1044">
        <v>2</v>
      </c>
      <c r="BJ6" s="1044">
        <v>6</v>
      </c>
      <c r="BK6" s="1048"/>
      <c r="BL6" s="1048"/>
      <c r="BM6" s="2250">
        <v>8</v>
      </c>
      <c r="BN6" s="2251">
        <f t="shared" si="8"/>
        <v>0</v>
      </c>
      <c r="BP6" s="1044">
        <v>2</v>
      </c>
      <c r="BQ6" s="1044">
        <v>5</v>
      </c>
      <c r="BR6" s="1048"/>
      <c r="BS6" s="1048"/>
      <c r="BT6" s="2250">
        <v>7</v>
      </c>
      <c r="BU6" s="2251">
        <f t="shared" si="9"/>
        <v>0</v>
      </c>
      <c r="BW6" s="1044">
        <v>2</v>
      </c>
      <c r="BX6" s="1044">
        <v>5</v>
      </c>
      <c r="BY6" s="1048"/>
      <c r="BZ6" s="1048"/>
      <c r="CA6" s="2250">
        <v>7</v>
      </c>
      <c r="CB6" s="2251">
        <f t="shared" si="10"/>
        <v>0</v>
      </c>
      <c r="CD6" s="1044">
        <v>2</v>
      </c>
      <c r="CE6" s="1044">
        <v>5</v>
      </c>
      <c r="CF6" s="1048"/>
      <c r="CG6" s="1048"/>
      <c r="CH6" s="2250">
        <v>7</v>
      </c>
      <c r="CI6" s="2251">
        <f t="shared" si="11"/>
        <v>0</v>
      </c>
      <c r="CK6" s="1044">
        <v>2</v>
      </c>
      <c r="CL6" s="1044">
        <v>6</v>
      </c>
      <c r="CM6" s="1048">
        <v>0</v>
      </c>
      <c r="CN6" s="1048">
        <v>0</v>
      </c>
      <c r="CO6" s="2250">
        <v>8</v>
      </c>
      <c r="CP6" s="2251">
        <f t="shared" si="12"/>
        <v>0</v>
      </c>
      <c r="CR6" s="1044">
        <v>2</v>
      </c>
      <c r="CS6" s="1044">
        <v>8</v>
      </c>
      <c r="CT6" s="1048">
        <v>0</v>
      </c>
      <c r="CU6" s="1048">
        <v>0</v>
      </c>
      <c r="CV6" s="2250">
        <v>10</v>
      </c>
      <c r="CW6" s="2251">
        <f t="shared" si="13"/>
        <v>0</v>
      </c>
    </row>
    <row r="7" spans="1:101" ht="17.100000000000001" customHeight="1">
      <c r="A7" s="6518" t="s">
        <v>70</v>
      </c>
      <c r="B7" s="6519" t="s">
        <v>4</v>
      </c>
      <c r="C7" s="6520" t="s">
        <v>958</v>
      </c>
      <c r="E7" s="1044">
        <v>2</v>
      </c>
      <c r="F7" s="1044">
        <v>5</v>
      </c>
      <c r="G7" s="1048">
        <v>4</v>
      </c>
      <c r="H7" s="1048"/>
      <c r="I7" s="2250">
        <f>SUM(E7:H7)</f>
        <v>11</v>
      </c>
      <c r="J7" s="2251">
        <f t="shared" si="0"/>
        <v>0.5714285714285714</v>
      </c>
      <c r="K7" s="2108"/>
      <c r="L7" s="1044">
        <v>4</v>
      </c>
      <c r="M7" s="1044">
        <v>6</v>
      </c>
      <c r="N7" s="1048">
        <v>3</v>
      </c>
      <c r="O7" s="1048"/>
      <c r="P7" s="2250">
        <f>SUM(L7:O7)</f>
        <v>13</v>
      </c>
      <c r="Q7" s="2251">
        <f t="shared" si="1"/>
        <v>0.3</v>
      </c>
      <c r="R7" s="2108"/>
      <c r="S7" s="1044">
        <v>5</v>
      </c>
      <c r="T7" s="1044">
        <v>6</v>
      </c>
      <c r="U7" s="1048">
        <v>3</v>
      </c>
      <c r="V7" s="1048"/>
      <c r="W7" s="2250">
        <f>SUM(S7:V7)</f>
        <v>14</v>
      </c>
      <c r="X7" s="2251">
        <f t="shared" si="2"/>
        <v>0.27272727272727271</v>
      </c>
      <c r="Y7" s="2108"/>
      <c r="Z7" s="1044">
        <v>5</v>
      </c>
      <c r="AA7" s="1044">
        <v>9</v>
      </c>
      <c r="AB7" s="1048">
        <v>3</v>
      </c>
      <c r="AC7" s="1048"/>
      <c r="AD7" s="2250">
        <f>SUM(Z7:AC7)</f>
        <v>17</v>
      </c>
      <c r="AE7" s="2251">
        <f t="shared" si="3"/>
        <v>0.21428571428571427</v>
      </c>
      <c r="AF7" s="2108"/>
      <c r="AG7" s="1044">
        <v>4</v>
      </c>
      <c r="AH7" s="1044">
        <v>7</v>
      </c>
      <c r="AI7" s="1048">
        <v>5</v>
      </c>
      <c r="AJ7" s="1048"/>
      <c r="AK7" s="2250">
        <f t="shared" si="14"/>
        <v>16</v>
      </c>
      <c r="AL7" s="2251">
        <f t="shared" si="4"/>
        <v>0.45454545454545453</v>
      </c>
      <c r="AM7" s="2108"/>
      <c r="AN7" s="1044">
        <v>4</v>
      </c>
      <c r="AO7" s="1044">
        <v>8</v>
      </c>
      <c r="AP7" s="1048">
        <v>5</v>
      </c>
      <c r="AQ7" s="1048"/>
      <c r="AR7" s="2250">
        <f t="shared" si="15"/>
        <v>17</v>
      </c>
      <c r="AS7" s="2251">
        <f t="shared" si="5"/>
        <v>0.41666666666666669</v>
      </c>
      <c r="AT7" s="2108"/>
      <c r="AU7" s="1044">
        <v>4</v>
      </c>
      <c r="AV7" s="1044">
        <v>14</v>
      </c>
      <c r="AW7" s="1048">
        <v>5</v>
      </c>
      <c r="AX7" s="1048"/>
      <c r="AY7" s="2250">
        <f t="shared" si="16"/>
        <v>23</v>
      </c>
      <c r="AZ7" s="2251">
        <f t="shared" si="6"/>
        <v>0.27777777777777779</v>
      </c>
      <c r="BA7" s="2108"/>
      <c r="BB7" s="1044">
        <v>6</v>
      </c>
      <c r="BC7" s="1044">
        <v>15</v>
      </c>
      <c r="BD7" s="1048">
        <v>5</v>
      </c>
      <c r="BE7" s="1048">
        <v>0</v>
      </c>
      <c r="BF7" s="2250">
        <f>SUM(BB7:BE7)</f>
        <v>26</v>
      </c>
      <c r="BG7" s="2251">
        <f t="shared" si="7"/>
        <v>0.23809523809523808</v>
      </c>
      <c r="BH7" s="2108"/>
      <c r="BI7" s="1044">
        <v>4</v>
      </c>
      <c r="BJ7" s="1044">
        <v>15</v>
      </c>
      <c r="BK7" s="1048">
        <v>3</v>
      </c>
      <c r="BL7" s="1048"/>
      <c r="BM7" s="2250">
        <v>22</v>
      </c>
      <c r="BN7" s="2251">
        <f t="shared" si="8"/>
        <v>0.15789473684210525</v>
      </c>
      <c r="BP7" s="1044">
        <v>5</v>
      </c>
      <c r="BQ7" s="1044">
        <v>13</v>
      </c>
      <c r="BR7" s="1048">
        <v>3</v>
      </c>
      <c r="BS7" s="1048"/>
      <c r="BT7" s="2250">
        <v>21</v>
      </c>
      <c r="BU7" s="2251">
        <f t="shared" si="9"/>
        <v>0.16666666666666666</v>
      </c>
      <c r="BW7" s="1044">
        <v>6</v>
      </c>
      <c r="BX7" s="1044">
        <v>13</v>
      </c>
      <c r="BY7" s="1048">
        <v>3</v>
      </c>
      <c r="BZ7" s="1048"/>
      <c r="CA7" s="2250">
        <v>22</v>
      </c>
      <c r="CB7" s="2251">
        <f t="shared" si="10"/>
        <v>0.15789473684210525</v>
      </c>
      <c r="CD7" s="1044">
        <v>5</v>
      </c>
      <c r="CE7" s="1044">
        <v>14</v>
      </c>
      <c r="CF7" s="1048">
        <v>3</v>
      </c>
      <c r="CG7" s="1048"/>
      <c r="CH7" s="2250">
        <v>22</v>
      </c>
      <c r="CI7" s="2251">
        <f t="shared" si="11"/>
        <v>0.15789473684210525</v>
      </c>
      <c r="CK7" s="1044">
        <v>4</v>
      </c>
      <c r="CL7" s="1044">
        <v>17</v>
      </c>
      <c r="CM7" s="1048">
        <v>3</v>
      </c>
      <c r="CN7" s="1048">
        <v>0</v>
      </c>
      <c r="CO7" s="2250">
        <v>24</v>
      </c>
      <c r="CP7" s="2251">
        <f t="shared" si="12"/>
        <v>0.14285714285714285</v>
      </c>
      <c r="CR7" s="1044">
        <v>5</v>
      </c>
      <c r="CS7" s="1044">
        <v>18</v>
      </c>
      <c r="CT7" s="1048">
        <v>3</v>
      </c>
      <c r="CU7" s="1048">
        <v>0</v>
      </c>
      <c r="CV7" s="2250">
        <v>26</v>
      </c>
      <c r="CW7" s="2251">
        <f t="shared" si="13"/>
        <v>0.13043478260869565</v>
      </c>
    </row>
    <row r="8" spans="1:101" ht="17.100000000000001" customHeight="1">
      <c r="A8" s="6518" t="s">
        <v>70</v>
      </c>
      <c r="B8" s="6519" t="s">
        <v>4</v>
      </c>
      <c r="C8" s="6520" t="s">
        <v>959</v>
      </c>
      <c r="E8" s="1044">
        <v>5</v>
      </c>
      <c r="F8" s="1044">
        <v>6</v>
      </c>
      <c r="G8" s="1044">
        <v>4</v>
      </c>
      <c r="H8" s="1048"/>
      <c r="I8" s="2250">
        <f>SUM(E8:H8)</f>
        <v>15</v>
      </c>
      <c r="J8" s="2251">
        <f t="shared" si="0"/>
        <v>0.36363636363636365</v>
      </c>
      <c r="K8" s="2108"/>
      <c r="L8" s="1044">
        <v>4</v>
      </c>
      <c r="M8" s="1044">
        <v>6</v>
      </c>
      <c r="N8" s="1044">
        <v>4</v>
      </c>
      <c r="O8" s="1048"/>
      <c r="P8" s="2250">
        <f>SUM(L8:O8)</f>
        <v>14</v>
      </c>
      <c r="Q8" s="2251">
        <f t="shared" si="1"/>
        <v>0.4</v>
      </c>
      <c r="R8" s="2108"/>
      <c r="S8" s="1044">
        <v>4</v>
      </c>
      <c r="T8" s="1044">
        <v>5</v>
      </c>
      <c r="U8" s="1044">
        <v>4</v>
      </c>
      <c r="V8" s="1048"/>
      <c r="W8" s="2250">
        <f>SUM(S8:V8)</f>
        <v>13</v>
      </c>
      <c r="X8" s="2251">
        <f t="shared" si="2"/>
        <v>0.44444444444444442</v>
      </c>
      <c r="Y8" s="2108"/>
      <c r="Z8" s="1044">
        <v>5</v>
      </c>
      <c r="AA8" s="1044">
        <v>6</v>
      </c>
      <c r="AB8" s="1044">
        <v>4</v>
      </c>
      <c r="AC8" s="1048"/>
      <c r="AD8" s="2250">
        <f>SUM(Z8:AC8)</f>
        <v>15</v>
      </c>
      <c r="AE8" s="2251">
        <f t="shared" si="3"/>
        <v>0.36363636363636365</v>
      </c>
      <c r="AF8" s="2108"/>
      <c r="AG8" s="1044">
        <v>4</v>
      </c>
      <c r="AH8" s="1044">
        <v>8</v>
      </c>
      <c r="AI8" s="1044">
        <v>3</v>
      </c>
      <c r="AJ8" s="1048">
        <v>1</v>
      </c>
      <c r="AK8" s="2250">
        <f t="shared" si="14"/>
        <v>16</v>
      </c>
      <c r="AL8" s="2251">
        <f t="shared" si="4"/>
        <v>0.33333333333333331</v>
      </c>
      <c r="AM8" s="2108"/>
      <c r="AN8" s="1044">
        <v>4</v>
      </c>
      <c r="AO8" s="1044">
        <v>8</v>
      </c>
      <c r="AP8" s="1044">
        <v>3</v>
      </c>
      <c r="AQ8" s="1048">
        <v>1</v>
      </c>
      <c r="AR8" s="2250">
        <f t="shared" si="15"/>
        <v>16</v>
      </c>
      <c r="AS8" s="2251">
        <f t="shared" si="5"/>
        <v>0.33333333333333331</v>
      </c>
      <c r="AT8" s="2108"/>
      <c r="AU8" s="1044">
        <v>5</v>
      </c>
      <c r="AV8" s="1044">
        <v>9</v>
      </c>
      <c r="AW8" s="1044">
        <v>3</v>
      </c>
      <c r="AX8" s="1048">
        <v>1</v>
      </c>
      <c r="AY8" s="2250">
        <f t="shared" si="16"/>
        <v>18</v>
      </c>
      <c r="AZ8" s="2251">
        <f t="shared" si="6"/>
        <v>0.2857142857142857</v>
      </c>
      <c r="BA8" s="2108"/>
      <c r="BB8" s="1044">
        <v>2</v>
      </c>
      <c r="BC8" s="1044">
        <v>13</v>
      </c>
      <c r="BD8" s="1044">
        <v>3</v>
      </c>
      <c r="BE8" s="1048">
        <v>1</v>
      </c>
      <c r="BF8" s="2250">
        <f>SUM(BB8:BE8)</f>
        <v>19</v>
      </c>
      <c r="BG8" s="2251">
        <f t="shared" si="7"/>
        <v>0.26666666666666666</v>
      </c>
      <c r="BH8" s="2108"/>
      <c r="BI8" s="1044">
        <v>3</v>
      </c>
      <c r="BJ8" s="1044">
        <v>12</v>
      </c>
      <c r="BK8" s="1044">
        <v>3</v>
      </c>
      <c r="BL8" s="1048">
        <v>1</v>
      </c>
      <c r="BM8" s="2250">
        <v>19</v>
      </c>
      <c r="BN8" s="2251">
        <f t="shared" si="8"/>
        <v>0.26666666666666666</v>
      </c>
      <c r="BP8" s="1044">
        <v>3</v>
      </c>
      <c r="BQ8" s="1044">
        <v>15</v>
      </c>
      <c r="BR8" s="1044">
        <v>2</v>
      </c>
      <c r="BS8" s="1048">
        <v>2</v>
      </c>
      <c r="BT8" s="2250">
        <v>22</v>
      </c>
      <c r="BU8" s="2251">
        <f t="shared" si="9"/>
        <v>0.22222222222222221</v>
      </c>
      <c r="BW8" s="1044">
        <v>2</v>
      </c>
      <c r="BX8" s="1044">
        <v>16</v>
      </c>
      <c r="BY8" s="1044">
        <v>2</v>
      </c>
      <c r="BZ8" s="1048">
        <v>2</v>
      </c>
      <c r="CA8" s="2250">
        <v>22</v>
      </c>
      <c r="CB8" s="2251">
        <f t="shared" si="10"/>
        <v>0.22222222222222221</v>
      </c>
      <c r="CD8" s="1044">
        <v>2</v>
      </c>
      <c r="CE8" s="1044">
        <v>15</v>
      </c>
      <c r="CF8" s="1044">
        <v>2</v>
      </c>
      <c r="CG8" s="1048">
        <v>2</v>
      </c>
      <c r="CH8" s="2250">
        <v>21</v>
      </c>
      <c r="CI8" s="2251">
        <f t="shared" si="11"/>
        <v>0.23529411764705882</v>
      </c>
      <c r="CK8" s="1044">
        <v>1</v>
      </c>
      <c r="CL8" s="1044">
        <v>14</v>
      </c>
      <c r="CM8" s="1044">
        <v>4</v>
      </c>
      <c r="CN8" s="1048">
        <v>2</v>
      </c>
      <c r="CO8" s="2250">
        <v>21</v>
      </c>
      <c r="CP8" s="2251">
        <f t="shared" si="12"/>
        <v>0.4</v>
      </c>
      <c r="CR8" s="1044">
        <v>2</v>
      </c>
      <c r="CS8" s="1044">
        <v>14</v>
      </c>
      <c r="CT8" s="1044">
        <v>4</v>
      </c>
      <c r="CU8" s="1048">
        <v>2</v>
      </c>
      <c r="CV8" s="2250">
        <v>22</v>
      </c>
      <c r="CW8" s="2251">
        <f t="shared" si="13"/>
        <v>0.375</v>
      </c>
    </row>
    <row r="9" spans="1:101" ht="17.100000000000001" customHeight="1" thickBot="1">
      <c r="A9" s="6521" t="s">
        <v>70</v>
      </c>
      <c r="B9" s="6522" t="s">
        <v>4</v>
      </c>
      <c r="C9" s="6523" t="s">
        <v>960</v>
      </c>
      <c r="E9" s="1044">
        <v>3</v>
      </c>
      <c r="F9" s="1044">
        <v>5</v>
      </c>
      <c r="G9" s="1048">
        <v>1</v>
      </c>
      <c r="H9" s="1048"/>
      <c r="I9" s="2250">
        <f>SUM(E9:H9)</f>
        <v>9</v>
      </c>
      <c r="J9" s="2251">
        <f t="shared" si="0"/>
        <v>0.125</v>
      </c>
      <c r="K9" s="2108"/>
      <c r="L9" s="1044">
        <v>3</v>
      </c>
      <c r="M9" s="1044">
        <v>5</v>
      </c>
      <c r="N9" s="1048">
        <v>1</v>
      </c>
      <c r="O9" s="1048"/>
      <c r="P9" s="2250">
        <f>SUM(L9:O9)</f>
        <v>9</v>
      </c>
      <c r="Q9" s="2251">
        <f t="shared" si="1"/>
        <v>0.125</v>
      </c>
      <c r="R9" s="2108"/>
      <c r="S9" s="1044">
        <v>5</v>
      </c>
      <c r="T9" s="1044">
        <v>6</v>
      </c>
      <c r="U9" s="1048">
        <v>2</v>
      </c>
      <c r="V9" s="1048"/>
      <c r="W9" s="2250">
        <f>SUM(S9:V9)</f>
        <v>13</v>
      </c>
      <c r="X9" s="2251">
        <f t="shared" si="2"/>
        <v>0.18181818181818182</v>
      </c>
      <c r="Y9" s="2108"/>
      <c r="Z9" s="1044">
        <v>3</v>
      </c>
      <c r="AA9" s="1044">
        <v>11</v>
      </c>
      <c r="AB9" s="1048">
        <v>2</v>
      </c>
      <c r="AC9" s="1048"/>
      <c r="AD9" s="2250">
        <f>SUM(Z9:AC9)</f>
        <v>16</v>
      </c>
      <c r="AE9" s="2251">
        <f t="shared" si="3"/>
        <v>0.14285714285714285</v>
      </c>
      <c r="AF9" s="2108"/>
      <c r="AG9" s="1044">
        <v>1</v>
      </c>
      <c r="AH9" s="1044">
        <v>12</v>
      </c>
      <c r="AI9" s="1048">
        <v>2</v>
      </c>
      <c r="AJ9" s="1048"/>
      <c r="AK9" s="2250">
        <f t="shared" si="14"/>
        <v>15</v>
      </c>
      <c r="AL9" s="2251">
        <f t="shared" si="4"/>
        <v>0.15384615384615385</v>
      </c>
      <c r="AM9" s="2108"/>
      <c r="AN9" s="1044">
        <v>1</v>
      </c>
      <c r="AO9" s="1044">
        <v>11</v>
      </c>
      <c r="AP9" s="1048">
        <v>1</v>
      </c>
      <c r="AQ9" s="1048"/>
      <c r="AR9" s="2250">
        <f t="shared" si="15"/>
        <v>13</v>
      </c>
      <c r="AS9" s="2251">
        <f t="shared" si="5"/>
        <v>8.3333333333333329E-2</v>
      </c>
      <c r="AT9" s="2108"/>
      <c r="AU9" s="1044">
        <v>4</v>
      </c>
      <c r="AV9" s="1044">
        <v>11</v>
      </c>
      <c r="AW9" s="1048">
        <v>1</v>
      </c>
      <c r="AX9" s="1048"/>
      <c r="AY9" s="2250">
        <f t="shared" si="16"/>
        <v>16</v>
      </c>
      <c r="AZ9" s="2251">
        <f t="shared" si="6"/>
        <v>6.6666666666666666E-2</v>
      </c>
      <c r="BA9" s="2108"/>
      <c r="BB9" s="1044">
        <v>3</v>
      </c>
      <c r="BC9" s="1044">
        <v>12</v>
      </c>
      <c r="BD9" s="1048">
        <v>1</v>
      </c>
      <c r="BE9" s="1048">
        <v>0</v>
      </c>
      <c r="BF9" s="2250">
        <f>SUM(BB9:BE9)</f>
        <v>16</v>
      </c>
      <c r="BG9" s="2251">
        <f t="shared" si="7"/>
        <v>6.6666666666666666E-2</v>
      </c>
      <c r="BH9" s="2108"/>
      <c r="BI9" s="1044">
        <v>3</v>
      </c>
      <c r="BJ9" s="1044">
        <v>11</v>
      </c>
      <c r="BK9" s="1048">
        <v>1</v>
      </c>
      <c r="BL9" s="1048"/>
      <c r="BM9" s="2250">
        <v>15</v>
      </c>
      <c r="BN9" s="2251">
        <f t="shared" si="8"/>
        <v>7.1428571428571425E-2</v>
      </c>
      <c r="BP9" s="1044">
        <v>3</v>
      </c>
      <c r="BQ9" s="1044">
        <v>13</v>
      </c>
      <c r="BR9" s="1048">
        <v>2</v>
      </c>
      <c r="BS9" s="1048"/>
      <c r="BT9" s="2250">
        <v>18</v>
      </c>
      <c r="BU9" s="2251">
        <f t="shared" si="9"/>
        <v>0.125</v>
      </c>
      <c r="BW9" s="1044">
        <v>4</v>
      </c>
      <c r="BX9" s="1044">
        <v>13</v>
      </c>
      <c r="BY9" s="1048">
        <v>2</v>
      </c>
      <c r="BZ9" s="1048"/>
      <c r="CA9" s="2250">
        <v>19</v>
      </c>
      <c r="CB9" s="2251">
        <f t="shared" si="10"/>
        <v>0.11764705882352941</v>
      </c>
      <c r="CD9" s="1044">
        <v>3</v>
      </c>
      <c r="CE9" s="1044">
        <v>15</v>
      </c>
      <c r="CF9" s="1048">
        <v>2</v>
      </c>
      <c r="CG9" s="1048"/>
      <c r="CH9" s="2250">
        <v>20</v>
      </c>
      <c r="CI9" s="2251">
        <f t="shared" si="11"/>
        <v>0.1111111111111111</v>
      </c>
      <c r="CK9" s="1044">
        <v>5</v>
      </c>
      <c r="CL9" s="1044">
        <v>15</v>
      </c>
      <c r="CM9" s="1048">
        <v>2</v>
      </c>
      <c r="CN9" s="1048">
        <v>0</v>
      </c>
      <c r="CO9" s="2250">
        <v>22</v>
      </c>
      <c r="CP9" s="2251">
        <f t="shared" si="12"/>
        <v>0.1</v>
      </c>
      <c r="CR9" s="1044">
        <v>4</v>
      </c>
      <c r="CS9" s="1044">
        <v>15</v>
      </c>
      <c r="CT9" s="1048">
        <v>3</v>
      </c>
      <c r="CU9" s="1048">
        <v>0</v>
      </c>
      <c r="CV9" s="2250">
        <v>22</v>
      </c>
      <c r="CW9" s="2251">
        <f t="shared" si="13"/>
        <v>0.15789473684210525</v>
      </c>
    </row>
    <row r="10" spans="1:101" ht="17.100000000000001" customHeight="1" thickBot="1">
      <c r="A10" s="7324" t="s">
        <v>1410</v>
      </c>
      <c r="B10" s="7324"/>
      <c r="C10" s="7324"/>
      <c r="E10" s="1045">
        <f>SUM(E5:E9)</f>
        <v>14</v>
      </c>
      <c r="F10" s="1045">
        <f>SUM(F5:F9)</f>
        <v>55</v>
      </c>
      <c r="G10" s="1045">
        <f>SUM(G5:G9)</f>
        <v>18</v>
      </c>
      <c r="H10" s="1045">
        <f>SUM(H5:H9)</f>
        <v>1</v>
      </c>
      <c r="I10" s="2252">
        <f>SUM(I5:I9)</f>
        <v>88</v>
      </c>
      <c r="J10" s="2253">
        <f t="shared" si="0"/>
        <v>0.27536231884057971</v>
      </c>
      <c r="K10" s="2108"/>
      <c r="L10" s="1045">
        <f>SUM(L5:L9)</f>
        <v>20</v>
      </c>
      <c r="M10" s="1045">
        <f>SUM(M5:M9)</f>
        <v>55</v>
      </c>
      <c r="N10" s="1045">
        <f>SUM(N5:N9)</f>
        <v>18</v>
      </c>
      <c r="O10" s="1045">
        <f>SUM(O5:O9)</f>
        <v>1</v>
      </c>
      <c r="P10" s="2252">
        <f>SUM(P5:P9)</f>
        <v>94</v>
      </c>
      <c r="Q10" s="2253">
        <f t="shared" si="1"/>
        <v>0.25333333333333335</v>
      </c>
      <c r="R10" s="2108"/>
      <c r="S10" s="1045">
        <f>SUM(S5:S9)</f>
        <v>22</v>
      </c>
      <c r="T10" s="1045">
        <f>SUM(T5:T9)</f>
        <v>54</v>
      </c>
      <c r="U10" s="1045">
        <f>SUM(U5:U9)</f>
        <v>19</v>
      </c>
      <c r="V10" s="1045">
        <f>SUM(V5:V9)</f>
        <v>1</v>
      </c>
      <c r="W10" s="2252">
        <f>SUM(W5:W9)</f>
        <v>96</v>
      </c>
      <c r="X10" s="2253">
        <f t="shared" si="2"/>
        <v>0.26315789473684209</v>
      </c>
      <c r="Y10" s="2108"/>
      <c r="Z10" s="1045">
        <f>SUM(Z5:Z9)</f>
        <v>27</v>
      </c>
      <c r="AA10" s="1045">
        <f>SUM(AA5:AA9)</f>
        <v>59</v>
      </c>
      <c r="AB10" s="1045">
        <f>SUM(AB5:AB9)</f>
        <v>23</v>
      </c>
      <c r="AC10" s="1045">
        <f>SUM(AC5:AC9)</f>
        <v>1</v>
      </c>
      <c r="AD10" s="2252">
        <f>SUM(AD5:AD9)</f>
        <v>110</v>
      </c>
      <c r="AE10" s="2253">
        <f t="shared" si="3"/>
        <v>0.27906976744186046</v>
      </c>
      <c r="AF10" s="2108"/>
      <c r="AG10" s="1045">
        <f>SUM(AG5:AG9)</f>
        <v>18</v>
      </c>
      <c r="AH10" s="1045">
        <f>SUM(AH5:AH9)</f>
        <v>65</v>
      </c>
      <c r="AI10" s="1045">
        <f>SUM(AI5:AI9)</f>
        <v>25</v>
      </c>
      <c r="AJ10" s="1045">
        <f>SUM(AJ5:AJ9)</f>
        <v>3</v>
      </c>
      <c r="AK10" s="2252">
        <f t="shared" si="14"/>
        <v>111</v>
      </c>
      <c r="AL10" s="2253">
        <f t="shared" si="4"/>
        <v>0.33734939759036142</v>
      </c>
      <c r="AM10" s="2108"/>
      <c r="AN10" s="1045">
        <v>19</v>
      </c>
      <c r="AO10" s="1045">
        <v>62</v>
      </c>
      <c r="AP10" s="1045">
        <v>26</v>
      </c>
      <c r="AQ10" s="1045">
        <v>3</v>
      </c>
      <c r="AR10" s="2252">
        <f t="shared" si="15"/>
        <v>110</v>
      </c>
      <c r="AS10" s="2253">
        <f t="shared" si="5"/>
        <v>0.35802469135802467</v>
      </c>
      <c r="AT10" s="2108"/>
      <c r="AU10" s="1045">
        <f>SUM(AU5:AU9)</f>
        <v>24</v>
      </c>
      <c r="AV10" s="1045">
        <f>SUM(AV5:AV9)</f>
        <v>72</v>
      </c>
      <c r="AW10" s="1045">
        <f>SUM(AW5:AW9)</f>
        <v>25</v>
      </c>
      <c r="AX10" s="1045">
        <f>SUM(AX5:AX9)</f>
        <v>3</v>
      </c>
      <c r="AY10" s="2252">
        <f>SUM(AY5:AY9)</f>
        <v>124</v>
      </c>
      <c r="AZ10" s="2253">
        <f t="shared" si="6"/>
        <v>0.29166666666666669</v>
      </c>
      <c r="BA10" s="2108"/>
      <c r="BB10" s="1045">
        <v>21</v>
      </c>
      <c r="BC10" s="1045">
        <v>71</v>
      </c>
      <c r="BD10" s="1045">
        <v>25</v>
      </c>
      <c r="BE10" s="1045">
        <v>3</v>
      </c>
      <c r="BF10" s="2252">
        <f>SUM(BF5:BF9)</f>
        <v>120</v>
      </c>
      <c r="BG10" s="2253">
        <f t="shared" si="7"/>
        <v>0.30434782608695654</v>
      </c>
      <c r="BH10" s="2108"/>
      <c r="BI10" s="1045">
        <v>16</v>
      </c>
      <c r="BJ10" s="1045">
        <v>71</v>
      </c>
      <c r="BK10" s="1045">
        <v>22</v>
      </c>
      <c r="BL10" s="1045">
        <v>4</v>
      </c>
      <c r="BM10" s="2252">
        <v>113</v>
      </c>
      <c r="BN10" s="2253">
        <f t="shared" si="8"/>
        <v>0.2988505747126437</v>
      </c>
      <c r="BP10" s="1045">
        <v>19</v>
      </c>
      <c r="BQ10" s="1045">
        <v>71</v>
      </c>
      <c r="BR10" s="1045">
        <v>20</v>
      </c>
      <c r="BS10" s="1045">
        <v>7</v>
      </c>
      <c r="BT10" s="2252">
        <v>117</v>
      </c>
      <c r="BU10" s="2253">
        <f t="shared" si="9"/>
        <v>0.3</v>
      </c>
      <c r="BW10" s="1045">
        <f>SUM(BW5:BW9)</f>
        <v>24</v>
      </c>
      <c r="BX10" s="1045">
        <f>SUM(BX5:BX9)</f>
        <v>71</v>
      </c>
      <c r="BY10" s="1045">
        <f>SUM(BY5:BY9)</f>
        <v>20</v>
      </c>
      <c r="BZ10" s="1045">
        <f>SUM(BZ5:BZ9)</f>
        <v>7</v>
      </c>
      <c r="CA10" s="1045">
        <f>SUM(CA5:CA9)</f>
        <v>122</v>
      </c>
      <c r="CB10" s="2253">
        <f t="shared" si="10"/>
        <v>0.28421052631578947</v>
      </c>
      <c r="CD10" s="1045">
        <f>SUM(CD5:CD9)</f>
        <v>20</v>
      </c>
      <c r="CE10" s="1045">
        <f t="shared" ref="CE10:CH10" si="17">SUM(CE5:CE9)</f>
        <v>77</v>
      </c>
      <c r="CF10" s="1045">
        <f t="shared" si="17"/>
        <v>21</v>
      </c>
      <c r="CG10" s="1045">
        <f t="shared" si="17"/>
        <v>7</v>
      </c>
      <c r="CH10" s="1045">
        <f t="shared" si="17"/>
        <v>125</v>
      </c>
      <c r="CI10" s="2253">
        <f t="shared" si="11"/>
        <v>0.28865979381443296</v>
      </c>
      <c r="CK10" s="1045">
        <v>18</v>
      </c>
      <c r="CL10" s="1045">
        <v>82</v>
      </c>
      <c r="CM10" s="1045">
        <v>23</v>
      </c>
      <c r="CN10" s="1045">
        <v>7</v>
      </c>
      <c r="CO10" s="1045">
        <v>130</v>
      </c>
      <c r="CP10" s="2253">
        <f t="shared" si="12"/>
        <v>0.3</v>
      </c>
      <c r="CR10" s="1045">
        <v>17</v>
      </c>
      <c r="CS10" s="1045">
        <v>89</v>
      </c>
      <c r="CT10" s="1045">
        <v>26</v>
      </c>
      <c r="CU10" s="1045">
        <v>7</v>
      </c>
      <c r="CV10" s="1045">
        <v>139</v>
      </c>
      <c r="CW10" s="2253">
        <f t="shared" si="13"/>
        <v>0.31132075471698112</v>
      </c>
    </row>
    <row r="11" spans="1:101" ht="17.100000000000001" customHeight="1">
      <c r="A11" s="6515" t="s">
        <v>70</v>
      </c>
      <c r="B11" s="6516" t="s">
        <v>16</v>
      </c>
      <c r="C11" s="6517" t="s">
        <v>961</v>
      </c>
      <c r="E11" s="1048"/>
      <c r="F11" s="1044">
        <v>9</v>
      </c>
      <c r="G11" s="1048"/>
      <c r="H11" s="1048"/>
      <c r="I11" s="2250">
        <f>SUM(E11:H11)</f>
        <v>9</v>
      </c>
      <c r="J11" s="2251">
        <f t="shared" si="0"/>
        <v>0</v>
      </c>
      <c r="K11" s="2108"/>
      <c r="L11" s="1048"/>
      <c r="M11" s="1044">
        <v>10</v>
      </c>
      <c r="N11" s="1048"/>
      <c r="O11" s="1048"/>
      <c r="P11" s="2250">
        <f>SUM(L11:O11)</f>
        <v>10</v>
      </c>
      <c r="Q11" s="2251">
        <f t="shared" si="1"/>
        <v>0</v>
      </c>
      <c r="R11" s="2108"/>
      <c r="S11" s="1048">
        <v>1</v>
      </c>
      <c r="T11" s="1044">
        <v>8</v>
      </c>
      <c r="U11" s="1048"/>
      <c r="V11" s="1048"/>
      <c r="W11" s="2250">
        <f>SUM(S11:V11)</f>
        <v>9</v>
      </c>
      <c r="X11" s="2251">
        <f t="shared" si="2"/>
        <v>0</v>
      </c>
      <c r="Y11" s="2108"/>
      <c r="Z11" s="1048">
        <v>1</v>
      </c>
      <c r="AA11" s="1044">
        <v>9</v>
      </c>
      <c r="AB11" s="1048"/>
      <c r="AC11" s="1048"/>
      <c r="AD11" s="2250">
        <f>SUM(Z11:AC11)</f>
        <v>10</v>
      </c>
      <c r="AE11" s="2251">
        <f t="shared" si="3"/>
        <v>0</v>
      </c>
      <c r="AF11" s="2108"/>
      <c r="AG11" s="1048">
        <v>1</v>
      </c>
      <c r="AH11" s="1044">
        <v>9</v>
      </c>
      <c r="AI11" s="1048"/>
      <c r="AJ11" s="1048"/>
      <c r="AK11" s="2250">
        <f t="shared" si="14"/>
        <v>10</v>
      </c>
      <c r="AL11" s="2251">
        <f t="shared" si="4"/>
        <v>0</v>
      </c>
      <c r="AM11" s="2108"/>
      <c r="AN11" s="1048">
        <v>1</v>
      </c>
      <c r="AO11" s="1044">
        <v>10</v>
      </c>
      <c r="AP11" s="1048"/>
      <c r="AQ11" s="1048"/>
      <c r="AR11" s="2250">
        <f t="shared" si="15"/>
        <v>11</v>
      </c>
      <c r="AS11" s="2251">
        <f t="shared" si="5"/>
        <v>0</v>
      </c>
      <c r="AT11" s="2108"/>
      <c r="AU11" s="1048">
        <v>1</v>
      </c>
      <c r="AV11" s="1044">
        <v>9</v>
      </c>
      <c r="AW11" s="1048"/>
      <c r="AX11" s="1048"/>
      <c r="AY11" s="2250">
        <f t="shared" si="16"/>
        <v>10</v>
      </c>
      <c r="AZ11" s="2251">
        <f t="shared" si="6"/>
        <v>0</v>
      </c>
      <c r="BA11" s="2108"/>
      <c r="BB11" s="1048">
        <v>3</v>
      </c>
      <c r="BC11" s="1044">
        <v>9</v>
      </c>
      <c r="BD11" s="1048"/>
      <c r="BE11" s="1048"/>
      <c r="BF11" s="2250">
        <f>SUM(BB11:BE11)</f>
        <v>12</v>
      </c>
      <c r="BG11" s="2251">
        <f t="shared" si="7"/>
        <v>0</v>
      </c>
      <c r="BH11" s="2108"/>
      <c r="BI11" s="1048">
        <v>5</v>
      </c>
      <c r="BJ11" s="1044">
        <v>8</v>
      </c>
      <c r="BK11" s="1048"/>
      <c r="BL11" s="1048"/>
      <c r="BM11" s="2250">
        <v>13</v>
      </c>
      <c r="BN11" s="2251">
        <f t="shared" si="8"/>
        <v>0</v>
      </c>
      <c r="BP11" s="1048">
        <v>5</v>
      </c>
      <c r="BQ11" s="1044">
        <v>7</v>
      </c>
      <c r="BR11" s="1048"/>
      <c r="BS11" s="1048"/>
      <c r="BT11" s="2250">
        <v>12</v>
      </c>
      <c r="BU11" s="2251">
        <f t="shared" si="9"/>
        <v>0</v>
      </c>
      <c r="BW11" s="1048">
        <v>5</v>
      </c>
      <c r="BX11" s="1044">
        <v>8</v>
      </c>
      <c r="BY11" s="1048"/>
      <c r="BZ11" s="1048"/>
      <c r="CA11" s="2250">
        <v>13</v>
      </c>
      <c r="CB11" s="2251">
        <f t="shared" si="10"/>
        <v>0</v>
      </c>
      <c r="CD11" s="1048">
        <v>6</v>
      </c>
      <c r="CE11" s="1044">
        <v>7</v>
      </c>
      <c r="CF11" s="1048">
        <v>1</v>
      </c>
      <c r="CG11" s="1048"/>
      <c r="CH11" s="2250">
        <v>14</v>
      </c>
      <c r="CI11" s="2251">
        <f t="shared" si="11"/>
        <v>7.6923076923076927E-2</v>
      </c>
      <c r="CK11" s="1048">
        <v>6</v>
      </c>
      <c r="CL11" s="1044">
        <v>13</v>
      </c>
      <c r="CM11" s="1048">
        <v>1</v>
      </c>
      <c r="CN11" s="1048">
        <v>1</v>
      </c>
      <c r="CO11" s="2250">
        <v>21</v>
      </c>
      <c r="CP11" s="2251">
        <f t="shared" si="12"/>
        <v>0.10526315789473684</v>
      </c>
      <c r="CR11" s="1048">
        <v>6</v>
      </c>
      <c r="CS11" s="1044">
        <v>12</v>
      </c>
      <c r="CT11" s="1048">
        <v>2</v>
      </c>
      <c r="CU11" s="1048">
        <v>1</v>
      </c>
      <c r="CV11" s="2250">
        <v>21</v>
      </c>
      <c r="CW11" s="2251">
        <f t="shared" si="13"/>
        <v>0.16666666666666666</v>
      </c>
    </row>
    <row r="12" spans="1:101" ht="17.100000000000001" customHeight="1">
      <c r="A12" s="6518" t="s">
        <v>70</v>
      </c>
      <c r="B12" s="6519" t="s">
        <v>16</v>
      </c>
      <c r="C12" s="6520" t="s">
        <v>962</v>
      </c>
      <c r="E12" s="1048"/>
      <c r="F12" s="1044">
        <v>4</v>
      </c>
      <c r="G12" s="1044">
        <v>3</v>
      </c>
      <c r="H12" s="1044">
        <v>2</v>
      </c>
      <c r="I12" s="2254">
        <f>SUM(E12:H12)</f>
        <v>9</v>
      </c>
      <c r="J12" s="2251">
        <f t="shared" si="0"/>
        <v>1.25</v>
      </c>
      <c r="K12" s="2108"/>
      <c r="L12" s="1048"/>
      <c r="M12" s="1044">
        <v>4</v>
      </c>
      <c r="N12" s="1044">
        <v>3</v>
      </c>
      <c r="O12" s="1044">
        <v>1</v>
      </c>
      <c r="P12" s="2254">
        <f>SUM(L12:O12)</f>
        <v>8</v>
      </c>
      <c r="Q12" s="2251">
        <f t="shared" si="1"/>
        <v>1</v>
      </c>
      <c r="R12" s="2108"/>
      <c r="S12" s="1048"/>
      <c r="T12" s="1044">
        <v>4</v>
      </c>
      <c r="U12" s="1044">
        <v>3</v>
      </c>
      <c r="V12" s="1044">
        <v>1</v>
      </c>
      <c r="W12" s="2254">
        <f>SUM(S12:V12)</f>
        <v>8</v>
      </c>
      <c r="X12" s="2251">
        <f t="shared" si="2"/>
        <v>1</v>
      </c>
      <c r="Y12" s="2108"/>
      <c r="Z12" s="1048"/>
      <c r="AA12" s="1044">
        <v>7</v>
      </c>
      <c r="AB12" s="1044">
        <v>4</v>
      </c>
      <c r="AC12" s="1044">
        <v>2</v>
      </c>
      <c r="AD12" s="2254">
        <f>SUM(Z12:AC12)</f>
        <v>13</v>
      </c>
      <c r="AE12" s="2251">
        <f t="shared" si="3"/>
        <v>0.8571428571428571</v>
      </c>
      <c r="AF12" s="2108"/>
      <c r="AG12" s="1048"/>
      <c r="AH12" s="1044">
        <v>10</v>
      </c>
      <c r="AI12" s="1044">
        <v>3</v>
      </c>
      <c r="AJ12" s="1044">
        <v>2</v>
      </c>
      <c r="AK12" s="2254">
        <f t="shared" si="14"/>
        <v>15</v>
      </c>
      <c r="AL12" s="2251">
        <f t="shared" si="4"/>
        <v>0.5</v>
      </c>
      <c r="AM12" s="2108"/>
      <c r="AN12" s="1048"/>
      <c r="AO12" s="1044">
        <v>11</v>
      </c>
      <c r="AP12" s="1044">
        <v>3</v>
      </c>
      <c r="AQ12" s="1044">
        <v>3</v>
      </c>
      <c r="AR12" s="2254">
        <f t="shared" si="15"/>
        <v>17</v>
      </c>
      <c r="AS12" s="2251">
        <f t="shared" si="5"/>
        <v>0.54545454545454541</v>
      </c>
      <c r="AT12" s="2108"/>
      <c r="AU12" s="1048">
        <v>1</v>
      </c>
      <c r="AV12" s="1044">
        <v>11</v>
      </c>
      <c r="AW12" s="1044">
        <v>2</v>
      </c>
      <c r="AX12" s="1044">
        <v>4</v>
      </c>
      <c r="AY12" s="2254">
        <f t="shared" si="16"/>
        <v>18</v>
      </c>
      <c r="AZ12" s="2251">
        <f t="shared" si="6"/>
        <v>0.5</v>
      </c>
      <c r="BA12" s="2108"/>
      <c r="BB12" s="1048">
        <v>1</v>
      </c>
      <c r="BC12" s="1044">
        <v>12</v>
      </c>
      <c r="BD12" s="1044">
        <v>1</v>
      </c>
      <c r="BE12" s="1044">
        <v>4</v>
      </c>
      <c r="BF12" s="2254">
        <f>SUM(BB12:BE12)</f>
        <v>18</v>
      </c>
      <c r="BG12" s="2251">
        <f t="shared" si="7"/>
        <v>0.38461538461538464</v>
      </c>
      <c r="BH12" s="2108"/>
      <c r="BI12" s="1048">
        <v>1</v>
      </c>
      <c r="BJ12" s="1044">
        <v>10</v>
      </c>
      <c r="BK12" s="1044">
        <v>1</v>
      </c>
      <c r="BL12" s="1044">
        <v>4</v>
      </c>
      <c r="BM12" s="2254">
        <v>16</v>
      </c>
      <c r="BN12" s="2251">
        <f t="shared" si="8"/>
        <v>0.45454545454545453</v>
      </c>
      <c r="BP12" s="1048"/>
      <c r="BQ12" s="1044">
        <v>11</v>
      </c>
      <c r="BR12" s="1044">
        <v>1</v>
      </c>
      <c r="BS12" s="1044">
        <v>4</v>
      </c>
      <c r="BT12" s="2254">
        <v>16</v>
      </c>
      <c r="BU12" s="2251">
        <f t="shared" si="9"/>
        <v>0.45454545454545453</v>
      </c>
      <c r="BW12" s="1048">
        <v>3</v>
      </c>
      <c r="BX12" s="1044">
        <v>11</v>
      </c>
      <c r="BY12" s="1044">
        <v>1</v>
      </c>
      <c r="BZ12" s="1044">
        <v>4</v>
      </c>
      <c r="CA12" s="2254">
        <v>19</v>
      </c>
      <c r="CB12" s="2251">
        <f t="shared" si="10"/>
        <v>0.35714285714285715</v>
      </c>
      <c r="CD12" s="1048">
        <v>1</v>
      </c>
      <c r="CE12" s="1044">
        <v>12</v>
      </c>
      <c r="CF12" s="1044">
        <v>1</v>
      </c>
      <c r="CG12" s="1044">
        <v>3</v>
      </c>
      <c r="CH12" s="2254">
        <v>17</v>
      </c>
      <c r="CI12" s="2251">
        <f t="shared" si="11"/>
        <v>0.30769230769230771</v>
      </c>
      <c r="CK12" s="1048">
        <v>2</v>
      </c>
      <c r="CL12" s="1044">
        <v>11</v>
      </c>
      <c r="CM12" s="1044">
        <v>1</v>
      </c>
      <c r="CN12" s="1044">
        <v>3</v>
      </c>
      <c r="CO12" s="2254">
        <v>17</v>
      </c>
      <c r="CP12" s="2251">
        <f t="shared" si="12"/>
        <v>0.30769230769230771</v>
      </c>
      <c r="CR12" s="1048">
        <v>1</v>
      </c>
      <c r="CS12" s="1044">
        <v>10</v>
      </c>
      <c r="CT12" s="1044">
        <v>1</v>
      </c>
      <c r="CU12" s="1044">
        <v>3</v>
      </c>
      <c r="CV12" s="2254">
        <v>15</v>
      </c>
      <c r="CW12" s="2251">
        <f t="shared" si="13"/>
        <v>0.36363636363636365</v>
      </c>
    </row>
    <row r="13" spans="1:101" ht="17.100000000000001" customHeight="1">
      <c r="A13" s="6518" t="s">
        <v>70</v>
      </c>
      <c r="B13" s="6519" t="s">
        <v>16</v>
      </c>
      <c r="C13" s="6520" t="s">
        <v>963</v>
      </c>
      <c r="E13" s="1044">
        <v>1</v>
      </c>
      <c r="F13" s="1044">
        <v>17</v>
      </c>
      <c r="G13" s="1044">
        <v>5</v>
      </c>
      <c r="H13" s="1044"/>
      <c r="I13" s="2254">
        <f>SUM(E13:H13)</f>
        <v>23</v>
      </c>
      <c r="J13" s="2251">
        <f t="shared" si="0"/>
        <v>0.27777777777777779</v>
      </c>
      <c r="K13" s="2108"/>
      <c r="L13" s="1044"/>
      <c r="M13" s="1044">
        <v>17</v>
      </c>
      <c r="N13" s="1044">
        <v>5</v>
      </c>
      <c r="O13" s="1044"/>
      <c r="P13" s="2254">
        <f>SUM(L13:O13)</f>
        <v>22</v>
      </c>
      <c r="Q13" s="2251">
        <f t="shared" si="1"/>
        <v>0.29411764705882354</v>
      </c>
      <c r="R13" s="2108"/>
      <c r="S13" s="1044">
        <v>1</v>
      </c>
      <c r="T13" s="1044">
        <v>18</v>
      </c>
      <c r="U13" s="1044">
        <v>3</v>
      </c>
      <c r="V13" s="1044"/>
      <c r="W13" s="2254">
        <f>SUM(S13:V13)</f>
        <v>22</v>
      </c>
      <c r="X13" s="2251">
        <f t="shared" si="2"/>
        <v>0.15789473684210525</v>
      </c>
      <c r="Y13" s="2108"/>
      <c r="Z13" s="1044">
        <v>2</v>
      </c>
      <c r="AA13" s="1044">
        <v>20</v>
      </c>
      <c r="AB13" s="1044">
        <v>3</v>
      </c>
      <c r="AC13" s="1044"/>
      <c r="AD13" s="2254">
        <f>SUM(Z13:AC13)</f>
        <v>25</v>
      </c>
      <c r="AE13" s="2251">
        <f t="shared" si="3"/>
        <v>0.13636363636363635</v>
      </c>
      <c r="AF13" s="2108"/>
      <c r="AG13" s="1044">
        <v>3</v>
      </c>
      <c r="AH13" s="1044">
        <v>19</v>
      </c>
      <c r="AI13" s="1044">
        <v>3</v>
      </c>
      <c r="AJ13" s="1044"/>
      <c r="AK13" s="2254">
        <f t="shared" si="14"/>
        <v>25</v>
      </c>
      <c r="AL13" s="2251">
        <f t="shared" si="4"/>
        <v>0.13636363636363635</v>
      </c>
      <c r="AM13" s="2108"/>
      <c r="AN13" s="1044">
        <v>3</v>
      </c>
      <c r="AO13" s="1044">
        <v>15</v>
      </c>
      <c r="AP13" s="1044">
        <v>5</v>
      </c>
      <c r="AQ13" s="1044">
        <v>1</v>
      </c>
      <c r="AR13" s="2254">
        <f t="shared" si="15"/>
        <v>24</v>
      </c>
      <c r="AS13" s="2251">
        <f t="shared" si="5"/>
        <v>0.33333333333333331</v>
      </c>
      <c r="AT13" s="2108"/>
      <c r="AU13" s="1044">
        <v>3</v>
      </c>
      <c r="AV13" s="1044">
        <v>16</v>
      </c>
      <c r="AW13" s="1044">
        <v>4</v>
      </c>
      <c r="AX13" s="1044">
        <v>2</v>
      </c>
      <c r="AY13" s="2254">
        <f t="shared" si="16"/>
        <v>25</v>
      </c>
      <c r="AZ13" s="2251">
        <f t="shared" si="6"/>
        <v>0.31578947368421051</v>
      </c>
      <c r="BA13" s="2108"/>
      <c r="BB13" s="1044">
        <v>4</v>
      </c>
      <c r="BC13" s="1044">
        <v>17</v>
      </c>
      <c r="BD13" s="1044">
        <v>4</v>
      </c>
      <c r="BE13" s="1044">
        <v>2</v>
      </c>
      <c r="BF13" s="2254">
        <f>SUM(BB13:BE13)</f>
        <v>27</v>
      </c>
      <c r="BG13" s="2251">
        <f t="shared" si="7"/>
        <v>0.2857142857142857</v>
      </c>
      <c r="BH13" s="2108"/>
      <c r="BI13" s="1044">
        <v>3</v>
      </c>
      <c r="BJ13" s="1044">
        <v>19</v>
      </c>
      <c r="BK13" s="1044">
        <v>4</v>
      </c>
      <c r="BL13" s="1044">
        <v>2</v>
      </c>
      <c r="BM13" s="2254">
        <v>28</v>
      </c>
      <c r="BN13" s="2251">
        <f t="shared" si="8"/>
        <v>0.27272727272727271</v>
      </c>
      <c r="BP13" s="1044">
        <v>4</v>
      </c>
      <c r="BQ13" s="1044">
        <v>17</v>
      </c>
      <c r="BR13" s="1044">
        <v>4</v>
      </c>
      <c r="BS13" s="1044">
        <v>2</v>
      </c>
      <c r="BT13" s="2254">
        <v>27</v>
      </c>
      <c r="BU13" s="2251">
        <f t="shared" si="9"/>
        <v>0.2857142857142857</v>
      </c>
      <c r="BW13" s="1044">
        <v>3</v>
      </c>
      <c r="BX13" s="1044">
        <v>17</v>
      </c>
      <c r="BY13" s="1044">
        <v>4</v>
      </c>
      <c r="BZ13" s="1044">
        <v>2</v>
      </c>
      <c r="CA13" s="2254">
        <v>26</v>
      </c>
      <c r="CB13" s="2251">
        <f t="shared" si="10"/>
        <v>0.3</v>
      </c>
      <c r="CD13" s="1044">
        <v>2</v>
      </c>
      <c r="CE13" s="1044">
        <v>17</v>
      </c>
      <c r="CF13" s="1044">
        <v>4</v>
      </c>
      <c r="CG13" s="1044">
        <v>2</v>
      </c>
      <c r="CH13" s="2254">
        <v>25</v>
      </c>
      <c r="CI13" s="2251">
        <f t="shared" si="11"/>
        <v>0.31578947368421051</v>
      </c>
      <c r="CK13" s="1044">
        <v>2</v>
      </c>
      <c r="CL13" s="1044">
        <v>17</v>
      </c>
      <c r="CM13" s="1044">
        <v>4</v>
      </c>
      <c r="CN13" s="1044">
        <v>2</v>
      </c>
      <c r="CO13" s="2254">
        <v>25</v>
      </c>
      <c r="CP13" s="2251">
        <f t="shared" si="12"/>
        <v>0.31578947368421051</v>
      </c>
      <c r="CR13" s="1044">
        <v>2</v>
      </c>
      <c r="CS13" s="1044">
        <v>16</v>
      </c>
      <c r="CT13" s="1044">
        <v>6</v>
      </c>
      <c r="CU13" s="1044">
        <v>2</v>
      </c>
      <c r="CV13" s="2254">
        <v>26</v>
      </c>
      <c r="CW13" s="2251">
        <f t="shared" si="13"/>
        <v>0.44444444444444442</v>
      </c>
    </row>
    <row r="14" spans="1:101" ht="17.100000000000001" customHeight="1">
      <c r="A14" s="6518" t="s">
        <v>70</v>
      </c>
      <c r="B14" s="6519" t="s">
        <v>16</v>
      </c>
      <c r="C14" s="6520" t="s">
        <v>695</v>
      </c>
      <c r="E14" s="1048">
        <v>1</v>
      </c>
      <c r="F14" s="1044">
        <v>15</v>
      </c>
      <c r="G14" s="1044">
        <v>1</v>
      </c>
      <c r="H14" s="1048"/>
      <c r="I14" s="2250">
        <f>SUM(E14:H14)</f>
        <v>17</v>
      </c>
      <c r="J14" s="2251">
        <f t="shared" si="0"/>
        <v>6.25E-2</v>
      </c>
      <c r="K14" s="2108"/>
      <c r="L14" s="1048">
        <v>1</v>
      </c>
      <c r="M14" s="1044">
        <v>15</v>
      </c>
      <c r="N14" s="1044">
        <v>1</v>
      </c>
      <c r="O14" s="1048"/>
      <c r="P14" s="2250">
        <f>SUM(L14:O14)</f>
        <v>17</v>
      </c>
      <c r="Q14" s="2251">
        <f t="shared" si="1"/>
        <v>6.25E-2</v>
      </c>
      <c r="R14" s="2108"/>
      <c r="S14" s="1048">
        <v>2</v>
      </c>
      <c r="T14" s="1044">
        <v>16</v>
      </c>
      <c r="U14" s="1044"/>
      <c r="V14" s="1048"/>
      <c r="W14" s="2250">
        <f>SUM(S14:V14)</f>
        <v>18</v>
      </c>
      <c r="X14" s="2251">
        <f t="shared" si="2"/>
        <v>0</v>
      </c>
      <c r="Y14" s="2108"/>
      <c r="Z14" s="1048">
        <v>2</v>
      </c>
      <c r="AA14" s="1044">
        <v>17</v>
      </c>
      <c r="AB14" s="1044"/>
      <c r="AC14" s="1048"/>
      <c r="AD14" s="2250">
        <f>SUM(Z14:AC14)</f>
        <v>19</v>
      </c>
      <c r="AE14" s="2251">
        <f t="shared" si="3"/>
        <v>0</v>
      </c>
      <c r="AF14" s="2108"/>
      <c r="AG14" s="1048">
        <v>1</v>
      </c>
      <c r="AH14" s="1044">
        <v>18</v>
      </c>
      <c r="AI14" s="1044"/>
      <c r="AJ14" s="1048"/>
      <c r="AK14" s="2250">
        <f t="shared" si="14"/>
        <v>19</v>
      </c>
      <c r="AL14" s="2251">
        <f t="shared" si="4"/>
        <v>0</v>
      </c>
      <c r="AM14" s="2108"/>
      <c r="AN14" s="1048">
        <v>2</v>
      </c>
      <c r="AO14" s="1044">
        <v>16</v>
      </c>
      <c r="AP14" s="1044"/>
      <c r="AQ14" s="1048"/>
      <c r="AR14" s="2250">
        <f t="shared" si="15"/>
        <v>18</v>
      </c>
      <c r="AS14" s="2251">
        <f t="shared" si="5"/>
        <v>0</v>
      </c>
      <c r="AT14" s="2108"/>
      <c r="AU14" s="1048">
        <v>2</v>
      </c>
      <c r="AV14" s="1044">
        <v>14</v>
      </c>
      <c r="AW14" s="1044"/>
      <c r="AX14" s="1048"/>
      <c r="AY14" s="2250">
        <f t="shared" si="16"/>
        <v>16</v>
      </c>
      <c r="AZ14" s="2251">
        <f t="shared" si="6"/>
        <v>0</v>
      </c>
      <c r="BA14" s="2108"/>
      <c r="BB14" s="1048">
        <v>2</v>
      </c>
      <c r="BC14" s="1044">
        <v>14</v>
      </c>
      <c r="BD14" s="1044"/>
      <c r="BE14" s="1048"/>
      <c r="BF14" s="2250">
        <f>SUM(BB14:BE14)</f>
        <v>16</v>
      </c>
      <c r="BG14" s="2251">
        <f t="shared" si="7"/>
        <v>0</v>
      </c>
      <c r="BH14" s="2108"/>
      <c r="BI14" s="1048">
        <v>3</v>
      </c>
      <c r="BJ14" s="1044">
        <v>17</v>
      </c>
      <c r="BK14" s="1044"/>
      <c r="BL14" s="1048"/>
      <c r="BM14" s="2250">
        <v>20</v>
      </c>
      <c r="BN14" s="2251">
        <f t="shared" si="8"/>
        <v>0</v>
      </c>
      <c r="BP14" s="1048">
        <v>2</v>
      </c>
      <c r="BQ14" s="1044">
        <v>16</v>
      </c>
      <c r="BR14" s="1044"/>
      <c r="BS14" s="1048"/>
      <c r="BT14" s="2250">
        <v>18</v>
      </c>
      <c r="BU14" s="2251">
        <f t="shared" si="9"/>
        <v>0</v>
      </c>
      <c r="BW14" s="1048">
        <v>2</v>
      </c>
      <c r="BX14" s="1044">
        <v>16</v>
      </c>
      <c r="BY14" s="1044"/>
      <c r="BZ14" s="1048"/>
      <c r="CA14" s="2250">
        <v>18</v>
      </c>
      <c r="CB14" s="2251">
        <f t="shared" si="10"/>
        <v>0</v>
      </c>
      <c r="CD14" s="1048">
        <v>2</v>
      </c>
      <c r="CE14" s="1044">
        <v>17</v>
      </c>
      <c r="CF14" s="1044"/>
      <c r="CG14" s="1048"/>
      <c r="CH14" s="2250">
        <v>19</v>
      </c>
      <c r="CI14" s="2251">
        <f t="shared" si="11"/>
        <v>0</v>
      </c>
      <c r="CK14" s="1048">
        <v>6</v>
      </c>
      <c r="CL14" s="1044">
        <v>14</v>
      </c>
      <c r="CM14" s="1044">
        <v>4</v>
      </c>
      <c r="CN14" s="1048">
        <v>0</v>
      </c>
      <c r="CO14" s="2250">
        <v>24</v>
      </c>
      <c r="CP14" s="2251">
        <f t="shared" si="12"/>
        <v>0.2</v>
      </c>
      <c r="CR14" s="1048">
        <v>5</v>
      </c>
      <c r="CS14" s="1044">
        <v>13</v>
      </c>
      <c r="CT14" s="1044">
        <v>4</v>
      </c>
      <c r="CU14" s="1048">
        <v>0</v>
      </c>
      <c r="CV14" s="2250">
        <v>22</v>
      </c>
      <c r="CW14" s="2251">
        <f t="shared" si="13"/>
        <v>0.22222222222222221</v>
      </c>
    </row>
    <row r="15" spans="1:101" ht="17.100000000000001" customHeight="1" thickBot="1">
      <c r="A15" s="6524" t="s">
        <v>70</v>
      </c>
      <c r="B15" s="6525" t="s">
        <v>16</v>
      </c>
      <c r="C15" s="6526" t="s">
        <v>964</v>
      </c>
      <c r="E15" s="1044">
        <v>1</v>
      </c>
      <c r="F15" s="1044">
        <v>14</v>
      </c>
      <c r="G15" s="1044">
        <v>13</v>
      </c>
      <c r="H15" s="1044">
        <v>3</v>
      </c>
      <c r="I15" s="2254">
        <f>SUM(E15:H15)</f>
        <v>31</v>
      </c>
      <c r="J15" s="2251">
        <f t="shared" si="0"/>
        <v>1.0666666666666667</v>
      </c>
      <c r="K15" s="2108"/>
      <c r="L15" s="1044">
        <v>1</v>
      </c>
      <c r="M15" s="1044">
        <v>14</v>
      </c>
      <c r="N15" s="1044">
        <v>13</v>
      </c>
      <c r="O15" s="1044">
        <v>3</v>
      </c>
      <c r="P15" s="2254">
        <f>SUM(L15:O15)</f>
        <v>31</v>
      </c>
      <c r="Q15" s="2251">
        <f t="shared" si="1"/>
        <v>1.0666666666666667</v>
      </c>
      <c r="R15" s="2108"/>
      <c r="S15" s="1044">
        <v>1</v>
      </c>
      <c r="T15" s="1044">
        <v>18</v>
      </c>
      <c r="U15" s="1044">
        <v>9</v>
      </c>
      <c r="V15" s="1044">
        <v>3</v>
      </c>
      <c r="W15" s="2254">
        <f>SUM(S15:V15)</f>
        <v>31</v>
      </c>
      <c r="X15" s="2251">
        <f t="shared" si="2"/>
        <v>0.63157894736842102</v>
      </c>
      <c r="Y15" s="2108"/>
      <c r="Z15" s="1044">
        <v>1</v>
      </c>
      <c r="AA15" s="1044">
        <v>24</v>
      </c>
      <c r="AB15" s="1044">
        <v>9</v>
      </c>
      <c r="AC15" s="1044">
        <v>3</v>
      </c>
      <c r="AD15" s="2254">
        <f>SUM(Z15:AC15)</f>
        <v>37</v>
      </c>
      <c r="AE15" s="2251">
        <f t="shared" si="3"/>
        <v>0.48</v>
      </c>
      <c r="AF15" s="2108"/>
      <c r="AG15" s="1044">
        <v>4</v>
      </c>
      <c r="AH15" s="1044">
        <v>23</v>
      </c>
      <c r="AI15" s="1044">
        <v>11</v>
      </c>
      <c r="AJ15" s="1044">
        <v>2</v>
      </c>
      <c r="AK15" s="2254">
        <f t="shared" si="14"/>
        <v>40</v>
      </c>
      <c r="AL15" s="2251">
        <f t="shared" si="4"/>
        <v>0.48148148148148145</v>
      </c>
      <c r="AM15" s="2108"/>
      <c r="AN15" s="1044">
        <v>4</v>
      </c>
      <c r="AO15" s="1044">
        <v>23</v>
      </c>
      <c r="AP15" s="1044">
        <v>12</v>
      </c>
      <c r="AQ15" s="1044">
        <v>2</v>
      </c>
      <c r="AR15" s="2254">
        <f t="shared" si="15"/>
        <v>41</v>
      </c>
      <c r="AS15" s="2251">
        <f t="shared" si="5"/>
        <v>0.51851851851851849</v>
      </c>
      <c r="AT15" s="2108"/>
      <c r="AU15" s="1044">
        <v>4</v>
      </c>
      <c r="AV15" s="1044">
        <v>23</v>
      </c>
      <c r="AW15" s="1044">
        <v>13</v>
      </c>
      <c r="AX15" s="1044">
        <v>3</v>
      </c>
      <c r="AY15" s="2254">
        <f t="shared" si="16"/>
        <v>43</v>
      </c>
      <c r="AZ15" s="2251">
        <f t="shared" si="6"/>
        <v>0.59259259259259256</v>
      </c>
      <c r="BA15" s="2108"/>
      <c r="BB15" s="1044">
        <v>4</v>
      </c>
      <c r="BC15" s="1044">
        <v>25</v>
      </c>
      <c r="BD15" s="1044">
        <v>13</v>
      </c>
      <c r="BE15" s="1044">
        <v>3</v>
      </c>
      <c r="BF15" s="2254">
        <f>SUM(BB15:BE15)</f>
        <v>45</v>
      </c>
      <c r="BG15" s="2251">
        <f t="shared" si="7"/>
        <v>0.55172413793103448</v>
      </c>
      <c r="BH15" s="2108"/>
      <c r="BI15" s="1044">
        <v>3</v>
      </c>
      <c r="BJ15" s="1044">
        <v>21</v>
      </c>
      <c r="BK15" s="1044">
        <v>13</v>
      </c>
      <c r="BL15" s="1044">
        <v>3</v>
      </c>
      <c r="BM15" s="2254">
        <v>40</v>
      </c>
      <c r="BN15" s="2251">
        <f t="shared" si="8"/>
        <v>0.66666666666666663</v>
      </c>
      <c r="BP15" s="1044">
        <v>4</v>
      </c>
      <c r="BQ15" s="1044">
        <v>18</v>
      </c>
      <c r="BR15" s="1044">
        <v>14</v>
      </c>
      <c r="BS15" s="1044">
        <v>3</v>
      </c>
      <c r="BT15" s="2254">
        <v>39</v>
      </c>
      <c r="BU15" s="2251">
        <f t="shared" si="9"/>
        <v>0.77272727272727271</v>
      </c>
      <c r="BW15" s="1044">
        <v>5</v>
      </c>
      <c r="BX15" s="1044">
        <v>17</v>
      </c>
      <c r="BY15" s="1044">
        <v>14</v>
      </c>
      <c r="BZ15" s="1044">
        <v>3</v>
      </c>
      <c r="CA15" s="2254">
        <v>39</v>
      </c>
      <c r="CB15" s="2251">
        <f t="shared" si="10"/>
        <v>0.77272727272727271</v>
      </c>
      <c r="CD15" s="1044">
        <v>4</v>
      </c>
      <c r="CE15" s="1044">
        <v>18</v>
      </c>
      <c r="CF15" s="1044">
        <v>14</v>
      </c>
      <c r="CG15" s="1044">
        <v>3</v>
      </c>
      <c r="CH15" s="2254">
        <v>39</v>
      </c>
      <c r="CI15" s="2251">
        <f t="shared" si="11"/>
        <v>0.77272727272727271</v>
      </c>
      <c r="CK15" s="1044">
        <v>1</v>
      </c>
      <c r="CL15" s="1044">
        <v>20</v>
      </c>
      <c r="CM15" s="1044">
        <v>15</v>
      </c>
      <c r="CN15" s="1044">
        <v>3</v>
      </c>
      <c r="CO15" s="2254">
        <v>39</v>
      </c>
      <c r="CP15" s="2251">
        <f t="shared" si="12"/>
        <v>0.8571428571428571</v>
      </c>
      <c r="CR15" s="1044">
        <v>3</v>
      </c>
      <c r="CS15" s="1044">
        <v>18</v>
      </c>
      <c r="CT15" s="1044">
        <v>17</v>
      </c>
      <c r="CU15" s="1044">
        <v>3</v>
      </c>
      <c r="CV15" s="2254">
        <v>41</v>
      </c>
      <c r="CW15" s="2251">
        <f t="shared" si="13"/>
        <v>0.95238095238095233</v>
      </c>
    </row>
    <row r="16" spans="1:101" ht="17.100000000000001" customHeight="1" thickBot="1">
      <c r="A16" s="7324" t="s">
        <v>1411</v>
      </c>
      <c r="B16" s="7324"/>
      <c r="C16" s="7324"/>
      <c r="E16" s="1045">
        <f>SUM(E11:E15)</f>
        <v>3</v>
      </c>
      <c r="F16" s="1045">
        <f>SUM(F11:F15)</f>
        <v>59</v>
      </c>
      <c r="G16" s="1045">
        <f>SUM(G11:G15)</f>
        <v>22</v>
      </c>
      <c r="H16" s="1045">
        <f>SUM(H11:H15)</f>
        <v>5</v>
      </c>
      <c r="I16" s="2252">
        <f>SUM(I11:I15)</f>
        <v>89</v>
      </c>
      <c r="J16" s="2253">
        <f t="shared" si="0"/>
        <v>0.43548387096774194</v>
      </c>
      <c r="K16" s="2108"/>
      <c r="L16" s="1045">
        <f>SUM(L11:L15)</f>
        <v>2</v>
      </c>
      <c r="M16" s="1045">
        <f>SUM(M11:M15)</f>
        <v>60</v>
      </c>
      <c r="N16" s="1045">
        <f>SUM(N11:N15)</f>
        <v>22</v>
      </c>
      <c r="O16" s="1045">
        <f>SUM(O11:O15)</f>
        <v>4</v>
      </c>
      <c r="P16" s="2252">
        <f>SUM(P11:P15)</f>
        <v>88</v>
      </c>
      <c r="Q16" s="2253">
        <f t="shared" si="1"/>
        <v>0.41935483870967744</v>
      </c>
      <c r="R16" s="2108"/>
      <c r="S16" s="1045">
        <f>SUM(S11:S15)</f>
        <v>5</v>
      </c>
      <c r="T16" s="1045">
        <f>SUM(T11:T15)</f>
        <v>64</v>
      </c>
      <c r="U16" s="1045">
        <f>SUM(U11:U15)</f>
        <v>15</v>
      </c>
      <c r="V16" s="1045">
        <f>SUM(V11:V15)</f>
        <v>4</v>
      </c>
      <c r="W16" s="2252">
        <f>SUM(W11:W15)</f>
        <v>88</v>
      </c>
      <c r="X16" s="2253">
        <f t="shared" si="2"/>
        <v>0.27536231884057971</v>
      </c>
      <c r="Y16" s="2108"/>
      <c r="Z16" s="1045">
        <f>SUM(Z11:Z15)</f>
        <v>6</v>
      </c>
      <c r="AA16" s="1045">
        <f>SUM(AA11:AA15)</f>
        <v>77</v>
      </c>
      <c r="AB16" s="1045">
        <f>SUM(AB11:AB15)</f>
        <v>16</v>
      </c>
      <c r="AC16" s="1045">
        <f>SUM(AC11:AC15)</f>
        <v>5</v>
      </c>
      <c r="AD16" s="2252">
        <f>SUM(AD11:AD15)</f>
        <v>104</v>
      </c>
      <c r="AE16" s="2253">
        <f t="shared" si="3"/>
        <v>0.25301204819277107</v>
      </c>
      <c r="AF16" s="2108"/>
      <c r="AG16" s="1045">
        <f>SUM(AG11:AG15)</f>
        <v>9</v>
      </c>
      <c r="AH16" s="1045">
        <f>SUM(AH11:AH15)</f>
        <v>79</v>
      </c>
      <c r="AI16" s="1045">
        <f>SUM(AI11:AI15)</f>
        <v>17</v>
      </c>
      <c r="AJ16" s="1045">
        <f>SUM(AJ11:AJ15)</f>
        <v>4</v>
      </c>
      <c r="AK16" s="2252">
        <f t="shared" si="14"/>
        <v>109</v>
      </c>
      <c r="AL16" s="2253">
        <f t="shared" si="4"/>
        <v>0.23863636363636365</v>
      </c>
      <c r="AM16" s="2108"/>
      <c r="AN16" s="1045">
        <v>10</v>
      </c>
      <c r="AO16" s="1045">
        <v>75</v>
      </c>
      <c r="AP16" s="1045">
        <v>20</v>
      </c>
      <c r="AQ16" s="1045">
        <v>6</v>
      </c>
      <c r="AR16" s="2252">
        <f t="shared" si="15"/>
        <v>111</v>
      </c>
      <c r="AS16" s="2253">
        <f t="shared" si="5"/>
        <v>0.30588235294117649</v>
      </c>
      <c r="AT16" s="2108"/>
      <c r="AU16" s="1045">
        <f>SUM(AU11:AU15)</f>
        <v>11</v>
      </c>
      <c r="AV16" s="1045">
        <f>SUM(AV11:AV15)</f>
        <v>73</v>
      </c>
      <c r="AW16" s="1045">
        <f>SUM(AW11:AW15)</f>
        <v>19</v>
      </c>
      <c r="AX16" s="1045">
        <f>SUM(AX11:AX15)</f>
        <v>9</v>
      </c>
      <c r="AY16" s="2252">
        <f>SUM(AY11:AY15)</f>
        <v>112</v>
      </c>
      <c r="AZ16" s="2253">
        <f t="shared" si="6"/>
        <v>0.33333333333333331</v>
      </c>
      <c r="BA16" s="2108"/>
      <c r="BB16" s="1045">
        <v>14</v>
      </c>
      <c r="BC16" s="1045">
        <v>77</v>
      </c>
      <c r="BD16" s="1045">
        <v>18</v>
      </c>
      <c r="BE16" s="1045">
        <v>9</v>
      </c>
      <c r="BF16" s="2252">
        <f>SUM(BF11:BF15)</f>
        <v>118</v>
      </c>
      <c r="BG16" s="2253">
        <f t="shared" si="7"/>
        <v>0.2967032967032967</v>
      </c>
      <c r="BH16" s="2108"/>
      <c r="BI16" s="1045">
        <v>15</v>
      </c>
      <c r="BJ16" s="1045">
        <v>75</v>
      </c>
      <c r="BK16" s="1045">
        <v>18</v>
      </c>
      <c r="BL16" s="1045">
        <v>9</v>
      </c>
      <c r="BM16" s="2252">
        <v>117</v>
      </c>
      <c r="BN16" s="2253">
        <f t="shared" si="8"/>
        <v>0.3</v>
      </c>
      <c r="BP16" s="1045">
        <v>15</v>
      </c>
      <c r="BQ16" s="1045">
        <v>69</v>
      </c>
      <c r="BR16" s="1045">
        <v>19</v>
      </c>
      <c r="BS16" s="1045">
        <v>9</v>
      </c>
      <c r="BT16" s="2252">
        <v>112</v>
      </c>
      <c r="BU16" s="2253">
        <f t="shared" si="9"/>
        <v>0.33333333333333331</v>
      </c>
      <c r="BW16" s="1045">
        <f>SUM(BW11:BW15)</f>
        <v>18</v>
      </c>
      <c r="BX16" s="1045">
        <f>SUM(BX11:BX15)</f>
        <v>69</v>
      </c>
      <c r="BY16" s="1045">
        <f>SUM(BY11:BY15)</f>
        <v>19</v>
      </c>
      <c r="BZ16" s="1045">
        <f>SUM(BZ11:BZ15)</f>
        <v>9</v>
      </c>
      <c r="CA16" s="1045">
        <f>SUM(CA11:CA15)</f>
        <v>115</v>
      </c>
      <c r="CB16" s="2253">
        <f t="shared" si="10"/>
        <v>0.32183908045977011</v>
      </c>
      <c r="CD16" s="1045">
        <f>SUM(CD11:CD15)</f>
        <v>15</v>
      </c>
      <c r="CE16" s="1045">
        <f t="shared" ref="CE16:CH16" si="18">SUM(CE11:CE15)</f>
        <v>71</v>
      </c>
      <c r="CF16" s="1045">
        <f t="shared" si="18"/>
        <v>20</v>
      </c>
      <c r="CG16" s="1045">
        <f t="shared" si="18"/>
        <v>8</v>
      </c>
      <c r="CH16" s="1045">
        <f t="shared" si="18"/>
        <v>114</v>
      </c>
      <c r="CI16" s="2253">
        <f t="shared" si="11"/>
        <v>0.32558139534883723</v>
      </c>
      <c r="CK16" s="1045">
        <v>17</v>
      </c>
      <c r="CL16" s="1045">
        <v>75</v>
      </c>
      <c r="CM16" s="1045">
        <v>25</v>
      </c>
      <c r="CN16" s="1045">
        <v>9</v>
      </c>
      <c r="CO16" s="1045">
        <v>126</v>
      </c>
      <c r="CP16" s="2253">
        <f t="shared" si="12"/>
        <v>0.36956521739130432</v>
      </c>
      <c r="CR16" s="1045">
        <v>17</v>
      </c>
      <c r="CS16" s="1045">
        <v>69</v>
      </c>
      <c r="CT16" s="1045">
        <v>30</v>
      </c>
      <c r="CU16" s="1045">
        <v>9</v>
      </c>
      <c r="CV16" s="1045">
        <v>125</v>
      </c>
      <c r="CW16" s="2253">
        <f t="shared" si="13"/>
        <v>0.45348837209302323</v>
      </c>
    </row>
    <row r="17" spans="1:101" ht="17.100000000000001" customHeight="1">
      <c r="A17" s="6518" t="s">
        <v>70</v>
      </c>
      <c r="B17" s="6519" t="s">
        <v>965</v>
      </c>
      <c r="C17" s="6527" t="s">
        <v>1412</v>
      </c>
      <c r="E17" s="1048"/>
      <c r="F17" s="1044">
        <v>2</v>
      </c>
      <c r="G17" s="1044">
        <v>1</v>
      </c>
      <c r="H17" s="1048"/>
      <c r="I17" s="2250">
        <f>SUM(E17:H17)</f>
        <v>3</v>
      </c>
      <c r="J17" s="2251">
        <f t="shared" si="0"/>
        <v>0.5</v>
      </c>
      <c r="K17" s="2108"/>
      <c r="L17" s="1048"/>
      <c r="M17" s="1044">
        <v>2</v>
      </c>
      <c r="N17" s="1044">
        <v>1</v>
      </c>
      <c r="O17" s="1048"/>
      <c r="P17" s="2250">
        <f>SUM(L17:O17)</f>
        <v>3</v>
      </c>
      <c r="Q17" s="2251">
        <f t="shared" si="1"/>
        <v>0.5</v>
      </c>
      <c r="R17" s="2108"/>
      <c r="S17" s="1048"/>
      <c r="T17" s="1044">
        <v>1</v>
      </c>
      <c r="U17" s="1044">
        <v>1</v>
      </c>
      <c r="V17" s="1048"/>
      <c r="W17" s="2250">
        <f>SUM(S17:V17)</f>
        <v>2</v>
      </c>
      <c r="X17" s="2251">
        <f t="shared" si="2"/>
        <v>1</v>
      </c>
      <c r="Y17" s="2108"/>
      <c r="Z17" s="1048">
        <v>1</v>
      </c>
      <c r="AA17" s="1044">
        <v>1</v>
      </c>
      <c r="AB17" s="1044">
        <v>1</v>
      </c>
      <c r="AC17" s="1048"/>
      <c r="AD17" s="2250">
        <f>SUM(Z17:AC17)</f>
        <v>3</v>
      </c>
      <c r="AE17" s="2251">
        <f t="shared" si="3"/>
        <v>0.5</v>
      </c>
      <c r="AF17" s="2108"/>
      <c r="AG17" s="1048">
        <v>1</v>
      </c>
      <c r="AH17" s="1044">
        <v>1</v>
      </c>
      <c r="AI17" s="1044">
        <v>1</v>
      </c>
      <c r="AJ17" s="1048"/>
      <c r="AK17" s="2250">
        <f t="shared" si="14"/>
        <v>3</v>
      </c>
      <c r="AL17" s="2251">
        <f t="shared" si="4"/>
        <v>0.5</v>
      </c>
      <c r="AM17" s="2108"/>
      <c r="AN17" s="1048">
        <v>1</v>
      </c>
      <c r="AO17" s="1044">
        <v>2</v>
      </c>
      <c r="AP17" s="1044">
        <v>1</v>
      </c>
      <c r="AQ17" s="1048"/>
      <c r="AR17" s="2250">
        <f t="shared" si="15"/>
        <v>4</v>
      </c>
      <c r="AS17" s="2251">
        <f t="shared" si="5"/>
        <v>0.33333333333333331</v>
      </c>
      <c r="AT17" s="2108"/>
      <c r="AU17" s="1048"/>
      <c r="AV17" s="1044">
        <v>3</v>
      </c>
      <c r="AW17" s="1044">
        <v>1</v>
      </c>
      <c r="AX17" s="1048"/>
      <c r="AY17" s="2250">
        <f t="shared" si="16"/>
        <v>4</v>
      </c>
      <c r="AZ17" s="2251">
        <f t="shared" si="6"/>
        <v>0.33333333333333331</v>
      </c>
      <c r="BA17" s="2108"/>
      <c r="BB17" s="1048"/>
      <c r="BC17" s="1044">
        <v>4</v>
      </c>
      <c r="BD17" s="1044"/>
      <c r="BE17" s="1048"/>
      <c r="BF17" s="2250">
        <f>SUM(BB17:BE17)</f>
        <v>4</v>
      </c>
      <c r="BG17" s="2251">
        <f t="shared" si="7"/>
        <v>0</v>
      </c>
      <c r="BH17" s="2108"/>
      <c r="BI17" s="1048"/>
      <c r="BJ17" s="1044">
        <v>4</v>
      </c>
      <c r="BK17" s="1044"/>
      <c r="BL17" s="1048"/>
      <c r="BM17" s="2250">
        <v>4</v>
      </c>
      <c r="BN17" s="2251">
        <f t="shared" si="8"/>
        <v>0</v>
      </c>
      <c r="BP17" s="1048">
        <v>1</v>
      </c>
      <c r="BQ17" s="1044">
        <v>4</v>
      </c>
      <c r="BR17" s="1044"/>
      <c r="BS17" s="1048"/>
      <c r="BT17" s="2250">
        <v>5</v>
      </c>
      <c r="BU17" s="2251">
        <f t="shared" si="9"/>
        <v>0</v>
      </c>
      <c r="BW17" s="1048">
        <v>1</v>
      </c>
      <c r="BX17" s="1044">
        <v>5</v>
      </c>
      <c r="BY17" s="1044"/>
      <c r="BZ17" s="1048"/>
      <c r="CA17" s="2250">
        <v>6</v>
      </c>
      <c r="CB17" s="2251">
        <f t="shared" si="10"/>
        <v>0</v>
      </c>
      <c r="CD17" s="1048">
        <v>2</v>
      </c>
      <c r="CE17" s="1044">
        <v>5</v>
      </c>
      <c r="CF17" s="1044"/>
      <c r="CG17" s="1048"/>
      <c r="CH17" s="2250">
        <v>7</v>
      </c>
      <c r="CI17" s="2251">
        <f t="shared" si="11"/>
        <v>0</v>
      </c>
      <c r="CK17" s="1048">
        <v>2</v>
      </c>
      <c r="CL17" s="1044">
        <v>6</v>
      </c>
      <c r="CM17" s="1044">
        <v>0</v>
      </c>
      <c r="CN17" s="1048">
        <v>0</v>
      </c>
      <c r="CO17" s="2250">
        <v>8</v>
      </c>
      <c r="CP17" s="2251">
        <f t="shared" si="12"/>
        <v>0</v>
      </c>
      <c r="CR17" s="1048">
        <v>2</v>
      </c>
      <c r="CS17" s="1044">
        <v>7</v>
      </c>
      <c r="CT17" s="1044">
        <v>0</v>
      </c>
      <c r="CU17" s="1048">
        <v>0</v>
      </c>
      <c r="CV17" s="2250">
        <v>9</v>
      </c>
      <c r="CW17" s="2251">
        <f t="shared" si="13"/>
        <v>0</v>
      </c>
    </row>
    <row r="18" spans="1:101" ht="17.100000000000001" customHeight="1">
      <c r="A18" s="6518" t="s">
        <v>70</v>
      </c>
      <c r="B18" s="6519" t="s">
        <v>965</v>
      </c>
      <c r="C18" s="6527" t="s">
        <v>1413</v>
      </c>
      <c r="E18" s="1048">
        <v>1</v>
      </c>
      <c r="F18" s="1044"/>
      <c r="G18" s="1044"/>
      <c r="H18" s="1048"/>
      <c r="I18" s="2250">
        <f>SUM(E18:H18)</f>
        <v>1</v>
      </c>
      <c r="J18" s="2251">
        <f t="shared" si="0"/>
        <v>0</v>
      </c>
      <c r="K18" s="2108"/>
      <c r="L18" s="1048">
        <v>1</v>
      </c>
      <c r="M18" s="1044"/>
      <c r="N18" s="1044"/>
      <c r="O18" s="1048"/>
      <c r="P18" s="2250">
        <f>SUM(L18:O18)</f>
        <v>1</v>
      </c>
      <c r="Q18" s="2251">
        <f t="shared" si="1"/>
        <v>0</v>
      </c>
      <c r="R18" s="2108"/>
      <c r="S18" s="1048">
        <v>1</v>
      </c>
      <c r="T18" s="1044"/>
      <c r="U18" s="1044"/>
      <c r="V18" s="1048"/>
      <c r="W18" s="2250">
        <f>SUM(S18:V18)</f>
        <v>1</v>
      </c>
      <c r="X18" s="2251">
        <f t="shared" si="2"/>
        <v>0</v>
      </c>
      <c r="Y18" s="2108"/>
      <c r="Z18" s="1048">
        <v>1</v>
      </c>
      <c r="AA18" s="1044"/>
      <c r="AB18" s="1044"/>
      <c r="AC18" s="1048"/>
      <c r="AD18" s="2250">
        <f>SUM(Z18:AC18)</f>
        <v>1</v>
      </c>
      <c r="AE18" s="2251">
        <f t="shared" si="3"/>
        <v>0</v>
      </c>
      <c r="AF18" s="2108"/>
      <c r="AG18" s="1048">
        <v>2</v>
      </c>
      <c r="AH18" s="1044"/>
      <c r="AI18" s="1044"/>
      <c r="AJ18" s="1048"/>
      <c r="AK18" s="2250">
        <f t="shared" si="14"/>
        <v>2</v>
      </c>
      <c r="AL18" s="2251">
        <f t="shared" si="4"/>
        <v>0</v>
      </c>
      <c r="AM18" s="2108"/>
      <c r="AN18" s="1048">
        <v>2</v>
      </c>
      <c r="AO18" s="1044">
        <v>1</v>
      </c>
      <c r="AP18" s="1044"/>
      <c r="AQ18" s="1048"/>
      <c r="AR18" s="2250">
        <f t="shared" si="15"/>
        <v>3</v>
      </c>
      <c r="AS18" s="2251">
        <f t="shared" si="5"/>
        <v>0</v>
      </c>
      <c r="AT18" s="2108"/>
      <c r="AU18" s="1048">
        <v>2</v>
      </c>
      <c r="AV18" s="1044">
        <v>1</v>
      </c>
      <c r="AW18" s="1044"/>
      <c r="AX18" s="1048"/>
      <c r="AY18" s="2250">
        <f t="shared" si="16"/>
        <v>3</v>
      </c>
      <c r="AZ18" s="2251">
        <f t="shared" si="6"/>
        <v>0</v>
      </c>
      <c r="BA18" s="2108"/>
      <c r="BB18" s="1048">
        <v>2</v>
      </c>
      <c r="BC18" s="1044">
        <v>1</v>
      </c>
      <c r="BD18" s="1044"/>
      <c r="BE18" s="1048"/>
      <c r="BF18" s="2250">
        <f>SUM(BB18:BE18)</f>
        <v>3</v>
      </c>
      <c r="BG18" s="2251">
        <f t="shared" si="7"/>
        <v>0</v>
      </c>
      <c r="BH18" s="2108"/>
      <c r="BI18" s="1048">
        <v>1</v>
      </c>
      <c r="BJ18" s="1044">
        <v>1</v>
      </c>
      <c r="BK18" s="1044"/>
      <c r="BL18" s="1048"/>
      <c r="BM18" s="2250">
        <v>2</v>
      </c>
      <c r="BN18" s="2251">
        <f t="shared" si="8"/>
        <v>0</v>
      </c>
      <c r="BP18" s="1048">
        <v>2</v>
      </c>
      <c r="BQ18" s="1044">
        <v>1</v>
      </c>
      <c r="BR18" s="1044"/>
      <c r="BS18" s="1048"/>
      <c r="BT18" s="2250">
        <v>3</v>
      </c>
      <c r="BU18" s="2251">
        <f t="shared" si="9"/>
        <v>0</v>
      </c>
      <c r="BW18" s="1048">
        <v>4</v>
      </c>
      <c r="BX18" s="1044">
        <v>1</v>
      </c>
      <c r="BY18" s="1044"/>
      <c r="BZ18" s="1048"/>
      <c r="CA18" s="2250">
        <v>5</v>
      </c>
      <c r="CB18" s="2251">
        <f t="shared" si="10"/>
        <v>0</v>
      </c>
      <c r="CD18" s="1048">
        <v>3</v>
      </c>
      <c r="CE18" s="1044">
        <v>1</v>
      </c>
      <c r="CF18" s="1044"/>
      <c r="CG18" s="1048"/>
      <c r="CH18" s="2250">
        <v>4</v>
      </c>
      <c r="CI18" s="2251">
        <f t="shared" si="11"/>
        <v>0</v>
      </c>
      <c r="CK18" s="1048">
        <v>3</v>
      </c>
      <c r="CL18" s="1044">
        <v>3</v>
      </c>
      <c r="CM18" s="1044">
        <v>0</v>
      </c>
      <c r="CN18" s="1048">
        <v>0</v>
      </c>
      <c r="CO18" s="2250">
        <v>6</v>
      </c>
      <c r="CP18" s="2251">
        <f t="shared" si="12"/>
        <v>0</v>
      </c>
      <c r="CR18" s="1048">
        <v>1</v>
      </c>
      <c r="CS18" s="1044">
        <v>3</v>
      </c>
      <c r="CT18" s="1044">
        <v>0</v>
      </c>
      <c r="CU18" s="1048">
        <v>0</v>
      </c>
      <c r="CV18" s="2250">
        <v>4</v>
      </c>
      <c r="CW18" s="2251">
        <f t="shared" si="13"/>
        <v>0</v>
      </c>
    </row>
    <row r="19" spans="1:101" ht="17.100000000000001" customHeight="1">
      <c r="A19" s="6515" t="s">
        <v>70</v>
      </c>
      <c r="B19" s="6516" t="s">
        <v>965</v>
      </c>
      <c r="C19" s="6520" t="s">
        <v>968</v>
      </c>
      <c r="E19" s="1044"/>
      <c r="F19" s="1044"/>
      <c r="G19" s="1044">
        <v>1</v>
      </c>
      <c r="H19" s="1048"/>
      <c r="I19" s="2250">
        <f>SUM(E19:H19)</f>
        <v>1</v>
      </c>
      <c r="J19" s="2251"/>
      <c r="K19" s="2108"/>
      <c r="L19" s="1044"/>
      <c r="M19" s="1044"/>
      <c r="N19" s="1044">
        <v>1</v>
      </c>
      <c r="O19" s="1048"/>
      <c r="P19" s="2250">
        <f>SUM(L19:O19)</f>
        <v>1</v>
      </c>
      <c r="Q19" s="2251"/>
      <c r="R19" s="2108"/>
      <c r="S19" s="1044">
        <v>1</v>
      </c>
      <c r="T19" s="1044"/>
      <c r="U19" s="1044">
        <v>1</v>
      </c>
      <c r="V19" s="1048"/>
      <c r="W19" s="2250">
        <f>SUM(S19:V19)</f>
        <v>2</v>
      </c>
      <c r="X19" s="2251">
        <f>(U19+V19)/(S19+T19)</f>
        <v>1</v>
      </c>
      <c r="Y19" s="2108"/>
      <c r="Z19" s="1044">
        <v>2</v>
      </c>
      <c r="AA19" s="1044">
        <v>1</v>
      </c>
      <c r="AB19" s="1044"/>
      <c r="AC19" s="1048"/>
      <c r="AD19" s="2250">
        <f>SUM(Z19:AC19)</f>
        <v>3</v>
      </c>
      <c r="AE19" s="2251">
        <f>(AB19+AC19)/(Z19+AA19)</f>
        <v>0</v>
      </c>
      <c r="AF19" s="2108"/>
      <c r="AG19" s="1044">
        <v>1</v>
      </c>
      <c r="AH19" s="1044">
        <v>2</v>
      </c>
      <c r="AI19" s="1044"/>
      <c r="AJ19" s="1048"/>
      <c r="AK19" s="2250">
        <f>SUM(AG19:AJ19)</f>
        <v>3</v>
      </c>
      <c r="AL19" s="2251">
        <f>(AI19+AJ19)/(AG19+AH19)</f>
        <v>0</v>
      </c>
      <c r="AM19" s="2108"/>
      <c r="AN19" s="1044">
        <v>1</v>
      </c>
      <c r="AO19" s="1044">
        <v>2</v>
      </c>
      <c r="AP19" s="1044"/>
      <c r="AQ19" s="1048"/>
      <c r="AR19" s="2250">
        <f>SUM(AN19:AQ19)</f>
        <v>3</v>
      </c>
      <c r="AS19" s="2251">
        <f>(AP19+AQ19)/(AN19+AO19)</f>
        <v>0</v>
      </c>
      <c r="AT19" s="2108"/>
      <c r="AU19" s="1044">
        <v>2</v>
      </c>
      <c r="AV19" s="1044">
        <v>3</v>
      </c>
      <c r="AW19" s="1044"/>
      <c r="AX19" s="1048"/>
      <c r="AY19" s="2250">
        <f>SUM(AU19:AX19)</f>
        <v>5</v>
      </c>
      <c r="AZ19" s="2251">
        <f>(AW19+AX19)/(AU19+AV19)</f>
        <v>0</v>
      </c>
      <c r="BA19" s="2108"/>
      <c r="BB19" s="1044">
        <v>2</v>
      </c>
      <c r="BC19" s="1044">
        <v>3</v>
      </c>
      <c r="BD19" s="1044"/>
      <c r="BE19" s="1048"/>
      <c r="BF19" s="2250">
        <f>SUM(BB19:BE19)</f>
        <v>5</v>
      </c>
      <c r="BG19" s="2251">
        <f>(BD19+BE19)/(BB19+BC19)</f>
        <v>0</v>
      </c>
      <c r="BH19" s="2108"/>
      <c r="BI19" s="1044">
        <v>1</v>
      </c>
      <c r="BJ19" s="1044">
        <v>3</v>
      </c>
      <c r="BK19" s="1044"/>
      <c r="BL19" s="1048"/>
      <c r="BM19" s="2250">
        <v>4</v>
      </c>
      <c r="BN19" s="2251">
        <f>(BK19+BL19)/(BI19+BJ19)</f>
        <v>0</v>
      </c>
      <c r="BP19" s="1044"/>
      <c r="BQ19" s="1044">
        <v>3</v>
      </c>
      <c r="BR19" s="1044"/>
      <c r="BS19" s="1048"/>
      <c r="BT19" s="2250">
        <v>3</v>
      </c>
      <c r="BU19" s="2251">
        <f>(BR19+BS19)/(BP19+BQ19)</f>
        <v>0</v>
      </c>
      <c r="BW19" s="1044"/>
      <c r="BX19" s="1044">
        <v>3</v>
      </c>
      <c r="BY19" s="1044"/>
      <c r="BZ19" s="1048"/>
      <c r="CA19" s="2250">
        <v>3</v>
      </c>
      <c r="CB19" s="2251">
        <f>(BY19+BZ19)/(BW19+BX19)</f>
        <v>0</v>
      </c>
      <c r="CD19" s="1044"/>
      <c r="CE19" s="1044">
        <v>3</v>
      </c>
      <c r="CF19" s="1044"/>
      <c r="CG19" s="1048"/>
      <c r="CH19" s="2250">
        <v>3</v>
      </c>
      <c r="CI19" s="2251">
        <f>(CF19+CG19)/(CD19+CE19)</f>
        <v>0</v>
      </c>
      <c r="CK19" s="1044">
        <v>1</v>
      </c>
      <c r="CL19" s="1044">
        <v>2</v>
      </c>
      <c r="CM19" s="1044">
        <v>0</v>
      </c>
      <c r="CN19" s="1048">
        <v>0</v>
      </c>
      <c r="CO19" s="2250">
        <v>3</v>
      </c>
      <c r="CP19" s="2251">
        <f>(CM19+CN19)/(CK19+CL19)</f>
        <v>0</v>
      </c>
      <c r="CR19" s="1044">
        <v>1</v>
      </c>
      <c r="CS19" s="1044">
        <v>2</v>
      </c>
      <c r="CT19" s="1044">
        <v>0</v>
      </c>
      <c r="CU19" s="1048">
        <v>0</v>
      </c>
      <c r="CV19" s="2250">
        <v>3</v>
      </c>
      <c r="CW19" s="2251">
        <f>(CT19+CU19)/(CR19+CS19)</f>
        <v>0</v>
      </c>
    </row>
    <row r="20" spans="1:101" ht="17.100000000000001" customHeight="1" thickBot="1">
      <c r="A20" s="6524" t="s">
        <v>70</v>
      </c>
      <c r="B20" s="6525" t="s">
        <v>965</v>
      </c>
      <c r="C20" s="6526" t="s">
        <v>1414</v>
      </c>
      <c r="E20" s="1048"/>
      <c r="F20" s="1044"/>
      <c r="G20" s="1048">
        <v>1</v>
      </c>
      <c r="H20" s="1048"/>
      <c r="I20" s="2250">
        <f>SUM(E20:H20)</f>
        <v>1</v>
      </c>
      <c r="J20" s="2251"/>
      <c r="K20" s="2108"/>
      <c r="L20" s="1048"/>
      <c r="M20" s="1044"/>
      <c r="N20" s="1048">
        <v>1</v>
      </c>
      <c r="O20" s="1048"/>
      <c r="P20" s="2250">
        <f>SUM(L20:O20)</f>
        <v>1</v>
      </c>
      <c r="Q20" s="2251"/>
      <c r="R20" s="2108"/>
      <c r="S20" s="1048"/>
      <c r="T20" s="1044"/>
      <c r="U20" s="1048">
        <v>1</v>
      </c>
      <c r="V20" s="1048"/>
      <c r="W20" s="2250">
        <f>SUM(S20:V20)</f>
        <v>1</v>
      </c>
      <c r="X20" s="2251"/>
      <c r="Y20" s="2108"/>
      <c r="Z20" s="1048"/>
      <c r="AA20" s="1044"/>
      <c r="AB20" s="1048">
        <v>1</v>
      </c>
      <c r="AC20" s="1048"/>
      <c r="AD20" s="2250">
        <f>SUM(Z20:AC20)</f>
        <v>1</v>
      </c>
      <c r="AE20" s="2251"/>
      <c r="AF20" s="2108"/>
      <c r="AG20" s="1048"/>
      <c r="AH20" s="1044">
        <v>2</v>
      </c>
      <c r="AI20" s="1048">
        <v>1</v>
      </c>
      <c r="AJ20" s="1048"/>
      <c r="AK20" s="2250">
        <f t="shared" si="14"/>
        <v>3</v>
      </c>
      <c r="AL20" s="2251">
        <f t="shared" si="4"/>
        <v>0.5</v>
      </c>
      <c r="AM20" s="2108"/>
      <c r="AN20" s="1048"/>
      <c r="AO20" s="1044">
        <v>2</v>
      </c>
      <c r="AP20" s="1048">
        <v>1</v>
      </c>
      <c r="AQ20" s="1048"/>
      <c r="AR20" s="2250">
        <f t="shared" si="15"/>
        <v>3</v>
      </c>
      <c r="AS20" s="2251">
        <f t="shared" si="5"/>
        <v>0.5</v>
      </c>
      <c r="AT20" s="2108"/>
      <c r="AU20" s="1048"/>
      <c r="AV20" s="1044">
        <v>2</v>
      </c>
      <c r="AW20" s="1048">
        <v>1</v>
      </c>
      <c r="AX20" s="1048"/>
      <c r="AY20" s="2250">
        <f t="shared" si="16"/>
        <v>3</v>
      </c>
      <c r="AZ20" s="2251">
        <f t="shared" si="6"/>
        <v>0.5</v>
      </c>
      <c r="BA20" s="2108"/>
      <c r="BB20" s="1048"/>
      <c r="BC20" s="1044">
        <v>1</v>
      </c>
      <c r="BD20" s="1048">
        <v>2</v>
      </c>
      <c r="BE20" s="1048"/>
      <c r="BF20" s="2250">
        <f>SUM(BB20:BE20)</f>
        <v>3</v>
      </c>
      <c r="BG20" s="2251">
        <f t="shared" si="7"/>
        <v>2</v>
      </c>
      <c r="BH20" s="2108"/>
      <c r="BI20" s="1048">
        <v>1</v>
      </c>
      <c r="BJ20" s="1044">
        <v>1</v>
      </c>
      <c r="BK20" s="1048">
        <v>2</v>
      </c>
      <c r="BL20" s="1048"/>
      <c r="BM20" s="2250">
        <v>4</v>
      </c>
      <c r="BN20" s="2251">
        <f t="shared" si="8"/>
        <v>1</v>
      </c>
      <c r="BP20" s="1048">
        <v>2</v>
      </c>
      <c r="BQ20" s="1044">
        <v>1</v>
      </c>
      <c r="BR20" s="1048">
        <v>2</v>
      </c>
      <c r="BS20" s="1048"/>
      <c r="BT20" s="2250">
        <v>5</v>
      </c>
      <c r="BU20" s="2251">
        <f t="shared" si="9"/>
        <v>0.66666666666666663</v>
      </c>
      <c r="BW20" s="1048">
        <v>2</v>
      </c>
      <c r="BX20" s="1044">
        <v>1</v>
      </c>
      <c r="BY20" s="1048">
        <v>2</v>
      </c>
      <c r="BZ20" s="1048"/>
      <c r="CA20" s="2250">
        <v>5</v>
      </c>
      <c r="CB20" s="2251">
        <f t="shared" si="10"/>
        <v>0.66666666666666663</v>
      </c>
      <c r="CD20" s="1048">
        <v>2</v>
      </c>
      <c r="CE20" s="1044">
        <v>2</v>
      </c>
      <c r="CF20" s="1048">
        <v>2</v>
      </c>
      <c r="CG20" s="1048"/>
      <c r="CH20" s="2250">
        <v>6</v>
      </c>
      <c r="CI20" s="2251">
        <f t="shared" ref="CI20:CI35" si="19">(CF20+CG20)/(CD20+CE20)</f>
        <v>0.5</v>
      </c>
      <c r="CK20" s="1048">
        <v>1</v>
      </c>
      <c r="CL20" s="1044">
        <v>3</v>
      </c>
      <c r="CM20" s="1048">
        <v>1</v>
      </c>
      <c r="CN20" s="1048">
        <v>0</v>
      </c>
      <c r="CO20" s="2250">
        <v>5</v>
      </c>
      <c r="CP20" s="2251">
        <f t="shared" ref="CP20:CP35" si="20">(CM20+CN20)/(CK20+CL20)</f>
        <v>0.25</v>
      </c>
      <c r="CR20" s="1048">
        <v>1</v>
      </c>
      <c r="CS20" s="1044">
        <v>3</v>
      </c>
      <c r="CT20" s="1048">
        <v>1</v>
      </c>
      <c r="CU20" s="1048">
        <v>0</v>
      </c>
      <c r="CV20" s="2250">
        <v>5</v>
      </c>
      <c r="CW20" s="2251">
        <f t="shared" ref="CW20:CW36" si="21">(CT20+CU20)/(CR20+CS20)</f>
        <v>0.25</v>
      </c>
    </row>
    <row r="21" spans="1:101" ht="17.100000000000001" customHeight="1">
      <c r="A21" s="7325" t="s">
        <v>1415</v>
      </c>
      <c r="B21" s="7325"/>
      <c r="C21" s="7325"/>
      <c r="E21" s="1051">
        <f>SUM(E17:E20)</f>
        <v>1</v>
      </c>
      <c r="F21" s="1051">
        <f>SUM(F17:F20)</f>
        <v>2</v>
      </c>
      <c r="G21" s="1051">
        <f>SUM(G17:G20)</f>
        <v>3</v>
      </c>
      <c r="H21" s="1051">
        <f>SUM(H17:H20)</f>
        <v>0</v>
      </c>
      <c r="I21" s="2255">
        <f>SUM(I17:I20)</f>
        <v>6</v>
      </c>
      <c r="J21" s="2253">
        <f t="shared" si="0"/>
        <v>1</v>
      </c>
      <c r="K21" s="2108"/>
      <c r="L21" s="1051">
        <f>SUM(L17:L20)</f>
        <v>1</v>
      </c>
      <c r="M21" s="1051">
        <f>SUM(M17:M20)</f>
        <v>2</v>
      </c>
      <c r="N21" s="1051">
        <f>SUM(N17:N20)</f>
        <v>3</v>
      </c>
      <c r="O21" s="1051">
        <f>SUM(O17:O20)</f>
        <v>0</v>
      </c>
      <c r="P21" s="2255">
        <f>SUM(P17:P20)</f>
        <v>6</v>
      </c>
      <c r="Q21" s="2253">
        <f t="shared" si="1"/>
        <v>1</v>
      </c>
      <c r="R21" s="2108"/>
      <c r="S21" s="1051">
        <f>SUM(S17:S20)</f>
        <v>2</v>
      </c>
      <c r="T21" s="1051">
        <f>SUM(T17:T20)</f>
        <v>1</v>
      </c>
      <c r="U21" s="1051">
        <f>SUM(U17:U20)</f>
        <v>3</v>
      </c>
      <c r="V21" s="1051">
        <f>SUM(V17:V20)</f>
        <v>0</v>
      </c>
      <c r="W21" s="2255">
        <f>SUM(W17:W20)</f>
        <v>6</v>
      </c>
      <c r="X21" s="2253">
        <f t="shared" si="2"/>
        <v>1</v>
      </c>
      <c r="Y21" s="2108"/>
      <c r="Z21" s="1051">
        <f>SUM(Z17:Z20)</f>
        <v>4</v>
      </c>
      <c r="AA21" s="1051">
        <f>SUM(AA17:AA20)</f>
        <v>2</v>
      </c>
      <c r="AB21" s="1051">
        <f>SUM(AB17:AB20)</f>
        <v>2</v>
      </c>
      <c r="AC21" s="1051">
        <f>SUM(AC17:AC20)</f>
        <v>0</v>
      </c>
      <c r="AD21" s="2255">
        <f>SUM(AD17:AD20)</f>
        <v>8</v>
      </c>
      <c r="AE21" s="2253">
        <f t="shared" si="3"/>
        <v>0.33333333333333331</v>
      </c>
      <c r="AF21" s="2108"/>
      <c r="AG21" s="1051">
        <f>SUM(AG17:AG20)</f>
        <v>4</v>
      </c>
      <c r="AH21" s="1051">
        <f>SUM(AH17:AH20)</f>
        <v>5</v>
      </c>
      <c r="AI21" s="1051">
        <f>SUM(AI17:AI20)</f>
        <v>2</v>
      </c>
      <c r="AJ21" s="1051">
        <f>SUM(AJ17:AJ20)</f>
        <v>0</v>
      </c>
      <c r="AK21" s="1051">
        <f>SUM(AK17:AK20)</f>
        <v>11</v>
      </c>
      <c r="AL21" s="2253">
        <f t="shared" si="4"/>
        <v>0.22222222222222221</v>
      </c>
      <c r="AM21" s="2108"/>
      <c r="AN21" s="1051">
        <f>SUM(AN17:AN20)</f>
        <v>4</v>
      </c>
      <c r="AO21" s="1051">
        <f>SUM(AO17:AO20)</f>
        <v>7</v>
      </c>
      <c r="AP21" s="1051">
        <f>SUM(AP17:AP20)</f>
        <v>2</v>
      </c>
      <c r="AQ21" s="1051">
        <f>SUM(AQ17:AQ20)</f>
        <v>0</v>
      </c>
      <c r="AR21" s="1051">
        <f>SUM(AR17:AR20)</f>
        <v>13</v>
      </c>
      <c r="AS21" s="2253">
        <f t="shared" si="5"/>
        <v>0.18181818181818182</v>
      </c>
      <c r="AT21" s="2108"/>
      <c r="AU21" s="1051">
        <f>SUM(AU17:AU20)</f>
        <v>4</v>
      </c>
      <c r="AV21" s="1051">
        <f>SUM(AV17:AV20)</f>
        <v>9</v>
      </c>
      <c r="AW21" s="1051">
        <f>SUM(AW17:AW20)</f>
        <v>2</v>
      </c>
      <c r="AX21" s="1051">
        <f>SUM(AX17:AX20)</f>
        <v>0</v>
      </c>
      <c r="AY21" s="1051">
        <f>SUM(AY17:AY20)</f>
        <v>15</v>
      </c>
      <c r="AZ21" s="2253">
        <f t="shared" si="6"/>
        <v>0.15384615384615385</v>
      </c>
      <c r="BA21" s="2108"/>
      <c r="BB21" s="1051">
        <v>4</v>
      </c>
      <c r="BC21" s="1051">
        <v>9</v>
      </c>
      <c r="BD21" s="1051">
        <v>2</v>
      </c>
      <c r="BE21" s="1051">
        <v>0</v>
      </c>
      <c r="BF21" s="2255">
        <f>SUM(BF17:BF20)</f>
        <v>15</v>
      </c>
      <c r="BG21" s="2253">
        <f t="shared" si="7"/>
        <v>0.15384615384615385</v>
      </c>
      <c r="BH21" s="2108"/>
      <c r="BI21" s="1051">
        <v>3</v>
      </c>
      <c r="BJ21" s="1051">
        <v>9</v>
      </c>
      <c r="BK21" s="1051">
        <v>2</v>
      </c>
      <c r="BL21" s="1051">
        <v>0</v>
      </c>
      <c r="BM21" s="2255">
        <v>14</v>
      </c>
      <c r="BN21" s="2253">
        <f t="shared" si="8"/>
        <v>0.16666666666666666</v>
      </c>
      <c r="BP21" s="1051">
        <v>5</v>
      </c>
      <c r="BQ21" s="1051">
        <v>9</v>
      </c>
      <c r="BR21" s="1051">
        <v>2</v>
      </c>
      <c r="BS21" s="1051">
        <v>0</v>
      </c>
      <c r="BT21" s="2255">
        <v>16</v>
      </c>
      <c r="BU21" s="2253">
        <f t="shared" si="9"/>
        <v>0.14285714285714285</v>
      </c>
      <c r="BW21" s="1051">
        <f>SUM(BW17:BW20)</f>
        <v>7</v>
      </c>
      <c r="BX21" s="1051">
        <f>SUM(BX17:BX20)</f>
        <v>10</v>
      </c>
      <c r="BY21" s="1051">
        <f>SUM(BY17:BY20)</f>
        <v>2</v>
      </c>
      <c r="BZ21" s="1051">
        <f>SUM(BZ17:BZ20)</f>
        <v>0</v>
      </c>
      <c r="CA21" s="1051">
        <f>SUM(CA17:CA20)</f>
        <v>19</v>
      </c>
      <c r="CB21" s="2253">
        <f t="shared" si="10"/>
        <v>0.11764705882352941</v>
      </c>
      <c r="CD21" s="1051">
        <f>SUM(CD17:CD20)</f>
        <v>7</v>
      </c>
      <c r="CE21" s="1051">
        <f>SUM(CE17:CE20)</f>
        <v>11</v>
      </c>
      <c r="CF21" s="1051">
        <f>SUM(CF17:CF20)</f>
        <v>2</v>
      </c>
      <c r="CG21" s="1051">
        <f>SUM(CG17:CG20)</f>
        <v>0</v>
      </c>
      <c r="CH21" s="1051">
        <f>SUM(CH17:CH20)</f>
        <v>20</v>
      </c>
      <c r="CI21" s="2253">
        <f t="shared" si="19"/>
        <v>0.1111111111111111</v>
      </c>
      <c r="CK21" s="1051">
        <v>7</v>
      </c>
      <c r="CL21" s="1051">
        <v>14</v>
      </c>
      <c r="CM21" s="1051">
        <v>1</v>
      </c>
      <c r="CN21" s="1051">
        <v>0</v>
      </c>
      <c r="CO21" s="1051">
        <v>22</v>
      </c>
      <c r="CP21" s="2253">
        <f t="shared" si="20"/>
        <v>4.7619047619047616E-2</v>
      </c>
      <c r="CR21" s="1051">
        <v>5</v>
      </c>
      <c r="CS21" s="1051">
        <v>15</v>
      </c>
      <c r="CT21" s="1051">
        <v>1</v>
      </c>
      <c r="CU21" s="1051">
        <v>0</v>
      </c>
      <c r="CV21" s="1051">
        <v>21</v>
      </c>
      <c r="CW21" s="2253">
        <f t="shared" si="21"/>
        <v>0.05</v>
      </c>
    </row>
    <row r="22" spans="1:101" ht="17.100000000000001" customHeight="1">
      <c r="A22" s="7330" t="s">
        <v>888</v>
      </c>
      <c r="B22" s="7330"/>
      <c r="C22" s="7330"/>
      <c r="E22" s="2141">
        <f>SUM(E21,E16,E10)</f>
        <v>18</v>
      </c>
      <c r="F22" s="2141">
        <f>SUM(F21,F16,F10)</f>
        <v>116</v>
      </c>
      <c r="G22" s="2141">
        <f>SUM(G21,G16,G10)</f>
        <v>43</v>
      </c>
      <c r="H22" s="2141">
        <f>SUM(H21,H16,H10)</f>
        <v>6</v>
      </c>
      <c r="I22" s="2256">
        <f>SUM(I10,I16,I21)</f>
        <v>183</v>
      </c>
      <c r="J22" s="2257">
        <f t="shared" si="0"/>
        <v>0.36567164179104478</v>
      </c>
      <c r="K22" s="2108"/>
      <c r="L22" s="2141">
        <f>SUM(L21,L16,L10)</f>
        <v>23</v>
      </c>
      <c r="M22" s="2141">
        <f>SUM(M21,M16,M10)</f>
        <v>117</v>
      </c>
      <c r="N22" s="2141">
        <f>SUM(N21,N16,N10)</f>
        <v>43</v>
      </c>
      <c r="O22" s="2141">
        <f>SUM(O21,O16,O10)</f>
        <v>5</v>
      </c>
      <c r="P22" s="2256">
        <f>SUM(P10,P16,P21)</f>
        <v>188</v>
      </c>
      <c r="Q22" s="2257">
        <f t="shared" si="1"/>
        <v>0.34285714285714286</v>
      </c>
      <c r="R22" s="2108"/>
      <c r="S22" s="2141">
        <f>SUM(S21,S16,S10)</f>
        <v>29</v>
      </c>
      <c r="T22" s="2141">
        <f>SUM(T21,T16,T10)</f>
        <v>119</v>
      </c>
      <c r="U22" s="2141">
        <f>SUM(U21,U16,U10)</f>
        <v>37</v>
      </c>
      <c r="V22" s="2141">
        <f>SUM(V21,V16,V10)</f>
        <v>5</v>
      </c>
      <c r="W22" s="2256">
        <f>SUM(W10,W16,W21)</f>
        <v>190</v>
      </c>
      <c r="X22" s="2257">
        <f t="shared" si="2"/>
        <v>0.28378378378378377</v>
      </c>
      <c r="Y22" s="2108"/>
      <c r="Z22" s="2141">
        <f>SUM(Z21,Z16,Z10)</f>
        <v>37</v>
      </c>
      <c r="AA22" s="2141">
        <f>SUM(AA21,AA16,AA10)</f>
        <v>138</v>
      </c>
      <c r="AB22" s="2141">
        <f>SUM(AB21,AB16,AB10)</f>
        <v>41</v>
      </c>
      <c r="AC22" s="2141">
        <f>SUM(AC21,AC16,AC10)</f>
        <v>6</v>
      </c>
      <c r="AD22" s="2256">
        <f>SUM(AD10,AD16,AD21)</f>
        <v>222</v>
      </c>
      <c r="AE22" s="2257">
        <f t="shared" si="3"/>
        <v>0.26857142857142857</v>
      </c>
      <c r="AF22" s="2108"/>
      <c r="AG22" s="2141">
        <f>SUM(AG21,AG16,AG10)</f>
        <v>31</v>
      </c>
      <c r="AH22" s="2141">
        <f>SUM(AH21,AH16,AH10)</f>
        <v>149</v>
      </c>
      <c r="AI22" s="2141">
        <f>SUM(AI21,AI16,AI10)</f>
        <v>44</v>
      </c>
      <c r="AJ22" s="2141">
        <f>SUM(AJ21,AJ16,AJ10)</f>
        <v>7</v>
      </c>
      <c r="AK22" s="2256">
        <f t="shared" si="14"/>
        <v>231</v>
      </c>
      <c r="AL22" s="2257">
        <f t="shared" si="4"/>
        <v>0.28333333333333333</v>
      </c>
      <c r="AM22" s="2108"/>
      <c r="AN22" s="2141">
        <v>33</v>
      </c>
      <c r="AO22" s="2141">
        <v>144</v>
      </c>
      <c r="AP22" s="2141">
        <v>48</v>
      </c>
      <c r="AQ22" s="2141">
        <v>9</v>
      </c>
      <c r="AR22" s="2256">
        <f t="shared" si="15"/>
        <v>234</v>
      </c>
      <c r="AS22" s="2257">
        <f t="shared" si="5"/>
        <v>0.32203389830508472</v>
      </c>
      <c r="AT22" s="2108"/>
      <c r="AU22" s="2141">
        <f>SUM(AU10,AU16,AU21)</f>
        <v>39</v>
      </c>
      <c r="AV22" s="2141">
        <f>SUM(AV10,AV16,AV21)</f>
        <v>154</v>
      </c>
      <c r="AW22" s="2141">
        <f>SUM(AW10,AW16,AW21)</f>
        <v>46</v>
      </c>
      <c r="AX22" s="2141">
        <f>SUM(AX10,AX16,AX21)</f>
        <v>12</v>
      </c>
      <c r="AY22" s="2256">
        <f>SUM(AY10,AY16,AY21)</f>
        <v>251</v>
      </c>
      <c r="AZ22" s="2257">
        <f t="shared" si="6"/>
        <v>0.30051813471502592</v>
      </c>
      <c r="BA22" s="2108"/>
      <c r="BB22" s="2141">
        <v>39</v>
      </c>
      <c r="BC22" s="2141">
        <v>157</v>
      </c>
      <c r="BD22" s="2141">
        <v>45</v>
      </c>
      <c r="BE22" s="2141">
        <v>12</v>
      </c>
      <c r="BF22" s="2256">
        <f>SUM(BF10,BF16,BF21)</f>
        <v>253</v>
      </c>
      <c r="BG22" s="2257">
        <f t="shared" si="7"/>
        <v>0.29081632653061223</v>
      </c>
      <c r="BH22" s="2108"/>
      <c r="BI22" s="2141">
        <v>34</v>
      </c>
      <c r="BJ22" s="2141">
        <v>155</v>
      </c>
      <c r="BK22" s="2141">
        <v>42</v>
      </c>
      <c r="BL22" s="2141">
        <v>13</v>
      </c>
      <c r="BM22" s="2256">
        <v>244</v>
      </c>
      <c r="BN22" s="2257">
        <f t="shared" si="8"/>
        <v>0.29100529100529099</v>
      </c>
      <c r="BP22" s="2141">
        <v>39</v>
      </c>
      <c r="BQ22" s="2141">
        <v>149</v>
      </c>
      <c r="BR22" s="2141">
        <v>41</v>
      </c>
      <c r="BS22" s="2141">
        <v>16</v>
      </c>
      <c r="BT22" s="2256">
        <v>245</v>
      </c>
      <c r="BU22" s="2257">
        <f t="shared" si="9"/>
        <v>0.30319148936170215</v>
      </c>
      <c r="BW22" s="2141">
        <f>SUM(BW10,BW16,BW21)</f>
        <v>49</v>
      </c>
      <c r="BX22" s="2141">
        <f>SUM(BX10,BX16,BX21)</f>
        <v>150</v>
      </c>
      <c r="BY22" s="2141">
        <f>SUM(BY10,BY16,BY21)</f>
        <v>41</v>
      </c>
      <c r="BZ22" s="2141">
        <f>SUM(BZ10,BZ16,BZ21)</f>
        <v>16</v>
      </c>
      <c r="CA22" s="2141">
        <f>SUM(CA10,CA16,CA21)</f>
        <v>256</v>
      </c>
      <c r="CB22" s="2257">
        <f t="shared" si="10"/>
        <v>0.28643216080402012</v>
      </c>
      <c r="CD22" s="2141">
        <f>SUM(CD10,CD16,CD21)</f>
        <v>42</v>
      </c>
      <c r="CE22" s="2141">
        <f>SUM(CE10,CE16,CE21)</f>
        <v>159</v>
      </c>
      <c r="CF22" s="2141">
        <f>SUM(CF10,CF16,CF21)</f>
        <v>43</v>
      </c>
      <c r="CG22" s="2141">
        <f>SUM(CG10,CG16,CG21)</f>
        <v>15</v>
      </c>
      <c r="CH22" s="2141">
        <f>SUM(CH10,CH16,CH21)</f>
        <v>259</v>
      </c>
      <c r="CI22" s="2257">
        <f t="shared" si="19"/>
        <v>0.28855721393034828</v>
      </c>
      <c r="CK22" s="2141">
        <f>SUM(CK10,CK16,CK21)</f>
        <v>42</v>
      </c>
      <c r="CL22" s="2141">
        <f t="shared" ref="CL22:CO22" si="22">SUM(CL10,CL16,CL21)</f>
        <v>171</v>
      </c>
      <c r="CM22" s="2141">
        <f t="shared" si="22"/>
        <v>49</v>
      </c>
      <c r="CN22" s="2141">
        <f t="shared" si="22"/>
        <v>16</v>
      </c>
      <c r="CO22" s="2141">
        <f t="shared" si="22"/>
        <v>278</v>
      </c>
      <c r="CP22" s="2257">
        <f t="shared" si="20"/>
        <v>0.30516431924882631</v>
      </c>
      <c r="CR22" s="2141">
        <v>39</v>
      </c>
      <c r="CS22" s="2141">
        <v>173</v>
      </c>
      <c r="CT22" s="2141">
        <v>57</v>
      </c>
      <c r="CU22" s="2141">
        <v>16</v>
      </c>
      <c r="CV22" s="2141">
        <v>285</v>
      </c>
      <c r="CW22" s="2257">
        <f t="shared" si="21"/>
        <v>0.34433962264150941</v>
      </c>
    </row>
    <row r="23" spans="1:101" ht="17.100000000000001" customHeight="1">
      <c r="A23" s="6515" t="s">
        <v>72</v>
      </c>
      <c r="B23" s="6516" t="s">
        <v>61</v>
      </c>
      <c r="C23" s="6517" t="s">
        <v>971</v>
      </c>
      <c r="E23" s="1049">
        <v>4</v>
      </c>
      <c r="F23" s="1043">
        <v>4</v>
      </c>
      <c r="G23" s="1049">
        <v>1</v>
      </c>
      <c r="H23" s="1049"/>
      <c r="I23" s="2258">
        <f>SUM(E23:H23)</f>
        <v>9</v>
      </c>
      <c r="J23" s="2259">
        <f t="shared" si="0"/>
        <v>0.125</v>
      </c>
      <c r="K23" s="2108"/>
      <c r="L23" s="1049">
        <v>4</v>
      </c>
      <c r="M23" s="1043">
        <v>4</v>
      </c>
      <c r="N23" s="1049">
        <v>1</v>
      </c>
      <c r="O23" s="1049"/>
      <c r="P23" s="2258">
        <f>SUM(L23:O23)</f>
        <v>9</v>
      </c>
      <c r="Q23" s="2259">
        <f t="shared" si="1"/>
        <v>0.125</v>
      </c>
      <c r="R23" s="2108"/>
      <c r="S23" s="1049">
        <v>3</v>
      </c>
      <c r="T23" s="1043">
        <v>5</v>
      </c>
      <c r="U23" s="1049">
        <v>1</v>
      </c>
      <c r="V23" s="1049"/>
      <c r="W23" s="2258">
        <f>SUM(S23:V23)</f>
        <v>9</v>
      </c>
      <c r="X23" s="2259">
        <f t="shared" si="2"/>
        <v>0.125</v>
      </c>
      <c r="Y23" s="2108"/>
      <c r="Z23" s="1049"/>
      <c r="AA23" s="1043">
        <v>5</v>
      </c>
      <c r="AB23" s="1049">
        <v>1</v>
      </c>
      <c r="AC23" s="1049"/>
      <c r="AD23" s="2258">
        <f>SUM(Z23:AC23)</f>
        <v>6</v>
      </c>
      <c r="AE23" s="2259">
        <f t="shared" si="3"/>
        <v>0.2</v>
      </c>
      <c r="AF23" s="2108"/>
      <c r="AG23" s="1049"/>
      <c r="AH23" s="1043">
        <v>6</v>
      </c>
      <c r="AI23" s="1049">
        <v>1</v>
      </c>
      <c r="AJ23" s="1049"/>
      <c r="AK23" s="2258">
        <f t="shared" si="14"/>
        <v>7</v>
      </c>
      <c r="AL23" s="2259">
        <f t="shared" si="4"/>
        <v>0.16666666666666666</v>
      </c>
      <c r="AM23" s="2108"/>
      <c r="AN23" s="1049"/>
      <c r="AO23" s="1043">
        <v>5</v>
      </c>
      <c r="AP23" s="1049">
        <v>1</v>
      </c>
      <c r="AQ23" s="1049">
        <v>1</v>
      </c>
      <c r="AR23" s="2258">
        <f t="shared" si="15"/>
        <v>7</v>
      </c>
      <c r="AS23" s="2259">
        <f t="shared" si="5"/>
        <v>0.4</v>
      </c>
      <c r="AT23" s="2108"/>
      <c r="AU23" s="1049"/>
      <c r="AV23" s="1043">
        <v>3</v>
      </c>
      <c r="AW23" s="1049">
        <v>2</v>
      </c>
      <c r="AX23" s="1049">
        <v>1</v>
      </c>
      <c r="AY23" s="2258">
        <f>SUM(AU23:AX23)</f>
        <v>6</v>
      </c>
      <c r="AZ23" s="2259">
        <f t="shared" si="6"/>
        <v>1</v>
      </c>
      <c r="BA23" s="2108"/>
      <c r="BB23" s="1049">
        <v>4</v>
      </c>
      <c r="BC23" s="1043">
        <v>2</v>
      </c>
      <c r="BD23" s="1049">
        <v>3</v>
      </c>
      <c r="BE23" s="1049">
        <v>1</v>
      </c>
      <c r="BF23" s="2258">
        <f>SUM(BB23:BE23)</f>
        <v>10</v>
      </c>
      <c r="BG23" s="2259">
        <f t="shared" si="7"/>
        <v>0.66666666666666663</v>
      </c>
      <c r="BH23" s="2108"/>
      <c r="BI23" s="1049">
        <v>3</v>
      </c>
      <c r="BJ23" s="1043">
        <v>2</v>
      </c>
      <c r="BK23" s="1049">
        <v>3</v>
      </c>
      <c r="BL23" s="1049">
        <v>1</v>
      </c>
      <c r="BM23" s="2258">
        <v>9</v>
      </c>
      <c r="BN23" s="2259">
        <f t="shared" si="8"/>
        <v>0.8</v>
      </c>
      <c r="BP23" s="1049">
        <v>3</v>
      </c>
      <c r="BQ23" s="1043">
        <v>2</v>
      </c>
      <c r="BR23" s="1049">
        <v>3</v>
      </c>
      <c r="BS23" s="1049">
        <v>1</v>
      </c>
      <c r="BT23" s="2258">
        <v>9</v>
      </c>
      <c r="BU23" s="2259">
        <f t="shared" si="9"/>
        <v>0.8</v>
      </c>
      <c r="BW23" s="1049">
        <v>2</v>
      </c>
      <c r="BX23" s="1043">
        <v>1</v>
      </c>
      <c r="BY23" s="1049">
        <v>3</v>
      </c>
      <c r="BZ23" s="1049">
        <v>1</v>
      </c>
      <c r="CA23" s="2258">
        <v>7</v>
      </c>
      <c r="CB23" s="2259">
        <f t="shared" si="10"/>
        <v>1.3333333333333333</v>
      </c>
      <c r="CD23" s="1049">
        <v>3</v>
      </c>
      <c r="CE23" s="1043">
        <v>2</v>
      </c>
      <c r="CF23" s="1049">
        <v>3</v>
      </c>
      <c r="CG23" s="1049">
        <v>1</v>
      </c>
      <c r="CH23" s="2258">
        <v>9</v>
      </c>
      <c r="CI23" s="2259">
        <f t="shared" si="19"/>
        <v>0.8</v>
      </c>
      <c r="CK23" s="1049">
        <v>1</v>
      </c>
      <c r="CL23" s="1043">
        <v>2</v>
      </c>
      <c r="CM23" s="1049">
        <v>3</v>
      </c>
      <c r="CN23" s="1049">
        <v>1</v>
      </c>
      <c r="CO23" s="2258">
        <v>7</v>
      </c>
      <c r="CP23" s="2259">
        <f t="shared" si="20"/>
        <v>1.3333333333333333</v>
      </c>
      <c r="CR23" s="1049">
        <v>1</v>
      </c>
      <c r="CS23" s="1043">
        <v>4</v>
      </c>
      <c r="CT23" s="1049">
        <v>2</v>
      </c>
      <c r="CU23" s="1049">
        <v>2</v>
      </c>
      <c r="CV23" s="2258">
        <v>9</v>
      </c>
      <c r="CW23" s="2259">
        <f t="shared" si="21"/>
        <v>0.8</v>
      </c>
    </row>
    <row r="24" spans="1:101" ht="17.100000000000001" customHeight="1">
      <c r="A24" s="6518" t="s">
        <v>72</v>
      </c>
      <c r="B24" s="6519" t="s">
        <v>61</v>
      </c>
      <c r="C24" s="6520" t="s">
        <v>972</v>
      </c>
      <c r="E24" s="1048">
        <v>1</v>
      </c>
      <c r="F24" s="1044">
        <v>1</v>
      </c>
      <c r="G24" s="1048"/>
      <c r="H24" s="1048"/>
      <c r="I24" s="2250">
        <f>SUM(E24:H24)</f>
        <v>2</v>
      </c>
      <c r="J24" s="2251">
        <f t="shared" si="0"/>
        <v>0</v>
      </c>
      <c r="K24" s="2108"/>
      <c r="L24" s="1048">
        <v>1</v>
      </c>
      <c r="M24" s="1044">
        <v>1</v>
      </c>
      <c r="N24" s="1048"/>
      <c r="O24" s="1048"/>
      <c r="P24" s="2250">
        <f>SUM(L24:O24)</f>
        <v>2</v>
      </c>
      <c r="Q24" s="2251">
        <f t="shared" si="1"/>
        <v>0</v>
      </c>
      <c r="R24" s="2108"/>
      <c r="S24" s="1048">
        <v>2</v>
      </c>
      <c r="T24" s="1044">
        <v>2</v>
      </c>
      <c r="U24" s="1048"/>
      <c r="V24" s="1048"/>
      <c r="W24" s="2250">
        <f>SUM(S24:V24)</f>
        <v>4</v>
      </c>
      <c r="X24" s="2251">
        <f t="shared" si="2"/>
        <v>0</v>
      </c>
      <c r="Y24" s="2108"/>
      <c r="Z24" s="1048">
        <v>3</v>
      </c>
      <c r="AA24" s="1044">
        <v>3</v>
      </c>
      <c r="AB24" s="1048"/>
      <c r="AC24" s="1048"/>
      <c r="AD24" s="2250">
        <f>SUM(Z24:AC24)</f>
        <v>6</v>
      </c>
      <c r="AE24" s="2251">
        <f t="shared" si="3"/>
        <v>0</v>
      </c>
      <c r="AF24" s="2108"/>
      <c r="AG24" s="1048">
        <v>2</v>
      </c>
      <c r="AH24" s="1044">
        <v>3</v>
      </c>
      <c r="AI24" s="1048"/>
      <c r="AJ24" s="1048"/>
      <c r="AK24" s="2250">
        <f t="shared" si="14"/>
        <v>5</v>
      </c>
      <c r="AL24" s="2251">
        <f t="shared" si="4"/>
        <v>0</v>
      </c>
      <c r="AM24" s="2108"/>
      <c r="AN24" s="1048">
        <v>3</v>
      </c>
      <c r="AO24" s="1044">
        <v>4</v>
      </c>
      <c r="AP24" s="1048"/>
      <c r="AQ24" s="1048"/>
      <c r="AR24" s="2250">
        <f t="shared" si="15"/>
        <v>7</v>
      </c>
      <c r="AS24" s="2251">
        <f t="shared" si="5"/>
        <v>0</v>
      </c>
      <c r="AT24" s="2108"/>
      <c r="AU24" s="1048">
        <v>1</v>
      </c>
      <c r="AV24" s="1044">
        <v>4</v>
      </c>
      <c r="AW24" s="1048"/>
      <c r="AX24" s="1048"/>
      <c r="AY24" s="2250">
        <f t="shared" ref="AY24:AY33" si="23">SUM(AU24:AX24)</f>
        <v>5</v>
      </c>
      <c r="AZ24" s="2251">
        <f t="shared" si="6"/>
        <v>0</v>
      </c>
      <c r="BA24" s="2108"/>
      <c r="BB24" s="1048">
        <v>2</v>
      </c>
      <c r="BC24" s="1044">
        <v>4</v>
      </c>
      <c r="BD24" s="1048"/>
      <c r="BE24" s="1048"/>
      <c r="BF24" s="2250">
        <f>SUM(BB24:BE24)</f>
        <v>6</v>
      </c>
      <c r="BG24" s="2251">
        <f t="shared" si="7"/>
        <v>0</v>
      </c>
      <c r="BH24" s="2108"/>
      <c r="BI24" s="1048">
        <v>2</v>
      </c>
      <c r="BJ24" s="1044">
        <v>2</v>
      </c>
      <c r="BK24" s="1048">
        <v>1</v>
      </c>
      <c r="BL24" s="1048"/>
      <c r="BM24" s="2250">
        <v>5</v>
      </c>
      <c r="BN24" s="2251">
        <f t="shared" si="8"/>
        <v>0.25</v>
      </c>
      <c r="BP24" s="1048">
        <v>1</v>
      </c>
      <c r="BQ24" s="1044">
        <v>3</v>
      </c>
      <c r="BR24" s="1048">
        <v>1</v>
      </c>
      <c r="BS24" s="1048"/>
      <c r="BT24" s="2250">
        <v>5</v>
      </c>
      <c r="BU24" s="2251">
        <f t="shared" si="9"/>
        <v>0.25</v>
      </c>
      <c r="BW24" s="1048">
        <v>1</v>
      </c>
      <c r="BX24" s="1044">
        <v>3</v>
      </c>
      <c r="BY24" s="1048">
        <v>1</v>
      </c>
      <c r="BZ24" s="1048"/>
      <c r="CA24" s="2250">
        <v>5</v>
      </c>
      <c r="CB24" s="2251">
        <f t="shared" si="10"/>
        <v>0.25</v>
      </c>
      <c r="CD24" s="1048">
        <v>1</v>
      </c>
      <c r="CE24" s="1044">
        <v>3</v>
      </c>
      <c r="CF24" s="1048">
        <v>1</v>
      </c>
      <c r="CG24" s="1048"/>
      <c r="CH24" s="2250">
        <v>5</v>
      </c>
      <c r="CI24" s="2251">
        <f t="shared" si="19"/>
        <v>0.25</v>
      </c>
      <c r="CK24" s="1048">
        <v>0</v>
      </c>
      <c r="CL24" s="1044">
        <v>4</v>
      </c>
      <c r="CM24" s="1048">
        <v>1</v>
      </c>
      <c r="CN24" s="1048">
        <v>0</v>
      </c>
      <c r="CO24" s="2250">
        <v>5</v>
      </c>
      <c r="CP24" s="2251">
        <f t="shared" si="20"/>
        <v>0.25</v>
      </c>
      <c r="CR24" s="1048">
        <v>0</v>
      </c>
      <c r="CS24" s="1044">
        <v>4</v>
      </c>
      <c r="CT24" s="1048">
        <v>1</v>
      </c>
      <c r="CU24" s="1048">
        <v>0</v>
      </c>
      <c r="CV24" s="2250">
        <v>5</v>
      </c>
      <c r="CW24" s="2251">
        <f t="shared" si="21"/>
        <v>0.25</v>
      </c>
    </row>
    <row r="25" spans="1:101" ht="17.100000000000001" customHeight="1" thickBot="1">
      <c r="A25" s="6524" t="s">
        <v>72</v>
      </c>
      <c r="B25" s="6525" t="s">
        <v>61</v>
      </c>
      <c r="C25" s="6526" t="s">
        <v>973</v>
      </c>
      <c r="E25" s="1048"/>
      <c r="F25" s="1044">
        <v>2</v>
      </c>
      <c r="G25" s="1048">
        <v>1</v>
      </c>
      <c r="H25" s="1048">
        <v>1</v>
      </c>
      <c r="I25" s="2250">
        <f>SUM(E25:H25)</f>
        <v>4</v>
      </c>
      <c r="J25" s="2251">
        <f t="shared" si="0"/>
        <v>1</v>
      </c>
      <c r="K25" s="2108"/>
      <c r="L25" s="1048"/>
      <c r="M25" s="1044">
        <v>2</v>
      </c>
      <c r="N25" s="1048">
        <v>1</v>
      </c>
      <c r="O25" s="1048">
        <v>1</v>
      </c>
      <c r="P25" s="2250">
        <f>SUM(L25:O25)</f>
        <v>4</v>
      </c>
      <c r="Q25" s="2251">
        <f t="shared" si="1"/>
        <v>1</v>
      </c>
      <c r="R25" s="2108"/>
      <c r="S25" s="1048">
        <v>1</v>
      </c>
      <c r="T25" s="1044">
        <v>2</v>
      </c>
      <c r="U25" s="1048">
        <v>1</v>
      </c>
      <c r="V25" s="1048">
        <v>1</v>
      </c>
      <c r="W25" s="2250">
        <f>SUM(S25:V25)</f>
        <v>5</v>
      </c>
      <c r="X25" s="2251">
        <f t="shared" si="2"/>
        <v>0.66666666666666663</v>
      </c>
      <c r="Y25" s="2108"/>
      <c r="Z25" s="1048">
        <v>2</v>
      </c>
      <c r="AA25" s="1044">
        <v>2</v>
      </c>
      <c r="AB25" s="1048">
        <v>1</v>
      </c>
      <c r="AC25" s="1048">
        <v>1</v>
      </c>
      <c r="AD25" s="2250">
        <f>SUM(Z25:AC25)</f>
        <v>6</v>
      </c>
      <c r="AE25" s="2251">
        <f t="shared" si="3"/>
        <v>0.5</v>
      </c>
      <c r="AF25" s="2108"/>
      <c r="AG25" s="1048"/>
      <c r="AH25" s="1044">
        <v>6</v>
      </c>
      <c r="AI25" s="1048"/>
      <c r="AJ25" s="1048">
        <v>1</v>
      </c>
      <c r="AK25" s="2250">
        <f t="shared" si="14"/>
        <v>7</v>
      </c>
      <c r="AL25" s="2251">
        <f t="shared" si="4"/>
        <v>0.16666666666666666</v>
      </c>
      <c r="AM25" s="2108"/>
      <c r="AN25" s="1048"/>
      <c r="AO25" s="1044">
        <v>7</v>
      </c>
      <c r="AP25" s="1048"/>
      <c r="AQ25" s="1048">
        <v>1</v>
      </c>
      <c r="AR25" s="2250">
        <f t="shared" si="15"/>
        <v>8</v>
      </c>
      <c r="AS25" s="2251">
        <f t="shared" si="5"/>
        <v>0.14285714285714285</v>
      </c>
      <c r="AT25" s="2108"/>
      <c r="AU25" s="1048"/>
      <c r="AV25" s="1044">
        <v>7</v>
      </c>
      <c r="AW25" s="1048"/>
      <c r="AX25" s="1048">
        <v>1</v>
      </c>
      <c r="AY25" s="2250">
        <f t="shared" si="23"/>
        <v>8</v>
      </c>
      <c r="AZ25" s="2251">
        <f t="shared" si="6"/>
        <v>0.14285714285714285</v>
      </c>
      <c r="BA25" s="2108"/>
      <c r="BB25" s="1048"/>
      <c r="BC25" s="1044">
        <v>4</v>
      </c>
      <c r="BD25" s="1048"/>
      <c r="BE25" s="1048">
        <v>1</v>
      </c>
      <c r="BF25" s="2250">
        <f>SUM(BB25:BE25)</f>
        <v>5</v>
      </c>
      <c r="BG25" s="2251">
        <f t="shared" si="7"/>
        <v>0.25</v>
      </c>
      <c r="BH25" s="2108"/>
      <c r="BI25" s="1048"/>
      <c r="BJ25" s="1044">
        <v>5</v>
      </c>
      <c r="BK25" s="1048"/>
      <c r="BL25" s="1048">
        <v>1</v>
      </c>
      <c r="BM25" s="2250">
        <v>6</v>
      </c>
      <c r="BN25" s="2251">
        <f t="shared" si="8"/>
        <v>0.2</v>
      </c>
      <c r="BP25" s="1048"/>
      <c r="BQ25" s="1044">
        <v>5</v>
      </c>
      <c r="BR25" s="1048"/>
      <c r="BS25" s="1048">
        <v>1</v>
      </c>
      <c r="BT25" s="2250">
        <v>6</v>
      </c>
      <c r="BU25" s="2251">
        <f t="shared" si="9"/>
        <v>0.2</v>
      </c>
      <c r="BW25" s="1048"/>
      <c r="BX25" s="1044">
        <v>5</v>
      </c>
      <c r="BY25" s="1048"/>
      <c r="BZ25" s="1048">
        <v>1</v>
      </c>
      <c r="CA25" s="2250">
        <v>6</v>
      </c>
      <c r="CB25" s="2251">
        <f t="shared" si="10"/>
        <v>0.2</v>
      </c>
      <c r="CD25" s="1048"/>
      <c r="CE25" s="1044">
        <v>4</v>
      </c>
      <c r="CF25" s="1048">
        <v>1</v>
      </c>
      <c r="CG25" s="1048">
        <v>1</v>
      </c>
      <c r="CH25" s="2250">
        <v>6</v>
      </c>
      <c r="CI25" s="2251">
        <f t="shared" si="19"/>
        <v>0.5</v>
      </c>
      <c r="CK25" s="1048">
        <v>1</v>
      </c>
      <c r="CL25" s="1044">
        <v>4</v>
      </c>
      <c r="CM25" s="1048">
        <v>1</v>
      </c>
      <c r="CN25" s="1048">
        <v>1</v>
      </c>
      <c r="CO25" s="2250">
        <v>7</v>
      </c>
      <c r="CP25" s="2251">
        <f t="shared" si="20"/>
        <v>0.4</v>
      </c>
      <c r="CR25" s="1048">
        <v>1</v>
      </c>
      <c r="CS25" s="1044">
        <v>4</v>
      </c>
      <c r="CT25" s="1048">
        <v>1</v>
      </c>
      <c r="CU25" s="1048">
        <v>1</v>
      </c>
      <c r="CV25" s="2250">
        <v>7</v>
      </c>
      <c r="CW25" s="2251">
        <f t="shared" si="21"/>
        <v>0.4</v>
      </c>
    </row>
    <row r="26" spans="1:101" ht="17.100000000000001" customHeight="1" thickBot="1">
      <c r="A26" s="7324" t="s">
        <v>1416</v>
      </c>
      <c r="B26" s="7324"/>
      <c r="C26" s="7324"/>
      <c r="E26" s="1050">
        <f>SUM(E23:E25)</f>
        <v>5</v>
      </c>
      <c r="F26" s="1050">
        <f>SUM(F23:F25)</f>
        <v>7</v>
      </c>
      <c r="G26" s="1050">
        <f>SUM(G23:G25)</f>
        <v>2</v>
      </c>
      <c r="H26" s="1050">
        <f>SUM(H23:H25)</f>
        <v>1</v>
      </c>
      <c r="I26" s="2260">
        <f>SUM(I23:I25)</f>
        <v>15</v>
      </c>
      <c r="J26" s="2253">
        <f t="shared" si="0"/>
        <v>0.25</v>
      </c>
      <c r="K26" s="2108"/>
      <c r="L26" s="1050">
        <f>SUM(L23:L25)</f>
        <v>5</v>
      </c>
      <c r="M26" s="1050">
        <f>SUM(M23:M25)</f>
        <v>7</v>
      </c>
      <c r="N26" s="1050">
        <f>SUM(N23:N25)</f>
        <v>2</v>
      </c>
      <c r="O26" s="1050">
        <f>SUM(O23:O25)</f>
        <v>1</v>
      </c>
      <c r="P26" s="2260">
        <f>SUM(P23:P25)</f>
        <v>15</v>
      </c>
      <c r="Q26" s="2253">
        <f t="shared" si="1"/>
        <v>0.25</v>
      </c>
      <c r="R26" s="2108"/>
      <c r="S26" s="1050">
        <f>SUM(S23:S25)</f>
        <v>6</v>
      </c>
      <c r="T26" s="1050">
        <f>SUM(T23:T25)</f>
        <v>9</v>
      </c>
      <c r="U26" s="1050">
        <f>SUM(U23:U25)</f>
        <v>2</v>
      </c>
      <c r="V26" s="1050">
        <f>SUM(V23:V25)</f>
        <v>1</v>
      </c>
      <c r="W26" s="2260">
        <f>SUM(W23:W25)</f>
        <v>18</v>
      </c>
      <c r="X26" s="2253">
        <f t="shared" si="2"/>
        <v>0.2</v>
      </c>
      <c r="Y26" s="2108"/>
      <c r="Z26" s="1050">
        <f>SUM(Z23:Z25)</f>
        <v>5</v>
      </c>
      <c r="AA26" s="1050">
        <f>SUM(AA23:AA25)</f>
        <v>10</v>
      </c>
      <c r="AB26" s="1050">
        <f>SUM(AB23:AB25)</f>
        <v>2</v>
      </c>
      <c r="AC26" s="1050">
        <f>SUM(AC23:AC25)</f>
        <v>1</v>
      </c>
      <c r="AD26" s="2260">
        <f>SUM(AD23:AD25)</f>
        <v>18</v>
      </c>
      <c r="AE26" s="2253">
        <f t="shared" si="3"/>
        <v>0.2</v>
      </c>
      <c r="AF26" s="2108"/>
      <c r="AG26" s="1050">
        <f>SUM(AG23:AG25)</f>
        <v>2</v>
      </c>
      <c r="AH26" s="1050">
        <f>SUM(AH23:AH25)</f>
        <v>15</v>
      </c>
      <c r="AI26" s="1050">
        <f>SUM(AI23:AI25)</f>
        <v>1</v>
      </c>
      <c r="AJ26" s="1050">
        <f>SUM(AJ23:AJ25)</f>
        <v>1</v>
      </c>
      <c r="AK26" s="2260">
        <f t="shared" si="14"/>
        <v>19</v>
      </c>
      <c r="AL26" s="2253">
        <f t="shared" si="4"/>
        <v>0.11764705882352941</v>
      </c>
      <c r="AM26" s="2108"/>
      <c r="AN26" s="1050">
        <v>3</v>
      </c>
      <c r="AO26" s="1050">
        <v>16</v>
      </c>
      <c r="AP26" s="1050">
        <v>1</v>
      </c>
      <c r="AQ26" s="1050">
        <v>2</v>
      </c>
      <c r="AR26" s="2260">
        <f t="shared" si="15"/>
        <v>22</v>
      </c>
      <c r="AS26" s="2253">
        <f t="shared" si="5"/>
        <v>0.15789473684210525</v>
      </c>
      <c r="AT26" s="2108"/>
      <c r="AU26" s="1050">
        <f>SUM(AU23:AU25)</f>
        <v>1</v>
      </c>
      <c r="AV26" s="1050">
        <f>SUM(AV23:AV25)</f>
        <v>14</v>
      </c>
      <c r="AW26" s="1050">
        <f>SUM(AW23:AW25)</f>
        <v>2</v>
      </c>
      <c r="AX26" s="1050">
        <f>SUM(AX23:AX25)</f>
        <v>2</v>
      </c>
      <c r="AY26" s="2260">
        <f>SUM(AY23:AY25)</f>
        <v>19</v>
      </c>
      <c r="AZ26" s="2253">
        <f t="shared" si="6"/>
        <v>0.26666666666666666</v>
      </c>
      <c r="BA26" s="2108"/>
      <c r="BB26" s="1050">
        <v>6</v>
      </c>
      <c r="BC26" s="1050">
        <v>10</v>
      </c>
      <c r="BD26" s="1050">
        <v>3</v>
      </c>
      <c r="BE26" s="1050">
        <v>2</v>
      </c>
      <c r="BF26" s="2260">
        <f>SUM(BF23:BF25)</f>
        <v>21</v>
      </c>
      <c r="BG26" s="2253">
        <f t="shared" si="7"/>
        <v>0.3125</v>
      </c>
      <c r="BH26" s="2108"/>
      <c r="BI26" s="1050">
        <v>5</v>
      </c>
      <c r="BJ26" s="1050">
        <v>9</v>
      </c>
      <c r="BK26" s="1050">
        <v>4</v>
      </c>
      <c r="BL26" s="1050">
        <v>2</v>
      </c>
      <c r="BM26" s="2260">
        <v>20</v>
      </c>
      <c r="BN26" s="2253">
        <f t="shared" si="8"/>
        <v>0.42857142857142855</v>
      </c>
      <c r="BP26" s="1050">
        <v>4</v>
      </c>
      <c r="BQ26" s="1050">
        <v>10</v>
      </c>
      <c r="BR26" s="1050">
        <v>4</v>
      </c>
      <c r="BS26" s="1050">
        <v>2</v>
      </c>
      <c r="BT26" s="2260">
        <v>20</v>
      </c>
      <c r="BU26" s="2253">
        <f t="shared" si="9"/>
        <v>0.42857142857142855</v>
      </c>
      <c r="BW26" s="1050">
        <f>SUM(BW23:BW25)</f>
        <v>3</v>
      </c>
      <c r="BX26" s="1050">
        <f>SUM(BX23:BX25)</f>
        <v>9</v>
      </c>
      <c r="BY26" s="1050">
        <f>SUM(BY23:BY25)</f>
        <v>4</v>
      </c>
      <c r="BZ26" s="1050">
        <f>SUM(BZ23:BZ25)</f>
        <v>2</v>
      </c>
      <c r="CA26" s="1050">
        <f>SUM(CA23:CA25)</f>
        <v>18</v>
      </c>
      <c r="CB26" s="2253">
        <f t="shared" si="10"/>
        <v>0.5</v>
      </c>
      <c r="CD26" s="1050">
        <v>4</v>
      </c>
      <c r="CE26" s="1050">
        <v>9</v>
      </c>
      <c r="CF26" s="1050">
        <v>5</v>
      </c>
      <c r="CG26" s="1050">
        <v>2</v>
      </c>
      <c r="CH26" s="1050">
        <v>20</v>
      </c>
      <c r="CI26" s="2253">
        <f t="shared" si="19"/>
        <v>0.53846153846153844</v>
      </c>
      <c r="CK26" s="1050">
        <v>2</v>
      </c>
      <c r="CL26" s="1050">
        <v>10</v>
      </c>
      <c r="CM26" s="1050">
        <v>5</v>
      </c>
      <c r="CN26" s="1050">
        <v>2</v>
      </c>
      <c r="CO26" s="1050">
        <v>19</v>
      </c>
      <c r="CP26" s="2253">
        <f t="shared" si="20"/>
        <v>0.58333333333333337</v>
      </c>
      <c r="CR26" s="1050">
        <v>2</v>
      </c>
      <c r="CS26" s="1050">
        <v>12</v>
      </c>
      <c r="CT26" s="1050">
        <v>4</v>
      </c>
      <c r="CU26" s="1050">
        <v>3</v>
      </c>
      <c r="CV26" s="1050">
        <v>21</v>
      </c>
      <c r="CW26" s="2253">
        <f t="shared" si="21"/>
        <v>0.5</v>
      </c>
    </row>
    <row r="27" spans="1:101" ht="17.100000000000001" customHeight="1">
      <c r="A27" s="6528" t="s">
        <v>72</v>
      </c>
      <c r="B27" s="6529" t="s">
        <v>64</v>
      </c>
      <c r="C27" s="6530" t="s">
        <v>974</v>
      </c>
      <c r="E27" s="1044">
        <v>6</v>
      </c>
      <c r="F27" s="1044">
        <v>6</v>
      </c>
      <c r="G27" s="1044">
        <v>1</v>
      </c>
      <c r="H27" s="1048">
        <v>1</v>
      </c>
      <c r="I27" s="2250">
        <f>SUM(E27:H27)</f>
        <v>14</v>
      </c>
      <c r="J27" s="2251">
        <f t="shared" si="0"/>
        <v>0.16666666666666666</v>
      </c>
      <c r="K27" s="2108"/>
      <c r="L27" s="1044">
        <v>4</v>
      </c>
      <c r="M27" s="1044">
        <v>7</v>
      </c>
      <c r="N27" s="1044">
        <v>1</v>
      </c>
      <c r="O27" s="1048">
        <v>1</v>
      </c>
      <c r="P27" s="2250">
        <f>SUM(L27:O27)</f>
        <v>13</v>
      </c>
      <c r="Q27" s="2251">
        <f t="shared" si="1"/>
        <v>0.18181818181818182</v>
      </c>
      <c r="R27" s="2108"/>
      <c r="S27" s="1044">
        <v>4</v>
      </c>
      <c r="T27" s="1044">
        <v>8</v>
      </c>
      <c r="U27" s="1044">
        <v>2</v>
      </c>
      <c r="V27" s="1048">
        <v>1</v>
      </c>
      <c r="W27" s="2250">
        <f>SUM(S27:V27)</f>
        <v>15</v>
      </c>
      <c r="X27" s="2251">
        <f t="shared" si="2"/>
        <v>0.25</v>
      </c>
      <c r="Y27" s="2108"/>
      <c r="Z27" s="1044">
        <v>5</v>
      </c>
      <c r="AA27" s="1044">
        <v>8</v>
      </c>
      <c r="AB27" s="1044">
        <v>1</v>
      </c>
      <c r="AC27" s="1048">
        <v>1</v>
      </c>
      <c r="AD27" s="2250">
        <f>SUM(Z27:AC27)</f>
        <v>15</v>
      </c>
      <c r="AE27" s="2251">
        <f t="shared" si="3"/>
        <v>0.15384615384615385</v>
      </c>
      <c r="AF27" s="2108"/>
      <c r="AG27" s="1044">
        <v>4</v>
      </c>
      <c r="AH27" s="1044">
        <v>12</v>
      </c>
      <c r="AI27" s="1044">
        <v>1</v>
      </c>
      <c r="AJ27" s="1048">
        <v>1</v>
      </c>
      <c r="AK27" s="2250">
        <f t="shared" si="14"/>
        <v>18</v>
      </c>
      <c r="AL27" s="2251">
        <f t="shared" si="4"/>
        <v>0.125</v>
      </c>
      <c r="AM27" s="2108"/>
      <c r="AN27" s="1044">
        <v>1</v>
      </c>
      <c r="AO27" s="1044">
        <v>10</v>
      </c>
      <c r="AP27" s="1044">
        <v>1</v>
      </c>
      <c r="AQ27" s="1048">
        <v>1</v>
      </c>
      <c r="AR27" s="2250">
        <f t="shared" si="15"/>
        <v>13</v>
      </c>
      <c r="AS27" s="2251">
        <f t="shared" si="5"/>
        <v>0.18181818181818182</v>
      </c>
      <c r="AT27" s="2108"/>
      <c r="AU27" s="1044">
        <v>2</v>
      </c>
      <c r="AV27" s="1044">
        <v>10</v>
      </c>
      <c r="AW27" s="1044">
        <v>1</v>
      </c>
      <c r="AX27" s="1048">
        <v>1</v>
      </c>
      <c r="AY27" s="2250">
        <f t="shared" si="23"/>
        <v>14</v>
      </c>
      <c r="AZ27" s="2251">
        <f t="shared" si="6"/>
        <v>0.16666666666666666</v>
      </c>
      <c r="BA27" s="2108"/>
      <c r="BB27" s="1044"/>
      <c r="BC27" s="1044">
        <v>9</v>
      </c>
      <c r="BD27" s="1044">
        <v>1</v>
      </c>
      <c r="BE27" s="1048">
        <v>1</v>
      </c>
      <c r="BF27" s="2250">
        <f>SUM(BB27:BE27)</f>
        <v>11</v>
      </c>
      <c r="BG27" s="2251">
        <f t="shared" si="7"/>
        <v>0.22222222222222221</v>
      </c>
      <c r="BH27" s="2108"/>
      <c r="BI27" s="1044">
        <v>2</v>
      </c>
      <c r="BJ27" s="1044">
        <v>9</v>
      </c>
      <c r="BK27" s="1044"/>
      <c r="BL27" s="1048">
        <v>1</v>
      </c>
      <c r="BM27" s="2250">
        <v>12</v>
      </c>
      <c r="BN27" s="2251">
        <f t="shared" si="8"/>
        <v>9.0909090909090912E-2</v>
      </c>
      <c r="BP27" s="1044">
        <v>2</v>
      </c>
      <c r="BQ27" s="1044">
        <v>10</v>
      </c>
      <c r="BR27" s="1044"/>
      <c r="BS27" s="1048">
        <v>1</v>
      </c>
      <c r="BT27" s="2250">
        <v>13</v>
      </c>
      <c r="BU27" s="2251">
        <f t="shared" si="9"/>
        <v>8.3333333333333329E-2</v>
      </c>
      <c r="BW27" s="1044">
        <v>2</v>
      </c>
      <c r="BX27" s="1044">
        <v>9</v>
      </c>
      <c r="BY27" s="1044"/>
      <c r="BZ27" s="1048">
        <v>1</v>
      </c>
      <c r="CA27" s="2250">
        <v>12</v>
      </c>
      <c r="CB27" s="2251">
        <f t="shared" si="10"/>
        <v>9.0909090909090912E-2</v>
      </c>
      <c r="CD27" s="1044">
        <v>3</v>
      </c>
      <c r="CE27" s="1044">
        <v>9</v>
      </c>
      <c r="CF27" s="1044"/>
      <c r="CG27" s="1048">
        <v>1</v>
      </c>
      <c r="CH27" s="2250">
        <v>13</v>
      </c>
      <c r="CI27" s="2251">
        <f t="shared" si="19"/>
        <v>8.3333333333333329E-2</v>
      </c>
      <c r="CK27" s="1044">
        <v>4</v>
      </c>
      <c r="CL27" s="1044">
        <v>12</v>
      </c>
      <c r="CM27" s="1044">
        <v>0</v>
      </c>
      <c r="CN27" s="1048">
        <v>1</v>
      </c>
      <c r="CO27" s="2250">
        <v>17</v>
      </c>
      <c r="CP27" s="2251">
        <f t="shared" si="20"/>
        <v>6.25E-2</v>
      </c>
      <c r="CR27" s="1044">
        <v>2</v>
      </c>
      <c r="CS27" s="1044">
        <v>12</v>
      </c>
      <c r="CT27" s="1044">
        <v>2</v>
      </c>
      <c r="CU27" s="1048">
        <v>1</v>
      </c>
      <c r="CV27" s="2250">
        <v>17</v>
      </c>
      <c r="CW27" s="2251">
        <f t="shared" si="21"/>
        <v>0.21428571428571427</v>
      </c>
    </row>
    <row r="28" spans="1:101" ht="17.100000000000001" customHeight="1">
      <c r="A28" s="6515" t="s">
        <v>72</v>
      </c>
      <c r="B28" s="6519" t="s">
        <v>64</v>
      </c>
      <c r="C28" s="6520" t="s">
        <v>975</v>
      </c>
      <c r="E28" s="1044">
        <v>4</v>
      </c>
      <c r="F28" s="1044">
        <v>10</v>
      </c>
      <c r="G28" s="1048"/>
      <c r="H28" s="1048"/>
      <c r="I28" s="2250">
        <f>SUM(E28:H28)</f>
        <v>14</v>
      </c>
      <c r="J28" s="2251">
        <f t="shared" si="0"/>
        <v>0</v>
      </c>
      <c r="K28" s="2108"/>
      <c r="L28" s="1044">
        <v>4</v>
      </c>
      <c r="M28" s="1044">
        <v>9</v>
      </c>
      <c r="N28" s="1048"/>
      <c r="O28" s="1048"/>
      <c r="P28" s="2250">
        <f>SUM(L28:O28)</f>
        <v>13</v>
      </c>
      <c r="Q28" s="2251">
        <f t="shared" si="1"/>
        <v>0</v>
      </c>
      <c r="R28" s="2108"/>
      <c r="S28" s="1044">
        <v>5</v>
      </c>
      <c r="T28" s="1044">
        <v>13</v>
      </c>
      <c r="U28" s="1048"/>
      <c r="V28" s="1048"/>
      <c r="W28" s="2250">
        <f>SUM(S28:V28)</f>
        <v>18</v>
      </c>
      <c r="X28" s="2251">
        <f t="shared" si="2"/>
        <v>0</v>
      </c>
      <c r="Y28" s="2108"/>
      <c r="Z28" s="1044">
        <v>5</v>
      </c>
      <c r="AA28" s="1044">
        <v>14</v>
      </c>
      <c r="AB28" s="1048"/>
      <c r="AC28" s="1048"/>
      <c r="AD28" s="2250">
        <f>SUM(Z28:AC28)</f>
        <v>19</v>
      </c>
      <c r="AE28" s="2251">
        <f t="shared" si="3"/>
        <v>0</v>
      </c>
      <c r="AF28" s="2108"/>
      <c r="AG28" s="1044">
        <v>4</v>
      </c>
      <c r="AH28" s="1044">
        <v>12</v>
      </c>
      <c r="AI28" s="1048">
        <v>1</v>
      </c>
      <c r="AJ28" s="1048"/>
      <c r="AK28" s="2250">
        <f t="shared" si="14"/>
        <v>17</v>
      </c>
      <c r="AL28" s="2251">
        <f t="shared" si="4"/>
        <v>6.25E-2</v>
      </c>
      <c r="AM28" s="2108"/>
      <c r="AN28" s="1044">
        <v>3</v>
      </c>
      <c r="AO28" s="1044">
        <v>12</v>
      </c>
      <c r="AP28" s="1048">
        <v>1</v>
      </c>
      <c r="AQ28" s="1048"/>
      <c r="AR28" s="2250">
        <f t="shared" si="15"/>
        <v>16</v>
      </c>
      <c r="AS28" s="2251">
        <f t="shared" si="5"/>
        <v>6.6666666666666666E-2</v>
      </c>
      <c r="AT28" s="2108"/>
      <c r="AU28" s="1044">
        <v>3</v>
      </c>
      <c r="AV28" s="1044">
        <v>13</v>
      </c>
      <c r="AW28" s="1048">
        <v>1</v>
      </c>
      <c r="AX28" s="1048"/>
      <c r="AY28" s="2250">
        <f t="shared" si="23"/>
        <v>17</v>
      </c>
      <c r="AZ28" s="2251">
        <f t="shared" si="6"/>
        <v>6.25E-2</v>
      </c>
      <c r="BA28" s="2108"/>
      <c r="BB28" s="1044">
        <v>2</v>
      </c>
      <c r="BC28" s="1044">
        <v>12</v>
      </c>
      <c r="BD28" s="1048">
        <v>2</v>
      </c>
      <c r="BE28" s="1048"/>
      <c r="BF28" s="2250">
        <f>SUM(BB28:BE28)</f>
        <v>16</v>
      </c>
      <c r="BG28" s="2251">
        <f t="shared" si="7"/>
        <v>0.14285714285714285</v>
      </c>
      <c r="BH28" s="2108"/>
      <c r="BI28" s="1044">
        <v>4</v>
      </c>
      <c r="BJ28" s="1044">
        <v>10</v>
      </c>
      <c r="BK28" s="1048">
        <v>2</v>
      </c>
      <c r="BL28" s="1048"/>
      <c r="BM28" s="2250">
        <v>16</v>
      </c>
      <c r="BN28" s="2251">
        <f t="shared" si="8"/>
        <v>0.14285714285714285</v>
      </c>
      <c r="BP28" s="1044">
        <v>5</v>
      </c>
      <c r="BQ28" s="1044">
        <v>13</v>
      </c>
      <c r="BR28" s="1048">
        <v>2</v>
      </c>
      <c r="BS28" s="1048"/>
      <c r="BT28" s="2250">
        <v>20</v>
      </c>
      <c r="BU28" s="2251">
        <f t="shared" si="9"/>
        <v>0.1111111111111111</v>
      </c>
      <c r="BW28" s="1044">
        <v>3</v>
      </c>
      <c r="BX28" s="1044">
        <v>12</v>
      </c>
      <c r="BY28" s="1048">
        <v>2</v>
      </c>
      <c r="BZ28" s="1048"/>
      <c r="CA28" s="2250">
        <v>17</v>
      </c>
      <c r="CB28" s="2251">
        <f t="shared" si="10"/>
        <v>0.13333333333333333</v>
      </c>
      <c r="CD28" s="1044">
        <v>3</v>
      </c>
      <c r="CE28" s="1044">
        <v>13</v>
      </c>
      <c r="CF28" s="1048">
        <v>2</v>
      </c>
      <c r="CG28" s="1048"/>
      <c r="CH28" s="2250">
        <v>18</v>
      </c>
      <c r="CI28" s="2251">
        <f t="shared" si="19"/>
        <v>0.125</v>
      </c>
      <c r="CK28" s="1044">
        <v>2</v>
      </c>
      <c r="CL28" s="1044">
        <v>12</v>
      </c>
      <c r="CM28" s="1048">
        <v>1</v>
      </c>
      <c r="CN28" s="1048">
        <v>0</v>
      </c>
      <c r="CO28" s="2250">
        <v>15</v>
      </c>
      <c r="CP28" s="2251">
        <f t="shared" si="20"/>
        <v>7.1428571428571425E-2</v>
      </c>
      <c r="CR28" s="1044">
        <v>4</v>
      </c>
      <c r="CS28" s="1044">
        <v>11</v>
      </c>
      <c r="CT28" s="1048">
        <v>2</v>
      </c>
      <c r="CU28" s="1048">
        <v>0</v>
      </c>
      <c r="CV28" s="2250">
        <v>17</v>
      </c>
      <c r="CW28" s="2251">
        <f t="shared" si="21"/>
        <v>0.13333333333333333</v>
      </c>
    </row>
    <row r="29" spans="1:101" ht="17.100000000000001" customHeight="1" thickBot="1">
      <c r="A29" s="6515" t="s">
        <v>72</v>
      </c>
      <c r="B29" s="6519" t="s">
        <v>64</v>
      </c>
      <c r="C29" s="6520" t="s">
        <v>976</v>
      </c>
      <c r="E29" s="1044">
        <v>1</v>
      </c>
      <c r="F29" s="1044">
        <v>9</v>
      </c>
      <c r="G29" s="1048"/>
      <c r="H29" s="1044">
        <v>2</v>
      </c>
      <c r="I29" s="2254">
        <f>SUM(E29:H29)</f>
        <v>12</v>
      </c>
      <c r="J29" s="2251">
        <f t="shared" si="0"/>
        <v>0.2</v>
      </c>
      <c r="K29" s="2108"/>
      <c r="L29" s="1044">
        <v>2</v>
      </c>
      <c r="M29" s="1044">
        <v>9</v>
      </c>
      <c r="N29" s="1048"/>
      <c r="O29" s="1044">
        <v>2</v>
      </c>
      <c r="P29" s="2254">
        <f>SUM(L29:O29)</f>
        <v>13</v>
      </c>
      <c r="Q29" s="2251">
        <f t="shared" si="1"/>
        <v>0.18181818181818182</v>
      </c>
      <c r="R29" s="2108"/>
      <c r="S29" s="1044">
        <v>3</v>
      </c>
      <c r="T29" s="1044">
        <v>8</v>
      </c>
      <c r="U29" s="1048"/>
      <c r="V29" s="1044">
        <v>2</v>
      </c>
      <c r="W29" s="2254">
        <f>SUM(S29:V29)</f>
        <v>13</v>
      </c>
      <c r="X29" s="2251">
        <f t="shared" si="2"/>
        <v>0.18181818181818182</v>
      </c>
      <c r="Y29" s="2108"/>
      <c r="Z29" s="1044">
        <v>3</v>
      </c>
      <c r="AA29" s="1044">
        <v>11</v>
      </c>
      <c r="AB29" s="1048">
        <v>1</v>
      </c>
      <c r="AC29" s="1044">
        <v>2</v>
      </c>
      <c r="AD29" s="2254">
        <f>SUM(Z29:AC29)</f>
        <v>17</v>
      </c>
      <c r="AE29" s="2251">
        <f t="shared" si="3"/>
        <v>0.21428571428571427</v>
      </c>
      <c r="AF29" s="2108"/>
      <c r="AG29" s="1044">
        <v>3</v>
      </c>
      <c r="AH29" s="1044">
        <v>9</v>
      </c>
      <c r="AI29" s="1048">
        <v>3</v>
      </c>
      <c r="AJ29" s="1044">
        <v>2</v>
      </c>
      <c r="AK29" s="2254">
        <f t="shared" si="14"/>
        <v>17</v>
      </c>
      <c r="AL29" s="2251">
        <f t="shared" si="4"/>
        <v>0.41666666666666669</v>
      </c>
      <c r="AM29" s="2108"/>
      <c r="AN29" s="1044">
        <v>3</v>
      </c>
      <c r="AO29" s="1044">
        <v>10</v>
      </c>
      <c r="AP29" s="1048">
        <v>3</v>
      </c>
      <c r="AQ29" s="1044">
        <v>2</v>
      </c>
      <c r="AR29" s="2254">
        <f t="shared" si="15"/>
        <v>18</v>
      </c>
      <c r="AS29" s="2251">
        <f t="shared" si="5"/>
        <v>0.38461538461538464</v>
      </c>
      <c r="AT29" s="2108"/>
      <c r="AU29" s="1044">
        <v>2</v>
      </c>
      <c r="AV29" s="1044">
        <v>10</v>
      </c>
      <c r="AW29" s="1048">
        <v>4</v>
      </c>
      <c r="AX29" s="1044">
        <v>2</v>
      </c>
      <c r="AY29" s="2254">
        <f t="shared" si="23"/>
        <v>18</v>
      </c>
      <c r="AZ29" s="2251">
        <f t="shared" si="6"/>
        <v>0.5</v>
      </c>
      <c r="BA29" s="2108"/>
      <c r="BB29" s="1044">
        <v>4</v>
      </c>
      <c r="BC29" s="1044">
        <v>8</v>
      </c>
      <c r="BD29" s="1048">
        <v>4</v>
      </c>
      <c r="BE29" s="1044">
        <v>2</v>
      </c>
      <c r="BF29" s="2254">
        <f>SUM(BB29:BE29)</f>
        <v>18</v>
      </c>
      <c r="BG29" s="2251">
        <f t="shared" si="7"/>
        <v>0.5</v>
      </c>
      <c r="BH29" s="2108"/>
      <c r="BI29" s="1044">
        <v>10</v>
      </c>
      <c r="BJ29" s="1044">
        <v>10</v>
      </c>
      <c r="BK29" s="1048">
        <v>3</v>
      </c>
      <c r="BL29" s="1044">
        <v>3</v>
      </c>
      <c r="BM29" s="2254">
        <v>26</v>
      </c>
      <c r="BN29" s="2251">
        <f t="shared" si="8"/>
        <v>0.3</v>
      </c>
      <c r="BP29" s="1044">
        <v>6</v>
      </c>
      <c r="BQ29" s="1044">
        <v>12</v>
      </c>
      <c r="BR29" s="1048">
        <v>4</v>
      </c>
      <c r="BS29" s="1044">
        <v>3</v>
      </c>
      <c r="BT29" s="2254">
        <v>25</v>
      </c>
      <c r="BU29" s="2251">
        <f t="shared" si="9"/>
        <v>0.3888888888888889</v>
      </c>
      <c r="BW29" s="1044">
        <v>5</v>
      </c>
      <c r="BX29" s="1044">
        <v>12</v>
      </c>
      <c r="BY29" s="1048">
        <v>4</v>
      </c>
      <c r="BZ29" s="1044">
        <v>3</v>
      </c>
      <c r="CA29" s="2254">
        <v>24</v>
      </c>
      <c r="CB29" s="2251">
        <f t="shared" si="10"/>
        <v>0.41176470588235292</v>
      </c>
      <c r="CD29" s="1044">
        <v>2</v>
      </c>
      <c r="CE29" s="1044">
        <v>10</v>
      </c>
      <c r="CF29" s="1048">
        <v>5</v>
      </c>
      <c r="CG29" s="1044">
        <v>2</v>
      </c>
      <c r="CH29" s="2254">
        <v>19</v>
      </c>
      <c r="CI29" s="2251">
        <f t="shared" si="19"/>
        <v>0.58333333333333337</v>
      </c>
      <c r="CK29" s="1044">
        <v>2</v>
      </c>
      <c r="CL29" s="1044">
        <v>12</v>
      </c>
      <c r="CM29" s="1048">
        <v>4</v>
      </c>
      <c r="CN29" s="1044">
        <v>3</v>
      </c>
      <c r="CO29" s="2254">
        <v>21</v>
      </c>
      <c r="CP29" s="2251">
        <f t="shared" si="20"/>
        <v>0.5</v>
      </c>
      <c r="CR29" s="1044">
        <v>2</v>
      </c>
      <c r="CS29" s="1044">
        <v>11</v>
      </c>
      <c r="CT29" s="1048">
        <v>6</v>
      </c>
      <c r="CU29" s="1044">
        <v>3</v>
      </c>
      <c r="CV29" s="2254">
        <v>22</v>
      </c>
      <c r="CW29" s="2251">
        <f t="shared" si="21"/>
        <v>0.69230769230769229</v>
      </c>
    </row>
    <row r="30" spans="1:101" ht="17.100000000000001" customHeight="1" thickBot="1">
      <c r="A30" s="7324" t="s">
        <v>1417</v>
      </c>
      <c r="B30" s="7324"/>
      <c r="C30" s="7324"/>
      <c r="E30" s="1050">
        <f>SUM(E27:E29)</f>
        <v>11</v>
      </c>
      <c r="F30" s="1050">
        <f>SUM(F27:F29)</f>
        <v>25</v>
      </c>
      <c r="G30" s="1050">
        <f>SUM(G27:G29)</f>
        <v>1</v>
      </c>
      <c r="H30" s="1050">
        <f>SUM(H27:H29)</f>
        <v>3</v>
      </c>
      <c r="I30" s="2260">
        <f>SUM(I27:I29)</f>
        <v>40</v>
      </c>
      <c r="J30" s="2253">
        <f t="shared" si="0"/>
        <v>0.1111111111111111</v>
      </c>
      <c r="K30" s="2108"/>
      <c r="L30" s="1050">
        <f>SUM(L27:L29)</f>
        <v>10</v>
      </c>
      <c r="M30" s="1050">
        <f>SUM(M27:M29)</f>
        <v>25</v>
      </c>
      <c r="N30" s="1050">
        <f>SUM(N27:N29)</f>
        <v>1</v>
      </c>
      <c r="O30" s="1050">
        <f>SUM(O27:O29)</f>
        <v>3</v>
      </c>
      <c r="P30" s="2260">
        <f>SUM(P27:P29)</f>
        <v>39</v>
      </c>
      <c r="Q30" s="2253">
        <f t="shared" si="1"/>
        <v>0.11428571428571428</v>
      </c>
      <c r="R30" s="2108"/>
      <c r="S30" s="1050">
        <f>SUM(S27:S29)</f>
        <v>12</v>
      </c>
      <c r="T30" s="1050">
        <f>SUM(T27:T29)</f>
        <v>29</v>
      </c>
      <c r="U30" s="1050">
        <f>SUM(U27:U29)</f>
        <v>2</v>
      </c>
      <c r="V30" s="1050">
        <f>SUM(V27:V29)</f>
        <v>3</v>
      </c>
      <c r="W30" s="2260">
        <f>SUM(W27:W29)</f>
        <v>46</v>
      </c>
      <c r="X30" s="2253">
        <f t="shared" si="2"/>
        <v>0.12195121951219512</v>
      </c>
      <c r="Y30" s="2108"/>
      <c r="Z30" s="1050">
        <f>SUM(Z27:Z29)</f>
        <v>13</v>
      </c>
      <c r="AA30" s="1050">
        <f>SUM(AA27:AA29)</f>
        <v>33</v>
      </c>
      <c r="AB30" s="1050">
        <f>SUM(AB27:AB29)</f>
        <v>2</v>
      </c>
      <c r="AC30" s="1050">
        <f>SUM(AC27:AC29)</f>
        <v>3</v>
      </c>
      <c r="AD30" s="2260">
        <f>SUM(AD27:AD29)</f>
        <v>51</v>
      </c>
      <c r="AE30" s="2253">
        <f t="shared" si="3"/>
        <v>0.10869565217391304</v>
      </c>
      <c r="AF30" s="2108"/>
      <c r="AG30" s="1050">
        <f>SUM(AG27:AG29)</f>
        <v>11</v>
      </c>
      <c r="AH30" s="1050">
        <f>SUM(AH27:AH29)</f>
        <v>33</v>
      </c>
      <c r="AI30" s="1050">
        <f>SUM(AI27:AI29)</f>
        <v>5</v>
      </c>
      <c r="AJ30" s="1050">
        <f>SUM(AJ27:AJ29)</f>
        <v>3</v>
      </c>
      <c r="AK30" s="2260">
        <f t="shared" si="14"/>
        <v>52</v>
      </c>
      <c r="AL30" s="2253">
        <f t="shared" si="4"/>
        <v>0.18181818181818182</v>
      </c>
      <c r="AM30" s="2108"/>
      <c r="AN30" s="1050">
        <v>7</v>
      </c>
      <c r="AO30" s="1050">
        <v>32</v>
      </c>
      <c r="AP30" s="1050">
        <v>5</v>
      </c>
      <c r="AQ30" s="1050">
        <v>3</v>
      </c>
      <c r="AR30" s="2260">
        <f t="shared" si="15"/>
        <v>47</v>
      </c>
      <c r="AS30" s="2253">
        <f t="shared" si="5"/>
        <v>0.20512820512820512</v>
      </c>
      <c r="AT30" s="2108"/>
      <c r="AU30" s="1050">
        <f>SUM(AU27:AU29)</f>
        <v>7</v>
      </c>
      <c r="AV30" s="1050">
        <f>SUM(AV27:AV29)</f>
        <v>33</v>
      </c>
      <c r="AW30" s="1050">
        <f>SUM(AW27:AW29)</f>
        <v>6</v>
      </c>
      <c r="AX30" s="1050">
        <f>SUM(AX27:AX29)</f>
        <v>3</v>
      </c>
      <c r="AY30" s="2260">
        <f>SUM(AY27:AY29)</f>
        <v>49</v>
      </c>
      <c r="AZ30" s="2253">
        <f t="shared" si="6"/>
        <v>0.22500000000000001</v>
      </c>
      <c r="BA30" s="2108"/>
      <c r="BB30" s="1050">
        <v>6</v>
      </c>
      <c r="BC30" s="1050">
        <v>29</v>
      </c>
      <c r="BD30" s="1050">
        <v>7</v>
      </c>
      <c r="BE30" s="1050">
        <v>3</v>
      </c>
      <c r="BF30" s="2260">
        <f>SUM(BF27:BF29)</f>
        <v>45</v>
      </c>
      <c r="BG30" s="2253">
        <f t="shared" si="7"/>
        <v>0.2857142857142857</v>
      </c>
      <c r="BH30" s="2108"/>
      <c r="BI30" s="1050">
        <v>16</v>
      </c>
      <c r="BJ30" s="1050">
        <v>29</v>
      </c>
      <c r="BK30" s="1050">
        <v>5</v>
      </c>
      <c r="BL30" s="1050">
        <v>4</v>
      </c>
      <c r="BM30" s="2260">
        <v>54</v>
      </c>
      <c r="BN30" s="2253">
        <f t="shared" si="8"/>
        <v>0.2</v>
      </c>
      <c r="BP30" s="1050">
        <v>13</v>
      </c>
      <c r="BQ30" s="1050">
        <v>35</v>
      </c>
      <c r="BR30" s="1050">
        <v>6</v>
      </c>
      <c r="BS30" s="1050">
        <v>4</v>
      </c>
      <c r="BT30" s="2260">
        <v>58</v>
      </c>
      <c r="BU30" s="2253">
        <f t="shared" si="9"/>
        <v>0.20833333333333334</v>
      </c>
      <c r="BW30" s="1050">
        <f>SUM(BW27:BW29)</f>
        <v>10</v>
      </c>
      <c r="BX30" s="1050">
        <f>SUM(BX27:BX29)</f>
        <v>33</v>
      </c>
      <c r="BY30" s="1050">
        <f>SUM(BY27:BY29)</f>
        <v>6</v>
      </c>
      <c r="BZ30" s="1050">
        <f>SUM(BZ27:BZ29)</f>
        <v>4</v>
      </c>
      <c r="CA30" s="1050">
        <f>SUM(CA27:CA29)</f>
        <v>53</v>
      </c>
      <c r="CB30" s="2253">
        <f t="shared" si="10"/>
        <v>0.23255813953488372</v>
      </c>
      <c r="CD30" s="1050">
        <v>8</v>
      </c>
      <c r="CE30" s="1050">
        <v>32</v>
      </c>
      <c r="CF30" s="1050">
        <v>7</v>
      </c>
      <c r="CG30" s="1050">
        <v>3</v>
      </c>
      <c r="CH30" s="1050">
        <v>50</v>
      </c>
      <c r="CI30" s="2253">
        <f t="shared" si="19"/>
        <v>0.25</v>
      </c>
      <c r="CK30" s="1050">
        <v>8</v>
      </c>
      <c r="CL30" s="1050">
        <v>36</v>
      </c>
      <c r="CM30" s="1050">
        <v>5</v>
      </c>
      <c r="CN30" s="1050">
        <v>4</v>
      </c>
      <c r="CO30" s="1050">
        <v>53</v>
      </c>
      <c r="CP30" s="2253">
        <f t="shared" si="20"/>
        <v>0.20454545454545456</v>
      </c>
      <c r="CR30" s="1050">
        <v>8</v>
      </c>
      <c r="CS30" s="1050">
        <v>34</v>
      </c>
      <c r="CT30" s="1050">
        <v>10</v>
      </c>
      <c r="CU30" s="1050">
        <v>4</v>
      </c>
      <c r="CV30" s="1050">
        <v>56</v>
      </c>
      <c r="CW30" s="2253">
        <f t="shared" si="21"/>
        <v>0.33333333333333331</v>
      </c>
    </row>
    <row r="31" spans="1:101" ht="17.100000000000001" customHeight="1">
      <c r="A31" s="6528" t="s">
        <v>72</v>
      </c>
      <c r="B31" s="6529" t="s">
        <v>16</v>
      </c>
      <c r="C31" s="6530" t="s">
        <v>977</v>
      </c>
      <c r="E31" s="1044">
        <v>2</v>
      </c>
      <c r="F31" s="1044">
        <v>8</v>
      </c>
      <c r="G31" s="1048">
        <v>1</v>
      </c>
      <c r="H31" s="1048"/>
      <c r="I31" s="2250">
        <f>SUM(E31:H31)</f>
        <v>11</v>
      </c>
      <c r="J31" s="2251">
        <f t="shared" si="0"/>
        <v>0.1</v>
      </c>
      <c r="K31" s="2108"/>
      <c r="L31" s="1044">
        <v>4</v>
      </c>
      <c r="M31" s="1044">
        <v>8</v>
      </c>
      <c r="N31" s="1048">
        <v>2</v>
      </c>
      <c r="O31" s="1048"/>
      <c r="P31" s="2250">
        <f>SUM(L31:O31)</f>
        <v>14</v>
      </c>
      <c r="Q31" s="2251">
        <f t="shared" si="1"/>
        <v>0.16666666666666666</v>
      </c>
      <c r="R31" s="2108"/>
      <c r="S31" s="1044">
        <v>2</v>
      </c>
      <c r="T31" s="1044">
        <v>9</v>
      </c>
      <c r="U31" s="1048">
        <v>3</v>
      </c>
      <c r="V31" s="1048"/>
      <c r="W31" s="2250">
        <f>SUM(S31:V31)</f>
        <v>14</v>
      </c>
      <c r="X31" s="2251">
        <f t="shared" si="2"/>
        <v>0.27272727272727271</v>
      </c>
      <c r="Y31" s="2108"/>
      <c r="Z31" s="1044">
        <v>1</v>
      </c>
      <c r="AA31" s="1044">
        <v>9</v>
      </c>
      <c r="AB31" s="1048">
        <v>3</v>
      </c>
      <c r="AC31" s="1048"/>
      <c r="AD31" s="2250">
        <f>SUM(Z31:AC31)</f>
        <v>13</v>
      </c>
      <c r="AE31" s="2251">
        <f t="shared" si="3"/>
        <v>0.3</v>
      </c>
      <c r="AF31" s="2108"/>
      <c r="AG31" s="1044">
        <v>2</v>
      </c>
      <c r="AH31" s="1044">
        <v>7</v>
      </c>
      <c r="AI31" s="1048">
        <v>3</v>
      </c>
      <c r="AJ31" s="1048"/>
      <c r="AK31" s="2250">
        <f t="shared" si="14"/>
        <v>12</v>
      </c>
      <c r="AL31" s="2251">
        <f t="shared" si="4"/>
        <v>0.33333333333333331</v>
      </c>
      <c r="AM31" s="2108"/>
      <c r="AN31" s="1044">
        <v>3</v>
      </c>
      <c r="AO31" s="1044">
        <v>10</v>
      </c>
      <c r="AP31" s="1048">
        <v>3</v>
      </c>
      <c r="AQ31" s="1048"/>
      <c r="AR31" s="2250">
        <f t="shared" si="15"/>
        <v>16</v>
      </c>
      <c r="AS31" s="2251">
        <f t="shared" si="5"/>
        <v>0.23076923076923078</v>
      </c>
      <c r="AT31" s="2108"/>
      <c r="AU31" s="1044">
        <v>3</v>
      </c>
      <c r="AV31" s="1044">
        <v>10</v>
      </c>
      <c r="AW31" s="1048">
        <v>4</v>
      </c>
      <c r="AX31" s="1048"/>
      <c r="AY31" s="2250">
        <f t="shared" si="23"/>
        <v>17</v>
      </c>
      <c r="AZ31" s="2251">
        <f t="shared" si="6"/>
        <v>0.30769230769230771</v>
      </c>
      <c r="BA31" s="2108"/>
      <c r="BB31" s="1044">
        <v>5</v>
      </c>
      <c r="BC31" s="1044">
        <v>11</v>
      </c>
      <c r="BD31" s="1048">
        <v>3</v>
      </c>
      <c r="BE31" s="1048"/>
      <c r="BF31" s="2250">
        <f>SUM(BB31:BE31)</f>
        <v>19</v>
      </c>
      <c r="BG31" s="2251">
        <f t="shared" si="7"/>
        <v>0.1875</v>
      </c>
      <c r="BH31" s="2108"/>
      <c r="BI31" s="1044">
        <v>2</v>
      </c>
      <c r="BJ31" s="1044">
        <v>10</v>
      </c>
      <c r="BK31" s="1048">
        <v>3</v>
      </c>
      <c r="BL31" s="1048"/>
      <c r="BM31" s="2250">
        <v>15</v>
      </c>
      <c r="BN31" s="2251">
        <f t="shared" si="8"/>
        <v>0.25</v>
      </c>
      <c r="BP31" s="1044">
        <v>3</v>
      </c>
      <c r="BQ31" s="1044">
        <v>9</v>
      </c>
      <c r="BR31" s="1048">
        <v>3</v>
      </c>
      <c r="BS31" s="1048"/>
      <c r="BT31" s="2250">
        <v>15</v>
      </c>
      <c r="BU31" s="2251">
        <f t="shared" si="9"/>
        <v>0.25</v>
      </c>
      <c r="BW31" s="1044">
        <v>3</v>
      </c>
      <c r="BX31" s="1044">
        <v>9</v>
      </c>
      <c r="BY31" s="1048">
        <v>3</v>
      </c>
      <c r="BZ31" s="1048"/>
      <c r="CA31" s="2250">
        <v>15</v>
      </c>
      <c r="CB31" s="2251">
        <f t="shared" si="10"/>
        <v>0.25</v>
      </c>
      <c r="CD31" s="1044">
        <v>3</v>
      </c>
      <c r="CE31" s="1044">
        <v>10</v>
      </c>
      <c r="CF31" s="1048">
        <v>4</v>
      </c>
      <c r="CG31" s="1048"/>
      <c r="CH31" s="2250">
        <v>17</v>
      </c>
      <c r="CI31" s="2251">
        <f t="shared" si="19"/>
        <v>0.30769230769230771</v>
      </c>
      <c r="CK31" s="1044">
        <v>2</v>
      </c>
      <c r="CL31" s="1044">
        <v>14</v>
      </c>
      <c r="CM31" s="1048">
        <v>3</v>
      </c>
      <c r="CN31" s="1048">
        <v>0</v>
      </c>
      <c r="CO31" s="2250">
        <v>19</v>
      </c>
      <c r="CP31" s="2251">
        <f t="shared" si="20"/>
        <v>0.1875</v>
      </c>
      <c r="CR31" s="1044">
        <v>0</v>
      </c>
      <c r="CS31" s="1044">
        <v>16</v>
      </c>
      <c r="CT31" s="1048">
        <v>2</v>
      </c>
      <c r="CU31" s="1048">
        <v>0</v>
      </c>
      <c r="CV31" s="2250">
        <v>18</v>
      </c>
      <c r="CW31" s="2251">
        <f t="shared" si="21"/>
        <v>0.125</v>
      </c>
    </row>
    <row r="32" spans="1:101" ht="17.100000000000001" customHeight="1">
      <c r="A32" s="6515" t="s">
        <v>72</v>
      </c>
      <c r="B32" s="6519" t="s">
        <v>16</v>
      </c>
      <c r="C32" s="6520" t="s">
        <v>978</v>
      </c>
      <c r="E32" s="1044">
        <v>7</v>
      </c>
      <c r="F32" s="1048">
        <v>5</v>
      </c>
      <c r="G32" s="1044">
        <v>1</v>
      </c>
      <c r="H32" s="1048">
        <v>1</v>
      </c>
      <c r="I32" s="2250">
        <f>SUM(E32:H32)</f>
        <v>14</v>
      </c>
      <c r="J32" s="2251">
        <f t="shared" si="0"/>
        <v>0.16666666666666666</v>
      </c>
      <c r="K32" s="2108"/>
      <c r="L32" s="1044">
        <v>7</v>
      </c>
      <c r="M32" s="1048">
        <v>5</v>
      </c>
      <c r="N32" s="1044">
        <v>1</v>
      </c>
      <c r="O32" s="1048">
        <v>1</v>
      </c>
      <c r="P32" s="2250">
        <f>SUM(L32:O32)</f>
        <v>14</v>
      </c>
      <c r="Q32" s="2251">
        <f t="shared" si="1"/>
        <v>0.16666666666666666</v>
      </c>
      <c r="R32" s="2108"/>
      <c r="S32" s="1044">
        <v>3</v>
      </c>
      <c r="T32" s="1048">
        <v>7</v>
      </c>
      <c r="U32" s="1044">
        <v>1</v>
      </c>
      <c r="V32" s="1048"/>
      <c r="W32" s="2250">
        <f>SUM(S32:V32)</f>
        <v>11</v>
      </c>
      <c r="X32" s="2251">
        <f t="shared" si="2"/>
        <v>0.1</v>
      </c>
      <c r="Y32" s="2108"/>
      <c r="Z32" s="1044">
        <v>2</v>
      </c>
      <c r="AA32" s="1048">
        <v>8</v>
      </c>
      <c r="AB32" s="1044">
        <v>1</v>
      </c>
      <c r="AC32" s="1048"/>
      <c r="AD32" s="2250">
        <f>SUM(Z32:AC32)</f>
        <v>11</v>
      </c>
      <c r="AE32" s="2251">
        <f t="shared" si="3"/>
        <v>0.1</v>
      </c>
      <c r="AF32" s="2108"/>
      <c r="AG32" s="1044">
        <v>1</v>
      </c>
      <c r="AH32" s="1048">
        <v>8</v>
      </c>
      <c r="AI32" s="1044">
        <v>1</v>
      </c>
      <c r="AJ32" s="1048"/>
      <c r="AK32" s="2250">
        <f t="shared" si="14"/>
        <v>10</v>
      </c>
      <c r="AL32" s="2251">
        <f t="shared" si="4"/>
        <v>0.1111111111111111</v>
      </c>
      <c r="AM32" s="2108"/>
      <c r="AN32" s="1044">
        <v>1</v>
      </c>
      <c r="AO32" s="1048">
        <v>9</v>
      </c>
      <c r="AP32" s="1044">
        <v>2</v>
      </c>
      <c r="AQ32" s="1048"/>
      <c r="AR32" s="2250">
        <f t="shared" si="15"/>
        <v>12</v>
      </c>
      <c r="AS32" s="2251">
        <f t="shared" si="5"/>
        <v>0.2</v>
      </c>
      <c r="AT32" s="2108"/>
      <c r="AU32" s="1044">
        <v>2</v>
      </c>
      <c r="AV32" s="1048">
        <v>8</v>
      </c>
      <c r="AW32" s="1044">
        <v>3</v>
      </c>
      <c r="AX32" s="1048"/>
      <c r="AY32" s="2250">
        <f t="shared" si="23"/>
        <v>13</v>
      </c>
      <c r="AZ32" s="2251">
        <f t="shared" si="6"/>
        <v>0.3</v>
      </c>
      <c r="BA32" s="2108"/>
      <c r="BB32" s="1044">
        <v>1</v>
      </c>
      <c r="BC32" s="1048">
        <v>6</v>
      </c>
      <c r="BD32" s="1044">
        <v>3</v>
      </c>
      <c r="BE32" s="1048"/>
      <c r="BF32" s="2250">
        <f>SUM(BB32:BE32)</f>
        <v>10</v>
      </c>
      <c r="BG32" s="2251">
        <f t="shared" si="7"/>
        <v>0.42857142857142855</v>
      </c>
      <c r="BH32" s="2108"/>
      <c r="BI32" s="1044"/>
      <c r="BJ32" s="1048">
        <v>5</v>
      </c>
      <c r="BK32" s="1044">
        <v>2</v>
      </c>
      <c r="BL32" s="1048"/>
      <c r="BM32" s="2250">
        <v>7</v>
      </c>
      <c r="BN32" s="2251">
        <f t="shared" si="8"/>
        <v>0.4</v>
      </c>
      <c r="BP32" s="1044"/>
      <c r="BQ32" s="1048">
        <v>6</v>
      </c>
      <c r="BR32" s="1044">
        <v>2</v>
      </c>
      <c r="BS32" s="1048"/>
      <c r="BT32" s="2250">
        <v>8</v>
      </c>
      <c r="BU32" s="2251">
        <f t="shared" si="9"/>
        <v>0.33333333333333331</v>
      </c>
      <c r="BW32" s="1044"/>
      <c r="BX32" s="1048">
        <v>6</v>
      </c>
      <c r="BY32" s="1044">
        <v>2</v>
      </c>
      <c r="BZ32" s="1048"/>
      <c r="CA32" s="2250">
        <v>8</v>
      </c>
      <c r="CB32" s="2251">
        <f t="shared" si="10"/>
        <v>0.33333333333333331</v>
      </c>
      <c r="CD32" s="1044"/>
      <c r="CE32" s="1048">
        <v>7</v>
      </c>
      <c r="CF32" s="1044">
        <v>2</v>
      </c>
      <c r="CG32" s="1048"/>
      <c r="CH32" s="2250">
        <v>9</v>
      </c>
      <c r="CI32" s="2251">
        <f t="shared" si="19"/>
        <v>0.2857142857142857</v>
      </c>
      <c r="CK32" s="1044">
        <v>1</v>
      </c>
      <c r="CL32" s="1048">
        <v>11</v>
      </c>
      <c r="CM32" s="1044">
        <v>2</v>
      </c>
      <c r="CN32" s="1048">
        <v>0</v>
      </c>
      <c r="CO32" s="2250">
        <v>14</v>
      </c>
      <c r="CP32" s="2251">
        <f t="shared" si="20"/>
        <v>0.16666666666666666</v>
      </c>
      <c r="CR32" s="1044">
        <v>3</v>
      </c>
      <c r="CS32" s="1048">
        <v>12</v>
      </c>
      <c r="CT32" s="1044">
        <v>2</v>
      </c>
      <c r="CU32" s="1048">
        <v>0</v>
      </c>
      <c r="CV32" s="2250">
        <v>17</v>
      </c>
      <c r="CW32" s="2251">
        <f t="shared" si="21"/>
        <v>0.13333333333333333</v>
      </c>
    </row>
    <row r="33" spans="1:101" ht="17.100000000000001" customHeight="1" thickBot="1">
      <c r="A33" s="6531" t="s">
        <v>72</v>
      </c>
      <c r="B33" s="6525" t="s">
        <v>16</v>
      </c>
      <c r="C33" s="6526" t="s">
        <v>695</v>
      </c>
      <c r="E33" s="1044">
        <v>2</v>
      </c>
      <c r="F33" s="1044">
        <v>9</v>
      </c>
      <c r="G33" s="1044">
        <v>3</v>
      </c>
      <c r="H33" s="1048"/>
      <c r="I33" s="2250">
        <f>SUM(E33:H33)</f>
        <v>14</v>
      </c>
      <c r="J33" s="2251">
        <f t="shared" si="0"/>
        <v>0.27272727272727271</v>
      </c>
      <c r="K33" s="2108"/>
      <c r="L33" s="1044">
        <v>2</v>
      </c>
      <c r="M33" s="1044">
        <v>10</v>
      </c>
      <c r="N33" s="1044">
        <v>3</v>
      </c>
      <c r="O33" s="1048"/>
      <c r="P33" s="2250">
        <f>SUM(L33:O33)</f>
        <v>15</v>
      </c>
      <c r="Q33" s="2251">
        <f t="shared" si="1"/>
        <v>0.25</v>
      </c>
      <c r="R33" s="2108"/>
      <c r="S33" s="1044">
        <v>3</v>
      </c>
      <c r="T33" s="1044">
        <v>11</v>
      </c>
      <c r="U33" s="1044">
        <v>3</v>
      </c>
      <c r="V33" s="1048"/>
      <c r="W33" s="2250">
        <f>SUM(S33:V33)</f>
        <v>17</v>
      </c>
      <c r="X33" s="2251">
        <f t="shared" si="2"/>
        <v>0.21428571428571427</v>
      </c>
      <c r="Y33" s="2108"/>
      <c r="Z33" s="1044">
        <v>3</v>
      </c>
      <c r="AA33" s="1044">
        <v>16</v>
      </c>
      <c r="AB33" s="1044">
        <v>3</v>
      </c>
      <c r="AC33" s="1048"/>
      <c r="AD33" s="2250">
        <f>SUM(Z33:AC33)</f>
        <v>22</v>
      </c>
      <c r="AE33" s="2251">
        <f t="shared" si="3"/>
        <v>0.15789473684210525</v>
      </c>
      <c r="AF33" s="2108"/>
      <c r="AG33" s="1044">
        <v>3</v>
      </c>
      <c r="AH33" s="1044">
        <v>15</v>
      </c>
      <c r="AI33" s="1044">
        <v>4</v>
      </c>
      <c r="AJ33" s="1048"/>
      <c r="AK33" s="2250">
        <f t="shared" si="14"/>
        <v>22</v>
      </c>
      <c r="AL33" s="2251">
        <f t="shared" si="4"/>
        <v>0.22222222222222221</v>
      </c>
      <c r="AM33" s="2108"/>
      <c r="AN33" s="1044">
        <v>2</v>
      </c>
      <c r="AO33" s="1044">
        <v>15</v>
      </c>
      <c r="AP33" s="1044">
        <v>4</v>
      </c>
      <c r="AQ33" s="1048"/>
      <c r="AR33" s="2250">
        <f t="shared" si="15"/>
        <v>21</v>
      </c>
      <c r="AS33" s="2251">
        <f t="shared" si="5"/>
        <v>0.23529411764705882</v>
      </c>
      <c r="AT33" s="2108"/>
      <c r="AU33" s="1044">
        <v>3</v>
      </c>
      <c r="AV33" s="1044">
        <v>18</v>
      </c>
      <c r="AW33" s="1044">
        <v>4</v>
      </c>
      <c r="AX33" s="1048"/>
      <c r="AY33" s="2250">
        <f t="shared" si="23"/>
        <v>25</v>
      </c>
      <c r="AZ33" s="2251">
        <f t="shared" si="6"/>
        <v>0.19047619047619047</v>
      </c>
      <c r="BA33" s="2108"/>
      <c r="BB33" s="1044">
        <v>4</v>
      </c>
      <c r="BC33" s="1044">
        <v>14</v>
      </c>
      <c r="BD33" s="1044">
        <v>4</v>
      </c>
      <c r="BE33" s="1048">
        <v>1</v>
      </c>
      <c r="BF33" s="2250">
        <f>SUM(BB33:BE33)</f>
        <v>23</v>
      </c>
      <c r="BG33" s="2251">
        <f t="shared" si="7"/>
        <v>0.27777777777777779</v>
      </c>
      <c r="BH33" s="2108"/>
      <c r="BI33" s="1044">
        <v>4</v>
      </c>
      <c r="BJ33" s="1044">
        <v>13</v>
      </c>
      <c r="BK33" s="1044">
        <v>4</v>
      </c>
      <c r="BL33" s="1048">
        <v>1</v>
      </c>
      <c r="BM33" s="2250">
        <v>22</v>
      </c>
      <c r="BN33" s="2251">
        <f t="shared" si="8"/>
        <v>0.29411764705882354</v>
      </c>
      <c r="BP33" s="1044">
        <v>2</v>
      </c>
      <c r="BQ33" s="1044">
        <v>13</v>
      </c>
      <c r="BR33" s="1044">
        <v>5</v>
      </c>
      <c r="BS33" s="1048">
        <v>1</v>
      </c>
      <c r="BT33" s="2250">
        <v>21</v>
      </c>
      <c r="BU33" s="2251">
        <f t="shared" si="9"/>
        <v>0.4</v>
      </c>
      <c r="BW33" s="1044">
        <v>1</v>
      </c>
      <c r="BX33" s="1044">
        <v>13</v>
      </c>
      <c r="BY33" s="1044">
        <v>5</v>
      </c>
      <c r="BZ33" s="1048">
        <v>1</v>
      </c>
      <c r="CA33" s="2250">
        <v>20</v>
      </c>
      <c r="CB33" s="2251">
        <f t="shared" si="10"/>
        <v>0.42857142857142855</v>
      </c>
      <c r="CD33" s="1044">
        <v>3</v>
      </c>
      <c r="CE33" s="1044">
        <v>11</v>
      </c>
      <c r="CF33" s="1044">
        <v>6</v>
      </c>
      <c r="CG33" s="1048">
        <v>1</v>
      </c>
      <c r="CH33" s="2250">
        <v>21</v>
      </c>
      <c r="CI33" s="2251">
        <f t="shared" si="19"/>
        <v>0.5</v>
      </c>
      <c r="CK33" s="1044">
        <v>3</v>
      </c>
      <c r="CL33" s="1044">
        <v>13</v>
      </c>
      <c r="CM33" s="1044">
        <v>6</v>
      </c>
      <c r="CN33" s="1048">
        <v>2</v>
      </c>
      <c r="CO33" s="2250">
        <v>24</v>
      </c>
      <c r="CP33" s="2251">
        <f t="shared" si="20"/>
        <v>0.5</v>
      </c>
      <c r="CR33" s="1044">
        <v>0</v>
      </c>
      <c r="CS33" s="1044">
        <v>17</v>
      </c>
      <c r="CT33" s="1044">
        <v>6</v>
      </c>
      <c r="CU33" s="1048">
        <v>2</v>
      </c>
      <c r="CV33" s="2250">
        <v>25</v>
      </c>
      <c r="CW33" s="2251">
        <f t="shared" si="21"/>
        <v>0.47058823529411764</v>
      </c>
    </row>
    <row r="34" spans="1:101" ht="17.100000000000001" customHeight="1">
      <c r="A34" s="7325" t="s">
        <v>1411</v>
      </c>
      <c r="B34" s="7325"/>
      <c r="C34" s="7325"/>
      <c r="E34" s="1046">
        <f>SUM(E31:E33)</f>
        <v>11</v>
      </c>
      <c r="F34" s="1046">
        <f>SUM(F31:F33)</f>
        <v>22</v>
      </c>
      <c r="G34" s="1046">
        <f>SUM(G31:G33)</f>
        <v>5</v>
      </c>
      <c r="H34" s="1046">
        <f>SUM(H31:H33)</f>
        <v>1</v>
      </c>
      <c r="I34" s="2261">
        <f>SUM(I31:I33)</f>
        <v>39</v>
      </c>
      <c r="J34" s="2253">
        <f t="shared" si="0"/>
        <v>0.18181818181818182</v>
      </c>
      <c r="K34" s="2108"/>
      <c r="L34" s="1046">
        <f>SUM(L31:L33)</f>
        <v>13</v>
      </c>
      <c r="M34" s="1046">
        <f>SUM(M31:M33)</f>
        <v>23</v>
      </c>
      <c r="N34" s="1046">
        <f>SUM(N31:N33)</f>
        <v>6</v>
      </c>
      <c r="O34" s="1046">
        <f>SUM(O31:O33)</f>
        <v>1</v>
      </c>
      <c r="P34" s="2261">
        <f>SUM(P31:P33)</f>
        <v>43</v>
      </c>
      <c r="Q34" s="2253">
        <f t="shared" si="1"/>
        <v>0.19444444444444445</v>
      </c>
      <c r="R34" s="2108"/>
      <c r="S34" s="1046">
        <f>SUM(S31:S33)</f>
        <v>8</v>
      </c>
      <c r="T34" s="1046">
        <f>SUM(T31:T33)</f>
        <v>27</v>
      </c>
      <c r="U34" s="1046">
        <f>SUM(U31:U33)</f>
        <v>7</v>
      </c>
      <c r="V34" s="1046">
        <f>SUM(V31:V33)</f>
        <v>0</v>
      </c>
      <c r="W34" s="2261">
        <f>SUM(W31:W33)</f>
        <v>42</v>
      </c>
      <c r="X34" s="2253">
        <f t="shared" si="2"/>
        <v>0.2</v>
      </c>
      <c r="Y34" s="2108"/>
      <c r="Z34" s="1046">
        <f>SUM(Z31:Z33)</f>
        <v>6</v>
      </c>
      <c r="AA34" s="1046">
        <f>SUM(AA31:AA33)</f>
        <v>33</v>
      </c>
      <c r="AB34" s="1046">
        <f>SUM(AB31:AB33)</f>
        <v>7</v>
      </c>
      <c r="AC34" s="1046">
        <f>SUM(AC31:AC33)</f>
        <v>0</v>
      </c>
      <c r="AD34" s="2261">
        <f>SUM(AD31:AD33)</f>
        <v>46</v>
      </c>
      <c r="AE34" s="2253">
        <f t="shared" si="3"/>
        <v>0.17948717948717949</v>
      </c>
      <c r="AF34" s="2108"/>
      <c r="AG34" s="1046">
        <f>SUM(AG31:AG33)</f>
        <v>6</v>
      </c>
      <c r="AH34" s="1046">
        <f>SUM(AH31:AH33)</f>
        <v>30</v>
      </c>
      <c r="AI34" s="1046">
        <f>SUM(AI31:AI33)</f>
        <v>8</v>
      </c>
      <c r="AJ34" s="1046">
        <f>SUM(AJ31:AJ33)</f>
        <v>0</v>
      </c>
      <c r="AK34" s="2261">
        <f t="shared" si="14"/>
        <v>44</v>
      </c>
      <c r="AL34" s="2253">
        <f t="shared" si="4"/>
        <v>0.22222222222222221</v>
      </c>
      <c r="AM34" s="2108"/>
      <c r="AN34" s="1046">
        <v>6</v>
      </c>
      <c r="AO34" s="1046">
        <v>34</v>
      </c>
      <c r="AP34" s="1046">
        <v>9</v>
      </c>
      <c r="AQ34" s="1046">
        <v>0</v>
      </c>
      <c r="AR34" s="2261">
        <f t="shared" si="15"/>
        <v>49</v>
      </c>
      <c r="AS34" s="2253">
        <f t="shared" si="5"/>
        <v>0.22500000000000001</v>
      </c>
      <c r="AT34" s="2108"/>
      <c r="AU34" s="1046">
        <f>SUM(AU31:AU33)</f>
        <v>8</v>
      </c>
      <c r="AV34" s="1046">
        <f>SUM(AV31:AV33)</f>
        <v>36</v>
      </c>
      <c r="AW34" s="1046">
        <f>SUM(AW31:AW33)</f>
        <v>11</v>
      </c>
      <c r="AX34" s="1046">
        <f>SUM(AX31:AX33)</f>
        <v>0</v>
      </c>
      <c r="AY34" s="2261">
        <f>SUM(AY31:AY33)</f>
        <v>55</v>
      </c>
      <c r="AZ34" s="2253">
        <f t="shared" si="6"/>
        <v>0.25</v>
      </c>
      <c r="BA34" s="2108"/>
      <c r="BB34" s="1046">
        <v>10</v>
      </c>
      <c r="BC34" s="1046">
        <v>31</v>
      </c>
      <c r="BD34" s="1046">
        <v>10</v>
      </c>
      <c r="BE34" s="1046">
        <v>1</v>
      </c>
      <c r="BF34" s="2261">
        <f>SUM(BF31:BF33)</f>
        <v>52</v>
      </c>
      <c r="BG34" s="2253">
        <f t="shared" si="7"/>
        <v>0.26829268292682928</v>
      </c>
      <c r="BH34" s="2108"/>
      <c r="BI34" s="1046">
        <v>6</v>
      </c>
      <c r="BJ34" s="1046">
        <v>28</v>
      </c>
      <c r="BK34" s="1046">
        <v>9</v>
      </c>
      <c r="BL34" s="1046">
        <v>1</v>
      </c>
      <c r="BM34" s="2261">
        <v>44</v>
      </c>
      <c r="BN34" s="2253">
        <f t="shared" si="8"/>
        <v>0.29411764705882354</v>
      </c>
      <c r="BP34" s="1046">
        <v>5</v>
      </c>
      <c r="BQ34" s="1046">
        <v>28</v>
      </c>
      <c r="BR34" s="1046">
        <v>10</v>
      </c>
      <c r="BS34" s="1046">
        <v>1</v>
      </c>
      <c r="BT34" s="2261">
        <v>44</v>
      </c>
      <c r="BU34" s="2253">
        <f t="shared" si="9"/>
        <v>0.33333333333333331</v>
      </c>
      <c r="BW34" s="1046">
        <f>SUM(BW31:BW33)</f>
        <v>4</v>
      </c>
      <c r="BX34" s="1046">
        <f>SUM(BX31:BX33)</f>
        <v>28</v>
      </c>
      <c r="BY34" s="1046">
        <f>SUM(BY31:BY33)</f>
        <v>10</v>
      </c>
      <c r="BZ34" s="1046">
        <f>SUM(BZ31:BZ33)</f>
        <v>1</v>
      </c>
      <c r="CA34" s="1046">
        <f>SUM(CA31:CA33)</f>
        <v>43</v>
      </c>
      <c r="CB34" s="2253">
        <f t="shared" si="10"/>
        <v>0.34375</v>
      </c>
      <c r="CD34" s="1046">
        <f>SUM(CD31:CD33)</f>
        <v>6</v>
      </c>
      <c r="CE34" s="1046">
        <f>SUM(CE31:CE33)</f>
        <v>28</v>
      </c>
      <c r="CF34" s="1046">
        <f>SUM(CF31:CF33)</f>
        <v>12</v>
      </c>
      <c r="CG34" s="1046">
        <f>SUM(CG31:CG33)</f>
        <v>1</v>
      </c>
      <c r="CH34" s="1046">
        <f>SUM(CH31:CH33)</f>
        <v>47</v>
      </c>
      <c r="CI34" s="2253">
        <f t="shared" si="19"/>
        <v>0.38235294117647056</v>
      </c>
      <c r="CK34" s="1046">
        <v>6</v>
      </c>
      <c r="CL34" s="1046">
        <v>38</v>
      </c>
      <c r="CM34" s="1046">
        <v>11</v>
      </c>
      <c r="CN34" s="1046">
        <v>2</v>
      </c>
      <c r="CO34" s="1046">
        <v>57</v>
      </c>
      <c r="CP34" s="2253">
        <f t="shared" si="20"/>
        <v>0.29545454545454547</v>
      </c>
      <c r="CR34" s="1046">
        <v>3</v>
      </c>
      <c r="CS34" s="1046">
        <v>45</v>
      </c>
      <c r="CT34" s="1046">
        <v>10</v>
      </c>
      <c r="CU34" s="1046">
        <v>2</v>
      </c>
      <c r="CV34" s="1046">
        <v>60</v>
      </c>
      <c r="CW34" s="2253">
        <f t="shared" si="21"/>
        <v>0.25</v>
      </c>
    </row>
    <row r="35" spans="1:101" ht="17.100000000000001" customHeight="1">
      <c r="A35" s="7328" t="s">
        <v>890</v>
      </c>
      <c r="B35" s="7328"/>
      <c r="C35" s="7328"/>
      <c r="E35" s="2142">
        <f>SUM(E34,E30,E26)</f>
        <v>27</v>
      </c>
      <c r="F35" s="2142">
        <f>SUM(F34,F30,F26)</f>
        <v>54</v>
      </c>
      <c r="G35" s="2142">
        <f>SUM(G34,G30,G26)</f>
        <v>8</v>
      </c>
      <c r="H35" s="2142">
        <f>SUM(H34,H30,H26)</f>
        <v>5</v>
      </c>
      <c r="I35" s="2262">
        <f>SUM(I26,I30,I34)</f>
        <v>94</v>
      </c>
      <c r="J35" s="2263">
        <f t="shared" si="0"/>
        <v>0.16049382716049382</v>
      </c>
      <c r="K35" s="2108"/>
      <c r="L35" s="2142">
        <f>SUM(L34,L30,L26)</f>
        <v>28</v>
      </c>
      <c r="M35" s="2142">
        <f>SUM(M34,M30,M26)</f>
        <v>55</v>
      </c>
      <c r="N35" s="2142">
        <f>SUM(N34,N30,N26)</f>
        <v>9</v>
      </c>
      <c r="O35" s="2142">
        <f>SUM(O34,O30,O26)</f>
        <v>5</v>
      </c>
      <c r="P35" s="2262">
        <f>SUM(P26,P30,P34)</f>
        <v>97</v>
      </c>
      <c r="Q35" s="2263">
        <f t="shared" si="1"/>
        <v>0.16867469879518071</v>
      </c>
      <c r="R35" s="2108"/>
      <c r="S35" s="2142">
        <f>SUM(S34,S30,S26)</f>
        <v>26</v>
      </c>
      <c r="T35" s="2142">
        <f>SUM(T34,T30,T26)</f>
        <v>65</v>
      </c>
      <c r="U35" s="2142">
        <f>SUM(U34,U30,U26)</f>
        <v>11</v>
      </c>
      <c r="V35" s="2142">
        <f>SUM(V34,V30,V26)</f>
        <v>4</v>
      </c>
      <c r="W35" s="2262">
        <f>SUM(W26,W30,W34)</f>
        <v>106</v>
      </c>
      <c r="X35" s="2263">
        <f t="shared" si="2"/>
        <v>0.16483516483516483</v>
      </c>
      <c r="Y35" s="2108"/>
      <c r="Z35" s="2142">
        <f>SUM(Z34,Z30,Z26)</f>
        <v>24</v>
      </c>
      <c r="AA35" s="2142">
        <f>SUM(AA34,AA30,AA26)</f>
        <v>76</v>
      </c>
      <c r="AB35" s="2142">
        <f>SUM(AB34,AB30,AB26)</f>
        <v>11</v>
      </c>
      <c r="AC35" s="2142">
        <f>SUM(AC34,AC30,AC26)</f>
        <v>4</v>
      </c>
      <c r="AD35" s="2262">
        <f>SUM(AD26,AD30,AD34)</f>
        <v>115</v>
      </c>
      <c r="AE35" s="2263">
        <f t="shared" si="3"/>
        <v>0.15</v>
      </c>
      <c r="AF35" s="2108"/>
      <c r="AG35" s="2142">
        <f>SUM(AG34,AG30,AG26)</f>
        <v>19</v>
      </c>
      <c r="AH35" s="2142">
        <f>SUM(AH34,AH30,AH26)</f>
        <v>78</v>
      </c>
      <c r="AI35" s="2142">
        <f>SUM(AI34,AI30,AI26)</f>
        <v>14</v>
      </c>
      <c r="AJ35" s="2142">
        <f>SUM(AJ34,AJ30,AJ26)</f>
        <v>4</v>
      </c>
      <c r="AK35" s="2262">
        <f t="shared" si="14"/>
        <v>115</v>
      </c>
      <c r="AL35" s="2263">
        <f t="shared" si="4"/>
        <v>0.18556701030927836</v>
      </c>
      <c r="AM35" s="2108"/>
      <c r="AN35" s="2142">
        <v>16</v>
      </c>
      <c r="AO35" s="2142">
        <v>82</v>
      </c>
      <c r="AP35" s="2142">
        <v>15</v>
      </c>
      <c r="AQ35" s="2142">
        <v>5</v>
      </c>
      <c r="AR35" s="2262">
        <f t="shared" si="15"/>
        <v>118</v>
      </c>
      <c r="AS35" s="2263">
        <f t="shared" si="5"/>
        <v>0.20408163265306123</v>
      </c>
      <c r="AT35" s="2108"/>
      <c r="AU35" s="2142">
        <f>SUM(AU26,AU30,AU34)</f>
        <v>16</v>
      </c>
      <c r="AV35" s="2142">
        <f>SUM(AV26,AV30,AV34)</f>
        <v>83</v>
      </c>
      <c r="AW35" s="2142">
        <f>SUM(AW26,AW30,AW34)</f>
        <v>19</v>
      </c>
      <c r="AX35" s="2142">
        <f>SUM(AX26,AX30,AX34)</f>
        <v>5</v>
      </c>
      <c r="AY35" s="2262">
        <f>SUM(AY26,AY30,AY34)</f>
        <v>123</v>
      </c>
      <c r="AZ35" s="2263">
        <f t="shared" si="6"/>
        <v>0.24242424242424243</v>
      </c>
      <c r="BA35" s="2108"/>
      <c r="BB35" s="2142">
        <v>22</v>
      </c>
      <c r="BC35" s="2142">
        <v>70</v>
      </c>
      <c r="BD35" s="2142">
        <v>20</v>
      </c>
      <c r="BE35" s="2142">
        <v>6</v>
      </c>
      <c r="BF35" s="2262">
        <f>SUM(BF26,BF30,BF34)</f>
        <v>118</v>
      </c>
      <c r="BG35" s="2263">
        <f t="shared" si="7"/>
        <v>0.28260869565217389</v>
      </c>
      <c r="BH35" s="2108"/>
      <c r="BI35" s="2142">
        <v>27</v>
      </c>
      <c r="BJ35" s="2142">
        <v>66</v>
      </c>
      <c r="BK35" s="2142">
        <v>18</v>
      </c>
      <c r="BL35" s="2142">
        <v>7</v>
      </c>
      <c r="BM35" s="2262">
        <v>118</v>
      </c>
      <c r="BN35" s="2263">
        <f t="shared" si="8"/>
        <v>0.26881720430107525</v>
      </c>
      <c r="BP35" s="2142">
        <v>22</v>
      </c>
      <c r="BQ35" s="2142">
        <v>73</v>
      </c>
      <c r="BR35" s="2142">
        <v>20</v>
      </c>
      <c r="BS35" s="2142">
        <v>7</v>
      </c>
      <c r="BT35" s="2262">
        <v>122</v>
      </c>
      <c r="BU35" s="2263">
        <f t="shared" si="9"/>
        <v>0.28421052631578947</v>
      </c>
      <c r="BW35" s="2142">
        <f>SUM(BW26,BW30,BW34)</f>
        <v>17</v>
      </c>
      <c r="BX35" s="2142">
        <f>SUM(BX26,BX30,BX34)</f>
        <v>70</v>
      </c>
      <c r="BY35" s="2142">
        <f>SUM(BY26,BY30,BY34)</f>
        <v>20</v>
      </c>
      <c r="BZ35" s="2142">
        <f>SUM(BZ26,BZ30,BZ34)</f>
        <v>7</v>
      </c>
      <c r="CA35" s="2142">
        <f>SUM(CA26,CA30,CA34)</f>
        <v>114</v>
      </c>
      <c r="CB35" s="2263">
        <f t="shared" si="10"/>
        <v>0.31034482758620691</v>
      </c>
      <c r="CD35" s="2142">
        <f>SUM(CD26,CD30,CD34)</f>
        <v>18</v>
      </c>
      <c r="CE35" s="2142">
        <f>SUM(CE26,CE30,CE34)</f>
        <v>69</v>
      </c>
      <c r="CF35" s="2142">
        <f>SUM(CF26,CF30,CF34)</f>
        <v>24</v>
      </c>
      <c r="CG35" s="2142">
        <f>SUM(CG26,CG30,CG34)</f>
        <v>6</v>
      </c>
      <c r="CH35" s="2142">
        <f>SUM(CH26,CH30,CH34)</f>
        <v>117</v>
      </c>
      <c r="CI35" s="2263">
        <f t="shared" si="19"/>
        <v>0.34482758620689657</v>
      </c>
      <c r="CK35" s="2142">
        <f>SUM(CK26,CK30,CK34)</f>
        <v>16</v>
      </c>
      <c r="CL35" s="2142">
        <f t="shared" ref="CL35:CO35" si="24">SUM(CL26,CL30,CL34)</f>
        <v>84</v>
      </c>
      <c r="CM35" s="2142">
        <f t="shared" si="24"/>
        <v>21</v>
      </c>
      <c r="CN35" s="2142">
        <f t="shared" si="24"/>
        <v>8</v>
      </c>
      <c r="CO35" s="2142">
        <f t="shared" si="24"/>
        <v>129</v>
      </c>
      <c r="CP35" s="2263">
        <f t="shared" si="20"/>
        <v>0.28999999999999998</v>
      </c>
      <c r="CR35" s="2142">
        <v>13</v>
      </c>
      <c r="CS35" s="2142">
        <v>91</v>
      </c>
      <c r="CT35" s="2142">
        <v>24</v>
      </c>
      <c r="CU35" s="2142">
        <v>9</v>
      </c>
      <c r="CV35" s="2142">
        <v>137</v>
      </c>
      <c r="CW35" s="2263">
        <f t="shared" si="21"/>
        <v>0.31730769230769229</v>
      </c>
    </row>
    <row r="36" spans="1:101" ht="17.100000000000001" customHeight="1">
      <c r="A36" s="6515" t="s">
        <v>73</v>
      </c>
      <c r="B36" s="6516" t="s">
        <v>4</v>
      </c>
      <c r="C36" s="6517" t="s">
        <v>979</v>
      </c>
      <c r="E36" s="1043"/>
      <c r="F36" s="1043">
        <v>16</v>
      </c>
      <c r="G36" s="1043">
        <v>16</v>
      </c>
      <c r="H36" s="1043">
        <v>11</v>
      </c>
      <c r="I36" s="2264">
        <f>SUM(E36:H36)</f>
        <v>43</v>
      </c>
      <c r="J36" s="2251">
        <f t="shared" si="0"/>
        <v>1.6875</v>
      </c>
      <c r="K36" s="2108"/>
      <c r="L36" s="1043">
        <v>1</v>
      </c>
      <c r="M36" s="1043">
        <v>16</v>
      </c>
      <c r="N36" s="1043">
        <v>16</v>
      </c>
      <c r="O36" s="1043">
        <v>11</v>
      </c>
      <c r="P36" s="2264">
        <f>SUM(L36:O36)</f>
        <v>44</v>
      </c>
      <c r="Q36" s="2251">
        <f t="shared" si="1"/>
        <v>1.588235294117647</v>
      </c>
      <c r="R36" s="2108"/>
      <c r="S36" s="1043">
        <v>2</v>
      </c>
      <c r="T36" s="1043">
        <v>16</v>
      </c>
      <c r="U36" s="1043">
        <v>15</v>
      </c>
      <c r="V36" s="1043">
        <v>11</v>
      </c>
      <c r="W36" s="2264">
        <f>SUM(S36:V36)</f>
        <v>44</v>
      </c>
      <c r="X36" s="2251">
        <f t="shared" si="2"/>
        <v>1.4444444444444444</v>
      </c>
      <c r="Y36" s="2108"/>
      <c r="Z36" s="1043">
        <v>3</v>
      </c>
      <c r="AA36" s="1043">
        <v>16</v>
      </c>
      <c r="AB36" s="1043">
        <v>17</v>
      </c>
      <c r="AC36" s="1043">
        <v>12</v>
      </c>
      <c r="AD36" s="2264">
        <f>SUM(Z36:AC36)</f>
        <v>48</v>
      </c>
      <c r="AE36" s="2251">
        <f t="shared" si="3"/>
        <v>1.5263157894736843</v>
      </c>
      <c r="AF36" s="2108"/>
      <c r="AG36" s="1043">
        <v>6</v>
      </c>
      <c r="AH36" s="1043">
        <v>16</v>
      </c>
      <c r="AI36" s="1043">
        <v>18</v>
      </c>
      <c r="AJ36" s="1043">
        <v>13</v>
      </c>
      <c r="AK36" s="2264">
        <f t="shared" si="14"/>
        <v>53</v>
      </c>
      <c r="AL36" s="2251">
        <v>1</v>
      </c>
      <c r="AM36" s="2108"/>
      <c r="AN36" s="1043">
        <v>8</v>
      </c>
      <c r="AO36" s="1043">
        <v>17</v>
      </c>
      <c r="AP36" s="1043">
        <v>16</v>
      </c>
      <c r="AQ36" s="1043">
        <v>13</v>
      </c>
      <c r="AR36" s="2264">
        <f t="shared" si="15"/>
        <v>54</v>
      </c>
      <c r="AS36" s="2251">
        <v>1</v>
      </c>
      <c r="AT36" s="2108"/>
      <c r="AU36" s="1043">
        <v>8</v>
      </c>
      <c r="AV36" s="1043">
        <v>21</v>
      </c>
      <c r="AW36" s="1043">
        <v>17</v>
      </c>
      <c r="AX36" s="1043">
        <v>13</v>
      </c>
      <c r="AY36" s="2264">
        <f>SUM(AU36:AX36)</f>
        <v>59</v>
      </c>
      <c r="AZ36" s="2251">
        <v>1</v>
      </c>
      <c r="BA36" s="2108"/>
      <c r="BB36" s="1043">
        <v>7</v>
      </c>
      <c r="BC36" s="1043">
        <v>15</v>
      </c>
      <c r="BD36" s="1043">
        <v>17</v>
      </c>
      <c r="BE36" s="1043">
        <v>13</v>
      </c>
      <c r="BF36" s="2264">
        <f>SUM(BB36:BE36)</f>
        <v>52</v>
      </c>
      <c r="BG36" s="2251">
        <v>1</v>
      </c>
      <c r="BH36" s="2108"/>
      <c r="BI36" s="1043">
        <v>2</v>
      </c>
      <c r="BJ36" s="1043">
        <v>15</v>
      </c>
      <c r="BK36" s="1043">
        <v>18</v>
      </c>
      <c r="BL36" s="1043">
        <v>13</v>
      </c>
      <c r="BM36" s="2264">
        <v>48</v>
      </c>
      <c r="BN36" s="2251">
        <v>1</v>
      </c>
      <c r="BP36" s="1043">
        <v>6</v>
      </c>
      <c r="BQ36" s="1043">
        <v>17</v>
      </c>
      <c r="BR36" s="1043">
        <v>16</v>
      </c>
      <c r="BS36" s="1043">
        <v>14</v>
      </c>
      <c r="BT36" s="2264">
        <v>53</v>
      </c>
      <c r="BU36" s="2251">
        <v>1</v>
      </c>
      <c r="BW36" s="1043">
        <v>6</v>
      </c>
      <c r="BX36" s="1043">
        <v>17</v>
      </c>
      <c r="BY36" s="1043">
        <v>16</v>
      </c>
      <c r="BZ36" s="1043">
        <v>14</v>
      </c>
      <c r="CA36" s="2264">
        <v>53</v>
      </c>
      <c r="CB36" s="2251">
        <v>1</v>
      </c>
      <c r="CD36" s="1043">
        <v>5</v>
      </c>
      <c r="CE36" s="1043">
        <v>18</v>
      </c>
      <c r="CF36" s="1043">
        <v>16</v>
      </c>
      <c r="CG36" s="1043">
        <v>14</v>
      </c>
      <c r="CH36" s="2264">
        <v>53</v>
      </c>
      <c r="CI36" s="2251">
        <v>1</v>
      </c>
      <c r="CK36" s="1043">
        <v>1</v>
      </c>
      <c r="CL36" s="1043">
        <v>18</v>
      </c>
      <c r="CM36" s="1043">
        <v>17</v>
      </c>
      <c r="CN36" s="1043">
        <v>14</v>
      </c>
      <c r="CO36" s="2264">
        <v>50</v>
      </c>
      <c r="CP36" s="2251">
        <v>1</v>
      </c>
      <c r="CR36" s="1043">
        <v>0</v>
      </c>
      <c r="CS36" s="1043">
        <v>17</v>
      </c>
      <c r="CT36" s="1043">
        <v>16</v>
      </c>
      <c r="CU36" s="1043">
        <v>14</v>
      </c>
      <c r="CV36" s="2264">
        <v>47</v>
      </c>
      <c r="CW36" s="2251">
        <f t="shared" si="21"/>
        <v>1.7647058823529411</v>
      </c>
    </row>
    <row r="37" spans="1:101" ht="17.100000000000001" customHeight="1">
      <c r="A37" s="6515" t="s">
        <v>73</v>
      </c>
      <c r="B37" s="6519" t="s">
        <v>4</v>
      </c>
      <c r="C37" s="6520" t="s">
        <v>980</v>
      </c>
      <c r="E37" s="1044">
        <v>1</v>
      </c>
      <c r="F37" s="1044">
        <v>10</v>
      </c>
      <c r="G37" s="1044">
        <v>5</v>
      </c>
      <c r="H37" s="1044">
        <v>5</v>
      </c>
      <c r="I37" s="2254">
        <f>SUM(E37:H37)</f>
        <v>21</v>
      </c>
      <c r="J37" s="2251">
        <f t="shared" si="0"/>
        <v>0.90909090909090906</v>
      </c>
      <c r="K37" s="2108"/>
      <c r="L37" s="1044">
        <v>1</v>
      </c>
      <c r="M37" s="1044">
        <v>10</v>
      </c>
      <c r="N37" s="1044">
        <v>5</v>
      </c>
      <c r="O37" s="1044">
        <v>5</v>
      </c>
      <c r="P37" s="2254">
        <f>SUM(L37:O37)</f>
        <v>21</v>
      </c>
      <c r="Q37" s="2251">
        <f t="shared" si="1"/>
        <v>0.90909090909090906</v>
      </c>
      <c r="R37" s="2108"/>
      <c r="S37" s="1044">
        <v>3</v>
      </c>
      <c r="T37" s="1044">
        <v>13</v>
      </c>
      <c r="U37" s="1044">
        <v>5</v>
      </c>
      <c r="V37" s="1044">
        <v>5</v>
      </c>
      <c r="W37" s="2254">
        <f>SUM(S37:V37)</f>
        <v>26</v>
      </c>
      <c r="X37" s="2251">
        <f t="shared" si="2"/>
        <v>0.625</v>
      </c>
      <c r="Y37" s="2108"/>
      <c r="Z37" s="1044">
        <v>1</v>
      </c>
      <c r="AA37" s="1044">
        <v>16</v>
      </c>
      <c r="AB37" s="1044">
        <v>5</v>
      </c>
      <c r="AC37" s="1044">
        <v>6</v>
      </c>
      <c r="AD37" s="2254">
        <f>SUM(Z37:AC37)</f>
        <v>28</v>
      </c>
      <c r="AE37" s="2251">
        <f t="shared" si="3"/>
        <v>0.6470588235294118</v>
      </c>
      <c r="AF37" s="2108"/>
      <c r="AG37" s="1044"/>
      <c r="AH37" s="1044">
        <v>16</v>
      </c>
      <c r="AI37" s="1044">
        <v>4</v>
      </c>
      <c r="AJ37" s="1044">
        <v>7</v>
      </c>
      <c r="AK37" s="2254">
        <f t="shared" si="14"/>
        <v>27</v>
      </c>
      <c r="AL37" s="2251">
        <f t="shared" si="4"/>
        <v>0.6875</v>
      </c>
      <c r="AM37" s="2108"/>
      <c r="AN37" s="1044">
        <v>1</v>
      </c>
      <c r="AO37" s="1044">
        <v>16</v>
      </c>
      <c r="AP37" s="1044">
        <v>4</v>
      </c>
      <c r="AQ37" s="1044">
        <v>7</v>
      </c>
      <c r="AR37" s="2254">
        <f t="shared" si="15"/>
        <v>28</v>
      </c>
      <c r="AS37" s="2251">
        <f t="shared" si="5"/>
        <v>0.6470588235294118</v>
      </c>
      <c r="AT37" s="2108"/>
      <c r="AU37" s="1044">
        <v>3</v>
      </c>
      <c r="AV37" s="1044">
        <v>16</v>
      </c>
      <c r="AW37" s="1044">
        <v>4</v>
      </c>
      <c r="AX37" s="1044">
        <v>7</v>
      </c>
      <c r="AY37" s="2254">
        <f t="shared" ref="AY37:AY51" si="25">SUM(AU37:AX37)</f>
        <v>30</v>
      </c>
      <c r="AZ37" s="2251">
        <f t="shared" ref="AZ37:AZ47" si="26">(AW37+AX37)/(AU37+AV37)</f>
        <v>0.57894736842105265</v>
      </c>
      <c r="BA37" s="2108"/>
      <c r="BB37" s="1044">
        <v>3</v>
      </c>
      <c r="BC37" s="1044">
        <v>18</v>
      </c>
      <c r="BD37" s="1044">
        <v>4</v>
      </c>
      <c r="BE37" s="1044">
        <v>7</v>
      </c>
      <c r="BF37" s="2254">
        <f>SUM(BB37:BE37)</f>
        <v>32</v>
      </c>
      <c r="BG37" s="2251">
        <f t="shared" ref="BG37:BG47" si="27">(BD37+BE37)/(BB37+BC37)</f>
        <v>0.52380952380952384</v>
      </c>
      <c r="BH37" s="2108"/>
      <c r="BI37" s="1044">
        <v>3</v>
      </c>
      <c r="BJ37" s="1044">
        <v>16</v>
      </c>
      <c r="BK37" s="1044">
        <v>4</v>
      </c>
      <c r="BL37" s="1044">
        <v>7</v>
      </c>
      <c r="BM37" s="2254">
        <v>30</v>
      </c>
      <c r="BN37" s="2251">
        <f t="shared" ref="BN37:BN47" si="28">(BK37+BL37)/(BI37+BJ37)</f>
        <v>0.57894736842105265</v>
      </c>
      <c r="BP37" s="1044">
        <v>2</v>
      </c>
      <c r="BQ37" s="1044">
        <v>13</v>
      </c>
      <c r="BR37" s="1044">
        <v>6</v>
      </c>
      <c r="BS37" s="1044">
        <v>7</v>
      </c>
      <c r="BT37" s="2254">
        <v>28</v>
      </c>
      <c r="BU37" s="2251">
        <f t="shared" ref="BU37:BU47" si="29">(BR37+BS37)/(BP37+BQ37)</f>
        <v>0.8666666666666667</v>
      </c>
      <c r="BW37" s="1044">
        <v>4</v>
      </c>
      <c r="BX37" s="1044">
        <v>15</v>
      </c>
      <c r="BY37" s="1044">
        <v>6</v>
      </c>
      <c r="BZ37" s="1044">
        <v>7</v>
      </c>
      <c r="CA37" s="2254">
        <v>32</v>
      </c>
      <c r="CB37" s="2251">
        <f t="shared" ref="CB37:CB47" si="30">(BY37+BZ37)/(BW37+BX37)</f>
        <v>0.68421052631578949</v>
      </c>
      <c r="CD37" s="1044">
        <v>5</v>
      </c>
      <c r="CE37" s="1044">
        <v>15</v>
      </c>
      <c r="CF37" s="1044">
        <v>7</v>
      </c>
      <c r="CG37" s="1044">
        <v>7</v>
      </c>
      <c r="CH37" s="2254">
        <v>34</v>
      </c>
      <c r="CI37" s="2251">
        <f t="shared" ref="CI37:CI47" si="31">(CF37+CG37)/(CD37+CE37)</f>
        <v>0.7</v>
      </c>
      <c r="CK37" s="1044">
        <v>4</v>
      </c>
      <c r="CL37" s="1044">
        <v>16</v>
      </c>
      <c r="CM37" s="1044">
        <v>7</v>
      </c>
      <c r="CN37" s="1044">
        <v>7</v>
      </c>
      <c r="CO37" s="2254">
        <v>34</v>
      </c>
      <c r="CP37" s="2251">
        <f t="shared" ref="CP37:CP47" si="32">(CM37+CN37)/(CK37+CL37)</f>
        <v>0.7</v>
      </c>
      <c r="CR37" s="1044">
        <v>1</v>
      </c>
      <c r="CS37" s="1044">
        <v>14</v>
      </c>
      <c r="CT37" s="1044">
        <v>7</v>
      </c>
      <c r="CU37" s="1044">
        <v>7</v>
      </c>
      <c r="CV37" s="2254">
        <v>29</v>
      </c>
      <c r="CW37" s="2251">
        <f t="shared" ref="CW37:CW48" si="33">(CT37+CU37)/(CR37+CS37)</f>
        <v>0.93333333333333335</v>
      </c>
    </row>
    <row r="38" spans="1:101" ht="17.100000000000001" customHeight="1">
      <c r="A38" s="6515" t="s">
        <v>73</v>
      </c>
      <c r="B38" s="6519" t="s">
        <v>4</v>
      </c>
      <c r="C38" s="6520" t="s">
        <v>981</v>
      </c>
      <c r="E38" s="1044">
        <v>3</v>
      </c>
      <c r="F38" s="1044">
        <v>7</v>
      </c>
      <c r="G38" s="1044">
        <v>4</v>
      </c>
      <c r="H38" s="1044"/>
      <c r="I38" s="2254">
        <f>SUM(E38:H38)</f>
        <v>14</v>
      </c>
      <c r="J38" s="2251">
        <f t="shared" si="0"/>
        <v>0.4</v>
      </c>
      <c r="K38" s="2108"/>
      <c r="L38" s="1044">
        <v>2</v>
      </c>
      <c r="M38" s="1044">
        <v>7</v>
      </c>
      <c r="N38" s="1044">
        <v>4</v>
      </c>
      <c r="O38" s="1044"/>
      <c r="P38" s="2254">
        <f>SUM(L38:O38)</f>
        <v>13</v>
      </c>
      <c r="Q38" s="2251">
        <f t="shared" si="1"/>
        <v>0.44444444444444442</v>
      </c>
      <c r="R38" s="2108"/>
      <c r="S38" s="1044">
        <v>3</v>
      </c>
      <c r="T38" s="1044">
        <v>6</v>
      </c>
      <c r="U38" s="1044">
        <v>3</v>
      </c>
      <c r="V38" s="1044">
        <v>1</v>
      </c>
      <c r="W38" s="2254">
        <f>SUM(S38:V38)</f>
        <v>13</v>
      </c>
      <c r="X38" s="2251">
        <f t="shared" si="2"/>
        <v>0.44444444444444442</v>
      </c>
      <c r="Y38" s="2108"/>
      <c r="Z38" s="1044">
        <v>2</v>
      </c>
      <c r="AA38" s="1044">
        <v>12</v>
      </c>
      <c r="AB38" s="1044">
        <v>3</v>
      </c>
      <c r="AC38" s="1044">
        <v>1</v>
      </c>
      <c r="AD38" s="2254">
        <f>SUM(Z38:AC38)</f>
        <v>18</v>
      </c>
      <c r="AE38" s="2251">
        <f t="shared" si="3"/>
        <v>0.2857142857142857</v>
      </c>
      <c r="AF38" s="2108"/>
      <c r="AG38" s="1044">
        <v>2</v>
      </c>
      <c r="AH38" s="1044">
        <v>11</v>
      </c>
      <c r="AI38" s="1044">
        <v>3</v>
      </c>
      <c r="AJ38" s="1044">
        <v>1</v>
      </c>
      <c r="AK38" s="2254">
        <f t="shared" si="14"/>
        <v>17</v>
      </c>
      <c r="AL38" s="2251">
        <f t="shared" si="4"/>
        <v>0.30769230769230771</v>
      </c>
      <c r="AM38" s="2108"/>
      <c r="AN38" s="1044">
        <v>2</v>
      </c>
      <c r="AO38" s="1044">
        <v>18</v>
      </c>
      <c r="AP38" s="1044">
        <v>3</v>
      </c>
      <c r="AQ38" s="1044">
        <v>1</v>
      </c>
      <c r="AR38" s="2254">
        <f t="shared" si="15"/>
        <v>24</v>
      </c>
      <c r="AS38" s="2251">
        <f t="shared" si="5"/>
        <v>0.2</v>
      </c>
      <c r="AT38" s="2108"/>
      <c r="AU38" s="1044">
        <v>1</v>
      </c>
      <c r="AV38" s="1044">
        <v>18</v>
      </c>
      <c r="AW38" s="1044">
        <v>3</v>
      </c>
      <c r="AX38" s="1044">
        <v>1</v>
      </c>
      <c r="AY38" s="2254">
        <f t="shared" si="25"/>
        <v>23</v>
      </c>
      <c r="AZ38" s="2251">
        <f t="shared" si="26"/>
        <v>0.21052631578947367</v>
      </c>
      <c r="BA38" s="2108"/>
      <c r="BB38" s="1044"/>
      <c r="BC38" s="1044">
        <v>17</v>
      </c>
      <c r="BD38" s="1044">
        <v>2</v>
      </c>
      <c r="BE38" s="1044">
        <v>2</v>
      </c>
      <c r="BF38" s="2254">
        <f>SUM(BB38:BE38)</f>
        <v>21</v>
      </c>
      <c r="BG38" s="2251">
        <f t="shared" si="27"/>
        <v>0.23529411764705882</v>
      </c>
      <c r="BH38" s="2108"/>
      <c r="BI38" s="1044">
        <v>1</v>
      </c>
      <c r="BJ38" s="1044">
        <v>20</v>
      </c>
      <c r="BK38" s="1044">
        <v>2</v>
      </c>
      <c r="BL38" s="1044">
        <v>2</v>
      </c>
      <c r="BM38" s="2254">
        <v>25</v>
      </c>
      <c r="BN38" s="2251">
        <f t="shared" si="28"/>
        <v>0.19047619047619047</v>
      </c>
      <c r="BP38" s="1044">
        <v>3</v>
      </c>
      <c r="BQ38" s="1044">
        <v>20</v>
      </c>
      <c r="BR38" s="1044">
        <v>2</v>
      </c>
      <c r="BS38" s="1044">
        <v>2</v>
      </c>
      <c r="BT38" s="2254">
        <v>27</v>
      </c>
      <c r="BU38" s="2251">
        <f t="shared" si="29"/>
        <v>0.17391304347826086</v>
      </c>
      <c r="BW38" s="1044">
        <v>3</v>
      </c>
      <c r="BX38" s="1044">
        <v>22</v>
      </c>
      <c r="BY38" s="1044">
        <v>2</v>
      </c>
      <c r="BZ38" s="1044">
        <v>2</v>
      </c>
      <c r="CA38" s="2254">
        <v>29</v>
      </c>
      <c r="CB38" s="2251">
        <f t="shared" si="30"/>
        <v>0.16</v>
      </c>
      <c r="CD38" s="1044">
        <v>2</v>
      </c>
      <c r="CE38" s="1044">
        <v>24</v>
      </c>
      <c r="CF38" s="1044">
        <v>2</v>
      </c>
      <c r="CG38" s="1044">
        <v>2</v>
      </c>
      <c r="CH38" s="2254">
        <v>30</v>
      </c>
      <c r="CI38" s="2251">
        <f t="shared" si="31"/>
        <v>0.15384615384615385</v>
      </c>
      <c r="CK38" s="1044">
        <v>3</v>
      </c>
      <c r="CL38" s="1044">
        <v>23</v>
      </c>
      <c r="CM38" s="1044">
        <v>2</v>
      </c>
      <c r="CN38" s="1044">
        <v>2</v>
      </c>
      <c r="CO38" s="2254">
        <v>30</v>
      </c>
      <c r="CP38" s="2251">
        <f t="shared" si="32"/>
        <v>0.15384615384615385</v>
      </c>
      <c r="CR38" s="1044">
        <v>2</v>
      </c>
      <c r="CS38" s="1044">
        <v>20</v>
      </c>
      <c r="CT38" s="1044">
        <v>4</v>
      </c>
      <c r="CU38" s="1044">
        <v>2</v>
      </c>
      <c r="CV38" s="2254">
        <v>28</v>
      </c>
      <c r="CW38" s="2251">
        <f t="shared" si="33"/>
        <v>0.27272727272727271</v>
      </c>
    </row>
    <row r="39" spans="1:101" ht="17.100000000000001" customHeight="1">
      <c r="A39" s="6515" t="s">
        <v>73</v>
      </c>
      <c r="B39" s="6519" t="s">
        <v>4</v>
      </c>
      <c r="C39" s="6520" t="s">
        <v>982</v>
      </c>
      <c r="E39" s="1044">
        <v>1</v>
      </c>
      <c r="F39" s="1044">
        <v>20</v>
      </c>
      <c r="G39" s="1044">
        <v>6</v>
      </c>
      <c r="H39" s="1044">
        <v>11</v>
      </c>
      <c r="I39" s="2254">
        <f>SUM(E39:H39)</f>
        <v>38</v>
      </c>
      <c r="J39" s="2251">
        <f t="shared" si="0"/>
        <v>0.80952380952380953</v>
      </c>
      <c r="K39" s="2108"/>
      <c r="L39" s="1044">
        <v>1</v>
      </c>
      <c r="M39" s="1044">
        <v>20</v>
      </c>
      <c r="N39" s="1044">
        <v>6</v>
      </c>
      <c r="O39" s="1044">
        <v>10</v>
      </c>
      <c r="P39" s="2254">
        <f>SUM(L39:O39)</f>
        <v>37</v>
      </c>
      <c r="Q39" s="2251">
        <f t="shared" si="1"/>
        <v>0.76190476190476186</v>
      </c>
      <c r="R39" s="2108"/>
      <c r="S39" s="1044">
        <v>2</v>
      </c>
      <c r="T39" s="1044">
        <v>20</v>
      </c>
      <c r="U39" s="1044">
        <v>6</v>
      </c>
      <c r="V39" s="1044">
        <v>9</v>
      </c>
      <c r="W39" s="2254">
        <f>SUM(S39:V39)</f>
        <v>37</v>
      </c>
      <c r="X39" s="2251">
        <f t="shared" si="2"/>
        <v>0.68181818181818177</v>
      </c>
      <c r="Y39" s="2108"/>
      <c r="Z39" s="1044">
        <v>6</v>
      </c>
      <c r="AA39" s="1044">
        <v>16</v>
      </c>
      <c r="AB39" s="1044">
        <v>8</v>
      </c>
      <c r="AC39" s="1044">
        <v>13</v>
      </c>
      <c r="AD39" s="2254">
        <f>SUM(Z39:AC39)</f>
        <v>43</v>
      </c>
      <c r="AE39" s="2251">
        <f t="shared" si="3"/>
        <v>0.95454545454545459</v>
      </c>
      <c r="AF39" s="2108"/>
      <c r="AG39" s="1044">
        <v>8</v>
      </c>
      <c r="AH39" s="1044">
        <v>19</v>
      </c>
      <c r="AI39" s="1044">
        <v>6</v>
      </c>
      <c r="AJ39" s="1044">
        <v>12</v>
      </c>
      <c r="AK39" s="2254">
        <f t="shared" si="14"/>
        <v>45</v>
      </c>
      <c r="AL39" s="2251">
        <f t="shared" si="4"/>
        <v>0.66666666666666663</v>
      </c>
      <c r="AM39" s="2108"/>
      <c r="AN39" s="1044">
        <v>6</v>
      </c>
      <c r="AO39" s="1044">
        <v>19</v>
      </c>
      <c r="AP39" s="1044">
        <v>6</v>
      </c>
      <c r="AQ39" s="1044">
        <v>11</v>
      </c>
      <c r="AR39" s="2254">
        <f t="shared" si="15"/>
        <v>42</v>
      </c>
      <c r="AS39" s="2251">
        <f t="shared" si="5"/>
        <v>0.68</v>
      </c>
      <c r="AT39" s="2108"/>
      <c r="AU39" s="1044">
        <v>4</v>
      </c>
      <c r="AV39" s="1044">
        <v>25</v>
      </c>
      <c r="AW39" s="1044">
        <v>6</v>
      </c>
      <c r="AX39" s="1044">
        <v>11</v>
      </c>
      <c r="AY39" s="2254">
        <f t="shared" si="25"/>
        <v>46</v>
      </c>
      <c r="AZ39" s="2251">
        <f t="shared" si="26"/>
        <v>0.58620689655172409</v>
      </c>
      <c r="BA39" s="2108"/>
      <c r="BB39" s="1044">
        <v>6</v>
      </c>
      <c r="BC39" s="1044">
        <v>23</v>
      </c>
      <c r="BD39" s="1044">
        <v>6</v>
      </c>
      <c r="BE39" s="1044">
        <v>11</v>
      </c>
      <c r="BF39" s="2254">
        <f>SUM(BB39:BE39)</f>
        <v>46</v>
      </c>
      <c r="BG39" s="2251">
        <f t="shared" si="27"/>
        <v>0.58620689655172409</v>
      </c>
      <c r="BH39" s="2108"/>
      <c r="BI39" s="1044">
        <v>7</v>
      </c>
      <c r="BJ39" s="1044">
        <v>19</v>
      </c>
      <c r="BK39" s="1044">
        <v>7</v>
      </c>
      <c r="BL39" s="1044">
        <v>11</v>
      </c>
      <c r="BM39" s="2254">
        <v>44</v>
      </c>
      <c r="BN39" s="2251">
        <f t="shared" si="28"/>
        <v>0.69230769230769229</v>
      </c>
      <c r="BP39" s="1044">
        <v>7</v>
      </c>
      <c r="BQ39" s="1044">
        <v>20</v>
      </c>
      <c r="BR39" s="1044">
        <v>7</v>
      </c>
      <c r="BS39" s="1044">
        <v>10</v>
      </c>
      <c r="BT39" s="2254">
        <v>44</v>
      </c>
      <c r="BU39" s="2251">
        <f t="shared" si="29"/>
        <v>0.62962962962962965</v>
      </c>
      <c r="BW39" s="1044">
        <v>8</v>
      </c>
      <c r="BX39" s="1044">
        <v>19</v>
      </c>
      <c r="BY39" s="1044">
        <v>7</v>
      </c>
      <c r="BZ39" s="1044">
        <v>10</v>
      </c>
      <c r="CA39" s="2254">
        <v>44</v>
      </c>
      <c r="CB39" s="2251">
        <f t="shared" si="30"/>
        <v>0.62962962962962965</v>
      </c>
      <c r="CD39" s="1044">
        <v>9</v>
      </c>
      <c r="CE39" s="1044">
        <v>21</v>
      </c>
      <c r="CF39" s="1044">
        <v>8</v>
      </c>
      <c r="CG39" s="1044">
        <v>10</v>
      </c>
      <c r="CH39" s="2254">
        <v>48</v>
      </c>
      <c r="CI39" s="2251">
        <f t="shared" si="31"/>
        <v>0.6</v>
      </c>
      <c r="CK39" s="1044">
        <v>9</v>
      </c>
      <c r="CL39" s="1044">
        <v>20</v>
      </c>
      <c r="CM39" s="1044">
        <v>10</v>
      </c>
      <c r="CN39" s="1044">
        <v>10</v>
      </c>
      <c r="CO39" s="2254">
        <v>49</v>
      </c>
      <c r="CP39" s="2251">
        <f t="shared" si="32"/>
        <v>0.68965517241379315</v>
      </c>
      <c r="CR39" s="1044">
        <v>5</v>
      </c>
      <c r="CS39" s="1044">
        <v>24</v>
      </c>
      <c r="CT39" s="1044">
        <v>10</v>
      </c>
      <c r="CU39" s="1044">
        <v>10</v>
      </c>
      <c r="CV39" s="2254">
        <v>49</v>
      </c>
      <c r="CW39" s="2251">
        <f t="shared" si="33"/>
        <v>0.68965517241379315</v>
      </c>
    </row>
    <row r="40" spans="1:101" ht="17.100000000000001" customHeight="1" thickBot="1">
      <c r="A40" s="6531" t="s">
        <v>73</v>
      </c>
      <c r="B40" s="6525" t="s">
        <v>4</v>
      </c>
      <c r="C40" s="6526" t="s">
        <v>983</v>
      </c>
      <c r="E40" s="1044">
        <v>3</v>
      </c>
      <c r="F40" s="1044">
        <v>19</v>
      </c>
      <c r="G40" s="1044">
        <v>10</v>
      </c>
      <c r="H40" s="1044">
        <v>15</v>
      </c>
      <c r="I40" s="2254">
        <f>SUM(E40:H40)</f>
        <v>47</v>
      </c>
      <c r="J40" s="2251">
        <f t="shared" si="0"/>
        <v>1.1363636363636365</v>
      </c>
      <c r="K40" s="2108"/>
      <c r="L40" s="1044">
        <v>4</v>
      </c>
      <c r="M40" s="1044">
        <v>18</v>
      </c>
      <c r="N40" s="1044">
        <v>10</v>
      </c>
      <c r="O40" s="1044">
        <v>14</v>
      </c>
      <c r="P40" s="2254">
        <f>SUM(L40:O40)</f>
        <v>46</v>
      </c>
      <c r="Q40" s="2251">
        <f t="shared" si="1"/>
        <v>1.0909090909090908</v>
      </c>
      <c r="R40" s="2108"/>
      <c r="S40" s="1044">
        <v>3</v>
      </c>
      <c r="T40" s="1044">
        <v>19</v>
      </c>
      <c r="U40" s="1044">
        <v>8</v>
      </c>
      <c r="V40" s="1044">
        <v>16</v>
      </c>
      <c r="W40" s="2254">
        <f>SUM(S40:V40)</f>
        <v>46</v>
      </c>
      <c r="X40" s="2251">
        <f t="shared" si="2"/>
        <v>1.0909090909090908</v>
      </c>
      <c r="Y40" s="2108"/>
      <c r="Z40" s="1044">
        <v>10</v>
      </c>
      <c r="AA40" s="1044">
        <v>21</v>
      </c>
      <c r="AB40" s="1044">
        <v>7</v>
      </c>
      <c r="AC40" s="1044">
        <v>18</v>
      </c>
      <c r="AD40" s="2254">
        <f>SUM(Z40:AC40)</f>
        <v>56</v>
      </c>
      <c r="AE40" s="2251">
        <f t="shared" si="3"/>
        <v>0.80645161290322576</v>
      </c>
      <c r="AF40" s="2108"/>
      <c r="AG40" s="1044">
        <v>9</v>
      </c>
      <c r="AH40" s="1044">
        <v>23</v>
      </c>
      <c r="AI40" s="1044">
        <v>9</v>
      </c>
      <c r="AJ40" s="1044">
        <v>18</v>
      </c>
      <c r="AK40" s="2254">
        <f t="shared" si="14"/>
        <v>59</v>
      </c>
      <c r="AL40" s="2251">
        <f t="shared" si="4"/>
        <v>0.84375</v>
      </c>
      <c r="AM40" s="2108"/>
      <c r="AN40" s="1044">
        <v>8</v>
      </c>
      <c r="AO40" s="1044">
        <v>24</v>
      </c>
      <c r="AP40" s="1044">
        <v>10</v>
      </c>
      <c r="AQ40" s="1044">
        <v>18</v>
      </c>
      <c r="AR40" s="2254">
        <f t="shared" si="15"/>
        <v>60</v>
      </c>
      <c r="AS40" s="2251">
        <f t="shared" si="5"/>
        <v>0.875</v>
      </c>
      <c r="AT40" s="2108"/>
      <c r="AU40" s="1044">
        <v>11</v>
      </c>
      <c r="AV40" s="1044">
        <v>28</v>
      </c>
      <c r="AW40" s="1044">
        <v>9</v>
      </c>
      <c r="AX40" s="1044">
        <v>19</v>
      </c>
      <c r="AY40" s="2254">
        <f t="shared" si="25"/>
        <v>67</v>
      </c>
      <c r="AZ40" s="2251">
        <f t="shared" si="26"/>
        <v>0.71794871794871795</v>
      </c>
      <c r="BA40" s="2108"/>
      <c r="BB40" s="1044">
        <v>9</v>
      </c>
      <c r="BC40" s="1044">
        <v>28</v>
      </c>
      <c r="BD40" s="1044">
        <v>7</v>
      </c>
      <c r="BE40" s="1044">
        <v>20</v>
      </c>
      <c r="BF40" s="2254">
        <f>SUM(BB40:BE40)</f>
        <v>64</v>
      </c>
      <c r="BG40" s="2251">
        <f t="shared" si="27"/>
        <v>0.72972972972972971</v>
      </c>
      <c r="BH40" s="2108"/>
      <c r="BI40" s="1044">
        <v>7</v>
      </c>
      <c r="BJ40" s="1044">
        <v>34</v>
      </c>
      <c r="BK40" s="1044">
        <v>4</v>
      </c>
      <c r="BL40" s="1044">
        <v>20</v>
      </c>
      <c r="BM40" s="2254">
        <v>65</v>
      </c>
      <c r="BN40" s="2251">
        <f t="shared" si="28"/>
        <v>0.58536585365853655</v>
      </c>
      <c r="BP40" s="1044">
        <v>4</v>
      </c>
      <c r="BQ40" s="1044">
        <v>32</v>
      </c>
      <c r="BR40" s="1044">
        <v>8</v>
      </c>
      <c r="BS40" s="1044">
        <v>20</v>
      </c>
      <c r="BT40" s="2254">
        <v>64</v>
      </c>
      <c r="BU40" s="2251">
        <f t="shared" si="29"/>
        <v>0.77777777777777779</v>
      </c>
      <c r="BW40" s="1044">
        <v>5</v>
      </c>
      <c r="BX40" s="1044">
        <v>31</v>
      </c>
      <c r="BY40" s="1044">
        <v>8</v>
      </c>
      <c r="BZ40" s="1044">
        <v>20</v>
      </c>
      <c r="CA40" s="2254">
        <v>64</v>
      </c>
      <c r="CB40" s="2251">
        <f t="shared" si="30"/>
        <v>0.77777777777777779</v>
      </c>
      <c r="CD40" s="1044">
        <v>7</v>
      </c>
      <c r="CE40" s="1044">
        <v>32</v>
      </c>
      <c r="CF40" s="1044">
        <v>7</v>
      </c>
      <c r="CG40" s="1044">
        <v>21</v>
      </c>
      <c r="CH40" s="2254">
        <v>67</v>
      </c>
      <c r="CI40" s="2251">
        <f t="shared" si="31"/>
        <v>0.71794871794871795</v>
      </c>
      <c r="CK40" s="1044">
        <v>2</v>
      </c>
      <c r="CL40" s="1044">
        <v>36</v>
      </c>
      <c r="CM40" s="1044">
        <v>6</v>
      </c>
      <c r="CN40" s="1044">
        <v>21</v>
      </c>
      <c r="CO40" s="2254">
        <v>65</v>
      </c>
      <c r="CP40" s="2251">
        <f t="shared" si="32"/>
        <v>0.71052631578947367</v>
      </c>
      <c r="CR40" s="1044">
        <v>1</v>
      </c>
      <c r="CS40" s="1044">
        <v>23</v>
      </c>
      <c r="CT40" s="1044">
        <v>5</v>
      </c>
      <c r="CU40" s="1044">
        <v>19</v>
      </c>
      <c r="CV40" s="2254">
        <v>48</v>
      </c>
      <c r="CW40" s="2251">
        <f t="shared" si="33"/>
        <v>1</v>
      </c>
    </row>
    <row r="41" spans="1:101" ht="17.100000000000001" customHeight="1" thickBot="1">
      <c r="A41" s="7324" t="s">
        <v>1410</v>
      </c>
      <c r="B41" s="7324"/>
      <c r="C41" s="7324"/>
      <c r="E41" s="1045">
        <f>SUM(E36:E40)</f>
        <v>8</v>
      </c>
      <c r="F41" s="1045">
        <f>SUM(F36:F40)</f>
        <v>72</v>
      </c>
      <c r="G41" s="1045">
        <f>SUM(G36:G40)</f>
        <v>41</v>
      </c>
      <c r="H41" s="1045">
        <f>SUM(H36:H40)</f>
        <v>42</v>
      </c>
      <c r="I41" s="2252">
        <f>SUM(I36:I40)</f>
        <v>163</v>
      </c>
      <c r="J41" s="2253">
        <f t="shared" si="0"/>
        <v>1.0375000000000001</v>
      </c>
      <c r="K41" s="2108"/>
      <c r="L41" s="1045">
        <f>SUM(L36:L40)</f>
        <v>9</v>
      </c>
      <c r="M41" s="1045">
        <f>SUM(M36:M40)</f>
        <v>71</v>
      </c>
      <c r="N41" s="1045">
        <f>SUM(N36:N40)</f>
        <v>41</v>
      </c>
      <c r="O41" s="1045">
        <f>SUM(O36:O40)</f>
        <v>40</v>
      </c>
      <c r="P41" s="2252">
        <f>SUM(P36:P40)</f>
        <v>161</v>
      </c>
      <c r="Q41" s="2253">
        <f t="shared" si="1"/>
        <v>1.0125</v>
      </c>
      <c r="R41" s="2108"/>
      <c r="S41" s="1045">
        <f>SUM(S36:S40)</f>
        <v>13</v>
      </c>
      <c r="T41" s="1045">
        <f>SUM(T36:T40)</f>
        <v>74</v>
      </c>
      <c r="U41" s="1045">
        <f>SUM(U36:U40)</f>
        <v>37</v>
      </c>
      <c r="V41" s="1045">
        <f>SUM(V36:V40)</f>
        <v>42</v>
      </c>
      <c r="W41" s="2252">
        <f>SUM(W36:W40)</f>
        <v>166</v>
      </c>
      <c r="X41" s="2253">
        <f t="shared" si="2"/>
        <v>0.90804597701149425</v>
      </c>
      <c r="Y41" s="2108"/>
      <c r="Z41" s="1045">
        <f>SUM(Z36:Z40)</f>
        <v>22</v>
      </c>
      <c r="AA41" s="1045">
        <f>SUM(AA36:AA40)</f>
        <v>81</v>
      </c>
      <c r="AB41" s="1045">
        <f>SUM(AB36:AB40)</f>
        <v>40</v>
      </c>
      <c r="AC41" s="1045">
        <f>SUM(AC36:AC40)</f>
        <v>50</v>
      </c>
      <c r="AD41" s="2252">
        <f>SUM(AD36:AD40)</f>
        <v>193</v>
      </c>
      <c r="AE41" s="2253">
        <f t="shared" si="3"/>
        <v>0.87378640776699024</v>
      </c>
      <c r="AF41" s="2108"/>
      <c r="AG41" s="1045">
        <f>SUM(AG36:AG40)</f>
        <v>25</v>
      </c>
      <c r="AH41" s="1045">
        <f>SUM(AH36:AH40)</f>
        <v>85</v>
      </c>
      <c r="AI41" s="1045">
        <f>SUM(AI36:AI40)</f>
        <v>40</v>
      </c>
      <c r="AJ41" s="1045">
        <f>SUM(AJ36:AJ40)</f>
        <v>51</v>
      </c>
      <c r="AK41" s="2252">
        <f t="shared" si="14"/>
        <v>201</v>
      </c>
      <c r="AL41" s="2253">
        <f t="shared" si="4"/>
        <v>0.82727272727272727</v>
      </c>
      <c r="AM41" s="2108"/>
      <c r="AN41" s="1045">
        <v>25</v>
      </c>
      <c r="AO41" s="1045">
        <v>94</v>
      </c>
      <c r="AP41" s="1045">
        <v>39</v>
      </c>
      <c r="AQ41" s="1045">
        <v>50</v>
      </c>
      <c r="AR41" s="2252">
        <f t="shared" si="15"/>
        <v>208</v>
      </c>
      <c r="AS41" s="2253">
        <f t="shared" si="5"/>
        <v>0.74789915966386555</v>
      </c>
      <c r="AT41" s="2108"/>
      <c r="AU41" s="1045">
        <f>SUM(AU36:AU40)</f>
        <v>27</v>
      </c>
      <c r="AV41" s="1045">
        <f>SUM(AV36:AV40)</f>
        <v>108</v>
      </c>
      <c r="AW41" s="1045">
        <f>SUM(AW36:AW40)</f>
        <v>39</v>
      </c>
      <c r="AX41" s="1045">
        <f>SUM(AX36:AX40)</f>
        <v>51</v>
      </c>
      <c r="AY41" s="2252">
        <f>SUM(AY36:AY40)</f>
        <v>225</v>
      </c>
      <c r="AZ41" s="2253">
        <f t="shared" si="26"/>
        <v>0.66666666666666663</v>
      </c>
      <c r="BA41" s="2108"/>
      <c r="BB41" s="1045">
        <v>25</v>
      </c>
      <c r="BC41" s="1045">
        <v>101</v>
      </c>
      <c r="BD41" s="1045">
        <v>36</v>
      </c>
      <c r="BE41" s="1045">
        <v>53</v>
      </c>
      <c r="BF41" s="2252">
        <f>SUM(BF36:BF40)</f>
        <v>215</v>
      </c>
      <c r="BG41" s="2253">
        <f t="shared" si="27"/>
        <v>0.70634920634920639</v>
      </c>
      <c r="BH41" s="2108"/>
      <c r="BI41" s="1045">
        <v>20</v>
      </c>
      <c r="BJ41" s="1045">
        <v>104</v>
      </c>
      <c r="BK41" s="1045">
        <v>35</v>
      </c>
      <c r="BL41" s="1045">
        <v>53</v>
      </c>
      <c r="BM41" s="2252">
        <v>212</v>
      </c>
      <c r="BN41" s="2253">
        <f t="shared" si="28"/>
        <v>0.70967741935483875</v>
      </c>
      <c r="BP41" s="1045">
        <v>22</v>
      </c>
      <c r="BQ41" s="1045">
        <v>102</v>
      </c>
      <c r="BR41" s="1045">
        <v>39</v>
      </c>
      <c r="BS41" s="1045">
        <v>53</v>
      </c>
      <c r="BT41" s="2252">
        <v>216</v>
      </c>
      <c r="BU41" s="2253">
        <f t="shared" si="29"/>
        <v>0.74193548387096775</v>
      </c>
      <c r="BW41" s="1045">
        <f>SUM(BW36:BW40)</f>
        <v>26</v>
      </c>
      <c r="BX41" s="1045">
        <f>SUM(BX36:BX40)</f>
        <v>104</v>
      </c>
      <c r="BY41" s="1045">
        <f>SUM(BY36:BY40)</f>
        <v>39</v>
      </c>
      <c r="BZ41" s="1045">
        <f>SUM(BZ36:BZ40)</f>
        <v>53</v>
      </c>
      <c r="CA41" s="1045">
        <f>SUM(CA36:CA40)</f>
        <v>222</v>
      </c>
      <c r="CB41" s="2253">
        <f t="shared" si="30"/>
        <v>0.70769230769230773</v>
      </c>
      <c r="CD41" s="1045">
        <v>28</v>
      </c>
      <c r="CE41" s="1045">
        <v>110</v>
      </c>
      <c r="CF41" s="1045">
        <v>40</v>
      </c>
      <c r="CG41" s="1045">
        <v>54</v>
      </c>
      <c r="CH41" s="1045">
        <v>232</v>
      </c>
      <c r="CI41" s="2253">
        <f t="shared" si="31"/>
        <v>0.6811594202898551</v>
      </c>
      <c r="CK41" s="1045">
        <v>19</v>
      </c>
      <c r="CL41" s="1045">
        <v>113</v>
      </c>
      <c r="CM41" s="1045">
        <v>42</v>
      </c>
      <c r="CN41" s="1045">
        <v>54</v>
      </c>
      <c r="CO41" s="1045">
        <v>228</v>
      </c>
      <c r="CP41" s="2253">
        <f t="shared" si="32"/>
        <v>0.72727272727272729</v>
      </c>
      <c r="CR41" s="1045">
        <v>9</v>
      </c>
      <c r="CS41" s="1045">
        <v>98</v>
      </c>
      <c r="CT41" s="1045">
        <v>42</v>
      </c>
      <c r="CU41" s="1045">
        <v>52</v>
      </c>
      <c r="CV41" s="1045">
        <v>201</v>
      </c>
      <c r="CW41" s="2253">
        <f t="shared" si="33"/>
        <v>0.87850467289719625</v>
      </c>
    </row>
    <row r="42" spans="1:101" ht="17.100000000000001" customHeight="1">
      <c r="A42" s="6528" t="s">
        <v>73</v>
      </c>
      <c r="B42" s="6529" t="s">
        <v>41</v>
      </c>
      <c r="C42" s="6530" t="s">
        <v>984</v>
      </c>
      <c r="E42" s="1044">
        <v>3</v>
      </c>
      <c r="F42" s="1044">
        <v>12</v>
      </c>
      <c r="G42" s="1044">
        <v>1</v>
      </c>
      <c r="H42" s="1048"/>
      <c r="I42" s="2250">
        <f>SUM(E42:H42)</f>
        <v>16</v>
      </c>
      <c r="J42" s="2251">
        <f t="shared" si="0"/>
        <v>6.6666666666666666E-2</v>
      </c>
      <c r="K42" s="2108"/>
      <c r="L42" s="1044">
        <v>4</v>
      </c>
      <c r="M42" s="1044">
        <v>14</v>
      </c>
      <c r="N42" s="1044">
        <v>1</v>
      </c>
      <c r="O42" s="1048"/>
      <c r="P42" s="2250">
        <f>SUM(L42:O42)</f>
        <v>19</v>
      </c>
      <c r="Q42" s="2251">
        <f t="shared" si="1"/>
        <v>5.5555555555555552E-2</v>
      </c>
      <c r="R42" s="2108"/>
      <c r="S42" s="1044">
        <v>4</v>
      </c>
      <c r="T42" s="1044">
        <v>13</v>
      </c>
      <c r="U42" s="1044">
        <v>2</v>
      </c>
      <c r="V42" s="1048"/>
      <c r="W42" s="2250">
        <f>SUM(S42:V42)</f>
        <v>19</v>
      </c>
      <c r="X42" s="2251">
        <f t="shared" si="2"/>
        <v>0.11764705882352941</v>
      </c>
      <c r="Y42" s="2108"/>
      <c r="Z42" s="1044">
        <v>2</v>
      </c>
      <c r="AA42" s="1044">
        <v>12</v>
      </c>
      <c r="AB42" s="1044">
        <v>3</v>
      </c>
      <c r="AC42" s="1048"/>
      <c r="AD42" s="2250">
        <f>SUM(Z42:AC42)</f>
        <v>17</v>
      </c>
      <c r="AE42" s="2251">
        <f t="shared" si="3"/>
        <v>0.21428571428571427</v>
      </c>
      <c r="AF42" s="2108"/>
      <c r="AG42" s="1044">
        <v>2</v>
      </c>
      <c r="AH42" s="1044">
        <v>10</v>
      </c>
      <c r="AI42" s="1044">
        <v>3</v>
      </c>
      <c r="AJ42" s="1048"/>
      <c r="AK42" s="2250">
        <f t="shared" si="14"/>
        <v>15</v>
      </c>
      <c r="AL42" s="2251">
        <f t="shared" si="4"/>
        <v>0.25</v>
      </c>
      <c r="AM42" s="2108"/>
      <c r="AN42" s="1044"/>
      <c r="AO42" s="1044">
        <v>11</v>
      </c>
      <c r="AP42" s="1044">
        <v>2</v>
      </c>
      <c r="AQ42" s="1048"/>
      <c r="AR42" s="2250">
        <f t="shared" si="15"/>
        <v>13</v>
      </c>
      <c r="AS42" s="2251">
        <f t="shared" si="5"/>
        <v>0.18181818181818182</v>
      </c>
      <c r="AT42" s="2108"/>
      <c r="AU42" s="1044">
        <v>2</v>
      </c>
      <c r="AV42" s="1044">
        <v>10</v>
      </c>
      <c r="AW42" s="1044">
        <v>2</v>
      </c>
      <c r="AX42" s="1048"/>
      <c r="AY42" s="2250">
        <f t="shared" si="25"/>
        <v>14</v>
      </c>
      <c r="AZ42" s="2251">
        <f t="shared" si="26"/>
        <v>0.16666666666666666</v>
      </c>
      <c r="BA42" s="2108"/>
      <c r="BB42" s="1044">
        <v>1</v>
      </c>
      <c r="BC42" s="1044">
        <v>12</v>
      </c>
      <c r="BD42" s="1044">
        <v>2</v>
      </c>
      <c r="BE42" s="1048"/>
      <c r="BF42" s="2250">
        <f>SUM(BB42:BE42)</f>
        <v>15</v>
      </c>
      <c r="BG42" s="2251">
        <f t="shared" si="27"/>
        <v>0.15384615384615385</v>
      </c>
      <c r="BH42" s="2108"/>
      <c r="BI42" s="1044">
        <v>3</v>
      </c>
      <c r="BJ42" s="1044">
        <v>13</v>
      </c>
      <c r="BK42" s="1044">
        <v>2</v>
      </c>
      <c r="BL42" s="1048"/>
      <c r="BM42" s="2250">
        <v>18</v>
      </c>
      <c r="BN42" s="2251">
        <f t="shared" si="28"/>
        <v>0.125</v>
      </c>
      <c r="BP42" s="1044">
        <v>3</v>
      </c>
      <c r="BQ42" s="1044">
        <v>14</v>
      </c>
      <c r="BR42" s="1044">
        <v>2</v>
      </c>
      <c r="BS42" s="1048"/>
      <c r="BT42" s="2250">
        <v>19</v>
      </c>
      <c r="BU42" s="2251">
        <f t="shared" si="29"/>
        <v>0.11764705882352941</v>
      </c>
      <c r="BW42" s="1044">
        <v>3</v>
      </c>
      <c r="BX42" s="1044">
        <v>14</v>
      </c>
      <c r="BY42" s="1044">
        <v>2</v>
      </c>
      <c r="BZ42" s="1048"/>
      <c r="CA42" s="2250">
        <v>19</v>
      </c>
      <c r="CB42" s="2251">
        <f t="shared" si="30"/>
        <v>0.11764705882352941</v>
      </c>
      <c r="CD42" s="1044">
        <v>4</v>
      </c>
      <c r="CE42" s="1044">
        <v>13</v>
      </c>
      <c r="CF42" s="1044">
        <v>1</v>
      </c>
      <c r="CG42" s="1048"/>
      <c r="CH42" s="2250">
        <v>18</v>
      </c>
      <c r="CI42" s="2251">
        <f t="shared" si="31"/>
        <v>5.8823529411764705E-2</v>
      </c>
      <c r="CK42" s="1044">
        <v>2</v>
      </c>
      <c r="CL42" s="1044">
        <v>17</v>
      </c>
      <c r="CM42" s="1044">
        <v>1</v>
      </c>
      <c r="CN42" s="1048">
        <v>0</v>
      </c>
      <c r="CO42" s="2250">
        <v>20</v>
      </c>
      <c r="CP42" s="2251">
        <f t="shared" si="32"/>
        <v>5.2631578947368418E-2</v>
      </c>
      <c r="CR42" s="1044">
        <v>0</v>
      </c>
      <c r="CS42" s="1044">
        <v>15</v>
      </c>
      <c r="CT42" s="1044">
        <v>3</v>
      </c>
      <c r="CU42" s="1048">
        <v>0</v>
      </c>
      <c r="CV42" s="2250">
        <v>18</v>
      </c>
      <c r="CW42" s="2251">
        <f t="shared" si="33"/>
        <v>0.2</v>
      </c>
    </row>
    <row r="43" spans="1:101" ht="17.100000000000001" customHeight="1">
      <c r="A43" s="6515" t="s">
        <v>73</v>
      </c>
      <c r="B43" s="6519" t="s">
        <v>41</v>
      </c>
      <c r="C43" s="6520" t="s">
        <v>1016</v>
      </c>
      <c r="E43" s="1048">
        <v>1</v>
      </c>
      <c r="F43" s="1044">
        <v>13</v>
      </c>
      <c r="G43" s="1048"/>
      <c r="H43" s="1044">
        <v>3</v>
      </c>
      <c r="I43" s="2254">
        <f>SUM(E43:H43)</f>
        <v>17</v>
      </c>
      <c r="J43" s="2251">
        <f t="shared" si="0"/>
        <v>0.21428571428571427</v>
      </c>
      <c r="K43" s="2108"/>
      <c r="L43" s="1048">
        <v>1</v>
      </c>
      <c r="M43" s="1044">
        <v>13</v>
      </c>
      <c r="N43" s="1048"/>
      <c r="O43" s="1044">
        <v>3</v>
      </c>
      <c r="P43" s="2254">
        <f>SUM(L43:O43)</f>
        <v>17</v>
      </c>
      <c r="Q43" s="2251">
        <f t="shared" si="1"/>
        <v>0.21428571428571427</v>
      </c>
      <c r="R43" s="2108"/>
      <c r="S43" s="1048">
        <v>2</v>
      </c>
      <c r="T43" s="1044">
        <v>14</v>
      </c>
      <c r="U43" s="1048"/>
      <c r="V43" s="1044">
        <v>3</v>
      </c>
      <c r="W43" s="2254">
        <f>SUM(S43:V43)</f>
        <v>19</v>
      </c>
      <c r="X43" s="2251">
        <f t="shared" si="2"/>
        <v>0.1875</v>
      </c>
      <c r="Y43" s="2108"/>
      <c r="Z43" s="1048">
        <v>3</v>
      </c>
      <c r="AA43" s="1044">
        <v>12</v>
      </c>
      <c r="AB43" s="1048">
        <v>2</v>
      </c>
      <c r="AC43" s="1044">
        <v>3</v>
      </c>
      <c r="AD43" s="2254">
        <f>SUM(Z43:AC43)</f>
        <v>20</v>
      </c>
      <c r="AE43" s="2251">
        <f t="shared" si="3"/>
        <v>0.33333333333333331</v>
      </c>
      <c r="AF43" s="2108"/>
      <c r="AG43" s="1048">
        <v>3</v>
      </c>
      <c r="AH43" s="1044">
        <v>11</v>
      </c>
      <c r="AI43" s="1048">
        <v>2</v>
      </c>
      <c r="AJ43" s="1044">
        <v>3</v>
      </c>
      <c r="AK43" s="2254">
        <f t="shared" si="14"/>
        <v>19</v>
      </c>
      <c r="AL43" s="2251">
        <f t="shared" si="4"/>
        <v>0.35714285714285715</v>
      </c>
      <c r="AM43" s="2108"/>
      <c r="AN43" s="1048">
        <v>3</v>
      </c>
      <c r="AO43" s="1044">
        <v>11</v>
      </c>
      <c r="AP43" s="1048">
        <v>2</v>
      </c>
      <c r="AQ43" s="1044">
        <v>3</v>
      </c>
      <c r="AR43" s="2254">
        <f t="shared" si="15"/>
        <v>19</v>
      </c>
      <c r="AS43" s="2251">
        <f t="shared" si="5"/>
        <v>0.35714285714285715</v>
      </c>
      <c r="AT43" s="2108"/>
      <c r="AU43" s="1048">
        <v>7</v>
      </c>
      <c r="AV43" s="1044">
        <v>10</v>
      </c>
      <c r="AW43" s="1048">
        <v>2</v>
      </c>
      <c r="AX43" s="1044">
        <v>1</v>
      </c>
      <c r="AY43" s="2254">
        <f t="shared" si="25"/>
        <v>20</v>
      </c>
      <c r="AZ43" s="2251">
        <f t="shared" si="26"/>
        <v>0.17647058823529413</v>
      </c>
      <c r="BA43" s="2108"/>
      <c r="BB43" s="1048">
        <v>5</v>
      </c>
      <c r="BC43" s="1044">
        <v>11</v>
      </c>
      <c r="BD43" s="1048">
        <v>2</v>
      </c>
      <c r="BE43" s="1044">
        <v>2</v>
      </c>
      <c r="BF43" s="2254">
        <f>SUM(BB43:BE43)</f>
        <v>20</v>
      </c>
      <c r="BG43" s="2251">
        <f t="shared" si="27"/>
        <v>0.25</v>
      </c>
      <c r="BH43" s="2108"/>
      <c r="BI43" s="1048">
        <v>3</v>
      </c>
      <c r="BJ43" s="1044">
        <v>10</v>
      </c>
      <c r="BK43" s="1048">
        <v>3</v>
      </c>
      <c r="BL43" s="1044">
        <v>1</v>
      </c>
      <c r="BM43" s="2254">
        <v>17</v>
      </c>
      <c r="BN43" s="2251">
        <f t="shared" si="28"/>
        <v>0.30769230769230771</v>
      </c>
      <c r="BP43" s="1048">
        <v>3</v>
      </c>
      <c r="BQ43" s="1044">
        <v>9</v>
      </c>
      <c r="BR43" s="1048">
        <v>3</v>
      </c>
      <c r="BS43" s="1044">
        <v>1</v>
      </c>
      <c r="BT43" s="2254">
        <v>16</v>
      </c>
      <c r="BU43" s="2251">
        <f t="shared" si="29"/>
        <v>0.33333333333333331</v>
      </c>
      <c r="BW43" s="1048">
        <v>3</v>
      </c>
      <c r="BX43" s="1044">
        <v>11</v>
      </c>
      <c r="BY43" s="1048">
        <v>3</v>
      </c>
      <c r="BZ43" s="1044">
        <v>1</v>
      </c>
      <c r="CA43" s="2254">
        <v>18</v>
      </c>
      <c r="CB43" s="2251">
        <f t="shared" si="30"/>
        <v>0.2857142857142857</v>
      </c>
      <c r="CD43" s="1048">
        <v>3</v>
      </c>
      <c r="CE43" s="1044">
        <v>11</v>
      </c>
      <c r="CF43" s="1048">
        <v>4</v>
      </c>
      <c r="CG43" s="1044">
        <v>1</v>
      </c>
      <c r="CH43" s="2254">
        <v>19</v>
      </c>
      <c r="CI43" s="2251">
        <f t="shared" si="31"/>
        <v>0.35714285714285715</v>
      </c>
      <c r="CK43" s="1048">
        <v>2</v>
      </c>
      <c r="CL43" s="1044">
        <v>12</v>
      </c>
      <c r="CM43" s="1048">
        <v>4</v>
      </c>
      <c r="CN43" s="1044">
        <v>1</v>
      </c>
      <c r="CO43" s="2254">
        <v>19</v>
      </c>
      <c r="CP43" s="2251">
        <f t="shared" si="32"/>
        <v>0.35714285714285715</v>
      </c>
      <c r="CR43" s="1048">
        <v>1</v>
      </c>
      <c r="CS43" s="1044">
        <v>14</v>
      </c>
      <c r="CT43" s="1048">
        <v>5</v>
      </c>
      <c r="CU43" s="1044">
        <v>1</v>
      </c>
      <c r="CV43" s="2254">
        <v>21</v>
      </c>
      <c r="CW43" s="2251">
        <f t="shared" si="33"/>
        <v>0.4</v>
      </c>
    </row>
    <row r="44" spans="1:101" ht="17.100000000000001" customHeight="1">
      <c r="A44" s="6515" t="s">
        <v>73</v>
      </c>
      <c r="B44" s="6519" t="s">
        <v>41</v>
      </c>
      <c r="C44" s="6520" t="s">
        <v>986</v>
      </c>
      <c r="E44" s="1044">
        <v>8</v>
      </c>
      <c r="F44" s="1044">
        <v>16</v>
      </c>
      <c r="G44" s="1044">
        <v>7</v>
      </c>
      <c r="H44" s="1044">
        <v>8</v>
      </c>
      <c r="I44" s="2254">
        <f>SUM(E44:H44)</f>
        <v>39</v>
      </c>
      <c r="J44" s="2251">
        <f t="shared" si="0"/>
        <v>0.625</v>
      </c>
      <c r="K44" s="2108"/>
      <c r="L44" s="1044">
        <v>4</v>
      </c>
      <c r="M44" s="1044">
        <v>15</v>
      </c>
      <c r="N44" s="1044">
        <v>7</v>
      </c>
      <c r="O44" s="1044">
        <v>8</v>
      </c>
      <c r="P44" s="2254">
        <f>SUM(L44:O44)</f>
        <v>34</v>
      </c>
      <c r="Q44" s="2251">
        <f t="shared" si="1"/>
        <v>0.78947368421052633</v>
      </c>
      <c r="R44" s="2108"/>
      <c r="S44" s="1044">
        <v>3</v>
      </c>
      <c r="T44" s="1044">
        <v>13</v>
      </c>
      <c r="U44" s="1044">
        <v>10</v>
      </c>
      <c r="V44" s="1044">
        <v>8</v>
      </c>
      <c r="W44" s="2254">
        <f>SUM(S44:V44)</f>
        <v>34</v>
      </c>
      <c r="X44" s="2251">
        <f t="shared" si="2"/>
        <v>1.125</v>
      </c>
      <c r="Y44" s="2108"/>
      <c r="Z44" s="1044">
        <v>9</v>
      </c>
      <c r="AA44" s="1044">
        <v>13</v>
      </c>
      <c r="AB44" s="1044">
        <v>11</v>
      </c>
      <c r="AC44" s="1044">
        <v>8</v>
      </c>
      <c r="AD44" s="2254">
        <f>SUM(Z44:AC44)</f>
        <v>41</v>
      </c>
      <c r="AE44" s="2251">
        <f t="shared" si="3"/>
        <v>0.86363636363636365</v>
      </c>
      <c r="AF44" s="2108"/>
      <c r="AG44" s="1044">
        <v>6</v>
      </c>
      <c r="AH44" s="1044">
        <v>14</v>
      </c>
      <c r="AI44" s="1044">
        <v>12</v>
      </c>
      <c r="AJ44" s="1044">
        <v>8</v>
      </c>
      <c r="AK44" s="2254">
        <f t="shared" si="14"/>
        <v>40</v>
      </c>
      <c r="AL44" s="2251">
        <f t="shared" si="4"/>
        <v>1</v>
      </c>
      <c r="AM44" s="2108"/>
      <c r="AN44" s="1044">
        <v>7</v>
      </c>
      <c r="AO44" s="1044">
        <v>15</v>
      </c>
      <c r="AP44" s="1044">
        <v>11</v>
      </c>
      <c r="AQ44" s="1044">
        <v>9</v>
      </c>
      <c r="AR44" s="2254">
        <f t="shared" si="15"/>
        <v>42</v>
      </c>
      <c r="AS44" s="2251">
        <f t="shared" si="5"/>
        <v>0.90909090909090906</v>
      </c>
      <c r="AT44" s="2108"/>
      <c r="AU44" s="1044">
        <v>9</v>
      </c>
      <c r="AV44" s="1044">
        <v>16</v>
      </c>
      <c r="AW44" s="1044">
        <v>11</v>
      </c>
      <c r="AX44" s="1044">
        <v>9</v>
      </c>
      <c r="AY44" s="2254">
        <f t="shared" si="25"/>
        <v>45</v>
      </c>
      <c r="AZ44" s="2251">
        <f t="shared" si="26"/>
        <v>0.8</v>
      </c>
      <c r="BA44" s="2108"/>
      <c r="BB44" s="1044">
        <v>10</v>
      </c>
      <c r="BC44" s="1044">
        <v>14</v>
      </c>
      <c r="BD44" s="1044">
        <v>14</v>
      </c>
      <c r="BE44" s="1044">
        <v>9</v>
      </c>
      <c r="BF44" s="2254">
        <f>SUM(BB44:BE44)</f>
        <v>47</v>
      </c>
      <c r="BG44" s="2251">
        <f t="shared" si="27"/>
        <v>0.95833333333333337</v>
      </c>
      <c r="BH44" s="2108"/>
      <c r="BI44" s="1044">
        <v>5</v>
      </c>
      <c r="BJ44" s="1044">
        <v>13</v>
      </c>
      <c r="BK44" s="1044">
        <v>12</v>
      </c>
      <c r="BL44" s="1044">
        <v>8</v>
      </c>
      <c r="BM44" s="2254">
        <v>38</v>
      </c>
      <c r="BN44" s="2251">
        <f t="shared" si="28"/>
        <v>1.1111111111111112</v>
      </c>
      <c r="BP44" s="1044">
        <v>5</v>
      </c>
      <c r="BQ44" s="1044">
        <v>15</v>
      </c>
      <c r="BR44" s="1044">
        <v>13</v>
      </c>
      <c r="BS44" s="1044">
        <v>8</v>
      </c>
      <c r="BT44" s="2254">
        <v>41</v>
      </c>
      <c r="BU44" s="2251">
        <f t="shared" si="29"/>
        <v>1.05</v>
      </c>
      <c r="BW44" s="1044">
        <v>7</v>
      </c>
      <c r="BX44" s="1044">
        <v>14</v>
      </c>
      <c r="BY44" s="1044">
        <v>13</v>
      </c>
      <c r="BZ44" s="1044">
        <v>8</v>
      </c>
      <c r="CA44" s="2254">
        <v>42</v>
      </c>
      <c r="CB44" s="2251">
        <f t="shared" si="30"/>
        <v>1</v>
      </c>
      <c r="CD44" s="1044">
        <v>6</v>
      </c>
      <c r="CE44" s="1044">
        <v>17</v>
      </c>
      <c r="CF44" s="1044">
        <v>13</v>
      </c>
      <c r="CG44" s="1044">
        <v>8</v>
      </c>
      <c r="CH44" s="2254">
        <v>44</v>
      </c>
      <c r="CI44" s="2251">
        <f t="shared" si="31"/>
        <v>0.91304347826086951</v>
      </c>
      <c r="CK44" s="1044">
        <v>7</v>
      </c>
      <c r="CL44" s="1044">
        <v>20</v>
      </c>
      <c r="CM44" s="1044">
        <v>13</v>
      </c>
      <c r="CN44" s="1044">
        <v>7</v>
      </c>
      <c r="CO44" s="2254">
        <v>47</v>
      </c>
      <c r="CP44" s="2251">
        <f t="shared" si="32"/>
        <v>0.7407407407407407</v>
      </c>
      <c r="CR44" s="1044">
        <v>6</v>
      </c>
      <c r="CS44" s="1044">
        <v>23</v>
      </c>
      <c r="CT44" s="1044">
        <v>12</v>
      </c>
      <c r="CU44" s="1044">
        <v>7</v>
      </c>
      <c r="CV44" s="2254">
        <v>48</v>
      </c>
      <c r="CW44" s="2251">
        <f t="shared" si="33"/>
        <v>0.65517241379310343</v>
      </c>
    </row>
    <row r="45" spans="1:101" ht="17.100000000000001" customHeight="1">
      <c r="A45" s="6515" t="s">
        <v>73</v>
      </c>
      <c r="B45" s="6519" t="s">
        <v>41</v>
      </c>
      <c r="C45" s="6520" t="s">
        <v>987</v>
      </c>
      <c r="E45" s="1044">
        <v>3</v>
      </c>
      <c r="F45" s="1044">
        <v>21</v>
      </c>
      <c r="G45" s="1044">
        <v>3</v>
      </c>
      <c r="H45" s="1048">
        <v>2</v>
      </c>
      <c r="I45" s="2250">
        <f>SUM(E45:H45)</f>
        <v>29</v>
      </c>
      <c r="J45" s="2251">
        <f t="shared" si="0"/>
        <v>0.20833333333333334</v>
      </c>
      <c r="K45" s="2108"/>
      <c r="L45" s="1044">
        <v>3</v>
      </c>
      <c r="M45" s="1044">
        <v>20</v>
      </c>
      <c r="N45" s="1044">
        <v>3</v>
      </c>
      <c r="O45" s="1048">
        <v>2</v>
      </c>
      <c r="P45" s="2250">
        <f>SUM(L45:O45)</f>
        <v>28</v>
      </c>
      <c r="Q45" s="2251">
        <f t="shared" si="1"/>
        <v>0.21739130434782608</v>
      </c>
      <c r="R45" s="2108"/>
      <c r="S45" s="1044">
        <v>1</v>
      </c>
      <c r="T45" s="1044">
        <v>18</v>
      </c>
      <c r="U45" s="1044">
        <v>3</v>
      </c>
      <c r="V45" s="1048">
        <v>2</v>
      </c>
      <c r="W45" s="2250">
        <f>SUM(S45:V45)</f>
        <v>24</v>
      </c>
      <c r="X45" s="2251">
        <f t="shared" si="2"/>
        <v>0.26315789473684209</v>
      </c>
      <c r="Y45" s="2108"/>
      <c r="Z45" s="1044">
        <v>2</v>
      </c>
      <c r="AA45" s="1044">
        <v>18</v>
      </c>
      <c r="AB45" s="1044">
        <v>6</v>
      </c>
      <c r="AC45" s="1048">
        <v>2</v>
      </c>
      <c r="AD45" s="2250">
        <f>SUM(Z45:AC45)</f>
        <v>28</v>
      </c>
      <c r="AE45" s="2251">
        <f t="shared" si="3"/>
        <v>0.4</v>
      </c>
      <c r="AF45" s="2108"/>
      <c r="AG45" s="1044">
        <v>6</v>
      </c>
      <c r="AH45" s="1044">
        <v>19</v>
      </c>
      <c r="AI45" s="1044">
        <v>6</v>
      </c>
      <c r="AJ45" s="1048">
        <v>2</v>
      </c>
      <c r="AK45" s="2250">
        <f t="shared" si="14"/>
        <v>33</v>
      </c>
      <c r="AL45" s="2251">
        <f t="shared" si="4"/>
        <v>0.32</v>
      </c>
      <c r="AM45" s="2108"/>
      <c r="AN45" s="1044">
        <v>8</v>
      </c>
      <c r="AO45" s="1044">
        <v>21</v>
      </c>
      <c r="AP45" s="1044">
        <v>6</v>
      </c>
      <c r="AQ45" s="1048">
        <v>2</v>
      </c>
      <c r="AR45" s="2250">
        <f t="shared" si="15"/>
        <v>37</v>
      </c>
      <c r="AS45" s="2251">
        <f t="shared" si="5"/>
        <v>0.27586206896551724</v>
      </c>
      <c r="AT45" s="2108"/>
      <c r="AU45" s="1044">
        <v>8</v>
      </c>
      <c r="AV45" s="1044">
        <v>20</v>
      </c>
      <c r="AW45" s="1044">
        <v>6</v>
      </c>
      <c r="AX45" s="1048">
        <v>4</v>
      </c>
      <c r="AY45" s="2250">
        <f t="shared" si="25"/>
        <v>38</v>
      </c>
      <c r="AZ45" s="2251">
        <f t="shared" si="26"/>
        <v>0.35714285714285715</v>
      </c>
      <c r="BA45" s="2108"/>
      <c r="BB45" s="1044">
        <v>8</v>
      </c>
      <c r="BC45" s="1044">
        <v>20</v>
      </c>
      <c r="BD45" s="1044">
        <v>4</v>
      </c>
      <c r="BE45" s="1048">
        <v>6</v>
      </c>
      <c r="BF45" s="2250">
        <f>SUM(BB45:BE45)</f>
        <v>38</v>
      </c>
      <c r="BG45" s="2251">
        <f t="shared" si="27"/>
        <v>0.35714285714285715</v>
      </c>
      <c r="BH45" s="2108"/>
      <c r="BI45" s="1044">
        <v>3</v>
      </c>
      <c r="BJ45" s="1044">
        <v>21</v>
      </c>
      <c r="BK45" s="1044">
        <v>4</v>
      </c>
      <c r="BL45" s="1048">
        <v>6</v>
      </c>
      <c r="BM45" s="2250">
        <v>34</v>
      </c>
      <c r="BN45" s="2251">
        <f t="shared" si="28"/>
        <v>0.41666666666666669</v>
      </c>
      <c r="BP45" s="1044">
        <v>5</v>
      </c>
      <c r="BQ45" s="1044">
        <v>20</v>
      </c>
      <c r="BR45" s="1044">
        <v>5</v>
      </c>
      <c r="BS45" s="1048">
        <v>6</v>
      </c>
      <c r="BT45" s="2250">
        <v>36</v>
      </c>
      <c r="BU45" s="2251">
        <f t="shared" si="29"/>
        <v>0.44</v>
      </c>
      <c r="BW45" s="1044">
        <v>5</v>
      </c>
      <c r="BX45" s="1044">
        <v>17</v>
      </c>
      <c r="BY45" s="1044">
        <v>5</v>
      </c>
      <c r="BZ45" s="1048">
        <v>6</v>
      </c>
      <c r="CA45" s="2250">
        <v>33</v>
      </c>
      <c r="CB45" s="2251">
        <f t="shared" si="30"/>
        <v>0.5</v>
      </c>
      <c r="CD45" s="1044">
        <v>3</v>
      </c>
      <c r="CE45" s="1044">
        <v>19</v>
      </c>
      <c r="CF45" s="1044">
        <v>6</v>
      </c>
      <c r="CG45" s="1048">
        <v>6</v>
      </c>
      <c r="CH45" s="2250">
        <v>34</v>
      </c>
      <c r="CI45" s="2251">
        <f t="shared" si="31"/>
        <v>0.54545454545454541</v>
      </c>
      <c r="CK45" s="1044">
        <v>1</v>
      </c>
      <c r="CL45" s="1044">
        <v>16</v>
      </c>
      <c r="CM45" s="1044">
        <v>8</v>
      </c>
      <c r="CN45" s="1048">
        <v>6</v>
      </c>
      <c r="CO45" s="2250">
        <v>31</v>
      </c>
      <c r="CP45" s="2251">
        <f t="shared" si="32"/>
        <v>0.82352941176470584</v>
      </c>
      <c r="CR45" s="1044">
        <v>1</v>
      </c>
      <c r="CS45" s="1044">
        <v>17</v>
      </c>
      <c r="CT45" s="1044">
        <v>9</v>
      </c>
      <c r="CU45" s="1048">
        <v>6</v>
      </c>
      <c r="CV45" s="2250">
        <v>33</v>
      </c>
      <c r="CW45" s="2251">
        <f t="shared" si="33"/>
        <v>0.83333333333333337</v>
      </c>
    </row>
    <row r="46" spans="1:101" ht="17.100000000000001" customHeight="1" thickBot="1">
      <c r="A46" s="6531" t="s">
        <v>73</v>
      </c>
      <c r="B46" s="6525" t="s">
        <v>41</v>
      </c>
      <c r="C46" s="6526" t="s">
        <v>988</v>
      </c>
      <c r="E46" s="1048">
        <v>6</v>
      </c>
      <c r="F46" s="1044">
        <v>6</v>
      </c>
      <c r="G46" s="1044">
        <v>1</v>
      </c>
      <c r="H46" s="1048"/>
      <c r="I46" s="2250">
        <f>SUM(E46:H46)</f>
        <v>13</v>
      </c>
      <c r="J46" s="2251">
        <f t="shared" si="0"/>
        <v>8.3333333333333329E-2</v>
      </c>
      <c r="K46" s="2108"/>
      <c r="L46" s="1048">
        <v>5</v>
      </c>
      <c r="M46" s="1044">
        <v>6</v>
      </c>
      <c r="N46" s="1044">
        <v>1</v>
      </c>
      <c r="O46" s="1048"/>
      <c r="P46" s="2250">
        <f>SUM(L46:O46)</f>
        <v>12</v>
      </c>
      <c r="Q46" s="2251">
        <f t="shared" si="1"/>
        <v>9.0909090909090912E-2</v>
      </c>
      <c r="R46" s="2108"/>
      <c r="S46" s="1048">
        <v>6</v>
      </c>
      <c r="T46" s="1044">
        <v>6</v>
      </c>
      <c r="U46" s="1044">
        <v>2</v>
      </c>
      <c r="V46" s="1048"/>
      <c r="W46" s="2250">
        <f>SUM(S46:V46)</f>
        <v>14</v>
      </c>
      <c r="X46" s="2251">
        <f t="shared" si="2"/>
        <v>0.16666666666666666</v>
      </c>
      <c r="Y46" s="2108"/>
      <c r="Z46" s="1048">
        <v>3</v>
      </c>
      <c r="AA46" s="1044">
        <v>7</v>
      </c>
      <c r="AB46" s="1044">
        <v>4</v>
      </c>
      <c r="AC46" s="1048"/>
      <c r="AD46" s="2250">
        <f>SUM(Z46:AC46)</f>
        <v>14</v>
      </c>
      <c r="AE46" s="2251">
        <f t="shared" si="3"/>
        <v>0.4</v>
      </c>
      <c r="AF46" s="2108"/>
      <c r="AG46" s="1048">
        <v>3</v>
      </c>
      <c r="AH46" s="1044">
        <v>7</v>
      </c>
      <c r="AI46" s="1044">
        <v>4</v>
      </c>
      <c r="AJ46" s="1048"/>
      <c r="AK46" s="2250">
        <f t="shared" si="14"/>
        <v>14</v>
      </c>
      <c r="AL46" s="2251">
        <f t="shared" si="4"/>
        <v>0.4</v>
      </c>
      <c r="AM46" s="2108"/>
      <c r="AN46" s="1048">
        <v>2</v>
      </c>
      <c r="AO46" s="1044">
        <v>7</v>
      </c>
      <c r="AP46" s="1044">
        <v>4</v>
      </c>
      <c r="AQ46" s="1048"/>
      <c r="AR46" s="2250">
        <f t="shared" si="15"/>
        <v>13</v>
      </c>
      <c r="AS46" s="2251">
        <f t="shared" si="5"/>
        <v>0.44444444444444442</v>
      </c>
      <c r="AT46" s="2108"/>
      <c r="AU46" s="1048">
        <v>1</v>
      </c>
      <c r="AV46" s="1044">
        <v>5</v>
      </c>
      <c r="AW46" s="1044">
        <v>4</v>
      </c>
      <c r="AX46" s="1048"/>
      <c r="AY46" s="2250">
        <f t="shared" si="25"/>
        <v>10</v>
      </c>
      <c r="AZ46" s="2251">
        <f t="shared" si="26"/>
        <v>0.66666666666666663</v>
      </c>
      <c r="BA46" s="2108"/>
      <c r="BB46" s="1048"/>
      <c r="BC46" s="1044">
        <v>5</v>
      </c>
      <c r="BD46" s="1044">
        <v>4</v>
      </c>
      <c r="BE46" s="1048"/>
      <c r="BF46" s="2250">
        <f>SUM(BB46:BE46)</f>
        <v>9</v>
      </c>
      <c r="BG46" s="2251">
        <f t="shared" si="27"/>
        <v>0.8</v>
      </c>
      <c r="BH46" s="2108"/>
      <c r="BI46" s="1048"/>
      <c r="BJ46" s="1044">
        <v>7</v>
      </c>
      <c r="BK46" s="1044">
        <v>4</v>
      </c>
      <c r="BL46" s="1048"/>
      <c r="BM46" s="2250">
        <v>11</v>
      </c>
      <c r="BN46" s="2251">
        <f t="shared" si="28"/>
        <v>0.5714285714285714</v>
      </c>
      <c r="BP46" s="1048">
        <v>2</v>
      </c>
      <c r="BQ46" s="1044">
        <v>6</v>
      </c>
      <c r="BR46" s="1044">
        <v>4</v>
      </c>
      <c r="BS46" s="1048"/>
      <c r="BT46" s="2250">
        <v>12</v>
      </c>
      <c r="BU46" s="2251">
        <f t="shared" si="29"/>
        <v>0.5</v>
      </c>
      <c r="BW46" s="1048">
        <v>2</v>
      </c>
      <c r="BX46" s="1044">
        <v>8</v>
      </c>
      <c r="BY46" s="1044">
        <v>4</v>
      </c>
      <c r="BZ46" s="1048"/>
      <c r="CA46" s="2250">
        <v>14</v>
      </c>
      <c r="CB46" s="2251">
        <f t="shared" si="30"/>
        <v>0.4</v>
      </c>
      <c r="CD46" s="1048">
        <v>5</v>
      </c>
      <c r="CE46" s="1044">
        <v>10</v>
      </c>
      <c r="CF46" s="1044">
        <v>4</v>
      </c>
      <c r="CG46" s="1048"/>
      <c r="CH46" s="2250">
        <v>19</v>
      </c>
      <c r="CI46" s="2251">
        <f t="shared" si="31"/>
        <v>0.26666666666666666</v>
      </c>
      <c r="CK46" s="1048">
        <v>4</v>
      </c>
      <c r="CL46" s="1044">
        <v>8</v>
      </c>
      <c r="CM46" s="1044">
        <v>3</v>
      </c>
      <c r="CN46" s="1048">
        <v>0</v>
      </c>
      <c r="CO46" s="2250">
        <v>15</v>
      </c>
      <c r="CP46" s="2251">
        <f t="shared" si="32"/>
        <v>0.25</v>
      </c>
      <c r="CR46" s="1048">
        <v>4</v>
      </c>
      <c r="CS46" s="1044">
        <v>9</v>
      </c>
      <c r="CT46" s="1044">
        <v>2</v>
      </c>
      <c r="CU46" s="1048">
        <v>1</v>
      </c>
      <c r="CV46" s="2250">
        <v>16</v>
      </c>
      <c r="CW46" s="2251">
        <f t="shared" si="33"/>
        <v>0.23076923076923078</v>
      </c>
    </row>
    <row r="47" spans="1:101" ht="17.100000000000001" customHeight="1" thickBot="1">
      <c r="A47" s="7324" t="s">
        <v>1418</v>
      </c>
      <c r="B47" s="7324"/>
      <c r="C47" s="7324"/>
      <c r="E47" s="1050">
        <f>SUM(E42:E46)</f>
        <v>21</v>
      </c>
      <c r="F47" s="1050">
        <f>SUM(F42:F46)</f>
        <v>68</v>
      </c>
      <c r="G47" s="1050">
        <f>SUM(G42:G46)</f>
        <v>12</v>
      </c>
      <c r="H47" s="1050">
        <f>SUM(H42:H46)</f>
        <v>13</v>
      </c>
      <c r="I47" s="2260">
        <f>SUM(I42:I46)</f>
        <v>114</v>
      </c>
      <c r="J47" s="2253">
        <f t="shared" si="0"/>
        <v>0.2808988764044944</v>
      </c>
      <c r="K47" s="2108"/>
      <c r="L47" s="1050">
        <f>SUM(L42:L46)</f>
        <v>17</v>
      </c>
      <c r="M47" s="1050">
        <f>SUM(M42:M46)</f>
        <v>68</v>
      </c>
      <c r="N47" s="1050">
        <f>SUM(N42:N46)</f>
        <v>12</v>
      </c>
      <c r="O47" s="1050">
        <f>SUM(O42:O46)</f>
        <v>13</v>
      </c>
      <c r="P47" s="2260">
        <f>SUM(P42:P46)</f>
        <v>110</v>
      </c>
      <c r="Q47" s="2253">
        <f t="shared" si="1"/>
        <v>0.29411764705882354</v>
      </c>
      <c r="R47" s="2108"/>
      <c r="S47" s="1050">
        <f>SUM(S42:S46)</f>
        <v>16</v>
      </c>
      <c r="T47" s="1050">
        <f>SUM(T42:T46)</f>
        <v>64</v>
      </c>
      <c r="U47" s="1050">
        <f>SUM(U42:U46)</f>
        <v>17</v>
      </c>
      <c r="V47" s="1050">
        <f>SUM(V42:V46)</f>
        <v>13</v>
      </c>
      <c r="W47" s="2260">
        <f>SUM(W42:W46)</f>
        <v>110</v>
      </c>
      <c r="X47" s="2253">
        <f t="shared" si="2"/>
        <v>0.375</v>
      </c>
      <c r="Y47" s="2108"/>
      <c r="Z47" s="1050">
        <f>SUM(Z42:Z46)</f>
        <v>19</v>
      </c>
      <c r="AA47" s="1050">
        <f>SUM(AA42:AA46)</f>
        <v>62</v>
      </c>
      <c r="AB47" s="1050">
        <f>SUM(AB42:AB46)</f>
        <v>26</v>
      </c>
      <c r="AC47" s="1050">
        <f>SUM(AC42:AC46)</f>
        <v>13</v>
      </c>
      <c r="AD47" s="2260">
        <f>SUM(AD42:AD46)</f>
        <v>120</v>
      </c>
      <c r="AE47" s="2253">
        <f t="shared" si="3"/>
        <v>0.48148148148148145</v>
      </c>
      <c r="AF47" s="2108"/>
      <c r="AG47" s="1050">
        <f>SUM(AG42:AG46)</f>
        <v>20</v>
      </c>
      <c r="AH47" s="1050">
        <f>SUM(AH42:AH46)</f>
        <v>61</v>
      </c>
      <c r="AI47" s="1050">
        <f>SUM(AI42:AI46)</f>
        <v>27</v>
      </c>
      <c r="AJ47" s="1050">
        <f>SUM(AJ42:AJ46)</f>
        <v>13</v>
      </c>
      <c r="AK47" s="2260">
        <f t="shared" si="14"/>
        <v>121</v>
      </c>
      <c r="AL47" s="2253">
        <f t="shared" si="4"/>
        <v>0.49382716049382713</v>
      </c>
      <c r="AM47" s="2108"/>
      <c r="AN47" s="1050">
        <v>20</v>
      </c>
      <c r="AO47" s="1050">
        <v>65</v>
      </c>
      <c r="AP47" s="1050">
        <v>25</v>
      </c>
      <c r="AQ47" s="1050">
        <v>14</v>
      </c>
      <c r="AR47" s="2260">
        <f t="shared" si="15"/>
        <v>124</v>
      </c>
      <c r="AS47" s="2253">
        <f t="shared" si="5"/>
        <v>0.45882352941176469</v>
      </c>
      <c r="AT47" s="2108"/>
      <c r="AU47" s="1050">
        <f>SUM(AU42:AU46)</f>
        <v>27</v>
      </c>
      <c r="AV47" s="1050">
        <f>SUM(AV42:AV46)</f>
        <v>61</v>
      </c>
      <c r="AW47" s="1050">
        <f>SUM(AW42:AW46)</f>
        <v>25</v>
      </c>
      <c r="AX47" s="1050">
        <f>SUM(AX42:AX46)</f>
        <v>14</v>
      </c>
      <c r="AY47" s="2260">
        <f>SUM(AY42:AY46)</f>
        <v>127</v>
      </c>
      <c r="AZ47" s="2253">
        <f t="shared" si="26"/>
        <v>0.44318181818181818</v>
      </c>
      <c r="BA47" s="2108"/>
      <c r="BB47" s="1050">
        <v>24</v>
      </c>
      <c r="BC47" s="1050">
        <v>62</v>
      </c>
      <c r="BD47" s="1050">
        <v>26</v>
      </c>
      <c r="BE47" s="1050">
        <v>17</v>
      </c>
      <c r="BF47" s="2260">
        <f>SUM(BF42:BF46)</f>
        <v>129</v>
      </c>
      <c r="BG47" s="2253">
        <f t="shared" si="27"/>
        <v>0.5</v>
      </c>
      <c r="BH47" s="2108"/>
      <c r="BI47" s="1050">
        <v>14</v>
      </c>
      <c r="BJ47" s="1050">
        <v>64</v>
      </c>
      <c r="BK47" s="1050">
        <v>25</v>
      </c>
      <c r="BL47" s="1050">
        <v>15</v>
      </c>
      <c r="BM47" s="2260">
        <v>118</v>
      </c>
      <c r="BN47" s="2253">
        <f t="shared" si="28"/>
        <v>0.51282051282051277</v>
      </c>
      <c r="BP47" s="1050">
        <v>18</v>
      </c>
      <c r="BQ47" s="1050">
        <v>64</v>
      </c>
      <c r="BR47" s="1050">
        <v>27</v>
      </c>
      <c r="BS47" s="1050">
        <v>15</v>
      </c>
      <c r="BT47" s="2260">
        <v>124</v>
      </c>
      <c r="BU47" s="2253">
        <f t="shared" si="29"/>
        <v>0.51219512195121952</v>
      </c>
      <c r="BW47" s="1050">
        <f>SUM(BW42:BW46)</f>
        <v>20</v>
      </c>
      <c r="BX47" s="1050">
        <f>SUM(BX42:BX46)</f>
        <v>64</v>
      </c>
      <c r="BY47" s="1050">
        <f>SUM(BY42:BY46)</f>
        <v>27</v>
      </c>
      <c r="BZ47" s="1050">
        <f>SUM(BZ42:BZ46)</f>
        <v>15</v>
      </c>
      <c r="CA47" s="1050">
        <f>SUM(CA42:CA46)</f>
        <v>126</v>
      </c>
      <c r="CB47" s="2253">
        <f t="shared" si="30"/>
        <v>0.5</v>
      </c>
      <c r="CD47" s="1050">
        <v>21</v>
      </c>
      <c r="CE47" s="1050">
        <v>70</v>
      </c>
      <c r="CF47" s="1050">
        <v>28</v>
      </c>
      <c r="CG47" s="1050">
        <v>15</v>
      </c>
      <c r="CH47" s="1050">
        <v>134</v>
      </c>
      <c r="CI47" s="2253">
        <f t="shared" si="31"/>
        <v>0.47252747252747251</v>
      </c>
      <c r="CK47" s="1050">
        <v>16</v>
      </c>
      <c r="CL47" s="1050">
        <v>73</v>
      </c>
      <c r="CM47" s="1050">
        <v>29</v>
      </c>
      <c r="CN47" s="1050">
        <v>14</v>
      </c>
      <c r="CO47" s="1050">
        <v>132</v>
      </c>
      <c r="CP47" s="2253">
        <f t="shared" si="32"/>
        <v>0.48314606741573035</v>
      </c>
      <c r="CR47" s="1050">
        <v>12</v>
      </c>
      <c r="CS47" s="1050">
        <v>78</v>
      </c>
      <c r="CT47" s="1050">
        <v>31</v>
      </c>
      <c r="CU47" s="1050">
        <v>15</v>
      </c>
      <c r="CV47" s="1050">
        <v>136</v>
      </c>
      <c r="CW47" s="2253">
        <f t="shared" si="33"/>
        <v>0.51111111111111107</v>
      </c>
    </row>
    <row r="48" spans="1:101" ht="17.100000000000001" customHeight="1">
      <c r="A48" s="6528" t="s">
        <v>73</v>
      </c>
      <c r="B48" s="6529" t="s">
        <v>16</v>
      </c>
      <c r="C48" s="6530" t="s">
        <v>989</v>
      </c>
      <c r="E48" s="1048">
        <v>1</v>
      </c>
      <c r="F48" s="1044">
        <v>7</v>
      </c>
      <c r="G48" s="1044">
        <v>10</v>
      </c>
      <c r="H48" s="1044">
        <v>3</v>
      </c>
      <c r="I48" s="2254">
        <f>SUM(E48:H48)</f>
        <v>21</v>
      </c>
      <c r="J48" s="2251">
        <f t="shared" si="0"/>
        <v>1.625</v>
      </c>
      <c r="K48" s="2108"/>
      <c r="L48" s="1048"/>
      <c r="M48" s="1044">
        <v>7</v>
      </c>
      <c r="N48" s="1044">
        <v>10</v>
      </c>
      <c r="O48" s="1044">
        <v>3</v>
      </c>
      <c r="P48" s="2254">
        <f>SUM(L48:O48)</f>
        <v>20</v>
      </c>
      <c r="Q48" s="2251">
        <f t="shared" si="1"/>
        <v>1.8571428571428572</v>
      </c>
      <c r="R48" s="2108"/>
      <c r="S48" s="1048"/>
      <c r="T48" s="1044">
        <v>6</v>
      </c>
      <c r="U48" s="1044">
        <v>11</v>
      </c>
      <c r="V48" s="1044">
        <v>3</v>
      </c>
      <c r="W48" s="2254">
        <f>SUM(S48:V48)</f>
        <v>20</v>
      </c>
      <c r="X48" s="2251">
        <f t="shared" si="2"/>
        <v>2.3333333333333335</v>
      </c>
      <c r="Y48" s="2108"/>
      <c r="Z48" s="1048"/>
      <c r="AA48" s="1044">
        <v>5</v>
      </c>
      <c r="AB48" s="1044">
        <v>13</v>
      </c>
      <c r="AC48" s="1044">
        <v>2</v>
      </c>
      <c r="AD48" s="2254">
        <f>SUM(Z48:AC48)</f>
        <v>20</v>
      </c>
      <c r="AE48" s="2251">
        <f t="shared" si="3"/>
        <v>3</v>
      </c>
      <c r="AF48" s="2108"/>
      <c r="AG48" s="1048"/>
      <c r="AH48" s="1044">
        <v>5</v>
      </c>
      <c r="AI48" s="1044">
        <v>10</v>
      </c>
      <c r="AJ48" s="1044">
        <v>3</v>
      </c>
      <c r="AK48" s="2254">
        <f t="shared" si="14"/>
        <v>18</v>
      </c>
      <c r="AL48" s="2251">
        <v>1</v>
      </c>
      <c r="AM48" s="2108"/>
      <c r="AN48" s="1048">
        <v>2</v>
      </c>
      <c r="AO48" s="1044">
        <v>6</v>
      </c>
      <c r="AP48" s="1044">
        <v>11</v>
      </c>
      <c r="AQ48" s="1044">
        <v>3</v>
      </c>
      <c r="AR48" s="2254">
        <f t="shared" si="15"/>
        <v>22</v>
      </c>
      <c r="AS48" s="2251">
        <v>1</v>
      </c>
      <c r="AT48" s="2108"/>
      <c r="AU48" s="1048">
        <v>2</v>
      </c>
      <c r="AV48" s="1044">
        <v>6</v>
      </c>
      <c r="AW48" s="1044">
        <v>12</v>
      </c>
      <c r="AX48" s="1044">
        <v>4</v>
      </c>
      <c r="AY48" s="2254">
        <f t="shared" si="25"/>
        <v>24</v>
      </c>
      <c r="AZ48" s="2251">
        <v>1</v>
      </c>
      <c r="BA48" s="2108"/>
      <c r="BB48" s="1048">
        <v>2</v>
      </c>
      <c r="BC48" s="1044">
        <v>6</v>
      </c>
      <c r="BD48" s="1044">
        <v>10</v>
      </c>
      <c r="BE48" s="1044">
        <v>6</v>
      </c>
      <c r="BF48" s="2254">
        <f>SUM(BB48:BE48)</f>
        <v>24</v>
      </c>
      <c r="BG48" s="2251">
        <v>1</v>
      </c>
      <c r="BH48" s="2108"/>
      <c r="BI48" s="1048">
        <v>1</v>
      </c>
      <c r="BJ48" s="1044">
        <v>7</v>
      </c>
      <c r="BK48" s="1044">
        <v>10</v>
      </c>
      <c r="BL48" s="1044">
        <v>5</v>
      </c>
      <c r="BM48" s="2254">
        <v>23</v>
      </c>
      <c r="BN48" s="2251">
        <v>1</v>
      </c>
      <c r="BP48" s="1048">
        <v>2</v>
      </c>
      <c r="BQ48" s="1044">
        <v>7</v>
      </c>
      <c r="BR48" s="1044">
        <v>8</v>
      </c>
      <c r="BS48" s="1044">
        <v>6</v>
      </c>
      <c r="BT48" s="2254">
        <v>23</v>
      </c>
      <c r="BU48" s="2251">
        <v>1</v>
      </c>
      <c r="BW48" s="1048">
        <v>1</v>
      </c>
      <c r="BX48" s="1044">
        <v>5</v>
      </c>
      <c r="BY48" s="1044">
        <v>8</v>
      </c>
      <c r="BZ48" s="1044">
        <v>6</v>
      </c>
      <c r="CA48" s="2254">
        <v>20</v>
      </c>
      <c r="CB48" s="2251">
        <v>1</v>
      </c>
      <c r="CD48" s="1048">
        <v>2</v>
      </c>
      <c r="CE48" s="1044">
        <v>5</v>
      </c>
      <c r="CF48" s="1044">
        <v>6</v>
      </c>
      <c r="CG48" s="1044">
        <v>8</v>
      </c>
      <c r="CH48" s="2254">
        <v>21</v>
      </c>
      <c r="CI48" s="2251">
        <v>1</v>
      </c>
      <c r="CK48" s="1048">
        <v>6</v>
      </c>
      <c r="CL48" s="1044">
        <v>7</v>
      </c>
      <c r="CM48" s="1044">
        <v>6</v>
      </c>
      <c r="CN48" s="1044">
        <v>9</v>
      </c>
      <c r="CO48" s="2254">
        <v>28</v>
      </c>
      <c r="CP48" s="2251">
        <v>1</v>
      </c>
      <c r="CR48" s="1048">
        <v>3</v>
      </c>
      <c r="CS48" s="1044">
        <v>6</v>
      </c>
      <c r="CT48" s="1044">
        <v>5</v>
      </c>
      <c r="CU48" s="1044">
        <v>9</v>
      </c>
      <c r="CV48" s="2254">
        <v>23</v>
      </c>
      <c r="CW48" s="2251">
        <f t="shared" si="33"/>
        <v>1.5555555555555556</v>
      </c>
    </row>
    <row r="49" spans="1:101" ht="17.100000000000001" customHeight="1">
      <c r="A49" s="6515" t="s">
        <v>73</v>
      </c>
      <c r="B49" s="6519" t="s">
        <v>16</v>
      </c>
      <c r="C49" s="6520" t="s">
        <v>963</v>
      </c>
      <c r="E49" s="1048">
        <v>2</v>
      </c>
      <c r="F49" s="1044">
        <v>23</v>
      </c>
      <c r="G49" s="1044">
        <v>4</v>
      </c>
      <c r="H49" s="1044">
        <v>2</v>
      </c>
      <c r="I49" s="2254">
        <f>SUM(E49:H49)</f>
        <v>31</v>
      </c>
      <c r="J49" s="2251">
        <f t="shared" si="0"/>
        <v>0.24</v>
      </c>
      <c r="K49" s="2108"/>
      <c r="L49" s="1048">
        <v>1</v>
      </c>
      <c r="M49" s="1044">
        <v>23</v>
      </c>
      <c r="N49" s="1044">
        <v>4</v>
      </c>
      <c r="O49" s="1044">
        <v>2</v>
      </c>
      <c r="P49" s="2254">
        <f>SUM(L49:O49)</f>
        <v>30</v>
      </c>
      <c r="Q49" s="2251">
        <f t="shared" si="1"/>
        <v>0.25</v>
      </c>
      <c r="R49" s="2108"/>
      <c r="S49" s="1048">
        <v>2</v>
      </c>
      <c r="T49" s="1044">
        <v>24</v>
      </c>
      <c r="U49" s="1044">
        <v>2</v>
      </c>
      <c r="V49" s="1044">
        <v>2</v>
      </c>
      <c r="W49" s="2254">
        <f>SUM(S49:V49)</f>
        <v>30</v>
      </c>
      <c r="X49" s="2251">
        <f t="shared" si="2"/>
        <v>0.15384615384615385</v>
      </c>
      <c r="Y49" s="2108"/>
      <c r="Z49" s="1048">
        <v>1</v>
      </c>
      <c r="AA49" s="1044">
        <v>26</v>
      </c>
      <c r="AB49" s="1044">
        <v>1</v>
      </c>
      <c r="AC49" s="1044">
        <v>3</v>
      </c>
      <c r="AD49" s="2254">
        <f>SUM(Z49:AC49)</f>
        <v>31</v>
      </c>
      <c r="AE49" s="2251">
        <f t="shared" si="3"/>
        <v>0.14814814814814814</v>
      </c>
      <c r="AF49" s="2108"/>
      <c r="AG49" s="1048">
        <v>1</v>
      </c>
      <c r="AH49" s="1044">
        <v>24</v>
      </c>
      <c r="AI49" s="1044">
        <v>3</v>
      </c>
      <c r="AJ49" s="1044">
        <v>3</v>
      </c>
      <c r="AK49" s="2254">
        <f t="shared" si="14"/>
        <v>31</v>
      </c>
      <c r="AL49" s="2251">
        <f t="shared" si="4"/>
        <v>0.24</v>
      </c>
      <c r="AM49" s="2108"/>
      <c r="AN49" s="1048">
        <v>3</v>
      </c>
      <c r="AO49" s="1044">
        <v>20</v>
      </c>
      <c r="AP49" s="1044">
        <v>4</v>
      </c>
      <c r="AQ49" s="1044">
        <v>3</v>
      </c>
      <c r="AR49" s="2254">
        <f t="shared" si="15"/>
        <v>30</v>
      </c>
      <c r="AS49" s="2251">
        <f t="shared" si="5"/>
        <v>0.30434782608695654</v>
      </c>
      <c r="AT49" s="2108"/>
      <c r="AU49" s="1048">
        <v>3</v>
      </c>
      <c r="AV49" s="1044">
        <v>17</v>
      </c>
      <c r="AW49" s="1044">
        <v>6</v>
      </c>
      <c r="AX49" s="1044">
        <v>3</v>
      </c>
      <c r="AY49" s="2254">
        <f t="shared" si="25"/>
        <v>29</v>
      </c>
      <c r="AZ49" s="2251">
        <f>(AW49+AX49)/(AU49+AV49)</f>
        <v>0.45</v>
      </c>
      <c r="BA49" s="2108"/>
      <c r="BB49" s="1048">
        <v>1</v>
      </c>
      <c r="BC49" s="1044">
        <v>18</v>
      </c>
      <c r="BD49" s="1044">
        <v>6</v>
      </c>
      <c r="BE49" s="1044">
        <v>4</v>
      </c>
      <c r="BF49" s="2254">
        <f>SUM(BB49:BE49)</f>
        <v>29</v>
      </c>
      <c r="BG49" s="2251">
        <f>(BD49+BE49)/(BB49+BC49)</f>
        <v>0.52631578947368418</v>
      </c>
      <c r="BH49" s="2108"/>
      <c r="BI49" s="1048">
        <v>4</v>
      </c>
      <c r="BJ49" s="1044">
        <v>17</v>
      </c>
      <c r="BK49" s="1044">
        <v>5</v>
      </c>
      <c r="BL49" s="1044">
        <v>4</v>
      </c>
      <c r="BM49" s="2254">
        <v>30</v>
      </c>
      <c r="BN49" s="2251">
        <f>(BK49+BL49)/(BI49+BJ49)</f>
        <v>0.42857142857142855</v>
      </c>
      <c r="BP49" s="1048">
        <v>3</v>
      </c>
      <c r="BQ49" s="1044">
        <v>18</v>
      </c>
      <c r="BR49" s="1044">
        <v>5</v>
      </c>
      <c r="BS49" s="1044">
        <v>4</v>
      </c>
      <c r="BT49" s="2254">
        <v>30</v>
      </c>
      <c r="BU49" s="2251">
        <f>(BR49+BS49)/(BP49+BQ49)</f>
        <v>0.42857142857142855</v>
      </c>
      <c r="BW49" s="1048">
        <v>2</v>
      </c>
      <c r="BX49" s="1044">
        <v>18</v>
      </c>
      <c r="BY49" s="1044">
        <v>5</v>
      </c>
      <c r="BZ49" s="1044">
        <v>4</v>
      </c>
      <c r="CA49" s="2254">
        <v>29</v>
      </c>
      <c r="CB49" s="2251">
        <f>(BY49+BZ49)/(BW49+BX49)</f>
        <v>0.45</v>
      </c>
      <c r="CD49" s="1048">
        <v>2</v>
      </c>
      <c r="CE49" s="1044">
        <v>19</v>
      </c>
      <c r="CF49" s="1044">
        <v>4</v>
      </c>
      <c r="CG49" s="1044">
        <v>4</v>
      </c>
      <c r="CH49" s="2254">
        <v>29</v>
      </c>
      <c r="CI49" s="2251">
        <f>(CF49+CG49)/(CD49+CE49)</f>
        <v>0.38095238095238093</v>
      </c>
      <c r="CK49" s="1048">
        <v>3</v>
      </c>
      <c r="CL49" s="1044">
        <v>18</v>
      </c>
      <c r="CM49" s="1044">
        <v>4</v>
      </c>
      <c r="CN49" s="1044">
        <v>4</v>
      </c>
      <c r="CO49" s="2254">
        <v>29</v>
      </c>
      <c r="CP49" s="2251">
        <f>(CM49+CN49)/(CK49+CL49)</f>
        <v>0.38095238095238093</v>
      </c>
      <c r="CR49" s="1048">
        <v>3</v>
      </c>
      <c r="CS49" s="1044">
        <v>21</v>
      </c>
      <c r="CT49" s="1044">
        <v>6</v>
      </c>
      <c r="CU49" s="1044">
        <v>4</v>
      </c>
      <c r="CV49" s="2254">
        <v>34</v>
      </c>
      <c r="CW49" s="2251">
        <f>(CT49+CU49)/(CR49+CS49)</f>
        <v>0.41666666666666669</v>
      </c>
    </row>
    <row r="50" spans="1:101" ht="17.100000000000001" customHeight="1">
      <c r="A50" s="6515" t="s">
        <v>73</v>
      </c>
      <c r="B50" s="6519" t="s">
        <v>16</v>
      </c>
      <c r="C50" s="6520" t="s">
        <v>990</v>
      </c>
      <c r="E50" s="1048">
        <v>1</v>
      </c>
      <c r="F50" s="1044">
        <v>21</v>
      </c>
      <c r="G50" s="1044">
        <v>21</v>
      </c>
      <c r="H50" s="1044">
        <v>7</v>
      </c>
      <c r="I50" s="2254">
        <f>SUM(E50:H50)</f>
        <v>50</v>
      </c>
      <c r="J50" s="2251">
        <f t="shared" si="0"/>
        <v>1.2727272727272727</v>
      </c>
      <c r="K50" s="2108"/>
      <c r="L50" s="1048">
        <v>1</v>
      </c>
      <c r="M50" s="1044">
        <v>22</v>
      </c>
      <c r="N50" s="1044">
        <v>21</v>
      </c>
      <c r="O50" s="1044">
        <v>7</v>
      </c>
      <c r="P50" s="2254">
        <f>SUM(L50:O50)</f>
        <v>51</v>
      </c>
      <c r="Q50" s="2251">
        <f t="shared" si="1"/>
        <v>1.2173913043478262</v>
      </c>
      <c r="R50" s="2108"/>
      <c r="S50" s="1048">
        <v>1</v>
      </c>
      <c r="T50" s="1044">
        <v>19</v>
      </c>
      <c r="U50" s="1044">
        <v>21</v>
      </c>
      <c r="V50" s="1044">
        <v>7</v>
      </c>
      <c r="W50" s="2254">
        <f>SUM(S50:V50)</f>
        <v>48</v>
      </c>
      <c r="X50" s="2251">
        <f t="shared" si="2"/>
        <v>1.4</v>
      </c>
      <c r="Y50" s="2108"/>
      <c r="Z50" s="1048">
        <v>1</v>
      </c>
      <c r="AA50" s="1044">
        <v>20</v>
      </c>
      <c r="AB50" s="1044">
        <v>21</v>
      </c>
      <c r="AC50" s="1044">
        <v>7</v>
      </c>
      <c r="AD50" s="2254">
        <f>SUM(Z50:AC50)</f>
        <v>49</v>
      </c>
      <c r="AE50" s="2251">
        <f t="shared" si="3"/>
        <v>1.3333333333333333</v>
      </c>
      <c r="AF50" s="2108"/>
      <c r="AG50" s="1048">
        <v>4</v>
      </c>
      <c r="AH50" s="1044">
        <v>20</v>
      </c>
      <c r="AI50" s="1044">
        <v>21</v>
      </c>
      <c r="AJ50" s="1044">
        <v>6</v>
      </c>
      <c r="AK50" s="2254">
        <f t="shared" si="14"/>
        <v>51</v>
      </c>
      <c r="AL50" s="2251">
        <v>1</v>
      </c>
      <c r="AM50" s="2108"/>
      <c r="AN50" s="1048">
        <v>4</v>
      </c>
      <c r="AO50" s="1044">
        <v>22</v>
      </c>
      <c r="AP50" s="1044">
        <v>22</v>
      </c>
      <c r="AQ50" s="1044">
        <v>7</v>
      </c>
      <c r="AR50" s="2254">
        <f t="shared" si="15"/>
        <v>55</v>
      </c>
      <c r="AS50" s="2251">
        <v>1</v>
      </c>
      <c r="AT50" s="2108"/>
      <c r="AU50" s="1048">
        <v>3</v>
      </c>
      <c r="AV50" s="1044">
        <v>21</v>
      </c>
      <c r="AW50" s="1044">
        <v>22</v>
      </c>
      <c r="AX50" s="1044">
        <v>7</v>
      </c>
      <c r="AY50" s="2254">
        <f t="shared" si="25"/>
        <v>53</v>
      </c>
      <c r="AZ50" s="2251">
        <v>1</v>
      </c>
      <c r="BA50" s="2108"/>
      <c r="BB50" s="1048">
        <v>3</v>
      </c>
      <c r="BC50" s="1044">
        <v>22</v>
      </c>
      <c r="BD50" s="1044">
        <v>22</v>
      </c>
      <c r="BE50" s="1044">
        <v>6</v>
      </c>
      <c r="BF50" s="2254">
        <f>SUM(BB50:BE50)</f>
        <v>53</v>
      </c>
      <c r="BG50" s="2251">
        <v>1</v>
      </c>
      <c r="BH50" s="2108"/>
      <c r="BI50" s="1048">
        <v>3</v>
      </c>
      <c r="BJ50" s="1044">
        <v>21</v>
      </c>
      <c r="BK50" s="1044">
        <v>19</v>
      </c>
      <c r="BL50" s="1044">
        <v>8</v>
      </c>
      <c r="BM50" s="2254">
        <v>51</v>
      </c>
      <c r="BN50" s="2251">
        <v>1</v>
      </c>
      <c r="BP50" s="1048">
        <v>7</v>
      </c>
      <c r="BQ50" s="1044">
        <v>20</v>
      </c>
      <c r="BR50" s="1044">
        <v>17</v>
      </c>
      <c r="BS50" s="1044">
        <v>9</v>
      </c>
      <c r="BT50" s="2254">
        <v>53</v>
      </c>
      <c r="BU50" s="2251">
        <v>1</v>
      </c>
      <c r="BW50" s="1048">
        <v>6</v>
      </c>
      <c r="BX50" s="1044">
        <v>20</v>
      </c>
      <c r="BY50" s="1044">
        <v>17</v>
      </c>
      <c r="BZ50" s="1044">
        <v>9</v>
      </c>
      <c r="CA50" s="2254">
        <v>52</v>
      </c>
      <c r="CB50" s="2251">
        <v>1</v>
      </c>
      <c r="CD50" s="1048">
        <v>6</v>
      </c>
      <c r="CE50" s="1044">
        <v>24</v>
      </c>
      <c r="CF50" s="1044">
        <v>15</v>
      </c>
      <c r="CG50" s="1044">
        <v>10</v>
      </c>
      <c r="CH50" s="2254">
        <v>55</v>
      </c>
      <c r="CI50" s="2251">
        <v>1</v>
      </c>
      <c r="CK50" s="1048">
        <v>4</v>
      </c>
      <c r="CL50" s="1044">
        <v>21</v>
      </c>
      <c r="CM50" s="1044">
        <v>18</v>
      </c>
      <c r="CN50" s="1044">
        <v>11</v>
      </c>
      <c r="CO50" s="2254">
        <v>54</v>
      </c>
      <c r="CP50" s="2251">
        <v>1</v>
      </c>
      <c r="CR50" s="1048">
        <v>6</v>
      </c>
      <c r="CS50" s="1044">
        <v>19</v>
      </c>
      <c r="CT50" s="1044">
        <v>20</v>
      </c>
      <c r="CU50" s="1044">
        <v>11</v>
      </c>
      <c r="CV50" s="2254">
        <v>56</v>
      </c>
      <c r="CW50" s="2251">
        <f t="shared" ref="CW50" si="34">(CT50+CU50)/(CR50+CS50)</f>
        <v>1.24</v>
      </c>
    </row>
    <row r="51" spans="1:101" ht="17.100000000000001" customHeight="1" thickBot="1">
      <c r="A51" s="6531" t="s">
        <v>73</v>
      </c>
      <c r="B51" s="6525" t="s">
        <v>16</v>
      </c>
      <c r="C51" s="6526" t="s">
        <v>964</v>
      </c>
      <c r="E51" s="1044">
        <v>2</v>
      </c>
      <c r="F51" s="1044">
        <v>15</v>
      </c>
      <c r="G51" s="1044">
        <v>13</v>
      </c>
      <c r="H51" s="1044">
        <v>5</v>
      </c>
      <c r="I51" s="2254">
        <f>SUM(E51:H51)</f>
        <v>35</v>
      </c>
      <c r="J51" s="2251">
        <f t="shared" si="0"/>
        <v>1.0588235294117647</v>
      </c>
      <c r="K51" s="2108"/>
      <c r="L51" s="1044">
        <v>2</v>
      </c>
      <c r="M51" s="1044">
        <v>15</v>
      </c>
      <c r="N51" s="1044">
        <v>12</v>
      </c>
      <c r="O51" s="1044">
        <v>4</v>
      </c>
      <c r="P51" s="2254">
        <f>SUM(L51:O51)</f>
        <v>33</v>
      </c>
      <c r="Q51" s="2251">
        <f t="shared" si="1"/>
        <v>0.94117647058823528</v>
      </c>
      <c r="R51" s="2108"/>
      <c r="S51" s="1044">
        <v>3</v>
      </c>
      <c r="T51" s="1044">
        <v>15</v>
      </c>
      <c r="U51" s="1044">
        <v>11</v>
      </c>
      <c r="V51" s="1044">
        <v>4</v>
      </c>
      <c r="W51" s="2254">
        <f>SUM(S51:V51)</f>
        <v>33</v>
      </c>
      <c r="X51" s="2251">
        <f t="shared" si="2"/>
        <v>0.83333333333333337</v>
      </c>
      <c r="Y51" s="2108"/>
      <c r="Z51" s="1044">
        <v>3</v>
      </c>
      <c r="AA51" s="1044">
        <v>22</v>
      </c>
      <c r="AB51" s="1044">
        <v>8</v>
      </c>
      <c r="AC51" s="1044">
        <v>4</v>
      </c>
      <c r="AD51" s="2254">
        <f>SUM(Z51:AC51)</f>
        <v>37</v>
      </c>
      <c r="AE51" s="2251">
        <f t="shared" si="3"/>
        <v>0.48</v>
      </c>
      <c r="AF51" s="2108"/>
      <c r="AG51" s="1044">
        <v>4</v>
      </c>
      <c r="AH51" s="1044">
        <v>23</v>
      </c>
      <c r="AI51" s="1044">
        <v>6</v>
      </c>
      <c r="AJ51" s="1044">
        <v>6</v>
      </c>
      <c r="AK51" s="2254">
        <f t="shared" si="14"/>
        <v>39</v>
      </c>
      <c r="AL51" s="2251">
        <f t="shared" si="4"/>
        <v>0.44444444444444442</v>
      </c>
      <c r="AM51" s="2108"/>
      <c r="AN51" s="1044">
        <v>2</v>
      </c>
      <c r="AO51" s="1044">
        <v>23</v>
      </c>
      <c r="AP51" s="1044">
        <v>7</v>
      </c>
      <c r="AQ51" s="1044">
        <v>6</v>
      </c>
      <c r="AR51" s="2254">
        <f t="shared" si="15"/>
        <v>38</v>
      </c>
      <c r="AS51" s="2251">
        <f t="shared" si="5"/>
        <v>0.52</v>
      </c>
      <c r="AT51" s="2108"/>
      <c r="AU51" s="1044">
        <v>5</v>
      </c>
      <c r="AV51" s="1044">
        <v>24</v>
      </c>
      <c r="AW51" s="1044">
        <v>8</v>
      </c>
      <c r="AX51" s="1044">
        <v>6</v>
      </c>
      <c r="AY51" s="2254">
        <f t="shared" si="25"/>
        <v>43</v>
      </c>
      <c r="AZ51" s="2251">
        <f>(AW51+AX51)/(AU51+AV51)</f>
        <v>0.48275862068965519</v>
      </c>
      <c r="BA51" s="2108"/>
      <c r="BB51" s="1044">
        <v>2</v>
      </c>
      <c r="BC51" s="1044">
        <v>23</v>
      </c>
      <c r="BD51" s="1044">
        <v>11</v>
      </c>
      <c r="BE51" s="1044">
        <v>6</v>
      </c>
      <c r="BF51" s="2254">
        <f>SUM(BB51:BE51)</f>
        <v>42</v>
      </c>
      <c r="BG51" s="2251">
        <f>(BD51+BE51)/(BB51+BC51)</f>
        <v>0.68</v>
      </c>
      <c r="BH51" s="2108"/>
      <c r="BI51" s="1044">
        <v>2</v>
      </c>
      <c r="BJ51" s="1044">
        <v>22</v>
      </c>
      <c r="BK51" s="1044">
        <v>11</v>
      </c>
      <c r="BL51" s="1044">
        <v>6</v>
      </c>
      <c r="BM51" s="2254">
        <v>41</v>
      </c>
      <c r="BN51" s="2251">
        <f>(BK51+BL51)/(BI51+BJ51)</f>
        <v>0.70833333333333337</v>
      </c>
      <c r="BP51" s="1044">
        <v>4</v>
      </c>
      <c r="BQ51" s="1044">
        <v>22</v>
      </c>
      <c r="BR51" s="1044">
        <v>11</v>
      </c>
      <c r="BS51" s="1044">
        <v>6</v>
      </c>
      <c r="BT51" s="2254">
        <v>43</v>
      </c>
      <c r="BU51" s="2251">
        <f>(BR51+BS51)/(BP51+BQ51)</f>
        <v>0.65384615384615385</v>
      </c>
      <c r="BW51" s="1044">
        <v>4</v>
      </c>
      <c r="BX51" s="1044">
        <v>22</v>
      </c>
      <c r="BY51" s="1044">
        <v>11</v>
      </c>
      <c r="BZ51" s="1044">
        <v>6</v>
      </c>
      <c r="CA51" s="2254">
        <v>43</v>
      </c>
      <c r="CB51" s="2251">
        <f>(BY51+BZ51)/(BW51+BX51)</f>
        <v>0.65384615384615385</v>
      </c>
      <c r="CD51" s="1044">
        <v>4</v>
      </c>
      <c r="CE51" s="1044">
        <v>21</v>
      </c>
      <c r="CF51" s="1044">
        <v>10</v>
      </c>
      <c r="CG51" s="1044">
        <v>6</v>
      </c>
      <c r="CH51" s="2254">
        <v>41</v>
      </c>
      <c r="CI51" s="2251">
        <f>(CF51+CG51)/(CD51+CE51)</f>
        <v>0.64</v>
      </c>
      <c r="CK51" s="1044">
        <v>6</v>
      </c>
      <c r="CL51" s="1044">
        <v>22</v>
      </c>
      <c r="CM51" s="1044">
        <v>10</v>
      </c>
      <c r="CN51" s="1044">
        <v>5</v>
      </c>
      <c r="CO51" s="2254">
        <v>43</v>
      </c>
      <c r="CP51" s="2251">
        <f t="shared" ref="CP51:CP56" si="35">(CM51+CN51)/(CK51+CL51)</f>
        <v>0.5357142857142857</v>
      </c>
      <c r="CR51" s="1044">
        <v>1</v>
      </c>
      <c r="CS51" s="1044">
        <v>32</v>
      </c>
      <c r="CT51" s="1044">
        <v>10</v>
      </c>
      <c r="CU51" s="1044">
        <v>5</v>
      </c>
      <c r="CV51" s="2254">
        <v>48</v>
      </c>
      <c r="CW51" s="2251">
        <f t="shared" ref="CW51:CW77" si="36">(CT51+CU51)/(CR51+CS51)</f>
        <v>0.45454545454545453</v>
      </c>
    </row>
    <row r="52" spans="1:101" ht="17.100000000000001" customHeight="1">
      <c r="A52" s="7325" t="s">
        <v>1411</v>
      </c>
      <c r="B52" s="7325"/>
      <c r="C52" s="7325"/>
      <c r="E52" s="1046">
        <f>SUM(E48:E51)</f>
        <v>6</v>
      </c>
      <c r="F52" s="1046">
        <f>SUM(F48:F51)</f>
        <v>66</v>
      </c>
      <c r="G52" s="1046">
        <f>SUM(G48:G51)</f>
        <v>48</v>
      </c>
      <c r="H52" s="1046">
        <f>SUM(H48:H51)</f>
        <v>17</v>
      </c>
      <c r="I52" s="2261">
        <f>SUM(I48:I51)</f>
        <v>137</v>
      </c>
      <c r="J52" s="2253">
        <f t="shared" si="0"/>
        <v>0.90277777777777779</v>
      </c>
      <c r="K52" s="2108"/>
      <c r="L52" s="1046">
        <f>SUM(L48:L51)</f>
        <v>4</v>
      </c>
      <c r="M52" s="1046">
        <f>SUM(M48:M51)</f>
        <v>67</v>
      </c>
      <c r="N52" s="1046">
        <f>SUM(N48:N51)</f>
        <v>47</v>
      </c>
      <c r="O52" s="1046">
        <f>SUM(O48:O51)</f>
        <v>16</v>
      </c>
      <c r="P52" s="2261">
        <f>SUM(P48:P51)</f>
        <v>134</v>
      </c>
      <c r="Q52" s="2253">
        <f t="shared" si="1"/>
        <v>0.88732394366197187</v>
      </c>
      <c r="R52" s="2108"/>
      <c r="S52" s="1046">
        <f>SUM(S48:S51)</f>
        <v>6</v>
      </c>
      <c r="T52" s="1046">
        <f>SUM(T48:T51)</f>
        <v>64</v>
      </c>
      <c r="U52" s="1046">
        <f>SUM(U48:U51)</f>
        <v>45</v>
      </c>
      <c r="V52" s="1046">
        <f>SUM(V48:V51)</f>
        <v>16</v>
      </c>
      <c r="W52" s="2261">
        <f>SUM(W48:W51)</f>
        <v>131</v>
      </c>
      <c r="X52" s="2253">
        <f t="shared" si="2"/>
        <v>0.87142857142857144</v>
      </c>
      <c r="Y52" s="2108"/>
      <c r="Z52" s="1046">
        <f>SUM(Z48:Z51)</f>
        <v>5</v>
      </c>
      <c r="AA52" s="1046">
        <f>SUM(AA48:AA51)</f>
        <v>73</v>
      </c>
      <c r="AB52" s="1046">
        <f>SUM(AB48:AB51)</f>
        <v>43</v>
      </c>
      <c r="AC52" s="1046">
        <f>SUM(AC48:AC51)</f>
        <v>16</v>
      </c>
      <c r="AD52" s="2261">
        <f>SUM(AD48:AD51)</f>
        <v>137</v>
      </c>
      <c r="AE52" s="2253">
        <f t="shared" si="3"/>
        <v>0.75641025641025639</v>
      </c>
      <c r="AF52" s="2108"/>
      <c r="AG52" s="1046">
        <f>SUM(AG48:AG51)</f>
        <v>9</v>
      </c>
      <c r="AH52" s="1046">
        <f>SUM(AH48:AH51)</f>
        <v>72</v>
      </c>
      <c r="AI52" s="1046">
        <f>SUM(AI48:AI51)</f>
        <v>40</v>
      </c>
      <c r="AJ52" s="1046">
        <f>SUM(AJ48:AJ51)</f>
        <v>18</v>
      </c>
      <c r="AK52" s="2261">
        <f t="shared" si="14"/>
        <v>139</v>
      </c>
      <c r="AL52" s="2253">
        <f t="shared" si="4"/>
        <v>0.71604938271604934</v>
      </c>
      <c r="AM52" s="2108"/>
      <c r="AN52" s="1046">
        <v>11</v>
      </c>
      <c r="AO52" s="1046">
        <v>71</v>
      </c>
      <c r="AP52" s="1046">
        <v>44</v>
      </c>
      <c r="AQ52" s="1046">
        <v>19</v>
      </c>
      <c r="AR52" s="2261">
        <f t="shared" si="15"/>
        <v>145</v>
      </c>
      <c r="AS52" s="2253">
        <f t="shared" si="5"/>
        <v>0.76829268292682928</v>
      </c>
      <c r="AT52" s="2108"/>
      <c r="AU52" s="1046">
        <f>SUM(AU48:AU51)</f>
        <v>13</v>
      </c>
      <c r="AV52" s="1046">
        <f>SUM(AV48:AV51)</f>
        <v>68</v>
      </c>
      <c r="AW52" s="1046">
        <f>SUM(AW48:AW51)</f>
        <v>48</v>
      </c>
      <c r="AX52" s="1046">
        <f>SUM(AX48:AX51)</f>
        <v>20</v>
      </c>
      <c r="AY52" s="2261">
        <f>SUM(AY48:AY51)</f>
        <v>149</v>
      </c>
      <c r="AZ52" s="2253">
        <f>(AW52+AX52)/(AU52+AV52)</f>
        <v>0.83950617283950613</v>
      </c>
      <c r="BA52" s="2108"/>
      <c r="BB52" s="1046">
        <v>8</v>
      </c>
      <c r="BC52" s="1046">
        <v>69</v>
      </c>
      <c r="BD52" s="1046">
        <v>49</v>
      </c>
      <c r="BE52" s="1046">
        <v>22</v>
      </c>
      <c r="BF52" s="2261">
        <f>SUM(BF48:BF51)</f>
        <v>148</v>
      </c>
      <c r="BG52" s="2253">
        <f>(BD52+BE52)/(BB52+BC52)</f>
        <v>0.92207792207792205</v>
      </c>
      <c r="BH52" s="2108"/>
      <c r="BI52" s="1046">
        <v>10</v>
      </c>
      <c r="BJ52" s="1046">
        <v>67</v>
      </c>
      <c r="BK52" s="1046">
        <v>45</v>
      </c>
      <c r="BL52" s="1046">
        <v>23</v>
      </c>
      <c r="BM52" s="2261">
        <v>145</v>
      </c>
      <c r="BN52" s="2253">
        <f>(BK52+BL52)/(BI52+BJ52)</f>
        <v>0.88311688311688308</v>
      </c>
      <c r="BP52" s="1046">
        <v>16</v>
      </c>
      <c r="BQ52" s="1046">
        <v>67</v>
      </c>
      <c r="BR52" s="1046">
        <v>41</v>
      </c>
      <c r="BS52" s="1046">
        <v>25</v>
      </c>
      <c r="BT52" s="2261">
        <v>149</v>
      </c>
      <c r="BU52" s="2253">
        <f>(BR52+BS52)/(BP52+BQ52)</f>
        <v>0.79518072289156627</v>
      </c>
      <c r="BW52" s="1046">
        <f>SUM(BW48:BW51)</f>
        <v>13</v>
      </c>
      <c r="BX52" s="1046">
        <f>SUM(BX48:BX51)</f>
        <v>65</v>
      </c>
      <c r="BY52" s="1046">
        <f>SUM(BY48:BY51)</f>
        <v>41</v>
      </c>
      <c r="BZ52" s="1046">
        <f>SUM(BZ48:BZ51)</f>
        <v>25</v>
      </c>
      <c r="CA52" s="1046">
        <f>SUM(CA48:CA51)</f>
        <v>144</v>
      </c>
      <c r="CB52" s="2253">
        <f>(BY52+BZ52)/(BW52+BX52)</f>
        <v>0.84615384615384615</v>
      </c>
      <c r="CD52" s="1046">
        <f>SUM(CD48:CD51)</f>
        <v>14</v>
      </c>
      <c r="CE52" s="1046">
        <f>SUM(CE48:CE51)</f>
        <v>69</v>
      </c>
      <c r="CF52" s="1046">
        <f>SUM(CF48:CF51)</f>
        <v>35</v>
      </c>
      <c r="CG52" s="1046">
        <f>SUM(CG48:CG51)</f>
        <v>28</v>
      </c>
      <c r="CH52" s="1046">
        <f>SUM(CH48:CH51)</f>
        <v>146</v>
      </c>
      <c r="CI52" s="2253">
        <f>(CF52+CG52)/(CD52+CE52)</f>
        <v>0.75903614457831325</v>
      </c>
      <c r="CK52" s="1046">
        <v>19</v>
      </c>
      <c r="CL52" s="1046">
        <v>68</v>
      </c>
      <c r="CM52" s="1046">
        <v>38</v>
      </c>
      <c r="CN52" s="1046">
        <v>29</v>
      </c>
      <c r="CO52" s="1046">
        <v>154</v>
      </c>
      <c r="CP52" s="2253">
        <f t="shared" si="35"/>
        <v>0.77011494252873558</v>
      </c>
      <c r="CR52" s="1046">
        <v>13</v>
      </c>
      <c r="CS52" s="1046">
        <v>78</v>
      </c>
      <c r="CT52" s="1046">
        <v>41</v>
      </c>
      <c r="CU52" s="1046">
        <v>29</v>
      </c>
      <c r="CV52" s="1046">
        <v>161</v>
      </c>
      <c r="CW52" s="2253">
        <f t="shared" si="36"/>
        <v>0.76923076923076927</v>
      </c>
    </row>
    <row r="53" spans="1:101" ht="17.100000000000001" customHeight="1">
      <c r="A53" s="7326" t="s">
        <v>893</v>
      </c>
      <c r="B53" s="7326"/>
      <c r="C53" s="7326"/>
      <c r="E53" s="2143">
        <f>SUM(E52,E47,E41)</f>
        <v>35</v>
      </c>
      <c r="F53" s="2143">
        <f>SUM(F52,F47,F41)</f>
        <v>206</v>
      </c>
      <c r="G53" s="2143">
        <f>SUM(G52,G47,G41)</f>
        <v>101</v>
      </c>
      <c r="H53" s="2143">
        <f>SUM(H52,H47,H41)</f>
        <v>72</v>
      </c>
      <c r="I53" s="2265">
        <f>SUM(I41,I47,I52)</f>
        <v>414</v>
      </c>
      <c r="J53" s="2266">
        <f t="shared" si="0"/>
        <v>0.71784232365145229</v>
      </c>
      <c r="K53" s="2108"/>
      <c r="L53" s="2143">
        <f>SUM(L52,L47,L41)</f>
        <v>30</v>
      </c>
      <c r="M53" s="2143">
        <f>SUM(M52,M47,M41)</f>
        <v>206</v>
      </c>
      <c r="N53" s="2143">
        <f>SUM(N52,N47,N41)</f>
        <v>100</v>
      </c>
      <c r="O53" s="2143">
        <f>SUM(O52,O47,O41)</f>
        <v>69</v>
      </c>
      <c r="P53" s="2265">
        <f>SUM(P41,P47,P52)</f>
        <v>405</v>
      </c>
      <c r="Q53" s="2266">
        <f t="shared" si="1"/>
        <v>0.71610169491525422</v>
      </c>
      <c r="R53" s="2108"/>
      <c r="S53" s="2143">
        <f>SUM(S52,S47,S41)</f>
        <v>35</v>
      </c>
      <c r="T53" s="2143">
        <f>SUM(T52,T47,T41)</f>
        <v>202</v>
      </c>
      <c r="U53" s="2143">
        <f>SUM(U52,U47,U41)</f>
        <v>99</v>
      </c>
      <c r="V53" s="2143">
        <f>SUM(V52,V47,V41)</f>
        <v>71</v>
      </c>
      <c r="W53" s="2265">
        <f>SUM(W41,W47,W52)</f>
        <v>407</v>
      </c>
      <c r="X53" s="2266">
        <f t="shared" si="2"/>
        <v>0.71729957805907174</v>
      </c>
      <c r="Y53" s="2108"/>
      <c r="Z53" s="2143">
        <f>SUM(Z52,Z47,Z41)</f>
        <v>46</v>
      </c>
      <c r="AA53" s="2143">
        <f>SUM(AA52,AA47,AA41)</f>
        <v>216</v>
      </c>
      <c r="AB53" s="2143">
        <f>SUM(AB52,AB47,AB41)</f>
        <v>109</v>
      </c>
      <c r="AC53" s="2143">
        <f>SUM(AC52,AC47,AC41)</f>
        <v>79</v>
      </c>
      <c r="AD53" s="2265">
        <f>SUM(AD41,AD47,AD52)</f>
        <v>450</v>
      </c>
      <c r="AE53" s="2266">
        <f t="shared" si="3"/>
        <v>0.71755725190839692</v>
      </c>
      <c r="AF53" s="2108"/>
      <c r="AG53" s="2143">
        <f>SUM(AG52,AG47,AG41)</f>
        <v>54</v>
      </c>
      <c r="AH53" s="2143">
        <f>SUM(AH52,AH47,AH41)</f>
        <v>218</v>
      </c>
      <c r="AI53" s="2143">
        <f>SUM(AI52,AI47,AI41)</f>
        <v>107</v>
      </c>
      <c r="AJ53" s="2143">
        <f>SUM(AJ52,AJ47,AJ41)</f>
        <v>82</v>
      </c>
      <c r="AK53" s="2265">
        <f t="shared" si="14"/>
        <v>461</v>
      </c>
      <c r="AL53" s="2266">
        <f t="shared" si="4"/>
        <v>0.69485294117647056</v>
      </c>
      <c r="AM53" s="2108"/>
      <c r="AN53" s="2143">
        <v>56</v>
      </c>
      <c r="AO53" s="2143">
        <v>230</v>
      </c>
      <c r="AP53" s="2143">
        <v>108</v>
      </c>
      <c r="AQ53" s="2143">
        <v>83</v>
      </c>
      <c r="AR53" s="2265">
        <f t="shared" si="15"/>
        <v>477</v>
      </c>
      <c r="AS53" s="2266">
        <f t="shared" si="5"/>
        <v>0.66783216783216781</v>
      </c>
      <c r="AT53" s="2108"/>
      <c r="AU53" s="2143">
        <f>SUM(AU41,AU47,AU52)</f>
        <v>67</v>
      </c>
      <c r="AV53" s="2143">
        <f>SUM(AV41,AV47,AV52)</f>
        <v>237</v>
      </c>
      <c r="AW53" s="2143">
        <f>SUM(AW41,AW47,AW52)</f>
        <v>112</v>
      </c>
      <c r="AX53" s="2143">
        <f>SUM(AX41,AX47,AX52)</f>
        <v>85</v>
      </c>
      <c r="AY53" s="2265">
        <f>SUM(AY41,AY47,AY52)</f>
        <v>501</v>
      </c>
      <c r="AZ53" s="2266">
        <f>(AW53+AX53)/(AU53+AV53)</f>
        <v>0.64802631578947367</v>
      </c>
      <c r="BA53" s="2108"/>
      <c r="BB53" s="2143">
        <v>57</v>
      </c>
      <c r="BC53" s="2143">
        <v>232</v>
      </c>
      <c r="BD53" s="2143">
        <v>111</v>
      </c>
      <c r="BE53" s="2143">
        <v>92</v>
      </c>
      <c r="BF53" s="2265">
        <f>SUM(BF41,BF47,BF52)</f>
        <v>492</v>
      </c>
      <c r="BG53" s="2266">
        <f>(BD53+BE53)/(BB53+BC53)</f>
        <v>0.70242214532871972</v>
      </c>
      <c r="BH53" s="2108"/>
      <c r="BI53" s="2143">
        <v>44</v>
      </c>
      <c r="BJ53" s="2143">
        <v>235</v>
      </c>
      <c r="BK53" s="2143">
        <v>105</v>
      </c>
      <c r="BL53" s="2143">
        <v>91</v>
      </c>
      <c r="BM53" s="2265">
        <v>475</v>
      </c>
      <c r="BN53" s="2266">
        <f>(BK53+BL53)/(BI53+BJ53)</f>
        <v>0.70250896057347667</v>
      </c>
      <c r="BP53" s="2143">
        <v>56</v>
      </c>
      <c r="BQ53" s="2143">
        <v>233</v>
      </c>
      <c r="BR53" s="2143">
        <v>107</v>
      </c>
      <c r="BS53" s="2143">
        <v>93</v>
      </c>
      <c r="BT53" s="2265">
        <v>489</v>
      </c>
      <c r="BU53" s="2266">
        <f>(BR53+BS53)/(BP53+BQ53)</f>
        <v>0.69204152249134943</v>
      </c>
      <c r="BW53" s="2143">
        <f>SUM(BW41,BW47,BW52)</f>
        <v>59</v>
      </c>
      <c r="BX53" s="2143">
        <f>SUM(BX41,BX47,BX52)</f>
        <v>233</v>
      </c>
      <c r="BY53" s="2143">
        <f>SUM(BY41,BY47,BY52)</f>
        <v>107</v>
      </c>
      <c r="BZ53" s="2143">
        <f>SUM(BZ41,BZ47,BZ52)</f>
        <v>93</v>
      </c>
      <c r="CA53" s="2143">
        <f>SUM(CA41,CA47,CA52)</f>
        <v>492</v>
      </c>
      <c r="CB53" s="2266">
        <f>(BY53+BZ53)/(BW53+BX53)</f>
        <v>0.68493150684931503</v>
      </c>
      <c r="CD53" s="2143">
        <f>SUM(CD41,CD47,CD52)</f>
        <v>63</v>
      </c>
      <c r="CE53" s="2143">
        <f>SUM(CE41,CE47,CE52)</f>
        <v>249</v>
      </c>
      <c r="CF53" s="2143">
        <f>SUM(CF41,CF47,CF52)</f>
        <v>103</v>
      </c>
      <c r="CG53" s="2143">
        <f>SUM(CG41,CG47,CG52)</f>
        <v>97</v>
      </c>
      <c r="CH53" s="2143">
        <f>SUM(CH41,CH47,CH52)</f>
        <v>512</v>
      </c>
      <c r="CI53" s="2266">
        <f>(CF53+CG53)/(CD53+CE53)</f>
        <v>0.64102564102564108</v>
      </c>
      <c r="CK53" s="2143">
        <f>SUM(CK41,CK47,CK52)</f>
        <v>54</v>
      </c>
      <c r="CL53" s="2143">
        <f t="shared" ref="CL53:CO53" si="37">SUM(CL41,CL47,CL52)</f>
        <v>254</v>
      </c>
      <c r="CM53" s="2143">
        <f t="shared" si="37"/>
        <v>109</v>
      </c>
      <c r="CN53" s="2143">
        <f t="shared" si="37"/>
        <v>97</v>
      </c>
      <c r="CO53" s="2143">
        <f t="shared" si="37"/>
        <v>514</v>
      </c>
      <c r="CP53" s="2266">
        <f t="shared" si="35"/>
        <v>0.66883116883116878</v>
      </c>
      <c r="CR53" s="2143">
        <v>34</v>
      </c>
      <c r="CS53" s="2143">
        <v>254</v>
      </c>
      <c r="CT53" s="2143">
        <v>114</v>
      </c>
      <c r="CU53" s="2143">
        <v>96</v>
      </c>
      <c r="CV53" s="2143">
        <v>498</v>
      </c>
      <c r="CW53" s="2266">
        <f t="shared" si="36"/>
        <v>0.72916666666666663</v>
      </c>
    </row>
    <row r="54" spans="1:101" ht="17.100000000000001" customHeight="1">
      <c r="A54" s="6515" t="s">
        <v>82</v>
      </c>
      <c r="B54" s="6516" t="s">
        <v>4</v>
      </c>
      <c r="C54" s="6532" t="s">
        <v>992</v>
      </c>
      <c r="E54" s="1047"/>
      <c r="F54" s="1047"/>
      <c r="G54" s="1047"/>
      <c r="H54" s="1047"/>
      <c r="I54" s="2267"/>
      <c r="J54" s="2259"/>
      <c r="K54" s="2108"/>
      <c r="L54" s="1047"/>
      <c r="M54" s="1047"/>
      <c r="N54" s="1047"/>
      <c r="O54" s="1047"/>
      <c r="P54" s="2267"/>
      <c r="Q54" s="2259"/>
      <c r="R54" s="2108"/>
      <c r="S54" s="1047"/>
      <c r="T54" s="1047"/>
      <c r="U54" s="1047"/>
      <c r="V54" s="1047"/>
      <c r="W54" s="2267">
        <f>SUM(S54:V54)</f>
        <v>0</v>
      </c>
      <c r="X54" s="2259"/>
      <c r="Y54" s="2108"/>
      <c r="Z54" s="1047">
        <v>1</v>
      </c>
      <c r="AA54" s="1047"/>
      <c r="AB54" s="1047"/>
      <c r="AC54" s="1047"/>
      <c r="AD54" s="2267">
        <f>SUM(Z54:AC54)</f>
        <v>1</v>
      </c>
      <c r="AE54" s="2259">
        <f t="shared" si="3"/>
        <v>0</v>
      </c>
      <c r="AF54" s="2108"/>
      <c r="AG54" s="1047">
        <v>1</v>
      </c>
      <c r="AH54" s="1047"/>
      <c r="AI54" s="1047"/>
      <c r="AJ54" s="1047"/>
      <c r="AK54" s="2267">
        <f t="shared" si="14"/>
        <v>1</v>
      </c>
      <c r="AL54" s="2259">
        <f t="shared" si="4"/>
        <v>0</v>
      </c>
      <c r="AM54" s="2108"/>
      <c r="AN54" s="1047">
        <v>1</v>
      </c>
      <c r="AO54" s="1047"/>
      <c r="AP54" s="1047"/>
      <c r="AQ54" s="1047"/>
      <c r="AR54" s="2267">
        <f t="shared" si="15"/>
        <v>1</v>
      </c>
      <c r="AS54" s="2259">
        <f t="shared" si="5"/>
        <v>0</v>
      </c>
      <c r="AT54" s="2108"/>
      <c r="AU54" s="1047"/>
      <c r="AV54" s="1047"/>
      <c r="AW54" s="1047"/>
      <c r="AX54" s="1047"/>
      <c r="AY54" s="2267">
        <f>SUM(AU54:AX54)</f>
        <v>0</v>
      </c>
      <c r="AZ54" s="2259"/>
      <c r="BA54" s="2108"/>
      <c r="BB54" s="1047">
        <v>0</v>
      </c>
      <c r="BC54" s="1047">
        <v>1</v>
      </c>
      <c r="BD54" s="1047"/>
      <c r="BE54" s="1047"/>
      <c r="BF54" s="2267">
        <f>SUM(BB54:BE54)</f>
        <v>1</v>
      </c>
      <c r="BG54" s="2259"/>
      <c r="BH54" s="2108"/>
      <c r="BI54" s="1047">
        <v>1</v>
      </c>
      <c r="BJ54" s="1047">
        <v>1</v>
      </c>
      <c r="BK54" s="1047"/>
      <c r="BL54" s="1047"/>
      <c r="BM54" s="2267">
        <v>2</v>
      </c>
      <c r="BN54" s="2259"/>
      <c r="BP54" s="1047">
        <v>2</v>
      </c>
      <c r="BQ54" s="1047">
        <v>1</v>
      </c>
      <c r="BR54" s="1047"/>
      <c r="BS54" s="1047"/>
      <c r="BT54" s="2267">
        <v>3</v>
      </c>
      <c r="BU54" s="2259"/>
      <c r="BW54" s="1047">
        <v>1</v>
      </c>
      <c r="BX54" s="1047">
        <v>2</v>
      </c>
      <c r="BY54" s="1047"/>
      <c r="BZ54" s="1047"/>
      <c r="CA54" s="2267">
        <v>3</v>
      </c>
      <c r="CB54" s="2259"/>
      <c r="CD54" s="1047">
        <v>2</v>
      </c>
      <c r="CE54" s="1047">
        <v>1</v>
      </c>
      <c r="CF54" s="1047"/>
      <c r="CG54" s="1047"/>
      <c r="CH54" s="2267">
        <v>3</v>
      </c>
      <c r="CI54" s="2259"/>
      <c r="CK54" s="1047">
        <v>2</v>
      </c>
      <c r="CL54" s="1047">
        <v>1</v>
      </c>
      <c r="CM54" s="1047">
        <v>0</v>
      </c>
      <c r="CN54" s="1047">
        <v>0</v>
      </c>
      <c r="CO54" s="2267">
        <v>3</v>
      </c>
      <c r="CP54" s="2251">
        <f t="shared" si="35"/>
        <v>0</v>
      </c>
      <c r="CR54" s="1047">
        <v>1</v>
      </c>
      <c r="CS54" s="1047">
        <v>2</v>
      </c>
      <c r="CT54" s="1047">
        <v>0</v>
      </c>
      <c r="CU54" s="1047">
        <v>0</v>
      </c>
      <c r="CV54" s="2267">
        <v>3</v>
      </c>
      <c r="CW54" s="2251">
        <f t="shared" si="36"/>
        <v>0</v>
      </c>
    </row>
    <row r="55" spans="1:101" ht="17.100000000000001" customHeight="1">
      <c r="A55" s="6515" t="s">
        <v>82</v>
      </c>
      <c r="B55" s="6519" t="s">
        <v>4</v>
      </c>
      <c r="C55" s="6533" t="s">
        <v>993</v>
      </c>
      <c r="E55" s="1044"/>
      <c r="F55" s="1044">
        <v>2</v>
      </c>
      <c r="G55" s="1044"/>
      <c r="H55" s="1044"/>
      <c r="I55" s="2254">
        <f>SUM(E55:H55)</f>
        <v>2</v>
      </c>
      <c r="J55" s="2251">
        <f t="shared" si="0"/>
        <v>0</v>
      </c>
      <c r="K55" s="2108"/>
      <c r="L55" s="1044">
        <v>1</v>
      </c>
      <c r="M55" s="1044">
        <v>3</v>
      </c>
      <c r="N55" s="1044"/>
      <c r="O55" s="1044"/>
      <c r="P55" s="2254">
        <f>SUM(L55:O55)</f>
        <v>4</v>
      </c>
      <c r="Q55" s="2251">
        <f t="shared" si="1"/>
        <v>0</v>
      </c>
      <c r="R55" s="2108"/>
      <c r="S55" s="1044"/>
      <c r="T55" s="1044">
        <v>3</v>
      </c>
      <c r="U55" s="1044"/>
      <c r="V55" s="1044"/>
      <c r="W55" s="2254">
        <f>SUM(S55:V55)</f>
        <v>3</v>
      </c>
      <c r="X55" s="2251">
        <f t="shared" si="2"/>
        <v>0</v>
      </c>
      <c r="Y55" s="2108"/>
      <c r="Z55" s="1044"/>
      <c r="AA55" s="1044">
        <v>7</v>
      </c>
      <c r="AB55" s="1044"/>
      <c r="AC55" s="1044"/>
      <c r="AD55" s="2254">
        <f>SUM(Z55:AC55)</f>
        <v>7</v>
      </c>
      <c r="AE55" s="2251">
        <f t="shared" si="3"/>
        <v>0</v>
      </c>
      <c r="AF55" s="2108"/>
      <c r="AG55" s="1044"/>
      <c r="AH55" s="1044">
        <v>4</v>
      </c>
      <c r="AI55" s="1044"/>
      <c r="AJ55" s="1044"/>
      <c r="AK55" s="2254">
        <f t="shared" si="14"/>
        <v>4</v>
      </c>
      <c r="AL55" s="2251">
        <f t="shared" si="4"/>
        <v>0</v>
      </c>
      <c r="AM55" s="2108"/>
      <c r="AN55" s="1044">
        <v>2</v>
      </c>
      <c r="AO55" s="1044">
        <v>4</v>
      </c>
      <c r="AP55" s="1044">
        <v>1</v>
      </c>
      <c r="AQ55" s="1044"/>
      <c r="AR55" s="2254">
        <f t="shared" si="15"/>
        <v>7</v>
      </c>
      <c r="AS55" s="2251">
        <f t="shared" si="5"/>
        <v>0.16666666666666666</v>
      </c>
      <c r="AT55" s="2108"/>
      <c r="AU55" s="1044">
        <v>3</v>
      </c>
      <c r="AV55" s="1044">
        <v>5</v>
      </c>
      <c r="AW55" s="1044">
        <v>1</v>
      </c>
      <c r="AX55" s="1044"/>
      <c r="AY55" s="2254">
        <f t="shared" ref="AY55:AY64" si="38">SUM(AU55:AX55)</f>
        <v>9</v>
      </c>
      <c r="AZ55" s="2251">
        <f>(AW55+AX55)/(AU55+AV55)</f>
        <v>0.125</v>
      </c>
      <c r="BA55" s="2108"/>
      <c r="BB55" s="1044">
        <v>3</v>
      </c>
      <c r="BC55" s="1044">
        <v>6</v>
      </c>
      <c r="BD55" s="1044">
        <v>1</v>
      </c>
      <c r="BE55" s="1044"/>
      <c r="BF55" s="2254">
        <f>SUM(BB55:BE55)</f>
        <v>10</v>
      </c>
      <c r="BG55" s="2251">
        <f>(BD55+BE55)/(BB55+BC55)</f>
        <v>0.1111111111111111</v>
      </c>
      <c r="BH55" s="2108"/>
      <c r="BI55" s="1044"/>
      <c r="BJ55" s="1044">
        <v>7</v>
      </c>
      <c r="BK55" s="1044">
        <v>1</v>
      </c>
      <c r="BL55" s="1044"/>
      <c r="BM55" s="2254">
        <v>8</v>
      </c>
      <c r="BN55" s="2251">
        <f>(BK55+BL55)/(BI55+BJ55)</f>
        <v>0.14285714285714285</v>
      </c>
      <c r="BP55" s="1044">
        <v>1</v>
      </c>
      <c r="BQ55" s="1044">
        <v>6</v>
      </c>
      <c r="BR55" s="1044">
        <v>1</v>
      </c>
      <c r="BS55" s="1044"/>
      <c r="BT55" s="2254">
        <v>8</v>
      </c>
      <c r="BU55" s="2251">
        <f>(BR55+BS55)/(BP55+BQ55)</f>
        <v>0.14285714285714285</v>
      </c>
      <c r="BW55" s="1044">
        <v>2</v>
      </c>
      <c r="BX55" s="1044">
        <v>6</v>
      </c>
      <c r="BY55" s="1044">
        <v>1</v>
      </c>
      <c r="BZ55" s="1044"/>
      <c r="CA55" s="2254">
        <v>9</v>
      </c>
      <c r="CB55" s="2251">
        <f>(BY55+BZ55)/(BW55+BX55)</f>
        <v>0.125</v>
      </c>
      <c r="CD55" s="1044">
        <v>2</v>
      </c>
      <c r="CE55" s="1044">
        <v>5</v>
      </c>
      <c r="CF55" s="1044">
        <v>1</v>
      </c>
      <c r="CG55" s="1044"/>
      <c r="CH55" s="2254">
        <v>8</v>
      </c>
      <c r="CI55" s="2251">
        <f>(CF55+CG55)/(CD55+CE55)</f>
        <v>0.14285714285714285</v>
      </c>
      <c r="CK55" s="1044">
        <v>1</v>
      </c>
      <c r="CL55" s="1044">
        <v>5</v>
      </c>
      <c r="CM55" s="1044">
        <v>1</v>
      </c>
      <c r="CN55" s="1044">
        <v>0</v>
      </c>
      <c r="CO55" s="2254">
        <v>7</v>
      </c>
      <c r="CP55" s="2251">
        <f t="shared" si="35"/>
        <v>0.16666666666666666</v>
      </c>
      <c r="CR55" s="1044">
        <v>0</v>
      </c>
      <c r="CS55" s="1044">
        <v>5</v>
      </c>
      <c r="CT55" s="1044">
        <v>1</v>
      </c>
      <c r="CU55" s="1044">
        <v>0</v>
      </c>
      <c r="CV55" s="2254">
        <v>6</v>
      </c>
      <c r="CW55" s="2251">
        <f t="shared" si="36"/>
        <v>0.2</v>
      </c>
    </row>
    <row r="56" spans="1:101" ht="17.100000000000001" customHeight="1" thickBot="1">
      <c r="A56" s="6515" t="s">
        <v>82</v>
      </c>
      <c r="B56" s="6519" t="s">
        <v>4</v>
      </c>
      <c r="C56" s="6534" t="s">
        <v>994</v>
      </c>
      <c r="E56" s="1044"/>
      <c r="F56" s="1044"/>
      <c r="G56" s="1044"/>
      <c r="H56" s="1044"/>
      <c r="I56" s="2254"/>
      <c r="J56" s="2251"/>
      <c r="K56" s="2108"/>
      <c r="L56" s="1044"/>
      <c r="M56" s="1044"/>
      <c r="N56" s="1044"/>
      <c r="O56" s="1044"/>
      <c r="P56" s="2254"/>
      <c r="Q56" s="2251"/>
      <c r="R56" s="2108"/>
      <c r="S56" s="1044">
        <v>1</v>
      </c>
      <c r="T56" s="1044"/>
      <c r="U56" s="1044"/>
      <c r="V56" s="1044"/>
      <c r="W56" s="2254">
        <f>SUM(S56:V56)</f>
        <v>1</v>
      </c>
      <c r="X56" s="2251">
        <f t="shared" si="2"/>
        <v>0</v>
      </c>
      <c r="Y56" s="2108"/>
      <c r="Z56" s="1044"/>
      <c r="AA56" s="1044">
        <v>1</v>
      </c>
      <c r="AB56" s="1044"/>
      <c r="AC56" s="1044"/>
      <c r="AD56" s="2254">
        <f>SUM(Z56:AC56)</f>
        <v>1</v>
      </c>
      <c r="AE56" s="2251">
        <f t="shared" si="3"/>
        <v>0</v>
      </c>
      <c r="AF56" s="2108"/>
      <c r="AG56" s="1044"/>
      <c r="AH56" s="1044">
        <v>1</v>
      </c>
      <c r="AI56" s="1044"/>
      <c r="AJ56" s="1044"/>
      <c r="AK56" s="2254">
        <f t="shared" si="14"/>
        <v>1</v>
      </c>
      <c r="AL56" s="2251">
        <f t="shared" si="4"/>
        <v>0</v>
      </c>
      <c r="AM56" s="2108"/>
      <c r="AN56" s="1044"/>
      <c r="AO56" s="1044"/>
      <c r="AP56" s="1044"/>
      <c r="AQ56" s="1044"/>
      <c r="AR56" s="2254">
        <f t="shared" si="15"/>
        <v>0</v>
      </c>
      <c r="AS56" s="2251"/>
      <c r="AT56" s="2108"/>
      <c r="AU56" s="1044"/>
      <c r="AV56" s="1044"/>
      <c r="AW56" s="1044"/>
      <c r="AX56" s="1044"/>
      <c r="AY56" s="2254">
        <f t="shared" si="38"/>
        <v>0</v>
      </c>
      <c r="AZ56" s="2251"/>
      <c r="BA56" s="2108"/>
      <c r="BB56" s="1044">
        <v>2</v>
      </c>
      <c r="BC56" s="1044"/>
      <c r="BD56" s="1044"/>
      <c r="BE56" s="1044"/>
      <c r="BF56" s="2254">
        <f>SUM(BB56:BE56)</f>
        <v>2</v>
      </c>
      <c r="BG56" s="2251"/>
      <c r="BH56" s="2108"/>
      <c r="BI56" s="1044">
        <v>4</v>
      </c>
      <c r="BJ56" s="1044"/>
      <c r="BK56" s="1044"/>
      <c r="BL56" s="1044"/>
      <c r="BM56" s="2254">
        <v>4</v>
      </c>
      <c r="BN56" s="2251"/>
      <c r="BP56" s="1044">
        <v>4</v>
      </c>
      <c r="BQ56" s="1044">
        <v>1</v>
      </c>
      <c r="BR56" s="1044"/>
      <c r="BS56" s="1044"/>
      <c r="BT56" s="2254">
        <v>5</v>
      </c>
      <c r="BU56" s="2251"/>
      <c r="BW56" s="1044">
        <v>4</v>
      </c>
      <c r="BX56" s="1044"/>
      <c r="BY56" s="1044"/>
      <c r="BZ56" s="1044"/>
      <c r="CA56" s="2254">
        <v>4</v>
      </c>
      <c r="CB56" s="2251"/>
      <c r="CD56" s="1044">
        <v>3</v>
      </c>
      <c r="CE56" s="1044">
        <v>1</v>
      </c>
      <c r="CF56" s="1044"/>
      <c r="CG56" s="1044"/>
      <c r="CH56" s="2254">
        <v>4</v>
      </c>
      <c r="CI56" s="2251"/>
      <c r="CK56" s="1044">
        <v>0</v>
      </c>
      <c r="CL56" s="1044">
        <v>3</v>
      </c>
      <c r="CM56" s="1044">
        <v>0</v>
      </c>
      <c r="CN56" s="1044">
        <v>0</v>
      </c>
      <c r="CO56" s="2254">
        <v>3</v>
      </c>
      <c r="CP56" s="2251">
        <f t="shared" si="35"/>
        <v>0</v>
      </c>
      <c r="CR56" s="1044">
        <v>0</v>
      </c>
      <c r="CS56" s="1044">
        <v>1</v>
      </c>
      <c r="CT56" s="1044">
        <v>0</v>
      </c>
      <c r="CU56" s="1044">
        <v>0</v>
      </c>
      <c r="CV56" s="2254">
        <v>1</v>
      </c>
      <c r="CW56" s="2251">
        <f t="shared" si="36"/>
        <v>0</v>
      </c>
    </row>
    <row r="57" spans="1:101" ht="17.100000000000001" customHeight="1" thickBot="1">
      <c r="A57" s="7324" t="s">
        <v>1410</v>
      </c>
      <c r="B57" s="7324"/>
      <c r="C57" s="7324"/>
      <c r="E57" s="1050">
        <f>SUM(E55)</f>
        <v>0</v>
      </c>
      <c r="F57" s="1050">
        <f>SUM(F55)</f>
        <v>2</v>
      </c>
      <c r="G57" s="1050">
        <f>SUM(G55)</f>
        <v>0</v>
      </c>
      <c r="H57" s="1050">
        <f>SUM(H55)</f>
        <v>0</v>
      </c>
      <c r="I57" s="2260">
        <f>SUM(I55)</f>
        <v>2</v>
      </c>
      <c r="J57" s="2253">
        <f t="shared" si="0"/>
        <v>0</v>
      </c>
      <c r="K57" s="2108"/>
      <c r="L57" s="1050">
        <f>SUM(L55)</f>
        <v>1</v>
      </c>
      <c r="M57" s="1050">
        <f>SUM(M55)</f>
        <v>3</v>
      </c>
      <c r="N57" s="1050">
        <f>SUM(N55)</f>
        <v>0</v>
      </c>
      <c r="O57" s="1050">
        <f>SUM(O55)</f>
        <v>0</v>
      </c>
      <c r="P57" s="2260">
        <f>SUM(P55)</f>
        <v>4</v>
      </c>
      <c r="Q57" s="2253">
        <f t="shared" si="1"/>
        <v>0</v>
      </c>
      <c r="R57" s="2108"/>
      <c r="S57" s="1050">
        <f>SUM(S54:S56)</f>
        <v>1</v>
      </c>
      <c r="T57" s="1050">
        <f>SUM(T54:T56)</f>
        <v>3</v>
      </c>
      <c r="U57" s="1050">
        <f>SUM(U54:U56)</f>
        <v>0</v>
      </c>
      <c r="V57" s="1050">
        <f>SUM(V54:V56)</f>
        <v>0</v>
      </c>
      <c r="W57" s="2260">
        <f>SUM(W54:W56)</f>
        <v>4</v>
      </c>
      <c r="X57" s="2253">
        <f t="shared" si="2"/>
        <v>0</v>
      </c>
      <c r="Y57" s="2108"/>
      <c r="Z57" s="1050">
        <f>SUM(Z54:Z56)</f>
        <v>1</v>
      </c>
      <c r="AA57" s="1050">
        <f>SUM(AA54:AA56)</f>
        <v>8</v>
      </c>
      <c r="AB57" s="1050">
        <f>SUM(AB54:AB56)</f>
        <v>0</v>
      </c>
      <c r="AC57" s="1050">
        <f>SUM(AC54:AC56)</f>
        <v>0</v>
      </c>
      <c r="AD57" s="2260">
        <f>SUM(AD54:AD56)</f>
        <v>9</v>
      </c>
      <c r="AE57" s="2253">
        <f t="shared" si="3"/>
        <v>0</v>
      </c>
      <c r="AF57" s="2108"/>
      <c r="AG57" s="1050">
        <f>SUM(AG54:AG56)</f>
        <v>1</v>
      </c>
      <c r="AH57" s="1050">
        <f>SUM(AH54:AH56)</f>
        <v>5</v>
      </c>
      <c r="AI57" s="1050">
        <f>SUM(AI54:AI56)</f>
        <v>0</v>
      </c>
      <c r="AJ57" s="1050">
        <f>SUM(AJ54:AJ56)</f>
        <v>0</v>
      </c>
      <c r="AK57" s="2260">
        <f t="shared" si="14"/>
        <v>6</v>
      </c>
      <c r="AL57" s="2253">
        <f t="shared" si="4"/>
        <v>0</v>
      </c>
      <c r="AM57" s="2108"/>
      <c r="AN57" s="1050">
        <v>3</v>
      </c>
      <c r="AO57" s="1050">
        <v>4</v>
      </c>
      <c r="AP57" s="1050">
        <v>1</v>
      </c>
      <c r="AQ57" s="1050">
        <v>0</v>
      </c>
      <c r="AR57" s="2260">
        <f t="shared" si="15"/>
        <v>8</v>
      </c>
      <c r="AS57" s="2253">
        <f t="shared" si="5"/>
        <v>0.14285714285714285</v>
      </c>
      <c r="AT57" s="2108"/>
      <c r="AU57" s="1050">
        <f>SUM(AU54:AU56)</f>
        <v>3</v>
      </c>
      <c r="AV57" s="1050">
        <f>SUM(AV54:AV56)</f>
        <v>5</v>
      </c>
      <c r="AW57" s="1050">
        <f>SUM(AW54:AW56)</f>
        <v>1</v>
      </c>
      <c r="AX57" s="1050">
        <f>SUM(AX54:AX56)</f>
        <v>0</v>
      </c>
      <c r="AY57" s="2260">
        <f>SUM(AY54:AY56)</f>
        <v>9</v>
      </c>
      <c r="AZ57" s="2253">
        <f t="shared" ref="AZ57:AZ63" si="39">(AW57+AX57)/(AU57+AV57)</f>
        <v>0.125</v>
      </c>
      <c r="BA57" s="2108"/>
      <c r="BB57" s="1050">
        <v>5</v>
      </c>
      <c r="BC57" s="1050">
        <v>7</v>
      </c>
      <c r="BD57" s="1050">
        <v>1</v>
      </c>
      <c r="BE57" s="1050">
        <v>0</v>
      </c>
      <c r="BF57" s="2260">
        <f>SUM(BF54:BF56)</f>
        <v>13</v>
      </c>
      <c r="BG57" s="2253">
        <f t="shared" ref="BG57:BG77" si="40">(BD57+BE57)/(BB57+BC57)</f>
        <v>8.3333333333333329E-2</v>
      </c>
      <c r="BH57" s="2108"/>
      <c r="BI57" s="1050">
        <v>5</v>
      </c>
      <c r="BJ57" s="1050">
        <v>8</v>
      </c>
      <c r="BK57" s="1050">
        <v>1</v>
      </c>
      <c r="BL57" s="1050">
        <v>0</v>
      </c>
      <c r="BM57" s="2260">
        <v>14</v>
      </c>
      <c r="BN57" s="2253">
        <f t="shared" ref="BN57:BN77" si="41">(BK57+BL57)/(BI57+BJ57)</f>
        <v>7.6923076923076927E-2</v>
      </c>
      <c r="BP57" s="1050">
        <v>7</v>
      </c>
      <c r="BQ57" s="1050">
        <v>8</v>
      </c>
      <c r="BR57" s="1050">
        <v>1</v>
      </c>
      <c r="BS57" s="1050">
        <v>0</v>
      </c>
      <c r="BT57" s="2260">
        <v>16</v>
      </c>
      <c r="BU57" s="2253">
        <f t="shared" ref="BU57:BU77" si="42">(BR57+BS57)/(BP57+BQ57)</f>
        <v>6.6666666666666666E-2</v>
      </c>
      <c r="BW57" s="1050">
        <f>SUM(BW54:BW56)</f>
        <v>7</v>
      </c>
      <c r="BX57" s="1050">
        <f>SUM(BX54:BX56)</f>
        <v>8</v>
      </c>
      <c r="BY57" s="1050">
        <f>SUM(BY54:BY56)</f>
        <v>1</v>
      </c>
      <c r="BZ57" s="1050">
        <f>SUM(BZ54:BZ56)</f>
        <v>0</v>
      </c>
      <c r="CA57" s="1050">
        <f>SUM(CA54:CA56)</f>
        <v>16</v>
      </c>
      <c r="CB57" s="2253">
        <f t="shared" ref="CB57:CB77" si="43">(BY57+BZ57)/(BW57+BX57)</f>
        <v>6.6666666666666666E-2</v>
      </c>
      <c r="CD57" s="1050">
        <v>7</v>
      </c>
      <c r="CE57" s="1050">
        <v>7</v>
      </c>
      <c r="CF57" s="1050">
        <v>1</v>
      </c>
      <c r="CG57" s="1050">
        <v>0</v>
      </c>
      <c r="CH57" s="1050">
        <v>15</v>
      </c>
      <c r="CI57" s="2253">
        <f t="shared" ref="CI57:CI77" si="44">(CF57+CG57)/(CD57+CE57)</f>
        <v>7.1428571428571425E-2</v>
      </c>
      <c r="CK57" s="1050">
        <v>3</v>
      </c>
      <c r="CL57" s="1050">
        <v>9</v>
      </c>
      <c r="CM57" s="1050">
        <v>1</v>
      </c>
      <c r="CN57" s="1050">
        <v>0</v>
      </c>
      <c r="CO57" s="1050">
        <v>13</v>
      </c>
      <c r="CP57" s="2253">
        <f t="shared" ref="CP57:CP77" si="45">(CM57+CN57)/(CK57+CL57)</f>
        <v>8.3333333333333329E-2</v>
      </c>
      <c r="CR57" s="1050">
        <v>1</v>
      </c>
      <c r="CS57" s="1050">
        <v>8</v>
      </c>
      <c r="CT57" s="1050">
        <v>1</v>
      </c>
      <c r="CU57" s="1050">
        <v>0</v>
      </c>
      <c r="CV57" s="1050">
        <v>10</v>
      </c>
      <c r="CW57" s="2253">
        <f t="shared" si="36"/>
        <v>0.1111111111111111</v>
      </c>
    </row>
    <row r="58" spans="1:101" ht="17.100000000000001" customHeight="1">
      <c r="A58" s="6515" t="s">
        <v>82</v>
      </c>
      <c r="B58" s="6519" t="s">
        <v>41</v>
      </c>
      <c r="C58" s="6520" t="s">
        <v>995</v>
      </c>
      <c r="E58" s="1044"/>
      <c r="F58" s="1044">
        <v>1</v>
      </c>
      <c r="G58" s="1044"/>
      <c r="H58" s="1044"/>
      <c r="I58" s="2254">
        <f>SUM(E58:H58)</f>
        <v>1</v>
      </c>
      <c r="J58" s="2251">
        <f t="shared" si="0"/>
        <v>0</v>
      </c>
      <c r="K58" s="2108"/>
      <c r="L58" s="1044">
        <v>1</v>
      </c>
      <c r="M58" s="1044">
        <v>3</v>
      </c>
      <c r="N58" s="1044"/>
      <c r="O58" s="1044"/>
      <c r="P58" s="2254">
        <f>SUM(L58:O58)</f>
        <v>4</v>
      </c>
      <c r="Q58" s="2251">
        <f t="shared" si="1"/>
        <v>0</v>
      </c>
      <c r="R58" s="2108"/>
      <c r="S58" s="1044">
        <v>1</v>
      </c>
      <c r="T58" s="1044">
        <v>2</v>
      </c>
      <c r="U58" s="1044">
        <v>1</v>
      </c>
      <c r="V58" s="1044"/>
      <c r="W58" s="2254">
        <f>SUM(S58:V58)</f>
        <v>4</v>
      </c>
      <c r="X58" s="2251">
        <f t="shared" si="2"/>
        <v>0.33333333333333331</v>
      </c>
      <c r="Y58" s="2108"/>
      <c r="Z58" s="1044">
        <v>3</v>
      </c>
      <c r="AA58" s="1044">
        <v>3</v>
      </c>
      <c r="AB58" s="1044">
        <v>1</v>
      </c>
      <c r="AC58" s="1044"/>
      <c r="AD58" s="2254">
        <f>SUM(Z58:AC58)</f>
        <v>7</v>
      </c>
      <c r="AE58" s="2251">
        <f t="shared" si="3"/>
        <v>0.16666666666666666</v>
      </c>
      <c r="AF58" s="2108"/>
      <c r="AG58" s="1044">
        <v>3</v>
      </c>
      <c r="AH58" s="1044">
        <v>4</v>
      </c>
      <c r="AI58" s="1044">
        <v>1</v>
      </c>
      <c r="AJ58" s="1044"/>
      <c r="AK58" s="2254">
        <f t="shared" si="14"/>
        <v>8</v>
      </c>
      <c r="AL58" s="2251">
        <f t="shared" si="4"/>
        <v>0.14285714285714285</v>
      </c>
      <c r="AM58" s="2108"/>
      <c r="AN58" s="1044">
        <v>2</v>
      </c>
      <c r="AO58" s="1044">
        <v>3</v>
      </c>
      <c r="AP58" s="1044"/>
      <c r="AQ58" s="1044"/>
      <c r="AR58" s="2254">
        <f t="shared" si="15"/>
        <v>5</v>
      </c>
      <c r="AS58" s="2251">
        <f t="shared" si="5"/>
        <v>0</v>
      </c>
      <c r="AT58" s="2108"/>
      <c r="AU58" s="1044">
        <v>2</v>
      </c>
      <c r="AV58" s="1044">
        <v>4</v>
      </c>
      <c r="AW58" s="1044"/>
      <c r="AX58" s="1044"/>
      <c r="AY58" s="2254">
        <f t="shared" si="38"/>
        <v>6</v>
      </c>
      <c r="AZ58" s="2251">
        <f t="shared" si="39"/>
        <v>0</v>
      </c>
      <c r="BA58" s="2108"/>
      <c r="BB58" s="1044"/>
      <c r="BC58" s="1044">
        <v>5</v>
      </c>
      <c r="BD58" s="1044"/>
      <c r="BE58" s="1044"/>
      <c r="BF58" s="2254">
        <f>SUM(BB58:BE58)</f>
        <v>5</v>
      </c>
      <c r="BG58" s="2251">
        <f t="shared" si="40"/>
        <v>0</v>
      </c>
      <c r="BH58" s="2108"/>
      <c r="BI58" s="1044">
        <v>0</v>
      </c>
      <c r="BJ58" s="1044">
        <v>8</v>
      </c>
      <c r="BK58" s="1044"/>
      <c r="BL58" s="1044"/>
      <c r="BM58" s="2254">
        <v>8</v>
      </c>
      <c r="BN58" s="2251">
        <f t="shared" si="41"/>
        <v>0</v>
      </c>
      <c r="BP58" s="1044"/>
      <c r="BQ58" s="1044">
        <v>9</v>
      </c>
      <c r="BR58" s="1044"/>
      <c r="BS58" s="1044"/>
      <c r="BT58" s="2254">
        <v>9</v>
      </c>
      <c r="BU58" s="2251">
        <f t="shared" si="42"/>
        <v>0</v>
      </c>
      <c r="BW58" s="1044">
        <v>1</v>
      </c>
      <c r="BX58" s="1044">
        <v>8</v>
      </c>
      <c r="BY58" s="1044"/>
      <c r="BZ58" s="1044"/>
      <c r="CA58" s="2254">
        <v>9</v>
      </c>
      <c r="CB58" s="2251">
        <f t="shared" si="43"/>
        <v>0</v>
      </c>
      <c r="CD58" s="1044">
        <v>1</v>
      </c>
      <c r="CE58" s="1044">
        <v>8</v>
      </c>
      <c r="CF58" s="1044"/>
      <c r="CG58" s="1044"/>
      <c r="CH58" s="2254">
        <v>9</v>
      </c>
      <c r="CI58" s="2251">
        <f t="shared" si="44"/>
        <v>0</v>
      </c>
      <c r="CK58" s="1044">
        <v>0</v>
      </c>
      <c r="CL58" s="1044">
        <v>6</v>
      </c>
      <c r="CM58" s="1044">
        <v>1</v>
      </c>
      <c r="CN58" s="1044">
        <v>0</v>
      </c>
      <c r="CO58" s="2254">
        <v>7</v>
      </c>
      <c r="CP58" s="2251">
        <f t="shared" si="45"/>
        <v>0.16666666666666666</v>
      </c>
      <c r="CR58" s="1044">
        <v>1</v>
      </c>
      <c r="CS58" s="1044">
        <v>6</v>
      </c>
      <c r="CT58" s="1044">
        <v>1</v>
      </c>
      <c r="CU58" s="1044">
        <v>0</v>
      </c>
      <c r="CV58" s="2254">
        <v>8</v>
      </c>
      <c r="CW58" s="2251">
        <f t="shared" si="36"/>
        <v>0.14285714285714285</v>
      </c>
    </row>
    <row r="59" spans="1:101" ht="17.100000000000001" customHeight="1">
      <c r="A59" s="6515" t="s">
        <v>82</v>
      </c>
      <c r="B59" s="6519" t="s">
        <v>41</v>
      </c>
      <c r="C59" s="6520" t="s">
        <v>996</v>
      </c>
      <c r="E59" s="1044"/>
      <c r="F59" s="1044"/>
      <c r="G59" s="1044">
        <v>1</v>
      </c>
      <c r="H59" s="1044"/>
      <c r="I59" s="2254">
        <f>SUM(E59:H59)</f>
        <v>1</v>
      </c>
      <c r="J59" s="2251"/>
      <c r="K59" s="2108"/>
      <c r="L59" s="1044"/>
      <c r="M59" s="1044">
        <v>1</v>
      </c>
      <c r="N59" s="1044">
        <v>1</v>
      </c>
      <c r="O59" s="1044"/>
      <c r="P59" s="2254">
        <f>SUM(L59:O59)</f>
        <v>2</v>
      </c>
      <c r="Q59" s="2251">
        <f t="shared" si="1"/>
        <v>1</v>
      </c>
      <c r="R59" s="2108"/>
      <c r="S59" s="1044"/>
      <c r="T59" s="1044">
        <v>2</v>
      </c>
      <c r="U59" s="1044">
        <v>1</v>
      </c>
      <c r="V59" s="1044"/>
      <c r="W59" s="2254">
        <f>SUM(S59:V59)</f>
        <v>3</v>
      </c>
      <c r="X59" s="2251">
        <f t="shared" si="2"/>
        <v>0.5</v>
      </c>
      <c r="Y59" s="2108"/>
      <c r="Z59" s="1044"/>
      <c r="AA59" s="1044">
        <v>3</v>
      </c>
      <c r="AB59" s="1044">
        <v>1</v>
      </c>
      <c r="AC59" s="1044"/>
      <c r="AD59" s="2254">
        <f>SUM(Z59:AC59)</f>
        <v>4</v>
      </c>
      <c r="AE59" s="2251">
        <f t="shared" si="3"/>
        <v>0.33333333333333331</v>
      </c>
      <c r="AF59" s="2108"/>
      <c r="AG59" s="1044">
        <v>2</v>
      </c>
      <c r="AH59" s="1044">
        <v>3</v>
      </c>
      <c r="AI59" s="1044"/>
      <c r="AJ59" s="1044"/>
      <c r="AK59" s="2254">
        <f t="shared" si="14"/>
        <v>5</v>
      </c>
      <c r="AL59" s="2251">
        <f t="shared" si="4"/>
        <v>0</v>
      </c>
      <c r="AM59" s="2108"/>
      <c r="AN59" s="1044">
        <v>3</v>
      </c>
      <c r="AO59" s="1044">
        <v>1</v>
      </c>
      <c r="AP59" s="1044">
        <v>1</v>
      </c>
      <c r="AQ59" s="1044"/>
      <c r="AR59" s="2254">
        <f t="shared" si="15"/>
        <v>5</v>
      </c>
      <c r="AS59" s="2251">
        <f t="shared" si="5"/>
        <v>0.25</v>
      </c>
      <c r="AT59" s="2108"/>
      <c r="AU59" s="1044">
        <v>1</v>
      </c>
      <c r="AV59" s="1044">
        <v>2</v>
      </c>
      <c r="AW59" s="1044">
        <v>1</v>
      </c>
      <c r="AX59" s="1044"/>
      <c r="AY59" s="2254">
        <f t="shared" si="38"/>
        <v>4</v>
      </c>
      <c r="AZ59" s="2251">
        <f t="shared" si="39"/>
        <v>0.33333333333333331</v>
      </c>
      <c r="BA59" s="2108"/>
      <c r="BB59" s="1044">
        <v>1</v>
      </c>
      <c r="BC59" s="1044">
        <v>3</v>
      </c>
      <c r="BD59" s="1044">
        <v>1</v>
      </c>
      <c r="BE59" s="1044"/>
      <c r="BF59" s="2254">
        <f>SUM(BB59:BE59)</f>
        <v>5</v>
      </c>
      <c r="BG59" s="2251">
        <f t="shared" si="40"/>
        <v>0.25</v>
      </c>
      <c r="BH59" s="2108"/>
      <c r="BI59" s="1044"/>
      <c r="BJ59" s="1044">
        <v>3</v>
      </c>
      <c r="BK59" s="1044">
        <v>2</v>
      </c>
      <c r="BL59" s="1044"/>
      <c r="BM59" s="2254">
        <v>5</v>
      </c>
      <c r="BN59" s="2251">
        <f t="shared" si="41"/>
        <v>0.66666666666666663</v>
      </c>
      <c r="BP59" s="1044"/>
      <c r="BQ59" s="1044">
        <v>4</v>
      </c>
      <c r="BR59" s="1044">
        <v>1</v>
      </c>
      <c r="BS59" s="1044"/>
      <c r="BT59" s="2254">
        <v>5</v>
      </c>
      <c r="BU59" s="2251">
        <f t="shared" si="42"/>
        <v>0.25</v>
      </c>
      <c r="BW59" s="1044">
        <v>1</v>
      </c>
      <c r="BX59" s="1044">
        <v>4</v>
      </c>
      <c r="BY59" s="1044">
        <v>1</v>
      </c>
      <c r="BZ59" s="1044"/>
      <c r="CA59" s="2254">
        <v>6</v>
      </c>
      <c r="CB59" s="2251">
        <f t="shared" si="43"/>
        <v>0.2</v>
      </c>
      <c r="CD59" s="1044">
        <v>1</v>
      </c>
      <c r="CE59" s="1044">
        <v>5</v>
      </c>
      <c r="CF59" s="1044">
        <v>1</v>
      </c>
      <c r="CG59" s="1044"/>
      <c r="CH59" s="2254">
        <v>7</v>
      </c>
      <c r="CI59" s="2251">
        <f t="shared" si="44"/>
        <v>0.16666666666666666</v>
      </c>
      <c r="CK59" s="1044">
        <v>1</v>
      </c>
      <c r="CL59" s="1044">
        <v>5</v>
      </c>
      <c r="CM59" s="1044">
        <v>1</v>
      </c>
      <c r="CN59" s="1044">
        <v>0</v>
      </c>
      <c r="CO59" s="2254">
        <v>7</v>
      </c>
      <c r="CP59" s="2251">
        <f t="shared" si="45"/>
        <v>0.16666666666666666</v>
      </c>
      <c r="CR59" s="1044">
        <v>1</v>
      </c>
      <c r="CS59" s="1044">
        <v>5</v>
      </c>
      <c r="CT59" s="1044">
        <v>1</v>
      </c>
      <c r="CU59" s="1044">
        <v>0</v>
      </c>
      <c r="CV59" s="2254">
        <v>7</v>
      </c>
      <c r="CW59" s="2251">
        <f t="shared" si="36"/>
        <v>0.16666666666666666</v>
      </c>
    </row>
    <row r="60" spans="1:101" ht="17.100000000000001" customHeight="1" thickBot="1">
      <c r="A60" s="6515" t="s">
        <v>82</v>
      </c>
      <c r="B60" s="6519" t="s">
        <v>41</v>
      </c>
      <c r="C60" s="6520" t="s">
        <v>987</v>
      </c>
      <c r="E60" s="1044"/>
      <c r="F60" s="1044"/>
      <c r="G60" s="1044"/>
      <c r="H60" s="1044"/>
      <c r="I60" s="2254"/>
      <c r="J60" s="2251"/>
      <c r="K60" s="2108"/>
      <c r="L60" s="1044"/>
      <c r="M60" s="1044">
        <v>1</v>
      </c>
      <c r="N60" s="1044"/>
      <c r="O60" s="1044"/>
      <c r="P60" s="2254">
        <f>SUM(L60:O60)</f>
        <v>1</v>
      </c>
      <c r="Q60" s="2251">
        <f t="shared" si="1"/>
        <v>0</v>
      </c>
      <c r="R60" s="2108"/>
      <c r="S60" s="1044"/>
      <c r="T60" s="1044">
        <v>1</v>
      </c>
      <c r="U60" s="1044"/>
      <c r="V60" s="1044"/>
      <c r="W60" s="2254">
        <f>SUM(S60:V60)</f>
        <v>1</v>
      </c>
      <c r="X60" s="2251">
        <f t="shared" si="2"/>
        <v>0</v>
      </c>
      <c r="Y60" s="2108"/>
      <c r="Z60" s="1044">
        <v>2</v>
      </c>
      <c r="AA60" s="1044">
        <v>2</v>
      </c>
      <c r="AB60" s="1044">
        <v>2</v>
      </c>
      <c r="AC60" s="1044"/>
      <c r="AD60" s="2254">
        <f>SUM(Z60:AC60)</f>
        <v>6</v>
      </c>
      <c r="AE60" s="2251">
        <f t="shared" si="3"/>
        <v>0.5</v>
      </c>
      <c r="AF60" s="2108"/>
      <c r="AG60" s="1044"/>
      <c r="AH60" s="1044"/>
      <c r="AI60" s="1044">
        <v>2</v>
      </c>
      <c r="AJ60" s="1044"/>
      <c r="AK60" s="2254">
        <f t="shared" si="14"/>
        <v>2</v>
      </c>
      <c r="AL60" s="2251"/>
      <c r="AM60" s="2108"/>
      <c r="AN60" s="1044">
        <v>1</v>
      </c>
      <c r="AO60" s="1044">
        <v>2</v>
      </c>
      <c r="AP60" s="1044">
        <v>2</v>
      </c>
      <c r="AQ60" s="1044"/>
      <c r="AR60" s="2254">
        <f t="shared" si="15"/>
        <v>5</v>
      </c>
      <c r="AS60" s="2251"/>
      <c r="AT60" s="2108"/>
      <c r="AU60" s="1044">
        <v>1</v>
      </c>
      <c r="AV60" s="1044">
        <v>1</v>
      </c>
      <c r="AW60" s="1044">
        <v>2</v>
      </c>
      <c r="AX60" s="1044"/>
      <c r="AY60" s="2254">
        <f t="shared" si="38"/>
        <v>4</v>
      </c>
      <c r="AZ60" s="2251">
        <f t="shared" si="39"/>
        <v>1</v>
      </c>
      <c r="BA60" s="2108"/>
      <c r="BB60" s="1044">
        <v>2</v>
      </c>
      <c r="BC60" s="1044">
        <v>3</v>
      </c>
      <c r="BD60" s="1044">
        <v>2</v>
      </c>
      <c r="BE60" s="1044"/>
      <c r="BF60" s="2254">
        <f>SUM(BB60:BE60)</f>
        <v>7</v>
      </c>
      <c r="BG60" s="2251">
        <f t="shared" si="40"/>
        <v>0.4</v>
      </c>
      <c r="BH60" s="2108"/>
      <c r="BI60" s="1044">
        <v>3</v>
      </c>
      <c r="BJ60" s="1044">
        <v>1</v>
      </c>
      <c r="BK60" s="1044">
        <v>2</v>
      </c>
      <c r="BL60" s="1044"/>
      <c r="BM60" s="2254">
        <v>6</v>
      </c>
      <c r="BN60" s="2251">
        <f t="shared" si="41"/>
        <v>0.5</v>
      </c>
      <c r="BP60" s="1044">
        <v>2</v>
      </c>
      <c r="BQ60" s="1044">
        <v>3</v>
      </c>
      <c r="BR60" s="1044">
        <v>2</v>
      </c>
      <c r="BS60" s="1044"/>
      <c r="BT60" s="2254">
        <v>7</v>
      </c>
      <c r="BU60" s="2251">
        <f t="shared" si="42"/>
        <v>0.4</v>
      </c>
      <c r="BW60" s="1044">
        <v>4</v>
      </c>
      <c r="BX60" s="1044">
        <v>2</v>
      </c>
      <c r="BY60" s="1044">
        <v>2</v>
      </c>
      <c r="BZ60" s="1044"/>
      <c r="CA60" s="2254">
        <v>8</v>
      </c>
      <c r="CB60" s="2251">
        <f t="shared" si="43"/>
        <v>0.33333333333333331</v>
      </c>
      <c r="CD60" s="1044">
        <v>4</v>
      </c>
      <c r="CE60" s="1044">
        <v>3</v>
      </c>
      <c r="CF60" s="1044">
        <v>1</v>
      </c>
      <c r="CG60" s="1044">
        <v>1</v>
      </c>
      <c r="CH60" s="2254">
        <v>9</v>
      </c>
      <c r="CI60" s="2251">
        <f t="shared" si="44"/>
        <v>0.2857142857142857</v>
      </c>
      <c r="CK60" s="1044">
        <v>4</v>
      </c>
      <c r="CL60" s="1044">
        <v>6</v>
      </c>
      <c r="CM60" s="1044">
        <v>1</v>
      </c>
      <c r="CN60" s="1044">
        <v>1</v>
      </c>
      <c r="CO60" s="2254">
        <v>12</v>
      </c>
      <c r="CP60" s="2251">
        <f t="shared" si="45"/>
        <v>0.2</v>
      </c>
      <c r="CR60" s="1044">
        <v>5</v>
      </c>
      <c r="CS60" s="1044">
        <v>3</v>
      </c>
      <c r="CT60" s="1044">
        <v>1</v>
      </c>
      <c r="CU60" s="1044">
        <v>1</v>
      </c>
      <c r="CV60" s="2254">
        <v>10</v>
      </c>
      <c r="CW60" s="2251">
        <f t="shared" si="36"/>
        <v>0.25</v>
      </c>
    </row>
    <row r="61" spans="1:101" ht="17.100000000000001" customHeight="1" thickBot="1">
      <c r="A61" s="7324" t="s">
        <v>1418</v>
      </c>
      <c r="B61" s="7324"/>
      <c r="C61" s="7324"/>
      <c r="E61" s="1050">
        <f>SUM(E58:E59)</f>
        <v>0</v>
      </c>
      <c r="F61" s="1050">
        <f>SUM(F58:F59)</f>
        <v>1</v>
      </c>
      <c r="G61" s="1050">
        <f>SUM(G58:G59)</f>
        <v>1</v>
      </c>
      <c r="H61" s="1050">
        <f>SUM(H58:H59)</f>
        <v>0</v>
      </c>
      <c r="I61" s="2260">
        <f>SUM(I58:I59)</f>
        <v>2</v>
      </c>
      <c r="J61" s="2253">
        <f t="shared" si="0"/>
        <v>1</v>
      </c>
      <c r="K61" s="2108"/>
      <c r="L61" s="1050">
        <f>SUM(L58:L60)</f>
        <v>1</v>
      </c>
      <c r="M61" s="1050">
        <f>SUM(M58:M60)</f>
        <v>5</v>
      </c>
      <c r="N61" s="1050">
        <f>SUM(N58:N60)</f>
        <v>1</v>
      </c>
      <c r="O61" s="1050">
        <f>SUM(O58:O60)</f>
        <v>0</v>
      </c>
      <c r="P61" s="2260">
        <f>SUM(P58:P60)</f>
        <v>7</v>
      </c>
      <c r="Q61" s="2253">
        <f t="shared" si="1"/>
        <v>0.16666666666666666</v>
      </c>
      <c r="R61" s="2108"/>
      <c r="S61" s="1050">
        <f>SUM(S58:S60)</f>
        <v>1</v>
      </c>
      <c r="T61" s="1050">
        <f>SUM(T58:T60)</f>
        <v>5</v>
      </c>
      <c r="U61" s="1050">
        <f>SUM(U58:U60)</f>
        <v>2</v>
      </c>
      <c r="V61" s="1050">
        <f>SUM(V58:V60)</f>
        <v>0</v>
      </c>
      <c r="W61" s="2260">
        <f>SUM(W58:W60)</f>
        <v>8</v>
      </c>
      <c r="X61" s="2253">
        <f t="shared" si="2"/>
        <v>0.33333333333333331</v>
      </c>
      <c r="Y61" s="2108"/>
      <c r="Z61" s="1050">
        <f>SUM(Z58:Z60)</f>
        <v>5</v>
      </c>
      <c r="AA61" s="1050">
        <f>SUM(AA58:AA60)</f>
        <v>8</v>
      </c>
      <c r="AB61" s="1050">
        <f>SUM(AB58:AB60)</f>
        <v>4</v>
      </c>
      <c r="AC61" s="1050">
        <f>SUM(AC58:AC60)</f>
        <v>0</v>
      </c>
      <c r="AD61" s="2260">
        <f>SUM(AD58:AD60)</f>
        <v>17</v>
      </c>
      <c r="AE61" s="2253">
        <f t="shared" si="3"/>
        <v>0.30769230769230771</v>
      </c>
      <c r="AF61" s="2108"/>
      <c r="AG61" s="1050">
        <f>SUM(AG58:AG60)</f>
        <v>5</v>
      </c>
      <c r="AH61" s="1050">
        <f>SUM(AH58:AH60)</f>
        <v>7</v>
      </c>
      <c r="AI61" s="1050">
        <f>SUM(AI58:AI60)</f>
        <v>3</v>
      </c>
      <c r="AJ61" s="1050">
        <f>SUM(AJ58:AJ60)</f>
        <v>0</v>
      </c>
      <c r="AK61" s="2260">
        <f t="shared" si="14"/>
        <v>15</v>
      </c>
      <c r="AL61" s="2253">
        <f t="shared" si="4"/>
        <v>0.25</v>
      </c>
      <c r="AM61" s="2108"/>
      <c r="AN61" s="1050">
        <v>6</v>
      </c>
      <c r="AO61" s="1050">
        <v>6</v>
      </c>
      <c r="AP61" s="1050">
        <v>3</v>
      </c>
      <c r="AQ61" s="1050">
        <v>0</v>
      </c>
      <c r="AR61" s="2260">
        <f t="shared" si="15"/>
        <v>15</v>
      </c>
      <c r="AS61" s="2253">
        <f t="shared" si="5"/>
        <v>0.25</v>
      </c>
      <c r="AT61" s="2108"/>
      <c r="AU61" s="1050">
        <f>SUM(AU58:AU60)</f>
        <v>4</v>
      </c>
      <c r="AV61" s="1050">
        <f>SUM(AV58:AV60)</f>
        <v>7</v>
      </c>
      <c r="AW61" s="1050">
        <f>SUM(AW58:AW60)</f>
        <v>3</v>
      </c>
      <c r="AX61" s="1050">
        <f>SUM(AX58:AX60)</f>
        <v>0</v>
      </c>
      <c r="AY61" s="2260">
        <f>SUM(AY58:AY60)</f>
        <v>14</v>
      </c>
      <c r="AZ61" s="2253">
        <f t="shared" si="39"/>
        <v>0.27272727272727271</v>
      </c>
      <c r="BA61" s="2108"/>
      <c r="BB61" s="1050">
        <v>3</v>
      </c>
      <c r="BC61" s="1050">
        <v>11</v>
      </c>
      <c r="BD61" s="1050">
        <v>3</v>
      </c>
      <c r="BE61" s="1050">
        <v>0</v>
      </c>
      <c r="BF61" s="2260">
        <f>SUM(BF58:BF60)</f>
        <v>17</v>
      </c>
      <c r="BG61" s="2253">
        <f t="shared" si="40"/>
        <v>0.21428571428571427</v>
      </c>
      <c r="BH61" s="2108"/>
      <c r="BI61" s="1050">
        <v>3</v>
      </c>
      <c r="BJ61" s="1050">
        <v>12</v>
      </c>
      <c r="BK61" s="1050">
        <v>4</v>
      </c>
      <c r="BL61" s="1050">
        <v>0</v>
      </c>
      <c r="BM61" s="2260">
        <v>19</v>
      </c>
      <c r="BN61" s="2253">
        <f t="shared" si="41"/>
        <v>0.26666666666666666</v>
      </c>
      <c r="BP61" s="1050">
        <v>2</v>
      </c>
      <c r="BQ61" s="1050">
        <v>16</v>
      </c>
      <c r="BR61" s="1050">
        <v>3</v>
      </c>
      <c r="BS61" s="1050">
        <v>0</v>
      </c>
      <c r="BT61" s="2260">
        <v>21</v>
      </c>
      <c r="BU61" s="2253">
        <f t="shared" si="42"/>
        <v>0.16666666666666666</v>
      </c>
      <c r="BW61" s="1050">
        <f>SUM(BW58:BW60)</f>
        <v>6</v>
      </c>
      <c r="BX61" s="1050">
        <f>SUM(BX58:BX60)</f>
        <v>14</v>
      </c>
      <c r="BY61" s="1050">
        <f>SUM(BY58:BY60)</f>
        <v>3</v>
      </c>
      <c r="BZ61" s="1050">
        <f>SUM(BZ58:BZ60)</f>
        <v>0</v>
      </c>
      <c r="CA61" s="1050">
        <f>SUM(CA58:CA60)</f>
        <v>23</v>
      </c>
      <c r="CB61" s="2253">
        <f t="shared" si="43"/>
        <v>0.15</v>
      </c>
      <c r="CD61" s="1050">
        <v>6</v>
      </c>
      <c r="CE61" s="1050">
        <v>16</v>
      </c>
      <c r="CF61" s="1050">
        <v>2</v>
      </c>
      <c r="CG61" s="1050">
        <v>1</v>
      </c>
      <c r="CH61" s="1050">
        <v>25</v>
      </c>
      <c r="CI61" s="2253">
        <f t="shared" si="44"/>
        <v>0.13636363636363635</v>
      </c>
      <c r="CK61" s="1050">
        <v>5</v>
      </c>
      <c r="CL61" s="1050">
        <v>17</v>
      </c>
      <c r="CM61" s="1050">
        <v>3</v>
      </c>
      <c r="CN61" s="1050">
        <v>1</v>
      </c>
      <c r="CO61" s="1050">
        <v>26</v>
      </c>
      <c r="CP61" s="2253">
        <f t="shared" si="45"/>
        <v>0.18181818181818182</v>
      </c>
      <c r="CR61" s="1050">
        <v>7</v>
      </c>
      <c r="CS61" s="1050">
        <v>14</v>
      </c>
      <c r="CT61" s="1050">
        <v>3</v>
      </c>
      <c r="CU61" s="1050">
        <v>1</v>
      </c>
      <c r="CV61" s="1050">
        <v>25</v>
      </c>
      <c r="CW61" s="2253">
        <f t="shared" si="36"/>
        <v>0.19047619047619047</v>
      </c>
    </row>
    <row r="62" spans="1:101" ht="17.100000000000001" customHeight="1">
      <c r="A62" s="6515" t="s">
        <v>82</v>
      </c>
      <c r="B62" s="6519" t="s">
        <v>16</v>
      </c>
      <c r="C62" s="6533" t="s">
        <v>997</v>
      </c>
      <c r="E62" s="1044"/>
      <c r="F62" s="1044"/>
      <c r="G62" s="1044"/>
      <c r="H62" s="1044"/>
      <c r="I62" s="2254">
        <f>SUM(E62:H62)</f>
        <v>0</v>
      </c>
      <c r="J62" s="2251"/>
      <c r="K62" s="2108"/>
      <c r="L62" s="1044"/>
      <c r="M62" s="1044"/>
      <c r="N62" s="1044"/>
      <c r="O62" s="1044"/>
      <c r="P62" s="2254">
        <f>SUM(L62:O62)</f>
        <v>0</v>
      </c>
      <c r="Q62" s="2251"/>
      <c r="R62" s="2108"/>
      <c r="S62" s="1044"/>
      <c r="T62" s="1044"/>
      <c r="U62" s="1044"/>
      <c r="V62" s="1044"/>
      <c r="W62" s="2254">
        <f>SUM(S62:V62)</f>
        <v>0</v>
      </c>
      <c r="X62" s="2251"/>
      <c r="Y62" s="2108"/>
      <c r="Z62" s="1044">
        <v>1</v>
      </c>
      <c r="AA62" s="1044"/>
      <c r="AB62" s="1044"/>
      <c r="AC62" s="1044"/>
      <c r="AD62" s="2254">
        <f>SUM(Z62:AC62)</f>
        <v>1</v>
      </c>
      <c r="AE62" s="2251">
        <f t="shared" si="3"/>
        <v>0</v>
      </c>
      <c r="AF62" s="2108"/>
      <c r="AG62" s="1044">
        <v>1</v>
      </c>
      <c r="AH62" s="1044"/>
      <c r="AI62" s="1044"/>
      <c r="AJ62" s="1044"/>
      <c r="AK62" s="2254">
        <f t="shared" si="14"/>
        <v>1</v>
      </c>
      <c r="AL62" s="2251">
        <f t="shared" si="4"/>
        <v>0</v>
      </c>
      <c r="AM62" s="2108"/>
      <c r="AN62" s="1044">
        <v>1</v>
      </c>
      <c r="AO62" s="1044">
        <v>1</v>
      </c>
      <c r="AP62" s="1044"/>
      <c r="AQ62" s="1044"/>
      <c r="AR62" s="2254">
        <f t="shared" si="15"/>
        <v>2</v>
      </c>
      <c r="AS62" s="2251">
        <f t="shared" si="5"/>
        <v>0</v>
      </c>
      <c r="AT62" s="2108"/>
      <c r="AU62" s="1044">
        <v>1</v>
      </c>
      <c r="AV62" s="1044">
        <v>1</v>
      </c>
      <c r="AW62" s="1044"/>
      <c r="AX62" s="1044"/>
      <c r="AY62" s="2254">
        <f t="shared" si="38"/>
        <v>2</v>
      </c>
      <c r="AZ62" s="2251">
        <f t="shared" si="39"/>
        <v>0</v>
      </c>
      <c r="BA62" s="2108"/>
      <c r="BB62" s="1044">
        <v>3</v>
      </c>
      <c r="BC62" s="1044">
        <v>1</v>
      </c>
      <c r="BD62" s="1044"/>
      <c r="BE62" s="1044"/>
      <c r="BF62" s="2254">
        <f>SUM(BB62:BE62)</f>
        <v>4</v>
      </c>
      <c r="BG62" s="2251">
        <f t="shared" si="40"/>
        <v>0</v>
      </c>
      <c r="BH62" s="2108"/>
      <c r="BI62" s="1044">
        <v>1</v>
      </c>
      <c r="BJ62" s="1044">
        <v>2</v>
      </c>
      <c r="BK62" s="1044"/>
      <c r="BL62" s="1044"/>
      <c r="BM62" s="2254">
        <v>3</v>
      </c>
      <c r="BN62" s="2251">
        <f t="shared" si="41"/>
        <v>0</v>
      </c>
      <c r="BP62" s="1044">
        <v>1</v>
      </c>
      <c r="BQ62" s="1044">
        <v>3</v>
      </c>
      <c r="BR62" s="1044"/>
      <c r="BS62" s="1044"/>
      <c r="BT62" s="2254">
        <v>4</v>
      </c>
      <c r="BU62" s="2251">
        <f t="shared" si="42"/>
        <v>0</v>
      </c>
      <c r="BW62" s="1044">
        <v>2</v>
      </c>
      <c r="BX62" s="1044">
        <v>2</v>
      </c>
      <c r="BY62" s="1044"/>
      <c r="BZ62" s="1044"/>
      <c r="CA62" s="2254">
        <v>4</v>
      </c>
      <c r="CB62" s="2251">
        <f t="shared" si="43"/>
        <v>0</v>
      </c>
      <c r="CD62" s="1044">
        <v>1</v>
      </c>
      <c r="CE62" s="1044">
        <v>2</v>
      </c>
      <c r="CF62" s="1044"/>
      <c r="CG62" s="1044"/>
      <c r="CH62" s="2254">
        <v>3</v>
      </c>
      <c r="CI62" s="2251">
        <f t="shared" si="44"/>
        <v>0</v>
      </c>
      <c r="CK62" s="1044">
        <v>2</v>
      </c>
      <c r="CL62" s="1044">
        <v>4</v>
      </c>
      <c r="CM62" s="1044">
        <v>0</v>
      </c>
      <c r="CN62" s="1044">
        <v>0</v>
      </c>
      <c r="CO62" s="2254">
        <v>6</v>
      </c>
      <c r="CP62" s="2251">
        <f t="shared" si="45"/>
        <v>0</v>
      </c>
      <c r="CR62" s="1044">
        <v>0</v>
      </c>
      <c r="CS62" s="1044">
        <v>5</v>
      </c>
      <c r="CT62" s="1044">
        <v>0</v>
      </c>
      <c r="CU62" s="1044">
        <v>0</v>
      </c>
      <c r="CV62" s="2254">
        <v>5</v>
      </c>
      <c r="CW62" s="2251">
        <f t="shared" si="36"/>
        <v>0</v>
      </c>
    </row>
    <row r="63" spans="1:101" ht="17.100000000000001" customHeight="1">
      <c r="A63" s="6515" t="s">
        <v>82</v>
      </c>
      <c r="B63" s="6519" t="s">
        <v>16</v>
      </c>
      <c r="C63" s="6533" t="s">
        <v>998</v>
      </c>
      <c r="E63" s="1044"/>
      <c r="F63" s="1044"/>
      <c r="G63" s="1044"/>
      <c r="H63" s="1044"/>
      <c r="I63" s="2254"/>
      <c r="J63" s="2251"/>
      <c r="K63" s="2108"/>
      <c r="L63" s="1044"/>
      <c r="M63" s="1044"/>
      <c r="N63" s="1044"/>
      <c r="O63" s="1044"/>
      <c r="P63" s="2254"/>
      <c r="Q63" s="2251"/>
      <c r="R63" s="2108"/>
      <c r="S63" s="1044"/>
      <c r="T63" s="1044"/>
      <c r="U63" s="1044"/>
      <c r="V63" s="1044"/>
      <c r="W63" s="2254">
        <f>SUM(S63:V63)</f>
        <v>0</v>
      </c>
      <c r="X63" s="2251"/>
      <c r="Y63" s="2108"/>
      <c r="Z63" s="1044"/>
      <c r="AA63" s="1044"/>
      <c r="AB63" s="1044"/>
      <c r="AC63" s="1044"/>
      <c r="AD63" s="2254">
        <f>SUM(Z63:AC63)</f>
        <v>0</v>
      </c>
      <c r="AE63" s="2251"/>
      <c r="AF63" s="2108"/>
      <c r="AG63" s="1044"/>
      <c r="AH63" s="1044"/>
      <c r="AI63" s="1044">
        <v>1</v>
      </c>
      <c r="AJ63" s="1044"/>
      <c r="AK63" s="2254">
        <f t="shared" si="14"/>
        <v>1</v>
      </c>
      <c r="AL63" s="2251"/>
      <c r="AM63" s="2108"/>
      <c r="AN63" s="1044">
        <v>1</v>
      </c>
      <c r="AO63" s="1044"/>
      <c r="AP63" s="1044">
        <v>1</v>
      </c>
      <c r="AQ63" s="1044"/>
      <c r="AR63" s="2254">
        <f t="shared" si="15"/>
        <v>2</v>
      </c>
      <c r="AS63" s="2251"/>
      <c r="AT63" s="2108"/>
      <c r="AU63" s="1044">
        <v>2</v>
      </c>
      <c r="AV63" s="1044"/>
      <c r="AW63" s="1044">
        <v>1</v>
      </c>
      <c r="AX63" s="1044"/>
      <c r="AY63" s="2254">
        <f t="shared" si="38"/>
        <v>3</v>
      </c>
      <c r="AZ63" s="2251">
        <f t="shared" si="39"/>
        <v>0.5</v>
      </c>
      <c r="BA63" s="2108"/>
      <c r="BB63" s="1044">
        <v>3</v>
      </c>
      <c r="BC63" s="1044"/>
      <c r="BD63" s="1044">
        <v>1</v>
      </c>
      <c r="BE63" s="1044"/>
      <c r="BF63" s="2254">
        <f>SUM(BB63:BE63)</f>
        <v>4</v>
      </c>
      <c r="BG63" s="2251">
        <f t="shared" si="40"/>
        <v>0.33333333333333331</v>
      </c>
      <c r="BH63" s="2108"/>
      <c r="BI63" s="1044">
        <v>2</v>
      </c>
      <c r="BJ63" s="1044">
        <v>1</v>
      </c>
      <c r="BK63" s="1044">
        <v>1</v>
      </c>
      <c r="BL63" s="1044">
        <v>1</v>
      </c>
      <c r="BM63" s="2254">
        <v>5</v>
      </c>
      <c r="BN63" s="2251">
        <f t="shared" si="41"/>
        <v>0.66666666666666663</v>
      </c>
      <c r="BP63" s="1044">
        <v>2</v>
      </c>
      <c r="BQ63" s="1044">
        <v>2</v>
      </c>
      <c r="BR63" s="1044"/>
      <c r="BS63" s="1044">
        <v>1</v>
      </c>
      <c r="BT63" s="2254">
        <v>5</v>
      </c>
      <c r="BU63" s="2251">
        <f t="shared" si="42"/>
        <v>0.25</v>
      </c>
      <c r="BW63" s="1044">
        <v>2</v>
      </c>
      <c r="BX63" s="1044">
        <v>2</v>
      </c>
      <c r="BY63" s="1044"/>
      <c r="BZ63" s="1044">
        <v>1</v>
      </c>
      <c r="CA63" s="2254">
        <v>5</v>
      </c>
      <c r="CB63" s="2251">
        <f t="shared" si="43"/>
        <v>0.25</v>
      </c>
      <c r="CD63" s="1044">
        <v>1</v>
      </c>
      <c r="CE63" s="1044">
        <v>4</v>
      </c>
      <c r="CF63" s="1044"/>
      <c r="CG63" s="1044">
        <v>1</v>
      </c>
      <c r="CH63" s="2254">
        <v>6</v>
      </c>
      <c r="CI63" s="2251">
        <f t="shared" si="44"/>
        <v>0.2</v>
      </c>
      <c r="CK63" s="1044">
        <v>2</v>
      </c>
      <c r="CL63" s="1044">
        <v>4</v>
      </c>
      <c r="CM63" s="1044">
        <v>0</v>
      </c>
      <c r="CN63" s="1044">
        <v>1</v>
      </c>
      <c r="CO63" s="2254">
        <v>7</v>
      </c>
      <c r="CP63" s="2251">
        <f t="shared" si="45"/>
        <v>0.16666666666666666</v>
      </c>
      <c r="CR63" s="1044">
        <v>2</v>
      </c>
      <c r="CS63" s="1044">
        <v>4</v>
      </c>
      <c r="CT63" s="1044">
        <v>0</v>
      </c>
      <c r="CU63" s="1044">
        <v>1</v>
      </c>
      <c r="CV63" s="2254">
        <v>7</v>
      </c>
      <c r="CW63" s="2251">
        <f t="shared" si="36"/>
        <v>0.16666666666666666</v>
      </c>
    </row>
    <row r="64" spans="1:101" ht="17.100000000000001" customHeight="1" thickBot="1">
      <c r="A64" s="6515" t="s">
        <v>82</v>
      </c>
      <c r="B64" s="6519" t="s">
        <v>16</v>
      </c>
      <c r="C64" s="6534" t="s">
        <v>999</v>
      </c>
      <c r="E64" s="1044"/>
      <c r="F64" s="1044"/>
      <c r="G64" s="1044"/>
      <c r="H64" s="1044"/>
      <c r="I64" s="2254"/>
      <c r="J64" s="2251"/>
      <c r="K64" s="2108"/>
      <c r="L64" s="1044"/>
      <c r="M64" s="1044"/>
      <c r="N64" s="1044"/>
      <c r="O64" s="1044"/>
      <c r="P64" s="2254"/>
      <c r="Q64" s="2251"/>
      <c r="R64" s="2108"/>
      <c r="S64" s="1044"/>
      <c r="T64" s="1044">
        <v>1</v>
      </c>
      <c r="U64" s="1044"/>
      <c r="V64" s="1044"/>
      <c r="W64" s="2254">
        <f>SUM(S64:V64)</f>
        <v>1</v>
      </c>
      <c r="X64" s="2251">
        <f t="shared" si="2"/>
        <v>0</v>
      </c>
      <c r="Y64" s="2108"/>
      <c r="Z64" s="1044">
        <v>3</v>
      </c>
      <c r="AA64" s="1044">
        <v>1</v>
      </c>
      <c r="AB64" s="1044"/>
      <c r="AC64" s="1044"/>
      <c r="AD64" s="2254">
        <f>SUM(Z64:AC64)</f>
        <v>4</v>
      </c>
      <c r="AE64" s="2251">
        <f t="shared" si="3"/>
        <v>0</v>
      </c>
      <c r="AF64" s="2108"/>
      <c r="AG64" s="1044">
        <v>4</v>
      </c>
      <c r="AH64" s="1044">
        <v>1</v>
      </c>
      <c r="AI64" s="1044"/>
      <c r="AJ64" s="1044"/>
      <c r="AK64" s="2254">
        <f t="shared" si="14"/>
        <v>5</v>
      </c>
      <c r="AL64" s="2251">
        <f t="shared" si="4"/>
        <v>0</v>
      </c>
      <c r="AM64" s="2108"/>
      <c r="AN64" s="1044">
        <v>4</v>
      </c>
      <c r="AO64" s="1044">
        <v>2</v>
      </c>
      <c r="AP64" s="1044">
        <v>1</v>
      </c>
      <c r="AQ64" s="1044"/>
      <c r="AR64" s="2254">
        <f t="shared" si="15"/>
        <v>7</v>
      </c>
      <c r="AS64" s="2251">
        <f t="shared" si="5"/>
        <v>0.16666666666666666</v>
      </c>
      <c r="AT64" s="2108"/>
      <c r="AU64" s="1044">
        <v>2</v>
      </c>
      <c r="AV64" s="1044">
        <v>6</v>
      </c>
      <c r="AW64" s="1044">
        <v>1</v>
      </c>
      <c r="AX64" s="1044"/>
      <c r="AY64" s="2254">
        <f t="shared" si="38"/>
        <v>9</v>
      </c>
      <c r="AZ64" s="2251">
        <f t="shared" ref="AZ64:AZ77" si="46">(AW64+AX64)/(AU64+AV64)</f>
        <v>0.125</v>
      </c>
      <c r="BA64" s="2108"/>
      <c r="BB64" s="1044">
        <v>4</v>
      </c>
      <c r="BC64" s="1044">
        <v>8</v>
      </c>
      <c r="BD64" s="1044">
        <v>1</v>
      </c>
      <c r="BE64" s="1044"/>
      <c r="BF64" s="2254">
        <f>SUM(BB64:BE64)</f>
        <v>13</v>
      </c>
      <c r="BG64" s="2251">
        <f t="shared" si="40"/>
        <v>8.3333333333333329E-2</v>
      </c>
      <c r="BH64" s="2108"/>
      <c r="BI64" s="1044">
        <v>2</v>
      </c>
      <c r="BJ64" s="1044">
        <v>7</v>
      </c>
      <c r="BK64" s="1044">
        <v>1</v>
      </c>
      <c r="BL64" s="1044"/>
      <c r="BM64" s="2254">
        <v>10</v>
      </c>
      <c r="BN64" s="2251">
        <f t="shared" si="41"/>
        <v>0.1111111111111111</v>
      </c>
      <c r="BP64" s="1044">
        <v>4</v>
      </c>
      <c r="BQ64" s="1044">
        <v>8</v>
      </c>
      <c r="BR64" s="1044">
        <v>1</v>
      </c>
      <c r="BS64" s="1044"/>
      <c r="BT64" s="2254">
        <v>13</v>
      </c>
      <c r="BU64" s="2251">
        <f t="shared" si="42"/>
        <v>8.3333333333333329E-2</v>
      </c>
      <c r="BW64" s="1044">
        <v>4</v>
      </c>
      <c r="BX64" s="1044">
        <v>8</v>
      </c>
      <c r="BY64" s="1044">
        <v>1</v>
      </c>
      <c r="BZ64" s="1044"/>
      <c r="CA64" s="2254">
        <v>13</v>
      </c>
      <c r="CB64" s="2251">
        <f t="shared" si="43"/>
        <v>8.3333333333333329E-2</v>
      </c>
      <c r="CD64" s="1044"/>
      <c r="CE64" s="1044">
        <v>10</v>
      </c>
      <c r="CF64" s="1044">
        <v>1</v>
      </c>
      <c r="CG64" s="1044"/>
      <c r="CH64" s="2254">
        <v>11</v>
      </c>
      <c r="CI64" s="2251">
        <f t="shared" si="44"/>
        <v>0.1</v>
      </c>
      <c r="CK64" s="1044">
        <v>2</v>
      </c>
      <c r="CL64" s="1044">
        <v>11</v>
      </c>
      <c r="CM64" s="1044">
        <v>1</v>
      </c>
      <c r="CN64" s="1044">
        <v>0</v>
      </c>
      <c r="CO64" s="2254">
        <v>14</v>
      </c>
      <c r="CP64" s="2251">
        <f t="shared" si="45"/>
        <v>7.6923076923076927E-2</v>
      </c>
      <c r="CR64" s="1044">
        <v>1</v>
      </c>
      <c r="CS64" s="1044">
        <v>12</v>
      </c>
      <c r="CT64" s="1044">
        <v>1</v>
      </c>
      <c r="CU64" s="1044">
        <v>0</v>
      </c>
      <c r="CV64" s="2254">
        <v>14</v>
      </c>
      <c r="CW64" s="2251">
        <f t="shared" si="36"/>
        <v>7.6923076923076927E-2</v>
      </c>
    </row>
    <row r="65" spans="1:101" ht="17.100000000000001" customHeight="1">
      <c r="A65" s="7325" t="s">
        <v>1411</v>
      </c>
      <c r="B65" s="7325"/>
      <c r="C65" s="7325"/>
      <c r="E65" s="1051">
        <f>SUM(E62)</f>
        <v>0</v>
      </c>
      <c r="F65" s="1051">
        <f>SUM(F62)</f>
        <v>0</v>
      </c>
      <c r="G65" s="1051">
        <f>SUM(G62)</f>
        <v>0</v>
      </c>
      <c r="H65" s="1051">
        <f>SUM(H62)</f>
        <v>0</v>
      </c>
      <c r="I65" s="2255">
        <f>SUM(I62)</f>
        <v>0</v>
      </c>
      <c r="J65" s="2253"/>
      <c r="K65" s="2108"/>
      <c r="L65" s="1051">
        <f>SUM(L62)</f>
        <v>0</v>
      </c>
      <c r="M65" s="1051">
        <f>SUM(M62)</f>
        <v>0</v>
      </c>
      <c r="N65" s="1051">
        <f>SUM(N62)</f>
        <v>0</v>
      </c>
      <c r="O65" s="1051">
        <f>SUM(O62)</f>
        <v>0</v>
      </c>
      <c r="P65" s="2255">
        <f>SUM(P62)</f>
        <v>0</v>
      </c>
      <c r="Q65" s="2253"/>
      <c r="R65" s="2108"/>
      <c r="S65" s="1051">
        <f>SUM(S62:S64)</f>
        <v>0</v>
      </c>
      <c r="T65" s="1051">
        <f>SUM(T62:T64)</f>
        <v>1</v>
      </c>
      <c r="U65" s="1051">
        <f>SUM(U62:U64)</f>
        <v>0</v>
      </c>
      <c r="V65" s="1051">
        <f>SUM(V62:V64)</f>
        <v>0</v>
      </c>
      <c r="W65" s="2255">
        <f>SUM(W62:W64)</f>
        <v>1</v>
      </c>
      <c r="X65" s="2253">
        <f t="shared" si="2"/>
        <v>0</v>
      </c>
      <c r="Y65" s="2108"/>
      <c r="Z65" s="1051">
        <f>SUM(Z62:Z64)</f>
        <v>4</v>
      </c>
      <c r="AA65" s="1051">
        <f>SUM(AA62:AA64)</f>
        <v>1</v>
      </c>
      <c r="AB65" s="1051">
        <f>SUM(AB62:AB64)</f>
        <v>0</v>
      </c>
      <c r="AC65" s="1051">
        <f>SUM(AC62:AC64)</f>
        <v>0</v>
      </c>
      <c r="AD65" s="2255">
        <f>SUM(AD62:AD64)</f>
        <v>5</v>
      </c>
      <c r="AE65" s="2253">
        <f t="shared" si="3"/>
        <v>0</v>
      </c>
      <c r="AF65" s="2108"/>
      <c r="AG65" s="1051">
        <f>SUM(AG62:AG64)</f>
        <v>5</v>
      </c>
      <c r="AH65" s="1051">
        <f>SUM(AH62:AH64)</f>
        <v>1</v>
      </c>
      <c r="AI65" s="1051">
        <f>SUM(AI62:AI64)</f>
        <v>1</v>
      </c>
      <c r="AJ65" s="1051">
        <f>SUM(AJ62:AJ64)</f>
        <v>0</v>
      </c>
      <c r="AK65" s="2255">
        <f t="shared" si="14"/>
        <v>7</v>
      </c>
      <c r="AL65" s="2253">
        <f t="shared" si="4"/>
        <v>0.16666666666666666</v>
      </c>
      <c r="AM65" s="2108"/>
      <c r="AN65" s="1051">
        <v>6</v>
      </c>
      <c r="AO65" s="1051">
        <v>3</v>
      </c>
      <c r="AP65" s="1051">
        <v>2</v>
      </c>
      <c r="AQ65" s="1051">
        <v>0</v>
      </c>
      <c r="AR65" s="2255">
        <f t="shared" si="15"/>
        <v>11</v>
      </c>
      <c r="AS65" s="2253">
        <f t="shared" si="5"/>
        <v>0.22222222222222221</v>
      </c>
      <c r="AT65" s="2108"/>
      <c r="AU65" s="1051">
        <f>SUM(AU62:AU64)</f>
        <v>5</v>
      </c>
      <c r="AV65" s="1051">
        <f>SUM(AV62:AV64)</f>
        <v>7</v>
      </c>
      <c r="AW65" s="1051">
        <f>SUM(AW62:AW64)</f>
        <v>2</v>
      </c>
      <c r="AX65" s="1051">
        <f>SUM(AX62:AX64)</f>
        <v>0</v>
      </c>
      <c r="AY65" s="2255">
        <f>SUM(AY62:AY64)</f>
        <v>14</v>
      </c>
      <c r="AZ65" s="2253">
        <f t="shared" si="46"/>
        <v>0.16666666666666666</v>
      </c>
      <c r="BA65" s="2108"/>
      <c r="BB65" s="1051">
        <v>10</v>
      </c>
      <c r="BC65" s="1051">
        <v>9</v>
      </c>
      <c r="BD65" s="1051">
        <v>2</v>
      </c>
      <c r="BE65" s="1051">
        <v>0</v>
      </c>
      <c r="BF65" s="2255">
        <f>SUM(BF62:BF64)</f>
        <v>21</v>
      </c>
      <c r="BG65" s="2253">
        <f t="shared" si="40"/>
        <v>0.10526315789473684</v>
      </c>
      <c r="BH65" s="2108"/>
      <c r="BI65" s="1051">
        <v>5</v>
      </c>
      <c r="BJ65" s="1051">
        <v>10</v>
      </c>
      <c r="BK65" s="1051">
        <v>2</v>
      </c>
      <c r="BL65" s="1051">
        <v>1</v>
      </c>
      <c r="BM65" s="2255">
        <v>18</v>
      </c>
      <c r="BN65" s="2253">
        <f t="shared" si="41"/>
        <v>0.2</v>
      </c>
      <c r="BP65" s="1051">
        <v>7</v>
      </c>
      <c r="BQ65" s="1051">
        <v>13</v>
      </c>
      <c r="BR65" s="1051">
        <v>1</v>
      </c>
      <c r="BS65" s="1051">
        <v>1</v>
      </c>
      <c r="BT65" s="2255">
        <v>22</v>
      </c>
      <c r="BU65" s="2253">
        <f t="shared" si="42"/>
        <v>0.1</v>
      </c>
      <c r="BW65" s="1051">
        <f>SUM(BW62:BW64)</f>
        <v>8</v>
      </c>
      <c r="BX65" s="1051">
        <f>SUM(BX62:BX64)</f>
        <v>12</v>
      </c>
      <c r="BY65" s="1051">
        <f>SUM(BY62:BY64)</f>
        <v>1</v>
      </c>
      <c r="BZ65" s="1051">
        <f>SUM(BZ62:BZ64)</f>
        <v>1</v>
      </c>
      <c r="CA65" s="1051">
        <f>SUM(CA62:CA64)</f>
        <v>22</v>
      </c>
      <c r="CB65" s="2253">
        <f t="shared" si="43"/>
        <v>0.1</v>
      </c>
      <c r="CD65" s="1051">
        <f>SUM(CD62:CD64)</f>
        <v>2</v>
      </c>
      <c r="CE65" s="1051">
        <f>SUM(CE62:CE64)</f>
        <v>16</v>
      </c>
      <c r="CF65" s="1051">
        <f>SUM(CF62:CF64)</f>
        <v>1</v>
      </c>
      <c r="CG65" s="1051">
        <f>SUM(CG62:CG64)</f>
        <v>1</v>
      </c>
      <c r="CH65" s="1051">
        <f>SUM(CH62:CH64)</f>
        <v>20</v>
      </c>
      <c r="CI65" s="2253">
        <f t="shared" si="44"/>
        <v>0.1111111111111111</v>
      </c>
      <c r="CK65" s="1051">
        <v>6</v>
      </c>
      <c r="CL65" s="1051">
        <v>19</v>
      </c>
      <c r="CM65" s="1051">
        <v>1</v>
      </c>
      <c r="CN65" s="1051">
        <v>1</v>
      </c>
      <c r="CO65" s="1051">
        <v>27</v>
      </c>
      <c r="CP65" s="2253">
        <f t="shared" si="45"/>
        <v>0.08</v>
      </c>
      <c r="CR65" s="1051">
        <v>3</v>
      </c>
      <c r="CS65" s="1051">
        <v>21</v>
      </c>
      <c r="CT65" s="1051">
        <v>1</v>
      </c>
      <c r="CU65" s="1051">
        <v>1</v>
      </c>
      <c r="CV65" s="1051">
        <v>26</v>
      </c>
      <c r="CW65" s="2253">
        <f t="shared" si="36"/>
        <v>8.3333333333333329E-2</v>
      </c>
    </row>
    <row r="66" spans="1:101" ht="17.100000000000001" customHeight="1">
      <c r="A66" s="7327" t="s">
        <v>895</v>
      </c>
      <c r="B66" s="7327"/>
      <c r="C66" s="7327"/>
      <c r="E66" s="2144">
        <f>SUM(E65,E61,E57)</f>
        <v>0</v>
      </c>
      <c r="F66" s="2144">
        <f>SUM(F65,F61,F57)</f>
        <v>3</v>
      </c>
      <c r="G66" s="2144">
        <f>SUM(G65,G61,G57)</f>
        <v>1</v>
      </c>
      <c r="H66" s="2144">
        <f>SUM(H65,H61,H57)</f>
        <v>0</v>
      </c>
      <c r="I66" s="2268">
        <f>SUM(I57,I61,I65)</f>
        <v>4</v>
      </c>
      <c r="J66" s="2269">
        <f t="shared" si="0"/>
        <v>0.33333333333333331</v>
      </c>
      <c r="K66" s="2108"/>
      <c r="L66" s="2144">
        <f>SUM(L65,L61,L57)</f>
        <v>2</v>
      </c>
      <c r="M66" s="2144">
        <f>SUM(M65,M61,M57)</f>
        <v>8</v>
      </c>
      <c r="N66" s="2144">
        <f>SUM(N65,N61,N57)</f>
        <v>1</v>
      </c>
      <c r="O66" s="2144">
        <f>SUM(O65,O61,O57)</f>
        <v>0</v>
      </c>
      <c r="P66" s="2268">
        <f>SUM(P65,P61,P57)</f>
        <v>11</v>
      </c>
      <c r="Q66" s="2269">
        <f t="shared" si="1"/>
        <v>0.1</v>
      </c>
      <c r="R66" s="2108"/>
      <c r="S66" s="2144">
        <f>SUM(S65,S61,S57)</f>
        <v>2</v>
      </c>
      <c r="T66" s="2144">
        <f>SUM(T65,T61,T57)</f>
        <v>9</v>
      </c>
      <c r="U66" s="2144">
        <f>SUM(U65,U61,U57)</f>
        <v>2</v>
      </c>
      <c r="V66" s="2144">
        <f>SUM(V65,V61,V57)</f>
        <v>0</v>
      </c>
      <c r="W66" s="2268">
        <f>SUM(W57,W61,W65)</f>
        <v>13</v>
      </c>
      <c r="X66" s="2269">
        <f t="shared" si="2"/>
        <v>0.18181818181818182</v>
      </c>
      <c r="Y66" s="2108"/>
      <c r="Z66" s="2144">
        <f>SUM(Z65,Z61,Z57)</f>
        <v>10</v>
      </c>
      <c r="AA66" s="2144">
        <f>SUM(AA65,AA61,AA57)</f>
        <v>17</v>
      </c>
      <c r="AB66" s="2144">
        <f>SUM(AB65,AB61,AB57)</f>
        <v>4</v>
      </c>
      <c r="AC66" s="2144">
        <f>SUM(AC65,AC61,AC57)</f>
        <v>0</v>
      </c>
      <c r="AD66" s="2268">
        <f>SUM(AD57,AD61,AD65)</f>
        <v>31</v>
      </c>
      <c r="AE66" s="2269">
        <f t="shared" si="3"/>
        <v>0.14814814814814814</v>
      </c>
      <c r="AF66" s="2108"/>
      <c r="AG66" s="2144">
        <f>SUM(AG65,AG61,AG57)</f>
        <v>11</v>
      </c>
      <c r="AH66" s="2144">
        <f>SUM(AH65,AH61,AH57)</f>
        <v>13</v>
      </c>
      <c r="AI66" s="2144">
        <f>SUM(AI65,AI61,AI57)</f>
        <v>4</v>
      </c>
      <c r="AJ66" s="2144">
        <f>SUM(AJ65,AJ61,AJ57)</f>
        <v>0</v>
      </c>
      <c r="AK66" s="2268">
        <f t="shared" si="14"/>
        <v>28</v>
      </c>
      <c r="AL66" s="2269">
        <f t="shared" si="4"/>
        <v>0.16666666666666666</v>
      </c>
      <c r="AM66" s="2108"/>
      <c r="AN66" s="2144">
        <v>15</v>
      </c>
      <c r="AO66" s="2144">
        <v>13</v>
      </c>
      <c r="AP66" s="2144">
        <v>6</v>
      </c>
      <c r="AQ66" s="2144">
        <v>0</v>
      </c>
      <c r="AR66" s="2268">
        <f t="shared" si="15"/>
        <v>34</v>
      </c>
      <c r="AS66" s="2269">
        <f t="shared" si="5"/>
        <v>0.21428571428571427</v>
      </c>
      <c r="AT66" s="2108"/>
      <c r="AU66" s="2144">
        <f>SUM(AU57,AU61,AU65)</f>
        <v>12</v>
      </c>
      <c r="AV66" s="2144">
        <f>SUM(AV57,AV61,AV65)</f>
        <v>19</v>
      </c>
      <c r="AW66" s="2144">
        <f>SUM(AW57,AW61,AW65)</f>
        <v>6</v>
      </c>
      <c r="AX66" s="2144">
        <f>SUM(AX57,AX61,AX65)</f>
        <v>0</v>
      </c>
      <c r="AY66" s="2268">
        <f>SUM(AY57,AY61,AY65)</f>
        <v>37</v>
      </c>
      <c r="AZ66" s="2269">
        <f t="shared" si="46"/>
        <v>0.19354838709677419</v>
      </c>
      <c r="BA66" s="2108"/>
      <c r="BB66" s="2144">
        <v>18</v>
      </c>
      <c r="BC66" s="2144">
        <v>27</v>
      </c>
      <c r="BD66" s="2144">
        <v>6</v>
      </c>
      <c r="BE66" s="2144">
        <v>0</v>
      </c>
      <c r="BF66" s="2268">
        <f>SUM(BF57,BF61,BF65)</f>
        <v>51</v>
      </c>
      <c r="BG66" s="2269">
        <f t="shared" si="40"/>
        <v>0.13333333333333333</v>
      </c>
      <c r="BH66" s="2108"/>
      <c r="BI66" s="2144">
        <v>13</v>
      </c>
      <c r="BJ66" s="2144">
        <v>30</v>
      </c>
      <c r="BK66" s="2144">
        <v>7</v>
      </c>
      <c r="BL66" s="2144">
        <v>1</v>
      </c>
      <c r="BM66" s="2268">
        <v>51</v>
      </c>
      <c r="BN66" s="2269">
        <f t="shared" si="41"/>
        <v>0.18604651162790697</v>
      </c>
      <c r="BP66" s="2144">
        <v>16</v>
      </c>
      <c r="BQ66" s="2144">
        <v>37</v>
      </c>
      <c r="BR66" s="2144">
        <v>5</v>
      </c>
      <c r="BS66" s="2144">
        <v>1</v>
      </c>
      <c r="BT66" s="2268">
        <v>59</v>
      </c>
      <c r="BU66" s="2269">
        <f t="shared" si="42"/>
        <v>0.11320754716981132</v>
      </c>
      <c r="BW66" s="2144">
        <f>SUM(BW57,BW61,BW65)</f>
        <v>21</v>
      </c>
      <c r="BX66" s="2144">
        <f>SUM(BX57,BX61,BX65)</f>
        <v>34</v>
      </c>
      <c r="BY66" s="2144">
        <f>SUM(BY57,BY61,BY65)</f>
        <v>5</v>
      </c>
      <c r="BZ66" s="2144">
        <f>SUM(BZ57,BZ61,BZ65)</f>
        <v>1</v>
      </c>
      <c r="CA66" s="2144">
        <f>SUM(CA57,CA61,CA65)</f>
        <v>61</v>
      </c>
      <c r="CB66" s="2269">
        <f t="shared" si="43"/>
        <v>0.10909090909090909</v>
      </c>
      <c r="CD66" s="2144">
        <f>SUM(CD57,CD61,CD65)</f>
        <v>15</v>
      </c>
      <c r="CE66" s="2144">
        <f>SUM(CE57,CE61,CE65)</f>
        <v>39</v>
      </c>
      <c r="CF66" s="2144">
        <f>SUM(CF57,CF61,CF65)</f>
        <v>4</v>
      </c>
      <c r="CG66" s="2144">
        <f>SUM(CG57,CG61,CG65)</f>
        <v>2</v>
      </c>
      <c r="CH66" s="2144">
        <f>SUM(CH57,CH61,CH65)</f>
        <v>60</v>
      </c>
      <c r="CI66" s="2269">
        <f t="shared" si="44"/>
        <v>0.1111111111111111</v>
      </c>
      <c r="CK66" s="2144">
        <f>SUM(CK57,CK61,CK65)</f>
        <v>14</v>
      </c>
      <c r="CL66" s="2144">
        <f t="shared" ref="CL66:CO66" si="47">SUM(CL57,CL61,CL65)</f>
        <v>45</v>
      </c>
      <c r="CM66" s="2144">
        <f t="shared" si="47"/>
        <v>5</v>
      </c>
      <c r="CN66" s="2144">
        <f t="shared" si="47"/>
        <v>2</v>
      </c>
      <c r="CO66" s="2144">
        <f t="shared" si="47"/>
        <v>66</v>
      </c>
      <c r="CP66" s="2269">
        <f t="shared" si="45"/>
        <v>0.11864406779661017</v>
      </c>
      <c r="CR66" s="2144">
        <v>11</v>
      </c>
      <c r="CS66" s="2144">
        <v>43</v>
      </c>
      <c r="CT66" s="2144">
        <v>5</v>
      </c>
      <c r="CU66" s="2144">
        <v>2</v>
      </c>
      <c r="CV66" s="2144">
        <v>61</v>
      </c>
      <c r="CW66" s="2269">
        <f t="shared" si="36"/>
        <v>0.12962962962962962</v>
      </c>
    </row>
    <row r="67" spans="1:101" ht="17.100000000000001" customHeight="1">
      <c r="A67" s="6515" t="s">
        <v>74</v>
      </c>
      <c r="B67" s="6516" t="s">
        <v>41</v>
      </c>
      <c r="C67" s="6517" t="s">
        <v>1000</v>
      </c>
      <c r="E67" s="1047"/>
      <c r="F67" s="1047">
        <v>18</v>
      </c>
      <c r="G67" s="1047">
        <v>4</v>
      </c>
      <c r="H67" s="1047"/>
      <c r="I67" s="2267">
        <f>SUM(E67:H67)</f>
        <v>22</v>
      </c>
      <c r="J67" s="2259">
        <f t="shared" si="0"/>
        <v>0.22222222222222221</v>
      </c>
      <c r="K67" s="2108"/>
      <c r="L67" s="1047"/>
      <c r="M67" s="1047">
        <v>18</v>
      </c>
      <c r="N67" s="1047">
        <v>4</v>
      </c>
      <c r="O67" s="1047">
        <v>1</v>
      </c>
      <c r="P67" s="2267">
        <f>SUM(L67:O67)</f>
        <v>23</v>
      </c>
      <c r="Q67" s="2259">
        <f t="shared" si="1"/>
        <v>0.27777777777777779</v>
      </c>
      <c r="R67" s="2108"/>
      <c r="S67" s="1047">
        <v>1</v>
      </c>
      <c r="T67" s="1047">
        <v>18</v>
      </c>
      <c r="U67" s="1047">
        <v>3</v>
      </c>
      <c r="V67" s="1047">
        <v>1</v>
      </c>
      <c r="W67" s="2267">
        <f>SUM(S67:V67)</f>
        <v>23</v>
      </c>
      <c r="X67" s="2259">
        <f t="shared" si="2"/>
        <v>0.21052631578947367</v>
      </c>
      <c r="Y67" s="2108"/>
      <c r="Z67" s="1047">
        <v>1</v>
      </c>
      <c r="AA67" s="1047">
        <v>17</v>
      </c>
      <c r="AB67" s="1047">
        <v>4</v>
      </c>
      <c r="AC67" s="1047">
        <v>1</v>
      </c>
      <c r="AD67" s="2267">
        <f>SUM(Z67:AC67)</f>
        <v>23</v>
      </c>
      <c r="AE67" s="2259">
        <f t="shared" si="3"/>
        <v>0.27777777777777779</v>
      </c>
      <c r="AF67" s="2108"/>
      <c r="AG67" s="1047">
        <v>6</v>
      </c>
      <c r="AH67" s="1047">
        <v>17</v>
      </c>
      <c r="AI67" s="1047">
        <v>5</v>
      </c>
      <c r="AJ67" s="1047">
        <v>1</v>
      </c>
      <c r="AK67" s="2267">
        <f t="shared" si="14"/>
        <v>29</v>
      </c>
      <c r="AL67" s="2259">
        <f t="shared" si="4"/>
        <v>0.2608695652173913</v>
      </c>
      <c r="AM67" s="2108"/>
      <c r="AN67" s="1047">
        <v>4</v>
      </c>
      <c r="AO67" s="1047">
        <v>19</v>
      </c>
      <c r="AP67" s="1047">
        <v>8</v>
      </c>
      <c r="AQ67" s="1047">
        <v>1</v>
      </c>
      <c r="AR67" s="2267">
        <f t="shared" si="15"/>
        <v>32</v>
      </c>
      <c r="AS67" s="2259">
        <f t="shared" si="5"/>
        <v>0.39130434782608697</v>
      </c>
      <c r="AT67" s="2108"/>
      <c r="AU67" s="1047">
        <v>5</v>
      </c>
      <c r="AV67" s="1047">
        <v>24</v>
      </c>
      <c r="AW67" s="1047">
        <v>8</v>
      </c>
      <c r="AX67" s="1047">
        <v>2</v>
      </c>
      <c r="AY67" s="2267">
        <f>SUM(AU67:AX67)</f>
        <v>39</v>
      </c>
      <c r="AZ67" s="2259">
        <f t="shared" si="46"/>
        <v>0.34482758620689657</v>
      </c>
      <c r="BA67" s="2108"/>
      <c r="BB67" s="1047">
        <v>5</v>
      </c>
      <c r="BC67" s="1047">
        <v>21</v>
      </c>
      <c r="BD67" s="1047">
        <v>10</v>
      </c>
      <c r="BE67" s="1047">
        <v>2</v>
      </c>
      <c r="BF67" s="2267">
        <f>SUM(BB67:BE67)</f>
        <v>38</v>
      </c>
      <c r="BG67" s="2259">
        <f t="shared" si="40"/>
        <v>0.46153846153846156</v>
      </c>
      <c r="BH67" s="2108"/>
      <c r="BI67" s="1047">
        <v>3</v>
      </c>
      <c r="BJ67" s="1047">
        <v>20</v>
      </c>
      <c r="BK67" s="1047">
        <v>13</v>
      </c>
      <c r="BL67" s="1047">
        <v>2</v>
      </c>
      <c r="BM67" s="2267">
        <v>38</v>
      </c>
      <c r="BN67" s="2259">
        <f t="shared" si="41"/>
        <v>0.65217391304347827</v>
      </c>
      <c r="BP67" s="1047">
        <v>3</v>
      </c>
      <c r="BQ67" s="1047">
        <v>14</v>
      </c>
      <c r="BR67" s="1047">
        <v>13</v>
      </c>
      <c r="BS67" s="1047">
        <v>3</v>
      </c>
      <c r="BT67" s="2267">
        <v>33</v>
      </c>
      <c r="BU67" s="2259">
        <f t="shared" si="42"/>
        <v>0.94117647058823528</v>
      </c>
      <c r="BW67" s="1047">
        <v>2</v>
      </c>
      <c r="BX67" s="1047">
        <v>12</v>
      </c>
      <c r="BY67" s="1047">
        <v>13</v>
      </c>
      <c r="BZ67" s="1047">
        <v>3</v>
      </c>
      <c r="CA67" s="2267">
        <v>30</v>
      </c>
      <c r="CB67" s="2259">
        <f t="shared" si="43"/>
        <v>1.1428571428571428</v>
      </c>
      <c r="CD67" s="1047">
        <v>6</v>
      </c>
      <c r="CE67" s="1047">
        <v>13</v>
      </c>
      <c r="CF67" s="1047">
        <v>12</v>
      </c>
      <c r="CG67" s="1047">
        <v>4</v>
      </c>
      <c r="CH67" s="2267">
        <v>35</v>
      </c>
      <c r="CI67" s="2259">
        <f t="shared" si="44"/>
        <v>0.84210526315789469</v>
      </c>
      <c r="CK67" s="1047">
        <v>7</v>
      </c>
      <c r="CL67" s="1047">
        <v>15</v>
      </c>
      <c r="CM67" s="1047">
        <v>10</v>
      </c>
      <c r="CN67" s="1047">
        <v>5</v>
      </c>
      <c r="CO67" s="2267">
        <v>37</v>
      </c>
      <c r="CP67" s="2259">
        <f t="shared" si="45"/>
        <v>0.68181818181818177</v>
      </c>
      <c r="CR67" s="1047">
        <v>11</v>
      </c>
      <c r="CS67" s="1047">
        <v>14</v>
      </c>
      <c r="CT67" s="1047">
        <v>12</v>
      </c>
      <c r="CU67" s="1047">
        <v>5</v>
      </c>
      <c r="CV67" s="2267">
        <v>42</v>
      </c>
      <c r="CW67" s="2259">
        <f t="shared" si="36"/>
        <v>0.68</v>
      </c>
    </row>
    <row r="68" spans="1:101" ht="17.100000000000001" customHeight="1">
      <c r="A68" s="6518" t="s">
        <v>74</v>
      </c>
      <c r="B68" s="6519" t="s">
        <v>41</v>
      </c>
      <c r="C68" s="6520" t="s">
        <v>1001</v>
      </c>
      <c r="E68" s="1044">
        <v>2</v>
      </c>
      <c r="F68" s="1044">
        <v>10</v>
      </c>
      <c r="G68" s="1048"/>
      <c r="H68" s="1048"/>
      <c r="I68" s="2250">
        <f>SUM(E68:H68)</f>
        <v>12</v>
      </c>
      <c r="J68" s="2251">
        <f t="shared" si="0"/>
        <v>0</v>
      </c>
      <c r="K68" s="2108"/>
      <c r="L68" s="1044">
        <v>2</v>
      </c>
      <c r="M68" s="1044">
        <v>10</v>
      </c>
      <c r="N68" s="1048"/>
      <c r="O68" s="1048"/>
      <c r="P68" s="2250">
        <f>SUM(L68:O68)</f>
        <v>12</v>
      </c>
      <c r="Q68" s="2251">
        <f t="shared" si="1"/>
        <v>0</v>
      </c>
      <c r="R68" s="2108"/>
      <c r="S68" s="1044">
        <v>2</v>
      </c>
      <c r="T68" s="1044">
        <v>9</v>
      </c>
      <c r="U68" s="1048"/>
      <c r="V68" s="1048"/>
      <c r="W68" s="2250">
        <f>SUM(S68:V68)</f>
        <v>11</v>
      </c>
      <c r="X68" s="2251">
        <f t="shared" si="2"/>
        <v>0</v>
      </c>
      <c r="Y68" s="2108"/>
      <c r="Z68" s="1044">
        <v>2</v>
      </c>
      <c r="AA68" s="1044">
        <v>7</v>
      </c>
      <c r="AB68" s="1048">
        <v>1</v>
      </c>
      <c r="AC68" s="1048"/>
      <c r="AD68" s="2250">
        <f>SUM(Z68:AC68)</f>
        <v>10</v>
      </c>
      <c r="AE68" s="2251">
        <f t="shared" si="3"/>
        <v>0.1111111111111111</v>
      </c>
      <c r="AF68" s="2108"/>
      <c r="AG68" s="1044">
        <v>2</v>
      </c>
      <c r="AH68" s="1044">
        <v>5</v>
      </c>
      <c r="AI68" s="1048"/>
      <c r="AJ68" s="1048"/>
      <c r="AK68" s="2250">
        <f t="shared" si="14"/>
        <v>7</v>
      </c>
      <c r="AL68" s="2251">
        <f t="shared" si="4"/>
        <v>0</v>
      </c>
      <c r="AM68" s="2108"/>
      <c r="AN68" s="1044">
        <v>4</v>
      </c>
      <c r="AO68" s="1044">
        <v>6</v>
      </c>
      <c r="AP68" s="1048"/>
      <c r="AQ68" s="1048"/>
      <c r="AR68" s="2250">
        <f t="shared" si="15"/>
        <v>10</v>
      </c>
      <c r="AS68" s="2251">
        <f t="shared" si="5"/>
        <v>0</v>
      </c>
      <c r="AT68" s="2108"/>
      <c r="AU68" s="1044">
        <v>5</v>
      </c>
      <c r="AV68" s="1044">
        <v>10</v>
      </c>
      <c r="AW68" s="1048"/>
      <c r="AX68" s="1048"/>
      <c r="AY68" s="2250">
        <f t="shared" ref="AY68:AY81" si="48">SUM(AU68:AX68)</f>
        <v>15</v>
      </c>
      <c r="AZ68" s="2251">
        <f t="shared" si="46"/>
        <v>0</v>
      </c>
      <c r="BA68" s="2108"/>
      <c r="BB68" s="1044">
        <v>3</v>
      </c>
      <c r="BC68" s="1044">
        <v>10</v>
      </c>
      <c r="BD68" s="1048">
        <v>1</v>
      </c>
      <c r="BE68" s="1048"/>
      <c r="BF68" s="2250">
        <f t="shared" ref="BF68:BF81" si="49">SUM(BB68:BE68)</f>
        <v>14</v>
      </c>
      <c r="BG68" s="2251">
        <f t="shared" si="40"/>
        <v>7.6923076923076927E-2</v>
      </c>
      <c r="BH68" s="2108"/>
      <c r="BI68" s="1044">
        <v>1</v>
      </c>
      <c r="BJ68" s="1044">
        <v>10</v>
      </c>
      <c r="BK68" s="1048">
        <v>1</v>
      </c>
      <c r="BL68" s="1048"/>
      <c r="BM68" s="2250">
        <v>12</v>
      </c>
      <c r="BN68" s="2251">
        <f t="shared" si="41"/>
        <v>9.0909090909090912E-2</v>
      </c>
      <c r="BP68" s="1044"/>
      <c r="BQ68" s="1044">
        <v>9</v>
      </c>
      <c r="BR68" s="1048">
        <v>1</v>
      </c>
      <c r="BS68" s="1048"/>
      <c r="BT68" s="2250">
        <v>10</v>
      </c>
      <c r="BU68" s="2251">
        <f t="shared" si="42"/>
        <v>0.1111111111111111</v>
      </c>
      <c r="BW68" s="1044">
        <v>1</v>
      </c>
      <c r="BX68" s="1044">
        <v>10</v>
      </c>
      <c r="BY68" s="1048">
        <v>1</v>
      </c>
      <c r="BZ68" s="1048"/>
      <c r="CA68" s="2250">
        <v>12</v>
      </c>
      <c r="CB68" s="2251">
        <f t="shared" si="43"/>
        <v>9.0909090909090912E-2</v>
      </c>
      <c r="CD68" s="1044"/>
      <c r="CE68" s="1044">
        <v>7</v>
      </c>
      <c r="CF68" s="1048">
        <v>1</v>
      </c>
      <c r="CG68" s="1048"/>
      <c r="CH68" s="2250">
        <v>8</v>
      </c>
      <c r="CI68" s="2251">
        <f t="shared" si="44"/>
        <v>0.14285714285714285</v>
      </c>
      <c r="CK68" s="1044">
        <v>2</v>
      </c>
      <c r="CL68" s="1044">
        <v>10</v>
      </c>
      <c r="CM68" s="1048">
        <v>1</v>
      </c>
      <c r="CN68" s="1048">
        <v>0</v>
      </c>
      <c r="CO68" s="2250">
        <v>13</v>
      </c>
      <c r="CP68" s="2251">
        <f t="shared" si="45"/>
        <v>8.3333333333333329E-2</v>
      </c>
      <c r="CR68" s="1044">
        <v>2</v>
      </c>
      <c r="CS68" s="1044">
        <v>11</v>
      </c>
      <c r="CT68" s="1048">
        <v>2</v>
      </c>
      <c r="CU68" s="1048">
        <v>0</v>
      </c>
      <c r="CV68" s="2250">
        <v>15</v>
      </c>
      <c r="CW68" s="2251">
        <f t="shared" si="36"/>
        <v>0.15384615384615385</v>
      </c>
    </row>
    <row r="69" spans="1:101" ht="17.100000000000001" customHeight="1">
      <c r="A69" s="6518" t="s">
        <v>74</v>
      </c>
      <c r="B69" s="6519" t="s">
        <v>41</v>
      </c>
      <c r="C69" s="6520" t="s">
        <v>1002</v>
      </c>
      <c r="E69" s="1044">
        <v>4</v>
      </c>
      <c r="F69" s="1044">
        <v>11</v>
      </c>
      <c r="G69" s="1044">
        <v>5</v>
      </c>
      <c r="H69" s="1044">
        <v>1</v>
      </c>
      <c r="I69" s="2254">
        <f>SUM(E69:H69)</f>
        <v>21</v>
      </c>
      <c r="J69" s="2251">
        <f t="shared" ref="J69:J84" si="50">(G69+H69)/(E69+F69)</f>
        <v>0.4</v>
      </c>
      <c r="K69" s="2108"/>
      <c r="L69" s="1044">
        <v>4</v>
      </c>
      <c r="M69" s="1044">
        <v>11</v>
      </c>
      <c r="N69" s="1044">
        <v>5</v>
      </c>
      <c r="O69" s="1044">
        <v>1</v>
      </c>
      <c r="P69" s="2254">
        <f>SUM(L69:O69)</f>
        <v>21</v>
      </c>
      <c r="Q69" s="2251">
        <f t="shared" ref="Q69:Q84" si="51">(N69+O69)/(L69+M69)</f>
        <v>0.4</v>
      </c>
      <c r="R69" s="2108"/>
      <c r="S69" s="1044">
        <v>4</v>
      </c>
      <c r="T69" s="1044">
        <v>10</v>
      </c>
      <c r="U69" s="1044">
        <v>6</v>
      </c>
      <c r="V69" s="1044">
        <v>1</v>
      </c>
      <c r="W69" s="2254">
        <f>SUM(S69:V69)</f>
        <v>21</v>
      </c>
      <c r="X69" s="2251">
        <f t="shared" ref="X69:X84" si="52">(U69+V69)/(S69+T69)</f>
        <v>0.5</v>
      </c>
      <c r="Y69" s="2108"/>
      <c r="Z69" s="1044">
        <v>3</v>
      </c>
      <c r="AA69" s="1044">
        <v>16</v>
      </c>
      <c r="AB69" s="1044">
        <v>5</v>
      </c>
      <c r="AC69" s="1044">
        <v>1</v>
      </c>
      <c r="AD69" s="2254">
        <f>SUM(Z69:AC69)</f>
        <v>25</v>
      </c>
      <c r="AE69" s="2251">
        <f t="shared" ref="AE69:AE84" si="53">(AB69+AC69)/(Z69+AA69)</f>
        <v>0.31578947368421051</v>
      </c>
      <c r="AF69" s="2108"/>
      <c r="AG69" s="1044">
        <v>4</v>
      </c>
      <c r="AH69" s="1044">
        <v>16</v>
      </c>
      <c r="AI69" s="1044">
        <v>5</v>
      </c>
      <c r="AJ69" s="1044">
        <v>1</v>
      </c>
      <c r="AK69" s="2254">
        <f t="shared" si="14"/>
        <v>26</v>
      </c>
      <c r="AL69" s="2251">
        <f t="shared" ref="AL69:AL84" si="54">(AI69+AJ69)/(AG69+AH69)</f>
        <v>0.3</v>
      </c>
      <c r="AM69" s="2108"/>
      <c r="AN69" s="1044">
        <v>3</v>
      </c>
      <c r="AO69" s="1044">
        <v>16</v>
      </c>
      <c r="AP69" s="1044">
        <v>7</v>
      </c>
      <c r="AQ69" s="1044">
        <v>1</v>
      </c>
      <c r="AR69" s="2254">
        <f t="shared" si="15"/>
        <v>27</v>
      </c>
      <c r="AS69" s="2251">
        <f t="shared" ref="AS69:AS84" si="55">(AP69+AQ69)/(AN69+AO69)</f>
        <v>0.42105263157894735</v>
      </c>
      <c r="AT69" s="2108"/>
      <c r="AU69" s="1044">
        <v>4</v>
      </c>
      <c r="AV69" s="1044">
        <v>13</v>
      </c>
      <c r="AW69" s="1044">
        <v>7</v>
      </c>
      <c r="AX69" s="1044">
        <v>1</v>
      </c>
      <c r="AY69" s="2254">
        <f t="shared" si="48"/>
        <v>25</v>
      </c>
      <c r="AZ69" s="2251">
        <f t="shared" si="46"/>
        <v>0.47058823529411764</v>
      </c>
      <c r="BA69" s="2108"/>
      <c r="BB69" s="1044">
        <v>5</v>
      </c>
      <c r="BC69" s="1044">
        <v>11</v>
      </c>
      <c r="BD69" s="1044">
        <v>7</v>
      </c>
      <c r="BE69" s="1044">
        <v>1</v>
      </c>
      <c r="BF69" s="2254">
        <f t="shared" si="49"/>
        <v>24</v>
      </c>
      <c r="BG69" s="2251">
        <f t="shared" si="40"/>
        <v>0.5</v>
      </c>
      <c r="BH69" s="2108"/>
      <c r="BI69" s="1044">
        <v>6</v>
      </c>
      <c r="BJ69" s="1044">
        <v>12</v>
      </c>
      <c r="BK69" s="1044">
        <v>5</v>
      </c>
      <c r="BL69" s="1044">
        <v>1</v>
      </c>
      <c r="BM69" s="2254">
        <v>24</v>
      </c>
      <c r="BN69" s="2251">
        <f t="shared" si="41"/>
        <v>0.33333333333333331</v>
      </c>
      <c r="BP69" s="1044">
        <v>5</v>
      </c>
      <c r="BQ69" s="1044">
        <v>12</v>
      </c>
      <c r="BR69" s="1044">
        <v>3</v>
      </c>
      <c r="BS69" s="1044">
        <v>2</v>
      </c>
      <c r="BT69" s="2254">
        <v>22</v>
      </c>
      <c r="BU69" s="2251">
        <f t="shared" si="42"/>
        <v>0.29411764705882354</v>
      </c>
      <c r="BW69" s="1044">
        <v>7</v>
      </c>
      <c r="BX69" s="1044">
        <v>11</v>
      </c>
      <c r="BY69" s="1044">
        <v>3</v>
      </c>
      <c r="BZ69" s="1044">
        <v>2</v>
      </c>
      <c r="CA69" s="2254">
        <v>23</v>
      </c>
      <c r="CB69" s="2251">
        <f t="shared" si="43"/>
        <v>0.27777777777777779</v>
      </c>
      <c r="CD69" s="1044">
        <v>8</v>
      </c>
      <c r="CE69" s="1044">
        <v>14</v>
      </c>
      <c r="CF69" s="1044">
        <v>3</v>
      </c>
      <c r="CG69" s="1044">
        <v>2</v>
      </c>
      <c r="CH69" s="2254">
        <v>27</v>
      </c>
      <c r="CI69" s="2251">
        <f t="shared" si="44"/>
        <v>0.22727272727272727</v>
      </c>
      <c r="CK69" s="1044">
        <v>7</v>
      </c>
      <c r="CL69" s="1044">
        <v>25</v>
      </c>
      <c r="CM69" s="1044">
        <v>3</v>
      </c>
      <c r="CN69" s="1044">
        <v>2</v>
      </c>
      <c r="CO69" s="2254">
        <v>37</v>
      </c>
      <c r="CP69" s="2251">
        <f t="shared" si="45"/>
        <v>0.15625</v>
      </c>
      <c r="CR69" s="1044">
        <v>3</v>
      </c>
      <c r="CS69" s="1044">
        <v>26</v>
      </c>
      <c r="CT69" s="1044">
        <v>3</v>
      </c>
      <c r="CU69" s="1044">
        <v>2</v>
      </c>
      <c r="CV69" s="2254">
        <v>34</v>
      </c>
      <c r="CW69" s="2251">
        <f t="shared" si="36"/>
        <v>0.17241379310344829</v>
      </c>
    </row>
    <row r="70" spans="1:101" ht="17.100000000000001" customHeight="1" thickBot="1">
      <c r="A70" s="6524" t="s">
        <v>74</v>
      </c>
      <c r="B70" s="6525" t="s">
        <v>41</v>
      </c>
      <c r="C70" s="6526" t="s">
        <v>1003</v>
      </c>
      <c r="E70" s="1048">
        <v>2</v>
      </c>
      <c r="F70" s="1044">
        <v>14</v>
      </c>
      <c r="G70" s="1044">
        <v>5</v>
      </c>
      <c r="H70" s="1048"/>
      <c r="I70" s="2250">
        <f>SUM(E70:H70)</f>
        <v>21</v>
      </c>
      <c r="J70" s="2251">
        <f t="shared" si="50"/>
        <v>0.3125</v>
      </c>
      <c r="K70" s="2108"/>
      <c r="L70" s="1048">
        <v>2</v>
      </c>
      <c r="M70" s="1044">
        <v>16</v>
      </c>
      <c r="N70" s="1044">
        <v>5</v>
      </c>
      <c r="O70" s="1048"/>
      <c r="P70" s="2250">
        <f>SUM(L70:O70)</f>
        <v>23</v>
      </c>
      <c r="Q70" s="2251">
        <f t="shared" si="51"/>
        <v>0.27777777777777779</v>
      </c>
      <c r="R70" s="2108"/>
      <c r="S70" s="1048">
        <v>2</v>
      </c>
      <c r="T70" s="1044">
        <v>24</v>
      </c>
      <c r="U70" s="1044">
        <v>5</v>
      </c>
      <c r="V70" s="1048"/>
      <c r="W70" s="2250">
        <f>SUM(S70:V70)</f>
        <v>31</v>
      </c>
      <c r="X70" s="2251">
        <f t="shared" si="52"/>
        <v>0.19230769230769232</v>
      </c>
      <c r="Y70" s="2108"/>
      <c r="Z70" s="1048">
        <v>8</v>
      </c>
      <c r="AA70" s="1044">
        <v>26</v>
      </c>
      <c r="AB70" s="1044">
        <v>5</v>
      </c>
      <c r="AC70" s="1048">
        <v>1</v>
      </c>
      <c r="AD70" s="2250">
        <f>SUM(Z70:AC70)</f>
        <v>40</v>
      </c>
      <c r="AE70" s="2251">
        <f t="shared" si="53"/>
        <v>0.17647058823529413</v>
      </c>
      <c r="AF70" s="2108"/>
      <c r="AG70" s="1048">
        <v>11</v>
      </c>
      <c r="AH70" s="1044">
        <v>23</v>
      </c>
      <c r="AI70" s="1044">
        <v>5</v>
      </c>
      <c r="AJ70" s="1048">
        <v>1</v>
      </c>
      <c r="AK70" s="2250">
        <f t="shared" ref="AK70:AK82" si="56">SUM(AG70:AJ70)</f>
        <v>40</v>
      </c>
      <c r="AL70" s="2251">
        <f t="shared" si="54"/>
        <v>0.17647058823529413</v>
      </c>
      <c r="AM70" s="2108"/>
      <c r="AN70" s="1048">
        <v>6</v>
      </c>
      <c r="AO70" s="1044">
        <v>26</v>
      </c>
      <c r="AP70" s="1044">
        <v>5</v>
      </c>
      <c r="AQ70" s="1048">
        <v>2</v>
      </c>
      <c r="AR70" s="2250">
        <f t="shared" ref="AR70:AR82" si="57">SUM(AN70:AQ70)</f>
        <v>39</v>
      </c>
      <c r="AS70" s="2251">
        <f t="shared" si="55"/>
        <v>0.21875</v>
      </c>
      <c r="AT70" s="2108"/>
      <c r="AU70" s="1048">
        <v>9</v>
      </c>
      <c r="AV70" s="1044">
        <v>25</v>
      </c>
      <c r="AW70" s="1044">
        <v>4</v>
      </c>
      <c r="AX70" s="1048">
        <v>3</v>
      </c>
      <c r="AY70" s="2250">
        <f t="shared" si="48"/>
        <v>41</v>
      </c>
      <c r="AZ70" s="2251">
        <f t="shared" si="46"/>
        <v>0.20588235294117646</v>
      </c>
      <c r="BA70" s="2108"/>
      <c r="BB70" s="1048">
        <v>7</v>
      </c>
      <c r="BC70" s="1044">
        <v>26</v>
      </c>
      <c r="BD70" s="1044">
        <v>4</v>
      </c>
      <c r="BE70" s="1048">
        <v>3</v>
      </c>
      <c r="BF70" s="2250">
        <f t="shared" si="49"/>
        <v>40</v>
      </c>
      <c r="BG70" s="2251">
        <f t="shared" si="40"/>
        <v>0.21212121212121213</v>
      </c>
      <c r="BH70" s="2108"/>
      <c r="BI70" s="1048">
        <v>7</v>
      </c>
      <c r="BJ70" s="1044">
        <v>22</v>
      </c>
      <c r="BK70" s="1044">
        <v>4</v>
      </c>
      <c r="BL70" s="1048">
        <v>3</v>
      </c>
      <c r="BM70" s="2250">
        <v>36</v>
      </c>
      <c r="BN70" s="2251">
        <f t="shared" si="41"/>
        <v>0.2413793103448276</v>
      </c>
      <c r="BP70" s="1048">
        <v>9</v>
      </c>
      <c r="BQ70" s="1044">
        <v>23</v>
      </c>
      <c r="BR70" s="1044">
        <v>5</v>
      </c>
      <c r="BS70" s="1048">
        <v>3</v>
      </c>
      <c r="BT70" s="2250">
        <v>40</v>
      </c>
      <c r="BU70" s="2251">
        <f t="shared" si="42"/>
        <v>0.25</v>
      </c>
      <c r="BW70" s="1048">
        <v>9</v>
      </c>
      <c r="BX70" s="1044">
        <v>24</v>
      </c>
      <c r="BY70" s="1044">
        <v>5</v>
      </c>
      <c r="BZ70" s="1048">
        <v>3</v>
      </c>
      <c r="CA70" s="2250">
        <v>41</v>
      </c>
      <c r="CB70" s="2251">
        <f t="shared" si="43"/>
        <v>0.24242424242424243</v>
      </c>
      <c r="CD70" s="1048">
        <v>7</v>
      </c>
      <c r="CE70" s="1044">
        <v>25</v>
      </c>
      <c r="CF70" s="1044">
        <v>5</v>
      </c>
      <c r="CG70" s="1048">
        <v>3</v>
      </c>
      <c r="CH70" s="2250">
        <v>40</v>
      </c>
      <c r="CI70" s="2251">
        <f t="shared" si="44"/>
        <v>0.25</v>
      </c>
      <c r="CK70" s="1048">
        <v>3</v>
      </c>
      <c r="CL70" s="1044">
        <v>26</v>
      </c>
      <c r="CM70" s="1044">
        <v>5</v>
      </c>
      <c r="CN70" s="1048">
        <v>4</v>
      </c>
      <c r="CO70" s="2250">
        <v>38</v>
      </c>
      <c r="CP70" s="2251">
        <f t="shared" si="45"/>
        <v>0.31034482758620691</v>
      </c>
      <c r="CR70" s="1048">
        <v>3</v>
      </c>
      <c r="CS70" s="1044">
        <v>23</v>
      </c>
      <c r="CT70" s="1044">
        <v>7</v>
      </c>
      <c r="CU70" s="1048">
        <v>3</v>
      </c>
      <c r="CV70" s="2250">
        <v>36</v>
      </c>
      <c r="CW70" s="2251">
        <f t="shared" si="36"/>
        <v>0.38461538461538464</v>
      </c>
    </row>
    <row r="71" spans="1:101" ht="17.100000000000001" customHeight="1" thickBot="1">
      <c r="A71" s="7324" t="s">
        <v>1418</v>
      </c>
      <c r="B71" s="7324"/>
      <c r="C71" s="7324"/>
      <c r="E71" s="1050">
        <f>SUM(E67:E70)</f>
        <v>8</v>
      </c>
      <c r="F71" s="1050">
        <f>SUM(F67:F70)</f>
        <v>53</v>
      </c>
      <c r="G71" s="1050">
        <f>SUM(G67:G70)</f>
        <v>14</v>
      </c>
      <c r="H71" s="1050">
        <f>SUM(H67:H70)</f>
        <v>1</v>
      </c>
      <c r="I71" s="2260">
        <f>SUM(I67:I70)</f>
        <v>76</v>
      </c>
      <c r="J71" s="2253">
        <f t="shared" si="50"/>
        <v>0.24590163934426229</v>
      </c>
      <c r="K71" s="2108"/>
      <c r="L71" s="1050">
        <f>SUM(L67:L70)</f>
        <v>8</v>
      </c>
      <c r="M71" s="1050">
        <f>SUM(M67:M70)</f>
        <v>55</v>
      </c>
      <c r="N71" s="1050">
        <f>SUM(N67:N70)</f>
        <v>14</v>
      </c>
      <c r="O71" s="1050">
        <f>SUM(O67:O70)</f>
        <v>2</v>
      </c>
      <c r="P71" s="2260">
        <f>SUM(P67:P70)</f>
        <v>79</v>
      </c>
      <c r="Q71" s="2253">
        <f t="shared" si="51"/>
        <v>0.25396825396825395</v>
      </c>
      <c r="R71" s="2108"/>
      <c r="S71" s="1050">
        <f>SUM(S67:S70)</f>
        <v>9</v>
      </c>
      <c r="T71" s="1050">
        <f>SUM(T67:T70)</f>
        <v>61</v>
      </c>
      <c r="U71" s="1050">
        <f>SUM(U67:U70)</f>
        <v>14</v>
      </c>
      <c r="V71" s="1050">
        <f>SUM(V67:V70)</f>
        <v>2</v>
      </c>
      <c r="W71" s="2260">
        <f>SUM(W67:W70)</f>
        <v>86</v>
      </c>
      <c r="X71" s="2253">
        <f t="shared" si="52"/>
        <v>0.22857142857142856</v>
      </c>
      <c r="Y71" s="2108"/>
      <c r="Z71" s="1050">
        <f>SUM(Z67:Z70)</f>
        <v>14</v>
      </c>
      <c r="AA71" s="1050">
        <f>SUM(AA67:AA70)</f>
        <v>66</v>
      </c>
      <c r="AB71" s="1050">
        <f>SUM(AB67:AB70)</f>
        <v>15</v>
      </c>
      <c r="AC71" s="1050">
        <f>SUM(AC67:AC70)</f>
        <v>3</v>
      </c>
      <c r="AD71" s="2260">
        <f>SUM(AD67:AD70)</f>
        <v>98</v>
      </c>
      <c r="AE71" s="2253">
        <f t="shared" si="53"/>
        <v>0.22500000000000001</v>
      </c>
      <c r="AF71" s="2108"/>
      <c r="AG71" s="1050">
        <f>SUM(AG67:AG70)</f>
        <v>23</v>
      </c>
      <c r="AH71" s="1050">
        <f>SUM(AH67:AH70)</f>
        <v>61</v>
      </c>
      <c r="AI71" s="1050">
        <f>SUM(AI67:AI70)</f>
        <v>15</v>
      </c>
      <c r="AJ71" s="1050">
        <f>SUM(AJ67:AJ70)</f>
        <v>3</v>
      </c>
      <c r="AK71" s="2260">
        <f t="shared" si="56"/>
        <v>102</v>
      </c>
      <c r="AL71" s="2253">
        <f t="shared" si="54"/>
        <v>0.21428571428571427</v>
      </c>
      <c r="AM71" s="2108"/>
      <c r="AN71" s="1050">
        <v>17</v>
      </c>
      <c r="AO71" s="1050">
        <v>67</v>
      </c>
      <c r="AP71" s="1050">
        <v>20</v>
      </c>
      <c r="AQ71" s="1050">
        <v>4</v>
      </c>
      <c r="AR71" s="2260">
        <f t="shared" si="57"/>
        <v>108</v>
      </c>
      <c r="AS71" s="2253">
        <f t="shared" si="55"/>
        <v>0.2857142857142857</v>
      </c>
      <c r="AT71" s="2108"/>
      <c r="AU71" s="1050">
        <f>SUM(AU67:AU70)</f>
        <v>23</v>
      </c>
      <c r="AV71" s="1050">
        <f>SUM(AV67:AV70)</f>
        <v>72</v>
      </c>
      <c r="AW71" s="1050">
        <f>SUM(AW67:AW70)</f>
        <v>19</v>
      </c>
      <c r="AX71" s="1050">
        <f>SUM(AX67:AX70)</f>
        <v>6</v>
      </c>
      <c r="AY71" s="2260">
        <f t="shared" si="48"/>
        <v>120</v>
      </c>
      <c r="AZ71" s="2253">
        <f t="shared" si="46"/>
        <v>0.26315789473684209</v>
      </c>
      <c r="BA71" s="2108"/>
      <c r="BB71" s="1050">
        <v>20</v>
      </c>
      <c r="BC71" s="1050">
        <v>68</v>
      </c>
      <c r="BD71" s="1050">
        <v>22</v>
      </c>
      <c r="BE71" s="1050">
        <v>6</v>
      </c>
      <c r="BF71" s="2260">
        <f t="shared" si="49"/>
        <v>116</v>
      </c>
      <c r="BG71" s="2253">
        <f t="shared" si="40"/>
        <v>0.31818181818181818</v>
      </c>
      <c r="BH71" s="2108"/>
      <c r="BI71" s="1050">
        <v>17</v>
      </c>
      <c r="BJ71" s="1050">
        <v>64</v>
      </c>
      <c r="BK71" s="1050">
        <v>23</v>
      </c>
      <c r="BL71" s="1050">
        <v>6</v>
      </c>
      <c r="BM71" s="2260">
        <v>110</v>
      </c>
      <c r="BN71" s="2253">
        <f t="shared" si="41"/>
        <v>0.35802469135802467</v>
      </c>
      <c r="BP71" s="1050">
        <v>17</v>
      </c>
      <c r="BQ71" s="1050">
        <v>58</v>
      </c>
      <c r="BR71" s="1050">
        <v>22</v>
      </c>
      <c r="BS71" s="1050">
        <v>8</v>
      </c>
      <c r="BT71" s="2260">
        <v>105</v>
      </c>
      <c r="BU71" s="2253">
        <f t="shared" si="42"/>
        <v>0.4</v>
      </c>
      <c r="BW71" s="1050">
        <f>SUM(BW67:BW70)</f>
        <v>19</v>
      </c>
      <c r="BX71" s="1050">
        <f>SUM(BX67:BX70)</f>
        <v>57</v>
      </c>
      <c r="BY71" s="1050">
        <f>SUM(BY67:BY70)</f>
        <v>22</v>
      </c>
      <c r="BZ71" s="1050">
        <f>SUM(BZ67:BZ70)</f>
        <v>8</v>
      </c>
      <c r="CA71" s="1050">
        <f>SUM(CA67:CA70)</f>
        <v>106</v>
      </c>
      <c r="CB71" s="2253">
        <f t="shared" si="43"/>
        <v>0.39473684210526316</v>
      </c>
      <c r="CD71" s="1050">
        <v>21</v>
      </c>
      <c r="CE71" s="1050">
        <v>59</v>
      </c>
      <c r="CF71" s="1050">
        <v>21</v>
      </c>
      <c r="CG71" s="1050">
        <v>9</v>
      </c>
      <c r="CH71" s="1050">
        <v>110</v>
      </c>
      <c r="CI71" s="2253">
        <f t="shared" si="44"/>
        <v>0.375</v>
      </c>
      <c r="CK71" s="1050">
        <v>19</v>
      </c>
      <c r="CL71" s="1050">
        <v>76</v>
      </c>
      <c r="CM71" s="1050">
        <v>19</v>
      </c>
      <c r="CN71" s="1050">
        <v>11</v>
      </c>
      <c r="CO71" s="1050">
        <v>125</v>
      </c>
      <c r="CP71" s="2253">
        <f t="shared" si="45"/>
        <v>0.31578947368421051</v>
      </c>
      <c r="CR71" s="1050">
        <v>19</v>
      </c>
      <c r="CS71" s="1050">
        <v>74</v>
      </c>
      <c r="CT71" s="1050">
        <v>24</v>
      </c>
      <c r="CU71" s="1050">
        <v>10</v>
      </c>
      <c r="CV71" s="1050">
        <v>127</v>
      </c>
      <c r="CW71" s="2253">
        <f t="shared" si="36"/>
        <v>0.36559139784946237</v>
      </c>
    </row>
    <row r="72" spans="1:101" ht="17.100000000000001" customHeight="1">
      <c r="A72" s="6528" t="s">
        <v>74</v>
      </c>
      <c r="B72" s="6529" t="s">
        <v>16</v>
      </c>
      <c r="C72" s="6530" t="s">
        <v>1004</v>
      </c>
      <c r="E72" s="1048"/>
      <c r="F72" s="1044">
        <f>14+3</f>
        <v>17</v>
      </c>
      <c r="G72" s="1044">
        <f>8+2</f>
        <v>10</v>
      </c>
      <c r="H72" s="1048">
        <v>1</v>
      </c>
      <c r="I72" s="2250">
        <f>SUM(E72:H72)</f>
        <v>28</v>
      </c>
      <c r="J72" s="2251">
        <f t="shared" si="50"/>
        <v>0.6470588235294118</v>
      </c>
      <c r="K72" s="2108"/>
      <c r="L72" s="1048"/>
      <c r="M72" s="1044">
        <f>14+3</f>
        <v>17</v>
      </c>
      <c r="N72" s="1044">
        <f>8+2</f>
        <v>10</v>
      </c>
      <c r="O72" s="1048">
        <v>1</v>
      </c>
      <c r="P72" s="2250">
        <f>SUM(L72:O72)</f>
        <v>28</v>
      </c>
      <c r="Q72" s="2251">
        <f t="shared" si="51"/>
        <v>0.6470588235294118</v>
      </c>
      <c r="R72" s="2108"/>
      <c r="S72" s="1048">
        <v>1</v>
      </c>
      <c r="T72" s="1044">
        <v>16</v>
      </c>
      <c r="U72" s="1044">
        <v>11</v>
      </c>
      <c r="V72" s="1048">
        <v>1</v>
      </c>
      <c r="W72" s="2250">
        <f>SUM(S72:V72)</f>
        <v>29</v>
      </c>
      <c r="X72" s="2251">
        <f t="shared" si="52"/>
        <v>0.70588235294117652</v>
      </c>
      <c r="Y72" s="2108"/>
      <c r="Z72" s="1048">
        <v>3</v>
      </c>
      <c r="AA72" s="1044">
        <v>13</v>
      </c>
      <c r="AB72" s="1044">
        <v>12</v>
      </c>
      <c r="AC72" s="1048">
        <v>2</v>
      </c>
      <c r="AD72" s="2250">
        <f>SUM(Z72:AC72)</f>
        <v>30</v>
      </c>
      <c r="AE72" s="2251">
        <f t="shared" si="53"/>
        <v>0.875</v>
      </c>
      <c r="AF72" s="2108"/>
      <c r="AG72" s="1048">
        <v>2</v>
      </c>
      <c r="AH72" s="1044">
        <v>14</v>
      </c>
      <c r="AI72" s="1044">
        <v>12</v>
      </c>
      <c r="AJ72" s="1048">
        <v>3</v>
      </c>
      <c r="AK72" s="2250">
        <f t="shared" si="56"/>
        <v>31</v>
      </c>
      <c r="AL72" s="2251">
        <f t="shared" si="54"/>
        <v>0.9375</v>
      </c>
      <c r="AM72" s="2108"/>
      <c r="AN72" s="1048">
        <v>1</v>
      </c>
      <c r="AO72" s="1044">
        <v>13</v>
      </c>
      <c r="AP72" s="1044">
        <v>13</v>
      </c>
      <c r="AQ72" s="1048">
        <v>3</v>
      </c>
      <c r="AR72" s="2250">
        <f t="shared" si="57"/>
        <v>30</v>
      </c>
      <c r="AS72" s="2251">
        <f t="shared" si="55"/>
        <v>1.1428571428571428</v>
      </c>
      <c r="AT72" s="2108"/>
      <c r="AU72" s="1048"/>
      <c r="AV72" s="1044">
        <v>14</v>
      </c>
      <c r="AW72" s="1044">
        <v>12</v>
      </c>
      <c r="AX72" s="1048">
        <v>3</v>
      </c>
      <c r="AY72" s="2250">
        <f t="shared" si="48"/>
        <v>29</v>
      </c>
      <c r="AZ72" s="2251">
        <f t="shared" si="46"/>
        <v>1.0714285714285714</v>
      </c>
      <c r="BA72" s="2108"/>
      <c r="BB72" s="1048">
        <v>1</v>
      </c>
      <c r="BC72" s="1044">
        <v>11</v>
      </c>
      <c r="BD72" s="1044">
        <v>12</v>
      </c>
      <c r="BE72" s="1048">
        <v>3</v>
      </c>
      <c r="BF72" s="2250">
        <f t="shared" si="49"/>
        <v>27</v>
      </c>
      <c r="BG72" s="2251">
        <f t="shared" si="40"/>
        <v>1.25</v>
      </c>
      <c r="BH72" s="2108"/>
      <c r="BI72" s="1048">
        <v>1</v>
      </c>
      <c r="BJ72" s="1044">
        <v>13</v>
      </c>
      <c r="BK72" s="1044">
        <v>12</v>
      </c>
      <c r="BL72" s="1048">
        <v>3</v>
      </c>
      <c r="BM72" s="2250">
        <v>29</v>
      </c>
      <c r="BN72" s="2251">
        <f t="shared" si="41"/>
        <v>1.0714285714285714</v>
      </c>
      <c r="BP72" s="1048">
        <v>1</v>
      </c>
      <c r="BQ72" s="1044">
        <v>12</v>
      </c>
      <c r="BR72" s="1044">
        <v>10</v>
      </c>
      <c r="BS72" s="1048">
        <v>3</v>
      </c>
      <c r="BT72" s="2250">
        <v>26</v>
      </c>
      <c r="BU72" s="2251">
        <f t="shared" si="42"/>
        <v>1</v>
      </c>
      <c r="BW72" s="1048">
        <v>1</v>
      </c>
      <c r="BX72" s="1044">
        <v>11</v>
      </c>
      <c r="BY72" s="1044">
        <v>10</v>
      </c>
      <c r="BZ72" s="1048">
        <v>3</v>
      </c>
      <c r="CA72" s="2250">
        <v>25</v>
      </c>
      <c r="CB72" s="2251">
        <f t="shared" si="43"/>
        <v>1.0833333333333333</v>
      </c>
      <c r="CD72" s="1048">
        <v>1</v>
      </c>
      <c r="CE72" s="1044">
        <v>8</v>
      </c>
      <c r="CF72" s="1044">
        <v>12</v>
      </c>
      <c r="CG72" s="1048">
        <v>3</v>
      </c>
      <c r="CH72" s="2250">
        <v>24</v>
      </c>
      <c r="CI72" s="2251">
        <f t="shared" si="44"/>
        <v>1.6666666666666667</v>
      </c>
      <c r="CK72" s="1048">
        <v>3</v>
      </c>
      <c r="CL72" s="1044">
        <v>9</v>
      </c>
      <c r="CM72" s="1044">
        <v>12</v>
      </c>
      <c r="CN72" s="1048">
        <v>4</v>
      </c>
      <c r="CO72" s="2250">
        <v>28</v>
      </c>
      <c r="CP72" s="2251">
        <f t="shared" si="45"/>
        <v>1.3333333333333333</v>
      </c>
      <c r="CR72" s="1048">
        <v>7</v>
      </c>
      <c r="CS72" s="1044">
        <v>12</v>
      </c>
      <c r="CT72" s="1044">
        <v>13</v>
      </c>
      <c r="CU72" s="1048">
        <v>4</v>
      </c>
      <c r="CV72" s="2250">
        <v>36</v>
      </c>
      <c r="CW72" s="2251">
        <f t="shared" si="36"/>
        <v>0.89473684210526316</v>
      </c>
    </row>
    <row r="73" spans="1:101" ht="17.100000000000001" customHeight="1">
      <c r="A73" s="6518" t="s">
        <v>74</v>
      </c>
      <c r="B73" s="6519" t="s">
        <v>16</v>
      </c>
      <c r="C73" s="6520" t="s">
        <v>1005</v>
      </c>
      <c r="E73" s="1048">
        <v>1</v>
      </c>
      <c r="F73" s="1044">
        <v>21</v>
      </c>
      <c r="G73" s="1044">
        <v>11</v>
      </c>
      <c r="H73" s="1044">
        <v>1</v>
      </c>
      <c r="I73" s="2254">
        <f>SUM(E73:H73)</f>
        <v>34</v>
      </c>
      <c r="J73" s="2251">
        <f t="shared" si="50"/>
        <v>0.54545454545454541</v>
      </c>
      <c r="K73" s="2108"/>
      <c r="L73" s="1048">
        <v>1</v>
      </c>
      <c r="M73" s="1044">
        <v>21</v>
      </c>
      <c r="N73" s="1044">
        <v>11</v>
      </c>
      <c r="O73" s="1044">
        <v>1</v>
      </c>
      <c r="P73" s="2254">
        <f>SUM(L73:O73)</f>
        <v>34</v>
      </c>
      <c r="Q73" s="2251">
        <f t="shared" si="51"/>
        <v>0.54545454545454541</v>
      </c>
      <c r="R73" s="2108"/>
      <c r="S73" s="1048">
        <v>1</v>
      </c>
      <c r="T73" s="1044">
        <v>20</v>
      </c>
      <c r="U73" s="1044">
        <v>12</v>
      </c>
      <c r="V73" s="1044"/>
      <c r="W73" s="2254">
        <f>SUM(S73:V73)</f>
        <v>33</v>
      </c>
      <c r="X73" s="2251">
        <f t="shared" si="52"/>
        <v>0.5714285714285714</v>
      </c>
      <c r="Y73" s="2108"/>
      <c r="Z73" s="1048">
        <v>4</v>
      </c>
      <c r="AA73" s="1044">
        <v>24</v>
      </c>
      <c r="AB73" s="1044">
        <v>9</v>
      </c>
      <c r="AC73" s="1044">
        <v>1</v>
      </c>
      <c r="AD73" s="2254">
        <f>SUM(Z73:AC73)</f>
        <v>38</v>
      </c>
      <c r="AE73" s="2251">
        <f t="shared" si="53"/>
        <v>0.35714285714285715</v>
      </c>
      <c r="AF73" s="2108"/>
      <c r="AG73" s="1048">
        <v>6</v>
      </c>
      <c r="AH73" s="1044">
        <v>26</v>
      </c>
      <c r="AI73" s="1044">
        <v>5</v>
      </c>
      <c r="AJ73" s="1044">
        <v>3</v>
      </c>
      <c r="AK73" s="2254">
        <f t="shared" si="56"/>
        <v>40</v>
      </c>
      <c r="AL73" s="2251">
        <f t="shared" si="54"/>
        <v>0.25</v>
      </c>
      <c r="AM73" s="2108"/>
      <c r="AN73" s="1048">
        <v>6</v>
      </c>
      <c r="AO73" s="1044">
        <v>24</v>
      </c>
      <c r="AP73" s="1044">
        <v>5</v>
      </c>
      <c r="AQ73" s="1044">
        <v>4</v>
      </c>
      <c r="AR73" s="2254">
        <f t="shared" si="57"/>
        <v>39</v>
      </c>
      <c r="AS73" s="2251">
        <f t="shared" si="55"/>
        <v>0.3</v>
      </c>
      <c r="AT73" s="2108"/>
      <c r="AU73" s="1048">
        <v>3</v>
      </c>
      <c r="AV73" s="1044">
        <v>25</v>
      </c>
      <c r="AW73" s="1044">
        <v>7</v>
      </c>
      <c r="AX73" s="1044">
        <v>4</v>
      </c>
      <c r="AY73" s="2254">
        <f t="shared" si="48"/>
        <v>39</v>
      </c>
      <c r="AZ73" s="2251">
        <f t="shared" si="46"/>
        <v>0.39285714285714285</v>
      </c>
      <c r="BA73" s="2108"/>
      <c r="BB73" s="1048">
        <v>1</v>
      </c>
      <c r="BC73" s="1044">
        <v>22</v>
      </c>
      <c r="BD73" s="1044">
        <v>9</v>
      </c>
      <c r="BE73" s="1044">
        <v>4</v>
      </c>
      <c r="BF73" s="2254">
        <f t="shared" si="49"/>
        <v>36</v>
      </c>
      <c r="BG73" s="2251">
        <f t="shared" si="40"/>
        <v>0.56521739130434778</v>
      </c>
      <c r="BH73" s="2108"/>
      <c r="BI73" s="1048">
        <v>2</v>
      </c>
      <c r="BJ73" s="1044">
        <v>20</v>
      </c>
      <c r="BK73" s="1044">
        <v>9</v>
      </c>
      <c r="BL73" s="1044">
        <v>4</v>
      </c>
      <c r="BM73" s="2254">
        <v>35</v>
      </c>
      <c r="BN73" s="2251">
        <f t="shared" si="41"/>
        <v>0.59090909090909094</v>
      </c>
      <c r="BP73" s="1048">
        <v>4</v>
      </c>
      <c r="BQ73" s="1044">
        <v>19</v>
      </c>
      <c r="BR73" s="1044">
        <v>9</v>
      </c>
      <c r="BS73" s="1044">
        <v>5</v>
      </c>
      <c r="BT73" s="2254">
        <v>37</v>
      </c>
      <c r="BU73" s="2251">
        <f t="shared" si="42"/>
        <v>0.60869565217391308</v>
      </c>
      <c r="BW73" s="1048">
        <v>3</v>
      </c>
      <c r="BX73" s="1044">
        <v>19</v>
      </c>
      <c r="BY73" s="1044">
        <v>9</v>
      </c>
      <c r="BZ73" s="1044">
        <v>5</v>
      </c>
      <c r="CA73" s="2254">
        <v>36</v>
      </c>
      <c r="CB73" s="2251">
        <f t="shared" si="43"/>
        <v>0.63636363636363635</v>
      </c>
      <c r="CD73" s="1048">
        <v>4</v>
      </c>
      <c r="CE73" s="1044">
        <v>20</v>
      </c>
      <c r="CF73" s="1044">
        <v>9</v>
      </c>
      <c r="CG73" s="1044">
        <v>6</v>
      </c>
      <c r="CH73" s="2254">
        <v>39</v>
      </c>
      <c r="CI73" s="2251">
        <f t="shared" si="44"/>
        <v>0.625</v>
      </c>
      <c r="CK73" s="1048">
        <v>4</v>
      </c>
      <c r="CL73" s="1044">
        <v>23</v>
      </c>
      <c r="CM73" s="1044">
        <v>8</v>
      </c>
      <c r="CN73" s="1044">
        <v>6</v>
      </c>
      <c r="CO73" s="2254">
        <v>41</v>
      </c>
      <c r="CP73" s="2251">
        <f t="shared" si="45"/>
        <v>0.51851851851851849</v>
      </c>
      <c r="CR73" s="1048">
        <v>6</v>
      </c>
      <c r="CS73" s="1044">
        <v>23</v>
      </c>
      <c r="CT73" s="1044">
        <v>10</v>
      </c>
      <c r="CU73" s="1044">
        <v>7</v>
      </c>
      <c r="CV73" s="2254">
        <v>46</v>
      </c>
      <c r="CW73" s="2251">
        <f t="shared" si="36"/>
        <v>0.58620689655172409</v>
      </c>
    </row>
    <row r="74" spans="1:101" ht="17.100000000000001" customHeight="1">
      <c r="A74" s="6518" t="s">
        <v>74</v>
      </c>
      <c r="B74" s="6519" t="s">
        <v>16</v>
      </c>
      <c r="C74" s="6520" t="s">
        <v>1006</v>
      </c>
      <c r="E74" s="1044">
        <v>2</v>
      </c>
      <c r="F74" s="1044">
        <v>14</v>
      </c>
      <c r="G74" s="1044">
        <v>7</v>
      </c>
      <c r="H74" s="1044">
        <v>7</v>
      </c>
      <c r="I74" s="2254">
        <f>SUM(E74:H74)</f>
        <v>30</v>
      </c>
      <c r="J74" s="2251">
        <f t="shared" si="50"/>
        <v>0.875</v>
      </c>
      <c r="K74" s="2108"/>
      <c r="L74" s="1044">
        <v>2</v>
      </c>
      <c r="M74" s="1044">
        <v>13</v>
      </c>
      <c r="N74" s="1044">
        <v>7</v>
      </c>
      <c r="O74" s="1044">
        <v>7</v>
      </c>
      <c r="P74" s="2254">
        <f>SUM(L74:O74)</f>
        <v>29</v>
      </c>
      <c r="Q74" s="2251">
        <f t="shared" si="51"/>
        <v>0.93333333333333335</v>
      </c>
      <c r="R74" s="2108"/>
      <c r="S74" s="1044">
        <v>5</v>
      </c>
      <c r="T74" s="1044">
        <v>14</v>
      </c>
      <c r="U74" s="1044">
        <v>7</v>
      </c>
      <c r="V74" s="1044">
        <v>9</v>
      </c>
      <c r="W74" s="2254">
        <f>SUM(S74:V74)</f>
        <v>35</v>
      </c>
      <c r="X74" s="2251">
        <f t="shared" si="52"/>
        <v>0.84210526315789469</v>
      </c>
      <c r="Y74" s="2108"/>
      <c r="Z74" s="1044">
        <v>6</v>
      </c>
      <c r="AA74" s="1044">
        <v>14</v>
      </c>
      <c r="AB74" s="1044">
        <v>6</v>
      </c>
      <c r="AC74" s="1044">
        <v>8</v>
      </c>
      <c r="AD74" s="2254">
        <f>SUM(Z74:AC74)</f>
        <v>34</v>
      </c>
      <c r="AE74" s="2251">
        <f t="shared" si="53"/>
        <v>0.7</v>
      </c>
      <c r="AF74" s="2108"/>
      <c r="AG74" s="1044">
        <v>6</v>
      </c>
      <c r="AH74" s="1044">
        <v>14</v>
      </c>
      <c r="AI74" s="1044">
        <v>6</v>
      </c>
      <c r="AJ74" s="1044">
        <v>8</v>
      </c>
      <c r="AK74" s="2254">
        <f t="shared" si="56"/>
        <v>34</v>
      </c>
      <c r="AL74" s="2251">
        <f t="shared" si="54"/>
        <v>0.7</v>
      </c>
      <c r="AM74" s="2108"/>
      <c r="AN74" s="1044">
        <v>5</v>
      </c>
      <c r="AO74" s="1044">
        <v>13</v>
      </c>
      <c r="AP74" s="1044">
        <v>8</v>
      </c>
      <c r="AQ74" s="1044">
        <v>8</v>
      </c>
      <c r="AR74" s="2254">
        <f t="shared" si="57"/>
        <v>34</v>
      </c>
      <c r="AS74" s="2251">
        <f t="shared" si="55"/>
        <v>0.88888888888888884</v>
      </c>
      <c r="AT74" s="2108"/>
      <c r="AU74" s="1044">
        <v>5</v>
      </c>
      <c r="AV74" s="1044">
        <v>13</v>
      </c>
      <c r="AW74" s="1044">
        <v>7</v>
      </c>
      <c r="AX74" s="1044">
        <v>9</v>
      </c>
      <c r="AY74" s="2254">
        <f t="shared" si="48"/>
        <v>34</v>
      </c>
      <c r="AZ74" s="2251">
        <f t="shared" si="46"/>
        <v>0.88888888888888884</v>
      </c>
      <c r="BA74" s="2108"/>
      <c r="BB74" s="1044">
        <v>4</v>
      </c>
      <c r="BC74" s="1044">
        <v>15</v>
      </c>
      <c r="BD74" s="1044">
        <v>6</v>
      </c>
      <c r="BE74" s="1044">
        <v>9</v>
      </c>
      <c r="BF74" s="2254">
        <f t="shared" si="49"/>
        <v>34</v>
      </c>
      <c r="BG74" s="2251">
        <f t="shared" si="40"/>
        <v>0.78947368421052633</v>
      </c>
      <c r="BH74" s="2108"/>
      <c r="BI74" s="1044">
        <v>4</v>
      </c>
      <c r="BJ74" s="1044">
        <v>14</v>
      </c>
      <c r="BK74" s="1044">
        <v>5</v>
      </c>
      <c r="BL74" s="1044">
        <v>10</v>
      </c>
      <c r="BM74" s="2254">
        <v>33</v>
      </c>
      <c r="BN74" s="2251">
        <f t="shared" si="41"/>
        <v>0.83333333333333337</v>
      </c>
      <c r="BP74" s="1044">
        <v>3</v>
      </c>
      <c r="BQ74" s="1044">
        <v>15</v>
      </c>
      <c r="BR74" s="1044">
        <v>5</v>
      </c>
      <c r="BS74" s="1044">
        <v>10</v>
      </c>
      <c r="BT74" s="2254">
        <v>33</v>
      </c>
      <c r="BU74" s="2251">
        <f t="shared" si="42"/>
        <v>0.83333333333333337</v>
      </c>
      <c r="BW74" s="1044">
        <v>4</v>
      </c>
      <c r="BX74" s="1044">
        <v>16</v>
      </c>
      <c r="BY74" s="1044">
        <v>5</v>
      </c>
      <c r="BZ74" s="1044">
        <v>10</v>
      </c>
      <c r="CA74" s="2254">
        <v>35</v>
      </c>
      <c r="CB74" s="2251">
        <f t="shared" si="43"/>
        <v>0.75</v>
      </c>
      <c r="CD74" s="1044">
        <v>4</v>
      </c>
      <c r="CE74" s="1044">
        <v>13</v>
      </c>
      <c r="CF74" s="1044">
        <v>6</v>
      </c>
      <c r="CG74" s="1044">
        <v>10</v>
      </c>
      <c r="CH74" s="2254">
        <v>33</v>
      </c>
      <c r="CI74" s="2251">
        <f t="shared" si="44"/>
        <v>0.94117647058823528</v>
      </c>
      <c r="CK74" s="1044">
        <v>3</v>
      </c>
      <c r="CL74" s="1044">
        <v>17</v>
      </c>
      <c r="CM74" s="1044">
        <v>7</v>
      </c>
      <c r="CN74" s="1044">
        <v>8</v>
      </c>
      <c r="CO74" s="2254">
        <v>35</v>
      </c>
      <c r="CP74" s="2251">
        <f t="shared" si="45"/>
        <v>0.75</v>
      </c>
      <c r="CR74" s="1044">
        <v>3</v>
      </c>
      <c r="CS74" s="1044">
        <v>13</v>
      </c>
      <c r="CT74" s="1044">
        <v>9</v>
      </c>
      <c r="CU74" s="1044">
        <v>8</v>
      </c>
      <c r="CV74" s="2254">
        <v>33</v>
      </c>
      <c r="CW74" s="2251">
        <f t="shared" si="36"/>
        <v>1.0625</v>
      </c>
    </row>
    <row r="75" spans="1:101" ht="17.100000000000001" customHeight="1" thickBot="1">
      <c r="A75" s="6518" t="s">
        <v>74</v>
      </c>
      <c r="B75" s="6519" t="s">
        <v>16</v>
      </c>
      <c r="C75" s="6520" t="s">
        <v>1007</v>
      </c>
      <c r="E75" s="1048"/>
      <c r="F75" s="1044">
        <v>16</v>
      </c>
      <c r="G75" s="1044">
        <v>6</v>
      </c>
      <c r="H75" s="1044">
        <v>2</v>
      </c>
      <c r="I75" s="2254">
        <f>SUM(E75:H75)</f>
        <v>24</v>
      </c>
      <c r="J75" s="2251">
        <f t="shared" si="50"/>
        <v>0.5</v>
      </c>
      <c r="K75" s="2108"/>
      <c r="L75" s="1048"/>
      <c r="M75" s="1044">
        <v>16</v>
      </c>
      <c r="N75" s="1044">
        <v>6</v>
      </c>
      <c r="O75" s="1044">
        <v>2</v>
      </c>
      <c r="P75" s="2254">
        <f>SUM(L75:O75)</f>
        <v>24</v>
      </c>
      <c r="Q75" s="2251">
        <f t="shared" si="51"/>
        <v>0.5</v>
      </c>
      <c r="R75" s="2108"/>
      <c r="S75" s="1048">
        <v>1</v>
      </c>
      <c r="T75" s="1044">
        <v>15</v>
      </c>
      <c r="U75" s="1044">
        <v>5</v>
      </c>
      <c r="V75" s="1044">
        <v>2</v>
      </c>
      <c r="W75" s="2254">
        <f>SUM(S75:V75)</f>
        <v>23</v>
      </c>
      <c r="X75" s="2251">
        <f t="shared" si="52"/>
        <v>0.4375</v>
      </c>
      <c r="Y75" s="2108"/>
      <c r="Z75" s="1048">
        <v>2</v>
      </c>
      <c r="AA75" s="1044">
        <v>12</v>
      </c>
      <c r="AB75" s="1044">
        <v>7</v>
      </c>
      <c r="AC75" s="1044">
        <v>2</v>
      </c>
      <c r="AD75" s="2254">
        <f>SUM(Z75:AC75)</f>
        <v>23</v>
      </c>
      <c r="AE75" s="2251">
        <f t="shared" si="53"/>
        <v>0.6428571428571429</v>
      </c>
      <c r="AF75" s="2108"/>
      <c r="AG75" s="1048">
        <v>3</v>
      </c>
      <c r="AH75" s="1044">
        <v>12</v>
      </c>
      <c r="AI75" s="1044">
        <v>6</v>
      </c>
      <c r="AJ75" s="1044">
        <v>2</v>
      </c>
      <c r="AK75" s="2254">
        <f t="shared" si="56"/>
        <v>23</v>
      </c>
      <c r="AL75" s="2251">
        <f t="shared" si="54"/>
        <v>0.53333333333333333</v>
      </c>
      <c r="AM75" s="2108"/>
      <c r="AN75" s="1048">
        <v>2</v>
      </c>
      <c r="AO75" s="1044">
        <v>10</v>
      </c>
      <c r="AP75" s="1044">
        <v>6</v>
      </c>
      <c r="AQ75" s="1044">
        <v>2</v>
      </c>
      <c r="AR75" s="2254">
        <f t="shared" si="57"/>
        <v>20</v>
      </c>
      <c r="AS75" s="2251">
        <f t="shared" si="55"/>
        <v>0.66666666666666663</v>
      </c>
      <c r="AT75" s="2108"/>
      <c r="AU75" s="1048">
        <v>2</v>
      </c>
      <c r="AV75" s="1044">
        <v>11</v>
      </c>
      <c r="AW75" s="1044">
        <v>4</v>
      </c>
      <c r="AX75" s="1044">
        <v>4</v>
      </c>
      <c r="AY75" s="2254">
        <f t="shared" si="48"/>
        <v>21</v>
      </c>
      <c r="AZ75" s="2251">
        <f t="shared" si="46"/>
        <v>0.61538461538461542</v>
      </c>
      <c r="BA75" s="2108"/>
      <c r="BB75" s="1048"/>
      <c r="BC75" s="1044">
        <v>10</v>
      </c>
      <c r="BD75" s="1044">
        <v>6</v>
      </c>
      <c r="BE75" s="1044">
        <v>4</v>
      </c>
      <c r="BF75" s="2254">
        <f t="shared" si="49"/>
        <v>20</v>
      </c>
      <c r="BG75" s="2251">
        <f t="shared" si="40"/>
        <v>1</v>
      </c>
      <c r="BH75" s="2108"/>
      <c r="BI75" s="1048">
        <v>1</v>
      </c>
      <c r="BJ75" s="1044">
        <v>7</v>
      </c>
      <c r="BK75" s="1044">
        <v>8</v>
      </c>
      <c r="BL75" s="1044">
        <v>4</v>
      </c>
      <c r="BM75" s="2254">
        <v>20</v>
      </c>
      <c r="BN75" s="2251">
        <f t="shared" si="41"/>
        <v>1.5</v>
      </c>
      <c r="BP75" s="1048">
        <v>1</v>
      </c>
      <c r="BQ75" s="1044">
        <v>8</v>
      </c>
      <c r="BR75" s="1044">
        <v>8</v>
      </c>
      <c r="BS75" s="1044">
        <v>4</v>
      </c>
      <c r="BT75" s="2254">
        <v>21</v>
      </c>
      <c r="BU75" s="2251">
        <f t="shared" si="42"/>
        <v>1.3333333333333333</v>
      </c>
      <c r="BW75" s="1048">
        <v>2</v>
      </c>
      <c r="BX75" s="1044">
        <v>8</v>
      </c>
      <c r="BY75" s="1044">
        <v>8</v>
      </c>
      <c r="BZ75" s="1044">
        <v>4</v>
      </c>
      <c r="CA75" s="2254">
        <v>22</v>
      </c>
      <c r="CB75" s="2251">
        <f t="shared" si="43"/>
        <v>1.2</v>
      </c>
      <c r="CD75" s="1048">
        <v>2</v>
      </c>
      <c r="CE75" s="1044">
        <v>7</v>
      </c>
      <c r="CF75" s="1044">
        <v>10</v>
      </c>
      <c r="CG75" s="1044">
        <v>4</v>
      </c>
      <c r="CH75" s="2254">
        <v>23</v>
      </c>
      <c r="CI75" s="2251">
        <f t="shared" si="44"/>
        <v>1.5555555555555556</v>
      </c>
      <c r="CK75" s="1048">
        <v>0</v>
      </c>
      <c r="CL75" s="1044">
        <v>11</v>
      </c>
      <c r="CM75" s="1044">
        <v>9</v>
      </c>
      <c r="CN75" s="1044">
        <v>4</v>
      </c>
      <c r="CO75" s="2254">
        <v>24</v>
      </c>
      <c r="CP75" s="2251">
        <f t="shared" si="45"/>
        <v>1.1818181818181819</v>
      </c>
      <c r="CR75" s="1048">
        <v>4</v>
      </c>
      <c r="CS75" s="1044">
        <v>11</v>
      </c>
      <c r="CT75" s="1044">
        <v>9</v>
      </c>
      <c r="CU75" s="1044">
        <v>4</v>
      </c>
      <c r="CV75" s="2254">
        <v>28</v>
      </c>
      <c r="CW75" s="2251">
        <f t="shared" si="36"/>
        <v>0.8666666666666667</v>
      </c>
    </row>
    <row r="76" spans="1:101" ht="17.100000000000001" customHeight="1" thickBot="1">
      <c r="A76" s="7324" t="s">
        <v>1411</v>
      </c>
      <c r="B76" s="7324"/>
      <c r="C76" s="7324"/>
      <c r="E76" s="1050">
        <f>SUM(E72:E75)</f>
        <v>3</v>
      </c>
      <c r="F76" s="1050">
        <f>SUM(F72:F75)</f>
        <v>68</v>
      </c>
      <c r="G76" s="1050">
        <f>SUM(G72:G75)</f>
        <v>34</v>
      </c>
      <c r="H76" s="1050">
        <f>SUM(H72:H75)</f>
        <v>11</v>
      </c>
      <c r="I76" s="2260">
        <f>SUM(I72:I75)</f>
        <v>116</v>
      </c>
      <c r="J76" s="2253">
        <f t="shared" si="50"/>
        <v>0.63380281690140849</v>
      </c>
      <c r="K76" s="2108"/>
      <c r="L76" s="1050">
        <f>SUM(L72:L75)</f>
        <v>3</v>
      </c>
      <c r="M76" s="1050">
        <f>SUM(M72:M75)</f>
        <v>67</v>
      </c>
      <c r="N76" s="1050">
        <f>SUM(N72:N75)</f>
        <v>34</v>
      </c>
      <c r="O76" s="1050">
        <f>SUM(O72:O75)</f>
        <v>11</v>
      </c>
      <c r="P76" s="2260">
        <f>SUM(P72:P75)</f>
        <v>115</v>
      </c>
      <c r="Q76" s="2253">
        <f t="shared" si="51"/>
        <v>0.6428571428571429</v>
      </c>
      <c r="R76" s="2108"/>
      <c r="S76" s="1050">
        <f>SUM(S72:S75)</f>
        <v>8</v>
      </c>
      <c r="T76" s="1050">
        <f>SUM(T72:T75)</f>
        <v>65</v>
      </c>
      <c r="U76" s="1050">
        <f>SUM(U72:U75)</f>
        <v>35</v>
      </c>
      <c r="V76" s="1050">
        <f>SUM(V72:V75)</f>
        <v>12</v>
      </c>
      <c r="W76" s="2260">
        <f>SUM(W72:W75)</f>
        <v>120</v>
      </c>
      <c r="X76" s="2253">
        <f t="shared" si="52"/>
        <v>0.64383561643835618</v>
      </c>
      <c r="Y76" s="2108"/>
      <c r="Z76" s="1050">
        <f>SUM(Z72:Z75)</f>
        <v>15</v>
      </c>
      <c r="AA76" s="1050">
        <f>SUM(AA72:AA75)</f>
        <v>63</v>
      </c>
      <c r="AB76" s="1050">
        <f>SUM(AB72:AB75)</f>
        <v>34</v>
      </c>
      <c r="AC76" s="1050">
        <f>SUM(AC72:AC75)</f>
        <v>13</v>
      </c>
      <c r="AD76" s="2260">
        <f>SUM(AD72:AD75)</f>
        <v>125</v>
      </c>
      <c r="AE76" s="2253">
        <f t="shared" si="53"/>
        <v>0.60256410256410253</v>
      </c>
      <c r="AF76" s="2108"/>
      <c r="AG76" s="1050">
        <f>SUM(AG72:AG75)</f>
        <v>17</v>
      </c>
      <c r="AH76" s="1050">
        <f>SUM(AH72:AH75)</f>
        <v>66</v>
      </c>
      <c r="AI76" s="1050">
        <f>SUM(AI72:AI75)</f>
        <v>29</v>
      </c>
      <c r="AJ76" s="1050">
        <f>SUM(AJ72:AJ75)</f>
        <v>16</v>
      </c>
      <c r="AK76" s="2260">
        <f t="shared" si="56"/>
        <v>128</v>
      </c>
      <c r="AL76" s="2253">
        <f t="shared" si="54"/>
        <v>0.54216867469879515</v>
      </c>
      <c r="AM76" s="2108"/>
      <c r="AN76" s="1050">
        <v>14</v>
      </c>
      <c r="AO76" s="1050">
        <v>60</v>
      </c>
      <c r="AP76" s="1050">
        <v>32</v>
      </c>
      <c r="AQ76" s="1050">
        <v>17</v>
      </c>
      <c r="AR76" s="2260">
        <f t="shared" si="57"/>
        <v>123</v>
      </c>
      <c r="AS76" s="2253">
        <f t="shared" si="55"/>
        <v>0.66216216216216217</v>
      </c>
      <c r="AT76" s="2108"/>
      <c r="AU76" s="1050">
        <f>SUM(AU72:AU75)</f>
        <v>10</v>
      </c>
      <c r="AV76" s="1050">
        <f>SUM(AV72:AV75)</f>
        <v>63</v>
      </c>
      <c r="AW76" s="1050">
        <f>SUM(AW72:AW75)</f>
        <v>30</v>
      </c>
      <c r="AX76" s="1050">
        <f>SUM(AX72:AX75)</f>
        <v>20</v>
      </c>
      <c r="AY76" s="2260">
        <f t="shared" si="48"/>
        <v>123</v>
      </c>
      <c r="AZ76" s="2253">
        <f t="shared" si="46"/>
        <v>0.68493150684931503</v>
      </c>
      <c r="BA76" s="2108"/>
      <c r="BB76" s="1050">
        <v>6</v>
      </c>
      <c r="BC76" s="1050">
        <v>58</v>
      </c>
      <c r="BD76" s="1050">
        <v>33</v>
      </c>
      <c r="BE76" s="1050">
        <v>20</v>
      </c>
      <c r="BF76" s="2260">
        <f t="shared" si="49"/>
        <v>117</v>
      </c>
      <c r="BG76" s="2253">
        <f t="shared" si="40"/>
        <v>0.828125</v>
      </c>
      <c r="BH76" s="2108"/>
      <c r="BI76" s="1050">
        <v>8</v>
      </c>
      <c r="BJ76" s="1050">
        <v>54</v>
      </c>
      <c r="BK76" s="1050">
        <v>34</v>
      </c>
      <c r="BL76" s="1050">
        <v>21</v>
      </c>
      <c r="BM76" s="2260">
        <v>117</v>
      </c>
      <c r="BN76" s="2253">
        <f t="shared" si="41"/>
        <v>0.88709677419354838</v>
      </c>
      <c r="BP76" s="1050">
        <v>9</v>
      </c>
      <c r="BQ76" s="1050">
        <v>54</v>
      </c>
      <c r="BR76" s="1050">
        <v>32</v>
      </c>
      <c r="BS76" s="1050">
        <v>22</v>
      </c>
      <c r="BT76" s="2260">
        <v>117</v>
      </c>
      <c r="BU76" s="2253">
        <f t="shared" si="42"/>
        <v>0.8571428571428571</v>
      </c>
      <c r="BW76" s="1050">
        <f>SUM(BW72:BW75)</f>
        <v>10</v>
      </c>
      <c r="BX76" s="1050">
        <f>SUM(BX72:BX75)</f>
        <v>54</v>
      </c>
      <c r="BY76" s="1050">
        <f>SUM(BY72:BY75)</f>
        <v>32</v>
      </c>
      <c r="BZ76" s="1050">
        <f>SUM(BZ72:BZ75)</f>
        <v>22</v>
      </c>
      <c r="CA76" s="1050">
        <f>SUM(CA72:CA75)</f>
        <v>118</v>
      </c>
      <c r="CB76" s="2253">
        <f t="shared" si="43"/>
        <v>0.84375</v>
      </c>
      <c r="CD76" s="1050">
        <v>11</v>
      </c>
      <c r="CE76" s="1050">
        <v>48</v>
      </c>
      <c r="CF76" s="1050">
        <v>37</v>
      </c>
      <c r="CG76" s="1050">
        <v>23</v>
      </c>
      <c r="CH76" s="1050">
        <v>119</v>
      </c>
      <c r="CI76" s="2253">
        <f t="shared" si="44"/>
        <v>1.0169491525423728</v>
      </c>
      <c r="CK76" s="1050">
        <v>10</v>
      </c>
      <c r="CL76" s="1050">
        <v>60</v>
      </c>
      <c r="CM76" s="1050">
        <v>36</v>
      </c>
      <c r="CN76" s="1050">
        <v>22</v>
      </c>
      <c r="CO76" s="1050">
        <v>128</v>
      </c>
      <c r="CP76" s="2253">
        <f t="shared" si="45"/>
        <v>0.82857142857142863</v>
      </c>
      <c r="CR76" s="1050">
        <v>20</v>
      </c>
      <c r="CS76" s="1050">
        <v>59</v>
      </c>
      <c r="CT76" s="1050">
        <v>41</v>
      </c>
      <c r="CU76" s="1050">
        <v>23</v>
      </c>
      <c r="CV76" s="1050">
        <v>143</v>
      </c>
      <c r="CW76" s="2253">
        <f t="shared" si="36"/>
        <v>0.810126582278481</v>
      </c>
    </row>
    <row r="77" spans="1:101" ht="17.100000000000001" customHeight="1">
      <c r="A77" s="6528" t="s">
        <v>74</v>
      </c>
      <c r="B77" s="6529" t="s">
        <v>965</v>
      </c>
      <c r="C77" s="6530" t="s">
        <v>1008</v>
      </c>
      <c r="E77" s="1048"/>
      <c r="F77" s="1044">
        <v>4</v>
      </c>
      <c r="G77" s="1044">
        <v>2</v>
      </c>
      <c r="H77" s="1048"/>
      <c r="I77" s="2250">
        <f>SUM(E77:H77)</f>
        <v>6</v>
      </c>
      <c r="J77" s="2251">
        <f t="shared" si="50"/>
        <v>0.5</v>
      </c>
      <c r="K77" s="2108"/>
      <c r="L77" s="1048"/>
      <c r="M77" s="1044">
        <v>4</v>
      </c>
      <c r="N77" s="1044">
        <v>2</v>
      </c>
      <c r="O77" s="1048"/>
      <c r="P77" s="2250">
        <f>SUM(L77:O77)</f>
        <v>6</v>
      </c>
      <c r="Q77" s="2251">
        <f t="shared" si="51"/>
        <v>0.5</v>
      </c>
      <c r="R77" s="2108"/>
      <c r="S77" s="1048"/>
      <c r="T77" s="1044">
        <v>5</v>
      </c>
      <c r="U77" s="1044">
        <v>2</v>
      </c>
      <c r="V77" s="1048"/>
      <c r="W77" s="2250">
        <f>SUM(S77:V77)</f>
        <v>7</v>
      </c>
      <c r="X77" s="2251">
        <f t="shared" si="52"/>
        <v>0.4</v>
      </c>
      <c r="Y77" s="2108"/>
      <c r="Z77" s="1048">
        <v>1</v>
      </c>
      <c r="AA77" s="1044">
        <v>6</v>
      </c>
      <c r="AB77" s="1044"/>
      <c r="AC77" s="1048">
        <v>1</v>
      </c>
      <c r="AD77" s="2250">
        <f>SUM(Z77:AC77)</f>
        <v>8</v>
      </c>
      <c r="AE77" s="2251">
        <f t="shared" si="53"/>
        <v>0.14285714285714285</v>
      </c>
      <c r="AF77" s="2108"/>
      <c r="AG77" s="1048"/>
      <c r="AH77" s="1044">
        <v>6</v>
      </c>
      <c r="AI77" s="1044"/>
      <c r="AJ77" s="1048">
        <v>1</v>
      </c>
      <c r="AK77" s="2250">
        <f t="shared" si="56"/>
        <v>7</v>
      </c>
      <c r="AL77" s="2251">
        <f t="shared" si="54"/>
        <v>0.16666666666666666</v>
      </c>
      <c r="AM77" s="2108"/>
      <c r="AN77" s="1048"/>
      <c r="AO77" s="1044">
        <v>4</v>
      </c>
      <c r="AP77" s="1044">
        <v>1</v>
      </c>
      <c r="AQ77" s="1048">
        <v>1</v>
      </c>
      <c r="AR77" s="2250">
        <f t="shared" si="57"/>
        <v>6</v>
      </c>
      <c r="AS77" s="2251">
        <f t="shared" si="55"/>
        <v>0.5</v>
      </c>
      <c r="AT77" s="2108"/>
      <c r="AU77" s="1048"/>
      <c r="AV77" s="1044">
        <v>5</v>
      </c>
      <c r="AW77" s="1044">
        <v>1</v>
      </c>
      <c r="AX77" s="1048">
        <v>1</v>
      </c>
      <c r="AY77" s="2250">
        <f t="shared" si="48"/>
        <v>7</v>
      </c>
      <c r="AZ77" s="2251">
        <f t="shared" si="46"/>
        <v>0.4</v>
      </c>
      <c r="BA77" s="2108"/>
      <c r="BB77" s="1048"/>
      <c r="BC77" s="1044">
        <v>4</v>
      </c>
      <c r="BD77" s="1044">
        <v>1</v>
      </c>
      <c r="BE77" s="1048">
        <v>1</v>
      </c>
      <c r="BF77" s="2250">
        <f t="shared" si="49"/>
        <v>6</v>
      </c>
      <c r="BG77" s="2251">
        <f t="shared" si="40"/>
        <v>0.5</v>
      </c>
      <c r="BH77" s="2108"/>
      <c r="BI77" s="1048"/>
      <c r="BJ77" s="1044">
        <v>5</v>
      </c>
      <c r="BK77" s="1044">
        <v>1</v>
      </c>
      <c r="BL77" s="1048">
        <v>1</v>
      </c>
      <c r="BM77" s="2250">
        <v>7</v>
      </c>
      <c r="BN77" s="2251">
        <f t="shared" si="41"/>
        <v>0.4</v>
      </c>
      <c r="BP77" s="1048"/>
      <c r="BQ77" s="1044">
        <v>3</v>
      </c>
      <c r="BR77" s="1044">
        <v>1</v>
      </c>
      <c r="BS77" s="1048">
        <v>1</v>
      </c>
      <c r="BT77" s="2250">
        <v>5</v>
      </c>
      <c r="BU77" s="2251">
        <f t="shared" si="42"/>
        <v>0.66666666666666663</v>
      </c>
      <c r="BW77" s="1048"/>
      <c r="BX77" s="1044">
        <v>3</v>
      </c>
      <c r="BY77" s="1044"/>
      <c r="BZ77" s="1048">
        <v>1</v>
      </c>
      <c r="CA77" s="2250">
        <v>4</v>
      </c>
      <c r="CB77" s="2251">
        <f t="shared" si="43"/>
        <v>0.33333333333333331</v>
      </c>
      <c r="CD77" s="1048"/>
      <c r="CE77" s="1044">
        <v>3</v>
      </c>
      <c r="CF77" s="1044"/>
      <c r="CG77" s="1048">
        <v>1</v>
      </c>
      <c r="CH77" s="2250">
        <v>4</v>
      </c>
      <c r="CI77" s="2251">
        <f t="shared" si="44"/>
        <v>0.33333333333333331</v>
      </c>
      <c r="CK77" s="1048">
        <v>0</v>
      </c>
      <c r="CL77" s="1044">
        <v>1</v>
      </c>
      <c r="CM77" s="1044">
        <v>1</v>
      </c>
      <c r="CN77" s="1048">
        <v>1</v>
      </c>
      <c r="CO77" s="2250">
        <v>3</v>
      </c>
      <c r="CP77" s="2251">
        <f t="shared" si="45"/>
        <v>2</v>
      </c>
      <c r="CR77" s="1048">
        <v>0</v>
      </c>
      <c r="CS77" s="1044">
        <v>2</v>
      </c>
      <c r="CT77" s="1044">
        <v>0</v>
      </c>
      <c r="CU77" s="1048">
        <v>1</v>
      </c>
      <c r="CV77" s="2250">
        <v>3</v>
      </c>
      <c r="CW77" s="2251">
        <f t="shared" si="36"/>
        <v>0.5</v>
      </c>
    </row>
    <row r="78" spans="1:101" ht="17.100000000000001" customHeight="1">
      <c r="A78" s="6518" t="s">
        <v>74</v>
      </c>
      <c r="B78" s="6519" t="s">
        <v>965</v>
      </c>
      <c r="C78" s="6520" t="s">
        <v>1009</v>
      </c>
      <c r="E78" s="1048"/>
      <c r="F78" s="1044"/>
      <c r="G78" s="1044">
        <v>3</v>
      </c>
      <c r="H78" s="1048"/>
      <c r="I78" s="2250">
        <f>SUM(E78:H78)</f>
        <v>3</v>
      </c>
      <c r="J78" s="2251"/>
      <c r="K78" s="2108"/>
      <c r="L78" s="1048"/>
      <c r="M78" s="1044"/>
      <c r="N78" s="1044">
        <v>3</v>
      </c>
      <c r="O78" s="1048"/>
      <c r="P78" s="2250">
        <f>SUM(L78:O78)</f>
        <v>3</v>
      </c>
      <c r="Q78" s="2251"/>
      <c r="R78" s="2108"/>
      <c r="S78" s="1048"/>
      <c r="T78" s="1044"/>
      <c r="U78" s="1044">
        <v>3</v>
      </c>
      <c r="V78" s="1048"/>
      <c r="W78" s="2250">
        <f>SUM(S78:V78)</f>
        <v>3</v>
      </c>
      <c r="X78" s="2251"/>
      <c r="Y78" s="2108"/>
      <c r="Z78" s="1048"/>
      <c r="AA78" s="1044">
        <v>1</v>
      </c>
      <c r="AB78" s="1044">
        <v>3</v>
      </c>
      <c r="AC78" s="1048"/>
      <c r="AD78" s="2250">
        <f>SUM(Z78:AC78)</f>
        <v>4</v>
      </c>
      <c r="AE78" s="2251">
        <f t="shared" si="53"/>
        <v>3</v>
      </c>
      <c r="AF78" s="2108"/>
      <c r="AG78" s="1048"/>
      <c r="AH78" s="1044">
        <v>1</v>
      </c>
      <c r="AI78" s="1044">
        <v>3</v>
      </c>
      <c r="AJ78" s="1048"/>
      <c r="AK78" s="2250">
        <f t="shared" si="56"/>
        <v>4</v>
      </c>
      <c r="AL78" s="2251">
        <v>1</v>
      </c>
      <c r="AM78" s="2108"/>
      <c r="AN78" s="1048"/>
      <c r="AO78" s="1044">
        <v>1</v>
      </c>
      <c r="AP78" s="1044">
        <v>2</v>
      </c>
      <c r="AQ78" s="1048"/>
      <c r="AR78" s="2250">
        <f t="shared" si="57"/>
        <v>3</v>
      </c>
      <c r="AS78" s="2251">
        <v>1</v>
      </c>
      <c r="AT78" s="2108"/>
      <c r="AU78" s="1048"/>
      <c r="AV78" s="1044"/>
      <c r="AW78" s="1044">
        <v>2</v>
      </c>
      <c r="AX78" s="1048"/>
      <c r="AY78" s="2250">
        <f t="shared" si="48"/>
        <v>2</v>
      </c>
      <c r="AZ78" s="2251">
        <v>1</v>
      </c>
      <c r="BA78" s="2108"/>
      <c r="BB78" s="1048"/>
      <c r="BC78" s="1044"/>
      <c r="BD78" s="1044">
        <v>2</v>
      </c>
      <c r="BE78" s="1048"/>
      <c r="BF78" s="2250">
        <f t="shared" si="49"/>
        <v>2</v>
      </c>
      <c r="BG78" s="2251">
        <v>1</v>
      </c>
      <c r="BH78" s="2108"/>
      <c r="BI78" s="1048"/>
      <c r="BJ78" s="1044">
        <v>1</v>
      </c>
      <c r="BK78" s="1044">
        <v>2</v>
      </c>
      <c r="BL78" s="1048"/>
      <c r="BM78" s="2250">
        <v>3</v>
      </c>
      <c r="BN78" s="2251">
        <v>1</v>
      </c>
      <c r="BP78" s="1048"/>
      <c r="BQ78" s="1044">
        <v>1</v>
      </c>
      <c r="BR78" s="1044">
        <v>2</v>
      </c>
      <c r="BS78" s="1048"/>
      <c r="BT78" s="2250">
        <v>3</v>
      </c>
      <c r="BU78" s="2251">
        <v>1</v>
      </c>
      <c r="BW78" s="1048"/>
      <c r="BX78" s="1044">
        <v>2</v>
      </c>
      <c r="BY78" s="1044">
        <v>2</v>
      </c>
      <c r="BZ78" s="1048"/>
      <c r="CA78" s="2250">
        <v>4</v>
      </c>
      <c r="CB78" s="2251">
        <v>1</v>
      </c>
      <c r="CD78" s="1048"/>
      <c r="CE78" s="1044">
        <v>2</v>
      </c>
      <c r="CF78" s="1044">
        <v>2</v>
      </c>
      <c r="CG78" s="1048"/>
      <c r="CH78" s="2250">
        <v>4</v>
      </c>
      <c r="CI78" s="2251">
        <v>1</v>
      </c>
      <c r="CK78" s="1048">
        <v>0</v>
      </c>
      <c r="CL78" s="1044">
        <v>0</v>
      </c>
      <c r="CM78" s="1044">
        <v>2</v>
      </c>
      <c r="CN78" s="1048">
        <v>0</v>
      </c>
      <c r="CO78" s="2250">
        <v>2</v>
      </c>
      <c r="CP78" s="2251">
        <v>1</v>
      </c>
      <c r="CR78" s="1048">
        <v>0</v>
      </c>
      <c r="CS78" s="1044">
        <v>0</v>
      </c>
      <c r="CT78" s="1044">
        <v>1</v>
      </c>
      <c r="CU78" s="1048">
        <v>1</v>
      </c>
      <c r="CV78" s="2250">
        <v>2</v>
      </c>
      <c r="CW78" s="2251">
        <v>1</v>
      </c>
    </row>
    <row r="79" spans="1:101" ht="17.100000000000001" customHeight="1">
      <c r="A79" s="6518" t="s">
        <v>74</v>
      </c>
      <c r="B79" s="6519" t="s">
        <v>965</v>
      </c>
      <c r="C79" s="6520" t="s">
        <v>1010</v>
      </c>
      <c r="E79" s="1048"/>
      <c r="F79" s="1044">
        <v>2</v>
      </c>
      <c r="G79" s="1048">
        <v>1</v>
      </c>
      <c r="H79" s="1048"/>
      <c r="I79" s="2250">
        <f>SUM(E79:H79)</f>
        <v>3</v>
      </c>
      <c r="J79" s="2251">
        <f t="shared" si="50"/>
        <v>0.5</v>
      </c>
      <c r="K79" s="2108"/>
      <c r="L79" s="1048"/>
      <c r="M79" s="1044">
        <v>2</v>
      </c>
      <c r="N79" s="1048">
        <v>1</v>
      </c>
      <c r="O79" s="1048"/>
      <c r="P79" s="2250">
        <f>SUM(L79:O79)</f>
        <v>3</v>
      </c>
      <c r="Q79" s="2251">
        <f t="shared" si="51"/>
        <v>0.5</v>
      </c>
      <c r="R79" s="2108"/>
      <c r="S79" s="1048"/>
      <c r="T79" s="1044">
        <v>3</v>
      </c>
      <c r="U79" s="1048"/>
      <c r="V79" s="1048"/>
      <c r="W79" s="2250">
        <f>SUM(S79:V79)</f>
        <v>3</v>
      </c>
      <c r="X79" s="2251">
        <f t="shared" si="52"/>
        <v>0</v>
      </c>
      <c r="Y79" s="2108"/>
      <c r="Z79" s="1048"/>
      <c r="AA79" s="1044">
        <v>2</v>
      </c>
      <c r="AB79" s="1048"/>
      <c r="AC79" s="1048"/>
      <c r="AD79" s="2250">
        <f>SUM(Z79:AC79)</f>
        <v>2</v>
      </c>
      <c r="AE79" s="2251">
        <f t="shared" si="53"/>
        <v>0</v>
      </c>
      <c r="AF79" s="2108"/>
      <c r="AG79" s="1048"/>
      <c r="AH79" s="1044">
        <v>2</v>
      </c>
      <c r="AI79" s="1048"/>
      <c r="AJ79" s="1048"/>
      <c r="AK79" s="2250">
        <f t="shared" si="56"/>
        <v>2</v>
      </c>
      <c r="AL79" s="2251">
        <f t="shared" si="54"/>
        <v>0</v>
      </c>
      <c r="AM79" s="2108"/>
      <c r="AN79" s="1048"/>
      <c r="AO79" s="1044">
        <v>2</v>
      </c>
      <c r="AP79" s="1048"/>
      <c r="AQ79" s="1048"/>
      <c r="AR79" s="2250">
        <f t="shared" si="57"/>
        <v>2</v>
      </c>
      <c r="AS79" s="2251">
        <f t="shared" si="55"/>
        <v>0</v>
      </c>
      <c r="AT79" s="2108"/>
      <c r="AU79" s="1048"/>
      <c r="AV79" s="1044">
        <v>1</v>
      </c>
      <c r="AW79" s="1048"/>
      <c r="AX79" s="1048"/>
      <c r="AY79" s="2250">
        <f t="shared" si="48"/>
        <v>1</v>
      </c>
      <c r="AZ79" s="2251">
        <f>(AW79+AX79)/(AU79+AV79)</f>
        <v>0</v>
      </c>
      <c r="BA79" s="2108"/>
      <c r="BB79" s="1048"/>
      <c r="BC79" s="1044">
        <v>1</v>
      </c>
      <c r="BD79" s="1048"/>
      <c r="BE79" s="1048"/>
      <c r="BF79" s="2250">
        <f t="shared" si="49"/>
        <v>1</v>
      </c>
      <c r="BG79" s="2251">
        <f>(BD79+BE79)/(BB79+BC79)</f>
        <v>0</v>
      </c>
      <c r="BH79" s="2108"/>
      <c r="BI79" s="1048">
        <v>1</v>
      </c>
      <c r="BJ79" s="1044">
        <v>1</v>
      </c>
      <c r="BK79" s="1048"/>
      <c r="BL79" s="1048"/>
      <c r="BM79" s="2250">
        <v>2</v>
      </c>
      <c r="BN79" s="2251">
        <f>(BK79+BL79)/(BI79+BJ79)</f>
        <v>0</v>
      </c>
      <c r="BP79" s="1048"/>
      <c r="BQ79" s="1044">
        <v>2</v>
      </c>
      <c r="BR79" s="1048"/>
      <c r="BS79" s="1048"/>
      <c r="BT79" s="2250">
        <v>2</v>
      </c>
      <c r="BU79" s="2251">
        <f>(BR79+BS79)/(BP79+BQ79)</f>
        <v>0</v>
      </c>
      <c r="BW79" s="1048"/>
      <c r="BX79" s="1044">
        <v>2</v>
      </c>
      <c r="BY79" s="1048"/>
      <c r="BZ79" s="1048"/>
      <c r="CA79" s="2250">
        <v>2</v>
      </c>
      <c r="CB79" s="2251">
        <f>(BY79+BZ79)/(BW79+BX79)</f>
        <v>0</v>
      </c>
      <c r="CD79" s="1048"/>
      <c r="CE79" s="1044"/>
      <c r="CF79" s="1048"/>
      <c r="CG79" s="1048"/>
      <c r="CH79" s="2250">
        <v>0</v>
      </c>
      <c r="CI79" s="2251"/>
      <c r="CK79" s="1048">
        <v>0</v>
      </c>
      <c r="CL79" s="1044">
        <v>2</v>
      </c>
      <c r="CM79" s="1048">
        <v>0</v>
      </c>
      <c r="CN79" s="1048">
        <v>0</v>
      </c>
      <c r="CO79" s="2250">
        <v>2</v>
      </c>
      <c r="CP79" s="2251">
        <f>(CM79+CN79)/(CK79+CL79)</f>
        <v>0</v>
      </c>
      <c r="CR79" s="1048">
        <v>0</v>
      </c>
      <c r="CS79" s="1044">
        <v>2</v>
      </c>
      <c r="CT79" s="1048">
        <v>0</v>
      </c>
      <c r="CU79" s="1048">
        <v>0</v>
      </c>
      <c r="CV79" s="2250">
        <v>2</v>
      </c>
      <c r="CW79" s="2251">
        <f>(CT79+CU79)/(CR79+CS79)</f>
        <v>0</v>
      </c>
    </row>
    <row r="80" spans="1:101" ht="17.100000000000001" customHeight="1" thickBot="1">
      <c r="A80" s="6524" t="s">
        <v>74</v>
      </c>
      <c r="B80" s="6525" t="s">
        <v>965</v>
      </c>
      <c r="C80" s="6526" t="s">
        <v>1011</v>
      </c>
      <c r="E80" s="1048">
        <v>1</v>
      </c>
      <c r="F80" s="1044">
        <f>2</f>
        <v>2</v>
      </c>
      <c r="G80" s="1044">
        <v>3</v>
      </c>
      <c r="H80" s="1048">
        <v>1</v>
      </c>
      <c r="I80" s="2250">
        <f>SUM(E80:H80)</f>
        <v>7</v>
      </c>
      <c r="J80" s="2251">
        <f t="shared" si="50"/>
        <v>1.3333333333333333</v>
      </c>
      <c r="K80" s="2108"/>
      <c r="L80" s="1048">
        <v>1</v>
      </c>
      <c r="M80" s="1044">
        <f>2</f>
        <v>2</v>
      </c>
      <c r="N80" s="1044">
        <v>3</v>
      </c>
      <c r="O80" s="1048">
        <v>1</v>
      </c>
      <c r="P80" s="2250">
        <f>SUM(L80:O80)</f>
        <v>7</v>
      </c>
      <c r="Q80" s="2251">
        <f t="shared" si="51"/>
        <v>1.3333333333333333</v>
      </c>
      <c r="R80" s="2108"/>
      <c r="S80" s="1048">
        <v>1</v>
      </c>
      <c r="T80" s="1044">
        <v>1</v>
      </c>
      <c r="U80" s="1044">
        <v>3</v>
      </c>
      <c r="V80" s="1048">
        <v>1</v>
      </c>
      <c r="W80" s="2250">
        <f>SUM(S80:V80)</f>
        <v>6</v>
      </c>
      <c r="X80" s="2251">
        <f t="shared" si="52"/>
        <v>2</v>
      </c>
      <c r="Y80" s="2108"/>
      <c r="Z80" s="1048">
        <v>1</v>
      </c>
      <c r="AA80" s="1044">
        <v>2</v>
      </c>
      <c r="AB80" s="1044">
        <v>2</v>
      </c>
      <c r="AC80" s="1048">
        <v>1</v>
      </c>
      <c r="AD80" s="2250">
        <f>SUM(Z80:AC80)</f>
        <v>6</v>
      </c>
      <c r="AE80" s="2251">
        <f t="shared" si="53"/>
        <v>1</v>
      </c>
      <c r="AF80" s="2108"/>
      <c r="AG80" s="1048">
        <v>1</v>
      </c>
      <c r="AH80" s="1044">
        <v>1</v>
      </c>
      <c r="AI80" s="1044">
        <v>3</v>
      </c>
      <c r="AJ80" s="1048">
        <v>1</v>
      </c>
      <c r="AK80" s="2250">
        <f t="shared" si="56"/>
        <v>6</v>
      </c>
      <c r="AL80" s="2251">
        <v>1</v>
      </c>
      <c r="AM80" s="2108"/>
      <c r="AN80" s="1048"/>
      <c r="AO80" s="1044">
        <v>2</v>
      </c>
      <c r="AP80" s="1044">
        <v>2</v>
      </c>
      <c r="AQ80" s="1048">
        <v>1</v>
      </c>
      <c r="AR80" s="2250">
        <f t="shared" si="57"/>
        <v>5</v>
      </c>
      <c r="AS80" s="2251">
        <v>1</v>
      </c>
      <c r="AT80" s="2108"/>
      <c r="AU80" s="1048"/>
      <c r="AV80" s="1044">
        <v>2</v>
      </c>
      <c r="AW80" s="1044">
        <v>2</v>
      </c>
      <c r="AX80" s="1048">
        <v>1</v>
      </c>
      <c r="AY80" s="2250">
        <f t="shared" si="48"/>
        <v>5</v>
      </c>
      <c r="AZ80" s="2251">
        <v>1</v>
      </c>
      <c r="BA80" s="2108"/>
      <c r="BB80" s="1048">
        <v>2</v>
      </c>
      <c r="BC80" s="1044">
        <v>2</v>
      </c>
      <c r="BD80" s="1044">
        <v>2</v>
      </c>
      <c r="BE80" s="1048">
        <v>1</v>
      </c>
      <c r="BF80" s="2250">
        <f t="shared" si="49"/>
        <v>7</v>
      </c>
      <c r="BG80" s="2251">
        <v>1</v>
      </c>
      <c r="BH80" s="2108"/>
      <c r="BI80" s="1048">
        <v>1</v>
      </c>
      <c r="BJ80" s="1044">
        <v>4</v>
      </c>
      <c r="BK80" s="1044">
        <v>2</v>
      </c>
      <c r="BL80" s="1048">
        <v>1</v>
      </c>
      <c r="BM80" s="2250">
        <v>8</v>
      </c>
      <c r="BN80" s="2251">
        <v>1</v>
      </c>
      <c r="BP80" s="1048">
        <v>2</v>
      </c>
      <c r="BQ80" s="1044">
        <v>4</v>
      </c>
      <c r="BR80" s="1044">
        <v>2</v>
      </c>
      <c r="BS80" s="1048">
        <v>1</v>
      </c>
      <c r="BT80" s="2250">
        <v>9</v>
      </c>
      <c r="BU80" s="2251">
        <v>1</v>
      </c>
      <c r="BW80" s="1048">
        <v>2</v>
      </c>
      <c r="BX80" s="1044">
        <v>2</v>
      </c>
      <c r="BY80" s="1044">
        <v>2</v>
      </c>
      <c r="BZ80" s="1048">
        <v>1</v>
      </c>
      <c r="CA80" s="2250">
        <v>7</v>
      </c>
      <c r="CB80" s="2251">
        <v>1</v>
      </c>
      <c r="CD80" s="1048">
        <v>1</v>
      </c>
      <c r="CE80" s="1044">
        <v>2</v>
      </c>
      <c r="CF80" s="1044">
        <v>2</v>
      </c>
      <c r="CG80" s="1048">
        <v>1</v>
      </c>
      <c r="CH80" s="2250">
        <v>6</v>
      </c>
      <c r="CI80" s="2251">
        <v>1</v>
      </c>
      <c r="CK80" s="1048">
        <v>2</v>
      </c>
      <c r="CL80" s="1044">
        <v>2</v>
      </c>
      <c r="CM80" s="1044">
        <v>1</v>
      </c>
      <c r="CN80" s="1048">
        <v>1</v>
      </c>
      <c r="CO80" s="2250">
        <v>6</v>
      </c>
      <c r="CP80" s="2251">
        <v>1</v>
      </c>
      <c r="CR80" s="1048">
        <v>3</v>
      </c>
      <c r="CS80" s="1044">
        <v>2</v>
      </c>
      <c r="CT80" s="1044">
        <v>1</v>
      </c>
      <c r="CU80" s="1048">
        <v>1</v>
      </c>
      <c r="CV80" s="2250">
        <v>7</v>
      </c>
      <c r="CW80" s="2251">
        <f t="shared" ref="CW80" si="58">(CT80+CU80)/(CR80+CS80)</f>
        <v>0.4</v>
      </c>
    </row>
    <row r="81" spans="1:101" ht="17.100000000000001" customHeight="1">
      <c r="A81" s="7325" t="s">
        <v>1415</v>
      </c>
      <c r="B81" s="7325"/>
      <c r="C81" s="7325"/>
      <c r="E81" s="1051">
        <f>SUM(E77:E80)</f>
        <v>1</v>
      </c>
      <c r="F81" s="1051">
        <f>SUM(F77:F80)</f>
        <v>8</v>
      </c>
      <c r="G81" s="1051">
        <f>SUM(G77:G80)</f>
        <v>9</v>
      </c>
      <c r="H81" s="1051">
        <f>SUM(H77:H80)</f>
        <v>1</v>
      </c>
      <c r="I81" s="2255">
        <f>SUM(I77:I80)</f>
        <v>19</v>
      </c>
      <c r="J81" s="2253">
        <f t="shared" si="50"/>
        <v>1.1111111111111112</v>
      </c>
      <c r="K81" s="2108"/>
      <c r="L81" s="1051">
        <f>SUM(L77:L80)</f>
        <v>1</v>
      </c>
      <c r="M81" s="1051">
        <f>SUM(M77:M80)</f>
        <v>8</v>
      </c>
      <c r="N81" s="1051">
        <f>SUM(N77:N80)</f>
        <v>9</v>
      </c>
      <c r="O81" s="1051">
        <f>SUM(O77:O80)</f>
        <v>1</v>
      </c>
      <c r="P81" s="2255">
        <f>SUM(P77:P80)</f>
        <v>19</v>
      </c>
      <c r="Q81" s="2253">
        <f t="shared" si="51"/>
        <v>1.1111111111111112</v>
      </c>
      <c r="R81" s="2108"/>
      <c r="S81" s="1051">
        <f>SUM(S77:S80)</f>
        <v>1</v>
      </c>
      <c r="T81" s="1051">
        <f>SUM(T77:T80)</f>
        <v>9</v>
      </c>
      <c r="U81" s="1051">
        <f>SUM(U77:U80)</f>
        <v>8</v>
      </c>
      <c r="V81" s="1051">
        <f>SUM(V77:V80)</f>
        <v>1</v>
      </c>
      <c r="W81" s="2255">
        <f>SUM(W77:W80)</f>
        <v>19</v>
      </c>
      <c r="X81" s="2253">
        <f t="shared" si="52"/>
        <v>0.9</v>
      </c>
      <c r="Y81" s="2108"/>
      <c r="Z81" s="1051">
        <f>SUM(Z77:Z80)</f>
        <v>2</v>
      </c>
      <c r="AA81" s="1051">
        <f>SUM(AA77:AA80)</f>
        <v>11</v>
      </c>
      <c r="AB81" s="1051">
        <f>SUM(AB77:AB80)</f>
        <v>5</v>
      </c>
      <c r="AC81" s="1051">
        <f>SUM(AC77:AC80)</f>
        <v>2</v>
      </c>
      <c r="AD81" s="2255">
        <f>SUM(AD77:AD80)</f>
        <v>20</v>
      </c>
      <c r="AE81" s="2253">
        <f t="shared" si="53"/>
        <v>0.53846153846153844</v>
      </c>
      <c r="AF81" s="2108"/>
      <c r="AG81" s="1051">
        <f>SUM(AG77:AG80)</f>
        <v>1</v>
      </c>
      <c r="AH81" s="1051">
        <f>SUM(AH77:AH80)</f>
        <v>10</v>
      </c>
      <c r="AI81" s="1051">
        <f>SUM(AI77:AI80)</f>
        <v>6</v>
      </c>
      <c r="AJ81" s="1051">
        <f>SUM(AJ77:AJ80)</f>
        <v>2</v>
      </c>
      <c r="AK81" s="2255">
        <f t="shared" si="56"/>
        <v>19</v>
      </c>
      <c r="AL81" s="2253">
        <f t="shared" si="54"/>
        <v>0.72727272727272729</v>
      </c>
      <c r="AM81" s="2108"/>
      <c r="AN81" s="1051">
        <v>0</v>
      </c>
      <c r="AO81" s="1051">
        <v>9</v>
      </c>
      <c r="AP81" s="1051">
        <v>5</v>
      </c>
      <c r="AQ81" s="1051">
        <v>2</v>
      </c>
      <c r="AR81" s="2255">
        <f t="shared" si="57"/>
        <v>16</v>
      </c>
      <c r="AS81" s="2253">
        <f t="shared" si="55"/>
        <v>0.77777777777777779</v>
      </c>
      <c r="AT81" s="2108"/>
      <c r="AU81" s="1051">
        <f>SUM(AU77:AU80)</f>
        <v>0</v>
      </c>
      <c r="AV81" s="1051">
        <f>SUM(AV77:AV80)</f>
        <v>8</v>
      </c>
      <c r="AW81" s="1051">
        <f>SUM(AW77:AW80)</f>
        <v>5</v>
      </c>
      <c r="AX81" s="1051">
        <f>SUM(AX77:AX80)</f>
        <v>2</v>
      </c>
      <c r="AY81" s="2255">
        <f t="shared" si="48"/>
        <v>15</v>
      </c>
      <c r="AZ81" s="2253">
        <f>(AW81+AX81)/(AU81+AV81)</f>
        <v>0.875</v>
      </c>
      <c r="BA81" s="2108"/>
      <c r="BB81" s="1051">
        <v>2</v>
      </c>
      <c r="BC81" s="1051">
        <v>7</v>
      </c>
      <c r="BD81" s="1051">
        <v>5</v>
      </c>
      <c r="BE81" s="1051">
        <v>2</v>
      </c>
      <c r="BF81" s="2255">
        <f t="shared" si="49"/>
        <v>16</v>
      </c>
      <c r="BG81" s="2253">
        <f>(BD81+BE81)/(BB81+BC81)</f>
        <v>0.77777777777777779</v>
      </c>
      <c r="BH81" s="2108"/>
      <c r="BI81" s="1051">
        <v>2</v>
      </c>
      <c r="BJ81" s="1051">
        <v>11</v>
      </c>
      <c r="BK81" s="1051">
        <v>5</v>
      </c>
      <c r="BL81" s="1051">
        <v>2</v>
      </c>
      <c r="BM81" s="2255">
        <v>20</v>
      </c>
      <c r="BN81" s="2253">
        <f>(BK81+BL81)/(BI81+BJ81)</f>
        <v>0.53846153846153844</v>
      </c>
      <c r="BP81" s="1051">
        <v>2</v>
      </c>
      <c r="BQ81" s="1051">
        <v>10</v>
      </c>
      <c r="BR81" s="1051">
        <v>5</v>
      </c>
      <c r="BS81" s="1051">
        <v>2</v>
      </c>
      <c r="BT81" s="2255">
        <v>19</v>
      </c>
      <c r="BU81" s="2253">
        <f>(BR81+BS81)/(BP81+BQ81)</f>
        <v>0.58333333333333337</v>
      </c>
      <c r="BW81" s="1051">
        <f>SUM(BW77:BW80)</f>
        <v>2</v>
      </c>
      <c r="BX81" s="1051">
        <f>SUM(BX77:BX80)</f>
        <v>9</v>
      </c>
      <c r="BY81" s="1051">
        <f>SUM(BY77:BY80)</f>
        <v>4</v>
      </c>
      <c r="BZ81" s="1051">
        <f>SUM(BZ77:BZ80)</f>
        <v>2</v>
      </c>
      <c r="CA81" s="1051">
        <f>SUM(CA77:CA80)</f>
        <v>17</v>
      </c>
      <c r="CB81" s="2253">
        <f>(BY81+BZ81)/(BW81+BX81)</f>
        <v>0.54545454545454541</v>
      </c>
      <c r="CD81" s="1051">
        <f>SUM(CD77:CD80)</f>
        <v>1</v>
      </c>
      <c r="CE81" s="1051">
        <f>SUM(CE77:CE80)</f>
        <v>7</v>
      </c>
      <c r="CF81" s="1051">
        <f>SUM(CF77:CF80)</f>
        <v>4</v>
      </c>
      <c r="CG81" s="1051">
        <f>SUM(CG77:CG80)</f>
        <v>2</v>
      </c>
      <c r="CH81" s="1051">
        <f>SUM(CH77:CH80)</f>
        <v>14</v>
      </c>
      <c r="CI81" s="2253">
        <f>(CF81+CG81)/(CD81+CE81)</f>
        <v>0.75</v>
      </c>
      <c r="CK81" s="1051">
        <v>2</v>
      </c>
      <c r="CL81" s="1051">
        <v>5</v>
      </c>
      <c r="CM81" s="1051">
        <v>4</v>
      </c>
      <c r="CN81" s="1051">
        <v>2</v>
      </c>
      <c r="CO81" s="1051">
        <v>13</v>
      </c>
      <c r="CP81" s="2253">
        <f>(CM81+CN81)/(CK81+CL81)</f>
        <v>0.8571428571428571</v>
      </c>
      <c r="CR81" s="1051">
        <v>3</v>
      </c>
      <c r="CS81" s="1051">
        <v>6</v>
      </c>
      <c r="CT81" s="1051">
        <v>2</v>
      </c>
      <c r="CU81" s="1051">
        <v>3</v>
      </c>
      <c r="CV81" s="1051">
        <v>14</v>
      </c>
      <c r="CW81" s="2253">
        <f>(CT81+CU81)/(CR81+CS81)</f>
        <v>0.55555555555555558</v>
      </c>
    </row>
    <row r="82" spans="1:101" ht="17.100000000000001" customHeight="1">
      <c r="A82" s="7318" t="s">
        <v>898</v>
      </c>
      <c r="B82" s="7319"/>
      <c r="C82" s="7320"/>
      <c r="E82" s="2145">
        <f>SUM(E81,E76,E71)</f>
        <v>12</v>
      </c>
      <c r="F82" s="2145">
        <f>SUM(F81,F76,F71)</f>
        <v>129</v>
      </c>
      <c r="G82" s="2145">
        <f>SUM(G81,G76,G71)</f>
        <v>57</v>
      </c>
      <c r="H82" s="2145">
        <f>SUM(H81,H76,H71)</f>
        <v>13</v>
      </c>
      <c r="I82" s="2270">
        <f>SUM(I71,I76,I81)</f>
        <v>211</v>
      </c>
      <c r="J82" s="2271">
        <f t="shared" si="50"/>
        <v>0.49645390070921985</v>
      </c>
      <c r="K82" s="2108"/>
      <c r="L82" s="2145">
        <f>SUM(L81,L76,L71)</f>
        <v>12</v>
      </c>
      <c r="M82" s="2145">
        <f>SUM(M81,M76,M71)</f>
        <v>130</v>
      </c>
      <c r="N82" s="2145">
        <f>SUM(N81,N76,N71)</f>
        <v>57</v>
      </c>
      <c r="O82" s="2145">
        <f>SUM(O81,O76,O71)</f>
        <v>14</v>
      </c>
      <c r="P82" s="2270">
        <f>SUM(P71,P76,P81)</f>
        <v>213</v>
      </c>
      <c r="Q82" s="2271">
        <f t="shared" si="51"/>
        <v>0.5</v>
      </c>
      <c r="R82" s="2108"/>
      <c r="S82" s="2145">
        <f>SUM(S81,S76,S71)</f>
        <v>18</v>
      </c>
      <c r="T82" s="2145">
        <f>SUM(T81,T76,T71)</f>
        <v>135</v>
      </c>
      <c r="U82" s="2145">
        <f>SUM(U81,U76,U71)</f>
        <v>57</v>
      </c>
      <c r="V82" s="2145">
        <f>SUM(V81,V76,V71)</f>
        <v>15</v>
      </c>
      <c r="W82" s="2270">
        <f>SUM(W71,W76,W81)</f>
        <v>225</v>
      </c>
      <c r="X82" s="2271">
        <f t="shared" si="52"/>
        <v>0.47058823529411764</v>
      </c>
      <c r="Y82" s="2108"/>
      <c r="Z82" s="2145">
        <f>SUM(Z81,Z76,Z71)</f>
        <v>31</v>
      </c>
      <c r="AA82" s="2145">
        <f>SUM(AA81,AA76,AA71)</f>
        <v>140</v>
      </c>
      <c r="AB82" s="2145">
        <f>SUM(AB81,AB76,AB71)</f>
        <v>54</v>
      </c>
      <c r="AC82" s="2145">
        <f>SUM(AC81,AC76,AC71)</f>
        <v>18</v>
      </c>
      <c r="AD82" s="2270">
        <f>SUM(AD71,AD76,AD81)</f>
        <v>243</v>
      </c>
      <c r="AE82" s="2271">
        <f t="shared" si="53"/>
        <v>0.42105263157894735</v>
      </c>
      <c r="AF82" s="2108"/>
      <c r="AG82" s="2145">
        <f>SUM(AG81,AG76,AG71)</f>
        <v>41</v>
      </c>
      <c r="AH82" s="2145">
        <f>SUM(AH81,AH76,AH71)</f>
        <v>137</v>
      </c>
      <c r="AI82" s="2145">
        <f>SUM(AI81,AI76,AI71)</f>
        <v>50</v>
      </c>
      <c r="AJ82" s="2145">
        <f>SUM(AJ81,AJ76,AJ71)</f>
        <v>21</v>
      </c>
      <c r="AK82" s="2270">
        <f t="shared" si="56"/>
        <v>249</v>
      </c>
      <c r="AL82" s="2271">
        <f t="shared" si="54"/>
        <v>0.398876404494382</v>
      </c>
      <c r="AM82" s="2108"/>
      <c r="AN82" s="2145">
        <v>31</v>
      </c>
      <c r="AO82" s="2145">
        <v>136</v>
      </c>
      <c r="AP82" s="2145">
        <v>57</v>
      </c>
      <c r="AQ82" s="2145">
        <v>23</v>
      </c>
      <c r="AR82" s="2270">
        <f t="shared" si="57"/>
        <v>247</v>
      </c>
      <c r="AS82" s="2271">
        <f t="shared" si="55"/>
        <v>0.47904191616766467</v>
      </c>
      <c r="AT82" s="2108"/>
      <c r="AU82" s="2145">
        <f>SUM(AU71,AU76,AU81)</f>
        <v>33</v>
      </c>
      <c r="AV82" s="2145">
        <f>SUM(AV71,AV76,AV81)</f>
        <v>143</v>
      </c>
      <c r="AW82" s="2145">
        <f>SUM(AW71,AW76,AW81)</f>
        <v>54</v>
      </c>
      <c r="AX82" s="2145">
        <f>SUM(AX71,AX76,AX81)</f>
        <v>28</v>
      </c>
      <c r="AY82" s="2270">
        <f>SUM(AY71,AY76,AY81)</f>
        <v>258</v>
      </c>
      <c r="AZ82" s="2271">
        <f>(AW82+AX82)/(AU82+AV82)</f>
        <v>0.46590909090909088</v>
      </c>
      <c r="BA82" s="2108"/>
      <c r="BB82" s="2145">
        <f>SUM(BB71,BB76,BB81)</f>
        <v>28</v>
      </c>
      <c r="BC82" s="2145">
        <f>SUM(BC71,BC76,BC81)</f>
        <v>133</v>
      </c>
      <c r="BD82" s="2145">
        <f>SUM(BD71,BD76,BD81)</f>
        <v>60</v>
      </c>
      <c r="BE82" s="2145">
        <f>SUM(BE71,BE76,BE81)</f>
        <v>28</v>
      </c>
      <c r="BF82" s="2270">
        <f>SUM(BF71,BF76,BF81)</f>
        <v>249</v>
      </c>
      <c r="BG82" s="2271">
        <f>(BD82+BE82)/(BB82+BC82)</f>
        <v>0.54658385093167705</v>
      </c>
      <c r="BH82" s="2108"/>
      <c r="BI82" s="2145">
        <v>27</v>
      </c>
      <c r="BJ82" s="2145">
        <v>129</v>
      </c>
      <c r="BK82" s="2145">
        <v>62</v>
      </c>
      <c r="BL82" s="2145">
        <v>29</v>
      </c>
      <c r="BM82" s="2270">
        <v>247</v>
      </c>
      <c r="BN82" s="2271">
        <f>(BK82+BL82)/(BI82+BJ82)</f>
        <v>0.58333333333333337</v>
      </c>
      <c r="BP82" s="2145">
        <v>28</v>
      </c>
      <c r="BQ82" s="2145">
        <v>122</v>
      </c>
      <c r="BR82" s="2145">
        <v>59</v>
      </c>
      <c r="BS82" s="2145">
        <v>32</v>
      </c>
      <c r="BT82" s="2270">
        <v>241</v>
      </c>
      <c r="BU82" s="2271">
        <f>(BR82+BS82)/(BP82+BQ82)</f>
        <v>0.60666666666666669</v>
      </c>
      <c r="BW82" s="2145">
        <f>SUM(BW71,BW76,BW81)</f>
        <v>31</v>
      </c>
      <c r="BX82" s="2145">
        <f>SUM(BX71,BX76,BX81)</f>
        <v>120</v>
      </c>
      <c r="BY82" s="2145">
        <f>SUM(BY71,BY76,BY81)</f>
        <v>58</v>
      </c>
      <c r="BZ82" s="2145">
        <f>SUM(BZ71,BZ76,BZ81)</f>
        <v>32</v>
      </c>
      <c r="CA82" s="2145">
        <f>SUM(CA71,CA76,CA81)</f>
        <v>241</v>
      </c>
      <c r="CB82" s="2271">
        <f>(BY82+BZ82)/(BW82+BX82)</f>
        <v>0.59602649006622521</v>
      </c>
      <c r="CD82" s="2145">
        <f>SUM(CD71,CD76,CD81)</f>
        <v>33</v>
      </c>
      <c r="CE82" s="2145">
        <f>SUM(CE71,CE76,CE81)</f>
        <v>114</v>
      </c>
      <c r="CF82" s="2145">
        <f>SUM(CF71,CF76,CF81)</f>
        <v>62</v>
      </c>
      <c r="CG82" s="2145">
        <f>SUM(CG71,CG76,CG81)</f>
        <v>34</v>
      </c>
      <c r="CH82" s="2145">
        <f>SUM(CH71,CH76,CH81)</f>
        <v>243</v>
      </c>
      <c r="CI82" s="2271">
        <f>(CF82+CG82)/(CD82+CE82)</f>
        <v>0.65306122448979587</v>
      </c>
      <c r="CK82" s="2145">
        <f>SUM(CK71,CK76,CK81)</f>
        <v>31</v>
      </c>
      <c r="CL82" s="2145">
        <f t="shared" ref="CL82:CO82" si="59">SUM(CL71,CL76,CL81)</f>
        <v>141</v>
      </c>
      <c r="CM82" s="2145">
        <f t="shared" si="59"/>
        <v>59</v>
      </c>
      <c r="CN82" s="2145">
        <f t="shared" si="59"/>
        <v>35</v>
      </c>
      <c r="CO82" s="2145">
        <f t="shared" si="59"/>
        <v>266</v>
      </c>
      <c r="CP82" s="2271">
        <f>(CM82+CN82)/(CK82+CL82)</f>
        <v>0.54651162790697672</v>
      </c>
      <c r="CR82" s="2145">
        <v>42</v>
      </c>
      <c r="CS82" s="2145">
        <v>139</v>
      </c>
      <c r="CT82" s="2145">
        <v>67</v>
      </c>
      <c r="CU82" s="2145">
        <v>36</v>
      </c>
      <c r="CV82" s="2145">
        <v>284</v>
      </c>
      <c r="CW82" s="2271">
        <f>(CT82+CU82)/(CR82+CS82)</f>
        <v>0.56906077348066297</v>
      </c>
    </row>
    <row r="83" spans="1:101" ht="17.100000000000001" customHeight="1">
      <c r="A83" s="2223"/>
      <c r="B83" s="2223"/>
      <c r="C83" s="2223"/>
      <c r="E83" s="2223"/>
      <c r="F83" s="2223"/>
      <c r="G83" s="2223"/>
      <c r="H83" s="2223"/>
      <c r="I83" s="2272"/>
      <c r="J83" s="2273"/>
      <c r="K83" s="2108"/>
      <c r="L83" s="2223"/>
      <c r="M83" s="2223"/>
      <c r="N83" s="2223"/>
      <c r="O83" s="2223"/>
      <c r="P83" s="2272"/>
      <c r="Q83" s="2273"/>
      <c r="R83" s="2108"/>
      <c r="S83" s="2223"/>
      <c r="T83" s="2223"/>
      <c r="U83" s="2223"/>
      <c r="V83" s="2223"/>
      <c r="W83" s="2272"/>
      <c r="X83" s="2273"/>
      <c r="Y83" s="2108"/>
      <c r="Z83" s="2223"/>
      <c r="AA83" s="2223"/>
      <c r="AB83" s="2223"/>
      <c r="AC83" s="2223"/>
      <c r="AD83" s="2272"/>
      <c r="AE83" s="2273"/>
      <c r="AF83" s="2108"/>
      <c r="AG83" s="2223"/>
      <c r="AH83" s="2223"/>
      <c r="AI83" s="2223"/>
      <c r="AJ83" s="2223"/>
      <c r="AK83" s="2272"/>
      <c r="AL83" s="2273"/>
      <c r="AM83" s="2108"/>
      <c r="AN83" s="2223"/>
      <c r="AO83" s="2223"/>
      <c r="AP83" s="2223"/>
      <c r="AQ83" s="2223"/>
      <c r="AR83" s="2272"/>
      <c r="AS83" s="2273"/>
      <c r="AT83" s="2108"/>
      <c r="AU83" s="2223"/>
      <c r="AV83" s="2223"/>
      <c r="AW83" s="2223"/>
      <c r="AX83" s="2223"/>
      <c r="AY83" s="2272"/>
      <c r="AZ83" s="2273"/>
      <c r="BA83" s="2108"/>
      <c r="BB83" s="2223"/>
      <c r="BC83" s="2223"/>
      <c r="BD83" s="2223"/>
      <c r="BE83" s="2223"/>
      <c r="BF83" s="2272"/>
      <c r="BG83" s="2273"/>
      <c r="BH83" s="2108"/>
      <c r="BI83" s="2223"/>
      <c r="BJ83" s="2223"/>
      <c r="BK83" s="2223"/>
      <c r="BL83" s="2223"/>
      <c r="BM83" s="2272"/>
      <c r="BN83" s="2273"/>
      <c r="BP83" s="2223"/>
      <c r="BQ83" s="2223"/>
      <c r="BR83" s="2223"/>
      <c r="BS83" s="2223"/>
      <c r="BT83" s="2272"/>
      <c r="BU83" s="2273"/>
      <c r="BW83" s="2223"/>
      <c r="BX83" s="2223"/>
      <c r="BY83" s="2223"/>
      <c r="BZ83" s="2223"/>
      <c r="CA83" s="2272"/>
      <c r="CB83" s="2273"/>
      <c r="CD83" s="2223"/>
      <c r="CE83" s="2223"/>
      <c r="CF83" s="2223"/>
      <c r="CG83" s="2223"/>
      <c r="CH83" s="2272"/>
      <c r="CI83" s="2273"/>
      <c r="CK83" s="2223"/>
      <c r="CL83" s="2223"/>
      <c r="CM83" s="2223"/>
      <c r="CN83" s="2223"/>
      <c r="CO83" s="2272"/>
      <c r="CP83" s="2273"/>
      <c r="CR83" s="2223"/>
      <c r="CS83" s="2223"/>
      <c r="CT83" s="2223"/>
      <c r="CU83" s="2223"/>
      <c r="CV83" s="2272"/>
      <c r="CW83" s="2273"/>
    </row>
    <row r="84" spans="1:101" ht="24.75" customHeight="1">
      <c r="A84" s="7321" t="s">
        <v>67</v>
      </c>
      <c r="B84" s="7322"/>
      <c r="C84" s="7323"/>
      <c r="E84" s="2152">
        <f>SUM(E22,E35,E53,E66,E82)</f>
        <v>92</v>
      </c>
      <c r="F84" s="2152">
        <f>SUM(F22,F35,F53,F66,F82)</f>
        <v>508</v>
      </c>
      <c r="G84" s="2152">
        <f>SUM(G22,G35,G53,G66,G82)</f>
        <v>210</v>
      </c>
      <c r="H84" s="2152">
        <f>SUM(H22,H35,H53,H66,H82)</f>
        <v>96</v>
      </c>
      <c r="I84" s="2274">
        <f>SUM(I22,I35,I53,I66,I82)</f>
        <v>906</v>
      </c>
      <c r="J84" s="2275">
        <f t="shared" si="50"/>
        <v>0.51</v>
      </c>
      <c r="K84" s="2108"/>
      <c r="L84" s="2152">
        <f>SUM(L22,L35,L53,L66,L82)</f>
        <v>95</v>
      </c>
      <c r="M84" s="2152">
        <f>SUM(M22,M35,M53,M66,M82)</f>
        <v>516</v>
      </c>
      <c r="N84" s="2152">
        <f>SUM(N22,N35,N53,N66,N82)</f>
        <v>210</v>
      </c>
      <c r="O84" s="2152">
        <f>SUM(O22,O35,O53,O66,O82)</f>
        <v>93</v>
      </c>
      <c r="P84" s="2274">
        <f>SUM(P22,P35,P53,P66,P82)</f>
        <v>914</v>
      </c>
      <c r="Q84" s="2275">
        <f t="shared" si="51"/>
        <v>0.49590834697217678</v>
      </c>
      <c r="R84" s="2108"/>
      <c r="S84" s="2152">
        <f>SUM(S22,S35,S53,S66,S82)</f>
        <v>110</v>
      </c>
      <c r="T84" s="2152">
        <f>SUM(T22,T35,T53,T66,T82)</f>
        <v>530</v>
      </c>
      <c r="U84" s="2152">
        <f>SUM(U22,U35,U53,U66,U82)</f>
        <v>206</v>
      </c>
      <c r="V84" s="2152">
        <f>SUM(V22,V35,V53,V66,V82)</f>
        <v>95</v>
      </c>
      <c r="W84" s="2274">
        <f>SUM(W22,W35,W53,W66,W82)</f>
        <v>941</v>
      </c>
      <c r="X84" s="2275">
        <f t="shared" si="52"/>
        <v>0.47031250000000002</v>
      </c>
      <c r="Y84" s="2108"/>
      <c r="Z84" s="2152">
        <f>SUM(Z22,Z35,Z53,Z66,Z82)</f>
        <v>148</v>
      </c>
      <c r="AA84" s="2152">
        <f>SUM(AA22,AA35,AA53,AA66,AA82)</f>
        <v>587</v>
      </c>
      <c r="AB84" s="2152">
        <f>SUM(AB22,AB35,AB53,AB66,AB82)</f>
        <v>219</v>
      </c>
      <c r="AC84" s="2152">
        <f>SUM(AC22,AC35,AC53,AC66,AC82)</f>
        <v>107</v>
      </c>
      <c r="AD84" s="2274">
        <f>SUM(AD22,AD35,AD53,AD66,AD82)</f>
        <v>1061</v>
      </c>
      <c r="AE84" s="2275">
        <f t="shared" si="53"/>
        <v>0.44353741496598642</v>
      </c>
      <c r="AF84" s="2108"/>
      <c r="AG84" s="2152">
        <f>SUM(AG22,AG35,AG53,AG66,AG82)</f>
        <v>156</v>
      </c>
      <c r="AH84" s="2152">
        <f>SUM(AH22,AH35,AH53,AH66,AH82)</f>
        <v>595</v>
      </c>
      <c r="AI84" s="2152">
        <f>SUM(AI22,AI35,AI53,AI66,AI82)</f>
        <v>219</v>
      </c>
      <c r="AJ84" s="2152">
        <f>SUM(AJ22,AJ35,AJ53,AJ66,AJ82)</f>
        <v>114</v>
      </c>
      <c r="AK84" s="2274">
        <f>SUM(AK22,AK35,AK53,AK66,AK82)</f>
        <v>1084</v>
      </c>
      <c r="AL84" s="2275">
        <f t="shared" si="54"/>
        <v>0.4434087882822903</v>
      </c>
      <c r="AM84" s="2108"/>
      <c r="AN84" s="2152">
        <f>SUM(AN22,AN35,AN53,AN66,AN82)</f>
        <v>151</v>
      </c>
      <c r="AO84" s="2152">
        <f>SUM(AO22,AO35,AO53,AO66,AO82)</f>
        <v>605</v>
      </c>
      <c r="AP84" s="2152">
        <f>SUM(AP22,AP35,AP53,AP66,AP82)</f>
        <v>234</v>
      </c>
      <c r="AQ84" s="2152">
        <f>SUM(AQ22,AQ35,AQ53,AQ66,AQ82)</f>
        <v>120</v>
      </c>
      <c r="AR84" s="2274">
        <f>SUM(AR22,AR35,AR53,AR66,AR82)</f>
        <v>1110</v>
      </c>
      <c r="AS84" s="2275">
        <f t="shared" si="55"/>
        <v>0.46825396825396826</v>
      </c>
      <c r="AT84" s="2108"/>
      <c r="AU84" s="2152">
        <f>SUM(AU22,AU35,AU53,AU66,AU82)</f>
        <v>167</v>
      </c>
      <c r="AV84" s="2152">
        <f>SUM(AV22,AV35,AV53,AV66,AV82)</f>
        <v>636</v>
      </c>
      <c r="AW84" s="2152">
        <f>SUM(AW22,AW35,AW53,AW66,AW82)</f>
        <v>237</v>
      </c>
      <c r="AX84" s="2152">
        <f>SUM(AX22,AX35,AX53,AX66,AX82)</f>
        <v>130</v>
      </c>
      <c r="AY84" s="2274">
        <f>SUM(AY22,AY35,AY53,AY66,AY82)</f>
        <v>1170</v>
      </c>
      <c r="AZ84" s="2275">
        <f>(AW84+AX84)/(AU84+AV84)</f>
        <v>0.45703611457036114</v>
      </c>
      <c r="BA84" s="2108"/>
      <c r="BB84" s="2152">
        <f>SUM(BB22,BB35,BB53,BB66,BB82)</f>
        <v>164</v>
      </c>
      <c r="BC84" s="2152">
        <f>SUM(BC22,BC35,BC53,BC66,BC82)</f>
        <v>619</v>
      </c>
      <c r="BD84" s="2152">
        <f>SUM(BD22,BD35,BD53,BD66,BD82)</f>
        <v>242</v>
      </c>
      <c r="BE84" s="2152">
        <f>SUM(BE22,BE35,BE53,BE66,BE82)</f>
        <v>138</v>
      </c>
      <c r="BF84" s="2274">
        <f>SUM(BF22,BF35,BF53,BF66,BF82)</f>
        <v>1163</v>
      </c>
      <c r="BG84" s="2275">
        <f>(BD84+BE84)/(BB84+BC84)</f>
        <v>0.48531289910600256</v>
      </c>
      <c r="BH84" s="2108"/>
      <c r="BI84" s="2152">
        <v>145</v>
      </c>
      <c r="BJ84" s="2152">
        <v>615</v>
      </c>
      <c r="BK84" s="2152">
        <v>234</v>
      </c>
      <c r="BL84" s="2152">
        <v>141</v>
      </c>
      <c r="BM84" s="2274">
        <v>1135</v>
      </c>
      <c r="BN84" s="2275">
        <f>(BK84+BL84)/(BI84+BJ84)</f>
        <v>0.49342105263157893</v>
      </c>
      <c r="BP84" s="2152">
        <v>161</v>
      </c>
      <c r="BQ84" s="2152">
        <v>614</v>
      </c>
      <c r="BR84" s="2152">
        <v>232</v>
      </c>
      <c r="BS84" s="2152">
        <v>149</v>
      </c>
      <c r="BT84" s="2274">
        <v>1156</v>
      </c>
      <c r="BU84" s="2275">
        <f>(BR84+BS84)/(BP84+BQ84)</f>
        <v>0.49161290322580647</v>
      </c>
      <c r="BW84" s="2152">
        <v>177</v>
      </c>
      <c r="BX84" s="2152">
        <v>607</v>
      </c>
      <c r="BY84" s="2152">
        <v>231</v>
      </c>
      <c r="BZ84" s="2152">
        <v>149</v>
      </c>
      <c r="CA84" s="2274">
        <v>1164</v>
      </c>
      <c r="CB84" s="2275">
        <f>(BY84+BZ84)/(BW84+BX84)</f>
        <v>0.48469387755102039</v>
      </c>
      <c r="CD84" s="2152">
        <f>SUM(CD22,CD35,CD53,CD66,CD82)</f>
        <v>171</v>
      </c>
      <c r="CE84" s="2152">
        <f t="shared" ref="CE84:CH84" si="60">SUM(CE22,CE35,CE53,CE66,CE82)</f>
        <v>630</v>
      </c>
      <c r="CF84" s="2152">
        <f t="shared" si="60"/>
        <v>236</v>
      </c>
      <c r="CG84" s="2152">
        <f t="shared" si="60"/>
        <v>154</v>
      </c>
      <c r="CH84" s="2152">
        <f t="shared" si="60"/>
        <v>1191</v>
      </c>
      <c r="CI84" s="2275">
        <f>(CF84+CG84)/(CD84+CE84)</f>
        <v>0.48689138576779029</v>
      </c>
      <c r="CK84" s="2152">
        <f>SUM(CK22,CK35,CK53,CK66,CK82)</f>
        <v>157</v>
      </c>
      <c r="CL84" s="2152">
        <f t="shared" ref="CL84:CO84" si="61">SUM(CL22,CL35,CL53,CL66,CL82)</f>
        <v>695</v>
      </c>
      <c r="CM84" s="2152">
        <f t="shared" si="61"/>
        <v>243</v>
      </c>
      <c r="CN84" s="2152">
        <f t="shared" si="61"/>
        <v>158</v>
      </c>
      <c r="CO84" s="2152">
        <f t="shared" si="61"/>
        <v>1253</v>
      </c>
      <c r="CP84" s="2275">
        <f>(CM84+CN84)/(CK84+CL84)</f>
        <v>0.47065727699530518</v>
      </c>
      <c r="CR84" s="2152">
        <f>SUM(CR22,CR35,CR53,CR66,CR82)</f>
        <v>139</v>
      </c>
      <c r="CS84" s="2152">
        <f t="shared" ref="CS84:CV84" si="62">SUM(CS22,CS35,CS53,CS66,CS82)</f>
        <v>700</v>
      </c>
      <c r="CT84" s="2152">
        <f t="shared" si="62"/>
        <v>267</v>
      </c>
      <c r="CU84" s="2152">
        <f t="shared" si="62"/>
        <v>159</v>
      </c>
      <c r="CV84" s="2152">
        <f t="shared" si="62"/>
        <v>1265</v>
      </c>
      <c r="CW84" s="2275">
        <f>(CT84+CU84)/(CR84+CS84)</f>
        <v>0.50774731823599528</v>
      </c>
    </row>
    <row r="85" spans="1:101" ht="14.4">
      <c r="K85" s="2108"/>
    </row>
    <row r="86" spans="1:101" ht="14.4">
      <c r="K86" s="2108"/>
    </row>
    <row r="87" spans="1:101" ht="14.4">
      <c r="K87" s="2108"/>
    </row>
    <row r="88" spans="1:101" ht="14.4">
      <c r="K88" s="2108"/>
    </row>
    <row r="89" spans="1:101" ht="14.4">
      <c r="K89" s="2108"/>
    </row>
    <row r="90" spans="1:101" ht="14.4">
      <c r="K90" s="2108"/>
    </row>
    <row r="91" spans="1:101" ht="14.4">
      <c r="K91" s="2108"/>
    </row>
  </sheetData>
  <mergeCells count="36">
    <mergeCell ref="CD1:CW1"/>
    <mergeCell ref="CR3:CW3"/>
    <mergeCell ref="CK3:CP3"/>
    <mergeCell ref="BP3:BU3"/>
    <mergeCell ref="BW3:CB3"/>
    <mergeCell ref="CD3:CI3"/>
    <mergeCell ref="BI3:BN3"/>
    <mergeCell ref="A30:C30"/>
    <mergeCell ref="E3:J3"/>
    <mergeCell ref="L3:Q3"/>
    <mergeCell ref="S3:X3"/>
    <mergeCell ref="Z3:AE3"/>
    <mergeCell ref="AG3:AL3"/>
    <mergeCell ref="A21:C21"/>
    <mergeCell ref="A22:C22"/>
    <mergeCell ref="A10:C10"/>
    <mergeCell ref="A16:C16"/>
    <mergeCell ref="A26:C26"/>
    <mergeCell ref="A34:C34"/>
    <mergeCell ref="A35:C35"/>
    <mergeCell ref="AN3:AS3"/>
    <mergeCell ref="AU3:AZ3"/>
    <mergeCell ref="BB3:BG3"/>
    <mergeCell ref="A82:C82"/>
    <mergeCell ref="A84:C84"/>
    <mergeCell ref="A41:C41"/>
    <mergeCell ref="A47:C47"/>
    <mergeCell ref="A57:C57"/>
    <mergeCell ref="A61:C61"/>
    <mergeCell ref="A71:C71"/>
    <mergeCell ref="A76:C76"/>
    <mergeCell ref="A81:C81"/>
    <mergeCell ref="A65:C65"/>
    <mergeCell ref="A53:C53"/>
    <mergeCell ref="A66:C66"/>
    <mergeCell ref="A52:C52"/>
  </mergeCells>
  <printOptions horizontalCentered="1" verticalCentered="1"/>
  <pageMargins left="0.70866141732283472" right="0.70866141732283472" top="0.74803149606299213" bottom="0.74803149606299213" header="0.31496062992125984" footer="0.31496062992125984"/>
  <pageSetup scale="48" firstPageNumber="34" orientation="landscape" useFirstPageNumber="1" r:id="rId1"/>
  <headerFooter scaleWithDoc="0" alignWithMargins="0">
    <oddFooter>&amp;R&amp;P</oddFooter>
  </headerFooter>
  <rowBreaks count="1" manualBreakCount="1">
    <brk id="53" min="74" max="100" man="1"/>
  </rowBreaks>
  <ignoredErrors>
    <ignoredError sqref="F84:H84 AR48:AR50 AR78:AR80 AV10:AX10 AY78:AY80 AU36:AY36 BF5:BF9 F17:H18 AR36:AS36 F10:H16 F20:H20 F22:H82 F21 H21 AN21:AQ21 BX10:BZ10 CE10:CH10 CD34:CH34 CD52:CH52 CD65:CH65 CD81:CH81" formulaRange="1"/>
    <ignoredError sqref="L56:P56 I56 S62:W63 S54:W54 I54 Z63:AD63 AG61:AL62 I62:I65 AG64:AL77 AG63:AK63 Z20:AD20 I20 AG17:AL18 S20:W20 L20:P20 L54:P54 I59:I60 AG60:AK60 L62:P65 AG79:AL79 I78 L78:P78 S78:W78 AG78:AK78 AG84:AL84 AG80:AK80 AG51:AL59 AG50:AK50 AG49:AL49 AG48:AK48 AG37:AL47 AG36:AK36 AY10 AY48:AY50 BF17:BF18 AG81:AL82 I84:J84 I79:J82 I22:J53 I17:J18 I66:J77 I61:J61 I55:J55 I57:J58 L84:Q84 L79:Q82 L22:Q53 L17:Q18 L66:Q77 L57:Q61 L55:Q55 S84:X84 S79:X82 S17:X18 S22:X53 S64:X77 S55:X61 Z84:AE84 Z17:AE18 Z64:AE82 Z22:AE62 Z10:AE16 S10:X16 L10:Q16 I10:J16 BF10:BF16 AG10:AL16 AG20:AL20 BF20 J21 L21:M21 O21 Q21 S21:T21 V21 X21 AC21 AE21 AG22:AL35 AL21 AR21 BF22:BF80" formula="1" formulaRange="1"/>
    <ignoredError sqref="Q54 Q62:Q65 AL63 AL60 J56 X54 X62:X63 Q56 AY16 AY26:AY30 AY41:AY47 AY57:AY61 AS84 BF84 AZ84 AZ82 BF81:BF82 U21 AK21"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V168"/>
  <sheetViews>
    <sheetView showGridLines="0" zoomScale="120" zoomScaleNormal="120" workbookViewId="0">
      <selection activeCell="K6" sqref="K6"/>
    </sheetView>
  </sheetViews>
  <sheetFormatPr baseColWidth="10" defaultColWidth="11.44140625" defaultRowHeight="13.2"/>
  <cols>
    <col min="1" max="1" width="37.6640625" style="49" customWidth="1"/>
    <col min="2" max="5" width="9.6640625" style="49" customWidth="1"/>
    <col min="6" max="6" width="9.6640625" style="50" customWidth="1"/>
    <col min="7" max="7" width="9.6640625" style="49" customWidth="1"/>
    <col min="8" max="8" width="10.6640625" style="49" customWidth="1"/>
    <col min="9" max="12" width="9.6640625" style="49" customWidth="1"/>
    <col min="13" max="13" width="10.6640625" style="49" customWidth="1"/>
    <col min="14" max="14" width="12" style="49" customWidth="1"/>
    <col min="15" max="15" width="12.33203125" style="49" customWidth="1"/>
    <col min="16" max="16" width="12" style="49" customWidth="1"/>
    <col min="17" max="18" width="10.6640625" style="49" customWidth="1"/>
    <col min="19" max="24" width="11.44140625" style="49"/>
    <col min="25" max="25" width="9.6640625" style="49" customWidth="1"/>
    <col min="26" max="16384" width="11.44140625" style="49"/>
  </cols>
  <sheetData>
    <row r="1" spans="1:22" ht="19.5" customHeight="1">
      <c r="B1" s="2070"/>
      <c r="C1" s="2070"/>
      <c r="D1" s="2070"/>
      <c r="E1"/>
      <c r="F1" s="1555"/>
      <c r="G1" s="1555"/>
      <c r="H1" s="6496" t="s">
        <v>2011</v>
      </c>
      <c r="I1" s="1555"/>
      <c r="J1" s="1555"/>
      <c r="K1" s="1555"/>
      <c r="L1" s="1555"/>
      <c r="M1" s="1555"/>
      <c r="N1" s="1555"/>
      <c r="O1" s="1555"/>
      <c r="P1" s="1555"/>
      <c r="Q1" s="1555"/>
      <c r="R1" s="1555"/>
      <c r="V1" s="180"/>
    </row>
    <row r="2" spans="1:22" ht="19.5" customHeight="1">
      <c r="A2" s="3032"/>
      <c r="B2" s="2070"/>
      <c r="C2" s="2070"/>
      <c r="D2" s="2070"/>
      <c r="E2" s="5081"/>
      <c r="F2" s="1555"/>
      <c r="G2" s="1555"/>
      <c r="H2" s="1555"/>
      <c r="I2" s="1555"/>
      <c r="J2" s="1555"/>
      <c r="K2" s="1555"/>
      <c r="L2" s="1555"/>
      <c r="M2" s="1555"/>
      <c r="N2" s="1555"/>
      <c r="O2" s="1555"/>
      <c r="P2" s="1555"/>
      <c r="Q2" s="1555"/>
      <c r="R2" s="1555"/>
      <c r="V2" s="180"/>
    </row>
    <row r="3" spans="1:22" ht="19.5" customHeight="1" thickBot="1">
      <c r="A3" s="1904" t="s">
        <v>95</v>
      </c>
      <c r="B3" s="2000">
        <v>2019</v>
      </c>
      <c r="C3" s="2000">
        <v>2020</v>
      </c>
      <c r="D3" s="2000">
        <v>2021</v>
      </c>
      <c r="E3" s="2000">
        <v>2022</v>
      </c>
      <c r="F3" s="6467">
        <v>2023</v>
      </c>
      <c r="G3" s="5080" t="s">
        <v>3291</v>
      </c>
      <c r="H3" s="2000" t="s">
        <v>150</v>
      </c>
      <c r="I3" s="1555"/>
      <c r="J3" s="1555"/>
      <c r="K3" s="1555"/>
      <c r="L3" s="1555"/>
      <c r="M3" s="1555"/>
      <c r="N3" s="1555"/>
      <c r="O3" s="1555"/>
      <c r="P3" s="1555"/>
      <c r="Q3" s="1555"/>
      <c r="R3" s="1555"/>
      <c r="V3" s="180"/>
    </row>
    <row r="4" spans="1:22" ht="19.5" customHeight="1">
      <c r="A4" s="2823" t="s">
        <v>2386</v>
      </c>
      <c r="B4" s="2825">
        <v>1247</v>
      </c>
      <c r="C4" s="2825">
        <v>1288</v>
      </c>
      <c r="D4" s="2825">
        <v>1318</v>
      </c>
      <c r="E4" s="5087">
        <v>1210</v>
      </c>
      <c r="F4" s="5638">
        <v>959</v>
      </c>
      <c r="G4" s="5088">
        <v>6022</v>
      </c>
      <c r="H4" s="7341">
        <f>G5/G4</f>
        <v>6.2803055463301227</v>
      </c>
      <c r="I4" s="1555"/>
      <c r="J4" s="1555"/>
      <c r="K4" s="1555"/>
      <c r="L4" s="1555"/>
      <c r="M4" s="1555"/>
      <c r="N4" s="1555"/>
      <c r="O4" s="1555"/>
      <c r="P4" s="1555"/>
      <c r="Q4" s="1555"/>
      <c r="R4" s="1555"/>
      <c r="V4" s="180"/>
    </row>
    <row r="5" spans="1:22" ht="19.5" customHeight="1">
      <c r="A5" s="2824" t="s">
        <v>2385</v>
      </c>
      <c r="B5" s="2826">
        <v>11711</v>
      </c>
      <c r="C5" s="2826">
        <v>15679</v>
      </c>
      <c r="D5" s="2826">
        <v>7000</v>
      </c>
      <c r="E5" s="5089">
        <v>2967</v>
      </c>
      <c r="F5" s="5639">
        <v>463</v>
      </c>
      <c r="G5" s="5090">
        <v>37820</v>
      </c>
      <c r="H5" s="7342"/>
      <c r="I5" s="1555"/>
      <c r="J5" s="1555"/>
      <c r="K5" s="1555"/>
      <c r="L5" s="1555"/>
      <c r="M5" s="1555"/>
      <c r="N5" s="1555"/>
      <c r="O5" s="1555"/>
      <c r="P5" s="1555"/>
      <c r="Q5" s="1555"/>
      <c r="R5" s="1555"/>
      <c r="V5" s="180"/>
    </row>
    <row r="6" spans="1:22" s="6461" customFormat="1" ht="19.5" customHeight="1">
      <c r="A6" s="4140" t="s">
        <v>2934</v>
      </c>
      <c r="B6" s="1958"/>
      <c r="C6" s="1958"/>
      <c r="D6" s="1958"/>
      <c r="E6" s="1"/>
      <c r="F6" s="5640"/>
      <c r="G6" s="1555"/>
      <c r="H6" s="6468" t="s">
        <v>2387</v>
      </c>
      <c r="I6" s="1555"/>
      <c r="J6" s="1555"/>
      <c r="K6" s="1555"/>
      <c r="L6" s="1555"/>
      <c r="M6" s="1555"/>
      <c r="N6" s="1555"/>
      <c r="O6" s="1555"/>
      <c r="P6" s="1555"/>
      <c r="Q6" s="1555"/>
      <c r="R6" s="1555"/>
      <c r="V6" s="1042"/>
    </row>
    <row r="7" spans="1:22" ht="19.5" customHeight="1">
      <c r="A7" s="4140"/>
      <c r="B7" s="1958"/>
      <c r="C7" s="1958"/>
      <c r="D7" s="1958"/>
      <c r="E7" s="5317"/>
      <c r="F7" s="5640"/>
      <c r="G7" s="1555"/>
      <c r="H7" s="2001"/>
      <c r="I7" s="1555"/>
      <c r="J7" s="1555"/>
      <c r="K7" s="1555"/>
      <c r="L7" s="1555"/>
      <c r="M7" s="1555"/>
      <c r="N7" s="1555"/>
      <c r="O7" s="1555"/>
      <c r="P7" s="1555"/>
      <c r="Q7" s="1555"/>
      <c r="R7" s="1555"/>
      <c r="V7" s="180"/>
    </row>
    <row r="8" spans="1:22" ht="19.5" customHeight="1">
      <c r="A8" s="3032"/>
      <c r="B8" s="2070"/>
      <c r="C8" s="2070"/>
      <c r="D8" s="2070"/>
      <c r="E8" s="5317"/>
      <c r="F8" s="1555"/>
      <c r="G8" s="1555"/>
      <c r="H8" s="1555"/>
      <c r="I8" s="1555"/>
      <c r="J8" s="1555"/>
      <c r="K8" s="1555"/>
      <c r="L8" s="1555"/>
      <c r="M8" s="1555"/>
      <c r="N8" s="1555"/>
      <c r="O8" s="1555"/>
      <c r="P8" s="1555"/>
      <c r="Q8" s="1555"/>
      <c r="R8" s="1555"/>
      <c r="V8" s="180"/>
    </row>
    <row r="9" spans="1:22" ht="19.5" customHeight="1" thickBot="1">
      <c r="A9" s="1904" t="s">
        <v>95</v>
      </c>
      <c r="B9" s="2000">
        <v>2018</v>
      </c>
      <c r="C9" s="2000">
        <v>2019</v>
      </c>
      <c r="D9" s="2000">
        <v>2020</v>
      </c>
      <c r="E9" s="2000">
        <v>2021</v>
      </c>
      <c r="F9" s="6467">
        <v>2022</v>
      </c>
      <c r="G9" s="5080" t="s">
        <v>3077</v>
      </c>
      <c r="H9" s="2000" t="s">
        <v>150</v>
      </c>
      <c r="I9" s="1555"/>
      <c r="J9" s="1555"/>
      <c r="K9" s="1555"/>
      <c r="L9" s="1555"/>
      <c r="M9" s="1555"/>
      <c r="N9" s="1555"/>
      <c r="O9" s="1555"/>
      <c r="P9" s="1555"/>
      <c r="Q9" s="1555"/>
      <c r="R9" s="1555"/>
      <c r="V9" s="180"/>
    </row>
    <row r="10" spans="1:22" ht="19.5" customHeight="1">
      <c r="A10" s="2823" t="s">
        <v>2386</v>
      </c>
      <c r="B10" s="2825">
        <v>1221</v>
      </c>
      <c r="C10" s="2825">
        <v>1244</v>
      </c>
      <c r="D10" s="2825">
        <v>1282</v>
      </c>
      <c r="E10" s="5087">
        <v>1299</v>
      </c>
      <c r="F10" s="5638">
        <v>1012</v>
      </c>
      <c r="G10" s="5088">
        <f>SUM(B10:F10)</f>
        <v>6058</v>
      </c>
      <c r="H10" s="7341">
        <f>G11/G10</f>
        <v>7.2566853747111262</v>
      </c>
      <c r="I10" s="1555"/>
      <c r="J10" s="1555"/>
      <c r="K10" s="1555"/>
      <c r="L10" s="1555"/>
      <c r="M10" s="1555"/>
      <c r="N10" s="1555"/>
      <c r="O10" s="1555"/>
      <c r="P10" s="1555"/>
      <c r="Q10" s="1555"/>
      <c r="R10" s="1555"/>
      <c r="V10" s="180"/>
    </row>
    <row r="11" spans="1:22" ht="19.5" customHeight="1">
      <c r="A11" s="2824" t="s">
        <v>2385</v>
      </c>
      <c r="B11" s="2826">
        <v>21905</v>
      </c>
      <c r="C11" s="2826">
        <v>8729</v>
      </c>
      <c r="D11" s="2826">
        <v>9140</v>
      </c>
      <c r="E11" s="5089">
        <v>3620</v>
      </c>
      <c r="F11" s="5639">
        <v>567</v>
      </c>
      <c r="G11" s="5090">
        <f>SUM(B11:F11)</f>
        <v>43961</v>
      </c>
      <c r="H11" s="7342"/>
      <c r="I11" s="1555"/>
      <c r="J11" s="1555"/>
      <c r="K11" s="1555"/>
      <c r="L11" s="1555"/>
      <c r="M11" s="1555"/>
      <c r="N11" s="1555"/>
      <c r="O11" s="1555"/>
      <c r="P11" s="1555"/>
      <c r="Q11" s="1555"/>
      <c r="R11" s="1555"/>
      <c r="V11" s="180"/>
    </row>
    <row r="12" spans="1:22" s="6461" customFormat="1" ht="19.5" customHeight="1">
      <c r="A12" s="4140" t="s">
        <v>2934</v>
      </c>
      <c r="B12" s="1958"/>
      <c r="C12" s="1958"/>
      <c r="D12" s="1958"/>
      <c r="E12" s="1"/>
      <c r="F12" s="5640"/>
      <c r="G12" s="1555"/>
      <c r="H12" s="6468" t="s">
        <v>2387</v>
      </c>
      <c r="I12" s="1555"/>
      <c r="J12" s="1555"/>
      <c r="K12" s="1555"/>
      <c r="L12" s="1555"/>
      <c r="M12" s="1555"/>
      <c r="N12" s="1555"/>
      <c r="O12" s="1555"/>
      <c r="P12" s="1555"/>
      <c r="Q12" s="1555"/>
      <c r="R12" s="1555"/>
      <c r="V12" s="1042"/>
    </row>
    <row r="13" spans="1:22" ht="19.5" customHeight="1">
      <c r="A13" s="4140"/>
      <c r="B13" s="1958"/>
      <c r="C13" s="1958"/>
      <c r="D13" s="1958"/>
      <c r="E13" s="5317"/>
      <c r="F13" s="5640"/>
      <c r="G13" s="1555"/>
      <c r="H13" s="2001"/>
      <c r="I13" s="1555"/>
      <c r="J13" s="1555"/>
      <c r="K13" s="1555"/>
      <c r="L13" s="1555"/>
      <c r="M13" s="1555"/>
      <c r="N13" s="1555"/>
      <c r="O13" s="1555"/>
      <c r="P13" s="1555"/>
      <c r="Q13" s="1555"/>
      <c r="R13" s="1555"/>
      <c r="V13" s="180"/>
    </row>
    <row r="14" spans="1:22" ht="19.5" customHeight="1">
      <c r="A14" s="3032"/>
      <c r="B14" s="2070"/>
      <c r="C14" s="2070"/>
      <c r="D14" s="2070"/>
      <c r="E14" s="5317"/>
      <c r="F14" s="1555"/>
      <c r="G14" s="1555"/>
      <c r="H14" s="1555"/>
      <c r="I14" s="1555"/>
      <c r="J14" s="1555"/>
      <c r="K14" s="1555"/>
      <c r="L14" s="1555"/>
      <c r="M14" s="1555"/>
      <c r="N14" s="1555"/>
      <c r="O14" s="1555"/>
      <c r="P14" s="1555"/>
      <c r="Q14" s="1555"/>
      <c r="R14" s="1555"/>
      <c r="V14" s="180"/>
    </row>
    <row r="15" spans="1:22" ht="19.5" customHeight="1" thickBot="1">
      <c r="A15" s="1904" t="s">
        <v>95</v>
      </c>
      <c r="B15" s="2000">
        <v>2017</v>
      </c>
      <c r="C15" s="2000">
        <v>2018</v>
      </c>
      <c r="D15" s="2000">
        <v>2019</v>
      </c>
      <c r="E15" s="2000">
        <v>2020</v>
      </c>
      <c r="F15" s="6467">
        <v>2021</v>
      </c>
      <c r="G15" s="5080" t="s">
        <v>2935</v>
      </c>
      <c r="H15" s="2000" t="s">
        <v>150</v>
      </c>
      <c r="I15" s="1555"/>
      <c r="J15" s="1555"/>
      <c r="K15" s="1555"/>
      <c r="L15" s="1555"/>
      <c r="M15" s="1555"/>
      <c r="N15" s="1555"/>
      <c r="O15" s="1555"/>
      <c r="P15" s="1555"/>
      <c r="Q15" s="1555"/>
      <c r="U15" s="180"/>
    </row>
    <row r="16" spans="1:22" ht="19.5" customHeight="1">
      <c r="A16" s="2823" t="s">
        <v>2386</v>
      </c>
      <c r="B16" s="2825">
        <v>1186</v>
      </c>
      <c r="C16" s="2825">
        <v>1208</v>
      </c>
      <c r="D16" s="2825">
        <v>1200</v>
      </c>
      <c r="E16" s="5087">
        <v>1126</v>
      </c>
      <c r="F16" s="5638">
        <v>1151</v>
      </c>
      <c r="G16" s="5088">
        <f>SUM(B16:F16)</f>
        <v>5871</v>
      </c>
      <c r="H16" s="7341">
        <f>G17/G16</f>
        <v>4.1887242377789136</v>
      </c>
      <c r="I16" s="1555"/>
      <c r="J16" s="1555"/>
      <c r="K16" s="1555"/>
      <c r="L16" s="1555"/>
      <c r="M16" s="1555"/>
      <c r="N16" s="1555"/>
      <c r="O16" s="1555"/>
      <c r="P16" s="1555"/>
      <c r="Q16" s="1555"/>
      <c r="U16" s="180"/>
    </row>
    <row r="17" spans="1:22" ht="19.5" customHeight="1">
      <c r="A17" s="2824" t="s">
        <v>2385</v>
      </c>
      <c r="B17" s="2826">
        <v>11429</v>
      </c>
      <c r="C17" s="2826">
        <v>8706</v>
      </c>
      <c r="D17" s="2826">
        <v>2858</v>
      </c>
      <c r="E17" s="5089">
        <v>724</v>
      </c>
      <c r="F17" s="5639">
        <v>875</v>
      </c>
      <c r="G17" s="5090">
        <f>SUM(B17:F17)</f>
        <v>24592</v>
      </c>
      <c r="H17" s="7342"/>
      <c r="I17" s="1555"/>
      <c r="J17" s="1555"/>
      <c r="K17" s="1555"/>
      <c r="L17" s="1555"/>
      <c r="M17" s="1555"/>
      <c r="N17" s="1555"/>
      <c r="O17" s="1555"/>
      <c r="P17" s="1555"/>
      <c r="Q17" s="1555"/>
      <c r="U17" s="180"/>
    </row>
    <row r="18" spans="1:22" s="6461" customFormat="1" ht="19.5" customHeight="1">
      <c r="A18" s="4140" t="s">
        <v>2934</v>
      </c>
      <c r="B18" s="1958"/>
      <c r="C18" s="1958"/>
      <c r="D18" s="1958"/>
      <c r="E18" s="1"/>
      <c r="F18" s="5640"/>
      <c r="G18" s="1555"/>
      <c r="H18" s="6468" t="s">
        <v>2387</v>
      </c>
      <c r="I18" s="1"/>
      <c r="J18" s="1555"/>
      <c r="K18" s="1555"/>
      <c r="L18" s="1555"/>
      <c r="M18" s="1555"/>
      <c r="N18" s="1555"/>
      <c r="O18" s="1555"/>
      <c r="P18" s="1555"/>
      <c r="Q18" s="1555"/>
      <c r="R18" s="1555"/>
      <c r="V18" s="1042"/>
    </row>
    <row r="19" spans="1:22" ht="19.5" customHeight="1">
      <c r="A19" s="3032"/>
      <c r="B19" s="2070"/>
      <c r="C19" s="2070"/>
      <c r="D19" s="2070"/>
      <c r="E19" s="5081"/>
      <c r="F19" s="5640"/>
      <c r="G19" s="1555"/>
      <c r="H19" s="1555"/>
      <c r="I19" s="1555"/>
      <c r="J19" s="1555"/>
      <c r="K19" s="1555"/>
      <c r="L19" s="1555"/>
      <c r="M19" s="1555"/>
      <c r="N19" s="1555"/>
      <c r="O19" s="1555"/>
      <c r="P19" s="1555"/>
      <c r="Q19" s="1555"/>
      <c r="R19" s="1555"/>
      <c r="V19" s="180"/>
    </row>
    <row r="20" spans="1:22" ht="19.5" customHeight="1">
      <c r="A20" s="3032"/>
      <c r="B20" s="2070"/>
      <c r="C20" s="2070"/>
      <c r="D20" s="2070"/>
      <c r="E20" s="5081"/>
      <c r="F20" s="5640"/>
      <c r="G20" s="1555"/>
      <c r="H20" s="1555"/>
      <c r="I20" s="1555"/>
      <c r="J20" s="1555"/>
      <c r="K20" s="1555"/>
      <c r="L20" s="1555"/>
      <c r="M20" s="1555"/>
      <c r="N20" s="1555"/>
      <c r="O20" s="1555"/>
      <c r="P20" s="1555"/>
      <c r="Q20" s="1555"/>
      <c r="R20" s="1555"/>
      <c r="V20" s="180"/>
    </row>
    <row r="21" spans="1:22" ht="16.2" thickBot="1">
      <c r="A21" s="1904" t="s">
        <v>95</v>
      </c>
      <c r="B21" s="2000">
        <v>2016</v>
      </c>
      <c r="C21" s="2000">
        <v>2017</v>
      </c>
      <c r="D21" s="2000">
        <v>2018</v>
      </c>
      <c r="E21" s="2000">
        <v>2019</v>
      </c>
      <c r="F21" s="6467">
        <v>2020</v>
      </c>
      <c r="G21" s="5080" t="s">
        <v>2655</v>
      </c>
      <c r="H21" s="2000" t="s">
        <v>150</v>
      </c>
      <c r="I21" s="1555"/>
      <c r="J21" s="1555"/>
      <c r="K21" s="1555"/>
      <c r="L21" s="1555"/>
      <c r="M21" s="1555"/>
      <c r="N21" s="1555"/>
      <c r="O21" s="1555"/>
      <c r="P21" s="1555"/>
      <c r="Q21" s="1555"/>
      <c r="R21" s="1555"/>
      <c r="V21" s="180"/>
    </row>
    <row r="22" spans="1:22" ht="15.6">
      <c r="A22" s="2823" t="s">
        <v>2386</v>
      </c>
      <c r="B22" s="2825">
        <v>1123</v>
      </c>
      <c r="C22" s="2825">
        <v>1186</v>
      </c>
      <c r="D22" s="2825">
        <v>1208</v>
      </c>
      <c r="E22" s="2825">
        <v>1200</v>
      </c>
      <c r="F22" s="5638">
        <v>1126</v>
      </c>
      <c r="G22" s="2825">
        <f>SUM(B22:F22)</f>
        <v>5843</v>
      </c>
      <c r="H22" s="7338">
        <f>G23/G22</f>
        <v>6.6157795652918026</v>
      </c>
      <c r="I22" s="1555"/>
      <c r="J22" s="1555"/>
      <c r="K22" s="1555"/>
      <c r="L22" s="1555"/>
      <c r="M22" s="1555"/>
      <c r="N22" s="1555"/>
      <c r="O22" s="1555"/>
      <c r="P22" s="1555"/>
      <c r="Q22" s="1555"/>
      <c r="R22" s="1555"/>
      <c r="V22" s="180"/>
    </row>
    <row r="23" spans="1:22" ht="15.6">
      <c r="A23" s="2824" t="s">
        <v>2385</v>
      </c>
      <c r="B23" s="2826">
        <v>14939</v>
      </c>
      <c r="C23" s="2826">
        <v>11429</v>
      </c>
      <c r="D23" s="2826">
        <v>8706</v>
      </c>
      <c r="E23" s="2826">
        <v>2858</v>
      </c>
      <c r="F23" s="5639">
        <v>724</v>
      </c>
      <c r="G23" s="2826">
        <f>SUM(B23:F23)</f>
        <v>38656</v>
      </c>
      <c r="H23" s="7339"/>
      <c r="I23" s="1555"/>
      <c r="J23" s="1555"/>
      <c r="K23" s="1555"/>
      <c r="L23" s="1555"/>
      <c r="M23" s="1555"/>
      <c r="N23" s="1555"/>
      <c r="O23" s="1555"/>
      <c r="P23" s="1555"/>
      <c r="Q23" s="1555"/>
      <c r="R23" s="1555"/>
      <c r="V23" s="180"/>
    </row>
    <row r="24" spans="1:22" s="6461" customFormat="1" ht="18">
      <c r="A24" s="4140" t="s">
        <v>2656</v>
      </c>
      <c r="B24" s="1958"/>
      <c r="C24" s="1958"/>
      <c r="D24" s="1958"/>
      <c r="E24" s="1"/>
      <c r="F24" s="1555"/>
      <c r="G24" s="1555"/>
      <c r="H24" s="6468" t="s">
        <v>2387</v>
      </c>
      <c r="I24" s="1555"/>
      <c r="J24" s="1555"/>
      <c r="K24" s="1555"/>
      <c r="L24" s="1555"/>
      <c r="M24" s="1555"/>
      <c r="N24" s="1555"/>
      <c r="O24" s="1555"/>
      <c r="P24" s="1555"/>
      <c r="Q24" s="1555"/>
      <c r="R24" s="1555"/>
      <c r="V24" s="1042"/>
    </row>
    <row r="25" spans="1:22" ht="18">
      <c r="A25" s="1958"/>
      <c r="B25" s="1958"/>
      <c r="C25" s="1958"/>
      <c r="D25" s="1958"/>
      <c r="E25" s="4137"/>
      <c r="F25" s="1555"/>
      <c r="G25" s="1555"/>
      <c r="H25" s="1555"/>
      <c r="I25" s="1555"/>
      <c r="J25" s="1555"/>
      <c r="K25" s="1555"/>
      <c r="L25" s="1555"/>
      <c r="M25" s="1555"/>
      <c r="N25" s="1555"/>
      <c r="O25" s="1555"/>
      <c r="P25" s="1555"/>
      <c r="Q25" s="1555"/>
      <c r="R25" s="1555"/>
      <c r="V25" s="180"/>
    </row>
    <row r="26" spans="1:22" ht="15" customHeight="1">
      <c r="A26" s="1958"/>
      <c r="B26" s="1958"/>
      <c r="C26" s="1958"/>
      <c r="D26" s="1958"/>
      <c r="E26" s="3468"/>
      <c r="F26" s="1555"/>
      <c r="G26" s="1555"/>
      <c r="H26" s="1555"/>
      <c r="I26" s="1555"/>
      <c r="J26" s="1555"/>
      <c r="K26" s="1555"/>
      <c r="L26" s="1555"/>
      <c r="M26" s="1555"/>
      <c r="N26" s="1555"/>
      <c r="O26" s="1555"/>
      <c r="P26" s="1555"/>
      <c r="Q26" s="1555"/>
      <c r="R26" s="1555"/>
      <c r="V26" s="180"/>
    </row>
    <row r="27" spans="1:22" ht="16.2" thickBot="1">
      <c r="A27" s="1904" t="s">
        <v>95</v>
      </c>
      <c r="B27" s="2000">
        <v>2015</v>
      </c>
      <c r="C27" s="2000">
        <v>2016</v>
      </c>
      <c r="D27" s="2000">
        <v>2017</v>
      </c>
      <c r="E27" s="2000">
        <v>2018</v>
      </c>
      <c r="F27" s="6467">
        <v>2019</v>
      </c>
      <c r="G27" s="5080" t="s">
        <v>2501</v>
      </c>
      <c r="H27" s="2000" t="s">
        <v>150</v>
      </c>
      <c r="I27" s="1555"/>
      <c r="J27" s="1555"/>
      <c r="K27" s="1555"/>
      <c r="L27" s="1555"/>
      <c r="M27" s="1555"/>
      <c r="N27" s="1555"/>
      <c r="O27" s="1555"/>
      <c r="P27" s="1555"/>
      <c r="Q27" s="1555"/>
      <c r="R27" s="1555"/>
      <c r="V27" s="180"/>
    </row>
    <row r="28" spans="1:22" ht="20.100000000000001" customHeight="1">
      <c r="A28" s="2823" t="s">
        <v>2502</v>
      </c>
      <c r="B28" s="2825">
        <v>1066</v>
      </c>
      <c r="C28" s="2825">
        <v>1120</v>
      </c>
      <c r="D28" s="2825">
        <v>1184</v>
      </c>
      <c r="E28" s="2825">
        <v>1174</v>
      </c>
      <c r="F28" s="2825">
        <v>1016</v>
      </c>
      <c r="G28" s="2825">
        <f>SUM(B28:F28)</f>
        <v>5560</v>
      </c>
      <c r="H28" s="7338">
        <f>G29/G28</f>
        <v>6.5836330935251794</v>
      </c>
      <c r="I28" s="1555"/>
      <c r="J28" s="1555"/>
      <c r="K28" s="1555"/>
      <c r="L28" s="1555"/>
      <c r="M28" s="1555"/>
      <c r="N28" s="1555"/>
      <c r="O28" s="1555"/>
      <c r="P28" s="1555"/>
      <c r="Q28" s="1555"/>
      <c r="R28" s="1555"/>
      <c r="V28" s="180"/>
    </row>
    <row r="29" spans="1:22" ht="20.100000000000001" customHeight="1">
      <c r="A29" s="2824" t="s">
        <v>2385</v>
      </c>
      <c r="B29" s="2826">
        <v>15370</v>
      </c>
      <c r="C29" s="2826">
        <v>10985</v>
      </c>
      <c r="D29" s="2826">
        <v>6942</v>
      </c>
      <c r="E29" s="2826">
        <v>2788</v>
      </c>
      <c r="F29" s="2826">
        <v>520</v>
      </c>
      <c r="G29" s="2826">
        <f>SUM(B29:F29)</f>
        <v>36605</v>
      </c>
      <c r="H29" s="7339"/>
      <c r="I29" s="1555"/>
      <c r="J29" s="1555"/>
      <c r="K29" s="1555"/>
      <c r="L29" s="1555"/>
      <c r="M29" s="1555"/>
      <c r="N29" s="1555"/>
      <c r="O29" s="1555"/>
      <c r="P29" s="1555"/>
      <c r="Q29" s="1555"/>
      <c r="R29" s="1555"/>
      <c r="V29" s="180"/>
    </row>
    <row r="30" spans="1:22" ht="15" customHeight="1">
      <c r="A30" s="7343" t="s">
        <v>2293</v>
      </c>
      <c r="B30" s="7343"/>
      <c r="F30" s="49"/>
      <c r="H30" s="2001" t="s">
        <v>2387</v>
      </c>
      <c r="I30" s="1555"/>
      <c r="J30" s="1555"/>
      <c r="K30" s="1555"/>
      <c r="L30" s="1555"/>
      <c r="M30" s="1555"/>
      <c r="N30" s="1555"/>
      <c r="O30" s="1555"/>
      <c r="P30" s="1555"/>
      <c r="Q30" s="1555"/>
      <c r="R30" s="1555"/>
      <c r="V30" s="180"/>
    </row>
    <row r="31" spans="1:22" ht="15" customHeight="1">
      <c r="A31" s="7344"/>
      <c r="B31" s="7344"/>
      <c r="C31" s="1958"/>
      <c r="D31" s="1958"/>
      <c r="E31" s="3468"/>
      <c r="F31" s="1555"/>
      <c r="G31" s="1555"/>
      <c r="H31" s="1555"/>
      <c r="I31" s="1555"/>
      <c r="J31" s="1555"/>
      <c r="K31" s="1555"/>
      <c r="L31" s="1555"/>
      <c r="M31" s="1555"/>
      <c r="N31" s="1555"/>
      <c r="O31" s="1555"/>
      <c r="P31" s="1555"/>
      <c r="Q31" s="1555"/>
      <c r="R31" s="1555"/>
      <c r="V31" s="180"/>
    </row>
    <row r="32" spans="1:22" ht="15" customHeight="1">
      <c r="A32" s="5630"/>
      <c r="B32" s="5630"/>
      <c r="C32" s="1958"/>
      <c r="D32" s="1958"/>
      <c r="E32" s="5317"/>
      <c r="F32" s="1555"/>
      <c r="G32" s="1555"/>
      <c r="H32" s="1555"/>
      <c r="I32" s="1555"/>
      <c r="J32" s="1555"/>
      <c r="K32" s="1555"/>
      <c r="L32" s="1555"/>
      <c r="M32" s="1555"/>
      <c r="N32" s="1555"/>
      <c r="O32" s="1555"/>
      <c r="P32" s="1555"/>
      <c r="Q32" s="1555"/>
      <c r="R32" s="1555"/>
      <c r="V32" s="180"/>
    </row>
    <row r="33" spans="1:22" ht="15" customHeight="1">
      <c r="A33" s="1958"/>
      <c r="B33" s="1958"/>
      <c r="C33" s="1958"/>
      <c r="D33" s="1958"/>
      <c r="E33" s="3468"/>
      <c r="F33" s="1555"/>
      <c r="G33" s="1555"/>
      <c r="H33" s="1555"/>
      <c r="I33" s="1555"/>
      <c r="J33" s="1555"/>
      <c r="K33" s="1555"/>
      <c r="L33" s="1555"/>
      <c r="M33" s="1555"/>
      <c r="N33" s="1555"/>
      <c r="O33" s="1555"/>
      <c r="P33" s="1555"/>
      <c r="Q33" s="1555"/>
      <c r="R33" s="1555"/>
      <c r="V33" s="180"/>
    </row>
    <row r="34" spans="1:22" ht="16.2" thickBot="1">
      <c r="A34" s="1904" t="s">
        <v>95</v>
      </c>
      <c r="B34" s="2000">
        <v>2014</v>
      </c>
      <c r="C34" s="2000">
        <v>2015</v>
      </c>
      <c r="D34" s="2000">
        <v>2016</v>
      </c>
      <c r="E34" s="2000">
        <v>2017</v>
      </c>
      <c r="F34" s="6467">
        <v>2018</v>
      </c>
      <c r="G34" s="5080" t="s">
        <v>3292</v>
      </c>
      <c r="H34" s="2000" t="s">
        <v>150</v>
      </c>
      <c r="M34" s="1555"/>
      <c r="N34" s="1555"/>
      <c r="O34" s="1555"/>
      <c r="P34" s="1555"/>
      <c r="Q34" s="1555"/>
      <c r="R34" s="1555"/>
      <c r="V34" s="180"/>
    </row>
    <row r="35" spans="1:22" ht="20.100000000000001" customHeight="1">
      <c r="A35" s="2823" t="s">
        <v>2386</v>
      </c>
      <c r="B35" s="2825">
        <v>947</v>
      </c>
      <c r="C35" s="2825">
        <v>1058</v>
      </c>
      <c r="D35" s="2825">
        <v>1115</v>
      </c>
      <c r="E35" s="2825">
        <v>1169</v>
      </c>
      <c r="F35" s="2825">
        <v>1029</v>
      </c>
      <c r="G35" s="2825">
        <v>5315</v>
      </c>
      <c r="H35" s="7338">
        <f>G36/G35</f>
        <v>5.4109125117591725</v>
      </c>
      <c r="N35" s="1555"/>
      <c r="O35" s="1555"/>
      <c r="P35" s="1555"/>
      <c r="Q35" s="1555"/>
      <c r="R35" s="1555"/>
      <c r="V35" s="180"/>
    </row>
    <row r="36" spans="1:22" ht="20.100000000000001" customHeight="1">
      <c r="A36" s="2824" t="s">
        <v>2385</v>
      </c>
      <c r="B36" s="2826">
        <v>6694</v>
      </c>
      <c r="C36" s="2826">
        <v>11514</v>
      </c>
      <c r="D36" s="2826">
        <v>6843</v>
      </c>
      <c r="E36" s="2826">
        <v>3227</v>
      </c>
      <c r="F36" s="2826">
        <v>481</v>
      </c>
      <c r="G36" s="2826">
        <v>28759</v>
      </c>
      <c r="H36" s="7339"/>
      <c r="N36" s="1555"/>
      <c r="O36" s="1555"/>
      <c r="P36" s="1555"/>
      <c r="Q36" s="1555"/>
      <c r="R36" s="1555"/>
      <c r="V36" s="180"/>
    </row>
    <row r="37" spans="1:22" s="6461" customFormat="1" ht="15.6">
      <c r="H37" s="6468" t="s">
        <v>2387</v>
      </c>
      <c r="N37" s="1555"/>
      <c r="O37" s="1555"/>
      <c r="P37" s="1555"/>
      <c r="Q37" s="1555"/>
      <c r="R37" s="1555"/>
      <c r="V37" s="1042"/>
    </row>
    <row r="38" spans="1:22" ht="15.6">
      <c r="A38" s="210"/>
      <c r="B38" s="210"/>
      <c r="C38" s="210"/>
      <c r="D38" s="210"/>
      <c r="E38"/>
      <c r="F38" s="211"/>
      <c r="G38" s="211"/>
      <c r="H38" s="211"/>
      <c r="I38" s="211"/>
      <c r="J38" s="211"/>
      <c r="K38" s="211"/>
      <c r="L38" s="211"/>
      <c r="M38" s="211"/>
      <c r="N38" s="211"/>
      <c r="O38" s="211"/>
      <c r="P38" s="211"/>
      <c r="Q38" s="211"/>
      <c r="R38" s="211"/>
    </row>
    <row r="39" spans="1:22" ht="15.6">
      <c r="A39" s="6758" t="s">
        <v>3416</v>
      </c>
      <c r="B39" s="210"/>
      <c r="C39" s="210"/>
      <c r="D39" s="210"/>
      <c r="E39"/>
      <c r="F39" s="211"/>
      <c r="G39" s="211"/>
      <c r="H39" s="211"/>
      <c r="I39" s="211"/>
      <c r="J39" s="211"/>
      <c r="K39" s="211"/>
      <c r="L39" s="211"/>
      <c r="M39" s="211"/>
      <c r="N39" s="211"/>
      <c r="O39" s="211"/>
      <c r="P39" s="211"/>
      <c r="Q39" s="211"/>
      <c r="R39" s="211"/>
    </row>
    <row r="40" spans="1:22" ht="16.2" thickBot="1">
      <c r="A40" s="1904" t="s">
        <v>95</v>
      </c>
      <c r="B40" s="2000">
        <v>2013</v>
      </c>
      <c r="C40" s="2000">
        <v>2014</v>
      </c>
      <c r="D40" s="2000">
        <v>2015</v>
      </c>
      <c r="E40" s="2000">
        <v>2016</v>
      </c>
      <c r="F40" s="6467">
        <v>2017</v>
      </c>
      <c r="G40" s="5080" t="s">
        <v>2291</v>
      </c>
      <c r="H40" s="2000" t="s">
        <v>150</v>
      </c>
      <c r="I40" s="211"/>
      <c r="J40" s="211"/>
      <c r="K40" s="211"/>
      <c r="L40" s="211"/>
      <c r="M40" s="211"/>
      <c r="N40" s="211"/>
      <c r="O40" s="211"/>
      <c r="P40" s="211"/>
      <c r="Q40" s="211"/>
      <c r="R40" s="211"/>
    </row>
    <row r="41" spans="1:22" ht="16.2">
      <c r="A41" s="2823" t="s">
        <v>2292</v>
      </c>
      <c r="B41" s="2825">
        <v>948</v>
      </c>
      <c r="C41" s="2825">
        <v>947</v>
      </c>
      <c r="D41" s="2825">
        <v>1027</v>
      </c>
      <c r="E41" s="2825">
        <v>1098</v>
      </c>
      <c r="F41" s="2825">
        <v>956</v>
      </c>
      <c r="G41" s="2825">
        <f>SUM(B41:F41)</f>
        <v>4976</v>
      </c>
      <c r="H41" s="7338">
        <f>+G42/G41</f>
        <v>3.9443327974276525</v>
      </c>
      <c r="I41" s="211"/>
      <c r="J41" s="211"/>
      <c r="K41" s="211"/>
      <c r="L41" s="211"/>
      <c r="M41" s="211"/>
      <c r="N41" s="211"/>
      <c r="O41" s="211"/>
      <c r="P41" s="211"/>
      <c r="Q41" s="211"/>
      <c r="R41" s="211"/>
    </row>
    <row r="42" spans="1:22" ht="15.6">
      <c r="A42" s="2824" t="s">
        <v>2694</v>
      </c>
      <c r="B42" s="2826">
        <v>4922</v>
      </c>
      <c r="C42" s="2826">
        <v>4899</v>
      </c>
      <c r="D42" s="2826">
        <v>7028</v>
      </c>
      <c r="E42" s="2826">
        <v>2407</v>
      </c>
      <c r="F42" s="2826">
        <v>371</v>
      </c>
      <c r="G42" s="2826">
        <f>SUM(B42:F42)</f>
        <v>19627</v>
      </c>
      <c r="H42" s="7339"/>
      <c r="I42" s="211"/>
      <c r="J42" s="211"/>
      <c r="K42" s="211"/>
      <c r="L42" s="211"/>
      <c r="M42" s="211"/>
      <c r="N42" s="211"/>
      <c r="O42" s="211"/>
      <c r="P42" s="211"/>
      <c r="Q42" s="211"/>
      <c r="R42" s="211"/>
    </row>
    <row r="43" spans="1:22" ht="15.6">
      <c r="A43" s="1711" t="s">
        <v>2293</v>
      </c>
      <c r="B43" s="210"/>
      <c r="C43" s="210"/>
      <c r="D43" s="210"/>
      <c r="E43"/>
      <c r="F43" s="211"/>
      <c r="G43" s="211"/>
      <c r="H43" s="211"/>
      <c r="I43" s="211"/>
      <c r="J43" s="211"/>
      <c r="K43" s="211"/>
      <c r="L43" s="211"/>
      <c r="M43" s="211"/>
      <c r="N43" s="211"/>
      <c r="O43" s="211"/>
      <c r="P43" s="211"/>
      <c r="Q43" s="211"/>
      <c r="R43" s="211"/>
    </row>
    <row r="44" spans="1:22" ht="21" customHeight="1">
      <c r="A44" s="1711" t="s">
        <v>2294</v>
      </c>
      <c r="B44" s="210"/>
      <c r="C44" s="210"/>
      <c r="D44" s="210"/>
      <c r="E44"/>
      <c r="F44" s="211"/>
      <c r="G44" s="211"/>
      <c r="H44" s="211"/>
      <c r="I44" s="211"/>
      <c r="J44" s="211"/>
      <c r="K44" s="211"/>
      <c r="L44" s="211"/>
      <c r="M44" s="211"/>
      <c r="N44" s="211"/>
      <c r="O44" s="211"/>
      <c r="P44" s="211"/>
      <c r="Q44" s="211"/>
      <c r="R44" s="211"/>
    </row>
    <row r="45" spans="1:22" ht="15.6" hidden="1">
      <c r="A45" s="1712"/>
      <c r="B45" s="210"/>
      <c r="C45" s="210"/>
      <c r="D45" s="210"/>
      <c r="E45"/>
      <c r="F45" s="211"/>
      <c r="G45" s="211"/>
      <c r="H45" s="211"/>
      <c r="I45" s="211"/>
      <c r="J45" s="211"/>
      <c r="K45" s="211"/>
      <c r="L45" s="211"/>
      <c r="M45" s="211"/>
      <c r="N45" s="211"/>
      <c r="O45" s="211"/>
      <c r="P45" s="211"/>
      <c r="Q45" s="211"/>
      <c r="R45" s="211"/>
    </row>
    <row r="46" spans="1:22" ht="15.6" hidden="1">
      <c r="A46" s="1709" t="s">
        <v>95</v>
      </c>
      <c r="B46" s="1713">
        <v>2008</v>
      </c>
      <c r="C46" s="1713">
        <v>2009</v>
      </c>
      <c r="D46" s="1713">
        <v>2010</v>
      </c>
      <c r="E46" s="1713">
        <v>2011</v>
      </c>
      <c r="F46" s="1713">
        <v>2012</v>
      </c>
      <c r="G46" s="1713">
        <v>2013</v>
      </c>
      <c r="H46" s="1713">
        <v>2014</v>
      </c>
      <c r="I46" s="1713">
        <v>2015</v>
      </c>
      <c r="J46" s="1713">
        <v>2016</v>
      </c>
      <c r="K46" s="1713">
        <v>2017</v>
      </c>
      <c r="L46" s="1723" t="s">
        <v>2291</v>
      </c>
      <c r="M46" s="1710" t="s">
        <v>150</v>
      </c>
      <c r="N46" s="211"/>
      <c r="O46" s="211"/>
      <c r="P46" s="211"/>
      <c r="Q46" s="211"/>
      <c r="R46" s="211"/>
    </row>
    <row r="47" spans="1:22" ht="43.2" hidden="1">
      <c r="A47" s="40" t="s">
        <v>2295</v>
      </c>
      <c r="B47" s="1714">
        <v>9468</v>
      </c>
      <c r="C47" s="1714">
        <v>7209</v>
      </c>
      <c r="D47" s="1714">
        <v>6148</v>
      </c>
      <c r="E47" s="1714">
        <v>6227</v>
      </c>
      <c r="F47" s="1714">
        <v>5445</v>
      </c>
      <c r="G47" s="1714">
        <v>4635</v>
      </c>
      <c r="H47" s="1714">
        <v>4510</v>
      </c>
      <c r="I47" s="1714">
        <v>6437</v>
      </c>
      <c r="J47" s="1714">
        <v>2099</v>
      </c>
      <c r="K47" s="1714">
        <v>320</v>
      </c>
      <c r="L47" s="1715">
        <f>SUM(G47:K47)</f>
        <v>18001</v>
      </c>
      <c r="M47" s="7331">
        <f>+L48/L47</f>
        <v>1.0676629076162436</v>
      </c>
      <c r="N47" s="211"/>
      <c r="O47" s="211"/>
      <c r="P47" s="211"/>
      <c r="Q47" s="211"/>
      <c r="R47" s="211"/>
    </row>
    <row r="48" spans="1:22" ht="45" hidden="1">
      <c r="A48" s="1716" t="s">
        <v>2296</v>
      </c>
      <c r="B48" s="1717">
        <v>10019</v>
      </c>
      <c r="C48" s="1717">
        <v>7687</v>
      </c>
      <c r="D48" s="1717">
        <v>6618</v>
      </c>
      <c r="E48" s="1717">
        <v>6782</v>
      </c>
      <c r="F48" s="1717">
        <v>5902</v>
      </c>
      <c r="G48" s="1717">
        <v>4850</v>
      </c>
      <c r="H48" s="1717">
        <v>4821</v>
      </c>
      <c r="I48" s="1717">
        <v>6941</v>
      </c>
      <c r="J48" s="1717">
        <v>2327</v>
      </c>
      <c r="K48" s="1717">
        <v>280</v>
      </c>
      <c r="L48" s="1715">
        <f>SUM(G48:K48)</f>
        <v>19219</v>
      </c>
      <c r="M48" s="7332"/>
      <c r="N48" s="211"/>
      <c r="O48" s="211"/>
      <c r="P48" s="211"/>
      <c r="Q48" s="211"/>
      <c r="R48" s="211"/>
    </row>
    <row r="49" spans="1:18" ht="15.6" hidden="1">
      <c r="A49" s="1718" t="s">
        <v>2297</v>
      </c>
      <c r="B49" s="210"/>
      <c r="C49" s="210"/>
      <c r="D49" s="210"/>
      <c r="E49"/>
      <c r="F49" s="211"/>
      <c r="G49" s="211"/>
      <c r="H49" s="211"/>
      <c r="I49" s="211"/>
      <c r="J49" s="211"/>
      <c r="K49" s="211"/>
      <c r="L49" s="211"/>
      <c r="M49" s="211"/>
      <c r="N49" s="211"/>
      <c r="O49" s="211"/>
      <c r="P49" s="211"/>
      <c r="Q49" s="211"/>
      <c r="R49" s="211"/>
    </row>
    <row r="50" spans="1:18" ht="15.6">
      <c r="B50" s="210"/>
      <c r="C50" s="210"/>
      <c r="D50" s="210"/>
      <c r="E50"/>
      <c r="F50" s="211"/>
      <c r="G50" s="211"/>
      <c r="H50" s="211"/>
      <c r="I50" s="211"/>
      <c r="J50" s="211"/>
      <c r="K50" s="211"/>
      <c r="L50" s="211"/>
      <c r="M50" s="211"/>
      <c r="N50" s="211"/>
      <c r="O50" s="211"/>
      <c r="P50" s="211"/>
      <c r="Q50" s="211"/>
      <c r="R50" s="211"/>
    </row>
    <row r="51" spans="1:18" ht="15.6">
      <c r="A51" s="1719" t="s">
        <v>2298</v>
      </c>
      <c r="B51" s="1720"/>
      <c r="C51" s="1720"/>
      <c r="D51" s="1720"/>
      <c r="E51" s="1721"/>
      <c r="F51" s="1722"/>
      <c r="G51" s="1722"/>
      <c r="H51" s="1722"/>
      <c r="I51" s="211"/>
      <c r="J51" s="211"/>
      <c r="K51" s="211"/>
      <c r="L51" s="211"/>
      <c r="M51" s="211"/>
      <c r="N51" s="211"/>
      <c r="O51" s="211"/>
      <c r="P51" s="211"/>
      <c r="Q51" s="211"/>
      <c r="R51" s="211"/>
    </row>
    <row r="52" spans="1:18" ht="15.6">
      <c r="A52" s="210"/>
      <c r="B52" s="210"/>
      <c r="C52" s="210"/>
      <c r="D52" s="210"/>
      <c r="E52"/>
      <c r="F52" s="211"/>
      <c r="G52" s="211"/>
      <c r="H52" s="211"/>
      <c r="I52" s="211"/>
      <c r="J52" s="211"/>
      <c r="K52" s="211"/>
      <c r="L52" s="211"/>
      <c r="M52" s="211"/>
      <c r="N52" s="211"/>
      <c r="O52" s="211"/>
      <c r="P52" s="211"/>
      <c r="Q52" s="211"/>
      <c r="R52" s="211"/>
    </row>
    <row r="53" spans="1:18" ht="15.6">
      <c r="C53"/>
      <c r="D53"/>
      <c r="E53"/>
      <c r="F53"/>
      <c r="G53"/>
      <c r="H53"/>
      <c r="I53"/>
      <c r="J53"/>
      <c r="K53"/>
      <c r="L53" s="211"/>
      <c r="M53" s="211"/>
      <c r="N53" s="211"/>
      <c r="O53" s="211"/>
      <c r="P53" s="211"/>
      <c r="Q53" s="211"/>
      <c r="R53" s="211"/>
    </row>
    <row r="54" spans="1:18" ht="16.2" thickBot="1">
      <c r="A54" s="1904" t="s">
        <v>95</v>
      </c>
      <c r="B54" s="2000">
        <v>2012</v>
      </c>
      <c r="C54" s="2000">
        <v>2013</v>
      </c>
      <c r="D54" s="2000">
        <v>2014</v>
      </c>
      <c r="E54" s="2000">
        <v>2015</v>
      </c>
      <c r="F54" s="6467">
        <v>2016</v>
      </c>
      <c r="G54" s="5080" t="s">
        <v>2010</v>
      </c>
      <c r="H54" s="2000" t="s">
        <v>150</v>
      </c>
      <c r="I54" s="5317"/>
      <c r="J54" s="5317"/>
      <c r="K54" s="5317"/>
      <c r="L54" s="211"/>
      <c r="M54" s="211"/>
      <c r="N54" s="211"/>
      <c r="O54" s="211"/>
      <c r="P54" s="211"/>
      <c r="Q54" s="211"/>
      <c r="R54" s="211"/>
    </row>
    <row r="55" spans="1:18" ht="16.2">
      <c r="A55" s="2823" t="s">
        <v>2008</v>
      </c>
      <c r="B55" s="2825">
        <v>840</v>
      </c>
      <c r="C55" s="2825">
        <v>941</v>
      </c>
      <c r="D55" s="2825">
        <v>938</v>
      </c>
      <c r="E55" s="2825">
        <v>981</v>
      </c>
      <c r="F55" s="2825">
        <v>1003</v>
      </c>
      <c r="G55" s="2825">
        <f>SUM(B55:F55)</f>
        <v>4703</v>
      </c>
      <c r="H55" s="7338">
        <f>+G56/G55</f>
        <v>3.541143950669785</v>
      </c>
      <c r="I55" s="5317"/>
      <c r="J55" s="5317"/>
      <c r="K55" s="5317"/>
      <c r="L55" s="211"/>
      <c r="M55" s="211"/>
      <c r="N55" s="211"/>
      <c r="O55" s="211"/>
      <c r="P55" s="211"/>
      <c r="Q55" s="211"/>
      <c r="R55" s="211"/>
    </row>
    <row r="56" spans="1:18" ht="15.6">
      <c r="A56" s="2824" t="s">
        <v>2694</v>
      </c>
      <c r="B56" s="2826">
        <v>4829</v>
      </c>
      <c r="C56" s="2826">
        <v>3855</v>
      </c>
      <c r="D56" s="2826">
        <v>3459</v>
      </c>
      <c r="E56" s="2826">
        <v>3934</v>
      </c>
      <c r="F56" s="2826">
        <v>577</v>
      </c>
      <c r="G56" s="2826">
        <f>SUM(B56:F56)</f>
        <v>16654</v>
      </c>
      <c r="H56" s="7339"/>
      <c r="I56" s="5317"/>
      <c r="J56" s="5317"/>
      <c r="K56" s="5317"/>
      <c r="L56" s="211"/>
      <c r="M56" s="211"/>
      <c r="N56" s="211"/>
      <c r="O56" s="211"/>
      <c r="P56" s="211"/>
      <c r="Q56" s="211"/>
      <c r="R56" s="211"/>
    </row>
    <row r="57" spans="1:18" ht="15.6">
      <c r="A57" s="32" t="s">
        <v>2009</v>
      </c>
      <c r="C57"/>
      <c r="D57"/>
      <c r="E57"/>
      <c r="F57"/>
      <c r="G57"/>
      <c r="H57"/>
      <c r="I57" s="5317"/>
      <c r="J57" s="5317"/>
      <c r="K57" s="5317"/>
      <c r="L57" s="211"/>
      <c r="M57" s="211"/>
      <c r="N57" s="211"/>
      <c r="O57" s="211"/>
      <c r="P57" s="211"/>
      <c r="Q57" s="211"/>
      <c r="R57" s="211"/>
    </row>
    <row r="58" spans="1:18" ht="15.6">
      <c r="A58" s="1520" t="s">
        <v>2012</v>
      </c>
      <c r="C58"/>
      <c r="D58"/>
      <c r="E58"/>
      <c r="F58" s="1557"/>
      <c r="G58" s="1557"/>
      <c r="H58" s="1557"/>
      <c r="I58" s="1557"/>
      <c r="J58" s="1557"/>
      <c r="K58" s="1557"/>
      <c r="M58" s="211"/>
      <c r="N58" s="211"/>
      <c r="O58" s="211"/>
      <c r="P58" s="211"/>
      <c r="Q58" s="211"/>
      <c r="R58" s="211"/>
    </row>
    <row r="59" spans="1:18" ht="15.6">
      <c r="A59" s="210"/>
      <c r="B59" s="210"/>
      <c r="C59" s="210"/>
      <c r="D59" s="210"/>
      <c r="E59"/>
      <c r="F59" s="211"/>
      <c r="G59" s="211"/>
      <c r="H59" s="211"/>
      <c r="I59" s="211"/>
      <c r="J59" s="211"/>
      <c r="K59" s="211"/>
      <c r="L59" s="211"/>
      <c r="M59" s="211"/>
      <c r="N59" s="211"/>
      <c r="O59" s="211"/>
      <c r="P59" s="211"/>
      <c r="Q59" s="211"/>
      <c r="R59" s="211"/>
    </row>
    <row r="60" spans="1:18" ht="23.4">
      <c r="A60" s="264" t="s">
        <v>948</v>
      </c>
      <c r="B60" s="265"/>
      <c r="C60" s="265"/>
      <c r="D60" s="265"/>
      <c r="E60" s="265"/>
      <c r="F60" s="211"/>
      <c r="G60" s="211"/>
      <c r="H60" s="211"/>
      <c r="I60" s="211"/>
      <c r="J60" s="211"/>
      <c r="K60" s="211"/>
      <c r="L60" s="211"/>
      <c r="M60" s="211"/>
      <c r="N60" s="211"/>
      <c r="O60" s="211"/>
      <c r="P60" s="211"/>
      <c r="Q60" s="211"/>
      <c r="R60" s="211"/>
    </row>
    <row r="61" spans="1:18" ht="16.2" thickBot="1">
      <c r="A61" s="1904" t="s">
        <v>95</v>
      </c>
      <c r="B61" s="2000">
        <v>2011</v>
      </c>
      <c r="C61" s="2000">
        <v>2012</v>
      </c>
      <c r="D61" s="2000">
        <v>2013</v>
      </c>
      <c r="E61" s="2000">
        <v>2014</v>
      </c>
      <c r="F61" s="6467">
        <v>2015</v>
      </c>
      <c r="G61" s="5080" t="s">
        <v>1532</v>
      </c>
      <c r="H61" s="2000" t="s">
        <v>150</v>
      </c>
      <c r="I61" s="211"/>
      <c r="J61" s="211"/>
      <c r="K61" s="211"/>
      <c r="L61" s="211"/>
      <c r="M61" s="293"/>
      <c r="N61" s="293"/>
      <c r="O61" s="293"/>
      <c r="P61" s="293"/>
      <c r="Q61" s="293"/>
      <c r="R61" s="293"/>
    </row>
    <row r="62" spans="1:18" ht="15.6">
      <c r="A62" s="2823" t="s">
        <v>1533</v>
      </c>
      <c r="B62" s="2825">
        <v>701</v>
      </c>
      <c r="C62" s="2825">
        <v>749</v>
      </c>
      <c r="D62" s="2825">
        <v>851</v>
      </c>
      <c r="E62" s="2825">
        <v>810</v>
      </c>
      <c r="F62" s="2825">
        <v>554</v>
      </c>
      <c r="G62" s="2825">
        <f>SUM(B62:F62)</f>
        <v>3665</v>
      </c>
      <c r="H62" s="7338">
        <f>+G63/G62</f>
        <v>2.688949522510232</v>
      </c>
      <c r="I62" s="211"/>
      <c r="J62" s="211"/>
      <c r="K62" s="211"/>
      <c r="L62" s="211"/>
      <c r="M62" s="293"/>
      <c r="N62" s="293"/>
      <c r="O62" s="293"/>
      <c r="P62" s="293"/>
      <c r="Q62" s="293"/>
      <c r="R62" s="293"/>
    </row>
    <row r="63" spans="1:18" ht="15.6">
      <c r="A63" s="2824" t="s">
        <v>1534</v>
      </c>
      <c r="B63" s="2826">
        <v>4014</v>
      </c>
      <c r="C63" s="2826">
        <v>2811</v>
      </c>
      <c r="D63" s="2826">
        <v>1848</v>
      </c>
      <c r="E63" s="2826">
        <v>997</v>
      </c>
      <c r="F63" s="2826">
        <v>185</v>
      </c>
      <c r="G63" s="2826">
        <f>SUM(B63:F63)</f>
        <v>9855</v>
      </c>
      <c r="H63" s="7339"/>
      <c r="I63" s="211"/>
      <c r="J63" s="211"/>
      <c r="K63" s="211"/>
      <c r="L63" s="211"/>
      <c r="M63" s="293"/>
      <c r="N63" s="293"/>
      <c r="O63" s="293"/>
      <c r="P63" s="293"/>
      <c r="Q63" s="293"/>
      <c r="R63" s="293"/>
    </row>
    <row r="64" spans="1:18" ht="15.6">
      <c r="A64" s="266" t="s">
        <v>951</v>
      </c>
      <c r="F64" s="211"/>
      <c r="G64" s="211"/>
      <c r="H64" s="211"/>
      <c r="I64" s="211"/>
      <c r="J64" s="211"/>
      <c r="K64" s="211"/>
      <c r="L64" s="211"/>
      <c r="M64" s="211"/>
      <c r="N64" s="211"/>
      <c r="O64" s="211"/>
      <c r="P64" s="211"/>
      <c r="Q64" s="211"/>
      <c r="R64" s="211"/>
    </row>
    <row r="65" spans="1:18" ht="15.6">
      <c r="A65" s="210"/>
      <c r="B65" s="210"/>
      <c r="C65" s="210"/>
      <c r="D65" s="210"/>
      <c r="E65"/>
      <c r="F65" s="211"/>
      <c r="G65" s="211"/>
      <c r="H65" s="211"/>
      <c r="I65" s="211"/>
      <c r="J65" s="211"/>
      <c r="K65" s="211"/>
      <c r="L65" s="211"/>
      <c r="M65" s="211"/>
      <c r="N65" s="211"/>
      <c r="O65" s="211"/>
      <c r="P65" s="211"/>
      <c r="Q65" s="211"/>
      <c r="R65" s="211"/>
    </row>
    <row r="66" spans="1:18" ht="15.6">
      <c r="B66" s="265"/>
      <c r="C66" s="265"/>
      <c r="D66" s="265"/>
      <c r="E66" s="265"/>
      <c r="F66" s="265"/>
      <c r="G66" s="265"/>
      <c r="H66" s="265"/>
      <c r="I66" s="211"/>
      <c r="J66" s="211"/>
      <c r="K66" s="211"/>
      <c r="L66" s="211"/>
      <c r="M66" s="211"/>
      <c r="N66" s="211"/>
      <c r="O66" s="211"/>
      <c r="P66" s="211"/>
      <c r="Q66" s="211"/>
      <c r="R66" s="211"/>
    </row>
    <row r="67" spans="1:18" ht="16.2" thickBot="1">
      <c r="A67" s="1904" t="s">
        <v>95</v>
      </c>
      <c r="B67" s="2000">
        <v>2010</v>
      </c>
      <c r="C67" s="2000">
        <v>2011</v>
      </c>
      <c r="D67" s="2000">
        <v>2012</v>
      </c>
      <c r="E67" s="2000">
        <v>2013</v>
      </c>
      <c r="F67" s="6467">
        <v>2014</v>
      </c>
      <c r="G67" s="5080" t="s">
        <v>949</v>
      </c>
      <c r="H67" s="2000" t="s">
        <v>150</v>
      </c>
      <c r="I67" s="211"/>
      <c r="J67" s="211"/>
      <c r="K67" s="211"/>
      <c r="M67" s="211"/>
      <c r="N67" s="211"/>
      <c r="O67" s="211"/>
      <c r="P67" s="211"/>
      <c r="Q67" s="211"/>
      <c r="R67" s="211"/>
    </row>
    <row r="68" spans="1:18" ht="15.6">
      <c r="A68" s="2823" t="s">
        <v>950</v>
      </c>
      <c r="B68" s="2825">
        <v>671</v>
      </c>
      <c r="C68" s="2825">
        <v>710</v>
      </c>
      <c r="D68" s="2825">
        <v>760</v>
      </c>
      <c r="E68" s="2825">
        <v>817</v>
      </c>
      <c r="F68" s="2825">
        <v>602</v>
      </c>
      <c r="G68" s="2825">
        <f>SUM(C68:F68)</f>
        <v>2889</v>
      </c>
      <c r="H68" s="7338">
        <f>+G69/G68</f>
        <v>1.691588785046729</v>
      </c>
      <c r="I68" s="211"/>
      <c r="J68" s="211"/>
      <c r="K68" s="211"/>
      <c r="M68" s="211"/>
      <c r="N68" s="211"/>
      <c r="O68" s="211"/>
      <c r="P68" s="211"/>
      <c r="Q68" s="211"/>
      <c r="R68" s="211"/>
    </row>
    <row r="69" spans="1:18" ht="15.6">
      <c r="A69" s="2824" t="s">
        <v>149</v>
      </c>
      <c r="B69" s="2826">
        <v>2844</v>
      </c>
      <c r="C69" s="2826">
        <v>2504</v>
      </c>
      <c r="D69" s="2826">
        <v>1504</v>
      </c>
      <c r="E69" s="2826">
        <v>606</v>
      </c>
      <c r="F69" s="2826">
        <v>273</v>
      </c>
      <c r="G69" s="2826">
        <f>SUM(C69:F69)</f>
        <v>4887</v>
      </c>
      <c r="H69" s="7339"/>
      <c r="I69" s="211"/>
      <c r="J69" s="211"/>
      <c r="K69" s="211"/>
      <c r="M69" s="211"/>
      <c r="N69" s="211"/>
      <c r="O69" s="211"/>
      <c r="P69" s="211"/>
      <c r="Q69" s="211"/>
      <c r="R69" s="211"/>
    </row>
    <row r="70" spans="1:18" ht="15.6">
      <c r="A70" s="266" t="s">
        <v>951</v>
      </c>
      <c r="B70" s="267"/>
      <c r="C70" s="267"/>
      <c r="D70" s="267"/>
      <c r="E70" s="267"/>
      <c r="F70" s="267"/>
      <c r="G70" s="267"/>
      <c r="H70" s="267"/>
      <c r="I70" s="211"/>
      <c r="J70" s="211"/>
      <c r="K70" s="211"/>
      <c r="L70" s="211"/>
      <c r="M70" s="211"/>
      <c r="N70" s="211"/>
      <c r="O70" s="211"/>
      <c r="P70" s="211"/>
      <c r="Q70" s="211"/>
      <c r="R70" s="211"/>
    </row>
    <row r="71" spans="1:18" ht="15.6">
      <c r="A71" s="210"/>
      <c r="B71" s="210"/>
      <c r="C71" s="210"/>
      <c r="D71" s="210"/>
      <c r="F71" s="211"/>
      <c r="G71" s="211"/>
      <c r="H71" s="211"/>
      <c r="I71" s="211"/>
      <c r="J71" s="211"/>
      <c r="K71" s="211"/>
      <c r="L71" s="211"/>
      <c r="M71" s="211"/>
      <c r="N71" s="211"/>
      <c r="O71" s="211"/>
      <c r="P71" s="211"/>
      <c r="Q71" s="211"/>
      <c r="R71" s="211"/>
    </row>
    <row r="72" spans="1:18" ht="15.6">
      <c r="A72" s="138">
        <v>2013</v>
      </c>
      <c r="B72" s="210"/>
      <c r="C72" s="210"/>
      <c r="D72" s="210"/>
      <c r="F72" s="211"/>
      <c r="G72" s="211"/>
      <c r="H72" s="211"/>
      <c r="I72" s="211"/>
      <c r="J72" s="211"/>
      <c r="K72" s="211"/>
      <c r="L72" s="211"/>
      <c r="M72" s="211"/>
      <c r="N72" s="211"/>
      <c r="O72" s="211"/>
      <c r="P72" s="211"/>
      <c r="Q72" s="211"/>
      <c r="R72" s="211"/>
    </row>
    <row r="73" spans="1:18" ht="15.6">
      <c r="A73" s="1513" t="s">
        <v>623</v>
      </c>
      <c r="B73" s="210"/>
      <c r="C73" s="210"/>
      <c r="D73" s="210"/>
      <c r="F73" s="211"/>
      <c r="G73" s="211"/>
      <c r="H73" s="211"/>
      <c r="I73" s="211"/>
      <c r="J73" s="211"/>
      <c r="K73" s="211"/>
      <c r="L73" s="211"/>
      <c r="M73" s="211"/>
      <c r="N73" s="211"/>
      <c r="O73" s="211"/>
      <c r="P73" s="211"/>
      <c r="Q73" s="211"/>
      <c r="R73" s="211"/>
    </row>
    <row r="74" spans="1:18" ht="15.6">
      <c r="A74" s="268" t="s">
        <v>146</v>
      </c>
      <c r="B74" s="268" t="s">
        <v>148</v>
      </c>
      <c r="C74" s="268" t="s">
        <v>149</v>
      </c>
      <c r="D74" s="268" t="s">
        <v>150</v>
      </c>
      <c r="F74" s="211"/>
      <c r="G74" s="211"/>
      <c r="H74" s="211"/>
      <c r="I74" s="211"/>
      <c r="J74" s="211"/>
      <c r="K74" s="211"/>
      <c r="L74" s="211"/>
      <c r="M74" s="211"/>
      <c r="N74" s="211"/>
      <c r="O74" s="211"/>
      <c r="P74" s="211"/>
      <c r="Q74" s="211"/>
      <c r="R74" s="211"/>
    </row>
    <row r="75" spans="1:18" ht="15.6">
      <c r="A75" s="1" t="s">
        <v>151</v>
      </c>
      <c r="B75" s="141">
        <v>31782</v>
      </c>
      <c r="C75" s="141">
        <v>119755</v>
      </c>
      <c r="D75" s="87">
        <v>3.8</v>
      </c>
      <c r="F75" s="211"/>
      <c r="G75" s="211"/>
      <c r="H75" s="211"/>
      <c r="I75" s="211"/>
      <c r="J75" s="211"/>
      <c r="K75" s="211"/>
      <c r="L75" s="211"/>
      <c r="M75" s="211"/>
      <c r="N75" s="211"/>
      <c r="O75" s="211"/>
      <c r="P75" s="211"/>
      <c r="Q75" s="211"/>
      <c r="R75" s="211"/>
    </row>
    <row r="76" spans="1:18" ht="15.6">
      <c r="A76" s="1" t="s">
        <v>624</v>
      </c>
      <c r="B76" s="141">
        <v>8985</v>
      </c>
      <c r="C76" s="141">
        <v>32182</v>
      </c>
      <c r="D76" s="87">
        <v>3.6</v>
      </c>
      <c r="E76" s="269"/>
      <c r="F76" s="211"/>
      <c r="G76" s="211"/>
      <c r="H76" s="211"/>
      <c r="I76" s="211"/>
      <c r="J76" s="211"/>
      <c r="K76" s="211"/>
      <c r="L76" s="211"/>
      <c r="M76" s="211"/>
      <c r="N76" s="211"/>
      <c r="O76" s="211"/>
      <c r="P76" s="211"/>
      <c r="Q76" s="211"/>
      <c r="R76" s="211"/>
    </row>
    <row r="77" spans="1:18" ht="15.6">
      <c r="A77" s="1" t="s">
        <v>399</v>
      </c>
      <c r="B77" s="141">
        <v>6893</v>
      </c>
      <c r="C77" s="141">
        <v>13523</v>
      </c>
      <c r="D77" s="87">
        <v>2</v>
      </c>
      <c r="E77" s="269"/>
      <c r="F77" s="211"/>
      <c r="G77" s="211"/>
      <c r="H77" s="211"/>
      <c r="I77" s="211"/>
      <c r="J77" s="211"/>
      <c r="K77" s="211"/>
      <c r="L77" s="211"/>
      <c r="M77" s="211"/>
      <c r="N77" s="211"/>
      <c r="O77" s="211"/>
      <c r="P77" s="211"/>
      <c r="Q77" s="211"/>
      <c r="R77" s="211"/>
    </row>
    <row r="78" spans="1:18" ht="15.6">
      <c r="A78" s="142" t="s">
        <v>95</v>
      </c>
      <c r="B78" s="143">
        <v>5600</v>
      </c>
      <c r="C78" s="143">
        <v>12001</v>
      </c>
      <c r="D78" s="144">
        <v>2.1</v>
      </c>
      <c r="E78" s="269"/>
      <c r="F78" s="211"/>
      <c r="G78" s="211"/>
      <c r="H78" s="211"/>
      <c r="I78" s="211"/>
      <c r="J78" s="211"/>
      <c r="K78" s="211"/>
      <c r="L78" s="211"/>
      <c r="M78" s="211"/>
      <c r="N78" s="211"/>
      <c r="O78" s="211"/>
      <c r="P78" s="211"/>
      <c r="Q78" s="211"/>
      <c r="R78" s="211"/>
    </row>
    <row r="79" spans="1:18" ht="15.6">
      <c r="A79" s="1" t="s">
        <v>154</v>
      </c>
      <c r="B79" s="141">
        <v>4803</v>
      </c>
      <c r="C79" s="141">
        <v>15225</v>
      </c>
      <c r="D79" s="87">
        <v>3.2</v>
      </c>
      <c r="E79" s="269"/>
      <c r="F79" s="211"/>
      <c r="G79" s="211"/>
      <c r="H79" s="211"/>
      <c r="I79" s="211"/>
      <c r="J79" s="211"/>
      <c r="K79" s="211"/>
      <c r="L79" s="211"/>
      <c r="M79" s="211"/>
      <c r="N79" s="211"/>
      <c r="O79" s="211"/>
      <c r="P79" s="211"/>
      <c r="Q79" s="211"/>
      <c r="R79" s="211"/>
    </row>
    <row r="80" spans="1:18" ht="15.6">
      <c r="A80" s="1" t="s">
        <v>625</v>
      </c>
      <c r="B80" s="141">
        <v>2152</v>
      </c>
      <c r="C80" s="141">
        <v>9557</v>
      </c>
      <c r="D80" s="87">
        <v>4.4000000000000004</v>
      </c>
      <c r="E80" s="269"/>
      <c r="F80" s="211"/>
      <c r="G80" s="211"/>
      <c r="H80" s="211"/>
      <c r="I80" s="211"/>
      <c r="J80" s="211"/>
      <c r="K80" s="211"/>
      <c r="L80" s="211"/>
      <c r="M80" s="211"/>
      <c r="N80" s="211"/>
      <c r="O80" s="211"/>
      <c r="P80" s="211"/>
      <c r="Q80" s="211"/>
      <c r="R80" s="211"/>
    </row>
    <row r="81" spans="1:18" ht="15.6">
      <c r="A81" s="1" t="s">
        <v>627</v>
      </c>
      <c r="B81" s="141">
        <v>1717</v>
      </c>
      <c r="C81" s="141">
        <v>7633</v>
      </c>
      <c r="D81" s="87">
        <v>4.4000000000000004</v>
      </c>
      <c r="E81" s="269"/>
      <c r="F81" s="211"/>
      <c r="G81" s="211"/>
      <c r="H81" s="211"/>
      <c r="I81" s="211"/>
      <c r="J81" s="211"/>
      <c r="K81" s="211"/>
      <c r="L81" s="211"/>
      <c r="M81" s="211"/>
      <c r="N81" s="211"/>
      <c r="O81" s="211"/>
      <c r="P81" s="211"/>
      <c r="Q81" s="211"/>
      <c r="R81" s="211"/>
    </row>
    <row r="82" spans="1:18" ht="15.6">
      <c r="A82" s="1" t="s">
        <v>626</v>
      </c>
      <c r="B82" s="141">
        <v>3105</v>
      </c>
      <c r="C82" s="141">
        <v>4905</v>
      </c>
      <c r="D82" s="87">
        <v>1.6</v>
      </c>
      <c r="E82" s="269"/>
      <c r="F82" s="211"/>
      <c r="G82" s="211"/>
      <c r="H82" s="211"/>
      <c r="I82" s="211"/>
      <c r="J82" s="211"/>
      <c r="K82" s="211"/>
      <c r="L82" s="211"/>
      <c r="M82" s="211"/>
      <c r="N82" s="211"/>
      <c r="O82" s="211"/>
      <c r="P82" s="211"/>
      <c r="Q82" s="211"/>
      <c r="R82" s="211"/>
    </row>
    <row r="83" spans="1:18" ht="15.6">
      <c r="A83" s="1" t="s">
        <v>316</v>
      </c>
      <c r="B83" s="141">
        <v>2512</v>
      </c>
      <c r="C83" s="141">
        <v>4652</v>
      </c>
      <c r="D83" s="87">
        <v>1.9</v>
      </c>
      <c r="E83" s="269"/>
      <c r="F83" s="211"/>
      <c r="G83" s="211"/>
      <c r="H83" s="211"/>
      <c r="I83" s="211"/>
      <c r="J83" s="211"/>
      <c r="K83" s="211"/>
      <c r="L83" s="211"/>
      <c r="M83" s="211"/>
      <c r="N83" s="211"/>
      <c r="O83" s="211"/>
      <c r="P83" s="211"/>
      <c r="Q83" s="211"/>
      <c r="R83" s="211"/>
    </row>
    <row r="84" spans="1:18" ht="15.6">
      <c r="A84" s="145" t="s">
        <v>325</v>
      </c>
      <c r="B84" s="146">
        <v>1962</v>
      </c>
      <c r="C84" s="146">
        <v>5576</v>
      </c>
      <c r="D84" s="147">
        <v>2.8</v>
      </c>
      <c r="E84" s="269"/>
      <c r="F84" s="211"/>
      <c r="G84" s="211"/>
      <c r="H84" s="211"/>
      <c r="I84" s="211"/>
      <c r="J84" s="211"/>
      <c r="K84" s="211"/>
      <c r="L84" s="211"/>
      <c r="M84" s="211"/>
      <c r="N84" s="211"/>
      <c r="O84" s="211"/>
      <c r="P84" s="211"/>
      <c r="Q84" s="211"/>
      <c r="R84" s="211"/>
    </row>
    <row r="85" spans="1:18" ht="15.6">
      <c r="A85" s="39" t="s">
        <v>621</v>
      </c>
      <c r="B85" s="41"/>
      <c r="C85" s="41"/>
      <c r="D85" s="41"/>
      <c r="E85" s="269"/>
      <c r="F85" s="211"/>
      <c r="G85" s="211"/>
      <c r="H85" s="211"/>
      <c r="I85" s="211"/>
      <c r="J85" s="211"/>
      <c r="K85" s="211"/>
      <c r="L85" s="211"/>
      <c r="M85" s="211"/>
      <c r="N85" s="211"/>
      <c r="O85" s="211"/>
      <c r="P85" s="211"/>
      <c r="Q85" s="211"/>
      <c r="R85" s="211"/>
    </row>
    <row r="86" spans="1:18" ht="15.6">
      <c r="A86" s="39" t="s">
        <v>622</v>
      </c>
      <c r="B86" s="41"/>
      <c r="C86" s="41"/>
      <c r="D86" s="41"/>
      <c r="F86" s="211"/>
      <c r="G86" s="211"/>
      <c r="H86" s="211"/>
      <c r="I86" s="211"/>
      <c r="J86" s="211"/>
      <c r="K86" s="211"/>
      <c r="L86" s="211"/>
      <c r="M86" s="211"/>
      <c r="N86" s="211"/>
      <c r="O86" s="211"/>
      <c r="P86" s="211"/>
      <c r="Q86" s="211"/>
      <c r="R86" s="211"/>
    </row>
    <row r="87" spans="1:18" ht="15.6">
      <c r="A87" s="210"/>
      <c r="B87" s="210"/>
      <c r="C87" s="210"/>
      <c r="D87" s="210"/>
      <c r="F87" s="211"/>
      <c r="G87" s="211"/>
      <c r="H87" s="211"/>
      <c r="I87" s="211"/>
      <c r="J87" s="211"/>
      <c r="K87" s="211"/>
      <c r="L87" s="211"/>
      <c r="M87" s="211"/>
      <c r="N87" s="211"/>
      <c r="O87" s="211"/>
      <c r="P87" s="211"/>
      <c r="Q87" s="211"/>
      <c r="R87" s="211"/>
    </row>
    <row r="88" spans="1:18" ht="15.6">
      <c r="A88" s="138">
        <v>2012</v>
      </c>
      <c r="B88" s="210"/>
      <c r="C88" s="210"/>
      <c r="D88" s="210"/>
      <c r="F88" s="211"/>
      <c r="G88" s="211"/>
      <c r="H88" s="211"/>
      <c r="I88" s="211"/>
      <c r="J88" s="211"/>
      <c r="K88" s="211"/>
      <c r="L88" s="211"/>
      <c r="M88" s="211"/>
      <c r="N88" s="211"/>
      <c r="O88" s="211"/>
      <c r="P88" s="211"/>
      <c r="Q88" s="211"/>
      <c r="R88" s="211"/>
    </row>
    <row r="89" spans="1:18" ht="45" customHeight="1">
      <c r="A89" s="7340" t="s">
        <v>546</v>
      </c>
      <c r="B89" s="7340"/>
      <c r="C89" s="7340"/>
      <c r="D89" s="7340"/>
      <c r="F89" s="211"/>
      <c r="G89" s="211"/>
      <c r="H89" s="211"/>
      <c r="I89" s="211"/>
      <c r="J89" s="211"/>
      <c r="K89" s="211"/>
      <c r="L89" s="211"/>
      <c r="M89" s="211"/>
      <c r="N89" s="211"/>
      <c r="O89" s="211"/>
      <c r="P89" s="211"/>
      <c r="Q89" s="211"/>
      <c r="R89" s="211"/>
    </row>
    <row r="90" spans="1:18" ht="15.75" customHeight="1">
      <c r="A90" s="106" t="s">
        <v>146</v>
      </c>
      <c r="B90" s="106" t="s">
        <v>148</v>
      </c>
      <c r="C90" s="106" t="s">
        <v>149</v>
      </c>
      <c r="D90" s="106" t="s">
        <v>150</v>
      </c>
      <c r="F90" s="211"/>
      <c r="G90" s="211"/>
      <c r="H90" s="211"/>
      <c r="I90" s="211"/>
      <c r="J90" s="211"/>
      <c r="K90" s="211"/>
      <c r="L90" s="211"/>
      <c r="M90" s="211"/>
      <c r="N90" s="211"/>
      <c r="O90" s="211"/>
      <c r="P90" s="211"/>
      <c r="Q90" s="211"/>
      <c r="R90" s="211"/>
    </row>
    <row r="91" spans="1:18" ht="15.6">
      <c r="A91" s="43" t="s">
        <v>151</v>
      </c>
      <c r="B91" s="107">
        <v>53628.9</v>
      </c>
      <c r="C91" s="107">
        <v>370852.7</v>
      </c>
      <c r="D91" s="108">
        <v>6.9151651441666715</v>
      </c>
      <c r="F91" s="211"/>
      <c r="G91" s="211"/>
      <c r="H91" s="211"/>
      <c r="I91" s="211"/>
      <c r="J91" s="211"/>
      <c r="K91" s="211"/>
      <c r="L91" s="211"/>
      <c r="M91" s="211"/>
      <c r="N91" s="211"/>
      <c r="O91" s="211"/>
      <c r="P91" s="211"/>
      <c r="Q91" s="211"/>
      <c r="R91" s="211"/>
    </row>
    <row r="92" spans="1:18" ht="15.6">
      <c r="A92" s="43" t="s">
        <v>398</v>
      </c>
      <c r="B92" s="107">
        <v>15894.599999999999</v>
      </c>
      <c r="C92" s="107">
        <v>102121.9</v>
      </c>
      <c r="D92" s="108">
        <v>6.4249430624237167</v>
      </c>
      <c r="F92" s="211"/>
      <c r="G92" s="211"/>
      <c r="H92" s="211"/>
      <c r="I92" s="211"/>
      <c r="J92" s="211"/>
      <c r="K92" s="211"/>
      <c r="L92" s="211"/>
      <c r="M92" s="211"/>
      <c r="N92" s="211"/>
      <c r="O92" s="211"/>
      <c r="P92" s="211"/>
      <c r="Q92" s="211"/>
      <c r="R92" s="211"/>
    </row>
    <row r="93" spans="1:18" ht="15.6">
      <c r="A93" s="43" t="s">
        <v>399</v>
      </c>
      <c r="B93" s="107">
        <v>11669.3</v>
      </c>
      <c r="C93" s="107">
        <v>42800.149999999994</v>
      </c>
      <c r="D93" s="108">
        <v>3.6677564206936144</v>
      </c>
      <c r="F93" s="211"/>
      <c r="G93" s="211"/>
      <c r="H93" s="211"/>
      <c r="I93" s="211"/>
      <c r="J93" s="211"/>
      <c r="K93" s="211"/>
      <c r="L93" s="211"/>
      <c r="M93" s="211"/>
      <c r="N93" s="211"/>
      <c r="O93" s="211"/>
      <c r="P93" s="211"/>
      <c r="Q93" s="211"/>
      <c r="R93" s="211"/>
    </row>
    <row r="94" spans="1:18" ht="15.6">
      <c r="A94" s="136" t="s">
        <v>95</v>
      </c>
      <c r="B94" s="109">
        <v>9126.2999999999993</v>
      </c>
      <c r="C94" s="109">
        <v>39857.1</v>
      </c>
      <c r="D94" s="110">
        <v>4.3672791821439141</v>
      </c>
      <c r="F94" s="211"/>
      <c r="G94" s="211"/>
      <c r="H94" s="211"/>
      <c r="I94" s="211"/>
      <c r="J94" s="211"/>
      <c r="K94" s="211"/>
      <c r="L94" s="211"/>
      <c r="M94" s="211"/>
      <c r="N94" s="211"/>
      <c r="O94" s="211"/>
      <c r="P94" s="211"/>
      <c r="Q94" s="211"/>
      <c r="R94" s="211"/>
    </row>
    <row r="95" spans="1:18" ht="15.6">
      <c r="A95" s="43" t="s">
        <v>400</v>
      </c>
      <c r="B95" s="107">
        <v>8468.2999999999993</v>
      </c>
      <c r="C95" s="107">
        <v>46751.399999999994</v>
      </c>
      <c r="D95" s="108">
        <v>5.5207538703163559</v>
      </c>
      <c r="F95" s="211"/>
      <c r="G95" s="211"/>
      <c r="H95" s="211"/>
      <c r="I95" s="211"/>
      <c r="J95" s="211"/>
      <c r="K95" s="211"/>
      <c r="L95" s="211"/>
      <c r="M95" s="211"/>
      <c r="N95" s="211"/>
      <c r="O95" s="211"/>
      <c r="P95" s="211"/>
      <c r="Q95" s="211"/>
      <c r="R95" s="211"/>
    </row>
    <row r="96" spans="1:18" ht="15.6">
      <c r="A96" s="21" t="s">
        <v>401</v>
      </c>
      <c r="B96" s="107">
        <v>4163</v>
      </c>
      <c r="C96" s="107">
        <v>32192.392857142855</v>
      </c>
      <c r="D96" s="108">
        <v>7.7329793075048894</v>
      </c>
      <c r="F96" s="211"/>
      <c r="G96" s="211"/>
      <c r="H96" s="211"/>
      <c r="I96" s="211"/>
      <c r="J96" s="211"/>
      <c r="K96" s="211"/>
      <c r="L96" s="211"/>
      <c r="M96" s="211"/>
      <c r="N96" s="211"/>
      <c r="O96" s="211"/>
      <c r="P96" s="211"/>
      <c r="Q96" s="211"/>
      <c r="R96" s="211"/>
    </row>
    <row r="97" spans="1:18" ht="15.6">
      <c r="A97" s="43" t="s">
        <v>96</v>
      </c>
      <c r="B97" s="107">
        <v>4737.5</v>
      </c>
      <c r="C97" s="107">
        <v>16243.8</v>
      </c>
      <c r="D97" s="108">
        <v>3.4287704485488124</v>
      </c>
      <c r="F97" s="211"/>
      <c r="G97" s="211"/>
      <c r="H97" s="211"/>
      <c r="I97" s="211"/>
      <c r="J97" s="211"/>
      <c r="K97" s="211"/>
      <c r="L97" s="211"/>
      <c r="M97" s="211"/>
      <c r="N97" s="211"/>
      <c r="O97" s="211"/>
      <c r="P97" s="211"/>
      <c r="Q97" s="211"/>
      <c r="R97" s="211"/>
    </row>
    <row r="98" spans="1:18" ht="15.6">
      <c r="A98" s="43" t="s">
        <v>402</v>
      </c>
      <c r="B98" s="107">
        <v>4118.6000000000004</v>
      </c>
      <c r="C98" s="107">
        <v>22119.75</v>
      </c>
      <c r="D98" s="108">
        <v>5.3706963531297038</v>
      </c>
      <c r="F98" s="211"/>
      <c r="G98" s="211"/>
      <c r="H98" s="211"/>
      <c r="I98" s="211"/>
      <c r="J98" s="211"/>
      <c r="K98" s="211"/>
      <c r="L98" s="211"/>
      <c r="M98" s="211"/>
      <c r="N98" s="211"/>
      <c r="O98" s="211"/>
      <c r="P98" s="211"/>
      <c r="Q98" s="211"/>
      <c r="R98" s="211"/>
    </row>
    <row r="99" spans="1:18" ht="15.6">
      <c r="A99" s="43" t="s">
        <v>403</v>
      </c>
      <c r="B99" s="107">
        <v>6599</v>
      </c>
      <c r="C99" s="107">
        <v>16513</v>
      </c>
      <c r="D99" s="108">
        <v>2.5023488407334447</v>
      </c>
      <c r="F99" s="211"/>
      <c r="G99" s="211"/>
      <c r="H99" s="211"/>
      <c r="I99" s="211"/>
      <c r="J99" s="211"/>
      <c r="K99" s="211"/>
      <c r="L99" s="211"/>
      <c r="M99" s="211"/>
      <c r="N99" s="211"/>
      <c r="O99" s="211"/>
      <c r="P99" s="211"/>
      <c r="Q99" s="211"/>
      <c r="R99" s="211"/>
    </row>
    <row r="100" spans="1:18" ht="15.6">
      <c r="A100" s="43" t="s">
        <v>404</v>
      </c>
      <c r="B100" s="107">
        <v>3943.1000000000004</v>
      </c>
      <c r="C100" s="107">
        <v>17636.7</v>
      </c>
      <c r="D100" s="108">
        <v>4.472800588369557</v>
      </c>
      <c r="F100" s="211"/>
      <c r="G100" s="211"/>
      <c r="H100" s="211"/>
      <c r="I100" s="211"/>
      <c r="J100" s="211"/>
      <c r="K100" s="211"/>
      <c r="L100" s="211"/>
      <c r="M100" s="211"/>
      <c r="N100" s="211"/>
      <c r="O100" s="211"/>
      <c r="P100" s="211"/>
      <c r="Q100" s="211"/>
      <c r="R100" s="211"/>
    </row>
    <row r="101" spans="1:18" ht="15.6">
      <c r="A101" s="43" t="s">
        <v>156</v>
      </c>
      <c r="B101" s="107">
        <v>3872.6000000000004</v>
      </c>
      <c r="C101" s="107">
        <v>13230.45</v>
      </c>
      <c r="D101" s="108">
        <v>3.4164256571812217</v>
      </c>
      <c r="F101" s="211"/>
      <c r="G101" s="211"/>
      <c r="H101" s="211"/>
      <c r="I101" s="211"/>
      <c r="J101" s="211"/>
      <c r="K101" s="211"/>
      <c r="L101" s="211"/>
      <c r="M101" s="211"/>
      <c r="N101" s="211"/>
      <c r="O101" s="211"/>
      <c r="P101" s="211"/>
      <c r="Q101" s="211"/>
      <c r="R101" s="211"/>
    </row>
    <row r="102" spans="1:18" ht="15.6">
      <c r="A102" s="43" t="s">
        <v>155</v>
      </c>
      <c r="B102" s="107">
        <v>3553.3999999999996</v>
      </c>
      <c r="C102" s="107">
        <v>26513.949999999997</v>
      </c>
      <c r="D102" s="108">
        <v>7.4615720155344176</v>
      </c>
      <c r="F102" s="211"/>
      <c r="G102" s="211"/>
      <c r="H102" s="211"/>
      <c r="I102" s="211"/>
      <c r="J102" s="211"/>
      <c r="K102" s="211"/>
      <c r="L102" s="211"/>
      <c r="M102" s="211"/>
      <c r="N102" s="211"/>
      <c r="O102" s="211"/>
      <c r="P102" s="211"/>
      <c r="Q102" s="211"/>
      <c r="R102" s="211"/>
    </row>
    <row r="103" spans="1:18" ht="15.6">
      <c r="A103" s="43" t="s">
        <v>531</v>
      </c>
      <c r="B103" s="107">
        <v>5596.4</v>
      </c>
      <c r="C103" s="107">
        <v>43761.65</v>
      </c>
      <c r="D103" s="108">
        <v>7.8196072475162612</v>
      </c>
      <c r="F103" s="211"/>
      <c r="G103" s="211"/>
      <c r="H103" s="211"/>
      <c r="I103" s="211"/>
      <c r="J103" s="211"/>
      <c r="K103" s="211"/>
      <c r="L103" s="211"/>
      <c r="M103" s="211"/>
      <c r="N103" s="211"/>
      <c r="O103" s="211"/>
      <c r="P103" s="211"/>
      <c r="Q103" s="211"/>
      <c r="R103" s="211"/>
    </row>
    <row r="104" spans="1:18" ht="15.6">
      <c r="A104" s="43" t="s">
        <v>325</v>
      </c>
      <c r="B104" s="107">
        <v>3054.6000000000004</v>
      </c>
      <c r="C104" s="107">
        <v>14570.7</v>
      </c>
      <c r="D104" s="108">
        <v>4.7700844627774499</v>
      </c>
      <c r="F104" s="211"/>
      <c r="G104" s="211"/>
      <c r="H104" s="211"/>
      <c r="I104" s="211"/>
      <c r="J104" s="211"/>
      <c r="K104" s="211"/>
      <c r="L104" s="211"/>
      <c r="M104" s="211"/>
      <c r="N104" s="211"/>
      <c r="O104" s="211"/>
      <c r="P104" s="211"/>
      <c r="Q104" s="211"/>
      <c r="R104" s="211"/>
    </row>
    <row r="105" spans="1:18" ht="15.6">
      <c r="A105" s="43" t="s">
        <v>324</v>
      </c>
      <c r="B105" s="107">
        <v>2778</v>
      </c>
      <c r="C105" s="107">
        <v>13136.099999999999</v>
      </c>
      <c r="D105" s="108">
        <v>4.7286177105831531</v>
      </c>
      <c r="F105" s="211"/>
      <c r="G105" s="211"/>
      <c r="H105" s="211"/>
      <c r="I105" s="211"/>
      <c r="J105" s="211"/>
      <c r="K105" s="211"/>
      <c r="L105" s="211"/>
      <c r="M105" s="211"/>
      <c r="N105" s="211"/>
      <c r="O105" s="211"/>
      <c r="P105" s="211"/>
      <c r="Q105" s="211"/>
      <c r="R105" s="211"/>
    </row>
    <row r="106" spans="1:18" ht="15.6">
      <c r="A106" s="43" t="s">
        <v>532</v>
      </c>
      <c r="B106" s="107">
        <v>2628.3</v>
      </c>
      <c r="C106" s="107">
        <v>11625.400000000001</v>
      </c>
      <c r="D106" s="108">
        <v>4.4231632614237339</v>
      </c>
      <c r="F106" s="211"/>
      <c r="G106" s="211"/>
      <c r="H106" s="211"/>
      <c r="I106" s="211"/>
      <c r="J106" s="211"/>
      <c r="K106" s="211"/>
      <c r="L106" s="211"/>
      <c r="M106" s="211"/>
      <c r="N106" s="211"/>
      <c r="O106" s="211"/>
      <c r="P106" s="211"/>
      <c r="Q106" s="211"/>
      <c r="R106" s="211"/>
    </row>
    <row r="107" spans="1:18" ht="15.6">
      <c r="A107" s="43" t="s">
        <v>322</v>
      </c>
      <c r="B107" s="107">
        <v>2721.2</v>
      </c>
      <c r="C107" s="107">
        <v>7758.7000000000007</v>
      </c>
      <c r="D107" s="108">
        <v>2.8512053505806265</v>
      </c>
      <c r="F107" s="211"/>
      <c r="G107" s="211"/>
      <c r="H107" s="211"/>
      <c r="I107" s="211"/>
      <c r="J107" s="211"/>
      <c r="K107" s="211"/>
      <c r="L107" s="211"/>
      <c r="M107" s="211"/>
      <c r="N107" s="211"/>
      <c r="O107" s="211"/>
      <c r="P107" s="211"/>
      <c r="Q107" s="211"/>
      <c r="R107" s="211"/>
    </row>
    <row r="108" spans="1:18" ht="15.6">
      <c r="A108" s="43" t="s">
        <v>533</v>
      </c>
      <c r="B108" s="107">
        <v>2544.5714285714284</v>
      </c>
      <c r="C108" s="107">
        <v>20434.035714285714</v>
      </c>
      <c r="D108" s="108">
        <v>8.0304429598023805</v>
      </c>
      <c r="F108" s="211"/>
      <c r="G108" s="211"/>
      <c r="H108" s="211"/>
      <c r="I108" s="211"/>
      <c r="J108" s="211"/>
      <c r="K108" s="211"/>
      <c r="L108" s="211"/>
      <c r="M108" s="211"/>
      <c r="N108" s="211"/>
      <c r="O108" s="211"/>
      <c r="P108" s="211"/>
      <c r="Q108" s="211"/>
      <c r="R108" s="211"/>
    </row>
    <row r="109" spans="1:18" ht="15.6">
      <c r="A109" s="43" t="s">
        <v>534</v>
      </c>
      <c r="B109" s="107">
        <v>2562.6</v>
      </c>
      <c r="C109" s="107">
        <v>11322.95</v>
      </c>
      <c r="D109" s="108">
        <v>4.4185397643018813</v>
      </c>
      <c r="F109" s="211"/>
      <c r="G109" s="211"/>
      <c r="H109" s="211"/>
      <c r="I109" s="211"/>
      <c r="J109" s="211"/>
      <c r="K109" s="211"/>
      <c r="L109" s="211"/>
      <c r="M109" s="211"/>
      <c r="N109" s="211"/>
      <c r="O109" s="211"/>
      <c r="P109" s="211"/>
      <c r="Q109" s="211"/>
      <c r="R109" s="211"/>
    </row>
    <row r="110" spans="1:18" ht="15.6">
      <c r="A110" s="43" t="s">
        <v>323</v>
      </c>
      <c r="B110" s="107">
        <v>2580.3000000000002</v>
      </c>
      <c r="C110" s="107">
        <v>12988.099999999999</v>
      </c>
      <c r="D110" s="108">
        <v>5.0335619889160164</v>
      </c>
      <c r="F110" s="211"/>
      <c r="G110" s="211"/>
      <c r="H110" s="211"/>
      <c r="I110" s="211"/>
      <c r="J110" s="211"/>
      <c r="K110" s="211"/>
      <c r="L110" s="211"/>
      <c r="M110" s="211"/>
      <c r="N110" s="211"/>
      <c r="O110" s="211"/>
      <c r="P110" s="211"/>
      <c r="Q110" s="211"/>
      <c r="R110" s="211"/>
    </row>
    <row r="111" spans="1:18" ht="15.6">
      <c r="A111" s="43" t="s">
        <v>535</v>
      </c>
      <c r="B111" s="107">
        <v>1774.8</v>
      </c>
      <c r="C111" s="107">
        <v>11321.5</v>
      </c>
      <c r="D111" s="108">
        <v>6.3790286229434301</v>
      </c>
      <c r="F111" s="211"/>
      <c r="G111" s="211"/>
      <c r="H111" s="211"/>
      <c r="I111" s="211"/>
      <c r="J111" s="211"/>
      <c r="K111" s="211"/>
      <c r="L111" s="211"/>
      <c r="M111" s="211"/>
      <c r="N111" s="211"/>
      <c r="O111" s="211"/>
      <c r="P111" s="211"/>
      <c r="Q111" s="211"/>
      <c r="R111" s="211"/>
    </row>
    <row r="112" spans="1:18" ht="15.6">
      <c r="A112" s="43" t="s">
        <v>536</v>
      </c>
      <c r="B112" s="107">
        <v>2088.8000000000002</v>
      </c>
      <c r="C112" s="107">
        <v>10138.700000000001</v>
      </c>
      <c r="D112" s="108">
        <v>4.8538395250861734</v>
      </c>
      <c r="F112" s="211"/>
      <c r="G112" s="211"/>
      <c r="H112" s="211"/>
      <c r="I112" s="211"/>
      <c r="J112" s="211"/>
      <c r="K112" s="211"/>
      <c r="L112" s="211"/>
      <c r="M112" s="211"/>
      <c r="N112" s="211"/>
      <c r="O112" s="211"/>
      <c r="P112" s="211"/>
      <c r="Q112" s="211"/>
      <c r="R112" s="211"/>
    </row>
    <row r="113" spans="1:18" ht="15.6">
      <c r="A113" s="43" t="s">
        <v>537</v>
      </c>
      <c r="B113" s="107">
        <v>1972.4</v>
      </c>
      <c r="C113" s="107">
        <v>9162.7999999999993</v>
      </c>
      <c r="D113" s="108">
        <v>4.6455080105455275</v>
      </c>
      <c r="F113" s="211"/>
      <c r="G113" s="211"/>
      <c r="H113" s="211"/>
      <c r="I113" s="211"/>
      <c r="J113" s="211"/>
      <c r="K113" s="211"/>
      <c r="L113" s="211"/>
      <c r="M113" s="211"/>
      <c r="N113" s="211"/>
      <c r="O113" s="211"/>
      <c r="P113" s="211"/>
      <c r="Q113" s="211"/>
      <c r="R113" s="211"/>
    </row>
    <row r="114" spans="1:18" ht="15.6">
      <c r="A114" s="43" t="s">
        <v>538</v>
      </c>
      <c r="B114" s="107">
        <v>1969.5</v>
      </c>
      <c r="C114" s="107">
        <v>5843.85</v>
      </c>
      <c r="D114" s="108">
        <v>2.9671744097486674</v>
      </c>
      <c r="F114" s="211"/>
      <c r="G114" s="211"/>
      <c r="H114" s="211"/>
      <c r="I114" s="211"/>
      <c r="J114" s="211"/>
      <c r="K114" s="211"/>
      <c r="L114" s="211"/>
      <c r="M114" s="211"/>
      <c r="N114" s="211"/>
      <c r="O114" s="211"/>
      <c r="P114" s="211"/>
      <c r="Q114" s="211"/>
      <c r="R114" s="211"/>
    </row>
    <row r="115" spans="1:18" ht="15.6">
      <c r="A115" s="43" t="s">
        <v>539</v>
      </c>
      <c r="B115" s="107">
        <v>1846.3000000000002</v>
      </c>
      <c r="C115" s="107">
        <v>6494.6</v>
      </c>
      <c r="D115" s="108">
        <v>3.517629854303201</v>
      </c>
      <c r="F115" s="211"/>
      <c r="G115" s="211"/>
      <c r="H115" s="211"/>
      <c r="I115" s="211"/>
      <c r="J115" s="211"/>
      <c r="K115" s="211"/>
      <c r="L115" s="211"/>
      <c r="M115" s="211"/>
      <c r="N115" s="211"/>
      <c r="O115" s="211"/>
      <c r="P115" s="211"/>
      <c r="Q115" s="211"/>
      <c r="R115" s="211"/>
    </row>
    <row r="116" spans="1:18" ht="15.6">
      <c r="A116" s="43" t="s">
        <v>540</v>
      </c>
      <c r="B116" s="107">
        <v>1460.6</v>
      </c>
      <c r="C116" s="107">
        <v>5612.1</v>
      </c>
      <c r="D116" s="108">
        <v>3.8423250718882658</v>
      </c>
      <c r="F116" s="211"/>
      <c r="G116" s="211"/>
      <c r="H116" s="211"/>
      <c r="I116" s="211"/>
      <c r="J116" s="211"/>
      <c r="K116" s="211"/>
      <c r="L116" s="211"/>
      <c r="M116" s="211"/>
      <c r="N116" s="211"/>
      <c r="O116" s="211"/>
      <c r="P116" s="211"/>
      <c r="Q116" s="211"/>
      <c r="R116" s="211"/>
    </row>
    <row r="117" spans="1:18" ht="15.6">
      <c r="A117" s="43" t="s">
        <v>541</v>
      </c>
      <c r="B117" s="107">
        <v>1682.2857142857144</v>
      </c>
      <c r="C117" s="107">
        <v>16997.392857142855</v>
      </c>
      <c r="D117" s="108">
        <v>10.103749150815215</v>
      </c>
      <c r="F117" s="211"/>
      <c r="G117" s="211"/>
      <c r="H117" s="211"/>
      <c r="I117" s="211"/>
      <c r="J117" s="211"/>
      <c r="K117" s="211"/>
      <c r="L117" s="211"/>
      <c r="M117" s="211"/>
      <c r="N117" s="211"/>
      <c r="O117" s="211"/>
      <c r="P117" s="211"/>
      <c r="Q117" s="211"/>
      <c r="R117" s="211"/>
    </row>
    <row r="118" spans="1:18" ht="15.6">
      <c r="A118" s="21" t="s">
        <v>327</v>
      </c>
      <c r="B118" s="107">
        <v>2251.4285714285716</v>
      </c>
      <c r="C118" s="107">
        <v>4466</v>
      </c>
      <c r="D118" s="108">
        <v>1.9836294416243654</v>
      </c>
      <c r="F118" s="211"/>
      <c r="G118" s="211"/>
      <c r="H118" s="211"/>
      <c r="I118" s="211"/>
      <c r="J118" s="211"/>
      <c r="K118" s="211"/>
      <c r="L118" s="211"/>
      <c r="M118" s="211"/>
      <c r="N118" s="211"/>
      <c r="O118" s="211"/>
      <c r="P118" s="211"/>
      <c r="Q118" s="211"/>
      <c r="R118" s="211"/>
    </row>
    <row r="119" spans="1:18" ht="15.6">
      <c r="A119" s="111" t="s">
        <v>542</v>
      </c>
      <c r="B119" s="112">
        <v>1579.9</v>
      </c>
      <c r="C119" s="112">
        <v>8295.75</v>
      </c>
      <c r="D119" s="113">
        <v>5.2508070131020945</v>
      </c>
      <c r="F119" s="211"/>
      <c r="G119" s="211"/>
      <c r="H119" s="211"/>
      <c r="I119" s="211"/>
      <c r="J119" s="211"/>
      <c r="K119" s="211"/>
      <c r="L119" s="211"/>
      <c r="M119" s="211"/>
      <c r="N119" s="211"/>
      <c r="O119" s="211"/>
      <c r="P119" s="211"/>
      <c r="Q119" s="211"/>
      <c r="R119" s="211"/>
    </row>
    <row r="120" spans="1:18" ht="15.6">
      <c r="A120" s="103" t="s">
        <v>543</v>
      </c>
      <c r="B120" s="98"/>
      <c r="C120" s="99"/>
      <c r="D120" s="100"/>
      <c r="F120" s="211"/>
      <c r="G120" s="211"/>
      <c r="H120" s="211"/>
      <c r="I120" s="211"/>
      <c r="J120" s="211"/>
      <c r="K120" s="211"/>
      <c r="L120" s="211"/>
      <c r="M120" s="211"/>
      <c r="N120" s="211"/>
      <c r="O120" s="211"/>
      <c r="P120" s="211"/>
      <c r="Q120" s="211"/>
      <c r="R120" s="211"/>
    </row>
    <row r="121" spans="1:18" ht="15.6">
      <c r="A121" s="104" t="s">
        <v>544</v>
      </c>
      <c r="B121" s="98"/>
      <c r="C121" s="101"/>
      <c r="D121" s="100"/>
      <c r="F121" s="211"/>
      <c r="G121" s="211"/>
      <c r="H121" s="211"/>
      <c r="I121" s="211"/>
      <c r="J121" s="211"/>
      <c r="K121" s="211"/>
      <c r="L121" s="211"/>
      <c r="M121" s="211"/>
      <c r="N121" s="211"/>
      <c r="O121" s="211"/>
      <c r="P121" s="211"/>
      <c r="Q121" s="211"/>
      <c r="R121" s="211"/>
    </row>
    <row r="122" spans="1:18" ht="15.6">
      <c r="A122" s="105" t="s">
        <v>545</v>
      </c>
      <c r="B122" s="98"/>
      <c r="C122" s="102"/>
      <c r="D122" s="100"/>
      <c r="F122" s="211"/>
      <c r="G122" s="211"/>
      <c r="H122" s="211"/>
      <c r="I122" s="211"/>
      <c r="J122" s="211"/>
      <c r="K122" s="211"/>
      <c r="L122" s="211"/>
      <c r="M122" s="211"/>
      <c r="N122" s="211"/>
      <c r="O122" s="211"/>
      <c r="P122" s="211"/>
      <c r="Q122" s="211"/>
      <c r="R122" s="211"/>
    </row>
    <row r="123" spans="1:18" ht="15.6">
      <c r="F123" s="211"/>
      <c r="G123" s="211"/>
      <c r="H123" s="211"/>
      <c r="I123" s="211"/>
      <c r="J123" s="211"/>
      <c r="K123" s="211"/>
      <c r="L123" s="211"/>
      <c r="M123" s="211"/>
      <c r="N123" s="211"/>
      <c r="O123" s="211"/>
      <c r="P123" s="211"/>
      <c r="Q123" s="211"/>
      <c r="R123" s="211"/>
    </row>
    <row r="124" spans="1:18" ht="15.6">
      <c r="A124" s="137">
        <v>2011</v>
      </c>
      <c r="F124" s="211"/>
      <c r="G124" s="211"/>
      <c r="H124" s="211"/>
      <c r="I124" s="211"/>
      <c r="J124" s="211"/>
      <c r="K124" s="211"/>
      <c r="L124" s="211"/>
      <c r="M124" s="211"/>
      <c r="N124" s="211"/>
      <c r="O124" s="211"/>
      <c r="P124" s="211"/>
      <c r="Q124" s="211"/>
      <c r="R124" s="211"/>
    </row>
    <row r="125" spans="1:18" ht="15" customHeight="1">
      <c r="A125" s="7333" t="s">
        <v>146</v>
      </c>
      <c r="B125" s="7335" t="s">
        <v>405</v>
      </c>
      <c r="C125" s="7336"/>
      <c r="D125" s="7337"/>
      <c r="F125" s="211"/>
      <c r="G125" s="211"/>
      <c r="H125" s="211"/>
      <c r="I125" s="211"/>
      <c r="J125" s="211"/>
      <c r="K125" s="211"/>
      <c r="L125" s="211"/>
      <c r="M125" s="211"/>
      <c r="N125" s="211"/>
      <c r="O125" s="211"/>
      <c r="P125" s="211"/>
      <c r="Q125" s="211"/>
      <c r="R125" s="211"/>
    </row>
    <row r="126" spans="1:18" ht="15" customHeight="1">
      <c r="A126" s="7334"/>
      <c r="B126" s="271" t="s">
        <v>148</v>
      </c>
      <c r="C126" s="271" t="s">
        <v>149</v>
      </c>
      <c r="D126" s="271" t="s">
        <v>150</v>
      </c>
      <c r="F126" s="211"/>
      <c r="G126" s="211"/>
      <c r="H126" s="211"/>
      <c r="I126" s="211"/>
      <c r="J126" s="211"/>
      <c r="K126" s="211"/>
      <c r="L126" s="211"/>
      <c r="M126" s="211"/>
      <c r="N126" s="211"/>
      <c r="O126" s="211"/>
      <c r="P126" s="211"/>
      <c r="Q126" s="211"/>
      <c r="R126" s="211"/>
    </row>
    <row r="127" spans="1:18" ht="15" customHeight="1">
      <c r="A127" s="272" t="s">
        <v>151</v>
      </c>
      <c r="B127" s="273">
        <v>47886</v>
      </c>
      <c r="C127" s="273">
        <v>286247</v>
      </c>
      <c r="D127" s="274">
        <f t="shared" ref="D127:D132" si="0">C127/B127</f>
        <v>5.9776761475170197</v>
      </c>
      <c r="F127" s="211"/>
      <c r="G127" s="211"/>
      <c r="H127" s="211"/>
      <c r="I127" s="211"/>
      <c r="J127" s="211"/>
      <c r="K127" s="211"/>
      <c r="L127" s="211"/>
      <c r="M127" s="211"/>
      <c r="N127" s="211"/>
      <c r="O127" s="211"/>
      <c r="P127" s="211"/>
      <c r="Q127" s="211"/>
      <c r="R127" s="211"/>
    </row>
    <row r="128" spans="1:18" ht="15" customHeight="1">
      <c r="A128" s="14" t="s">
        <v>398</v>
      </c>
      <c r="B128" s="11">
        <v>13795</v>
      </c>
      <c r="C128" s="11">
        <v>77531</v>
      </c>
      <c r="D128" s="12">
        <f t="shared" si="0"/>
        <v>5.6202247191011239</v>
      </c>
      <c r="F128" s="211"/>
      <c r="G128" s="211"/>
      <c r="H128" s="211"/>
      <c r="I128" s="211"/>
      <c r="J128" s="211"/>
      <c r="K128" s="211"/>
      <c r="L128" s="211"/>
      <c r="M128" s="211"/>
      <c r="N128" s="211"/>
      <c r="O128" s="211"/>
      <c r="P128" s="211"/>
      <c r="Q128" s="211"/>
      <c r="R128" s="211"/>
    </row>
    <row r="129" spans="1:18" ht="15" customHeight="1">
      <c r="A129" s="15" t="s">
        <v>399</v>
      </c>
      <c r="B129" s="11">
        <v>9553</v>
      </c>
      <c r="C129" s="11">
        <v>30749</v>
      </c>
      <c r="D129" s="12">
        <f t="shared" si="0"/>
        <v>3.2187794410132944</v>
      </c>
      <c r="F129" s="211"/>
      <c r="G129" s="211"/>
      <c r="H129" s="211"/>
      <c r="I129" s="211"/>
      <c r="J129" s="211"/>
      <c r="K129" s="211"/>
      <c r="L129" s="211"/>
      <c r="M129" s="211"/>
      <c r="N129" s="211"/>
      <c r="O129" s="211"/>
      <c r="P129" s="211"/>
      <c r="Q129" s="211"/>
      <c r="R129" s="211"/>
    </row>
    <row r="130" spans="1:18" ht="15" customHeight="1">
      <c r="A130" s="52" t="s">
        <v>95</v>
      </c>
      <c r="B130" s="53">
        <v>7925</v>
      </c>
      <c r="C130" s="53">
        <v>30814</v>
      </c>
      <c r="D130" s="54">
        <f>C130/B130</f>
        <v>3.8882018927444797</v>
      </c>
      <c r="F130" s="211"/>
      <c r="G130" s="211"/>
      <c r="H130" s="211"/>
      <c r="I130" s="211"/>
      <c r="J130" s="211"/>
      <c r="K130" s="211"/>
      <c r="L130" s="211"/>
      <c r="M130" s="211"/>
      <c r="N130" s="211"/>
      <c r="O130" s="211"/>
      <c r="P130" s="211"/>
      <c r="Q130" s="211"/>
      <c r="R130" s="211"/>
    </row>
    <row r="131" spans="1:18" ht="15" customHeight="1">
      <c r="A131" s="14" t="s">
        <v>400</v>
      </c>
      <c r="B131" s="11">
        <v>7359</v>
      </c>
      <c r="C131" s="11">
        <v>35704</v>
      </c>
      <c r="D131" s="12">
        <f t="shared" si="0"/>
        <v>4.8517461611632013</v>
      </c>
      <c r="F131" s="211"/>
      <c r="G131" s="211"/>
      <c r="H131" s="211"/>
      <c r="I131" s="211"/>
      <c r="J131" s="211"/>
      <c r="K131" s="211"/>
      <c r="L131" s="211"/>
      <c r="M131" s="211"/>
      <c r="N131" s="211"/>
      <c r="O131" s="211"/>
      <c r="P131" s="211"/>
      <c r="Q131" s="211"/>
      <c r="R131" s="211"/>
    </row>
    <row r="132" spans="1:18" ht="15" customHeight="1">
      <c r="A132" s="14" t="s">
        <v>401</v>
      </c>
      <c r="B132" s="11">
        <v>3822</v>
      </c>
      <c r="C132" s="11">
        <v>24889</v>
      </c>
      <c r="D132" s="12">
        <f t="shared" si="0"/>
        <v>6.5120355834641552</v>
      </c>
      <c r="F132" s="211"/>
      <c r="G132" s="211"/>
      <c r="H132" s="211"/>
      <c r="I132" s="211"/>
      <c r="J132" s="211"/>
      <c r="K132" s="211"/>
      <c r="L132" s="211"/>
      <c r="M132" s="211"/>
      <c r="N132" s="211"/>
      <c r="O132" s="211"/>
      <c r="P132" s="211"/>
      <c r="Q132" s="211"/>
      <c r="R132" s="211"/>
    </row>
    <row r="133" spans="1:18" ht="15" customHeight="1">
      <c r="A133" s="14" t="s">
        <v>96</v>
      </c>
      <c r="B133" s="11">
        <v>3790</v>
      </c>
      <c r="C133" s="11">
        <v>11963</v>
      </c>
      <c r="D133" s="12">
        <f>C133/B133</f>
        <v>3.1564643799472294</v>
      </c>
      <c r="F133" s="211"/>
      <c r="G133" s="211"/>
      <c r="H133" s="211"/>
      <c r="I133" s="211"/>
      <c r="J133" s="211"/>
      <c r="K133" s="211"/>
      <c r="L133" s="211"/>
      <c r="M133" s="211"/>
      <c r="N133" s="211"/>
      <c r="O133" s="211"/>
      <c r="P133" s="211"/>
      <c r="Q133" s="211"/>
      <c r="R133" s="211"/>
    </row>
    <row r="134" spans="1:18" ht="15" customHeight="1">
      <c r="A134" s="14" t="s">
        <v>402</v>
      </c>
      <c r="B134" s="11">
        <v>3651</v>
      </c>
      <c r="C134" s="11">
        <v>16398</v>
      </c>
      <c r="D134" s="12">
        <f>C134/B134</f>
        <v>4.4913722267871812</v>
      </c>
      <c r="F134" s="211"/>
      <c r="G134" s="211"/>
      <c r="H134" s="211"/>
      <c r="I134" s="211"/>
      <c r="J134" s="211"/>
      <c r="K134" s="211"/>
      <c r="L134" s="211"/>
      <c r="M134" s="211"/>
      <c r="N134" s="211"/>
      <c r="O134" s="211"/>
      <c r="P134" s="211"/>
      <c r="Q134" s="211"/>
      <c r="R134" s="211"/>
    </row>
    <row r="135" spans="1:18" ht="15" customHeight="1">
      <c r="A135" s="14" t="s">
        <v>403</v>
      </c>
      <c r="B135" s="11">
        <v>3641</v>
      </c>
      <c r="C135" s="11">
        <v>9591</v>
      </c>
      <c r="D135" s="12">
        <f>C135/B135</f>
        <v>2.6341664377918153</v>
      </c>
      <c r="F135" s="211"/>
      <c r="G135" s="211"/>
      <c r="H135" s="211"/>
      <c r="I135" s="211"/>
      <c r="J135" s="211"/>
      <c r="K135" s="211"/>
      <c r="L135" s="211"/>
      <c r="M135" s="211"/>
      <c r="N135" s="211"/>
      <c r="O135" s="211"/>
      <c r="P135" s="211"/>
      <c r="Q135" s="211"/>
      <c r="R135" s="211"/>
    </row>
    <row r="136" spans="1:18" ht="15" customHeight="1">
      <c r="A136" s="275" t="s">
        <v>404</v>
      </c>
      <c r="B136" s="10">
        <v>3356</v>
      </c>
      <c r="C136" s="10">
        <v>13567</v>
      </c>
      <c r="D136" s="13">
        <f>C136/B136</f>
        <v>4.0426102502979742</v>
      </c>
      <c r="F136" s="211"/>
      <c r="G136" s="211"/>
      <c r="H136" s="211"/>
      <c r="I136" s="211"/>
      <c r="J136" s="211"/>
      <c r="K136" s="211"/>
      <c r="L136" s="211"/>
      <c r="M136" s="211"/>
      <c r="N136" s="211"/>
      <c r="O136" s="211"/>
      <c r="P136" s="211"/>
      <c r="Q136" s="211"/>
      <c r="R136" s="211"/>
    </row>
    <row r="137" spans="1:18" ht="15" customHeight="1">
      <c r="A137" s="4" t="s">
        <v>406</v>
      </c>
      <c r="F137" s="211"/>
      <c r="G137" s="211"/>
      <c r="H137" s="211"/>
      <c r="I137" s="211"/>
      <c r="J137" s="211"/>
      <c r="K137" s="211"/>
      <c r="L137" s="211"/>
      <c r="M137" s="211"/>
      <c r="N137" s="211"/>
      <c r="O137" s="211"/>
      <c r="P137" s="211"/>
      <c r="Q137" s="211"/>
      <c r="R137" s="211"/>
    </row>
    <row r="138" spans="1:18" ht="12.75" customHeight="1">
      <c r="B138" s="210"/>
      <c r="C138" s="210"/>
      <c r="D138" s="210"/>
      <c r="F138" s="211"/>
      <c r="G138" s="211"/>
      <c r="H138" s="211"/>
      <c r="I138" s="211"/>
      <c r="J138" s="211"/>
      <c r="K138" s="211"/>
      <c r="L138" s="211"/>
      <c r="M138" s="211"/>
      <c r="N138" s="211"/>
      <c r="O138" s="211"/>
      <c r="P138" s="211"/>
      <c r="Q138" s="211"/>
      <c r="R138" s="211"/>
    </row>
    <row r="139" spans="1:18" ht="12.75" customHeight="1">
      <c r="A139" s="210"/>
      <c r="B139" s="210"/>
      <c r="C139" s="210"/>
      <c r="D139" s="210"/>
      <c r="F139" s="211"/>
      <c r="G139" s="211"/>
      <c r="H139" s="211"/>
      <c r="I139" s="211"/>
      <c r="J139" s="211"/>
      <c r="K139" s="211"/>
      <c r="L139" s="211"/>
      <c r="M139" s="211"/>
      <c r="N139" s="211"/>
      <c r="O139" s="211"/>
      <c r="P139" s="211"/>
      <c r="Q139" s="211"/>
      <c r="R139" s="211"/>
    </row>
    <row r="140" spans="1:18" ht="15.6">
      <c r="A140" s="137">
        <v>2010</v>
      </c>
      <c r="B140" s="5"/>
      <c r="C140" s="5"/>
      <c r="D140" s="5"/>
      <c r="F140" s="211"/>
      <c r="G140" s="211"/>
      <c r="H140" s="211"/>
      <c r="I140" s="211"/>
      <c r="J140" s="211"/>
      <c r="K140" s="211"/>
      <c r="L140" s="211"/>
      <c r="M140" s="211"/>
      <c r="N140" s="211"/>
      <c r="O140" s="211"/>
      <c r="P140" s="211"/>
      <c r="Q140" s="211"/>
      <c r="R140" s="211"/>
    </row>
    <row r="141" spans="1:18" ht="15" customHeight="1">
      <c r="A141" s="7333" t="s">
        <v>146</v>
      </c>
      <c r="B141" s="7335" t="s">
        <v>147</v>
      </c>
      <c r="C141" s="7336"/>
      <c r="D141" s="7337"/>
      <c r="F141" s="211"/>
      <c r="G141" s="211"/>
      <c r="H141" s="211"/>
      <c r="I141" s="211"/>
      <c r="J141" s="211"/>
      <c r="K141" s="211"/>
      <c r="L141" s="211"/>
      <c r="M141" s="211"/>
      <c r="N141" s="211"/>
      <c r="O141" s="211"/>
      <c r="P141" s="211"/>
      <c r="Q141" s="211"/>
      <c r="R141" s="211"/>
    </row>
    <row r="142" spans="1:18" ht="15" customHeight="1">
      <c r="A142" s="7334"/>
      <c r="B142" s="271" t="s">
        <v>148</v>
      </c>
      <c r="C142" s="271" t="s">
        <v>149</v>
      </c>
      <c r="D142" s="271" t="s">
        <v>150</v>
      </c>
      <c r="F142" s="211"/>
      <c r="G142" s="211"/>
      <c r="H142" s="211"/>
      <c r="I142" s="211"/>
      <c r="J142" s="211"/>
      <c r="K142" s="211"/>
      <c r="L142" s="211"/>
      <c r="M142" s="211"/>
      <c r="N142" s="211"/>
      <c r="O142" s="211"/>
      <c r="P142" s="211"/>
      <c r="Q142" s="211"/>
      <c r="R142" s="211"/>
    </row>
    <row r="143" spans="1:18" ht="15" customHeight="1">
      <c r="A143" s="272" t="s">
        <v>151</v>
      </c>
      <c r="B143" s="273">
        <v>23655</v>
      </c>
      <c r="C143" s="273">
        <v>73240</v>
      </c>
      <c r="D143" s="274">
        <f>+C143/B143</f>
        <v>3.0961741703656731</v>
      </c>
      <c r="F143" s="211"/>
      <c r="G143" s="211"/>
      <c r="H143" s="211"/>
      <c r="I143" s="211"/>
      <c r="J143" s="211"/>
      <c r="K143" s="211"/>
      <c r="L143" s="211"/>
      <c r="M143" s="211"/>
      <c r="N143" s="211"/>
      <c r="O143" s="211"/>
      <c r="P143" s="211"/>
      <c r="Q143" s="211"/>
      <c r="R143" s="211"/>
    </row>
    <row r="144" spans="1:18" ht="15" customHeight="1">
      <c r="A144" s="14" t="s">
        <v>152</v>
      </c>
      <c r="B144" s="11">
        <v>9225</v>
      </c>
      <c r="C144" s="11">
        <v>29313</v>
      </c>
      <c r="D144" s="12">
        <f>+C144/B144</f>
        <v>3.1775609756097563</v>
      </c>
      <c r="F144" s="211"/>
      <c r="G144" s="211"/>
      <c r="H144" s="211"/>
      <c r="I144" s="211"/>
      <c r="J144" s="211"/>
      <c r="K144" s="211"/>
      <c r="L144" s="211"/>
      <c r="M144" s="211"/>
      <c r="N144" s="211"/>
      <c r="O144" s="211"/>
      <c r="P144" s="211"/>
      <c r="Q144" s="211"/>
      <c r="R144" s="211"/>
    </row>
    <row r="145" spans="1:18" ht="15" customHeight="1">
      <c r="A145" s="15" t="s">
        <v>93</v>
      </c>
      <c r="B145" s="11">
        <v>6026</v>
      </c>
      <c r="C145" s="11">
        <v>19502</v>
      </c>
      <c r="D145" s="12">
        <f t="shared" ref="D145:D153" si="1">+C145/B145</f>
        <v>3.2363093262529041</v>
      </c>
      <c r="F145" s="211"/>
      <c r="G145" s="211"/>
      <c r="H145" s="211"/>
      <c r="I145" s="211"/>
      <c r="J145" s="211"/>
      <c r="K145" s="211"/>
      <c r="L145" s="211"/>
      <c r="M145" s="211"/>
      <c r="N145" s="211"/>
      <c r="O145" s="211"/>
      <c r="P145" s="211"/>
      <c r="Q145" s="211"/>
      <c r="R145" s="211"/>
    </row>
    <row r="146" spans="1:18" ht="15" customHeight="1">
      <c r="A146" s="14" t="s">
        <v>153</v>
      </c>
      <c r="B146" s="11">
        <v>4328</v>
      </c>
      <c r="C146" s="11">
        <v>7670</v>
      </c>
      <c r="D146" s="12">
        <f t="shared" si="1"/>
        <v>1.7721811460258781</v>
      </c>
      <c r="F146" s="211"/>
      <c r="G146" s="211"/>
      <c r="H146" s="211"/>
      <c r="I146" s="211"/>
      <c r="J146" s="211"/>
      <c r="K146" s="211"/>
      <c r="L146" s="211"/>
      <c r="M146" s="211"/>
      <c r="N146" s="211"/>
      <c r="O146" s="211"/>
      <c r="P146" s="211"/>
      <c r="Q146" s="211"/>
      <c r="R146" s="211"/>
    </row>
    <row r="147" spans="1:18" ht="15" customHeight="1">
      <c r="A147" s="52" t="s">
        <v>95</v>
      </c>
      <c r="B147" s="53">
        <v>3898</v>
      </c>
      <c r="C147" s="53">
        <v>7410</v>
      </c>
      <c r="D147" s="54">
        <f t="shared" si="1"/>
        <v>1.900974858902001</v>
      </c>
      <c r="F147" s="211"/>
      <c r="G147" s="211"/>
      <c r="H147" s="211"/>
      <c r="I147" s="211"/>
      <c r="J147" s="211"/>
      <c r="K147" s="211"/>
      <c r="L147" s="211"/>
      <c r="M147" s="211"/>
      <c r="N147" s="211"/>
      <c r="O147" s="211"/>
      <c r="P147" s="211"/>
      <c r="Q147" s="211"/>
      <c r="R147" s="211"/>
    </row>
    <row r="148" spans="1:18" ht="15" customHeight="1">
      <c r="A148" s="14" t="s">
        <v>154</v>
      </c>
      <c r="B148" s="11">
        <v>3784</v>
      </c>
      <c r="C148" s="11">
        <v>9424</v>
      </c>
      <c r="D148" s="12">
        <f t="shared" si="1"/>
        <v>2.4904862579281182</v>
      </c>
      <c r="F148" s="211"/>
      <c r="G148" s="211"/>
      <c r="H148" s="211"/>
      <c r="I148" s="211"/>
      <c r="J148" s="211"/>
      <c r="K148" s="211"/>
      <c r="L148" s="211"/>
      <c r="M148" s="211"/>
      <c r="N148" s="211"/>
      <c r="O148" s="211"/>
      <c r="P148" s="211"/>
      <c r="Q148" s="211"/>
      <c r="R148" s="211"/>
    </row>
    <row r="149" spans="1:18" ht="15" customHeight="1">
      <c r="A149" s="14" t="s">
        <v>96</v>
      </c>
      <c r="B149" s="11">
        <v>1746</v>
      </c>
      <c r="C149" s="11">
        <v>2626</v>
      </c>
      <c r="D149" s="12">
        <f t="shared" si="1"/>
        <v>1.5040091638029782</v>
      </c>
      <c r="F149" s="211"/>
      <c r="G149" s="211"/>
      <c r="H149" s="211"/>
      <c r="I149" s="211"/>
      <c r="J149" s="211"/>
      <c r="K149" s="211"/>
      <c r="L149" s="211"/>
      <c r="M149" s="211"/>
      <c r="N149" s="211"/>
      <c r="O149" s="211"/>
      <c r="P149" s="211"/>
      <c r="Q149" s="211"/>
      <c r="R149" s="211"/>
    </row>
    <row r="150" spans="1:18" ht="15" customHeight="1">
      <c r="A150" s="14" t="s">
        <v>155</v>
      </c>
      <c r="B150" s="11">
        <v>1717</v>
      </c>
      <c r="C150" s="11">
        <v>5689</v>
      </c>
      <c r="D150" s="12">
        <f t="shared" si="1"/>
        <v>3.3133372160745487</v>
      </c>
      <c r="F150" s="211"/>
      <c r="G150" s="211"/>
      <c r="H150" s="211"/>
      <c r="I150" s="211"/>
      <c r="J150" s="211"/>
      <c r="K150" s="211"/>
      <c r="L150" s="211"/>
      <c r="M150" s="211"/>
      <c r="N150" s="211"/>
      <c r="O150" s="211"/>
      <c r="P150" s="211"/>
      <c r="Q150" s="211"/>
      <c r="R150" s="211"/>
    </row>
    <row r="151" spans="1:18" ht="15" customHeight="1">
      <c r="A151" s="14" t="s">
        <v>156</v>
      </c>
      <c r="B151" s="11">
        <v>1603</v>
      </c>
      <c r="C151" s="11">
        <v>2660</v>
      </c>
      <c r="D151" s="12">
        <f t="shared" si="1"/>
        <v>1.6593886462882097</v>
      </c>
      <c r="F151" s="211"/>
      <c r="G151" s="211"/>
      <c r="H151" s="211"/>
      <c r="I151" s="211"/>
      <c r="J151" s="211"/>
      <c r="K151" s="211"/>
      <c r="L151" s="211"/>
      <c r="M151" s="211"/>
      <c r="N151" s="211"/>
      <c r="O151" s="211"/>
      <c r="P151" s="211"/>
      <c r="Q151" s="211"/>
      <c r="R151" s="211"/>
    </row>
    <row r="152" spans="1:18" ht="15" customHeight="1">
      <c r="A152" s="14" t="s">
        <v>157</v>
      </c>
      <c r="B152" s="11">
        <v>1564</v>
      </c>
      <c r="C152" s="11">
        <v>4012</v>
      </c>
      <c r="D152" s="12">
        <f t="shared" si="1"/>
        <v>2.5652173913043477</v>
      </c>
      <c r="F152" s="211"/>
      <c r="G152" s="211"/>
      <c r="H152" s="211"/>
      <c r="I152" s="211"/>
      <c r="J152" s="211"/>
      <c r="K152" s="211"/>
      <c r="L152" s="211"/>
      <c r="M152" s="211"/>
      <c r="N152" s="211"/>
      <c r="O152" s="211"/>
      <c r="P152" s="211"/>
      <c r="Q152" s="211"/>
      <c r="R152" s="211"/>
    </row>
    <row r="153" spans="1:18" ht="15" customHeight="1">
      <c r="A153" s="275" t="s">
        <v>158</v>
      </c>
      <c r="B153" s="10">
        <v>1449</v>
      </c>
      <c r="C153" s="10">
        <v>2651</v>
      </c>
      <c r="D153" s="13">
        <f t="shared" si="1"/>
        <v>1.8295376121463078</v>
      </c>
      <c r="F153" s="211"/>
      <c r="G153" s="211"/>
      <c r="H153" s="211"/>
      <c r="I153" s="211"/>
      <c r="J153" s="211"/>
      <c r="K153" s="211"/>
      <c r="L153" s="211"/>
      <c r="M153" s="211"/>
      <c r="N153" s="211"/>
      <c r="O153" s="211"/>
      <c r="P153" s="211"/>
      <c r="Q153" s="211"/>
      <c r="R153" s="211"/>
    </row>
    <row r="154" spans="1:18" ht="15" customHeight="1">
      <c r="A154" s="4" t="s">
        <v>159</v>
      </c>
      <c r="B154" s="5"/>
      <c r="C154" s="5"/>
      <c r="D154" s="5"/>
      <c r="F154" s="211"/>
      <c r="G154" s="211"/>
      <c r="H154" s="211"/>
      <c r="I154" s="211"/>
      <c r="J154" s="211"/>
      <c r="K154" s="211"/>
      <c r="L154" s="211"/>
      <c r="M154" s="211"/>
      <c r="N154" s="211"/>
      <c r="O154" s="211"/>
      <c r="P154" s="211"/>
      <c r="Q154" s="211"/>
      <c r="R154" s="211"/>
    </row>
    <row r="155" spans="1:18" ht="15.6">
      <c r="F155" s="211"/>
      <c r="G155" s="211"/>
      <c r="H155" s="211"/>
      <c r="I155" s="211"/>
      <c r="J155" s="211"/>
      <c r="K155" s="211"/>
      <c r="L155" s="211"/>
      <c r="M155" s="211"/>
      <c r="N155" s="211"/>
      <c r="O155" s="211"/>
      <c r="P155" s="211"/>
      <c r="Q155" s="211"/>
      <c r="R155" s="211"/>
    </row>
    <row r="156" spans="1:18" ht="15.6">
      <c r="F156" s="211"/>
      <c r="G156" s="211"/>
      <c r="H156" s="211"/>
      <c r="I156" s="211"/>
      <c r="J156" s="211"/>
      <c r="K156" s="211"/>
      <c r="L156" s="211"/>
      <c r="M156" s="211"/>
      <c r="N156" s="211"/>
      <c r="O156" s="211"/>
      <c r="P156" s="211"/>
      <c r="Q156" s="211"/>
      <c r="R156" s="211"/>
    </row>
    <row r="157" spans="1:18" ht="15.6">
      <c r="F157" s="211"/>
      <c r="G157" s="211"/>
      <c r="H157" s="211"/>
      <c r="I157" s="211"/>
      <c r="J157" s="211"/>
      <c r="K157" s="211"/>
      <c r="L157" s="211"/>
      <c r="M157" s="211"/>
      <c r="N157" s="211"/>
      <c r="O157" s="211"/>
      <c r="P157" s="211"/>
      <c r="Q157" s="211"/>
      <c r="R157" s="211"/>
    </row>
    <row r="158" spans="1:18" ht="15.6">
      <c r="F158" s="211"/>
      <c r="G158" s="211"/>
      <c r="H158" s="211"/>
      <c r="I158" s="211"/>
      <c r="J158" s="211"/>
      <c r="K158" s="211"/>
      <c r="L158" s="211"/>
      <c r="M158" s="211"/>
      <c r="N158" s="211"/>
      <c r="O158" s="211"/>
      <c r="P158" s="211"/>
      <c r="Q158" s="211"/>
      <c r="R158" s="211"/>
    </row>
    <row r="159" spans="1:18" ht="15.6">
      <c r="F159" s="211"/>
      <c r="G159" s="211"/>
      <c r="H159" s="211"/>
      <c r="I159" s="211"/>
      <c r="J159" s="211"/>
      <c r="K159" s="211"/>
      <c r="L159" s="211"/>
      <c r="M159" s="211"/>
      <c r="N159" s="211"/>
      <c r="O159" s="211"/>
      <c r="P159" s="211"/>
      <c r="Q159" s="211"/>
      <c r="R159" s="211"/>
    </row>
    <row r="160" spans="1:18" ht="15.6">
      <c r="F160" s="211"/>
      <c r="G160" s="211"/>
      <c r="H160" s="211"/>
      <c r="I160" s="211"/>
      <c r="J160" s="211"/>
      <c r="K160" s="211"/>
      <c r="L160" s="211"/>
      <c r="M160" s="211"/>
      <c r="N160" s="211"/>
      <c r="O160" s="211"/>
      <c r="P160" s="211"/>
      <c r="Q160" s="211"/>
      <c r="R160" s="211"/>
    </row>
    <row r="161" spans="6:18" ht="15.6">
      <c r="F161" s="211"/>
      <c r="G161" s="211"/>
      <c r="H161" s="211"/>
      <c r="I161" s="211"/>
      <c r="J161" s="211"/>
      <c r="K161" s="211"/>
      <c r="L161" s="211"/>
      <c r="M161" s="211"/>
      <c r="N161" s="211"/>
      <c r="O161" s="211"/>
      <c r="P161" s="211"/>
      <c r="Q161" s="211"/>
      <c r="R161" s="211"/>
    </row>
    <row r="162" spans="6:18" ht="15.6">
      <c r="F162" s="211"/>
      <c r="G162" s="211"/>
      <c r="H162" s="211"/>
      <c r="I162" s="211"/>
      <c r="J162" s="211"/>
      <c r="K162" s="211"/>
      <c r="L162" s="211"/>
      <c r="M162" s="211"/>
      <c r="N162" s="211"/>
      <c r="O162" s="211"/>
      <c r="P162" s="211"/>
      <c r="Q162" s="211"/>
      <c r="R162" s="211"/>
    </row>
    <row r="163" spans="6:18" ht="15.6">
      <c r="F163" s="211"/>
      <c r="G163" s="211"/>
      <c r="H163" s="211"/>
      <c r="I163" s="211"/>
      <c r="J163" s="211"/>
      <c r="K163" s="211"/>
      <c r="L163" s="211"/>
      <c r="M163" s="211"/>
      <c r="N163" s="211"/>
      <c r="O163" s="211"/>
      <c r="P163" s="211"/>
      <c r="Q163" s="211"/>
      <c r="R163" s="211"/>
    </row>
    <row r="164" spans="6:18" ht="15.6">
      <c r="F164" s="211"/>
      <c r="G164" s="211"/>
      <c r="H164" s="211"/>
      <c r="I164" s="211"/>
      <c r="J164" s="211"/>
      <c r="K164" s="211"/>
      <c r="L164" s="211"/>
      <c r="M164" s="211"/>
      <c r="N164" s="211"/>
      <c r="O164" s="211"/>
      <c r="P164" s="211"/>
      <c r="Q164" s="211"/>
      <c r="R164" s="211"/>
    </row>
    <row r="165" spans="6:18" ht="15.6">
      <c r="F165" s="211"/>
      <c r="G165" s="211"/>
      <c r="H165" s="211"/>
      <c r="I165" s="211"/>
      <c r="J165" s="211"/>
      <c r="K165" s="211"/>
      <c r="L165" s="211"/>
      <c r="M165" s="211"/>
      <c r="N165" s="211"/>
      <c r="O165" s="211"/>
      <c r="P165" s="211"/>
      <c r="Q165" s="211"/>
      <c r="R165" s="211"/>
    </row>
    <row r="166" spans="6:18" ht="15.6">
      <c r="F166" s="211"/>
      <c r="G166" s="211"/>
      <c r="H166" s="211"/>
      <c r="I166" s="211"/>
      <c r="J166" s="211"/>
      <c r="K166" s="211"/>
      <c r="L166" s="211"/>
      <c r="M166" s="211"/>
      <c r="N166" s="211"/>
      <c r="O166" s="211"/>
      <c r="P166" s="211"/>
      <c r="Q166" s="211"/>
      <c r="R166" s="211"/>
    </row>
    <row r="167" spans="6:18" ht="15.6">
      <c r="F167" s="211"/>
      <c r="G167" s="211"/>
      <c r="H167" s="211"/>
      <c r="I167" s="211"/>
      <c r="J167" s="211"/>
      <c r="K167" s="211"/>
      <c r="L167" s="211"/>
      <c r="M167" s="211"/>
      <c r="N167" s="211"/>
      <c r="O167" s="211"/>
      <c r="P167" s="211"/>
      <c r="Q167" s="211"/>
      <c r="R167" s="211"/>
    </row>
    <row r="168" spans="6:18" ht="15.6">
      <c r="F168" s="211"/>
      <c r="G168" s="211"/>
      <c r="H168" s="211"/>
      <c r="I168" s="211"/>
      <c r="J168" s="211"/>
      <c r="K168" s="211"/>
      <c r="L168" s="211"/>
      <c r="M168" s="211"/>
      <c r="N168" s="211"/>
      <c r="O168" s="211"/>
      <c r="P168" s="211"/>
      <c r="Q168" s="211"/>
      <c r="R168" s="211"/>
    </row>
  </sheetData>
  <mergeCells count="17">
    <mergeCell ref="H35:H36"/>
    <mergeCell ref="A125:A126"/>
    <mergeCell ref="B125:D125"/>
    <mergeCell ref="H4:H5"/>
    <mergeCell ref="A30:B31"/>
    <mergeCell ref="H10:H11"/>
    <mergeCell ref="H16:H17"/>
    <mergeCell ref="H22:H23"/>
    <mergeCell ref="H28:H29"/>
    <mergeCell ref="M47:M48"/>
    <mergeCell ref="A141:A142"/>
    <mergeCell ref="B141:D141"/>
    <mergeCell ref="H41:H42"/>
    <mergeCell ref="H55:H56"/>
    <mergeCell ref="H62:H63"/>
    <mergeCell ref="H68:H69"/>
    <mergeCell ref="A89:D89"/>
  </mergeCells>
  <hyperlinks>
    <hyperlink ref="A39" location="_ftn1" display="_ftn1"/>
    <hyperlink ref="A43" location="_ftnref1" display="_ftnref1"/>
    <hyperlink ref="A41" location="_ftn1" display="_ftn1"/>
    <hyperlink ref="A44" location="_ftnref1" display="_ftnref1"/>
    <hyperlink ref="A48" location="_ftn1" display="_ftn1"/>
    <hyperlink ref="A49" location="_ftnref1" display="_ftnref1"/>
  </hyperlinks>
  <printOptions horizontalCentered="1" verticalCentered="1"/>
  <pageMargins left="0.70866141732283472" right="0.70866141732283472" top="0.74803149606299213" bottom="0.74803149606299213" header="0.31496062992125984" footer="0.31496062992125984"/>
  <pageSetup scale="75" firstPageNumber="36" orientation="landscape" useFirstPageNumber="1" r:id="rId1"/>
  <headerFooter scaleWithDoc="0" alignWithMargins="0">
    <oddFooter>&amp;R&amp;P</oddFooter>
  </headerFooter>
  <ignoredErrors>
    <ignoredError sqref="L47:L48 G16:G17 G68:G69" formulaRange="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BK61"/>
  <sheetViews>
    <sheetView showGridLines="0" zoomScaleNormal="100" workbookViewId="0"/>
  </sheetViews>
  <sheetFormatPr baseColWidth="10" defaultColWidth="11.5546875" defaultRowHeight="14.4"/>
  <cols>
    <col min="1" max="1" width="16.44140625" bestFit="1" customWidth="1"/>
    <col min="2" max="2" width="2.6640625" customWidth="1"/>
    <col min="3" max="3" width="15.6640625" style="5317" customWidth="1"/>
    <col min="4" max="4" width="13.5546875" style="5317" customWidth="1"/>
    <col min="5" max="5" width="10.5546875" style="5317" customWidth="1"/>
    <col min="6" max="6" width="2.6640625" style="5317" customWidth="1"/>
    <col min="7" max="7" width="15.44140625" style="5317" customWidth="1"/>
    <col min="8" max="8" width="13.88671875" style="5317" customWidth="1"/>
    <col min="9" max="9" width="10.5546875" style="5317" customWidth="1"/>
    <col min="10" max="10" width="2.6640625" style="5317" customWidth="1"/>
    <col min="11" max="11" width="15.5546875" style="5317" customWidth="1"/>
    <col min="12" max="12" width="13.88671875" style="5317" customWidth="1"/>
    <col min="13" max="13" width="10.5546875" style="5317" customWidth="1"/>
    <col min="14" max="14" width="2.6640625" style="5317" customWidth="1"/>
    <col min="15" max="15" width="15.5546875" style="4135" customWidth="1"/>
    <col min="16" max="16" width="13.88671875" style="4135" customWidth="1"/>
    <col min="17" max="17" width="10.5546875" style="4135" customWidth="1"/>
    <col min="18" max="18" width="2.6640625" style="4135" customWidth="1"/>
    <col min="19" max="19" width="15.6640625" style="3023" customWidth="1"/>
    <col min="20" max="20" width="14.44140625" style="3023" customWidth="1"/>
    <col min="21" max="21" width="10.5546875" style="3023" customWidth="1"/>
    <col min="22" max="22" width="2.6640625" style="3023" customWidth="1"/>
    <col min="23" max="23" width="15.6640625" customWidth="1"/>
    <col min="24" max="24" width="13.88671875" customWidth="1"/>
    <col min="25" max="25" width="10.5546875" customWidth="1"/>
    <col min="26" max="26" width="2.6640625" customWidth="1"/>
    <col min="27" max="27" width="17.6640625" customWidth="1"/>
    <col min="28" max="28" width="13.88671875" customWidth="1"/>
    <col min="29" max="29" width="10.5546875" customWidth="1"/>
    <col min="30" max="30" width="2.6640625" customWidth="1"/>
    <col min="31" max="31" width="16.5546875" customWidth="1"/>
    <col min="32" max="32" width="14.109375" customWidth="1"/>
    <col min="33" max="33" width="10.5546875" customWidth="1"/>
    <col min="34" max="34" width="2.6640625" customWidth="1"/>
    <col min="35" max="35" width="17" customWidth="1"/>
    <col min="36" max="36" width="14.6640625" customWidth="1"/>
    <col min="37" max="37" width="10.5546875" customWidth="1"/>
    <col min="38" max="38" width="2.6640625" customWidth="1"/>
    <col min="39" max="39" width="16.33203125" customWidth="1"/>
    <col min="40" max="40" width="14.88671875" customWidth="1"/>
    <col min="41" max="41" width="10.5546875" customWidth="1"/>
    <col min="42" max="42" width="2.6640625" customWidth="1"/>
    <col min="43" max="43" width="17" customWidth="1"/>
    <col min="44" max="44" width="14.6640625" customWidth="1"/>
    <col min="45" max="45" width="10.5546875" customWidth="1"/>
    <col min="46" max="46" width="2.6640625" customWidth="1"/>
    <col min="47" max="47" width="15.6640625" customWidth="1"/>
    <col min="48" max="48" width="15" customWidth="1"/>
    <col min="49" max="49" width="10.5546875" customWidth="1"/>
    <col min="50" max="50" width="2.6640625" customWidth="1"/>
    <col min="51" max="51" width="17.33203125" customWidth="1"/>
    <col min="52" max="52" width="14.6640625" customWidth="1"/>
    <col min="53" max="53" width="10.5546875" customWidth="1"/>
    <col min="54" max="54" width="2.6640625" customWidth="1"/>
    <col min="55" max="55" width="16.6640625" customWidth="1"/>
    <col min="56" max="56" width="16.88671875" customWidth="1"/>
    <col min="57" max="57" width="10.5546875" customWidth="1"/>
    <col min="59" max="59" width="18.6640625" customWidth="1"/>
    <col min="60" max="60" width="13.44140625" customWidth="1"/>
    <col min="61" max="61" width="19" bestFit="1" customWidth="1"/>
    <col min="62" max="62" width="19" customWidth="1"/>
    <col min="63" max="63" width="12.33203125" customWidth="1"/>
    <col min="64" max="64" width="18.44140625" bestFit="1" customWidth="1"/>
    <col min="65" max="65" width="14.33203125" customWidth="1"/>
    <col min="66" max="66" width="19.44140625" bestFit="1" customWidth="1"/>
  </cols>
  <sheetData>
    <row r="1" spans="1:63" ht="19.5" customHeight="1">
      <c r="B1" s="1793"/>
      <c r="C1" s="1793"/>
      <c r="D1" s="1793"/>
      <c r="E1" s="1793"/>
      <c r="F1" s="1793"/>
      <c r="G1" s="1793"/>
      <c r="H1" s="1793"/>
      <c r="I1" s="1793"/>
      <c r="J1" s="1793"/>
      <c r="K1" s="1793"/>
      <c r="L1" s="1793"/>
      <c r="M1" s="1793"/>
      <c r="N1" s="1793"/>
      <c r="O1" s="1793"/>
      <c r="P1" s="1793"/>
      <c r="Q1" s="1793"/>
      <c r="R1" s="1793"/>
      <c r="S1" s="1793"/>
      <c r="U1" s="6496" t="s">
        <v>2020</v>
      </c>
      <c r="V1" s="1793"/>
      <c r="X1" s="1793"/>
      <c r="Y1" s="1793"/>
      <c r="Z1" s="1793"/>
      <c r="AA1" s="1793"/>
      <c r="AB1" s="1793"/>
      <c r="AC1" s="1793"/>
      <c r="AD1" s="1793"/>
      <c r="AI1" s="7350"/>
      <c r="AJ1" s="7350"/>
      <c r="AK1" s="7350"/>
      <c r="AM1" s="7350"/>
      <c r="AN1" s="7350"/>
      <c r="AO1" s="7350"/>
      <c r="AQ1" s="7350"/>
      <c r="AR1" s="7350"/>
      <c r="AS1" s="7350"/>
      <c r="AU1" s="7350"/>
      <c r="AV1" s="7350"/>
      <c r="AW1" s="7350"/>
      <c r="AY1" s="7349"/>
      <c r="AZ1" s="7349"/>
      <c r="BA1" s="7349"/>
      <c r="BB1" s="37"/>
      <c r="BC1" s="7349"/>
      <c r="BD1" s="7349"/>
      <c r="BE1" s="7349"/>
      <c r="BG1" s="56"/>
      <c r="BH1" s="56"/>
      <c r="BI1" s="56"/>
      <c r="BJ1" s="56"/>
      <c r="BK1" s="56"/>
    </row>
    <row r="2" spans="1:63" s="3519" customFormat="1" ht="15.6">
      <c r="A2" s="214"/>
      <c r="B2" s="1793"/>
      <c r="C2" s="5317"/>
      <c r="D2" s="5317"/>
      <c r="E2" s="5317"/>
      <c r="F2" s="1793"/>
      <c r="G2" s="1793"/>
      <c r="H2" s="1793"/>
      <c r="I2" s="1793"/>
      <c r="J2" s="1793"/>
      <c r="K2" s="1793"/>
      <c r="L2" s="1793"/>
      <c r="M2" s="1793"/>
      <c r="N2" s="1793"/>
      <c r="O2" s="1793"/>
      <c r="P2" s="1793"/>
      <c r="Q2" s="1793"/>
      <c r="R2" s="1793"/>
      <c r="S2" s="1793"/>
      <c r="T2" s="1793"/>
      <c r="U2" s="1793"/>
      <c r="V2" s="1793"/>
      <c r="X2" s="1793"/>
      <c r="Y2" s="1793"/>
      <c r="Z2" s="1793"/>
      <c r="AA2" s="1793"/>
      <c r="AB2" s="1793"/>
      <c r="AC2" s="1793"/>
      <c r="AD2" s="1793"/>
      <c r="AI2" s="3521"/>
      <c r="AJ2" s="3521"/>
      <c r="AK2" s="3521"/>
      <c r="AM2" s="3521"/>
      <c r="AN2" s="3521"/>
      <c r="AO2" s="3521"/>
      <c r="AQ2" s="3521"/>
      <c r="AR2" s="3521"/>
      <c r="AS2" s="3521"/>
      <c r="AU2" s="3521"/>
      <c r="AV2" s="3521"/>
      <c r="AW2" s="3521"/>
      <c r="AY2" s="3520"/>
      <c r="AZ2" s="3520"/>
      <c r="BA2" s="3520"/>
      <c r="BB2" s="37"/>
      <c r="BC2" s="3520"/>
      <c r="BD2" s="3520"/>
      <c r="BE2" s="3520"/>
      <c r="BG2" s="56"/>
      <c r="BH2" s="56"/>
      <c r="BI2" s="56"/>
      <c r="BJ2" s="56"/>
      <c r="BK2" s="56"/>
    </row>
    <row r="3" spans="1:63">
      <c r="A3" s="7346" t="s">
        <v>2312</v>
      </c>
      <c r="C3" s="7345" t="s">
        <v>3277</v>
      </c>
      <c r="D3" s="7345"/>
      <c r="G3" s="7345" t="s">
        <v>3277</v>
      </c>
      <c r="H3" s="7345"/>
      <c r="K3" s="7345" t="s">
        <v>3277</v>
      </c>
      <c r="L3" s="7345"/>
      <c r="O3" s="7348" t="s">
        <v>2516</v>
      </c>
      <c r="P3" s="7348"/>
      <c r="S3" s="7348" t="s">
        <v>2516</v>
      </c>
      <c r="T3" s="7348"/>
      <c r="W3" s="7345" t="s">
        <v>3277</v>
      </c>
      <c r="X3" s="7345"/>
      <c r="AA3" s="7345" t="s">
        <v>3277</v>
      </c>
      <c r="AB3" s="7345"/>
      <c r="AE3" s="7345" t="s">
        <v>3277</v>
      </c>
      <c r="AF3" s="7345"/>
      <c r="AI3" s="7345" t="s">
        <v>3277</v>
      </c>
      <c r="AJ3" s="7345"/>
      <c r="AM3" s="7345" t="s">
        <v>3277</v>
      </c>
      <c r="AN3" s="7345"/>
      <c r="AQ3" s="7345" t="s">
        <v>3277</v>
      </c>
      <c r="AR3" s="7345"/>
      <c r="AU3" s="7345" t="s">
        <v>3277</v>
      </c>
      <c r="AV3" s="7345"/>
      <c r="AY3" s="7345" t="s">
        <v>3277</v>
      </c>
      <c r="AZ3" s="7345"/>
      <c r="BA3" s="61"/>
      <c r="BC3" s="7345" t="s">
        <v>3277</v>
      </c>
      <c r="BD3" s="7345"/>
    </row>
    <row r="4" spans="1:63" ht="48.75" customHeight="1" thickBot="1">
      <c r="A4" s="7347"/>
      <c r="C4" s="6472" t="s">
        <v>84</v>
      </c>
      <c r="D4" s="6472" t="s">
        <v>3318</v>
      </c>
      <c r="E4" s="6472" t="s">
        <v>76</v>
      </c>
      <c r="G4" s="6150" t="s">
        <v>84</v>
      </c>
      <c r="H4" s="6150" t="s">
        <v>3187</v>
      </c>
      <c r="I4" s="6150" t="s">
        <v>76</v>
      </c>
      <c r="K4" s="5331" t="s">
        <v>84</v>
      </c>
      <c r="L4" s="5331" t="s">
        <v>3016</v>
      </c>
      <c r="M4" s="5331" t="s">
        <v>76</v>
      </c>
      <c r="O4" s="4136" t="s">
        <v>84</v>
      </c>
      <c r="P4" s="4136" t="s">
        <v>2654</v>
      </c>
      <c r="Q4" s="4136" t="s">
        <v>76</v>
      </c>
      <c r="S4" s="3024" t="s">
        <v>84</v>
      </c>
      <c r="T4" s="3024" t="s">
        <v>2465</v>
      </c>
      <c r="U4" s="3024" t="s">
        <v>76</v>
      </c>
      <c r="W4" s="1780" t="s">
        <v>84</v>
      </c>
      <c r="X4" s="1780" t="s">
        <v>2316</v>
      </c>
      <c r="Y4" s="1780" t="s">
        <v>76</v>
      </c>
      <c r="AA4" s="2109" t="s">
        <v>84</v>
      </c>
      <c r="AB4" s="2109" t="s">
        <v>2260</v>
      </c>
      <c r="AC4" s="2109" t="s">
        <v>76</v>
      </c>
      <c r="AE4" s="2109" t="s">
        <v>84</v>
      </c>
      <c r="AF4" s="2109" t="s">
        <v>2019</v>
      </c>
      <c r="AG4" s="2109" t="s">
        <v>76</v>
      </c>
      <c r="AI4" s="2109" t="s">
        <v>84</v>
      </c>
      <c r="AJ4" s="2109" t="s">
        <v>2013</v>
      </c>
      <c r="AK4" s="2109" t="s">
        <v>76</v>
      </c>
      <c r="AM4" s="2109" t="s">
        <v>84</v>
      </c>
      <c r="AN4" s="2109" t="s">
        <v>2014</v>
      </c>
      <c r="AO4" s="2109" t="s">
        <v>76</v>
      </c>
      <c r="AQ4" s="2109" t="s">
        <v>84</v>
      </c>
      <c r="AR4" s="2109" t="s">
        <v>2015</v>
      </c>
      <c r="AS4" s="2109" t="s">
        <v>76</v>
      </c>
      <c r="AU4" s="2109" t="s">
        <v>84</v>
      </c>
      <c r="AV4" s="2109" t="s">
        <v>2016</v>
      </c>
      <c r="AW4" s="2109" t="s">
        <v>76</v>
      </c>
      <c r="AY4" s="2109" t="s">
        <v>84</v>
      </c>
      <c r="AZ4" s="2109" t="s">
        <v>2017</v>
      </c>
      <c r="BA4" s="2109" t="s">
        <v>76</v>
      </c>
      <c r="BC4" s="2109" t="s">
        <v>84</v>
      </c>
      <c r="BD4" s="2109" t="s">
        <v>2018</v>
      </c>
      <c r="BE4" s="2109" t="s">
        <v>76</v>
      </c>
    </row>
    <row r="5" spans="1:63">
      <c r="A5" s="119"/>
      <c r="AA5" s="2107"/>
      <c r="AB5" s="2107"/>
      <c r="AC5" s="2107"/>
      <c r="AE5" s="2107"/>
      <c r="AF5" s="2107"/>
      <c r="AG5" s="2107"/>
      <c r="AI5" s="2107"/>
      <c r="AJ5" s="2107"/>
      <c r="AK5" s="2107"/>
      <c r="AM5" s="2107"/>
      <c r="AN5" s="2107"/>
      <c r="AO5" s="2107"/>
      <c r="AQ5" s="2107"/>
      <c r="AR5" s="2107"/>
      <c r="AS5" s="2107"/>
      <c r="AU5" s="2107"/>
      <c r="AV5" s="2107"/>
      <c r="AW5" s="2107"/>
      <c r="AY5" s="2107"/>
      <c r="AZ5" s="2107"/>
      <c r="BA5" s="2107"/>
      <c r="BC5" s="2107"/>
      <c r="BD5" s="2107"/>
      <c r="BE5" s="2107"/>
    </row>
    <row r="6" spans="1:63">
      <c r="A6" s="1942" t="s">
        <v>4</v>
      </c>
      <c r="C6" s="1989">
        <v>1930000</v>
      </c>
      <c r="D6" s="1993">
        <v>694391055</v>
      </c>
      <c r="E6" s="1997">
        <f>+C6/D6</f>
        <v>2.7794136835475221E-3</v>
      </c>
      <c r="G6" s="1989">
        <v>5124292</v>
      </c>
      <c r="H6" s="1993">
        <v>647954062</v>
      </c>
      <c r="I6" s="1997">
        <f>+G6/H6</f>
        <v>7.9084186681123089E-3</v>
      </c>
      <c r="K6" s="1989">
        <v>8354669.0199999996</v>
      </c>
      <c r="L6" s="1993">
        <v>638684142.95000005</v>
      </c>
      <c r="M6" s="1997">
        <f>+K6/L6</f>
        <v>1.3081065362623309E-2</v>
      </c>
      <c r="O6" s="1989">
        <v>4840.4511300000004</v>
      </c>
      <c r="P6" s="1993">
        <v>638684</v>
      </c>
      <c r="Q6" s="1997">
        <f t="shared" ref="Q6:Q11" si="0">O6/P6</f>
        <v>7.5787887750436841E-3</v>
      </c>
      <c r="S6" s="1989">
        <f>12445918.57/1000</f>
        <v>12445.91857</v>
      </c>
      <c r="T6" s="1993">
        <v>607366</v>
      </c>
      <c r="U6" s="1997">
        <f t="shared" ref="U6:U11" si="1">S6/T6</f>
        <v>2.0491628721396982E-2</v>
      </c>
      <c r="W6" s="1989">
        <v>600000</v>
      </c>
      <c r="X6" s="1993">
        <v>574653015</v>
      </c>
      <c r="Y6" s="1997">
        <f>W6/X6</f>
        <v>1.0441083303112922E-3</v>
      </c>
      <c r="AA6" s="1989">
        <v>5949604</v>
      </c>
      <c r="AB6" s="1993">
        <v>566285509</v>
      </c>
      <c r="AC6" s="1997">
        <f t="shared" ref="AC6:AC11" si="2">AA6/AB6</f>
        <v>1.0506368087197513E-2</v>
      </c>
      <c r="AE6" s="1989">
        <v>21975831.800000001</v>
      </c>
      <c r="AF6" s="1993">
        <v>568508638</v>
      </c>
      <c r="AG6" s="1997">
        <f>+AE6/AF6</f>
        <v>3.8655229368740045E-2</v>
      </c>
      <c r="AI6" s="1989">
        <v>16604914.84</v>
      </c>
      <c r="AJ6" s="1993">
        <v>544808000</v>
      </c>
      <c r="AK6" s="1997">
        <f t="shared" ref="AK6:AK11" si="3">+AI6/AJ6</f>
        <v>3.0478471020983538E-2</v>
      </c>
      <c r="AM6" s="1989">
        <v>11146044.289999999</v>
      </c>
      <c r="AN6" s="1993">
        <v>525495000</v>
      </c>
      <c r="AO6" s="1997">
        <f t="shared" ref="AO6:AO11" si="4">+AM6/AN6</f>
        <v>2.1210562022474046E-2</v>
      </c>
      <c r="AQ6" s="1989">
        <v>3179140</v>
      </c>
      <c r="AR6" s="1993">
        <v>454564850.86000001</v>
      </c>
      <c r="AS6" s="1997">
        <f t="shared" ref="AS6:AS11" si="5">+AQ6/AR6</f>
        <v>6.9938095609137479E-3</v>
      </c>
      <c r="AU6" s="1989">
        <v>18820683.18</v>
      </c>
      <c r="AV6" s="1993">
        <v>442210806</v>
      </c>
      <c r="AW6" s="1997">
        <f t="shared" ref="AW6:AW11" si="6">+AU6/AV6</f>
        <v>4.2560432546282008E-2</v>
      </c>
      <c r="AY6" s="1989">
        <v>13213414.189999999</v>
      </c>
      <c r="AZ6" s="1993">
        <f>344828563+31946140</f>
        <v>376774703</v>
      </c>
      <c r="BA6" s="1997">
        <f t="shared" ref="BA6:BA11" si="7">+AY6/AZ6</f>
        <v>3.5069801886354349E-2</v>
      </c>
      <c r="BC6" s="1989">
        <v>13661993.449999999</v>
      </c>
      <c r="BD6" s="1993">
        <v>338547000</v>
      </c>
      <c r="BE6" s="1997">
        <f t="shared" ref="BE6:BE11" si="8">+BC6/BD6</f>
        <v>4.0354791062983869E-2</v>
      </c>
    </row>
    <row r="7" spans="1:63">
      <c r="A7" s="1874" t="s">
        <v>16</v>
      </c>
      <c r="C7" s="1990">
        <v>908050</v>
      </c>
      <c r="D7" s="1994">
        <v>592837801</v>
      </c>
      <c r="E7" s="1997">
        <f>+C7/D7</f>
        <v>1.5317005738640474E-3</v>
      </c>
      <c r="G7" s="1990">
        <v>7257210</v>
      </c>
      <c r="H7" s="1994">
        <v>561728344</v>
      </c>
      <c r="I7" s="1997">
        <f>+G7/H7</f>
        <v>1.2919429965599171E-2</v>
      </c>
      <c r="K7" s="1990">
        <v>358000</v>
      </c>
      <c r="L7" s="1994">
        <v>547495784.45000005</v>
      </c>
      <c r="M7" s="1997">
        <f>+K7/L7</f>
        <v>6.5388631322456196E-4</v>
      </c>
      <c r="O7" s="1990">
        <v>1401.74</v>
      </c>
      <c r="P7" s="1994">
        <v>547496</v>
      </c>
      <c r="Q7" s="1997">
        <f t="shared" si="0"/>
        <v>2.5602744129637478E-3</v>
      </c>
      <c r="S7" s="1990">
        <v>1141</v>
      </c>
      <c r="T7" s="1994">
        <v>524494</v>
      </c>
      <c r="U7" s="1997">
        <f t="shared" si="1"/>
        <v>2.1754300335180194E-3</v>
      </c>
      <c r="W7" s="1990">
        <v>3789212</v>
      </c>
      <c r="X7" s="1994">
        <v>490616572</v>
      </c>
      <c r="Y7" s="1997">
        <f t="shared" ref="Y7:Y43" si="9">W7/X7</f>
        <v>7.7233673223741006E-3</v>
      </c>
      <c r="AA7" s="1990">
        <v>4788740.55</v>
      </c>
      <c r="AB7" s="1994">
        <v>504153104</v>
      </c>
      <c r="AC7" s="1997">
        <f t="shared" si="2"/>
        <v>9.4985838865330081E-3</v>
      </c>
      <c r="AE7" s="1990">
        <v>7980682.2999999998</v>
      </c>
      <c r="AF7" s="1994">
        <v>489931347</v>
      </c>
      <c r="AG7" s="1997">
        <f t="shared" ref="AG7:AG43" si="10">+AE7/AF7</f>
        <v>1.6289389011068932E-2</v>
      </c>
      <c r="AI7" s="1990">
        <v>4862181</v>
      </c>
      <c r="AJ7" s="1994">
        <v>475890000</v>
      </c>
      <c r="AK7" s="1997">
        <f t="shared" si="3"/>
        <v>1.0217027044064806E-2</v>
      </c>
      <c r="AM7" s="1990">
        <v>6974673.8899999997</v>
      </c>
      <c r="AN7" s="1994">
        <v>433633000</v>
      </c>
      <c r="AO7" s="1997">
        <f t="shared" si="4"/>
        <v>1.6084278387484347E-2</v>
      </c>
      <c r="AQ7" s="1990">
        <v>2829094.34</v>
      </c>
      <c r="AR7" s="1994">
        <v>405730526.4199999</v>
      </c>
      <c r="AS7" s="1997">
        <f t="shared" si="5"/>
        <v>6.9728407299366165E-3</v>
      </c>
      <c r="AU7" s="1990">
        <v>8880950</v>
      </c>
      <c r="AV7" s="1994">
        <v>381887931</v>
      </c>
      <c r="AW7" s="1997">
        <f t="shared" si="6"/>
        <v>2.3255382742116561E-2</v>
      </c>
      <c r="AY7" s="1990">
        <v>10599861.25</v>
      </c>
      <c r="AZ7" s="1994">
        <f>320078258+4706567</f>
        <v>324784825</v>
      </c>
      <c r="BA7" s="1997">
        <f t="shared" si="7"/>
        <v>3.2636565609246063E-2</v>
      </c>
      <c r="BC7" s="1990">
        <v>12662239.540000001</v>
      </c>
      <c r="BD7" s="1994">
        <v>304965000</v>
      </c>
      <c r="BE7" s="1997">
        <f t="shared" si="8"/>
        <v>4.1520304100470549E-2</v>
      </c>
    </row>
    <row r="8" spans="1:63">
      <c r="A8" s="1874" t="s">
        <v>21</v>
      </c>
      <c r="C8" s="1990">
        <v>224250</v>
      </c>
      <c r="D8" s="1994">
        <v>423787802</v>
      </c>
      <c r="E8" s="1997">
        <f t="shared" ref="E8" si="11">+C8/D8</f>
        <v>5.2915633470734021E-4</v>
      </c>
      <c r="G8" s="1990"/>
      <c r="H8" s="1994">
        <v>396892970</v>
      </c>
      <c r="I8" s="1997"/>
      <c r="K8" s="1990"/>
      <c r="L8" s="1994">
        <v>375080695.00999999</v>
      </c>
      <c r="M8" s="1997">
        <f t="shared" ref="M8:M10" si="12">+K8/L8</f>
        <v>0</v>
      </c>
      <c r="O8" s="1990"/>
      <c r="P8" s="1994">
        <v>375081</v>
      </c>
      <c r="Q8" s="1997">
        <f t="shared" si="0"/>
        <v>0</v>
      </c>
      <c r="S8" s="1990">
        <v>300</v>
      </c>
      <c r="T8" s="1994">
        <v>357658</v>
      </c>
      <c r="U8" s="1997">
        <f t="shared" si="1"/>
        <v>8.3879012911776049E-4</v>
      </c>
      <c r="W8" s="1990">
        <v>3252202.06</v>
      </c>
      <c r="X8" s="1994">
        <v>341742961</v>
      </c>
      <c r="Y8" s="1997">
        <f t="shared" si="9"/>
        <v>9.5165151331383247E-3</v>
      </c>
      <c r="AA8" s="1990">
        <v>1088053.19</v>
      </c>
      <c r="AB8" s="1994">
        <v>321893929</v>
      </c>
      <c r="AC8" s="1997">
        <f t="shared" si="2"/>
        <v>3.3801606429178723E-3</v>
      </c>
      <c r="AE8" s="1990">
        <v>535343.76</v>
      </c>
      <c r="AF8" s="1994">
        <v>335652640</v>
      </c>
      <c r="AG8" s="1997">
        <f t="shared" si="10"/>
        <v>1.5949338578120525E-3</v>
      </c>
      <c r="AI8" s="1990">
        <v>1635000</v>
      </c>
      <c r="AJ8" s="1994">
        <v>315889000</v>
      </c>
      <c r="AK8" s="1997">
        <f t="shared" si="3"/>
        <v>5.1758687387025186E-3</v>
      </c>
      <c r="AM8" s="1990">
        <v>1228659</v>
      </c>
      <c r="AN8" s="1994">
        <v>289974000</v>
      </c>
      <c r="AO8" s="1997">
        <f t="shared" si="4"/>
        <v>4.2371350534875542E-3</v>
      </c>
      <c r="AQ8" s="1990">
        <v>396500</v>
      </c>
      <c r="AR8" s="1994">
        <v>259481344</v>
      </c>
      <c r="AS8" s="1997">
        <f t="shared" si="5"/>
        <v>1.5280481975613631E-3</v>
      </c>
      <c r="AU8" s="1990">
        <v>435000</v>
      </c>
      <c r="AV8" s="1994">
        <v>245219428</v>
      </c>
      <c r="AW8" s="1997">
        <f t="shared" si="6"/>
        <v>1.7739214366000397E-3</v>
      </c>
      <c r="AY8" s="1990">
        <v>4652186.21</v>
      </c>
      <c r="AZ8" s="1994">
        <v>214006854</v>
      </c>
      <c r="BA8" s="1997">
        <f t="shared" si="7"/>
        <v>2.1738491655972851E-2</v>
      </c>
      <c r="BC8" s="1990">
        <v>192337.66</v>
      </c>
      <c r="BD8" s="1994">
        <v>192343000</v>
      </c>
      <c r="BE8" s="1997">
        <f t="shared" si="8"/>
        <v>9.9997223709726892E-4</v>
      </c>
    </row>
    <row r="9" spans="1:63">
      <c r="A9" s="1874" t="s">
        <v>85</v>
      </c>
      <c r="C9" s="1990"/>
      <c r="D9" s="1994">
        <v>448482635</v>
      </c>
      <c r="E9" s="1997"/>
      <c r="G9" s="1990"/>
      <c r="H9" s="1994">
        <v>407401741</v>
      </c>
      <c r="I9" s="1997"/>
      <c r="K9" s="1990"/>
      <c r="L9" s="1994">
        <v>406873262.60000002</v>
      </c>
      <c r="M9" s="1997">
        <f t="shared" si="12"/>
        <v>0</v>
      </c>
      <c r="O9" s="1990"/>
      <c r="P9" s="1994">
        <v>406873</v>
      </c>
      <c r="Q9" s="1997">
        <f t="shared" si="0"/>
        <v>0</v>
      </c>
      <c r="S9" s="1990"/>
      <c r="T9" s="1994">
        <v>368089</v>
      </c>
      <c r="U9" s="1997">
        <f t="shared" si="1"/>
        <v>0</v>
      </c>
      <c r="W9" s="1990"/>
      <c r="X9" s="1994">
        <v>371582505</v>
      </c>
      <c r="Y9" s="1997">
        <f t="shared" si="9"/>
        <v>0</v>
      </c>
      <c r="AA9" s="1990"/>
      <c r="AB9" s="1994">
        <v>298703562</v>
      </c>
      <c r="AC9" s="1997">
        <f t="shared" si="2"/>
        <v>0</v>
      </c>
      <c r="AE9" s="1990"/>
      <c r="AF9" s="1994">
        <v>315377711</v>
      </c>
      <c r="AG9" s="1997">
        <f t="shared" si="10"/>
        <v>0</v>
      </c>
      <c r="AI9" s="1990"/>
      <c r="AJ9" s="1994">
        <v>54812000</v>
      </c>
      <c r="AK9" s="1997">
        <f t="shared" si="3"/>
        <v>0</v>
      </c>
      <c r="AM9" s="1990"/>
      <c r="AN9" s="1994">
        <v>54269000</v>
      </c>
      <c r="AO9" s="1997">
        <f t="shared" si="4"/>
        <v>0</v>
      </c>
      <c r="AQ9" s="1990"/>
      <c r="AR9" s="1994">
        <v>272415349</v>
      </c>
      <c r="AS9" s="1997">
        <f t="shared" si="5"/>
        <v>0</v>
      </c>
      <c r="AU9" s="1990">
        <v>0</v>
      </c>
      <c r="AV9" s="1994">
        <v>43754693</v>
      </c>
      <c r="AW9" s="1997">
        <f t="shared" si="6"/>
        <v>0</v>
      </c>
      <c r="AY9" s="1990">
        <v>0</v>
      </c>
      <c r="AZ9" s="1994">
        <f>52156389+270036</f>
        <v>52426425</v>
      </c>
      <c r="BA9" s="1997">
        <f t="shared" si="7"/>
        <v>0</v>
      </c>
      <c r="BC9" s="1990">
        <v>0</v>
      </c>
      <c r="BD9" s="1994">
        <f>271694000-BD10</f>
        <v>38085000</v>
      </c>
      <c r="BE9" s="1997">
        <f t="shared" si="8"/>
        <v>0</v>
      </c>
    </row>
    <row r="10" spans="1:63">
      <c r="A10" s="1874" t="s">
        <v>86</v>
      </c>
      <c r="C10" s="1990"/>
      <c r="D10" s="1994">
        <v>77828268</v>
      </c>
      <c r="E10" s="1997"/>
      <c r="G10" s="1990"/>
      <c r="H10" s="1994">
        <v>79208913</v>
      </c>
      <c r="I10" s="1997"/>
      <c r="K10" s="1990"/>
      <c r="L10" s="1994">
        <v>68063741.510000005</v>
      </c>
      <c r="M10" s="1997">
        <f t="shared" si="12"/>
        <v>0</v>
      </c>
      <c r="O10" s="1990"/>
      <c r="P10" s="1994">
        <v>68064</v>
      </c>
      <c r="Q10" s="1997">
        <f t="shared" si="0"/>
        <v>0</v>
      </c>
      <c r="S10" s="1990"/>
      <c r="T10" s="1994">
        <v>68558</v>
      </c>
      <c r="U10" s="1997">
        <f t="shared" si="1"/>
        <v>0</v>
      </c>
      <c r="W10" s="1990"/>
      <c r="X10" s="1994">
        <v>59582297</v>
      </c>
      <c r="Y10" s="1997">
        <f t="shared" si="9"/>
        <v>0</v>
      </c>
      <c r="AA10" s="1990"/>
      <c r="AB10" s="1994">
        <v>59565878</v>
      </c>
      <c r="AC10" s="1997">
        <f t="shared" si="2"/>
        <v>0</v>
      </c>
      <c r="AE10" s="1990"/>
      <c r="AF10" s="1994">
        <v>57728607</v>
      </c>
      <c r="AG10" s="1997">
        <f t="shared" si="10"/>
        <v>0</v>
      </c>
      <c r="AI10" s="1990"/>
      <c r="AJ10" s="1994">
        <v>283364000</v>
      </c>
      <c r="AK10" s="1997">
        <f t="shared" si="3"/>
        <v>0</v>
      </c>
      <c r="AM10" s="1990"/>
      <c r="AN10" s="1994">
        <v>289443000</v>
      </c>
      <c r="AO10" s="1997">
        <f t="shared" si="4"/>
        <v>0</v>
      </c>
      <c r="AQ10" s="1990"/>
      <c r="AR10" s="1994">
        <v>50668652</v>
      </c>
      <c r="AS10" s="1997">
        <f t="shared" si="5"/>
        <v>0</v>
      </c>
      <c r="AU10" s="1990">
        <v>0</v>
      </c>
      <c r="AV10" s="1994">
        <v>249204575</v>
      </c>
      <c r="AW10" s="1997">
        <f t="shared" si="6"/>
        <v>0</v>
      </c>
      <c r="AY10" s="1990">
        <v>0</v>
      </c>
      <c r="AZ10" s="1994">
        <v>335973051</v>
      </c>
      <c r="BA10" s="1997">
        <f t="shared" si="7"/>
        <v>0</v>
      </c>
      <c r="BC10" s="1990">
        <v>0</v>
      </c>
      <c r="BD10" s="1994">
        <v>233609000</v>
      </c>
      <c r="BE10" s="1997">
        <f t="shared" si="8"/>
        <v>0</v>
      </c>
    </row>
    <row r="11" spans="1:63">
      <c r="A11" s="1943" t="s">
        <v>3</v>
      </c>
      <c r="C11" s="1991">
        <f>SUM(C6:C10)</f>
        <v>3062300</v>
      </c>
      <c r="D11" s="1995">
        <v>2237327561</v>
      </c>
      <c r="E11" s="1998">
        <f>+C11/D11</f>
        <v>1.3687311833012368E-3</v>
      </c>
      <c r="G11" s="1991">
        <v>12381502</v>
      </c>
      <c r="H11" s="1995">
        <v>2093186030</v>
      </c>
      <c r="I11" s="1998">
        <f>+G11/H11</f>
        <v>5.9151464908257581E-3</v>
      </c>
      <c r="K11" s="1991">
        <f>SUM(K6:K10)</f>
        <v>8712669.0199999996</v>
      </c>
      <c r="L11" s="1995">
        <f>SUM(L6:L10)</f>
        <v>2036197626.5200002</v>
      </c>
      <c r="M11" s="1998">
        <f>+K11/L11</f>
        <v>4.278891649083464E-3</v>
      </c>
      <c r="O11" s="1991">
        <f>SUM(O6:O10)</f>
        <v>6242.1911300000002</v>
      </c>
      <c r="P11" s="1995">
        <f>SUM(P6:P10)</f>
        <v>2036198</v>
      </c>
      <c r="Q11" s="1998">
        <f t="shared" si="0"/>
        <v>3.0656110702397313E-3</v>
      </c>
      <c r="S11" s="1991">
        <f>SUM(S6:S10)</f>
        <v>13886.91857</v>
      </c>
      <c r="T11" s="1995">
        <v>1926165</v>
      </c>
      <c r="U11" s="1998">
        <f t="shared" si="1"/>
        <v>7.2096204478847865E-3</v>
      </c>
      <c r="W11" s="1991">
        <v>7641414.0600000005</v>
      </c>
      <c r="X11" s="1995">
        <v>1838177350</v>
      </c>
      <c r="Y11" s="1998">
        <f t="shared" si="9"/>
        <v>4.1570602858315058E-3</v>
      </c>
      <c r="AA11" s="1991">
        <f>SUM(AA6:AA10)</f>
        <v>11826397.74</v>
      </c>
      <c r="AB11" s="1995">
        <f>SUM(AB6:AB10)</f>
        <v>1750601982</v>
      </c>
      <c r="AC11" s="1998">
        <f t="shared" si="2"/>
        <v>6.755617702710907E-3</v>
      </c>
      <c r="AE11" s="1991">
        <f>SUM(AE6:AE10)</f>
        <v>30491857.860000003</v>
      </c>
      <c r="AF11" s="1995">
        <f>SUM(AF6:AF10)</f>
        <v>1767198943</v>
      </c>
      <c r="AG11" s="1998">
        <f t="shared" si="10"/>
        <v>1.725434364975172E-2</v>
      </c>
      <c r="AI11" s="1991">
        <f>SUM(AI6:AI10)</f>
        <v>23102095.84</v>
      </c>
      <c r="AJ11" s="1995">
        <f>SUM(AJ6:AJ10)</f>
        <v>1674763000</v>
      </c>
      <c r="AK11" s="1998">
        <f t="shared" si="3"/>
        <v>1.379424780700314E-2</v>
      </c>
      <c r="AM11" s="1991">
        <f>SUM(AM6:AM10)</f>
        <v>19349377.18</v>
      </c>
      <c r="AN11" s="1995">
        <f>SUM(AN6:AN10)</f>
        <v>1592814000</v>
      </c>
      <c r="AO11" s="1998">
        <f t="shared" si="4"/>
        <v>1.2147920083575358E-2</v>
      </c>
      <c r="AQ11" s="1991">
        <v>6404734.3399999999</v>
      </c>
      <c r="AR11" s="1995">
        <v>1442860722.28</v>
      </c>
      <c r="AS11" s="1998">
        <f t="shared" si="5"/>
        <v>4.4389137780944492E-3</v>
      </c>
      <c r="AU11" s="1991">
        <f>+AU6+AU7+AU8+AU9+AU10</f>
        <v>28136633.18</v>
      </c>
      <c r="AV11" s="1995">
        <f>+AV6+AV7+AV8+AV9+AV10</f>
        <v>1362277433</v>
      </c>
      <c r="AW11" s="1998">
        <f t="shared" si="6"/>
        <v>2.0654113837911606E-2</v>
      </c>
      <c r="AY11" s="1991">
        <f>+AY6+AY7+AY8+AY9+AY10</f>
        <v>28465461.649999999</v>
      </c>
      <c r="AZ11" s="1995">
        <f>+AZ6+AZ7+AZ8+AZ9+AZ10</f>
        <v>1303965858</v>
      </c>
      <c r="BA11" s="1998">
        <f t="shared" si="7"/>
        <v>2.1829913318175236E-2</v>
      </c>
      <c r="BC11" s="1991">
        <f>+BC6+BC7+BC8+BC9+BC10</f>
        <v>26516570.650000002</v>
      </c>
      <c r="BD11" s="1995">
        <f>+BD6+BD7+BD8+BD9+BD10</f>
        <v>1107549000</v>
      </c>
      <c r="BE11" s="1998">
        <f t="shared" si="8"/>
        <v>2.3941668179015108E-2</v>
      </c>
    </row>
    <row r="12" spans="1:63">
      <c r="A12" s="2136"/>
      <c r="C12" s="2"/>
      <c r="D12" s="2"/>
      <c r="E12" s="1999"/>
      <c r="G12" s="2"/>
      <c r="H12" s="2"/>
      <c r="I12" s="1999"/>
      <c r="K12" s="2"/>
      <c r="L12" s="2"/>
      <c r="M12" s="1999"/>
      <c r="O12" s="2"/>
      <c r="P12" s="2"/>
      <c r="Q12" s="1999"/>
      <c r="S12" s="2"/>
      <c r="T12" s="2"/>
      <c r="U12" s="1999"/>
      <c r="W12" s="2"/>
      <c r="X12" s="2"/>
      <c r="Y12" s="1999"/>
      <c r="AA12" s="2"/>
      <c r="AB12" s="2"/>
      <c r="AC12" s="1999"/>
      <c r="AE12" s="2"/>
      <c r="AF12" s="2"/>
      <c r="AG12" s="1999"/>
      <c r="AI12" s="2"/>
      <c r="AJ12" s="2"/>
      <c r="AK12" s="1999"/>
      <c r="AM12" s="2"/>
      <c r="AN12" s="2"/>
      <c r="AO12" s="1999"/>
      <c r="AQ12" s="2"/>
      <c r="AR12" s="2"/>
      <c r="AS12" s="1999"/>
      <c r="AU12" s="2"/>
      <c r="AV12" s="2"/>
      <c r="AW12" s="1999"/>
      <c r="AY12" s="2"/>
      <c r="AZ12" s="2"/>
      <c r="BA12" s="1999"/>
      <c r="BC12" s="2"/>
      <c r="BD12" s="2"/>
      <c r="BE12" s="1999"/>
    </row>
    <row r="13" spans="1:63">
      <c r="A13" s="1942" t="s">
        <v>16</v>
      </c>
      <c r="C13" s="1989"/>
      <c r="D13" s="1993">
        <v>125515200</v>
      </c>
      <c r="E13" s="1997"/>
      <c r="G13" s="1989">
        <v>623000</v>
      </c>
      <c r="H13" s="1993">
        <v>118867405</v>
      </c>
      <c r="I13" s="1997">
        <f t="shared" ref="I13:I15" si="13">+G13/H13</f>
        <v>5.2411340181944752E-3</v>
      </c>
      <c r="K13" s="1989">
        <v>1519600</v>
      </c>
      <c r="L13" s="1993">
        <v>105997927.84</v>
      </c>
      <c r="M13" s="1997">
        <f>+K13/L13</f>
        <v>1.4336129308997254E-2</v>
      </c>
      <c r="O13" s="1989">
        <v>3502.489</v>
      </c>
      <c r="P13" s="1993">
        <v>105998</v>
      </c>
      <c r="Q13" s="1997">
        <f t="shared" ref="Q13:Q18" si="14">O13/P13</f>
        <v>3.3042972508915261E-2</v>
      </c>
      <c r="S13" s="1989">
        <v>6460.357</v>
      </c>
      <c r="T13" s="1993">
        <v>94740</v>
      </c>
      <c r="U13" s="1997">
        <f t="shared" ref="U13:U18" si="15">S13/T13</f>
        <v>6.8190384209415242E-2</v>
      </c>
      <c r="W13" s="1989">
        <v>284700</v>
      </c>
      <c r="X13" s="1993">
        <v>86189884</v>
      </c>
      <c r="Y13" s="1997">
        <f t="shared" si="9"/>
        <v>3.3031718664338844E-3</v>
      </c>
      <c r="AA13" s="1989">
        <v>2077359</v>
      </c>
      <c r="AB13" s="1993">
        <v>74782669</v>
      </c>
      <c r="AC13" s="1997">
        <f t="shared" ref="AC13:AC18" si="16">AA13/AB13</f>
        <v>2.7778615390151428E-2</v>
      </c>
      <c r="AE13" s="1989">
        <v>3886595</v>
      </c>
      <c r="AF13" s="1993">
        <v>80568840</v>
      </c>
      <c r="AG13" s="1997">
        <f t="shared" si="10"/>
        <v>4.8239431025691816E-2</v>
      </c>
      <c r="AI13" s="1989">
        <v>697587</v>
      </c>
      <c r="AJ13" s="1993">
        <v>73397000</v>
      </c>
      <c r="AK13" s="1997">
        <f t="shared" ref="AK13:AK18" si="17">+AI13/AJ13</f>
        <v>9.5042985408122956E-3</v>
      </c>
      <c r="AM13" s="1989"/>
      <c r="AN13" s="1993">
        <v>66212000</v>
      </c>
      <c r="AO13" s="1997">
        <f t="shared" ref="AO13:AO18" si="18">+AM13/AN13</f>
        <v>0</v>
      </c>
      <c r="AQ13" s="1989"/>
      <c r="AR13" s="1993">
        <v>64095764.459999993</v>
      </c>
      <c r="AS13" s="1997">
        <f t="shared" ref="AS13:AS18" si="19">+AQ13/AR13</f>
        <v>0</v>
      </c>
      <c r="AU13" s="1989">
        <v>904563.19999999995</v>
      </c>
      <c r="AV13" s="1993">
        <v>58650469</v>
      </c>
      <c r="AW13" s="1997">
        <f t="shared" ref="AW13:AW18" si="20">+AU13/AV13</f>
        <v>1.542294913276823E-2</v>
      </c>
      <c r="AY13" s="1989">
        <v>765300</v>
      </c>
      <c r="AZ13" s="1993">
        <v>43217897</v>
      </c>
      <c r="BA13" s="1997">
        <f t="shared" ref="BA13:BA18" si="21">+AY13/AZ13</f>
        <v>1.7707941689064602E-2</v>
      </c>
      <c r="BC13" s="1989">
        <v>0</v>
      </c>
      <c r="BD13" s="1993">
        <v>41691000</v>
      </c>
      <c r="BE13" s="1997">
        <f t="shared" ref="BE13:BE18" si="22">+BC13/BD13</f>
        <v>0</v>
      </c>
    </row>
    <row r="14" spans="1:63">
      <c r="A14" s="1874" t="s">
        <v>61</v>
      </c>
      <c r="C14" s="1990">
        <v>1479929.9</v>
      </c>
      <c r="D14" s="1994">
        <v>115637453</v>
      </c>
      <c r="E14" s="1997">
        <f t="shared" ref="E14" si="23">+C14/D14</f>
        <v>1.2798015362721625E-2</v>
      </c>
      <c r="G14" s="1990">
        <v>1644905</v>
      </c>
      <c r="H14" s="1994">
        <v>114289047</v>
      </c>
      <c r="I14" s="1997">
        <f t="shared" si="13"/>
        <v>1.4392499046737173E-2</v>
      </c>
      <c r="K14" s="1990">
        <v>328549</v>
      </c>
      <c r="L14" s="1994">
        <v>95593753.739999995</v>
      </c>
      <c r="M14" s="1997">
        <f>+K14/L14</f>
        <v>3.4369295811272535E-3</v>
      </c>
      <c r="O14" s="1990">
        <v>358.60399999999998</v>
      </c>
      <c r="P14" s="1994">
        <v>95594</v>
      </c>
      <c r="Q14" s="1997">
        <f t="shared" si="14"/>
        <v>3.7513233048099251E-3</v>
      </c>
      <c r="S14" s="1990"/>
      <c r="T14" s="1994">
        <v>84984.7</v>
      </c>
      <c r="U14" s="1997">
        <f t="shared" si="15"/>
        <v>0</v>
      </c>
      <c r="W14" s="1990">
        <v>1365300</v>
      </c>
      <c r="X14" s="1994">
        <v>77843578</v>
      </c>
      <c r="Y14" s="1997">
        <f t="shared" si="9"/>
        <v>1.7539019082601779E-2</v>
      </c>
      <c r="AA14" s="1990">
        <v>1865600</v>
      </c>
      <c r="AB14" s="1994">
        <v>69191240</v>
      </c>
      <c r="AC14" s="1997">
        <f t="shared" si="16"/>
        <v>2.6962950801286405E-2</v>
      </c>
      <c r="AE14" s="1990">
        <v>1416660</v>
      </c>
      <c r="AF14" s="1994">
        <v>76678775</v>
      </c>
      <c r="AG14" s="1997">
        <f t="shared" si="10"/>
        <v>1.8475256027499134E-2</v>
      </c>
      <c r="AI14" s="1990">
        <v>11523378.780000001</v>
      </c>
      <c r="AJ14" s="1994">
        <v>71469000</v>
      </c>
      <c r="AK14" s="1997">
        <f t="shared" si="17"/>
        <v>0.16123604331948119</v>
      </c>
      <c r="AM14" s="1990">
        <v>1328028.1299999999</v>
      </c>
      <c r="AN14" s="1994">
        <v>60921000</v>
      </c>
      <c r="AO14" s="1997">
        <f t="shared" si="18"/>
        <v>2.1799184681801018E-2</v>
      </c>
      <c r="AQ14" s="1990">
        <v>435100</v>
      </c>
      <c r="AR14" s="1994">
        <v>60447136</v>
      </c>
      <c r="AS14" s="1997">
        <f t="shared" si="19"/>
        <v>7.1980250644133083E-3</v>
      </c>
      <c r="AU14" s="1990">
        <v>10619229.43</v>
      </c>
      <c r="AV14" s="1994">
        <v>50133242</v>
      </c>
      <c r="AW14" s="1997">
        <f t="shared" si="20"/>
        <v>0.21182012186644542</v>
      </c>
      <c r="AY14" s="1990">
        <v>4264115.09</v>
      </c>
      <c r="AZ14" s="1994">
        <v>34999417</v>
      </c>
      <c r="BA14" s="1997">
        <f t="shared" si="21"/>
        <v>0.1218338891187816</v>
      </c>
      <c r="BC14" s="1990">
        <v>4798600</v>
      </c>
      <c r="BD14" s="1994">
        <v>34602000</v>
      </c>
      <c r="BE14" s="1997">
        <f t="shared" si="22"/>
        <v>0.1386798450956592</v>
      </c>
    </row>
    <row r="15" spans="1:63">
      <c r="A15" s="1874" t="s">
        <v>64</v>
      </c>
      <c r="C15" s="1990"/>
      <c r="D15" s="1994">
        <v>115432189</v>
      </c>
      <c r="E15" s="1997"/>
      <c r="G15" s="1990">
        <v>1393764</v>
      </c>
      <c r="H15" s="1994">
        <v>109678009</v>
      </c>
      <c r="I15" s="1997">
        <f t="shared" si="13"/>
        <v>1.2707779916026739E-2</v>
      </c>
      <c r="K15" s="1990">
        <v>2028104</v>
      </c>
      <c r="L15" s="1994">
        <v>100277839.63</v>
      </c>
      <c r="M15" s="1997">
        <f t="shared" ref="M15:M17" si="24">+K15/L15</f>
        <v>2.0224847358929886E-2</v>
      </c>
      <c r="O15" s="1990">
        <v>5237.74</v>
      </c>
      <c r="P15" s="1994">
        <v>100278</v>
      </c>
      <c r="Q15" s="1997">
        <f t="shared" si="14"/>
        <v>5.2232194499291965E-2</v>
      </c>
      <c r="S15" s="1990">
        <v>6276.2830000000004</v>
      </c>
      <c r="T15" s="1994">
        <v>83753</v>
      </c>
      <c r="U15" s="1997">
        <f t="shared" si="15"/>
        <v>7.4938008190751373E-2</v>
      </c>
      <c r="W15" s="1990">
        <v>5712251</v>
      </c>
      <c r="X15" s="1994">
        <v>85833819</v>
      </c>
      <c r="Y15" s="1997">
        <f t="shared" si="9"/>
        <v>6.655012052999762E-2</v>
      </c>
      <c r="AA15" s="1990">
        <v>11813236</v>
      </c>
      <c r="AB15" s="1994">
        <v>82921290</v>
      </c>
      <c r="AC15" s="1997">
        <f t="shared" si="16"/>
        <v>0.14246324436100788</v>
      </c>
      <c r="AE15" s="1990">
        <v>6627913.1000000006</v>
      </c>
      <c r="AF15" s="1994">
        <v>76305734</v>
      </c>
      <c r="AG15" s="1997">
        <f t="shared" si="10"/>
        <v>8.6859961271062547E-2</v>
      </c>
      <c r="AI15" s="1990">
        <v>3788235</v>
      </c>
      <c r="AJ15" s="1994">
        <v>71019000</v>
      </c>
      <c r="AK15" s="1997">
        <f t="shared" si="17"/>
        <v>5.3341148143454566E-2</v>
      </c>
      <c r="AM15" s="1990">
        <v>1345296</v>
      </c>
      <c r="AN15" s="1994">
        <v>63824000</v>
      </c>
      <c r="AO15" s="1997">
        <f t="shared" si="18"/>
        <v>2.107821509150163E-2</v>
      </c>
      <c r="AQ15" s="1990">
        <v>38000</v>
      </c>
      <c r="AR15" s="1994">
        <v>51917423</v>
      </c>
      <c r="AS15" s="1997">
        <f t="shared" si="19"/>
        <v>7.3193155214965121E-4</v>
      </c>
      <c r="AU15" s="1990">
        <v>3217134</v>
      </c>
      <c r="AV15" s="1994">
        <v>56237259</v>
      </c>
      <c r="AW15" s="1997">
        <f t="shared" si="20"/>
        <v>5.7206450975855708E-2</v>
      </c>
      <c r="AY15" s="1990">
        <v>3743270</v>
      </c>
      <c r="AZ15" s="1994">
        <v>42953608</v>
      </c>
      <c r="BA15" s="1997">
        <f t="shared" si="21"/>
        <v>8.7146811974444613E-2</v>
      </c>
      <c r="BC15" s="1990">
        <v>4078009.1500000004</v>
      </c>
      <c r="BD15" s="1994">
        <v>42621000</v>
      </c>
      <c r="BE15" s="1997">
        <f t="shared" si="22"/>
        <v>9.5680747753454878E-2</v>
      </c>
    </row>
    <row r="16" spans="1:63">
      <c r="A16" s="1874" t="s">
        <v>85</v>
      </c>
      <c r="C16" s="1990"/>
      <c r="D16" s="1994">
        <v>194278934</v>
      </c>
      <c r="E16" s="1997"/>
      <c r="G16" s="1990"/>
      <c r="H16" s="1994">
        <v>164419190</v>
      </c>
      <c r="I16" s="1997"/>
      <c r="K16" s="1990"/>
      <c r="L16" s="1994">
        <v>165688842.59999999</v>
      </c>
      <c r="M16" s="1997">
        <f t="shared" si="24"/>
        <v>0</v>
      </c>
      <c r="O16" s="1990"/>
      <c r="P16" s="1994">
        <v>165689</v>
      </c>
      <c r="Q16" s="1997">
        <f t="shared" si="14"/>
        <v>0</v>
      </c>
      <c r="S16" s="1990"/>
      <c r="T16" s="1994">
        <v>147823</v>
      </c>
      <c r="U16" s="1997">
        <f t="shared" si="15"/>
        <v>0</v>
      </c>
      <c r="W16" s="1990"/>
      <c r="X16" s="1994">
        <v>140720163</v>
      </c>
      <c r="Y16" s="1997">
        <f t="shared" si="9"/>
        <v>0</v>
      </c>
      <c r="AA16" s="1990"/>
      <c r="AB16" s="1994">
        <v>118915766</v>
      </c>
      <c r="AC16" s="1997">
        <f t="shared" si="16"/>
        <v>0</v>
      </c>
      <c r="AE16" s="1990"/>
      <c r="AF16" s="1994">
        <v>123197673</v>
      </c>
      <c r="AG16" s="1997">
        <f t="shared" si="10"/>
        <v>0</v>
      </c>
      <c r="AI16" s="1990"/>
      <c r="AJ16" s="1994">
        <v>28464000</v>
      </c>
      <c r="AK16" s="1997">
        <f t="shared" si="17"/>
        <v>0</v>
      </c>
      <c r="AM16" s="1990">
        <v>2737000</v>
      </c>
      <c r="AN16" s="1994">
        <v>30220000</v>
      </c>
      <c r="AO16" s="1997">
        <f t="shared" si="18"/>
        <v>9.0569159497021837E-2</v>
      </c>
      <c r="AQ16" s="1990">
        <v>552000</v>
      </c>
      <c r="AR16" s="1994">
        <v>101924572</v>
      </c>
      <c r="AS16" s="1997">
        <f t="shared" si="19"/>
        <v>5.4157696144164335E-3</v>
      </c>
      <c r="AU16" s="1990">
        <v>800000</v>
      </c>
      <c r="AV16" s="1994">
        <v>25543779</v>
      </c>
      <c r="AW16" s="1997">
        <f t="shared" si="20"/>
        <v>3.1318780200846552E-2</v>
      </c>
      <c r="AY16" s="1990">
        <v>0</v>
      </c>
      <c r="AZ16" s="1994">
        <v>31013067</v>
      </c>
      <c r="BA16" s="1997">
        <f t="shared" si="21"/>
        <v>0</v>
      </c>
      <c r="BC16" s="1990">
        <v>0</v>
      </c>
      <c r="BD16" s="1994">
        <f>82946000-BD17</f>
        <v>15003000</v>
      </c>
      <c r="BE16" s="1997">
        <f t="shared" si="22"/>
        <v>0</v>
      </c>
    </row>
    <row r="17" spans="1:57">
      <c r="A17" s="1874" t="s">
        <v>86</v>
      </c>
      <c r="C17" s="1990"/>
      <c r="D17" s="1994">
        <v>44536134</v>
      </c>
      <c r="E17" s="1997"/>
      <c r="G17" s="1990"/>
      <c r="H17" s="1994">
        <v>39723403</v>
      </c>
      <c r="I17" s="1997"/>
      <c r="K17" s="1990"/>
      <c r="L17" s="1994">
        <v>36182673.549999997</v>
      </c>
      <c r="M17" s="1997">
        <f t="shared" si="24"/>
        <v>0</v>
      </c>
      <c r="O17" s="1990"/>
      <c r="P17" s="1994">
        <v>36183</v>
      </c>
      <c r="Q17" s="1997">
        <f t="shared" si="14"/>
        <v>0</v>
      </c>
      <c r="S17" s="1990"/>
      <c r="T17" s="1994">
        <v>36591</v>
      </c>
      <c r="U17" s="1997">
        <f t="shared" si="15"/>
        <v>0</v>
      </c>
      <c r="W17" s="1990"/>
      <c r="X17" s="1994">
        <v>31460970</v>
      </c>
      <c r="Y17" s="1997">
        <f t="shared" si="9"/>
        <v>0</v>
      </c>
      <c r="AA17" s="1990"/>
      <c r="AB17" s="1994">
        <v>31040293</v>
      </c>
      <c r="AC17" s="1997">
        <f t="shared" si="16"/>
        <v>0</v>
      </c>
      <c r="AE17" s="1990"/>
      <c r="AF17" s="1994">
        <v>31106413</v>
      </c>
      <c r="AG17" s="1997">
        <f t="shared" si="10"/>
        <v>0</v>
      </c>
      <c r="AI17" s="1990"/>
      <c r="AJ17" s="1994">
        <v>109573000</v>
      </c>
      <c r="AK17" s="1997">
        <f t="shared" si="17"/>
        <v>0</v>
      </c>
      <c r="AM17" s="1990"/>
      <c r="AN17" s="1994">
        <v>108608000</v>
      </c>
      <c r="AO17" s="1997">
        <f t="shared" si="18"/>
        <v>0</v>
      </c>
      <c r="AQ17" s="1990"/>
      <c r="AR17" s="1994">
        <v>27936270.730000004</v>
      </c>
      <c r="AS17" s="1997">
        <f t="shared" si="19"/>
        <v>0</v>
      </c>
      <c r="AU17" s="1990">
        <v>0</v>
      </c>
      <c r="AV17" s="1994">
        <v>181636324</v>
      </c>
      <c r="AW17" s="1997">
        <f t="shared" si="20"/>
        <v>0</v>
      </c>
      <c r="AY17" s="1990">
        <v>0</v>
      </c>
      <c r="AZ17" s="1994">
        <v>119895345</v>
      </c>
      <c r="BA17" s="1997">
        <f t="shared" si="21"/>
        <v>0</v>
      </c>
      <c r="BC17" s="1990">
        <v>0</v>
      </c>
      <c r="BD17" s="1994">
        <v>67943000</v>
      </c>
      <c r="BE17" s="1997">
        <f t="shared" si="22"/>
        <v>0</v>
      </c>
    </row>
    <row r="18" spans="1:57">
      <c r="A18" s="1943" t="s">
        <v>59</v>
      </c>
      <c r="C18" s="1991">
        <f>SUM(C13:C17)</f>
        <v>1479929.9</v>
      </c>
      <c r="D18" s="1995">
        <v>595399910</v>
      </c>
      <c r="E18" s="1998">
        <f>+C18/D18</f>
        <v>2.4856065228494911E-3</v>
      </c>
      <c r="G18" s="1991">
        <v>3661669</v>
      </c>
      <c r="H18" s="1995">
        <v>546977054</v>
      </c>
      <c r="I18" s="1998">
        <f>+G18/H18</f>
        <v>6.6943740568685718E-3</v>
      </c>
      <c r="K18" s="1991">
        <f>SUM(K13:K17)</f>
        <v>3876253</v>
      </c>
      <c r="L18" s="1995">
        <f>SUM(L13:L17)</f>
        <v>503741037.35999995</v>
      </c>
      <c r="M18" s="1998">
        <f>+K18/L18</f>
        <v>7.6949319442279722E-3</v>
      </c>
      <c r="O18" s="1991">
        <f>SUM(O13:O17)</f>
        <v>9098.8329999999987</v>
      </c>
      <c r="P18" s="1995">
        <f>SUM(P13:P17)</f>
        <v>503742</v>
      </c>
      <c r="Q18" s="1998">
        <f t="shared" si="14"/>
        <v>1.8062486352140576E-2</v>
      </c>
      <c r="S18" s="1991">
        <f>SUM(S13:S17)</f>
        <v>12736.64</v>
      </c>
      <c r="T18" s="1995">
        <v>447891.7</v>
      </c>
      <c r="U18" s="1998">
        <f t="shared" si="15"/>
        <v>2.843687436047598E-2</v>
      </c>
      <c r="W18" s="1991">
        <v>7362251</v>
      </c>
      <c r="X18" s="1995">
        <v>422048414</v>
      </c>
      <c r="Y18" s="1998">
        <f t="shared" si="9"/>
        <v>1.744409114163855E-2</v>
      </c>
      <c r="AA18" s="1991">
        <f>SUM(AA13:AA17)</f>
        <v>15756195</v>
      </c>
      <c r="AB18" s="1995">
        <f>SUM(AB13:AB17)</f>
        <v>376851258</v>
      </c>
      <c r="AC18" s="1998">
        <f t="shared" si="16"/>
        <v>4.1810116499597837E-2</v>
      </c>
      <c r="AE18" s="1991">
        <f>SUM(AE13:AE17)</f>
        <v>11931168.100000001</v>
      </c>
      <c r="AF18" s="1995">
        <f>SUM(AF13:AF17)</f>
        <v>387857435</v>
      </c>
      <c r="AG18" s="1998">
        <f t="shared" si="10"/>
        <v>3.0761736203406803E-2</v>
      </c>
      <c r="AI18" s="1991">
        <f>SUM(AI13:AI17)</f>
        <v>16009200.780000001</v>
      </c>
      <c r="AJ18" s="1995">
        <f>SUM(AJ13:AJ17)</f>
        <v>353922000</v>
      </c>
      <c r="AK18" s="1998">
        <f t="shared" si="17"/>
        <v>4.5233697763914088E-2</v>
      </c>
      <c r="AM18" s="1991">
        <f>SUM(AM13:AM17)</f>
        <v>5410324.1299999999</v>
      </c>
      <c r="AN18" s="1995">
        <f>SUM(AN13:AN17)</f>
        <v>329785000</v>
      </c>
      <c r="AO18" s="1998">
        <f t="shared" si="18"/>
        <v>1.6405610109616872E-2</v>
      </c>
      <c r="AQ18" s="1991">
        <v>1025100</v>
      </c>
      <c r="AR18" s="1995">
        <v>306321166.19</v>
      </c>
      <c r="AS18" s="1998">
        <f t="shared" si="19"/>
        <v>3.3464876513435815E-3</v>
      </c>
      <c r="AU18" s="1991">
        <f>+AU13+AU14+AU15+AU16+AU17</f>
        <v>15540926.629999999</v>
      </c>
      <c r="AV18" s="1995">
        <f>+AV13+AV14+AV15+AV16+AV17</f>
        <v>372201073</v>
      </c>
      <c r="AW18" s="1998">
        <f t="shared" si="20"/>
        <v>4.1754115604067589E-2</v>
      </c>
      <c r="AY18" s="1991">
        <f>+AY13+AY14+AY15+AY16+AY17</f>
        <v>8772685.0899999999</v>
      </c>
      <c r="AZ18" s="1995">
        <f>+AZ13+AZ14+AZ15+AZ16+AZ17</f>
        <v>272079334</v>
      </c>
      <c r="BA18" s="1998">
        <f t="shared" si="21"/>
        <v>3.2243114392510236E-2</v>
      </c>
      <c r="BC18" s="1991">
        <f>+BC13+BC14+BC15+BC16+BC17</f>
        <v>8876609.1500000004</v>
      </c>
      <c r="BD18" s="1995">
        <f>+BD13+BD14+BD15+BD16+BD17</f>
        <v>201860000</v>
      </c>
      <c r="BE18" s="1998">
        <f t="shared" si="22"/>
        <v>4.3974086743287427E-2</v>
      </c>
    </row>
    <row r="19" spans="1:57">
      <c r="A19" s="2136"/>
      <c r="C19" s="2"/>
      <c r="D19" s="2"/>
      <c r="E19" s="1999"/>
      <c r="G19" s="2"/>
      <c r="H19" s="2"/>
      <c r="I19" s="1999"/>
      <c r="K19" s="2"/>
      <c r="L19" s="2"/>
      <c r="M19" s="1999"/>
      <c r="O19" s="2"/>
      <c r="P19" s="2"/>
      <c r="Q19" s="1999"/>
      <c r="S19" s="2"/>
      <c r="T19" s="2"/>
      <c r="U19" s="1999"/>
      <c r="W19" s="2"/>
      <c r="X19" s="2"/>
      <c r="Y19" s="1999"/>
      <c r="AA19" s="2"/>
      <c r="AB19" s="2"/>
      <c r="AC19" s="1999"/>
      <c r="AE19" s="2"/>
      <c r="AF19" s="2"/>
      <c r="AG19" s="1999"/>
      <c r="AI19" s="2"/>
      <c r="AJ19" s="2"/>
      <c r="AK19" s="1999"/>
      <c r="AM19" s="2"/>
      <c r="AN19" s="2"/>
      <c r="AO19" s="1999"/>
      <c r="AQ19" s="2"/>
      <c r="AR19" s="2"/>
      <c r="AS19" s="1999"/>
      <c r="AU19" s="2"/>
      <c r="AV19" s="2"/>
      <c r="AW19" s="1999"/>
      <c r="AY19" s="2"/>
      <c r="AZ19" s="2"/>
      <c r="BA19" s="1999"/>
      <c r="BC19" s="2"/>
      <c r="BD19" s="2"/>
      <c r="BE19" s="1999"/>
    </row>
    <row r="20" spans="1:57">
      <c r="A20" s="1942" t="s">
        <v>4</v>
      </c>
      <c r="C20" s="1989">
        <v>401000</v>
      </c>
      <c r="D20" s="1993">
        <v>574741109</v>
      </c>
      <c r="E20" s="1997">
        <f t="shared" ref="E20" si="25">+C20/D20</f>
        <v>6.9770544288663369E-4</v>
      </c>
      <c r="G20" s="1989">
        <v>2798044</v>
      </c>
      <c r="H20" s="1993">
        <v>547834118</v>
      </c>
      <c r="I20" s="1997">
        <f t="shared" ref="I20:I22" si="26">+G20/H20</f>
        <v>5.1074657602832984E-3</v>
      </c>
      <c r="K20" s="1989">
        <v>27715581.789999999</v>
      </c>
      <c r="L20" s="1993">
        <v>525654334.88</v>
      </c>
      <c r="M20" s="1997">
        <f>+K20/L20</f>
        <v>5.2725869361140348E-2</v>
      </c>
      <c r="O20" s="1989">
        <v>16221.47378</v>
      </c>
      <c r="P20" s="1993">
        <v>525654</v>
      </c>
      <c r="Q20" s="1997">
        <f t="shared" ref="Q20:Q25" si="27">O20/P20</f>
        <v>3.0859603046871135E-2</v>
      </c>
      <c r="S20" s="1989">
        <v>41373.065369999997</v>
      </c>
      <c r="T20" s="1993">
        <v>644817</v>
      </c>
      <c r="U20" s="1997">
        <f t="shared" ref="U20:U25" si="28">S20/T20</f>
        <v>6.4162491637162172E-2</v>
      </c>
      <c r="W20" s="1989">
        <v>32172924.489999998</v>
      </c>
      <c r="X20" s="1993">
        <v>488254472</v>
      </c>
      <c r="Y20" s="1997">
        <f t="shared" si="9"/>
        <v>6.5893763058047311E-2</v>
      </c>
      <c r="AA20" s="1989">
        <v>25504189</v>
      </c>
      <c r="AB20" s="1993">
        <v>487238266</v>
      </c>
      <c r="AC20" s="1997">
        <f t="shared" ref="AC20:AC25" si="29">AA20/AB20</f>
        <v>5.2344388320272037E-2</v>
      </c>
      <c r="AE20" s="1989">
        <v>70917004.390000001</v>
      </c>
      <c r="AF20" s="1993">
        <v>488170128</v>
      </c>
      <c r="AG20" s="1997">
        <f t="shared" si="10"/>
        <v>0.14527108547289072</v>
      </c>
      <c r="AI20" s="1989">
        <v>104001670.19</v>
      </c>
      <c r="AJ20" s="1993">
        <v>454478000</v>
      </c>
      <c r="AK20" s="1997">
        <f t="shared" ref="AK20:AK25" si="30">+AI20/AJ20</f>
        <v>0.22883763392287415</v>
      </c>
      <c r="AM20" s="1989">
        <v>96085863.349999994</v>
      </c>
      <c r="AN20" s="1993">
        <v>433968000</v>
      </c>
      <c r="AO20" s="1997">
        <f t="shared" ref="AO20:AO25" si="31">+AM20/AN20</f>
        <v>0.22141232383493711</v>
      </c>
      <c r="AQ20" s="1989">
        <v>23588382.640000001</v>
      </c>
      <c r="AR20" s="1993">
        <v>400409853</v>
      </c>
      <c r="AS20" s="1997">
        <f t="shared" ref="AS20:AS25" si="32">+AQ20/AR20</f>
        <v>5.8910594889881492E-2</v>
      </c>
      <c r="AU20" s="1989">
        <v>61920998.530000001</v>
      </c>
      <c r="AV20" s="1993">
        <v>359219796</v>
      </c>
      <c r="AW20" s="1997">
        <f t="shared" ref="AW20:AW25" si="33">+AU20/AV20</f>
        <v>0.17237635347357083</v>
      </c>
      <c r="AY20" s="1989">
        <v>17873249.740000002</v>
      </c>
      <c r="AZ20" s="1993">
        <v>327764627</v>
      </c>
      <c r="BA20" s="1997">
        <f t="shared" ref="BA20:BA25" si="34">+AY20/AZ20</f>
        <v>5.4530746357812437E-2</v>
      </c>
      <c r="BC20" s="1989">
        <v>38568912.340000004</v>
      </c>
      <c r="BD20" s="1993">
        <v>300523000</v>
      </c>
      <c r="BE20" s="1997">
        <f t="shared" ref="BE20:BE25" si="35">+BC20/BD20</f>
        <v>0.12833930294852641</v>
      </c>
    </row>
    <row r="21" spans="1:57">
      <c r="A21" s="1874" t="s">
        <v>16</v>
      </c>
      <c r="C21" s="1990"/>
      <c r="D21" s="1994">
        <v>565360575</v>
      </c>
      <c r="E21" s="1997"/>
      <c r="G21" s="1990">
        <v>653466.57000000007</v>
      </c>
      <c r="H21" s="1994">
        <v>555307348</v>
      </c>
      <c r="I21" s="1997">
        <f t="shared" si="26"/>
        <v>1.1767655737917591E-3</v>
      </c>
      <c r="K21" s="1990">
        <v>2203984.9900000002</v>
      </c>
      <c r="L21" s="1994">
        <v>527328733.14999998</v>
      </c>
      <c r="M21" s="1997">
        <f>+K21/L21</f>
        <v>4.1795275915167537E-3</v>
      </c>
      <c r="O21" s="1990">
        <v>3790.00801</v>
      </c>
      <c r="P21" s="1994">
        <v>527329</v>
      </c>
      <c r="Q21" s="1997">
        <f t="shared" si="27"/>
        <v>7.1871791803598895E-3</v>
      </c>
      <c r="S21" s="1990">
        <v>4216.1671100000003</v>
      </c>
      <c r="T21" s="1994">
        <v>404485</v>
      </c>
      <c r="U21" s="1997">
        <f t="shared" si="28"/>
        <v>1.0423543790251802E-2</v>
      </c>
      <c r="W21" s="1990">
        <v>2810271</v>
      </c>
      <c r="X21" s="1994">
        <v>505444704</v>
      </c>
      <c r="Y21" s="1997">
        <f t="shared" si="9"/>
        <v>5.5599969250048767E-3</v>
      </c>
      <c r="AA21" s="1990">
        <v>4244095.5199999996</v>
      </c>
      <c r="AB21" s="1994">
        <v>499055937</v>
      </c>
      <c r="AC21" s="1997">
        <f t="shared" si="29"/>
        <v>8.5042481320084951E-3</v>
      </c>
      <c r="AE21" s="1990">
        <v>5256160</v>
      </c>
      <c r="AF21" s="1994">
        <v>488120147</v>
      </c>
      <c r="AG21" s="1997">
        <f t="shared" si="10"/>
        <v>1.0768168518149693E-2</v>
      </c>
      <c r="AI21" s="1990">
        <v>44348581.829999998</v>
      </c>
      <c r="AJ21" s="1994">
        <v>348901000</v>
      </c>
      <c r="AK21" s="1997">
        <f t="shared" si="30"/>
        <v>0.12710935718155006</v>
      </c>
      <c r="AM21" s="1990">
        <v>26310312.199999999</v>
      </c>
      <c r="AN21" s="1994">
        <v>330420000</v>
      </c>
      <c r="AO21" s="1997">
        <f t="shared" si="31"/>
        <v>7.962687549179831E-2</v>
      </c>
      <c r="AQ21" s="1990">
        <v>18644364.449999999</v>
      </c>
      <c r="AR21" s="1994">
        <v>427434927.91000003</v>
      </c>
      <c r="AS21" s="1997">
        <f t="shared" si="32"/>
        <v>4.3619187933854872E-2</v>
      </c>
      <c r="AU21" s="1990">
        <v>27296002.790000003</v>
      </c>
      <c r="AV21" s="1994">
        <v>272530571</v>
      </c>
      <c r="AW21" s="1997">
        <f t="shared" si="33"/>
        <v>0.10015758118380048</v>
      </c>
      <c r="AY21" s="1990">
        <v>14880758.470000001</v>
      </c>
      <c r="AZ21" s="1994">
        <v>262369686</v>
      </c>
      <c r="BA21" s="1997">
        <f t="shared" si="34"/>
        <v>5.6716759839396995E-2</v>
      </c>
      <c r="BC21" s="1990">
        <v>26113336.719999995</v>
      </c>
      <c r="BD21" s="1994">
        <v>243176000</v>
      </c>
      <c r="BE21" s="1997">
        <f t="shared" si="35"/>
        <v>0.10738451459025559</v>
      </c>
    </row>
    <row r="22" spans="1:57">
      <c r="A22" s="1874" t="s">
        <v>41</v>
      </c>
      <c r="C22" s="1990"/>
      <c r="D22" s="1994">
        <v>455810909</v>
      </c>
      <c r="E22" s="1997"/>
      <c r="G22" s="1990">
        <v>4570610</v>
      </c>
      <c r="H22" s="1994">
        <v>439898496</v>
      </c>
      <c r="I22" s="1997">
        <f t="shared" si="26"/>
        <v>1.0390146912436818E-2</v>
      </c>
      <c r="K22" s="1990">
        <v>3895000</v>
      </c>
      <c r="L22" s="1994">
        <v>425350658.91000003</v>
      </c>
      <c r="M22" s="1997">
        <f t="shared" ref="M22:M24" si="36">+K22/L22</f>
        <v>9.1571505025554532E-3</v>
      </c>
      <c r="O22" s="1990">
        <v>6444.44</v>
      </c>
      <c r="P22" s="1994">
        <v>425351</v>
      </c>
      <c r="Q22" s="1997">
        <f t="shared" si="27"/>
        <v>1.5150875394674045E-2</v>
      </c>
      <c r="S22" s="1990">
        <v>8061.4</v>
      </c>
      <c r="T22" s="1994">
        <v>413539</v>
      </c>
      <c r="U22" s="1997">
        <f t="shared" si="28"/>
        <v>1.9493687415213557E-2</v>
      </c>
      <c r="W22" s="1990">
        <v>13254456.029999999</v>
      </c>
      <c r="X22" s="1994">
        <v>397273665</v>
      </c>
      <c r="Y22" s="1997">
        <f t="shared" si="9"/>
        <v>3.3363540545784727E-2</v>
      </c>
      <c r="AA22" s="1990">
        <v>13336462.08</v>
      </c>
      <c r="AB22" s="1994">
        <v>383638717</v>
      </c>
      <c r="AC22" s="1997">
        <f t="shared" si="29"/>
        <v>3.4763076532757772E-2</v>
      </c>
      <c r="AE22" s="1990">
        <v>34691110.57</v>
      </c>
      <c r="AF22" s="1994">
        <v>393687277</v>
      </c>
      <c r="AG22" s="1997">
        <f t="shared" si="10"/>
        <v>8.811844475736004E-2</v>
      </c>
      <c r="AI22" s="1990">
        <v>11276969.07</v>
      </c>
      <c r="AJ22" s="1994">
        <v>453432000</v>
      </c>
      <c r="AK22" s="1997">
        <f t="shared" si="30"/>
        <v>2.4870254128513205E-2</v>
      </c>
      <c r="AM22" s="1990">
        <v>12840054.91</v>
      </c>
      <c r="AN22" s="1994">
        <v>442942000</v>
      </c>
      <c r="AO22" s="1997">
        <f t="shared" si="31"/>
        <v>2.8988117879993319E-2</v>
      </c>
      <c r="AQ22" s="1990">
        <v>10979709.6</v>
      </c>
      <c r="AR22" s="1994">
        <v>322132645</v>
      </c>
      <c r="AS22" s="1997">
        <f t="shared" si="32"/>
        <v>3.4084436242095235E-2</v>
      </c>
      <c r="AU22" s="1990">
        <v>11069227.67</v>
      </c>
      <c r="AV22" s="1994">
        <v>379629094</v>
      </c>
      <c r="AW22" s="1997">
        <f t="shared" si="33"/>
        <v>2.9158006709570052E-2</v>
      </c>
      <c r="AY22" s="1990">
        <v>42424335.490000002</v>
      </c>
      <c r="AZ22" s="1994">
        <v>345723524</v>
      </c>
      <c r="BA22" s="1997">
        <f t="shared" si="34"/>
        <v>0.12271174087071958</v>
      </c>
      <c r="BC22" s="1990">
        <v>45887150.830000006</v>
      </c>
      <c r="BD22" s="1994">
        <v>308858000</v>
      </c>
      <c r="BE22" s="1997">
        <f t="shared" si="35"/>
        <v>0.14857038130791497</v>
      </c>
    </row>
    <row r="23" spans="1:57">
      <c r="A23" s="1874" t="s">
        <v>85</v>
      </c>
      <c r="C23" s="1990"/>
      <c r="D23" s="1994">
        <v>453851784</v>
      </c>
      <c r="E23" s="1997"/>
      <c r="G23" s="1990"/>
      <c r="H23" s="1994">
        <v>440963061</v>
      </c>
      <c r="I23" s="1997"/>
      <c r="K23" s="1990"/>
      <c r="L23" s="1994">
        <v>447812594.70999998</v>
      </c>
      <c r="M23" s="1997">
        <f t="shared" si="36"/>
        <v>0</v>
      </c>
      <c r="O23" s="1990"/>
      <c r="P23" s="1994">
        <v>447813</v>
      </c>
      <c r="Q23" s="1997">
        <f t="shared" si="27"/>
        <v>0</v>
      </c>
      <c r="S23" s="1990"/>
      <c r="T23" s="1994">
        <v>404206.7</v>
      </c>
      <c r="U23" s="1997">
        <f t="shared" si="28"/>
        <v>0</v>
      </c>
      <c r="W23" s="1990"/>
      <c r="X23" s="1994">
        <v>409716132</v>
      </c>
      <c r="Y23" s="1997">
        <f t="shared" si="9"/>
        <v>0</v>
      </c>
      <c r="AA23" s="1990"/>
      <c r="AB23" s="1994">
        <v>339123114</v>
      </c>
      <c r="AC23" s="1997">
        <f t="shared" si="29"/>
        <v>0</v>
      </c>
      <c r="AE23" s="1990"/>
      <c r="AF23" s="1994">
        <v>350048683</v>
      </c>
      <c r="AG23" s="1997">
        <f t="shared" si="10"/>
        <v>0</v>
      </c>
      <c r="AI23" s="1990"/>
      <c r="AJ23" s="1994">
        <v>32359000</v>
      </c>
      <c r="AK23" s="1997">
        <f t="shared" si="30"/>
        <v>0</v>
      </c>
      <c r="AM23" s="1990">
        <v>440000</v>
      </c>
      <c r="AN23" s="1994">
        <v>34512000</v>
      </c>
      <c r="AO23" s="1997">
        <f t="shared" si="31"/>
        <v>1.2749188687992583E-2</v>
      </c>
      <c r="AQ23" s="1990">
        <v>377500</v>
      </c>
      <c r="AR23" s="1994">
        <v>289900171.15999997</v>
      </c>
      <c r="AS23" s="1997">
        <f t="shared" si="32"/>
        <v>1.3021723943434738E-3</v>
      </c>
      <c r="AU23" s="1990">
        <v>509110</v>
      </c>
      <c r="AV23" s="1994">
        <v>31630232</v>
      </c>
      <c r="AW23" s="1997">
        <f t="shared" si="33"/>
        <v>1.6095677072491911E-2</v>
      </c>
      <c r="AY23" s="1990">
        <v>67045.45</v>
      </c>
      <c r="AZ23" s="1994">
        <v>57594185</v>
      </c>
      <c r="BA23" s="1997">
        <f t="shared" si="34"/>
        <v>1.1641010286021062E-3</v>
      </c>
      <c r="BC23" s="1990">
        <v>300000</v>
      </c>
      <c r="BD23" s="1994">
        <f>272057000-BD24</f>
        <v>25563000</v>
      </c>
      <c r="BE23" s="1997">
        <f t="shared" si="35"/>
        <v>1.1735711770918906E-2</v>
      </c>
    </row>
    <row r="24" spans="1:57">
      <c r="A24" s="1874" t="s">
        <v>86</v>
      </c>
      <c r="C24" s="1990"/>
      <c r="D24" s="1994">
        <v>96192403</v>
      </c>
      <c r="E24" s="1997"/>
      <c r="G24" s="1990"/>
      <c r="H24" s="1994">
        <v>46511081</v>
      </c>
      <c r="I24" s="1997"/>
      <c r="K24" s="1990"/>
      <c r="L24" s="1994">
        <v>39592660.25</v>
      </c>
      <c r="M24" s="1997">
        <f t="shared" si="36"/>
        <v>0</v>
      </c>
      <c r="O24" s="1990"/>
      <c r="P24" s="1994">
        <v>39593</v>
      </c>
      <c r="Q24" s="1997">
        <f t="shared" si="27"/>
        <v>0</v>
      </c>
      <c r="S24" s="1990"/>
      <c r="T24" s="1994">
        <v>45544.7</v>
      </c>
      <c r="U24" s="1997">
        <f t="shared" si="28"/>
        <v>0</v>
      </c>
      <c r="W24" s="1990"/>
      <c r="X24" s="1994">
        <v>34225698</v>
      </c>
      <c r="Y24" s="1997">
        <f t="shared" si="9"/>
        <v>0</v>
      </c>
      <c r="AA24" s="1990"/>
      <c r="AB24" s="1994">
        <v>33750486</v>
      </c>
      <c r="AC24" s="1997">
        <f t="shared" si="29"/>
        <v>0</v>
      </c>
      <c r="AE24" s="1990"/>
      <c r="AF24" s="1994">
        <v>35592622</v>
      </c>
      <c r="AG24" s="1997">
        <f t="shared" si="10"/>
        <v>0</v>
      </c>
      <c r="AI24" s="1990"/>
      <c r="AJ24" s="1994">
        <v>328671000</v>
      </c>
      <c r="AK24" s="1997">
        <f t="shared" si="30"/>
        <v>0</v>
      </c>
      <c r="AM24" s="1990"/>
      <c r="AN24" s="1994">
        <v>321547000</v>
      </c>
      <c r="AO24" s="1997">
        <f t="shared" si="31"/>
        <v>0</v>
      </c>
      <c r="AQ24" s="1990"/>
      <c r="AR24" s="1994">
        <v>31564662</v>
      </c>
      <c r="AS24" s="1997">
        <f t="shared" si="32"/>
        <v>0</v>
      </c>
      <c r="AU24" s="1990">
        <v>0</v>
      </c>
      <c r="AV24" s="1994">
        <v>263933131</v>
      </c>
      <c r="AW24" s="1997">
        <f t="shared" si="33"/>
        <v>0</v>
      </c>
      <c r="AY24" s="1990">
        <v>0</v>
      </c>
      <c r="AZ24" s="1994">
        <v>338406525</v>
      </c>
      <c r="BA24" s="1997">
        <f t="shared" si="34"/>
        <v>0</v>
      </c>
      <c r="BC24" s="1990">
        <v>0</v>
      </c>
      <c r="BD24" s="1994">
        <v>246494000</v>
      </c>
      <c r="BE24" s="1997">
        <f t="shared" si="35"/>
        <v>0</v>
      </c>
    </row>
    <row r="25" spans="1:57">
      <c r="A25" s="1943" t="s">
        <v>25</v>
      </c>
      <c r="C25" s="1991">
        <f>SUM(C20:C24)</f>
        <v>401000</v>
      </c>
      <c r="D25" s="1995">
        <v>2145956780</v>
      </c>
      <c r="E25" s="1998">
        <f>+C25/D25</f>
        <v>1.8686303644941069E-4</v>
      </c>
      <c r="G25" s="1991">
        <v>8022120.5700000003</v>
      </c>
      <c r="H25" s="1995">
        <v>2030514104</v>
      </c>
      <c r="I25" s="1998">
        <f>+G25/H25</f>
        <v>3.9507829835788233E-3</v>
      </c>
      <c r="K25" s="1991">
        <f>SUM(K20:K24)</f>
        <v>33814566.780000001</v>
      </c>
      <c r="L25" s="1995">
        <f>SUM(L20:L24)</f>
        <v>1965738981.9000001</v>
      </c>
      <c r="M25" s="1998">
        <f>+K25/L25</f>
        <v>1.7201961751461159E-2</v>
      </c>
      <c r="O25" s="1991">
        <f>SUM(O20:O24)</f>
        <v>26455.92179</v>
      </c>
      <c r="P25" s="1995">
        <f>SUM(P20:P24)</f>
        <v>1965740</v>
      </c>
      <c r="Q25" s="1998">
        <f t="shared" si="27"/>
        <v>1.3458505087142756E-2</v>
      </c>
      <c r="S25" s="1991">
        <f>SUM(S20:S24)</f>
        <v>53650.63248</v>
      </c>
      <c r="T25" s="1995">
        <v>1912592.4</v>
      </c>
      <c r="U25" s="1998">
        <f t="shared" si="28"/>
        <v>2.8051263029174434E-2</v>
      </c>
      <c r="W25" s="1991">
        <v>48237651.519999996</v>
      </c>
      <c r="X25" s="1995">
        <v>1834914671</v>
      </c>
      <c r="Y25" s="1998">
        <f t="shared" si="9"/>
        <v>2.628877096160075E-2</v>
      </c>
      <c r="AA25" s="1991">
        <f>SUM(AA20:AA24)</f>
        <v>43084746.600000001</v>
      </c>
      <c r="AB25" s="1995">
        <f>SUM(AB20:AB24)</f>
        <v>1742806520</v>
      </c>
      <c r="AC25" s="1998">
        <f t="shared" si="29"/>
        <v>2.4721474303412636E-2</v>
      </c>
      <c r="AE25" s="1991">
        <f>SUM(AE20:AE24)</f>
        <v>110864274.96000001</v>
      </c>
      <c r="AF25" s="1995">
        <f>SUM(AF20:AF24)</f>
        <v>1755618857</v>
      </c>
      <c r="AG25" s="1998">
        <f t="shared" si="10"/>
        <v>6.3148259383272287E-2</v>
      </c>
      <c r="AI25" s="1991">
        <f>SUM(AI20:AI24)</f>
        <v>159627221.08999997</v>
      </c>
      <c r="AJ25" s="1995">
        <f>SUM(AJ20:AJ24)</f>
        <v>1617841000</v>
      </c>
      <c r="AK25" s="1998">
        <f t="shared" si="30"/>
        <v>9.8666816510398714E-2</v>
      </c>
      <c r="AM25" s="1991">
        <f>SUM(AM20:AM24)</f>
        <v>135676230.46000001</v>
      </c>
      <c r="AN25" s="1995">
        <f>SUM(AN20:AN24)</f>
        <v>1563389000</v>
      </c>
      <c r="AO25" s="1998">
        <f t="shared" si="31"/>
        <v>8.6783411204760949E-2</v>
      </c>
      <c r="AQ25" s="1991">
        <v>53589956.690000005</v>
      </c>
      <c r="AR25" s="1995">
        <v>1471442259.0700002</v>
      </c>
      <c r="AS25" s="1998">
        <f t="shared" si="32"/>
        <v>3.6420020126287943E-2</v>
      </c>
      <c r="AU25" s="1991">
        <f>+AU20+AU21+AU22+AU23+AU24</f>
        <v>100795338.99000001</v>
      </c>
      <c r="AV25" s="1995">
        <f>+AV20+AV21+AV22+AV23+AV24</f>
        <v>1306942824</v>
      </c>
      <c r="AW25" s="1998">
        <f t="shared" si="33"/>
        <v>7.712299049281135E-2</v>
      </c>
      <c r="AY25" s="1991">
        <f>+AY20+AY21+AY22+AY23+AY24</f>
        <v>75245389.150000006</v>
      </c>
      <c r="AZ25" s="1995">
        <f>+AZ20+AZ21+AZ22+AZ23+AZ24</f>
        <v>1331858547</v>
      </c>
      <c r="BA25" s="1998">
        <f t="shared" si="34"/>
        <v>5.6496532097563668E-2</v>
      </c>
      <c r="BC25" s="1991">
        <f>+BC20+BC21+BC22+BC23+BC24</f>
        <v>110869399.89000002</v>
      </c>
      <c r="BD25" s="1995">
        <f>+BD20+BD21+BD22+BD23+BD24</f>
        <v>1124614000</v>
      </c>
      <c r="BE25" s="1998">
        <f t="shared" si="35"/>
        <v>9.8584403084080424E-2</v>
      </c>
    </row>
    <row r="26" spans="1:57">
      <c r="A26" s="2136"/>
      <c r="C26" s="2"/>
      <c r="D26" s="2"/>
      <c r="E26" s="1999"/>
      <c r="G26" s="2"/>
      <c r="H26" s="2"/>
      <c r="I26" s="1999"/>
      <c r="K26" s="2"/>
      <c r="L26" s="2"/>
      <c r="M26" s="1999"/>
      <c r="O26" s="2"/>
      <c r="P26" s="2"/>
      <c r="Q26" s="1999"/>
      <c r="S26" s="2"/>
      <c r="T26" s="2"/>
      <c r="U26" s="1999"/>
      <c r="W26" s="2"/>
      <c r="X26" s="2"/>
      <c r="Y26" s="1999"/>
      <c r="AA26" s="2"/>
      <c r="AB26" s="2"/>
      <c r="AC26" s="1999"/>
      <c r="AE26" s="2"/>
      <c r="AF26" s="2"/>
      <c r="AG26" s="1999"/>
      <c r="AI26" s="2"/>
      <c r="AJ26" s="2"/>
      <c r="AK26" s="1999"/>
      <c r="AM26" s="2"/>
      <c r="AN26" s="2"/>
      <c r="AO26" s="1999"/>
      <c r="AQ26" s="2"/>
      <c r="AR26" s="2"/>
      <c r="AS26" s="1999"/>
      <c r="AU26" s="2"/>
      <c r="AV26" s="2"/>
      <c r="AW26" s="1999"/>
      <c r="AY26" s="2"/>
      <c r="AZ26" s="2"/>
      <c r="BA26" s="1999"/>
      <c r="BC26" s="2"/>
      <c r="BD26" s="2"/>
      <c r="BE26" s="1999"/>
    </row>
    <row r="27" spans="1:57">
      <c r="A27" s="1942" t="s">
        <v>4</v>
      </c>
      <c r="C27" s="1989">
        <v>2000000</v>
      </c>
      <c r="D27" s="1993">
        <v>639506967</v>
      </c>
      <c r="E27" s="1997">
        <f t="shared" ref="E27:E28" si="37">+C27/D27</f>
        <v>3.1274092436900693E-3</v>
      </c>
      <c r="G27" s="1989">
        <v>2908159</v>
      </c>
      <c r="H27" s="1993">
        <v>623104169</v>
      </c>
      <c r="I27" s="1997">
        <f t="shared" ref="I27:I28" si="38">+G27/H27</f>
        <v>4.6672115910686516E-3</v>
      </c>
      <c r="K27" s="1989">
        <v>1689879.04</v>
      </c>
      <c r="L27" s="1993">
        <v>595132916.50999999</v>
      </c>
      <c r="M27" s="1997">
        <f>+K27/L27</f>
        <v>2.8394985273371364E-3</v>
      </c>
      <c r="O27" s="1989">
        <v>3135.3726799999999</v>
      </c>
      <c r="P27" s="1993">
        <v>595133</v>
      </c>
      <c r="Q27" s="1997">
        <f t="shared" ref="Q27:Q32" si="39">O27/P27</f>
        <v>5.2683562833853942E-3</v>
      </c>
      <c r="S27" s="1989">
        <v>3040.6612799999998</v>
      </c>
      <c r="T27" s="1993">
        <v>599405</v>
      </c>
      <c r="U27" s="1997">
        <f t="shared" ref="U27:U32" si="40">S27/T27</f>
        <v>5.0727993259982816E-3</v>
      </c>
      <c r="W27" s="1989">
        <v>4106406</v>
      </c>
      <c r="X27" s="1993">
        <v>562637890</v>
      </c>
      <c r="Y27" s="1997">
        <f t="shared" si="9"/>
        <v>7.2984881981553E-3</v>
      </c>
      <c r="AA27" s="1989">
        <v>6010706</v>
      </c>
      <c r="AB27" s="1993">
        <v>558729938</v>
      </c>
      <c r="AC27" s="1997">
        <f t="shared" ref="AC27:AC32" si="41">AA27/AB27</f>
        <v>1.0757801920397542E-2</v>
      </c>
      <c r="AE27" s="1989">
        <v>19851139.899999999</v>
      </c>
      <c r="AF27" s="1993">
        <v>553816926</v>
      </c>
      <c r="AG27" s="1997">
        <f t="shared" si="10"/>
        <v>3.5844227520052355E-2</v>
      </c>
      <c r="AI27" s="1989">
        <v>14119652.09</v>
      </c>
      <c r="AJ27" s="1993">
        <v>546832000</v>
      </c>
      <c r="AK27" s="1997">
        <f t="shared" ref="AK27:AK32" si="42">+AI27/AJ27</f>
        <v>2.5820822647540743E-2</v>
      </c>
      <c r="AM27" s="1989">
        <v>12830360.58</v>
      </c>
      <c r="AN27" s="1993">
        <v>520453000</v>
      </c>
      <c r="AO27" s="1997">
        <f t="shared" ref="AO27:AO32" si="43">+AM27/AN27</f>
        <v>2.4652294405066357E-2</v>
      </c>
      <c r="AQ27" s="1989">
        <v>4504231.3099999996</v>
      </c>
      <c r="AR27" s="1993">
        <v>460991329</v>
      </c>
      <c r="AS27" s="1997">
        <f t="shared" ref="AS27:AS32" si="44">+AQ27/AR27</f>
        <v>9.7707506121009913E-3</v>
      </c>
      <c r="AU27" s="1989">
        <v>10135065.76</v>
      </c>
      <c r="AV27" s="1993">
        <v>442654842</v>
      </c>
      <c r="AW27" s="1997">
        <f t="shared" ref="AW27:AW32" si="45">+AU27/AV27</f>
        <v>2.2896091487913738E-2</v>
      </c>
      <c r="AY27" s="1989">
        <v>20588483.23</v>
      </c>
      <c r="AZ27" s="1993">
        <v>389864073</v>
      </c>
      <c r="BA27" s="1997">
        <f t="shared" ref="BA27:BA32" si="46">+AY27/AZ27</f>
        <v>5.2809388337765613E-2</v>
      </c>
      <c r="BC27" s="1989">
        <v>10245946.619999999</v>
      </c>
      <c r="BD27" s="1993">
        <v>375372000</v>
      </c>
      <c r="BE27" s="1997">
        <f t="shared" ref="BE27:BE32" si="47">+BC27/BD27</f>
        <v>2.7295447236341547E-2</v>
      </c>
    </row>
    <row r="28" spans="1:57">
      <c r="A28" s="1874" t="s">
        <v>16</v>
      </c>
      <c r="C28" s="1990">
        <v>2953920.25</v>
      </c>
      <c r="D28" s="1994">
        <v>709093554</v>
      </c>
      <c r="E28" s="1997">
        <f t="shared" si="37"/>
        <v>4.1657694296287455E-3</v>
      </c>
      <c r="G28" s="1990">
        <v>8437428.7400000002</v>
      </c>
      <c r="H28" s="1994">
        <v>683898325</v>
      </c>
      <c r="I28" s="1997">
        <f t="shared" si="38"/>
        <v>1.2337256038754007E-2</v>
      </c>
      <c r="K28" s="1990">
        <v>2423428.7400000002</v>
      </c>
      <c r="L28" s="1994">
        <v>674350238.03999996</v>
      </c>
      <c r="M28" s="1997">
        <f>+K28/L28</f>
        <v>3.5937241559277858E-3</v>
      </c>
      <c r="O28" s="1990">
        <v>13288.38335</v>
      </c>
      <c r="P28" s="1994">
        <v>674350</v>
      </c>
      <c r="Q28" s="1997">
        <f t="shared" si="39"/>
        <v>1.9705469489137688E-2</v>
      </c>
      <c r="S28" s="1990">
        <v>15767.90919</v>
      </c>
      <c r="T28" s="1994">
        <v>658800</v>
      </c>
      <c r="U28" s="1997">
        <f t="shared" si="40"/>
        <v>2.3934288387978144E-2</v>
      </c>
      <c r="W28" s="1990">
        <v>11395372.800000001</v>
      </c>
      <c r="X28" s="1994">
        <v>618587494</v>
      </c>
      <c r="Y28" s="1997">
        <f t="shared" si="9"/>
        <v>1.8421602296408535E-2</v>
      </c>
      <c r="AA28" s="1990">
        <v>13474191.359999999</v>
      </c>
      <c r="AB28" s="1994">
        <v>608714446</v>
      </c>
      <c r="AC28" s="1997">
        <f t="shared" si="41"/>
        <v>2.213548807415686E-2</v>
      </c>
      <c r="AE28" s="1990">
        <v>17106534.939999998</v>
      </c>
      <c r="AF28" s="1994">
        <v>606955787</v>
      </c>
      <c r="AG28" s="1997">
        <f t="shared" si="10"/>
        <v>2.8184153288252606E-2</v>
      </c>
      <c r="AI28" s="1990">
        <v>8966223.6300000008</v>
      </c>
      <c r="AJ28" s="1994">
        <v>514174000</v>
      </c>
      <c r="AK28" s="1997">
        <f t="shared" si="42"/>
        <v>1.7438111670368399E-2</v>
      </c>
      <c r="AM28" s="1990">
        <v>10266345.57</v>
      </c>
      <c r="AN28" s="1994">
        <v>477736000</v>
      </c>
      <c r="AO28" s="1997">
        <f t="shared" si="43"/>
        <v>2.1489579119011337E-2</v>
      </c>
      <c r="AQ28" s="1990">
        <v>8021240.6500000004</v>
      </c>
      <c r="AR28" s="1994">
        <v>497658110.60000008</v>
      </c>
      <c r="AS28" s="1997">
        <f t="shared" si="44"/>
        <v>1.6117974326449167E-2</v>
      </c>
      <c r="AU28" s="1990">
        <v>10780507.57</v>
      </c>
      <c r="AV28" s="1994">
        <v>412509987</v>
      </c>
      <c r="AW28" s="1997">
        <f t="shared" si="45"/>
        <v>2.6133931079831044E-2</v>
      </c>
      <c r="AY28" s="1990">
        <v>16493722.030000001</v>
      </c>
      <c r="AZ28" s="1994">
        <v>351094246</v>
      </c>
      <c r="BA28" s="1997">
        <f t="shared" si="46"/>
        <v>4.6978047113879505E-2</v>
      </c>
      <c r="BC28" s="1990">
        <v>12491729.550000001</v>
      </c>
      <c r="BD28" s="1994">
        <v>325848000</v>
      </c>
      <c r="BE28" s="1997">
        <f t="shared" si="47"/>
        <v>3.8336063287176848E-2</v>
      </c>
    </row>
    <row r="29" spans="1:57">
      <c r="A29" s="1874" t="s">
        <v>41</v>
      </c>
      <c r="C29" s="1990"/>
      <c r="D29" s="1994">
        <v>294888396</v>
      </c>
      <c r="E29" s="1997"/>
      <c r="G29" s="1990"/>
      <c r="H29" s="1994">
        <v>284145925</v>
      </c>
      <c r="I29" s="1997"/>
      <c r="K29" s="1990"/>
      <c r="L29" s="1994">
        <v>262489606.49000001</v>
      </c>
      <c r="M29" s="1997">
        <f t="shared" ref="M29:M31" si="48">+K29/L29</f>
        <v>0</v>
      </c>
      <c r="O29" s="1990"/>
      <c r="P29" s="1994">
        <v>262490</v>
      </c>
      <c r="Q29" s="1997">
        <f t="shared" si="39"/>
        <v>0</v>
      </c>
      <c r="S29" s="1990"/>
      <c r="T29" s="1994">
        <v>250636</v>
      </c>
      <c r="U29" s="1997">
        <f t="shared" si="40"/>
        <v>0</v>
      </c>
      <c r="W29" s="1990">
        <v>607806</v>
      </c>
      <c r="X29" s="1994">
        <v>246271656</v>
      </c>
      <c r="Y29" s="1997">
        <f t="shared" si="9"/>
        <v>2.4680306693515715E-3</v>
      </c>
      <c r="AA29" s="1990">
        <v>302000</v>
      </c>
      <c r="AB29" s="1994">
        <v>243080407</v>
      </c>
      <c r="AC29" s="1997">
        <f t="shared" si="41"/>
        <v>1.2423872566578351E-3</v>
      </c>
      <c r="AE29" s="1990">
        <v>4608676</v>
      </c>
      <c r="AF29" s="1994">
        <v>245782456</v>
      </c>
      <c r="AG29" s="1997">
        <f t="shared" si="10"/>
        <v>1.8751037299423845E-2</v>
      </c>
      <c r="AI29" s="1990">
        <v>217000</v>
      </c>
      <c r="AJ29" s="1994">
        <v>240290000</v>
      </c>
      <c r="AK29" s="1997">
        <f t="shared" si="42"/>
        <v>9.030754504973157E-4</v>
      </c>
      <c r="AM29" s="1990">
        <v>652561</v>
      </c>
      <c r="AN29" s="1994">
        <v>224645000</v>
      </c>
      <c r="AO29" s="1997">
        <f t="shared" si="43"/>
        <v>2.9048543257139043E-3</v>
      </c>
      <c r="AQ29" s="1990">
        <v>550000</v>
      </c>
      <c r="AR29" s="1994">
        <v>207508158</v>
      </c>
      <c r="AS29" s="1997">
        <f t="shared" si="44"/>
        <v>2.6504982035453276E-3</v>
      </c>
      <c r="AU29" s="1990">
        <v>5926316.5099999998</v>
      </c>
      <c r="AV29" s="1994">
        <v>188983547</v>
      </c>
      <c r="AW29" s="1997">
        <f t="shared" si="45"/>
        <v>3.1358901894247969E-2</v>
      </c>
      <c r="AY29" s="1990">
        <v>16841569.739999998</v>
      </c>
      <c r="AZ29" s="1994">
        <v>167096360</v>
      </c>
      <c r="BA29" s="1997">
        <f t="shared" si="46"/>
        <v>0.10078956681043201</v>
      </c>
      <c r="BC29" s="1990">
        <v>15194169.84</v>
      </c>
      <c r="BD29" s="1994">
        <v>160595000</v>
      </c>
      <c r="BE29" s="1997">
        <f t="shared" si="47"/>
        <v>9.4611724150814161E-2</v>
      </c>
    </row>
    <row r="30" spans="1:57">
      <c r="A30" s="1874" t="s">
        <v>85</v>
      </c>
      <c r="C30" s="1990"/>
      <c r="D30" s="1994">
        <v>478384469</v>
      </c>
      <c r="E30" s="1997"/>
      <c r="G30" s="1990"/>
      <c r="H30" s="1994">
        <v>425090411</v>
      </c>
      <c r="I30" s="1997"/>
      <c r="K30" s="1990"/>
      <c r="L30" s="1994">
        <v>92278510.469999999</v>
      </c>
      <c r="M30" s="1997">
        <f t="shared" si="48"/>
        <v>0</v>
      </c>
      <c r="O30" s="1990"/>
      <c r="P30" s="1994">
        <v>436936</v>
      </c>
      <c r="Q30" s="1997">
        <f t="shared" si="39"/>
        <v>0</v>
      </c>
      <c r="S30" s="1990"/>
      <c r="T30" s="1994">
        <v>394548</v>
      </c>
      <c r="U30" s="1997">
        <f t="shared" si="40"/>
        <v>0</v>
      </c>
      <c r="W30" s="1990"/>
      <c r="X30" s="1994">
        <v>396281531</v>
      </c>
      <c r="Y30" s="1997">
        <f t="shared" si="9"/>
        <v>0</v>
      </c>
      <c r="AA30" s="1990"/>
      <c r="AB30" s="1994">
        <v>324284875</v>
      </c>
      <c r="AC30" s="1997">
        <f t="shared" si="41"/>
        <v>0</v>
      </c>
      <c r="AE30" s="1990"/>
      <c r="AF30" s="1994">
        <v>346827534</v>
      </c>
      <c r="AG30" s="1997">
        <f t="shared" si="10"/>
        <v>0</v>
      </c>
      <c r="AI30" s="1990"/>
      <c r="AJ30" s="1994">
        <v>73909000</v>
      </c>
      <c r="AK30" s="1997">
        <f t="shared" si="42"/>
        <v>0</v>
      </c>
      <c r="AM30" s="1990">
        <v>1114000</v>
      </c>
      <c r="AN30" s="1994">
        <v>84163000</v>
      </c>
      <c r="AO30" s="1997">
        <f t="shared" si="43"/>
        <v>1.3236220191770731E-2</v>
      </c>
      <c r="AQ30" s="1990"/>
      <c r="AR30" s="1994">
        <v>282451476</v>
      </c>
      <c r="AS30" s="1997">
        <f t="shared" si="44"/>
        <v>0</v>
      </c>
      <c r="AU30" s="1990">
        <v>0</v>
      </c>
      <c r="AV30" s="1994">
        <v>31659012</v>
      </c>
      <c r="AW30" s="1997">
        <f t="shared" si="45"/>
        <v>0</v>
      </c>
      <c r="AY30" s="1990">
        <v>0</v>
      </c>
      <c r="AZ30" s="1994">
        <v>86647214</v>
      </c>
      <c r="BA30" s="1997">
        <f t="shared" si="46"/>
        <v>0</v>
      </c>
      <c r="BC30" s="1990">
        <v>0</v>
      </c>
      <c r="BD30" s="1994">
        <f>295971000-BD31</f>
        <v>24317000</v>
      </c>
      <c r="BE30" s="1997">
        <f t="shared" si="47"/>
        <v>0</v>
      </c>
    </row>
    <row r="31" spans="1:57">
      <c r="A31" s="1874" t="s">
        <v>86</v>
      </c>
      <c r="C31" s="1990"/>
      <c r="D31" s="1994">
        <v>112527499</v>
      </c>
      <c r="E31" s="1997"/>
      <c r="G31" s="1990"/>
      <c r="H31" s="1994">
        <v>105018786</v>
      </c>
      <c r="I31" s="1997"/>
      <c r="K31" s="1990"/>
      <c r="L31" s="1994">
        <v>436936245.36000001</v>
      </c>
      <c r="M31" s="1997">
        <f t="shared" si="48"/>
        <v>0</v>
      </c>
      <c r="O31" s="1990"/>
      <c r="P31" s="1994">
        <v>92279</v>
      </c>
      <c r="Q31" s="1997">
        <f t="shared" si="39"/>
        <v>0</v>
      </c>
      <c r="S31" s="1990">
        <v>57</v>
      </c>
      <c r="T31" s="1994">
        <v>96939</v>
      </c>
      <c r="U31" s="1997">
        <f t="shared" si="40"/>
        <v>5.8799863831894279E-4</v>
      </c>
      <c r="W31" s="1990">
        <v>100000</v>
      </c>
      <c r="X31" s="1994">
        <v>86070748</v>
      </c>
      <c r="Y31" s="1997">
        <f t="shared" si="9"/>
        <v>1.1618349128324063E-3</v>
      </c>
      <c r="AA31" s="1990"/>
      <c r="AB31" s="1994">
        <v>84036687</v>
      </c>
      <c r="AC31" s="1997">
        <f t="shared" si="41"/>
        <v>0</v>
      </c>
      <c r="AE31" s="1990"/>
      <c r="AF31" s="1994">
        <v>83744514</v>
      </c>
      <c r="AG31" s="1997">
        <f t="shared" si="10"/>
        <v>0</v>
      </c>
      <c r="AI31" s="1990"/>
      <c r="AJ31" s="1994">
        <v>314849000</v>
      </c>
      <c r="AK31" s="1997">
        <f t="shared" si="42"/>
        <v>0</v>
      </c>
      <c r="AM31" s="1990"/>
      <c r="AN31" s="1994">
        <v>309613000</v>
      </c>
      <c r="AO31" s="1997">
        <f t="shared" si="43"/>
        <v>0</v>
      </c>
      <c r="AQ31" s="1990"/>
      <c r="AR31" s="1994">
        <v>83052794.589999974</v>
      </c>
      <c r="AS31" s="1997">
        <f t="shared" si="44"/>
        <v>0</v>
      </c>
      <c r="AU31" s="1990">
        <v>0</v>
      </c>
      <c r="AV31" s="1994">
        <v>306372516</v>
      </c>
      <c r="AW31" s="1997">
        <f t="shared" si="45"/>
        <v>0</v>
      </c>
      <c r="AY31" s="1990">
        <v>0</v>
      </c>
      <c r="AZ31" s="1994">
        <v>358761827</v>
      </c>
      <c r="BA31" s="1997">
        <f t="shared" si="46"/>
        <v>0</v>
      </c>
      <c r="BC31" s="1990">
        <v>0</v>
      </c>
      <c r="BD31" s="1994">
        <v>271654000</v>
      </c>
      <c r="BE31" s="1997">
        <f t="shared" si="47"/>
        <v>0</v>
      </c>
    </row>
    <row r="32" spans="1:57">
      <c r="A32" s="1943" t="s">
        <v>240</v>
      </c>
      <c r="C32" s="1991">
        <f>SUM(C27:C31)</f>
        <v>4953920.25</v>
      </c>
      <c r="D32" s="1995">
        <v>2234400885</v>
      </c>
      <c r="E32" s="1998">
        <f>+C32/D32</f>
        <v>2.2171134478404038E-3</v>
      </c>
      <c r="G32" s="1991">
        <v>11345587.74</v>
      </c>
      <c r="H32" s="1995">
        <v>2121257616</v>
      </c>
      <c r="I32" s="1998">
        <f>+G32/H32</f>
        <v>5.3485195076843507E-3</v>
      </c>
      <c r="K32" s="1991">
        <f>SUM(K27:K31)</f>
        <v>4113307.7800000003</v>
      </c>
      <c r="L32" s="1995">
        <f>SUM(L27:L31)</f>
        <v>2061187516.8699999</v>
      </c>
      <c r="M32" s="1998">
        <f>+K32/L32</f>
        <v>1.9956009564070288E-3</v>
      </c>
      <c r="O32" s="1991">
        <f>SUM(O27:O31)</f>
        <v>16423.75603</v>
      </c>
      <c r="P32" s="1995">
        <f>SUM(P27:P31)</f>
        <v>2061188</v>
      </c>
      <c r="Q32" s="1998">
        <f t="shared" si="39"/>
        <v>7.9681019053089771E-3</v>
      </c>
      <c r="S32" s="1991">
        <f>SUM(S27:S31)</f>
        <v>18865.570469999999</v>
      </c>
      <c r="T32" s="1995">
        <v>2000328</v>
      </c>
      <c r="U32" s="1998">
        <f t="shared" si="40"/>
        <v>9.4312385118840505E-3</v>
      </c>
      <c r="W32" s="1991">
        <v>16209584.800000001</v>
      </c>
      <c r="X32" s="1995">
        <v>1909849319</v>
      </c>
      <c r="Y32" s="1998">
        <f t="shared" si="9"/>
        <v>8.4873631855351631E-3</v>
      </c>
      <c r="AA32" s="1991">
        <f>SUM(AA27:AA31)</f>
        <v>19786897.359999999</v>
      </c>
      <c r="AB32" s="1995">
        <f>SUM(AB27:AB31)</f>
        <v>1818846353</v>
      </c>
      <c r="AC32" s="1998">
        <f t="shared" si="41"/>
        <v>1.0878817403879963E-2</v>
      </c>
      <c r="AE32" s="1991">
        <f>SUM(AE27:AE31)</f>
        <v>41566350.839999996</v>
      </c>
      <c r="AF32" s="1995">
        <f>SUM(AF27:AF31)</f>
        <v>1837127217</v>
      </c>
      <c r="AG32" s="1998">
        <f t="shared" si="10"/>
        <v>2.2625733512280765E-2</v>
      </c>
      <c r="AI32" s="1991">
        <f>SUM(AI27:AI31)</f>
        <v>23302875.719999999</v>
      </c>
      <c r="AJ32" s="1995">
        <f>SUM(AJ27:AJ31)</f>
        <v>1690054000</v>
      </c>
      <c r="AK32" s="1998">
        <f t="shared" si="42"/>
        <v>1.3788243286900891E-2</v>
      </c>
      <c r="AM32" s="1991">
        <f>SUM(AM27:AM31)</f>
        <v>24863267.149999999</v>
      </c>
      <c r="AN32" s="1995">
        <f>SUM(AN27:AN31)</f>
        <v>1616610000</v>
      </c>
      <c r="AO32" s="1998">
        <f t="shared" si="43"/>
        <v>1.5379879593717716E-2</v>
      </c>
      <c r="AQ32" s="1991">
        <v>13075471.960000001</v>
      </c>
      <c r="AR32" s="1995">
        <v>1531661868.1900001</v>
      </c>
      <c r="AS32" s="1998">
        <f t="shared" si="44"/>
        <v>8.5367875453161123E-3</v>
      </c>
      <c r="AU32" s="1991">
        <f>+AU29+AU28+AU27+AU30+AU31</f>
        <v>26841889.84</v>
      </c>
      <c r="AV32" s="1995">
        <f>+AV29+AV28+AV27+AV30+AV31</f>
        <v>1382179904</v>
      </c>
      <c r="AW32" s="1998">
        <f t="shared" si="45"/>
        <v>1.9419968241702928E-2</v>
      </c>
      <c r="AY32" s="1991">
        <f>+AY29+AY28+AY27+AY30+AY31</f>
        <v>53923775</v>
      </c>
      <c r="AZ32" s="1995">
        <f>+AZ29+AZ28+AZ27+AZ30+AZ31</f>
        <v>1353463720</v>
      </c>
      <c r="BA32" s="1998">
        <f t="shared" si="46"/>
        <v>3.9841315436220187E-2</v>
      </c>
      <c r="BC32" s="1991">
        <f>+BC29+BC28+BC27+BC30+BC31</f>
        <v>37931846.009999998</v>
      </c>
      <c r="BD32" s="1995">
        <f>+BD29+BD28+BD27+BD30+BD31</f>
        <v>1157786000</v>
      </c>
      <c r="BE32" s="1998">
        <f t="shared" si="47"/>
        <v>3.2762398241125736E-2</v>
      </c>
    </row>
    <row r="33" spans="1:57">
      <c r="A33" s="2136"/>
      <c r="C33" s="2"/>
      <c r="D33" s="2"/>
      <c r="E33" s="1999"/>
      <c r="G33" s="2"/>
      <c r="H33" s="2"/>
      <c r="I33" s="1999"/>
      <c r="K33" s="2"/>
      <c r="L33" s="2"/>
      <c r="M33" s="1999"/>
      <c r="O33" s="2"/>
      <c r="P33" s="2"/>
      <c r="Q33" s="1999"/>
      <c r="S33" s="2"/>
      <c r="T33" s="2"/>
      <c r="U33" s="1999"/>
      <c r="W33" s="2"/>
      <c r="X33" s="2"/>
      <c r="Y33" s="1999"/>
      <c r="AA33" s="2"/>
      <c r="AB33" s="2"/>
      <c r="AC33" s="1999"/>
      <c r="AE33" s="2"/>
      <c r="AF33" s="2"/>
      <c r="AG33" s="1999"/>
      <c r="AI33" s="2"/>
      <c r="AJ33" s="2"/>
      <c r="AK33" s="1999"/>
      <c r="AM33" s="2"/>
      <c r="AN33" s="2"/>
      <c r="AO33" s="1999"/>
      <c r="AQ33" s="2"/>
      <c r="AR33" s="2"/>
      <c r="AS33" s="1999"/>
      <c r="AU33" s="2"/>
      <c r="AV33" s="2"/>
      <c r="AW33" s="1999"/>
      <c r="AY33" s="2"/>
      <c r="AZ33" s="2"/>
      <c r="BA33" s="1999"/>
      <c r="BC33" s="2"/>
      <c r="BD33" s="2"/>
      <c r="BE33" s="1999"/>
    </row>
    <row r="34" spans="1:57">
      <c r="A34" s="1942" t="s">
        <v>16</v>
      </c>
      <c r="C34" s="1989"/>
      <c r="D34" s="1993">
        <v>46132577</v>
      </c>
      <c r="E34" s="1997"/>
      <c r="G34" s="1989">
        <v>50000</v>
      </c>
      <c r="H34" s="1993">
        <v>46398988</v>
      </c>
      <c r="I34" s="1997"/>
      <c r="K34" s="1989"/>
      <c r="L34" s="1993">
        <v>38562758.520000003</v>
      </c>
      <c r="M34" s="1997">
        <f>+K34/L34</f>
        <v>0</v>
      </c>
      <c r="O34" s="1989">
        <v>100</v>
      </c>
      <c r="P34" s="1993">
        <v>38563</v>
      </c>
      <c r="Q34" s="1997">
        <f t="shared" ref="Q34:Q39" si="49">O34/P34</f>
        <v>2.5931592459092915E-3</v>
      </c>
      <c r="S34" s="1989">
        <v>732.822</v>
      </c>
      <c r="T34" s="1993">
        <v>30480</v>
      </c>
      <c r="U34" s="1997">
        <f t="shared" ref="U34:U39" si="50">S34/T34</f>
        <v>2.4042716535433072E-2</v>
      </c>
      <c r="W34" s="1989">
        <v>1004806</v>
      </c>
      <c r="X34" s="1993">
        <v>26905566</v>
      </c>
      <c r="Y34" s="1997">
        <f t="shared" si="9"/>
        <v>3.7345655542054011E-2</v>
      </c>
      <c r="AA34" s="1989">
        <v>1029998</v>
      </c>
      <c r="AB34" s="1993">
        <v>20585962</v>
      </c>
      <c r="AC34" s="1997">
        <f t="shared" ref="AC34:AC39" si="51">AA34/AB34</f>
        <v>5.0033998896918203E-2</v>
      </c>
      <c r="AE34" s="1989"/>
      <c r="AF34" s="1993">
        <v>20036016</v>
      </c>
      <c r="AG34" s="1997">
        <f t="shared" si="10"/>
        <v>0</v>
      </c>
      <c r="AI34" s="1989">
        <v>1117756.98</v>
      </c>
      <c r="AJ34" s="1993">
        <v>27818000</v>
      </c>
      <c r="AK34" s="1997">
        <f t="shared" ref="AK34:AK39" si="52">+AI34/AJ34</f>
        <v>4.0181069091954846E-2</v>
      </c>
      <c r="AM34" s="1989">
        <v>1714698</v>
      </c>
      <c r="AN34" s="1993">
        <v>24110000</v>
      </c>
      <c r="AO34" s="1997">
        <f t="shared" ref="AO34:AO39" si="53">+AM34/AN34</f>
        <v>7.1119784321858157E-2</v>
      </c>
      <c r="AQ34" s="1989">
        <v>923719.05</v>
      </c>
      <c r="AR34" s="1993">
        <v>16168745</v>
      </c>
      <c r="AS34" s="1997">
        <f t="shared" ref="AS34:AS39" si="54">+AQ34/AR34</f>
        <v>5.712991639116085E-2</v>
      </c>
      <c r="AU34" s="1989"/>
      <c r="AV34" s="1993"/>
      <c r="AW34" s="1997"/>
      <c r="AY34" s="1989"/>
      <c r="AZ34" s="1993"/>
      <c r="BA34" s="1997"/>
      <c r="BC34" s="1989"/>
      <c r="BD34" s="1993"/>
      <c r="BE34" s="1997"/>
    </row>
    <row r="35" spans="1:57">
      <c r="A35" s="1874" t="s">
        <v>41</v>
      </c>
      <c r="C35" s="1990">
        <v>200000</v>
      </c>
      <c r="D35" s="1994">
        <v>55579718</v>
      </c>
      <c r="E35" s="1997">
        <f t="shared" ref="E35:E36" si="55">+C35/D35</f>
        <v>3.5984349542759466E-3</v>
      </c>
      <c r="G35" s="1990">
        <v>750000</v>
      </c>
      <c r="H35" s="1994">
        <v>54271614</v>
      </c>
      <c r="I35" s="1997"/>
      <c r="K35" s="1990"/>
      <c r="L35" s="1994">
        <v>47004365.399999999</v>
      </c>
      <c r="M35" s="1997">
        <f>+K35/L35</f>
        <v>0</v>
      </c>
      <c r="O35" s="1990"/>
      <c r="P35" s="1994">
        <v>47004</v>
      </c>
      <c r="Q35" s="1997">
        <f t="shared" si="49"/>
        <v>0</v>
      </c>
      <c r="S35" s="1990">
        <v>1082.922</v>
      </c>
      <c r="T35" s="1994">
        <v>38663</v>
      </c>
      <c r="U35" s="1997">
        <f t="shared" si="50"/>
        <v>2.8009259498745571E-2</v>
      </c>
      <c r="W35" s="1990">
        <v>1547999.6</v>
      </c>
      <c r="X35" s="1994">
        <v>28169932</v>
      </c>
      <c r="Y35" s="1997">
        <f t="shared" si="9"/>
        <v>5.4952195127769568E-2</v>
      </c>
      <c r="AA35" s="1990"/>
      <c r="AB35" s="1994">
        <v>22855592</v>
      </c>
      <c r="AC35" s="1997">
        <f t="shared" si="51"/>
        <v>0</v>
      </c>
      <c r="AE35" s="1990">
        <v>1691640</v>
      </c>
      <c r="AF35" s="1994">
        <v>23359448</v>
      </c>
      <c r="AG35" s="1997">
        <f t="shared" si="10"/>
        <v>7.2417807133113757E-2</v>
      </c>
      <c r="AI35" s="1990"/>
      <c r="AJ35" s="1994">
        <v>20929000</v>
      </c>
      <c r="AK35" s="1997">
        <f t="shared" si="52"/>
        <v>0</v>
      </c>
      <c r="AM35" s="1990"/>
      <c r="AN35" s="1994">
        <v>19011000</v>
      </c>
      <c r="AO35" s="1997">
        <f t="shared" si="53"/>
        <v>0</v>
      </c>
      <c r="AQ35" s="1990"/>
      <c r="AR35" s="1994">
        <v>20886419.609999999</v>
      </c>
      <c r="AS35" s="1997">
        <f t="shared" si="54"/>
        <v>0</v>
      </c>
      <c r="AU35" s="1990"/>
      <c r="AV35" s="1994"/>
      <c r="AW35" s="1997"/>
      <c r="AY35" s="1990"/>
      <c r="AZ35" s="1994"/>
      <c r="BA35" s="1997"/>
      <c r="BC35" s="1990"/>
      <c r="BD35" s="1994"/>
      <c r="BE35" s="1997"/>
    </row>
    <row r="36" spans="1:57">
      <c r="A36" s="1874" t="s">
        <v>21</v>
      </c>
      <c r="C36" s="1990">
        <v>900000</v>
      </c>
      <c r="D36" s="1994">
        <v>50147450</v>
      </c>
      <c r="E36" s="1997">
        <f t="shared" si="55"/>
        <v>1.7947074078542378E-2</v>
      </c>
      <c r="G36" s="1990">
        <v>750000</v>
      </c>
      <c r="H36" s="1994">
        <v>50873079</v>
      </c>
      <c r="I36" s="1997">
        <f t="shared" ref="I36" si="56">+G36/H36</f>
        <v>1.4742571409919969E-2</v>
      </c>
      <c r="K36" s="1990">
        <v>262000</v>
      </c>
      <c r="L36" s="1994">
        <v>42319709.909999996</v>
      </c>
      <c r="M36" s="1997">
        <f t="shared" ref="M36:M38" si="57">+K36/L36</f>
        <v>6.1909687130934313E-3</v>
      </c>
      <c r="O36" s="1990">
        <v>1054</v>
      </c>
      <c r="P36" s="1994">
        <v>42320</v>
      </c>
      <c r="Q36" s="1997">
        <f t="shared" si="49"/>
        <v>2.4905482041587903E-2</v>
      </c>
      <c r="S36" s="1990"/>
      <c r="T36" s="1994">
        <v>34924</v>
      </c>
      <c r="U36" s="1997">
        <f t="shared" si="50"/>
        <v>0</v>
      </c>
      <c r="W36" s="1990">
        <v>1278056</v>
      </c>
      <c r="X36" s="1994">
        <v>31921138</v>
      </c>
      <c r="Y36" s="1997">
        <f t="shared" si="9"/>
        <v>4.0037920953820631E-2</v>
      </c>
      <c r="AA36" s="1990">
        <v>190000</v>
      </c>
      <c r="AB36" s="1994">
        <v>28912991</v>
      </c>
      <c r="AC36" s="1997">
        <f t="shared" si="51"/>
        <v>6.5714404988401233E-3</v>
      </c>
      <c r="AE36" s="1990">
        <v>4997570</v>
      </c>
      <c r="AF36" s="1994">
        <v>31269766</v>
      </c>
      <c r="AG36" s="1997">
        <f t="shared" si="10"/>
        <v>0.15982115120400964</v>
      </c>
      <c r="AI36" s="1990">
        <v>343995.8</v>
      </c>
      <c r="AJ36" s="1994">
        <v>22205000</v>
      </c>
      <c r="AK36" s="1997">
        <f t="shared" si="52"/>
        <v>1.549181715829768E-2</v>
      </c>
      <c r="AM36" s="1990">
        <v>914561</v>
      </c>
      <c r="AN36" s="1994">
        <v>18365000</v>
      </c>
      <c r="AO36" s="1997">
        <f t="shared" si="53"/>
        <v>4.9799128777566024E-2</v>
      </c>
      <c r="AQ36" s="1990"/>
      <c r="AR36" s="1994">
        <v>19112287.580000002</v>
      </c>
      <c r="AS36" s="1997">
        <f t="shared" si="54"/>
        <v>0</v>
      </c>
      <c r="AU36" s="1990"/>
      <c r="AV36" s="1994"/>
      <c r="AW36" s="1997"/>
      <c r="AY36" s="1990"/>
      <c r="AZ36" s="1994"/>
      <c r="BA36" s="1997"/>
      <c r="BC36" s="1990"/>
      <c r="BD36" s="1994"/>
      <c r="BE36" s="1997"/>
    </row>
    <row r="37" spans="1:57">
      <c r="A37" s="1874" t="s">
        <v>85</v>
      </c>
      <c r="C37" s="1990"/>
      <c r="D37" s="1994">
        <v>106226650</v>
      </c>
      <c r="E37" s="1997"/>
      <c r="G37" s="1990"/>
      <c r="H37" s="1994">
        <v>72901775</v>
      </c>
      <c r="I37" s="1997"/>
      <c r="K37" s="1990"/>
      <c r="L37" s="1994">
        <v>74233716.409999996</v>
      </c>
      <c r="M37" s="1997">
        <f t="shared" si="57"/>
        <v>0</v>
      </c>
      <c r="O37" s="1990"/>
      <c r="P37" s="1994">
        <v>74234</v>
      </c>
      <c r="Q37" s="1997">
        <f t="shared" si="49"/>
        <v>0</v>
      </c>
      <c r="S37" s="1990"/>
      <c r="T37" s="1994">
        <v>63173.3</v>
      </c>
      <c r="U37" s="1997">
        <f t="shared" si="50"/>
        <v>0</v>
      </c>
      <c r="W37" s="1990"/>
      <c r="X37" s="1994">
        <v>58365761</v>
      </c>
      <c r="Y37" s="1997">
        <f t="shared" si="9"/>
        <v>0</v>
      </c>
      <c r="AA37" s="1990"/>
      <c r="AB37" s="1994">
        <v>46668520</v>
      </c>
      <c r="AC37" s="1997">
        <f t="shared" si="51"/>
        <v>0</v>
      </c>
      <c r="AE37" s="1990"/>
      <c r="AF37" s="1994">
        <v>46464129</v>
      </c>
      <c r="AG37" s="1997">
        <f t="shared" si="10"/>
        <v>0</v>
      </c>
      <c r="AI37" s="1990">
        <v>8880402.0399999991</v>
      </c>
      <c r="AJ37" s="1994">
        <v>5813000</v>
      </c>
      <c r="AK37" s="1997">
        <f t="shared" si="52"/>
        <v>1.5276796903492171</v>
      </c>
      <c r="AM37" s="1990"/>
      <c r="AN37" s="1994">
        <v>11104000</v>
      </c>
      <c r="AO37" s="1997">
        <f t="shared" si="53"/>
        <v>0</v>
      </c>
      <c r="AQ37" s="1990">
        <v>211200</v>
      </c>
      <c r="AR37" s="1994">
        <v>37451293</v>
      </c>
      <c r="AS37" s="1997">
        <f t="shared" si="54"/>
        <v>5.6393246556267094E-3</v>
      </c>
      <c r="AU37" s="1990"/>
      <c r="AV37" s="1994"/>
      <c r="AW37" s="1997"/>
      <c r="AY37" s="1990"/>
      <c r="AZ37" s="1994"/>
      <c r="BA37" s="1997"/>
      <c r="BC37" s="1990"/>
      <c r="BD37" s="1994"/>
      <c r="BE37" s="1997"/>
    </row>
    <row r="38" spans="1:57">
      <c r="A38" s="1874" t="s">
        <v>86</v>
      </c>
      <c r="C38" s="1990"/>
      <c r="D38" s="1994">
        <v>26396779</v>
      </c>
      <c r="E38" s="1997"/>
      <c r="G38" s="1990"/>
      <c r="H38" s="1994">
        <v>22139763</v>
      </c>
      <c r="I38" s="1997"/>
      <c r="K38" s="1990"/>
      <c r="L38" s="1994">
        <v>19039411.0499999</v>
      </c>
      <c r="M38" s="1997">
        <f t="shared" si="57"/>
        <v>0</v>
      </c>
      <c r="O38" s="1990"/>
      <c r="P38" s="1994">
        <v>19039</v>
      </c>
      <c r="Q38" s="1997">
        <f t="shared" si="49"/>
        <v>0</v>
      </c>
      <c r="S38" s="1990"/>
      <c r="T38" s="1994">
        <v>17369.3</v>
      </c>
      <c r="U38" s="1997">
        <f t="shared" si="50"/>
        <v>0</v>
      </c>
      <c r="W38" s="1990"/>
      <c r="X38" s="1994">
        <v>13718487</v>
      </c>
      <c r="Y38" s="1997">
        <f t="shared" si="9"/>
        <v>0</v>
      </c>
      <c r="AA38" s="1990"/>
      <c r="AB38" s="1994">
        <v>13073028</v>
      </c>
      <c r="AC38" s="1997">
        <f t="shared" si="51"/>
        <v>0</v>
      </c>
      <c r="AE38" s="1990">
        <v>12000000</v>
      </c>
      <c r="AF38" s="1994">
        <v>13851143</v>
      </c>
      <c r="AG38" s="1997">
        <f t="shared" si="10"/>
        <v>0.86635449507668794</v>
      </c>
      <c r="AI38" s="1990"/>
      <c r="AJ38" s="1994">
        <v>38500000</v>
      </c>
      <c r="AK38" s="1997">
        <f t="shared" si="52"/>
        <v>0</v>
      </c>
      <c r="AM38" s="1990"/>
      <c r="AN38" s="1994">
        <v>40985000</v>
      </c>
      <c r="AO38" s="1997">
        <f t="shared" si="53"/>
        <v>0</v>
      </c>
      <c r="AQ38" s="1990"/>
      <c r="AR38" s="1994">
        <v>11025917.080000002</v>
      </c>
      <c r="AS38" s="1997">
        <f t="shared" si="54"/>
        <v>0</v>
      </c>
      <c r="AU38" s="1990"/>
      <c r="AV38" s="1994"/>
      <c r="AW38" s="1997"/>
      <c r="AY38" s="1990"/>
      <c r="AZ38" s="1994"/>
      <c r="BA38" s="1997"/>
      <c r="BC38" s="1990"/>
      <c r="BD38" s="1994"/>
      <c r="BE38" s="1997"/>
    </row>
    <row r="39" spans="1:57">
      <c r="A39" s="1943" t="s">
        <v>48</v>
      </c>
      <c r="C39" s="1991">
        <f>SUM(C34:C38)</f>
        <v>1100000</v>
      </c>
      <c r="D39" s="1995">
        <v>284483174</v>
      </c>
      <c r="E39" s="1998">
        <f>+C39/D39</f>
        <v>3.8666610208728902E-3</v>
      </c>
      <c r="G39" s="1991">
        <v>1550000</v>
      </c>
      <c r="H39" s="1995">
        <v>246585219</v>
      </c>
      <c r="I39" s="1998">
        <f>+G39/H39</f>
        <v>6.2858593320632089E-3</v>
      </c>
      <c r="K39" s="1991">
        <f>SUM(K34:K38)</f>
        <v>262000</v>
      </c>
      <c r="L39" s="1995">
        <f>SUM(L34:L38)</f>
        <v>221159961.2899999</v>
      </c>
      <c r="M39" s="1998">
        <f>+K39/L39</f>
        <v>1.1846628950004556E-3</v>
      </c>
      <c r="O39" s="1991">
        <f>SUM(O34:O38)</f>
        <v>1154</v>
      </c>
      <c r="P39" s="1995">
        <f>SUM(P34:P38)</f>
        <v>221160</v>
      </c>
      <c r="Q39" s="1998">
        <f t="shared" si="49"/>
        <v>5.2179417616205464E-3</v>
      </c>
      <c r="S39" s="1991">
        <f>SUM(S34:S38)</f>
        <v>1815.7440000000001</v>
      </c>
      <c r="T39" s="1995">
        <v>184609.59999999998</v>
      </c>
      <c r="U39" s="1998">
        <f t="shared" si="50"/>
        <v>9.835588181763031E-3</v>
      </c>
      <c r="W39" s="1991">
        <v>3830861.6</v>
      </c>
      <c r="X39" s="1995">
        <v>159080884</v>
      </c>
      <c r="Y39" s="1998">
        <f t="shared" si="9"/>
        <v>2.4081218960286893E-2</v>
      </c>
      <c r="AA39" s="1991">
        <f>SUM(AA34:AA38)</f>
        <v>1219998</v>
      </c>
      <c r="AB39" s="1995">
        <f>SUM(AB34:AB38)</f>
        <v>132096093</v>
      </c>
      <c r="AC39" s="1998">
        <f t="shared" si="51"/>
        <v>9.2356857216057096E-3</v>
      </c>
      <c r="AE39" s="1991">
        <f>SUM(AE34:AE38)</f>
        <v>18689210</v>
      </c>
      <c r="AF39" s="1995">
        <f>SUM(AF34:AF38)</f>
        <v>134980502</v>
      </c>
      <c r="AG39" s="1998">
        <f t="shared" si="10"/>
        <v>0.13845859011548201</v>
      </c>
      <c r="AI39" s="1991">
        <f>SUM(AI34:AI38)</f>
        <v>10342154.819999998</v>
      </c>
      <c r="AJ39" s="1995">
        <f>SUM(AJ34:AJ38)</f>
        <v>115265000</v>
      </c>
      <c r="AK39" s="1998">
        <f t="shared" si="52"/>
        <v>8.9725023380904864E-2</v>
      </c>
      <c r="AM39" s="1991">
        <f>SUM(AM34:AM38)</f>
        <v>2629259</v>
      </c>
      <c r="AN39" s="1995">
        <f>SUM(AN34:AN38)</f>
        <v>113575000</v>
      </c>
      <c r="AO39" s="1998">
        <f t="shared" si="53"/>
        <v>2.3149980189302224E-2</v>
      </c>
      <c r="AQ39" s="1991">
        <v>923719.05</v>
      </c>
      <c r="AR39" s="1995">
        <v>104644662.27</v>
      </c>
      <c r="AS39" s="1998">
        <f t="shared" si="54"/>
        <v>8.8271970109345555E-3</v>
      </c>
      <c r="AU39" s="1991">
        <v>273290</v>
      </c>
      <c r="AV39" s="1995">
        <v>228732064</v>
      </c>
      <c r="AW39" s="1998">
        <f>+AU39/AV39</f>
        <v>1.1948040655987784E-3</v>
      </c>
      <c r="AY39" s="1991">
        <v>150000</v>
      </c>
      <c r="AZ39" s="1995">
        <f>27832740+16353894+16215022+15834750+58495056</f>
        <v>134731462</v>
      </c>
      <c r="BA39" s="1998">
        <f>+AY39/AZ39</f>
        <v>1.1133257056172967E-3</v>
      </c>
      <c r="BC39" s="1991">
        <v>0</v>
      </c>
      <c r="BD39" s="1995">
        <v>84737000</v>
      </c>
      <c r="BE39" s="1998">
        <f>+BC39/BD39</f>
        <v>0</v>
      </c>
    </row>
    <row r="40" spans="1:57">
      <c r="A40" s="2136"/>
      <c r="C40" s="2"/>
      <c r="D40" s="2"/>
      <c r="E40" s="1999"/>
      <c r="G40" s="2"/>
      <c r="H40" s="2"/>
      <c r="I40" s="1999"/>
      <c r="K40" s="2"/>
      <c r="L40" s="2"/>
      <c r="M40" s="1999"/>
      <c r="O40" s="2"/>
      <c r="P40" s="2"/>
      <c r="Q40" s="1999"/>
      <c r="S40" s="2"/>
      <c r="T40" s="2"/>
      <c r="U40" s="1999"/>
      <c r="W40" s="2"/>
      <c r="X40" s="2"/>
      <c r="Y40" s="1999"/>
      <c r="AA40" s="2"/>
      <c r="AB40" s="2"/>
      <c r="AC40" s="1999"/>
      <c r="AE40" s="2"/>
      <c r="AF40" s="2"/>
      <c r="AG40" s="1999"/>
      <c r="AI40" s="2"/>
      <c r="AJ40" s="2"/>
      <c r="AK40" s="1999"/>
      <c r="AM40" s="2"/>
      <c r="AN40" s="2"/>
      <c r="AO40" s="1999"/>
      <c r="AQ40" s="2"/>
      <c r="AR40" s="2"/>
      <c r="AS40" s="1999"/>
      <c r="AU40" s="2"/>
      <c r="AV40" s="2"/>
      <c r="AW40" s="1999"/>
      <c r="AY40" s="2"/>
      <c r="AZ40" s="2"/>
      <c r="BA40" s="1999"/>
      <c r="BC40" s="2"/>
      <c r="BD40" s="2"/>
      <c r="BE40" s="1999"/>
    </row>
    <row r="41" spans="1:57">
      <c r="A41" s="2146" t="s">
        <v>87</v>
      </c>
      <c r="C41" s="1992"/>
      <c r="D41" s="1996">
        <v>1326416903</v>
      </c>
      <c r="E41" s="1998">
        <f>+C41/D41</f>
        <v>0</v>
      </c>
      <c r="G41" s="1992">
        <v>2540000</v>
      </c>
      <c r="H41" s="1996">
        <v>1207480923</v>
      </c>
      <c r="I41" s="1998">
        <f>+G41/H41</f>
        <v>2.1035529022598067E-3</v>
      </c>
      <c r="K41" s="1992"/>
      <c r="L41" s="1996">
        <v>1139434640.97</v>
      </c>
      <c r="M41" s="1998">
        <f>+K41/L41</f>
        <v>0</v>
      </c>
      <c r="O41" s="1992"/>
      <c r="P41" s="1996">
        <v>1139435</v>
      </c>
      <c r="Q41" s="1998">
        <f>O41/P41</f>
        <v>0</v>
      </c>
      <c r="S41" s="1992">
        <v>2000</v>
      </c>
      <c r="T41" s="1996">
        <v>1063613.5</v>
      </c>
      <c r="U41" s="1998">
        <f>S41/T41</f>
        <v>1.8803823005255199E-3</v>
      </c>
      <c r="W41" s="1992">
        <v>0</v>
      </c>
      <c r="X41" s="1996">
        <v>932936364</v>
      </c>
      <c r="Y41" s="1998">
        <f t="shared" si="9"/>
        <v>0</v>
      </c>
      <c r="AA41" s="1992">
        <v>1200000</v>
      </c>
      <c r="AB41" s="1996">
        <f>2051348369-1218424620</f>
        <v>832923749</v>
      </c>
      <c r="AC41" s="1998">
        <f>AA41/AB41</f>
        <v>1.4407081097647992E-3</v>
      </c>
      <c r="AE41" s="1992">
        <v>1834000</v>
      </c>
      <c r="AF41" s="1996">
        <f>2167021373-1321737579</f>
        <v>845283794</v>
      </c>
      <c r="AG41" s="1998">
        <f t="shared" si="10"/>
        <v>2.1696855103790148E-3</v>
      </c>
      <c r="AI41" s="1992">
        <v>22600041.18</v>
      </c>
      <c r="AJ41" s="1996">
        <v>793537000</v>
      </c>
      <c r="AK41" s="1998">
        <f>+AI41/AJ41</f>
        <v>2.848013536860915E-2</v>
      </c>
      <c r="AM41" s="1992">
        <v>1366806</v>
      </c>
      <c r="AN41" s="1996">
        <v>798806000</v>
      </c>
      <c r="AO41" s="1998">
        <f>+AM41/AN41</f>
        <v>1.7110612589289515E-3</v>
      </c>
      <c r="AQ41" s="1992">
        <v>1730989.5</v>
      </c>
      <c r="AR41" s="1996">
        <v>671387122</v>
      </c>
      <c r="AS41" s="1998">
        <f>+AQ41/AR41</f>
        <v>2.5782286303668482E-3</v>
      </c>
      <c r="AU41" s="1992">
        <v>1322012</v>
      </c>
      <c r="AV41" s="1996">
        <v>603101943</v>
      </c>
      <c r="AW41" s="1998">
        <f>+AU41/AV41</f>
        <v>2.1920207940699672E-3</v>
      </c>
      <c r="AY41" s="1992">
        <v>3321700.31</v>
      </c>
      <c r="AZ41" s="1996">
        <v>640566516</v>
      </c>
      <c r="BA41" s="1998">
        <f>+AY41/AZ41</f>
        <v>5.18556656807831E-3</v>
      </c>
      <c r="BC41" s="1992">
        <v>4944450.1400000006</v>
      </c>
      <c r="BD41" s="1996">
        <v>478933000</v>
      </c>
      <c r="BE41" s="1998">
        <f>+BC41/BD41</f>
        <v>1.0323886931992576E-2</v>
      </c>
    </row>
    <row r="42" spans="1:57">
      <c r="A42" s="2137"/>
      <c r="C42" s="20"/>
      <c r="D42" s="20"/>
      <c r="E42" s="195"/>
      <c r="G42" s="20"/>
      <c r="H42" s="20"/>
      <c r="I42" s="195"/>
      <c r="K42" s="20"/>
      <c r="L42" s="20"/>
      <c r="M42" s="195"/>
      <c r="O42" s="20"/>
      <c r="P42" s="20"/>
      <c r="Q42" s="195"/>
      <c r="S42" s="20"/>
      <c r="T42" s="20"/>
      <c r="U42" s="195"/>
      <c r="W42" s="20"/>
      <c r="X42" s="20"/>
      <c r="Y42" s="195"/>
      <c r="AA42" s="20"/>
      <c r="AB42" s="20"/>
      <c r="AC42" s="195"/>
      <c r="AE42" s="20"/>
      <c r="AF42" s="20"/>
      <c r="AG42" s="195"/>
      <c r="AI42" s="20"/>
      <c r="AJ42" s="20"/>
      <c r="AK42" s="195"/>
      <c r="AM42" s="20"/>
      <c r="AN42" s="20"/>
      <c r="AO42" s="195"/>
      <c r="AQ42" s="20"/>
      <c r="AR42" s="20"/>
      <c r="AS42" s="195"/>
      <c r="AU42" s="20"/>
      <c r="AV42" s="20"/>
      <c r="AW42" s="195"/>
      <c r="AY42" s="20"/>
      <c r="AZ42" s="20"/>
      <c r="BA42" s="195"/>
      <c r="BB42" s="119"/>
      <c r="BC42" s="20"/>
      <c r="BD42" s="20"/>
      <c r="BE42" s="195"/>
    </row>
    <row r="43" spans="1:57" s="2132" customFormat="1">
      <c r="A43" s="3522" t="s">
        <v>67</v>
      </c>
      <c r="B43" s="2117"/>
      <c r="C43" s="3523">
        <f>+C11+C18+C25+C32+C39+C41</f>
        <v>10997150.15</v>
      </c>
      <c r="D43" s="3524">
        <v>8823985213</v>
      </c>
      <c r="E43" s="3525">
        <f>+C43/D43</f>
        <v>1.2462793040267531E-3</v>
      </c>
      <c r="F43" s="2117"/>
      <c r="G43" s="3523">
        <f>+G41+G39+G32+G25+G18+G11</f>
        <v>39500879.310000002</v>
      </c>
      <c r="H43" s="3524">
        <v>8246000946</v>
      </c>
      <c r="I43" s="3525">
        <f>+G43/H43</f>
        <v>4.790307394902887E-3</v>
      </c>
      <c r="J43" s="2117"/>
      <c r="K43" s="3523">
        <f>+K11+K18+K25+K32+K39+K41</f>
        <v>50778796.579999998</v>
      </c>
      <c r="L43" s="3524">
        <f>+L11+L18+L25+L32+L39+L41</f>
        <v>7927459764.9100008</v>
      </c>
      <c r="M43" s="3525">
        <f>+K43/L43</f>
        <v>6.4054310063819649E-3</v>
      </c>
      <c r="N43" s="2117"/>
      <c r="O43" s="3523">
        <f>O11+O18+O25+O32+O39+O41</f>
        <v>59374.701950000002</v>
      </c>
      <c r="P43" s="3524">
        <f>P11+P18+P25+P32+P39+P41</f>
        <v>7927463</v>
      </c>
      <c r="Q43" s="3525">
        <f>O43/P43</f>
        <v>7.4897482271440441E-3</v>
      </c>
      <c r="R43" s="2117"/>
      <c r="S43" s="3523">
        <f>S11+S18+S25+S32+S39+S41</f>
        <v>102955.50552000001</v>
      </c>
      <c r="T43" s="3524">
        <v>7535200.1999999993</v>
      </c>
      <c r="U43" s="3525">
        <f>S43/T43</f>
        <v>1.3663274072001434E-2</v>
      </c>
      <c r="V43" s="2117"/>
      <c r="W43" s="3523">
        <f>SUM(W11,W18,W25,W32,W39,W41)</f>
        <v>83281762.979999989</v>
      </c>
      <c r="X43" s="3524">
        <v>7097007002</v>
      </c>
      <c r="Y43" s="3525">
        <f t="shared" si="9"/>
        <v>1.1734772553631473E-2</v>
      </c>
      <c r="Z43" s="2117"/>
      <c r="AA43" s="3523">
        <f>AA11+AA18+AA25+AA39+AA32+AA41</f>
        <v>92874234.700000003</v>
      </c>
      <c r="AB43" s="3524">
        <f>AB11+AB18+AB25+AB39+AB32+AB41</f>
        <v>6654125955</v>
      </c>
      <c r="AC43" s="3525">
        <f>AA43/AB43</f>
        <v>1.3957390546569538E-2</v>
      </c>
      <c r="AE43" s="3523">
        <f>AE11+AE18+AE25+AE39+AE32+AE41</f>
        <v>215376861.76000002</v>
      </c>
      <c r="AF43" s="3524">
        <f>AF11+AF18+AF25+AF39+AF32+AF41</f>
        <v>6728066748</v>
      </c>
      <c r="AG43" s="3525">
        <f t="shared" si="10"/>
        <v>3.2011701106268518E-2</v>
      </c>
      <c r="AI43" s="3523">
        <f>+AI32+AI41+AI25+AI18+AI11+AI39</f>
        <v>254983589.42999998</v>
      </c>
      <c r="AJ43" s="3524">
        <f>SUM(AJ11,AJ18,AJ25,AJ32,AJ39,AJ41)</f>
        <v>6245382000</v>
      </c>
      <c r="AK43" s="3525">
        <f>+AI43/AJ43</f>
        <v>4.0827540962266193E-2</v>
      </c>
      <c r="AM43" s="3523">
        <f>+AM32+AM41+AM25+AM18+AM11+AM39</f>
        <v>189295263.92000002</v>
      </c>
      <c r="AN43" s="3524">
        <f>SUM(AN11,AN18,AN25,AN32,AN39,AN41)</f>
        <v>6014979000</v>
      </c>
      <c r="AO43" s="3525">
        <f>+AM43/AN43</f>
        <v>3.1470644190112716E-2</v>
      </c>
      <c r="AQ43" s="3523">
        <f>+AQ32+AQ41+AQ25+AQ18+AQ11+AQ39</f>
        <v>76749971.540000007</v>
      </c>
      <c r="AR43" s="3524">
        <f>SUM(AR11,AR18,AR25,AR32,AR39,AR41)</f>
        <v>5528317800</v>
      </c>
      <c r="AS43" s="3525">
        <f>+AQ43/AR43</f>
        <v>1.3883060691626665E-2</v>
      </c>
      <c r="AU43" s="3523">
        <f>+AU32+AU41+AU25+AU18+AU11+AU39</f>
        <v>172910090.64000002</v>
      </c>
      <c r="AV43" s="3524">
        <f>SUM(AV11,AV18,AV25,AV32,AV39,AV41)</f>
        <v>5255435241</v>
      </c>
      <c r="AW43" s="3525">
        <f>+AU43/AV43</f>
        <v>3.2901193281015262E-2</v>
      </c>
      <c r="AX43" s="2117"/>
      <c r="AY43" s="3523">
        <f>+AY32+AY41+AY25+AY18+AY11+AY39</f>
        <v>169879011.20000002</v>
      </c>
      <c r="AZ43" s="3524">
        <f>SUM(AZ11,AZ18,AZ25,AZ32,AZ39,AZ41)</f>
        <v>5036665437</v>
      </c>
      <c r="BA43" s="3525">
        <f>+AY43/AZ43</f>
        <v>3.3728468433111856E-2</v>
      </c>
      <c r="BB43" s="2136"/>
      <c r="BC43" s="3523">
        <f>+BC32+BC41+BC25+BC18+BC11</f>
        <v>189138875.84000003</v>
      </c>
      <c r="BD43" s="3524">
        <f>SUM(BD11,BD18,BD25,BD32,BD39,BD41)</f>
        <v>4155479000</v>
      </c>
      <c r="BE43" s="3525">
        <f>+BC43/BD43</f>
        <v>4.5515541250479193E-2</v>
      </c>
    </row>
    <row r="45" spans="1:57">
      <c r="C45" s="37" t="s">
        <v>2308</v>
      </c>
      <c r="G45" s="37" t="s">
        <v>2308</v>
      </c>
      <c r="K45" s="37" t="s">
        <v>2308</v>
      </c>
      <c r="O45" s="37" t="s">
        <v>2308</v>
      </c>
      <c r="S45" s="37" t="s">
        <v>2308</v>
      </c>
      <c r="W45" s="37" t="s">
        <v>2308</v>
      </c>
      <c r="AA45" s="37" t="s">
        <v>2308</v>
      </c>
      <c r="AE45" s="37" t="s">
        <v>2308</v>
      </c>
      <c r="AZ45" s="2"/>
      <c r="BE45" s="23"/>
    </row>
    <row r="46" spans="1:57">
      <c r="AZ46" s="2"/>
      <c r="BE46" s="23"/>
    </row>
    <row r="47" spans="1:57">
      <c r="AZ47" s="2"/>
      <c r="BE47" s="23"/>
    </row>
    <row r="48" spans="1:57">
      <c r="T48" s="2"/>
      <c r="AU48" s="1"/>
      <c r="AV48" s="1"/>
      <c r="AW48" s="1"/>
      <c r="AX48" s="1"/>
      <c r="AZ48" s="2"/>
      <c r="BE48" s="23"/>
    </row>
    <row r="49" spans="52:57">
      <c r="AZ49" s="2"/>
      <c r="BE49" s="23"/>
    </row>
    <row r="50" spans="52:57">
      <c r="AZ50" s="2"/>
      <c r="BE50" s="23"/>
    </row>
    <row r="51" spans="52:57">
      <c r="AZ51" s="2"/>
      <c r="BE51" s="23"/>
    </row>
    <row r="52" spans="52:57">
      <c r="AZ52" s="2"/>
      <c r="BE52" s="23"/>
    </row>
    <row r="53" spans="52:57">
      <c r="AZ53" s="2"/>
      <c r="BE53" s="23"/>
    </row>
    <row r="54" spans="52:57">
      <c r="AZ54" s="2"/>
      <c r="BE54" s="23"/>
    </row>
    <row r="55" spans="52:57">
      <c r="AZ55" s="2"/>
      <c r="BE55" s="23"/>
    </row>
    <row r="56" spans="52:57">
      <c r="AZ56" s="2"/>
      <c r="BE56" s="23"/>
    </row>
    <row r="57" spans="52:57">
      <c r="AZ57" s="2"/>
      <c r="BE57" s="23"/>
    </row>
    <row r="58" spans="52:57">
      <c r="AZ58" s="2"/>
      <c r="BE58" s="23"/>
    </row>
    <row r="59" spans="52:57">
      <c r="AZ59" s="2"/>
      <c r="BE59" s="23"/>
    </row>
    <row r="60" spans="52:57">
      <c r="AZ60" s="2"/>
      <c r="BE60" s="23"/>
    </row>
    <row r="61" spans="52:57">
      <c r="AZ61" s="2"/>
      <c r="BE61" s="23"/>
    </row>
  </sheetData>
  <mergeCells count="21">
    <mergeCell ref="BC1:BE1"/>
    <mergeCell ref="AI1:AK1"/>
    <mergeCell ref="AM1:AO1"/>
    <mergeCell ref="AQ1:AS1"/>
    <mergeCell ref="AU1:AW1"/>
    <mergeCell ref="AY1:BA1"/>
    <mergeCell ref="AQ3:AR3"/>
    <mergeCell ref="AU3:AV3"/>
    <mergeCell ref="AY3:AZ3"/>
    <mergeCell ref="BC3:BD3"/>
    <mergeCell ref="A3:A4"/>
    <mergeCell ref="S3:T3"/>
    <mergeCell ref="W3:X3"/>
    <mergeCell ref="AA3:AB3"/>
    <mergeCell ref="AE3:AF3"/>
    <mergeCell ref="AI3:AJ3"/>
    <mergeCell ref="AM3:AN3"/>
    <mergeCell ref="O3:P3"/>
    <mergeCell ref="K3:L3"/>
    <mergeCell ref="G3:H3"/>
    <mergeCell ref="C3:D3"/>
  </mergeCells>
  <printOptions horizontalCentered="1" verticalCentered="1"/>
  <pageMargins left="0.70866141732283472" right="0.70866141732283472" top="0.74803149606299213" bottom="0.74803149606299213" header="0.31496062992125984" footer="0.31496062992125984"/>
  <pageSetup scale="53" firstPageNumber="37" orientation="landscape" useFirstPageNumber="1" r:id="rId1"/>
  <headerFooter scaleWithDoc="0" alignWithMargins="0">
    <oddFooter>&amp;R&amp;P</oddFooter>
  </headerFooter>
  <ignoredErrors>
    <ignoredError sqref="U41:U43" evalError="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E169"/>
  <sheetViews>
    <sheetView showGridLines="0" zoomScaleNormal="100" workbookViewId="0">
      <pane xSplit="1" ySplit="4" topLeftCell="AS44" activePane="bottomRight" state="frozen"/>
      <selection activeCell="O12" sqref="O12"/>
      <selection pane="topRight" activeCell="O12" sqref="O12"/>
      <selection pane="bottomLeft" activeCell="O12" sqref="O12"/>
      <selection pane="bottomRight" activeCell="BH64" sqref="BH64"/>
    </sheetView>
  </sheetViews>
  <sheetFormatPr baseColWidth="10" defaultRowHeight="14.4"/>
  <cols>
    <col min="1" max="1" width="48" customWidth="1"/>
    <col min="2" max="2" width="1.6640625" style="5317" customWidth="1"/>
    <col min="3" max="3" width="12" bestFit="1" customWidth="1"/>
    <col min="4" max="4" width="10.6640625" customWidth="1"/>
    <col min="5" max="5" width="6.6640625" customWidth="1"/>
    <col min="6" max="6" width="1.6640625" style="2107" customWidth="1"/>
    <col min="7" max="7" width="12" bestFit="1" customWidth="1"/>
    <col min="8" max="8" width="10.6640625" customWidth="1"/>
    <col min="9" max="9" width="6.6640625" customWidth="1"/>
    <col min="10" max="10" width="1.6640625" style="2107" customWidth="1"/>
    <col min="11" max="11" width="12" bestFit="1" customWidth="1"/>
    <col min="12" max="12" width="10.6640625" customWidth="1"/>
    <col min="13" max="13" width="6.6640625" customWidth="1"/>
    <col min="14" max="14" width="1.6640625" style="2107" customWidth="1"/>
    <col min="15" max="15" width="12" bestFit="1" customWidth="1"/>
    <col min="16" max="16" width="10.6640625" style="119" customWidth="1"/>
    <col min="17" max="17" width="6.6640625" style="119" customWidth="1"/>
    <col min="18" max="18" width="1.6640625" style="2110" customWidth="1"/>
    <col min="19" max="19" width="12" style="157" bestFit="1" customWidth="1"/>
    <col min="20" max="20" width="10.6640625" customWidth="1"/>
    <col min="21" max="21" width="6.6640625" customWidth="1"/>
    <col min="22" max="22" width="1.6640625" style="2107" customWidth="1"/>
    <col min="23" max="23" width="12.44140625" customWidth="1"/>
    <col min="25" max="25" width="8" customWidth="1"/>
    <col min="26" max="26" width="1.6640625" style="2107" customWidth="1"/>
    <col min="27" max="27" width="12.5546875" customWidth="1"/>
    <col min="29" max="29" width="8" customWidth="1"/>
    <col min="30" max="30" width="1.6640625" style="2107" customWidth="1"/>
    <col min="31" max="31" width="12.33203125" customWidth="1"/>
    <col min="33" max="33" width="8" customWidth="1"/>
    <col min="34" max="34" width="1.6640625" style="2107" customWidth="1"/>
    <col min="35" max="35" width="12.33203125" customWidth="1"/>
    <col min="37" max="37" width="8" customWidth="1"/>
    <col min="38" max="38" width="1.6640625" customWidth="1"/>
    <col min="39" max="39" width="12.44140625" customWidth="1"/>
    <col min="42" max="42" width="1.5546875" customWidth="1"/>
    <col min="43" max="43" width="12.33203125" customWidth="1"/>
    <col min="46" max="46" width="1.6640625" customWidth="1"/>
    <col min="47" max="47" width="12.109375" customWidth="1"/>
    <col min="50" max="50" width="1.6640625" customWidth="1"/>
    <col min="51" max="51" width="12.5546875" customWidth="1"/>
    <col min="54" max="54" width="1.6640625" customWidth="1"/>
    <col min="55" max="55" width="12.6640625" customWidth="1"/>
  </cols>
  <sheetData>
    <row r="1" spans="1:57" ht="15.75" customHeight="1">
      <c r="C1" s="277"/>
      <c r="D1" s="277"/>
      <c r="E1" s="277"/>
      <c r="F1" s="277"/>
      <c r="G1" s="277"/>
      <c r="H1" s="277"/>
      <c r="I1" s="277"/>
      <c r="J1" s="277"/>
      <c r="K1" s="277"/>
      <c r="L1" s="277"/>
      <c r="M1" s="277"/>
      <c r="N1" s="277"/>
      <c r="O1" s="277"/>
      <c r="P1" s="157"/>
      <c r="Q1" s="157"/>
      <c r="R1" s="157"/>
      <c r="S1" s="276"/>
      <c r="AN1" s="56"/>
      <c r="AO1" s="56"/>
      <c r="AP1" s="56"/>
      <c r="AQ1" s="56"/>
      <c r="AR1" s="56"/>
      <c r="AS1" s="56"/>
      <c r="AT1" s="56"/>
      <c r="AU1" s="56"/>
      <c r="AV1" s="56"/>
      <c r="AW1" s="56"/>
      <c r="AX1" s="56"/>
      <c r="AY1" s="56"/>
      <c r="AZ1" s="56"/>
      <c r="BA1" s="56"/>
      <c r="BE1" s="6496" t="s">
        <v>2665</v>
      </c>
    </row>
    <row r="2" spans="1:57" s="5317" customFormat="1" ht="15.6">
      <c r="C2" s="277"/>
      <c r="D2" s="277"/>
      <c r="E2" s="277"/>
      <c r="F2" s="277"/>
      <c r="G2" s="277"/>
      <c r="H2" s="277"/>
      <c r="I2" s="277"/>
      <c r="J2" s="277"/>
      <c r="K2" s="277"/>
      <c r="L2" s="277"/>
      <c r="M2" s="277"/>
      <c r="N2" s="277"/>
      <c r="O2" s="277"/>
      <c r="P2" s="157"/>
      <c r="Q2" s="157"/>
      <c r="R2" s="157"/>
      <c r="S2" s="276"/>
      <c r="AM2" s="6483"/>
      <c r="AN2" s="6483"/>
      <c r="AO2" s="6483"/>
      <c r="AP2" s="6483"/>
      <c r="AQ2" s="6483"/>
      <c r="AR2" s="6483"/>
      <c r="AS2" s="6483"/>
      <c r="AT2" s="6483"/>
      <c r="AU2" s="6483"/>
      <c r="AV2" s="6483"/>
      <c r="AW2" s="6483"/>
      <c r="AX2" s="6483"/>
      <c r="AY2" s="6483"/>
      <c r="AZ2" s="6483"/>
      <c r="BA2" s="6483"/>
    </row>
    <row r="3" spans="1:57" s="8" customFormat="1" ht="15.6">
      <c r="A3" s="5908"/>
      <c r="B3" s="5317"/>
      <c r="C3" s="7351">
        <v>2010</v>
      </c>
      <c r="D3" s="7351"/>
      <c r="E3" s="7351"/>
      <c r="F3" s="5909"/>
      <c r="G3" s="7351">
        <v>2011</v>
      </c>
      <c r="H3" s="7351"/>
      <c r="I3" s="7351"/>
      <c r="J3" s="5909"/>
      <c r="K3" s="7351">
        <v>2012</v>
      </c>
      <c r="L3" s="7351"/>
      <c r="M3" s="7351"/>
      <c r="N3" s="5909"/>
      <c r="O3" s="7351">
        <v>2013</v>
      </c>
      <c r="P3" s="7351"/>
      <c r="Q3" s="7351"/>
      <c r="R3" s="5909"/>
      <c r="S3" s="7351">
        <v>2014</v>
      </c>
      <c r="T3" s="7351"/>
      <c r="U3" s="7351"/>
      <c r="V3" s="5909"/>
      <c r="W3" s="7351">
        <v>2015</v>
      </c>
      <c r="X3" s="7351"/>
      <c r="Y3" s="7351"/>
      <c r="Z3" s="5909"/>
      <c r="AA3" s="7351">
        <v>2016</v>
      </c>
      <c r="AB3" s="7351"/>
      <c r="AC3" s="7351"/>
      <c r="AD3" s="5909"/>
      <c r="AE3" s="7351">
        <v>2017</v>
      </c>
      <c r="AF3" s="7351"/>
      <c r="AG3" s="7351"/>
      <c r="AH3" s="5909"/>
      <c r="AI3" s="7351">
        <v>2018</v>
      </c>
      <c r="AJ3" s="7351"/>
      <c r="AK3" s="7351"/>
      <c r="AL3" s="5909"/>
      <c r="AM3" s="7351">
        <v>2019</v>
      </c>
      <c r="AN3" s="7351"/>
      <c r="AO3" s="7351"/>
      <c r="AQ3" s="7351">
        <v>2020</v>
      </c>
      <c r="AR3" s="7351"/>
      <c r="AS3" s="7351"/>
      <c r="AU3" s="7351">
        <v>2021</v>
      </c>
      <c r="AV3" s="7351"/>
      <c r="AW3" s="7351"/>
      <c r="AY3" s="7351">
        <v>2022</v>
      </c>
      <c r="AZ3" s="7351"/>
      <c r="BA3" s="7351"/>
      <c r="BC3" s="7351">
        <v>2023</v>
      </c>
      <c r="BD3" s="7351"/>
      <c r="BE3" s="7351"/>
    </row>
    <row r="4" spans="1:57" s="1" customFormat="1" ht="55.8" thickBot="1">
      <c r="A4" s="2147" t="s">
        <v>2383</v>
      </c>
      <c r="B4" s="5317"/>
      <c r="C4" s="2161" t="s">
        <v>952</v>
      </c>
      <c r="D4" s="2159" t="s">
        <v>953</v>
      </c>
      <c r="E4" s="2148" t="s">
        <v>76</v>
      </c>
      <c r="F4" s="277"/>
      <c r="G4" s="2161" t="s">
        <v>952</v>
      </c>
      <c r="H4" s="2159" t="s">
        <v>953</v>
      </c>
      <c r="I4" s="2148" t="s">
        <v>76</v>
      </c>
      <c r="J4" s="277"/>
      <c r="K4" s="2161" t="s">
        <v>952</v>
      </c>
      <c r="L4" s="2159" t="s">
        <v>953</v>
      </c>
      <c r="M4" s="2148" t="s">
        <v>76</v>
      </c>
      <c r="N4" s="277"/>
      <c r="O4" s="2161" t="s">
        <v>952</v>
      </c>
      <c r="P4" s="2159" t="s">
        <v>953</v>
      </c>
      <c r="Q4" s="2148" t="s">
        <v>76</v>
      </c>
      <c r="R4" s="277"/>
      <c r="S4" s="2161" t="s">
        <v>952</v>
      </c>
      <c r="T4" s="2159" t="s">
        <v>953</v>
      </c>
      <c r="U4" s="2148" t="s">
        <v>76</v>
      </c>
      <c r="V4" s="277"/>
      <c r="W4" s="2161" t="s">
        <v>952</v>
      </c>
      <c r="X4" s="2159" t="s">
        <v>953</v>
      </c>
      <c r="Y4" s="2148" t="s">
        <v>76</v>
      </c>
      <c r="Z4" s="277"/>
      <c r="AA4" s="2161" t="s">
        <v>952</v>
      </c>
      <c r="AB4" s="2159" t="s">
        <v>953</v>
      </c>
      <c r="AC4" s="2148" t="s">
        <v>76</v>
      </c>
      <c r="AD4" s="277"/>
      <c r="AE4" s="2161" t="s">
        <v>952</v>
      </c>
      <c r="AF4" s="2159" t="s">
        <v>953</v>
      </c>
      <c r="AG4" s="2148" t="s">
        <v>76</v>
      </c>
      <c r="AH4" s="277"/>
      <c r="AI4" s="2161" t="s">
        <v>952</v>
      </c>
      <c r="AJ4" s="2159" t="s">
        <v>953</v>
      </c>
      <c r="AK4" s="2148" t="s">
        <v>76</v>
      </c>
      <c r="AL4" s="277"/>
      <c r="AM4" s="2161" t="s">
        <v>952</v>
      </c>
      <c r="AN4" s="2159" t="s">
        <v>953</v>
      </c>
      <c r="AO4" s="2148" t="s">
        <v>76</v>
      </c>
      <c r="AQ4" s="2161" t="s">
        <v>952</v>
      </c>
      <c r="AR4" s="2159" t="s">
        <v>953</v>
      </c>
      <c r="AS4" s="2148" t="s">
        <v>76</v>
      </c>
      <c r="AU4" s="2161" t="s">
        <v>952</v>
      </c>
      <c r="AV4" s="2159" t="s">
        <v>953</v>
      </c>
      <c r="AW4" s="2148" t="s">
        <v>76</v>
      </c>
      <c r="AY4" s="2161" t="s">
        <v>952</v>
      </c>
      <c r="AZ4" s="2159" t="s">
        <v>953</v>
      </c>
      <c r="BA4" s="2148" t="s">
        <v>76</v>
      </c>
      <c r="BC4" s="2161" t="s">
        <v>952</v>
      </c>
      <c r="BD4" s="2159" t="s">
        <v>953</v>
      </c>
      <c r="BE4" s="2148" t="s">
        <v>76</v>
      </c>
    </row>
    <row r="5" spans="1:57" s="1" customFormat="1">
      <c r="A5" s="1974" t="s">
        <v>956</v>
      </c>
      <c r="B5" s="5317"/>
      <c r="C5" s="2290">
        <v>232</v>
      </c>
      <c r="D5" s="2291">
        <v>134</v>
      </c>
      <c r="E5" s="2276">
        <f>C5/D5</f>
        <v>1.7313432835820894</v>
      </c>
      <c r="F5" s="277"/>
      <c r="G5" s="2290">
        <v>277</v>
      </c>
      <c r="H5" s="2291">
        <v>136</v>
      </c>
      <c r="I5" s="2276">
        <f>G5/H5</f>
        <v>2.0367647058823528</v>
      </c>
      <c r="J5" s="277"/>
      <c r="K5" s="2290">
        <v>258</v>
      </c>
      <c r="L5" s="2291">
        <v>139</v>
      </c>
      <c r="M5" s="2276">
        <f>K5/L5</f>
        <v>1.8561151079136691</v>
      </c>
      <c r="N5" s="277"/>
      <c r="O5" s="2290">
        <v>361</v>
      </c>
      <c r="P5" s="2291">
        <v>139</v>
      </c>
      <c r="Q5" s="2276">
        <f>O5/P5</f>
        <v>2.5971223021582732</v>
      </c>
      <c r="R5" s="277"/>
      <c r="S5" s="2290">
        <v>341</v>
      </c>
      <c r="T5" s="2291">
        <v>145</v>
      </c>
      <c r="U5" s="2276">
        <f>S5/T5</f>
        <v>2.3517241379310345</v>
      </c>
      <c r="V5" s="277"/>
      <c r="W5" s="2290">
        <v>529</v>
      </c>
      <c r="X5" s="2291">
        <v>143</v>
      </c>
      <c r="Y5" s="2276">
        <f>W5/X5</f>
        <v>3.6993006993006992</v>
      </c>
      <c r="Z5" s="277"/>
      <c r="AA5" s="2290">
        <v>347</v>
      </c>
      <c r="AB5" s="2291">
        <v>142</v>
      </c>
      <c r="AC5" s="2276">
        <f>AA5/AB5</f>
        <v>2.443661971830986</v>
      </c>
      <c r="AD5" s="277"/>
      <c r="AE5" s="2290">
        <v>324</v>
      </c>
      <c r="AF5" s="2291">
        <v>142</v>
      </c>
      <c r="AG5" s="2276">
        <f>AE5/AF5</f>
        <v>2.2816901408450705</v>
      </c>
      <c r="AH5" s="277"/>
      <c r="AI5" s="2290">
        <v>284</v>
      </c>
      <c r="AJ5" s="2291">
        <v>143</v>
      </c>
      <c r="AK5" s="2276">
        <f>AI5/AJ5</f>
        <v>1.986013986013986</v>
      </c>
      <c r="AL5" s="277"/>
      <c r="AM5" s="2290">
        <v>261</v>
      </c>
      <c r="AN5" s="2291">
        <v>143</v>
      </c>
      <c r="AO5" s="2276">
        <f>AM5/AN5</f>
        <v>1.8251748251748252</v>
      </c>
      <c r="AQ5" s="2290">
        <v>200</v>
      </c>
      <c r="AR5" s="2291">
        <v>144</v>
      </c>
      <c r="AS5" s="2276">
        <f>AQ5/AR5</f>
        <v>1.3888888888888888</v>
      </c>
      <c r="AU5" s="2290">
        <v>249</v>
      </c>
      <c r="AV5" s="2291">
        <v>140</v>
      </c>
      <c r="AW5" s="2276">
        <f>AU5/AV5</f>
        <v>1.7785714285714285</v>
      </c>
      <c r="AY5" s="2290">
        <v>227</v>
      </c>
      <c r="AZ5" s="2291">
        <v>138</v>
      </c>
      <c r="BA5" s="2276">
        <f>AY5/AZ5</f>
        <v>1.644927536231884</v>
      </c>
      <c r="BC5" s="2290">
        <v>313</v>
      </c>
      <c r="BD5" s="2291">
        <v>138</v>
      </c>
      <c r="BE5" s="2276">
        <f>BC5/BD5</f>
        <v>2.2681159420289854</v>
      </c>
    </row>
    <row r="6" spans="1:57" s="1" customFormat="1">
      <c r="A6" s="1038" t="s">
        <v>957</v>
      </c>
      <c r="B6" s="5317"/>
      <c r="C6" s="2290">
        <v>36</v>
      </c>
      <c r="D6" s="2291">
        <v>52</v>
      </c>
      <c r="E6" s="2276">
        <f t="shared" ref="E6:E69" si="0">C6/D6</f>
        <v>0.69230769230769229</v>
      </c>
      <c r="F6" s="277"/>
      <c r="G6" s="2290">
        <v>77</v>
      </c>
      <c r="H6" s="2291">
        <v>52</v>
      </c>
      <c r="I6" s="2276">
        <f t="shared" ref="I6:I69" si="1">G6/H6</f>
        <v>1.4807692307692308</v>
      </c>
      <c r="J6" s="277"/>
      <c r="K6" s="2290">
        <v>32</v>
      </c>
      <c r="L6" s="2291">
        <v>52</v>
      </c>
      <c r="M6" s="2276">
        <f t="shared" ref="M6:M69" si="2">K6/L6</f>
        <v>0.61538461538461542</v>
      </c>
      <c r="N6" s="277"/>
      <c r="O6" s="2290">
        <v>61</v>
      </c>
      <c r="P6" s="2291">
        <v>51</v>
      </c>
      <c r="Q6" s="2276">
        <f t="shared" ref="Q6:Q69" si="3">O6/P6</f>
        <v>1.196078431372549</v>
      </c>
      <c r="R6" s="277"/>
      <c r="S6" s="2290">
        <v>38</v>
      </c>
      <c r="T6" s="2291">
        <v>53</v>
      </c>
      <c r="U6" s="2276">
        <f t="shared" ref="U6:U69" si="4">S6/T6</f>
        <v>0.71698113207547165</v>
      </c>
      <c r="V6" s="277"/>
      <c r="W6" s="2290">
        <v>42</v>
      </c>
      <c r="X6" s="2291">
        <v>56</v>
      </c>
      <c r="Y6" s="2276">
        <f t="shared" ref="Y6:Y53" si="5">W6/X6</f>
        <v>0.75</v>
      </c>
      <c r="Z6" s="277"/>
      <c r="AA6" s="2290">
        <v>90</v>
      </c>
      <c r="AB6" s="2291">
        <v>54</v>
      </c>
      <c r="AC6" s="2276">
        <f t="shared" ref="AC6:AC53" si="6">AA6/AB6</f>
        <v>1.6666666666666667</v>
      </c>
      <c r="AD6" s="277"/>
      <c r="AE6" s="2290">
        <v>105</v>
      </c>
      <c r="AF6" s="2291">
        <v>56</v>
      </c>
      <c r="AG6" s="2276">
        <f t="shared" ref="AG6:AG53" si="7">AE6/AF6</f>
        <v>1.875</v>
      </c>
      <c r="AH6" s="277"/>
      <c r="AI6" s="2290">
        <v>114</v>
      </c>
      <c r="AJ6" s="2291">
        <v>55</v>
      </c>
      <c r="AK6" s="2276">
        <f t="shared" ref="AK6:AK53" si="8">AI6/AJ6</f>
        <v>2.0727272727272728</v>
      </c>
      <c r="AL6" s="277"/>
      <c r="AM6" s="2290">
        <v>42</v>
      </c>
      <c r="AN6" s="2291">
        <v>54</v>
      </c>
      <c r="AO6" s="2276">
        <f t="shared" ref="AO6:AO53" si="9">AM6/AN6</f>
        <v>0.77777777777777779</v>
      </c>
      <c r="AQ6" s="2290">
        <v>45</v>
      </c>
      <c r="AR6" s="2291">
        <v>51</v>
      </c>
      <c r="AS6" s="2276">
        <f t="shared" ref="AS6:AS16" si="10">AQ6/AR6</f>
        <v>0.88235294117647056</v>
      </c>
      <c r="AU6" s="2290">
        <v>77</v>
      </c>
      <c r="AV6" s="2291">
        <v>51</v>
      </c>
      <c r="AW6" s="2276">
        <f t="shared" ref="AW6:AW18" si="11">AU6/AV6</f>
        <v>1.5098039215686274</v>
      </c>
      <c r="AY6" s="2290">
        <v>45</v>
      </c>
      <c r="AZ6" s="2291">
        <v>49</v>
      </c>
      <c r="BA6" s="2276">
        <f t="shared" ref="BA6:BA18" si="12">AY6/AZ6</f>
        <v>0.91836734693877553</v>
      </c>
      <c r="BC6" s="2290">
        <v>30</v>
      </c>
      <c r="BD6" s="2291">
        <v>46</v>
      </c>
      <c r="BE6" s="2276">
        <f t="shared" ref="BE6:BE18" si="13">BC6/BD6</f>
        <v>0.65217391304347827</v>
      </c>
    </row>
    <row r="7" spans="1:57" s="1" customFormat="1">
      <c r="A7" s="1038" t="s">
        <v>958</v>
      </c>
      <c r="B7" s="5317"/>
      <c r="C7" s="2290">
        <v>111</v>
      </c>
      <c r="D7" s="2291">
        <v>64</v>
      </c>
      <c r="E7" s="2276">
        <f t="shared" si="0"/>
        <v>1.734375</v>
      </c>
      <c r="F7" s="277"/>
      <c r="G7" s="2290">
        <v>109</v>
      </c>
      <c r="H7" s="2291">
        <v>62</v>
      </c>
      <c r="I7" s="2276">
        <f t="shared" si="1"/>
        <v>1.7580645161290323</v>
      </c>
      <c r="J7" s="277"/>
      <c r="K7" s="2290">
        <v>70</v>
      </c>
      <c r="L7" s="2291">
        <v>63</v>
      </c>
      <c r="M7" s="2276">
        <f t="shared" si="2"/>
        <v>1.1111111111111112</v>
      </c>
      <c r="N7" s="277"/>
      <c r="O7" s="2290">
        <v>60</v>
      </c>
      <c r="P7" s="2291">
        <v>64</v>
      </c>
      <c r="Q7" s="2276">
        <f t="shared" si="3"/>
        <v>0.9375</v>
      </c>
      <c r="R7" s="277"/>
      <c r="S7" s="2290">
        <v>93</v>
      </c>
      <c r="T7" s="2291">
        <v>66</v>
      </c>
      <c r="U7" s="2276">
        <f t="shared" si="4"/>
        <v>1.4090909090909092</v>
      </c>
      <c r="V7" s="277"/>
      <c r="W7" s="2290">
        <v>123</v>
      </c>
      <c r="X7" s="2291">
        <v>61</v>
      </c>
      <c r="Y7" s="2276">
        <f t="shared" si="5"/>
        <v>2.0163934426229506</v>
      </c>
      <c r="Z7" s="277"/>
      <c r="AA7" s="2290">
        <v>176</v>
      </c>
      <c r="AB7" s="2291">
        <v>60</v>
      </c>
      <c r="AC7" s="2276">
        <f t="shared" si="6"/>
        <v>2.9333333333333331</v>
      </c>
      <c r="AD7" s="277"/>
      <c r="AE7" s="2290">
        <v>169</v>
      </c>
      <c r="AF7" s="2291">
        <v>62</v>
      </c>
      <c r="AG7" s="2276">
        <f t="shared" si="7"/>
        <v>2.725806451612903</v>
      </c>
      <c r="AH7" s="277"/>
      <c r="AI7" s="2290">
        <v>163</v>
      </c>
      <c r="AJ7" s="2291">
        <v>65</v>
      </c>
      <c r="AK7" s="2276">
        <f t="shared" si="8"/>
        <v>2.5076923076923077</v>
      </c>
      <c r="AL7" s="277"/>
      <c r="AM7" s="2290">
        <v>133</v>
      </c>
      <c r="AN7" s="2291">
        <v>67</v>
      </c>
      <c r="AO7" s="2276">
        <f t="shared" si="9"/>
        <v>1.9850746268656716</v>
      </c>
      <c r="AQ7" s="2290">
        <v>100</v>
      </c>
      <c r="AR7" s="2291">
        <v>63</v>
      </c>
      <c r="AS7" s="2276">
        <f t="shared" si="10"/>
        <v>1.5873015873015872</v>
      </c>
      <c r="AU7" s="2290">
        <v>152</v>
      </c>
      <c r="AV7" s="2291">
        <v>62</v>
      </c>
      <c r="AW7" s="2276">
        <f t="shared" si="11"/>
        <v>2.4516129032258065</v>
      </c>
      <c r="AY7" s="2290">
        <v>158</v>
      </c>
      <c r="AZ7" s="2291">
        <v>63</v>
      </c>
      <c r="BA7" s="2276">
        <f t="shared" si="12"/>
        <v>2.5079365079365079</v>
      </c>
      <c r="BC7" s="2290">
        <v>213</v>
      </c>
      <c r="BD7" s="2291">
        <v>63</v>
      </c>
      <c r="BE7" s="2276">
        <f t="shared" si="13"/>
        <v>3.3809523809523809</v>
      </c>
    </row>
    <row r="8" spans="1:57" s="1" customFormat="1">
      <c r="A8" s="1038" t="s">
        <v>959</v>
      </c>
      <c r="B8" s="5317"/>
      <c r="C8" s="2290">
        <v>61</v>
      </c>
      <c r="D8" s="2291">
        <v>50</v>
      </c>
      <c r="E8" s="2276">
        <f t="shared" si="0"/>
        <v>1.22</v>
      </c>
      <c r="F8" s="277"/>
      <c r="G8" s="2290">
        <v>118</v>
      </c>
      <c r="H8" s="2291">
        <v>51</v>
      </c>
      <c r="I8" s="2276">
        <f t="shared" si="1"/>
        <v>2.3137254901960786</v>
      </c>
      <c r="J8" s="277"/>
      <c r="K8" s="2290">
        <v>85</v>
      </c>
      <c r="L8" s="2291">
        <v>49</v>
      </c>
      <c r="M8" s="2276">
        <f t="shared" si="2"/>
        <v>1.7346938775510203</v>
      </c>
      <c r="N8" s="277"/>
      <c r="O8" s="2290">
        <v>94</v>
      </c>
      <c r="P8" s="2291">
        <v>51</v>
      </c>
      <c r="Q8" s="2276">
        <f t="shared" si="3"/>
        <v>1.8431372549019607</v>
      </c>
      <c r="R8" s="277"/>
      <c r="S8" s="2290">
        <v>69</v>
      </c>
      <c r="T8" s="2291">
        <v>51</v>
      </c>
      <c r="U8" s="2276">
        <f t="shared" si="4"/>
        <v>1.3529411764705883</v>
      </c>
      <c r="V8" s="277"/>
      <c r="W8" s="2290">
        <v>94</v>
      </c>
      <c r="X8" s="2291">
        <v>50</v>
      </c>
      <c r="Y8" s="2276">
        <f t="shared" si="5"/>
        <v>1.88</v>
      </c>
      <c r="Z8" s="277"/>
      <c r="AA8" s="2290">
        <v>96</v>
      </c>
      <c r="AB8" s="2291">
        <v>49</v>
      </c>
      <c r="AC8" s="2276">
        <f t="shared" si="6"/>
        <v>1.9591836734693877</v>
      </c>
      <c r="AD8" s="277"/>
      <c r="AE8" s="2290">
        <v>83</v>
      </c>
      <c r="AF8" s="2291">
        <v>50</v>
      </c>
      <c r="AG8" s="2276">
        <f t="shared" si="7"/>
        <v>1.66</v>
      </c>
      <c r="AH8" s="277"/>
      <c r="AI8" s="2290">
        <v>86</v>
      </c>
      <c r="AJ8" s="2291">
        <v>50</v>
      </c>
      <c r="AK8" s="2276">
        <f t="shared" si="8"/>
        <v>1.72</v>
      </c>
      <c r="AL8" s="277"/>
      <c r="AM8" s="2290">
        <v>129</v>
      </c>
      <c r="AN8" s="2291">
        <v>53</v>
      </c>
      <c r="AO8" s="2276">
        <f t="shared" si="9"/>
        <v>2.4339622641509435</v>
      </c>
      <c r="AQ8" s="2290">
        <v>73</v>
      </c>
      <c r="AR8" s="2291">
        <v>53</v>
      </c>
      <c r="AS8" s="2276">
        <f t="shared" si="10"/>
        <v>1.3773584905660377</v>
      </c>
      <c r="AU8" s="2290">
        <v>120</v>
      </c>
      <c r="AV8" s="2291">
        <v>52</v>
      </c>
      <c r="AW8" s="2276">
        <f t="shared" si="11"/>
        <v>2.3076923076923075</v>
      </c>
      <c r="AY8" s="2290">
        <v>92</v>
      </c>
      <c r="AZ8" s="2291">
        <v>51</v>
      </c>
      <c r="BA8" s="2276">
        <f t="shared" si="12"/>
        <v>1.803921568627451</v>
      </c>
      <c r="BC8" s="2290">
        <v>120</v>
      </c>
      <c r="BD8" s="2291">
        <v>49</v>
      </c>
      <c r="BE8" s="2276">
        <f t="shared" si="13"/>
        <v>2.4489795918367347</v>
      </c>
    </row>
    <row r="9" spans="1:57" s="1" customFormat="1">
      <c r="A9" s="1039" t="s">
        <v>960</v>
      </c>
      <c r="B9" s="5317"/>
      <c r="C9" s="2292">
        <v>45</v>
      </c>
      <c r="D9" s="1447">
        <v>42</v>
      </c>
      <c r="E9" s="2277">
        <f t="shared" si="0"/>
        <v>1.0714285714285714</v>
      </c>
      <c r="F9" s="277"/>
      <c r="G9" s="2292">
        <v>49</v>
      </c>
      <c r="H9" s="1447">
        <v>41</v>
      </c>
      <c r="I9" s="2277">
        <f t="shared" si="1"/>
        <v>1.1951219512195121</v>
      </c>
      <c r="J9" s="277"/>
      <c r="K9" s="2292">
        <v>15</v>
      </c>
      <c r="L9" s="1447">
        <v>45</v>
      </c>
      <c r="M9" s="2277">
        <f t="shared" si="2"/>
        <v>0.33333333333333331</v>
      </c>
      <c r="N9" s="277"/>
      <c r="O9" s="2292">
        <v>84</v>
      </c>
      <c r="P9" s="1447">
        <v>44</v>
      </c>
      <c r="Q9" s="2277">
        <f t="shared" si="3"/>
        <v>1.9090909090909092</v>
      </c>
      <c r="R9" s="277"/>
      <c r="S9" s="2292">
        <v>45</v>
      </c>
      <c r="T9" s="1447">
        <v>42</v>
      </c>
      <c r="U9" s="2277">
        <f t="shared" si="4"/>
        <v>1.0714285714285714</v>
      </c>
      <c r="V9" s="277"/>
      <c r="W9" s="2292">
        <v>69</v>
      </c>
      <c r="X9" s="1447">
        <v>41</v>
      </c>
      <c r="Y9" s="2277">
        <f t="shared" si="5"/>
        <v>1.6829268292682926</v>
      </c>
      <c r="Z9" s="277"/>
      <c r="AA9" s="2292">
        <v>80</v>
      </c>
      <c r="AB9" s="1447">
        <v>43</v>
      </c>
      <c r="AC9" s="2277">
        <f t="shared" si="6"/>
        <v>1.8604651162790697</v>
      </c>
      <c r="AD9" s="277"/>
      <c r="AE9" s="2292">
        <v>53</v>
      </c>
      <c r="AF9" s="1447">
        <v>45</v>
      </c>
      <c r="AG9" s="2277">
        <f t="shared" si="7"/>
        <v>1.1777777777777778</v>
      </c>
      <c r="AH9" s="277"/>
      <c r="AI9" s="2292">
        <v>126</v>
      </c>
      <c r="AJ9" s="1447">
        <v>47</v>
      </c>
      <c r="AK9" s="2277">
        <f t="shared" si="8"/>
        <v>2.6808510638297873</v>
      </c>
      <c r="AL9" s="277"/>
      <c r="AM9" s="2292">
        <v>80</v>
      </c>
      <c r="AN9" s="1447">
        <v>47</v>
      </c>
      <c r="AO9" s="2277">
        <f t="shared" si="9"/>
        <v>1.7021276595744681</v>
      </c>
      <c r="AQ9" s="2292">
        <v>82</v>
      </c>
      <c r="AR9" s="1447">
        <v>49</v>
      </c>
      <c r="AS9" s="2277">
        <f t="shared" si="10"/>
        <v>1.6734693877551021</v>
      </c>
      <c r="AU9" s="2292">
        <v>115</v>
      </c>
      <c r="AV9" s="1447">
        <v>49</v>
      </c>
      <c r="AW9" s="2277">
        <f t="shared" si="11"/>
        <v>2.3469387755102042</v>
      </c>
      <c r="AY9" s="2292">
        <v>59</v>
      </c>
      <c r="AZ9" s="1447">
        <v>49</v>
      </c>
      <c r="BA9" s="2277">
        <f t="shared" si="12"/>
        <v>1.2040816326530612</v>
      </c>
      <c r="BC9" s="2292">
        <v>96</v>
      </c>
      <c r="BD9" s="1447">
        <v>47</v>
      </c>
      <c r="BE9" s="2277">
        <f t="shared" si="13"/>
        <v>2.0425531914893615</v>
      </c>
    </row>
    <row r="10" spans="1:57" s="1" customFormat="1" ht="15" customHeight="1">
      <c r="A10" s="1929" t="s">
        <v>4</v>
      </c>
      <c r="B10" s="5317"/>
      <c r="C10" s="2293">
        <v>485</v>
      </c>
      <c r="D10" s="1448">
        <f>SUM(D5:D9)</f>
        <v>342</v>
      </c>
      <c r="E10" s="2278">
        <f t="shared" si="0"/>
        <v>1.4181286549707601</v>
      </c>
      <c r="F10" s="277"/>
      <c r="G10" s="2293">
        <v>630</v>
      </c>
      <c r="H10" s="1448">
        <f>SUM(H5:H9)</f>
        <v>342</v>
      </c>
      <c r="I10" s="2278">
        <f t="shared" si="1"/>
        <v>1.8421052631578947</v>
      </c>
      <c r="J10" s="277"/>
      <c r="K10" s="2293">
        <f>SUM(K5:K9)</f>
        <v>460</v>
      </c>
      <c r="L10" s="1448">
        <f>SUM(L5:L9)</f>
        <v>348</v>
      </c>
      <c r="M10" s="2278">
        <f t="shared" si="2"/>
        <v>1.3218390804597702</v>
      </c>
      <c r="N10" s="277"/>
      <c r="O10" s="2293">
        <f>SUM(O5:O9)</f>
        <v>660</v>
      </c>
      <c r="P10" s="1448">
        <f>SUM(P5:P9)</f>
        <v>349</v>
      </c>
      <c r="Q10" s="2278">
        <f t="shared" si="3"/>
        <v>1.8911174785100286</v>
      </c>
      <c r="R10" s="277"/>
      <c r="S10" s="2293">
        <f>SUM(S5:S9)</f>
        <v>586</v>
      </c>
      <c r="T10" s="1448">
        <f>SUM(T5:T9)</f>
        <v>357</v>
      </c>
      <c r="U10" s="2278">
        <f t="shared" si="4"/>
        <v>1.6414565826330532</v>
      </c>
      <c r="V10" s="277"/>
      <c r="W10" s="2293">
        <f>SUM(W5:W9)</f>
        <v>857</v>
      </c>
      <c r="X10" s="1448">
        <v>351</v>
      </c>
      <c r="Y10" s="2278">
        <f t="shared" si="5"/>
        <v>2.4415954415954415</v>
      </c>
      <c r="Z10" s="277"/>
      <c r="AA10" s="2293">
        <v>789</v>
      </c>
      <c r="AB10" s="1448">
        <f>SUM(AB5:AB9)</f>
        <v>348</v>
      </c>
      <c r="AC10" s="2278">
        <f t="shared" si="6"/>
        <v>2.2672413793103448</v>
      </c>
      <c r="AD10" s="277"/>
      <c r="AE10" s="2293">
        <v>734</v>
      </c>
      <c r="AF10" s="1448">
        <f>SUM(AF5:AF9)</f>
        <v>355</v>
      </c>
      <c r="AG10" s="2278">
        <f t="shared" si="7"/>
        <v>2.0676056338028168</v>
      </c>
      <c r="AH10" s="277"/>
      <c r="AI10" s="2293">
        <v>773</v>
      </c>
      <c r="AJ10" s="1448">
        <v>360</v>
      </c>
      <c r="AK10" s="2278">
        <f t="shared" si="8"/>
        <v>2.1472222222222221</v>
      </c>
      <c r="AL10" s="277"/>
      <c r="AM10" s="2293">
        <v>645</v>
      </c>
      <c r="AN10" s="1448">
        <v>364</v>
      </c>
      <c r="AO10" s="2278">
        <f t="shared" si="9"/>
        <v>1.7719780219780219</v>
      </c>
      <c r="AQ10" s="2293">
        <v>500</v>
      </c>
      <c r="AR10" s="1448">
        <v>360</v>
      </c>
      <c r="AS10" s="2278">
        <f t="shared" si="10"/>
        <v>1.3888888888888888</v>
      </c>
      <c r="AU10" s="2293">
        <v>713</v>
      </c>
      <c r="AV10" s="1448">
        <v>354</v>
      </c>
      <c r="AW10" s="2278">
        <f t="shared" si="11"/>
        <v>2.0141242937853105</v>
      </c>
      <c r="AY10" s="2293">
        <v>581</v>
      </c>
      <c r="AZ10" s="1448">
        <v>350</v>
      </c>
      <c r="BA10" s="2278">
        <f t="shared" si="12"/>
        <v>1.66</v>
      </c>
      <c r="BC10" s="2293">
        <v>772</v>
      </c>
      <c r="BD10" s="1448">
        <v>343</v>
      </c>
      <c r="BE10" s="2278">
        <f t="shared" si="13"/>
        <v>2.250728862973761</v>
      </c>
    </row>
    <row r="11" spans="1:57" s="1" customFormat="1">
      <c r="A11" s="1037" t="s">
        <v>961</v>
      </c>
      <c r="B11" s="5317"/>
      <c r="C11" s="2294">
        <v>67</v>
      </c>
      <c r="D11" s="2295">
        <v>42</v>
      </c>
      <c r="E11" s="2279">
        <f t="shared" si="0"/>
        <v>1.5952380952380953</v>
      </c>
      <c r="F11" s="277"/>
      <c r="G11" s="2294">
        <v>77</v>
      </c>
      <c r="H11" s="2295">
        <v>44</v>
      </c>
      <c r="I11" s="2279">
        <f t="shared" si="1"/>
        <v>1.75</v>
      </c>
      <c r="J11" s="277"/>
      <c r="K11" s="2294">
        <v>73</v>
      </c>
      <c r="L11" s="2295">
        <v>44</v>
      </c>
      <c r="M11" s="2279">
        <f t="shared" si="2"/>
        <v>1.6590909090909092</v>
      </c>
      <c r="N11" s="277"/>
      <c r="O11" s="2294">
        <v>85</v>
      </c>
      <c r="P11" s="2295">
        <v>43</v>
      </c>
      <c r="Q11" s="2279">
        <f t="shared" si="3"/>
        <v>1.9767441860465116</v>
      </c>
      <c r="R11" s="277"/>
      <c r="S11" s="2294">
        <v>104</v>
      </c>
      <c r="T11" s="2295">
        <v>44</v>
      </c>
      <c r="U11" s="2279">
        <f t="shared" si="4"/>
        <v>2.3636363636363638</v>
      </c>
      <c r="V11" s="277"/>
      <c r="W11" s="2294">
        <v>77</v>
      </c>
      <c r="X11" s="2295">
        <v>43</v>
      </c>
      <c r="Y11" s="2279">
        <f t="shared" si="5"/>
        <v>1.7906976744186047</v>
      </c>
      <c r="Z11" s="277"/>
      <c r="AA11" s="2294">
        <v>61</v>
      </c>
      <c r="AB11" s="2295">
        <v>41</v>
      </c>
      <c r="AC11" s="2279">
        <f t="shared" si="6"/>
        <v>1.4878048780487805</v>
      </c>
      <c r="AD11" s="277"/>
      <c r="AE11" s="2294">
        <v>57</v>
      </c>
      <c r="AF11" s="2295">
        <v>45</v>
      </c>
      <c r="AG11" s="2279">
        <f t="shared" si="7"/>
        <v>1.2666666666666666</v>
      </c>
      <c r="AH11" s="277"/>
      <c r="AI11" s="2294">
        <v>97</v>
      </c>
      <c r="AJ11" s="2295">
        <v>49</v>
      </c>
      <c r="AK11" s="2279">
        <f t="shared" si="8"/>
        <v>1.9795918367346939</v>
      </c>
      <c r="AL11" s="277"/>
      <c r="AM11" s="2294">
        <v>112</v>
      </c>
      <c r="AN11" s="2295">
        <v>47</v>
      </c>
      <c r="AO11" s="2279">
        <f t="shared" si="9"/>
        <v>2.3829787234042552</v>
      </c>
      <c r="AQ11" s="2294">
        <v>42</v>
      </c>
      <c r="AR11" s="2295">
        <v>46</v>
      </c>
      <c r="AS11" s="2279">
        <f t="shared" si="10"/>
        <v>0.91304347826086951</v>
      </c>
      <c r="AU11" s="2294">
        <v>98</v>
      </c>
      <c r="AV11" s="2295">
        <v>47</v>
      </c>
      <c r="AW11" s="2279">
        <f t="shared" si="11"/>
        <v>2.0851063829787235</v>
      </c>
      <c r="AY11" s="2294">
        <v>82</v>
      </c>
      <c r="AZ11" s="2295">
        <v>46</v>
      </c>
      <c r="BA11" s="2279">
        <f t="shared" si="12"/>
        <v>1.7826086956521738</v>
      </c>
      <c r="BC11" s="2294">
        <v>47</v>
      </c>
      <c r="BD11" s="2295">
        <v>45</v>
      </c>
      <c r="BE11" s="2279">
        <f t="shared" si="13"/>
        <v>1.0444444444444445</v>
      </c>
    </row>
    <row r="12" spans="1:57" s="1" customFormat="1">
      <c r="A12" s="1038" t="s">
        <v>962</v>
      </c>
      <c r="B12" s="5317"/>
      <c r="C12" s="2294">
        <v>65</v>
      </c>
      <c r="D12" s="2295">
        <v>64</v>
      </c>
      <c r="E12" s="2279">
        <f t="shared" si="0"/>
        <v>1.015625</v>
      </c>
      <c r="F12" s="277"/>
      <c r="G12" s="2294">
        <v>77</v>
      </c>
      <c r="H12" s="2295">
        <v>63</v>
      </c>
      <c r="I12" s="2279">
        <f t="shared" si="1"/>
        <v>1.2222222222222223</v>
      </c>
      <c r="J12" s="277"/>
      <c r="K12" s="2294">
        <v>105</v>
      </c>
      <c r="L12" s="2295">
        <v>62</v>
      </c>
      <c r="M12" s="2279">
        <f t="shared" si="2"/>
        <v>1.6935483870967742</v>
      </c>
      <c r="N12" s="277"/>
      <c r="O12" s="2294">
        <v>89</v>
      </c>
      <c r="P12" s="2295">
        <v>73</v>
      </c>
      <c r="Q12" s="2279">
        <f t="shared" si="3"/>
        <v>1.2191780821917808</v>
      </c>
      <c r="R12" s="277"/>
      <c r="S12" s="2294">
        <v>59</v>
      </c>
      <c r="T12" s="2295">
        <v>71</v>
      </c>
      <c r="U12" s="2279">
        <f t="shared" si="4"/>
        <v>0.83098591549295775</v>
      </c>
      <c r="V12" s="277"/>
      <c r="W12" s="2294">
        <v>76</v>
      </c>
      <c r="X12" s="2295">
        <v>71</v>
      </c>
      <c r="Y12" s="2279">
        <f t="shared" si="5"/>
        <v>1.0704225352112675</v>
      </c>
      <c r="Z12" s="277"/>
      <c r="AA12" s="2294">
        <v>71</v>
      </c>
      <c r="AB12" s="2295">
        <v>68</v>
      </c>
      <c r="AC12" s="2279">
        <f t="shared" si="6"/>
        <v>1.0441176470588236</v>
      </c>
      <c r="AD12" s="277"/>
      <c r="AE12" s="2294">
        <v>70</v>
      </c>
      <c r="AF12" s="2295">
        <v>70</v>
      </c>
      <c r="AG12" s="2279">
        <f t="shared" si="7"/>
        <v>1</v>
      </c>
      <c r="AH12" s="277"/>
      <c r="AI12" s="2294">
        <v>46</v>
      </c>
      <c r="AJ12" s="2295">
        <v>72</v>
      </c>
      <c r="AK12" s="2279">
        <f t="shared" si="8"/>
        <v>0.63888888888888884</v>
      </c>
      <c r="AL12" s="277"/>
      <c r="AM12" s="2294">
        <v>67</v>
      </c>
      <c r="AN12" s="2295">
        <v>70</v>
      </c>
      <c r="AO12" s="2279">
        <f t="shared" si="9"/>
        <v>0.95714285714285718</v>
      </c>
      <c r="AQ12" s="2294">
        <v>24</v>
      </c>
      <c r="AR12" s="2295">
        <v>69</v>
      </c>
      <c r="AS12" s="2279">
        <f t="shared" si="10"/>
        <v>0.34782608695652173</v>
      </c>
      <c r="AU12" s="2294">
        <v>55</v>
      </c>
      <c r="AV12" s="2295">
        <v>66</v>
      </c>
      <c r="AW12" s="2279">
        <f t="shared" si="11"/>
        <v>0.83333333333333337</v>
      </c>
      <c r="AY12" s="2294">
        <v>62</v>
      </c>
      <c r="AZ12" s="2295">
        <v>66</v>
      </c>
      <c r="BA12" s="2279">
        <f t="shared" si="12"/>
        <v>0.93939393939393945</v>
      </c>
      <c r="BC12" s="2294">
        <v>42</v>
      </c>
      <c r="BD12" s="2295">
        <v>62</v>
      </c>
      <c r="BE12" s="2279">
        <f t="shared" si="13"/>
        <v>0.67741935483870963</v>
      </c>
    </row>
    <row r="13" spans="1:57" s="1" customFormat="1">
      <c r="A13" s="1038" t="s">
        <v>963</v>
      </c>
      <c r="B13" s="5317"/>
      <c r="C13" s="2294">
        <v>104</v>
      </c>
      <c r="D13" s="2295">
        <v>71</v>
      </c>
      <c r="E13" s="2279">
        <f t="shared" si="0"/>
        <v>1.4647887323943662</v>
      </c>
      <c r="F13" s="277"/>
      <c r="G13" s="2294">
        <v>133</v>
      </c>
      <c r="H13" s="2295">
        <v>74</v>
      </c>
      <c r="I13" s="2279">
        <f t="shared" si="1"/>
        <v>1.7972972972972974</v>
      </c>
      <c r="J13" s="277"/>
      <c r="K13" s="2294">
        <v>131</v>
      </c>
      <c r="L13" s="2295">
        <v>74</v>
      </c>
      <c r="M13" s="2279">
        <f t="shared" si="2"/>
        <v>1.7702702702702702</v>
      </c>
      <c r="N13" s="277"/>
      <c r="O13" s="2294">
        <v>100</v>
      </c>
      <c r="P13" s="2295">
        <v>76</v>
      </c>
      <c r="Q13" s="2279">
        <f t="shared" si="3"/>
        <v>1.3157894736842106</v>
      </c>
      <c r="R13" s="277"/>
      <c r="S13" s="2294">
        <v>89</v>
      </c>
      <c r="T13" s="2295">
        <v>76</v>
      </c>
      <c r="U13" s="2279">
        <f t="shared" si="4"/>
        <v>1.1710526315789473</v>
      </c>
      <c r="V13" s="277"/>
      <c r="W13" s="2294">
        <v>71</v>
      </c>
      <c r="X13" s="2295">
        <v>74</v>
      </c>
      <c r="Y13" s="2279">
        <f t="shared" si="5"/>
        <v>0.95945945945945943</v>
      </c>
      <c r="Z13" s="277"/>
      <c r="AA13" s="2294">
        <v>100</v>
      </c>
      <c r="AB13" s="2295">
        <v>74</v>
      </c>
      <c r="AC13" s="2279">
        <f t="shared" si="6"/>
        <v>1.3513513513513513</v>
      </c>
      <c r="AD13" s="277"/>
      <c r="AE13" s="2294">
        <v>98</v>
      </c>
      <c r="AF13" s="2295">
        <v>78</v>
      </c>
      <c r="AG13" s="2279">
        <f t="shared" si="7"/>
        <v>1.2564102564102564</v>
      </c>
      <c r="AH13" s="277"/>
      <c r="AI13" s="2294">
        <v>113</v>
      </c>
      <c r="AJ13" s="2295">
        <v>77</v>
      </c>
      <c r="AK13" s="2279">
        <f t="shared" si="8"/>
        <v>1.4675324675324675</v>
      </c>
      <c r="AL13" s="277"/>
      <c r="AM13" s="2294">
        <v>94</v>
      </c>
      <c r="AN13" s="2295">
        <v>76</v>
      </c>
      <c r="AO13" s="2279">
        <f t="shared" si="9"/>
        <v>1.236842105263158</v>
      </c>
      <c r="AQ13" s="2294">
        <v>34</v>
      </c>
      <c r="AR13" s="2295">
        <v>73</v>
      </c>
      <c r="AS13" s="2279">
        <f t="shared" si="10"/>
        <v>0.46575342465753422</v>
      </c>
      <c r="AU13" s="2294">
        <v>139</v>
      </c>
      <c r="AV13" s="2295">
        <v>72</v>
      </c>
      <c r="AW13" s="2279">
        <f t="shared" si="11"/>
        <v>1.9305555555555556</v>
      </c>
      <c r="AY13" s="2294">
        <v>87</v>
      </c>
      <c r="AZ13" s="2295">
        <v>71</v>
      </c>
      <c r="BA13" s="2279">
        <f t="shared" si="12"/>
        <v>1.2253521126760563</v>
      </c>
      <c r="BC13" s="2294">
        <v>76</v>
      </c>
      <c r="BD13" s="2295">
        <v>67</v>
      </c>
      <c r="BE13" s="2279">
        <f t="shared" si="13"/>
        <v>1.1343283582089552</v>
      </c>
    </row>
    <row r="14" spans="1:57" s="1" customFormat="1">
      <c r="A14" s="1038" t="s">
        <v>695</v>
      </c>
      <c r="B14" s="5317"/>
      <c r="C14" s="2294">
        <v>116</v>
      </c>
      <c r="D14" s="2295">
        <v>56</v>
      </c>
      <c r="E14" s="2279">
        <f t="shared" si="0"/>
        <v>2.0714285714285716</v>
      </c>
      <c r="F14" s="277"/>
      <c r="G14" s="2294">
        <v>106</v>
      </c>
      <c r="H14" s="2295">
        <v>57</v>
      </c>
      <c r="I14" s="2279">
        <f t="shared" si="1"/>
        <v>1.8596491228070176</v>
      </c>
      <c r="J14" s="277"/>
      <c r="K14" s="2294">
        <v>118</v>
      </c>
      <c r="L14" s="2295">
        <v>58</v>
      </c>
      <c r="M14" s="2279">
        <f t="shared" si="2"/>
        <v>2.0344827586206895</v>
      </c>
      <c r="N14" s="277"/>
      <c r="O14" s="2294">
        <v>92</v>
      </c>
      <c r="P14" s="2295">
        <v>58</v>
      </c>
      <c r="Q14" s="2279">
        <f t="shared" si="3"/>
        <v>1.5862068965517242</v>
      </c>
      <c r="R14" s="277"/>
      <c r="S14" s="2294">
        <v>95</v>
      </c>
      <c r="T14" s="2295">
        <v>58</v>
      </c>
      <c r="U14" s="2279">
        <f t="shared" si="4"/>
        <v>1.6379310344827587</v>
      </c>
      <c r="V14" s="277"/>
      <c r="W14" s="2294">
        <v>119</v>
      </c>
      <c r="X14" s="2295">
        <v>56</v>
      </c>
      <c r="Y14" s="2279">
        <f t="shared" si="5"/>
        <v>2.125</v>
      </c>
      <c r="Z14" s="277"/>
      <c r="AA14" s="2294">
        <v>99</v>
      </c>
      <c r="AB14" s="2295">
        <v>56</v>
      </c>
      <c r="AC14" s="2279">
        <f t="shared" si="6"/>
        <v>1.7678571428571428</v>
      </c>
      <c r="AD14" s="277"/>
      <c r="AE14" s="2294">
        <v>74</v>
      </c>
      <c r="AF14" s="2295">
        <v>57</v>
      </c>
      <c r="AG14" s="2279">
        <f t="shared" si="7"/>
        <v>1.2982456140350878</v>
      </c>
      <c r="AH14" s="277"/>
      <c r="AI14" s="2294">
        <v>102</v>
      </c>
      <c r="AJ14" s="2295">
        <v>57</v>
      </c>
      <c r="AK14" s="2279">
        <f t="shared" si="8"/>
        <v>1.7894736842105263</v>
      </c>
      <c r="AL14" s="277"/>
      <c r="AM14" s="2294">
        <v>79</v>
      </c>
      <c r="AN14" s="2295">
        <v>57</v>
      </c>
      <c r="AO14" s="2279">
        <f t="shared" si="9"/>
        <v>1.3859649122807018</v>
      </c>
      <c r="AQ14" s="2294">
        <v>50</v>
      </c>
      <c r="AR14" s="2295">
        <v>56</v>
      </c>
      <c r="AS14" s="2279">
        <f t="shared" si="10"/>
        <v>0.8928571428571429</v>
      </c>
      <c r="AU14" s="2294">
        <v>88</v>
      </c>
      <c r="AV14" s="2295">
        <v>54</v>
      </c>
      <c r="AW14" s="2279">
        <f t="shared" si="11"/>
        <v>1.6296296296296295</v>
      </c>
      <c r="AY14" s="2294">
        <v>98</v>
      </c>
      <c r="AZ14" s="2295">
        <v>51</v>
      </c>
      <c r="BA14" s="2279">
        <f t="shared" si="12"/>
        <v>1.9215686274509804</v>
      </c>
      <c r="BC14" s="2294">
        <v>89</v>
      </c>
      <c r="BD14" s="2295">
        <v>51</v>
      </c>
      <c r="BE14" s="2279">
        <f t="shared" si="13"/>
        <v>1.7450980392156863</v>
      </c>
    </row>
    <row r="15" spans="1:57" s="1" customFormat="1">
      <c r="A15" s="1038" t="s">
        <v>964</v>
      </c>
      <c r="B15" s="5317"/>
      <c r="C15" s="2296">
        <v>144</v>
      </c>
      <c r="D15" s="1449">
        <v>75</v>
      </c>
      <c r="E15" s="2280">
        <f t="shared" si="0"/>
        <v>1.92</v>
      </c>
      <c r="F15" s="277"/>
      <c r="G15" s="2296">
        <v>80</v>
      </c>
      <c r="H15" s="1449">
        <v>77</v>
      </c>
      <c r="I15" s="2280">
        <f t="shared" si="1"/>
        <v>1.0389610389610389</v>
      </c>
      <c r="J15" s="277"/>
      <c r="K15" s="2296">
        <v>50</v>
      </c>
      <c r="L15" s="1449">
        <v>76</v>
      </c>
      <c r="M15" s="2280">
        <f t="shared" si="2"/>
        <v>0.65789473684210531</v>
      </c>
      <c r="N15" s="277"/>
      <c r="O15" s="2296">
        <v>107</v>
      </c>
      <c r="P15" s="1449">
        <v>76</v>
      </c>
      <c r="Q15" s="2280">
        <f t="shared" si="3"/>
        <v>1.4078947368421053</v>
      </c>
      <c r="R15" s="277"/>
      <c r="S15" s="2296">
        <v>83</v>
      </c>
      <c r="T15" s="1449">
        <v>76</v>
      </c>
      <c r="U15" s="2280">
        <f t="shared" si="4"/>
        <v>1.0921052631578947</v>
      </c>
      <c r="V15" s="277"/>
      <c r="W15" s="2296">
        <v>98</v>
      </c>
      <c r="X15" s="1449">
        <v>75</v>
      </c>
      <c r="Y15" s="2280">
        <f t="shared" si="5"/>
        <v>1.3066666666666666</v>
      </c>
      <c r="Z15" s="277"/>
      <c r="AA15" s="2296">
        <v>71</v>
      </c>
      <c r="AB15" s="1449">
        <v>72</v>
      </c>
      <c r="AC15" s="2280">
        <f t="shared" si="6"/>
        <v>0.98611111111111116</v>
      </c>
      <c r="AD15" s="277"/>
      <c r="AE15" s="2296">
        <v>86</v>
      </c>
      <c r="AF15" s="1449">
        <v>73</v>
      </c>
      <c r="AG15" s="2280">
        <f t="shared" si="7"/>
        <v>1.178082191780822</v>
      </c>
      <c r="AH15" s="277"/>
      <c r="AI15" s="2296">
        <v>92</v>
      </c>
      <c r="AJ15" s="1449">
        <v>76</v>
      </c>
      <c r="AK15" s="2280">
        <f t="shared" si="8"/>
        <v>1.2105263157894737</v>
      </c>
      <c r="AL15" s="277"/>
      <c r="AM15" s="2296">
        <v>65</v>
      </c>
      <c r="AN15" s="1449">
        <v>73</v>
      </c>
      <c r="AO15" s="2280">
        <f t="shared" si="9"/>
        <v>0.8904109589041096</v>
      </c>
      <c r="AQ15" s="2296">
        <v>51</v>
      </c>
      <c r="AR15" s="1449">
        <v>73</v>
      </c>
      <c r="AS15" s="2280">
        <f t="shared" si="10"/>
        <v>0.69863013698630139</v>
      </c>
      <c r="AU15" s="2296">
        <v>102</v>
      </c>
      <c r="AV15" s="1449">
        <v>72</v>
      </c>
      <c r="AW15" s="2280">
        <f t="shared" si="11"/>
        <v>1.4166666666666667</v>
      </c>
      <c r="AY15" s="2296">
        <v>55</v>
      </c>
      <c r="AZ15" s="1449">
        <v>70</v>
      </c>
      <c r="BA15" s="2280">
        <f t="shared" si="12"/>
        <v>0.7857142857142857</v>
      </c>
      <c r="BC15" s="2296">
        <v>78</v>
      </c>
      <c r="BD15" s="1449">
        <v>73</v>
      </c>
      <c r="BE15" s="2280">
        <f t="shared" si="13"/>
        <v>1.0684931506849316</v>
      </c>
    </row>
    <row r="16" spans="1:57" s="1" customFormat="1" ht="15" customHeight="1">
      <c r="A16" s="1929" t="s">
        <v>16</v>
      </c>
      <c r="B16" s="5317"/>
      <c r="C16" s="2293">
        <v>496</v>
      </c>
      <c r="D16" s="1448">
        <f>SUM(D11:D15)</f>
        <v>308</v>
      </c>
      <c r="E16" s="2278">
        <f t="shared" si="0"/>
        <v>1.6103896103896105</v>
      </c>
      <c r="F16" s="277"/>
      <c r="G16" s="2293">
        <v>473</v>
      </c>
      <c r="H16" s="1448">
        <f>SUM(H11:H15)</f>
        <v>315</v>
      </c>
      <c r="I16" s="2278">
        <f t="shared" si="1"/>
        <v>1.5015873015873016</v>
      </c>
      <c r="J16" s="277"/>
      <c r="K16" s="2293">
        <f>SUM(K11:K15)</f>
        <v>477</v>
      </c>
      <c r="L16" s="1448">
        <f>SUM(L11:L15)</f>
        <v>314</v>
      </c>
      <c r="M16" s="2278">
        <f t="shared" si="2"/>
        <v>1.5191082802547771</v>
      </c>
      <c r="N16" s="277"/>
      <c r="O16" s="2293">
        <f>SUM(O11:O15)</f>
        <v>473</v>
      </c>
      <c r="P16" s="1448">
        <f>SUM(P11:P15)</f>
        <v>326</v>
      </c>
      <c r="Q16" s="2278">
        <f t="shared" si="3"/>
        <v>1.4509202453987731</v>
      </c>
      <c r="R16" s="277"/>
      <c r="S16" s="2293">
        <f>SUM(S11:S15)</f>
        <v>430</v>
      </c>
      <c r="T16" s="1448">
        <f>SUM(T11:T15)</f>
        <v>325</v>
      </c>
      <c r="U16" s="2278">
        <f t="shared" si="4"/>
        <v>1.323076923076923</v>
      </c>
      <c r="V16" s="277"/>
      <c r="W16" s="2293">
        <f>SUM(W11:W15)</f>
        <v>441</v>
      </c>
      <c r="X16" s="1448">
        <v>319</v>
      </c>
      <c r="Y16" s="2278">
        <f t="shared" si="5"/>
        <v>1.3824451410658307</v>
      </c>
      <c r="Z16" s="277"/>
      <c r="AA16" s="2293">
        <v>402</v>
      </c>
      <c r="AB16" s="1448">
        <f>SUM(AB11:AB15)</f>
        <v>311</v>
      </c>
      <c r="AC16" s="2278">
        <f t="shared" si="6"/>
        <v>1.292604501607717</v>
      </c>
      <c r="AD16" s="277"/>
      <c r="AE16" s="2293">
        <v>385</v>
      </c>
      <c r="AF16" s="1448">
        <f>SUM(AF11:AF15)</f>
        <v>323</v>
      </c>
      <c r="AG16" s="2278">
        <f t="shared" si="7"/>
        <v>1.1919504643962848</v>
      </c>
      <c r="AH16" s="277"/>
      <c r="AI16" s="2293">
        <v>450</v>
      </c>
      <c r="AJ16" s="1448">
        <v>331</v>
      </c>
      <c r="AK16" s="2278">
        <f t="shared" si="8"/>
        <v>1.3595166163141994</v>
      </c>
      <c r="AL16" s="277"/>
      <c r="AM16" s="2293">
        <v>417</v>
      </c>
      <c r="AN16" s="1448">
        <v>323</v>
      </c>
      <c r="AO16" s="2278">
        <f t="shared" si="9"/>
        <v>1.2910216718266254</v>
      </c>
      <c r="AQ16" s="2293">
        <v>201</v>
      </c>
      <c r="AR16" s="1448">
        <v>317</v>
      </c>
      <c r="AS16" s="2278">
        <f t="shared" si="10"/>
        <v>0.63406940063091488</v>
      </c>
      <c r="AU16" s="2293">
        <v>482</v>
      </c>
      <c r="AV16" s="1448">
        <v>311</v>
      </c>
      <c r="AW16" s="2278">
        <f t="shared" si="11"/>
        <v>1.54983922829582</v>
      </c>
      <c r="AY16" s="2293">
        <v>384</v>
      </c>
      <c r="AZ16" s="1448">
        <v>304</v>
      </c>
      <c r="BA16" s="2278">
        <f t="shared" si="12"/>
        <v>1.263157894736842</v>
      </c>
      <c r="BC16" s="2293">
        <v>332</v>
      </c>
      <c r="BD16" s="1448">
        <v>298</v>
      </c>
      <c r="BE16" s="2278">
        <f t="shared" si="13"/>
        <v>1.1140939597315436</v>
      </c>
    </row>
    <row r="17" spans="1:57" s="1" customFormat="1">
      <c r="A17" s="1038" t="s">
        <v>966</v>
      </c>
      <c r="B17" s="5317"/>
      <c r="C17" s="2294">
        <v>48</v>
      </c>
      <c r="D17" s="2295">
        <v>55</v>
      </c>
      <c r="E17" s="2279">
        <f t="shared" si="0"/>
        <v>0.87272727272727268</v>
      </c>
      <c r="F17" s="277"/>
      <c r="G17" s="2294">
        <v>40</v>
      </c>
      <c r="H17" s="2295">
        <v>58</v>
      </c>
      <c r="I17" s="2279">
        <f t="shared" si="1"/>
        <v>0.68965517241379315</v>
      </c>
      <c r="J17" s="277"/>
      <c r="K17" s="2294">
        <v>36</v>
      </c>
      <c r="L17" s="2295">
        <v>57</v>
      </c>
      <c r="M17" s="2279">
        <f t="shared" si="2"/>
        <v>0.63157894736842102</v>
      </c>
      <c r="N17" s="277"/>
      <c r="O17" s="2294">
        <v>60</v>
      </c>
      <c r="P17" s="2295">
        <v>59</v>
      </c>
      <c r="Q17" s="2279">
        <f t="shared" si="3"/>
        <v>1.0169491525423728</v>
      </c>
      <c r="R17" s="277"/>
      <c r="S17" s="2294">
        <v>90</v>
      </c>
      <c r="T17" s="2295">
        <v>60</v>
      </c>
      <c r="U17" s="2279">
        <f t="shared" si="4"/>
        <v>1.5</v>
      </c>
      <c r="V17" s="277"/>
      <c r="W17" s="2294">
        <v>43</v>
      </c>
      <c r="X17" s="2295">
        <v>60</v>
      </c>
      <c r="Y17" s="2279">
        <f t="shared" si="5"/>
        <v>0.71666666666666667</v>
      </c>
      <c r="Z17" s="277"/>
      <c r="AA17" s="2294">
        <v>59</v>
      </c>
      <c r="AB17" s="2295">
        <v>61</v>
      </c>
      <c r="AC17" s="2279">
        <f t="shared" si="6"/>
        <v>0.96721311475409832</v>
      </c>
      <c r="AD17" s="277"/>
      <c r="AE17" s="2294">
        <v>27</v>
      </c>
      <c r="AF17" s="2295">
        <v>60</v>
      </c>
      <c r="AG17" s="2279">
        <f t="shared" si="7"/>
        <v>0.45</v>
      </c>
      <c r="AH17" s="277"/>
      <c r="AI17" s="2294">
        <v>55</v>
      </c>
      <c r="AJ17" s="2295">
        <v>61</v>
      </c>
      <c r="AK17" s="2279">
        <f t="shared" si="8"/>
        <v>0.90163934426229508</v>
      </c>
      <c r="AL17" s="277"/>
      <c r="AM17" s="2294">
        <v>29</v>
      </c>
      <c r="AN17" s="2295">
        <v>60</v>
      </c>
      <c r="AO17" s="2279">
        <f t="shared" si="9"/>
        <v>0.48333333333333334</v>
      </c>
      <c r="AQ17" s="2294">
        <v>29</v>
      </c>
      <c r="AR17" s="2295">
        <v>61</v>
      </c>
      <c r="AS17" s="2279">
        <f t="shared" ref="AS17:AS53" si="14">AQ17/AR17</f>
        <v>0.47540983606557374</v>
      </c>
      <c r="AU17" s="2294">
        <v>52</v>
      </c>
      <c r="AV17" s="2295">
        <v>61</v>
      </c>
      <c r="AW17" s="2279">
        <f t="shared" si="11"/>
        <v>0.85245901639344257</v>
      </c>
      <c r="AY17" s="2294">
        <v>39</v>
      </c>
      <c r="AZ17" s="2295">
        <v>39</v>
      </c>
      <c r="BA17" s="2279">
        <f t="shared" si="12"/>
        <v>1</v>
      </c>
      <c r="BC17" s="2294">
        <v>74</v>
      </c>
      <c r="BD17" s="2295">
        <v>40</v>
      </c>
      <c r="BE17" s="2279">
        <f t="shared" si="13"/>
        <v>1.85</v>
      </c>
    </row>
    <row r="18" spans="1:57" s="1" customFormat="1">
      <c r="A18" s="1038" t="s">
        <v>967</v>
      </c>
      <c r="B18" s="5317"/>
      <c r="C18" s="2294">
        <v>18</v>
      </c>
      <c r="D18" s="2295">
        <v>36</v>
      </c>
      <c r="E18" s="2279">
        <f t="shared" si="0"/>
        <v>0.5</v>
      </c>
      <c r="F18" s="277"/>
      <c r="G18" s="2294">
        <v>24</v>
      </c>
      <c r="H18" s="2295">
        <v>36</v>
      </c>
      <c r="I18" s="2279">
        <f t="shared" si="1"/>
        <v>0.66666666666666663</v>
      </c>
      <c r="J18" s="277"/>
      <c r="K18" s="2294">
        <v>45</v>
      </c>
      <c r="L18" s="2295">
        <v>38</v>
      </c>
      <c r="M18" s="2279">
        <f t="shared" si="2"/>
        <v>1.1842105263157894</v>
      </c>
      <c r="N18" s="277"/>
      <c r="O18" s="2294">
        <v>42</v>
      </c>
      <c r="P18" s="2295">
        <v>39</v>
      </c>
      <c r="Q18" s="2279">
        <f t="shared" si="3"/>
        <v>1.0769230769230769</v>
      </c>
      <c r="R18" s="277"/>
      <c r="S18" s="2294">
        <v>50</v>
      </c>
      <c r="T18" s="2295">
        <v>41</v>
      </c>
      <c r="U18" s="2279">
        <f t="shared" si="4"/>
        <v>1.2195121951219512</v>
      </c>
      <c r="V18" s="277"/>
      <c r="W18" s="2294">
        <v>41</v>
      </c>
      <c r="X18" s="2295">
        <v>41</v>
      </c>
      <c r="Y18" s="2279">
        <f t="shared" si="5"/>
        <v>1</v>
      </c>
      <c r="Z18" s="277"/>
      <c r="AA18" s="2294">
        <v>54</v>
      </c>
      <c r="AB18" s="2295">
        <v>40</v>
      </c>
      <c r="AC18" s="2279">
        <f t="shared" si="6"/>
        <v>1.35</v>
      </c>
      <c r="AD18" s="277"/>
      <c r="AE18" s="2294">
        <v>27</v>
      </c>
      <c r="AF18" s="2295">
        <v>38</v>
      </c>
      <c r="AG18" s="2279">
        <f t="shared" si="7"/>
        <v>0.71052631578947367</v>
      </c>
      <c r="AH18" s="277"/>
      <c r="AI18" s="2294">
        <v>21</v>
      </c>
      <c r="AJ18" s="2295">
        <v>37</v>
      </c>
      <c r="AK18" s="2279">
        <f t="shared" si="8"/>
        <v>0.56756756756756754</v>
      </c>
      <c r="AL18" s="277"/>
      <c r="AM18" s="2294">
        <v>12</v>
      </c>
      <c r="AN18" s="2295">
        <v>37</v>
      </c>
      <c r="AO18" s="2279">
        <f t="shared" si="9"/>
        <v>0.32432432432432434</v>
      </c>
      <c r="AQ18" s="2294">
        <v>17</v>
      </c>
      <c r="AR18" s="2295">
        <v>35</v>
      </c>
      <c r="AS18" s="2279">
        <f t="shared" si="14"/>
        <v>0.48571428571428571</v>
      </c>
      <c r="AU18" s="2294">
        <v>17</v>
      </c>
      <c r="AV18" s="2295">
        <v>35</v>
      </c>
      <c r="AW18" s="2279">
        <f t="shared" si="11"/>
        <v>0.48571428571428571</v>
      </c>
      <c r="AY18" s="2294">
        <v>35</v>
      </c>
      <c r="AZ18" s="2295">
        <v>61</v>
      </c>
      <c r="BA18" s="2279">
        <f t="shared" si="12"/>
        <v>0.57377049180327866</v>
      </c>
      <c r="BC18" s="2294">
        <v>51</v>
      </c>
      <c r="BD18" s="2295">
        <v>59</v>
      </c>
      <c r="BE18" s="2279">
        <f t="shared" si="13"/>
        <v>0.86440677966101698</v>
      </c>
    </row>
    <row r="19" spans="1:57" s="1" customFormat="1">
      <c r="A19" s="1038" t="s">
        <v>968</v>
      </c>
      <c r="B19" s="5317"/>
      <c r="C19" s="2294">
        <v>29</v>
      </c>
      <c r="D19" s="2295">
        <v>41</v>
      </c>
      <c r="E19" s="2279">
        <f>C19/D19</f>
        <v>0.70731707317073167</v>
      </c>
      <c r="F19" s="277"/>
      <c r="G19" s="2294">
        <v>32</v>
      </c>
      <c r="H19" s="2295">
        <v>41</v>
      </c>
      <c r="I19" s="2279">
        <f>G19/H19</f>
        <v>0.78048780487804881</v>
      </c>
      <c r="J19" s="277"/>
      <c r="K19" s="2294">
        <v>17</v>
      </c>
      <c r="L19" s="2295">
        <v>41</v>
      </c>
      <c r="M19" s="2279">
        <f>K19/L19</f>
        <v>0.41463414634146339</v>
      </c>
      <c r="N19" s="277"/>
      <c r="O19" s="2294">
        <v>45</v>
      </c>
      <c r="P19" s="2295">
        <v>44</v>
      </c>
      <c r="Q19" s="2279">
        <f>O19/P19</f>
        <v>1.0227272727272727</v>
      </c>
      <c r="R19" s="277"/>
      <c r="S19" s="2294">
        <v>29</v>
      </c>
      <c r="T19" s="2295">
        <v>45</v>
      </c>
      <c r="U19" s="2279">
        <f>S19/T19</f>
        <v>0.64444444444444449</v>
      </c>
      <c r="V19" s="277"/>
      <c r="W19" s="2294">
        <v>21</v>
      </c>
      <c r="X19" s="2295">
        <v>42</v>
      </c>
      <c r="Y19" s="2279">
        <f>W19/X19</f>
        <v>0.5</v>
      </c>
      <c r="Z19" s="277"/>
      <c r="AA19" s="2294">
        <v>41</v>
      </c>
      <c r="AB19" s="2295">
        <v>41</v>
      </c>
      <c r="AC19" s="2279">
        <f>AA19/AB19</f>
        <v>1</v>
      </c>
      <c r="AD19" s="277"/>
      <c r="AE19" s="2294">
        <v>54</v>
      </c>
      <c r="AF19" s="2295">
        <v>40</v>
      </c>
      <c r="AG19" s="2279">
        <f>AE19/AF19</f>
        <v>1.35</v>
      </c>
      <c r="AH19" s="277"/>
      <c r="AI19" s="2294">
        <v>61</v>
      </c>
      <c r="AJ19" s="2295">
        <v>42</v>
      </c>
      <c r="AK19" s="2279">
        <f>AI19/AJ19</f>
        <v>1.4523809523809523</v>
      </c>
      <c r="AL19" s="277"/>
      <c r="AM19" s="2294">
        <v>80</v>
      </c>
      <c r="AN19" s="2295">
        <v>41</v>
      </c>
      <c r="AO19" s="2279">
        <f>AM19/AN19</f>
        <v>1.9512195121951219</v>
      </c>
      <c r="AQ19" s="2294">
        <v>39</v>
      </c>
      <c r="AR19" s="2295">
        <v>41</v>
      </c>
      <c r="AS19" s="2279">
        <f>AQ19/AR19</f>
        <v>0.95121951219512191</v>
      </c>
      <c r="AU19" s="2294">
        <v>32</v>
      </c>
      <c r="AV19" s="2295">
        <v>41</v>
      </c>
      <c r="AW19" s="2279">
        <f>AU19/AV19</f>
        <v>0.78048780487804881</v>
      </c>
      <c r="AY19" s="2294">
        <v>67</v>
      </c>
      <c r="AZ19" s="2295">
        <v>34</v>
      </c>
      <c r="BA19" s="2279">
        <f>AY19/AZ19</f>
        <v>1.9705882352941178</v>
      </c>
      <c r="BC19" s="2294">
        <v>38</v>
      </c>
      <c r="BD19" s="2295">
        <v>35</v>
      </c>
      <c r="BE19" s="2279">
        <f>BC19/BD19</f>
        <v>1.0857142857142856</v>
      </c>
    </row>
    <row r="20" spans="1:57" s="1" customFormat="1">
      <c r="A20" s="1038" t="s">
        <v>969</v>
      </c>
      <c r="B20" s="5317"/>
      <c r="C20" s="2294">
        <v>50</v>
      </c>
      <c r="D20" s="2295">
        <v>67</v>
      </c>
      <c r="E20" s="2279">
        <f t="shared" si="0"/>
        <v>0.74626865671641796</v>
      </c>
      <c r="F20" s="277"/>
      <c r="G20" s="2294">
        <v>58</v>
      </c>
      <c r="H20" s="2295">
        <v>66</v>
      </c>
      <c r="I20" s="2279">
        <f t="shared" si="1"/>
        <v>0.87878787878787878</v>
      </c>
      <c r="J20" s="277"/>
      <c r="K20" s="2294">
        <v>46</v>
      </c>
      <c r="L20" s="2295">
        <v>70</v>
      </c>
      <c r="M20" s="2279">
        <f t="shared" si="2"/>
        <v>0.65714285714285714</v>
      </c>
      <c r="N20" s="277"/>
      <c r="O20" s="2294">
        <v>61</v>
      </c>
      <c r="P20" s="2295">
        <v>69</v>
      </c>
      <c r="Q20" s="2279">
        <f t="shared" si="3"/>
        <v>0.88405797101449279</v>
      </c>
      <c r="R20" s="277"/>
      <c r="S20" s="2294">
        <v>90</v>
      </c>
      <c r="T20" s="2295">
        <v>75</v>
      </c>
      <c r="U20" s="2279">
        <f t="shared" si="4"/>
        <v>1.2</v>
      </c>
      <c r="V20" s="277"/>
      <c r="W20" s="2294">
        <v>91</v>
      </c>
      <c r="X20" s="2295">
        <v>72</v>
      </c>
      <c r="Y20" s="2279">
        <f t="shared" si="5"/>
        <v>1.2638888888888888</v>
      </c>
      <c r="Z20" s="277"/>
      <c r="AA20" s="2294">
        <v>85</v>
      </c>
      <c r="AB20" s="2295">
        <v>71</v>
      </c>
      <c r="AC20" s="2279">
        <f t="shared" si="6"/>
        <v>1.1971830985915493</v>
      </c>
      <c r="AD20" s="277"/>
      <c r="AE20" s="2294">
        <v>83</v>
      </c>
      <c r="AF20" s="2295">
        <v>71</v>
      </c>
      <c r="AG20" s="2279">
        <f t="shared" si="7"/>
        <v>1.1690140845070423</v>
      </c>
      <c r="AH20" s="277"/>
      <c r="AI20" s="2294">
        <v>88</v>
      </c>
      <c r="AJ20" s="2295">
        <v>73</v>
      </c>
      <c r="AK20" s="2279">
        <f t="shared" si="8"/>
        <v>1.2054794520547945</v>
      </c>
      <c r="AL20" s="277"/>
      <c r="AM20" s="2294">
        <v>85</v>
      </c>
      <c r="AN20" s="2295">
        <v>71</v>
      </c>
      <c r="AO20" s="2279">
        <f t="shared" si="9"/>
        <v>1.1971830985915493</v>
      </c>
      <c r="AQ20" s="2294">
        <v>109</v>
      </c>
      <c r="AR20" s="2295">
        <v>72</v>
      </c>
      <c r="AS20" s="2279">
        <f t="shared" si="14"/>
        <v>1.5138888888888888</v>
      </c>
      <c r="AU20" s="2294">
        <v>73</v>
      </c>
      <c r="AV20" s="2295">
        <v>67</v>
      </c>
      <c r="AW20" s="2279">
        <f t="shared" ref="AW20:AW53" si="15">AU20/AV20</f>
        <v>1.0895522388059702</v>
      </c>
      <c r="AY20" s="2294">
        <v>73</v>
      </c>
      <c r="AZ20" s="2295">
        <v>66</v>
      </c>
      <c r="BA20" s="2279">
        <f t="shared" ref="BA20:BA53" si="16">AY20/AZ20</f>
        <v>1.106060606060606</v>
      </c>
      <c r="BC20" s="2294">
        <v>93</v>
      </c>
      <c r="BD20" s="2295">
        <v>67</v>
      </c>
      <c r="BE20" s="2279">
        <f t="shared" ref="BE20:BE64" si="17">BC20/BD20</f>
        <v>1.3880597014925373</v>
      </c>
    </row>
    <row r="21" spans="1:57" s="1" customFormat="1" ht="15" customHeight="1">
      <c r="A21" s="1961" t="s">
        <v>21</v>
      </c>
      <c r="B21" s="5317"/>
      <c r="C21" s="2297">
        <v>145</v>
      </c>
      <c r="D21" s="1976">
        <f>SUM(D17:D20)</f>
        <v>199</v>
      </c>
      <c r="E21" s="2281">
        <f t="shared" si="0"/>
        <v>0.72864321608040206</v>
      </c>
      <c r="F21" s="277"/>
      <c r="G21" s="2297">
        <v>154</v>
      </c>
      <c r="H21" s="1976">
        <f>SUM(H17:H20)</f>
        <v>201</v>
      </c>
      <c r="I21" s="2281">
        <f t="shared" si="1"/>
        <v>0.76616915422885568</v>
      </c>
      <c r="J21" s="277"/>
      <c r="K21" s="2297">
        <f>SUM(K17:K20)</f>
        <v>144</v>
      </c>
      <c r="L21" s="1976">
        <f>SUM(L17:L20)</f>
        <v>206</v>
      </c>
      <c r="M21" s="2281">
        <f t="shared" si="2"/>
        <v>0.69902912621359226</v>
      </c>
      <c r="N21" s="277"/>
      <c r="O21" s="2297">
        <f>SUM(O17:O20)</f>
        <v>208</v>
      </c>
      <c r="P21" s="1976">
        <f>SUM(P17:P20)</f>
        <v>211</v>
      </c>
      <c r="Q21" s="2281">
        <f t="shared" si="3"/>
        <v>0.98578199052132698</v>
      </c>
      <c r="R21" s="277"/>
      <c r="S21" s="2297">
        <f>SUM(S17:S20)</f>
        <v>259</v>
      </c>
      <c r="T21" s="1976">
        <f>SUM(T17:T20)</f>
        <v>221</v>
      </c>
      <c r="U21" s="2281">
        <f t="shared" si="4"/>
        <v>1.1719457013574661</v>
      </c>
      <c r="V21" s="277"/>
      <c r="W21" s="2297">
        <f>SUM(W17:W20)</f>
        <v>196</v>
      </c>
      <c r="X21" s="1976">
        <f>SUM(X17:X20)</f>
        <v>215</v>
      </c>
      <c r="Y21" s="2281">
        <f t="shared" si="5"/>
        <v>0.91162790697674423</v>
      </c>
      <c r="Z21" s="277"/>
      <c r="AA21" s="2297">
        <v>239</v>
      </c>
      <c r="AB21" s="1976">
        <f>SUM(AB17:AB20)</f>
        <v>213</v>
      </c>
      <c r="AC21" s="2281">
        <f t="shared" si="6"/>
        <v>1.1220657276995305</v>
      </c>
      <c r="AD21" s="277"/>
      <c r="AE21" s="2297">
        <v>191</v>
      </c>
      <c r="AF21" s="1976">
        <f>SUM(AF17:AF20)</f>
        <v>209</v>
      </c>
      <c r="AG21" s="2281">
        <f t="shared" si="7"/>
        <v>0.9138755980861244</v>
      </c>
      <c r="AH21" s="277"/>
      <c r="AI21" s="2297">
        <v>225</v>
      </c>
      <c r="AJ21" s="1976">
        <f>SUM(AJ17:AJ20)</f>
        <v>213</v>
      </c>
      <c r="AK21" s="2281">
        <f t="shared" si="8"/>
        <v>1.056338028169014</v>
      </c>
      <c r="AL21" s="277"/>
      <c r="AM21" s="2297">
        <v>206</v>
      </c>
      <c r="AN21" s="1976">
        <f>SUM(AN17:AN20)</f>
        <v>209</v>
      </c>
      <c r="AO21" s="2281">
        <f t="shared" si="9"/>
        <v>0.9856459330143541</v>
      </c>
      <c r="AQ21" s="2297">
        <v>194</v>
      </c>
      <c r="AR21" s="1976">
        <v>209</v>
      </c>
      <c r="AS21" s="2281">
        <f t="shared" si="14"/>
        <v>0.92822966507177029</v>
      </c>
      <c r="AU21" s="2297">
        <v>174</v>
      </c>
      <c r="AV21" s="1976">
        <v>204</v>
      </c>
      <c r="AW21" s="2281">
        <f t="shared" si="15"/>
        <v>0.8529411764705882</v>
      </c>
      <c r="AY21" s="2297">
        <v>214</v>
      </c>
      <c r="AZ21" s="1976">
        <v>200</v>
      </c>
      <c r="BA21" s="2281">
        <f t="shared" si="16"/>
        <v>1.07</v>
      </c>
      <c r="BC21" s="2297">
        <v>256</v>
      </c>
      <c r="BD21" s="1976">
        <v>201</v>
      </c>
      <c r="BE21" s="2281">
        <f t="shared" si="17"/>
        <v>1.2736318407960199</v>
      </c>
    </row>
    <row r="22" spans="1:57" s="1" customFormat="1" ht="15" customHeight="1">
      <c r="A22" s="1977" t="s">
        <v>970</v>
      </c>
      <c r="B22" s="5317"/>
      <c r="C22" s="2298">
        <v>1126</v>
      </c>
      <c r="D22" s="2299">
        <f>SUM(D10,D16,D21)</f>
        <v>849</v>
      </c>
      <c r="E22" s="2282">
        <f t="shared" si="0"/>
        <v>1.3262661955241462</v>
      </c>
      <c r="F22" s="277"/>
      <c r="G22" s="2298">
        <v>1257</v>
      </c>
      <c r="H22" s="2299">
        <f>SUM(H10,H16,H21)</f>
        <v>858</v>
      </c>
      <c r="I22" s="2282">
        <f t="shared" si="1"/>
        <v>1.465034965034965</v>
      </c>
      <c r="J22" s="277"/>
      <c r="K22" s="2298">
        <f>SUM(K21,K16,K10)</f>
        <v>1081</v>
      </c>
      <c r="L22" s="2299">
        <f>SUM(L10,L16,L21)</f>
        <v>868</v>
      </c>
      <c r="M22" s="2282">
        <f t="shared" si="2"/>
        <v>1.2453917050691243</v>
      </c>
      <c r="N22" s="277"/>
      <c r="O22" s="2298">
        <f>SUM(O21,O16,O10)</f>
        <v>1341</v>
      </c>
      <c r="P22" s="2299">
        <f>SUM(P10,P16,P21)</f>
        <v>886</v>
      </c>
      <c r="Q22" s="2282">
        <f t="shared" si="3"/>
        <v>1.5135440180586908</v>
      </c>
      <c r="R22" s="277"/>
      <c r="S22" s="2298">
        <f>SUM(S21,S16,S10)</f>
        <v>1275</v>
      </c>
      <c r="T22" s="2299">
        <f>SUM(T10,T16,T21)</f>
        <v>903</v>
      </c>
      <c r="U22" s="2282">
        <f t="shared" si="4"/>
        <v>1.4119601328903655</v>
      </c>
      <c r="V22" s="277"/>
      <c r="W22" s="2298">
        <f>SUM(W21,W16,W10)</f>
        <v>1494</v>
      </c>
      <c r="X22" s="2299">
        <v>885</v>
      </c>
      <c r="Y22" s="2282">
        <f t="shared" si="5"/>
        <v>1.688135593220339</v>
      </c>
      <c r="Z22" s="277"/>
      <c r="AA22" s="2298">
        <v>1430</v>
      </c>
      <c r="AB22" s="2299">
        <f>SUM(AB10,AB16,AB21)</f>
        <v>872</v>
      </c>
      <c r="AC22" s="2282">
        <f t="shared" si="6"/>
        <v>1.6399082568807339</v>
      </c>
      <c r="AD22" s="277"/>
      <c r="AE22" s="2298">
        <v>1310</v>
      </c>
      <c r="AF22" s="2299">
        <f>SUM(AF10,AF16,AF21)</f>
        <v>887</v>
      </c>
      <c r="AG22" s="2282">
        <f t="shared" si="7"/>
        <v>1.4768883878241263</v>
      </c>
      <c r="AH22" s="277"/>
      <c r="AI22" s="2298">
        <v>1448</v>
      </c>
      <c r="AJ22" s="2299">
        <v>904</v>
      </c>
      <c r="AK22" s="2282">
        <f t="shared" si="8"/>
        <v>1.6017699115044248</v>
      </c>
      <c r="AL22" s="277"/>
      <c r="AM22" s="2298">
        <v>1268</v>
      </c>
      <c r="AN22" s="2299">
        <v>896</v>
      </c>
      <c r="AO22" s="2282">
        <f t="shared" si="9"/>
        <v>1.4151785714285714</v>
      </c>
      <c r="AQ22" s="2298">
        <v>895</v>
      </c>
      <c r="AR22" s="2299">
        <v>886</v>
      </c>
      <c r="AS22" s="2282">
        <f t="shared" si="14"/>
        <v>1.010158013544018</v>
      </c>
      <c r="AU22" s="2298">
        <v>1369</v>
      </c>
      <c r="AV22" s="2299">
        <v>869</v>
      </c>
      <c r="AW22" s="2282">
        <f t="shared" si="15"/>
        <v>1.5753739930955122</v>
      </c>
      <c r="AY22" s="2298">
        <v>1179</v>
      </c>
      <c r="AZ22" s="2299">
        <v>854</v>
      </c>
      <c r="BA22" s="2282">
        <f t="shared" si="16"/>
        <v>1.3805620608899298</v>
      </c>
      <c r="BC22" s="2298">
        <v>1360</v>
      </c>
      <c r="BD22" s="2299">
        <v>842</v>
      </c>
      <c r="BE22" s="2282">
        <f t="shared" si="17"/>
        <v>1.6152019002375297</v>
      </c>
    </row>
    <row r="23" spans="1:57" s="1" customFormat="1">
      <c r="A23" s="1037" t="s">
        <v>971</v>
      </c>
      <c r="B23" s="5317"/>
      <c r="C23" s="2300">
        <v>41</v>
      </c>
      <c r="D23" s="2301">
        <v>16</v>
      </c>
      <c r="E23" s="2302">
        <f t="shared" si="0"/>
        <v>2.5625</v>
      </c>
      <c r="F23" s="277"/>
      <c r="G23" s="2300">
        <v>37</v>
      </c>
      <c r="H23" s="2301">
        <v>17</v>
      </c>
      <c r="I23" s="2302">
        <f t="shared" si="1"/>
        <v>2.1764705882352939</v>
      </c>
      <c r="J23" s="277"/>
      <c r="K23" s="2300">
        <v>16</v>
      </c>
      <c r="L23" s="2301">
        <v>18</v>
      </c>
      <c r="M23" s="2302">
        <f t="shared" si="2"/>
        <v>0.88888888888888884</v>
      </c>
      <c r="N23" s="277"/>
      <c r="O23" s="2300">
        <v>62</v>
      </c>
      <c r="P23" s="2301">
        <v>21</v>
      </c>
      <c r="Q23" s="2302">
        <f t="shared" si="3"/>
        <v>2.9523809523809526</v>
      </c>
      <c r="R23" s="277"/>
      <c r="S23" s="2300">
        <v>28</v>
      </c>
      <c r="T23" s="2301">
        <v>21</v>
      </c>
      <c r="U23" s="2302">
        <f t="shared" si="4"/>
        <v>1.3333333333333333</v>
      </c>
      <c r="V23" s="277"/>
      <c r="W23" s="2300">
        <v>32</v>
      </c>
      <c r="X23" s="2301">
        <v>19</v>
      </c>
      <c r="Y23" s="2302">
        <f t="shared" si="5"/>
        <v>1.6842105263157894</v>
      </c>
      <c r="Z23" s="277"/>
      <c r="AA23" s="2300">
        <v>29</v>
      </c>
      <c r="AB23" s="2301">
        <v>18</v>
      </c>
      <c r="AC23" s="2302">
        <f t="shared" si="6"/>
        <v>1.6111111111111112</v>
      </c>
      <c r="AD23" s="277"/>
      <c r="AE23" s="2300">
        <v>16</v>
      </c>
      <c r="AF23" s="2301">
        <v>19</v>
      </c>
      <c r="AG23" s="2302">
        <f t="shared" si="7"/>
        <v>0.84210526315789469</v>
      </c>
      <c r="AH23" s="277"/>
      <c r="AI23" s="2300">
        <v>28</v>
      </c>
      <c r="AJ23" s="2301">
        <v>16</v>
      </c>
      <c r="AK23" s="2302">
        <f t="shared" si="8"/>
        <v>1.75</v>
      </c>
      <c r="AL23" s="277"/>
      <c r="AM23" s="2300">
        <v>11</v>
      </c>
      <c r="AN23" s="2301">
        <v>16</v>
      </c>
      <c r="AO23" s="2302">
        <f t="shared" si="9"/>
        <v>0.6875</v>
      </c>
      <c r="AQ23" s="2300">
        <v>33</v>
      </c>
      <c r="AR23" s="2301">
        <v>16</v>
      </c>
      <c r="AS23" s="2302">
        <f t="shared" si="14"/>
        <v>2.0625</v>
      </c>
      <c r="AU23" s="2300">
        <v>27</v>
      </c>
      <c r="AV23" s="2301">
        <v>16</v>
      </c>
      <c r="AW23" s="2302">
        <f t="shared" si="15"/>
        <v>1.6875</v>
      </c>
      <c r="AY23" s="2300">
        <v>48</v>
      </c>
      <c r="AZ23" s="2301">
        <v>17</v>
      </c>
      <c r="BA23" s="2302">
        <f t="shared" si="16"/>
        <v>2.8235294117647061</v>
      </c>
      <c r="BC23" s="2300">
        <v>19</v>
      </c>
      <c r="BD23" s="2301">
        <v>18</v>
      </c>
      <c r="BE23" s="2302">
        <f t="shared" si="17"/>
        <v>1.0555555555555556</v>
      </c>
    </row>
    <row r="24" spans="1:57" s="1" customFormat="1">
      <c r="A24" s="1038" t="s">
        <v>972</v>
      </c>
      <c r="B24" s="5317"/>
      <c r="C24" s="2300">
        <v>7</v>
      </c>
      <c r="D24" s="2301">
        <v>6</v>
      </c>
      <c r="E24" s="2302">
        <f t="shared" si="0"/>
        <v>1.1666666666666667</v>
      </c>
      <c r="F24" s="277"/>
      <c r="G24" s="2300">
        <v>14</v>
      </c>
      <c r="H24" s="2301">
        <v>7</v>
      </c>
      <c r="I24" s="2302">
        <f t="shared" si="1"/>
        <v>2</v>
      </c>
      <c r="J24" s="277"/>
      <c r="K24" s="2300">
        <v>17</v>
      </c>
      <c r="L24" s="2301">
        <v>14</v>
      </c>
      <c r="M24" s="2302">
        <f t="shared" si="2"/>
        <v>1.2142857142857142</v>
      </c>
      <c r="N24" s="277"/>
      <c r="O24" s="2300">
        <v>34</v>
      </c>
      <c r="P24" s="2301">
        <v>13</v>
      </c>
      <c r="Q24" s="2302">
        <f t="shared" si="3"/>
        <v>2.6153846153846154</v>
      </c>
      <c r="R24" s="277"/>
      <c r="S24" s="2300">
        <v>34</v>
      </c>
      <c r="T24" s="2301">
        <v>14</v>
      </c>
      <c r="U24" s="2302">
        <f t="shared" si="4"/>
        <v>2.4285714285714284</v>
      </c>
      <c r="V24" s="277"/>
      <c r="W24" s="2300">
        <v>39</v>
      </c>
      <c r="X24" s="2301">
        <v>16</v>
      </c>
      <c r="Y24" s="2302">
        <f t="shared" si="5"/>
        <v>2.4375</v>
      </c>
      <c r="Z24" s="277"/>
      <c r="AA24" s="2300">
        <v>36</v>
      </c>
      <c r="AB24" s="2301">
        <v>16</v>
      </c>
      <c r="AC24" s="2302">
        <f t="shared" si="6"/>
        <v>2.25</v>
      </c>
      <c r="AD24" s="277"/>
      <c r="AE24" s="2300">
        <v>30</v>
      </c>
      <c r="AF24" s="2301">
        <v>16</v>
      </c>
      <c r="AG24" s="2302">
        <f t="shared" si="7"/>
        <v>1.875</v>
      </c>
      <c r="AH24" s="277"/>
      <c r="AI24" s="2300">
        <v>48</v>
      </c>
      <c r="AJ24" s="2301">
        <v>17</v>
      </c>
      <c r="AK24" s="2302">
        <f t="shared" si="8"/>
        <v>2.8235294117647061</v>
      </c>
      <c r="AL24" s="277"/>
      <c r="AM24" s="2300">
        <v>100</v>
      </c>
      <c r="AN24" s="2301">
        <v>18</v>
      </c>
      <c r="AO24" s="2302">
        <f t="shared" si="9"/>
        <v>5.5555555555555554</v>
      </c>
      <c r="AQ24" s="2300">
        <v>36</v>
      </c>
      <c r="AR24" s="2301">
        <v>18</v>
      </c>
      <c r="AS24" s="2302">
        <f t="shared" si="14"/>
        <v>2</v>
      </c>
      <c r="AU24" s="2300">
        <v>32</v>
      </c>
      <c r="AV24" s="2301">
        <v>18</v>
      </c>
      <c r="AW24" s="2302">
        <f t="shared" si="15"/>
        <v>1.7777777777777777</v>
      </c>
      <c r="AY24" s="2300">
        <v>24</v>
      </c>
      <c r="AZ24" s="2301">
        <v>19</v>
      </c>
      <c r="BA24" s="2302">
        <f t="shared" si="16"/>
        <v>1.263157894736842</v>
      </c>
      <c r="BC24" s="2300">
        <v>46</v>
      </c>
      <c r="BD24" s="2301">
        <v>17</v>
      </c>
      <c r="BE24" s="2302">
        <f t="shared" si="17"/>
        <v>2.7058823529411766</v>
      </c>
    </row>
    <row r="25" spans="1:57" s="1" customFormat="1">
      <c r="A25" s="1038" t="s">
        <v>973</v>
      </c>
      <c r="B25" s="5317"/>
      <c r="C25" s="2300">
        <v>19</v>
      </c>
      <c r="D25" s="2301">
        <v>16</v>
      </c>
      <c r="E25" s="2302">
        <f t="shared" si="0"/>
        <v>1.1875</v>
      </c>
      <c r="F25" s="277"/>
      <c r="G25" s="2300">
        <v>23</v>
      </c>
      <c r="H25" s="2301">
        <v>17</v>
      </c>
      <c r="I25" s="2302">
        <f t="shared" si="1"/>
        <v>1.3529411764705883</v>
      </c>
      <c r="J25" s="277"/>
      <c r="K25" s="2300">
        <v>70</v>
      </c>
      <c r="L25" s="2301">
        <v>20</v>
      </c>
      <c r="M25" s="2302">
        <f t="shared" si="2"/>
        <v>3.5</v>
      </c>
      <c r="N25" s="277"/>
      <c r="O25" s="2300">
        <v>38</v>
      </c>
      <c r="P25" s="2301">
        <v>17</v>
      </c>
      <c r="Q25" s="2302">
        <f t="shared" si="3"/>
        <v>2.2352941176470589</v>
      </c>
      <c r="R25" s="277"/>
      <c r="S25" s="2300">
        <v>36</v>
      </c>
      <c r="T25" s="2301">
        <v>17</v>
      </c>
      <c r="U25" s="2302">
        <f t="shared" si="4"/>
        <v>2.1176470588235294</v>
      </c>
      <c r="V25" s="277"/>
      <c r="W25" s="2300">
        <v>55</v>
      </c>
      <c r="X25" s="2301">
        <v>19</v>
      </c>
      <c r="Y25" s="2302">
        <f t="shared" si="5"/>
        <v>2.8947368421052633</v>
      </c>
      <c r="Z25" s="277"/>
      <c r="AA25" s="2300">
        <v>53</v>
      </c>
      <c r="AB25" s="2301">
        <v>19</v>
      </c>
      <c r="AC25" s="2302">
        <f t="shared" si="6"/>
        <v>2.7894736842105261</v>
      </c>
      <c r="AD25" s="277"/>
      <c r="AE25" s="2300">
        <v>61</v>
      </c>
      <c r="AF25" s="2301">
        <v>19</v>
      </c>
      <c r="AG25" s="2302">
        <f t="shared" si="7"/>
        <v>3.2105263157894739</v>
      </c>
      <c r="AH25" s="277"/>
      <c r="AI25" s="2300">
        <v>41</v>
      </c>
      <c r="AJ25" s="2301">
        <v>19</v>
      </c>
      <c r="AK25" s="2302">
        <f t="shared" si="8"/>
        <v>2.1578947368421053</v>
      </c>
      <c r="AL25" s="277"/>
      <c r="AM25" s="2300">
        <v>47</v>
      </c>
      <c r="AN25" s="2301">
        <v>19</v>
      </c>
      <c r="AO25" s="2302">
        <f t="shared" si="9"/>
        <v>2.4736842105263159</v>
      </c>
      <c r="AQ25" s="2300">
        <v>36</v>
      </c>
      <c r="AR25" s="2301">
        <v>21</v>
      </c>
      <c r="AS25" s="2302">
        <f t="shared" si="14"/>
        <v>1.7142857142857142</v>
      </c>
      <c r="AU25" s="2300">
        <v>32</v>
      </c>
      <c r="AV25" s="2301">
        <v>23</v>
      </c>
      <c r="AW25" s="2302">
        <f t="shared" si="15"/>
        <v>1.3913043478260869</v>
      </c>
      <c r="AY25" s="2300">
        <v>38</v>
      </c>
      <c r="AZ25" s="2301">
        <v>23</v>
      </c>
      <c r="BA25" s="2302">
        <f t="shared" si="16"/>
        <v>1.6521739130434783</v>
      </c>
      <c r="BC25" s="2300">
        <v>48</v>
      </c>
      <c r="BD25" s="2301">
        <v>23</v>
      </c>
      <c r="BE25" s="2302">
        <f t="shared" si="17"/>
        <v>2.0869565217391304</v>
      </c>
    </row>
    <row r="26" spans="1:57" s="1" customFormat="1" ht="15" customHeight="1">
      <c r="A26" s="1929" t="s">
        <v>61</v>
      </c>
      <c r="B26" s="5317"/>
      <c r="C26" s="2293">
        <v>67</v>
      </c>
      <c r="D26" s="1448">
        <f>SUM(D23:D25)</f>
        <v>38</v>
      </c>
      <c r="E26" s="2278">
        <f t="shared" si="0"/>
        <v>1.763157894736842</v>
      </c>
      <c r="F26" s="277"/>
      <c r="G26" s="2293">
        <v>74</v>
      </c>
      <c r="H26" s="1448">
        <f>SUM(H23:H25)</f>
        <v>41</v>
      </c>
      <c r="I26" s="2278">
        <f t="shared" si="1"/>
        <v>1.8048780487804879</v>
      </c>
      <c r="J26" s="277"/>
      <c r="K26" s="2293">
        <f>SUM(K23:K25)</f>
        <v>103</v>
      </c>
      <c r="L26" s="1448">
        <f>SUM(L23:L25)</f>
        <v>52</v>
      </c>
      <c r="M26" s="2278">
        <f t="shared" si="2"/>
        <v>1.9807692307692308</v>
      </c>
      <c r="N26" s="277"/>
      <c r="O26" s="2293">
        <f>SUM(O23:O25)</f>
        <v>134</v>
      </c>
      <c r="P26" s="1448">
        <f>SUM(P23:P25)</f>
        <v>51</v>
      </c>
      <c r="Q26" s="2278">
        <f t="shared" si="3"/>
        <v>2.6274509803921569</v>
      </c>
      <c r="R26" s="277"/>
      <c r="S26" s="2293">
        <f>SUM(S23:S25)</f>
        <v>98</v>
      </c>
      <c r="T26" s="1448">
        <f>SUM(T23:T25)</f>
        <v>52</v>
      </c>
      <c r="U26" s="2278">
        <f t="shared" si="4"/>
        <v>1.8846153846153846</v>
      </c>
      <c r="V26" s="277"/>
      <c r="W26" s="2293">
        <f>SUM(W23:W25)</f>
        <v>126</v>
      </c>
      <c r="X26" s="1448">
        <v>54</v>
      </c>
      <c r="Y26" s="2278">
        <f t="shared" si="5"/>
        <v>2.3333333333333335</v>
      </c>
      <c r="Z26" s="277"/>
      <c r="AA26" s="2293">
        <v>118</v>
      </c>
      <c r="AB26" s="1448">
        <f>SUM(AB23:AB25)</f>
        <v>53</v>
      </c>
      <c r="AC26" s="2278">
        <f t="shared" si="6"/>
        <v>2.2264150943396226</v>
      </c>
      <c r="AD26" s="277"/>
      <c r="AE26" s="2293">
        <v>107</v>
      </c>
      <c r="AF26" s="1448">
        <f>SUM(AF23:AF25)</f>
        <v>54</v>
      </c>
      <c r="AG26" s="2278">
        <f t="shared" si="7"/>
        <v>1.9814814814814814</v>
      </c>
      <c r="AH26" s="277"/>
      <c r="AI26" s="2293">
        <v>117</v>
      </c>
      <c r="AJ26" s="1448">
        <v>52</v>
      </c>
      <c r="AK26" s="2278">
        <f t="shared" si="8"/>
        <v>2.25</v>
      </c>
      <c r="AL26" s="277"/>
      <c r="AM26" s="2293">
        <v>158</v>
      </c>
      <c r="AN26" s="1448">
        <v>53</v>
      </c>
      <c r="AO26" s="2278">
        <f t="shared" si="9"/>
        <v>2.9811320754716979</v>
      </c>
      <c r="AQ26" s="2293">
        <v>105</v>
      </c>
      <c r="AR26" s="1448">
        <v>55</v>
      </c>
      <c r="AS26" s="2278">
        <f t="shared" si="14"/>
        <v>1.9090909090909092</v>
      </c>
      <c r="AU26" s="2293">
        <v>91</v>
      </c>
      <c r="AV26" s="1448">
        <v>57</v>
      </c>
      <c r="AW26" s="2278">
        <f t="shared" si="15"/>
        <v>1.5964912280701755</v>
      </c>
      <c r="AY26" s="2293">
        <v>110</v>
      </c>
      <c r="AZ26" s="1448">
        <v>59</v>
      </c>
      <c r="BA26" s="2278">
        <f t="shared" si="16"/>
        <v>1.8644067796610169</v>
      </c>
      <c r="BC26" s="2293">
        <v>113</v>
      </c>
      <c r="BD26" s="1448">
        <v>58</v>
      </c>
      <c r="BE26" s="2278">
        <f t="shared" si="17"/>
        <v>1.9482758620689655</v>
      </c>
    </row>
    <row r="27" spans="1:57" s="1" customFormat="1">
      <c r="A27" s="1038" t="s">
        <v>974</v>
      </c>
      <c r="B27" s="5317"/>
      <c r="C27" s="2300">
        <v>14</v>
      </c>
      <c r="D27" s="2301">
        <v>8</v>
      </c>
      <c r="E27" s="2302">
        <f t="shared" si="0"/>
        <v>1.75</v>
      </c>
      <c r="F27" s="277"/>
      <c r="G27" s="2300">
        <v>21</v>
      </c>
      <c r="H27" s="2301">
        <v>8</v>
      </c>
      <c r="I27" s="2302">
        <f t="shared" si="1"/>
        <v>2.625</v>
      </c>
      <c r="J27" s="277"/>
      <c r="K27" s="2300">
        <v>12</v>
      </c>
      <c r="L27" s="2301">
        <v>9</v>
      </c>
      <c r="M27" s="2302">
        <f t="shared" si="2"/>
        <v>1.3333333333333333</v>
      </c>
      <c r="N27" s="277"/>
      <c r="O27" s="2300">
        <v>22</v>
      </c>
      <c r="P27" s="2301">
        <v>10</v>
      </c>
      <c r="Q27" s="2302">
        <f t="shared" si="3"/>
        <v>2.2000000000000002</v>
      </c>
      <c r="R27" s="277"/>
      <c r="S27" s="2300">
        <v>15</v>
      </c>
      <c r="T27" s="2301">
        <v>10</v>
      </c>
      <c r="U27" s="2302">
        <f t="shared" si="4"/>
        <v>1.5</v>
      </c>
      <c r="V27" s="277"/>
      <c r="W27" s="2300">
        <v>28</v>
      </c>
      <c r="X27" s="2301">
        <v>12</v>
      </c>
      <c r="Y27" s="2302">
        <f t="shared" si="5"/>
        <v>2.3333333333333335</v>
      </c>
      <c r="Z27" s="277"/>
      <c r="AA27" s="2300">
        <v>8</v>
      </c>
      <c r="AB27" s="2301">
        <v>13</v>
      </c>
      <c r="AC27" s="2302">
        <f t="shared" si="6"/>
        <v>0.61538461538461542</v>
      </c>
      <c r="AD27" s="277"/>
      <c r="AE27" s="2300">
        <v>23</v>
      </c>
      <c r="AF27" s="2301">
        <v>13</v>
      </c>
      <c r="AG27" s="2302">
        <f t="shared" si="7"/>
        <v>1.7692307692307692</v>
      </c>
      <c r="AH27" s="277"/>
      <c r="AI27" s="2300">
        <v>17</v>
      </c>
      <c r="AJ27" s="2301">
        <v>13</v>
      </c>
      <c r="AK27" s="2302">
        <f t="shared" si="8"/>
        <v>1.3076923076923077</v>
      </c>
      <c r="AL27" s="277"/>
      <c r="AM27" s="2300">
        <v>26</v>
      </c>
      <c r="AN27" s="2301">
        <v>14</v>
      </c>
      <c r="AO27" s="2302">
        <f t="shared" si="9"/>
        <v>1.8571428571428572</v>
      </c>
      <c r="AQ27" s="2300">
        <v>27</v>
      </c>
      <c r="AR27" s="2301">
        <v>15</v>
      </c>
      <c r="AS27" s="2302">
        <f t="shared" si="14"/>
        <v>1.8</v>
      </c>
      <c r="AU27" s="2300">
        <v>19</v>
      </c>
      <c r="AV27" s="2301">
        <v>15</v>
      </c>
      <c r="AW27" s="2302">
        <f t="shared" si="15"/>
        <v>1.2666666666666666</v>
      </c>
      <c r="AY27" s="2300">
        <v>20</v>
      </c>
      <c r="AZ27" s="2301">
        <v>14</v>
      </c>
      <c r="BA27" s="2302">
        <f t="shared" si="16"/>
        <v>1.4285714285714286</v>
      </c>
      <c r="BC27" s="2300">
        <v>30</v>
      </c>
      <c r="BD27" s="2301">
        <v>15</v>
      </c>
      <c r="BE27" s="2302">
        <f t="shared" si="17"/>
        <v>2</v>
      </c>
    </row>
    <row r="28" spans="1:57" s="1" customFormat="1">
      <c r="A28" s="1038" t="s">
        <v>975</v>
      </c>
      <c r="B28" s="5317"/>
      <c r="C28" s="2300">
        <v>13</v>
      </c>
      <c r="D28" s="2301">
        <v>8</v>
      </c>
      <c r="E28" s="2302">
        <f t="shared" si="0"/>
        <v>1.625</v>
      </c>
      <c r="F28" s="277"/>
      <c r="G28" s="2300">
        <v>15</v>
      </c>
      <c r="H28" s="2301">
        <v>11</v>
      </c>
      <c r="I28" s="2302">
        <f t="shared" si="1"/>
        <v>1.3636363636363635</v>
      </c>
      <c r="J28" s="277"/>
      <c r="K28" s="2300">
        <v>30</v>
      </c>
      <c r="L28" s="2301">
        <v>14</v>
      </c>
      <c r="M28" s="2302">
        <f t="shared" si="2"/>
        <v>2.1428571428571428</v>
      </c>
      <c r="N28" s="277"/>
      <c r="O28" s="2300">
        <v>25</v>
      </c>
      <c r="P28" s="2301">
        <v>14</v>
      </c>
      <c r="Q28" s="2302">
        <f t="shared" si="3"/>
        <v>1.7857142857142858</v>
      </c>
      <c r="R28" s="277"/>
      <c r="S28" s="2300">
        <v>33</v>
      </c>
      <c r="T28" s="2301">
        <v>17</v>
      </c>
      <c r="U28" s="2302">
        <f t="shared" si="4"/>
        <v>1.9411764705882353</v>
      </c>
      <c r="V28" s="277"/>
      <c r="W28" s="2300">
        <v>57</v>
      </c>
      <c r="X28" s="2301">
        <v>16</v>
      </c>
      <c r="Y28" s="2302">
        <f t="shared" si="5"/>
        <v>3.5625</v>
      </c>
      <c r="Z28" s="277"/>
      <c r="AA28" s="2300">
        <v>31</v>
      </c>
      <c r="AB28" s="2301">
        <v>18</v>
      </c>
      <c r="AC28" s="2302">
        <f t="shared" si="6"/>
        <v>1.7222222222222223</v>
      </c>
      <c r="AD28" s="277"/>
      <c r="AE28" s="2300">
        <v>39</v>
      </c>
      <c r="AF28" s="2301">
        <v>19</v>
      </c>
      <c r="AG28" s="2302">
        <f t="shared" si="7"/>
        <v>2.0526315789473686</v>
      </c>
      <c r="AH28" s="277"/>
      <c r="AI28" s="2300">
        <v>41</v>
      </c>
      <c r="AJ28" s="2301">
        <v>19</v>
      </c>
      <c r="AK28" s="2302">
        <f t="shared" si="8"/>
        <v>2.1578947368421053</v>
      </c>
      <c r="AL28" s="277"/>
      <c r="AM28" s="2300">
        <v>51</v>
      </c>
      <c r="AN28" s="2301">
        <v>19</v>
      </c>
      <c r="AO28" s="2302">
        <f t="shared" si="9"/>
        <v>2.6842105263157894</v>
      </c>
      <c r="AQ28" s="2300">
        <v>36</v>
      </c>
      <c r="AR28" s="2301">
        <v>20</v>
      </c>
      <c r="AS28" s="2302">
        <f t="shared" si="14"/>
        <v>1.8</v>
      </c>
      <c r="AU28" s="2300">
        <v>56</v>
      </c>
      <c r="AV28" s="2301">
        <v>20</v>
      </c>
      <c r="AW28" s="2302">
        <f t="shared" si="15"/>
        <v>2.8</v>
      </c>
      <c r="AY28" s="2300">
        <v>34</v>
      </c>
      <c r="AZ28" s="2301">
        <v>20</v>
      </c>
      <c r="BA28" s="2302">
        <f t="shared" si="16"/>
        <v>1.7</v>
      </c>
      <c r="BC28" s="2300">
        <v>38</v>
      </c>
      <c r="BD28" s="2301">
        <v>22</v>
      </c>
      <c r="BE28" s="2302">
        <f t="shared" si="17"/>
        <v>1.7272727272727273</v>
      </c>
    </row>
    <row r="29" spans="1:57" s="1" customFormat="1">
      <c r="A29" s="1038" t="s">
        <v>976</v>
      </c>
      <c r="B29" s="5317"/>
      <c r="C29" s="2300">
        <v>19</v>
      </c>
      <c r="D29" s="2301">
        <v>11</v>
      </c>
      <c r="E29" s="2302">
        <f t="shared" si="0"/>
        <v>1.7272727272727273</v>
      </c>
      <c r="F29" s="277"/>
      <c r="G29" s="2300">
        <v>30</v>
      </c>
      <c r="H29" s="2301">
        <v>14</v>
      </c>
      <c r="I29" s="2302">
        <f t="shared" si="1"/>
        <v>2.1428571428571428</v>
      </c>
      <c r="J29" s="277"/>
      <c r="K29" s="2300">
        <v>4</v>
      </c>
      <c r="L29" s="2301">
        <v>13</v>
      </c>
      <c r="M29" s="2302">
        <f t="shared" si="2"/>
        <v>0.30769230769230771</v>
      </c>
      <c r="N29" s="277"/>
      <c r="O29" s="2300">
        <v>31</v>
      </c>
      <c r="P29" s="2301">
        <v>14</v>
      </c>
      <c r="Q29" s="2302">
        <f t="shared" si="3"/>
        <v>2.2142857142857144</v>
      </c>
      <c r="R29" s="277"/>
      <c r="S29" s="2300">
        <v>18</v>
      </c>
      <c r="T29" s="2301">
        <v>15</v>
      </c>
      <c r="U29" s="2302">
        <f t="shared" si="4"/>
        <v>1.2</v>
      </c>
      <c r="V29" s="277"/>
      <c r="W29" s="2300">
        <v>49</v>
      </c>
      <c r="X29" s="2301">
        <v>15</v>
      </c>
      <c r="Y29" s="2302">
        <f t="shared" si="5"/>
        <v>3.2666666666666666</v>
      </c>
      <c r="Z29" s="277"/>
      <c r="AA29" s="2300">
        <v>33</v>
      </c>
      <c r="AB29" s="2301">
        <v>15</v>
      </c>
      <c r="AC29" s="2302">
        <f t="shared" si="6"/>
        <v>2.2000000000000002</v>
      </c>
      <c r="AD29" s="277"/>
      <c r="AE29" s="2300">
        <v>36</v>
      </c>
      <c r="AF29" s="2301">
        <v>16</v>
      </c>
      <c r="AG29" s="2302">
        <f t="shared" si="7"/>
        <v>2.25</v>
      </c>
      <c r="AH29" s="277"/>
      <c r="AI29" s="2300">
        <v>40</v>
      </c>
      <c r="AJ29" s="2301">
        <v>17</v>
      </c>
      <c r="AK29" s="2302">
        <f t="shared" si="8"/>
        <v>2.3529411764705883</v>
      </c>
      <c r="AL29" s="277"/>
      <c r="AM29" s="2300">
        <v>27</v>
      </c>
      <c r="AN29" s="2301">
        <v>17</v>
      </c>
      <c r="AO29" s="2302">
        <f t="shared" si="9"/>
        <v>1.588235294117647</v>
      </c>
      <c r="AQ29" s="2300">
        <v>28</v>
      </c>
      <c r="AR29" s="2301">
        <v>17</v>
      </c>
      <c r="AS29" s="2302">
        <f t="shared" si="14"/>
        <v>1.6470588235294117</v>
      </c>
      <c r="AU29" s="2300">
        <v>56</v>
      </c>
      <c r="AV29" s="2301">
        <v>17</v>
      </c>
      <c r="AW29" s="2302">
        <f t="shared" si="15"/>
        <v>3.2941176470588234</v>
      </c>
      <c r="AY29" s="2300">
        <v>30</v>
      </c>
      <c r="AZ29" s="2301">
        <v>17</v>
      </c>
      <c r="BA29" s="2302">
        <f t="shared" si="16"/>
        <v>1.7647058823529411</v>
      </c>
      <c r="BC29" s="2300">
        <v>23</v>
      </c>
      <c r="BD29" s="2301">
        <v>19</v>
      </c>
      <c r="BE29" s="2302">
        <f t="shared" si="17"/>
        <v>1.2105263157894737</v>
      </c>
    </row>
    <row r="30" spans="1:57" s="1" customFormat="1" ht="15" customHeight="1">
      <c r="A30" s="1929" t="s">
        <v>64</v>
      </c>
      <c r="B30" s="5317"/>
      <c r="C30" s="2293">
        <v>46</v>
      </c>
      <c r="D30" s="1448">
        <f>SUM(D27:D29)</f>
        <v>27</v>
      </c>
      <c r="E30" s="2278">
        <f t="shared" si="0"/>
        <v>1.7037037037037037</v>
      </c>
      <c r="F30" s="277"/>
      <c r="G30" s="2293">
        <v>66</v>
      </c>
      <c r="H30" s="1448">
        <f>SUM(H27:H29)</f>
        <v>33</v>
      </c>
      <c r="I30" s="2278">
        <f t="shared" si="1"/>
        <v>2</v>
      </c>
      <c r="J30" s="277"/>
      <c r="K30" s="2293">
        <f>SUM(K27:K29)</f>
        <v>46</v>
      </c>
      <c r="L30" s="1448">
        <f>SUM(L27:L29)</f>
        <v>36</v>
      </c>
      <c r="M30" s="2278">
        <f t="shared" si="2"/>
        <v>1.2777777777777777</v>
      </c>
      <c r="N30" s="277"/>
      <c r="O30" s="2293">
        <f>SUM(O27:O29)</f>
        <v>78</v>
      </c>
      <c r="P30" s="1448">
        <f>SUM(P27:P29)</f>
        <v>38</v>
      </c>
      <c r="Q30" s="2278">
        <f t="shared" si="3"/>
        <v>2.0526315789473686</v>
      </c>
      <c r="R30" s="277"/>
      <c r="S30" s="2293">
        <f>SUM(S27:S29)</f>
        <v>66</v>
      </c>
      <c r="T30" s="1448">
        <f>SUM(T27:T29)</f>
        <v>42</v>
      </c>
      <c r="U30" s="2278">
        <f t="shared" si="4"/>
        <v>1.5714285714285714</v>
      </c>
      <c r="V30" s="277"/>
      <c r="W30" s="2293">
        <f>SUM(W27:W29)</f>
        <v>134</v>
      </c>
      <c r="X30" s="1448">
        <v>43</v>
      </c>
      <c r="Y30" s="2278">
        <f t="shared" si="5"/>
        <v>3.1162790697674421</v>
      </c>
      <c r="Z30" s="277"/>
      <c r="AA30" s="2293">
        <v>72</v>
      </c>
      <c r="AB30" s="1448">
        <f>SUM(AB27:AB29)</f>
        <v>46</v>
      </c>
      <c r="AC30" s="2278">
        <f t="shared" si="6"/>
        <v>1.5652173913043479</v>
      </c>
      <c r="AD30" s="277"/>
      <c r="AE30" s="2293">
        <v>98</v>
      </c>
      <c r="AF30" s="1448">
        <f>SUM(AF27:AF29)</f>
        <v>48</v>
      </c>
      <c r="AG30" s="2278">
        <f t="shared" si="7"/>
        <v>2.0416666666666665</v>
      </c>
      <c r="AH30" s="277"/>
      <c r="AI30" s="2293">
        <v>98</v>
      </c>
      <c r="AJ30" s="1448">
        <v>49</v>
      </c>
      <c r="AK30" s="2278">
        <f t="shared" si="8"/>
        <v>2</v>
      </c>
      <c r="AL30" s="277"/>
      <c r="AM30" s="2293">
        <v>104</v>
      </c>
      <c r="AN30" s="1448">
        <v>50</v>
      </c>
      <c r="AO30" s="2278">
        <f t="shared" si="9"/>
        <v>2.08</v>
      </c>
      <c r="AQ30" s="2293">
        <v>91</v>
      </c>
      <c r="AR30" s="1448">
        <v>52</v>
      </c>
      <c r="AS30" s="2278">
        <f t="shared" si="14"/>
        <v>1.75</v>
      </c>
      <c r="AU30" s="2293">
        <v>131</v>
      </c>
      <c r="AV30" s="1448">
        <v>52</v>
      </c>
      <c r="AW30" s="2278">
        <f t="shared" si="15"/>
        <v>2.5192307692307692</v>
      </c>
      <c r="AY30" s="2293">
        <v>84</v>
      </c>
      <c r="AZ30" s="1448">
        <v>51</v>
      </c>
      <c r="BA30" s="2278">
        <f t="shared" si="16"/>
        <v>1.6470588235294117</v>
      </c>
      <c r="BC30" s="2293">
        <v>91</v>
      </c>
      <c r="BD30" s="1448">
        <v>56</v>
      </c>
      <c r="BE30" s="2278">
        <f t="shared" si="17"/>
        <v>1.625</v>
      </c>
    </row>
    <row r="31" spans="1:57" s="1" customFormat="1">
      <c r="A31" s="1038" t="s">
        <v>977</v>
      </c>
      <c r="B31" s="5317"/>
      <c r="C31" s="2300">
        <v>29</v>
      </c>
      <c r="D31" s="2301">
        <v>11</v>
      </c>
      <c r="E31" s="2302">
        <f t="shared" si="0"/>
        <v>2.6363636363636362</v>
      </c>
      <c r="F31" s="277"/>
      <c r="G31" s="2300">
        <v>29</v>
      </c>
      <c r="H31" s="2301">
        <v>13</v>
      </c>
      <c r="I31" s="2302">
        <f t="shared" si="1"/>
        <v>2.2307692307692308</v>
      </c>
      <c r="J31" s="277"/>
      <c r="K31" s="2300">
        <v>20</v>
      </c>
      <c r="L31" s="2301">
        <v>13</v>
      </c>
      <c r="M31" s="2302">
        <f t="shared" si="2"/>
        <v>1.5384615384615385</v>
      </c>
      <c r="N31" s="277"/>
      <c r="O31" s="2300">
        <v>26</v>
      </c>
      <c r="P31" s="2301">
        <v>13</v>
      </c>
      <c r="Q31" s="2302">
        <f t="shared" si="3"/>
        <v>2</v>
      </c>
      <c r="R31" s="277"/>
      <c r="S31" s="2300">
        <v>22</v>
      </c>
      <c r="T31" s="2301">
        <v>13</v>
      </c>
      <c r="U31" s="2302">
        <f t="shared" si="4"/>
        <v>1.6923076923076923</v>
      </c>
      <c r="V31" s="277"/>
      <c r="W31" s="2300">
        <v>25</v>
      </c>
      <c r="X31" s="2301">
        <v>15</v>
      </c>
      <c r="Y31" s="2302">
        <f t="shared" si="5"/>
        <v>1.6666666666666667</v>
      </c>
      <c r="Z31" s="277"/>
      <c r="AA31" s="2300">
        <v>22</v>
      </c>
      <c r="AB31" s="2301">
        <v>15</v>
      </c>
      <c r="AC31" s="2302">
        <f t="shared" si="6"/>
        <v>1.4666666666666666</v>
      </c>
      <c r="AD31" s="277"/>
      <c r="AE31" s="2300">
        <v>43</v>
      </c>
      <c r="AF31" s="2301">
        <v>19</v>
      </c>
      <c r="AG31" s="2302">
        <f t="shared" si="7"/>
        <v>2.263157894736842</v>
      </c>
      <c r="AH31" s="277"/>
      <c r="AI31" s="2300">
        <v>49</v>
      </c>
      <c r="AJ31" s="2301">
        <v>17</v>
      </c>
      <c r="AK31" s="2302">
        <f t="shared" si="8"/>
        <v>2.8823529411764706</v>
      </c>
      <c r="AL31" s="277"/>
      <c r="AM31" s="2300">
        <v>40</v>
      </c>
      <c r="AN31" s="2301">
        <v>18</v>
      </c>
      <c r="AO31" s="2302">
        <f t="shared" si="9"/>
        <v>2.2222222222222223</v>
      </c>
      <c r="AQ31" s="2300">
        <v>25</v>
      </c>
      <c r="AR31" s="2301">
        <v>17</v>
      </c>
      <c r="AS31" s="2302">
        <f t="shared" si="14"/>
        <v>1.4705882352941178</v>
      </c>
      <c r="AU31" s="2300">
        <v>25</v>
      </c>
      <c r="AV31" s="2301">
        <v>16</v>
      </c>
      <c r="AW31" s="2302">
        <f t="shared" si="15"/>
        <v>1.5625</v>
      </c>
      <c r="AY31" s="2300">
        <v>31</v>
      </c>
      <c r="AZ31" s="2301">
        <v>15</v>
      </c>
      <c r="BA31" s="2302">
        <f t="shared" si="16"/>
        <v>2.0666666666666669</v>
      </c>
      <c r="BC31" s="2300">
        <v>45</v>
      </c>
      <c r="BD31" s="2301">
        <v>17</v>
      </c>
      <c r="BE31" s="2302">
        <f t="shared" si="17"/>
        <v>2.6470588235294117</v>
      </c>
    </row>
    <row r="32" spans="1:57" s="1" customFormat="1">
      <c r="A32" s="1038" t="s">
        <v>978</v>
      </c>
      <c r="B32" s="5317"/>
      <c r="C32" s="2300">
        <v>25</v>
      </c>
      <c r="D32" s="2301">
        <v>12</v>
      </c>
      <c r="E32" s="2302">
        <f t="shared" si="0"/>
        <v>2.0833333333333335</v>
      </c>
      <c r="F32" s="277"/>
      <c r="G32" s="2300">
        <v>31</v>
      </c>
      <c r="H32" s="2301">
        <v>15</v>
      </c>
      <c r="I32" s="2302">
        <f t="shared" si="1"/>
        <v>2.0666666666666669</v>
      </c>
      <c r="J32" s="277"/>
      <c r="K32" s="2300">
        <v>29</v>
      </c>
      <c r="L32" s="2301">
        <v>12</v>
      </c>
      <c r="M32" s="2302">
        <f t="shared" si="2"/>
        <v>2.4166666666666665</v>
      </c>
      <c r="N32" s="277"/>
      <c r="O32" s="2300">
        <v>34</v>
      </c>
      <c r="P32" s="2301">
        <v>13</v>
      </c>
      <c r="Q32" s="2302">
        <f t="shared" si="3"/>
        <v>2.6153846153846154</v>
      </c>
      <c r="R32" s="277"/>
      <c r="S32" s="2300">
        <v>28</v>
      </c>
      <c r="T32" s="2301">
        <v>16</v>
      </c>
      <c r="U32" s="2302">
        <f t="shared" si="4"/>
        <v>1.75</v>
      </c>
      <c r="V32" s="277"/>
      <c r="W32" s="2300">
        <v>36</v>
      </c>
      <c r="X32" s="2301">
        <v>16</v>
      </c>
      <c r="Y32" s="2302">
        <f t="shared" si="5"/>
        <v>2.25</v>
      </c>
      <c r="Z32" s="277"/>
      <c r="AA32" s="2300">
        <v>28</v>
      </c>
      <c r="AB32" s="2301">
        <v>18</v>
      </c>
      <c r="AC32" s="2302">
        <f t="shared" si="6"/>
        <v>1.5555555555555556</v>
      </c>
      <c r="AD32" s="277"/>
      <c r="AE32" s="2300">
        <v>40</v>
      </c>
      <c r="AF32" s="2301">
        <v>21</v>
      </c>
      <c r="AG32" s="2302">
        <f t="shared" si="7"/>
        <v>1.9047619047619047</v>
      </c>
      <c r="AH32" s="277"/>
      <c r="AI32" s="2300">
        <v>70</v>
      </c>
      <c r="AJ32" s="2301">
        <v>20</v>
      </c>
      <c r="AK32" s="2302">
        <f t="shared" si="8"/>
        <v>3.5</v>
      </c>
      <c r="AL32" s="277"/>
      <c r="AM32" s="2300">
        <v>42</v>
      </c>
      <c r="AN32" s="2301">
        <v>20</v>
      </c>
      <c r="AO32" s="2302">
        <f t="shared" si="9"/>
        <v>2.1</v>
      </c>
      <c r="AQ32" s="2300">
        <v>23</v>
      </c>
      <c r="AR32" s="2301">
        <v>21</v>
      </c>
      <c r="AS32" s="2302">
        <f t="shared" si="14"/>
        <v>1.0952380952380953</v>
      </c>
      <c r="AU32" s="2300">
        <v>39</v>
      </c>
      <c r="AV32" s="2301">
        <v>21</v>
      </c>
      <c r="AW32" s="2302">
        <f t="shared" si="15"/>
        <v>1.8571428571428572</v>
      </c>
      <c r="AY32" s="2300">
        <v>47</v>
      </c>
      <c r="AZ32" s="2301">
        <v>22</v>
      </c>
      <c r="BA32" s="2302">
        <f t="shared" si="16"/>
        <v>2.1363636363636362</v>
      </c>
      <c r="BC32" s="2300">
        <v>36</v>
      </c>
      <c r="BD32" s="2301">
        <v>20</v>
      </c>
      <c r="BE32" s="2302">
        <f t="shared" si="17"/>
        <v>1.8</v>
      </c>
    </row>
    <row r="33" spans="1:57" s="1" customFormat="1">
      <c r="A33" s="1038" t="s">
        <v>695</v>
      </c>
      <c r="B33" s="5317"/>
      <c r="C33" s="2300">
        <v>41</v>
      </c>
      <c r="D33" s="2301">
        <v>15</v>
      </c>
      <c r="E33" s="2302">
        <f t="shared" si="0"/>
        <v>2.7333333333333334</v>
      </c>
      <c r="F33" s="277"/>
      <c r="G33" s="2300">
        <v>54</v>
      </c>
      <c r="H33" s="2301">
        <v>17</v>
      </c>
      <c r="I33" s="2302">
        <f t="shared" si="1"/>
        <v>3.1764705882352939</v>
      </c>
      <c r="J33" s="277"/>
      <c r="K33" s="2300">
        <v>7</v>
      </c>
      <c r="L33" s="2301">
        <v>17</v>
      </c>
      <c r="M33" s="2302">
        <f t="shared" si="2"/>
        <v>0.41176470588235292</v>
      </c>
      <c r="N33" s="277"/>
      <c r="O33" s="2300">
        <v>37</v>
      </c>
      <c r="P33" s="2301">
        <v>20</v>
      </c>
      <c r="Q33" s="2302">
        <f t="shared" si="3"/>
        <v>1.85</v>
      </c>
      <c r="R33" s="277"/>
      <c r="S33" s="2300">
        <v>23</v>
      </c>
      <c r="T33" s="2301">
        <v>20</v>
      </c>
      <c r="U33" s="2302">
        <f t="shared" si="4"/>
        <v>1.1499999999999999</v>
      </c>
      <c r="V33" s="277"/>
      <c r="W33" s="2300">
        <v>45</v>
      </c>
      <c r="X33" s="2301">
        <v>19</v>
      </c>
      <c r="Y33" s="2302">
        <f t="shared" si="5"/>
        <v>2.3684210526315788</v>
      </c>
      <c r="Z33" s="277"/>
      <c r="AA33" s="2300">
        <v>39</v>
      </c>
      <c r="AB33" s="2301">
        <v>21</v>
      </c>
      <c r="AC33" s="2302">
        <f t="shared" si="6"/>
        <v>1.8571428571428572</v>
      </c>
      <c r="AD33" s="277"/>
      <c r="AE33" s="2300">
        <v>45</v>
      </c>
      <c r="AF33" s="2301">
        <v>21</v>
      </c>
      <c r="AG33" s="2302">
        <f t="shared" si="7"/>
        <v>2.1428571428571428</v>
      </c>
      <c r="AH33" s="277"/>
      <c r="AI33" s="2300">
        <v>36</v>
      </c>
      <c r="AJ33" s="2301">
        <v>22</v>
      </c>
      <c r="AK33" s="2302">
        <f t="shared" si="8"/>
        <v>1.6363636363636365</v>
      </c>
      <c r="AL33" s="277"/>
      <c r="AM33" s="2300">
        <v>46</v>
      </c>
      <c r="AN33" s="2301">
        <v>21</v>
      </c>
      <c r="AO33" s="2302">
        <f t="shared" si="9"/>
        <v>2.1904761904761907</v>
      </c>
      <c r="AQ33" s="2300">
        <v>21</v>
      </c>
      <c r="AR33" s="2301">
        <v>21</v>
      </c>
      <c r="AS33" s="2302">
        <f t="shared" si="14"/>
        <v>1</v>
      </c>
      <c r="AU33" s="2300">
        <v>40</v>
      </c>
      <c r="AV33" s="2301">
        <v>22</v>
      </c>
      <c r="AW33" s="2302">
        <f t="shared" si="15"/>
        <v>1.8181818181818181</v>
      </c>
      <c r="AY33" s="2300">
        <v>42</v>
      </c>
      <c r="AZ33" s="2301">
        <v>22</v>
      </c>
      <c r="BA33" s="2302">
        <f t="shared" si="16"/>
        <v>1.9090909090909092</v>
      </c>
      <c r="BC33" s="2300">
        <v>59</v>
      </c>
      <c r="BD33" s="2301">
        <v>20</v>
      </c>
      <c r="BE33" s="2302">
        <f t="shared" si="17"/>
        <v>2.95</v>
      </c>
    </row>
    <row r="34" spans="1:57" s="1" customFormat="1" ht="15" customHeight="1">
      <c r="A34" s="1961" t="s">
        <v>16</v>
      </c>
      <c r="B34" s="5317"/>
      <c r="C34" s="2297">
        <v>95</v>
      </c>
      <c r="D34" s="1976">
        <f>SUM(D31:D33)</f>
        <v>38</v>
      </c>
      <c r="E34" s="2281">
        <f t="shared" si="0"/>
        <v>2.5</v>
      </c>
      <c r="F34" s="277"/>
      <c r="G34" s="2297">
        <v>114</v>
      </c>
      <c r="H34" s="1976">
        <f>SUM(H31:H33)</f>
        <v>45</v>
      </c>
      <c r="I34" s="2281">
        <f t="shared" si="1"/>
        <v>2.5333333333333332</v>
      </c>
      <c r="J34" s="277"/>
      <c r="K34" s="2297">
        <f>SUM(K31:K33)</f>
        <v>56</v>
      </c>
      <c r="L34" s="1976">
        <f>SUM(L31:L33)</f>
        <v>42</v>
      </c>
      <c r="M34" s="2281">
        <f t="shared" si="2"/>
        <v>1.3333333333333333</v>
      </c>
      <c r="N34" s="277"/>
      <c r="O34" s="2297">
        <f>SUM(O31:O33)</f>
        <v>97</v>
      </c>
      <c r="P34" s="1976">
        <f>SUM(P31:P33)</f>
        <v>46</v>
      </c>
      <c r="Q34" s="2281">
        <f t="shared" si="3"/>
        <v>2.1086956521739131</v>
      </c>
      <c r="R34" s="277"/>
      <c r="S34" s="2297">
        <f>SUM(S31:S33)</f>
        <v>73</v>
      </c>
      <c r="T34" s="1976">
        <f>SUM(T31:T33)</f>
        <v>49</v>
      </c>
      <c r="U34" s="2281">
        <f t="shared" si="4"/>
        <v>1.489795918367347</v>
      </c>
      <c r="V34" s="277"/>
      <c r="W34" s="2297">
        <f>SUM(W31:W33)</f>
        <v>106</v>
      </c>
      <c r="X34" s="1976">
        <v>50</v>
      </c>
      <c r="Y34" s="2281">
        <f t="shared" si="5"/>
        <v>2.12</v>
      </c>
      <c r="Z34" s="277"/>
      <c r="AA34" s="2297">
        <v>89</v>
      </c>
      <c r="AB34" s="1976">
        <f>SUM(AB31:AB33)</f>
        <v>54</v>
      </c>
      <c r="AC34" s="2281">
        <f t="shared" si="6"/>
        <v>1.6481481481481481</v>
      </c>
      <c r="AD34" s="277"/>
      <c r="AE34" s="2297">
        <v>128</v>
      </c>
      <c r="AF34" s="1976">
        <f>SUM(AF31:AF33)</f>
        <v>61</v>
      </c>
      <c r="AG34" s="2281">
        <f t="shared" si="7"/>
        <v>2.098360655737705</v>
      </c>
      <c r="AH34" s="277"/>
      <c r="AI34" s="2297">
        <v>155</v>
      </c>
      <c r="AJ34" s="1976">
        <v>59</v>
      </c>
      <c r="AK34" s="2281">
        <f t="shared" si="8"/>
        <v>2.6271186440677967</v>
      </c>
      <c r="AL34" s="277"/>
      <c r="AM34" s="2297">
        <v>128</v>
      </c>
      <c r="AN34" s="1976">
        <v>59</v>
      </c>
      <c r="AO34" s="2281">
        <f t="shared" si="9"/>
        <v>2.1694915254237288</v>
      </c>
      <c r="AQ34" s="2297">
        <v>69</v>
      </c>
      <c r="AR34" s="1976">
        <v>59</v>
      </c>
      <c r="AS34" s="2281">
        <f t="shared" si="14"/>
        <v>1.1694915254237288</v>
      </c>
      <c r="AU34" s="2297">
        <v>104</v>
      </c>
      <c r="AV34" s="1976">
        <v>59</v>
      </c>
      <c r="AW34" s="2281">
        <f t="shared" si="15"/>
        <v>1.7627118644067796</v>
      </c>
      <c r="AY34" s="2297">
        <v>120</v>
      </c>
      <c r="AZ34" s="1976">
        <v>59</v>
      </c>
      <c r="BA34" s="2281">
        <f t="shared" si="16"/>
        <v>2.0338983050847457</v>
      </c>
      <c r="BC34" s="2297">
        <v>140</v>
      </c>
      <c r="BD34" s="1976">
        <v>57</v>
      </c>
      <c r="BE34" s="2281">
        <f t="shared" si="17"/>
        <v>2.4561403508771931</v>
      </c>
    </row>
    <row r="35" spans="1:57" s="1" customFormat="1" ht="15" customHeight="1">
      <c r="A35" s="1978" t="s">
        <v>340</v>
      </c>
      <c r="B35" s="5317"/>
      <c r="C35" s="2303">
        <v>208</v>
      </c>
      <c r="D35" s="1979">
        <f>SUM(D34,D30,D26)</f>
        <v>103</v>
      </c>
      <c r="E35" s="2283">
        <f t="shared" si="0"/>
        <v>2.0194174757281553</v>
      </c>
      <c r="F35" s="277"/>
      <c r="G35" s="2303">
        <v>254</v>
      </c>
      <c r="H35" s="1979">
        <f>SUM(H34,H30,H26)</f>
        <v>119</v>
      </c>
      <c r="I35" s="2283">
        <f t="shared" si="1"/>
        <v>2.134453781512605</v>
      </c>
      <c r="J35" s="277"/>
      <c r="K35" s="2303">
        <f>SUM(K34,K30,K26)</f>
        <v>205</v>
      </c>
      <c r="L35" s="1979">
        <f>SUM(L34,L30,L26)</f>
        <v>130</v>
      </c>
      <c r="M35" s="2283">
        <f t="shared" si="2"/>
        <v>1.5769230769230769</v>
      </c>
      <c r="N35" s="277"/>
      <c r="O35" s="2303">
        <f>SUM(O34,O30,O26)</f>
        <v>309</v>
      </c>
      <c r="P35" s="1979">
        <f>SUM(P34,P30,P26)</f>
        <v>135</v>
      </c>
      <c r="Q35" s="2283">
        <f t="shared" si="3"/>
        <v>2.2888888888888888</v>
      </c>
      <c r="R35" s="277"/>
      <c r="S35" s="2303">
        <f>SUM(S34,S30,S26)</f>
        <v>237</v>
      </c>
      <c r="T35" s="1979">
        <f>SUM(T34,T30,T26)</f>
        <v>143</v>
      </c>
      <c r="U35" s="2283">
        <f t="shared" si="4"/>
        <v>1.6573426573426573</v>
      </c>
      <c r="V35" s="277"/>
      <c r="W35" s="2303">
        <f>SUM(W34,W30,W26)</f>
        <v>366</v>
      </c>
      <c r="X35" s="1979">
        <v>147</v>
      </c>
      <c r="Y35" s="2283">
        <f t="shared" si="5"/>
        <v>2.489795918367347</v>
      </c>
      <c r="Z35" s="277"/>
      <c r="AA35" s="2303">
        <v>279</v>
      </c>
      <c r="AB35" s="1979">
        <f>SUM(AB26,AB30,AB34)</f>
        <v>153</v>
      </c>
      <c r="AC35" s="2283">
        <f t="shared" si="6"/>
        <v>1.8235294117647058</v>
      </c>
      <c r="AD35" s="277"/>
      <c r="AE35" s="2303">
        <v>333</v>
      </c>
      <c r="AF35" s="1979">
        <f>SUM(AF26,AF30,AF34)</f>
        <v>163</v>
      </c>
      <c r="AG35" s="2283">
        <f t="shared" si="7"/>
        <v>2.0429447852760738</v>
      </c>
      <c r="AH35" s="277"/>
      <c r="AI35" s="2303">
        <v>370</v>
      </c>
      <c r="AJ35" s="1979">
        <v>160</v>
      </c>
      <c r="AK35" s="2283">
        <f t="shared" si="8"/>
        <v>2.3125</v>
      </c>
      <c r="AL35" s="277"/>
      <c r="AM35" s="2303">
        <v>390</v>
      </c>
      <c r="AN35" s="1979">
        <v>162</v>
      </c>
      <c r="AO35" s="2283">
        <f t="shared" si="9"/>
        <v>2.4074074074074074</v>
      </c>
      <c r="AQ35" s="2303">
        <v>265</v>
      </c>
      <c r="AR35" s="1979">
        <v>166</v>
      </c>
      <c r="AS35" s="2283">
        <f t="shared" si="14"/>
        <v>1.5963855421686748</v>
      </c>
      <c r="AU35" s="2303">
        <v>326</v>
      </c>
      <c r="AV35" s="1979">
        <v>168</v>
      </c>
      <c r="AW35" s="2283">
        <f t="shared" si="15"/>
        <v>1.9404761904761905</v>
      </c>
      <c r="AY35" s="2303">
        <v>314</v>
      </c>
      <c r="AZ35" s="1979">
        <v>169</v>
      </c>
      <c r="BA35" s="2283">
        <f t="shared" si="16"/>
        <v>1.8579881656804733</v>
      </c>
      <c r="BC35" s="2303">
        <v>344</v>
      </c>
      <c r="BD35" s="1979">
        <v>171</v>
      </c>
      <c r="BE35" s="2283">
        <f t="shared" si="17"/>
        <v>2.0116959064327484</v>
      </c>
    </row>
    <row r="36" spans="1:57" s="1" customFormat="1">
      <c r="A36" s="1038" t="s">
        <v>979</v>
      </c>
      <c r="B36" s="5317"/>
      <c r="C36" s="2300">
        <v>105</v>
      </c>
      <c r="D36" s="2301">
        <v>56</v>
      </c>
      <c r="E36" s="2302">
        <f t="shared" si="0"/>
        <v>1.875</v>
      </c>
      <c r="F36" s="277"/>
      <c r="G36" s="2300">
        <v>121</v>
      </c>
      <c r="H36" s="2301">
        <v>56</v>
      </c>
      <c r="I36" s="2302">
        <f t="shared" si="1"/>
        <v>2.1607142857142856</v>
      </c>
      <c r="J36" s="277"/>
      <c r="K36" s="2300">
        <v>127</v>
      </c>
      <c r="L36" s="2301">
        <v>56</v>
      </c>
      <c r="M36" s="2302">
        <f t="shared" si="2"/>
        <v>2.2678571428571428</v>
      </c>
      <c r="N36" s="277"/>
      <c r="O36" s="2300">
        <v>121</v>
      </c>
      <c r="P36" s="2301">
        <v>58</v>
      </c>
      <c r="Q36" s="2302">
        <f t="shared" si="3"/>
        <v>2.0862068965517242</v>
      </c>
      <c r="R36" s="277"/>
      <c r="S36" s="2300">
        <v>112</v>
      </c>
      <c r="T36" s="2301">
        <v>57</v>
      </c>
      <c r="U36" s="2302">
        <f t="shared" si="4"/>
        <v>1.9649122807017543</v>
      </c>
      <c r="V36" s="277"/>
      <c r="W36" s="2300">
        <v>112</v>
      </c>
      <c r="X36" s="2301">
        <v>56</v>
      </c>
      <c r="Y36" s="2302">
        <f t="shared" si="5"/>
        <v>2</v>
      </c>
      <c r="Z36" s="277"/>
      <c r="AA36" s="2300">
        <v>91</v>
      </c>
      <c r="AB36" s="2301">
        <v>57</v>
      </c>
      <c r="AC36" s="2302">
        <f t="shared" si="6"/>
        <v>1.5964912280701755</v>
      </c>
      <c r="AD36" s="277"/>
      <c r="AE36" s="2300">
        <v>66</v>
      </c>
      <c r="AF36" s="2301">
        <v>56</v>
      </c>
      <c r="AG36" s="2302">
        <f t="shared" si="7"/>
        <v>1.1785714285714286</v>
      </c>
      <c r="AH36" s="277"/>
      <c r="AI36" s="2300">
        <v>97</v>
      </c>
      <c r="AJ36" s="2301">
        <v>57</v>
      </c>
      <c r="AK36" s="2302">
        <f t="shared" si="8"/>
        <v>1.7017543859649122</v>
      </c>
      <c r="AL36" s="277"/>
      <c r="AM36" s="2300">
        <v>60</v>
      </c>
      <c r="AN36" s="2301">
        <v>54</v>
      </c>
      <c r="AO36" s="2302">
        <f t="shared" si="9"/>
        <v>1.1111111111111112</v>
      </c>
      <c r="AQ36" s="2300">
        <v>95</v>
      </c>
      <c r="AR36" s="2301">
        <v>53</v>
      </c>
      <c r="AS36" s="2302">
        <f t="shared" si="14"/>
        <v>1.7924528301886793</v>
      </c>
      <c r="AU36" s="2300">
        <v>65</v>
      </c>
      <c r="AV36" s="2301">
        <v>53</v>
      </c>
      <c r="AW36" s="2302">
        <f t="shared" si="15"/>
        <v>1.2264150943396226</v>
      </c>
      <c r="AY36" s="2300">
        <v>63</v>
      </c>
      <c r="AZ36" s="2301">
        <v>52</v>
      </c>
      <c r="BA36" s="2302">
        <f t="shared" si="16"/>
        <v>1.2115384615384615</v>
      </c>
      <c r="BC36" s="2300">
        <v>90</v>
      </c>
      <c r="BD36" s="2301">
        <v>53</v>
      </c>
      <c r="BE36" s="2302">
        <f t="shared" si="17"/>
        <v>1.6981132075471699</v>
      </c>
    </row>
    <row r="37" spans="1:57" s="1" customFormat="1">
      <c r="A37" s="1038" t="s">
        <v>980</v>
      </c>
      <c r="B37" s="5317"/>
      <c r="C37" s="2300">
        <v>98</v>
      </c>
      <c r="D37" s="2301">
        <v>38</v>
      </c>
      <c r="E37" s="2302">
        <f t="shared" si="0"/>
        <v>2.5789473684210527</v>
      </c>
      <c r="F37" s="277"/>
      <c r="G37" s="2300">
        <v>93</v>
      </c>
      <c r="H37" s="2301">
        <v>39</v>
      </c>
      <c r="I37" s="2302">
        <f t="shared" si="1"/>
        <v>2.3846153846153846</v>
      </c>
      <c r="J37" s="277"/>
      <c r="K37" s="2300">
        <v>85</v>
      </c>
      <c r="L37" s="2301">
        <v>43</v>
      </c>
      <c r="M37" s="2302">
        <f t="shared" si="2"/>
        <v>1.9767441860465116</v>
      </c>
      <c r="N37" s="277"/>
      <c r="O37" s="2300">
        <v>122</v>
      </c>
      <c r="P37" s="2301">
        <v>44</v>
      </c>
      <c r="Q37" s="2302">
        <f t="shared" si="3"/>
        <v>2.7727272727272729</v>
      </c>
      <c r="R37" s="277"/>
      <c r="S37" s="2300">
        <v>110</v>
      </c>
      <c r="T37" s="2301">
        <v>46</v>
      </c>
      <c r="U37" s="2302">
        <f t="shared" si="4"/>
        <v>2.3913043478260869</v>
      </c>
      <c r="V37" s="277"/>
      <c r="W37" s="2300">
        <v>107</v>
      </c>
      <c r="X37" s="2301">
        <v>46</v>
      </c>
      <c r="Y37" s="2302">
        <f t="shared" si="5"/>
        <v>2.3260869565217392</v>
      </c>
      <c r="Z37" s="277"/>
      <c r="AA37" s="2300">
        <v>110</v>
      </c>
      <c r="AB37" s="2301">
        <v>45</v>
      </c>
      <c r="AC37" s="2302">
        <f t="shared" si="6"/>
        <v>2.4444444444444446</v>
      </c>
      <c r="AD37" s="277"/>
      <c r="AE37" s="2300">
        <v>110</v>
      </c>
      <c r="AF37" s="2301">
        <v>42</v>
      </c>
      <c r="AG37" s="2302">
        <f t="shared" si="7"/>
        <v>2.6190476190476191</v>
      </c>
      <c r="AH37" s="277"/>
      <c r="AI37" s="2300">
        <v>128</v>
      </c>
      <c r="AJ37" s="2301">
        <v>40</v>
      </c>
      <c r="AK37" s="2302">
        <f t="shared" si="8"/>
        <v>3.2</v>
      </c>
      <c r="AL37" s="277"/>
      <c r="AM37" s="2300">
        <v>79</v>
      </c>
      <c r="AN37" s="2301">
        <v>40</v>
      </c>
      <c r="AO37" s="2302">
        <f t="shared" si="9"/>
        <v>1.9750000000000001</v>
      </c>
      <c r="AQ37" s="2300">
        <v>72</v>
      </c>
      <c r="AR37" s="2301">
        <v>41</v>
      </c>
      <c r="AS37" s="2302">
        <f t="shared" si="14"/>
        <v>1.7560975609756098</v>
      </c>
      <c r="AU37" s="2300">
        <v>72</v>
      </c>
      <c r="AV37" s="2301">
        <v>40</v>
      </c>
      <c r="AW37" s="2302">
        <f t="shared" si="15"/>
        <v>1.8</v>
      </c>
      <c r="AY37" s="2300">
        <v>96</v>
      </c>
      <c r="AZ37" s="2301">
        <v>39</v>
      </c>
      <c r="BA37" s="2302">
        <f t="shared" si="16"/>
        <v>2.4615384615384617</v>
      </c>
      <c r="BC37" s="2300">
        <v>78</v>
      </c>
      <c r="BD37" s="2301">
        <v>38</v>
      </c>
      <c r="BE37" s="2302">
        <f t="shared" si="17"/>
        <v>2.0526315789473686</v>
      </c>
    </row>
    <row r="38" spans="1:57" s="1" customFormat="1">
      <c r="A38" s="1038" t="s">
        <v>981</v>
      </c>
      <c r="B38" s="5317"/>
      <c r="C38" s="2300">
        <v>97</v>
      </c>
      <c r="D38" s="2301">
        <v>64</v>
      </c>
      <c r="E38" s="2302">
        <f t="shared" si="0"/>
        <v>1.515625</v>
      </c>
      <c r="F38" s="277"/>
      <c r="G38" s="2300">
        <v>109</v>
      </c>
      <c r="H38" s="2301">
        <v>64</v>
      </c>
      <c r="I38" s="2302">
        <f t="shared" si="1"/>
        <v>1.703125</v>
      </c>
      <c r="J38" s="277"/>
      <c r="K38" s="2300">
        <v>98</v>
      </c>
      <c r="L38" s="2301">
        <v>62</v>
      </c>
      <c r="M38" s="2302">
        <f t="shared" si="2"/>
        <v>1.5806451612903225</v>
      </c>
      <c r="N38" s="277"/>
      <c r="O38" s="2300">
        <v>132</v>
      </c>
      <c r="P38" s="2301">
        <v>64</v>
      </c>
      <c r="Q38" s="2302">
        <f t="shared" si="3"/>
        <v>2.0625</v>
      </c>
      <c r="R38" s="277"/>
      <c r="S38" s="2300">
        <v>120</v>
      </c>
      <c r="T38" s="2301">
        <v>64</v>
      </c>
      <c r="U38" s="2302">
        <f t="shared" si="4"/>
        <v>1.875</v>
      </c>
      <c r="V38" s="277"/>
      <c r="W38" s="2300">
        <v>96</v>
      </c>
      <c r="X38" s="2301">
        <v>66</v>
      </c>
      <c r="Y38" s="2302">
        <f t="shared" si="5"/>
        <v>1.4545454545454546</v>
      </c>
      <c r="Z38" s="277"/>
      <c r="AA38" s="2300">
        <v>107</v>
      </c>
      <c r="AB38" s="2301">
        <v>65</v>
      </c>
      <c r="AC38" s="2302">
        <f t="shared" si="6"/>
        <v>1.6461538461538461</v>
      </c>
      <c r="AD38" s="277"/>
      <c r="AE38" s="2300">
        <v>128</v>
      </c>
      <c r="AF38" s="2301">
        <v>64</v>
      </c>
      <c r="AG38" s="2302">
        <f t="shared" si="7"/>
        <v>2</v>
      </c>
      <c r="AH38" s="277"/>
      <c r="AI38" s="2300">
        <v>112</v>
      </c>
      <c r="AJ38" s="2301">
        <v>64</v>
      </c>
      <c r="AK38" s="2302">
        <f t="shared" si="8"/>
        <v>1.75</v>
      </c>
      <c r="AL38" s="277"/>
      <c r="AM38" s="2300">
        <v>68</v>
      </c>
      <c r="AN38" s="2301">
        <v>62</v>
      </c>
      <c r="AO38" s="2302">
        <f t="shared" si="9"/>
        <v>1.096774193548387</v>
      </c>
      <c r="AQ38" s="2300">
        <v>128</v>
      </c>
      <c r="AR38" s="2301">
        <v>60</v>
      </c>
      <c r="AS38" s="2302">
        <f t="shared" si="14"/>
        <v>2.1333333333333333</v>
      </c>
      <c r="AU38" s="2300">
        <v>105</v>
      </c>
      <c r="AV38" s="2301">
        <v>59</v>
      </c>
      <c r="AW38" s="2302">
        <f t="shared" si="15"/>
        <v>1.7796610169491525</v>
      </c>
      <c r="AY38" s="2300">
        <v>101</v>
      </c>
      <c r="AZ38" s="2301">
        <v>60</v>
      </c>
      <c r="BA38" s="2302">
        <f t="shared" si="16"/>
        <v>1.6833333333333333</v>
      </c>
      <c r="BC38" s="2300">
        <v>46</v>
      </c>
      <c r="BD38" s="2301">
        <v>62</v>
      </c>
      <c r="BE38" s="2302">
        <f t="shared" si="17"/>
        <v>0.74193548387096775</v>
      </c>
    </row>
    <row r="39" spans="1:57" s="1" customFormat="1">
      <c r="A39" s="1038" t="s">
        <v>982</v>
      </c>
      <c r="B39" s="5317"/>
      <c r="C39" s="2300">
        <v>73</v>
      </c>
      <c r="D39" s="2301">
        <v>63</v>
      </c>
      <c r="E39" s="2302">
        <f t="shared" si="0"/>
        <v>1.1587301587301588</v>
      </c>
      <c r="F39" s="277"/>
      <c r="G39" s="2300">
        <v>66</v>
      </c>
      <c r="H39" s="2301">
        <v>63</v>
      </c>
      <c r="I39" s="2302">
        <f t="shared" si="1"/>
        <v>1.0476190476190477</v>
      </c>
      <c r="J39" s="277"/>
      <c r="K39" s="2300">
        <v>50</v>
      </c>
      <c r="L39" s="2301">
        <v>62</v>
      </c>
      <c r="M39" s="2302">
        <f t="shared" si="2"/>
        <v>0.80645161290322576</v>
      </c>
      <c r="N39" s="277"/>
      <c r="O39" s="2300">
        <v>77</v>
      </c>
      <c r="P39" s="2301">
        <v>62</v>
      </c>
      <c r="Q39" s="2302">
        <f t="shared" si="3"/>
        <v>1.2419354838709677</v>
      </c>
      <c r="R39" s="277"/>
      <c r="S39" s="2300">
        <v>63</v>
      </c>
      <c r="T39" s="2301">
        <v>63</v>
      </c>
      <c r="U39" s="2302">
        <f t="shared" si="4"/>
        <v>1</v>
      </c>
      <c r="V39" s="277"/>
      <c r="W39" s="2300">
        <v>65</v>
      </c>
      <c r="X39" s="2301">
        <v>60</v>
      </c>
      <c r="Y39" s="2302">
        <f t="shared" si="5"/>
        <v>1.0833333333333333</v>
      </c>
      <c r="Z39" s="277"/>
      <c r="AA39" s="2300">
        <v>57</v>
      </c>
      <c r="AB39" s="2301">
        <v>60</v>
      </c>
      <c r="AC39" s="2302">
        <f t="shared" si="6"/>
        <v>0.95</v>
      </c>
      <c r="AD39" s="277"/>
      <c r="AE39" s="2300">
        <v>59</v>
      </c>
      <c r="AF39" s="2301">
        <v>59</v>
      </c>
      <c r="AG39" s="2302">
        <f t="shared" si="7"/>
        <v>1</v>
      </c>
      <c r="AH39" s="277"/>
      <c r="AI39" s="2300">
        <v>71</v>
      </c>
      <c r="AJ39" s="2301">
        <v>60</v>
      </c>
      <c r="AK39" s="2302">
        <f t="shared" si="8"/>
        <v>1.1833333333333333</v>
      </c>
      <c r="AL39" s="277"/>
      <c r="AM39" s="2300">
        <v>32</v>
      </c>
      <c r="AN39" s="2301">
        <v>61</v>
      </c>
      <c r="AO39" s="2302">
        <f t="shared" si="9"/>
        <v>0.52459016393442626</v>
      </c>
      <c r="AQ39" s="2300">
        <v>60</v>
      </c>
      <c r="AR39" s="2301">
        <v>63</v>
      </c>
      <c r="AS39" s="2302">
        <f t="shared" si="14"/>
        <v>0.95238095238095233</v>
      </c>
      <c r="AU39" s="2300">
        <v>77</v>
      </c>
      <c r="AV39" s="2301">
        <v>61</v>
      </c>
      <c r="AW39" s="2302">
        <f t="shared" si="15"/>
        <v>1.2622950819672132</v>
      </c>
      <c r="AY39" s="2300">
        <v>49</v>
      </c>
      <c r="AZ39" s="2301">
        <v>60</v>
      </c>
      <c r="BA39" s="2302">
        <f t="shared" si="16"/>
        <v>0.81666666666666665</v>
      </c>
      <c r="BC39" s="2300">
        <v>71</v>
      </c>
      <c r="BD39" s="2301">
        <v>62</v>
      </c>
      <c r="BE39" s="2302">
        <f t="shared" si="17"/>
        <v>1.1451612903225807</v>
      </c>
    </row>
    <row r="40" spans="1:57" s="1" customFormat="1">
      <c r="A40" s="1038" t="s">
        <v>983</v>
      </c>
      <c r="B40" s="5317"/>
      <c r="C40" s="2300">
        <v>112</v>
      </c>
      <c r="D40" s="2301">
        <v>55</v>
      </c>
      <c r="E40" s="2302">
        <f t="shared" si="0"/>
        <v>2.0363636363636362</v>
      </c>
      <c r="F40" s="277"/>
      <c r="G40" s="2300">
        <v>143</v>
      </c>
      <c r="H40" s="2301">
        <v>56</v>
      </c>
      <c r="I40" s="2302">
        <f t="shared" si="1"/>
        <v>2.5535714285714284</v>
      </c>
      <c r="J40" s="277"/>
      <c r="K40" s="2300">
        <v>155</v>
      </c>
      <c r="L40" s="2301">
        <v>56</v>
      </c>
      <c r="M40" s="2302">
        <f t="shared" si="2"/>
        <v>2.7678571428571428</v>
      </c>
      <c r="N40" s="277"/>
      <c r="O40" s="2300">
        <v>126</v>
      </c>
      <c r="P40" s="2301">
        <v>56</v>
      </c>
      <c r="Q40" s="2302">
        <f t="shared" si="3"/>
        <v>2.25</v>
      </c>
      <c r="R40" s="277"/>
      <c r="S40" s="2300">
        <v>109</v>
      </c>
      <c r="T40" s="2301">
        <v>56</v>
      </c>
      <c r="U40" s="2302">
        <f t="shared" si="4"/>
        <v>1.9464285714285714</v>
      </c>
      <c r="V40" s="277"/>
      <c r="W40" s="2300">
        <v>136</v>
      </c>
      <c r="X40" s="2301">
        <v>55</v>
      </c>
      <c r="Y40" s="2302">
        <f t="shared" si="5"/>
        <v>2.4727272727272727</v>
      </c>
      <c r="Z40" s="277"/>
      <c r="AA40" s="2300">
        <v>116</v>
      </c>
      <c r="AB40" s="2301">
        <v>54</v>
      </c>
      <c r="AC40" s="2302">
        <f t="shared" si="6"/>
        <v>2.1481481481481484</v>
      </c>
      <c r="AD40" s="277"/>
      <c r="AE40" s="2300">
        <v>130</v>
      </c>
      <c r="AF40" s="2301">
        <v>54</v>
      </c>
      <c r="AG40" s="2302">
        <f t="shared" si="7"/>
        <v>2.4074074074074074</v>
      </c>
      <c r="AH40" s="277"/>
      <c r="AI40" s="2300">
        <v>112</v>
      </c>
      <c r="AJ40" s="2301">
        <v>54</v>
      </c>
      <c r="AK40" s="2302">
        <f t="shared" si="8"/>
        <v>2.074074074074074</v>
      </c>
      <c r="AL40" s="277"/>
      <c r="AM40" s="2300">
        <v>154</v>
      </c>
      <c r="AN40" s="2301">
        <v>52</v>
      </c>
      <c r="AO40" s="2302">
        <f t="shared" si="9"/>
        <v>2.9615384615384617</v>
      </c>
      <c r="AQ40" s="2300">
        <v>126</v>
      </c>
      <c r="AR40" s="2301">
        <v>51</v>
      </c>
      <c r="AS40" s="2302">
        <f t="shared" si="14"/>
        <v>2.4705882352941178</v>
      </c>
      <c r="AU40" s="2300">
        <v>136</v>
      </c>
      <c r="AV40" s="2301">
        <v>49</v>
      </c>
      <c r="AW40" s="2302">
        <f t="shared" si="15"/>
        <v>2.7755102040816326</v>
      </c>
      <c r="AY40" s="2300">
        <v>95</v>
      </c>
      <c r="AZ40" s="2301">
        <v>47</v>
      </c>
      <c r="BA40" s="2302">
        <f t="shared" si="16"/>
        <v>2.021276595744681</v>
      </c>
      <c r="BC40" s="2300">
        <v>91</v>
      </c>
      <c r="BD40" s="2301">
        <v>45</v>
      </c>
      <c r="BE40" s="2302">
        <f t="shared" si="17"/>
        <v>2.0222222222222221</v>
      </c>
    </row>
    <row r="41" spans="1:57" s="1" customFormat="1" ht="15" customHeight="1">
      <c r="A41" s="1929" t="s">
        <v>4</v>
      </c>
      <c r="B41" s="5317"/>
      <c r="C41" s="2293">
        <v>485</v>
      </c>
      <c r="D41" s="1448">
        <f>SUM(D36:D40)</f>
        <v>276</v>
      </c>
      <c r="E41" s="2278">
        <f t="shared" si="0"/>
        <v>1.7572463768115942</v>
      </c>
      <c r="F41" s="277"/>
      <c r="G41" s="2293">
        <v>532</v>
      </c>
      <c r="H41" s="1448">
        <f>SUM(H36:H40)</f>
        <v>278</v>
      </c>
      <c r="I41" s="2278">
        <f t="shared" si="1"/>
        <v>1.9136690647482015</v>
      </c>
      <c r="J41" s="277"/>
      <c r="K41" s="2293">
        <f>SUM(K36:K40)</f>
        <v>515</v>
      </c>
      <c r="L41" s="1448">
        <f>SUM(L36:L40)</f>
        <v>279</v>
      </c>
      <c r="M41" s="2278">
        <f t="shared" si="2"/>
        <v>1.8458781362007168</v>
      </c>
      <c r="N41" s="277"/>
      <c r="O41" s="2293">
        <f>SUM(O36:O40)</f>
        <v>578</v>
      </c>
      <c r="P41" s="1448">
        <f>SUM(P36:P40)</f>
        <v>284</v>
      </c>
      <c r="Q41" s="2278">
        <f t="shared" si="3"/>
        <v>2.035211267605634</v>
      </c>
      <c r="R41" s="277"/>
      <c r="S41" s="2293">
        <f>SUM(S36:S40)</f>
        <v>514</v>
      </c>
      <c r="T41" s="1448">
        <f>SUM(T36:T40)</f>
        <v>286</v>
      </c>
      <c r="U41" s="2278">
        <f t="shared" si="4"/>
        <v>1.7972027972027973</v>
      </c>
      <c r="V41" s="277"/>
      <c r="W41" s="2293">
        <f>SUM(W36:W40)</f>
        <v>516</v>
      </c>
      <c r="X41" s="1448">
        <v>283</v>
      </c>
      <c r="Y41" s="2278">
        <f t="shared" si="5"/>
        <v>1.8233215547703181</v>
      </c>
      <c r="Z41" s="277"/>
      <c r="AA41" s="2293">
        <v>481</v>
      </c>
      <c r="AB41" s="1448">
        <f>SUM(AB36:AB40)</f>
        <v>281</v>
      </c>
      <c r="AC41" s="2278">
        <f t="shared" si="6"/>
        <v>1.7117437722419928</v>
      </c>
      <c r="AD41" s="277"/>
      <c r="AE41" s="2293">
        <v>493</v>
      </c>
      <c r="AF41" s="1448">
        <f>SUM(AF36:AF40)</f>
        <v>275</v>
      </c>
      <c r="AG41" s="2278">
        <f t="shared" si="7"/>
        <v>1.7927272727272727</v>
      </c>
      <c r="AH41" s="277"/>
      <c r="AI41" s="2293">
        <v>520</v>
      </c>
      <c r="AJ41" s="1448">
        <v>275</v>
      </c>
      <c r="AK41" s="2278">
        <f t="shared" si="8"/>
        <v>1.8909090909090909</v>
      </c>
      <c r="AL41" s="277"/>
      <c r="AM41" s="2293">
        <v>393</v>
      </c>
      <c r="AN41" s="1448">
        <v>269</v>
      </c>
      <c r="AO41" s="2278">
        <f t="shared" si="9"/>
        <v>1.4609665427509293</v>
      </c>
      <c r="AQ41" s="2293">
        <v>481</v>
      </c>
      <c r="AR41" s="1448">
        <v>268</v>
      </c>
      <c r="AS41" s="2278">
        <f t="shared" si="14"/>
        <v>1.794776119402985</v>
      </c>
      <c r="AU41" s="2293">
        <v>455</v>
      </c>
      <c r="AV41" s="1448">
        <v>262</v>
      </c>
      <c r="AW41" s="2278">
        <f t="shared" si="15"/>
        <v>1.7366412213740459</v>
      </c>
      <c r="AY41" s="2293">
        <v>404</v>
      </c>
      <c r="AZ41" s="1448">
        <v>258</v>
      </c>
      <c r="BA41" s="2278">
        <f t="shared" si="16"/>
        <v>1.5658914728682169</v>
      </c>
      <c r="BC41" s="2293">
        <v>376</v>
      </c>
      <c r="BD41" s="1448">
        <v>260</v>
      </c>
      <c r="BE41" s="2278">
        <f t="shared" si="17"/>
        <v>1.4461538461538461</v>
      </c>
    </row>
    <row r="42" spans="1:57" s="1" customFormat="1">
      <c r="A42" s="1038" t="s">
        <v>984</v>
      </c>
      <c r="B42" s="5317"/>
      <c r="C42" s="2300">
        <v>65</v>
      </c>
      <c r="D42" s="2301">
        <v>40</v>
      </c>
      <c r="E42" s="2302">
        <f t="shared" si="0"/>
        <v>1.625</v>
      </c>
      <c r="F42" s="277"/>
      <c r="G42" s="2300">
        <v>72</v>
      </c>
      <c r="H42" s="2301">
        <v>43</v>
      </c>
      <c r="I42" s="2302">
        <f t="shared" si="1"/>
        <v>1.6744186046511629</v>
      </c>
      <c r="J42" s="277"/>
      <c r="K42" s="2300">
        <v>107</v>
      </c>
      <c r="L42" s="2301">
        <v>43</v>
      </c>
      <c r="M42" s="2302">
        <f t="shared" si="2"/>
        <v>2.4883720930232558</v>
      </c>
      <c r="N42" s="277"/>
      <c r="O42" s="2300">
        <v>73</v>
      </c>
      <c r="P42" s="2301">
        <v>46</v>
      </c>
      <c r="Q42" s="2302">
        <f t="shared" si="3"/>
        <v>1.5869565217391304</v>
      </c>
      <c r="R42" s="277"/>
      <c r="S42" s="2300">
        <v>52</v>
      </c>
      <c r="T42" s="2301">
        <v>47</v>
      </c>
      <c r="U42" s="2302">
        <f t="shared" si="4"/>
        <v>1.1063829787234043</v>
      </c>
      <c r="V42" s="277"/>
      <c r="W42" s="2300">
        <v>77</v>
      </c>
      <c r="X42" s="2301">
        <v>47</v>
      </c>
      <c r="Y42" s="2302">
        <f t="shared" si="5"/>
        <v>1.6382978723404256</v>
      </c>
      <c r="Z42" s="277"/>
      <c r="AA42" s="2300">
        <v>63</v>
      </c>
      <c r="AB42" s="2301">
        <v>48</v>
      </c>
      <c r="AC42" s="2302">
        <f t="shared" si="6"/>
        <v>1.3125</v>
      </c>
      <c r="AD42" s="277"/>
      <c r="AE42" s="2300">
        <v>55</v>
      </c>
      <c r="AF42" s="2301">
        <v>47</v>
      </c>
      <c r="AG42" s="2302">
        <f t="shared" si="7"/>
        <v>1.1702127659574468</v>
      </c>
      <c r="AH42" s="277"/>
      <c r="AI42" s="2300">
        <v>69</v>
      </c>
      <c r="AJ42" s="2301">
        <v>47</v>
      </c>
      <c r="AK42" s="2302">
        <f t="shared" si="8"/>
        <v>1.4680851063829787</v>
      </c>
      <c r="AL42" s="277"/>
      <c r="AM42" s="2300">
        <v>84</v>
      </c>
      <c r="AN42" s="2301">
        <v>46</v>
      </c>
      <c r="AO42" s="2302">
        <f t="shared" si="9"/>
        <v>1.826086956521739</v>
      </c>
      <c r="AQ42" s="2300">
        <v>65</v>
      </c>
      <c r="AR42" s="2301">
        <v>46</v>
      </c>
      <c r="AS42" s="2302">
        <f t="shared" si="14"/>
        <v>1.4130434782608696</v>
      </c>
      <c r="AU42" s="2300">
        <v>87</v>
      </c>
      <c r="AV42" s="2301">
        <v>46</v>
      </c>
      <c r="AW42" s="2302">
        <f t="shared" si="15"/>
        <v>1.8913043478260869</v>
      </c>
      <c r="AY42" s="2300">
        <v>81</v>
      </c>
      <c r="AZ42" s="2301">
        <v>46</v>
      </c>
      <c r="BA42" s="2302">
        <f t="shared" si="16"/>
        <v>1.7608695652173914</v>
      </c>
      <c r="BC42" s="2300">
        <v>79</v>
      </c>
      <c r="BD42" s="2301">
        <v>45</v>
      </c>
      <c r="BE42" s="2302">
        <f t="shared" si="17"/>
        <v>1.7555555555555555</v>
      </c>
    </row>
    <row r="43" spans="1:57" s="1" customFormat="1">
      <c r="A43" s="1038" t="s">
        <v>985</v>
      </c>
      <c r="B43" s="5317"/>
      <c r="C43" s="2300">
        <v>52</v>
      </c>
      <c r="D43" s="2301">
        <v>33</v>
      </c>
      <c r="E43" s="2302">
        <f t="shared" si="0"/>
        <v>1.5757575757575757</v>
      </c>
      <c r="F43" s="277"/>
      <c r="G43" s="2300">
        <v>56</v>
      </c>
      <c r="H43" s="2301">
        <v>36</v>
      </c>
      <c r="I43" s="2302">
        <f t="shared" si="1"/>
        <v>1.5555555555555556</v>
      </c>
      <c r="J43" s="277"/>
      <c r="K43" s="2300">
        <v>56</v>
      </c>
      <c r="L43" s="2301">
        <v>35</v>
      </c>
      <c r="M43" s="2302">
        <f t="shared" si="2"/>
        <v>1.6</v>
      </c>
      <c r="N43" s="277"/>
      <c r="O43" s="2300">
        <v>56</v>
      </c>
      <c r="P43" s="2301">
        <v>35</v>
      </c>
      <c r="Q43" s="2302">
        <f t="shared" si="3"/>
        <v>1.6</v>
      </c>
      <c r="R43" s="277"/>
      <c r="S43" s="2300">
        <v>32</v>
      </c>
      <c r="T43" s="2301">
        <v>34</v>
      </c>
      <c r="U43" s="2302">
        <f t="shared" si="4"/>
        <v>0.94117647058823528</v>
      </c>
      <c r="V43" s="277"/>
      <c r="W43" s="2300">
        <v>42</v>
      </c>
      <c r="X43" s="2301">
        <v>36</v>
      </c>
      <c r="Y43" s="2302">
        <f t="shared" si="5"/>
        <v>1.1666666666666667</v>
      </c>
      <c r="Z43" s="277"/>
      <c r="AA43" s="2300">
        <v>56</v>
      </c>
      <c r="AB43" s="2301">
        <v>37</v>
      </c>
      <c r="AC43" s="2302">
        <f t="shared" si="6"/>
        <v>1.5135135135135136</v>
      </c>
      <c r="AD43" s="277"/>
      <c r="AE43" s="2300">
        <v>59</v>
      </c>
      <c r="AF43" s="2301">
        <v>37</v>
      </c>
      <c r="AG43" s="2302">
        <f t="shared" si="7"/>
        <v>1.5945945945945945</v>
      </c>
      <c r="AH43" s="277"/>
      <c r="AI43" s="2300">
        <v>50</v>
      </c>
      <c r="AJ43" s="2301">
        <v>39</v>
      </c>
      <c r="AK43" s="2302">
        <f t="shared" si="8"/>
        <v>1.2820512820512822</v>
      </c>
      <c r="AL43" s="277"/>
      <c r="AM43" s="2300">
        <v>71</v>
      </c>
      <c r="AN43" s="2301">
        <v>39</v>
      </c>
      <c r="AO43" s="2302">
        <f t="shared" si="9"/>
        <v>1.8205128205128205</v>
      </c>
      <c r="AQ43" s="2300">
        <v>39</v>
      </c>
      <c r="AR43" s="2301">
        <v>38</v>
      </c>
      <c r="AS43" s="2302">
        <f t="shared" si="14"/>
        <v>1.0263157894736843</v>
      </c>
      <c r="AU43" s="2300">
        <v>111</v>
      </c>
      <c r="AV43" s="2301">
        <v>37</v>
      </c>
      <c r="AW43" s="2302">
        <f t="shared" si="15"/>
        <v>3</v>
      </c>
      <c r="AY43" s="2300">
        <v>78</v>
      </c>
      <c r="AZ43" s="2301">
        <v>36</v>
      </c>
      <c r="BA43" s="2302">
        <f t="shared" si="16"/>
        <v>2.1666666666666665</v>
      </c>
      <c r="BC43" s="2300">
        <v>65</v>
      </c>
      <c r="BD43" s="2301">
        <v>34</v>
      </c>
      <c r="BE43" s="2302">
        <f t="shared" si="17"/>
        <v>1.911764705882353</v>
      </c>
    </row>
    <row r="44" spans="1:57" s="1" customFormat="1">
      <c r="A44" s="1038" t="s">
        <v>986</v>
      </c>
      <c r="B44" s="5317"/>
      <c r="C44" s="2300">
        <v>116</v>
      </c>
      <c r="D44" s="2301">
        <v>50</v>
      </c>
      <c r="E44" s="2302">
        <f t="shared" si="0"/>
        <v>2.3199999999999998</v>
      </c>
      <c r="F44" s="277"/>
      <c r="G44" s="2300">
        <v>102</v>
      </c>
      <c r="H44" s="2301">
        <v>49</v>
      </c>
      <c r="I44" s="2302">
        <f t="shared" si="1"/>
        <v>2.0816326530612246</v>
      </c>
      <c r="J44" s="277"/>
      <c r="K44" s="2300">
        <v>100</v>
      </c>
      <c r="L44" s="2301">
        <v>48</v>
      </c>
      <c r="M44" s="2302">
        <f t="shared" si="2"/>
        <v>2.0833333333333335</v>
      </c>
      <c r="N44" s="277"/>
      <c r="O44" s="2300">
        <v>84</v>
      </c>
      <c r="P44" s="2301">
        <v>49</v>
      </c>
      <c r="Q44" s="2302">
        <f t="shared" si="3"/>
        <v>1.7142857142857142</v>
      </c>
      <c r="R44" s="277"/>
      <c r="S44" s="2300">
        <v>100</v>
      </c>
      <c r="T44" s="2301">
        <v>51</v>
      </c>
      <c r="U44" s="2302">
        <f t="shared" si="4"/>
        <v>1.9607843137254901</v>
      </c>
      <c r="V44" s="277"/>
      <c r="W44" s="2300">
        <v>102</v>
      </c>
      <c r="X44" s="2301">
        <v>53</v>
      </c>
      <c r="Y44" s="2302">
        <f t="shared" si="5"/>
        <v>1.9245283018867925</v>
      </c>
      <c r="Z44" s="277"/>
      <c r="AA44" s="2300">
        <v>88</v>
      </c>
      <c r="AB44" s="2301">
        <v>53</v>
      </c>
      <c r="AC44" s="2302">
        <f t="shared" si="6"/>
        <v>1.6603773584905661</v>
      </c>
      <c r="AD44" s="277"/>
      <c r="AE44" s="2300">
        <v>87</v>
      </c>
      <c r="AF44" s="2301">
        <v>51</v>
      </c>
      <c r="AG44" s="2302">
        <f t="shared" si="7"/>
        <v>1.7058823529411764</v>
      </c>
      <c r="AH44" s="277"/>
      <c r="AI44" s="2300">
        <v>142</v>
      </c>
      <c r="AJ44" s="2301">
        <v>49</v>
      </c>
      <c r="AK44" s="2302">
        <f t="shared" si="8"/>
        <v>2.8979591836734695</v>
      </c>
      <c r="AL44" s="277"/>
      <c r="AM44" s="2300">
        <v>156</v>
      </c>
      <c r="AN44" s="2301">
        <v>50</v>
      </c>
      <c r="AO44" s="2302">
        <f t="shared" si="9"/>
        <v>3.12</v>
      </c>
      <c r="AQ44" s="2300">
        <v>109</v>
      </c>
      <c r="AR44" s="2301">
        <v>49</v>
      </c>
      <c r="AS44" s="2302">
        <f t="shared" si="14"/>
        <v>2.2244897959183674</v>
      </c>
      <c r="AU44" s="2300">
        <v>123</v>
      </c>
      <c r="AV44" s="2301">
        <v>48</v>
      </c>
      <c r="AW44" s="2302">
        <f t="shared" si="15"/>
        <v>2.5625</v>
      </c>
      <c r="AY44" s="2300">
        <v>117</v>
      </c>
      <c r="AZ44" s="2301">
        <v>47</v>
      </c>
      <c r="BA44" s="2302">
        <f t="shared" si="16"/>
        <v>2.4893617021276597</v>
      </c>
      <c r="BC44" s="2300">
        <v>136</v>
      </c>
      <c r="BD44" s="2301">
        <v>46</v>
      </c>
      <c r="BE44" s="2302">
        <f t="shared" si="17"/>
        <v>2.9565217391304346</v>
      </c>
    </row>
    <row r="45" spans="1:57" s="1" customFormat="1">
      <c r="A45" s="1038" t="s">
        <v>987</v>
      </c>
      <c r="B45" s="5317"/>
      <c r="C45" s="2300">
        <v>87</v>
      </c>
      <c r="D45" s="2301">
        <v>46</v>
      </c>
      <c r="E45" s="2302">
        <f t="shared" si="0"/>
        <v>1.8913043478260869</v>
      </c>
      <c r="F45" s="277"/>
      <c r="G45" s="2300">
        <v>54</v>
      </c>
      <c r="H45" s="2301">
        <v>48</v>
      </c>
      <c r="I45" s="2302">
        <f t="shared" si="1"/>
        <v>1.125</v>
      </c>
      <c r="J45" s="277"/>
      <c r="K45" s="2300">
        <v>49</v>
      </c>
      <c r="L45" s="2301">
        <v>48</v>
      </c>
      <c r="M45" s="2302">
        <f t="shared" si="2"/>
        <v>1.0208333333333333</v>
      </c>
      <c r="N45" s="277"/>
      <c r="O45" s="2300">
        <v>99</v>
      </c>
      <c r="P45" s="2301">
        <v>50</v>
      </c>
      <c r="Q45" s="2302">
        <f t="shared" si="3"/>
        <v>1.98</v>
      </c>
      <c r="R45" s="277"/>
      <c r="S45" s="2300">
        <v>89</v>
      </c>
      <c r="T45" s="2301">
        <v>55</v>
      </c>
      <c r="U45" s="2302">
        <f t="shared" si="4"/>
        <v>1.6181818181818182</v>
      </c>
      <c r="V45" s="277"/>
      <c r="W45" s="2300">
        <v>94</v>
      </c>
      <c r="X45" s="2301">
        <v>54</v>
      </c>
      <c r="Y45" s="2302">
        <f t="shared" si="5"/>
        <v>1.7407407407407407</v>
      </c>
      <c r="Z45" s="277"/>
      <c r="AA45" s="2300">
        <v>104</v>
      </c>
      <c r="AB45" s="2301">
        <v>55</v>
      </c>
      <c r="AC45" s="2302">
        <f t="shared" si="6"/>
        <v>1.8909090909090909</v>
      </c>
      <c r="AD45" s="277"/>
      <c r="AE45" s="2300">
        <v>168</v>
      </c>
      <c r="AF45" s="2301">
        <v>55</v>
      </c>
      <c r="AG45" s="2302">
        <f t="shared" si="7"/>
        <v>3.0545454545454547</v>
      </c>
      <c r="AH45" s="277"/>
      <c r="AI45" s="2300">
        <v>103</v>
      </c>
      <c r="AJ45" s="2301">
        <v>55</v>
      </c>
      <c r="AK45" s="2302">
        <f t="shared" si="8"/>
        <v>1.8727272727272728</v>
      </c>
      <c r="AL45" s="277"/>
      <c r="AM45" s="2300">
        <v>117</v>
      </c>
      <c r="AN45" s="2301">
        <v>54</v>
      </c>
      <c r="AO45" s="2302">
        <f t="shared" si="9"/>
        <v>2.1666666666666665</v>
      </c>
      <c r="AQ45" s="2300">
        <v>136</v>
      </c>
      <c r="AR45" s="2301">
        <v>54</v>
      </c>
      <c r="AS45" s="2302">
        <f t="shared" si="14"/>
        <v>2.5185185185185186</v>
      </c>
      <c r="AU45" s="2300">
        <v>122</v>
      </c>
      <c r="AV45" s="2301">
        <v>55</v>
      </c>
      <c r="AW45" s="2302">
        <f t="shared" si="15"/>
        <v>2.2181818181818183</v>
      </c>
      <c r="AY45" s="2300">
        <v>128</v>
      </c>
      <c r="AZ45" s="2301">
        <v>53</v>
      </c>
      <c r="BA45" s="2302">
        <f t="shared" si="16"/>
        <v>2.4150943396226414</v>
      </c>
      <c r="BC45" s="2300">
        <v>114</v>
      </c>
      <c r="BD45" s="2301">
        <v>52</v>
      </c>
      <c r="BE45" s="2302">
        <f t="shared" si="17"/>
        <v>2.1923076923076925</v>
      </c>
    </row>
    <row r="46" spans="1:57" s="1" customFormat="1">
      <c r="A46" s="1038" t="s">
        <v>988</v>
      </c>
      <c r="B46" s="5317"/>
      <c r="C46" s="2300">
        <v>30</v>
      </c>
      <c r="D46" s="2301">
        <v>37</v>
      </c>
      <c r="E46" s="2302">
        <f t="shared" si="0"/>
        <v>0.81081081081081086</v>
      </c>
      <c r="F46" s="277"/>
      <c r="G46" s="2300">
        <v>45</v>
      </c>
      <c r="H46" s="2301">
        <v>38</v>
      </c>
      <c r="I46" s="2302">
        <f t="shared" si="1"/>
        <v>1.1842105263157894</v>
      </c>
      <c r="J46" s="277"/>
      <c r="K46" s="2300">
        <v>19</v>
      </c>
      <c r="L46" s="2301">
        <v>40</v>
      </c>
      <c r="M46" s="2302">
        <f t="shared" si="2"/>
        <v>0.47499999999999998</v>
      </c>
      <c r="N46" s="277"/>
      <c r="O46" s="2300">
        <v>62</v>
      </c>
      <c r="P46" s="2301">
        <v>41</v>
      </c>
      <c r="Q46" s="2302">
        <f t="shared" si="3"/>
        <v>1.5121951219512195</v>
      </c>
      <c r="R46" s="277"/>
      <c r="S46" s="2300">
        <v>68</v>
      </c>
      <c r="T46" s="2301">
        <v>41</v>
      </c>
      <c r="U46" s="2302">
        <f t="shared" si="4"/>
        <v>1.6585365853658536</v>
      </c>
      <c r="V46" s="277"/>
      <c r="W46" s="2300">
        <v>56</v>
      </c>
      <c r="X46" s="2301">
        <v>39</v>
      </c>
      <c r="Y46" s="2302">
        <f t="shared" si="5"/>
        <v>1.4358974358974359</v>
      </c>
      <c r="Z46" s="277"/>
      <c r="AA46" s="2300">
        <v>59</v>
      </c>
      <c r="AB46" s="2301">
        <v>38</v>
      </c>
      <c r="AC46" s="2302">
        <f t="shared" si="6"/>
        <v>1.5526315789473684</v>
      </c>
      <c r="AD46" s="277"/>
      <c r="AE46" s="2300">
        <v>54</v>
      </c>
      <c r="AF46" s="2301">
        <v>38</v>
      </c>
      <c r="AG46" s="2302">
        <f t="shared" si="7"/>
        <v>1.4210526315789473</v>
      </c>
      <c r="AH46" s="277"/>
      <c r="AI46" s="2300">
        <v>67</v>
      </c>
      <c r="AJ46" s="2301">
        <v>37</v>
      </c>
      <c r="AK46" s="2302">
        <f t="shared" si="8"/>
        <v>1.8108108108108107</v>
      </c>
      <c r="AL46" s="277"/>
      <c r="AM46" s="2300">
        <v>45</v>
      </c>
      <c r="AN46" s="2301">
        <v>35</v>
      </c>
      <c r="AO46" s="2302">
        <f t="shared" si="9"/>
        <v>1.2857142857142858</v>
      </c>
      <c r="AQ46" s="2300">
        <v>47</v>
      </c>
      <c r="AR46" s="2301">
        <v>35</v>
      </c>
      <c r="AS46" s="2302">
        <f t="shared" si="14"/>
        <v>1.3428571428571427</v>
      </c>
      <c r="AU46" s="2300">
        <v>83</v>
      </c>
      <c r="AV46" s="2301">
        <v>33</v>
      </c>
      <c r="AW46" s="2302">
        <f t="shared" si="15"/>
        <v>2.5151515151515151</v>
      </c>
      <c r="AY46" s="2300">
        <v>76</v>
      </c>
      <c r="AZ46" s="2301">
        <v>32</v>
      </c>
      <c r="BA46" s="2302">
        <f t="shared" si="16"/>
        <v>2.375</v>
      </c>
      <c r="BC46" s="2300">
        <v>77</v>
      </c>
      <c r="BD46" s="2301">
        <v>33</v>
      </c>
      <c r="BE46" s="2302">
        <f t="shared" si="17"/>
        <v>2.3333333333333335</v>
      </c>
    </row>
    <row r="47" spans="1:57" s="1" customFormat="1" ht="15" customHeight="1">
      <c r="A47" s="1929" t="s">
        <v>41</v>
      </c>
      <c r="B47" s="5317"/>
      <c r="C47" s="2293">
        <v>350</v>
      </c>
      <c r="D47" s="1448">
        <f>SUM(D42:D46)</f>
        <v>206</v>
      </c>
      <c r="E47" s="2278">
        <f t="shared" si="0"/>
        <v>1.6990291262135921</v>
      </c>
      <c r="F47" s="277"/>
      <c r="G47" s="2293">
        <v>329</v>
      </c>
      <c r="H47" s="1448">
        <f>SUM(H42:H46)</f>
        <v>214</v>
      </c>
      <c r="I47" s="2278">
        <f t="shared" si="1"/>
        <v>1.5373831775700935</v>
      </c>
      <c r="J47" s="277"/>
      <c r="K47" s="2293">
        <f>SUM(K42:K46)</f>
        <v>331</v>
      </c>
      <c r="L47" s="1448">
        <f>SUM(L42:L46)</f>
        <v>214</v>
      </c>
      <c r="M47" s="2278">
        <f t="shared" si="2"/>
        <v>1.5467289719626167</v>
      </c>
      <c r="N47" s="277"/>
      <c r="O47" s="2293">
        <f>SUM(O42:O46)</f>
        <v>374</v>
      </c>
      <c r="P47" s="1448">
        <f>SUM(P42:P46)</f>
        <v>221</v>
      </c>
      <c r="Q47" s="2278">
        <f t="shared" si="3"/>
        <v>1.6923076923076923</v>
      </c>
      <c r="R47" s="277"/>
      <c r="S47" s="2293">
        <f>SUM(S42:S46)</f>
        <v>341</v>
      </c>
      <c r="T47" s="1448">
        <f>SUM(T42:T46)</f>
        <v>228</v>
      </c>
      <c r="U47" s="2278">
        <f t="shared" si="4"/>
        <v>1.4956140350877194</v>
      </c>
      <c r="V47" s="277"/>
      <c r="W47" s="2293">
        <f>SUM(W42:W46)</f>
        <v>371</v>
      </c>
      <c r="X47" s="1448">
        <v>229</v>
      </c>
      <c r="Y47" s="2278">
        <f t="shared" si="5"/>
        <v>1.6200873362445414</v>
      </c>
      <c r="Z47" s="277"/>
      <c r="AA47" s="2293">
        <v>370</v>
      </c>
      <c r="AB47" s="1448">
        <f>SUM(AB42:AB46)</f>
        <v>231</v>
      </c>
      <c r="AC47" s="2278">
        <f t="shared" si="6"/>
        <v>1.6017316017316017</v>
      </c>
      <c r="AD47" s="277"/>
      <c r="AE47" s="2293">
        <v>423</v>
      </c>
      <c r="AF47" s="1448">
        <f>SUM(AF42:AF46)</f>
        <v>228</v>
      </c>
      <c r="AG47" s="2278">
        <f t="shared" si="7"/>
        <v>1.8552631578947369</v>
      </c>
      <c r="AH47" s="277"/>
      <c r="AI47" s="2293">
        <v>431</v>
      </c>
      <c r="AJ47" s="1448">
        <v>227</v>
      </c>
      <c r="AK47" s="2278">
        <f t="shared" si="8"/>
        <v>1.8986784140969164</v>
      </c>
      <c r="AL47" s="277"/>
      <c r="AM47" s="2293">
        <v>473</v>
      </c>
      <c r="AN47" s="1448">
        <v>224</v>
      </c>
      <c r="AO47" s="2278">
        <f t="shared" si="9"/>
        <v>2.1116071428571428</v>
      </c>
      <c r="AQ47" s="2293">
        <v>396</v>
      </c>
      <c r="AR47" s="1448">
        <v>222</v>
      </c>
      <c r="AS47" s="2278">
        <f t="shared" si="14"/>
        <v>1.7837837837837838</v>
      </c>
      <c r="AU47" s="2293">
        <v>526</v>
      </c>
      <c r="AV47" s="1448">
        <v>219</v>
      </c>
      <c r="AW47" s="2278">
        <f t="shared" si="15"/>
        <v>2.4018264840182648</v>
      </c>
      <c r="AY47" s="2293">
        <v>480</v>
      </c>
      <c r="AZ47" s="1448">
        <v>214</v>
      </c>
      <c r="BA47" s="2278">
        <f t="shared" si="16"/>
        <v>2.2429906542056073</v>
      </c>
      <c r="BC47" s="2293">
        <v>471</v>
      </c>
      <c r="BD47" s="1448">
        <v>210</v>
      </c>
      <c r="BE47" s="2278">
        <f t="shared" si="17"/>
        <v>2.2428571428571429</v>
      </c>
    </row>
    <row r="48" spans="1:57" s="1" customFormat="1">
      <c r="A48" s="1038" t="s">
        <v>989</v>
      </c>
      <c r="B48" s="5317"/>
      <c r="C48" s="2300">
        <v>44</v>
      </c>
      <c r="D48" s="2301">
        <v>25</v>
      </c>
      <c r="E48" s="2302">
        <f t="shared" si="0"/>
        <v>1.76</v>
      </c>
      <c r="F48" s="277"/>
      <c r="G48" s="2300">
        <v>42</v>
      </c>
      <c r="H48" s="2301">
        <v>25</v>
      </c>
      <c r="I48" s="2302">
        <f t="shared" si="1"/>
        <v>1.68</v>
      </c>
      <c r="J48" s="277"/>
      <c r="K48" s="2300">
        <v>33</v>
      </c>
      <c r="L48" s="2301">
        <v>26</v>
      </c>
      <c r="M48" s="2302">
        <f t="shared" si="2"/>
        <v>1.2692307692307692</v>
      </c>
      <c r="N48" s="277"/>
      <c r="O48" s="2300">
        <v>53</v>
      </c>
      <c r="P48" s="2301">
        <v>24</v>
      </c>
      <c r="Q48" s="2302">
        <f t="shared" si="3"/>
        <v>2.2083333333333335</v>
      </c>
      <c r="R48" s="277"/>
      <c r="S48" s="2300">
        <v>27</v>
      </c>
      <c r="T48" s="2301">
        <v>24</v>
      </c>
      <c r="U48" s="2302">
        <f t="shared" si="4"/>
        <v>1.125</v>
      </c>
      <c r="V48" s="277"/>
      <c r="W48" s="2300">
        <v>45</v>
      </c>
      <c r="X48" s="2301">
        <v>24</v>
      </c>
      <c r="Y48" s="2302">
        <f t="shared" si="5"/>
        <v>1.875</v>
      </c>
      <c r="Z48" s="277"/>
      <c r="AA48" s="2300">
        <v>30</v>
      </c>
      <c r="AB48" s="2301">
        <v>24</v>
      </c>
      <c r="AC48" s="2302">
        <f t="shared" si="6"/>
        <v>1.25</v>
      </c>
      <c r="AD48" s="277"/>
      <c r="AE48" s="2300">
        <v>35</v>
      </c>
      <c r="AF48" s="2301">
        <v>23</v>
      </c>
      <c r="AG48" s="2302">
        <f t="shared" si="7"/>
        <v>1.5217391304347827</v>
      </c>
      <c r="AH48" s="277"/>
      <c r="AI48" s="2300">
        <v>41</v>
      </c>
      <c r="AJ48" s="2301">
        <v>23</v>
      </c>
      <c r="AK48" s="2302">
        <f t="shared" si="8"/>
        <v>1.7826086956521738</v>
      </c>
      <c r="AL48" s="277"/>
      <c r="AM48" s="2300">
        <v>18</v>
      </c>
      <c r="AN48" s="2301">
        <v>24</v>
      </c>
      <c r="AO48" s="2302">
        <f t="shared" si="9"/>
        <v>0.75</v>
      </c>
      <c r="AQ48" s="2300">
        <v>37</v>
      </c>
      <c r="AR48" s="2301">
        <v>24</v>
      </c>
      <c r="AS48" s="2302">
        <f t="shared" si="14"/>
        <v>1.5416666666666667</v>
      </c>
      <c r="AU48" s="2300">
        <v>41</v>
      </c>
      <c r="AV48" s="2301">
        <v>22</v>
      </c>
      <c r="AW48" s="2302">
        <f t="shared" si="15"/>
        <v>1.8636363636363635</v>
      </c>
      <c r="AY48" s="2300">
        <v>10</v>
      </c>
      <c r="AZ48" s="2301">
        <v>24</v>
      </c>
      <c r="BA48" s="2302">
        <f t="shared" si="16"/>
        <v>0.41666666666666669</v>
      </c>
      <c r="BC48" s="2300">
        <v>37</v>
      </c>
      <c r="BD48" s="2301">
        <v>23</v>
      </c>
      <c r="BE48" s="2302">
        <f t="shared" si="17"/>
        <v>1.6086956521739131</v>
      </c>
    </row>
    <row r="49" spans="1:57" s="1" customFormat="1">
      <c r="A49" s="1038" t="s">
        <v>963</v>
      </c>
      <c r="B49" s="5317"/>
      <c r="C49" s="2300">
        <v>170</v>
      </c>
      <c r="D49" s="2301">
        <v>82</v>
      </c>
      <c r="E49" s="2302">
        <f t="shared" si="0"/>
        <v>2.0731707317073171</v>
      </c>
      <c r="F49" s="277"/>
      <c r="G49" s="2300">
        <v>135</v>
      </c>
      <c r="H49" s="2301">
        <v>80</v>
      </c>
      <c r="I49" s="2302">
        <f t="shared" si="1"/>
        <v>1.6875</v>
      </c>
      <c r="J49" s="277"/>
      <c r="K49" s="2300">
        <v>163</v>
      </c>
      <c r="L49" s="2301">
        <v>78</v>
      </c>
      <c r="M49" s="2302">
        <f t="shared" si="2"/>
        <v>2.0897435897435899</v>
      </c>
      <c r="N49" s="277"/>
      <c r="O49" s="2300">
        <v>142</v>
      </c>
      <c r="P49" s="2301">
        <v>79</v>
      </c>
      <c r="Q49" s="2302">
        <f t="shared" si="3"/>
        <v>1.7974683544303798</v>
      </c>
      <c r="R49" s="277"/>
      <c r="S49" s="2300">
        <v>136</v>
      </c>
      <c r="T49" s="2301">
        <v>79</v>
      </c>
      <c r="U49" s="2302">
        <f t="shared" si="4"/>
        <v>1.7215189873417722</v>
      </c>
      <c r="V49" s="277"/>
      <c r="W49" s="2300">
        <v>160</v>
      </c>
      <c r="X49" s="2301">
        <v>78</v>
      </c>
      <c r="Y49" s="2302">
        <f t="shared" si="5"/>
        <v>2.0512820512820511</v>
      </c>
      <c r="Z49" s="277"/>
      <c r="AA49" s="2300">
        <v>109</v>
      </c>
      <c r="AB49" s="2301">
        <v>78</v>
      </c>
      <c r="AC49" s="2302">
        <f t="shared" si="6"/>
        <v>1.3974358974358974</v>
      </c>
      <c r="AD49" s="277"/>
      <c r="AE49" s="2300">
        <v>110</v>
      </c>
      <c r="AF49" s="2301">
        <v>83</v>
      </c>
      <c r="AG49" s="2302">
        <f t="shared" si="7"/>
        <v>1.3253012048192772</v>
      </c>
      <c r="AH49" s="277"/>
      <c r="AI49" s="2300">
        <v>149</v>
      </c>
      <c r="AJ49" s="2301">
        <v>87</v>
      </c>
      <c r="AK49" s="2302">
        <f t="shared" si="8"/>
        <v>1.7126436781609196</v>
      </c>
      <c r="AL49" s="277"/>
      <c r="AM49" s="2300">
        <v>116</v>
      </c>
      <c r="AN49" s="2301">
        <v>87</v>
      </c>
      <c r="AO49" s="2302">
        <f t="shared" si="9"/>
        <v>1.3333333333333333</v>
      </c>
      <c r="AQ49" s="2300">
        <v>79</v>
      </c>
      <c r="AR49" s="2301">
        <v>82</v>
      </c>
      <c r="AS49" s="2302">
        <f t="shared" si="14"/>
        <v>0.96341463414634143</v>
      </c>
      <c r="AU49" s="2300">
        <v>120</v>
      </c>
      <c r="AV49" s="2301">
        <v>80</v>
      </c>
      <c r="AW49" s="2302">
        <f t="shared" si="15"/>
        <v>1.5</v>
      </c>
      <c r="AY49" s="2300">
        <v>142</v>
      </c>
      <c r="AZ49" s="2301">
        <v>77</v>
      </c>
      <c r="BA49" s="2302">
        <f t="shared" si="16"/>
        <v>1.8441558441558441</v>
      </c>
      <c r="BC49" s="2300">
        <v>97</v>
      </c>
      <c r="BD49" s="2301">
        <v>75</v>
      </c>
      <c r="BE49" s="2302">
        <f t="shared" si="17"/>
        <v>1.2933333333333332</v>
      </c>
    </row>
    <row r="50" spans="1:57" s="1" customFormat="1">
      <c r="A50" s="1038" t="s">
        <v>990</v>
      </c>
      <c r="B50" s="5317"/>
      <c r="C50" s="2300">
        <v>181</v>
      </c>
      <c r="D50" s="2301">
        <v>108</v>
      </c>
      <c r="E50" s="2302">
        <f t="shared" si="0"/>
        <v>1.6759259259259258</v>
      </c>
      <c r="F50" s="277"/>
      <c r="G50" s="2300">
        <v>178</v>
      </c>
      <c r="H50" s="2301">
        <v>105</v>
      </c>
      <c r="I50" s="2302">
        <f t="shared" si="1"/>
        <v>1.6952380952380952</v>
      </c>
      <c r="J50" s="277"/>
      <c r="K50" s="2300">
        <v>216</v>
      </c>
      <c r="L50" s="2301">
        <v>105</v>
      </c>
      <c r="M50" s="2302">
        <f t="shared" si="2"/>
        <v>2.0571428571428569</v>
      </c>
      <c r="N50" s="277"/>
      <c r="O50" s="2300">
        <v>158</v>
      </c>
      <c r="P50" s="2301">
        <v>104</v>
      </c>
      <c r="Q50" s="2302">
        <f t="shared" si="3"/>
        <v>1.5192307692307692</v>
      </c>
      <c r="R50" s="277"/>
      <c r="S50" s="2300">
        <v>136</v>
      </c>
      <c r="T50" s="2301">
        <v>106</v>
      </c>
      <c r="U50" s="2302">
        <f t="shared" si="4"/>
        <v>1.2830188679245282</v>
      </c>
      <c r="V50" s="277"/>
      <c r="W50" s="2300">
        <v>152</v>
      </c>
      <c r="X50" s="2301">
        <v>107</v>
      </c>
      <c r="Y50" s="2302">
        <f t="shared" si="5"/>
        <v>1.4205607476635513</v>
      </c>
      <c r="Z50" s="277"/>
      <c r="AA50" s="2300">
        <v>138</v>
      </c>
      <c r="AB50" s="2301">
        <v>105</v>
      </c>
      <c r="AC50" s="2302">
        <f t="shared" si="6"/>
        <v>1.3142857142857143</v>
      </c>
      <c r="AD50" s="277"/>
      <c r="AE50" s="2300">
        <v>152</v>
      </c>
      <c r="AF50" s="2301">
        <v>107</v>
      </c>
      <c r="AG50" s="2302">
        <f t="shared" si="7"/>
        <v>1.4205607476635513</v>
      </c>
      <c r="AH50" s="277"/>
      <c r="AI50" s="2300">
        <v>152</v>
      </c>
      <c r="AJ50" s="2301">
        <v>106</v>
      </c>
      <c r="AK50" s="2302">
        <f t="shared" si="8"/>
        <v>1.4339622641509433</v>
      </c>
      <c r="AL50" s="277"/>
      <c r="AM50" s="2300">
        <v>108</v>
      </c>
      <c r="AN50" s="2301">
        <v>99</v>
      </c>
      <c r="AO50" s="2302">
        <f t="shared" si="9"/>
        <v>1.0909090909090908</v>
      </c>
      <c r="AQ50" s="2300">
        <v>87</v>
      </c>
      <c r="AR50" s="2301">
        <v>98</v>
      </c>
      <c r="AS50" s="2302">
        <f t="shared" si="14"/>
        <v>0.88775510204081631</v>
      </c>
      <c r="AU50" s="2300">
        <v>115</v>
      </c>
      <c r="AV50" s="2301">
        <v>92</v>
      </c>
      <c r="AW50" s="2302">
        <f t="shared" si="15"/>
        <v>1.25</v>
      </c>
      <c r="AY50" s="2300">
        <v>91</v>
      </c>
      <c r="AZ50" s="2301">
        <v>92</v>
      </c>
      <c r="BA50" s="2302">
        <f t="shared" si="16"/>
        <v>0.98913043478260865</v>
      </c>
      <c r="BC50" s="2300">
        <v>90</v>
      </c>
      <c r="BD50" s="2301">
        <v>94</v>
      </c>
      <c r="BE50" s="2302">
        <f t="shared" si="17"/>
        <v>0.95744680851063835</v>
      </c>
    </row>
    <row r="51" spans="1:57" s="1" customFormat="1">
      <c r="A51" s="1038" t="s">
        <v>964</v>
      </c>
      <c r="B51" s="5317"/>
      <c r="C51" s="2300">
        <v>151</v>
      </c>
      <c r="D51" s="2301">
        <v>92</v>
      </c>
      <c r="E51" s="2302">
        <f t="shared" si="0"/>
        <v>1.6413043478260869</v>
      </c>
      <c r="F51" s="277"/>
      <c r="G51" s="2300">
        <v>145</v>
      </c>
      <c r="H51" s="2301">
        <v>92</v>
      </c>
      <c r="I51" s="2302">
        <f t="shared" si="1"/>
        <v>1.576086956521739</v>
      </c>
      <c r="J51" s="277"/>
      <c r="K51" s="2300">
        <v>111</v>
      </c>
      <c r="L51" s="2301">
        <v>89</v>
      </c>
      <c r="M51" s="2302">
        <f t="shared" si="2"/>
        <v>1.247191011235955</v>
      </c>
      <c r="N51" s="277"/>
      <c r="O51" s="2300">
        <v>142</v>
      </c>
      <c r="P51" s="2301">
        <v>92</v>
      </c>
      <c r="Q51" s="2302">
        <f t="shared" si="3"/>
        <v>1.5434782608695652</v>
      </c>
      <c r="R51" s="277"/>
      <c r="S51" s="2300">
        <v>117</v>
      </c>
      <c r="T51" s="2301">
        <v>94</v>
      </c>
      <c r="U51" s="2302">
        <f t="shared" si="4"/>
        <v>1.2446808510638299</v>
      </c>
      <c r="V51" s="277"/>
      <c r="W51" s="2300">
        <v>121</v>
      </c>
      <c r="X51" s="2301">
        <v>92</v>
      </c>
      <c r="Y51" s="2302">
        <f t="shared" si="5"/>
        <v>1.3152173913043479</v>
      </c>
      <c r="Z51" s="277"/>
      <c r="AA51" s="2300">
        <v>96</v>
      </c>
      <c r="AB51" s="2301">
        <v>91</v>
      </c>
      <c r="AC51" s="2302">
        <f t="shared" si="6"/>
        <v>1.054945054945055</v>
      </c>
      <c r="AD51" s="277"/>
      <c r="AE51" s="2300">
        <v>129</v>
      </c>
      <c r="AF51" s="2301">
        <v>90</v>
      </c>
      <c r="AG51" s="2302">
        <f t="shared" si="7"/>
        <v>1.4333333333333333</v>
      </c>
      <c r="AH51" s="277"/>
      <c r="AI51" s="2300">
        <v>162</v>
      </c>
      <c r="AJ51" s="2301">
        <v>93</v>
      </c>
      <c r="AK51" s="2302">
        <f t="shared" si="8"/>
        <v>1.7419354838709677</v>
      </c>
      <c r="AL51" s="277"/>
      <c r="AM51" s="2300">
        <v>76</v>
      </c>
      <c r="AN51" s="2301">
        <v>87</v>
      </c>
      <c r="AO51" s="2302">
        <f t="shared" si="9"/>
        <v>0.87356321839080464</v>
      </c>
      <c r="AQ51" s="2300">
        <v>59</v>
      </c>
      <c r="AR51" s="2301">
        <v>85</v>
      </c>
      <c r="AS51" s="2302">
        <f t="shared" si="14"/>
        <v>0.69411764705882351</v>
      </c>
      <c r="AU51" s="2300">
        <v>165</v>
      </c>
      <c r="AV51" s="2301">
        <v>84</v>
      </c>
      <c r="AW51" s="2302">
        <f t="shared" si="15"/>
        <v>1.9642857142857142</v>
      </c>
      <c r="AY51" s="2300">
        <v>98</v>
      </c>
      <c r="AZ51" s="2301">
        <v>86</v>
      </c>
      <c r="BA51" s="2302">
        <f t="shared" si="16"/>
        <v>1.1395348837209303</v>
      </c>
      <c r="BC51" s="2300">
        <v>106</v>
      </c>
      <c r="BD51" s="2301">
        <v>83</v>
      </c>
      <c r="BE51" s="2302">
        <f t="shared" si="17"/>
        <v>1.2771084337349397</v>
      </c>
    </row>
    <row r="52" spans="1:57" s="1" customFormat="1" ht="15" customHeight="1">
      <c r="A52" s="1961" t="s">
        <v>16</v>
      </c>
      <c r="B52" s="5317"/>
      <c r="C52" s="2297">
        <v>546</v>
      </c>
      <c r="D52" s="1976">
        <f>SUM(D48:D51)</f>
        <v>307</v>
      </c>
      <c r="E52" s="2281">
        <f t="shared" si="0"/>
        <v>1.778501628664495</v>
      </c>
      <c r="F52" s="277"/>
      <c r="G52" s="2297">
        <v>500</v>
      </c>
      <c r="H52" s="1976">
        <f>SUM(H48:H51)</f>
        <v>302</v>
      </c>
      <c r="I52" s="2281">
        <f t="shared" si="1"/>
        <v>1.6556291390728477</v>
      </c>
      <c r="J52" s="277"/>
      <c r="K52" s="2297">
        <f>SUM(K48:K51)</f>
        <v>523</v>
      </c>
      <c r="L52" s="1976">
        <f>SUM(L48:L51)</f>
        <v>298</v>
      </c>
      <c r="M52" s="2281">
        <f t="shared" si="2"/>
        <v>1.7550335570469799</v>
      </c>
      <c r="N52" s="277"/>
      <c r="O52" s="2297">
        <f>SUM(O48:O51)</f>
        <v>495</v>
      </c>
      <c r="P52" s="1976">
        <f>SUM(P48:P51)</f>
        <v>299</v>
      </c>
      <c r="Q52" s="2281">
        <f t="shared" si="3"/>
        <v>1.6555183946488294</v>
      </c>
      <c r="R52" s="277"/>
      <c r="S52" s="2297">
        <f>SUM(S48:S51)</f>
        <v>416</v>
      </c>
      <c r="T52" s="1976">
        <f>SUM(T48:T51)</f>
        <v>303</v>
      </c>
      <c r="U52" s="2281">
        <f t="shared" si="4"/>
        <v>1.3729372937293729</v>
      </c>
      <c r="V52" s="277"/>
      <c r="W52" s="2297">
        <f>SUM(W48:W51)</f>
        <v>478</v>
      </c>
      <c r="X52" s="1976">
        <v>301</v>
      </c>
      <c r="Y52" s="2281">
        <f t="shared" si="5"/>
        <v>1.5880398671096345</v>
      </c>
      <c r="Z52" s="277"/>
      <c r="AA52" s="2297">
        <v>373</v>
      </c>
      <c r="AB52" s="1976">
        <f>SUM(AB48:AB51)</f>
        <v>298</v>
      </c>
      <c r="AC52" s="2281">
        <f t="shared" si="6"/>
        <v>1.2516778523489933</v>
      </c>
      <c r="AD52" s="277"/>
      <c r="AE52" s="2297">
        <v>426</v>
      </c>
      <c r="AF52" s="1976">
        <f>SUM(AF48:AF51)</f>
        <v>303</v>
      </c>
      <c r="AG52" s="2281">
        <f t="shared" si="7"/>
        <v>1.4059405940594059</v>
      </c>
      <c r="AH52" s="277"/>
      <c r="AI52" s="2297">
        <v>504</v>
      </c>
      <c r="AJ52" s="1976">
        <v>309</v>
      </c>
      <c r="AK52" s="2281">
        <f t="shared" si="8"/>
        <v>1.6310679611650485</v>
      </c>
      <c r="AL52" s="277"/>
      <c r="AM52" s="2297">
        <v>318</v>
      </c>
      <c r="AN52" s="1976">
        <v>297</v>
      </c>
      <c r="AO52" s="2281">
        <f t="shared" si="9"/>
        <v>1.0707070707070707</v>
      </c>
      <c r="AQ52" s="2297">
        <v>262</v>
      </c>
      <c r="AR52" s="1976">
        <v>289</v>
      </c>
      <c r="AS52" s="2281">
        <f t="shared" si="14"/>
        <v>0.90657439446366783</v>
      </c>
      <c r="AU52" s="2297">
        <v>441</v>
      </c>
      <c r="AV52" s="1976">
        <v>278</v>
      </c>
      <c r="AW52" s="2281">
        <f t="shared" si="15"/>
        <v>1.5863309352517985</v>
      </c>
      <c r="AY52" s="2297">
        <v>341</v>
      </c>
      <c r="AZ52" s="1976">
        <v>279</v>
      </c>
      <c r="BA52" s="2281">
        <f t="shared" si="16"/>
        <v>1.2222222222222223</v>
      </c>
      <c r="BC52" s="2297">
        <v>330</v>
      </c>
      <c r="BD52" s="1976">
        <v>275</v>
      </c>
      <c r="BE52" s="2281">
        <f t="shared" si="17"/>
        <v>1.2</v>
      </c>
    </row>
    <row r="53" spans="1:57" s="1" customFormat="1" ht="15" customHeight="1">
      <c r="A53" s="1980" t="s">
        <v>991</v>
      </c>
      <c r="B53" s="5317"/>
      <c r="C53" s="2304">
        <v>1381</v>
      </c>
      <c r="D53" s="1981">
        <f>SUM(D52,D47,D41)</f>
        <v>789</v>
      </c>
      <c r="E53" s="2284">
        <f t="shared" si="0"/>
        <v>1.750316856780735</v>
      </c>
      <c r="F53" s="277"/>
      <c r="G53" s="2304">
        <v>1361</v>
      </c>
      <c r="H53" s="1981">
        <f>SUM(H52,H47,H41)</f>
        <v>794</v>
      </c>
      <c r="I53" s="2284">
        <f t="shared" si="1"/>
        <v>1.7141057934508817</v>
      </c>
      <c r="J53" s="277"/>
      <c r="K53" s="2304">
        <f>SUM(K52,K47,K41)</f>
        <v>1369</v>
      </c>
      <c r="L53" s="1981">
        <f>SUM(L52,L47,L41)</f>
        <v>791</v>
      </c>
      <c r="M53" s="2284">
        <f t="shared" si="2"/>
        <v>1.7307206068268015</v>
      </c>
      <c r="N53" s="277"/>
      <c r="O53" s="2304">
        <f>SUM(O52,O47,O41)</f>
        <v>1447</v>
      </c>
      <c r="P53" s="1981">
        <f>SUM(P52,P47,P41)</f>
        <v>804</v>
      </c>
      <c r="Q53" s="2284">
        <f t="shared" si="3"/>
        <v>1.7997512437810945</v>
      </c>
      <c r="R53" s="277"/>
      <c r="S53" s="2304">
        <f>SUM(S52,S47,S41)</f>
        <v>1271</v>
      </c>
      <c r="T53" s="1981">
        <f>SUM(T52,T47,T41)</f>
        <v>817</v>
      </c>
      <c r="U53" s="2284">
        <f t="shared" si="4"/>
        <v>1.5556915544675642</v>
      </c>
      <c r="V53" s="277"/>
      <c r="W53" s="2304">
        <f>SUM(W52,W47,W41)</f>
        <v>1365</v>
      </c>
      <c r="X53" s="1981">
        <v>813</v>
      </c>
      <c r="Y53" s="2284">
        <f t="shared" si="5"/>
        <v>1.6789667896678966</v>
      </c>
      <c r="Z53" s="277"/>
      <c r="AA53" s="2304">
        <v>1224</v>
      </c>
      <c r="AB53" s="1981">
        <f>SUM(AB41,AB47,AB52)</f>
        <v>810</v>
      </c>
      <c r="AC53" s="2284">
        <f t="shared" si="6"/>
        <v>1.5111111111111111</v>
      </c>
      <c r="AD53" s="277"/>
      <c r="AE53" s="2304">
        <v>1342</v>
      </c>
      <c r="AF53" s="1981">
        <f>SUM(AF41,AF47,AF52)</f>
        <v>806</v>
      </c>
      <c r="AG53" s="2284">
        <f t="shared" si="7"/>
        <v>1.6650124069478909</v>
      </c>
      <c r="AH53" s="277"/>
      <c r="AI53" s="2304">
        <v>1455</v>
      </c>
      <c r="AJ53" s="1981">
        <v>811</v>
      </c>
      <c r="AK53" s="2284">
        <f t="shared" si="8"/>
        <v>1.7940813810110974</v>
      </c>
      <c r="AL53" s="277"/>
      <c r="AM53" s="2304">
        <v>1184</v>
      </c>
      <c r="AN53" s="1981">
        <v>790</v>
      </c>
      <c r="AO53" s="2284">
        <f t="shared" si="9"/>
        <v>1.4987341772151899</v>
      </c>
      <c r="AQ53" s="2304">
        <v>1139</v>
      </c>
      <c r="AR53" s="1981">
        <v>779</v>
      </c>
      <c r="AS53" s="2284">
        <f t="shared" si="14"/>
        <v>1.4621309370988447</v>
      </c>
      <c r="AU53" s="2304">
        <v>1422</v>
      </c>
      <c r="AV53" s="1981">
        <v>759</v>
      </c>
      <c r="AW53" s="2284">
        <f t="shared" si="15"/>
        <v>1.8735177865612649</v>
      </c>
      <c r="AY53" s="2304">
        <v>1225</v>
      </c>
      <c r="AZ53" s="1981">
        <v>751</v>
      </c>
      <c r="BA53" s="2284">
        <f t="shared" si="16"/>
        <v>1.6311584553928096</v>
      </c>
      <c r="BC53" s="2304">
        <v>1177</v>
      </c>
      <c r="BD53" s="1981">
        <v>745</v>
      </c>
      <c r="BE53" s="2284">
        <f t="shared" si="17"/>
        <v>1.5798657718120805</v>
      </c>
    </row>
    <row r="54" spans="1:57" s="1" customFormat="1">
      <c r="A54" s="1038" t="s">
        <v>992</v>
      </c>
      <c r="B54" s="5317"/>
      <c r="C54" s="2305"/>
      <c r="D54" s="2306">
        <v>1</v>
      </c>
      <c r="E54" s="2285">
        <f t="shared" si="0"/>
        <v>0</v>
      </c>
      <c r="F54" s="277"/>
      <c r="G54" s="2305"/>
      <c r="H54" s="2306">
        <v>1</v>
      </c>
      <c r="I54" s="2285"/>
      <c r="J54" s="277"/>
      <c r="K54" s="2305"/>
      <c r="L54" s="2306">
        <v>2</v>
      </c>
      <c r="M54" s="2285"/>
      <c r="N54" s="277"/>
      <c r="O54" s="2305"/>
      <c r="P54" s="2306">
        <v>2</v>
      </c>
      <c r="Q54" s="2285"/>
      <c r="R54" s="277"/>
      <c r="S54" s="2305"/>
      <c r="T54" s="2306">
        <v>2</v>
      </c>
      <c r="U54" s="2285"/>
      <c r="V54" s="277"/>
      <c r="W54" s="2305"/>
      <c r="X54" s="2306">
        <v>5</v>
      </c>
      <c r="Y54" s="2285"/>
      <c r="Z54" s="277"/>
      <c r="AA54" s="2305">
        <v>6</v>
      </c>
      <c r="AB54" s="2306">
        <v>5</v>
      </c>
      <c r="AC54" s="2285"/>
      <c r="AD54" s="277"/>
      <c r="AE54" s="2305"/>
      <c r="AF54" s="2306">
        <v>6</v>
      </c>
      <c r="AG54" s="2285"/>
      <c r="AH54" s="277"/>
      <c r="AI54" s="2305">
        <v>0</v>
      </c>
      <c r="AJ54" s="2306">
        <v>6</v>
      </c>
      <c r="AK54" s="2285"/>
      <c r="AL54" s="277"/>
      <c r="AM54" s="2305">
        <v>10</v>
      </c>
      <c r="AN54" s="2306">
        <v>6</v>
      </c>
      <c r="AO54" s="2285"/>
      <c r="AQ54" s="2305"/>
      <c r="AR54" s="2306">
        <v>6</v>
      </c>
      <c r="AS54" s="2285"/>
      <c r="AU54" s="2305">
        <v>5</v>
      </c>
      <c r="AV54" s="2306">
        <v>6</v>
      </c>
      <c r="AW54" s="2285"/>
      <c r="AY54" s="2305">
        <v>11</v>
      </c>
      <c r="AZ54" s="2306">
        <v>5</v>
      </c>
      <c r="BA54" s="2285">
        <f t="shared" ref="BA54:BA61" si="18">AY54/AZ54</f>
        <v>2.2000000000000002</v>
      </c>
      <c r="BC54" s="2305">
        <v>3</v>
      </c>
      <c r="BD54" s="2306">
        <v>4</v>
      </c>
      <c r="BE54" s="2285">
        <f t="shared" si="17"/>
        <v>0.75</v>
      </c>
    </row>
    <row r="55" spans="1:57" s="1" customFormat="1">
      <c r="A55" s="1038" t="s">
        <v>993</v>
      </c>
      <c r="B55" s="5317"/>
      <c r="C55" s="2305"/>
      <c r="D55" s="2306">
        <v>1</v>
      </c>
      <c r="E55" s="2285">
        <f t="shared" si="0"/>
        <v>0</v>
      </c>
      <c r="F55" s="277"/>
      <c r="G55" s="2305"/>
      <c r="H55" s="2306">
        <v>2</v>
      </c>
      <c r="I55" s="2285"/>
      <c r="J55" s="277"/>
      <c r="K55" s="2305"/>
      <c r="L55" s="2306">
        <v>3</v>
      </c>
      <c r="M55" s="2285"/>
      <c r="N55" s="277"/>
      <c r="O55" s="2305">
        <v>18</v>
      </c>
      <c r="P55" s="2306">
        <v>4</v>
      </c>
      <c r="Q55" s="2285"/>
      <c r="R55" s="277"/>
      <c r="S55" s="2305">
        <v>2</v>
      </c>
      <c r="T55" s="2306">
        <v>6</v>
      </c>
      <c r="U55" s="2285">
        <f t="shared" si="4"/>
        <v>0.33333333333333331</v>
      </c>
      <c r="V55" s="277"/>
      <c r="W55" s="2305">
        <v>6</v>
      </c>
      <c r="X55" s="2306">
        <v>8</v>
      </c>
      <c r="Y55" s="2285">
        <f>W55/X55</f>
        <v>0.75</v>
      </c>
      <c r="Z55" s="277"/>
      <c r="AA55" s="2305">
        <v>8</v>
      </c>
      <c r="AB55" s="2306">
        <v>8</v>
      </c>
      <c r="AC55" s="2285">
        <f>AA55/AB55</f>
        <v>1</v>
      </c>
      <c r="AD55" s="277"/>
      <c r="AE55" s="2305">
        <v>6</v>
      </c>
      <c r="AF55" s="2306">
        <v>9</v>
      </c>
      <c r="AG55" s="2285">
        <f>AE55/AF55</f>
        <v>0.66666666666666663</v>
      </c>
      <c r="AH55" s="277"/>
      <c r="AI55" s="2305">
        <v>10</v>
      </c>
      <c r="AJ55" s="2306">
        <v>11</v>
      </c>
      <c r="AK55" s="2285">
        <f>AI55/AJ55</f>
        <v>0.90909090909090906</v>
      </c>
      <c r="AL55" s="277"/>
      <c r="AM55" s="2305">
        <v>6</v>
      </c>
      <c r="AN55" s="2306">
        <v>12</v>
      </c>
      <c r="AO55" s="2285">
        <f>AM55/AN55</f>
        <v>0.5</v>
      </c>
      <c r="AQ55" s="2305">
        <v>4</v>
      </c>
      <c r="AR55" s="2306">
        <v>12</v>
      </c>
      <c r="AS55" s="2285">
        <f>AQ55/AR55</f>
        <v>0.33333333333333331</v>
      </c>
      <c r="AU55" s="2305">
        <v>21</v>
      </c>
      <c r="AV55" s="2306">
        <v>10</v>
      </c>
      <c r="AW55" s="2285">
        <f>AU55/AV55</f>
        <v>2.1</v>
      </c>
      <c r="AY55" s="2305">
        <v>22</v>
      </c>
      <c r="AZ55" s="2306">
        <v>10</v>
      </c>
      <c r="BA55" s="2285">
        <f t="shared" si="18"/>
        <v>2.2000000000000002</v>
      </c>
      <c r="BC55" s="2305">
        <v>8</v>
      </c>
      <c r="BD55" s="2306">
        <v>10</v>
      </c>
      <c r="BE55" s="2285">
        <f t="shared" si="17"/>
        <v>0.8</v>
      </c>
    </row>
    <row r="56" spans="1:57" s="1" customFormat="1">
      <c r="A56" s="1038" t="s">
        <v>994</v>
      </c>
      <c r="B56" s="5317"/>
      <c r="C56" s="2305"/>
      <c r="D56" s="2306">
        <v>1</v>
      </c>
      <c r="E56" s="2285">
        <f t="shared" si="0"/>
        <v>0</v>
      </c>
      <c r="F56" s="277"/>
      <c r="G56" s="2305"/>
      <c r="H56" s="2306">
        <v>1</v>
      </c>
      <c r="I56" s="2285"/>
      <c r="J56" s="277"/>
      <c r="K56" s="2305"/>
      <c r="L56" s="2306">
        <v>2</v>
      </c>
      <c r="M56" s="2285"/>
      <c r="N56" s="277"/>
      <c r="O56" s="2305"/>
      <c r="P56" s="2306">
        <v>2</v>
      </c>
      <c r="Q56" s="2285"/>
      <c r="R56" s="277"/>
      <c r="S56" s="2305">
        <v>3</v>
      </c>
      <c r="T56" s="2306">
        <v>2</v>
      </c>
      <c r="U56" s="2285">
        <f t="shared" si="4"/>
        <v>1.5</v>
      </c>
      <c r="V56" s="277"/>
      <c r="W56" s="2305">
        <v>3</v>
      </c>
      <c r="X56" s="2306">
        <v>2</v>
      </c>
      <c r="Y56" s="2285">
        <f>W56/X56</f>
        <v>1.5</v>
      </c>
      <c r="Z56" s="277"/>
      <c r="AA56" s="2305">
        <v>2</v>
      </c>
      <c r="AB56" s="2306">
        <v>3</v>
      </c>
      <c r="AC56" s="2285">
        <f>AA56/AB56</f>
        <v>0.66666666666666663</v>
      </c>
      <c r="AD56" s="277"/>
      <c r="AE56" s="2305">
        <v>6</v>
      </c>
      <c r="AF56" s="2306">
        <v>4</v>
      </c>
      <c r="AG56" s="2285">
        <f>AE56/AF56</f>
        <v>1.5</v>
      </c>
      <c r="AH56" s="277"/>
      <c r="AI56" s="2305">
        <v>26</v>
      </c>
      <c r="AJ56" s="2306">
        <v>4</v>
      </c>
      <c r="AK56" s="2285">
        <f>AI56/AJ56</f>
        <v>6.5</v>
      </c>
      <c r="AL56" s="277"/>
      <c r="AM56" s="2305">
        <v>4</v>
      </c>
      <c r="AN56" s="2306">
        <v>5</v>
      </c>
      <c r="AO56" s="2285">
        <f>AM56/AN56</f>
        <v>0.8</v>
      </c>
      <c r="AQ56" s="2305">
        <v>10</v>
      </c>
      <c r="AR56" s="2306">
        <v>4</v>
      </c>
      <c r="AS56" s="2285">
        <f>AQ56/AR56</f>
        <v>2.5</v>
      </c>
      <c r="AU56" s="2305">
        <v>15</v>
      </c>
      <c r="AV56" s="2306">
        <v>6</v>
      </c>
      <c r="AW56" s="2285">
        <f>AU56/AV56</f>
        <v>2.5</v>
      </c>
      <c r="AY56" s="2305">
        <v>55</v>
      </c>
      <c r="AZ56" s="2306">
        <v>4</v>
      </c>
      <c r="BA56" s="2285">
        <f t="shared" si="18"/>
        <v>13.75</v>
      </c>
      <c r="BC56" s="2305">
        <v>11</v>
      </c>
      <c r="BD56" s="2306">
        <v>6</v>
      </c>
      <c r="BE56" s="2285">
        <f t="shared" si="17"/>
        <v>1.8333333333333333</v>
      </c>
    </row>
    <row r="57" spans="1:57" s="1" customFormat="1" ht="15" customHeight="1">
      <c r="A57" s="1929" t="s">
        <v>4</v>
      </c>
      <c r="B57" s="5317"/>
      <c r="C57" s="2293"/>
      <c r="D57" s="1448">
        <f>SUM(D54:D56)</f>
        <v>3</v>
      </c>
      <c r="E57" s="2278">
        <f t="shared" si="0"/>
        <v>0</v>
      </c>
      <c r="F57" s="277"/>
      <c r="G57" s="2293"/>
      <c r="H57" s="1448">
        <f>SUM(H54:H56)</f>
        <v>4</v>
      </c>
      <c r="I57" s="2278"/>
      <c r="J57" s="277"/>
      <c r="K57" s="2293"/>
      <c r="L57" s="1448">
        <f>SUM(L54:L56)</f>
        <v>7</v>
      </c>
      <c r="M57" s="2278"/>
      <c r="N57" s="277"/>
      <c r="O57" s="2293">
        <f>SUM(O54:O56)</f>
        <v>18</v>
      </c>
      <c r="P57" s="1448">
        <f>SUM(P54:P56)</f>
        <v>8</v>
      </c>
      <c r="Q57" s="2278"/>
      <c r="R57" s="277"/>
      <c r="S57" s="2293">
        <f>SUM(S55:S56)</f>
        <v>5</v>
      </c>
      <c r="T57" s="1448">
        <f>SUM(T54:T56)</f>
        <v>10</v>
      </c>
      <c r="U57" s="2278">
        <f t="shared" si="4"/>
        <v>0.5</v>
      </c>
      <c r="V57" s="277"/>
      <c r="W57" s="2293">
        <f>SUM(W54:W56)</f>
        <v>9</v>
      </c>
      <c r="X57" s="1448">
        <v>15</v>
      </c>
      <c r="Y57" s="2278">
        <f>W57/X57</f>
        <v>0.6</v>
      </c>
      <c r="Z57" s="277"/>
      <c r="AA57" s="2293">
        <v>16</v>
      </c>
      <c r="AB57" s="1448">
        <f>SUM(AB54:AB56)</f>
        <v>16</v>
      </c>
      <c r="AC57" s="2278">
        <f>AA57/AB57</f>
        <v>1</v>
      </c>
      <c r="AD57" s="277"/>
      <c r="AE57" s="2293">
        <v>12</v>
      </c>
      <c r="AF57" s="1448">
        <f>SUM(AF54:AF56)</f>
        <v>19</v>
      </c>
      <c r="AG57" s="2278">
        <f>AE57/AF57</f>
        <v>0.63157894736842102</v>
      </c>
      <c r="AH57" s="277"/>
      <c r="AI57" s="2293">
        <v>36</v>
      </c>
      <c r="AJ57" s="1448">
        <v>21</v>
      </c>
      <c r="AK57" s="2278">
        <f>AI57/AJ57</f>
        <v>1.7142857142857142</v>
      </c>
      <c r="AL57" s="277"/>
      <c r="AM57" s="2293">
        <v>20</v>
      </c>
      <c r="AN57" s="1448">
        <v>23</v>
      </c>
      <c r="AO57" s="2278">
        <f>AM57/AN57</f>
        <v>0.86956521739130432</v>
      </c>
      <c r="AQ57" s="2293">
        <v>14</v>
      </c>
      <c r="AR57" s="1448">
        <v>22</v>
      </c>
      <c r="AS57" s="2278">
        <f>AQ57/AR57</f>
        <v>0.63636363636363635</v>
      </c>
      <c r="AU57" s="2293">
        <v>41</v>
      </c>
      <c r="AV57" s="1448">
        <v>22</v>
      </c>
      <c r="AW57" s="2278">
        <f>AU57/AV57</f>
        <v>1.8636363636363635</v>
      </c>
      <c r="AY57" s="2293">
        <v>88</v>
      </c>
      <c r="AZ57" s="1448">
        <v>19</v>
      </c>
      <c r="BA57" s="2278">
        <f t="shared" si="18"/>
        <v>4.6315789473684212</v>
      </c>
      <c r="BC57" s="2293">
        <v>22</v>
      </c>
      <c r="BD57" s="1448">
        <v>20</v>
      </c>
      <c r="BE57" s="2278">
        <f t="shared" si="17"/>
        <v>1.1000000000000001</v>
      </c>
    </row>
    <row r="58" spans="1:57" s="1" customFormat="1">
      <c r="A58" s="1038" t="s">
        <v>995</v>
      </c>
      <c r="B58" s="5317"/>
      <c r="C58" s="2305"/>
      <c r="D58" s="2306">
        <v>1</v>
      </c>
      <c r="E58" s="2285">
        <f t="shared" si="0"/>
        <v>0</v>
      </c>
      <c r="F58" s="277"/>
      <c r="G58" s="2305"/>
      <c r="H58" s="2306">
        <v>2</v>
      </c>
      <c r="I58" s="2285"/>
      <c r="J58" s="277"/>
      <c r="K58" s="2305"/>
      <c r="L58" s="2306">
        <v>2</v>
      </c>
      <c r="M58" s="2285"/>
      <c r="N58" s="277"/>
      <c r="O58" s="2305"/>
      <c r="P58" s="2306">
        <v>6</v>
      </c>
      <c r="Q58" s="2285"/>
      <c r="R58" s="277"/>
      <c r="S58" s="2305">
        <v>13</v>
      </c>
      <c r="T58" s="2306">
        <v>8</v>
      </c>
      <c r="U58" s="2285">
        <f t="shared" si="4"/>
        <v>1.625</v>
      </c>
      <c r="V58" s="277"/>
      <c r="W58" s="2305">
        <v>23</v>
      </c>
      <c r="X58" s="2306">
        <v>7</v>
      </c>
      <c r="Y58" s="2285">
        <f>W58/X58</f>
        <v>3.2857142857142856</v>
      </c>
      <c r="Z58" s="277"/>
      <c r="AA58" s="2305">
        <v>4</v>
      </c>
      <c r="AB58" s="2306">
        <v>8</v>
      </c>
      <c r="AC58" s="2285">
        <f>AA58/AB58</f>
        <v>0.5</v>
      </c>
      <c r="AD58" s="277"/>
      <c r="AE58" s="2305">
        <v>23</v>
      </c>
      <c r="AF58" s="2306">
        <v>9</v>
      </c>
      <c r="AG58" s="2285">
        <f>AE58/AF58</f>
        <v>2.5555555555555554</v>
      </c>
      <c r="AH58" s="277"/>
      <c r="AI58" s="2305">
        <v>15</v>
      </c>
      <c r="AJ58" s="2306">
        <v>9</v>
      </c>
      <c r="AK58" s="2285">
        <f>AI58/AJ58</f>
        <v>1.6666666666666667</v>
      </c>
      <c r="AL58" s="277"/>
      <c r="AM58" s="2305">
        <v>23</v>
      </c>
      <c r="AN58" s="2306">
        <v>11</v>
      </c>
      <c r="AO58" s="2285">
        <f>AM58/AN58</f>
        <v>2.0909090909090908</v>
      </c>
      <c r="AQ58" s="2305">
        <v>7</v>
      </c>
      <c r="AR58" s="2306">
        <v>11</v>
      </c>
      <c r="AS58" s="2285">
        <f>AQ58/AR58</f>
        <v>0.63636363636363635</v>
      </c>
      <c r="AU58" s="2305">
        <v>45</v>
      </c>
      <c r="AV58" s="2306">
        <v>11</v>
      </c>
      <c r="AW58" s="2285">
        <f>AU58/AV58</f>
        <v>4.0909090909090908</v>
      </c>
      <c r="AY58" s="2305">
        <v>21</v>
      </c>
      <c r="AZ58" s="2306">
        <v>11</v>
      </c>
      <c r="BA58" s="2285">
        <f t="shared" si="18"/>
        <v>1.9090909090909092</v>
      </c>
      <c r="BC58" s="2305">
        <v>35</v>
      </c>
      <c r="BD58" s="2306">
        <v>10</v>
      </c>
      <c r="BE58" s="2285">
        <f t="shared" si="17"/>
        <v>3.5</v>
      </c>
    </row>
    <row r="59" spans="1:57" s="1" customFormat="1">
      <c r="A59" s="1038" t="s">
        <v>996</v>
      </c>
      <c r="B59" s="5317"/>
      <c r="C59" s="2305"/>
      <c r="D59" s="2306">
        <v>2</v>
      </c>
      <c r="E59" s="2285">
        <f t="shared" si="0"/>
        <v>0</v>
      </c>
      <c r="F59" s="277"/>
      <c r="G59" s="2305"/>
      <c r="H59" s="2306">
        <v>2</v>
      </c>
      <c r="I59" s="2285"/>
      <c r="J59" s="277"/>
      <c r="K59" s="2305"/>
      <c r="L59" s="2306">
        <v>4</v>
      </c>
      <c r="M59" s="2285"/>
      <c r="N59" s="277"/>
      <c r="O59" s="2305"/>
      <c r="P59" s="2306">
        <v>4</v>
      </c>
      <c r="Q59" s="2285"/>
      <c r="R59" s="277"/>
      <c r="S59" s="2305">
        <v>5</v>
      </c>
      <c r="T59" s="2306">
        <v>2</v>
      </c>
      <c r="U59" s="2285">
        <f t="shared" si="4"/>
        <v>2.5</v>
      </c>
      <c r="V59" s="277"/>
      <c r="W59" s="2305"/>
      <c r="X59" s="2306">
        <v>4</v>
      </c>
      <c r="Y59" s="2285">
        <f>W59/X59</f>
        <v>0</v>
      </c>
      <c r="Z59" s="277"/>
      <c r="AA59" s="2305">
        <v>1</v>
      </c>
      <c r="AB59" s="2306">
        <v>6</v>
      </c>
      <c r="AC59" s="2285">
        <f>AA59/AB59</f>
        <v>0.16666666666666666</v>
      </c>
      <c r="AD59" s="277"/>
      <c r="AE59" s="2305">
        <v>23</v>
      </c>
      <c r="AF59" s="2306">
        <v>7</v>
      </c>
      <c r="AG59" s="2285">
        <f>AE59/AF59</f>
        <v>3.2857142857142856</v>
      </c>
      <c r="AH59" s="277"/>
      <c r="AI59" s="2305">
        <v>46</v>
      </c>
      <c r="AJ59" s="2306">
        <v>8</v>
      </c>
      <c r="AK59" s="2285">
        <f>AI59/AJ59</f>
        <v>5.75</v>
      </c>
      <c r="AL59" s="277"/>
      <c r="AM59" s="2305">
        <v>48</v>
      </c>
      <c r="AN59" s="2306">
        <v>6</v>
      </c>
      <c r="AO59" s="2285">
        <f>AM59/AN59</f>
        <v>8</v>
      </c>
      <c r="AQ59" s="2305">
        <v>41</v>
      </c>
      <c r="AR59" s="2306">
        <v>6</v>
      </c>
      <c r="AS59" s="2285">
        <f>AQ59/AR59</f>
        <v>6.833333333333333</v>
      </c>
      <c r="AU59" s="2305">
        <v>31</v>
      </c>
      <c r="AV59" s="2306">
        <v>5</v>
      </c>
      <c r="AW59" s="2285">
        <f>AU59/AV59</f>
        <v>6.2</v>
      </c>
      <c r="AY59" s="2305">
        <v>84</v>
      </c>
      <c r="AZ59" s="2306">
        <v>4</v>
      </c>
      <c r="BA59" s="2285">
        <f t="shared" si="18"/>
        <v>21</v>
      </c>
      <c r="BC59" s="2305">
        <v>15</v>
      </c>
      <c r="BD59" s="2306">
        <v>5</v>
      </c>
      <c r="BE59" s="2285">
        <f t="shared" si="17"/>
        <v>3</v>
      </c>
    </row>
    <row r="60" spans="1:57" s="1" customFormat="1">
      <c r="A60" s="1038" t="s">
        <v>987</v>
      </c>
      <c r="B60" s="5317"/>
      <c r="C60" s="2305"/>
      <c r="D60" s="2306">
        <v>2</v>
      </c>
      <c r="E60" s="2285">
        <f t="shared" si="0"/>
        <v>0</v>
      </c>
      <c r="F60" s="277"/>
      <c r="G60" s="2305"/>
      <c r="H60" s="2306">
        <v>2</v>
      </c>
      <c r="I60" s="2285"/>
      <c r="J60" s="277"/>
      <c r="K60" s="2305"/>
      <c r="L60" s="2306">
        <v>3</v>
      </c>
      <c r="M60" s="2285"/>
      <c r="N60" s="277"/>
      <c r="O60" s="2305"/>
      <c r="P60" s="2306">
        <v>3</v>
      </c>
      <c r="Q60" s="2285"/>
      <c r="R60" s="277"/>
      <c r="S60" s="2305">
        <v>0</v>
      </c>
      <c r="T60" s="2306">
        <v>3</v>
      </c>
      <c r="U60" s="2285"/>
      <c r="V60" s="277"/>
      <c r="W60" s="2305"/>
      <c r="X60" s="2306">
        <v>3</v>
      </c>
      <c r="Y60" s="2285"/>
      <c r="Z60" s="277"/>
      <c r="AA60" s="2305">
        <v>0</v>
      </c>
      <c r="AB60" s="2306">
        <v>4</v>
      </c>
      <c r="AC60" s="2285"/>
      <c r="AD60" s="277"/>
      <c r="AE60" s="2305">
        <v>36</v>
      </c>
      <c r="AF60" s="2306">
        <v>4</v>
      </c>
      <c r="AG60" s="2285"/>
      <c r="AH60" s="277"/>
      <c r="AI60" s="2305">
        <v>8</v>
      </c>
      <c r="AJ60" s="2306">
        <v>3</v>
      </c>
      <c r="AK60" s="2285"/>
      <c r="AL60" s="277"/>
      <c r="AM60" s="2305">
        <v>1</v>
      </c>
      <c r="AN60" s="2306">
        <v>4</v>
      </c>
      <c r="AO60" s="2285"/>
      <c r="AQ60" s="2305">
        <v>13</v>
      </c>
      <c r="AR60" s="2306">
        <v>5</v>
      </c>
      <c r="AS60" s="2285"/>
      <c r="AU60" s="2305">
        <v>5</v>
      </c>
      <c r="AV60" s="2306">
        <v>5</v>
      </c>
      <c r="AW60" s="2285"/>
      <c r="AY60" s="2305">
        <v>4</v>
      </c>
      <c r="AZ60" s="2306">
        <v>6</v>
      </c>
      <c r="BA60" s="2285">
        <f t="shared" si="18"/>
        <v>0.66666666666666663</v>
      </c>
      <c r="BC60" s="2305">
        <v>2</v>
      </c>
      <c r="BD60" s="2306">
        <v>7</v>
      </c>
      <c r="BE60" s="2285">
        <f t="shared" si="17"/>
        <v>0.2857142857142857</v>
      </c>
    </row>
    <row r="61" spans="1:57" s="1" customFormat="1" ht="15" customHeight="1">
      <c r="A61" s="1929" t="s">
        <v>41</v>
      </c>
      <c r="B61" s="5317"/>
      <c r="C61" s="2293"/>
      <c r="D61" s="1448">
        <f>SUM(D58:D60)</f>
        <v>5</v>
      </c>
      <c r="E61" s="2278">
        <f t="shared" si="0"/>
        <v>0</v>
      </c>
      <c r="F61" s="277"/>
      <c r="G61" s="2293"/>
      <c r="H61" s="1448">
        <f>SUM(H58:H60)</f>
        <v>6</v>
      </c>
      <c r="I61" s="2278"/>
      <c r="J61" s="277"/>
      <c r="K61" s="2293"/>
      <c r="L61" s="1448">
        <f>SUM(L58:L60)</f>
        <v>9</v>
      </c>
      <c r="M61" s="2278"/>
      <c r="N61" s="277"/>
      <c r="O61" s="2293"/>
      <c r="P61" s="1448">
        <f>SUM(P58:P60)</f>
        <v>13</v>
      </c>
      <c r="Q61" s="2278"/>
      <c r="R61" s="277"/>
      <c r="S61" s="2293">
        <f>SUM(S58:S60)</f>
        <v>18</v>
      </c>
      <c r="T61" s="1448">
        <f>SUM(T58:T60)</f>
        <v>13</v>
      </c>
      <c r="U61" s="2278">
        <f t="shared" si="4"/>
        <v>1.3846153846153846</v>
      </c>
      <c r="V61" s="277"/>
      <c r="W61" s="2293">
        <f>SUM(W58:W60)</f>
        <v>23</v>
      </c>
      <c r="X61" s="1448">
        <v>14</v>
      </c>
      <c r="Y61" s="2278">
        <f>W61/X61</f>
        <v>1.6428571428571428</v>
      </c>
      <c r="Z61" s="277"/>
      <c r="AA61" s="2293">
        <v>5</v>
      </c>
      <c r="AB61" s="1448">
        <f>SUM(AB58:AB60)</f>
        <v>18</v>
      </c>
      <c r="AC61" s="2278">
        <f>AA61/AB61</f>
        <v>0.27777777777777779</v>
      </c>
      <c r="AD61" s="277"/>
      <c r="AE61" s="2293">
        <v>82</v>
      </c>
      <c r="AF61" s="1448">
        <f>SUM(AF58:AF60)</f>
        <v>20</v>
      </c>
      <c r="AG61" s="2278">
        <f>AE61/AF61</f>
        <v>4.0999999999999996</v>
      </c>
      <c r="AH61" s="277"/>
      <c r="AI61" s="2293">
        <v>69</v>
      </c>
      <c r="AJ61" s="1448">
        <v>20</v>
      </c>
      <c r="AK61" s="2278">
        <f>AI61/AJ61</f>
        <v>3.45</v>
      </c>
      <c r="AL61" s="277"/>
      <c r="AM61" s="2293">
        <v>72</v>
      </c>
      <c r="AN61" s="1448">
        <v>21</v>
      </c>
      <c r="AO61" s="2278">
        <f>AM61/AN61</f>
        <v>3.4285714285714284</v>
      </c>
      <c r="AQ61" s="2293">
        <v>61</v>
      </c>
      <c r="AR61" s="1448">
        <v>22</v>
      </c>
      <c r="AS61" s="2278">
        <f>AQ61/AR61</f>
        <v>2.7727272727272729</v>
      </c>
      <c r="AU61" s="2293">
        <v>81</v>
      </c>
      <c r="AV61" s="1448">
        <v>21</v>
      </c>
      <c r="AW61" s="2278">
        <f>AU61/AV61</f>
        <v>3.8571428571428572</v>
      </c>
      <c r="AY61" s="2293">
        <v>109</v>
      </c>
      <c r="AZ61" s="1448">
        <v>21</v>
      </c>
      <c r="BA61" s="2278">
        <f t="shared" si="18"/>
        <v>5.1904761904761907</v>
      </c>
      <c r="BC61" s="2293">
        <v>52</v>
      </c>
      <c r="BD61" s="1448">
        <v>22</v>
      </c>
      <c r="BE61" s="2278">
        <f t="shared" si="17"/>
        <v>2.3636363636363638</v>
      </c>
    </row>
    <row r="62" spans="1:57" s="1" customFormat="1">
      <c r="A62" s="1038" t="s">
        <v>997</v>
      </c>
      <c r="B62" s="5317"/>
      <c r="C62" s="2305"/>
      <c r="D62" s="2306"/>
      <c r="E62" s="2285"/>
      <c r="F62" s="277"/>
      <c r="G62" s="2305"/>
      <c r="H62" s="2306"/>
      <c r="I62" s="2285"/>
      <c r="J62" s="277"/>
      <c r="K62" s="2305"/>
      <c r="L62" s="2306">
        <v>1</v>
      </c>
      <c r="M62" s="2285"/>
      <c r="N62" s="277"/>
      <c r="O62" s="2305"/>
      <c r="P62" s="2306">
        <v>1</v>
      </c>
      <c r="Q62" s="2285"/>
      <c r="R62" s="277"/>
      <c r="S62" s="2305"/>
      <c r="T62" s="2306">
        <v>2</v>
      </c>
      <c r="U62" s="2285"/>
      <c r="V62" s="277"/>
      <c r="W62" s="2305"/>
      <c r="X62" s="2306">
        <v>1</v>
      </c>
      <c r="Y62" s="2285"/>
      <c r="Z62" s="277"/>
      <c r="AA62" s="2305">
        <v>10</v>
      </c>
      <c r="AB62" s="2306">
        <v>6</v>
      </c>
      <c r="AC62" s="2285"/>
      <c r="AD62" s="277"/>
      <c r="AE62" s="2305">
        <v>8</v>
      </c>
      <c r="AF62" s="2306">
        <v>9</v>
      </c>
      <c r="AG62" s="2285"/>
      <c r="AH62" s="277"/>
      <c r="AI62" s="2305">
        <v>6</v>
      </c>
      <c r="AJ62" s="2306">
        <v>9</v>
      </c>
      <c r="AK62" s="2285"/>
      <c r="AL62" s="277"/>
      <c r="AM62" s="2305">
        <v>11</v>
      </c>
      <c r="AN62" s="2306">
        <v>9</v>
      </c>
      <c r="AO62" s="2285"/>
      <c r="AQ62" s="2305">
        <v>19</v>
      </c>
      <c r="AR62" s="2306">
        <v>10</v>
      </c>
      <c r="AS62" s="2285"/>
      <c r="AU62" s="2305">
        <v>14</v>
      </c>
      <c r="AV62" s="2306">
        <v>10</v>
      </c>
      <c r="AW62" s="2285"/>
      <c r="AY62" s="2305">
        <v>4</v>
      </c>
      <c r="AZ62" s="2306">
        <v>10</v>
      </c>
      <c r="BA62" s="2285"/>
      <c r="BC62" s="2305">
        <v>10</v>
      </c>
      <c r="BD62" s="2306">
        <v>9</v>
      </c>
      <c r="BE62" s="2285">
        <f t="shared" si="17"/>
        <v>1.1111111111111112</v>
      </c>
    </row>
    <row r="63" spans="1:57" s="1" customFormat="1">
      <c r="A63" s="1038" t="s">
        <v>998</v>
      </c>
      <c r="B63" s="5317"/>
      <c r="C63" s="2305"/>
      <c r="D63" s="2306"/>
      <c r="E63" s="2285"/>
      <c r="F63" s="277"/>
      <c r="G63" s="2305"/>
      <c r="H63" s="2306"/>
      <c r="I63" s="2285"/>
      <c r="J63" s="277"/>
      <c r="K63" s="2305"/>
      <c r="L63" s="2306">
        <v>1</v>
      </c>
      <c r="M63" s="2285"/>
      <c r="N63" s="277"/>
      <c r="O63" s="2305"/>
      <c r="P63" s="2306">
        <v>1</v>
      </c>
      <c r="Q63" s="2285"/>
      <c r="R63" s="277"/>
      <c r="S63" s="2305"/>
      <c r="T63" s="2306">
        <v>3</v>
      </c>
      <c r="U63" s="2285"/>
      <c r="V63" s="277"/>
      <c r="W63" s="2305"/>
      <c r="X63" s="2306">
        <v>2</v>
      </c>
      <c r="Y63" s="2285"/>
      <c r="Z63" s="277"/>
      <c r="AA63" s="2305">
        <v>3</v>
      </c>
      <c r="AB63" s="2306">
        <v>3</v>
      </c>
      <c r="AC63" s="2285"/>
      <c r="AD63" s="277"/>
      <c r="AE63" s="2305"/>
      <c r="AF63" s="2306">
        <v>4</v>
      </c>
      <c r="AG63" s="2285"/>
      <c r="AH63" s="277"/>
      <c r="AI63" s="2305">
        <v>21</v>
      </c>
      <c r="AJ63" s="2306">
        <v>7</v>
      </c>
      <c r="AK63" s="2285"/>
      <c r="AL63" s="277"/>
      <c r="AM63" s="2305">
        <v>12</v>
      </c>
      <c r="AN63" s="2306">
        <v>5</v>
      </c>
      <c r="AO63" s="2285"/>
      <c r="AQ63" s="2305">
        <v>3</v>
      </c>
      <c r="AR63" s="2306">
        <v>5</v>
      </c>
      <c r="AS63" s="2285"/>
      <c r="AU63" s="2305">
        <v>13</v>
      </c>
      <c r="AV63" s="2306">
        <v>6</v>
      </c>
      <c r="AW63" s="2285"/>
      <c r="AY63" s="2305">
        <v>22</v>
      </c>
      <c r="AZ63" s="2306">
        <v>7</v>
      </c>
      <c r="BA63" s="2285"/>
      <c r="BC63" s="2305">
        <v>13</v>
      </c>
      <c r="BD63" s="2306">
        <v>8</v>
      </c>
      <c r="BE63" s="2285">
        <f t="shared" si="17"/>
        <v>1.625</v>
      </c>
    </row>
    <row r="64" spans="1:57" s="1" customFormat="1">
      <c r="A64" s="1038" t="s">
        <v>999</v>
      </c>
      <c r="B64" s="5317"/>
      <c r="C64" s="2305"/>
      <c r="D64" s="2306">
        <v>2</v>
      </c>
      <c r="E64" s="2285">
        <f t="shared" si="0"/>
        <v>0</v>
      </c>
      <c r="F64" s="277"/>
      <c r="G64" s="2305"/>
      <c r="H64" s="2306">
        <v>3</v>
      </c>
      <c r="I64" s="2285"/>
      <c r="J64" s="277"/>
      <c r="K64" s="2305"/>
      <c r="L64" s="2306">
        <v>4</v>
      </c>
      <c r="M64" s="2285"/>
      <c r="N64" s="277"/>
      <c r="O64" s="2305"/>
      <c r="P64" s="2306">
        <v>5</v>
      </c>
      <c r="Q64" s="2285"/>
      <c r="R64" s="277"/>
      <c r="S64" s="2305">
        <v>1</v>
      </c>
      <c r="T64" s="2306">
        <v>8</v>
      </c>
      <c r="U64" s="2285">
        <f t="shared" si="4"/>
        <v>0.125</v>
      </c>
      <c r="V64" s="277"/>
      <c r="W64" s="2305">
        <v>25</v>
      </c>
      <c r="X64" s="2306">
        <v>10</v>
      </c>
      <c r="Y64" s="2285">
        <f t="shared" ref="Y64:Y84" si="19">W64/X64</f>
        <v>2.5</v>
      </c>
      <c r="Z64" s="277"/>
      <c r="AA64" s="2305">
        <v>26</v>
      </c>
      <c r="AB64" s="2306">
        <v>12</v>
      </c>
      <c r="AC64" s="2285">
        <f t="shared" ref="AC64:AC84" si="20">AA64/AB64</f>
        <v>2.1666666666666665</v>
      </c>
      <c r="AD64" s="277"/>
      <c r="AE64" s="2305">
        <v>35</v>
      </c>
      <c r="AF64" s="2306">
        <v>14</v>
      </c>
      <c r="AG64" s="2285">
        <f t="shared" ref="AG64:AG84" si="21">AE64/AF64</f>
        <v>2.5</v>
      </c>
      <c r="AH64" s="277"/>
      <c r="AI64" s="2305">
        <v>27</v>
      </c>
      <c r="AJ64" s="2306">
        <v>14</v>
      </c>
      <c r="AK64" s="2285">
        <f t="shared" ref="AK64:AK84" si="22">AI64/AJ64</f>
        <v>1.9285714285714286</v>
      </c>
      <c r="AL64" s="277"/>
      <c r="AM64" s="2305">
        <v>23</v>
      </c>
      <c r="AN64" s="2306">
        <v>16</v>
      </c>
      <c r="AO64" s="2285">
        <f t="shared" ref="AO64:AO82" si="23">AM64/AN64</f>
        <v>1.4375</v>
      </c>
      <c r="AQ64" s="2305">
        <v>7</v>
      </c>
      <c r="AR64" s="2306">
        <v>16</v>
      </c>
      <c r="AS64" s="2285">
        <f t="shared" ref="AS64:AS82" si="24">AQ64/AR64</f>
        <v>0.4375</v>
      </c>
      <c r="AU64" s="2305">
        <v>51</v>
      </c>
      <c r="AV64" s="2306">
        <v>15</v>
      </c>
      <c r="AW64" s="2285">
        <f t="shared" ref="AW64:AW82" si="25">AU64/AV64</f>
        <v>3.4</v>
      </c>
      <c r="AY64" s="2305">
        <v>62</v>
      </c>
      <c r="AZ64" s="2306">
        <v>13</v>
      </c>
      <c r="BA64" s="2285"/>
      <c r="BC64" s="2305">
        <v>34</v>
      </c>
      <c r="BD64" s="2306">
        <v>16</v>
      </c>
      <c r="BE64" s="2285">
        <f t="shared" si="17"/>
        <v>2.125</v>
      </c>
    </row>
    <row r="65" spans="1:57" s="1" customFormat="1" ht="15" customHeight="1">
      <c r="A65" s="1961" t="s">
        <v>16</v>
      </c>
      <c r="B65" s="5317"/>
      <c r="C65" s="2297"/>
      <c r="D65" s="1976">
        <f>SUM(D62:D64)</f>
        <v>2</v>
      </c>
      <c r="E65" s="2281">
        <f t="shared" si="0"/>
        <v>0</v>
      </c>
      <c r="F65" s="277"/>
      <c r="G65" s="2297"/>
      <c r="H65" s="1976">
        <f>SUM(H62:H64)</f>
        <v>3</v>
      </c>
      <c r="I65" s="2281"/>
      <c r="J65" s="277"/>
      <c r="K65" s="2297"/>
      <c r="L65" s="1976">
        <f>SUM(L62:L64)</f>
        <v>6</v>
      </c>
      <c r="M65" s="2281"/>
      <c r="N65" s="277"/>
      <c r="O65" s="2297"/>
      <c r="P65" s="1976">
        <f>SUM(P62:P64)</f>
        <v>7</v>
      </c>
      <c r="Q65" s="2281"/>
      <c r="R65" s="277"/>
      <c r="S65" s="2297">
        <f>SUM(S62:S64)</f>
        <v>1</v>
      </c>
      <c r="T65" s="1976">
        <f>SUM(T62:T64)</f>
        <v>13</v>
      </c>
      <c r="U65" s="2281">
        <f t="shared" si="4"/>
        <v>7.6923076923076927E-2</v>
      </c>
      <c r="V65" s="277"/>
      <c r="W65" s="2297">
        <f>SUM(W62:W64)</f>
        <v>25</v>
      </c>
      <c r="X65" s="1976">
        <v>13</v>
      </c>
      <c r="Y65" s="2281">
        <f t="shared" si="19"/>
        <v>1.9230769230769231</v>
      </c>
      <c r="Z65" s="277"/>
      <c r="AA65" s="2297">
        <v>39</v>
      </c>
      <c r="AB65" s="1976">
        <f>SUM(AB62:AB64)</f>
        <v>21</v>
      </c>
      <c r="AC65" s="2281">
        <f t="shared" si="20"/>
        <v>1.8571428571428572</v>
      </c>
      <c r="AD65" s="277"/>
      <c r="AE65" s="2297">
        <v>43</v>
      </c>
      <c r="AF65" s="1976">
        <f>SUM(AF62:AF64)</f>
        <v>27</v>
      </c>
      <c r="AG65" s="2281">
        <f t="shared" si="21"/>
        <v>1.5925925925925926</v>
      </c>
      <c r="AH65" s="277"/>
      <c r="AI65" s="2297">
        <v>54</v>
      </c>
      <c r="AJ65" s="1976">
        <v>30</v>
      </c>
      <c r="AK65" s="2281">
        <f t="shared" si="22"/>
        <v>1.8</v>
      </c>
      <c r="AL65" s="277"/>
      <c r="AM65" s="2297">
        <v>46</v>
      </c>
      <c r="AN65" s="1976">
        <v>30</v>
      </c>
      <c r="AO65" s="2281">
        <f t="shared" si="23"/>
        <v>1.5333333333333334</v>
      </c>
      <c r="AQ65" s="2297">
        <v>29</v>
      </c>
      <c r="AR65" s="1976">
        <v>31</v>
      </c>
      <c r="AS65" s="2281">
        <f t="shared" si="24"/>
        <v>0.93548387096774188</v>
      </c>
      <c r="AU65" s="2297">
        <v>78</v>
      </c>
      <c r="AV65" s="1976">
        <v>31</v>
      </c>
      <c r="AW65" s="2281">
        <f t="shared" si="25"/>
        <v>2.5161290322580645</v>
      </c>
      <c r="AY65" s="2297">
        <v>88</v>
      </c>
      <c r="AZ65" s="1976">
        <v>30</v>
      </c>
      <c r="BA65" s="2281">
        <f t="shared" ref="BA65:BA82" si="26">AY65/AZ65</f>
        <v>2.9333333333333331</v>
      </c>
      <c r="BC65" s="2297">
        <v>57</v>
      </c>
      <c r="BD65" s="1976">
        <v>33</v>
      </c>
      <c r="BE65" s="2281">
        <f t="shared" ref="BE65:BE82" si="27">BC65/BD65</f>
        <v>1.7272727272727273</v>
      </c>
    </row>
    <row r="66" spans="1:57" s="1" customFormat="1" ht="15" customHeight="1">
      <c r="A66" s="1982" t="s">
        <v>338</v>
      </c>
      <c r="B66" s="5317"/>
      <c r="C66" s="2307"/>
      <c r="D66" s="2308">
        <f>SUM(D57,D61,D65)</f>
        <v>10</v>
      </c>
      <c r="E66" s="2286">
        <f t="shared" si="0"/>
        <v>0</v>
      </c>
      <c r="F66" s="277"/>
      <c r="G66" s="2307"/>
      <c r="H66" s="2308">
        <f>SUM(H57,H61,H65)</f>
        <v>13</v>
      </c>
      <c r="I66" s="2286"/>
      <c r="J66" s="277"/>
      <c r="K66" s="2307"/>
      <c r="L66" s="2308">
        <f>SUM(L57,L61,L65)</f>
        <v>22</v>
      </c>
      <c r="M66" s="2286"/>
      <c r="N66" s="277"/>
      <c r="O66" s="2307">
        <f>SUM(O57,O61,O65)</f>
        <v>18</v>
      </c>
      <c r="P66" s="2308">
        <f>SUM(P57,P61,P65)</f>
        <v>28</v>
      </c>
      <c r="Q66" s="2286"/>
      <c r="R66" s="277"/>
      <c r="S66" s="2307">
        <f>SUM(S57,S61,S65)</f>
        <v>24</v>
      </c>
      <c r="T66" s="2308">
        <f>SUM(T57,T61,T65)</f>
        <v>36</v>
      </c>
      <c r="U66" s="2286">
        <f t="shared" si="4"/>
        <v>0.66666666666666663</v>
      </c>
      <c r="V66" s="277"/>
      <c r="W66" s="2307">
        <f>SUM(W57,W61,W65)</f>
        <v>57</v>
      </c>
      <c r="X66" s="2308">
        <v>42</v>
      </c>
      <c r="Y66" s="2286">
        <f t="shared" si="19"/>
        <v>1.3571428571428572</v>
      </c>
      <c r="Z66" s="277"/>
      <c r="AA66" s="2307">
        <v>60</v>
      </c>
      <c r="AB66" s="2308">
        <f>SUM(AB57,AB61,AB65)</f>
        <v>55</v>
      </c>
      <c r="AC66" s="2286">
        <f t="shared" si="20"/>
        <v>1.0909090909090908</v>
      </c>
      <c r="AD66" s="277"/>
      <c r="AE66" s="2307">
        <v>137</v>
      </c>
      <c r="AF66" s="2308">
        <f>SUM(AF57,AF61,AF65)</f>
        <v>66</v>
      </c>
      <c r="AG66" s="2286">
        <f t="shared" si="21"/>
        <v>2.0757575757575757</v>
      </c>
      <c r="AH66" s="277"/>
      <c r="AI66" s="2307">
        <v>159</v>
      </c>
      <c r="AJ66" s="2308">
        <v>71</v>
      </c>
      <c r="AK66" s="2286">
        <f t="shared" si="22"/>
        <v>2.23943661971831</v>
      </c>
      <c r="AL66" s="277"/>
      <c r="AM66" s="2307">
        <v>138</v>
      </c>
      <c r="AN66" s="2308">
        <v>74</v>
      </c>
      <c r="AO66" s="2286">
        <f t="shared" si="23"/>
        <v>1.8648648648648649</v>
      </c>
      <c r="AQ66" s="2307">
        <v>104</v>
      </c>
      <c r="AR66" s="2308">
        <v>75</v>
      </c>
      <c r="AS66" s="2286">
        <f t="shared" si="24"/>
        <v>1.3866666666666667</v>
      </c>
      <c r="AU66" s="2307">
        <v>200</v>
      </c>
      <c r="AV66" s="2308">
        <v>74</v>
      </c>
      <c r="AW66" s="2286">
        <f t="shared" si="25"/>
        <v>2.7027027027027026</v>
      </c>
      <c r="AY66" s="2307">
        <v>285</v>
      </c>
      <c r="AZ66" s="2308">
        <v>70</v>
      </c>
      <c r="BA66" s="2286">
        <f t="shared" si="26"/>
        <v>4.0714285714285712</v>
      </c>
      <c r="BC66" s="2307">
        <v>131</v>
      </c>
      <c r="BD66" s="2308">
        <v>75</v>
      </c>
      <c r="BE66" s="2286">
        <f t="shared" si="27"/>
        <v>1.7466666666666666</v>
      </c>
    </row>
    <row r="67" spans="1:57" s="1" customFormat="1">
      <c r="A67" s="1038" t="s">
        <v>1000</v>
      </c>
      <c r="B67" s="5317"/>
      <c r="C67" s="2300">
        <v>221</v>
      </c>
      <c r="D67" s="2301">
        <v>129</v>
      </c>
      <c r="E67" s="2302">
        <f t="shared" si="0"/>
        <v>1.7131782945736433</v>
      </c>
      <c r="F67" s="277"/>
      <c r="G67" s="2300">
        <v>216</v>
      </c>
      <c r="H67" s="2301">
        <v>129</v>
      </c>
      <c r="I67" s="2302">
        <f t="shared" si="1"/>
        <v>1.6744186046511629</v>
      </c>
      <c r="J67" s="277"/>
      <c r="K67" s="2300">
        <v>224</v>
      </c>
      <c r="L67" s="2301">
        <v>135</v>
      </c>
      <c r="M67" s="2302">
        <f t="shared" si="2"/>
        <v>1.6592592592592592</v>
      </c>
      <c r="N67" s="277"/>
      <c r="O67" s="2300">
        <v>151</v>
      </c>
      <c r="P67" s="2301">
        <v>137</v>
      </c>
      <c r="Q67" s="2302">
        <f t="shared" si="3"/>
        <v>1.1021897810218979</v>
      </c>
      <c r="R67" s="277"/>
      <c r="S67" s="2300">
        <v>252</v>
      </c>
      <c r="T67" s="2301">
        <v>138</v>
      </c>
      <c r="U67" s="2302">
        <f t="shared" si="4"/>
        <v>1.826086956521739</v>
      </c>
      <c r="V67" s="277"/>
      <c r="W67" s="2300">
        <v>217</v>
      </c>
      <c r="X67" s="2301">
        <v>140</v>
      </c>
      <c r="Y67" s="2302">
        <f t="shared" si="19"/>
        <v>1.55</v>
      </c>
      <c r="Z67" s="277"/>
      <c r="AA67" s="2300">
        <v>204</v>
      </c>
      <c r="AB67" s="2301">
        <v>135</v>
      </c>
      <c r="AC67" s="2302">
        <f t="shared" si="20"/>
        <v>1.5111111111111111</v>
      </c>
      <c r="AD67" s="277"/>
      <c r="AE67" s="2300">
        <v>228</v>
      </c>
      <c r="AF67" s="2301">
        <v>138</v>
      </c>
      <c r="AG67" s="2302">
        <f t="shared" si="21"/>
        <v>1.6521739130434783</v>
      </c>
      <c r="AH67" s="277"/>
      <c r="AI67" s="2300">
        <v>208</v>
      </c>
      <c r="AJ67" s="2301">
        <v>136</v>
      </c>
      <c r="AK67" s="2302">
        <f t="shared" si="22"/>
        <v>1.5294117647058822</v>
      </c>
      <c r="AL67" s="277"/>
      <c r="AM67" s="2300">
        <v>277</v>
      </c>
      <c r="AN67" s="2301">
        <v>135</v>
      </c>
      <c r="AO67" s="2302">
        <f t="shared" si="23"/>
        <v>2.0518518518518518</v>
      </c>
      <c r="AQ67" s="2300">
        <v>181</v>
      </c>
      <c r="AR67" s="2301">
        <v>130</v>
      </c>
      <c r="AS67" s="2302">
        <f t="shared" si="24"/>
        <v>1.3923076923076922</v>
      </c>
      <c r="AU67" s="2300">
        <v>278</v>
      </c>
      <c r="AV67" s="2301">
        <v>127</v>
      </c>
      <c r="AW67" s="2302">
        <f t="shared" si="25"/>
        <v>2.188976377952756</v>
      </c>
      <c r="AY67" s="2300">
        <v>253</v>
      </c>
      <c r="AZ67" s="2301">
        <v>119</v>
      </c>
      <c r="BA67" s="2302">
        <f t="shared" si="26"/>
        <v>2.1260504201680672</v>
      </c>
      <c r="BC67" s="2300">
        <v>222</v>
      </c>
      <c r="BD67" s="2301">
        <v>119</v>
      </c>
      <c r="BE67" s="2302">
        <f t="shared" si="27"/>
        <v>1.865546218487395</v>
      </c>
    </row>
    <row r="68" spans="1:57" s="1" customFormat="1">
      <c r="A68" s="1038" t="s">
        <v>1001</v>
      </c>
      <c r="B68" s="5317"/>
      <c r="C68" s="2300">
        <v>60</v>
      </c>
      <c r="D68" s="2301">
        <v>56</v>
      </c>
      <c r="E68" s="2302">
        <f t="shared" si="0"/>
        <v>1.0714285714285714</v>
      </c>
      <c r="F68" s="277"/>
      <c r="G68" s="2300">
        <v>44</v>
      </c>
      <c r="H68" s="2301">
        <v>55</v>
      </c>
      <c r="I68" s="2302">
        <f t="shared" si="1"/>
        <v>0.8</v>
      </c>
      <c r="J68" s="277"/>
      <c r="K68" s="2300">
        <v>66</v>
      </c>
      <c r="L68" s="2301">
        <v>55</v>
      </c>
      <c r="M68" s="2302">
        <f t="shared" si="2"/>
        <v>1.2</v>
      </c>
      <c r="N68" s="277"/>
      <c r="O68" s="2300">
        <v>75</v>
      </c>
      <c r="P68" s="2301">
        <v>52</v>
      </c>
      <c r="Q68" s="2302">
        <f t="shared" si="3"/>
        <v>1.4423076923076923</v>
      </c>
      <c r="R68" s="277"/>
      <c r="S68" s="2300">
        <v>96</v>
      </c>
      <c r="T68" s="2301">
        <v>53</v>
      </c>
      <c r="U68" s="2302">
        <f t="shared" si="4"/>
        <v>1.8113207547169812</v>
      </c>
      <c r="V68" s="277"/>
      <c r="W68" s="2300">
        <v>58</v>
      </c>
      <c r="X68" s="2301">
        <v>53</v>
      </c>
      <c r="Y68" s="2302">
        <f t="shared" si="19"/>
        <v>1.0943396226415094</v>
      </c>
      <c r="Z68" s="277"/>
      <c r="AA68" s="2300">
        <v>83</v>
      </c>
      <c r="AB68" s="2301">
        <v>53</v>
      </c>
      <c r="AC68" s="2302">
        <f t="shared" si="20"/>
        <v>1.5660377358490567</v>
      </c>
      <c r="AD68" s="277"/>
      <c r="AE68" s="2300">
        <v>84</v>
      </c>
      <c r="AF68" s="2301">
        <v>52</v>
      </c>
      <c r="AG68" s="2302">
        <f t="shared" si="21"/>
        <v>1.6153846153846154</v>
      </c>
      <c r="AH68" s="277"/>
      <c r="AI68" s="2300">
        <v>94</v>
      </c>
      <c r="AJ68" s="2301">
        <v>52</v>
      </c>
      <c r="AK68" s="2302">
        <f t="shared" si="22"/>
        <v>1.8076923076923077</v>
      </c>
      <c r="AL68" s="277"/>
      <c r="AM68" s="2300">
        <v>81</v>
      </c>
      <c r="AN68" s="2301">
        <v>52</v>
      </c>
      <c r="AO68" s="2302">
        <f t="shared" si="23"/>
        <v>1.5576923076923077</v>
      </c>
      <c r="AQ68" s="2300">
        <v>32</v>
      </c>
      <c r="AR68" s="2301">
        <v>52</v>
      </c>
      <c r="AS68" s="2302">
        <f t="shared" si="24"/>
        <v>0.61538461538461542</v>
      </c>
      <c r="AU68" s="2300">
        <v>95</v>
      </c>
      <c r="AV68" s="2301">
        <v>51</v>
      </c>
      <c r="AW68" s="2302">
        <f t="shared" si="25"/>
        <v>1.8627450980392157</v>
      </c>
      <c r="AY68" s="2300">
        <v>46</v>
      </c>
      <c r="AZ68" s="2301">
        <v>49</v>
      </c>
      <c r="BA68" s="2302">
        <f t="shared" si="26"/>
        <v>0.93877551020408168</v>
      </c>
      <c r="BC68" s="2300">
        <v>54</v>
      </c>
      <c r="BD68" s="2301">
        <v>49</v>
      </c>
      <c r="BE68" s="2302">
        <f t="shared" si="27"/>
        <v>1.1020408163265305</v>
      </c>
    </row>
    <row r="69" spans="1:57" s="1" customFormat="1">
      <c r="A69" s="1038" t="s">
        <v>1002</v>
      </c>
      <c r="B69" s="5317"/>
      <c r="C69" s="2300">
        <v>157</v>
      </c>
      <c r="D69" s="2301">
        <v>86</v>
      </c>
      <c r="E69" s="2302">
        <f t="shared" si="0"/>
        <v>1.8255813953488371</v>
      </c>
      <c r="F69" s="277"/>
      <c r="G69" s="2300">
        <v>147</v>
      </c>
      <c r="H69" s="2301">
        <v>87</v>
      </c>
      <c r="I69" s="2302">
        <f t="shared" si="1"/>
        <v>1.6896551724137931</v>
      </c>
      <c r="J69" s="277"/>
      <c r="K69" s="2300">
        <v>189</v>
      </c>
      <c r="L69" s="2301">
        <v>89</v>
      </c>
      <c r="M69" s="2302">
        <f t="shared" si="2"/>
        <v>2.1235955056179776</v>
      </c>
      <c r="N69" s="277"/>
      <c r="O69" s="2300">
        <v>177</v>
      </c>
      <c r="P69" s="2301">
        <v>89</v>
      </c>
      <c r="Q69" s="2302">
        <f t="shared" si="3"/>
        <v>1.9887640449438202</v>
      </c>
      <c r="R69" s="277"/>
      <c r="S69" s="2300">
        <v>148</v>
      </c>
      <c r="T69" s="2301">
        <v>91</v>
      </c>
      <c r="U69" s="2302">
        <f t="shared" si="4"/>
        <v>1.6263736263736264</v>
      </c>
      <c r="V69" s="277"/>
      <c r="W69" s="2300">
        <v>185</v>
      </c>
      <c r="X69" s="2301">
        <v>93</v>
      </c>
      <c r="Y69" s="2302">
        <f t="shared" si="19"/>
        <v>1.989247311827957</v>
      </c>
      <c r="Z69" s="277"/>
      <c r="AA69" s="2300">
        <v>87</v>
      </c>
      <c r="AB69" s="2301">
        <v>92</v>
      </c>
      <c r="AC69" s="2302">
        <f t="shared" si="20"/>
        <v>0.94565217391304346</v>
      </c>
      <c r="AD69" s="277"/>
      <c r="AE69" s="2300">
        <v>124</v>
      </c>
      <c r="AF69" s="2301">
        <v>89</v>
      </c>
      <c r="AG69" s="2302">
        <f t="shared" si="21"/>
        <v>1.3932584269662922</v>
      </c>
      <c r="AH69" s="277"/>
      <c r="AI69" s="2300">
        <v>118</v>
      </c>
      <c r="AJ69" s="2301">
        <v>88</v>
      </c>
      <c r="AK69" s="2302">
        <f t="shared" si="22"/>
        <v>1.3409090909090908</v>
      </c>
      <c r="AL69" s="277"/>
      <c r="AM69" s="2300">
        <v>121</v>
      </c>
      <c r="AN69" s="2301">
        <v>88</v>
      </c>
      <c r="AO69" s="2302">
        <f t="shared" si="23"/>
        <v>1.375</v>
      </c>
      <c r="AQ69" s="2300">
        <v>106</v>
      </c>
      <c r="AR69" s="2301">
        <v>85</v>
      </c>
      <c r="AS69" s="2302">
        <f t="shared" si="24"/>
        <v>1.2470588235294118</v>
      </c>
      <c r="AU69" s="2300">
        <v>144</v>
      </c>
      <c r="AV69" s="2301">
        <v>83</v>
      </c>
      <c r="AW69" s="2302">
        <f t="shared" si="25"/>
        <v>1.7349397590361446</v>
      </c>
      <c r="AY69" s="2300">
        <v>195</v>
      </c>
      <c r="AZ69" s="2301">
        <v>83</v>
      </c>
      <c r="BA69" s="2302">
        <f t="shared" si="26"/>
        <v>2.3493975903614457</v>
      </c>
      <c r="BC69" s="2300">
        <v>148</v>
      </c>
      <c r="BD69" s="2301">
        <v>80</v>
      </c>
      <c r="BE69" s="2302">
        <f t="shared" si="27"/>
        <v>1.85</v>
      </c>
    </row>
    <row r="70" spans="1:57" s="1" customFormat="1">
      <c r="A70" s="1038" t="s">
        <v>1003</v>
      </c>
      <c r="B70" s="5317"/>
      <c r="C70" s="2300">
        <v>86</v>
      </c>
      <c r="D70" s="2301">
        <v>69</v>
      </c>
      <c r="E70" s="2302">
        <f t="shared" ref="E70:E84" si="28">C70/D70</f>
        <v>1.2463768115942029</v>
      </c>
      <c r="F70" s="277"/>
      <c r="G70" s="2300">
        <v>80</v>
      </c>
      <c r="H70" s="2301">
        <v>69</v>
      </c>
      <c r="I70" s="2302">
        <f t="shared" ref="I70:I84" si="29">G70/H70</f>
        <v>1.1594202898550725</v>
      </c>
      <c r="J70" s="277"/>
      <c r="K70" s="2300">
        <v>118</v>
      </c>
      <c r="L70" s="2301">
        <v>69</v>
      </c>
      <c r="M70" s="2302">
        <f t="shared" ref="M70:M84" si="30">K70/L70</f>
        <v>1.7101449275362319</v>
      </c>
      <c r="N70" s="277"/>
      <c r="O70" s="2300">
        <v>131</v>
      </c>
      <c r="P70" s="2301">
        <v>71</v>
      </c>
      <c r="Q70" s="2302">
        <f t="shared" ref="Q70:Q84" si="31">O70/P70</f>
        <v>1.8450704225352113</v>
      </c>
      <c r="R70" s="277"/>
      <c r="S70" s="2300">
        <v>165</v>
      </c>
      <c r="T70" s="2301">
        <v>71</v>
      </c>
      <c r="U70" s="2302">
        <f t="shared" ref="U70:U84" si="32">S70/T70</f>
        <v>2.323943661971831</v>
      </c>
      <c r="V70" s="277"/>
      <c r="W70" s="2300">
        <v>136</v>
      </c>
      <c r="X70" s="2301">
        <v>68</v>
      </c>
      <c r="Y70" s="2302">
        <f t="shared" si="19"/>
        <v>2</v>
      </c>
      <c r="Z70" s="277"/>
      <c r="AA70" s="2300">
        <v>96</v>
      </c>
      <c r="AB70" s="2301">
        <v>67</v>
      </c>
      <c r="AC70" s="2302">
        <f t="shared" si="20"/>
        <v>1.4328358208955223</v>
      </c>
      <c r="AD70" s="277"/>
      <c r="AE70" s="2300">
        <v>123</v>
      </c>
      <c r="AF70" s="2301">
        <v>68</v>
      </c>
      <c r="AG70" s="2302">
        <f t="shared" si="21"/>
        <v>1.8088235294117647</v>
      </c>
      <c r="AH70" s="277"/>
      <c r="AI70" s="2300">
        <v>117</v>
      </c>
      <c r="AJ70" s="2301">
        <v>68</v>
      </c>
      <c r="AK70" s="2302">
        <f t="shared" si="22"/>
        <v>1.7205882352941178</v>
      </c>
      <c r="AL70" s="277"/>
      <c r="AM70" s="2300">
        <v>98</v>
      </c>
      <c r="AN70" s="2301">
        <v>69</v>
      </c>
      <c r="AO70" s="2302">
        <f t="shared" si="23"/>
        <v>1.4202898550724639</v>
      </c>
      <c r="AQ70" s="2300">
        <v>104</v>
      </c>
      <c r="AR70" s="2301">
        <v>65</v>
      </c>
      <c r="AS70" s="2302">
        <f t="shared" si="24"/>
        <v>1.6</v>
      </c>
      <c r="AU70" s="2300">
        <v>110</v>
      </c>
      <c r="AV70" s="2301">
        <v>65</v>
      </c>
      <c r="AW70" s="2302">
        <f t="shared" si="25"/>
        <v>1.6923076923076923</v>
      </c>
      <c r="AY70" s="2300">
        <v>104</v>
      </c>
      <c r="AZ70" s="2301">
        <v>64</v>
      </c>
      <c r="BA70" s="2302">
        <f t="shared" si="26"/>
        <v>1.625</v>
      </c>
      <c r="BC70" s="2300">
        <v>120</v>
      </c>
      <c r="BD70" s="2301">
        <v>61</v>
      </c>
      <c r="BE70" s="2302">
        <f t="shared" si="27"/>
        <v>1.9672131147540983</v>
      </c>
    </row>
    <row r="71" spans="1:57" s="1" customFormat="1" ht="15" customHeight="1">
      <c r="A71" s="1929" t="s">
        <v>41</v>
      </c>
      <c r="B71" s="5317"/>
      <c r="C71" s="2293">
        <v>524</v>
      </c>
      <c r="D71" s="1448">
        <f>SUM(D67:D70)</f>
        <v>340</v>
      </c>
      <c r="E71" s="2278">
        <f t="shared" si="28"/>
        <v>1.5411764705882354</v>
      </c>
      <c r="F71" s="277"/>
      <c r="G71" s="2293">
        <v>487</v>
      </c>
      <c r="H71" s="1448">
        <f>SUM(H67:H70)</f>
        <v>340</v>
      </c>
      <c r="I71" s="2278">
        <f t="shared" si="29"/>
        <v>1.4323529411764706</v>
      </c>
      <c r="J71" s="277"/>
      <c r="K71" s="2293">
        <v>597</v>
      </c>
      <c r="L71" s="1448">
        <f>SUM(L67:L70)</f>
        <v>348</v>
      </c>
      <c r="M71" s="2278">
        <f t="shared" si="30"/>
        <v>1.7155172413793103</v>
      </c>
      <c r="N71" s="277"/>
      <c r="O71" s="2293">
        <f>SUM(O67:O70)</f>
        <v>534</v>
      </c>
      <c r="P71" s="1448">
        <f>SUM(P67:P70)</f>
        <v>349</v>
      </c>
      <c r="Q71" s="2278">
        <f t="shared" si="31"/>
        <v>1.5300859598853869</v>
      </c>
      <c r="R71" s="277"/>
      <c r="S71" s="2293">
        <f>SUM(S67:S70)</f>
        <v>661</v>
      </c>
      <c r="T71" s="1448">
        <f>SUM(T67:T70)</f>
        <v>353</v>
      </c>
      <c r="U71" s="2278">
        <f t="shared" si="32"/>
        <v>1.8725212464589236</v>
      </c>
      <c r="V71" s="277"/>
      <c r="W71" s="2293">
        <f>SUM(W67:W70)</f>
        <v>596</v>
      </c>
      <c r="X71" s="1448">
        <v>354</v>
      </c>
      <c r="Y71" s="2278">
        <f t="shared" si="19"/>
        <v>1.6836158192090396</v>
      </c>
      <c r="Z71" s="277"/>
      <c r="AA71" s="2293">
        <v>470</v>
      </c>
      <c r="AB71" s="1448">
        <f>SUM(AB67:AB70)</f>
        <v>347</v>
      </c>
      <c r="AC71" s="2278">
        <f t="shared" si="20"/>
        <v>1.3544668587896254</v>
      </c>
      <c r="AD71" s="277"/>
      <c r="AE71" s="2293">
        <v>559</v>
      </c>
      <c r="AF71" s="1448">
        <f>SUM(AF67:AF70)</f>
        <v>347</v>
      </c>
      <c r="AG71" s="2278">
        <f t="shared" si="21"/>
        <v>1.6109510086455332</v>
      </c>
      <c r="AH71" s="277"/>
      <c r="AI71" s="2293">
        <v>537</v>
      </c>
      <c r="AJ71" s="1448">
        <v>344</v>
      </c>
      <c r="AK71" s="2278">
        <f t="shared" si="22"/>
        <v>1.5610465116279071</v>
      </c>
      <c r="AL71" s="277"/>
      <c r="AM71" s="2293">
        <v>577</v>
      </c>
      <c r="AN71" s="1448">
        <v>344</v>
      </c>
      <c r="AO71" s="2278">
        <f t="shared" si="23"/>
        <v>1.6773255813953489</v>
      </c>
      <c r="AQ71" s="2293">
        <v>423</v>
      </c>
      <c r="AR71" s="1448">
        <v>332</v>
      </c>
      <c r="AS71" s="2278">
        <f t="shared" si="24"/>
        <v>1.2740963855421688</v>
      </c>
      <c r="AU71" s="2293">
        <v>627</v>
      </c>
      <c r="AV71" s="1448">
        <v>326</v>
      </c>
      <c r="AW71" s="2278">
        <f t="shared" si="25"/>
        <v>1.9233128834355828</v>
      </c>
      <c r="AY71" s="2293">
        <v>598</v>
      </c>
      <c r="AZ71" s="1448">
        <v>315</v>
      </c>
      <c r="BA71" s="2278">
        <f t="shared" si="26"/>
        <v>1.8984126984126983</v>
      </c>
      <c r="BC71" s="2293">
        <v>544</v>
      </c>
      <c r="BD71" s="1448">
        <v>309</v>
      </c>
      <c r="BE71" s="2278">
        <f t="shared" si="27"/>
        <v>1.7605177993527508</v>
      </c>
    </row>
    <row r="72" spans="1:57" s="1" customFormat="1">
      <c r="A72" s="1038" t="s">
        <v>1004</v>
      </c>
      <c r="B72" s="5317"/>
      <c r="C72" s="2300">
        <v>245</v>
      </c>
      <c r="D72" s="2301">
        <v>128</v>
      </c>
      <c r="E72" s="2302">
        <f t="shared" si="28"/>
        <v>1.9140625</v>
      </c>
      <c r="F72" s="277"/>
      <c r="G72" s="2300">
        <v>210</v>
      </c>
      <c r="H72" s="2301">
        <v>131</v>
      </c>
      <c r="I72" s="2302">
        <f t="shared" si="29"/>
        <v>1.6030534351145038</v>
      </c>
      <c r="J72" s="277"/>
      <c r="K72" s="2300">
        <v>303</v>
      </c>
      <c r="L72" s="2301">
        <v>134</v>
      </c>
      <c r="M72" s="2302">
        <f t="shared" si="30"/>
        <v>2.2611940298507465</v>
      </c>
      <c r="N72" s="277"/>
      <c r="O72" s="2300">
        <v>219</v>
      </c>
      <c r="P72" s="2301">
        <v>136</v>
      </c>
      <c r="Q72" s="2302">
        <f t="shared" si="31"/>
        <v>1.6102941176470589</v>
      </c>
      <c r="R72" s="277"/>
      <c r="S72" s="2300">
        <v>233</v>
      </c>
      <c r="T72" s="2301">
        <v>135</v>
      </c>
      <c r="U72" s="2302">
        <f t="shared" si="32"/>
        <v>1.7259259259259259</v>
      </c>
      <c r="V72" s="277"/>
      <c r="W72" s="2300">
        <v>221</v>
      </c>
      <c r="X72" s="2301">
        <v>132</v>
      </c>
      <c r="Y72" s="2302">
        <f t="shared" si="19"/>
        <v>1.6742424242424243</v>
      </c>
      <c r="Z72" s="277"/>
      <c r="AA72" s="2300">
        <v>210</v>
      </c>
      <c r="AB72" s="2301">
        <v>130</v>
      </c>
      <c r="AC72" s="2302">
        <f t="shared" si="20"/>
        <v>1.6153846153846154</v>
      </c>
      <c r="AD72" s="277"/>
      <c r="AE72" s="2300">
        <v>159</v>
      </c>
      <c r="AF72" s="2301">
        <v>126</v>
      </c>
      <c r="AG72" s="2302">
        <f t="shared" si="21"/>
        <v>1.2619047619047619</v>
      </c>
      <c r="AH72" s="277"/>
      <c r="AI72" s="2300">
        <v>142</v>
      </c>
      <c r="AJ72" s="2301">
        <v>125</v>
      </c>
      <c r="AK72" s="2302">
        <f t="shared" si="22"/>
        <v>1.1359999999999999</v>
      </c>
      <c r="AL72" s="277"/>
      <c r="AM72" s="2300">
        <v>132</v>
      </c>
      <c r="AN72" s="2301">
        <v>120</v>
      </c>
      <c r="AO72" s="2302">
        <f t="shared" si="23"/>
        <v>1.1000000000000001</v>
      </c>
      <c r="AQ72" s="2300">
        <v>78</v>
      </c>
      <c r="AR72" s="2301">
        <v>120</v>
      </c>
      <c r="AS72" s="2302">
        <f t="shared" si="24"/>
        <v>0.65</v>
      </c>
      <c r="AU72" s="2300">
        <v>166</v>
      </c>
      <c r="AV72" s="2301">
        <v>118</v>
      </c>
      <c r="AW72" s="2302">
        <f t="shared" si="25"/>
        <v>1.4067796610169492</v>
      </c>
      <c r="AY72" s="2300">
        <v>153</v>
      </c>
      <c r="AZ72" s="2301">
        <v>115</v>
      </c>
      <c r="BA72" s="2302">
        <f t="shared" si="26"/>
        <v>1.3304347826086957</v>
      </c>
      <c r="BC72" s="2300">
        <v>139</v>
      </c>
      <c r="BD72" s="2301">
        <v>112</v>
      </c>
      <c r="BE72" s="2302">
        <f t="shared" si="27"/>
        <v>1.2410714285714286</v>
      </c>
    </row>
    <row r="73" spans="1:57" s="1" customFormat="1">
      <c r="A73" s="1038" t="s">
        <v>1005</v>
      </c>
      <c r="B73" s="5317"/>
      <c r="C73" s="2300">
        <v>151</v>
      </c>
      <c r="D73" s="2301">
        <v>91</v>
      </c>
      <c r="E73" s="2302">
        <f t="shared" si="28"/>
        <v>1.6593406593406594</v>
      </c>
      <c r="F73" s="277"/>
      <c r="G73" s="2300">
        <v>162</v>
      </c>
      <c r="H73" s="2301">
        <v>98</v>
      </c>
      <c r="I73" s="2302">
        <f t="shared" si="29"/>
        <v>1.653061224489796</v>
      </c>
      <c r="J73" s="277"/>
      <c r="K73" s="2300">
        <v>229</v>
      </c>
      <c r="L73" s="2301">
        <v>99</v>
      </c>
      <c r="M73" s="2302">
        <f t="shared" si="30"/>
        <v>2.3131313131313131</v>
      </c>
      <c r="N73" s="277"/>
      <c r="O73" s="2300">
        <v>174</v>
      </c>
      <c r="P73" s="2301">
        <v>99</v>
      </c>
      <c r="Q73" s="2302">
        <f t="shared" si="31"/>
        <v>1.7575757575757576</v>
      </c>
      <c r="R73" s="277"/>
      <c r="S73" s="2300">
        <v>220</v>
      </c>
      <c r="T73" s="2301">
        <v>98</v>
      </c>
      <c r="U73" s="2302">
        <f t="shared" si="32"/>
        <v>2.2448979591836733</v>
      </c>
      <c r="V73" s="277"/>
      <c r="W73" s="2300">
        <v>170</v>
      </c>
      <c r="X73" s="2301">
        <v>97</v>
      </c>
      <c r="Y73" s="2302">
        <f t="shared" si="19"/>
        <v>1.7525773195876289</v>
      </c>
      <c r="Z73" s="277"/>
      <c r="AA73" s="2300">
        <v>139</v>
      </c>
      <c r="AB73" s="2301">
        <v>96</v>
      </c>
      <c r="AC73" s="2302">
        <f t="shared" si="20"/>
        <v>1.4479166666666667</v>
      </c>
      <c r="AD73" s="277"/>
      <c r="AE73" s="2300">
        <v>142</v>
      </c>
      <c r="AF73" s="2301">
        <v>99</v>
      </c>
      <c r="AG73" s="2302">
        <f t="shared" si="21"/>
        <v>1.4343434343434343</v>
      </c>
      <c r="AH73" s="277"/>
      <c r="AI73" s="2300">
        <v>207</v>
      </c>
      <c r="AJ73" s="2301">
        <v>100</v>
      </c>
      <c r="AK73" s="2302">
        <f t="shared" si="22"/>
        <v>2.0699999999999998</v>
      </c>
      <c r="AL73" s="277"/>
      <c r="AM73" s="2300">
        <v>186</v>
      </c>
      <c r="AN73" s="2301">
        <v>96</v>
      </c>
      <c r="AO73" s="2302">
        <f t="shared" si="23"/>
        <v>1.9375</v>
      </c>
      <c r="AQ73" s="2300">
        <v>99</v>
      </c>
      <c r="AR73" s="2301">
        <v>93</v>
      </c>
      <c r="AS73" s="2302">
        <f t="shared" si="24"/>
        <v>1.064516129032258</v>
      </c>
      <c r="AU73" s="2300">
        <v>230</v>
      </c>
      <c r="AV73" s="2301">
        <v>91</v>
      </c>
      <c r="AW73" s="2302">
        <f t="shared" si="25"/>
        <v>2.5274725274725274</v>
      </c>
      <c r="AY73" s="2300">
        <v>142</v>
      </c>
      <c r="AZ73" s="2301">
        <v>91</v>
      </c>
      <c r="BA73" s="2302">
        <f t="shared" si="26"/>
        <v>1.5604395604395604</v>
      </c>
      <c r="BC73" s="2300">
        <v>239</v>
      </c>
      <c r="BD73" s="2301">
        <v>91</v>
      </c>
      <c r="BE73" s="2302">
        <f t="shared" si="27"/>
        <v>2.6263736263736264</v>
      </c>
    </row>
    <row r="74" spans="1:57" s="1" customFormat="1">
      <c r="A74" s="1038" t="s">
        <v>1006</v>
      </c>
      <c r="B74" s="5317"/>
      <c r="C74" s="2300">
        <v>160</v>
      </c>
      <c r="D74" s="2301">
        <v>66</v>
      </c>
      <c r="E74" s="2302">
        <f t="shared" si="28"/>
        <v>2.4242424242424243</v>
      </c>
      <c r="F74" s="277"/>
      <c r="G74" s="2300">
        <v>153</v>
      </c>
      <c r="H74" s="2301">
        <v>69</v>
      </c>
      <c r="I74" s="2302">
        <f t="shared" si="29"/>
        <v>2.2173913043478262</v>
      </c>
      <c r="J74" s="277"/>
      <c r="K74" s="2300">
        <v>286</v>
      </c>
      <c r="L74" s="2301">
        <v>73</v>
      </c>
      <c r="M74" s="2302">
        <f t="shared" si="30"/>
        <v>3.9178082191780823</v>
      </c>
      <c r="N74" s="277"/>
      <c r="O74" s="2300">
        <v>122</v>
      </c>
      <c r="P74" s="2301">
        <v>70</v>
      </c>
      <c r="Q74" s="2302">
        <f t="shared" si="31"/>
        <v>1.7428571428571429</v>
      </c>
      <c r="R74" s="277"/>
      <c r="S74" s="2300">
        <v>143</v>
      </c>
      <c r="T74" s="2301">
        <v>68</v>
      </c>
      <c r="U74" s="2302">
        <f t="shared" si="32"/>
        <v>2.1029411764705883</v>
      </c>
      <c r="V74" s="277"/>
      <c r="W74" s="2300">
        <v>153</v>
      </c>
      <c r="X74" s="2301">
        <v>68</v>
      </c>
      <c r="Y74" s="2302">
        <f t="shared" si="19"/>
        <v>2.25</v>
      </c>
      <c r="Z74" s="277"/>
      <c r="AA74" s="2300">
        <v>119</v>
      </c>
      <c r="AB74" s="2301">
        <v>66</v>
      </c>
      <c r="AC74" s="2302">
        <f t="shared" si="20"/>
        <v>1.803030303030303</v>
      </c>
      <c r="AD74" s="277"/>
      <c r="AE74" s="2300">
        <v>159</v>
      </c>
      <c r="AF74" s="2301">
        <v>67</v>
      </c>
      <c r="AG74" s="2302">
        <f t="shared" si="21"/>
        <v>2.3731343283582089</v>
      </c>
      <c r="AH74" s="277"/>
      <c r="AI74" s="2300">
        <v>161</v>
      </c>
      <c r="AJ74" s="2301">
        <v>68</v>
      </c>
      <c r="AK74" s="2302">
        <f t="shared" si="22"/>
        <v>2.3676470588235294</v>
      </c>
      <c r="AL74" s="277"/>
      <c r="AM74" s="2300">
        <v>109</v>
      </c>
      <c r="AN74" s="2301">
        <v>67</v>
      </c>
      <c r="AO74" s="2302">
        <f t="shared" si="23"/>
        <v>1.6268656716417911</v>
      </c>
      <c r="AQ74" s="2300">
        <v>56</v>
      </c>
      <c r="AR74" s="2301">
        <v>66</v>
      </c>
      <c r="AS74" s="2302">
        <f t="shared" si="24"/>
        <v>0.84848484848484851</v>
      </c>
      <c r="AU74" s="2300">
        <v>186</v>
      </c>
      <c r="AV74" s="2301">
        <v>65</v>
      </c>
      <c r="AW74" s="2302">
        <f t="shared" si="25"/>
        <v>2.8615384615384616</v>
      </c>
      <c r="AY74" s="2300">
        <v>137</v>
      </c>
      <c r="AZ74" s="2301">
        <v>65</v>
      </c>
      <c r="BA74" s="2302">
        <f t="shared" si="26"/>
        <v>2.1076923076923078</v>
      </c>
      <c r="BC74" s="2300">
        <v>71</v>
      </c>
      <c r="BD74" s="2301">
        <v>62</v>
      </c>
      <c r="BE74" s="2302">
        <f t="shared" si="27"/>
        <v>1.1451612903225807</v>
      </c>
    </row>
    <row r="75" spans="1:57" s="1" customFormat="1">
      <c r="A75" s="1038" t="s">
        <v>1007</v>
      </c>
      <c r="B75" s="5317"/>
      <c r="C75" s="2300">
        <v>94</v>
      </c>
      <c r="D75" s="2301">
        <v>57</v>
      </c>
      <c r="E75" s="2302">
        <f t="shared" si="28"/>
        <v>1.6491228070175439</v>
      </c>
      <c r="F75" s="277"/>
      <c r="G75" s="2300">
        <v>105</v>
      </c>
      <c r="H75" s="2301">
        <v>58</v>
      </c>
      <c r="I75" s="2302">
        <f t="shared" si="29"/>
        <v>1.8103448275862069</v>
      </c>
      <c r="J75" s="277"/>
      <c r="K75" s="2300">
        <v>84</v>
      </c>
      <c r="L75" s="2301">
        <v>57</v>
      </c>
      <c r="M75" s="2302">
        <f t="shared" si="30"/>
        <v>1.4736842105263157</v>
      </c>
      <c r="N75" s="277"/>
      <c r="O75" s="2300">
        <v>97</v>
      </c>
      <c r="P75" s="2301">
        <v>57</v>
      </c>
      <c r="Q75" s="2302">
        <f t="shared" si="31"/>
        <v>1.7017543859649122</v>
      </c>
      <c r="R75" s="277"/>
      <c r="S75" s="2300">
        <v>117</v>
      </c>
      <c r="T75" s="2301">
        <v>60</v>
      </c>
      <c r="U75" s="2302">
        <f t="shared" si="32"/>
        <v>1.95</v>
      </c>
      <c r="V75" s="277"/>
      <c r="W75" s="2300">
        <v>71</v>
      </c>
      <c r="X75" s="2301">
        <v>61</v>
      </c>
      <c r="Y75" s="2302">
        <f t="shared" si="19"/>
        <v>1.1639344262295082</v>
      </c>
      <c r="Z75" s="277"/>
      <c r="AA75" s="2300">
        <v>62</v>
      </c>
      <c r="AB75" s="2301">
        <v>59</v>
      </c>
      <c r="AC75" s="2302">
        <f t="shared" si="20"/>
        <v>1.0508474576271187</v>
      </c>
      <c r="AD75" s="277"/>
      <c r="AE75" s="2300">
        <v>52</v>
      </c>
      <c r="AF75" s="2301">
        <v>58</v>
      </c>
      <c r="AG75" s="2302">
        <f t="shared" si="21"/>
        <v>0.89655172413793105</v>
      </c>
      <c r="AH75" s="277"/>
      <c r="AI75" s="2300">
        <v>97</v>
      </c>
      <c r="AJ75" s="2301">
        <v>60</v>
      </c>
      <c r="AK75" s="2302">
        <f t="shared" si="22"/>
        <v>1.6166666666666667</v>
      </c>
      <c r="AL75" s="277"/>
      <c r="AM75" s="2300">
        <v>76</v>
      </c>
      <c r="AN75" s="2301">
        <v>58</v>
      </c>
      <c r="AO75" s="2302">
        <f t="shared" si="23"/>
        <v>1.3103448275862069</v>
      </c>
      <c r="AQ75" s="2300">
        <v>33</v>
      </c>
      <c r="AR75" s="2301">
        <v>58</v>
      </c>
      <c r="AS75" s="2302">
        <f t="shared" si="24"/>
        <v>0.56896551724137934</v>
      </c>
      <c r="AU75" s="2300">
        <v>67</v>
      </c>
      <c r="AV75" s="2301">
        <v>57</v>
      </c>
      <c r="AW75" s="2302">
        <f t="shared" si="25"/>
        <v>1.1754385964912282</v>
      </c>
      <c r="AY75" s="2300">
        <v>75</v>
      </c>
      <c r="AZ75" s="2301">
        <v>54</v>
      </c>
      <c r="BA75" s="2302">
        <f t="shared" si="26"/>
        <v>1.3888888888888888</v>
      </c>
      <c r="BC75" s="2300">
        <v>91</v>
      </c>
      <c r="BD75" s="2301">
        <v>56</v>
      </c>
      <c r="BE75" s="2302">
        <f t="shared" si="27"/>
        <v>1.625</v>
      </c>
    </row>
    <row r="76" spans="1:57" s="1" customFormat="1" ht="15" customHeight="1">
      <c r="A76" s="1929" t="s">
        <v>16</v>
      </c>
      <c r="B76" s="5317"/>
      <c r="C76" s="2293">
        <v>650</v>
      </c>
      <c r="D76" s="1448">
        <f>SUM(D72:D75)</f>
        <v>342</v>
      </c>
      <c r="E76" s="2278">
        <f t="shared" si="28"/>
        <v>1.9005847953216375</v>
      </c>
      <c r="F76" s="277"/>
      <c r="G76" s="2293">
        <v>630</v>
      </c>
      <c r="H76" s="1448">
        <f>SUM(H72:H75)</f>
        <v>356</v>
      </c>
      <c r="I76" s="2278">
        <f t="shared" si="29"/>
        <v>1.7696629213483146</v>
      </c>
      <c r="J76" s="277"/>
      <c r="K76" s="2293">
        <v>902</v>
      </c>
      <c r="L76" s="1448">
        <f>SUM(L72:L75)</f>
        <v>363</v>
      </c>
      <c r="M76" s="2278">
        <f t="shared" si="30"/>
        <v>2.4848484848484849</v>
      </c>
      <c r="N76" s="277"/>
      <c r="O76" s="2293">
        <f>SUM(O72:O75)</f>
        <v>612</v>
      </c>
      <c r="P76" s="1448">
        <f>SUM(P72:P75)</f>
        <v>362</v>
      </c>
      <c r="Q76" s="2278">
        <f t="shared" si="31"/>
        <v>1.6906077348066297</v>
      </c>
      <c r="R76" s="277"/>
      <c r="S76" s="2293">
        <f>SUM(S72:S75)</f>
        <v>713</v>
      </c>
      <c r="T76" s="1448">
        <f>SUM(T72:T75)</f>
        <v>361</v>
      </c>
      <c r="U76" s="2278">
        <f t="shared" si="32"/>
        <v>1.9750692520775623</v>
      </c>
      <c r="V76" s="277"/>
      <c r="W76" s="2293">
        <f>SUM(W72:W75)</f>
        <v>615</v>
      </c>
      <c r="X76" s="1448">
        <v>358</v>
      </c>
      <c r="Y76" s="2278">
        <f t="shared" si="19"/>
        <v>1.717877094972067</v>
      </c>
      <c r="Z76" s="277"/>
      <c r="AA76" s="2293">
        <v>530</v>
      </c>
      <c r="AB76" s="1448">
        <f>SUM(AB72:AB75)</f>
        <v>351</v>
      </c>
      <c r="AC76" s="2278">
        <f t="shared" si="20"/>
        <v>1.5099715099715099</v>
      </c>
      <c r="AD76" s="277"/>
      <c r="AE76" s="2293">
        <v>512</v>
      </c>
      <c r="AF76" s="1448">
        <f>SUM(AF72:AF75)</f>
        <v>350</v>
      </c>
      <c r="AG76" s="2278">
        <f t="shared" si="21"/>
        <v>1.4628571428571429</v>
      </c>
      <c r="AH76" s="277"/>
      <c r="AI76" s="2293">
        <v>607</v>
      </c>
      <c r="AJ76" s="1448">
        <v>353</v>
      </c>
      <c r="AK76" s="2278">
        <f t="shared" si="22"/>
        <v>1.7195467422096318</v>
      </c>
      <c r="AL76" s="277"/>
      <c r="AM76" s="2293">
        <v>503</v>
      </c>
      <c r="AN76" s="1448">
        <v>341</v>
      </c>
      <c r="AO76" s="2278">
        <f t="shared" si="23"/>
        <v>1.4750733137829912</v>
      </c>
      <c r="AQ76" s="2293">
        <v>266</v>
      </c>
      <c r="AR76" s="1448">
        <v>337</v>
      </c>
      <c r="AS76" s="2278">
        <f t="shared" si="24"/>
        <v>0.78931750741839768</v>
      </c>
      <c r="AU76" s="2293">
        <v>649</v>
      </c>
      <c r="AV76" s="1448">
        <v>331</v>
      </c>
      <c r="AW76" s="2278">
        <f t="shared" si="25"/>
        <v>1.9607250755287009</v>
      </c>
      <c r="AY76" s="2293">
        <v>507</v>
      </c>
      <c r="AZ76" s="1448">
        <v>325</v>
      </c>
      <c r="BA76" s="2278">
        <f t="shared" si="26"/>
        <v>1.56</v>
      </c>
      <c r="BC76" s="2293">
        <v>540</v>
      </c>
      <c r="BD76" s="1448">
        <v>321</v>
      </c>
      <c r="BE76" s="2278">
        <f t="shared" si="27"/>
        <v>1.6822429906542056</v>
      </c>
    </row>
    <row r="77" spans="1:57" s="1" customFormat="1">
      <c r="A77" s="1038" t="s">
        <v>1008</v>
      </c>
      <c r="B77" s="5317"/>
      <c r="C77" s="2300">
        <v>24</v>
      </c>
      <c r="D77" s="2301">
        <v>29</v>
      </c>
      <c r="E77" s="2302">
        <f t="shared" si="28"/>
        <v>0.82758620689655171</v>
      </c>
      <c r="F77" s="277"/>
      <c r="G77" s="2300">
        <v>37</v>
      </c>
      <c r="H77" s="2301">
        <v>28</v>
      </c>
      <c r="I77" s="2302">
        <f t="shared" si="29"/>
        <v>1.3214285714285714</v>
      </c>
      <c r="J77" s="277"/>
      <c r="K77" s="2300">
        <v>29</v>
      </c>
      <c r="L77" s="2301">
        <v>26</v>
      </c>
      <c r="M77" s="2302">
        <f t="shared" si="30"/>
        <v>1.1153846153846154</v>
      </c>
      <c r="N77" s="277"/>
      <c r="O77" s="2300">
        <v>14</v>
      </c>
      <c r="P77" s="2301">
        <v>26</v>
      </c>
      <c r="Q77" s="2302">
        <f t="shared" si="31"/>
        <v>0.53846153846153844</v>
      </c>
      <c r="R77" s="277"/>
      <c r="S77" s="2300">
        <v>42</v>
      </c>
      <c r="T77" s="2301">
        <v>29</v>
      </c>
      <c r="U77" s="2302">
        <f t="shared" si="32"/>
        <v>1.4482758620689655</v>
      </c>
      <c r="V77" s="277"/>
      <c r="W77" s="2300">
        <v>34</v>
      </c>
      <c r="X77" s="2301">
        <v>29</v>
      </c>
      <c r="Y77" s="2302">
        <f t="shared" si="19"/>
        <v>1.1724137931034482</v>
      </c>
      <c r="Z77" s="277"/>
      <c r="AA77" s="2300">
        <v>21</v>
      </c>
      <c r="AB77" s="2301">
        <v>32</v>
      </c>
      <c r="AC77" s="2302">
        <f t="shared" si="20"/>
        <v>0.65625</v>
      </c>
      <c r="AD77" s="277"/>
      <c r="AE77" s="2300">
        <v>32</v>
      </c>
      <c r="AF77" s="2301">
        <v>31</v>
      </c>
      <c r="AG77" s="2302">
        <f t="shared" si="21"/>
        <v>1.032258064516129</v>
      </c>
      <c r="AH77" s="277"/>
      <c r="AI77" s="2300">
        <v>12</v>
      </c>
      <c r="AJ77" s="2301">
        <v>29</v>
      </c>
      <c r="AK77" s="2302">
        <f t="shared" si="22"/>
        <v>0.41379310344827586</v>
      </c>
      <c r="AL77" s="277"/>
      <c r="AM77" s="2300">
        <v>11</v>
      </c>
      <c r="AN77" s="2301">
        <v>30</v>
      </c>
      <c r="AO77" s="2302">
        <f t="shared" si="23"/>
        <v>0.36666666666666664</v>
      </c>
      <c r="AQ77" s="2300">
        <v>5</v>
      </c>
      <c r="AR77" s="2301">
        <v>30</v>
      </c>
      <c r="AS77" s="2302">
        <f t="shared" si="24"/>
        <v>0.16666666666666666</v>
      </c>
      <c r="AU77" s="2300">
        <v>16</v>
      </c>
      <c r="AV77" s="2301">
        <v>31</v>
      </c>
      <c r="AW77" s="2302">
        <f t="shared" si="25"/>
        <v>0.5161290322580645</v>
      </c>
      <c r="AY77" s="2300">
        <v>7</v>
      </c>
      <c r="AZ77" s="2301">
        <v>28</v>
      </c>
      <c r="BA77" s="2302">
        <f t="shared" si="26"/>
        <v>0.25</v>
      </c>
      <c r="BC77" s="2300">
        <v>15</v>
      </c>
      <c r="BD77" s="2301">
        <v>31</v>
      </c>
      <c r="BE77" s="2302">
        <f t="shared" si="27"/>
        <v>0.4838709677419355</v>
      </c>
    </row>
    <row r="78" spans="1:57" s="1" customFormat="1">
      <c r="A78" s="1038" t="s">
        <v>1009</v>
      </c>
      <c r="B78" s="5317"/>
      <c r="C78" s="2300">
        <v>34</v>
      </c>
      <c r="D78" s="2301">
        <v>37</v>
      </c>
      <c r="E78" s="2302">
        <f t="shared" si="28"/>
        <v>0.91891891891891897</v>
      </c>
      <c r="F78" s="277"/>
      <c r="G78" s="2300">
        <v>35</v>
      </c>
      <c r="H78" s="2301">
        <v>39</v>
      </c>
      <c r="I78" s="2302">
        <f t="shared" si="29"/>
        <v>0.89743589743589747</v>
      </c>
      <c r="J78" s="277"/>
      <c r="K78" s="2300">
        <v>50</v>
      </c>
      <c r="L78" s="2301">
        <v>38</v>
      </c>
      <c r="M78" s="2302">
        <f t="shared" si="30"/>
        <v>1.3157894736842106</v>
      </c>
      <c r="N78" s="277"/>
      <c r="O78" s="2300">
        <v>25</v>
      </c>
      <c r="P78" s="2301">
        <v>39</v>
      </c>
      <c r="Q78" s="2302">
        <f t="shared" si="31"/>
        <v>0.64102564102564108</v>
      </c>
      <c r="R78" s="277"/>
      <c r="S78" s="2300">
        <v>45</v>
      </c>
      <c r="T78" s="2301">
        <v>40</v>
      </c>
      <c r="U78" s="2302">
        <f t="shared" si="32"/>
        <v>1.125</v>
      </c>
      <c r="V78" s="277"/>
      <c r="W78" s="2300">
        <v>37</v>
      </c>
      <c r="X78" s="2301">
        <v>40</v>
      </c>
      <c r="Y78" s="2302">
        <f t="shared" si="19"/>
        <v>0.92500000000000004</v>
      </c>
      <c r="Z78" s="277"/>
      <c r="AA78" s="2300">
        <v>43</v>
      </c>
      <c r="AB78" s="2301">
        <v>39</v>
      </c>
      <c r="AC78" s="2302">
        <f t="shared" si="20"/>
        <v>1.1025641025641026</v>
      </c>
      <c r="AD78" s="277"/>
      <c r="AE78" s="2300">
        <v>42</v>
      </c>
      <c r="AF78" s="2301">
        <v>38</v>
      </c>
      <c r="AG78" s="2302">
        <f t="shared" si="21"/>
        <v>1.1052631578947369</v>
      </c>
      <c r="AH78" s="277"/>
      <c r="AI78" s="2300">
        <v>33</v>
      </c>
      <c r="AJ78" s="2301">
        <v>36</v>
      </c>
      <c r="AK78" s="2302">
        <f t="shared" si="22"/>
        <v>0.91666666666666663</v>
      </c>
      <c r="AL78" s="277"/>
      <c r="AM78" s="2300">
        <v>41</v>
      </c>
      <c r="AN78" s="2301">
        <v>40</v>
      </c>
      <c r="AO78" s="2302">
        <f t="shared" si="23"/>
        <v>1.0249999999999999</v>
      </c>
      <c r="AQ78" s="2300">
        <v>31</v>
      </c>
      <c r="AR78" s="2301">
        <v>40</v>
      </c>
      <c r="AS78" s="2302">
        <f t="shared" si="24"/>
        <v>0.77500000000000002</v>
      </c>
      <c r="AU78" s="2300">
        <v>28</v>
      </c>
      <c r="AV78" s="2301">
        <v>38</v>
      </c>
      <c r="AW78" s="2302">
        <f t="shared" si="25"/>
        <v>0.73684210526315785</v>
      </c>
      <c r="AY78" s="2300">
        <v>27</v>
      </c>
      <c r="AZ78" s="2301">
        <v>35</v>
      </c>
      <c r="BA78" s="2302">
        <f t="shared" si="26"/>
        <v>0.77142857142857146</v>
      </c>
      <c r="BC78" s="2300">
        <v>27</v>
      </c>
      <c r="BD78" s="2301">
        <v>34</v>
      </c>
      <c r="BE78" s="2302">
        <f t="shared" si="27"/>
        <v>0.79411764705882348</v>
      </c>
    </row>
    <row r="79" spans="1:57" s="1" customFormat="1">
      <c r="A79" s="1038" t="s">
        <v>1010</v>
      </c>
      <c r="B79" s="5317"/>
      <c r="C79" s="2300">
        <v>10</v>
      </c>
      <c r="D79" s="2301">
        <v>29</v>
      </c>
      <c r="E79" s="2302">
        <f t="shared" si="28"/>
        <v>0.34482758620689657</v>
      </c>
      <c r="F79" s="277"/>
      <c r="G79" s="2300">
        <v>29</v>
      </c>
      <c r="H79" s="2301">
        <v>28</v>
      </c>
      <c r="I79" s="2302">
        <f t="shared" si="29"/>
        <v>1.0357142857142858</v>
      </c>
      <c r="J79" s="277"/>
      <c r="K79" s="2300">
        <v>28</v>
      </c>
      <c r="L79" s="2301">
        <v>30</v>
      </c>
      <c r="M79" s="2302">
        <f t="shared" si="30"/>
        <v>0.93333333333333335</v>
      </c>
      <c r="N79" s="277"/>
      <c r="O79" s="2300">
        <v>12</v>
      </c>
      <c r="P79" s="2301">
        <v>29</v>
      </c>
      <c r="Q79" s="2302">
        <f t="shared" si="31"/>
        <v>0.41379310344827586</v>
      </c>
      <c r="R79" s="277"/>
      <c r="S79" s="2300">
        <v>19</v>
      </c>
      <c r="T79" s="2301">
        <v>31</v>
      </c>
      <c r="U79" s="2302">
        <f t="shared" si="32"/>
        <v>0.61290322580645162</v>
      </c>
      <c r="V79" s="277"/>
      <c r="W79" s="2300">
        <v>33</v>
      </c>
      <c r="X79" s="2301">
        <v>30</v>
      </c>
      <c r="Y79" s="2302">
        <f t="shared" si="19"/>
        <v>1.1000000000000001</v>
      </c>
      <c r="Z79" s="277"/>
      <c r="AA79" s="2300">
        <v>16</v>
      </c>
      <c r="AB79" s="2301">
        <v>27</v>
      </c>
      <c r="AC79" s="2302">
        <f t="shared" si="20"/>
        <v>0.59259259259259256</v>
      </c>
      <c r="AD79" s="277"/>
      <c r="AE79" s="2300">
        <v>15</v>
      </c>
      <c r="AF79" s="2301">
        <v>22</v>
      </c>
      <c r="AG79" s="2302">
        <f t="shared" si="21"/>
        <v>0.68181818181818177</v>
      </c>
      <c r="AH79" s="277"/>
      <c r="AI79" s="2300">
        <v>19</v>
      </c>
      <c r="AJ79" s="2301">
        <v>24</v>
      </c>
      <c r="AK79" s="2302">
        <f t="shared" si="22"/>
        <v>0.79166666666666663</v>
      </c>
      <c r="AL79" s="277"/>
      <c r="AM79" s="2300">
        <v>6</v>
      </c>
      <c r="AN79" s="2301">
        <v>26</v>
      </c>
      <c r="AO79" s="2302">
        <f t="shared" si="23"/>
        <v>0.23076923076923078</v>
      </c>
      <c r="AQ79" s="2300">
        <v>10</v>
      </c>
      <c r="AR79" s="2301">
        <v>26</v>
      </c>
      <c r="AS79" s="2302">
        <f t="shared" si="24"/>
        <v>0.38461538461538464</v>
      </c>
      <c r="AU79" s="2300">
        <v>23</v>
      </c>
      <c r="AV79" s="2301">
        <v>26</v>
      </c>
      <c r="AW79" s="2302">
        <f t="shared" si="25"/>
        <v>0.88461538461538458</v>
      </c>
      <c r="AY79" s="2300">
        <v>10</v>
      </c>
      <c r="AZ79" s="2301">
        <v>27</v>
      </c>
      <c r="BA79" s="2302">
        <f t="shared" si="26"/>
        <v>0.37037037037037035</v>
      </c>
      <c r="BC79" s="2300">
        <v>19</v>
      </c>
      <c r="BD79" s="2301">
        <v>29</v>
      </c>
      <c r="BE79" s="2302">
        <f t="shared" si="27"/>
        <v>0.65517241379310343</v>
      </c>
    </row>
    <row r="80" spans="1:57" s="1" customFormat="1">
      <c r="A80" s="1983" t="s">
        <v>1011</v>
      </c>
      <c r="B80" s="5317"/>
      <c r="C80" s="2296">
        <v>47</v>
      </c>
      <c r="D80" s="1449">
        <v>47</v>
      </c>
      <c r="E80" s="2280">
        <f t="shared" si="28"/>
        <v>1</v>
      </c>
      <c r="F80" s="277"/>
      <c r="G80" s="2296">
        <v>53</v>
      </c>
      <c r="H80" s="1449">
        <v>48</v>
      </c>
      <c r="I80" s="2280">
        <f t="shared" si="29"/>
        <v>1.1041666666666667</v>
      </c>
      <c r="J80" s="277"/>
      <c r="K80" s="2296">
        <v>67</v>
      </c>
      <c r="L80" s="1449">
        <v>47</v>
      </c>
      <c r="M80" s="2280">
        <f t="shared" si="30"/>
        <v>1.425531914893617</v>
      </c>
      <c r="N80" s="277"/>
      <c r="O80" s="2296">
        <v>34</v>
      </c>
      <c r="P80" s="1449">
        <v>47</v>
      </c>
      <c r="Q80" s="2280">
        <f t="shared" si="31"/>
        <v>0.72340425531914898</v>
      </c>
      <c r="R80" s="277"/>
      <c r="S80" s="2296">
        <v>47</v>
      </c>
      <c r="T80" s="1449">
        <v>46</v>
      </c>
      <c r="U80" s="2280">
        <f t="shared" si="32"/>
        <v>1.0217391304347827</v>
      </c>
      <c r="V80" s="277"/>
      <c r="W80" s="2296">
        <v>37</v>
      </c>
      <c r="X80" s="1449">
        <v>45</v>
      </c>
      <c r="Y80" s="2280">
        <f t="shared" si="19"/>
        <v>0.82222222222222219</v>
      </c>
      <c r="Z80" s="277"/>
      <c r="AA80" s="2296">
        <v>39</v>
      </c>
      <c r="AB80" s="1449">
        <v>46</v>
      </c>
      <c r="AC80" s="2280">
        <f t="shared" si="20"/>
        <v>0.84782608695652173</v>
      </c>
      <c r="AD80" s="277"/>
      <c r="AE80" s="2296">
        <v>29</v>
      </c>
      <c r="AF80" s="1449">
        <v>44</v>
      </c>
      <c r="AG80" s="2280">
        <f t="shared" si="21"/>
        <v>0.65909090909090906</v>
      </c>
      <c r="AH80" s="277"/>
      <c r="AI80" s="2296">
        <v>27</v>
      </c>
      <c r="AJ80" s="1449">
        <v>44</v>
      </c>
      <c r="AK80" s="2280">
        <f t="shared" si="22"/>
        <v>0.61363636363636365</v>
      </c>
      <c r="AL80" s="277"/>
      <c r="AM80" s="2296">
        <v>22</v>
      </c>
      <c r="AN80" s="1449">
        <v>40</v>
      </c>
      <c r="AO80" s="2280">
        <f t="shared" si="23"/>
        <v>0.55000000000000004</v>
      </c>
      <c r="AQ80" s="2296">
        <v>19</v>
      </c>
      <c r="AR80" s="1449">
        <v>38</v>
      </c>
      <c r="AS80" s="2280">
        <f t="shared" si="24"/>
        <v>0.5</v>
      </c>
      <c r="AU80" s="2296">
        <v>28</v>
      </c>
      <c r="AV80" s="1449">
        <v>38</v>
      </c>
      <c r="AW80" s="2280">
        <f t="shared" si="25"/>
        <v>0.73684210526315785</v>
      </c>
      <c r="AY80" s="2296">
        <v>31</v>
      </c>
      <c r="AZ80" s="1449">
        <v>39</v>
      </c>
      <c r="BA80" s="2280">
        <f t="shared" si="26"/>
        <v>0.79487179487179482</v>
      </c>
      <c r="BC80" s="2296">
        <v>43</v>
      </c>
      <c r="BD80" s="1449">
        <v>43</v>
      </c>
      <c r="BE80" s="2280">
        <f t="shared" si="27"/>
        <v>1</v>
      </c>
    </row>
    <row r="81" spans="1:57" s="1" customFormat="1" ht="15" customHeight="1">
      <c r="A81" s="1984" t="s">
        <v>21</v>
      </c>
      <c r="B81" s="5317"/>
      <c r="C81" s="2309">
        <v>115</v>
      </c>
      <c r="D81" s="1985">
        <f>SUM(D77:D80)</f>
        <v>142</v>
      </c>
      <c r="E81" s="2287">
        <f t="shared" si="28"/>
        <v>0.8098591549295775</v>
      </c>
      <c r="F81" s="277"/>
      <c r="G81" s="2309">
        <v>154</v>
      </c>
      <c r="H81" s="1985">
        <f>SUM(H77:H80)</f>
        <v>143</v>
      </c>
      <c r="I81" s="2287">
        <f t="shared" si="29"/>
        <v>1.0769230769230769</v>
      </c>
      <c r="J81" s="277"/>
      <c r="K81" s="2309">
        <v>174</v>
      </c>
      <c r="L81" s="1985">
        <f>SUM(L77:L80)</f>
        <v>141</v>
      </c>
      <c r="M81" s="2287">
        <f t="shared" si="30"/>
        <v>1.2340425531914894</v>
      </c>
      <c r="N81" s="277"/>
      <c r="O81" s="2309">
        <f>SUM(O77:O80)</f>
        <v>85</v>
      </c>
      <c r="P81" s="1985">
        <f>SUM(P77:P80)</f>
        <v>141</v>
      </c>
      <c r="Q81" s="2287">
        <f t="shared" si="31"/>
        <v>0.6028368794326241</v>
      </c>
      <c r="R81" s="277"/>
      <c r="S81" s="2309">
        <f>SUM(S77:S80)</f>
        <v>153</v>
      </c>
      <c r="T81" s="1985">
        <f>SUM(T77:T80)</f>
        <v>146</v>
      </c>
      <c r="U81" s="2287">
        <f t="shared" si="32"/>
        <v>1.047945205479452</v>
      </c>
      <c r="V81" s="277"/>
      <c r="W81" s="2309">
        <f>SUM(W77:W80)</f>
        <v>141</v>
      </c>
      <c r="X81" s="1985">
        <f>SUM(X77:X80)</f>
        <v>144</v>
      </c>
      <c r="Y81" s="2287">
        <f t="shared" si="19"/>
        <v>0.97916666666666663</v>
      </c>
      <c r="Z81" s="277"/>
      <c r="AA81" s="2309">
        <v>119</v>
      </c>
      <c r="AB81" s="1985">
        <f>SUM(AB77:AB80)</f>
        <v>144</v>
      </c>
      <c r="AC81" s="2287">
        <f t="shared" si="20"/>
        <v>0.82638888888888884</v>
      </c>
      <c r="AD81" s="277"/>
      <c r="AE81" s="2309">
        <v>118</v>
      </c>
      <c r="AF81" s="1985">
        <f>SUM(AF77:AF80)</f>
        <v>135</v>
      </c>
      <c r="AG81" s="2287">
        <f t="shared" si="21"/>
        <v>0.87407407407407411</v>
      </c>
      <c r="AH81" s="277"/>
      <c r="AI81" s="2309">
        <v>91</v>
      </c>
      <c r="AJ81" s="1985">
        <v>133</v>
      </c>
      <c r="AK81" s="2287">
        <f t="shared" si="22"/>
        <v>0.68421052631578949</v>
      </c>
      <c r="AL81" s="277"/>
      <c r="AM81" s="2309">
        <v>80</v>
      </c>
      <c r="AN81" s="1985">
        <v>136</v>
      </c>
      <c r="AO81" s="2287">
        <f t="shared" si="23"/>
        <v>0.58823529411764708</v>
      </c>
      <c r="AQ81" s="2309">
        <v>65</v>
      </c>
      <c r="AR81" s="1985">
        <v>134</v>
      </c>
      <c r="AS81" s="2287">
        <f t="shared" si="24"/>
        <v>0.48507462686567165</v>
      </c>
      <c r="AU81" s="2309">
        <v>95</v>
      </c>
      <c r="AV81" s="1985">
        <v>133</v>
      </c>
      <c r="AW81" s="2287">
        <f t="shared" si="25"/>
        <v>0.7142857142857143</v>
      </c>
      <c r="AY81" s="2309">
        <v>75</v>
      </c>
      <c r="AZ81" s="1985">
        <v>129</v>
      </c>
      <c r="BA81" s="2287">
        <f t="shared" si="26"/>
        <v>0.58139534883720934</v>
      </c>
      <c r="BC81" s="2309">
        <v>104</v>
      </c>
      <c r="BD81" s="1985">
        <v>137</v>
      </c>
      <c r="BE81" s="2287">
        <f t="shared" si="27"/>
        <v>0.75912408759124084</v>
      </c>
    </row>
    <row r="82" spans="1:57" s="1" customFormat="1" ht="15" customHeight="1">
      <c r="A82" s="1986" t="s">
        <v>336</v>
      </c>
      <c r="B82" s="5317"/>
      <c r="C82" s="2310">
        <v>1289</v>
      </c>
      <c r="D82" s="2311">
        <f>SUM(D81,D76,D71)</f>
        <v>824</v>
      </c>
      <c r="E82" s="2288">
        <f t="shared" si="28"/>
        <v>1.5643203883495145</v>
      </c>
      <c r="F82" s="277"/>
      <c r="G82" s="2310">
        <v>1271</v>
      </c>
      <c r="H82" s="2311">
        <f>SUM(H81,H76,H71)</f>
        <v>839</v>
      </c>
      <c r="I82" s="2288">
        <f t="shared" si="29"/>
        <v>1.5148986889153755</v>
      </c>
      <c r="J82" s="277"/>
      <c r="K82" s="2310">
        <v>1673</v>
      </c>
      <c r="L82" s="2311">
        <f>SUM(L81,L76,L71)</f>
        <v>852</v>
      </c>
      <c r="M82" s="2288">
        <f t="shared" si="30"/>
        <v>1.9636150234741785</v>
      </c>
      <c r="N82" s="277"/>
      <c r="O82" s="2310">
        <f>SUM(O81,O76,O71)</f>
        <v>1231</v>
      </c>
      <c r="P82" s="2311">
        <f>SUM(P81,P76,P71)</f>
        <v>852</v>
      </c>
      <c r="Q82" s="2288">
        <f t="shared" si="31"/>
        <v>1.4448356807511737</v>
      </c>
      <c r="R82" s="277"/>
      <c r="S82" s="2310">
        <f>SUM(S81,S76,S71)</f>
        <v>1527</v>
      </c>
      <c r="T82" s="2311">
        <f>SUM(T81,T76,T71)</f>
        <v>860</v>
      </c>
      <c r="U82" s="2288">
        <f t="shared" si="32"/>
        <v>1.7755813953488373</v>
      </c>
      <c r="V82" s="277"/>
      <c r="W82" s="2310">
        <f>SUM(W81,W76,W71)</f>
        <v>1352</v>
      </c>
      <c r="X82" s="2311">
        <f>SUM(X81,X76,X71)</f>
        <v>856</v>
      </c>
      <c r="Y82" s="2288">
        <f t="shared" si="19"/>
        <v>1.5794392523364487</v>
      </c>
      <c r="Z82" s="277"/>
      <c r="AA82" s="2310">
        <v>1119</v>
      </c>
      <c r="AB82" s="2311">
        <f>SUM(AB81,AB76,AB71)</f>
        <v>842</v>
      </c>
      <c r="AC82" s="2288">
        <f t="shared" si="20"/>
        <v>1.3289786223277911</v>
      </c>
      <c r="AD82" s="277"/>
      <c r="AE82" s="2310">
        <f>SUM(AE71,AE76,AE81)</f>
        <v>1189</v>
      </c>
      <c r="AF82" s="2311">
        <f>SUM(AF81,AF76,AF71)</f>
        <v>832</v>
      </c>
      <c r="AG82" s="2288">
        <f t="shared" si="21"/>
        <v>1.4290865384615385</v>
      </c>
      <c r="AH82" s="277"/>
      <c r="AI82" s="2310">
        <v>1235</v>
      </c>
      <c r="AJ82" s="2311">
        <v>830</v>
      </c>
      <c r="AK82" s="2288">
        <f t="shared" si="22"/>
        <v>1.4879518072289157</v>
      </c>
      <c r="AL82" s="277"/>
      <c r="AM82" s="2310">
        <v>1160</v>
      </c>
      <c r="AN82" s="2311">
        <v>821</v>
      </c>
      <c r="AO82" s="2288">
        <f t="shared" si="23"/>
        <v>1.412911084043849</v>
      </c>
      <c r="AQ82" s="2310">
        <v>754</v>
      </c>
      <c r="AR82" s="2311">
        <v>803</v>
      </c>
      <c r="AS82" s="2288">
        <f t="shared" si="24"/>
        <v>0.93897882938978827</v>
      </c>
      <c r="AU82" s="2310">
        <v>1371</v>
      </c>
      <c r="AV82" s="2311">
        <v>790</v>
      </c>
      <c r="AW82" s="2288">
        <f t="shared" si="25"/>
        <v>1.7354430379746835</v>
      </c>
      <c r="AY82" s="2310">
        <v>1180</v>
      </c>
      <c r="AZ82" s="2311">
        <v>769</v>
      </c>
      <c r="BA82" s="2288">
        <f t="shared" si="26"/>
        <v>1.5344603381014303</v>
      </c>
      <c r="BC82" s="2310">
        <v>1188</v>
      </c>
      <c r="BD82" s="2311">
        <v>767</v>
      </c>
      <c r="BE82" s="2288">
        <f t="shared" si="27"/>
        <v>1.5488917861799218</v>
      </c>
    </row>
    <row r="83" spans="1:57" s="1" customFormat="1" ht="15" customHeight="1">
      <c r="B83" s="5317"/>
      <c r="C83" s="2132"/>
      <c r="D83" s="2132"/>
      <c r="E83" s="2132"/>
      <c r="F83" s="277"/>
      <c r="G83" s="2132"/>
      <c r="H83" s="2132"/>
      <c r="I83" s="2132"/>
      <c r="J83" s="277"/>
      <c r="K83" s="2132"/>
      <c r="L83" s="2132"/>
      <c r="M83" s="2132"/>
      <c r="N83" s="277"/>
      <c r="O83" s="2132"/>
      <c r="P83" s="2132"/>
      <c r="Q83" s="2132"/>
      <c r="R83" s="277"/>
      <c r="S83" s="2132"/>
      <c r="T83" s="2132"/>
      <c r="U83" s="2132"/>
      <c r="V83" s="277"/>
      <c r="W83" s="2132"/>
      <c r="X83" s="2132"/>
      <c r="Y83" s="2132"/>
      <c r="Z83" s="277"/>
      <c r="AA83" s="2132"/>
      <c r="AB83" s="2132"/>
      <c r="AC83" s="2132"/>
      <c r="AD83" s="277"/>
      <c r="AE83" s="2132"/>
      <c r="AF83" s="2132"/>
      <c r="AG83" s="2132"/>
      <c r="AH83" s="277"/>
      <c r="AI83" s="2132"/>
      <c r="AJ83" s="2132"/>
      <c r="AK83" s="2132"/>
      <c r="AL83" s="277"/>
      <c r="AM83" s="2132"/>
      <c r="AN83" s="2132"/>
      <c r="AO83" s="2132"/>
      <c r="AQ83" s="4162"/>
      <c r="AR83" s="2132"/>
      <c r="AS83" s="2132"/>
      <c r="AU83" s="4162"/>
      <c r="AV83" s="2132"/>
      <c r="AW83" s="2132"/>
      <c r="AY83" s="4162"/>
      <c r="AZ83" s="2132"/>
      <c r="BA83" s="2132"/>
      <c r="BC83" s="4162"/>
      <c r="BD83" s="2132"/>
      <c r="BE83" s="2132"/>
    </row>
    <row r="84" spans="1:57" s="1041" customFormat="1" ht="20.100000000000001" customHeight="1">
      <c r="A84" s="2150" t="s">
        <v>67</v>
      </c>
      <c r="B84" s="5317"/>
      <c r="C84" s="2312">
        <f>SUM(C22,C35,C53,C66,C82)</f>
        <v>4004</v>
      </c>
      <c r="D84" s="2312">
        <f>SUM(D22,D35,D53,D66,D82)</f>
        <v>2575</v>
      </c>
      <c r="E84" s="2289">
        <f t="shared" si="28"/>
        <v>1.5549514563106797</v>
      </c>
      <c r="F84" s="277"/>
      <c r="G84" s="2312">
        <f>SUM(G22,G35,G53,G66,G82)</f>
        <v>4143</v>
      </c>
      <c r="H84" s="2312">
        <f>SUM(H22,H35,H53,H66,H82)</f>
        <v>2623</v>
      </c>
      <c r="I84" s="2289">
        <f t="shared" si="29"/>
        <v>1.5794891345787268</v>
      </c>
      <c r="J84" s="277"/>
      <c r="K84" s="2312">
        <f>SUM(K22,K35,K53,K66,K82)</f>
        <v>4328</v>
      </c>
      <c r="L84" s="2312">
        <f>SUM(L22,L35,L53,L66,L82)</f>
        <v>2663</v>
      </c>
      <c r="M84" s="2289">
        <f t="shared" si="30"/>
        <v>1.6252346977093504</v>
      </c>
      <c r="N84" s="277"/>
      <c r="O84" s="2312">
        <f>SUM(O22,O35,O53,O66,O82)</f>
        <v>4346</v>
      </c>
      <c r="P84" s="2312">
        <f>SUM(P22,P35,P53,P66,P82)</f>
        <v>2705</v>
      </c>
      <c r="Q84" s="2289">
        <f t="shared" si="31"/>
        <v>1.6066543438077634</v>
      </c>
      <c r="R84" s="277"/>
      <c r="S84" s="2312">
        <f>SUM(S22,S35,S53,S66,S82)</f>
        <v>4334</v>
      </c>
      <c r="T84" s="2312">
        <f>SUM(T22,T35,T53,T66,T82)</f>
        <v>2759</v>
      </c>
      <c r="U84" s="2289">
        <f t="shared" si="32"/>
        <v>1.5708590068865531</v>
      </c>
      <c r="V84" s="277"/>
      <c r="W84" s="2312">
        <f>SUM(W22,W35,W53,W66,W82)</f>
        <v>4634</v>
      </c>
      <c r="X84" s="2312">
        <f>SUM(X22,X35,X53,X66,X82)</f>
        <v>2743</v>
      </c>
      <c r="Y84" s="2289">
        <f t="shared" si="19"/>
        <v>1.6893911775428363</v>
      </c>
      <c r="Z84" s="277"/>
      <c r="AA84" s="2312">
        <v>4112</v>
      </c>
      <c r="AB84" s="2312">
        <f>SUM(AB22,AB35,AB53,AB66,AB82)</f>
        <v>2732</v>
      </c>
      <c r="AC84" s="2289">
        <f t="shared" si="20"/>
        <v>1.5051244509516837</v>
      </c>
      <c r="AD84" s="277"/>
      <c r="AE84" s="2312">
        <f>SUM(AE22,AE35,AE53,AE66,AE82)</f>
        <v>4311</v>
      </c>
      <c r="AF84" s="2312">
        <f>SUM(AF22,AF35,AF53,AF66,AF82)</f>
        <v>2754</v>
      </c>
      <c r="AG84" s="2289">
        <f t="shared" si="21"/>
        <v>1.565359477124183</v>
      </c>
      <c r="AH84" s="277"/>
      <c r="AI84" s="2312">
        <f>SUM(AI22,AI35,AI53,AI66,AI82)</f>
        <v>4667</v>
      </c>
      <c r="AJ84" s="2312">
        <v>2776</v>
      </c>
      <c r="AK84" s="2289">
        <f t="shared" si="22"/>
        <v>1.6811959654178674</v>
      </c>
      <c r="AL84" s="277"/>
      <c r="AM84" s="2312">
        <f>SUM(AM22,AM35,AM53,AM66,AM82)</f>
        <v>4140</v>
      </c>
      <c r="AN84" s="2312">
        <v>2743</v>
      </c>
      <c r="AO84" s="2289">
        <f>AM84/AN84</f>
        <v>1.5092963908129784</v>
      </c>
      <c r="AQ84" s="2312">
        <f>SUM(AQ22,AQ35,AQ53,AQ66,AQ82)</f>
        <v>3157</v>
      </c>
      <c r="AR84" s="2312">
        <v>2709</v>
      </c>
      <c r="AS84" s="2289">
        <f>AQ84/AR84</f>
        <v>1.1653746770025839</v>
      </c>
      <c r="AU84" s="2312">
        <f>SUM(AU22,AU35,AU53,AU66,AU82)</f>
        <v>4688</v>
      </c>
      <c r="AV84" s="2312">
        <f>SUM(AV22,AV35,AV53,AV66,AV82)</f>
        <v>2660</v>
      </c>
      <c r="AW84" s="2289">
        <f>AU84/AV84</f>
        <v>1.762406015037594</v>
      </c>
      <c r="AY84" s="2312">
        <f>SUM(AY22,AY35,AY53,AY66,AY82)</f>
        <v>4183</v>
      </c>
      <c r="AZ84" s="2312">
        <f>SUM(AZ22,AZ35,AZ53,AZ66,AZ82)</f>
        <v>2613</v>
      </c>
      <c r="BA84" s="2289">
        <f>AY84/AZ84</f>
        <v>1.6008419441255262</v>
      </c>
      <c r="BC84" s="2312">
        <f>SUM(BC22,BC35,BC53,BC66,BC82)</f>
        <v>4200</v>
      </c>
      <c r="BD84" s="2312">
        <f>SUM(BD22,BD35,BD53,BD66,BD82)</f>
        <v>2600</v>
      </c>
      <c r="BE84" s="2289">
        <f>BC84/BD84</f>
        <v>1.6153846153846154</v>
      </c>
    </row>
    <row r="85" spans="1:57">
      <c r="F85" s="277"/>
    </row>
    <row r="86" spans="1:57">
      <c r="A86" s="1975" t="s">
        <v>2299</v>
      </c>
      <c r="F86" s="277"/>
    </row>
    <row r="87" spans="1:57">
      <c r="A87" s="19" t="s">
        <v>1407</v>
      </c>
      <c r="F87" s="277"/>
    </row>
    <row r="88" spans="1:57">
      <c r="F88" s="277"/>
    </row>
    <row r="89" spans="1:57">
      <c r="F89" s="277"/>
    </row>
    <row r="90" spans="1:57">
      <c r="F90" s="277"/>
    </row>
    <row r="91" spans="1:57">
      <c r="F91" s="277"/>
    </row>
    <row r="92" spans="1:57">
      <c r="F92" s="277"/>
    </row>
    <row r="93" spans="1:57">
      <c r="F93" s="277"/>
    </row>
    <row r="94" spans="1:57">
      <c r="F94" s="277"/>
    </row>
    <row r="95" spans="1:57">
      <c r="F95" s="277"/>
    </row>
    <row r="96" spans="1:57">
      <c r="F96" s="277"/>
    </row>
    <row r="97" spans="6:6">
      <c r="F97" s="277"/>
    </row>
    <row r="98" spans="6:6">
      <c r="F98" s="277"/>
    </row>
    <row r="99" spans="6:6">
      <c r="F99" s="277"/>
    </row>
    <row r="100" spans="6:6">
      <c r="F100" s="277"/>
    </row>
    <row r="101" spans="6:6">
      <c r="F101" s="277"/>
    </row>
    <row r="102" spans="6:6">
      <c r="F102" s="277"/>
    </row>
    <row r="103" spans="6:6">
      <c r="F103" s="277"/>
    </row>
    <row r="104" spans="6:6">
      <c r="F104" s="277"/>
    </row>
    <row r="105" spans="6:6">
      <c r="F105" s="277"/>
    </row>
    <row r="106" spans="6:6">
      <c r="F106" s="277"/>
    </row>
    <row r="107" spans="6:6">
      <c r="F107" s="277"/>
    </row>
    <row r="108" spans="6:6">
      <c r="F108" s="277"/>
    </row>
    <row r="109" spans="6:6">
      <c r="F109" s="277"/>
    </row>
    <row r="110" spans="6:6">
      <c r="F110" s="277"/>
    </row>
    <row r="111" spans="6:6">
      <c r="F111" s="277"/>
    </row>
    <row r="112" spans="6:6">
      <c r="F112" s="277"/>
    </row>
    <row r="113" spans="6:6">
      <c r="F113" s="277"/>
    </row>
    <row r="114" spans="6:6">
      <c r="F114" s="277"/>
    </row>
    <row r="115" spans="6:6">
      <c r="F115" s="277"/>
    </row>
    <row r="116" spans="6:6">
      <c r="F116" s="277"/>
    </row>
    <row r="117" spans="6:6">
      <c r="F117" s="277"/>
    </row>
    <row r="118" spans="6:6">
      <c r="F118" s="277"/>
    </row>
    <row r="119" spans="6:6">
      <c r="F119" s="277"/>
    </row>
    <row r="120" spans="6:6">
      <c r="F120" s="277"/>
    </row>
    <row r="121" spans="6:6">
      <c r="F121" s="277"/>
    </row>
    <row r="122" spans="6:6">
      <c r="F122" s="277"/>
    </row>
    <row r="123" spans="6:6">
      <c r="F123" s="277"/>
    </row>
    <row r="124" spans="6:6">
      <c r="F124" s="277"/>
    </row>
    <row r="125" spans="6:6">
      <c r="F125" s="277"/>
    </row>
    <row r="126" spans="6:6">
      <c r="F126" s="277"/>
    </row>
    <row r="127" spans="6:6">
      <c r="F127" s="277"/>
    </row>
    <row r="128" spans="6:6">
      <c r="F128" s="277"/>
    </row>
    <row r="129" spans="6:6">
      <c r="F129" s="277"/>
    </row>
    <row r="130" spans="6:6">
      <c r="F130" s="277"/>
    </row>
    <row r="131" spans="6:6">
      <c r="F131" s="277"/>
    </row>
    <row r="132" spans="6:6">
      <c r="F132" s="277"/>
    </row>
    <row r="133" spans="6:6">
      <c r="F133" s="277"/>
    </row>
    <row r="134" spans="6:6">
      <c r="F134" s="277"/>
    </row>
    <row r="135" spans="6:6">
      <c r="F135" s="277"/>
    </row>
    <row r="136" spans="6:6">
      <c r="F136" s="277"/>
    </row>
    <row r="137" spans="6:6">
      <c r="F137" s="277"/>
    </row>
    <row r="138" spans="6:6">
      <c r="F138" s="277"/>
    </row>
    <row r="139" spans="6:6">
      <c r="F139" s="277"/>
    </row>
    <row r="140" spans="6:6">
      <c r="F140" s="277"/>
    </row>
    <row r="141" spans="6:6">
      <c r="F141" s="277"/>
    </row>
    <row r="142" spans="6:6">
      <c r="F142" s="277"/>
    </row>
    <row r="143" spans="6:6">
      <c r="F143" s="277"/>
    </row>
    <row r="144" spans="6:6">
      <c r="F144" s="277"/>
    </row>
    <row r="145" spans="6:6">
      <c r="F145" s="277"/>
    </row>
    <row r="146" spans="6:6">
      <c r="F146" s="277"/>
    </row>
    <row r="147" spans="6:6">
      <c r="F147" s="277"/>
    </row>
    <row r="148" spans="6:6">
      <c r="F148" s="277"/>
    </row>
    <row r="149" spans="6:6">
      <c r="F149" s="277"/>
    </row>
    <row r="150" spans="6:6">
      <c r="F150" s="277"/>
    </row>
    <row r="151" spans="6:6">
      <c r="F151" s="277"/>
    </row>
    <row r="152" spans="6:6">
      <c r="F152" s="277"/>
    </row>
    <row r="153" spans="6:6">
      <c r="F153" s="277"/>
    </row>
    <row r="154" spans="6:6">
      <c r="F154" s="277"/>
    </row>
    <row r="155" spans="6:6">
      <c r="F155" s="277"/>
    </row>
    <row r="156" spans="6:6">
      <c r="F156" s="277"/>
    </row>
    <row r="157" spans="6:6">
      <c r="F157" s="277"/>
    </row>
    <row r="158" spans="6:6">
      <c r="F158" s="277"/>
    </row>
    <row r="159" spans="6:6">
      <c r="F159" s="277"/>
    </row>
    <row r="160" spans="6:6">
      <c r="F160" s="277"/>
    </row>
    <row r="161" spans="6:6">
      <c r="F161" s="277"/>
    </row>
    <row r="162" spans="6:6">
      <c r="F162" s="277"/>
    </row>
    <row r="163" spans="6:6">
      <c r="F163" s="277"/>
    </row>
    <row r="164" spans="6:6">
      <c r="F164" s="277"/>
    </row>
    <row r="165" spans="6:6">
      <c r="F165" s="277"/>
    </row>
    <row r="166" spans="6:6">
      <c r="F166" s="277"/>
    </row>
    <row r="167" spans="6:6">
      <c r="F167" s="277"/>
    </row>
    <row r="168" spans="6:6">
      <c r="F168" s="277"/>
    </row>
    <row r="169" spans="6:6">
      <c r="F169" s="277"/>
    </row>
  </sheetData>
  <mergeCells count="14">
    <mergeCell ref="BC3:BE3"/>
    <mergeCell ref="AY3:BA3"/>
    <mergeCell ref="AU3:AW3"/>
    <mergeCell ref="AQ3:AS3"/>
    <mergeCell ref="AM3:AO3"/>
    <mergeCell ref="C3:E3"/>
    <mergeCell ref="G3:I3"/>
    <mergeCell ref="AI3:AK3"/>
    <mergeCell ref="AE3:AG3"/>
    <mergeCell ref="AA3:AC3"/>
    <mergeCell ref="W3:Y3"/>
    <mergeCell ref="K3:M3"/>
    <mergeCell ref="O3:Q3"/>
    <mergeCell ref="S3:U3"/>
  </mergeCells>
  <printOptions horizontalCentered="1" verticalCentered="1"/>
  <pageMargins left="0.70866141732283472" right="0.70866141732283472" top="0.74803149606299213" bottom="0.74803149606299213" header="0.31496062992125984" footer="0.31496062992125984"/>
  <pageSetup scale="50" firstPageNumber="38" orientation="landscape" useFirstPageNumber="1" horizontalDpi="4294967295" verticalDpi="4294967295" r:id="rId1"/>
  <headerFooter scaleWithDoc="0" alignWithMargins="0">
    <oddFooter>&amp;R&amp;P</oddFooter>
  </headerFooter>
  <rowBreaks count="1" manualBreakCount="1">
    <brk id="53" min="38" max="56" man="1"/>
  </rowBreaks>
  <ignoredErrors>
    <ignoredError sqref="E84 O84:Q84 G71:H80 U84 Y84 AC84 AG84 Y81:Y82 U17:U18 O17:Q17 C17:E17 I71:I82 G17:I17 I84 K17:M17 K84:M84 K10:M16 G10:I16 C10:E16 O10:Q16 U10:U16 U20:U82 O20:Q20 C20:E20 G20:I20 K20:M20 O22:Q82 O21 Q21 K22:M82 K21 M21 G22:I70 G21 I21 C22:E80 C21 E21 C18 E18 G18 I18 K18 M18 O18 Q18" formula="1"/>
    <ignoredError sqref="X81 AJ21:AN21"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F89"/>
  <sheetViews>
    <sheetView showGridLines="0" zoomScaleNormal="100" workbookViewId="0">
      <pane xSplit="2" ySplit="4" topLeftCell="AT52" activePane="bottomRight" state="frozen"/>
      <selection activeCell="O12" sqref="O12"/>
      <selection pane="topRight" activeCell="O12" sqref="O12"/>
      <selection pane="bottomLeft" activeCell="O12" sqref="O12"/>
      <selection pane="bottomRight" activeCell="BI67" sqref="BI67"/>
    </sheetView>
  </sheetViews>
  <sheetFormatPr baseColWidth="10" defaultRowHeight="14.4"/>
  <cols>
    <col min="1" max="1" width="2.6640625" style="157" customWidth="1"/>
    <col min="2" max="2" width="48" customWidth="1"/>
    <col min="3" max="3" width="1.6640625" style="5317" customWidth="1"/>
    <col min="4" max="4" width="8.6640625" customWidth="1"/>
    <col min="5" max="5" width="10.6640625" customWidth="1"/>
    <col min="6" max="6" width="7.6640625" style="90" customWidth="1"/>
    <col min="7" max="7" width="1.6640625" style="90" customWidth="1"/>
    <col min="8" max="8" width="8.6640625" customWidth="1"/>
    <col min="9" max="9" width="10.6640625" customWidth="1"/>
    <col min="10" max="10" width="7.6640625" style="90" customWidth="1"/>
    <col min="11" max="11" width="1.6640625" style="90" customWidth="1"/>
    <col min="12" max="12" width="8.6640625" customWidth="1"/>
    <col min="13" max="13" width="10.6640625" customWidth="1"/>
    <col min="14" max="14" width="7.6640625" style="90" customWidth="1"/>
    <col min="15" max="15" width="1.6640625" style="90" customWidth="1"/>
    <col min="16" max="16" width="8.6640625" customWidth="1"/>
    <col min="17" max="17" width="10.6640625" customWidth="1"/>
    <col min="18" max="18" width="7.6640625" style="90" customWidth="1"/>
    <col min="19" max="19" width="1.6640625" style="90" customWidth="1"/>
    <col min="20" max="20" width="8.6640625" style="157" customWidth="1"/>
    <col min="21" max="21" width="10.6640625" customWidth="1"/>
    <col min="22" max="22" width="7.6640625" style="90" customWidth="1"/>
    <col min="23" max="23" width="1.6640625" style="90" customWidth="1"/>
    <col min="24" max="24" width="9" customWidth="1"/>
    <col min="26" max="26" width="7.6640625" style="90" customWidth="1"/>
    <col min="27" max="27" width="1.6640625" style="90" customWidth="1"/>
    <col min="28" max="28" width="9" customWidth="1"/>
    <col min="30" max="30" width="7.6640625" style="90" customWidth="1"/>
    <col min="31" max="31" width="1.6640625" style="90" customWidth="1"/>
    <col min="32" max="32" width="9.6640625" customWidth="1"/>
    <col min="34" max="34" width="7.6640625" style="90" customWidth="1"/>
    <col min="35" max="35" width="1.6640625" style="90" customWidth="1"/>
    <col min="36" max="36" width="9.6640625" customWidth="1"/>
    <col min="38" max="38" width="7.6640625" customWidth="1"/>
    <col min="39" max="39" width="1.6640625" customWidth="1"/>
    <col min="40" max="40" width="9.6640625" customWidth="1"/>
    <col min="42" max="42" width="7.6640625" customWidth="1"/>
    <col min="43" max="43" width="1.6640625" customWidth="1"/>
    <col min="44" max="44" width="9.6640625" customWidth="1"/>
    <col min="47" max="47" width="1.6640625" customWidth="1"/>
    <col min="48" max="48" width="9.6640625" customWidth="1"/>
    <col min="51" max="51" width="1.6640625" customWidth="1"/>
    <col min="52" max="52" width="10.109375" customWidth="1"/>
    <col min="55" max="55" width="1.6640625" customWidth="1"/>
    <col min="56" max="56" width="9.6640625" customWidth="1"/>
    <col min="58" max="58" width="11.109375" customWidth="1"/>
  </cols>
  <sheetData>
    <row r="1" spans="1:58" ht="39.75" customHeight="1">
      <c r="D1" s="277"/>
      <c r="E1" s="277"/>
      <c r="F1" s="1733"/>
      <c r="G1" s="1733"/>
      <c r="H1" s="277"/>
      <c r="I1" s="277"/>
      <c r="J1" s="1733"/>
      <c r="K1" s="1733"/>
      <c r="L1" s="277"/>
      <c r="M1" s="277"/>
      <c r="N1" s="1733"/>
      <c r="O1" s="1733"/>
      <c r="P1" s="277"/>
      <c r="Q1" s="277"/>
      <c r="R1" s="1733"/>
      <c r="S1" s="1733"/>
      <c r="T1" s="276"/>
      <c r="AO1" s="56"/>
      <c r="AP1" s="56"/>
      <c r="AR1" s="56"/>
      <c r="AS1" s="56"/>
      <c r="AT1" s="56"/>
      <c r="AU1" s="56"/>
      <c r="AV1" s="6946" t="s">
        <v>3018</v>
      </c>
      <c r="AW1" s="6946"/>
      <c r="AX1" s="6946"/>
      <c r="AY1" s="6946"/>
      <c r="AZ1" s="6946"/>
      <c r="BA1" s="6946"/>
      <c r="BB1" s="6946"/>
      <c r="BC1" s="6946"/>
      <c r="BD1" s="6946"/>
      <c r="BE1" s="6946"/>
      <c r="BF1" s="6946"/>
    </row>
    <row r="2" spans="1:58" s="5317" customFormat="1" ht="15.6">
      <c r="A2" s="157"/>
      <c r="B2" s="56"/>
      <c r="D2" s="277"/>
      <c r="E2" s="277"/>
      <c r="F2" s="1733"/>
      <c r="G2" s="1733"/>
      <c r="H2" s="277"/>
      <c r="I2" s="277"/>
      <c r="J2" s="1733"/>
      <c r="K2" s="1733"/>
      <c r="L2" s="277"/>
      <c r="M2" s="277"/>
      <c r="N2" s="1733"/>
      <c r="O2" s="1733"/>
      <c r="P2" s="277"/>
      <c r="Q2" s="277"/>
      <c r="R2" s="1733"/>
      <c r="S2" s="1733"/>
      <c r="T2" s="276"/>
      <c r="V2" s="90"/>
      <c r="W2" s="90"/>
      <c r="Z2" s="90"/>
      <c r="AA2" s="90"/>
      <c r="AD2" s="90"/>
      <c r="AE2" s="90"/>
      <c r="AH2" s="90"/>
      <c r="AI2" s="90"/>
    </row>
    <row r="3" spans="1:58" s="5916" customFormat="1" ht="15.6">
      <c r="A3" s="2064"/>
      <c r="B3" s="5914"/>
      <c r="C3" s="5317"/>
      <c r="D3" s="7352">
        <v>2010</v>
      </c>
      <c r="E3" s="7352"/>
      <c r="F3" s="7352"/>
      <c r="G3" s="5915"/>
      <c r="H3" s="7352">
        <v>2011</v>
      </c>
      <c r="I3" s="7352"/>
      <c r="J3" s="7352"/>
      <c r="K3" s="5915"/>
      <c r="L3" s="7352">
        <v>2012</v>
      </c>
      <c r="M3" s="7352"/>
      <c r="N3" s="7352"/>
      <c r="O3" s="5915"/>
      <c r="P3" s="7352">
        <v>2013</v>
      </c>
      <c r="Q3" s="7352"/>
      <c r="R3" s="7352"/>
      <c r="S3" s="5915"/>
      <c r="T3" s="7352">
        <v>2014</v>
      </c>
      <c r="U3" s="7352"/>
      <c r="V3" s="7352"/>
      <c r="W3" s="5915"/>
      <c r="X3" s="7352">
        <v>2015</v>
      </c>
      <c r="Y3" s="7352"/>
      <c r="Z3" s="7352"/>
      <c r="AA3" s="5915"/>
      <c r="AB3" s="7352">
        <v>2016</v>
      </c>
      <c r="AC3" s="7352"/>
      <c r="AD3" s="7352"/>
      <c r="AE3" s="5915"/>
      <c r="AF3" s="7352">
        <v>2017</v>
      </c>
      <c r="AG3" s="7352"/>
      <c r="AH3" s="7352"/>
      <c r="AI3" s="5915"/>
      <c r="AJ3" s="7352">
        <v>2018</v>
      </c>
      <c r="AK3" s="7352"/>
      <c r="AL3" s="7352"/>
      <c r="AM3" s="5915"/>
      <c r="AN3" s="7352">
        <v>2019</v>
      </c>
      <c r="AO3" s="7352"/>
      <c r="AP3" s="7352"/>
      <c r="AR3" s="7352">
        <v>2020</v>
      </c>
      <c r="AS3" s="7352"/>
      <c r="AT3" s="7352"/>
      <c r="AV3" s="7352">
        <v>2021</v>
      </c>
      <c r="AW3" s="7352"/>
      <c r="AX3" s="7352"/>
      <c r="AZ3" s="7352">
        <v>2022</v>
      </c>
      <c r="BA3" s="7352"/>
      <c r="BB3" s="7352"/>
      <c r="BD3" s="7352">
        <v>2023</v>
      </c>
      <c r="BE3" s="7352"/>
      <c r="BF3" s="7352"/>
    </row>
    <row r="4" spans="1:58" s="1" customFormat="1" ht="55.8" thickBot="1">
      <c r="A4" s="1960"/>
      <c r="B4" s="2147" t="s">
        <v>2383</v>
      </c>
      <c r="C4" s="5317"/>
      <c r="D4" s="2159" t="s">
        <v>1250</v>
      </c>
      <c r="E4" s="2159" t="s">
        <v>953</v>
      </c>
      <c r="F4" s="2163" t="s">
        <v>76</v>
      </c>
      <c r="G4" s="1733"/>
      <c r="H4" s="2159" t="s">
        <v>1250</v>
      </c>
      <c r="I4" s="2159" t="s">
        <v>953</v>
      </c>
      <c r="J4" s="2163" t="s">
        <v>76</v>
      </c>
      <c r="K4" s="1733"/>
      <c r="L4" s="2159" t="s">
        <v>1250</v>
      </c>
      <c r="M4" s="2159" t="s">
        <v>953</v>
      </c>
      <c r="N4" s="2163" t="s">
        <v>76</v>
      </c>
      <c r="O4" s="1733"/>
      <c r="P4" s="2159" t="s">
        <v>1250</v>
      </c>
      <c r="Q4" s="2159" t="s">
        <v>953</v>
      </c>
      <c r="R4" s="2163" t="s">
        <v>76</v>
      </c>
      <c r="S4" s="1733"/>
      <c r="T4" s="2159" t="s">
        <v>1250</v>
      </c>
      <c r="U4" s="2159" t="s">
        <v>953</v>
      </c>
      <c r="V4" s="2163" t="s">
        <v>76</v>
      </c>
      <c r="W4" s="1733"/>
      <c r="X4" s="2159" t="s">
        <v>1250</v>
      </c>
      <c r="Y4" s="2159" t="s">
        <v>953</v>
      </c>
      <c r="Z4" s="2163" t="s">
        <v>76</v>
      </c>
      <c r="AA4" s="1733"/>
      <c r="AB4" s="2159" t="s">
        <v>1250</v>
      </c>
      <c r="AC4" s="2159" t="s">
        <v>953</v>
      </c>
      <c r="AD4" s="2163" t="s">
        <v>76</v>
      </c>
      <c r="AE4" s="1733"/>
      <c r="AF4" s="2159" t="s">
        <v>1250</v>
      </c>
      <c r="AG4" s="2159" t="s">
        <v>953</v>
      </c>
      <c r="AH4" s="2163" t="s">
        <v>76</v>
      </c>
      <c r="AI4" s="1733"/>
      <c r="AJ4" s="2159" t="s">
        <v>1250</v>
      </c>
      <c r="AK4" s="2159" t="s">
        <v>953</v>
      </c>
      <c r="AL4" s="2163" t="s">
        <v>76</v>
      </c>
      <c r="AM4" s="1733"/>
      <c r="AN4" s="2159" t="s">
        <v>1250</v>
      </c>
      <c r="AO4" s="2159" t="s">
        <v>953</v>
      </c>
      <c r="AP4" s="2163" t="s">
        <v>76</v>
      </c>
      <c r="AR4" s="2159" t="s">
        <v>1250</v>
      </c>
      <c r="AS4" s="2159" t="s">
        <v>953</v>
      </c>
      <c r="AT4" s="2163" t="s">
        <v>76</v>
      </c>
      <c r="AV4" s="2159" t="s">
        <v>1250</v>
      </c>
      <c r="AW4" s="2159" t="s">
        <v>953</v>
      </c>
      <c r="AX4" s="2163" t="s">
        <v>76</v>
      </c>
      <c r="AZ4" s="2159" t="s">
        <v>1250</v>
      </c>
      <c r="BA4" s="2159" t="s">
        <v>953</v>
      </c>
      <c r="BB4" s="2163" t="s">
        <v>76</v>
      </c>
      <c r="BD4" s="2159" t="s">
        <v>1250</v>
      </c>
      <c r="BE4" s="2159" t="s">
        <v>953</v>
      </c>
      <c r="BF4" s="2163" t="s">
        <v>76</v>
      </c>
    </row>
    <row r="5" spans="1:58" s="1" customFormat="1" ht="18">
      <c r="A5" s="1960"/>
      <c r="B5" s="1972" t="s">
        <v>956</v>
      </c>
      <c r="C5" s="5317"/>
      <c r="D5" s="2325">
        <v>54</v>
      </c>
      <c r="E5" s="1973">
        <v>134</v>
      </c>
      <c r="F5" s="2313">
        <f t="shared" ref="F5:F36" si="0">D5/E5</f>
        <v>0.40298507462686567</v>
      </c>
      <c r="G5" s="1733"/>
      <c r="H5" s="2325">
        <v>72</v>
      </c>
      <c r="I5" s="1973">
        <v>136</v>
      </c>
      <c r="J5" s="2313">
        <f>H5/I5</f>
        <v>0.52941176470588236</v>
      </c>
      <c r="K5" s="1733"/>
      <c r="L5" s="2325">
        <v>58</v>
      </c>
      <c r="M5" s="1973">
        <v>139</v>
      </c>
      <c r="N5" s="2313">
        <f>L5/M5</f>
        <v>0.41726618705035973</v>
      </c>
      <c r="O5" s="1733"/>
      <c r="P5" s="2325">
        <v>82</v>
      </c>
      <c r="Q5" s="1973">
        <v>139</v>
      </c>
      <c r="R5" s="2313">
        <f>P5/Q5</f>
        <v>0.58992805755395683</v>
      </c>
      <c r="S5" s="1733"/>
      <c r="T5" s="2325">
        <v>91</v>
      </c>
      <c r="U5" s="1973">
        <v>145</v>
      </c>
      <c r="V5" s="2313">
        <f>T5/U5</f>
        <v>0.62758620689655176</v>
      </c>
      <c r="W5" s="1733"/>
      <c r="X5" s="2325">
        <v>73</v>
      </c>
      <c r="Y5" s="1973">
        <v>143</v>
      </c>
      <c r="Z5" s="2313">
        <f>X5/Y5</f>
        <v>0.51048951048951052</v>
      </c>
      <c r="AA5" s="1733"/>
      <c r="AB5" s="2325">
        <v>70</v>
      </c>
      <c r="AC5" s="1973">
        <v>142</v>
      </c>
      <c r="AD5" s="2313">
        <f>AB5/AC5</f>
        <v>0.49295774647887325</v>
      </c>
      <c r="AE5" s="1733"/>
      <c r="AF5" s="2325">
        <v>99</v>
      </c>
      <c r="AG5" s="1973">
        <v>142</v>
      </c>
      <c r="AH5" s="2313">
        <f>AF5/AG5</f>
        <v>0.69718309859154926</v>
      </c>
      <c r="AI5" s="1733"/>
      <c r="AJ5" s="2325">
        <v>97</v>
      </c>
      <c r="AK5" s="1973">
        <v>143</v>
      </c>
      <c r="AL5" s="2313">
        <f>AJ5/AK5</f>
        <v>0.67832167832167833</v>
      </c>
      <c r="AM5" s="1733"/>
      <c r="AN5" s="2325">
        <v>93</v>
      </c>
      <c r="AO5" s="1973">
        <v>143</v>
      </c>
      <c r="AP5" s="2313">
        <f>AN5/AO5</f>
        <v>0.65034965034965031</v>
      </c>
      <c r="AR5" s="2325">
        <v>66</v>
      </c>
      <c r="AS5" s="1973">
        <v>144</v>
      </c>
      <c r="AT5" s="2313">
        <f>AR5/AS5</f>
        <v>0.45833333333333331</v>
      </c>
      <c r="AV5" s="2325">
        <v>86</v>
      </c>
      <c r="AW5" s="1973">
        <v>140</v>
      </c>
      <c r="AX5" s="2313">
        <f>AV5/AW5</f>
        <v>0.61428571428571432</v>
      </c>
      <c r="AZ5" s="2325">
        <v>104</v>
      </c>
      <c r="BA5" s="1973">
        <v>138</v>
      </c>
      <c r="BB5" s="2313">
        <f>AZ5/BA5</f>
        <v>0.75362318840579712</v>
      </c>
      <c r="BD5" s="2325">
        <v>88</v>
      </c>
      <c r="BE5" s="1973">
        <v>138</v>
      </c>
      <c r="BF5" s="2313">
        <f>BD5/BE5</f>
        <v>0.6376811594202898</v>
      </c>
    </row>
    <row r="6" spans="1:58" s="1" customFormat="1" ht="18">
      <c r="A6" s="1960"/>
      <c r="B6" s="1968" t="s">
        <v>957</v>
      </c>
      <c r="C6" s="5317"/>
      <c r="D6" s="2325">
        <v>4</v>
      </c>
      <c r="E6" s="1973">
        <v>52</v>
      </c>
      <c r="F6" s="2313">
        <f t="shared" si="0"/>
        <v>7.6923076923076927E-2</v>
      </c>
      <c r="G6" s="1733"/>
      <c r="H6" s="2325">
        <v>13</v>
      </c>
      <c r="I6" s="1973">
        <v>52</v>
      </c>
      <c r="J6" s="2313">
        <f t="shared" ref="J6:J69" si="1">H6/I6</f>
        <v>0.25</v>
      </c>
      <c r="K6" s="1733"/>
      <c r="L6" s="2325">
        <v>9</v>
      </c>
      <c r="M6" s="1973">
        <v>52</v>
      </c>
      <c r="N6" s="2313">
        <f t="shared" ref="N6:N69" si="2">L6/M6</f>
        <v>0.17307692307692307</v>
      </c>
      <c r="O6" s="1733"/>
      <c r="P6" s="2325">
        <v>8</v>
      </c>
      <c r="Q6" s="1973">
        <v>51</v>
      </c>
      <c r="R6" s="2313">
        <f t="shared" ref="R6:R69" si="3">P6/Q6</f>
        <v>0.15686274509803921</v>
      </c>
      <c r="S6" s="1733"/>
      <c r="T6" s="2325">
        <v>7</v>
      </c>
      <c r="U6" s="1973">
        <v>53</v>
      </c>
      <c r="V6" s="2313">
        <f t="shared" ref="V6:V69" si="4">T6/U6</f>
        <v>0.13207547169811321</v>
      </c>
      <c r="W6" s="1733"/>
      <c r="X6" s="2325">
        <v>15</v>
      </c>
      <c r="Y6" s="1973">
        <v>56</v>
      </c>
      <c r="Z6" s="2313">
        <f t="shared" ref="Z6:Z53" si="5">X6/Y6</f>
        <v>0.26785714285714285</v>
      </c>
      <c r="AA6" s="1733"/>
      <c r="AB6" s="2325">
        <v>8</v>
      </c>
      <c r="AC6" s="1973">
        <v>54</v>
      </c>
      <c r="AD6" s="2313">
        <f t="shared" ref="AD6:AD53" si="6">AB6/AC6</f>
        <v>0.14814814814814814</v>
      </c>
      <c r="AE6" s="1733"/>
      <c r="AF6" s="2325">
        <v>5</v>
      </c>
      <c r="AG6" s="1973">
        <v>56</v>
      </c>
      <c r="AH6" s="2313">
        <f t="shared" ref="AH6:AH53" si="7">AF6/AG6</f>
        <v>8.9285714285714288E-2</v>
      </c>
      <c r="AI6" s="1733"/>
      <c r="AJ6" s="2325">
        <v>14</v>
      </c>
      <c r="AK6" s="1973">
        <v>55</v>
      </c>
      <c r="AL6" s="2313">
        <f t="shared" ref="AL6:AL40" si="8">AJ6/AK6</f>
        <v>0.25454545454545452</v>
      </c>
      <c r="AM6" s="1733"/>
      <c r="AN6" s="2325">
        <v>8</v>
      </c>
      <c r="AO6" s="1973">
        <v>54</v>
      </c>
      <c r="AP6" s="2313">
        <f t="shared" ref="AP6:AP40" si="9">AN6/AO6</f>
        <v>0.14814814814814814</v>
      </c>
      <c r="AR6" s="2325">
        <v>12</v>
      </c>
      <c r="AS6" s="1973">
        <v>51</v>
      </c>
      <c r="AT6" s="2313">
        <f t="shared" ref="AT6:AT40" si="10">AR6/AS6</f>
        <v>0.23529411764705882</v>
      </c>
      <c r="AV6" s="2325">
        <v>16</v>
      </c>
      <c r="AW6" s="1973">
        <v>51</v>
      </c>
      <c r="AX6" s="2313">
        <f t="shared" ref="AX6:AX40" si="11">AV6/AW6</f>
        <v>0.31372549019607843</v>
      </c>
      <c r="AZ6" s="2325">
        <v>12</v>
      </c>
      <c r="BA6" s="1973">
        <v>49</v>
      </c>
      <c r="BB6" s="2313">
        <f t="shared" ref="BB6:BB40" si="12">AZ6/BA6</f>
        <v>0.24489795918367346</v>
      </c>
      <c r="BD6" s="2325">
        <v>8</v>
      </c>
      <c r="BE6" s="1973">
        <v>46</v>
      </c>
      <c r="BF6" s="2313">
        <f t="shared" ref="BF6:BF40" si="13">BD6/BE6</f>
        <v>0.17391304347826086</v>
      </c>
    </row>
    <row r="7" spans="1:58" s="1" customFormat="1" ht="18">
      <c r="A7" s="1960"/>
      <c r="B7" s="1968" t="s">
        <v>958</v>
      </c>
      <c r="C7" s="5317"/>
      <c r="D7" s="2325">
        <v>38</v>
      </c>
      <c r="E7" s="1973">
        <v>64</v>
      </c>
      <c r="F7" s="2313">
        <f t="shared" si="0"/>
        <v>0.59375</v>
      </c>
      <c r="G7" s="1733"/>
      <c r="H7" s="2325">
        <v>42</v>
      </c>
      <c r="I7" s="1973">
        <v>62</v>
      </c>
      <c r="J7" s="2313">
        <f t="shared" si="1"/>
        <v>0.67741935483870963</v>
      </c>
      <c r="K7" s="1733"/>
      <c r="L7" s="2325">
        <v>31</v>
      </c>
      <c r="M7" s="1973">
        <v>63</v>
      </c>
      <c r="N7" s="2313">
        <f t="shared" si="2"/>
        <v>0.49206349206349204</v>
      </c>
      <c r="O7" s="1733"/>
      <c r="P7" s="2325">
        <v>12</v>
      </c>
      <c r="Q7" s="1973">
        <v>64</v>
      </c>
      <c r="R7" s="2313">
        <f t="shared" si="3"/>
        <v>0.1875</v>
      </c>
      <c r="S7" s="1733"/>
      <c r="T7" s="2325">
        <v>40</v>
      </c>
      <c r="U7" s="1973">
        <v>66</v>
      </c>
      <c r="V7" s="2313">
        <f t="shared" si="4"/>
        <v>0.60606060606060608</v>
      </c>
      <c r="W7" s="1733"/>
      <c r="X7" s="2325">
        <v>34</v>
      </c>
      <c r="Y7" s="1973">
        <v>61</v>
      </c>
      <c r="Z7" s="2313">
        <f t="shared" si="5"/>
        <v>0.55737704918032782</v>
      </c>
      <c r="AA7" s="1733"/>
      <c r="AB7" s="2325">
        <v>46</v>
      </c>
      <c r="AC7" s="1973">
        <v>60</v>
      </c>
      <c r="AD7" s="2313">
        <f t="shared" si="6"/>
        <v>0.76666666666666672</v>
      </c>
      <c r="AE7" s="1733"/>
      <c r="AF7" s="2325">
        <v>37</v>
      </c>
      <c r="AG7" s="1973">
        <v>62</v>
      </c>
      <c r="AH7" s="2313">
        <f t="shared" si="7"/>
        <v>0.59677419354838712</v>
      </c>
      <c r="AI7" s="1733"/>
      <c r="AJ7" s="2325">
        <v>37</v>
      </c>
      <c r="AK7" s="1973">
        <v>65</v>
      </c>
      <c r="AL7" s="2313">
        <f t="shared" si="8"/>
        <v>0.56923076923076921</v>
      </c>
      <c r="AM7" s="1733"/>
      <c r="AN7" s="2325">
        <v>34</v>
      </c>
      <c r="AO7" s="1973">
        <v>67</v>
      </c>
      <c r="AP7" s="2313">
        <f t="shared" si="9"/>
        <v>0.5074626865671642</v>
      </c>
      <c r="AR7" s="2325">
        <v>42</v>
      </c>
      <c r="AS7" s="1973">
        <v>63</v>
      </c>
      <c r="AT7" s="2313">
        <f t="shared" si="10"/>
        <v>0.66666666666666663</v>
      </c>
      <c r="AV7" s="2325">
        <v>72</v>
      </c>
      <c r="AW7" s="1973">
        <v>62</v>
      </c>
      <c r="AX7" s="2313">
        <f t="shared" si="11"/>
        <v>1.1612903225806452</v>
      </c>
      <c r="AZ7" s="2325">
        <v>50</v>
      </c>
      <c r="BA7" s="1973">
        <v>63</v>
      </c>
      <c r="BB7" s="2313">
        <f t="shared" si="12"/>
        <v>0.79365079365079361</v>
      </c>
      <c r="BD7" s="2325">
        <v>36</v>
      </c>
      <c r="BE7" s="1973">
        <v>63</v>
      </c>
      <c r="BF7" s="2313">
        <f t="shared" si="13"/>
        <v>0.5714285714285714</v>
      </c>
    </row>
    <row r="8" spans="1:58" s="1" customFormat="1" ht="18">
      <c r="A8" s="1960"/>
      <c r="B8" s="1968" t="s">
        <v>959</v>
      </c>
      <c r="C8" s="5317"/>
      <c r="D8" s="2325">
        <v>21</v>
      </c>
      <c r="E8" s="1973">
        <v>50</v>
      </c>
      <c r="F8" s="2313">
        <f t="shared" si="0"/>
        <v>0.42</v>
      </c>
      <c r="G8" s="1733"/>
      <c r="H8" s="2325">
        <v>19</v>
      </c>
      <c r="I8" s="1973">
        <v>51</v>
      </c>
      <c r="J8" s="2313">
        <f t="shared" si="1"/>
        <v>0.37254901960784315</v>
      </c>
      <c r="K8" s="1733"/>
      <c r="L8" s="2325">
        <v>26</v>
      </c>
      <c r="M8" s="1973">
        <v>49</v>
      </c>
      <c r="N8" s="2313">
        <f t="shared" si="2"/>
        <v>0.53061224489795922</v>
      </c>
      <c r="O8" s="1733"/>
      <c r="P8" s="2325">
        <v>37</v>
      </c>
      <c r="Q8" s="1973">
        <v>51</v>
      </c>
      <c r="R8" s="2313">
        <f t="shared" si="3"/>
        <v>0.72549019607843135</v>
      </c>
      <c r="S8" s="1733"/>
      <c r="T8" s="2325">
        <v>33</v>
      </c>
      <c r="U8" s="1973">
        <v>51</v>
      </c>
      <c r="V8" s="2313">
        <f t="shared" si="4"/>
        <v>0.6470588235294118</v>
      </c>
      <c r="W8" s="1733"/>
      <c r="X8" s="2325">
        <v>40</v>
      </c>
      <c r="Y8" s="1973">
        <v>50</v>
      </c>
      <c r="Z8" s="2313">
        <f t="shared" si="5"/>
        <v>0.8</v>
      </c>
      <c r="AA8" s="1733"/>
      <c r="AB8" s="2325">
        <v>31</v>
      </c>
      <c r="AC8" s="1973">
        <v>49</v>
      </c>
      <c r="AD8" s="2313">
        <f t="shared" si="6"/>
        <v>0.63265306122448983</v>
      </c>
      <c r="AE8" s="1733"/>
      <c r="AF8" s="2325">
        <v>40</v>
      </c>
      <c r="AG8" s="1973">
        <v>50</v>
      </c>
      <c r="AH8" s="2313">
        <f t="shared" si="7"/>
        <v>0.8</v>
      </c>
      <c r="AI8" s="1733"/>
      <c r="AJ8" s="2325">
        <v>18</v>
      </c>
      <c r="AK8" s="1973">
        <v>50</v>
      </c>
      <c r="AL8" s="2313">
        <f t="shared" si="8"/>
        <v>0.36</v>
      </c>
      <c r="AM8" s="1733"/>
      <c r="AN8" s="2325">
        <v>45</v>
      </c>
      <c r="AO8" s="1973">
        <v>53</v>
      </c>
      <c r="AP8" s="2313">
        <f t="shared" si="9"/>
        <v>0.84905660377358494</v>
      </c>
      <c r="AR8" s="2325">
        <v>37</v>
      </c>
      <c r="AS8" s="1973">
        <v>53</v>
      </c>
      <c r="AT8" s="2313">
        <f t="shared" si="10"/>
        <v>0.69811320754716977</v>
      </c>
      <c r="AV8" s="2325">
        <v>57</v>
      </c>
      <c r="AW8" s="1973">
        <v>52</v>
      </c>
      <c r="AX8" s="2313">
        <f t="shared" si="11"/>
        <v>1.0961538461538463</v>
      </c>
      <c r="AZ8" s="2325">
        <v>56</v>
      </c>
      <c r="BA8" s="1973">
        <v>51</v>
      </c>
      <c r="BB8" s="2313">
        <f t="shared" si="12"/>
        <v>1.0980392156862746</v>
      </c>
      <c r="BD8" s="2325">
        <v>47</v>
      </c>
      <c r="BE8" s="1973">
        <v>49</v>
      </c>
      <c r="BF8" s="2313">
        <f t="shared" si="13"/>
        <v>0.95918367346938771</v>
      </c>
    </row>
    <row r="9" spans="1:58" s="1" customFormat="1" ht="18">
      <c r="A9" s="1960"/>
      <c r="B9" s="1969" t="s">
        <v>960</v>
      </c>
      <c r="C9" s="5317"/>
      <c r="D9" s="2326">
        <v>11</v>
      </c>
      <c r="E9" s="2327">
        <v>42</v>
      </c>
      <c r="F9" s="2162">
        <f t="shared" si="0"/>
        <v>0.26190476190476192</v>
      </c>
      <c r="G9" s="1733"/>
      <c r="H9" s="2326">
        <v>7</v>
      </c>
      <c r="I9" s="2327">
        <v>41</v>
      </c>
      <c r="J9" s="2162">
        <f t="shared" si="1"/>
        <v>0.17073170731707318</v>
      </c>
      <c r="K9" s="1733"/>
      <c r="L9" s="2326">
        <v>3</v>
      </c>
      <c r="M9" s="2327">
        <v>45</v>
      </c>
      <c r="N9" s="2162">
        <f t="shared" si="2"/>
        <v>6.6666666666666666E-2</v>
      </c>
      <c r="O9" s="1733"/>
      <c r="P9" s="2326">
        <v>19</v>
      </c>
      <c r="Q9" s="2327">
        <v>44</v>
      </c>
      <c r="R9" s="2162">
        <f t="shared" si="3"/>
        <v>0.43181818181818182</v>
      </c>
      <c r="S9" s="1733"/>
      <c r="T9" s="2326">
        <v>11</v>
      </c>
      <c r="U9" s="2327">
        <v>42</v>
      </c>
      <c r="V9" s="2162">
        <f t="shared" si="4"/>
        <v>0.26190476190476192</v>
      </c>
      <c r="W9" s="1733"/>
      <c r="X9" s="2326">
        <v>17</v>
      </c>
      <c r="Y9" s="2327">
        <v>41</v>
      </c>
      <c r="Z9" s="2162">
        <f t="shared" si="5"/>
        <v>0.41463414634146339</v>
      </c>
      <c r="AA9" s="1733"/>
      <c r="AB9" s="2326">
        <v>5</v>
      </c>
      <c r="AC9" s="2327">
        <v>43</v>
      </c>
      <c r="AD9" s="2162">
        <f t="shared" si="6"/>
        <v>0.11627906976744186</v>
      </c>
      <c r="AE9" s="1733"/>
      <c r="AF9" s="2326">
        <v>6</v>
      </c>
      <c r="AG9" s="2327">
        <v>45</v>
      </c>
      <c r="AH9" s="2162">
        <f t="shared" si="7"/>
        <v>0.13333333333333333</v>
      </c>
      <c r="AI9" s="1733"/>
      <c r="AJ9" s="2326">
        <v>14</v>
      </c>
      <c r="AK9" s="2327">
        <v>47</v>
      </c>
      <c r="AL9" s="2162">
        <f t="shared" si="8"/>
        <v>0.2978723404255319</v>
      </c>
      <c r="AM9" s="1733"/>
      <c r="AN9" s="2326">
        <v>9</v>
      </c>
      <c r="AO9" s="2327">
        <v>47</v>
      </c>
      <c r="AP9" s="2162">
        <f t="shared" si="9"/>
        <v>0.19148936170212766</v>
      </c>
      <c r="AR9" s="2326">
        <v>12</v>
      </c>
      <c r="AS9" s="2327">
        <v>49</v>
      </c>
      <c r="AT9" s="2162">
        <f t="shared" si="10"/>
        <v>0.24489795918367346</v>
      </c>
      <c r="AV9" s="2326">
        <v>25</v>
      </c>
      <c r="AW9" s="2327">
        <v>49</v>
      </c>
      <c r="AX9" s="2162">
        <f t="shared" si="11"/>
        <v>0.51020408163265307</v>
      </c>
      <c r="AZ9" s="2326">
        <v>17</v>
      </c>
      <c r="BA9" s="2327">
        <v>49</v>
      </c>
      <c r="BB9" s="2162">
        <f t="shared" si="12"/>
        <v>0.34693877551020408</v>
      </c>
      <c r="BD9" s="2326">
        <v>13</v>
      </c>
      <c r="BE9" s="2327">
        <v>47</v>
      </c>
      <c r="BF9" s="2162">
        <f t="shared" si="13"/>
        <v>0.27659574468085107</v>
      </c>
    </row>
    <row r="10" spans="1:58" s="1" customFormat="1" ht="15" customHeight="1">
      <c r="A10" s="1960"/>
      <c r="B10" s="1929" t="s">
        <v>4</v>
      </c>
      <c r="C10" s="5317"/>
      <c r="D10" s="2328">
        <f>SUM(D5:D9)</f>
        <v>128</v>
      </c>
      <c r="E10" s="1040">
        <f>SUM(E5:E9)</f>
        <v>342</v>
      </c>
      <c r="F10" s="2314">
        <f t="shared" si="0"/>
        <v>0.3742690058479532</v>
      </c>
      <c r="G10" s="1733"/>
      <c r="H10" s="2328">
        <v>153</v>
      </c>
      <c r="I10" s="1040">
        <f>SUM(I5:I9)</f>
        <v>342</v>
      </c>
      <c r="J10" s="2314">
        <f t="shared" si="1"/>
        <v>0.44736842105263158</v>
      </c>
      <c r="K10" s="1733"/>
      <c r="L10" s="2328">
        <v>127</v>
      </c>
      <c r="M10" s="1040">
        <f>SUM(M5:M9)</f>
        <v>348</v>
      </c>
      <c r="N10" s="2314">
        <f t="shared" si="2"/>
        <v>0.36494252873563221</v>
      </c>
      <c r="O10" s="1733"/>
      <c r="P10" s="2328">
        <v>158</v>
      </c>
      <c r="Q10" s="1040">
        <f>SUM(Q5:Q9)</f>
        <v>349</v>
      </c>
      <c r="R10" s="2314">
        <f t="shared" si="3"/>
        <v>0.45272206303724927</v>
      </c>
      <c r="S10" s="1733"/>
      <c r="T10" s="2328">
        <f>SUM(T5:T9)</f>
        <v>182</v>
      </c>
      <c r="U10" s="1040">
        <f>SUM(U5:U9)</f>
        <v>357</v>
      </c>
      <c r="V10" s="2314">
        <f t="shared" si="4"/>
        <v>0.50980392156862742</v>
      </c>
      <c r="W10" s="1733"/>
      <c r="X10" s="2328">
        <f>SUM(X5:X9)</f>
        <v>179</v>
      </c>
      <c r="Y10" s="1040">
        <v>351</v>
      </c>
      <c r="Z10" s="2314">
        <f t="shared" si="5"/>
        <v>0.50997150997150997</v>
      </c>
      <c r="AA10" s="1733"/>
      <c r="AB10" s="2328">
        <v>160</v>
      </c>
      <c r="AC10" s="1040">
        <f>SUM(AC5:AC9)</f>
        <v>348</v>
      </c>
      <c r="AD10" s="2314">
        <f t="shared" si="6"/>
        <v>0.45977011494252873</v>
      </c>
      <c r="AE10" s="1733"/>
      <c r="AF10" s="2328">
        <v>187</v>
      </c>
      <c r="AG10" s="1040">
        <f>SUM(AG5:AG9)</f>
        <v>355</v>
      </c>
      <c r="AH10" s="2314">
        <f t="shared" si="7"/>
        <v>0.52676056338028165</v>
      </c>
      <c r="AI10" s="1733"/>
      <c r="AJ10" s="2328">
        <v>180</v>
      </c>
      <c r="AK10" s="1040">
        <f>SUM(AK5:AK9)</f>
        <v>360</v>
      </c>
      <c r="AL10" s="2314">
        <f t="shared" si="8"/>
        <v>0.5</v>
      </c>
      <c r="AM10" s="1733"/>
      <c r="AN10" s="2328">
        <v>189</v>
      </c>
      <c r="AO10" s="1040">
        <v>364</v>
      </c>
      <c r="AP10" s="2314">
        <f t="shared" si="9"/>
        <v>0.51923076923076927</v>
      </c>
      <c r="AR10" s="2328">
        <v>169</v>
      </c>
      <c r="AS10" s="1040">
        <v>360</v>
      </c>
      <c r="AT10" s="2314">
        <f t="shared" si="10"/>
        <v>0.46944444444444444</v>
      </c>
      <c r="AV10" s="2328">
        <v>256</v>
      </c>
      <c r="AW10" s="1040">
        <v>354</v>
      </c>
      <c r="AX10" s="2314">
        <f t="shared" si="11"/>
        <v>0.7231638418079096</v>
      </c>
      <c r="AZ10" s="2328">
        <v>239</v>
      </c>
      <c r="BA10" s="1040">
        <v>350</v>
      </c>
      <c r="BB10" s="2314">
        <f t="shared" si="12"/>
        <v>0.68285714285714283</v>
      </c>
      <c r="BD10" s="2328">
        <v>192</v>
      </c>
      <c r="BE10" s="1040">
        <v>343</v>
      </c>
      <c r="BF10" s="2314">
        <f t="shared" si="13"/>
        <v>0.55976676384839652</v>
      </c>
    </row>
    <row r="11" spans="1:58" s="1" customFormat="1" ht="18">
      <c r="A11" s="1960"/>
      <c r="B11" s="1967" t="s">
        <v>961</v>
      </c>
      <c r="C11" s="5317"/>
      <c r="D11" s="2329"/>
      <c r="E11" s="2330">
        <v>42</v>
      </c>
      <c r="F11" s="2315">
        <f t="shared" si="0"/>
        <v>0</v>
      </c>
      <c r="G11" s="1733"/>
      <c r="H11" s="2329">
        <v>3</v>
      </c>
      <c r="I11" s="2330">
        <v>44</v>
      </c>
      <c r="J11" s="2315">
        <f t="shared" si="1"/>
        <v>6.8181818181818177E-2</v>
      </c>
      <c r="K11" s="1733"/>
      <c r="L11" s="2329">
        <v>15</v>
      </c>
      <c r="M11" s="2330">
        <v>44</v>
      </c>
      <c r="N11" s="2315">
        <f t="shared" si="2"/>
        <v>0.34090909090909088</v>
      </c>
      <c r="O11" s="1733"/>
      <c r="P11" s="2329">
        <v>11</v>
      </c>
      <c r="Q11" s="2330">
        <v>43</v>
      </c>
      <c r="R11" s="2315">
        <f t="shared" si="3"/>
        <v>0.2558139534883721</v>
      </c>
      <c r="S11" s="1733"/>
      <c r="T11" s="2329">
        <v>0</v>
      </c>
      <c r="U11" s="2330">
        <v>44</v>
      </c>
      <c r="V11" s="2315">
        <f t="shared" si="4"/>
        <v>0</v>
      </c>
      <c r="W11" s="1733"/>
      <c r="X11" s="2329"/>
      <c r="Y11" s="2330">
        <v>43</v>
      </c>
      <c r="Z11" s="2315">
        <f t="shared" si="5"/>
        <v>0</v>
      </c>
      <c r="AA11" s="1733"/>
      <c r="AB11" s="2329"/>
      <c r="AC11" s="2330">
        <v>41</v>
      </c>
      <c r="AD11" s="2315">
        <f t="shared" si="6"/>
        <v>0</v>
      </c>
      <c r="AE11" s="1733"/>
      <c r="AF11" s="2329">
        <v>2</v>
      </c>
      <c r="AG11" s="2330">
        <v>45</v>
      </c>
      <c r="AH11" s="2315">
        <f t="shared" si="7"/>
        <v>4.4444444444444446E-2</v>
      </c>
      <c r="AI11" s="1733"/>
      <c r="AJ11" s="2329">
        <v>2</v>
      </c>
      <c r="AK11" s="2330">
        <v>49</v>
      </c>
      <c r="AL11" s="2315">
        <f t="shared" si="8"/>
        <v>4.0816326530612242E-2</v>
      </c>
      <c r="AM11" s="1733"/>
      <c r="AN11" s="2329">
        <v>1</v>
      </c>
      <c r="AO11" s="2330">
        <v>47</v>
      </c>
      <c r="AP11" s="2315">
        <f t="shared" si="9"/>
        <v>2.1276595744680851E-2</v>
      </c>
      <c r="AR11" s="2329">
        <v>1</v>
      </c>
      <c r="AS11" s="2330">
        <v>46</v>
      </c>
      <c r="AT11" s="2315">
        <f t="shared" si="10"/>
        <v>2.1739130434782608E-2</v>
      </c>
      <c r="AV11" s="2329">
        <v>0</v>
      </c>
      <c r="AW11" s="2330">
        <v>47</v>
      </c>
      <c r="AX11" s="2315">
        <f t="shared" si="11"/>
        <v>0</v>
      </c>
      <c r="AZ11" s="2329">
        <v>4</v>
      </c>
      <c r="BA11" s="2330">
        <v>46</v>
      </c>
      <c r="BB11" s="2315">
        <f t="shared" si="12"/>
        <v>8.6956521739130432E-2</v>
      </c>
      <c r="BD11" s="2329">
        <v>2</v>
      </c>
      <c r="BE11" s="2330">
        <v>45</v>
      </c>
      <c r="BF11" s="2315">
        <f t="shared" si="13"/>
        <v>4.4444444444444446E-2</v>
      </c>
    </row>
    <row r="12" spans="1:58" s="1" customFormat="1" ht="18">
      <c r="A12" s="1960"/>
      <c r="B12" s="1968" t="s">
        <v>962</v>
      </c>
      <c r="C12" s="5317"/>
      <c r="D12" s="2329">
        <v>1</v>
      </c>
      <c r="E12" s="2330">
        <v>64</v>
      </c>
      <c r="F12" s="2315">
        <f t="shared" si="0"/>
        <v>1.5625E-2</v>
      </c>
      <c r="G12" s="1733"/>
      <c r="H12" s="2329"/>
      <c r="I12" s="2330">
        <v>63</v>
      </c>
      <c r="J12" s="2315">
        <f t="shared" si="1"/>
        <v>0</v>
      </c>
      <c r="K12" s="1733"/>
      <c r="L12" s="2329"/>
      <c r="M12" s="2330">
        <v>62</v>
      </c>
      <c r="N12" s="2315">
        <f t="shared" si="2"/>
        <v>0</v>
      </c>
      <c r="O12" s="1733"/>
      <c r="P12" s="2329"/>
      <c r="Q12" s="2330">
        <v>73</v>
      </c>
      <c r="R12" s="2315">
        <f t="shared" si="3"/>
        <v>0</v>
      </c>
      <c r="S12" s="1733"/>
      <c r="T12" s="2329">
        <v>1</v>
      </c>
      <c r="U12" s="2330">
        <v>71</v>
      </c>
      <c r="V12" s="2315">
        <f t="shared" si="4"/>
        <v>1.4084507042253521E-2</v>
      </c>
      <c r="W12" s="1733"/>
      <c r="X12" s="2329"/>
      <c r="Y12" s="2330">
        <v>71</v>
      </c>
      <c r="Z12" s="2315">
        <f t="shared" si="5"/>
        <v>0</v>
      </c>
      <c r="AA12" s="1733"/>
      <c r="AB12" s="2329">
        <v>1</v>
      </c>
      <c r="AC12" s="2330">
        <v>68</v>
      </c>
      <c r="AD12" s="2315">
        <f t="shared" si="6"/>
        <v>1.4705882352941176E-2</v>
      </c>
      <c r="AE12" s="1733"/>
      <c r="AF12" s="2329">
        <v>1</v>
      </c>
      <c r="AG12" s="2330">
        <v>70</v>
      </c>
      <c r="AH12" s="2315">
        <f t="shared" si="7"/>
        <v>1.4285714285714285E-2</v>
      </c>
      <c r="AI12" s="1733"/>
      <c r="AJ12" s="2329">
        <v>0</v>
      </c>
      <c r="AK12" s="2330">
        <v>72</v>
      </c>
      <c r="AL12" s="2315">
        <f t="shared" si="8"/>
        <v>0</v>
      </c>
      <c r="AM12" s="1733"/>
      <c r="AN12" s="2329">
        <v>1</v>
      </c>
      <c r="AO12" s="2330">
        <v>70</v>
      </c>
      <c r="AP12" s="2315">
        <f t="shared" si="9"/>
        <v>1.4285714285714285E-2</v>
      </c>
      <c r="AR12" s="2329">
        <v>1</v>
      </c>
      <c r="AS12" s="2330">
        <v>69</v>
      </c>
      <c r="AT12" s="2315">
        <f t="shared" si="10"/>
        <v>1.4492753623188406E-2</v>
      </c>
      <c r="AV12" s="2329">
        <v>2</v>
      </c>
      <c r="AW12" s="2330">
        <v>66</v>
      </c>
      <c r="AX12" s="2315">
        <f t="shared" si="11"/>
        <v>3.0303030303030304E-2</v>
      </c>
      <c r="AZ12" s="2329">
        <v>2</v>
      </c>
      <c r="BA12" s="2330">
        <v>66</v>
      </c>
      <c r="BB12" s="2315">
        <f t="shared" si="12"/>
        <v>3.0303030303030304E-2</v>
      </c>
      <c r="BD12" s="2329">
        <v>5</v>
      </c>
      <c r="BE12" s="2330">
        <v>62</v>
      </c>
      <c r="BF12" s="2315">
        <f t="shared" si="13"/>
        <v>8.0645161290322578E-2</v>
      </c>
    </row>
    <row r="13" spans="1:58" s="1" customFormat="1" ht="18">
      <c r="A13" s="1960"/>
      <c r="B13" s="1968" t="s">
        <v>963</v>
      </c>
      <c r="C13" s="5317"/>
      <c r="D13" s="2329"/>
      <c r="E13" s="2330">
        <v>71</v>
      </c>
      <c r="F13" s="2315">
        <f t="shared" si="0"/>
        <v>0</v>
      </c>
      <c r="G13" s="1733"/>
      <c r="H13" s="2329">
        <v>1</v>
      </c>
      <c r="I13" s="2330">
        <v>74</v>
      </c>
      <c r="J13" s="2315">
        <f t="shared" si="1"/>
        <v>1.3513513513513514E-2</v>
      </c>
      <c r="K13" s="1733"/>
      <c r="L13" s="2329">
        <v>19</v>
      </c>
      <c r="M13" s="2330">
        <v>74</v>
      </c>
      <c r="N13" s="2315">
        <f t="shared" si="2"/>
        <v>0.25675675675675674</v>
      </c>
      <c r="O13" s="1733"/>
      <c r="P13" s="2329">
        <v>12</v>
      </c>
      <c r="Q13" s="2330">
        <v>76</v>
      </c>
      <c r="R13" s="2315">
        <f t="shared" si="3"/>
        <v>0.15789473684210525</v>
      </c>
      <c r="S13" s="1733"/>
      <c r="T13" s="2329">
        <v>0</v>
      </c>
      <c r="U13" s="2330">
        <v>76</v>
      </c>
      <c r="V13" s="2315">
        <f t="shared" si="4"/>
        <v>0</v>
      </c>
      <c r="W13" s="1733"/>
      <c r="X13" s="2329"/>
      <c r="Y13" s="2330">
        <v>74</v>
      </c>
      <c r="Z13" s="2315">
        <f t="shared" si="5"/>
        <v>0</v>
      </c>
      <c r="AA13" s="1733"/>
      <c r="AB13" s="2329">
        <v>3</v>
      </c>
      <c r="AC13" s="2330">
        <v>74</v>
      </c>
      <c r="AD13" s="2315">
        <f t="shared" si="6"/>
        <v>4.0540540540540543E-2</v>
      </c>
      <c r="AE13" s="1733"/>
      <c r="AF13" s="2329">
        <v>6</v>
      </c>
      <c r="AG13" s="2330">
        <v>78</v>
      </c>
      <c r="AH13" s="2315">
        <f t="shared" si="7"/>
        <v>7.6923076923076927E-2</v>
      </c>
      <c r="AI13" s="1733"/>
      <c r="AJ13" s="2329">
        <v>3</v>
      </c>
      <c r="AK13" s="2330">
        <v>77</v>
      </c>
      <c r="AL13" s="2315">
        <f t="shared" si="8"/>
        <v>3.896103896103896E-2</v>
      </c>
      <c r="AM13" s="1733"/>
      <c r="AN13" s="2329">
        <v>4</v>
      </c>
      <c r="AO13" s="2330">
        <v>76</v>
      </c>
      <c r="AP13" s="2315">
        <f t="shared" si="9"/>
        <v>5.2631578947368418E-2</v>
      </c>
      <c r="AR13" s="2329">
        <v>0</v>
      </c>
      <c r="AS13" s="2330">
        <v>73</v>
      </c>
      <c r="AT13" s="2315">
        <f t="shared" si="10"/>
        <v>0</v>
      </c>
      <c r="AV13" s="2329">
        <v>2</v>
      </c>
      <c r="AW13" s="2330">
        <v>72</v>
      </c>
      <c r="AX13" s="2315">
        <f t="shared" si="11"/>
        <v>2.7777777777777776E-2</v>
      </c>
      <c r="AZ13" s="2329">
        <v>9</v>
      </c>
      <c r="BA13" s="2330">
        <v>71</v>
      </c>
      <c r="BB13" s="2315">
        <f t="shared" si="12"/>
        <v>0.12676056338028169</v>
      </c>
      <c r="BD13" s="2329">
        <v>11</v>
      </c>
      <c r="BE13" s="2330">
        <v>67</v>
      </c>
      <c r="BF13" s="2315">
        <f t="shared" si="13"/>
        <v>0.16417910447761194</v>
      </c>
    </row>
    <row r="14" spans="1:58" s="1" customFormat="1" ht="18">
      <c r="A14" s="1960"/>
      <c r="B14" s="1968" t="s">
        <v>695</v>
      </c>
      <c r="C14" s="5317"/>
      <c r="D14" s="2329"/>
      <c r="E14" s="2330">
        <v>56</v>
      </c>
      <c r="F14" s="2315">
        <f t="shared" si="0"/>
        <v>0</v>
      </c>
      <c r="G14" s="1733"/>
      <c r="H14" s="2329"/>
      <c r="I14" s="2330">
        <v>57</v>
      </c>
      <c r="J14" s="2315">
        <f t="shared" si="1"/>
        <v>0</v>
      </c>
      <c r="K14" s="1733"/>
      <c r="L14" s="2329"/>
      <c r="M14" s="2330">
        <v>58</v>
      </c>
      <c r="N14" s="2315">
        <f t="shared" si="2"/>
        <v>0</v>
      </c>
      <c r="O14" s="1733"/>
      <c r="P14" s="2329"/>
      <c r="Q14" s="2330">
        <v>58</v>
      </c>
      <c r="R14" s="2315">
        <f t="shared" si="3"/>
        <v>0</v>
      </c>
      <c r="S14" s="1733"/>
      <c r="T14" s="2329">
        <v>0</v>
      </c>
      <c r="U14" s="2330">
        <v>58</v>
      </c>
      <c r="V14" s="2315">
        <f t="shared" si="4"/>
        <v>0</v>
      </c>
      <c r="W14" s="1733"/>
      <c r="X14" s="2329"/>
      <c r="Y14" s="2330">
        <v>56</v>
      </c>
      <c r="Z14" s="2315">
        <f t="shared" si="5"/>
        <v>0</v>
      </c>
      <c r="AA14" s="1733"/>
      <c r="AB14" s="2329"/>
      <c r="AC14" s="2330">
        <v>56</v>
      </c>
      <c r="AD14" s="2315">
        <f t="shared" si="6"/>
        <v>0</v>
      </c>
      <c r="AE14" s="1733"/>
      <c r="AF14" s="2329">
        <v>1</v>
      </c>
      <c r="AG14" s="2330">
        <v>57</v>
      </c>
      <c r="AH14" s="2315">
        <f t="shared" si="7"/>
        <v>1.7543859649122806E-2</v>
      </c>
      <c r="AI14" s="1733"/>
      <c r="AJ14" s="2329">
        <v>2</v>
      </c>
      <c r="AK14" s="2330">
        <v>57</v>
      </c>
      <c r="AL14" s="2315">
        <f t="shared" si="8"/>
        <v>3.5087719298245612E-2</v>
      </c>
      <c r="AM14" s="1733"/>
      <c r="AN14" s="2329">
        <v>0</v>
      </c>
      <c r="AO14" s="2330">
        <v>57</v>
      </c>
      <c r="AP14" s="2315">
        <f t="shared" si="9"/>
        <v>0</v>
      </c>
      <c r="AR14" s="2329">
        <v>3</v>
      </c>
      <c r="AS14" s="2330">
        <v>56</v>
      </c>
      <c r="AT14" s="2315">
        <f t="shared" si="10"/>
        <v>5.3571428571428568E-2</v>
      </c>
      <c r="AV14" s="2329">
        <v>0</v>
      </c>
      <c r="AW14" s="2330">
        <v>54</v>
      </c>
      <c r="AX14" s="2315">
        <f t="shared" si="11"/>
        <v>0</v>
      </c>
      <c r="AZ14" s="2329">
        <v>2</v>
      </c>
      <c r="BA14" s="2330">
        <v>51</v>
      </c>
      <c r="BB14" s="2315">
        <f t="shared" si="12"/>
        <v>3.9215686274509803E-2</v>
      </c>
      <c r="BD14" s="2329">
        <v>0</v>
      </c>
      <c r="BE14" s="2330">
        <v>51</v>
      </c>
      <c r="BF14" s="2315">
        <f t="shared" si="13"/>
        <v>0</v>
      </c>
    </row>
    <row r="15" spans="1:58" s="1" customFormat="1" ht="18">
      <c r="A15" s="1960"/>
      <c r="B15" s="1968" t="s">
        <v>964</v>
      </c>
      <c r="C15" s="5317"/>
      <c r="D15" s="2331"/>
      <c r="E15" s="2332">
        <v>75</v>
      </c>
      <c r="F15" s="2316">
        <f t="shared" si="0"/>
        <v>0</v>
      </c>
      <c r="G15" s="1733"/>
      <c r="H15" s="2331"/>
      <c r="I15" s="2332">
        <v>77</v>
      </c>
      <c r="J15" s="2316">
        <f t="shared" si="1"/>
        <v>0</v>
      </c>
      <c r="K15" s="1733"/>
      <c r="L15" s="2331">
        <v>1</v>
      </c>
      <c r="M15" s="2332">
        <v>76</v>
      </c>
      <c r="N15" s="2316">
        <f t="shared" si="2"/>
        <v>1.3157894736842105E-2</v>
      </c>
      <c r="O15" s="1733"/>
      <c r="P15" s="2331"/>
      <c r="Q15" s="2332">
        <v>76</v>
      </c>
      <c r="R15" s="2316">
        <f t="shared" si="3"/>
        <v>0</v>
      </c>
      <c r="S15" s="1733"/>
      <c r="T15" s="2331">
        <v>0</v>
      </c>
      <c r="U15" s="2332">
        <v>76</v>
      </c>
      <c r="V15" s="2316">
        <f t="shared" si="4"/>
        <v>0</v>
      </c>
      <c r="W15" s="1733"/>
      <c r="X15" s="2331">
        <v>1</v>
      </c>
      <c r="Y15" s="2332">
        <v>75</v>
      </c>
      <c r="Z15" s="2316">
        <f t="shared" si="5"/>
        <v>1.3333333333333334E-2</v>
      </c>
      <c r="AA15" s="1733"/>
      <c r="AB15" s="2331">
        <v>1</v>
      </c>
      <c r="AC15" s="2332">
        <v>72</v>
      </c>
      <c r="AD15" s="2316">
        <f t="shared" si="6"/>
        <v>1.3888888888888888E-2</v>
      </c>
      <c r="AE15" s="1733"/>
      <c r="AF15" s="2331"/>
      <c r="AG15" s="2332">
        <v>73</v>
      </c>
      <c r="AH15" s="2316">
        <f t="shared" si="7"/>
        <v>0</v>
      </c>
      <c r="AI15" s="1733"/>
      <c r="AJ15" s="2331">
        <v>0</v>
      </c>
      <c r="AK15" s="2332">
        <v>76</v>
      </c>
      <c r="AL15" s="2316">
        <f t="shared" si="8"/>
        <v>0</v>
      </c>
      <c r="AM15" s="1733"/>
      <c r="AN15" s="2331">
        <v>1</v>
      </c>
      <c r="AO15" s="2332">
        <v>73</v>
      </c>
      <c r="AP15" s="2316">
        <f t="shared" si="9"/>
        <v>1.3698630136986301E-2</v>
      </c>
      <c r="AR15" s="2331">
        <v>0</v>
      </c>
      <c r="AS15" s="2332">
        <v>73</v>
      </c>
      <c r="AT15" s="2316">
        <f t="shared" si="10"/>
        <v>0</v>
      </c>
      <c r="AV15" s="2331">
        <v>3</v>
      </c>
      <c r="AW15" s="2332">
        <v>72</v>
      </c>
      <c r="AX15" s="2316">
        <f t="shared" si="11"/>
        <v>4.1666666666666664E-2</v>
      </c>
      <c r="AZ15" s="2331">
        <v>4</v>
      </c>
      <c r="BA15" s="2332">
        <v>70</v>
      </c>
      <c r="BB15" s="2316">
        <f t="shared" si="12"/>
        <v>5.7142857142857141E-2</v>
      </c>
      <c r="BD15" s="2331">
        <v>2</v>
      </c>
      <c r="BE15" s="2332">
        <v>73</v>
      </c>
      <c r="BF15" s="2316">
        <f t="shared" si="13"/>
        <v>2.7397260273972601E-2</v>
      </c>
    </row>
    <row r="16" spans="1:58" s="1" customFormat="1" ht="15" customHeight="1">
      <c r="A16" s="1960"/>
      <c r="B16" s="1929" t="s">
        <v>16</v>
      </c>
      <c r="C16" s="5317"/>
      <c r="D16" s="2328">
        <f>SUM(D11:D15)</f>
        <v>1</v>
      </c>
      <c r="E16" s="1040">
        <f>SUM(E11:E15)</f>
        <v>308</v>
      </c>
      <c r="F16" s="2314">
        <f t="shared" si="0"/>
        <v>3.246753246753247E-3</v>
      </c>
      <c r="G16" s="1733"/>
      <c r="H16" s="2328">
        <v>4</v>
      </c>
      <c r="I16" s="1040">
        <f>SUM(I11:I15)</f>
        <v>315</v>
      </c>
      <c r="J16" s="2314">
        <f t="shared" si="1"/>
        <v>1.2698412698412698E-2</v>
      </c>
      <c r="K16" s="1733"/>
      <c r="L16" s="2328">
        <v>35</v>
      </c>
      <c r="M16" s="1040">
        <f>SUM(M11:M15)</f>
        <v>314</v>
      </c>
      <c r="N16" s="2314">
        <f t="shared" si="2"/>
        <v>0.11146496815286625</v>
      </c>
      <c r="O16" s="1733"/>
      <c r="P16" s="2328">
        <v>23</v>
      </c>
      <c r="Q16" s="1040">
        <f>SUM(Q11:Q15)</f>
        <v>326</v>
      </c>
      <c r="R16" s="2314">
        <f t="shared" si="3"/>
        <v>7.0552147239263799E-2</v>
      </c>
      <c r="S16" s="1733"/>
      <c r="T16" s="2328">
        <f>SUM(T11:T15)</f>
        <v>1</v>
      </c>
      <c r="U16" s="1040">
        <f>SUM(U11:U15)</f>
        <v>325</v>
      </c>
      <c r="V16" s="2314">
        <f t="shared" si="4"/>
        <v>3.0769230769230769E-3</v>
      </c>
      <c r="W16" s="1733"/>
      <c r="X16" s="2328">
        <f>SUM(X11:X15)</f>
        <v>1</v>
      </c>
      <c r="Y16" s="1040">
        <v>319</v>
      </c>
      <c r="Z16" s="2314">
        <f t="shared" si="5"/>
        <v>3.134796238244514E-3</v>
      </c>
      <c r="AA16" s="1733"/>
      <c r="AB16" s="2328">
        <v>5</v>
      </c>
      <c r="AC16" s="1040">
        <f>SUM(AC11:AC15)</f>
        <v>311</v>
      </c>
      <c r="AD16" s="2314">
        <f t="shared" si="6"/>
        <v>1.607717041800643E-2</v>
      </c>
      <c r="AE16" s="1733"/>
      <c r="AF16" s="2328">
        <v>10</v>
      </c>
      <c r="AG16" s="1040">
        <f>SUM(AG11:AG15)</f>
        <v>323</v>
      </c>
      <c r="AH16" s="2314">
        <f t="shared" si="7"/>
        <v>3.0959752321981424E-2</v>
      </c>
      <c r="AI16" s="1733"/>
      <c r="AJ16" s="2328">
        <v>7</v>
      </c>
      <c r="AK16" s="1040">
        <f>SUM(AK11:AK15)</f>
        <v>331</v>
      </c>
      <c r="AL16" s="2314">
        <f t="shared" si="8"/>
        <v>2.1148036253776436E-2</v>
      </c>
      <c r="AM16" s="1733"/>
      <c r="AN16" s="2328">
        <v>7</v>
      </c>
      <c r="AO16" s="1040">
        <v>323</v>
      </c>
      <c r="AP16" s="2314">
        <f t="shared" si="9"/>
        <v>2.1671826625386997E-2</v>
      </c>
      <c r="AR16" s="2328">
        <v>5</v>
      </c>
      <c r="AS16" s="1040">
        <v>317</v>
      </c>
      <c r="AT16" s="2314">
        <f t="shared" si="10"/>
        <v>1.5772870662460567E-2</v>
      </c>
      <c r="AV16" s="2328">
        <v>7</v>
      </c>
      <c r="AW16" s="1040">
        <v>311</v>
      </c>
      <c r="AX16" s="2314">
        <f t="shared" si="11"/>
        <v>2.2508038585209004E-2</v>
      </c>
      <c r="AZ16" s="2328">
        <v>21</v>
      </c>
      <c r="BA16" s="1040">
        <v>304</v>
      </c>
      <c r="BB16" s="2314">
        <f t="shared" si="12"/>
        <v>6.9078947368421059E-2</v>
      </c>
      <c r="BD16" s="2328">
        <v>20</v>
      </c>
      <c r="BE16" s="1040">
        <v>298</v>
      </c>
      <c r="BF16" s="2314">
        <f t="shared" si="13"/>
        <v>6.7114093959731544E-2</v>
      </c>
    </row>
    <row r="17" spans="1:58" s="1" customFormat="1" ht="18">
      <c r="A17" s="1960"/>
      <c r="B17" s="1968" t="s">
        <v>966</v>
      </c>
      <c r="C17" s="5317"/>
      <c r="D17" s="2329">
        <v>1</v>
      </c>
      <c r="E17" s="2330">
        <v>55</v>
      </c>
      <c r="F17" s="2315">
        <f t="shared" si="0"/>
        <v>1.8181818181818181E-2</v>
      </c>
      <c r="G17" s="1733"/>
      <c r="H17" s="2329">
        <v>2</v>
      </c>
      <c r="I17" s="2330">
        <v>58</v>
      </c>
      <c r="J17" s="2315">
        <f t="shared" si="1"/>
        <v>3.4482758620689655E-2</v>
      </c>
      <c r="K17" s="1733"/>
      <c r="L17" s="2329"/>
      <c r="M17" s="2330">
        <v>57</v>
      </c>
      <c r="N17" s="2315">
        <f t="shared" si="2"/>
        <v>0</v>
      </c>
      <c r="O17" s="1733"/>
      <c r="P17" s="2329">
        <v>1</v>
      </c>
      <c r="Q17" s="2330">
        <v>59</v>
      </c>
      <c r="R17" s="2315">
        <f t="shared" si="3"/>
        <v>1.6949152542372881E-2</v>
      </c>
      <c r="S17" s="1733"/>
      <c r="T17" s="2329">
        <v>1</v>
      </c>
      <c r="U17" s="2330">
        <v>60</v>
      </c>
      <c r="V17" s="2315">
        <f t="shared" si="4"/>
        <v>1.6666666666666666E-2</v>
      </c>
      <c r="W17" s="1733"/>
      <c r="X17" s="2329"/>
      <c r="Y17" s="2330">
        <v>60</v>
      </c>
      <c r="Z17" s="2315">
        <f t="shared" si="5"/>
        <v>0</v>
      </c>
      <c r="AA17" s="1733"/>
      <c r="AB17" s="2329"/>
      <c r="AC17" s="2330">
        <v>61</v>
      </c>
      <c r="AD17" s="2315">
        <f t="shared" si="6"/>
        <v>0</v>
      </c>
      <c r="AE17" s="1733"/>
      <c r="AF17" s="2329"/>
      <c r="AG17" s="2330">
        <v>60</v>
      </c>
      <c r="AH17" s="2315">
        <f t="shared" si="7"/>
        <v>0</v>
      </c>
      <c r="AI17" s="1733"/>
      <c r="AJ17" s="2329">
        <v>0</v>
      </c>
      <c r="AK17" s="2330">
        <v>61</v>
      </c>
      <c r="AL17" s="2315">
        <f t="shared" si="8"/>
        <v>0</v>
      </c>
      <c r="AM17" s="1733"/>
      <c r="AN17" s="2329">
        <v>0</v>
      </c>
      <c r="AO17" s="2330">
        <v>41</v>
      </c>
      <c r="AP17" s="2315">
        <f t="shared" si="9"/>
        <v>0</v>
      </c>
      <c r="AR17" s="2329">
        <v>2</v>
      </c>
      <c r="AS17" s="2330">
        <v>41</v>
      </c>
      <c r="AT17" s="2315">
        <f t="shared" si="10"/>
        <v>4.878048780487805E-2</v>
      </c>
      <c r="AV17" s="2329">
        <v>6</v>
      </c>
      <c r="AW17" s="2330">
        <v>61</v>
      </c>
      <c r="AX17" s="2315">
        <f t="shared" si="11"/>
        <v>9.8360655737704916E-2</v>
      </c>
      <c r="AZ17" s="2329">
        <v>9</v>
      </c>
      <c r="BA17" s="2330">
        <v>39</v>
      </c>
      <c r="BB17" s="2315">
        <f t="shared" si="12"/>
        <v>0.23076923076923078</v>
      </c>
      <c r="BD17" s="2329">
        <v>13</v>
      </c>
      <c r="BE17" s="2330">
        <v>40</v>
      </c>
      <c r="BF17" s="2315">
        <f t="shared" si="13"/>
        <v>0.32500000000000001</v>
      </c>
    </row>
    <row r="18" spans="1:58" s="1" customFormat="1" ht="18">
      <c r="A18" s="1960"/>
      <c r="B18" s="1968" t="s">
        <v>967</v>
      </c>
      <c r="C18" s="5317"/>
      <c r="D18" s="2329"/>
      <c r="E18" s="2330">
        <v>41</v>
      </c>
      <c r="F18" s="2315">
        <f t="shared" si="0"/>
        <v>0</v>
      </c>
      <c r="G18" s="1733"/>
      <c r="H18" s="2329">
        <v>2</v>
      </c>
      <c r="I18" s="2330">
        <v>41</v>
      </c>
      <c r="J18" s="2315">
        <f t="shared" si="1"/>
        <v>4.878048780487805E-2</v>
      </c>
      <c r="K18" s="1733"/>
      <c r="L18" s="2329">
        <v>3</v>
      </c>
      <c r="M18" s="2330">
        <v>41</v>
      </c>
      <c r="N18" s="2315">
        <f t="shared" si="2"/>
        <v>7.3170731707317069E-2</v>
      </c>
      <c r="O18" s="1733"/>
      <c r="P18" s="2329"/>
      <c r="Q18" s="2330">
        <v>44</v>
      </c>
      <c r="R18" s="2315">
        <f t="shared" si="3"/>
        <v>0</v>
      </c>
      <c r="S18" s="1733"/>
      <c r="T18" s="2329">
        <v>2</v>
      </c>
      <c r="U18" s="2330">
        <v>45</v>
      </c>
      <c r="V18" s="2315">
        <f t="shared" si="4"/>
        <v>4.4444444444444446E-2</v>
      </c>
      <c r="W18" s="1733"/>
      <c r="X18" s="2329"/>
      <c r="Y18" s="2330">
        <v>42</v>
      </c>
      <c r="Z18" s="2315">
        <f t="shared" si="5"/>
        <v>0</v>
      </c>
      <c r="AA18" s="1733"/>
      <c r="AB18" s="2329"/>
      <c r="AC18" s="2330">
        <v>40</v>
      </c>
      <c r="AD18" s="2315">
        <f t="shared" si="6"/>
        <v>0</v>
      </c>
      <c r="AE18" s="1733"/>
      <c r="AF18" s="2329"/>
      <c r="AG18" s="2330">
        <v>38</v>
      </c>
      <c r="AH18" s="2315">
        <f t="shared" si="7"/>
        <v>0</v>
      </c>
      <c r="AI18" s="1733"/>
      <c r="AJ18" s="2329">
        <v>1</v>
      </c>
      <c r="AK18" s="2330">
        <v>37</v>
      </c>
      <c r="AL18" s="2315">
        <f t="shared" si="8"/>
        <v>2.7027027027027029E-2</v>
      </c>
      <c r="AM18" s="1733"/>
      <c r="AN18" s="2329">
        <v>0</v>
      </c>
      <c r="AO18" s="2330">
        <v>60</v>
      </c>
      <c r="AP18" s="2315">
        <f t="shared" si="9"/>
        <v>0</v>
      </c>
      <c r="AR18" s="2329">
        <v>1</v>
      </c>
      <c r="AS18" s="2330">
        <v>61</v>
      </c>
      <c r="AT18" s="2315">
        <f t="shared" si="10"/>
        <v>1.6393442622950821E-2</v>
      </c>
      <c r="AV18" s="2329">
        <v>1</v>
      </c>
      <c r="AW18" s="2330">
        <v>35</v>
      </c>
      <c r="AX18" s="2315">
        <f t="shared" si="11"/>
        <v>2.8571428571428571E-2</v>
      </c>
      <c r="AZ18" s="2329">
        <v>13</v>
      </c>
      <c r="BA18" s="2330">
        <v>61</v>
      </c>
      <c r="BB18" s="2315">
        <f t="shared" si="12"/>
        <v>0.21311475409836064</v>
      </c>
      <c r="BD18" s="2329">
        <v>5</v>
      </c>
      <c r="BE18" s="2330">
        <v>59</v>
      </c>
      <c r="BF18" s="2315">
        <f t="shared" si="13"/>
        <v>8.4745762711864403E-2</v>
      </c>
    </row>
    <row r="19" spans="1:58" s="1" customFormat="1" ht="18">
      <c r="A19" s="1960"/>
      <c r="B19" s="1968" t="s">
        <v>968</v>
      </c>
      <c r="C19" s="5317"/>
      <c r="D19" s="2329">
        <v>2</v>
      </c>
      <c r="E19" s="2330">
        <v>36</v>
      </c>
      <c r="F19" s="2315">
        <f t="shared" si="0"/>
        <v>5.5555555555555552E-2</v>
      </c>
      <c r="G19" s="1733"/>
      <c r="H19" s="2329"/>
      <c r="I19" s="2330">
        <v>36</v>
      </c>
      <c r="J19" s="2315">
        <f t="shared" si="1"/>
        <v>0</v>
      </c>
      <c r="K19" s="1733"/>
      <c r="L19" s="2329"/>
      <c r="M19" s="2330">
        <v>38</v>
      </c>
      <c r="N19" s="2315">
        <f t="shared" si="2"/>
        <v>0</v>
      </c>
      <c r="O19" s="1733"/>
      <c r="P19" s="2329">
        <v>1</v>
      </c>
      <c r="Q19" s="2330">
        <v>39</v>
      </c>
      <c r="R19" s="2315">
        <f t="shared" si="3"/>
        <v>2.564102564102564E-2</v>
      </c>
      <c r="S19" s="1733"/>
      <c r="T19" s="2329">
        <v>1</v>
      </c>
      <c r="U19" s="2330">
        <v>41</v>
      </c>
      <c r="V19" s="2315">
        <f t="shared" si="4"/>
        <v>2.4390243902439025E-2</v>
      </c>
      <c r="W19" s="1733"/>
      <c r="X19" s="2329">
        <v>1</v>
      </c>
      <c r="Y19" s="2330">
        <v>41</v>
      </c>
      <c r="Z19" s="2315">
        <f t="shared" si="5"/>
        <v>2.4390243902439025E-2</v>
      </c>
      <c r="AA19" s="1733"/>
      <c r="AB19" s="2329"/>
      <c r="AC19" s="2330">
        <v>41</v>
      </c>
      <c r="AD19" s="2315">
        <f t="shared" si="6"/>
        <v>0</v>
      </c>
      <c r="AE19" s="1733"/>
      <c r="AF19" s="2329">
        <v>5</v>
      </c>
      <c r="AG19" s="2330">
        <v>40</v>
      </c>
      <c r="AH19" s="2315">
        <f t="shared" si="7"/>
        <v>0.125</v>
      </c>
      <c r="AI19" s="1733"/>
      <c r="AJ19" s="2329">
        <v>2</v>
      </c>
      <c r="AK19" s="2330">
        <v>42</v>
      </c>
      <c r="AL19" s="2315">
        <f t="shared" si="8"/>
        <v>4.7619047619047616E-2</v>
      </c>
      <c r="AM19" s="1733"/>
      <c r="AN19" s="2329">
        <v>28</v>
      </c>
      <c r="AO19" s="2330">
        <v>37</v>
      </c>
      <c r="AP19" s="2315">
        <f t="shared" si="9"/>
        <v>0.7567567567567568</v>
      </c>
      <c r="AR19" s="2329">
        <v>23</v>
      </c>
      <c r="AS19" s="2330">
        <v>35</v>
      </c>
      <c r="AT19" s="2315">
        <f t="shared" si="10"/>
        <v>0.65714285714285714</v>
      </c>
      <c r="AV19" s="2329">
        <v>22</v>
      </c>
      <c r="AW19" s="2330">
        <v>41</v>
      </c>
      <c r="AX19" s="2315">
        <f t="shared" si="11"/>
        <v>0.53658536585365857</v>
      </c>
      <c r="AZ19" s="2329">
        <v>39</v>
      </c>
      <c r="BA19" s="2330">
        <v>34</v>
      </c>
      <c r="BB19" s="2315">
        <f t="shared" si="12"/>
        <v>1.1470588235294117</v>
      </c>
      <c r="BD19" s="2329">
        <v>17</v>
      </c>
      <c r="BE19" s="2330">
        <v>35</v>
      </c>
      <c r="BF19" s="2315">
        <f t="shared" si="13"/>
        <v>0.48571428571428571</v>
      </c>
    </row>
    <row r="20" spans="1:58" s="1" customFormat="1" ht="18">
      <c r="A20" s="1960"/>
      <c r="B20" s="1968" t="s">
        <v>969</v>
      </c>
      <c r="C20" s="5317"/>
      <c r="D20" s="2329"/>
      <c r="E20" s="2330">
        <v>67</v>
      </c>
      <c r="F20" s="2315">
        <f t="shared" si="0"/>
        <v>0</v>
      </c>
      <c r="G20" s="1733"/>
      <c r="H20" s="2329">
        <v>1</v>
      </c>
      <c r="I20" s="2330">
        <v>66</v>
      </c>
      <c r="J20" s="2315">
        <f t="shared" si="1"/>
        <v>1.5151515151515152E-2</v>
      </c>
      <c r="K20" s="1733"/>
      <c r="L20" s="2329"/>
      <c r="M20" s="2330">
        <v>70</v>
      </c>
      <c r="N20" s="2315">
        <f t="shared" si="2"/>
        <v>0</v>
      </c>
      <c r="O20" s="1733"/>
      <c r="P20" s="2329"/>
      <c r="Q20" s="2330">
        <v>69</v>
      </c>
      <c r="R20" s="2315">
        <f t="shared" si="3"/>
        <v>0</v>
      </c>
      <c r="S20" s="1733"/>
      <c r="T20" s="2329">
        <v>1</v>
      </c>
      <c r="U20" s="2330">
        <v>75</v>
      </c>
      <c r="V20" s="2315">
        <f t="shared" si="4"/>
        <v>1.3333333333333334E-2</v>
      </c>
      <c r="W20" s="1733"/>
      <c r="X20" s="2329">
        <v>1</v>
      </c>
      <c r="Y20" s="2330">
        <v>72</v>
      </c>
      <c r="Z20" s="2315">
        <f t="shared" si="5"/>
        <v>1.3888888888888888E-2</v>
      </c>
      <c r="AA20" s="1733"/>
      <c r="AB20" s="2329">
        <v>4</v>
      </c>
      <c r="AC20" s="2330">
        <v>71</v>
      </c>
      <c r="AD20" s="2315">
        <f t="shared" si="6"/>
        <v>5.6338028169014086E-2</v>
      </c>
      <c r="AE20" s="1733"/>
      <c r="AF20" s="2329">
        <v>5</v>
      </c>
      <c r="AG20" s="2330">
        <v>71</v>
      </c>
      <c r="AH20" s="2315">
        <f t="shared" si="7"/>
        <v>7.0422535211267609E-2</v>
      </c>
      <c r="AI20" s="1733"/>
      <c r="AJ20" s="2329">
        <v>2</v>
      </c>
      <c r="AK20" s="2330">
        <v>73</v>
      </c>
      <c r="AL20" s="2315">
        <f t="shared" si="8"/>
        <v>2.7397260273972601E-2</v>
      </c>
      <c r="AM20" s="1733"/>
      <c r="AN20" s="2329">
        <v>21</v>
      </c>
      <c r="AO20" s="2330">
        <v>71</v>
      </c>
      <c r="AP20" s="2315">
        <f t="shared" si="9"/>
        <v>0.29577464788732394</v>
      </c>
      <c r="AR20" s="2329">
        <v>16</v>
      </c>
      <c r="AS20" s="2330">
        <v>72</v>
      </c>
      <c r="AT20" s="2315">
        <f t="shared" si="10"/>
        <v>0.22222222222222221</v>
      </c>
      <c r="AV20" s="2329">
        <v>11</v>
      </c>
      <c r="AW20" s="2330">
        <v>67</v>
      </c>
      <c r="AX20" s="2315">
        <f t="shared" si="11"/>
        <v>0.16417910447761194</v>
      </c>
      <c r="AZ20" s="2329">
        <v>9</v>
      </c>
      <c r="BA20" s="2330">
        <v>66</v>
      </c>
      <c r="BB20" s="2315">
        <f t="shared" si="12"/>
        <v>0.13636363636363635</v>
      </c>
      <c r="BD20" s="2329">
        <v>11</v>
      </c>
      <c r="BE20" s="2330">
        <v>67</v>
      </c>
      <c r="BF20" s="2315">
        <f t="shared" si="13"/>
        <v>0.16417910447761194</v>
      </c>
    </row>
    <row r="21" spans="1:58" s="1" customFormat="1" ht="15" customHeight="1">
      <c r="A21" s="1960"/>
      <c r="B21" s="1961" t="s">
        <v>21</v>
      </c>
      <c r="C21" s="5317"/>
      <c r="D21" s="2333">
        <f>SUM(D17:D20)</f>
        <v>3</v>
      </c>
      <c r="E21" s="1962">
        <f>SUM(E17:E20)</f>
        <v>199</v>
      </c>
      <c r="F21" s="2317">
        <f t="shared" si="0"/>
        <v>1.507537688442211E-2</v>
      </c>
      <c r="G21" s="1733"/>
      <c r="H21" s="2333">
        <v>5</v>
      </c>
      <c r="I21" s="1962">
        <f>SUM(I17:I20)</f>
        <v>201</v>
      </c>
      <c r="J21" s="2317">
        <f t="shared" si="1"/>
        <v>2.4875621890547265E-2</v>
      </c>
      <c r="K21" s="1733"/>
      <c r="L21" s="2333">
        <v>3</v>
      </c>
      <c r="M21" s="1962">
        <f>SUM(M17:M20)</f>
        <v>206</v>
      </c>
      <c r="N21" s="2317">
        <f t="shared" si="2"/>
        <v>1.4563106796116505E-2</v>
      </c>
      <c r="O21" s="1733"/>
      <c r="P21" s="2333">
        <v>2</v>
      </c>
      <c r="Q21" s="1962">
        <f>SUM(Q17:Q20)</f>
        <v>211</v>
      </c>
      <c r="R21" s="2317">
        <f t="shared" si="3"/>
        <v>9.4786729857819912E-3</v>
      </c>
      <c r="S21" s="1733"/>
      <c r="T21" s="2333">
        <f>SUM(T17:T20)</f>
        <v>5</v>
      </c>
      <c r="U21" s="1962">
        <f>SUM(U17:U20)</f>
        <v>221</v>
      </c>
      <c r="V21" s="2317">
        <f t="shared" si="4"/>
        <v>2.2624434389140271E-2</v>
      </c>
      <c r="W21" s="1733"/>
      <c r="X21" s="2333">
        <f>SUM(X17:X20)</f>
        <v>2</v>
      </c>
      <c r="Y21" s="1962">
        <v>215</v>
      </c>
      <c r="Z21" s="2317">
        <f t="shared" si="5"/>
        <v>9.3023255813953487E-3</v>
      </c>
      <c r="AA21" s="1733"/>
      <c r="AB21" s="2333">
        <v>4</v>
      </c>
      <c r="AC21" s="1962">
        <f>SUM(AC17:AC20)</f>
        <v>213</v>
      </c>
      <c r="AD21" s="2317">
        <f t="shared" si="6"/>
        <v>1.8779342723004695E-2</v>
      </c>
      <c r="AE21" s="1733"/>
      <c r="AF21" s="2333">
        <v>10</v>
      </c>
      <c r="AG21" s="1962">
        <f>SUM(AG17:AG20)</f>
        <v>209</v>
      </c>
      <c r="AH21" s="2317">
        <f t="shared" si="7"/>
        <v>4.784688995215311E-2</v>
      </c>
      <c r="AI21" s="1733"/>
      <c r="AJ21" s="2333">
        <v>5</v>
      </c>
      <c r="AK21" s="1962">
        <f>SUM(AK17:AK20)</f>
        <v>213</v>
      </c>
      <c r="AL21" s="2317">
        <f t="shared" si="8"/>
        <v>2.3474178403755867E-2</v>
      </c>
      <c r="AM21" s="1733"/>
      <c r="AN21" s="2333">
        <v>49</v>
      </c>
      <c r="AO21" s="1962">
        <v>209</v>
      </c>
      <c r="AP21" s="2317">
        <f t="shared" si="9"/>
        <v>0.23444976076555024</v>
      </c>
      <c r="AR21" s="2333">
        <v>42</v>
      </c>
      <c r="AS21" s="1962">
        <v>209</v>
      </c>
      <c r="AT21" s="2317">
        <f t="shared" si="10"/>
        <v>0.20095693779904306</v>
      </c>
      <c r="AV21" s="2333">
        <v>40</v>
      </c>
      <c r="AW21" s="1962">
        <v>204</v>
      </c>
      <c r="AX21" s="2317">
        <f t="shared" si="11"/>
        <v>0.19607843137254902</v>
      </c>
      <c r="AZ21" s="2333">
        <v>70</v>
      </c>
      <c r="BA21" s="1962">
        <v>200</v>
      </c>
      <c r="BB21" s="2317">
        <f t="shared" si="12"/>
        <v>0.35</v>
      </c>
      <c r="BD21" s="2333">
        <v>46</v>
      </c>
      <c r="BE21" s="1962">
        <v>201</v>
      </c>
      <c r="BF21" s="2317">
        <f t="shared" si="13"/>
        <v>0.22885572139303484</v>
      </c>
    </row>
    <row r="22" spans="1:58" s="1" customFormat="1" ht="15" customHeight="1">
      <c r="A22" s="1960"/>
      <c r="B22" s="1971" t="s">
        <v>970</v>
      </c>
      <c r="C22" s="5317"/>
      <c r="D22" s="2334">
        <f>SUM(D21,D16,D10)</f>
        <v>132</v>
      </c>
      <c r="E22" s="2335">
        <f>SUM(E10,E16,E21)</f>
        <v>849</v>
      </c>
      <c r="F22" s="2318">
        <f t="shared" si="0"/>
        <v>0.15547703180212014</v>
      </c>
      <c r="G22" s="1733"/>
      <c r="H22" s="2334">
        <v>162</v>
      </c>
      <c r="I22" s="2335">
        <f>SUM(I10,I16,I21)</f>
        <v>858</v>
      </c>
      <c r="J22" s="2318">
        <f t="shared" si="1"/>
        <v>0.1888111888111888</v>
      </c>
      <c r="K22" s="1733"/>
      <c r="L22" s="2334">
        <v>165</v>
      </c>
      <c r="M22" s="2335">
        <f>SUM(M10,M16,M21)</f>
        <v>868</v>
      </c>
      <c r="N22" s="2318">
        <f t="shared" si="2"/>
        <v>0.19009216589861752</v>
      </c>
      <c r="O22" s="1733"/>
      <c r="P22" s="2334">
        <v>183</v>
      </c>
      <c r="Q22" s="2335">
        <f>SUM(Q10,Q16,Q21)</f>
        <v>886</v>
      </c>
      <c r="R22" s="2318">
        <f t="shared" si="3"/>
        <v>0.20654627539503387</v>
      </c>
      <c r="S22" s="1733"/>
      <c r="T22" s="2334">
        <f>SUM(T10,T16,T21)</f>
        <v>188</v>
      </c>
      <c r="U22" s="2335">
        <f>SUM(U10,U16,U21)</f>
        <v>903</v>
      </c>
      <c r="V22" s="2318">
        <f t="shared" si="4"/>
        <v>0.20819490586932449</v>
      </c>
      <c r="W22" s="1733"/>
      <c r="X22" s="2334">
        <f>SUM(X21,X16,X10)</f>
        <v>182</v>
      </c>
      <c r="Y22" s="2335">
        <v>885</v>
      </c>
      <c r="Z22" s="2318">
        <f t="shared" si="5"/>
        <v>0.20564971751412428</v>
      </c>
      <c r="AA22" s="1733"/>
      <c r="AB22" s="2334">
        <v>169</v>
      </c>
      <c r="AC22" s="2335">
        <f>SUM(AC10,AC16,AC21)</f>
        <v>872</v>
      </c>
      <c r="AD22" s="2318">
        <f t="shared" si="6"/>
        <v>0.19380733944954129</v>
      </c>
      <c r="AE22" s="1733"/>
      <c r="AF22" s="2334">
        <v>207</v>
      </c>
      <c r="AG22" s="2335">
        <f>SUM(AG10,AG16,AG21)</f>
        <v>887</v>
      </c>
      <c r="AH22" s="2318">
        <f t="shared" si="7"/>
        <v>0.23337091319052988</v>
      </c>
      <c r="AI22" s="1733"/>
      <c r="AJ22" s="2334">
        <v>192</v>
      </c>
      <c r="AK22" s="2335">
        <f>SUM(AK10,AK16,AK21)</f>
        <v>904</v>
      </c>
      <c r="AL22" s="2318">
        <f t="shared" si="8"/>
        <v>0.21238938053097345</v>
      </c>
      <c r="AM22" s="1733"/>
      <c r="AN22" s="2334">
        <v>245</v>
      </c>
      <c r="AO22" s="2335">
        <v>896</v>
      </c>
      <c r="AP22" s="2318">
        <f t="shared" si="9"/>
        <v>0.2734375</v>
      </c>
      <c r="AR22" s="2334">
        <v>216</v>
      </c>
      <c r="AS22" s="2335">
        <v>886</v>
      </c>
      <c r="AT22" s="2318">
        <f t="shared" si="10"/>
        <v>0.24379232505643342</v>
      </c>
      <c r="AV22" s="2334">
        <v>303</v>
      </c>
      <c r="AW22" s="2335">
        <v>869</v>
      </c>
      <c r="AX22" s="2318">
        <f t="shared" si="11"/>
        <v>0.34867663981588032</v>
      </c>
      <c r="AZ22" s="2334">
        <v>330</v>
      </c>
      <c r="BA22" s="2335">
        <v>854</v>
      </c>
      <c r="BB22" s="2318">
        <f t="shared" si="12"/>
        <v>0.38641686182669788</v>
      </c>
      <c r="BD22" s="2334">
        <v>258</v>
      </c>
      <c r="BE22" s="2335">
        <v>842</v>
      </c>
      <c r="BF22" s="2318">
        <f t="shared" si="13"/>
        <v>0.30641330166270786</v>
      </c>
    </row>
    <row r="23" spans="1:58" s="1" customFormat="1" ht="18">
      <c r="A23" s="1960"/>
      <c r="B23" s="1967" t="s">
        <v>971</v>
      </c>
      <c r="C23" s="5317"/>
      <c r="D23" s="2329"/>
      <c r="E23" s="2330">
        <v>16</v>
      </c>
      <c r="F23" s="2315">
        <f t="shared" si="0"/>
        <v>0</v>
      </c>
      <c r="G23" s="1733"/>
      <c r="H23" s="2329"/>
      <c r="I23" s="2330">
        <v>17</v>
      </c>
      <c r="J23" s="2315">
        <f t="shared" si="1"/>
        <v>0</v>
      </c>
      <c r="K23" s="1733"/>
      <c r="L23" s="2329"/>
      <c r="M23" s="2330">
        <v>18</v>
      </c>
      <c r="N23" s="2315">
        <f t="shared" si="2"/>
        <v>0</v>
      </c>
      <c r="O23" s="1733"/>
      <c r="P23" s="2329"/>
      <c r="Q23" s="2330">
        <v>21</v>
      </c>
      <c r="R23" s="2315">
        <f t="shared" si="3"/>
        <v>0</v>
      </c>
      <c r="S23" s="1733"/>
      <c r="T23" s="2329">
        <v>1</v>
      </c>
      <c r="U23" s="2330">
        <v>21</v>
      </c>
      <c r="V23" s="2315">
        <f t="shared" si="4"/>
        <v>4.7619047619047616E-2</v>
      </c>
      <c r="W23" s="1733"/>
      <c r="X23" s="2329"/>
      <c r="Y23" s="2330">
        <v>19</v>
      </c>
      <c r="Z23" s="2315">
        <f t="shared" si="5"/>
        <v>0</v>
      </c>
      <c r="AA23" s="1733"/>
      <c r="AB23" s="2329"/>
      <c r="AC23" s="2330">
        <v>18</v>
      </c>
      <c r="AD23" s="2315">
        <f t="shared" si="6"/>
        <v>0</v>
      </c>
      <c r="AE23" s="1733"/>
      <c r="AF23" s="2329"/>
      <c r="AG23" s="2330">
        <v>19</v>
      </c>
      <c r="AH23" s="2315">
        <f t="shared" si="7"/>
        <v>0</v>
      </c>
      <c r="AI23" s="1733"/>
      <c r="AJ23" s="2329">
        <v>1</v>
      </c>
      <c r="AK23" s="2330">
        <v>16</v>
      </c>
      <c r="AL23" s="2315">
        <f t="shared" si="8"/>
        <v>6.25E-2</v>
      </c>
      <c r="AM23" s="1733"/>
      <c r="AN23" s="2329">
        <v>1</v>
      </c>
      <c r="AO23" s="2330">
        <v>16</v>
      </c>
      <c r="AP23" s="2315">
        <f t="shared" si="9"/>
        <v>6.25E-2</v>
      </c>
      <c r="AR23" s="2329">
        <v>2</v>
      </c>
      <c r="AS23" s="2330">
        <v>16</v>
      </c>
      <c r="AT23" s="2315">
        <f t="shared" si="10"/>
        <v>0.125</v>
      </c>
      <c r="AV23" s="2329">
        <v>0</v>
      </c>
      <c r="AW23" s="2330">
        <v>16</v>
      </c>
      <c r="AX23" s="2315">
        <f t="shared" si="11"/>
        <v>0</v>
      </c>
      <c r="AZ23" s="2329">
        <v>0</v>
      </c>
      <c r="BA23" s="2330">
        <v>17</v>
      </c>
      <c r="BB23" s="2315">
        <f t="shared" si="12"/>
        <v>0</v>
      </c>
      <c r="BD23" s="2329">
        <v>0</v>
      </c>
      <c r="BE23" s="2330">
        <v>18</v>
      </c>
      <c r="BF23" s="2315">
        <f t="shared" si="13"/>
        <v>0</v>
      </c>
    </row>
    <row r="24" spans="1:58" s="1" customFormat="1" ht="18">
      <c r="A24" s="1960"/>
      <c r="B24" s="1968" t="s">
        <v>972</v>
      </c>
      <c r="C24" s="5317"/>
      <c r="D24" s="2329"/>
      <c r="E24" s="2330">
        <v>6</v>
      </c>
      <c r="F24" s="2315">
        <f t="shared" si="0"/>
        <v>0</v>
      </c>
      <c r="G24" s="1733"/>
      <c r="H24" s="2329">
        <v>2</v>
      </c>
      <c r="I24" s="2330">
        <v>7</v>
      </c>
      <c r="J24" s="2315">
        <f t="shared" si="1"/>
        <v>0.2857142857142857</v>
      </c>
      <c r="K24" s="1733"/>
      <c r="L24" s="2329">
        <v>3</v>
      </c>
      <c r="M24" s="2330">
        <v>14</v>
      </c>
      <c r="N24" s="2315">
        <f t="shared" si="2"/>
        <v>0.21428571428571427</v>
      </c>
      <c r="O24" s="1733"/>
      <c r="P24" s="2329">
        <v>3</v>
      </c>
      <c r="Q24" s="2330">
        <v>13</v>
      </c>
      <c r="R24" s="2315">
        <f t="shared" si="3"/>
        <v>0.23076923076923078</v>
      </c>
      <c r="S24" s="1733"/>
      <c r="T24" s="2329">
        <v>5</v>
      </c>
      <c r="U24" s="2330">
        <v>14</v>
      </c>
      <c r="V24" s="2315">
        <f t="shared" si="4"/>
        <v>0.35714285714285715</v>
      </c>
      <c r="W24" s="1733"/>
      <c r="X24" s="2329">
        <v>1</v>
      </c>
      <c r="Y24" s="2330">
        <v>16</v>
      </c>
      <c r="Z24" s="2315">
        <f t="shared" si="5"/>
        <v>6.25E-2</v>
      </c>
      <c r="AA24" s="1733"/>
      <c r="AB24" s="2329">
        <v>1</v>
      </c>
      <c r="AC24" s="2330">
        <v>16</v>
      </c>
      <c r="AD24" s="2315">
        <f t="shared" si="6"/>
        <v>6.25E-2</v>
      </c>
      <c r="AE24" s="1733"/>
      <c r="AF24" s="2329"/>
      <c r="AG24" s="2330">
        <v>16</v>
      </c>
      <c r="AH24" s="2315">
        <f t="shared" si="7"/>
        <v>0</v>
      </c>
      <c r="AI24" s="1733"/>
      <c r="AJ24" s="2329">
        <v>4</v>
      </c>
      <c r="AK24" s="2330">
        <v>17</v>
      </c>
      <c r="AL24" s="2315">
        <f t="shared" si="8"/>
        <v>0.23529411764705882</v>
      </c>
      <c r="AM24" s="1733"/>
      <c r="AN24" s="2329">
        <v>13</v>
      </c>
      <c r="AO24" s="2330">
        <v>18</v>
      </c>
      <c r="AP24" s="2315">
        <f t="shared" si="9"/>
        <v>0.72222222222222221</v>
      </c>
      <c r="AR24" s="2329">
        <v>8</v>
      </c>
      <c r="AS24" s="2330">
        <v>18</v>
      </c>
      <c r="AT24" s="2315">
        <f t="shared" si="10"/>
        <v>0.44444444444444442</v>
      </c>
      <c r="AV24" s="2329">
        <v>15</v>
      </c>
      <c r="AW24" s="2330">
        <v>18</v>
      </c>
      <c r="AX24" s="2315">
        <f t="shared" si="11"/>
        <v>0.83333333333333337</v>
      </c>
      <c r="AZ24" s="2329">
        <v>8</v>
      </c>
      <c r="BA24" s="2330">
        <v>19</v>
      </c>
      <c r="BB24" s="2315">
        <f t="shared" si="12"/>
        <v>0.42105263157894735</v>
      </c>
      <c r="BD24" s="2329">
        <v>9</v>
      </c>
      <c r="BE24" s="2330">
        <v>17</v>
      </c>
      <c r="BF24" s="2315">
        <f t="shared" si="13"/>
        <v>0.52941176470588236</v>
      </c>
    </row>
    <row r="25" spans="1:58" s="1" customFormat="1" ht="18">
      <c r="A25" s="1960"/>
      <c r="B25" s="1968" t="s">
        <v>973</v>
      </c>
      <c r="C25" s="5317"/>
      <c r="D25" s="2329">
        <v>7</v>
      </c>
      <c r="E25" s="2330">
        <v>16</v>
      </c>
      <c r="F25" s="2315">
        <f t="shared" si="0"/>
        <v>0.4375</v>
      </c>
      <c r="G25" s="1733"/>
      <c r="H25" s="2329">
        <v>1</v>
      </c>
      <c r="I25" s="2330">
        <v>17</v>
      </c>
      <c r="J25" s="2315">
        <f t="shared" si="1"/>
        <v>5.8823529411764705E-2</v>
      </c>
      <c r="K25" s="1733"/>
      <c r="L25" s="2329">
        <v>3</v>
      </c>
      <c r="M25" s="2330">
        <v>20</v>
      </c>
      <c r="N25" s="2315">
        <f t="shared" si="2"/>
        <v>0.15</v>
      </c>
      <c r="O25" s="1733"/>
      <c r="P25" s="2329">
        <v>9</v>
      </c>
      <c r="Q25" s="2330">
        <v>17</v>
      </c>
      <c r="R25" s="2315">
        <f t="shared" si="3"/>
        <v>0.52941176470588236</v>
      </c>
      <c r="S25" s="1733"/>
      <c r="T25" s="2329">
        <v>13</v>
      </c>
      <c r="U25" s="2330">
        <v>17</v>
      </c>
      <c r="V25" s="2315">
        <f t="shared" si="4"/>
        <v>0.76470588235294112</v>
      </c>
      <c r="W25" s="1733"/>
      <c r="X25" s="2329">
        <v>5</v>
      </c>
      <c r="Y25" s="2330">
        <v>19</v>
      </c>
      <c r="Z25" s="2315">
        <f t="shared" si="5"/>
        <v>0.26315789473684209</v>
      </c>
      <c r="AA25" s="1733"/>
      <c r="AB25" s="2329">
        <v>18</v>
      </c>
      <c r="AC25" s="2330">
        <v>19</v>
      </c>
      <c r="AD25" s="2315">
        <f t="shared" si="6"/>
        <v>0.94736842105263153</v>
      </c>
      <c r="AE25" s="1733"/>
      <c r="AF25" s="2329">
        <v>7</v>
      </c>
      <c r="AG25" s="2330">
        <v>19</v>
      </c>
      <c r="AH25" s="2315">
        <f t="shared" si="7"/>
        <v>0.36842105263157893</v>
      </c>
      <c r="AI25" s="1733"/>
      <c r="AJ25" s="2329">
        <v>11</v>
      </c>
      <c r="AK25" s="2330">
        <v>19</v>
      </c>
      <c r="AL25" s="2315">
        <f t="shared" si="8"/>
        <v>0.57894736842105265</v>
      </c>
      <c r="AM25" s="1733"/>
      <c r="AN25" s="2329">
        <v>16</v>
      </c>
      <c r="AO25" s="2330">
        <v>19</v>
      </c>
      <c r="AP25" s="2315">
        <f t="shared" si="9"/>
        <v>0.84210526315789469</v>
      </c>
      <c r="AR25" s="2329">
        <v>26</v>
      </c>
      <c r="AS25" s="2330">
        <v>21</v>
      </c>
      <c r="AT25" s="2315">
        <f t="shared" si="10"/>
        <v>1.2380952380952381</v>
      </c>
      <c r="AV25" s="2329">
        <v>19</v>
      </c>
      <c r="AW25" s="2330">
        <v>23</v>
      </c>
      <c r="AX25" s="2315">
        <f t="shared" si="11"/>
        <v>0.82608695652173914</v>
      </c>
      <c r="AZ25" s="2329">
        <v>14</v>
      </c>
      <c r="BA25" s="2330">
        <v>23</v>
      </c>
      <c r="BB25" s="2315">
        <f t="shared" si="12"/>
        <v>0.60869565217391308</v>
      </c>
      <c r="BD25" s="2329">
        <v>23</v>
      </c>
      <c r="BE25" s="2330">
        <v>23</v>
      </c>
      <c r="BF25" s="2315">
        <f t="shared" si="13"/>
        <v>1</v>
      </c>
    </row>
    <row r="26" spans="1:58" s="1" customFormat="1" ht="15" customHeight="1">
      <c r="A26" s="1960"/>
      <c r="B26" s="1929" t="s">
        <v>61</v>
      </c>
      <c r="C26" s="5317"/>
      <c r="D26" s="2328">
        <f>SUM(D23:D25)</f>
        <v>7</v>
      </c>
      <c r="E26" s="1040">
        <f>SUM(E23:E25)</f>
        <v>38</v>
      </c>
      <c r="F26" s="2314">
        <f t="shared" si="0"/>
        <v>0.18421052631578946</v>
      </c>
      <c r="G26" s="1733"/>
      <c r="H26" s="2328">
        <v>3</v>
      </c>
      <c r="I26" s="1040">
        <f>SUM(I23:I25)</f>
        <v>41</v>
      </c>
      <c r="J26" s="2314">
        <f t="shared" si="1"/>
        <v>7.3170731707317069E-2</v>
      </c>
      <c r="K26" s="1733"/>
      <c r="L26" s="2328">
        <v>6</v>
      </c>
      <c r="M26" s="1040">
        <f>SUM(M23:M25)</f>
        <v>52</v>
      </c>
      <c r="N26" s="2314">
        <f t="shared" si="2"/>
        <v>0.11538461538461539</v>
      </c>
      <c r="O26" s="1733"/>
      <c r="P26" s="2328">
        <v>12</v>
      </c>
      <c r="Q26" s="1040">
        <f>SUM(Q23:Q25)</f>
        <v>51</v>
      </c>
      <c r="R26" s="2314">
        <f t="shared" si="3"/>
        <v>0.23529411764705882</v>
      </c>
      <c r="S26" s="1733"/>
      <c r="T26" s="2328">
        <f>SUM(T23:T25)</f>
        <v>19</v>
      </c>
      <c r="U26" s="1040">
        <f>SUM(U23:U25)</f>
        <v>52</v>
      </c>
      <c r="V26" s="2314">
        <f t="shared" si="4"/>
        <v>0.36538461538461536</v>
      </c>
      <c r="W26" s="1733"/>
      <c r="X26" s="2328">
        <f>SUM(X23:X25)</f>
        <v>6</v>
      </c>
      <c r="Y26" s="1040">
        <v>54</v>
      </c>
      <c r="Z26" s="2314">
        <f t="shared" si="5"/>
        <v>0.1111111111111111</v>
      </c>
      <c r="AA26" s="1733"/>
      <c r="AB26" s="2328">
        <v>19</v>
      </c>
      <c r="AC26" s="1040">
        <f>SUM(AC23:AC25)</f>
        <v>53</v>
      </c>
      <c r="AD26" s="2314">
        <f t="shared" si="6"/>
        <v>0.35849056603773582</v>
      </c>
      <c r="AE26" s="1733"/>
      <c r="AF26" s="2328">
        <v>7</v>
      </c>
      <c r="AG26" s="1040">
        <f>SUM(AG23:AG25)</f>
        <v>54</v>
      </c>
      <c r="AH26" s="2314">
        <f t="shared" si="7"/>
        <v>0.12962962962962962</v>
      </c>
      <c r="AI26" s="1733"/>
      <c r="AJ26" s="2328">
        <v>16</v>
      </c>
      <c r="AK26" s="1040">
        <f>SUM(AK23:AK25)</f>
        <v>52</v>
      </c>
      <c r="AL26" s="2314">
        <f t="shared" si="8"/>
        <v>0.30769230769230771</v>
      </c>
      <c r="AM26" s="1733"/>
      <c r="AN26" s="2328">
        <v>30</v>
      </c>
      <c r="AO26" s="1040">
        <v>53</v>
      </c>
      <c r="AP26" s="2314">
        <f t="shared" si="9"/>
        <v>0.56603773584905659</v>
      </c>
      <c r="AR26" s="2328">
        <v>36</v>
      </c>
      <c r="AS26" s="1040">
        <v>55</v>
      </c>
      <c r="AT26" s="2314">
        <f t="shared" si="10"/>
        <v>0.65454545454545454</v>
      </c>
      <c r="AV26" s="2328">
        <v>34</v>
      </c>
      <c r="AW26" s="1040">
        <v>57</v>
      </c>
      <c r="AX26" s="2314">
        <f t="shared" si="11"/>
        <v>0.59649122807017541</v>
      </c>
      <c r="AZ26" s="2328">
        <v>22</v>
      </c>
      <c r="BA26" s="1040">
        <v>59</v>
      </c>
      <c r="BB26" s="2314">
        <f t="shared" si="12"/>
        <v>0.3728813559322034</v>
      </c>
      <c r="BD26" s="2328">
        <v>32</v>
      </c>
      <c r="BE26" s="1040">
        <v>58</v>
      </c>
      <c r="BF26" s="2314">
        <f t="shared" si="13"/>
        <v>0.55172413793103448</v>
      </c>
    </row>
    <row r="27" spans="1:58" s="1" customFormat="1" ht="18">
      <c r="A27" s="1960"/>
      <c r="B27" s="1968" t="s">
        <v>974</v>
      </c>
      <c r="C27" s="5317"/>
      <c r="D27" s="2329">
        <v>7</v>
      </c>
      <c r="E27" s="2330">
        <v>8</v>
      </c>
      <c r="F27" s="2315">
        <f t="shared" si="0"/>
        <v>0.875</v>
      </c>
      <c r="G27" s="1733"/>
      <c r="H27" s="2329">
        <v>13</v>
      </c>
      <c r="I27" s="2330">
        <v>8</v>
      </c>
      <c r="J27" s="2315">
        <f t="shared" si="1"/>
        <v>1.625</v>
      </c>
      <c r="K27" s="1733"/>
      <c r="L27" s="2329">
        <v>6</v>
      </c>
      <c r="M27" s="2330">
        <v>9</v>
      </c>
      <c r="N27" s="2315">
        <f t="shared" si="2"/>
        <v>0.66666666666666663</v>
      </c>
      <c r="O27" s="1733"/>
      <c r="P27" s="2329">
        <v>19</v>
      </c>
      <c r="Q27" s="2330">
        <v>10</v>
      </c>
      <c r="R27" s="2315">
        <f t="shared" si="3"/>
        <v>1.9</v>
      </c>
      <c r="S27" s="1733"/>
      <c r="T27" s="2329">
        <v>10</v>
      </c>
      <c r="U27" s="2330">
        <v>10</v>
      </c>
      <c r="V27" s="2315">
        <f t="shared" si="4"/>
        <v>1</v>
      </c>
      <c r="W27" s="1733"/>
      <c r="X27" s="2329">
        <v>21</v>
      </c>
      <c r="Y27" s="2330">
        <v>12</v>
      </c>
      <c r="Z27" s="2315">
        <f t="shared" si="5"/>
        <v>1.75</v>
      </c>
      <c r="AA27" s="1733"/>
      <c r="AB27" s="2329">
        <v>4</v>
      </c>
      <c r="AC27" s="2330">
        <v>13</v>
      </c>
      <c r="AD27" s="2315">
        <f t="shared" si="6"/>
        <v>0.30769230769230771</v>
      </c>
      <c r="AE27" s="1733"/>
      <c r="AF27" s="2329">
        <v>16</v>
      </c>
      <c r="AG27" s="2330">
        <v>13</v>
      </c>
      <c r="AH27" s="2315">
        <f t="shared" si="7"/>
        <v>1.2307692307692308</v>
      </c>
      <c r="AI27" s="1733"/>
      <c r="AJ27" s="2329">
        <v>12</v>
      </c>
      <c r="AK27" s="2330">
        <v>13</v>
      </c>
      <c r="AL27" s="2315">
        <f t="shared" si="8"/>
        <v>0.92307692307692313</v>
      </c>
      <c r="AM27" s="1733"/>
      <c r="AN27" s="2329">
        <v>22</v>
      </c>
      <c r="AO27" s="2330">
        <v>14</v>
      </c>
      <c r="AP27" s="2315">
        <f t="shared" si="9"/>
        <v>1.5714285714285714</v>
      </c>
      <c r="AR27" s="2329">
        <v>25</v>
      </c>
      <c r="AS27" s="2330">
        <v>15</v>
      </c>
      <c r="AT27" s="2315">
        <f t="shared" si="10"/>
        <v>1.6666666666666667</v>
      </c>
      <c r="AV27" s="2329">
        <v>19</v>
      </c>
      <c r="AW27" s="2330">
        <v>15</v>
      </c>
      <c r="AX27" s="2315">
        <f t="shared" si="11"/>
        <v>1.2666666666666666</v>
      </c>
      <c r="AZ27" s="2329">
        <v>19</v>
      </c>
      <c r="BA27" s="2330">
        <v>14</v>
      </c>
      <c r="BB27" s="2315">
        <f t="shared" si="12"/>
        <v>1.3571428571428572</v>
      </c>
      <c r="BD27" s="2329">
        <v>18</v>
      </c>
      <c r="BE27" s="2330">
        <v>15</v>
      </c>
      <c r="BF27" s="2315">
        <f t="shared" si="13"/>
        <v>1.2</v>
      </c>
    </row>
    <row r="28" spans="1:58" s="1" customFormat="1" ht="18">
      <c r="A28" s="1960"/>
      <c r="B28" s="1968" t="s">
        <v>975</v>
      </c>
      <c r="C28" s="5317"/>
      <c r="D28" s="2329">
        <v>7</v>
      </c>
      <c r="E28" s="2330">
        <v>8</v>
      </c>
      <c r="F28" s="2315">
        <f t="shared" si="0"/>
        <v>0.875</v>
      </c>
      <c r="G28" s="1733"/>
      <c r="H28" s="2329">
        <v>9</v>
      </c>
      <c r="I28" s="2330">
        <v>11</v>
      </c>
      <c r="J28" s="2315">
        <f t="shared" si="1"/>
        <v>0.81818181818181823</v>
      </c>
      <c r="K28" s="1733"/>
      <c r="L28" s="2329">
        <v>18</v>
      </c>
      <c r="M28" s="2330">
        <v>14</v>
      </c>
      <c r="N28" s="2315">
        <f t="shared" si="2"/>
        <v>1.2857142857142858</v>
      </c>
      <c r="O28" s="1733"/>
      <c r="P28" s="2329">
        <v>20</v>
      </c>
      <c r="Q28" s="2330">
        <v>14</v>
      </c>
      <c r="R28" s="2315">
        <f t="shared" si="3"/>
        <v>1.4285714285714286</v>
      </c>
      <c r="S28" s="1733"/>
      <c r="T28" s="2329">
        <v>21</v>
      </c>
      <c r="U28" s="2330">
        <v>17</v>
      </c>
      <c r="V28" s="2315">
        <f t="shared" si="4"/>
        <v>1.2352941176470589</v>
      </c>
      <c r="W28" s="1733"/>
      <c r="X28" s="2329">
        <v>21</v>
      </c>
      <c r="Y28" s="2330">
        <v>16</v>
      </c>
      <c r="Z28" s="2315">
        <f t="shared" si="5"/>
        <v>1.3125</v>
      </c>
      <c r="AA28" s="1733"/>
      <c r="AB28" s="2329">
        <v>18</v>
      </c>
      <c r="AC28" s="2330">
        <v>18</v>
      </c>
      <c r="AD28" s="2315">
        <f t="shared" si="6"/>
        <v>1</v>
      </c>
      <c r="AE28" s="1733"/>
      <c r="AF28" s="2329">
        <v>20</v>
      </c>
      <c r="AG28" s="2330">
        <v>19</v>
      </c>
      <c r="AH28" s="2315">
        <f t="shared" si="7"/>
        <v>1.0526315789473684</v>
      </c>
      <c r="AI28" s="1733"/>
      <c r="AJ28" s="2329">
        <v>32</v>
      </c>
      <c r="AK28" s="2330">
        <v>19</v>
      </c>
      <c r="AL28" s="2315">
        <f t="shared" si="8"/>
        <v>1.6842105263157894</v>
      </c>
      <c r="AM28" s="1733"/>
      <c r="AN28" s="2329">
        <v>29</v>
      </c>
      <c r="AO28" s="2330">
        <v>19</v>
      </c>
      <c r="AP28" s="2315">
        <f t="shared" si="9"/>
        <v>1.5263157894736843</v>
      </c>
      <c r="AR28" s="2329">
        <v>17</v>
      </c>
      <c r="AS28" s="2330">
        <v>20</v>
      </c>
      <c r="AT28" s="2315">
        <f t="shared" si="10"/>
        <v>0.85</v>
      </c>
      <c r="AV28" s="2329">
        <v>35</v>
      </c>
      <c r="AW28" s="2330">
        <v>20</v>
      </c>
      <c r="AX28" s="2315">
        <f t="shared" si="11"/>
        <v>1.75</v>
      </c>
      <c r="AZ28" s="2329">
        <v>23</v>
      </c>
      <c r="BA28" s="2330">
        <v>20</v>
      </c>
      <c r="BB28" s="2315">
        <f t="shared" si="12"/>
        <v>1.1499999999999999</v>
      </c>
      <c r="BD28" s="2329">
        <v>27</v>
      </c>
      <c r="BE28" s="2330">
        <v>22</v>
      </c>
      <c r="BF28" s="2315">
        <f t="shared" si="13"/>
        <v>1.2272727272727273</v>
      </c>
    </row>
    <row r="29" spans="1:58" s="1" customFormat="1" ht="18">
      <c r="A29" s="1960"/>
      <c r="B29" s="1968" t="s">
        <v>976</v>
      </c>
      <c r="C29" s="5317"/>
      <c r="D29" s="2329">
        <v>14</v>
      </c>
      <c r="E29" s="2330">
        <v>11</v>
      </c>
      <c r="F29" s="2315">
        <f t="shared" si="0"/>
        <v>1.2727272727272727</v>
      </c>
      <c r="G29" s="1733"/>
      <c r="H29" s="2329">
        <v>13</v>
      </c>
      <c r="I29" s="2330">
        <v>14</v>
      </c>
      <c r="J29" s="2315">
        <f t="shared" si="1"/>
        <v>0.9285714285714286</v>
      </c>
      <c r="K29" s="1733"/>
      <c r="L29" s="2329">
        <v>4</v>
      </c>
      <c r="M29" s="2330">
        <v>13</v>
      </c>
      <c r="N29" s="2315">
        <f t="shared" si="2"/>
        <v>0.30769230769230771</v>
      </c>
      <c r="O29" s="1733"/>
      <c r="P29" s="2329">
        <v>27</v>
      </c>
      <c r="Q29" s="2330">
        <v>14</v>
      </c>
      <c r="R29" s="2315">
        <f t="shared" si="3"/>
        <v>1.9285714285714286</v>
      </c>
      <c r="S29" s="1733"/>
      <c r="T29" s="2329">
        <v>14</v>
      </c>
      <c r="U29" s="2330">
        <v>15</v>
      </c>
      <c r="V29" s="2315">
        <f t="shared" si="4"/>
        <v>0.93333333333333335</v>
      </c>
      <c r="W29" s="1733"/>
      <c r="X29" s="2329">
        <v>42</v>
      </c>
      <c r="Y29" s="2330">
        <v>15</v>
      </c>
      <c r="Z29" s="2315">
        <f t="shared" si="5"/>
        <v>2.8</v>
      </c>
      <c r="AA29" s="1733"/>
      <c r="AB29" s="2329">
        <v>23</v>
      </c>
      <c r="AC29" s="2330">
        <v>15</v>
      </c>
      <c r="AD29" s="2315">
        <f t="shared" si="6"/>
        <v>1.5333333333333334</v>
      </c>
      <c r="AE29" s="1733"/>
      <c r="AF29" s="2329">
        <v>20</v>
      </c>
      <c r="AG29" s="2330">
        <v>16</v>
      </c>
      <c r="AH29" s="2315">
        <f t="shared" si="7"/>
        <v>1.25</v>
      </c>
      <c r="AI29" s="1733"/>
      <c r="AJ29" s="2329">
        <v>31</v>
      </c>
      <c r="AK29" s="2330">
        <v>17</v>
      </c>
      <c r="AL29" s="2315">
        <f t="shared" si="8"/>
        <v>1.8235294117647058</v>
      </c>
      <c r="AM29" s="1733"/>
      <c r="AN29" s="2329">
        <v>18</v>
      </c>
      <c r="AO29" s="2330">
        <v>17</v>
      </c>
      <c r="AP29" s="2315">
        <f t="shared" si="9"/>
        <v>1.0588235294117647</v>
      </c>
      <c r="AR29" s="2329">
        <v>27</v>
      </c>
      <c r="AS29" s="2330">
        <v>17</v>
      </c>
      <c r="AT29" s="2315">
        <f t="shared" si="10"/>
        <v>1.588235294117647</v>
      </c>
      <c r="AV29" s="2329">
        <v>45</v>
      </c>
      <c r="AW29" s="2330">
        <v>17</v>
      </c>
      <c r="AX29" s="2315">
        <f t="shared" si="11"/>
        <v>2.6470588235294117</v>
      </c>
      <c r="AZ29" s="2329">
        <v>24</v>
      </c>
      <c r="BA29" s="2330">
        <v>17</v>
      </c>
      <c r="BB29" s="2315">
        <f t="shared" si="12"/>
        <v>1.411764705882353</v>
      </c>
      <c r="BD29" s="2329">
        <v>12</v>
      </c>
      <c r="BE29" s="2330">
        <v>19</v>
      </c>
      <c r="BF29" s="2315">
        <f t="shared" si="13"/>
        <v>0.63157894736842102</v>
      </c>
    </row>
    <row r="30" spans="1:58" s="1" customFormat="1" ht="15" customHeight="1">
      <c r="A30" s="1960"/>
      <c r="B30" s="1929" t="s">
        <v>64</v>
      </c>
      <c r="C30" s="5317"/>
      <c r="D30" s="2328">
        <f>SUM(D27:D29)</f>
        <v>28</v>
      </c>
      <c r="E30" s="1040">
        <f>SUM(E27:E29)</f>
        <v>27</v>
      </c>
      <c r="F30" s="2314">
        <f t="shared" si="0"/>
        <v>1.037037037037037</v>
      </c>
      <c r="G30" s="1733"/>
      <c r="H30" s="2328">
        <v>35</v>
      </c>
      <c r="I30" s="1040">
        <f>SUM(I27:I29)</f>
        <v>33</v>
      </c>
      <c r="J30" s="2314">
        <f t="shared" si="1"/>
        <v>1.0606060606060606</v>
      </c>
      <c r="K30" s="1733"/>
      <c r="L30" s="2328">
        <v>28</v>
      </c>
      <c r="M30" s="1040">
        <f>SUM(M27:M29)</f>
        <v>36</v>
      </c>
      <c r="N30" s="2314">
        <f t="shared" si="2"/>
        <v>0.77777777777777779</v>
      </c>
      <c r="O30" s="1733"/>
      <c r="P30" s="2328">
        <v>66</v>
      </c>
      <c r="Q30" s="1040">
        <f>SUM(Q27:Q29)</f>
        <v>38</v>
      </c>
      <c r="R30" s="2314">
        <f t="shared" si="3"/>
        <v>1.736842105263158</v>
      </c>
      <c r="S30" s="1733"/>
      <c r="T30" s="2328">
        <f>SUM(T27:T29)</f>
        <v>45</v>
      </c>
      <c r="U30" s="1040">
        <f>SUM(U27:U29)</f>
        <v>42</v>
      </c>
      <c r="V30" s="2314">
        <f t="shared" si="4"/>
        <v>1.0714285714285714</v>
      </c>
      <c r="W30" s="1733"/>
      <c r="X30" s="2328">
        <f>SUM(X27:X29)</f>
        <v>84</v>
      </c>
      <c r="Y30" s="1040">
        <v>43</v>
      </c>
      <c r="Z30" s="2314">
        <f t="shared" si="5"/>
        <v>1.9534883720930232</v>
      </c>
      <c r="AA30" s="1733"/>
      <c r="AB30" s="2328">
        <v>45</v>
      </c>
      <c r="AC30" s="1040">
        <f>SUM(AC27:AC29)</f>
        <v>46</v>
      </c>
      <c r="AD30" s="2314">
        <f t="shared" si="6"/>
        <v>0.97826086956521741</v>
      </c>
      <c r="AE30" s="1733"/>
      <c r="AF30" s="2328">
        <v>56</v>
      </c>
      <c r="AG30" s="1040">
        <f>SUM(AG27:AG29)</f>
        <v>48</v>
      </c>
      <c r="AH30" s="2314">
        <f t="shared" si="7"/>
        <v>1.1666666666666667</v>
      </c>
      <c r="AI30" s="1733"/>
      <c r="AJ30" s="2328">
        <v>75</v>
      </c>
      <c r="AK30" s="1040">
        <f>SUM(AK27:AK29)</f>
        <v>49</v>
      </c>
      <c r="AL30" s="2314">
        <f t="shared" si="8"/>
        <v>1.5306122448979591</v>
      </c>
      <c r="AM30" s="1733"/>
      <c r="AN30" s="2328">
        <v>69</v>
      </c>
      <c r="AO30" s="1040">
        <v>50</v>
      </c>
      <c r="AP30" s="2314">
        <f t="shared" si="9"/>
        <v>1.38</v>
      </c>
      <c r="AR30" s="2328">
        <v>69</v>
      </c>
      <c r="AS30" s="1040">
        <v>52</v>
      </c>
      <c r="AT30" s="2314">
        <f t="shared" si="10"/>
        <v>1.3269230769230769</v>
      </c>
      <c r="AV30" s="2328">
        <v>99</v>
      </c>
      <c r="AW30" s="1040">
        <v>52</v>
      </c>
      <c r="AX30" s="2314">
        <f t="shared" si="11"/>
        <v>1.9038461538461537</v>
      </c>
      <c r="AZ30" s="2328">
        <v>66</v>
      </c>
      <c r="BA30" s="1040">
        <v>51</v>
      </c>
      <c r="BB30" s="2314">
        <f t="shared" si="12"/>
        <v>1.2941176470588236</v>
      </c>
      <c r="BD30" s="2328">
        <v>57</v>
      </c>
      <c r="BE30" s="1040">
        <v>56</v>
      </c>
      <c r="BF30" s="2314">
        <f t="shared" si="13"/>
        <v>1.0178571428571428</v>
      </c>
    </row>
    <row r="31" spans="1:58" s="1" customFormat="1" ht="18">
      <c r="A31" s="1960"/>
      <c r="B31" s="1968" t="s">
        <v>977</v>
      </c>
      <c r="C31" s="5317"/>
      <c r="D31" s="2329">
        <v>1</v>
      </c>
      <c r="E31" s="2330">
        <v>11</v>
      </c>
      <c r="F31" s="2315">
        <f t="shared" si="0"/>
        <v>9.0909090909090912E-2</v>
      </c>
      <c r="G31" s="1733"/>
      <c r="H31" s="2329"/>
      <c r="I31" s="2330">
        <v>13</v>
      </c>
      <c r="J31" s="2315">
        <f t="shared" si="1"/>
        <v>0</v>
      </c>
      <c r="K31" s="1733"/>
      <c r="L31" s="2329"/>
      <c r="M31" s="2330">
        <v>13</v>
      </c>
      <c r="N31" s="2315">
        <f t="shared" si="2"/>
        <v>0</v>
      </c>
      <c r="O31" s="1733"/>
      <c r="P31" s="2329">
        <v>3</v>
      </c>
      <c r="Q31" s="2330">
        <v>13</v>
      </c>
      <c r="R31" s="2315">
        <f t="shared" si="3"/>
        <v>0.23076923076923078</v>
      </c>
      <c r="S31" s="1733"/>
      <c r="T31" s="2329">
        <v>1</v>
      </c>
      <c r="U31" s="2330">
        <v>13</v>
      </c>
      <c r="V31" s="2315">
        <f t="shared" si="4"/>
        <v>7.6923076923076927E-2</v>
      </c>
      <c r="W31" s="1733"/>
      <c r="X31" s="2329"/>
      <c r="Y31" s="2330">
        <v>15</v>
      </c>
      <c r="Z31" s="2315">
        <f t="shared" si="5"/>
        <v>0</v>
      </c>
      <c r="AA31" s="1733"/>
      <c r="AB31" s="2329"/>
      <c r="AC31" s="2330">
        <v>15</v>
      </c>
      <c r="AD31" s="2315">
        <f t="shared" si="6"/>
        <v>0</v>
      </c>
      <c r="AE31" s="1733"/>
      <c r="AF31" s="2329"/>
      <c r="AG31" s="2330">
        <v>19</v>
      </c>
      <c r="AH31" s="2315">
        <f t="shared" si="7"/>
        <v>0</v>
      </c>
      <c r="AI31" s="1733"/>
      <c r="AJ31" s="2329">
        <v>1</v>
      </c>
      <c r="AK31" s="2330">
        <v>17</v>
      </c>
      <c r="AL31" s="2315">
        <f t="shared" si="8"/>
        <v>5.8823529411764705E-2</v>
      </c>
      <c r="AM31" s="1733"/>
      <c r="AN31" s="2329">
        <v>0</v>
      </c>
      <c r="AO31" s="2330">
        <v>18</v>
      </c>
      <c r="AP31" s="2315">
        <f t="shared" si="9"/>
        <v>0</v>
      </c>
      <c r="AR31" s="2329">
        <v>0</v>
      </c>
      <c r="AS31" s="2330">
        <v>17</v>
      </c>
      <c r="AT31" s="2315">
        <f t="shared" si="10"/>
        <v>0</v>
      </c>
      <c r="AV31" s="2329">
        <v>0</v>
      </c>
      <c r="AW31" s="2330">
        <v>16</v>
      </c>
      <c r="AX31" s="2315">
        <f t="shared" si="11"/>
        <v>0</v>
      </c>
      <c r="AZ31" s="2329">
        <v>6</v>
      </c>
      <c r="BA31" s="2330">
        <v>15</v>
      </c>
      <c r="BB31" s="2315">
        <f t="shared" si="12"/>
        <v>0.4</v>
      </c>
      <c r="BD31" s="2329">
        <v>3</v>
      </c>
      <c r="BE31" s="2330">
        <v>17</v>
      </c>
      <c r="BF31" s="2315">
        <f t="shared" si="13"/>
        <v>0.17647058823529413</v>
      </c>
    </row>
    <row r="32" spans="1:58" s="1" customFormat="1" ht="18">
      <c r="A32" s="1960"/>
      <c r="B32" s="1968" t="s">
        <v>978</v>
      </c>
      <c r="C32" s="5317"/>
      <c r="D32" s="2329"/>
      <c r="E32" s="2330">
        <v>12</v>
      </c>
      <c r="F32" s="2315">
        <f t="shared" si="0"/>
        <v>0</v>
      </c>
      <c r="G32" s="1733"/>
      <c r="H32" s="2329">
        <v>1</v>
      </c>
      <c r="I32" s="2330">
        <v>15</v>
      </c>
      <c r="J32" s="2315">
        <f t="shared" si="1"/>
        <v>6.6666666666666666E-2</v>
      </c>
      <c r="K32" s="1733"/>
      <c r="L32" s="2329">
        <v>14</v>
      </c>
      <c r="M32" s="2330">
        <v>12</v>
      </c>
      <c r="N32" s="2315">
        <f t="shared" si="2"/>
        <v>1.1666666666666667</v>
      </c>
      <c r="O32" s="1733"/>
      <c r="P32" s="2329">
        <v>6</v>
      </c>
      <c r="Q32" s="2330">
        <v>13</v>
      </c>
      <c r="R32" s="2315">
        <f t="shared" si="3"/>
        <v>0.46153846153846156</v>
      </c>
      <c r="S32" s="1733"/>
      <c r="T32" s="2329">
        <v>1</v>
      </c>
      <c r="U32" s="2330">
        <v>16</v>
      </c>
      <c r="V32" s="2315">
        <f t="shared" si="4"/>
        <v>6.25E-2</v>
      </c>
      <c r="W32" s="1733"/>
      <c r="X32" s="2329"/>
      <c r="Y32" s="2330">
        <v>16</v>
      </c>
      <c r="Z32" s="2315">
        <f t="shared" si="5"/>
        <v>0</v>
      </c>
      <c r="AA32" s="1733"/>
      <c r="AB32" s="2329"/>
      <c r="AC32" s="2330">
        <v>18</v>
      </c>
      <c r="AD32" s="2315">
        <f t="shared" si="6"/>
        <v>0</v>
      </c>
      <c r="AE32" s="1733"/>
      <c r="AF32" s="2329"/>
      <c r="AG32" s="2330">
        <v>21</v>
      </c>
      <c r="AH32" s="2315">
        <f t="shared" si="7"/>
        <v>0</v>
      </c>
      <c r="AI32" s="1733"/>
      <c r="AJ32" s="2329">
        <v>1</v>
      </c>
      <c r="AK32" s="2330">
        <v>20</v>
      </c>
      <c r="AL32" s="2315">
        <f t="shared" si="8"/>
        <v>0.05</v>
      </c>
      <c r="AM32" s="1733"/>
      <c r="AN32" s="2329">
        <v>0</v>
      </c>
      <c r="AO32" s="2330">
        <v>20</v>
      </c>
      <c r="AP32" s="2315">
        <f t="shared" si="9"/>
        <v>0</v>
      </c>
      <c r="AR32" s="2329">
        <v>0</v>
      </c>
      <c r="AS32" s="2330">
        <v>21</v>
      </c>
      <c r="AT32" s="2315">
        <f t="shared" si="10"/>
        <v>0</v>
      </c>
      <c r="AV32" s="2329">
        <v>0</v>
      </c>
      <c r="AW32" s="2330">
        <v>21</v>
      </c>
      <c r="AX32" s="2315">
        <f t="shared" si="11"/>
        <v>0</v>
      </c>
      <c r="AZ32" s="2329">
        <v>0</v>
      </c>
      <c r="BA32" s="2330">
        <v>22</v>
      </c>
      <c r="BB32" s="2315">
        <f t="shared" si="12"/>
        <v>0</v>
      </c>
      <c r="BD32" s="2329">
        <v>1</v>
      </c>
      <c r="BE32" s="2330">
        <v>20</v>
      </c>
      <c r="BF32" s="2315">
        <f t="shared" si="13"/>
        <v>0.05</v>
      </c>
    </row>
    <row r="33" spans="1:58" s="1" customFormat="1" ht="18">
      <c r="A33" s="1960"/>
      <c r="B33" s="1968" t="s">
        <v>695</v>
      </c>
      <c r="C33" s="5317"/>
      <c r="D33" s="2329"/>
      <c r="E33" s="2330">
        <v>15</v>
      </c>
      <c r="F33" s="2315">
        <f t="shared" si="0"/>
        <v>0</v>
      </c>
      <c r="G33" s="1733"/>
      <c r="H33" s="2329"/>
      <c r="I33" s="2330">
        <v>17</v>
      </c>
      <c r="J33" s="2315">
        <f t="shared" si="1"/>
        <v>0</v>
      </c>
      <c r="K33" s="1733"/>
      <c r="L33" s="2329"/>
      <c r="M33" s="2330">
        <v>17</v>
      </c>
      <c r="N33" s="2315">
        <f t="shared" si="2"/>
        <v>0</v>
      </c>
      <c r="O33" s="1733"/>
      <c r="P33" s="2329"/>
      <c r="Q33" s="2330">
        <v>20</v>
      </c>
      <c r="R33" s="2315">
        <f t="shared" si="3"/>
        <v>0</v>
      </c>
      <c r="S33" s="1733"/>
      <c r="T33" s="2329">
        <v>0</v>
      </c>
      <c r="U33" s="2330">
        <v>20</v>
      </c>
      <c r="V33" s="2315">
        <f t="shared" si="4"/>
        <v>0</v>
      </c>
      <c r="W33" s="1733"/>
      <c r="X33" s="2329"/>
      <c r="Y33" s="2330">
        <v>19</v>
      </c>
      <c r="Z33" s="2315">
        <f t="shared" si="5"/>
        <v>0</v>
      </c>
      <c r="AA33" s="1733"/>
      <c r="AB33" s="2329">
        <v>2</v>
      </c>
      <c r="AC33" s="2330">
        <v>21</v>
      </c>
      <c r="AD33" s="2315">
        <f t="shared" si="6"/>
        <v>9.5238095238095233E-2</v>
      </c>
      <c r="AE33" s="1733"/>
      <c r="AF33" s="2329">
        <v>3</v>
      </c>
      <c r="AG33" s="2330">
        <v>21</v>
      </c>
      <c r="AH33" s="2315">
        <f t="shared" si="7"/>
        <v>0.14285714285714285</v>
      </c>
      <c r="AI33" s="1733"/>
      <c r="AJ33" s="2329">
        <v>6</v>
      </c>
      <c r="AK33" s="2330">
        <v>22</v>
      </c>
      <c r="AL33" s="2315">
        <f t="shared" si="8"/>
        <v>0.27272727272727271</v>
      </c>
      <c r="AM33" s="1733"/>
      <c r="AN33" s="2329">
        <v>2</v>
      </c>
      <c r="AO33" s="2330">
        <v>21</v>
      </c>
      <c r="AP33" s="2315">
        <f t="shared" si="9"/>
        <v>9.5238095238095233E-2</v>
      </c>
      <c r="AR33" s="2329">
        <v>2</v>
      </c>
      <c r="AS33" s="2330">
        <v>21</v>
      </c>
      <c r="AT33" s="2315">
        <f t="shared" si="10"/>
        <v>9.5238095238095233E-2</v>
      </c>
      <c r="AV33" s="2329">
        <v>1</v>
      </c>
      <c r="AW33" s="2330">
        <v>22</v>
      </c>
      <c r="AX33" s="2315">
        <f t="shared" si="11"/>
        <v>4.5454545454545456E-2</v>
      </c>
      <c r="AZ33" s="2329">
        <v>2</v>
      </c>
      <c r="BA33" s="2330">
        <v>22</v>
      </c>
      <c r="BB33" s="2315">
        <f t="shared" si="12"/>
        <v>9.0909090909090912E-2</v>
      </c>
      <c r="BD33" s="2329">
        <v>1</v>
      </c>
      <c r="BE33" s="2330">
        <v>20</v>
      </c>
      <c r="BF33" s="2315">
        <f t="shared" si="13"/>
        <v>0.05</v>
      </c>
    </row>
    <row r="34" spans="1:58" s="1" customFormat="1" ht="15" customHeight="1">
      <c r="A34" s="1960"/>
      <c r="B34" s="1961" t="s">
        <v>16</v>
      </c>
      <c r="C34" s="5317"/>
      <c r="D34" s="2333">
        <f>SUM(D31:D33)</f>
        <v>1</v>
      </c>
      <c r="E34" s="1962">
        <f>SUM(E31:E33)</f>
        <v>38</v>
      </c>
      <c r="F34" s="2317">
        <f t="shared" si="0"/>
        <v>2.6315789473684209E-2</v>
      </c>
      <c r="G34" s="1733"/>
      <c r="H34" s="2333">
        <v>1</v>
      </c>
      <c r="I34" s="1962">
        <f>SUM(I31:I33)</f>
        <v>45</v>
      </c>
      <c r="J34" s="2317">
        <f t="shared" si="1"/>
        <v>2.2222222222222223E-2</v>
      </c>
      <c r="K34" s="1733"/>
      <c r="L34" s="2333">
        <v>14</v>
      </c>
      <c r="M34" s="1962">
        <f>SUM(M31:M33)</f>
        <v>42</v>
      </c>
      <c r="N34" s="2317">
        <f t="shared" si="2"/>
        <v>0.33333333333333331</v>
      </c>
      <c r="O34" s="1733"/>
      <c r="P34" s="2333">
        <v>9</v>
      </c>
      <c r="Q34" s="1962">
        <f>SUM(Q31:Q33)</f>
        <v>46</v>
      </c>
      <c r="R34" s="2317">
        <f t="shared" si="3"/>
        <v>0.19565217391304349</v>
      </c>
      <c r="S34" s="1733"/>
      <c r="T34" s="2333">
        <f>SUM(T31:T33)</f>
        <v>2</v>
      </c>
      <c r="U34" s="1962">
        <f>SUM(U31:U33)</f>
        <v>49</v>
      </c>
      <c r="V34" s="2317">
        <f t="shared" si="4"/>
        <v>4.0816326530612242E-2</v>
      </c>
      <c r="W34" s="1733"/>
      <c r="X34" s="2333">
        <f>SUM(X31:X33)</f>
        <v>0</v>
      </c>
      <c r="Y34" s="1962">
        <v>50</v>
      </c>
      <c r="Z34" s="2317">
        <f t="shared" si="5"/>
        <v>0</v>
      </c>
      <c r="AA34" s="1733"/>
      <c r="AB34" s="2333">
        <v>2</v>
      </c>
      <c r="AC34" s="1962">
        <f>SUM(AC31:AC33)</f>
        <v>54</v>
      </c>
      <c r="AD34" s="2317">
        <f t="shared" si="6"/>
        <v>3.7037037037037035E-2</v>
      </c>
      <c r="AE34" s="1733"/>
      <c r="AF34" s="2333">
        <v>3</v>
      </c>
      <c r="AG34" s="1962">
        <f>SUM(AG31:AG33)</f>
        <v>61</v>
      </c>
      <c r="AH34" s="2317">
        <f t="shared" si="7"/>
        <v>4.9180327868852458E-2</v>
      </c>
      <c r="AI34" s="1733"/>
      <c r="AJ34" s="2333">
        <v>8</v>
      </c>
      <c r="AK34" s="1962">
        <f>SUM(AK31:AK33)</f>
        <v>59</v>
      </c>
      <c r="AL34" s="2317">
        <f t="shared" si="8"/>
        <v>0.13559322033898305</v>
      </c>
      <c r="AM34" s="1733"/>
      <c r="AN34" s="2333">
        <v>2</v>
      </c>
      <c r="AO34" s="1962">
        <v>59</v>
      </c>
      <c r="AP34" s="2317">
        <f t="shared" si="9"/>
        <v>3.3898305084745763E-2</v>
      </c>
      <c r="AR34" s="2333">
        <v>2</v>
      </c>
      <c r="AS34" s="1962">
        <v>59</v>
      </c>
      <c r="AT34" s="2317">
        <f t="shared" si="10"/>
        <v>3.3898305084745763E-2</v>
      </c>
      <c r="AV34" s="2333">
        <v>1</v>
      </c>
      <c r="AW34" s="1962">
        <v>59</v>
      </c>
      <c r="AX34" s="2317">
        <f t="shared" si="11"/>
        <v>1.6949152542372881E-2</v>
      </c>
      <c r="AZ34" s="2333">
        <v>8</v>
      </c>
      <c r="BA34" s="1962">
        <v>59</v>
      </c>
      <c r="BB34" s="2317">
        <f t="shared" si="12"/>
        <v>0.13559322033898305</v>
      </c>
      <c r="BD34" s="2333">
        <v>5</v>
      </c>
      <c r="BE34" s="1962">
        <v>57</v>
      </c>
      <c r="BF34" s="2317">
        <f t="shared" si="13"/>
        <v>8.771929824561403E-2</v>
      </c>
    </row>
    <row r="35" spans="1:58" s="1" customFormat="1" ht="15" customHeight="1">
      <c r="A35" s="1960"/>
      <c r="B35" s="1963" t="s">
        <v>340</v>
      </c>
      <c r="C35" s="5317"/>
      <c r="D35" s="2336">
        <f>SUM(D26,D30,D34)</f>
        <v>36</v>
      </c>
      <c r="E35" s="2337">
        <f>SUM(E34,E30,E26)</f>
        <v>103</v>
      </c>
      <c r="F35" s="2319">
        <f t="shared" si="0"/>
        <v>0.34951456310679613</v>
      </c>
      <c r="G35" s="1733"/>
      <c r="H35" s="2336">
        <v>39</v>
      </c>
      <c r="I35" s="2337">
        <f>SUM(I34,I30,I26)</f>
        <v>119</v>
      </c>
      <c r="J35" s="2319">
        <f t="shared" si="1"/>
        <v>0.32773109243697479</v>
      </c>
      <c r="K35" s="1733"/>
      <c r="L35" s="2336">
        <v>48</v>
      </c>
      <c r="M35" s="2337">
        <f>SUM(M34,M30,M26)</f>
        <v>130</v>
      </c>
      <c r="N35" s="2319">
        <f t="shared" si="2"/>
        <v>0.36923076923076925</v>
      </c>
      <c r="O35" s="1733"/>
      <c r="P35" s="2336">
        <v>87</v>
      </c>
      <c r="Q35" s="2337">
        <f>SUM(Q34,Q30,Q26)</f>
        <v>135</v>
      </c>
      <c r="R35" s="2319">
        <f t="shared" si="3"/>
        <v>0.64444444444444449</v>
      </c>
      <c r="S35" s="1733"/>
      <c r="T35" s="2336">
        <f>SUM(T26,T30,T34)</f>
        <v>66</v>
      </c>
      <c r="U35" s="2337">
        <f>SUM(U34,U30,U26)</f>
        <v>143</v>
      </c>
      <c r="V35" s="2319">
        <f t="shared" si="4"/>
        <v>0.46153846153846156</v>
      </c>
      <c r="W35" s="1733"/>
      <c r="X35" s="2336">
        <f>SUM(X34,X30,X26)</f>
        <v>90</v>
      </c>
      <c r="Y35" s="2337">
        <v>147</v>
      </c>
      <c r="Z35" s="2319">
        <f t="shared" si="5"/>
        <v>0.61224489795918369</v>
      </c>
      <c r="AA35" s="1733"/>
      <c r="AB35" s="2336">
        <v>66</v>
      </c>
      <c r="AC35" s="2337">
        <f>SUM(AC26,AC30,AC34)</f>
        <v>153</v>
      </c>
      <c r="AD35" s="2319">
        <f t="shared" si="6"/>
        <v>0.43137254901960786</v>
      </c>
      <c r="AE35" s="1733"/>
      <c r="AF35" s="2336">
        <v>66</v>
      </c>
      <c r="AG35" s="2337">
        <f>SUM(AG26,AG30,AG34)</f>
        <v>163</v>
      </c>
      <c r="AH35" s="2319">
        <f t="shared" si="7"/>
        <v>0.40490797546012269</v>
      </c>
      <c r="AI35" s="1733"/>
      <c r="AJ35" s="2336">
        <v>99</v>
      </c>
      <c r="AK35" s="2337">
        <f>SUM(AK26,AK30,AK34)</f>
        <v>160</v>
      </c>
      <c r="AL35" s="2319">
        <f t="shared" si="8"/>
        <v>0.61875000000000002</v>
      </c>
      <c r="AM35" s="1733"/>
      <c r="AN35" s="2336">
        <v>101</v>
      </c>
      <c r="AO35" s="2337">
        <v>162</v>
      </c>
      <c r="AP35" s="2319">
        <f t="shared" si="9"/>
        <v>0.62345679012345678</v>
      </c>
      <c r="AR35" s="2336">
        <v>107</v>
      </c>
      <c r="AS35" s="2337">
        <v>166</v>
      </c>
      <c r="AT35" s="2319">
        <f t="shared" si="10"/>
        <v>0.64457831325301207</v>
      </c>
      <c r="AV35" s="2336">
        <v>134</v>
      </c>
      <c r="AW35" s="2337">
        <v>168</v>
      </c>
      <c r="AX35" s="2319">
        <f t="shared" si="11"/>
        <v>0.79761904761904767</v>
      </c>
      <c r="AZ35" s="2336">
        <v>96</v>
      </c>
      <c r="BA35" s="2337">
        <v>169</v>
      </c>
      <c r="BB35" s="2319">
        <f t="shared" si="12"/>
        <v>0.56804733727810652</v>
      </c>
      <c r="BD35" s="2336">
        <v>94</v>
      </c>
      <c r="BE35" s="2337">
        <v>171</v>
      </c>
      <c r="BF35" s="2319">
        <f t="shared" si="13"/>
        <v>0.54970760233918126</v>
      </c>
    </row>
    <row r="36" spans="1:58" s="1" customFormat="1" ht="18">
      <c r="A36" s="1960"/>
      <c r="B36" s="1968" t="s">
        <v>979</v>
      </c>
      <c r="C36" s="5317"/>
      <c r="D36" s="2329">
        <v>56</v>
      </c>
      <c r="E36" s="2330">
        <v>56</v>
      </c>
      <c r="F36" s="2315">
        <f t="shared" si="0"/>
        <v>1</v>
      </c>
      <c r="G36" s="1733"/>
      <c r="H36" s="2329">
        <v>45</v>
      </c>
      <c r="I36" s="2330">
        <v>56</v>
      </c>
      <c r="J36" s="2315">
        <f t="shared" si="1"/>
        <v>0.8035714285714286</v>
      </c>
      <c r="K36" s="1733"/>
      <c r="L36" s="2329">
        <v>69</v>
      </c>
      <c r="M36" s="2330">
        <v>56</v>
      </c>
      <c r="N36" s="2315">
        <f t="shared" si="2"/>
        <v>1.2321428571428572</v>
      </c>
      <c r="O36" s="1733"/>
      <c r="P36" s="2329">
        <v>58</v>
      </c>
      <c r="Q36" s="2330">
        <v>58</v>
      </c>
      <c r="R36" s="2315">
        <f t="shared" si="3"/>
        <v>1</v>
      </c>
      <c r="S36" s="1733"/>
      <c r="T36" s="2329">
        <v>73</v>
      </c>
      <c r="U36" s="2330">
        <v>57</v>
      </c>
      <c r="V36" s="2315">
        <f t="shared" si="4"/>
        <v>1.2807017543859649</v>
      </c>
      <c r="W36" s="1733"/>
      <c r="X36" s="2329">
        <v>78</v>
      </c>
      <c r="Y36" s="2330">
        <v>56</v>
      </c>
      <c r="Z36" s="2315">
        <f t="shared" si="5"/>
        <v>1.3928571428571428</v>
      </c>
      <c r="AA36" s="1733"/>
      <c r="AB36" s="2329">
        <v>55</v>
      </c>
      <c r="AC36" s="2330">
        <v>57</v>
      </c>
      <c r="AD36" s="2315">
        <f t="shared" si="6"/>
        <v>0.96491228070175439</v>
      </c>
      <c r="AE36" s="1733"/>
      <c r="AF36" s="2329">
        <v>46</v>
      </c>
      <c r="AG36" s="2330">
        <v>56</v>
      </c>
      <c r="AH36" s="2315">
        <f t="shared" si="7"/>
        <v>0.8214285714285714</v>
      </c>
      <c r="AI36" s="1733"/>
      <c r="AJ36" s="2329">
        <v>66</v>
      </c>
      <c r="AK36" s="2330">
        <v>57</v>
      </c>
      <c r="AL36" s="2315">
        <f t="shared" si="8"/>
        <v>1.1578947368421053</v>
      </c>
      <c r="AM36" s="1733"/>
      <c r="AN36" s="2329">
        <v>49</v>
      </c>
      <c r="AO36" s="2330">
        <v>54</v>
      </c>
      <c r="AP36" s="2315">
        <f t="shared" si="9"/>
        <v>0.90740740740740744</v>
      </c>
      <c r="AR36" s="2329">
        <v>79</v>
      </c>
      <c r="AS36" s="2330">
        <v>53</v>
      </c>
      <c r="AT36" s="2315">
        <f t="shared" si="10"/>
        <v>1.4905660377358489</v>
      </c>
      <c r="AV36" s="2329">
        <v>51</v>
      </c>
      <c r="AW36" s="2330">
        <v>53</v>
      </c>
      <c r="AX36" s="2315">
        <f t="shared" si="11"/>
        <v>0.96226415094339623</v>
      </c>
      <c r="AZ36" s="2329">
        <v>62</v>
      </c>
      <c r="BA36" s="2330">
        <v>52</v>
      </c>
      <c r="BB36" s="2315">
        <f t="shared" si="12"/>
        <v>1.1923076923076923</v>
      </c>
      <c r="BD36" s="2329">
        <v>54</v>
      </c>
      <c r="BE36" s="2330">
        <v>53</v>
      </c>
      <c r="BF36" s="2315">
        <f t="shared" si="13"/>
        <v>1.0188679245283019</v>
      </c>
    </row>
    <row r="37" spans="1:58" s="1" customFormat="1" ht="18">
      <c r="A37" s="1960"/>
      <c r="B37" s="1968" t="s">
        <v>980</v>
      </c>
      <c r="C37" s="5317"/>
      <c r="D37" s="2329">
        <v>75</v>
      </c>
      <c r="E37" s="2330">
        <v>38</v>
      </c>
      <c r="F37" s="2315">
        <f t="shared" ref="F37:F61" si="14">D37/E37</f>
        <v>1.9736842105263157</v>
      </c>
      <c r="G37" s="1733"/>
      <c r="H37" s="2329">
        <v>71</v>
      </c>
      <c r="I37" s="2330">
        <v>39</v>
      </c>
      <c r="J37" s="2315">
        <f t="shared" si="1"/>
        <v>1.8205128205128205</v>
      </c>
      <c r="K37" s="1733"/>
      <c r="L37" s="2329">
        <v>60</v>
      </c>
      <c r="M37" s="2330">
        <v>43</v>
      </c>
      <c r="N37" s="2315">
        <f t="shared" si="2"/>
        <v>1.3953488372093024</v>
      </c>
      <c r="O37" s="1733"/>
      <c r="P37" s="2329">
        <v>89</v>
      </c>
      <c r="Q37" s="2330">
        <v>44</v>
      </c>
      <c r="R37" s="2315">
        <f t="shared" si="3"/>
        <v>2.0227272727272729</v>
      </c>
      <c r="S37" s="1733"/>
      <c r="T37" s="2329">
        <v>85</v>
      </c>
      <c r="U37" s="2330">
        <v>46</v>
      </c>
      <c r="V37" s="2315">
        <f t="shared" si="4"/>
        <v>1.8478260869565217</v>
      </c>
      <c r="W37" s="1733"/>
      <c r="X37" s="2329">
        <v>75</v>
      </c>
      <c r="Y37" s="2330">
        <v>46</v>
      </c>
      <c r="Z37" s="2315">
        <f t="shared" si="5"/>
        <v>1.6304347826086956</v>
      </c>
      <c r="AA37" s="1733"/>
      <c r="AB37" s="2329">
        <v>81</v>
      </c>
      <c r="AC37" s="2330">
        <v>45</v>
      </c>
      <c r="AD37" s="2315">
        <f t="shared" si="6"/>
        <v>1.8</v>
      </c>
      <c r="AE37" s="1733"/>
      <c r="AF37" s="2329">
        <v>70</v>
      </c>
      <c r="AG37" s="2330">
        <v>42</v>
      </c>
      <c r="AH37" s="2315">
        <f t="shared" si="7"/>
        <v>1.6666666666666667</v>
      </c>
      <c r="AI37" s="1733"/>
      <c r="AJ37" s="2329">
        <v>98</v>
      </c>
      <c r="AK37" s="2330">
        <v>40</v>
      </c>
      <c r="AL37" s="2315">
        <f t="shared" si="8"/>
        <v>2.4500000000000002</v>
      </c>
      <c r="AM37" s="1733"/>
      <c r="AN37" s="2329">
        <v>52</v>
      </c>
      <c r="AO37" s="2330">
        <v>40</v>
      </c>
      <c r="AP37" s="2315">
        <f t="shared" si="9"/>
        <v>1.3</v>
      </c>
      <c r="AR37" s="2329">
        <v>50</v>
      </c>
      <c r="AS37" s="2330">
        <v>41</v>
      </c>
      <c r="AT37" s="2315">
        <f t="shared" si="10"/>
        <v>1.2195121951219512</v>
      </c>
      <c r="AV37" s="2329">
        <v>59</v>
      </c>
      <c r="AW37" s="2330">
        <v>40</v>
      </c>
      <c r="AX37" s="2315">
        <f t="shared" si="11"/>
        <v>1.4750000000000001</v>
      </c>
      <c r="AZ37" s="2329">
        <v>73</v>
      </c>
      <c r="BA37" s="2330">
        <v>39</v>
      </c>
      <c r="BB37" s="2315">
        <f t="shared" si="12"/>
        <v>1.8717948717948718</v>
      </c>
      <c r="BD37" s="2329">
        <v>61</v>
      </c>
      <c r="BE37" s="2330">
        <v>38</v>
      </c>
      <c r="BF37" s="2315">
        <f t="shared" si="13"/>
        <v>1.6052631578947369</v>
      </c>
    </row>
    <row r="38" spans="1:58" s="1" customFormat="1" ht="18">
      <c r="A38" s="1960"/>
      <c r="B38" s="1968" t="s">
        <v>981</v>
      </c>
      <c r="C38" s="5317"/>
      <c r="D38" s="2329">
        <v>30</v>
      </c>
      <c r="E38" s="2330">
        <v>64</v>
      </c>
      <c r="F38" s="2315">
        <f t="shared" si="14"/>
        <v>0.46875</v>
      </c>
      <c r="G38" s="1733"/>
      <c r="H38" s="2329">
        <v>35</v>
      </c>
      <c r="I38" s="2330">
        <v>64</v>
      </c>
      <c r="J38" s="2315">
        <f t="shared" si="1"/>
        <v>0.546875</v>
      </c>
      <c r="K38" s="1733"/>
      <c r="L38" s="2329">
        <v>32</v>
      </c>
      <c r="M38" s="2330">
        <v>62</v>
      </c>
      <c r="N38" s="2315">
        <f t="shared" si="2"/>
        <v>0.5161290322580645</v>
      </c>
      <c r="O38" s="1733"/>
      <c r="P38" s="2329">
        <v>36</v>
      </c>
      <c r="Q38" s="2330">
        <v>64</v>
      </c>
      <c r="R38" s="2315">
        <f t="shared" si="3"/>
        <v>0.5625</v>
      </c>
      <c r="S38" s="1733"/>
      <c r="T38" s="2329">
        <v>42</v>
      </c>
      <c r="U38" s="2330">
        <v>64</v>
      </c>
      <c r="V38" s="2315">
        <f t="shared" si="4"/>
        <v>0.65625</v>
      </c>
      <c r="W38" s="1733"/>
      <c r="X38" s="2329">
        <v>31</v>
      </c>
      <c r="Y38" s="2330">
        <v>66</v>
      </c>
      <c r="Z38" s="2315">
        <f t="shared" si="5"/>
        <v>0.46969696969696972</v>
      </c>
      <c r="AA38" s="1733"/>
      <c r="AB38" s="2329">
        <v>39</v>
      </c>
      <c r="AC38" s="2330">
        <v>65</v>
      </c>
      <c r="AD38" s="2315">
        <f t="shared" si="6"/>
        <v>0.6</v>
      </c>
      <c r="AE38" s="1733"/>
      <c r="AF38" s="2329">
        <v>54</v>
      </c>
      <c r="AG38" s="2330">
        <v>64</v>
      </c>
      <c r="AH38" s="2315">
        <f t="shared" si="7"/>
        <v>0.84375</v>
      </c>
      <c r="AI38" s="1733"/>
      <c r="AJ38" s="2329">
        <v>40</v>
      </c>
      <c r="AK38" s="2330">
        <v>64</v>
      </c>
      <c r="AL38" s="2315">
        <f t="shared" si="8"/>
        <v>0.625</v>
      </c>
      <c r="AM38" s="1733"/>
      <c r="AN38" s="2329">
        <v>25</v>
      </c>
      <c r="AO38" s="2330">
        <v>62</v>
      </c>
      <c r="AP38" s="2315">
        <f t="shared" si="9"/>
        <v>0.40322580645161288</v>
      </c>
      <c r="AR38" s="2329">
        <v>39</v>
      </c>
      <c r="AS38" s="2330">
        <v>60</v>
      </c>
      <c r="AT38" s="2315">
        <f t="shared" si="10"/>
        <v>0.65</v>
      </c>
      <c r="AV38" s="2329">
        <v>62</v>
      </c>
      <c r="AW38" s="2330">
        <v>59</v>
      </c>
      <c r="AX38" s="2315">
        <f t="shared" si="11"/>
        <v>1.0508474576271187</v>
      </c>
      <c r="AZ38" s="2329">
        <v>40</v>
      </c>
      <c r="BA38" s="2330">
        <v>60</v>
      </c>
      <c r="BB38" s="2315">
        <f t="shared" si="12"/>
        <v>0.66666666666666663</v>
      </c>
      <c r="BD38" s="2329">
        <v>27</v>
      </c>
      <c r="BE38" s="2330">
        <v>62</v>
      </c>
      <c r="BF38" s="2315">
        <f t="shared" si="13"/>
        <v>0.43548387096774194</v>
      </c>
    </row>
    <row r="39" spans="1:58" s="1" customFormat="1" ht="18">
      <c r="A39" s="1960"/>
      <c r="B39" s="1968" t="s">
        <v>982</v>
      </c>
      <c r="C39" s="5317"/>
      <c r="D39" s="2329">
        <v>48</v>
      </c>
      <c r="E39" s="2330">
        <v>63</v>
      </c>
      <c r="F39" s="2315">
        <f t="shared" si="14"/>
        <v>0.76190476190476186</v>
      </c>
      <c r="G39" s="1733"/>
      <c r="H39" s="2329">
        <v>43</v>
      </c>
      <c r="I39" s="2330">
        <v>63</v>
      </c>
      <c r="J39" s="2315">
        <f t="shared" si="1"/>
        <v>0.68253968253968256</v>
      </c>
      <c r="K39" s="1733"/>
      <c r="L39" s="2329">
        <v>39</v>
      </c>
      <c r="M39" s="2330">
        <v>62</v>
      </c>
      <c r="N39" s="2315">
        <f t="shared" si="2"/>
        <v>0.62903225806451613</v>
      </c>
      <c r="O39" s="1733"/>
      <c r="P39" s="2329">
        <v>64</v>
      </c>
      <c r="Q39" s="2330">
        <v>62</v>
      </c>
      <c r="R39" s="2315">
        <f t="shared" si="3"/>
        <v>1.032258064516129</v>
      </c>
      <c r="S39" s="1733"/>
      <c r="T39" s="2329">
        <v>55</v>
      </c>
      <c r="U39" s="2330">
        <v>63</v>
      </c>
      <c r="V39" s="2315">
        <f t="shared" si="4"/>
        <v>0.87301587301587302</v>
      </c>
      <c r="W39" s="1733"/>
      <c r="X39" s="2329">
        <v>42</v>
      </c>
      <c r="Y39" s="2330">
        <v>60</v>
      </c>
      <c r="Z39" s="2315">
        <f t="shared" si="5"/>
        <v>0.7</v>
      </c>
      <c r="AA39" s="1733"/>
      <c r="AB39" s="2329">
        <v>49</v>
      </c>
      <c r="AC39" s="2330">
        <v>60</v>
      </c>
      <c r="AD39" s="2315">
        <f t="shared" si="6"/>
        <v>0.81666666666666665</v>
      </c>
      <c r="AE39" s="1733"/>
      <c r="AF39" s="2329">
        <v>50</v>
      </c>
      <c r="AG39" s="2330">
        <v>59</v>
      </c>
      <c r="AH39" s="2315">
        <f t="shared" si="7"/>
        <v>0.84745762711864403</v>
      </c>
      <c r="AI39" s="1733"/>
      <c r="AJ39" s="2329">
        <v>49</v>
      </c>
      <c r="AK39" s="2330">
        <v>60</v>
      </c>
      <c r="AL39" s="2315">
        <f t="shared" si="8"/>
        <v>0.81666666666666665</v>
      </c>
      <c r="AM39" s="1733"/>
      <c r="AN39" s="2329">
        <v>26</v>
      </c>
      <c r="AO39" s="2330">
        <v>61</v>
      </c>
      <c r="AP39" s="2315">
        <f t="shared" si="9"/>
        <v>0.42622950819672129</v>
      </c>
      <c r="AR39" s="2329">
        <v>55</v>
      </c>
      <c r="AS39" s="2330">
        <v>63</v>
      </c>
      <c r="AT39" s="2315">
        <f t="shared" si="10"/>
        <v>0.87301587301587302</v>
      </c>
      <c r="AV39" s="2329">
        <v>68</v>
      </c>
      <c r="AW39" s="2330">
        <v>61</v>
      </c>
      <c r="AX39" s="2315">
        <f t="shared" si="11"/>
        <v>1.1147540983606556</v>
      </c>
      <c r="AZ39" s="2329">
        <v>46</v>
      </c>
      <c r="BA39" s="2330">
        <v>60</v>
      </c>
      <c r="BB39" s="2315">
        <f t="shared" si="12"/>
        <v>0.76666666666666672</v>
      </c>
      <c r="BD39" s="2329">
        <v>56</v>
      </c>
      <c r="BE39" s="2330">
        <v>62</v>
      </c>
      <c r="BF39" s="2315">
        <f t="shared" si="13"/>
        <v>0.90322580645161288</v>
      </c>
    </row>
    <row r="40" spans="1:58" s="1" customFormat="1" ht="18">
      <c r="A40" s="1960"/>
      <c r="B40" s="1968" t="s">
        <v>983</v>
      </c>
      <c r="C40" s="5317"/>
      <c r="D40" s="2329">
        <v>51</v>
      </c>
      <c r="E40" s="2330">
        <v>55</v>
      </c>
      <c r="F40" s="2315">
        <f t="shared" si="14"/>
        <v>0.92727272727272725</v>
      </c>
      <c r="G40" s="1733"/>
      <c r="H40" s="2329">
        <v>64</v>
      </c>
      <c r="I40" s="2330">
        <v>56</v>
      </c>
      <c r="J40" s="2315">
        <f t="shared" si="1"/>
        <v>1.1428571428571428</v>
      </c>
      <c r="K40" s="1733"/>
      <c r="L40" s="2329">
        <v>81</v>
      </c>
      <c r="M40" s="2330">
        <v>56</v>
      </c>
      <c r="N40" s="2315">
        <f t="shared" si="2"/>
        <v>1.4464285714285714</v>
      </c>
      <c r="O40" s="1733"/>
      <c r="P40" s="2329">
        <v>90</v>
      </c>
      <c r="Q40" s="2330">
        <v>56</v>
      </c>
      <c r="R40" s="2315">
        <f t="shared" si="3"/>
        <v>1.6071428571428572</v>
      </c>
      <c r="S40" s="1733"/>
      <c r="T40" s="2329">
        <v>86</v>
      </c>
      <c r="U40" s="2330">
        <v>56</v>
      </c>
      <c r="V40" s="2315">
        <f t="shared" si="4"/>
        <v>1.5357142857142858</v>
      </c>
      <c r="W40" s="1733"/>
      <c r="X40" s="2329">
        <v>93</v>
      </c>
      <c r="Y40" s="2330">
        <v>55</v>
      </c>
      <c r="Z40" s="2315">
        <f t="shared" si="5"/>
        <v>1.6909090909090909</v>
      </c>
      <c r="AA40" s="1733"/>
      <c r="AB40" s="2329">
        <v>84</v>
      </c>
      <c r="AC40" s="2330">
        <v>54</v>
      </c>
      <c r="AD40" s="2315">
        <f t="shared" si="6"/>
        <v>1.5555555555555556</v>
      </c>
      <c r="AE40" s="1733"/>
      <c r="AF40" s="2329">
        <v>101</v>
      </c>
      <c r="AG40" s="2330">
        <v>54</v>
      </c>
      <c r="AH40" s="2315">
        <f t="shared" si="7"/>
        <v>1.8703703703703705</v>
      </c>
      <c r="AI40" s="1733"/>
      <c r="AJ40" s="2329">
        <v>85</v>
      </c>
      <c r="AK40" s="2330">
        <v>54</v>
      </c>
      <c r="AL40" s="2315">
        <f t="shared" si="8"/>
        <v>1.5740740740740742</v>
      </c>
      <c r="AM40" s="1733"/>
      <c r="AN40" s="2329">
        <v>120</v>
      </c>
      <c r="AO40" s="2330">
        <v>52</v>
      </c>
      <c r="AP40" s="2315">
        <f t="shared" si="9"/>
        <v>2.3076923076923075</v>
      </c>
      <c r="AR40" s="2329">
        <v>92</v>
      </c>
      <c r="AS40" s="2330">
        <v>51</v>
      </c>
      <c r="AT40" s="2315">
        <f t="shared" si="10"/>
        <v>1.803921568627451</v>
      </c>
      <c r="AV40" s="2329">
        <v>105</v>
      </c>
      <c r="AW40" s="2330">
        <v>49</v>
      </c>
      <c r="AX40" s="2315">
        <f t="shared" si="11"/>
        <v>2.1428571428571428</v>
      </c>
      <c r="AZ40" s="2329">
        <v>77</v>
      </c>
      <c r="BA40" s="2330">
        <v>47</v>
      </c>
      <c r="BB40" s="2315">
        <f t="shared" si="12"/>
        <v>1.6382978723404256</v>
      </c>
      <c r="BD40" s="2329">
        <v>53</v>
      </c>
      <c r="BE40" s="2330">
        <v>45</v>
      </c>
      <c r="BF40" s="2315">
        <f t="shared" si="13"/>
        <v>1.1777777777777778</v>
      </c>
    </row>
    <row r="41" spans="1:58" s="1" customFormat="1" ht="15" customHeight="1">
      <c r="A41" s="1960"/>
      <c r="B41" s="1929" t="s">
        <v>4</v>
      </c>
      <c r="C41" s="5317"/>
      <c r="D41" s="2328">
        <f>SUM(D36:D40)</f>
        <v>260</v>
      </c>
      <c r="E41" s="1040">
        <f>SUM(E36:E40)</f>
        <v>276</v>
      </c>
      <c r="F41" s="2314">
        <f t="shared" si="14"/>
        <v>0.94202898550724634</v>
      </c>
      <c r="G41" s="1733"/>
      <c r="H41" s="2328">
        <v>258</v>
      </c>
      <c r="I41" s="1040">
        <f>SUM(I36:I40)</f>
        <v>278</v>
      </c>
      <c r="J41" s="2314">
        <f t="shared" si="1"/>
        <v>0.92805755395683454</v>
      </c>
      <c r="K41" s="1733"/>
      <c r="L41" s="2328">
        <v>281</v>
      </c>
      <c r="M41" s="1040">
        <f>SUM(M36:M40)</f>
        <v>279</v>
      </c>
      <c r="N41" s="2314">
        <f t="shared" si="2"/>
        <v>1.0071684587813621</v>
      </c>
      <c r="O41" s="1733"/>
      <c r="P41" s="2328">
        <v>337</v>
      </c>
      <c r="Q41" s="1040">
        <f>SUM(Q36:Q40)</f>
        <v>284</v>
      </c>
      <c r="R41" s="2314">
        <f t="shared" si="3"/>
        <v>1.1866197183098592</v>
      </c>
      <c r="S41" s="1733"/>
      <c r="T41" s="2328">
        <f>SUM(T36:T40)</f>
        <v>341</v>
      </c>
      <c r="U41" s="1040">
        <f>SUM(U36:U40)</f>
        <v>286</v>
      </c>
      <c r="V41" s="2314">
        <f t="shared" si="4"/>
        <v>1.1923076923076923</v>
      </c>
      <c r="W41" s="1733"/>
      <c r="X41" s="2328">
        <f>SUM(X36:X40)</f>
        <v>319</v>
      </c>
      <c r="Y41" s="1040">
        <v>283</v>
      </c>
      <c r="Z41" s="2314">
        <f t="shared" si="5"/>
        <v>1.127208480565371</v>
      </c>
      <c r="AA41" s="1733"/>
      <c r="AB41" s="2328">
        <v>308</v>
      </c>
      <c r="AC41" s="1040">
        <f>SUM(AC36:AC40)</f>
        <v>281</v>
      </c>
      <c r="AD41" s="2314">
        <f t="shared" si="6"/>
        <v>1.0960854092526691</v>
      </c>
      <c r="AE41" s="1733"/>
      <c r="AF41" s="2328">
        <v>321</v>
      </c>
      <c r="AG41" s="1040">
        <f>SUM(AG36:AG40)</f>
        <v>275</v>
      </c>
      <c r="AH41" s="2314">
        <f>AF41/AG41</f>
        <v>1.1672727272727272</v>
      </c>
      <c r="AI41" s="1733"/>
      <c r="AJ41" s="2328">
        <v>338</v>
      </c>
      <c r="AK41" s="1040">
        <f>SUM(AK36:AK40)</f>
        <v>275</v>
      </c>
      <c r="AL41" s="2314">
        <f>AJ41/AK41</f>
        <v>1.229090909090909</v>
      </c>
      <c r="AM41" s="1733"/>
      <c r="AN41" s="2328">
        <v>272</v>
      </c>
      <c r="AO41" s="1040">
        <v>269</v>
      </c>
      <c r="AP41" s="2314">
        <f>AN41/AO41</f>
        <v>1.0111524163568772</v>
      </c>
      <c r="AR41" s="2328">
        <v>315</v>
      </c>
      <c r="AS41" s="1040">
        <v>268</v>
      </c>
      <c r="AT41" s="2314">
        <f>AR41/AS41</f>
        <v>1.1753731343283582</v>
      </c>
      <c r="AV41" s="2328">
        <v>345</v>
      </c>
      <c r="AW41" s="1040">
        <v>262</v>
      </c>
      <c r="AX41" s="2314">
        <f>AV41/AW41</f>
        <v>1.3167938931297709</v>
      </c>
      <c r="AZ41" s="2328">
        <v>298</v>
      </c>
      <c r="BA41" s="1040">
        <v>258</v>
      </c>
      <c r="BB41" s="2314">
        <f>AZ41/BA41</f>
        <v>1.1550387596899225</v>
      </c>
      <c r="BD41" s="2328">
        <v>251</v>
      </c>
      <c r="BE41" s="1040">
        <v>260</v>
      </c>
      <c r="BF41" s="2314">
        <f>BD41/BE41</f>
        <v>0.9653846153846154</v>
      </c>
    </row>
    <row r="42" spans="1:58" s="1" customFormat="1" ht="18">
      <c r="A42" s="1960"/>
      <c r="B42" s="1968" t="s">
        <v>984</v>
      </c>
      <c r="C42" s="5317"/>
      <c r="D42" s="2329">
        <v>26</v>
      </c>
      <c r="E42" s="2330">
        <v>40</v>
      </c>
      <c r="F42" s="2315">
        <f t="shared" si="14"/>
        <v>0.65</v>
      </c>
      <c r="G42" s="1733"/>
      <c r="H42" s="2329">
        <v>38</v>
      </c>
      <c r="I42" s="2330">
        <v>43</v>
      </c>
      <c r="J42" s="2315">
        <f t="shared" si="1"/>
        <v>0.88372093023255816</v>
      </c>
      <c r="K42" s="1733"/>
      <c r="L42" s="2329">
        <v>56</v>
      </c>
      <c r="M42" s="2330">
        <v>43</v>
      </c>
      <c r="N42" s="2315">
        <f t="shared" si="2"/>
        <v>1.3023255813953489</v>
      </c>
      <c r="O42" s="1733"/>
      <c r="P42" s="2329">
        <v>38</v>
      </c>
      <c r="Q42" s="2330">
        <v>46</v>
      </c>
      <c r="R42" s="2315">
        <f t="shared" si="3"/>
        <v>0.82608695652173914</v>
      </c>
      <c r="S42" s="1733"/>
      <c r="T42" s="2329">
        <v>36</v>
      </c>
      <c r="U42" s="2330">
        <v>47</v>
      </c>
      <c r="V42" s="2315">
        <f t="shared" si="4"/>
        <v>0.76595744680851063</v>
      </c>
      <c r="W42" s="1733"/>
      <c r="X42" s="2329">
        <v>47</v>
      </c>
      <c r="Y42" s="2330">
        <v>47</v>
      </c>
      <c r="Z42" s="2315">
        <f t="shared" si="5"/>
        <v>1</v>
      </c>
      <c r="AA42" s="1733"/>
      <c r="AB42" s="2329">
        <v>42</v>
      </c>
      <c r="AC42" s="2330">
        <v>48</v>
      </c>
      <c r="AD42" s="2315">
        <f t="shared" si="6"/>
        <v>0.875</v>
      </c>
      <c r="AE42" s="1733"/>
      <c r="AF42" s="2329">
        <v>35</v>
      </c>
      <c r="AG42" s="2330">
        <v>47</v>
      </c>
      <c r="AH42" s="2315">
        <f t="shared" si="7"/>
        <v>0.74468085106382975</v>
      </c>
      <c r="AI42" s="1733"/>
      <c r="AJ42" s="2329">
        <v>41</v>
      </c>
      <c r="AK42" s="2330">
        <v>47</v>
      </c>
      <c r="AL42" s="2315">
        <f t="shared" ref="AL42:AL53" si="15">AJ42/AK42</f>
        <v>0.87234042553191493</v>
      </c>
      <c r="AM42" s="1733"/>
      <c r="AN42" s="2329">
        <v>51</v>
      </c>
      <c r="AO42" s="2330">
        <v>46</v>
      </c>
      <c r="AP42" s="2315">
        <f t="shared" ref="AP42:AP53" si="16">AN42/AO42</f>
        <v>1.1086956521739131</v>
      </c>
      <c r="AR42" s="2329">
        <v>46</v>
      </c>
      <c r="AS42" s="2330">
        <v>46</v>
      </c>
      <c r="AT42" s="2315">
        <f t="shared" ref="AT42:AT53" si="17">AR42/AS42</f>
        <v>1</v>
      </c>
      <c r="AV42" s="2329">
        <v>57</v>
      </c>
      <c r="AW42" s="2330">
        <v>46</v>
      </c>
      <c r="AX42" s="2315">
        <f t="shared" ref="AX42:AX53" si="18">AV42/AW42</f>
        <v>1.2391304347826086</v>
      </c>
      <c r="AZ42" s="2329">
        <v>52</v>
      </c>
      <c r="BA42" s="2330">
        <v>46</v>
      </c>
      <c r="BB42" s="2315">
        <f t="shared" ref="BB42:BB53" si="19">AZ42/BA42</f>
        <v>1.1304347826086956</v>
      </c>
      <c r="BD42" s="2329">
        <v>57</v>
      </c>
      <c r="BE42" s="2330">
        <v>45</v>
      </c>
      <c r="BF42" s="2315">
        <f t="shared" ref="BF42:BF53" si="20">BD42/BE42</f>
        <v>1.2666666666666666</v>
      </c>
    </row>
    <row r="43" spans="1:58" s="1" customFormat="1" ht="18">
      <c r="A43" s="1960"/>
      <c r="B43" s="1968" t="s">
        <v>985</v>
      </c>
      <c r="C43" s="5317"/>
      <c r="D43" s="2329">
        <v>24</v>
      </c>
      <c r="E43" s="2330">
        <v>33</v>
      </c>
      <c r="F43" s="2315">
        <f t="shared" si="14"/>
        <v>0.72727272727272729</v>
      </c>
      <c r="G43" s="1733"/>
      <c r="H43" s="2329">
        <v>25</v>
      </c>
      <c r="I43" s="2330">
        <v>36</v>
      </c>
      <c r="J43" s="2315">
        <f t="shared" si="1"/>
        <v>0.69444444444444442</v>
      </c>
      <c r="K43" s="1733"/>
      <c r="L43" s="2329">
        <v>11</v>
      </c>
      <c r="M43" s="2330">
        <v>35</v>
      </c>
      <c r="N43" s="2315">
        <f t="shared" si="2"/>
        <v>0.31428571428571428</v>
      </c>
      <c r="O43" s="1733"/>
      <c r="P43" s="2329">
        <v>19</v>
      </c>
      <c r="Q43" s="2330">
        <v>35</v>
      </c>
      <c r="R43" s="2315">
        <f t="shared" si="3"/>
        <v>0.54285714285714282</v>
      </c>
      <c r="S43" s="1733"/>
      <c r="T43" s="2329">
        <v>16</v>
      </c>
      <c r="U43" s="2330">
        <v>34</v>
      </c>
      <c r="V43" s="2315">
        <f t="shared" si="4"/>
        <v>0.47058823529411764</v>
      </c>
      <c r="W43" s="1733"/>
      <c r="X43" s="2329">
        <v>26</v>
      </c>
      <c r="Y43" s="2330">
        <v>36</v>
      </c>
      <c r="Z43" s="2315">
        <f t="shared" si="5"/>
        <v>0.72222222222222221</v>
      </c>
      <c r="AA43" s="1733"/>
      <c r="AB43" s="2329">
        <v>32</v>
      </c>
      <c r="AC43" s="2330">
        <v>37</v>
      </c>
      <c r="AD43" s="2315">
        <f t="shared" si="6"/>
        <v>0.86486486486486491</v>
      </c>
      <c r="AE43" s="1733"/>
      <c r="AF43" s="2329">
        <v>25</v>
      </c>
      <c r="AG43" s="2330">
        <v>37</v>
      </c>
      <c r="AH43" s="2315">
        <f t="shared" si="7"/>
        <v>0.67567567567567566</v>
      </c>
      <c r="AI43" s="1733"/>
      <c r="AJ43" s="2329">
        <v>22</v>
      </c>
      <c r="AK43" s="2330">
        <v>39</v>
      </c>
      <c r="AL43" s="2315">
        <f t="shared" si="15"/>
        <v>0.5641025641025641</v>
      </c>
      <c r="AM43" s="1733"/>
      <c r="AN43" s="2329">
        <v>40</v>
      </c>
      <c r="AO43" s="2330">
        <v>39</v>
      </c>
      <c r="AP43" s="2315">
        <f t="shared" si="16"/>
        <v>1.0256410256410255</v>
      </c>
      <c r="AR43" s="2329">
        <v>18</v>
      </c>
      <c r="AS43" s="2330">
        <v>38</v>
      </c>
      <c r="AT43" s="2315">
        <f t="shared" si="17"/>
        <v>0.47368421052631576</v>
      </c>
      <c r="AV43" s="2329">
        <v>42</v>
      </c>
      <c r="AW43" s="2330">
        <v>37</v>
      </c>
      <c r="AX43" s="2315">
        <f t="shared" si="18"/>
        <v>1.1351351351351351</v>
      </c>
      <c r="AZ43" s="2329">
        <v>46</v>
      </c>
      <c r="BA43" s="2330">
        <v>36</v>
      </c>
      <c r="BB43" s="2315">
        <f t="shared" si="19"/>
        <v>1.2777777777777777</v>
      </c>
      <c r="BD43" s="2329">
        <v>35</v>
      </c>
      <c r="BE43" s="2330">
        <v>34</v>
      </c>
      <c r="BF43" s="2315">
        <f t="shared" si="20"/>
        <v>1.0294117647058822</v>
      </c>
    </row>
    <row r="44" spans="1:58" s="1" customFormat="1" ht="18">
      <c r="A44" s="1960"/>
      <c r="B44" s="1968" t="s">
        <v>986</v>
      </c>
      <c r="C44" s="5317"/>
      <c r="D44" s="2329">
        <v>86</v>
      </c>
      <c r="E44" s="2330">
        <v>50</v>
      </c>
      <c r="F44" s="2315">
        <f t="shared" si="14"/>
        <v>1.72</v>
      </c>
      <c r="G44" s="1733"/>
      <c r="H44" s="2329">
        <v>77</v>
      </c>
      <c r="I44" s="2330">
        <v>49</v>
      </c>
      <c r="J44" s="2315">
        <f t="shared" si="1"/>
        <v>1.5714285714285714</v>
      </c>
      <c r="K44" s="1733"/>
      <c r="L44" s="2329">
        <v>91</v>
      </c>
      <c r="M44" s="2330">
        <v>48</v>
      </c>
      <c r="N44" s="2315">
        <f t="shared" si="2"/>
        <v>1.8958333333333333</v>
      </c>
      <c r="O44" s="1733"/>
      <c r="P44" s="2329">
        <v>70</v>
      </c>
      <c r="Q44" s="2330">
        <v>49</v>
      </c>
      <c r="R44" s="2315">
        <f t="shared" si="3"/>
        <v>1.4285714285714286</v>
      </c>
      <c r="S44" s="1733"/>
      <c r="T44" s="2329">
        <v>75</v>
      </c>
      <c r="U44" s="2330">
        <v>51</v>
      </c>
      <c r="V44" s="2315">
        <f t="shared" si="4"/>
        <v>1.4705882352941178</v>
      </c>
      <c r="W44" s="1733"/>
      <c r="X44" s="2329">
        <v>87</v>
      </c>
      <c r="Y44" s="2330">
        <v>53</v>
      </c>
      <c r="Z44" s="2315">
        <f t="shared" si="5"/>
        <v>1.6415094339622642</v>
      </c>
      <c r="AA44" s="1733"/>
      <c r="AB44" s="2329">
        <v>76</v>
      </c>
      <c r="AC44" s="2330">
        <v>53</v>
      </c>
      <c r="AD44" s="2315">
        <f t="shared" si="6"/>
        <v>1.4339622641509433</v>
      </c>
      <c r="AE44" s="1733"/>
      <c r="AF44" s="2329">
        <v>76</v>
      </c>
      <c r="AG44" s="2330">
        <v>51</v>
      </c>
      <c r="AH44" s="2315">
        <f t="shared" si="7"/>
        <v>1.4901960784313726</v>
      </c>
      <c r="AI44" s="1733"/>
      <c r="AJ44" s="2329">
        <v>119</v>
      </c>
      <c r="AK44" s="2330">
        <v>49</v>
      </c>
      <c r="AL44" s="2315">
        <f t="shared" si="15"/>
        <v>2.4285714285714284</v>
      </c>
      <c r="AM44" s="1733"/>
      <c r="AN44" s="2329">
        <v>133</v>
      </c>
      <c r="AO44" s="2330">
        <v>50</v>
      </c>
      <c r="AP44" s="2315">
        <f t="shared" si="16"/>
        <v>2.66</v>
      </c>
      <c r="AR44" s="2329">
        <v>92</v>
      </c>
      <c r="AS44" s="2330">
        <v>49</v>
      </c>
      <c r="AT44" s="2315">
        <f t="shared" si="17"/>
        <v>1.8775510204081634</v>
      </c>
      <c r="AV44" s="2329">
        <v>103</v>
      </c>
      <c r="AW44" s="2330">
        <v>48</v>
      </c>
      <c r="AX44" s="2315">
        <f t="shared" si="18"/>
        <v>2.1458333333333335</v>
      </c>
      <c r="AZ44" s="2329">
        <v>97</v>
      </c>
      <c r="BA44" s="2330">
        <v>47</v>
      </c>
      <c r="BB44" s="2315">
        <f t="shared" si="19"/>
        <v>2.0638297872340425</v>
      </c>
      <c r="BD44" s="2329">
        <v>103</v>
      </c>
      <c r="BE44" s="2330">
        <v>46</v>
      </c>
      <c r="BF44" s="2315">
        <f t="shared" si="20"/>
        <v>2.2391304347826089</v>
      </c>
    </row>
    <row r="45" spans="1:58" s="1" customFormat="1" ht="18">
      <c r="A45" s="1960"/>
      <c r="B45" s="1968" t="s">
        <v>987</v>
      </c>
      <c r="C45" s="5317"/>
      <c r="D45" s="2329">
        <v>45</v>
      </c>
      <c r="E45" s="2330">
        <v>46</v>
      </c>
      <c r="F45" s="2315">
        <f t="shared" si="14"/>
        <v>0.97826086956521741</v>
      </c>
      <c r="G45" s="1733"/>
      <c r="H45" s="2329">
        <v>26</v>
      </c>
      <c r="I45" s="2330">
        <v>48</v>
      </c>
      <c r="J45" s="2315">
        <f t="shared" si="1"/>
        <v>0.54166666666666663</v>
      </c>
      <c r="K45" s="1733"/>
      <c r="L45" s="2329">
        <v>33</v>
      </c>
      <c r="M45" s="2330">
        <v>48</v>
      </c>
      <c r="N45" s="2315">
        <f t="shared" si="2"/>
        <v>0.6875</v>
      </c>
      <c r="O45" s="1733"/>
      <c r="P45" s="2329">
        <v>50</v>
      </c>
      <c r="Q45" s="2330">
        <v>50</v>
      </c>
      <c r="R45" s="2315">
        <f t="shared" si="3"/>
        <v>1</v>
      </c>
      <c r="S45" s="1733"/>
      <c r="T45" s="2329">
        <v>59</v>
      </c>
      <c r="U45" s="2330">
        <v>55</v>
      </c>
      <c r="V45" s="2315">
        <f t="shared" si="4"/>
        <v>1.0727272727272728</v>
      </c>
      <c r="W45" s="1733"/>
      <c r="X45" s="2329">
        <v>63</v>
      </c>
      <c r="Y45" s="2330">
        <v>54</v>
      </c>
      <c r="Z45" s="2315">
        <f t="shared" si="5"/>
        <v>1.1666666666666667</v>
      </c>
      <c r="AA45" s="1733"/>
      <c r="AB45" s="2329">
        <v>73</v>
      </c>
      <c r="AC45" s="2330">
        <v>55</v>
      </c>
      <c r="AD45" s="2315">
        <f t="shared" si="6"/>
        <v>1.3272727272727274</v>
      </c>
      <c r="AE45" s="1733"/>
      <c r="AF45" s="2329">
        <v>93</v>
      </c>
      <c r="AG45" s="2330">
        <v>55</v>
      </c>
      <c r="AH45" s="2315">
        <f t="shared" si="7"/>
        <v>1.6909090909090909</v>
      </c>
      <c r="AI45" s="1733"/>
      <c r="AJ45" s="2329">
        <v>73</v>
      </c>
      <c r="AK45" s="2330">
        <v>55</v>
      </c>
      <c r="AL45" s="2315">
        <f t="shared" si="15"/>
        <v>1.3272727272727274</v>
      </c>
      <c r="AM45" s="1733"/>
      <c r="AN45" s="2329">
        <v>90</v>
      </c>
      <c r="AO45" s="2330">
        <v>54</v>
      </c>
      <c r="AP45" s="2315">
        <f t="shared" si="16"/>
        <v>1.6666666666666667</v>
      </c>
      <c r="AR45" s="2329">
        <v>100</v>
      </c>
      <c r="AS45" s="2330">
        <v>54</v>
      </c>
      <c r="AT45" s="2315">
        <f t="shared" si="17"/>
        <v>1.8518518518518519</v>
      </c>
      <c r="AV45" s="2329">
        <v>91</v>
      </c>
      <c r="AW45" s="2330">
        <v>55</v>
      </c>
      <c r="AX45" s="2315">
        <f t="shared" si="18"/>
        <v>1.6545454545454545</v>
      </c>
      <c r="AZ45" s="2329">
        <v>88</v>
      </c>
      <c r="BA45" s="2330">
        <v>53</v>
      </c>
      <c r="BB45" s="2315">
        <f t="shared" si="19"/>
        <v>1.6603773584905661</v>
      </c>
      <c r="BD45" s="2329">
        <v>76</v>
      </c>
      <c r="BE45" s="2330">
        <v>52</v>
      </c>
      <c r="BF45" s="2315">
        <f t="shared" si="20"/>
        <v>1.4615384615384615</v>
      </c>
    </row>
    <row r="46" spans="1:58" s="1" customFormat="1" ht="18">
      <c r="A46" s="1960"/>
      <c r="B46" s="1968" t="s">
        <v>988</v>
      </c>
      <c r="C46" s="5317"/>
      <c r="D46" s="2329">
        <v>20</v>
      </c>
      <c r="E46" s="2330">
        <v>37</v>
      </c>
      <c r="F46" s="2315">
        <f t="shared" si="14"/>
        <v>0.54054054054054057</v>
      </c>
      <c r="G46" s="1733"/>
      <c r="H46" s="2329">
        <v>15</v>
      </c>
      <c r="I46" s="2330">
        <v>38</v>
      </c>
      <c r="J46" s="2315">
        <f t="shared" si="1"/>
        <v>0.39473684210526316</v>
      </c>
      <c r="K46" s="1733"/>
      <c r="L46" s="2329">
        <v>8</v>
      </c>
      <c r="M46" s="2330">
        <v>40</v>
      </c>
      <c r="N46" s="2315">
        <f t="shared" si="2"/>
        <v>0.2</v>
      </c>
      <c r="O46" s="1733"/>
      <c r="P46" s="2329">
        <v>30</v>
      </c>
      <c r="Q46" s="2330">
        <v>41</v>
      </c>
      <c r="R46" s="2315">
        <f t="shared" si="3"/>
        <v>0.73170731707317072</v>
      </c>
      <c r="S46" s="1733"/>
      <c r="T46" s="2329">
        <v>48</v>
      </c>
      <c r="U46" s="2330">
        <v>41</v>
      </c>
      <c r="V46" s="2315">
        <f t="shared" si="4"/>
        <v>1.1707317073170731</v>
      </c>
      <c r="W46" s="1733"/>
      <c r="X46" s="2329">
        <v>32</v>
      </c>
      <c r="Y46" s="2330">
        <v>39</v>
      </c>
      <c r="Z46" s="2315">
        <f t="shared" si="5"/>
        <v>0.82051282051282048</v>
      </c>
      <c r="AA46" s="1733"/>
      <c r="AB46" s="2329">
        <v>31</v>
      </c>
      <c r="AC46" s="2330">
        <v>38</v>
      </c>
      <c r="AD46" s="2315">
        <f t="shared" si="6"/>
        <v>0.81578947368421051</v>
      </c>
      <c r="AE46" s="1733"/>
      <c r="AF46" s="2329">
        <v>39</v>
      </c>
      <c r="AG46" s="2330">
        <v>38</v>
      </c>
      <c r="AH46" s="2315">
        <f t="shared" si="7"/>
        <v>1.0263157894736843</v>
      </c>
      <c r="AI46" s="1733"/>
      <c r="AJ46" s="2329">
        <v>47</v>
      </c>
      <c r="AK46" s="2330">
        <v>37</v>
      </c>
      <c r="AL46" s="2315">
        <f t="shared" si="15"/>
        <v>1.2702702702702702</v>
      </c>
      <c r="AM46" s="1733"/>
      <c r="AN46" s="2329">
        <v>39</v>
      </c>
      <c r="AO46" s="2330">
        <v>35</v>
      </c>
      <c r="AP46" s="2315">
        <f t="shared" si="16"/>
        <v>1.1142857142857143</v>
      </c>
      <c r="AR46" s="2329">
        <v>29</v>
      </c>
      <c r="AS46" s="2330">
        <v>35</v>
      </c>
      <c r="AT46" s="2315">
        <f t="shared" si="17"/>
        <v>0.82857142857142863</v>
      </c>
      <c r="AV46" s="2329">
        <v>48</v>
      </c>
      <c r="AW46" s="2330">
        <v>33</v>
      </c>
      <c r="AX46" s="2315">
        <f t="shared" si="18"/>
        <v>1.4545454545454546</v>
      </c>
      <c r="AZ46" s="2329">
        <v>43</v>
      </c>
      <c r="BA46" s="2330">
        <v>32</v>
      </c>
      <c r="BB46" s="2315">
        <f t="shared" si="19"/>
        <v>1.34375</v>
      </c>
      <c r="BD46" s="2329">
        <v>44</v>
      </c>
      <c r="BE46" s="2330">
        <v>33</v>
      </c>
      <c r="BF46" s="2315">
        <f t="shared" si="20"/>
        <v>1.3333333333333333</v>
      </c>
    </row>
    <row r="47" spans="1:58" s="1" customFormat="1" ht="15" customHeight="1">
      <c r="A47" s="1960"/>
      <c r="B47" s="1929" t="s">
        <v>41</v>
      </c>
      <c r="C47" s="5317"/>
      <c r="D47" s="2328">
        <f>SUM(D42:D46)</f>
        <v>201</v>
      </c>
      <c r="E47" s="1040">
        <f>SUM(E42:E46)</f>
        <v>206</v>
      </c>
      <c r="F47" s="2314">
        <f t="shared" si="14"/>
        <v>0.97572815533980584</v>
      </c>
      <c r="G47" s="1733"/>
      <c r="H47" s="2328">
        <v>181</v>
      </c>
      <c r="I47" s="1040">
        <f>SUM(I42:I46)</f>
        <v>214</v>
      </c>
      <c r="J47" s="2314">
        <f t="shared" si="1"/>
        <v>0.84579439252336452</v>
      </c>
      <c r="K47" s="1733"/>
      <c r="L47" s="2328">
        <v>199</v>
      </c>
      <c r="M47" s="1040">
        <f>SUM(M42:M46)</f>
        <v>214</v>
      </c>
      <c r="N47" s="2314">
        <f t="shared" si="2"/>
        <v>0.92990654205607481</v>
      </c>
      <c r="O47" s="1733"/>
      <c r="P47" s="2328">
        <v>207</v>
      </c>
      <c r="Q47" s="1040">
        <f>SUM(Q42:Q46)</f>
        <v>221</v>
      </c>
      <c r="R47" s="2314">
        <f t="shared" si="3"/>
        <v>0.93665158371040724</v>
      </c>
      <c r="S47" s="1733"/>
      <c r="T47" s="2328">
        <f>SUM(T42:T46)</f>
        <v>234</v>
      </c>
      <c r="U47" s="1040">
        <f>SUM(U42:U46)</f>
        <v>228</v>
      </c>
      <c r="V47" s="2314">
        <f t="shared" si="4"/>
        <v>1.0263157894736843</v>
      </c>
      <c r="W47" s="1733"/>
      <c r="X47" s="2328">
        <f>SUM(X42:X46)</f>
        <v>255</v>
      </c>
      <c r="Y47" s="1040">
        <v>229</v>
      </c>
      <c r="Z47" s="2314">
        <f t="shared" si="5"/>
        <v>1.1135371179039302</v>
      </c>
      <c r="AA47" s="1733"/>
      <c r="AB47" s="2328">
        <v>254</v>
      </c>
      <c r="AC47" s="1040">
        <f>SUM(AC42:AC46)</f>
        <v>231</v>
      </c>
      <c r="AD47" s="2314">
        <f t="shared" si="6"/>
        <v>1.0995670995670996</v>
      </c>
      <c r="AE47" s="1733"/>
      <c r="AF47" s="2328">
        <v>268</v>
      </c>
      <c r="AG47" s="1040">
        <f>SUM(AG42:AG46)</f>
        <v>228</v>
      </c>
      <c r="AH47" s="2314">
        <f t="shared" si="7"/>
        <v>1.1754385964912282</v>
      </c>
      <c r="AI47" s="1733"/>
      <c r="AJ47" s="2328">
        <v>302</v>
      </c>
      <c r="AK47" s="1040">
        <f>SUM(AK42:AK46)</f>
        <v>227</v>
      </c>
      <c r="AL47" s="2314">
        <f t="shared" si="15"/>
        <v>1.330396475770925</v>
      </c>
      <c r="AM47" s="1733"/>
      <c r="AN47" s="2328">
        <v>353</v>
      </c>
      <c r="AO47" s="1040">
        <v>224</v>
      </c>
      <c r="AP47" s="2314">
        <f t="shared" si="16"/>
        <v>1.5758928571428572</v>
      </c>
      <c r="AR47" s="2328">
        <v>285</v>
      </c>
      <c r="AS47" s="1040">
        <v>222</v>
      </c>
      <c r="AT47" s="2314">
        <f t="shared" si="17"/>
        <v>1.2837837837837838</v>
      </c>
      <c r="AV47" s="2328">
        <v>341</v>
      </c>
      <c r="AW47" s="1040">
        <v>219</v>
      </c>
      <c r="AX47" s="2314">
        <f t="shared" si="18"/>
        <v>1.5570776255707763</v>
      </c>
      <c r="AZ47" s="2328">
        <v>326</v>
      </c>
      <c r="BA47" s="1040">
        <v>214</v>
      </c>
      <c r="BB47" s="2314">
        <f t="shared" si="19"/>
        <v>1.5233644859813085</v>
      </c>
      <c r="BD47" s="2328">
        <v>315</v>
      </c>
      <c r="BE47" s="1040">
        <v>210</v>
      </c>
      <c r="BF47" s="2314">
        <f t="shared" si="20"/>
        <v>1.5</v>
      </c>
    </row>
    <row r="48" spans="1:58" s="1" customFormat="1" ht="18">
      <c r="A48" s="1960"/>
      <c r="B48" s="1968" t="s">
        <v>989</v>
      </c>
      <c r="C48" s="5317"/>
      <c r="D48" s="2329">
        <v>1</v>
      </c>
      <c r="E48" s="2330">
        <v>25</v>
      </c>
      <c r="F48" s="2315">
        <f t="shared" si="14"/>
        <v>0.04</v>
      </c>
      <c r="G48" s="1733"/>
      <c r="H48" s="2329"/>
      <c r="I48" s="2330">
        <v>25</v>
      </c>
      <c r="J48" s="2315">
        <f t="shared" si="1"/>
        <v>0</v>
      </c>
      <c r="K48" s="1733"/>
      <c r="L48" s="2329">
        <v>1</v>
      </c>
      <c r="M48" s="2330">
        <v>26</v>
      </c>
      <c r="N48" s="2315">
        <f t="shared" si="2"/>
        <v>3.8461538461538464E-2</v>
      </c>
      <c r="O48" s="1733"/>
      <c r="P48" s="2329">
        <v>1</v>
      </c>
      <c r="Q48" s="2330">
        <v>24</v>
      </c>
      <c r="R48" s="2315">
        <f t="shared" si="3"/>
        <v>4.1666666666666664E-2</v>
      </c>
      <c r="S48" s="1733"/>
      <c r="T48" s="2329">
        <v>2</v>
      </c>
      <c r="U48" s="2330">
        <v>24</v>
      </c>
      <c r="V48" s="2315">
        <f t="shared" si="4"/>
        <v>8.3333333333333329E-2</v>
      </c>
      <c r="W48" s="1733"/>
      <c r="X48" s="2329">
        <v>3</v>
      </c>
      <c r="Y48" s="2330">
        <v>24</v>
      </c>
      <c r="Z48" s="2315">
        <f t="shared" si="5"/>
        <v>0.125</v>
      </c>
      <c r="AA48" s="1733"/>
      <c r="AB48" s="2329">
        <v>1</v>
      </c>
      <c r="AC48" s="2330">
        <v>24</v>
      </c>
      <c r="AD48" s="2315">
        <f t="shared" si="6"/>
        <v>4.1666666666666664E-2</v>
      </c>
      <c r="AE48" s="1733"/>
      <c r="AF48" s="2329">
        <v>1</v>
      </c>
      <c r="AG48" s="2330">
        <v>23</v>
      </c>
      <c r="AH48" s="2315">
        <f t="shared" si="7"/>
        <v>4.3478260869565216E-2</v>
      </c>
      <c r="AI48" s="1733"/>
      <c r="AJ48" s="2329">
        <v>0</v>
      </c>
      <c r="AK48" s="2330">
        <v>23</v>
      </c>
      <c r="AL48" s="2315">
        <f t="shared" si="15"/>
        <v>0</v>
      </c>
      <c r="AM48" s="1733"/>
      <c r="AN48" s="2329">
        <v>0</v>
      </c>
      <c r="AO48" s="2330">
        <v>24</v>
      </c>
      <c r="AP48" s="2315">
        <f t="shared" si="16"/>
        <v>0</v>
      </c>
      <c r="AR48" s="2329">
        <v>3</v>
      </c>
      <c r="AS48" s="2330">
        <v>24</v>
      </c>
      <c r="AT48" s="2315">
        <f t="shared" si="17"/>
        <v>0.125</v>
      </c>
      <c r="AV48" s="2329">
        <v>4</v>
      </c>
      <c r="AW48" s="2330">
        <v>22</v>
      </c>
      <c r="AX48" s="2315">
        <f t="shared" si="18"/>
        <v>0.18181818181818182</v>
      </c>
      <c r="AZ48" s="2329">
        <v>3</v>
      </c>
      <c r="BA48" s="2330">
        <v>24</v>
      </c>
      <c r="BB48" s="2315">
        <f t="shared" si="19"/>
        <v>0.125</v>
      </c>
      <c r="BD48" s="2329">
        <v>1</v>
      </c>
      <c r="BE48" s="2330">
        <v>23</v>
      </c>
      <c r="BF48" s="2315">
        <f t="shared" si="20"/>
        <v>4.3478260869565216E-2</v>
      </c>
    </row>
    <row r="49" spans="1:58" s="1" customFormat="1" ht="18">
      <c r="A49" s="1960"/>
      <c r="B49" s="1968" t="s">
        <v>963</v>
      </c>
      <c r="C49" s="5317"/>
      <c r="D49" s="2329">
        <v>1</v>
      </c>
      <c r="E49" s="2330">
        <v>82</v>
      </c>
      <c r="F49" s="2315">
        <f t="shared" si="14"/>
        <v>1.2195121951219513E-2</v>
      </c>
      <c r="G49" s="1733"/>
      <c r="H49" s="2329">
        <v>5</v>
      </c>
      <c r="I49" s="2330">
        <v>80</v>
      </c>
      <c r="J49" s="2315">
        <f t="shared" si="1"/>
        <v>6.25E-2</v>
      </c>
      <c r="K49" s="1733"/>
      <c r="L49" s="2329">
        <v>17</v>
      </c>
      <c r="M49" s="2330">
        <v>78</v>
      </c>
      <c r="N49" s="2315">
        <f t="shared" si="2"/>
        <v>0.21794871794871795</v>
      </c>
      <c r="O49" s="1733"/>
      <c r="P49" s="2329">
        <v>15</v>
      </c>
      <c r="Q49" s="2330">
        <v>79</v>
      </c>
      <c r="R49" s="2315">
        <f t="shared" si="3"/>
        <v>0.189873417721519</v>
      </c>
      <c r="S49" s="1733"/>
      <c r="T49" s="2329">
        <v>1</v>
      </c>
      <c r="U49" s="2330">
        <v>79</v>
      </c>
      <c r="V49" s="2315">
        <f t="shared" si="4"/>
        <v>1.2658227848101266E-2</v>
      </c>
      <c r="W49" s="1733"/>
      <c r="X49" s="2329">
        <v>3</v>
      </c>
      <c r="Y49" s="2330">
        <v>78</v>
      </c>
      <c r="Z49" s="2315">
        <f t="shared" si="5"/>
        <v>3.8461538461538464E-2</v>
      </c>
      <c r="AA49" s="1733"/>
      <c r="AB49" s="2329">
        <v>4</v>
      </c>
      <c r="AC49" s="2330">
        <v>78</v>
      </c>
      <c r="AD49" s="2315">
        <f t="shared" si="6"/>
        <v>5.128205128205128E-2</v>
      </c>
      <c r="AE49" s="1733"/>
      <c r="AF49" s="2329">
        <v>15</v>
      </c>
      <c r="AG49" s="2330">
        <v>83</v>
      </c>
      <c r="AH49" s="2315">
        <f t="shared" si="7"/>
        <v>0.18072289156626506</v>
      </c>
      <c r="AI49" s="1733"/>
      <c r="AJ49" s="2329">
        <v>6</v>
      </c>
      <c r="AK49" s="2330">
        <v>87</v>
      </c>
      <c r="AL49" s="2315">
        <f t="shared" si="15"/>
        <v>6.8965517241379309E-2</v>
      </c>
      <c r="AM49" s="1733"/>
      <c r="AN49" s="2329">
        <v>3</v>
      </c>
      <c r="AO49" s="2330">
        <v>87</v>
      </c>
      <c r="AP49" s="2315">
        <f t="shared" si="16"/>
        <v>3.4482758620689655E-2</v>
      </c>
      <c r="AR49" s="2329">
        <v>1</v>
      </c>
      <c r="AS49" s="2330">
        <v>82</v>
      </c>
      <c r="AT49" s="2315">
        <f t="shared" si="17"/>
        <v>1.2195121951219513E-2</v>
      </c>
      <c r="AV49" s="2329">
        <v>4</v>
      </c>
      <c r="AW49" s="2330">
        <v>80</v>
      </c>
      <c r="AX49" s="2315">
        <f t="shared" si="18"/>
        <v>0.05</v>
      </c>
      <c r="AZ49" s="2329">
        <v>12</v>
      </c>
      <c r="BA49" s="2330">
        <v>77</v>
      </c>
      <c r="BB49" s="2315">
        <f t="shared" si="19"/>
        <v>0.15584415584415584</v>
      </c>
      <c r="BD49" s="2329">
        <v>12</v>
      </c>
      <c r="BE49" s="2330">
        <v>75</v>
      </c>
      <c r="BF49" s="2315">
        <f t="shared" si="20"/>
        <v>0.16</v>
      </c>
    </row>
    <row r="50" spans="1:58" s="1" customFormat="1" ht="18">
      <c r="A50" s="1960"/>
      <c r="B50" s="1968" t="s">
        <v>990</v>
      </c>
      <c r="C50" s="5317"/>
      <c r="D50" s="2329">
        <v>4</v>
      </c>
      <c r="E50" s="2330">
        <v>108</v>
      </c>
      <c r="F50" s="2315">
        <f t="shared" si="14"/>
        <v>3.7037037037037035E-2</v>
      </c>
      <c r="G50" s="1733"/>
      <c r="H50" s="2329">
        <v>3</v>
      </c>
      <c r="I50" s="2330">
        <v>105</v>
      </c>
      <c r="J50" s="2315">
        <f t="shared" si="1"/>
        <v>2.8571428571428571E-2</v>
      </c>
      <c r="K50" s="1733"/>
      <c r="L50" s="2329">
        <v>2</v>
      </c>
      <c r="M50" s="2330">
        <v>105</v>
      </c>
      <c r="N50" s="2315">
        <f t="shared" si="2"/>
        <v>1.9047619047619049E-2</v>
      </c>
      <c r="O50" s="1733"/>
      <c r="P50" s="2329"/>
      <c r="Q50" s="2330">
        <v>104</v>
      </c>
      <c r="R50" s="2315">
        <f t="shared" si="3"/>
        <v>0</v>
      </c>
      <c r="S50" s="1733"/>
      <c r="T50" s="2329">
        <v>3</v>
      </c>
      <c r="U50" s="2330">
        <v>106</v>
      </c>
      <c r="V50" s="2315">
        <f t="shared" si="4"/>
        <v>2.8301886792452831E-2</v>
      </c>
      <c r="W50" s="1733"/>
      <c r="X50" s="2329">
        <v>2</v>
      </c>
      <c r="Y50" s="2330">
        <v>107</v>
      </c>
      <c r="Z50" s="2315">
        <f t="shared" si="5"/>
        <v>1.8691588785046728E-2</v>
      </c>
      <c r="AA50" s="1733"/>
      <c r="AB50" s="2329">
        <v>5</v>
      </c>
      <c r="AC50" s="2330">
        <v>105</v>
      </c>
      <c r="AD50" s="2315">
        <f t="shared" si="6"/>
        <v>4.7619047619047616E-2</v>
      </c>
      <c r="AE50" s="1733"/>
      <c r="AF50" s="2329">
        <v>7</v>
      </c>
      <c r="AG50" s="2330">
        <v>107</v>
      </c>
      <c r="AH50" s="2315">
        <f t="shared" si="7"/>
        <v>6.5420560747663545E-2</v>
      </c>
      <c r="AI50" s="1733"/>
      <c r="AJ50" s="2329">
        <v>3</v>
      </c>
      <c r="AK50" s="2330">
        <v>106</v>
      </c>
      <c r="AL50" s="2315">
        <f t="shared" si="15"/>
        <v>2.8301886792452831E-2</v>
      </c>
      <c r="AM50" s="1733"/>
      <c r="AN50" s="2329">
        <v>2</v>
      </c>
      <c r="AO50" s="2330">
        <v>99</v>
      </c>
      <c r="AP50" s="2315">
        <f t="shared" si="16"/>
        <v>2.0202020202020204E-2</v>
      </c>
      <c r="AR50" s="2329">
        <v>6</v>
      </c>
      <c r="AS50" s="2330">
        <v>98</v>
      </c>
      <c r="AT50" s="2315">
        <f t="shared" si="17"/>
        <v>6.1224489795918366E-2</v>
      </c>
      <c r="AV50" s="2329">
        <v>12</v>
      </c>
      <c r="AW50" s="2330">
        <v>92</v>
      </c>
      <c r="AX50" s="2315">
        <f t="shared" si="18"/>
        <v>0.13043478260869565</v>
      </c>
      <c r="AZ50" s="2329">
        <v>2</v>
      </c>
      <c r="BA50" s="2330">
        <v>92</v>
      </c>
      <c r="BB50" s="2315">
        <f t="shared" si="19"/>
        <v>2.1739130434782608E-2</v>
      </c>
      <c r="BD50" s="2329">
        <v>2</v>
      </c>
      <c r="BE50" s="2330">
        <v>94</v>
      </c>
      <c r="BF50" s="2315">
        <f t="shared" si="20"/>
        <v>2.1276595744680851E-2</v>
      </c>
    </row>
    <row r="51" spans="1:58" s="1" customFormat="1" ht="18">
      <c r="A51" s="1960"/>
      <c r="B51" s="1968" t="s">
        <v>964</v>
      </c>
      <c r="C51" s="5317"/>
      <c r="D51" s="2329">
        <v>2</v>
      </c>
      <c r="E51" s="2330">
        <v>92</v>
      </c>
      <c r="F51" s="2315">
        <f t="shared" si="14"/>
        <v>2.1739130434782608E-2</v>
      </c>
      <c r="G51" s="1733"/>
      <c r="H51" s="2329">
        <v>3</v>
      </c>
      <c r="I51" s="2330">
        <v>92</v>
      </c>
      <c r="J51" s="2315">
        <f t="shared" si="1"/>
        <v>3.2608695652173912E-2</v>
      </c>
      <c r="K51" s="1733"/>
      <c r="L51" s="2329"/>
      <c r="M51" s="2330">
        <v>89</v>
      </c>
      <c r="N51" s="2315">
        <f t="shared" si="2"/>
        <v>0</v>
      </c>
      <c r="O51" s="1733"/>
      <c r="P51" s="2329"/>
      <c r="Q51" s="2330">
        <v>92</v>
      </c>
      <c r="R51" s="2315">
        <f t="shared" si="3"/>
        <v>0</v>
      </c>
      <c r="S51" s="1733"/>
      <c r="T51" s="2329">
        <v>1</v>
      </c>
      <c r="U51" s="2330">
        <v>94</v>
      </c>
      <c r="V51" s="2315">
        <f t="shared" si="4"/>
        <v>1.0638297872340425E-2</v>
      </c>
      <c r="W51" s="1733"/>
      <c r="X51" s="2329">
        <v>3</v>
      </c>
      <c r="Y51" s="2330">
        <v>92</v>
      </c>
      <c r="Z51" s="2315">
        <f t="shared" si="5"/>
        <v>3.2608695652173912E-2</v>
      </c>
      <c r="AA51" s="1733"/>
      <c r="AB51" s="2329">
        <v>2</v>
      </c>
      <c r="AC51" s="2330">
        <v>91</v>
      </c>
      <c r="AD51" s="2315">
        <f t="shared" si="6"/>
        <v>2.197802197802198E-2</v>
      </c>
      <c r="AE51" s="1733"/>
      <c r="AF51" s="2329"/>
      <c r="AG51" s="2330">
        <v>90</v>
      </c>
      <c r="AH51" s="2315">
        <f t="shared" si="7"/>
        <v>0</v>
      </c>
      <c r="AI51" s="1733"/>
      <c r="AJ51" s="2329">
        <v>0</v>
      </c>
      <c r="AK51" s="2330">
        <v>93</v>
      </c>
      <c r="AL51" s="2315">
        <f t="shared" si="15"/>
        <v>0</v>
      </c>
      <c r="AM51" s="1733"/>
      <c r="AN51" s="2329">
        <v>0</v>
      </c>
      <c r="AO51" s="2330">
        <v>87</v>
      </c>
      <c r="AP51" s="2315">
        <f t="shared" si="16"/>
        <v>0</v>
      </c>
      <c r="AR51" s="2329">
        <v>1</v>
      </c>
      <c r="AS51" s="2330">
        <v>85</v>
      </c>
      <c r="AT51" s="2315">
        <f t="shared" si="17"/>
        <v>1.1764705882352941E-2</v>
      </c>
      <c r="AV51" s="2329">
        <v>5</v>
      </c>
      <c r="AW51" s="2330">
        <v>84</v>
      </c>
      <c r="AX51" s="2315">
        <f t="shared" si="18"/>
        <v>5.9523809523809521E-2</v>
      </c>
      <c r="AZ51" s="2329">
        <v>4</v>
      </c>
      <c r="BA51" s="2330">
        <v>86</v>
      </c>
      <c r="BB51" s="2315">
        <f t="shared" si="19"/>
        <v>4.6511627906976744E-2</v>
      </c>
      <c r="BD51" s="2329">
        <v>2</v>
      </c>
      <c r="BE51" s="2330">
        <v>83</v>
      </c>
      <c r="BF51" s="2315">
        <f t="shared" si="20"/>
        <v>2.4096385542168676E-2</v>
      </c>
    </row>
    <row r="52" spans="1:58" s="1" customFormat="1" ht="15" customHeight="1">
      <c r="A52" s="1960"/>
      <c r="B52" s="1961" t="s">
        <v>16</v>
      </c>
      <c r="C52" s="5317"/>
      <c r="D52" s="2333">
        <f>SUM(D48:D51)</f>
        <v>8</v>
      </c>
      <c r="E52" s="1962">
        <f>SUM(E48:E51)</f>
        <v>307</v>
      </c>
      <c r="F52" s="2317">
        <f t="shared" si="14"/>
        <v>2.6058631921824105E-2</v>
      </c>
      <c r="G52" s="1733"/>
      <c r="H52" s="2333">
        <v>11</v>
      </c>
      <c r="I52" s="1962">
        <f>SUM(I48:I51)</f>
        <v>302</v>
      </c>
      <c r="J52" s="2317">
        <f t="shared" si="1"/>
        <v>3.6423841059602648E-2</v>
      </c>
      <c r="K52" s="1733"/>
      <c r="L52" s="2333">
        <v>20</v>
      </c>
      <c r="M52" s="1962">
        <f>SUM(M48:M51)</f>
        <v>298</v>
      </c>
      <c r="N52" s="2317">
        <f t="shared" si="2"/>
        <v>6.7114093959731544E-2</v>
      </c>
      <c r="O52" s="1733"/>
      <c r="P52" s="2333">
        <v>16</v>
      </c>
      <c r="Q52" s="1962">
        <f>SUM(Q48:Q51)</f>
        <v>299</v>
      </c>
      <c r="R52" s="2317">
        <f t="shared" si="3"/>
        <v>5.3511705685618728E-2</v>
      </c>
      <c r="S52" s="1733"/>
      <c r="T52" s="2333">
        <f>SUM(T48:T51)</f>
        <v>7</v>
      </c>
      <c r="U52" s="1962">
        <f>SUM(U48:U51)</f>
        <v>303</v>
      </c>
      <c r="V52" s="2317">
        <f t="shared" si="4"/>
        <v>2.3102310231023101E-2</v>
      </c>
      <c r="W52" s="1733"/>
      <c r="X52" s="2333">
        <f>SUM(X48:X51)</f>
        <v>11</v>
      </c>
      <c r="Y52" s="1962">
        <v>301</v>
      </c>
      <c r="Z52" s="2317">
        <f t="shared" si="5"/>
        <v>3.6544850498338874E-2</v>
      </c>
      <c r="AA52" s="1733"/>
      <c r="AB52" s="2333">
        <v>12</v>
      </c>
      <c r="AC52" s="1962">
        <f>SUM(AC48:AC51)</f>
        <v>298</v>
      </c>
      <c r="AD52" s="2317">
        <f t="shared" si="6"/>
        <v>4.0268456375838924E-2</v>
      </c>
      <c r="AE52" s="1733"/>
      <c r="AF52" s="2333">
        <v>23</v>
      </c>
      <c r="AG52" s="1962">
        <f>SUM(AG48:AG51)</f>
        <v>303</v>
      </c>
      <c r="AH52" s="2317">
        <f t="shared" si="7"/>
        <v>7.590759075907591E-2</v>
      </c>
      <c r="AI52" s="1733"/>
      <c r="AJ52" s="2333">
        <v>9</v>
      </c>
      <c r="AK52" s="1962">
        <f>SUM(AK48:AK51)</f>
        <v>309</v>
      </c>
      <c r="AL52" s="2317">
        <f t="shared" si="15"/>
        <v>2.9126213592233011E-2</v>
      </c>
      <c r="AM52" s="1733"/>
      <c r="AN52" s="2333">
        <v>5</v>
      </c>
      <c r="AO52" s="1962">
        <v>297</v>
      </c>
      <c r="AP52" s="2317">
        <f t="shared" si="16"/>
        <v>1.6835016835016835E-2</v>
      </c>
      <c r="AR52" s="2333">
        <v>11</v>
      </c>
      <c r="AS52" s="1962">
        <v>289</v>
      </c>
      <c r="AT52" s="2317">
        <f t="shared" si="17"/>
        <v>3.8062283737024222E-2</v>
      </c>
      <c r="AV52" s="2333">
        <v>25</v>
      </c>
      <c r="AW52" s="1962">
        <v>278</v>
      </c>
      <c r="AX52" s="2317">
        <f t="shared" si="18"/>
        <v>8.9928057553956831E-2</v>
      </c>
      <c r="AZ52" s="2333">
        <v>21</v>
      </c>
      <c r="BA52" s="1962">
        <v>279</v>
      </c>
      <c r="BB52" s="2317">
        <f t="shared" si="19"/>
        <v>7.5268817204301078E-2</v>
      </c>
      <c r="BD52" s="2333">
        <v>17</v>
      </c>
      <c r="BE52" s="1962">
        <v>275</v>
      </c>
      <c r="BF52" s="2317">
        <f t="shared" si="20"/>
        <v>6.1818181818181821E-2</v>
      </c>
    </row>
    <row r="53" spans="1:58" s="1" customFormat="1" ht="15" customHeight="1">
      <c r="A53" s="1960"/>
      <c r="B53" s="1964" t="s">
        <v>991</v>
      </c>
      <c r="C53" s="5317"/>
      <c r="D53" s="2338">
        <f>SUM(D41,D47,D52)</f>
        <v>469</v>
      </c>
      <c r="E53" s="2339">
        <f>SUM(E52,E47,E41)</f>
        <v>789</v>
      </c>
      <c r="F53" s="2320">
        <f t="shared" si="14"/>
        <v>0.59442332065906212</v>
      </c>
      <c r="G53" s="1733"/>
      <c r="H53" s="2338">
        <v>450</v>
      </c>
      <c r="I53" s="2339">
        <f>SUM(I52,I47,I41)</f>
        <v>794</v>
      </c>
      <c r="J53" s="2320">
        <f t="shared" si="1"/>
        <v>0.56675062972292189</v>
      </c>
      <c r="K53" s="1733"/>
      <c r="L53" s="2338">
        <v>500</v>
      </c>
      <c r="M53" s="2339">
        <f>SUM(M52,M47,M41)</f>
        <v>791</v>
      </c>
      <c r="N53" s="2320">
        <f t="shared" si="2"/>
        <v>0.63211125158027814</v>
      </c>
      <c r="O53" s="1733"/>
      <c r="P53" s="2338">
        <v>560</v>
      </c>
      <c r="Q53" s="2339">
        <f>SUM(Q52,Q47,Q41)</f>
        <v>804</v>
      </c>
      <c r="R53" s="2320">
        <f t="shared" si="3"/>
        <v>0.69651741293532343</v>
      </c>
      <c r="S53" s="1733"/>
      <c r="T53" s="2338">
        <f>SUM(T41,T47,T52)</f>
        <v>582</v>
      </c>
      <c r="U53" s="2339">
        <f>SUM(U52,U47,U41)</f>
        <v>817</v>
      </c>
      <c r="V53" s="2320">
        <f t="shared" si="4"/>
        <v>0.71236230110159116</v>
      </c>
      <c r="W53" s="1733"/>
      <c r="X53" s="2338">
        <f>SUM(X52,X47,X41)</f>
        <v>585</v>
      </c>
      <c r="Y53" s="2339">
        <v>813</v>
      </c>
      <c r="Z53" s="2320">
        <f t="shared" si="5"/>
        <v>0.71955719557195574</v>
      </c>
      <c r="AA53" s="1733"/>
      <c r="AB53" s="2338">
        <v>574</v>
      </c>
      <c r="AC53" s="2339">
        <f>SUM(AC41,AC47,AC52)</f>
        <v>810</v>
      </c>
      <c r="AD53" s="2320">
        <f t="shared" si="6"/>
        <v>0.70864197530864192</v>
      </c>
      <c r="AE53" s="1733"/>
      <c r="AF53" s="2338">
        <v>612</v>
      </c>
      <c r="AG53" s="2339">
        <f>SUM(AG41,AG47,AG52)</f>
        <v>806</v>
      </c>
      <c r="AH53" s="2320">
        <f t="shared" si="7"/>
        <v>0.75930521091811409</v>
      </c>
      <c r="AI53" s="1733"/>
      <c r="AJ53" s="2338">
        <v>649</v>
      </c>
      <c r="AK53" s="2339">
        <f>SUM(AK41,AK47,AK52)</f>
        <v>811</v>
      </c>
      <c r="AL53" s="2320">
        <f t="shared" si="15"/>
        <v>0.8002466091245376</v>
      </c>
      <c r="AM53" s="1733"/>
      <c r="AN53" s="2338">
        <v>630</v>
      </c>
      <c r="AO53" s="2339">
        <v>790</v>
      </c>
      <c r="AP53" s="2320">
        <f t="shared" si="16"/>
        <v>0.79746835443037978</v>
      </c>
      <c r="AR53" s="2338">
        <v>611</v>
      </c>
      <c r="AS53" s="2339">
        <v>779</v>
      </c>
      <c r="AT53" s="2320">
        <f t="shared" si="17"/>
        <v>0.78433889602053919</v>
      </c>
      <c r="AV53" s="2338">
        <v>711</v>
      </c>
      <c r="AW53" s="2339">
        <v>759</v>
      </c>
      <c r="AX53" s="2320">
        <f t="shared" si="18"/>
        <v>0.93675889328063244</v>
      </c>
      <c r="AZ53" s="2338">
        <v>645</v>
      </c>
      <c r="BA53" s="2339">
        <v>751</v>
      </c>
      <c r="BB53" s="2320">
        <f t="shared" si="19"/>
        <v>0.8588548601864181</v>
      </c>
      <c r="BD53" s="2338">
        <v>583</v>
      </c>
      <c r="BE53" s="2339">
        <v>745</v>
      </c>
      <c r="BF53" s="2320">
        <f t="shared" si="20"/>
        <v>0.78255033557046982</v>
      </c>
    </row>
    <row r="54" spans="1:58" s="1" customFormat="1" ht="18">
      <c r="A54" s="1960"/>
      <c r="B54" s="1968" t="s">
        <v>992</v>
      </c>
      <c r="C54" s="5317"/>
      <c r="D54" s="2340"/>
      <c r="E54" s="2341">
        <v>1</v>
      </c>
      <c r="F54" s="2321">
        <f t="shared" si="14"/>
        <v>0</v>
      </c>
      <c r="G54" s="1733"/>
      <c r="H54" s="2340"/>
      <c r="I54" s="2341">
        <v>1</v>
      </c>
      <c r="J54" s="2321"/>
      <c r="K54" s="1733"/>
      <c r="L54" s="2340"/>
      <c r="M54" s="2341">
        <v>2</v>
      </c>
      <c r="N54" s="2321"/>
      <c r="O54" s="1733"/>
      <c r="P54" s="2340"/>
      <c r="Q54" s="2341">
        <v>2</v>
      </c>
      <c r="R54" s="2321"/>
      <c r="S54" s="1733"/>
      <c r="T54" s="2340">
        <v>0</v>
      </c>
      <c r="U54" s="2341">
        <v>2</v>
      </c>
      <c r="V54" s="2321"/>
      <c r="W54" s="1733"/>
      <c r="X54" s="2340"/>
      <c r="Y54" s="2341">
        <v>5</v>
      </c>
      <c r="Z54" s="2321"/>
      <c r="AA54" s="1733"/>
      <c r="AB54" s="2340"/>
      <c r="AC54" s="2341">
        <v>5</v>
      </c>
      <c r="AD54" s="2321"/>
      <c r="AE54" s="1733"/>
      <c r="AF54" s="2340"/>
      <c r="AG54" s="2341">
        <v>6</v>
      </c>
      <c r="AH54" s="2321"/>
      <c r="AI54" s="1733"/>
      <c r="AJ54" s="2340">
        <v>0</v>
      </c>
      <c r="AK54" s="2341">
        <v>6</v>
      </c>
      <c r="AL54" s="2321"/>
      <c r="AM54" s="1733"/>
      <c r="AN54" s="2340">
        <v>6</v>
      </c>
      <c r="AO54" s="2341">
        <v>6</v>
      </c>
      <c r="AP54" s="2321"/>
      <c r="AR54" s="2340"/>
      <c r="AS54" s="2341">
        <v>6</v>
      </c>
      <c r="AT54" s="2321"/>
      <c r="AV54" s="2340">
        <v>3</v>
      </c>
      <c r="AW54" s="2341">
        <v>6</v>
      </c>
      <c r="AX54" s="2321"/>
      <c r="AZ54" s="2340">
        <v>6</v>
      </c>
      <c r="BA54" s="2341">
        <v>5</v>
      </c>
      <c r="BB54" s="2321"/>
      <c r="BD54" s="2340">
        <v>1</v>
      </c>
      <c r="BE54" s="2341">
        <v>4</v>
      </c>
      <c r="BF54" s="2321">
        <f t="shared" ref="BF54:BF61" si="21">BD54/BE54</f>
        <v>0.25</v>
      </c>
    </row>
    <row r="55" spans="1:58" s="1" customFormat="1" ht="18">
      <c r="A55" s="1960"/>
      <c r="B55" s="1968" t="s">
        <v>993</v>
      </c>
      <c r="C55" s="5317"/>
      <c r="D55" s="2340"/>
      <c r="E55" s="2341">
        <v>1</v>
      </c>
      <c r="F55" s="2321">
        <f t="shared" si="14"/>
        <v>0</v>
      </c>
      <c r="G55" s="1733"/>
      <c r="H55" s="2340"/>
      <c r="I55" s="2341">
        <v>2</v>
      </c>
      <c r="J55" s="2321"/>
      <c r="K55" s="1733"/>
      <c r="L55" s="2340"/>
      <c r="M55" s="2341">
        <v>3</v>
      </c>
      <c r="N55" s="2321"/>
      <c r="O55" s="1733"/>
      <c r="P55" s="2340"/>
      <c r="Q55" s="2341">
        <v>4</v>
      </c>
      <c r="R55" s="2321"/>
      <c r="S55" s="1733"/>
      <c r="T55" s="2340">
        <v>2</v>
      </c>
      <c r="U55" s="2341">
        <v>6</v>
      </c>
      <c r="V55" s="2321">
        <f t="shared" si="4"/>
        <v>0.33333333333333331</v>
      </c>
      <c r="W55" s="1733"/>
      <c r="X55" s="2340">
        <v>6</v>
      </c>
      <c r="Y55" s="2341">
        <v>8</v>
      </c>
      <c r="Z55" s="2321">
        <f>X55/Y55</f>
        <v>0.75</v>
      </c>
      <c r="AA55" s="1733"/>
      <c r="AB55" s="2340">
        <v>6</v>
      </c>
      <c r="AC55" s="2341">
        <v>8</v>
      </c>
      <c r="AD55" s="2321">
        <f>AB55/AC55</f>
        <v>0.75</v>
      </c>
      <c r="AE55" s="1733"/>
      <c r="AF55" s="2340">
        <v>5</v>
      </c>
      <c r="AG55" s="2341">
        <v>9</v>
      </c>
      <c r="AH55" s="2321">
        <f>AF55/AG55</f>
        <v>0.55555555555555558</v>
      </c>
      <c r="AI55" s="1733"/>
      <c r="AJ55" s="2340">
        <v>8</v>
      </c>
      <c r="AK55" s="2341">
        <v>11</v>
      </c>
      <c r="AL55" s="2321">
        <f>AJ55/AK55</f>
        <v>0.72727272727272729</v>
      </c>
      <c r="AM55" s="1733"/>
      <c r="AN55" s="2340">
        <v>3</v>
      </c>
      <c r="AO55" s="2341">
        <v>12</v>
      </c>
      <c r="AP55" s="2321">
        <f>AN55/AO55</f>
        <v>0.25</v>
      </c>
      <c r="AR55" s="2340">
        <v>2</v>
      </c>
      <c r="AS55" s="2341">
        <v>12</v>
      </c>
      <c r="AT55" s="2321">
        <f>AR55/AS55</f>
        <v>0.16666666666666666</v>
      </c>
      <c r="AV55" s="2340">
        <v>16</v>
      </c>
      <c r="AW55" s="2341">
        <v>10</v>
      </c>
      <c r="AX55" s="2321">
        <f>AV55/AW55</f>
        <v>1.6</v>
      </c>
      <c r="AZ55" s="2340">
        <v>14</v>
      </c>
      <c r="BA55" s="2341">
        <v>10</v>
      </c>
      <c r="BB55" s="2321">
        <f>AZ55/BA55</f>
        <v>1.4</v>
      </c>
      <c r="BD55" s="2340">
        <v>4</v>
      </c>
      <c r="BE55" s="2341">
        <v>10</v>
      </c>
      <c r="BF55" s="2321">
        <f t="shared" si="21"/>
        <v>0.4</v>
      </c>
    </row>
    <row r="56" spans="1:58" s="1" customFormat="1" ht="18">
      <c r="A56" s="1960"/>
      <c r="B56" s="1968" t="s">
        <v>994</v>
      </c>
      <c r="C56" s="5317"/>
      <c r="D56" s="2340"/>
      <c r="E56" s="2341">
        <v>1</v>
      </c>
      <c r="F56" s="2321">
        <f t="shared" si="14"/>
        <v>0</v>
      </c>
      <c r="G56" s="1733"/>
      <c r="H56" s="2340"/>
      <c r="I56" s="2341">
        <v>1</v>
      </c>
      <c r="J56" s="2321"/>
      <c r="K56" s="1733"/>
      <c r="L56" s="2340"/>
      <c r="M56" s="2341">
        <v>2</v>
      </c>
      <c r="N56" s="2321"/>
      <c r="O56" s="1733"/>
      <c r="P56" s="2340"/>
      <c r="Q56" s="2341">
        <v>2</v>
      </c>
      <c r="R56" s="2321"/>
      <c r="S56" s="1733"/>
      <c r="T56" s="2340">
        <v>0</v>
      </c>
      <c r="U56" s="2341">
        <v>2</v>
      </c>
      <c r="V56" s="2321">
        <f t="shared" si="4"/>
        <v>0</v>
      </c>
      <c r="W56" s="1733"/>
      <c r="X56" s="2340">
        <v>1</v>
      </c>
      <c r="Y56" s="2341">
        <v>2</v>
      </c>
      <c r="Z56" s="2321">
        <f>X56/Y56</f>
        <v>0.5</v>
      </c>
      <c r="AA56" s="1733"/>
      <c r="AB56" s="2340">
        <v>2</v>
      </c>
      <c r="AC56" s="2341">
        <v>3</v>
      </c>
      <c r="AD56" s="2321">
        <f>AB56/AC56</f>
        <v>0.66666666666666663</v>
      </c>
      <c r="AE56" s="1733"/>
      <c r="AF56" s="2340">
        <v>1</v>
      </c>
      <c r="AG56" s="2341">
        <v>4</v>
      </c>
      <c r="AH56" s="2321">
        <f>AF56/AG56</f>
        <v>0.25</v>
      </c>
      <c r="AI56" s="1733"/>
      <c r="AJ56" s="2340">
        <v>7</v>
      </c>
      <c r="AK56" s="2341">
        <v>4</v>
      </c>
      <c r="AL56" s="2321">
        <f>AJ56/AK56</f>
        <v>1.75</v>
      </c>
      <c r="AM56" s="1733"/>
      <c r="AN56" s="2340">
        <v>1</v>
      </c>
      <c r="AO56" s="2341">
        <v>5</v>
      </c>
      <c r="AP56" s="2321">
        <f>AN56/AO56</f>
        <v>0.2</v>
      </c>
      <c r="AR56" s="2340">
        <v>1</v>
      </c>
      <c r="AS56" s="2341">
        <v>4</v>
      </c>
      <c r="AT56" s="2321">
        <f>AR56/AS56</f>
        <v>0.25</v>
      </c>
      <c r="AV56" s="2340">
        <v>1</v>
      </c>
      <c r="AW56" s="2341">
        <v>6</v>
      </c>
      <c r="AX56" s="2321">
        <f>AV56/AW56</f>
        <v>0.16666666666666666</v>
      </c>
      <c r="AZ56" s="2340">
        <v>2</v>
      </c>
      <c r="BA56" s="2341">
        <v>4</v>
      </c>
      <c r="BB56" s="2321">
        <f>AZ56/BA56</f>
        <v>0.5</v>
      </c>
      <c r="BD56" s="2340">
        <v>2</v>
      </c>
      <c r="BE56" s="2341">
        <v>6</v>
      </c>
      <c r="BF56" s="2321">
        <f t="shared" si="21"/>
        <v>0.33333333333333331</v>
      </c>
    </row>
    <row r="57" spans="1:58" s="1" customFormat="1" ht="15" customHeight="1">
      <c r="A57" s="1960"/>
      <c r="B57" s="1929" t="s">
        <v>4</v>
      </c>
      <c r="C57" s="5317"/>
      <c r="D57" s="2328">
        <v>0</v>
      </c>
      <c r="E57" s="1040">
        <f>SUM(E54:E56)</f>
        <v>3</v>
      </c>
      <c r="F57" s="2314">
        <f t="shared" si="14"/>
        <v>0</v>
      </c>
      <c r="G57" s="1733"/>
      <c r="H57" s="2328">
        <v>0</v>
      </c>
      <c r="I57" s="1040">
        <f>SUM(I54:I56)</f>
        <v>4</v>
      </c>
      <c r="J57" s="2314"/>
      <c r="K57" s="1733"/>
      <c r="L57" s="2328"/>
      <c r="M57" s="1040">
        <f>SUM(M54:M56)</f>
        <v>7</v>
      </c>
      <c r="N57" s="2314"/>
      <c r="O57" s="1733"/>
      <c r="P57" s="2328">
        <v>0</v>
      </c>
      <c r="Q57" s="1040">
        <f>SUM(Q54:Q56)</f>
        <v>8</v>
      </c>
      <c r="R57" s="2314"/>
      <c r="S57" s="1733"/>
      <c r="T57" s="2328">
        <f>SUM(T54:T56)</f>
        <v>2</v>
      </c>
      <c r="U57" s="1040">
        <f>SUM(U54:U56)</f>
        <v>10</v>
      </c>
      <c r="V57" s="2314">
        <f t="shared" si="4"/>
        <v>0.2</v>
      </c>
      <c r="W57" s="1733"/>
      <c r="X57" s="2328">
        <f>SUM(X54:X56)</f>
        <v>7</v>
      </c>
      <c r="Y57" s="1040">
        <v>15</v>
      </c>
      <c r="Z57" s="2314">
        <f>X57/Y57</f>
        <v>0.46666666666666667</v>
      </c>
      <c r="AA57" s="1733"/>
      <c r="AB57" s="2328">
        <v>8</v>
      </c>
      <c r="AC57" s="1040">
        <f>SUM(AC54:AC56)</f>
        <v>16</v>
      </c>
      <c r="AD57" s="2314">
        <f>AB57/AC57</f>
        <v>0.5</v>
      </c>
      <c r="AE57" s="1733"/>
      <c r="AF57" s="2328">
        <v>6</v>
      </c>
      <c r="AG57" s="1040">
        <f>SUM(AG54:AG56)</f>
        <v>19</v>
      </c>
      <c r="AH57" s="2314">
        <f>AF57/AG57</f>
        <v>0.31578947368421051</v>
      </c>
      <c r="AI57" s="1733"/>
      <c r="AJ57" s="2328">
        <v>15</v>
      </c>
      <c r="AK57" s="1040">
        <f>SUM(AK54:AK56)</f>
        <v>21</v>
      </c>
      <c r="AL57" s="2314">
        <f>AJ57/AK57</f>
        <v>0.7142857142857143</v>
      </c>
      <c r="AM57" s="1733"/>
      <c r="AN57" s="2328">
        <v>10</v>
      </c>
      <c r="AO57" s="1040">
        <v>23</v>
      </c>
      <c r="AP57" s="2314">
        <f>AN57/AO57</f>
        <v>0.43478260869565216</v>
      </c>
      <c r="AR57" s="2328">
        <v>3</v>
      </c>
      <c r="AS57" s="1040">
        <v>22</v>
      </c>
      <c r="AT57" s="2314">
        <f>AR57/AS57</f>
        <v>0.13636363636363635</v>
      </c>
      <c r="AV57" s="2328">
        <v>20</v>
      </c>
      <c r="AW57" s="1040">
        <v>22</v>
      </c>
      <c r="AX57" s="2314">
        <f>AV57/AW57</f>
        <v>0.90909090909090906</v>
      </c>
      <c r="AZ57" s="2328">
        <v>22</v>
      </c>
      <c r="BA57" s="1040">
        <v>19</v>
      </c>
      <c r="BB57" s="2314">
        <f>AZ57/BA57</f>
        <v>1.1578947368421053</v>
      </c>
      <c r="BD57" s="2328">
        <v>7</v>
      </c>
      <c r="BE57" s="1040">
        <v>20</v>
      </c>
      <c r="BF57" s="2314">
        <f t="shared" si="21"/>
        <v>0.35</v>
      </c>
    </row>
    <row r="58" spans="1:58" s="1" customFormat="1" ht="18">
      <c r="A58" s="1960"/>
      <c r="B58" s="1968" t="s">
        <v>995</v>
      </c>
      <c r="C58" s="5317"/>
      <c r="D58" s="2340"/>
      <c r="E58" s="2341">
        <v>1</v>
      </c>
      <c r="F58" s="2321">
        <f t="shared" si="14"/>
        <v>0</v>
      </c>
      <c r="G58" s="1733"/>
      <c r="H58" s="2340"/>
      <c r="I58" s="2341">
        <v>2</v>
      </c>
      <c r="J58" s="2321"/>
      <c r="K58" s="1733"/>
      <c r="L58" s="2340"/>
      <c r="M58" s="2341">
        <v>2</v>
      </c>
      <c r="N58" s="2321"/>
      <c r="O58" s="1733"/>
      <c r="P58" s="2340"/>
      <c r="Q58" s="2341">
        <v>6</v>
      </c>
      <c r="R58" s="2321"/>
      <c r="S58" s="1733"/>
      <c r="T58" s="2340">
        <v>8</v>
      </c>
      <c r="U58" s="2341">
        <v>8</v>
      </c>
      <c r="V58" s="2321">
        <f t="shared" si="4"/>
        <v>1</v>
      </c>
      <c r="W58" s="1733"/>
      <c r="X58" s="2340">
        <v>18</v>
      </c>
      <c r="Y58" s="2341">
        <v>7</v>
      </c>
      <c r="Z58" s="2321">
        <f>X58/Y58</f>
        <v>2.5714285714285716</v>
      </c>
      <c r="AA58" s="1733"/>
      <c r="AB58" s="2340">
        <v>3</v>
      </c>
      <c r="AC58" s="2341">
        <v>8</v>
      </c>
      <c r="AD58" s="2321">
        <f>AB58/AC58</f>
        <v>0.375</v>
      </c>
      <c r="AE58" s="1733"/>
      <c r="AF58" s="2340">
        <v>15</v>
      </c>
      <c r="AG58" s="2341">
        <v>9</v>
      </c>
      <c r="AH58" s="2321">
        <f>AF58/AG58</f>
        <v>1.6666666666666667</v>
      </c>
      <c r="AI58" s="1733"/>
      <c r="AJ58" s="2340">
        <v>11</v>
      </c>
      <c r="AK58" s="2341">
        <v>9</v>
      </c>
      <c r="AL58" s="2321">
        <f>AJ58/AK58</f>
        <v>1.2222222222222223</v>
      </c>
      <c r="AM58" s="1733"/>
      <c r="AN58" s="2340">
        <v>13</v>
      </c>
      <c r="AO58" s="2341">
        <v>11</v>
      </c>
      <c r="AP58" s="2321">
        <f>AN58/AO58</f>
        <v>1.1818181818181819</v>
      </c>
      <c r="AR58" s="2340">
        <v>5</v>
      </c>
      <c r="AS58" s="2341">
        <v>11</v>
      </c>
      <c r="AT58" s="2321">
        <f>AR58/AS58</f>
        <v>0.45454545454545453</v>
      </c>
      <c r="AV58" s="2340">
        <v>28</v>
      </c>
      <c r="AW58" s="2341">
        <v>11</v>
      </c>
      <c r="AX58" s="2321">
        <f>AV58/AW58</f>
        <v>2.5454545454545454</v>
      </c>
      <c r="AZ58" s="2340">
        <v>11</v>
      </c>
      <c r="BA58" s="2341">
        <v>11</v>
      </c>
      <c r="BB58" s="2321">
        <f>AZ58/BA58</f>
        <v>1</v>
      </c>
      <c r="BD58" s="2340">
        <v>23</v>
      </c>
      <c r="BE58" s="2341">
        <v>10</v>
      </c>
      <c r="BF58" s="2321">
        <f t="shared" si="21"/>
        <v>2.2999999999999998</v>
      </c>
    </row>
    <row r="59" spans="1:58" s="1" customFormat="1" ht="18">
      <c r="A59" s="1960"/>
      <c r="B59" s="1968" t="s">
        <v>996</v>
      </c>
      <c r="C59" s="5317"/>
      <c r="D59" s="2340"/>
      <c r="E59" s="2341">
        <v>2</v>
      </c>
      <c r="F59" s="2321">
        <f t="shared" si="14"/>
        <v>0</v>
      </c>
      <c r="G59" s="1733"/>
      <c r="H59" s="2340"/>
      <c r="I59" s="2341">
        <v>2</v>
      </c>
      <c r="J59" s="2321"/>
      <c r="K59" s="1733"/>
      <c r="L59" s="2340"/>
      <c r="M59" s="2341">
        <v>4</v>
      </c>
      <c r="N59" s="2321"/>
      <c r="O59" s="1733"/>
      <c r="P59" s="2340"/>
      <c r="Q59" s="2341">
        <v>4</v>
      </c>
      <c r="R59" s="2321"/>
      <c r="S59" s="1733"/>
      <c r="T59" s="2340">
        <v>5</v>
      </c>
      <c r="U59" s="2341">
        <v>2</v>
      </c>
      <c r="V59" s="2321">
        <f t="shared" si="4"/>
        <v>2.5</v>
      </c>
      <c r="W59" s="1733"/>
      <c r="X59" s="2340"/>
      <c r="Y59" s="2341">
        <v>4</v>
      </c>
      <c r="Z59" s="2321">
        <f>X59/Y59</f>
        <v>0</v>
      </c>
      <c r="AA59" s="1733"/>
      <c r="AB59" s="2340"/>
      <c r="AC59" s="2341">
        <v>6</v>
      </c>
      <c r="AD59" s="2321">
        <f>AB59/AC59</f>
        <v>0</v>
      </c>
      <c r="AE59" s="1733"/>
      <c r="AF59" s="2340">
        <v>14</v>
      </c>
      <c r="AG59" s="2341">
        <v>7</v>
      </c>
      <c r="AH59" s="2321">
        <f>AF59/AG59</f>
        <v>2</v>
      </c>
      <c r="AI59" s="1733"/>
      <c r="AJ59" s="2340">
        <v>32</v>
      </c>
      <c r="AK59" s="2341">
        <v>8</v>
      </c>
      <c r="AL59" s="2321">
        <f>AJ59/AK59</f>
        <v>4</v>
      </c>
      <c r="AM59" s="1733"/>
      <c r="AN59" s="2340">
        <v>4</v>
      </c>
      <c r="AO59" s="2341">
        <v>6</v>
      </c>
      <c r="AP59" s="2321">
        <f>AN59/AO59</f>
        <v>0.66666666666666663</v>
      </c>
      <c r="AR59" s="2340">
        <v>3</v>
      </c>
      <c r="AS59" s="2341">
        <v>6</v>
      </c>
      <c r="AT59" s="2321">
        <f>AR59/AS59</f>
        <v>0.5</v>
      </c>
      <c r="AV59" s="2340">
        <v>5</v>
      </c>
      <c r="AW59" s="2341">
        <v>5</v>
      </c>
      <c r="AX59" s="2321">
        <f>AV59/AW59</f>
        <v>1</v>
      </c>
      <c r="AZ59" s="2340">
        <v>25</v>
      </c>
      <c r="BA59" s="2341">
        <v>4</v>
      </c>
      <c r="BB59" s="2321">
        <f>AZ59/BA59</f>
        <v>6.25</v>
      </c>
      <c r="BD59" s="2340">
        <v>5</v>
      </c>
      <c r="BE59" s="2341">
        <v>5</v>
      </c>
      <c r="BF59" s="2321">
        <f t="shared" si="21"/>
        <v>1</v>
      </c>
    </row>
    <row r="60" spans="1:58" s="1" customFormat="1" ht="18">
      <c r="A60" s="1960"/>
      <c r="B60" s="1968" t="s">
        <v>987</v>
      </c>
      <c r="C60" s="5317"/>
      <c r="D60" s="2340"/>
      <c r="E60" s="2341">
        <v>2</v>
      </c>
      <c r="F60" s="2321">
        <f t="shared" si="14"/>
        <v>0</v>
      </c>
      <c r="G60" s="1733"/>
      <c r="H60" s="2340"/>
      <c r="I60" s="2341">
        <v>2</v>
      </c>
      <c r="J60" s="2321"/>
      <c r="K60" s="1733"/>
      <c r="L60" s="2340"/>
      <c r="M60" s="2341">
        <v>3</v>
      </c>
      <c r="N60" s="2321"/>
      <c r="O60" s="1733"/>
      <c r="P60" s="2340"/>
      <c r="Q60" s="2341">
        <v>3</v>
      </c>
      <c r="R60" s="2321"/>
      <c r="S60" s="1733"/>
      <c r="T60" s="2340">
        <v>0</v>
      </c>
      <c r="U60" s="2341">
        <v>3</v>
      </c>
      <c r="V60" s="2321"/>
      <c r="W60" s="1733"/>
      <c r="X60" s="2340"/>
      <c r="Y60" s="2341">
        <v>3</v>
      </c>
      <c r="Z60" s="2321"/>
      <c r="AA60" s="1733"/>
      <c r="AB60" s="2340"/>
      <c r="AC60" s="2341">
        <v>4</v>
      </c>
      <c r="AD60" s="2321"/>
      <c r="AE60" s="1733"/>
      <c r="AF60" s="2340">
        <v>26</v>
      </c>
      <c r="AG60" s="2341">
        <v>4</v>
      </c>
      <c r="AH60" s="2321"/>
      <c r="AI60" s="1733"/>
      <c r="AJ60" s="2340">
        <v>6</v>
      </c>
      <c r="AK60" s="2341">
        <v>3</v>
      </c>
      <c r="AL60" s="2321"/>
      <c r="AM60" s="1733"/>
      <c r="AN60" s="2340">
        <v>1</v>
      </c>
      <c r="AO60" s="2341">
        <v>4</v>
      </c>
      <c r="AP60" s="2321"/>
      <c r="AR60" s="2340">
        <v>7</v>
      </c>
      <c r="AS60" s="2341">
        <v>5</v>
      </c>
      <c r="AT60" s="2321"/>
      <c r="AV60" s="2340">
        <v>4</v>
      </c>
      <c r="AW60" s="2341">
        <v>5</v>
      </c>
      <c r="AX60" s="2321"/>
      <c r="AZ60" s="2340">
        <v>2</v>
      </c>
      <c r="BA60" s="2341">
        <v>6</v>
      </c>
      <c r="BB60" s="2321"/>
      <c r="BD60" s="2340">
        <v>2</v>
      </c>
      <c r="BE60" s="2341">
        <v>7</v>
      </c>
      <c r="BF60" s="2321">
        <f t="shared" si="21"/>
        <v>0.2857142857142857</v>
      </c>
    </row>
    <row r="61" spans="1:58" s="1" customFormat="1" ht="15" customHeight="1">
      <c r="A61" s="1960"/>
      <c r="B61" s="1929" t="s">
        <v>41</v>
      </c>
      <c r="C61" s="5317"/>
      <c r="D61" s="2328">
        <v>0</v>
      </c>
      <c r="E61" s="1040">
        <f>SUM(E58:E60)</f>
        <v>5</v>
      </c>
      <c r="F61" s="2314">
        <f t="shared" si="14"/>
        <v>0</v>
      </c>
      <c r="G61" s="1733"/>
      <c r="H61" s="2328">
        <v>0</v>
      </c>
      <c r="I61" s="1040">
        <f>SUM(I58:I60)</f>
        <v>6</v>
      </c>
      <c r="J61" s="2314"/>
      <c r="K61" s="1733"/>
      <c r="L61" s="2328"/>
      <c r="M61" s="1040">
        <f>SUM(M58:M60)</f>
        <v>9</v>
      </c>
      <c r="N61" s="2314"/>
      <c r="O61" s="1733"/>
      <c r="P61" s="2328">
        <v>0</v>
      </c>
      <c r="Q61" s="1040">
        <f>SUM(Q58:Q60)</f>
        <v>13</v>
      </c>
      <c r="R61" s="2314"/>
      <c r="S61" s="1733"/>
      <c r="T61" s="2328">
        <f>SUM(T58:T60)</f>
        <v>13</v>
      </c>
      <c r="U61" s="1040">
        <f>SUM(U58:U60)</f>
        <v>13</v>
      </c>
      <c r="V61" s="2314">
        <f t="shared" si="4"/>
        <v>1</v>
      </c>
      <c r="W61" s="1733"/>
      <c r="X61" s="2328">
        <f>SUM(X58:X60)</f>
        <v>18</v>
      </c>
      <c r="Y61" s="1040">
        <v>14</v>
      </c>
      <c r="Z61" s="2314">
        <f>X61/Y61</f>
        <v>1.2857142857142858</v>
      </c>
      <c r="AA61" s="1733"/>
      <c r="AB61" s="2328">
        <v>3</v>
      </c>
      <c r="AC61" s="1040">
        <f>SUM(AC58:AC60)</f>
        <v>18</v>
      </c>
      <c r="AD61" s="2314">
        <f>AB61/AC61</f>
        <v>0.16666666666666666</v>
      </c>
      <c r="AE61" s="1733"/>
      <c r="AF61" s="2328">
        <v>55</v>
      </c>
      <c r="AG61" s="1040">
        <f>SUM(AG58:AG60)</f>
        <v>20</v>
      </c>
      <c r="AH61" s="2314">
        <f>AF61/AG61</f>
        <v>2.75</v>
      </c>
      <c r="AI61" s="1733"/>
      <c r="AJ61" s="2328">
        <v>49</v>
      </c>
      <c r="AK61" s="1040">
        <f>SUM(AK58:AK60)</f>
        <v>20</v>
      </c>
      <c r="AL61" s="2314">
        <f>AJ61/AK61</f>
        <v>2.4500000000000002</v>
      </c>
      <c r="AM61" s="1733"/>
      <c r="AN61" s="2328">
        <v>18</v>
      </c>
      <c r="AO61" s="1040">
        <v>21</v>
      </c>
      <c r="AP61" s="2314">
        <f>AN61/AO61</f>
        <v>0.8571428571428571</v>
      </c>
      <c r="AR61" s="2328">
        <v>15</v>
      </c>
      <c r="AS61" s="1040">
        <v>22</v>
      </c>
      <c r="AT61" s="2314">
        <f>AR61/AS61</f>
        <v>0.68181818181818177</v>
      </c>
      <c r="AV61" s="2328">
        <v>37</v>
      </c>
      <c r="AW61" s="1040">
        <v>21</v>
      </c>
      <c r="AX61" s="2314">
        <f>AV61/AW61</f>
        <v>1.7619047619047619</v>
      </c>
      <c r="AZ61" s="2328">
        <v>38</v>
      </c>
      <c r="BA61" s="1040">
        <v>21</v>
      </c>
      <c r="BB61" s="2314">
        <f>AZ61/BA61</f>
        <v>1.8095238095238095</v>
      </c>
      <c r="BD61" s="2328">
        <v>30</v>
      </c>
      <c r="BE61" s="1040">
        <v>22</v>
      </c>
      <c r="BF61" s="2314">
        <f t="shared" si="21"/>
        <v>1.3636363636363635</v>
      </c>
    </row>
    <row r="62" spans="1:58" s="1" customFormat="1" ht="18">
      <c r="A62" s="1960"/>
      <c r="B62" s="1968" t="s">
        <v>997</v>
      </c>
      <c r="C62" s="5317"/>
      <c r="D62" s="2340"/>
      <c r="E62" s="2341"/>
      <c r="F62" s="2321"/>
      <c r="G62" s="1733"/>
      <c r="H62" s="2340"/>
      <c r="I62" s="2341"/>
      <c r="J62" s="2321"/>
      <c r="K62" s="1733"/>
      <c r="L62" s="2340"/>
      <c r="M62" s="2341">
        <v>1</v>
      </c>
      <c r="N62" s="2321"/>
      <c r="O62" s="1733"/>
      <c r="P62" s="2340"/>
      <c r="Q62" s="2341">
        <v>1</v>
      </c>
      <c r="R62" s="2321"/>
      <c r="S62" s="1733"/>
      <c r="T62" s="2340">
        <v>0</v>
      </c>
      <c r="U62" s="2341">
        <v>2</v>
      </c>
      <c r="V62" s="2321"/>
      <c r="W62" s="1733"/>
      <c r="X62" s="2340"/>
      <c r="Y62" s="2341">
        <v>1</v>
      </c>
      <c r="Z62" s="2321"/>
      <c r="AA62" s="1733"/>
      <c r="AB62" s="2340"/>
      <c r="AC62" s="2341">
        <v>6</v>
      </c>
      <c r="AD62" s="2321"/>
      <c r="AE62" s="1733"/>
      <c r="AF62" s="2340"/>
      <c r="AG62" s="2341">
        <v>9</v>
      </c>
      <c r="AH62" s="2321"/>
      <c r="AI62" s="1733"/>
      <c r="AJ62" s="2340">
        <v>0</v>
      </c>
      <c r="AK62" s="2341">
        <v>9</v>
      </c>
      <c r="AL62" s="2321"/>
      <c r="AM62" s="1733"/>
      <c r="AN62" s="2340">
        <v>0</v>
      </c>
      <c r="AO62" s="2341">
        <v>9</v>
      </c>
      <c r="AP62" s="2321"/>
      <c r="AR62" s="2340"/>
      <c r="AS62" s="2341">
        <v>10</v>
      </c>
      <c r="AT62" s="2321"/>
      <c r="AV62" s="2340">
        <v>0</v>
      </c>
      <c r="AW62" s="2341">
        <v>10</v>
      </c>
      <c r="AX62" s="2321"/>
      <c r="AZ62" s="2340">
        <v>0</v>
      </c>
      <c r="BA62" s="2341">
        <v>10</v>
      </c>
      <c r="BB62" s="2321"/>
      <c r="BD62" s="2340">
        <v>0</v>
      </c>
      <c r="BE62" s="2341">
        <v>9</v>
      </c>
      <c r="BF62" s="2321">
        <f t="shared" ref="BF62:BF82" si="22">BD62/BE62</f>
        <v>0</v>
      </c>
    </row>
    <row r="63" spans="1:58" s="1" customFormat="1" ht="18">
      <c r="A63" s="1960"/>
      <c r="B63" s="1968" t="s">
        <v>998</v>
      </c>
      <c r="C63" s="5317"/>
      <c r="D63" s="2340"/>
      <c r="E63" s="2341"/>
      <c r="F63" s="2321"/>
      <c r="G63" s="1733"/>
      <c r="H63" s="2340"/>
      <c r="I63" s="2341"/>
      <c r="J63" s="2321"/>
      <c r="K63" s="1733"/>
      <c r="L63" s="2340"/>
      <c r="M63" s="2341">
        <v>1</v>
      </c>
      <c r="N63" s="2321"/>
      <c r="O63" s="1733"/>
      <c r="P63" s="2340"/>
      <c r="Q63" s="2341">
        <v>1</v>
      </c>
      <c r="R63" s="2321"/>
      <c r="S63" s="1733"/>
      <c r="T63" s="2340">
        <v>0</v>
      </c>
      <c r="U63" s="2341">
        <v>3</v>
      </c>
      <c r="V63" s="2321"/>
      <c r="W63" s="1733"/>
      <c r="X63" s="2340"/>
      <c r="Y63" s="2341">
        <v>2</v>
      </c>
      <c r="Z63" s="2321"/>
      <c r="AA63" s="1733"/>
      <c r="AB63" s="2340"/>
      <c r="AC63" s="2341">
        <v>3</v>
      </c>
      <c r="AD63" s="2321"/>
      <c r="AE63" s="1733"/>
      <c r="AF63" s="2340"/>
      <c r="AG63" s="2341">
        <v>4</v>
      </c>
      <c r="AH63" s="2321"/>
      <c r="AI63" s="1733"/>
      <c r="AJ63" s="2340">
        <v>0</v>
      </c>
      <c r="AK63" s="2341">
        <v>7</v>
      </c>
      <c r="AL63" s="2321"/>
      <c r="AM63" s="1733"/>
      <c r="AN63" s="2340">
        <v>0</v>
      </c>
      <c r="AO63" s="2341">
        <v>5</v>
      </c>
      <c r="AP63" s="2321"/>
      <c r="AR63" s="2340"/>
      <c r="AS63" s="2341">
        <v>5</v>
      </c>
      <c r="AT63" s="2321"/>
      <c r="AV63" s="2340">
        <v>0</v>
      </c>
      <c r="AW63" s="2341">
        <v>6</v>
      </c>
      <c r="AX63" s="2321"/>
      <c r="AZ63" s="2340">
        <v>0</v>
      </c>
      <c r="BA63" s="2341">
        <v>7</v>
      </c>
      <c r="BB63" s="2321"/>
      <c r="BD63" s="2340">
        <v>0</v>
      </c>
      <c r="BE63" s="2341">
        <v>8</v>
      </c>
      <c r="BF63" s="2321">
        <f t="shared" si="22"/>
        <v>0</v>
      </c>
    </row>
    <row r="64" spans="1:58" s="1" customFormat="1" ht="18">
      <c r="A64" s="1960"/>
      <c r="B64" s="1968" t="s">
        <v>999</v>
      </c>
      <c r="C64" s="5317"/>
      <c r="D64" s="2340"/>
      <c r="E64" s="2341">
        <v>2</v>
      </c>
      <c r="F64" s="2321">
        <f t="shared" ref="F64:F82" si="23">D64/E64</f>
        <v>0</v>
      </c>
      <c r="G64" s="1733"/>
      <c r="H64" s="2340"/>
      <c r="I64" s="2341">
        <v>3</v>
      </c>
      <c r="J64" s="2321"/>
      <c r="K64" s="1733"/>
      <c r="L64" s="2340"/>
      <c r="M64" s="2341">
        <v>4</v>
      </c>
      <c r="N64" s="2321"/>
      <c r="O64" s="1733"/>
      <c r="P64" s="2340"/>
      <c r="Q64" s="2341">
        <v>5</v>
      </c>
      <c r="R64" s="2321"/>
      <c r="S64" s="1733"/>
      <c r="T64" s="2340">
        <v>0</v>
      </c>
      <c r="U64" s="2341">
        <v>8</v>
      </c>
      <c r="V64" s="2321">
        <f t="shared" si="4"/>
        <v>0</v>
      </c>
      <c r="W64" s="1733"/>
      <c r="X64" s="2340"/>
      <c r="Y64" s="2341">
        <v>10</v>
      </c>
      <c r="Z64" s="2321">
        <f t="shared" ref="Z64:Z84" si="24">X64/Y64</f>
        <v>0</v>
      </c>
      <c r="AA64" s="1733"/>
      <c r="AB64" s="2340">
        <v>1</v>
      </c>
      <c r="AC64" s="2341">
        <v>12</v>
      </c>
      <c r="AD64" s="2321">
        <f t="shared" ref="AD64:AD84" si="25">AB64/AC64</f>
        <v>8.3333333333333329E-2</v>
      </c>
      <c r="AE64" s="1733"/>
      <c r="AF64" s="2340"/>
      <c r="AG64" s="2341">
        <v>14</v>
      </c>
      <c r="AH64" s="2321">
        <f t="shared" ref="AH64:AH84" si="26">AF64/AG64</f>
        <v>0</v>
      </c>
      <c r="AI64" s="1733"/>
      <c r="AJ64" s="2340">
        <v>0</v>
      </c>
      <c r="AK64" s="2341">
        <v>14</v>
      </c>
      <c r="AL64" s="2321">
        <f t="shared" ref="AL64:AL84" si="27">AJ64/AK64</f>
        <v>0</v>
      </c>
      <c r="AM64" s="1733"/>
      <c r="AN64" s="2340">
        <v>0</v>
      </c>
      <c r="AO64" s="2341">
        <v>16</v>
      </c>
      <c r="AP64" s="2321">
        <f t="shared" ref="AP64:AP82" si="28">AN64/AO64</f>
        <v>0</v>
      </c>
      <c r="AR64" s="2340"/>
      <c r="AS64" s="2341">
        <v>16</v>
      </c>
      <c r="AT64" s="2321">
        <f t="shared" ref="AT64:AT82" si="29">AR64/AS64</f>
        <v>0</v>
      </c>
      <c r="AV64" s="2340">
        <v>0</v>
      </c>
      <c r="AW64" s="2341">
        <v>15</v>
      </c>
      <c r="AX64" s="2321">
        <f t="shared" ref="AX64:AX82" si="30">AV64/AW64</f>
        <v>0</v>
      </c>
      <c r="AZ64" s="2340">
        <v>0</v>
      </c>
      <c r="BA64" s="2341">
        <v>13</v>
      </c>
      <c r="BB64" s="2321">
        <f t="shared" ref="BB64:BB82" si="31">AZ64/BA64</f>
        <v>0</v>
      </c>
      <c r="BD64" s="2340">
        <v>0</v>
      </c>
      <c r="BE64" s="2341">
        <v>16</v>
      </c>
      <c r="BF64" s="2321">
        <f t="shared" si="22"/>
        <v>0</v>
      </c>
    </row>
    <row r="65" spans="1:58" s="1" customFormat="1" ht="15" customHeight="1">
      <c r="A65" s="1960"/>
      <c r="B65" s="1961" t="s">
        <v>16</v>
      </c>
      <c r="C65" s="5317"/>
      <c r="D65" s="2333">
        <v>0</v>
      </c>
      <c r="E65" s="1962">
        <f>SUM(E62:E64)</f>
        <v>2</v>
      </c>
      <c r="F65" s="2317">
        <f t="shared" si="23"/>
        <v>0</v>
      </c>
      <c r="G65" s="1733"/>
      <c r="H65" s="2333">
        <v>0</v>
      </c>
      <c r="I65" s="1962">
        <f>SUM(I62:I64)</f>
        <v>3</v>
      </c>
      <c r="J65" s="2317"/>
      <c r="K65" s="1733"/>
      <c r="L65" s="2333"/>
      <c r="M65" s="1962">
        <f>SUM(M62:M64)</f>
        <v>6</v>
      </c>
      <c r="N65" s="2317"/>
      <c r="O65" s="1733"/>
      <c r="P65" s="2333">
        <v>0</v>
      </c>
      <c r="Q65" s="1962">
        <f>SUM(Q62:Q64)</f>
        <v>7</v>
      </c>
      <c r="R65" s="2317"/>
      <c r="S65" s="1733"/>
      <c r="T65" s="2333">
        <f>SUM(T62:T64)</f>
        <v>0</v>
      </c>
      <c r="U65" s="1962">
        <f>SUM(U62:U64)</f>
        <v>13</v>
      </c>
      <c r="V65" s="2317">
        <f t="shared" si="4"/>
        <v>0</v>
      </c>
      <c r="W65" s="1733"/>
      <c r="X65" s="2333">
        <f>SUM(X62:X64)</f>
        <v>0</v>
      </c>
      <c r="Y65" s="1962">
        <v>13</v>
      </c>
      <c r="Z65" s="2317">
        <f t="shared" si="24"/>
        <v>0</v>
      </c>
      <c r="AA65" s="1733"/>
      <c r="AB65" s="2333">
        <v>1</v>
      </c>
      <c r="AC65" s="1962">
        <f>SUM(AC62:AC64)</f>
        <v>21</v>
      </c>
      <c r="AD65" s="2317">
        <f t="shared" si="25"/>
        <v>4.7619047619047616E-2</v>
      </c>
      <c r="AE65" s="1733"/>
      <c r="AF65" s="2333">
        <v>0</v>
      </c>
      <c r="AG65" s="1962">
        <f>SUM(AG62:AG64)</f>
        <v>27</v>
      </c>
      <c r="AH65" s="2317">
        <f t="shared" si="26"/>
        <v>0</v>
      </c>
      <c r="AI65" s="1733"/>
      <c r="AJ65" s="2333">
        <v>0</v>
      </c>
      <c r="AK65" s="1962">
        <f>SUM(AK62:AK64)</f>
        <v>30</v>
      </c>
      <c r="AL65" s="2317">
        <f t="shared" si="27"/>
        <v>0</v>
      </c>
      <c r="AM65" s="1733"/>
      <c r="AN65" s="2333">
        <v>0</v>
      </c>
      <c r="AO65" s="1962">
        <v>30</v>
      </c>
      <c r="AP65" s="2317">
        <f t="shared" si="28"/>
        <v>0</v>
      </c>
      <c r="AR65" s="2333">
        <v>0</v>
      </c>
      <c r="AS65" s="1962">
        <v>31</v>
      </c>
      <c r="AT65" s="2317">
        <f t="shared" si="29"/>
        <v>0</v>
      </c>
      <c r="AV65" s="2333">
        <v>0</v>
      </c>
      <c r="AW65" s="1962">
        <v>31</v>
      </c>
      <c r="AX65" s="2317">
        <f t="shared" si="30"/>
        <v>0</v>
      </c>
      <c r="AZ65" s="2333">
        <v>0</v>
      </c>
      <c r="BA65" s="1962">
        <v>30</v>
      </c>
      <c r="BB65" s="2317">
        <f t="shared" si="31"/>
        <v>0</v>
      </c>
      <c r="BD65" s="2333">
        <v>0</v>
      </c>
      <c r="BE65" s="1962">
        <v>33</v>
      </c>
      <c r="BF65" s="2317">
        <f t="shared" si="22"/>
        <v>0</v>
      </c>
    </row>
    <row r="66" spans="1:58" s="1" customFormat="1" ht="15" customHeight="1">
      <c r="A66" s="1960"/>
      <c r="B66" s="1965" t="s">
        <v>338</v>
      </c>
      <c r="C66" s="5317"/>
      <c r="D66" s="2342">
        <v>0</v>
      </c>
      <c r="E66" s="2343">
        <f>SUM(E57,E61,E65)</f>
        <v>10</v>
      </c>
      <c r="F66" s="2322">
        <f t="shared" si="23"/>
        <v>0</v>
      </c>
      <c r="G66" s="1733"/>
      <c r="H66" s="2342">
        <v>0</v>
      </c>
      <c r="I66" s="2343">
        <f>SUM(I57,I61,I65)</f>
        <v>13</v>
      </c>
      <c r="J66" s="2322"/>
      <c r="K66" s="1733"/>
      <c r="L66" s="2342"/>
      <c r="M66" s="2343">
        <f>SUM(M57,M61,M65)</f>
        <v>22</v>
      </c>
      <c r="N66" s="2322"/>
      <c r="O66" s="1733"/>
      <c r="P66" s="2342">
        <v>0</v>
      </c>
      <c r="Q66" s="2343">
        <f>SUM(Q57,Q61,Q65)</f>
        <v>28</v>
      </c>
      <c r="R66" s="2322"/>
      <c r="S66" s="1733"/>
      <c r="T66" s="2342">
        <f>SUM(T57,T61,T65)</f>
        <v>15</v>
      </c>
      <c r="U66" s="2343">
        <f>SUM(U57,U61,U65)</f>
        <v>36</v>
      </c>
      <c r="V66" s="2322">
        <f t="shared" si="4"/>
        <v>0.41666666666666669</v>
      </c>
      <c r="W66" s="1733"/>
      <c r="X66" s="2342">
        <f>SUM(X57,X61,X65)</f>
        <v>25</v>
      </c>
      <c r="Y66" s="2343">
        <v>42</v>
      </c>
      <c r="Z66" s="2322">
        <f t="shared" si="24"/>
        <v>0.59523809523809523</v>
      </c>
      <c r="AA66" s="1733"/>
      <c r="AB66" s="2342">
        <v>12</v>
      </c>
      <c r="AC66" s="2343">
        <f>SUM(AC57,AC61,AC65)</f>
        <v>55</v>
      </c>
      <c r="AD66" s="2322">
        <f t="shared" si="25"/>
        <v>0.21818181818181817</v>
      </c>
      <c r="AE66" s="1733"/>
      <c r="AF66" s="2342">
        <v>61</v>
      </c>
      <c r="AG66" s="2343">
        <f>SUM(AG57,AG61,AG65)</f>
        <v>66</v>
      </c>
      <c r="AH66" s="2322">
        <f t="shared" si="26"/>
        <v>0.9242424242424242</v>
      </c>
      <c r="AI66" s="1733"/>
      <c r="AJ66" s="2342">
        <v>64</v>
      </c>
      <c r="AK66" s="2343">
        <f>SUM(AK57,AK61,AK65)</f>
        <v>71</v>
      </c>
      <c r="AL66" s="2322">
        <f t="shared" si="27"/>
        <v>0.90140845070422537</v>
      </c>
      <c r="AM66" s="1733"/>
      <c r="AN66" s="2342">
        <v>28</v>
      </c>
      <c r="AO66" s="2343">
        <v>74</v>
      </c>
      <c r="AP66" s="2322">
        <f t="shared" si="28"/>
        <v>0.3783783783783784</v>
      </c>
      <c r="AR66" s="2342">
        <v>18</v>
      </c>
      <c r="AS66" s="2343">
        <v>75</v>
      </c>
      <c r="AT66" s="2322">
        <f t="shared" si="29"/>
        <v>0.24</v>
      </c>
      <c r="AV66" s="2342">
        <v>57</v>
      </c>
      <c r="AW66" s="2343">
        <v>74</v>
      </c>
      <c r="AX66" s="2322">
        <f t="shared" si="30"/>
        <v>0.77027027027027029</v>
      </c>
      <c r="AZ66" s="2342">
        <v>60</v>
      </c>
      <c r="BA66" s="2343">
        <v>70</v>
      </c>
      <c r="BB66" s="2322">
        <f t="shared" si="31"/>
        <v>0.8571428571428571</v>
      </c>
      <c r="BD66" s="2342">
        <v>37</v>
      </c>
      <c r="BE66" s="2343">
        <v>75</v>
      </c>
      <c r="BF66" s="2322">
        <f t="shared" si="22"/>
        <v>0.49333333333333335</v>
      </c>
    </row>
    <row r="67" spans="1:58" s="1" customFormat="1" ht="18">
      <c r="A67" s="1960"/>
      <c r="B67" s="1968" t="s">
        <v>1000</v>
      </c>
      <c r="C67" s="5317"/>
      <c r="D67" s="2329">
        <v>50</v>
      </c>
      <c r="E67" s="2330">
        <v>129</v>
      </c>
      <c r="F67" s="2315">
        <f t="shared" si="23"/>
        <v>0.38759689922480622</v>
      </c>
      <c r="G67" s="1733"/>
      <c r="H67" s="2329">
        <v>33</v>
      </c>
      <c r="I67" s="2330">
        <v>129</v>
      </c>
      <c r="J67" s="2315">
        <f t="shared" si="1"/>
        <v>0.2558139534883721</v>
      </c>
      <c r="K67" s="1733"/>
      <c r="L67" s="2329">
        <v>38</v>
      </c>
      <c r="M67" s="2330">
        <v>135</v>
      </c>
      <c r="N67" s="2315">
        <f t="shared" si="2"/>
        <v>0.2814814814814815</v>
      </c>
      <c r="O67" s="1733"/>
      <c r="P67" s="2329">
        <v>35</v>
      </c>
      <c r="Q67" s="2330">
        <v>137</v>
      </c>
      <c r="R67" s="2315">
        <f t="shared" si="3"/>
        <v>0.25547445255474455</v>
      </c>
      <c r="S67" s="1733"/>
      <c r="T67" s="2329">
        <v>51</v>
      </c>
      <c r="U67" s="2330">
        <v>138</v>
      </c>
      <c r="V67" s="2315">
        <f t="shared" si="4"/>
        <v>0.36956521739130432</v>
      </c>
      <c r="W67" s="1733"/>
      <c r="X67" s="2329">
        <v>46</v>
      </c>
      <c r="Y67" s="2330">
        <v>140</v>
      </c>
      <c r="Z67" s="2315">
        <f t="shared" si="24"/>
        <v>0.32857142857142857</v>
      </c>
      <c r="AA67" s="1733"/>
      <c r="AB67" s="2329">
        <v>48</v>
      </c>
      <c r="AC67" s="2330">
        <v>135</v>
      </c>
      <c r="AD67" s="2315">
        <f t="shared" si="25"/>
        <v>0.35555555555555557</v>
      </c>
      <c r="AE67" s="1733"/>
      <c r="AF67" s="2329">
        <v>45</v>
      </c>
      <c r="AG67" s="2330">
        <v>138</v>
      </c>
      <c r="AH67" s="2315">
        <f t="shared" si="26"/>
        <v>0.32608695652173914</v>
      </c>
      <c r="AI67" s="1733"/>
      <c r="AJ67" s="2329">
        <v>43</v>
      </c>
      <c r="AK67" s="2330">
        <v>136</v>
      </c>
      <c r="AL67" s="2315">
        <f t="shared" si="27"/>
        <v>0.31617647058823528</v>
      </c>
      <c r="AM67" s="1733"/>
      <c r="AN67" s="2329">
        <v>84</v>
      </c>
      <c r="AO67" s="2330">
        <v>135</v>
      </c>
      <c r="AP67" s="2315">
        <f t="shared" si="28"/>
        <v>0.62222222222222223</v>
      </c>
      <c r="AR67" s="2329">
        <v>49</v>
      </c>
      <c r="AS67" s="2330">
        <v>130</v>
      </c>
      <c r="AT67" s="2315">
        <f t="shared" si="29"/>
        <v>0.37692307692307692</v>
      </c>
      <c r="AV67" s="2329">
        <v>93</v>
      </c>
      <c r="AW67" s="2330">
        <v>127</v>
      </c>
      <c r="AX67" s="2315">
        <f t="shared" si="30"/>
        <v>0.73228346456692917</v>
      </c>
      <c r="AZ67" s="2329">
        <v>75</v>
      </c>
      <c r="BA67" s="2330">
        <v>119</v>
      </c>
      <c r="BB67" s="2315">
        <f t="shared" si="31"/>
        <v>0.63025210084033612</v>
      </c>
      <c r="BD67" s="2329">
        <v>61</v>
      </c>
      <c r="BE67" s="2330">
        <v>119</v>
      </c>
      <c r="BF67" s="2315">
        <f t="shared" si="22"/>
        <v>0.51260504201680668</v>
      </c>
    </row>
    <row r="68" spans="1:58" s="1" customFormat="1" ht="18">
      <c r="A68" s="1960"/>
      <c r="B68" s="1968" t="s">
        <v>1001</v>
      </c>
      <c r="C68" s="5317"/>
      <c r="D68" s="2329">
        <v>26</v>
      </c>
      <c r="E68" s="2330">
        <v>56</v>
      </c>
      <c r="F68" s="2315">
        <f t="shared" si="23"/>
        <v>0.4642857142857143</v>
      </c>
      <c r="G68" s="1733"/>
      <c r="H68" s="2329">
        <v>12</v>
      </c>
      <c r="I68" s="2330">
        <v>55</v>
      </c>
      <c r="J68" s="2315">
        <f t="shared" si="1"/>
        <v>0.21818181818181817</v>
      </c>
      <c r="K68" s="1733"/>
      <c r="L68" s="2329">
        <v>21</v>
      </c>
      <c r="M68" s="2330">
        <v>55</v>
      </c>
      <c r="N68" s="2315">
        <f t="shared" si="2"/>
        <v>0.38181818181818183</v>
      </c>
      <c r="O68" s="1733"/>
      <c r="P68" s="2329">
        <v>31</v>
      </c>
      <c r="Q68" s="2330">
        <v>52</v>
      </c>
      <c r="R68" s="2315">
        <f t="shared" si="3"/>
        <v>0.59615384615384615</v>
      </c>
      <c r="S68" s="1733"/>
      <c r="T68" s="2329">
        <v>24</v>
      </c>
      <c r="U68" s="2330">
        <v>53</v>
      </c>
      <c r="V68" s="2315">
        <f t="shared" si="4"/>
        <v>0.45283018867924529</v>
      </c>
      <c r="W68" s="1733"/>
      <c r="X68" s="2329">
        <v>21</v>
      </c>
      <c r="Y68" s="2330">
        <v>53</v>
      </c>
      <c r="Z68" s="2315">
        <f t="shared" si="24"/>
        <v>0.39622641509433965</v>
      </c>
      <c r="AA68" s="1733"/>
      <c r="AB68" s="2329">
        <v>17</v>
      </c>
      <c r="AC68" s="2330">
        <v>53</v>
      </c>
      <c r="AD68" s="2315">
        <f t="shared" si="25"/>
        <v>0.32075471698113206</v>
      </c>
      <c r="AE68" s="1733"/>
      <c r="AF68" s="2329">
        <v>22</v>
      </c>
      <c r="AG68" s="2330">
        <v>52</v>
      </c>
      <c r="AH68" s="2315">
        <f t="shared" si="26"/>
        <v>0.42307692307692307</v>
      </c>
      <c r="AI68" s="1733"/>
      <c r="AJ68" s="2329">
        <v>19</v>
      </c>
      <c r="AK68" s="2330">
        <v>52</v>
      </c>
      <c r="AL68" s="2315">
        <f t="shared" si="27"/>
        <v>0.36538461538461536</v>
      </c>
      <c r="AM68" s="1733"/>
      <c r="AN68" s="2329">
        <v>21</v>
      </c>
      <c r="AO68" s="2330">
        <v>52</v>
      </c>
      <c r="AP68" s="2315">
        <f t="shared" si="28"/>
        <v>0.40384615384615385</v>
      </c>
      <c r="AR68" s="2329">
        <v>9</v>
      </c>
      <c r="AS68" s="2330">
        <v>52</v>
      </c>
      <c r="AT68" s="2315">
        <f t="shared" si="29"/>
        <v>0.17307692307692307</v>
      </c>
      <c r="AV68" s="2329">
        <v>41</v>
      </c>
      <c r="AW68" s="2330">
        <v>51</v>
      </c>
      <c r="AX68" s="2315">
        <f t="shared" si="30"/>
        <v>0.80392156862745101</v>
      </c>
      <c r="AZ68" s="2329">
        <v>25</v>
      </c>
      <c r="BA68" s="2330">
        <v>49</v>
      </c>
      <c r="BB68" s="2315">
        <f t="shared" si="31"/>
        <v>0.51020408163265307</v>
      </c>
      <c r="BD68" s="2329">
        <v>26</v>
      </c>
      <c r="BE68" s="2330">
        <v>49</v>
      </c>
      <c r="BF68" s="2315">
        <f t="shared" si="22"/>
        <v>0.53061224489795922</v>
      </c>
    </row>
    <row r="69" spans="1:58" s="1" customFormat="1" ht="18">
      <c r="A69" s="1960"/>
      <c r="B69" s="1968" t="s">
        <v>1002</v>
      </c>
      <c r="C69" s="5317"/>
      <c r="D69" s="2329">
        <v>73</v>
      </c>
      <c r="E69" s="2330">
        <v>86</v>
      </c>
      <c r="F69" s="2315">
        <f t="shared" si="23"/>
        <v>0.84883720930232553</v>
      </c>
      <c r="G69" s="1733"/>
      <c r="H69" s="2329">
        <v>74</v>
      </c>
      <c r="I69" s="2330">
        <v>87</v>
      </c>
      <c r="J69" s="2315">
        <f t="shared" si="1"/>
        <v>0.85057471264367812</v>
      </c>
      <c r="K69" s="1733"/>
      <c r="L69" s="2329">
        <v>84</v>
      </c>
      <c r="M69" s="2330">
        <v>89</v>
      </c>
      <c r="N69" s="2315">
        <f t="shared" si="2"/>
        <v>0.9438202247191011</v>
      </c>
      <c r="O69" s="1733"/>
      <c r="P69" s="2329">
        <v>86</v>
      </c>
      <c r="Q69" s="2330">
        <v>89</v>
      </c>
      <c r="R69" s="2315">
        <f t="shared" si="3"/>
        <v>0.9662921348314607</v>
      </c>
      <c r="S69" s="1733"/>
      <c r="T69" s="2329">
        <v>84</v>
      </c>
      <c r="U69" s="2330">
        <v>91</v>
      </c>
      <c r="V69" s="2315">
        <f t="shared" si="4"/>
        <v>0.92307692307692313</v>
      </c>
      <c r="W69" s="1733"/>
      <c r="X69" s="2329">
        <v>83</v>
      </c>
      <c r="Y69" s="2330">
        <v>93</v>
      </c>
      <c r="Z69" s="2315">
        <f t="shared" si="24"/>
        <v>0.89247311827956988</v>
      </c>
      <c r="AA69" s="1733"/>
      <c r="AB69" s="2329">
        <v>38</v>
      </c>
      <c r="AC69" s="2330">
        <v>92</v>
      </c>
      <c r="AD69" s="2315">
        <f t="shared" si="25"/>
        <v>0.41304347826086957</v>
      </c>
      <c r="AE69" s="1733"/>
      <c r="AF69" s="2329">
        <v>64</v>
      </c>
      <c r="AG69" s="2330">
        <v>89</v>
      </c>
      <c r="AH69" s="2315">
        <f t="shared" si="26"/>
        <v>0.7191011235955056</v>
      </c>
      <c r="AI69" s="1733"/>
      <c r="AJ69" s="2329">
        <v>60</v>
      </c>
      <c r="AK69" s="2330">
        <v>88</v>
      </c>
      <c r="AL69" s="2315">
        <f t="shared" si="27"/>
        <v>0.68181818181818177</v>
      </c>
      <c r="AM69" s="1733"/>
      <c r="AN69" s="2329">
        <v>64</v>
      </c>
      <c r="AO69" s="2330">
        <v>88</v>
      </c>
      <c r="AP69" s="2315">
        <f t="shared" si="28"/>
        <v>0.72727272727272729</v>
      </c>
      <c r="AR69" s="2329">
        <v>59</v>
      </c>
      <c r="AS69" s="2330">
        <v>85</v>
      </c>
      <c r="AT69" s="2315">
        <f t="shared" si="29"/>
        <v>0.69411764705882351</v>
      </c>
      <c r="AV69" s="2329">
        <v>79</v>
      </c>
      <c r="AW69" s="2330">
        <v>83</v>
      </c>
      <c r="AX69" s="2315">
        <f t="shared" si="30"/>
        <v>0.95180722891566261</v>
      </c>
      <c r="AZ69" s="2329">
        <v>121</v>
      </c>
      <c r="BA69" s="2330">
        <v>83</v>
      </c>
      <c r="BB69" s="2315">
        <f t="shared" si="31"/>
        <v>1.4578313253012047</v>
      </c>
      <c r="BD69" s="2329">
        <v>99</v>
      </c>
      <c r="BE69" s="2330">
        <v>80</v>
      </c>
      <c r="BF69" s="2315">
        <f t="shared" si="22"/>
        <v>1.2375</v>
      </c>
    </row>
    <row r="70" spans="1:58" s="1" customFormat="1" ht="18">
      <c r="A70" s="1960"/>
      <c r="B70" s="1968" t="s">
        <v>1003</v>
      </c>
      <c r="C70" s="5317"/>
      <c r="D70" s="2329">
        <v>49</v>
      </c>
      <c r="E70" s="2330">
        <v>69</v>
      </c>
      <c r="F70" s="2315">
        <f t="shared" si="23"/>
        <v>0.71014492753623193</v>
      </c>
      <c r="G70" s="1733"/>
      <c r="H70" s="2329">
        <v>46</v>
      </c>
      <c r="I70" s="2330">
        <v>69</v>
      </c>
      <c r="J70" s="2315">
        <f t="shared" ref="J70:J84" si="32">H70/I70</f>
        <v>0.66666666666666663</v>
      </c>
      <c r="K70" s="1733"/>
      <c r="L70" s="2329">
        <v>58</v>
      </c>
      <c r="M70" s="2330">
        <v>69</v>
      </c>
      <c r="N70" s="2315">
        <f t="shared" ref="N70:N84" si="33">L70/M70</f>
        <v>0.84057971014492749</v>
      </c>
      <c r="O70" s="1733"/>
      <c r="P70" s="2329">
        <v>78</v>
      </c>
      <c r="Q70" s="2330">
        <v>71</v>
      </c>
      <c r="R70" s="2315">
        <f t="shared" ref="R70:R84" si="34">P70/Q70</f>
        <v>1.0985915492957747</v>
      </c>
      <c r="S70" s="1733"/>
      <c r="T70" s="2329">
        <v>106</v>
      </c>
      <c r="U70" s="2330">
        <v>71</v>
      </c>
      <c r="V70" s="2315">
        <f t="shared" ref="V70:V84" si="35">T70/U70</f>
        <v>1.4929577464788732</v>
      </c>
      <c r="W70" s="1733"/>
      <c r="X70" s="2329">
        <v>77</v>
      </c>
      <c r="Y70" s="2330">
        <v>68</v>
      </c>
      <c r="Z70" s="2315">
        <f t="shared" si="24"/>
        <v>1.1323529411764706</v>
      </c>
      <c r="AA70" s="1733"/>
      <c r="AB70" s="2329">
        <v>59</v>
      </c>
      <c r="AC70" s="2330">
        <v>67</v>
      </c>
      <c r="AD70" s="2315">
        <f t="shared" si="25"/>
        <v>0.88059701492537312</v>
      </c>
      <c r="AE70" s="1733"/>
      <c r="AF70" s="2329">
        <v>63</v>
      </c>
      <c r="AG70" s="2330">
        <v>68</v>
      </c>
      <c r="AH70" s="2315">
        <f t="shared" si="26"/>
        <v>0.92647058823529416</v>
      </c>
      <c r="AI70" s="1733"/>
      <c r="AJ70" s="2329">
        <v>79</v>
      </c>
      <c r="AK70" s="2330">
        <v>68</v>
      </c>
      <c r="AL70" s="2315">
        <f t="shared" si="27"/>
        <v>1.161764705882353</v>
      </c>
      <c r="AM70" s="1733"/>
      <c r="AN70" s="2329">
        <v>55</v>
      </c>
      <c r="AO70" s="2330">
        <v>69</v>
      </c>
      <c r="AP70" s="2315">
        <f t="shared" si="28"/>
        <v>0.79710144927536231</v>
      </c>
      <c r="AR70" s="2329">
        <v>75</v>
      </c>
      <c r="AS70" s="2330">
        <v>65</v>
      </c>
      <c r="AT70" s="2315">
        <f t="shared" si="29"/>
        <v>1.1538461538461537</v>
      </c>
      <c r="AV70" s="2329">
        <v>69</v>
      </c>
      <c r="AW70" s="2330">
        <v>65</v>
      </c>
      <c r="AX70" s="2315">
        <f t="shared" si="30"/>
        <v>1.0615384615384615</v>
      </c>
      <c r="AZ70" s="2329">
        <v>73</v>
      </c>
      <c r="BA70" s="2330">
        <v>64</v>
      </c>
      <c r="BB70" s="2315">
        <f t="shared" si="31"/>
        <v>1.140625</v>
      </c>
      <c r="BD70" s="2329">
        <v>78</v>
      </c>
      <c r="BE70" s="2330">
        <v>61</v>
      </c>
      <c r="BF70" s="2315">
        <f t="shared" si="22"/>
        <v>1.278688524590164</v>
      </c>
    </row>
    <row r="71" spans="1:58" s="1" customFormat="1" ht="15" customHeight="1">
      <c r="A71" s="1960"/>
      <c r="B71" s="1929" t="s">
        <v>41</v>
      </c>
      <c r="C71" s="5317"/>
      <c r="D71" s="2328">
        <f>SUM(D67:D70)</f>
        <v>198</v>
      </c>
      <c r="E71" s="1040">
        <f>SUM(E67:E70)</f>
        <v>340</v>
      </c>
      <c r="F71" s="2314">
        <f t="shared" si="23"/>
        <v>0.58235294117647063</v>
      </c>
      <c r="G71" s="1733"/>
      <c r="H71" s="2328">
        <v>165</v>
      </c>
      <c r="I71" s="1040">
        <f>SUM(I67:I70)</f>
        <v>340</v>
      </c>
      <c r="J71" s="2314">
        <f t="shared" si="32"/>
        <v>0.48529411764705882</v>
      </c>
      <c r="K71" s="1733"/>
      <c r="L71" s="2328">
        <v>201</v>
      </c>
      <c r="M71" s="1040">
        <f>SUM(M67:M70)</f>
        <v>348</v>
      </c>
      <c r="N71" s="2314">
        <f t="shared" si="33"/>
        <v>0.57758620689655171</v>
      </c>
      <c r="O71" s="1733"/>
      <c r="P71" s="2328">
        <v>230</v>
      </c>
      <c r="Q71" s="1040">
        <f>SUM(Q67:Q70)</f>
        <v>349</v>
      </c>
      <c r="R71" s="2314">
        <f t="shared" si="34"/>
        <v>0.65902578796561606</v>
      </c>
      <c r="S71" s="1733"/>
      <c r="T71" s="2328">
        <f>SUM(T67:T70)</f>
        <v>265</v>
      </c>
      <c r="U71" s="1040">
        <f>SUM(U67:U70)</f>
        <v>353</v>
      </c>
      <c r="V71" s="2314">
        <f t="shared" si="35"/>
        <v>0.75070821529745047</v>
      </c>
      <c r="W71" s="1733"/>
      <c r="X71" s="2328">
        <f>SUM(X67:X70)</f>
        <v>227</v>
      </c>
      <c r="Y71" s="1040">
        <v>354</v>
      </c>
      <c r="Z71" s="2314">
        <f t="shared" si="24"/>
        <v>0.64124293785310738</v>
      </c>
      <c r="AA71" s="1733"/>
      <c r="AB71" s="2328">
        <v>162</v>
      </c>
      <c r="AC71" s="1040">
        <f>SUM(AC67:AC70)</f>
        <v>347</v>
      </c>
      <c r="AD71" s="2314">
        <f t="shared" si="25"/>
        <v>0.4668587896253602</v>
      </c>
      <c r="AE71" s="1733"/>
      <c r="AF71" s="2328">
        <v>194</v>
      </c>
      <c r="AG71" s="1040">
        <f>SUM(AG67:AG70)</f>
        <v>347</v>
      </c>
      <c r="AH71" s="2314">
        <f t="shared" si="26"/>
        <v>0.55907780979827093</v>
      </c>
      <c r="AI71" s="1733"/>
      <c r="AJ71" s="2328">
        <v>201</v>
      </c>
      <c r="AK71" s="1040">
        <f>SUM(AK67:AK70)</f>
        <v>344</v>
      </c>
      <c r="AL71" s="2314">
        <f t="shared" si="27"/>
        <v>0.58430232558139539</v>
      </c>
      <c r="AM71" s="1733"/>
      <c r="AN71" s="2328">
        <v>224</v>
      </c>
      <c r="AO71" s="1040">
        <v>344</v>
      </c>
      <c r="AP71" s="2314">
        <f t="shared" si="28"/>
        <v>0.65116279069767447</v>
      </c>
      <c r="AR71" s="2328">
        <v>192</v>
      </c>
      <c r="AS71" s="1040">
        <v>332</v>
      </c>
      <c r="AT71" s="2314">
        <f t="shared" si="29"/>
        <v>0.57831325301204817</v>
      </c>
      <c r="AV71" s="2328">
        <v>282</v>
      </c>
      <c r="AW71" s="1040">
        <v>326</v>
      </c>
      <c r="AX71" s="2314">
        <f t="shared" si="30"/>
        <v>0.86503067484662577</v>
      </c>
      <c r="AZ71" s="2328">
        <v>294</v>
      </c>
      <c r="BA71" s="1040">
        <v>315</v>
      </c>
      <c r="BB71" s="2314">
        <f t="shared" si="31"/>
        <v>0.93333333333333335</v>
      </c>
      <c r="BD71" s="2328">
        <v>264</v>
      </c>
      <c r="BE71" s="1040">
        <v>309</v>
      </c>
      <c r="BF71" s="2314">
        <f t="shared" si="22"/>
        <v>0.85436893203883491</v>
      </c>
    </row>
    <row r="72" spans="1:58" s="1" customFormat="1" ht="18">
      <c r="A72" s="1960"/>
      <c r="B72" s="1968" t="s">
        <v>1004</v>
      </c>
      <c r="C72" s="5317"/>
      <c r="D72" s="2329">
        <v>5</v>
      </c>
      <c r="E72" s="2330">
        <v>128</v>
      </c>
      <c r="F72" s="2315">
        <f t="shared" si="23"/>
        <v>3.90625E-2</v>
      </c>
      <c r="G72" s="1733"/>
      <c r="H72" s="2329"/>
      <c r="I72" s="2330">
        <v>131</v>
      </c>
      <c r="J72" s="2315">
        <f t="shared" si="32"/>
        <v>0</v>
      </c>
      <c r="K72" s="1733"/>
      <c r="L72" s="2329">
        <v>3</v>
      </c>
      <c r="M72" s="2330">
        <v>134</v>
      </c>
      <c r="N72" s="2315">
        <f t="shared" si="33"/>
        <v>2.2388059701492536E-2</v>
      </c>
      <c r="O72" s="1733"/>
      <c r="P72" s="2329">
        <v>1</v>
      </c>
      <c r="Q72" s="2330">
        <v>136</v>
      </c>
      <c r="R72" s="2315">
        <f t="shared" si="34"/>
        <v>7.3529411764705881E-3</v>
      </c>
      <c r="S72" s="1733"/>
      <c r="T72" s="2329">
        <v>4</v>
      </c>
      <c r="U72" s="2330">
        <v>135</v>
      </c>
      <c r="V72" s="2315">
        <f t="shared" si="35"/>
        <v>2.9629629629629631E-2</v>
      </c>
      <c r="W72" s="1733"/>
      <c r="X72" s="2329"/>
      <c r="Y72" s="2330">
        <v>132</v>
      </c>
      <c r="Z72" s="2315">
        <f t="shared" si="24"/>
        <v>0</v>
      </c>
      <c r="AA72" s="1733"/>
      <c r="AB72" s="2329">
        <v>3</v>
      </c>
      <c r="AC72" s="2330">
        <v>130</v>
      </c>
      <c r="AD72" s="2315">
        <f t="shared" si="25"/>
        <v>2.3076923076923078E-2</v>
      </c>
      <c r="AE72" s="1733"/>
      <c r="AF72" s="2329"/>
      <c r="AG72" s="2330">
        <v>126</v>
      </c>
      <c r="AH72" s="2315">
        <f t="shared" si="26"/>
        <v>0</v>
      </c>
      <c r="AI72" s="1733"/>
      <c r="AJ72" s="2329">
        <v>5</v>
      </c>
      <c r="AK72" s="2330">
        <v>125</v>
      </c>
      <c r="AL72" s="2315">
        <f t="shared" si="27"/>
        <v>0.04</v>
      </c>
      <c r="AM72" s="1733"/>
      <c r="AN72" s="2329">
        <v>6</v>
      </c>
      <c r="AO72" s="2330">
        <v>120</v>
      </c>
      <c r="AP72" s="2315">
        <f t="shared" si="28"/>
        <v>0.05</v>
      </c>
      <c r="AR72" s="2329">
        <v>3</v>
      </c>
      <c r="AS72" s="2330">
        <v>120</v>
      </c>
      <c r="AT72" s="2315">
        <f t="shared" si="29"/>
        <v>2.5000000000000001E-2</v>
      </c>
      <c r="AV72" s="2329">
        <v>1</v>
      </c>
      <c r="AW72" s="2330">
        <v>118</v>
      </c>
      <c r="AX72" s="2315">
        <f t="shared" si="30"/>
        <v>8.4745762711864406E-3</v>
      </c>
      <c r="AZ72" s="2329">
        <v>5</v>
      </c>
      <c r="BA72" s="2330">
        <v>115</v>
      </c>
      <c r="BB72" s="2315">
        <f t="shared" si="31"/>
        <v>4.3478260869565216E-2</v>
      </c>
      <c r="BD72" s="2329">
        <v>1</v>
      </c>
      <c r="BE72" s="2330">
        <v>112</v>
      </c>
      <c r="BF72" s="2315">
        <f t="shared" si="22"/>
        <v>8.9285714285714281E-3</v>
      </c>
    </row>
    <row r="73" spans="1:58" s="1" customFormat="1" ht="18">
      <c r="A73" s="1960"/>
      <c r="B73" s="1968" t="s">
        <v>1005</v>
      </c>
      <c r="C73" s="5317"/>
      <c r="D73" s="2329"/>
      <c r="E73" s="2330">
        <v>91</v>
      </c>
      <c r="F73" s="2315">
        <f t="shared" si="23"/>
        <v>0</v>
      </c>
      <c r="G73" s="1733"/>
      <c r="H73" s="2329"/>
      <c r="I73" s="2330">
        <v>98</v>
      </c>
      <c r="J73" s="2315">
        <f t="shared" si="32"/>
        <v>0</v>
      </c>
      <c r="K73" s="1733"/>
      <c r="L73" s="2329">
        <v>1</v>
      </c>
      <c r="M73" s="2330">
        <v>99</v>
      </c>
      <c r="N73" s="2315">
        <f t="shared" si="33"/>
        <v>1.0101010101010102E-2</v>
      </c>
      <c r="O73" s="1733"/>
      <c r="P73" s="2329"/>
      <c r="Q73" s="2330">
        <v>99</v>
      </c>
      <c r="R73" s="2315">
        <f t="shared" si="34"/>
        <v>0</v>
      </c>
      <c r="S73" s="1733"/>
      <c r="T73" s="2329">
        <v>4</v>
      </c>
      <c r="U73" s="2330">
        <v>98</v>
      </c>
      <c r="V73" s="2315">
        <f t="shared" si="35"/>
        <v>4.0816326530612242E-2</v>
      </c>
      <c r="W73" s="1733"/>
      <c r="X73" s="2329">
        <v>1</v>
      </c>
      <c r="Y73" s="2330">
        <v>97</v>
      </c>
      <c r="Z73" s="2315">
        <f t="shared" si="24"/>
        <v>1.0309278350515464E-2</v>
      </c>
      <c r="AA73" s="1733"/>
      <c r="AB73" s="2329"/>
      <c r="AC73" s="2330">
        <v>96</v>
      </c>
      <c r="AD73" s="2315">
        <f t="shared" si="25"/>
        <v>0</v>
      </c>
      <c r="AE73" s="1733"/>
      <c r="AF73" s="2329">
        <v>1</v>
      </c>
      <c r="AG73" s="2330">
        <v>99</v>
      </c>
      <c r="AH73" s="2315">
        <f t="shared" si="26"/>
        <v>1.0101010101010102E-2</v>
      </c>
      <c r="AI73" s="1733"/>
      <c r="AJ73" s="2329">
        <v>2</v>
      </c>
      <c r="AK73" s="2330">
        <v>100</v>
      </c>
      <c r="AL73" s="2315">
        <f t="shared" si="27"/>
        <v>0.02</v>
      </c>
      <c r="AM73" s="1733"/>
      <c r="AN73" s="2329">
        <v>0</v>
      </c>
      <c r="AO73" s="2330">
        <v>96</v>
      </c>
      <c r="AP73" s="2315">
        <f t="shared" si="28"/>
        <v>0</v>
      </c>
      <c r="AR73" s="2329">
        <v>1</v>
      </c>
      <c r="AS73" s="2330">
        <v>93</v>
      </c>
      <c r="AT73" s="2315">
        <f t="shared" si="29"/>
        <v>1.0752688172043012E-2</v>
      </c>
      <c r="AV73" s="2329">
        <v>0</v>
      </c>
      <c r="AW73" s="2330">
        <v>91</v>
      </c>
      <c r="AX73" s="2315">
        <f t="shared" si="30"/>
        <v>0</v>
      </c>
      <c r="AZ73" s="2329">
        <v>7</v>
      </c>
      <c r="BA73" s="2330">
        <v>91</v>
      </c>
      <c r="BB73" s="2315">
        <f t="shared" si="31"/>
        <v>7.6923076923076927E-2</v>
      </c>
      <c r="BD73" s="2329">
        <v>1</v>
      </c>
      <c r="BE73" s="2330">
        <v>91</v>
      </c>
      <c r="BF73" s="2315">
        <f t="shared" si="22"/>
        <v>1.098901098901099E-2</v>
      </c>
    </row>
    <row r="74" spans="1:58" s="1" customFormat="1" ht="18">
      <c r="A74" s="1960"/>
      <c r="B74" s="1968" t="s">
        <v>1006</v>
      </c>
      <c r="C74" s="5317"/>
      <c r="D74" s="2329">
        <v>1</v>
      </c>
      <c r="E74" s="2330">
        <v>66</v>
      </c>
      <c r="F74" s="2315">
        <f t="shared" si="23"/>
        <v>1.5151515151515152E-2</v>
      </c>
      <c r="G74" s="1733"/>
      <c r="H74" s="2329">
        <v>4</v>
      </c>
      <c r="I74" s="2330">
        <v>69</v>
      </c>
      <c r="J74" s="2315">
        <f t="shared" si="32"/>
        <v>5.7971014492753624E-2</v>
      </c>
      <c r="K74" s="1733"/>
      <c r="L74" s="2329">
        <v>41</v>
      </c>
      <c r="M74" s="2330">
        <v>73</v>
      </c>
      <c r="N74" s="2315">
        <f t="shared" si="33"/>
        <v>0.56164383561643838</v>
      </c>
      <c r="O74" s="1733"/>
      <c r="P74" s="2329">
        <v>20</v>
      </c>
      <c r="Q74" s="2330">
        <v>70</v>
      </c>
      <c r="R74" s="2315">
        <f t="shared" si="34"/>
        <v>0.2857142857142857</v>
      </c>
      <c r="S74" s="1733"/>
      <c r="T74" s="2329">
        <v>1</v>
      </c>
      <c r="U74" s="2330">
        <v>68</v>
      </c>
      <c r="V74" s="2315">
        <f t="shared" si="35"/>
        <v>1.4705882352941176E-2</v>
      </c>
      <c r="W74" s="1733"/>
      <c r="X74" s="2329">
        <v>1</v>
      </c>
      <c r="Y74" s="2330">
        <v>68</v>
      </c>
      <c r="Z74" s="2315">
        <f t="shared" si="24"/>
        <v>1.4705882352941176E-2</v>
      </c>
      <c r="AA74" s="1733"/>
      <c r="AB74" s="2329">
        <v>2</v>
      </c>
      <c r="AC74" s="2330">
        <v>66</v>
      </c>
      <c r="AD74" s="2315">
        <f t="shared" si="25"/>
        <v>3.0303030303030304E-2</v>
      </c>
      <c r="AE74" s="1733"/>
      <c r="AF74" s="2329">
        <v>5</v>
      </c>
      <c r="AG74" s="2330">
        <v>67</v>
      </c>
      <c r="AH74" s="2315">
        <f t="shared" si="26"/>
        <v>7.4626865671641784E-2</v>
      </c>
      <c r="AI74" s="1733"/>
      <c r="AJ74" s="2329">
        <v>3</v>
      </c>
      <c r="AK74" s="2330">
        <v>68</v>
      </c>
      <c r="AL74" s="2315">
        <f t="shared" si="27"/>
        <v>4.4117647058823532E-2</v>
      </c>
      <c r="AM74" s="1733"/>
      <c r="AN74" s="2329">
        <v>3</v>
      </c>
      <c r="AO74" s="2330">
        <v>67</v>
      </c>
      <c r="AP74" s="2315">
        <f t="shared" si="28"/>
        <v>4.4776119402985072E-2</v>
      </c>
      <c r="AR74" s="2329">
        <v>3</v>
      </c>
      <c r="AS74" s="2330">
        <v>66</v>
      </c>
      <c r="AT74" s="2315">
        <f t="shared" si="29"/>
        <v>4.5454545454545456E-2</v>
      </c>
      <c r="AV74" s="2329">
        <v>1</v>
      </c>
      <c r="AW74" s="2330">
        <v>65</v>
      </c>
      <c r="AX74" s="2315">
        <f t="shared" si="30"/>
        <v>1.5384615384615385E-2</v>
      </c>
      <c r="AZ74" s="2329">
        <v>6</v>
      </c>
      <c r="BA74" s="2330">
        <v>65</v>
      </c>
      <c r="BB74" s="2315">
        <f t="shared" si="31"/>
        <v>9.2307692307692313E-2</v>
      </c>
      <c r="BD74" s="2329">
        <v>5</v>
      </c>
      <c r="BE74" s="2330">
        <v>62</v>
      </c>
      <c r="BF74" s="2315">
        <f t="shared" si="22"/>
        <v>8.0645161290322578E-2</v>
      </c>
    </row>
    <row r="75" spans="1:58" s="1" customFormat="1" ht="18">
      <c r="A75" s="1960"/>
      <c r="B75" s="1968" t="s">
        <v>1007</v>
      </c>
      <c r="C75" s="5317"/>
      <c r="D75" s="2329"/>
      <c r="E75" s="2330">
        <v>57</v>
      </c>
      <c r="F75" s="2315">
        <f t="shared" si="23"/>
        <v>0</v>
      </c>
      <c r="G75" s="1733"/>
      <c r="H75" s="2329">
        <v>1</v>
      </c>
      <c r="I75" s="2330">
        <v>58</v>
      </c>
      <c r="J75" s="2315">
        <f t="shared" si="32"/>
        <v>1.7241379310344827E-2</v>
      </c>
      <c r="K75" s="1733"/>
      <c r="L75" s="2329">
        <v>1</v>
      </c>
      <c r="M75" s="2330">
        <v>57</v>
      </c>
      <c r="N75" s="2315">
        <f t="shared" si="33"/>
        <v>1.7543859649122806E-2</v>
      </c>
      <c r="O75" s="1733"/>
      <c r="P75" s="2329">
        <v>1</v>
      </c>
      <c r="Q75" s="2330">
        <v>57</v>
      </c>
      <c r="R75" s="2315">
        <f t="shared" si="34"/>
        <v>1.7543859649122806E-2</v>
      </c>
      <c r="S75" s="1733"/>
      <c r="T75" s="2329">
        <v>0</v>
      </c>
      <c r="U75" s="2330">
        <v>60</v>
      </c>
      <c r="V75" s="2315">
        <f t="shared" si="35"/>
        <v>0</v>
      </c>
      <c r="W75" s="1733"/>
      <c r="X75" s="2329">
        <v>2</v>
      </c>
      <c r="Y75" s="2330">
        <v>61</v>
      </c>
      <c r="Z75" s="2315">
        <f t="shared" si="24"/>
        <v>3.2786885245901641E-2</v>
      </c>
      <c r="AA75" s="1733"/>
      <c r="AB75" s="2329">
        <v>1</v>
      </c>
      <c r="AC75" s="2330">
        <v>59</v>
      </c>
      <c r="AD75" s="2315">
        <f t="shared" si="25"/>
        <v>1.6949152542372881E-2</v>
      </c>
      <c r="AE75" s="1733"/>
      <c r="AF75" s="2329">
        <v>1</v>
      </c>
      <c r="AG75" s="2330">
        <v>58</v>
      </c>
      <c r="AH75" s="2315">
        <f t="shared" si="26"/>
        <v>1.7241379310344827E-2</v>
      </c>
      <c r="AI75" s="1733"/>
      <c r="AJ75" s="2329">
        <v>1</v>
      </c>
      <c r="AK75" s="2330">
        <v>60</v>
      </c>
      <c r="AL75" s="2315">
        <f t="shared" si="27"/>
        <v>1.6666666666666666E-2</v>
      </c>
      <c r="AM75" s="1733"/>
      <c r="AN75" s="2329">
        <v>0</v>
      </c>
      <c r="AO75" s="2330">
        <v>58</v>
      </c>
      <c r="AP75" s="2315">
        <f t="shared" si="28"/>
        <v>0</v>
      </c>
      <c r="AR75" s="2329">
        <v>0</v>
      </c>
      <c r="AS75" s="2330">
        <v>58</v>
      </c>
      <c r="AT75" s="2315">
        <f t="shared" si="29"/>
        <v>0</v>
      </c>
      <c r="AV75" s="2329">
        <v>0</v>
      </c>
      <c r="AW75" s="2330">
        <v>57</v>
      </c>
      <c r="AX75" s="2315">
        <f t="shared" si="30"/>
        <v>0</v>
      </c>
      <c r="AZ75" s="2329">
        <v>2</v>
      </c>
      <c r="BA75" s="2330">
        <v>54</v>
      </c>
      <c r="BB75" s="2315">
        <f t="shared" si="31"/>
        <v>3.7037037037037035E-2</v>
      </c>
      <c r="BD75" s="2329">
        <v>0</v>
      </c>
      <c r="BE75" s="2330">
        <v>56</v>
      </c>
      <c r="BF75" s="2315">
        <f t="shared" si="22"/>
        <v>0</v>
      </c>
    </row>
    <row r="76" spans="1:58" s="1" customFormat="1" ht="15" customHeight="1">
      <c r="A76" s="1960"/>
      <c r="B76" s="1929" t="s">
        <v>16</v>
      </c>
      <c r="C76" s="5317"/>
      <c r="D76" s="2328">
        <f>SUM(D72:D75)</f>
        <v>6</v>
      </c>
      <c r="E76" s="1040">
        <f>SUM(E72:E75)</f>
        <v>342</v>
      </c>
      <c r="F76" s="2314">
        <f t="shared" si="23"/>
        <v>1.7543859649122806E-2</v>
      </c>
      <c r="G76" s="1733"/>
      <c r="H76" s="2328">
        <v>5</v>
      </c>
      <c r="I76" s="1040">
        <f>SUM(I72:I75)</f>
        <v>356</v>
      </c>
      <c r="J76" s="2314">
        <f t="shared" si="32"/>
        <v>1.4044943820224719E-2</v>
      </c>
      <c r="K76" s="1733"/>
      <c r="L76" s="2328">
        <v>46</v>
      </c>
      <c r="M76" s="1040">
        <f>SUM(M72:M75)</f>
        <v>363</v>
      </c>
      <c r="N76" s="2314">
        <f t="shared" si="33"/>
        <v>0.12672176308539945</v>
      </c>
      <c r="O76" s="1733"/>
      <c r="P76" s="2328">
        <v>22</v>
      </c>
      <c r="Q76" s="1040">
        <f>SUM(Q72:Q75)</f>
        <v>362</v>
      </c>
      <c r="R76" s="2314">
        <f t="shared" si="34"/>
        <v>6.0773480662983423E-2</v>
      </c>
      <c r="S76" s="1733"/>
      <c r="T76" s="2328">
        <f>SUM(T72:T75)</f>
        <v>9</v>
      </c>
      <c r="U76" s="1040">
        <f>SUM(U72:U75)</f>
        <v>361</v>
      </c>
      <c r="V76" s="2314">
        <f t="shared" si="35"/>
        <v>2.4930747922437674E-2</v>
      </c>
      <c r="W76" s="1733"/>
      <c r="X76" s="2328">
        <f>SUM(X72:X75)</f>
        <v>4</v>
      </c>
      <c r="Y76" s="1040">
        <v>358</v>
      </c>
      <c r="Z76" s="2314">
        <f t="shared" si="24"/>
        <v>1.11731843575419E-2</v>
      </c>
      <c r="AA76" s="1733"/>
      <c r="AB76" s="2328">
        <v>6</v>
      </c>
      <c r="AC76" s="1040">
        <f>SUM(AC72:AC75)</f>
        <v>351</v>
      </c>
      <c r="AD76" s="2314">
        <f t="shared" si="25"/>
        <v>1.7094017094017096E-2</v>
      </c>
      <c r="AE76" s="1733"/>
      <c r="AF76" s="2328">
        <v>7</v>
      </c>
      <c r="AG76" s="1040">
        <f>SUM(AG72:AG75)</f>
        <v>350</v>
      </c>
      <c r="AH76" s="2314">
        <f t="shared" si="26"/>
        <v>0.02</v>
      </c>
      <c r="AI76" s="1733"/>
      <c r="AJ76" s="2328">
        <v>11</v>
      </c>
      <c r="AK76" s="1040">
        <f>SUM(AK72:AK75)</f>
        <v>353</v>
      </c>
      <c r="AL76" s="2314">
        <f t="shared" si="27"/>
        <v>3.1161473087818695E-2</v>
      </c>
      <c r="AM76" s="1733"/>
      <c r="AN76" s="2328">
        <v>9</v>
      </c>
      <c r="AO76" s="1040">
        <v>341</v>
      </c>
      <c r="AP76" s="2314">
        <f t="shared" si="28"/>
        <v>2.6392961876832845E-2</v>
      </c>
      <c r="AR76" s="2328">
        <v>7</v>
      </c>
      <c r="AS76" s="1040">
        <v>337</v>
      </c>
      <c r="AT76" s="2314">
        <f t="shared" si="29"/>
        <v>2.0771513353115726E-2</v>
      </c>
      <c r="AV76" s="2328">
        <v>2</v>
      </c>
      <c r="AW76" s="1040">
        <v>331</v>
      </c>
      <c r="AX76" s="2314">
        <f t="shared" si="30"/>
        <v>6.0422960725075529E-3</v>
      </c>
      <c r="AZ76" s="2328">
        <v>20</v>
      </c>
      <c r="BA76" s="1040">
        <v>325</v>
      </c>
      <c r="BB76" s="2314">
        <f t="shared" si="31"/>
        <v>6.1538461538461542E-2</v>
      </c>
      <c r="BD76" s="2328">
        <v>7</v>
      </c>
      <c r="BE76" s="1040">
        <v>321</v>
      </c>
      <c r="BF76" s="2314">
        <f t="shared" si="22"/>
        <v>2.1806853582554516E-2</v>
      </c>
    </row>
    <row r="77" spans="1:58" s="1" customFormat="1" ht="18">
      <c r="A77" s="1960"/>
      <c r="B77" s="1968" t="s">
        <v>1008</v>
      </c>
      <c r="C77" s="5317"/>
      <c r="D77" s="2329">
        <v>2</v>
      </c>
      <c r="E77" s="2330">
        <v>29</v>
      </c>
      <c r="F77" s="2315">
        <f t="shared" si="23"/>
        <v>6.8965517241379309E-2</v>
      </c>
      <c r="G77" s="1733"/>
      <c r="H77" s="2329">
        <v>2</v>
      </c>
      <c r="I77" s="2330">
        <v>28</v>
      </c>
      <c r="J77" s="2315">
        <f t="shared" si="32"/>
        <v>7.1428571428571425E-2</v>
      </c>
      <c r="K77" s="1733"/>
      <c r="L77" s="2329">
        <v>3</v>
      </c>
      <c r="M77" s="2330">
        <v>26</v>
      </c>
      <c r="N77" s="2315">
        <f t="shared" si="33"/>
        <v>0.11538461538461539</v>
      </c>
      <c r="O77" s="1733"/>
      <c r="P77" s="2329"/>
      <c r="Q77" s="2330">
        <v>26</v>
      </c>
      <c r="R77" s="2315">
        <f t="shared" si="34"/>
        <v>0</v>
      </c>
      <c r="S77" s="1733"/>
      <c r="T77" s="2329">
        <v>5</v>
      </c>
      <c r="U77" s="2330">
        <v>29</v>
      </c>
      <c r="V77" s="2315">
        <f t="shared" si="35"/>
        <v>0.17241379310344829</v>
      </c>
      <c r="W77" s="1733"/>
      <c r="X77" s="2329"/>
      <c r="Y77" s="2330">
        <v>29</v>
      </c>
      <c r="Z77" s="2315">
        <f t="shared" si="24"/>
        <v>0</v>
      </c>
      <c r="AA77" s="1733"/>
      <c r="AB77" s="2329"/>
      <c r="AC77" s="2330">
        <v>32</v>
      </c>
      <c r="AD77" s="2315">
        <f t="shared" si="25"/>
        <v>0</v>
      </c>
      <c r="AE77" s="1733"/>
      <c r="AF77" s="2329"/>
      <c r="AG77" s="2330">
        <v>31</v>
      </c>
      <c r="AH77" s="2315">
        <f t="shared" si="26"/>
        <v>0</v>
      </c>
      <c r="AI77" s="1733"/>
      <c r="AJ77" s="2329">
        <v>1</v>
      </c>
      <c r="AK77" s="2330">
        <v>29</v>
      </c>
      <c r="AL77" s="2315">
        <f t="shared" si="27"/>
        <v>3.4482758620689655E-2</v>
      </c>
      <c r="AM77" s="1733"/>
      <c r="AN77" s="2329">
        <v>1</v>
      </c>
      <c r="AO77" s="2330">
        <v>30</v>
      </c>
      <c r="AP77" s="2315">
        <f t="shared" si="28"/>
        <v>3.3333333333333333E-2</v>
      </c>
      <c r="AR77" s="2329">
        <v>0</v>
      </c>
      <c r="AS77" s="2330">
        <v>30</v>
      </c>
      <c r="AT77" s="2315">
        <f t="shared" si="29"/>
        <v>0</v>
      </c>
      <c r="AV77" s="2329">
        <v>1</v>
      </c>
      <c r="AW77" s="2330">
        <v>31</v>
      </c>
      <c r="AX77" s="2315">
        <f t="shared" si="30"/>
        <v>3.2258064516129031E-2</v>
      </c>
      <c r="AZ77" s="2329">
        <v>0</v>
      </c>
      <c r="BA77" s="2330">
        <v>28</v>
      </c>
      <c r="BB77" s="2315">
        <f t="shared" si="31"/>
        <v>0</v>
      </c>
      <c r="BD77" s="2329">
        <v>2</v>
      </c>
      <c r="BE77" s="2330">
        <v>31</v>
      </c>
      <c r="BF77" s="2315">
        <f t="shared" si="22"/>
        <v>6.4516129032258063E-2</v>
      </c>
    </row>
    <row r="78" spans="1:58" s="1" customFormat="1" ht="18">
      <c r="A78" s="1960"/>
      <c r="B78" s="1968" t="s">
        <v>1009</v>
      </c>
      <c r="C78" s="5317"/>
      <c r="D78" s="2329"/>
      <c r="E78" s="2330">
        <v>37</v>
      </c>
      <c r="F78" s="2315">
        <f t="shared" si="23"/>
        <v>0</v>
      </c>
      <c r="G78" s="1733"/>
      <c r="H78" s="2329"/>
      <c r="I78" s="2330">
        <v>39</v>
      </c>
      <c r="J78" s="2315">
        <f t="shared" si="32"/>
        <v>0</v>
      </c>
      <c r="K78" s="1733"/>
      <c r="L78" s="2329"/>
      <c r="M78" s="2330">
        <v>38</v>
      </c>
      <c r="N78" s="2315">
        <f t="shared" si="33"/>
        <v>0</v>
      </c>
      <c r="O78" s="1733"/>
      <c r="P78" s="2329">
        <v>3</v>
      </c>
      <c r="Q78" s="2330">
        <v>39</v>
      </c>
      <c r="R78" s="2315">
        <f t="shared" si="34"/>
        <v>7.6923076923076927E-2</v>
      </c>
      <c r="S78" s="1733"/>
      <c r="T78" s="2329">
        <v>9</v>
      </c>
      <c r="U78" s="2330">
        <v>40</v>
      </c>
      <c r="V78" s="2315">
        <f t="shared" si="35"/>
        <v>0.22500000000000001</v>
      </c>
      <c r="W78" s="1733"/>
      <c r="X78" s="2329">
        <v>3</v>
      </c>
      <c r="Y78" s="2330">
        <v>40</v>
      </c>
      <c r="Z78" s="2315">
        <f t="shared" si="24"/>
        <v>7.4999999999999997E-2</v>
      </c>
      <c r="AA78" s="1733"/>
      <c r="AB78" s="2329">
        <v>3</v>
      </c>
      <c r="AC78" s="2330">
        <v>39</v>
      </c>
      <c r="AD78" s="2315">
        <f t="shared" si="25"/>
        <v>7.6923076923076927E-2</v>
      </c>
      <c r="AE78" s="1733"/>
      <c r="AF78" s="2329">
        <v>4</v>
      </c>
      <c r="AG78" s="2330">
        <v>38</v>
      </c>
      <c r="AH78" s="2315">
        <f t="shared" si="26"/>
        <v>0.10526315789473684</v>
      </c>
      <c r="AI78" s="1733"/>
      <c r="AJ78" s="2329">
        <v>5</v>
      </c>
      <c r="AK78" s="2330">
        <v>36</v>
      </c>
      <c r="AL78" s="2315">
        <f t="shared" si="27"/>
        <v>0.1388888888888889</v>
      </c>
      <c r="AM78" s="1733"/>
      <c r="AN78" s="2329">
        <v>17</v>
      </c>
      <c r="AO78" s="2330">
        <v>40</v>
      </c>
      <c r="AP78" s="2315">
        <f t="shared" si="28"/>
        <v>0.42499999999999999</v>
      </c>
      <c r="AR78" s="2329">
        <v>14</v>
      </c>
      <c r="AS78" s="2330">
        <v>40</v>
      </c>
      <c r="AT78" s="2315">
        <f t="shared" si="29"/>
        <v>0.35</v>
      </c>
      <c r="AV78" s="2329">
        <v>14</v>
      </c>
      <c r="AW78" s="2330">
        <v>38</v>
      </c>
      <c r="AX78" s="2315">
        <f t="shared" si="30"/>
        <v>0.36842105263157893</v>
      </c>
      <c r="AZ78" s="2329">
        <v>17</v>
      </c>
      <c r="BA78" s="2330">
        <v>35</v>
      </c>
      <c r="BB78" s="2315">
        <f t="shared" si="31"/>
        <v>0.48571428571428571</v>
      </c>
      <c r="BD78" s="2329">
        <v>12</v>
      </c>
      <c r="BE78" s="2330">
        <v>34</v>
      </c>
      <c r="BF78" s="2315">
        <f t="shared" si="22"/>
        <v>0.35294117647058826</v>
      </c>
    </row>
    <row r="79" spans="1:58" s="1" customFormat="1" ht="18">
      <c r="A79" s="1960"/>
      <c r="B79" s="1968" t="s">
        <v>1010</v>
      </c>
      <c r="C79" s="5317"/>
      <c r="D79" s="2329"/>
      <c r="E79" s="2330">
        <v>29</v>
      </c>
      <c r="F79" s="2315">
        <f t="shared" si="23"/>
        <v>0</v>
      </c>
      <c r="G79" s="1733"/>
      <c r="H79" s="2329">
        <v>3</v>
      </c>
      <c r="I79" s="2330">
        <v>28</v>
      </c>
      <c r="J79" s="2315">
        <f t="shared" si="32"/>
        <v>0.10714285714285714</v>
      </c>
      <c r="K79" s="1733"/>
      <c r="L79" s="2329">
        <v>3</v>
      </c>
      <c r="M79" s="2330">
        <v>30</v>
      </c>
      <c r="N79" s="2315">
        <f t="shared" si="33"/>
        <v>0.1</v>
      </c>
      <c r="O79" s="1733"/>
      <c r="P79" s="2329">
        <v>2</v>
      </c>
      <c r="Q79" s="2330">
        <v>29</v>
      </c>
      <c r="R79" s="2315">
        <f t="shared" si="34"/>
        <v>6.8965517241379309E-2</v>
      </c>
      <c r="S79" s="1733"/>
      <c r="T79" s="2329">
        <v>4</v>
      </c>
      <c r="U79" s="2330">
        <v>31</v>
      </c>
      <c r="V79" s="2315">
        <f t="shared" si="35"/>
        <v>0.12903225806451613</v>
      </c>
      <c r="W79" s="1733"/>
      <c r="X79" s="2329"/>
      <c r="Y79" s="2330">
        <v>30</v>
      </c>
      <c r="Z79" s="2315">
        <f t="shared" si="24"/>
        <v>0</v>
      </c>
      <c r="AA79" s="1733"/>
      <c r="AB79" s="2329">
        <v>2</v>
      </c>
      <c r="AC79" s="2330">
        <v>27</v>
      </c>
      <c r="AD79" s="2315">
        <f t="shared" si="25"/>
        <v>7.407407407407407E-2</v>
      </c>
      <c r="AE79" s="1733"/>
      <c r="AF79" s="2329"/>
      <c r="AG79" s="2330">
        <v>22</v>
      </c>
      <c r="AH79" s="2315">
        <f t="shared" si="26"/>
        <v>0</v>
      </c>
      <c r="AI79" s="1733"/>
      <c r="AJ79" s="2329">
        <v>1</v>
      </c>
      <c r="AK79" s="2330">
        <v>24</v>
      </c>
      <c r="AL79" s="2315">
        <f t="shared" si="27"/>
        <v>4.1666666666666664E-2</v>
      </c>
      <c r="AM79" s="1733"/>
      <c r="AN79" s="2329">
        <v>1</v>
      </c>
      <c r="AO79" s="2330">
        <v>26</v>
      </c>
      <c r="AP79" s="2315">
        <f t="shared" si="28"/>
        <v>3.8461538461538464E-2</v>
      </c>
      <c r="AR79" s="2329">
        <v>3</v>
      </c>
      <c r="AS79" s="2330">
        <v>26</v>
      </c>
      <c r="AT79" s="2315">
        <f t="shared" si="29"/>
        <v>0.11538461538461539</v>
      </c>
      <c r="AV79" s="2329">
        <v>16</v>
      </c>
      <c r="AW79" s="2330">
        <v>26</v>
      </c>
      <c r="AX79" s="2315">
        <f t="shared" si="30"/>
        <v>0.61538461538461542</v>
      </c>
      <c r="AZ79" s="2329">
        <v>6</v>
      </c>
      <c r="BA79" s="2330">
        <v>27</v>
      </c>
      <c r="BB79" s="2315">
        <f t="shared" si="31"/>
        <v>0.22222222222222221</v>
      </c>
      <c r="BD79" s="2329">
        <v>13</v>
      </c>
      <c r="BE79" s="2330">
        <v>29</v>
      </c>
      <c r="BF79" s="2315">
        <f t="shared" si="22"/>
        <v>0.44827586206896552</v>
      </c>
    </row>
    <row r="80" spans="1:58" s="1" customFormat="1" ht="18">
      <c r="A80" s="1960"/>
      <c r="B80" s="1968" t="s">
        <v>1011</v>
      </c>
      <c r="C80" s="5317"/>
      <c r="D80" s="2329">
        <v>10</v>
      </c>
      <c r="E80" s="2330">
        <v>47</v>
      </c>
      <c r="F80" s="2315">
        <f t="shared" si="23"/>
        <v>0.21276595744680851</v>
      </c>
      <c r="G80" s="1733"/>
      <c r="H80" s="2329">
        <v>5</v>
      </c>
      <c r="I80" s="2330">
        <v>48</v>
      </c>
      <c r="J80" s="2315">
        <f t="shared" si="32"/>
        <v>0.10416666666666667</v>
      </c>
      <c r="K80" s="1733"/>
      <c r="L80" s="2329">
        <v>16</v>
      </c>
      <c r="M80" s="2330">
        <v>47</v>
      </c>
      <c r="N80" s="2315">
        <f t="shared" si="33"/>
        <v>0.34042553191489361</v>
      </c>
      <c r="O80" s="1733"/>
      <c r="P80" s="2329"/>
      <c r="Q80" s="2330">
        <v>47</v>
      </c>
      <c r="R80" s="2315">
        <f t="shared" si="34"/>
        <v>0</v>
      </c>
      <c r="S80" s="1733"/>
      <c r="T80" s="2329">
        <v>2</v>
      </c>
      <c r="U80" s="2330">
        <v>46</v>
      </c>
      <c r="V80" s="2315">
        <f t="shared" si="35"/>
        <v>4.3478260869565216E-2</v>
      </c>
      <c r="W80" s="1733"/>
      <c r="X80" s="2329">
        <v>5</v>
      </c>
      <c r="Y80" s="2330">
        <v>45</v>
      </c>
      <c r="Z80" s="2315">
        <f t="shared" si="24"/>
        <v>0.1111111111111111</v>
      </c>
      <c r="AA80" s="1733"/>
      <c r="AB80" s="2329">
        <v>2</v>
      </c>
      <c r="AC80" s="2330">
        <v>46</v>
      </c>
      <c r="AD80" s="2315">
        <f t="shared" si="25"/>
        <v>4.3478260869565216E-2</v>
      </c>
      <c r="AE80" s="1733"/>
      <c r="AF80" s="2329"/>
      <c r="AG80" s="2330">
        <v>44</v>
      </c>
      <c r="AH80" s="2315">
        <f t="shared" si="26"/>
        <v>0</v>
      </c>
      <c r="AI80" s="1733"/>
      <c r="AJ80" s="2329">
        <v>5</v>
      </c>
      <c r="AK80" s="2330">
        <v>44</v>
      </c>
      <c r="AL80" s="2315">
        <f t="shared" si="27"/>
        <v>0.11363636363636363</v>
      </c>
      <c r="AM80" s="1733"/>
      <c r="AN80" s="2329">
        <v>5</v>
      </c>
      <c r="AO80" s="2330">
        <v>40</v>
      </c>
      <c r="AP80" s="2315">
        <f t="shared" si="28"/>
        <v>0.125</v>
      </c>
      <c r="AR80" s="2329">
        <v>2</v>
      </c>
      <c r="AS80" s="2330">
        <v>38</v>
      </c>
      <c r="AT80" s="2315">
        <f t="shared" si="29"/>
        <v>5.2631578947368418E-2</v>
      </c>
      <c r="AV80" s="2329">
        <v>3</v>
      </c>
      <c r="AW80" s="2330">
        <v>38</v>
      </c>
      <c r="AX80" s="2315">
        <f t="shared" si="30"/>
        <v>7.8947368421052627E-2</v>
      </c>
      <c r="AZ80" s="2329">
        <v>8</v>
      </c>
      <c r="BA80" s="2330">
        <v>39</v>
      </c>
      <c r="BB80" s="2315">
        <f t="shared" si="31"/>
        <v>0.20512820512820512</v>
      </c>
      <c r="BD80" s="2329">
        <v>19</v>
      </c>
      <c r="BE80" s="2330">
        <v>43</v>
      </c>
      <c r="BF80" s="2315">
        <f t="shared" si="22"/>
        <v>0.44186046511627908</v>
      </c>
    </row>
    <row r="81" spans="1:58" s="1" customFormat="1" ht="15" customHeight="1">
      <c r="A81" s="1960"/>
      <c r="B81" s="1961" t="s">
        <v>21</v>
      </c>
      <c r="C81" s="5317"/>
      <c r="D81" s="2333">
        <f>SUM(D77:D80)</f>
        <v>12</v>
      </c>
      <c r="E81" s="1962">
        <f>SUM(E77:E80)</f>
        <v>142</v>
      </c>
      <c r="F81" s="2317">
        <f t="shared" si="23"/>
        <v>8.4507042253521125E-2</v>
      </c>
      <c r="G81" s="1733"/>
      <c r="H81" s="2333">
        <v>10</v>
      </c>
      <c r="I81" s="1962">
        <f>SUM(I77:I80)</f>
        <v>143</v>
      </c>
      <c r="J81" s="2317">
        <f t="shared" si="32"/>
        <v>6.9930069930069935E-2</v>
      </c>
      <c r="K81" s="1733"/>
      <c r="L81" s="2333">
        <v>22</v>
      </c>
      <c r="M81" s="1962">
        <f>SUM(M77:M80)</f>
        <v>141</v>
      </c>
      <c r="N81" s="2317">
        <f t="shared" si="33"/>
        <v>0.15602836879432624</v>
      </c>
      <c r="O81" s="1733"/>
      <c r="P81" s="2333">
        <v>5</v>
      </c>
      <c r="Q81" s="1962">
        <f>SUM(Q77:Q80)</f>
        <v>141</v>
      </c>
      <c r="R81" s="2317">
        <f t="shared" si="34"/>
        <v>3.5460992907801421E-2</v>
      </c>
      <c r="S81" s="1733"/>
      <c r="T81" s="2333">
        <f>SUM(T77:T80)</f>
        <v>20</v>
      </c>
      <c r="U81" s="1962">
        <f>SUM(U77:U80)</f>
        <v>146</v>
      </c>
      <c r="V81" s="2317">
        <f t="shared" si="35"/>
        <v>0.13698630136986301</v>
      </c>
      <c r="W81" s="1733"/>
      <c r="X81" s="2333">
        <f>SUM(X77:X80)</f>
        <v>8</v>
      </c>
      <c r="Y81" s="1962">
        <f>SUM(Y77:Y80)</f>
        <v>144</v>
      </c>
      <c r="Z81" s="2317">
        <f t="shared" si="24"/>
        <v>5.5555555555555552E-2</v>
      </c>
      <c r="AA81" s="1733"/>
      <c r="AB81" s="2333">
        <v>7</v>
      </c>
      <c r="AC81" s="1962">
        <f>SUM(AC77:AC80)</f>
        <v>144</v>
      </c>
      <c r="AD81" s="2317">
        <f t="shared" si="25"/>
        <v>4.8611111111111112E-2</v>
      </c>
      <c r="AE81" s="1733"/>
      <c r="AF81" s="2333">
        <v>4</v>
      </c>
      <c r="AG81" s="1962">
        <f>SUM(AG77:AG80)</f>
        <v>135</v>
      </c>
      <c r="AH81" s="2317">
        <f t="shared" si="26"/>
        <v>2.9629629629629631E-2</v>
      </c>
      <c r="AI81" s="1733"/>
      <c r="AJ81" s="2333">
        <v>12</v>
      </c>
      <c r="AK81" s="1962">
        <f>SUM(AK77:AK80)</f>
        <v>133</v>
      </c>
      <c r="AL81" s="2317">
        <f t="shared" si="27"/>
        <v>9.0225563909774431E-2</v>
      </c>
      <c r="AM81" s="1733"/>
      <c r="AN81" s="2333">
        <v>24</v>
      </c>
      <c r="AO81" s="1962">
        <v>136</v>
      </c>
      <c r="AP81" s="2317">
        <f t="shared" si="28"/>
        <v>0.17647058823529413</v>
      </c>
      <c r="AR81" s="2333">
        <v>19</v>
      </c>
      <c r="AS81" s="1962">
        <v>134</v>
      </c>
      <c r="AT81" s="2317">
        <f t="shared" si="29"/>
        <v>0.1417910447761194</v>
      </c>
      <c r="AV81" s="2333">
        <v>34</v>
      </c>
      <c r="AW81" s="1962">
        <v>133</v>
      </c>
      <c r="AX81" s="2317">
        <f t="shared" si="30"/>
        <v>0.25563909774436089</v>
      </c>
      <c r="AZ81" s="2333">
        <v>31</v>
      </c>
      <c r="BA81" s="1962">
        <v>129</v>
      </c>
      <c r="BB81" s="2317">
        <f t="shared" si="31"/>
        <v>0.24031007751937986</v>
      </c>
      <c r="BD81" s="2333">
        <v>46</v>
      </c>
      <c r="BE81" s="1962">
        <v>137</v>
      </c>
      <c r="BF81" s="2317">
        <f t="shared" si="22"/>
        <v>0.33576642335766421</v>
      </c>
    </row>
    <row r="82" spans="1:58" s="1" customFormat="1" ht="15" customHeight="1">
      <c r="A82" s="1960"/>
      <c r="B82" s="1966" t="s">
        <v>336</v>
      </c>
      <c r="C82" s="5317"/>
      <c r="D82" s="2164">
        <f>SUM(D81,D76,D71)</f>
        <v>216</v>
      </c>
      <c r="E82" s="2165">
        <f>SUM(E81,E76,E71)</f>
        <v>824</v>
      </c>
      <c r="F82" s="2323">
        <f t="shared" si="23"/>
        <v>0.26213592233009708</v>
      </c>
      <c r="G82" s="1733"/>
      <c r="H82" s="2164">
        <v>180</v>
      </c>
      <c r="I82" s="2165">
        <f>SUM(I81,I76,I71)</f>
        <v>839</v>
      </c>
      <c r="J82" s="2323">
        <f t="shared" si="32"/>
        <v>0.21454112038140644</v>
      </c>
      <c r="K82" s="1733"/>
      <c r="L82" s="2164">
        <v>269</v>
      </c>
      <c r="M82" s="2165">
        <f>SUM(M81,M76,M71)</f>
        <v>852</v>
      </c>
      <c r="N82" s="2323">
        <f t="shared" si="33"/>
        <v>0.31572769953051644</v>
      </c>
      <c r="O82" s="1733"/>
      <c r="P82" s="2164">
        <v>257</v>
      </c>
      <c r="Q82" s="2165">
        <f>SUM(Q81,Q76,Q71)</f>
        <v>852</v>
      </c>
      <c r="R82" s="2323">
        <f t="shared" si="34"/>
        <v>0.30164319248826293</v>
      </c>
      <c r="S82" s="1733"/>
      <c r="T82" s="2164">
        <f>SUM(T71,T76,T81)</f>
        <v>294</v>
      </c>
      <c r="U82" s="2165">
        <f>SUM(U81,U76,U71)</f>
        <v>860</v>
      </c>
      <c r="V82" s="2323">
        <f t="shared" si="35"/>
        <v>0.34186046511627904</v>
      </c>
      <c r="W82" s="1733"/>
      <c r="X82" s="2164">
        <f>SUM(X71,X76,X81)</f>
        <v>239</v>
      </c>
      <c r="Y82" s="2165">
        <f>SUM(Y81,Y76,Y71)</f>
        <v>856</v>
      </c>
      <c r="Z82" s="2323">
        <f t="shared" si="24"/>
        <v>0.27920560747663553</v>
      </c>
      <c r="AA82" s="1733"/>
      <c r="AB82" s="2164">
        <f>SUM(AB71,AB76,AB81)</f>
        <v>175</v>
      </c>
      <c r="AC82" s="2165">
        <f>SUM(AC81,AC76,AC71)</f>
        <v>842</v>
      </c>
      <c r="AD82" s="2323">
        <f t="shared" si="25"/>
        <v>0.20783847980997625</v>
      </c>
      <c r="AE82" s="1733"/>
      <c r="AF82" s="2164">
        <f>SUM(AF71,AF76,AF81)</f>
        <v>205</v>
      </c>
      <c r="AG82" s="2165">
        <f>SUM(AG81,AG76,AG71)</f>
        <v>832</v>
      </c>
      <c r="AH82" s="2323">
        <f t="shared" si="26"/>
        <v>0.24639423076923078</v>
      </c>
      <c r="AI82" s="1733"/>
      <c r="AJ82" s="2164">
        <v>224</v>
      </c>
      <c r="AK82" s="2165">
        <f>SUM(AK71,AK76,AK81)</f>
        <v>830</v>
      </c>
      <c r="AL82" s="2323">
        <f t="shared" si="27"/>
        <v>0.26987951807228916</v>
      </c>
      <c r="AM82" s="1733"/>
      <c r="AN82" s="2164">
        <v>257</v>
      </c>
      <c r="AO82" s="2165">
        <v>821</v>
      </c>
      <c r="AP82" s="2323">
        <f t="shared" si="28"/>
        <v>0.31303288672350793</v>
      </c>
      <c r="AR82" s="2164">
        <v>218</v>
      </c>
      <c r="AS82" s="2165">
        <v>803</v>
      </c>
      <c r="AT82" s="2323">
        <f t="shared" si="29"/>
        <v>0.2714819427148194</v>
      </c>
      <c r="AV82" s="2164">
        <v>318</v>
      </c>
      <c r="AW82" s="2165">
        <v>790</v>
      </c>
      <c r="AX82" s="2323">
        <f t="shared" si="30"/>
        <v>0.40253164556962023</v>
      </c>
      <c r="AZ82" s="2164">
        <v>345</v>
      </c>
      <c r="BA82" s="2165">
        <v>769</v>
      </c>
      <c r="BB82" s="2323">
        <f t="shared" si="31"/>
        <v>0.44863459037711312</v>
      </c>
      <c r="BD82" s="2164">
        <v>317</v>
      </c>
      <c r="BE82" s="2165">
        <v>767</v>
      </c>
      <c r="BF82" s="2323">
        <f t="shared" si="22"/>
        <v>0.41329856584093871</v>
      </c>
    </row>
    <row r="83" spans="1:58" s="1" customFormat="1" ht="15" customHeight="1">
      <c r="C83" s="5317"/>
      <c r="D83" s="2132"/>
      <c r="E83" s="2132"/>
      <c r="F83" s="2132"/>
      <c r="G83" s="1733"/>
      <c r="H83" s="2132"/>
      <c r="I83" s="2132"/>
      <c r="J83" s="2132"/>
      <c r="K83" s="1733"/>
      <c r="L83" s="2132"/>
      <c r="M83" s="2132"/>
      <c r="N83" s="2132"/>
      <c r="O83" s="1733"/>
      <c r="P83" s="2132"/>
      <c r="Q83" s="2132"/>
      <c r="R83" s="2132"/>
      <c r="S83" s="1733"/>
      <c r="T83" s="2132"/>
      <c r="U83" s="2132"/>
      <c r="V83" s="2132"/>
      <c r="W83" s="1733"/>
      <c r="X83" s="2132"/>
      <c r="Y83" s="2132"/>
      <c r="Z83" s="2132"/>
      <c r="AA83" s="1733"/>
      <c r="AB83" s="2132"/>
      <c r="AC83" s="2132"/>
      <c r="AD83" s="2132"/>
      <c r="AE83" s="1733"/>
      <c r="AF83" s="2132"/>
      <c r="AG83" s="2132"/>
      <c r="AH83" s="2132"/>
      <c r="AI83" s="1733"/>
      <c r="AJ83" s="2132"/>
      <c r="AK83" s="2132"/>
      <c r="AL83" s="2132"/>
      <c r="AM83" s="1733"/>
      <c r="AN83" s="2132"/>
      <c r="AO83" s="2132"/>
      <c r="AP83" s="2132"/>
      <c r="AR83" s="2132"/>
      <c r="AS83" s="2132"/>
      <c r="AT83" s="2132"/>
      <c r="AV83" s="2132"/>
      <c r="AW83" s="2132"/>
      <c r="AX83" s="2132"/>
      <c r="AZ83" s="2132"/>
      <c r="BA83" s="2132"/>
      <c r="BB83" s="2132"/>
      <c r="BD83" s="2132"/>
      <c r="BE83" s="2132"/>
      <c r="BF83" s="2132"/>
    </row>
    <row r="84" spans="1:58" s="1" customFormat="1" ht="20.100000000000001" customHeight="1">
      <c r="A84" s="1960"/>
      <c r="B84" s="2150" t="s">
        <v>67</v>
      </c>
      <c r="C84" s="5317"/>
      <c r="D84" s="2151">
        <f>SUM(D22,D35,D53,D66,D82)</f>
        <v>853</v>
      </c>
      <c r="E84" s="2151">
        <f>SUM(E22,E35,E53,E66,E82)</f>
        <v>2575</v>
      </c>
      <c r="F84" s="2324">
        <f>D84/E84</f>
        <v>0.33126213592233011</v>
      </c>
      <c r="G84" s="1733"/>
      <c r="H84" s="2151">
        <f>SUM(H22,H35,H53,H66,H82)</f>
        <v>831</v>
      </c>
      <c r="I84" s="2151">
        <f>SUM(I22,I35,I53,I66,I82)</f>
        <v>2623</v>
      </c>
      <c r="J84" s="2324">
        <f t="shared" si="32"/>
        <v>0.31681280975981702</v>
      </c>
      <c r="K84" s="1733"/>
      <c r="L84" s="2151">
        <f>SUM(L22,L35,L53,L66,L82)</f>
        <v>982</v>
      </c>
      <c r="M84" s="2151">
        <f>SUM(M22,M35,M53,M66,M82)</f>
        <v>2663</v>
      </c>
      <c r="N84" s="2324">
        <f t="shared" si="33"/>
        <v>0.36875704093128053</v>
      </c>
      <c r="O84" s="1733"/>
      <c r="P84" s="2151">
        <f>SUM(P22,P35,P53,P66,P82)</f>
        <v>1087</v>
      </c>
      <c r="Q84" s="2151">
        <f>SUM(Q22,Q35,Q53,Q66,Q82)</f>
        <v>2705</v>
      </c>
      <c r="R84" s="2324">
        <f t="shared" si="34"/>
        <v>0.40184842883548982</v>
      </c>
      <c r="S84" s="1733"/>
      <c r="T84" s="2151">
        <f>SUM(T22,T35,T53,T66,T82)</f>
        <v>1145</v>
      </c>
      <c r="U84" s="2151">
        <f>SUM(U22,U35,U53,U66,U82)</f>
        <v>2759</v>
      </c>
      <c r="V84" s="2324">
        <f t="shared" si="35"/>
        <v>0.41500543675244655</v>
      </c>
      <c r="W84" s="1733"/>
      <c r="X84" s="2151">
        <f>SUM(X22,X35,X53,X66,X82)</f>
        <v>1121</v>
      </c>
      <c r="Y84" s="2151">
        <f>SUM(Y22,Y35,Y53,Y66,Y82)</f>
        <v>2743</v>
      </c>
      <c r="Z84" s="2324">
        <f t="shared" si="24"/>
        <v>0.40867663142544658</v>
      </c>
      <c r="AA84" s="1733"/>
      <c r="AB84" s="2151">
        <f>SUM(AB22,AB35,AB53,AB66,AB82)</f>
        <v>996</v>
      </c>
      <c r="AC84" s="2151">
        <f>SUM(AC22,AC35,AC53,AC66,AC82)</f>
        <v>2732</v>
      </c>
      <c r="AD84" s="2324">
        <f t="shared" si="25"/>
        <v>0.36456808199121521</v>
      </c>
      <c r="AE84" s="1733"/>
      <c r="AF84" s="2151">
        <f>SUM(AF22,AF35,AF53,AF66,AF82)</f>
        <v>1151</v>
      </c>
      <c r="AG84" s="2151">
        <f>SUM(AG22,AG35,AG53,AG66,AG82)</f>
        <v>2754</v>
      </c>
      <c r="AH84" s="2324">
        <f t="shared" si="26"/>
        <v>0.41793754538852579</v>
      </c>
      <c r="AI84" s="1733"/>
      <c r="AJ84" s="2151">
        <f>SUM(AJ22,AJ35,AJ53,AJ66,AJ82)</f>
        <v>1228</v>
      </c>
      <c r="AK84" s="2151">
        <f>SUM(AK22,AK35,AK53,AK66,AK82)</f>
        <v>2776</v>
      </c>
      <c r="AL84" s="2324">
        <f t="shared" si="27"/>
        <v>0.44236311239193082</v>
      </c>
      <c r="AM84" s="1733"/>
      <c r="AN84" s="2151">
        <f>SUM(AN22,AN35,AN53,AN66,AN82)</f>
        <v>1261</v>
      </c>
      <c r="AO84" s="2151">
        <v>2743</v>
      </c>
      <c r="AP84" s="2324">
        <f>AN84/AO84</f>
        <v>0.45971563981042651</v>
      </c>
      <c r="AR84" s="2151">
        <f>SUM(AR22,AR35,AR53,AR66,AR82)</f>
        <v>1170</v>
      </c>
      <c r="AS84" s="2151">
        <v>2709</v>
      </c>
      <c r="AT84" s="2324">
        <f>AR84/AS84</f>
        <v>0.43189368770764119</v>
      </c>
      <c r="AV84" s="2151">
        <f>SUM(AV22,AV35,AV53,AV66,AV82)</f>
        <v>1523</v>
      </c>
      <c r="AW84" s="2151">
        <f>SUM(AW22,AW35,AW53,AW66,AW82)</f>
        <v>2660</v>
      </c>
      <c r="AX84" s="2324">
        <f>AV84/AW84</f>
        <v>0.5725563909774436</v>
      </c>
      <c r="AZ84" s="2151">
        <f>SUM(AZ22,AZ35,AZ53,AZ66,AZ82)</f>
        <v>1476</v>
      </c>
      <c r="BA84" s="2151">
        <f>SUM(BA22,BA35,BA53,BA66,BA82)</f>
        <v>2613</v>
      </c>
      <c r="BB84" s="2324">
        <f>AZ84/BA84</f>
        <v>0.5648679678530425</v>
      </c>
      <c r="BD84" s="2151">
        <f>SUM(BD22,BD35,BD53,BD66,BD82)</f>
        <v>1289</v>
      </c>
      <c r="BE84" s="2151">
        <f>SUM(BE22,BE35,BE53,BE66,BE82)</f>
        <v>2600</v>
      </c>
      <c r="BF84" s="2324">
        <f>BD84/BE84</f>
        <v>0.4957692307692308</v>
      </c>
    </row>
    <row r="85" spans="1:58" ht="18">
      <c r="A85" s="1960"/>
      <c r="G85" s="1733"/>
    </row>
    <row r="86" spans="1:58" ht="18">
      <c r="A86" s="1960"/>
      <c r="G86" s="1733"/>
    </row>
    <row r="87" spans="1:58" ht="18">
      <c r="A87" s="1960"/>
      <c r="G87" s="1733"/>
    </row>
    <row r="88" spans="1:58" ht="18">
      <c r="A88" s="1960"/>
      <c r="G88" s="1733"/>
    </row>
    <row r="89" spans="1:58" ht="18">
      <c r="A89" s="1960"/>
    </row>
  </sheetData>
  <mergeCells count="15">
    <mergeCell ref="BD3:BF3"/>
    <mergeCell ref="AV1:BF1"/>
    <mergeCell ref="AZ3:BB3"/>
    <mergeCell ref="AV3:AX3"/>
    <mergeCell ref="AR3:AT3"/>
    <mergeCell ref="AN3:AP3"/>
    <mergeCell ref="P3:R3"/>
    <mergeCell ref="D3:F3"/>
    <mergeCell ref="H3:J3"/>
    <mergeCell ref="L3:N3"/>
    <mergeCell ref="AJ3:AL3"/>
    <mergeCell ref="AF3:AH3"/>
    <mergeCell ref="AB3:AD3"/>
    <mergeCell ref="X3:Z3"/>
    <mergeCell ref="T3:V3"/>
  </mergeCells>
  <printOptions horizontalCentered="1" verticalCentered="1"/>
  <pageMargins left="0.70866141732283472" right="0.70866141732283472" top="0.74803149606299213" bottom="0.74803149606299213" header="0.31496062992125984" footer="0.31496062992125984"/>
  <pageSetup scale="50" firstPageNumber="40" orientation="landscape" useFirstPageNumber="1" r:id="rId1"/>
  <headerFooter scaleWithDoc="0" alignWithMargins="0">
    <oddFooter>&amp;R&amp;P</oddFooter>
  </headerFooter>
  <rowBreaks count="1" manualBreakCount="1">
    <brk id="53" min="39" max="57" man="1"/>
  </rowBreaks>
  <ignoredErrors>
    <ignoredError sqref="V84 R84 AD84 AH84 R10:R82 V5:V82" formula="1"/>
    <ignoredError sqref="Y84 Y81:Y82 D71" formulaRange="1"/>
    <ignoredError sqref="Z84 Z81:Z82" formula="1"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F90"/>
  <sheetViews>
    <sheetView showGridLines="0" zoomScaleNormal="100" workbookViewId="0">
      <pane xSplit="2" ySplit="4" topLeftCell="AJ5" activePane="bottomRight" state="frozen"/>
      <selection activeCell="O12" sqref="O12"/>
      <selection pane="topRight" activeCell="O12" sqref="O12"/>
      <selection pane="bottomLeft" activeCell="O12" sqref="O12"/>
      <selection pane="bottomRight" activeCell="BG66" sqref="BG66"/>
    </sheetView>
  </sheetViews>
  <sheetFormatPr baseColWidth="10" defaultRowHeight="14.4"/>
  <cols>
    <col min="1" max="1" width="2.6640625" style="119" customWidth="1"/>
    <col min="2" max="2" width="45.5546875" customWidth="1"/>
    <col min="3" max="3" width="1.6640625" style="5317" customWidth="1"/>
    <col min="4" max="6" width="8.44140625" customWidth="1"/>
    <col min="7" max="7" width="1.6640625" style="2107" customWidth="1"/>
    <col min="8" max="10" width="8.44140625" customWidth="1"/>
    <col min="11" max="11" width="1.6640625" style="2107" customWidth="1"/>
    <col min="12" max="14" width="8.44140625" customWidth="1"/>
    <col min="15" max="15" width="1.6640625" style="2107" customWidth="1"/>
    <col min="16" max="18" width="8.44140625" customWidth="1"/>
    <col min="19" max="19" width="1.6640625" style="2107" customWidth="1"/>
    <col min="20" max="22" width="8.44140625" customWidth="1"/>
    <col min="23" max="23" width="1.6640625" style="2107" customWidth="1"/>
    <col min="24" max="25" width="8.33203125" bestFit="1" customWidth="1"/>
    <col min="26" max="26" width="8.33203125" customWidth="1"/>
    <col min="27" max="27" width="1.6640625" style="2107" customWidth="1"/>
    <col min="28" max="28" width="7.6640625" bestFit="1" customWidth="1"/>
    <col min="29" max="29" width="8.33203125" bestFit="1" customWidth="1"/>
    <col min="30" max="30" width="8.33203125" customWidth="1"/>
    <col min="31" max="31" width="1.6640625" style="2107" customWidth="1"/>
    <col min="32" max="33" width="9.6640625" customWidth="1"/>
    <col min="34" max="34" width="8.44140625" bestFit="1" customWidth="1"/>
    <col min="35" max="35" width="1.6640625" style="2107" customWidth="1"/>
    <col min="36" max="37" width="9.6640625" customWidth="1"/>
    <col min="38" max="38" width="8.44140625" customWidth="1"/>
    <col min="39" max="39" width="1.6640625" customWidth="1"/>
    <col min="40" max="41" width="9.6640625" customWidth="1"/>
    <col min="42" max="42" width="7.6640625" customWidth="1"/>
    <col min="43" max="43" width="1.6640625" customWidth="1"/>
    <col min="44" max="45" width="9.6640625" customWidth="1"/>
    <col min="47" max="47" width="1.6640625" style="5076" customWidth="1"/>
    <col min="48" max="49" width="9.6640625" customWidth="1"/>
    <col min="50" max="50" width="8.33203125" customWidth="1"/>
    <col min="51" max="51" width="1.6640625" customWidth="1"/>
    <col min="52" max="53" width="9.6640625" customWidth="1"/>
    <col min="55" max="55" width="1.6640625" customWidth="1"/>
    <col min="56" max="56" width="9.6640625" customWidth="1"/>
    <col min="57" max="57" width="9.6640625" style="5317" customWidth="1"/>
  </cols>
  <sheetData>
    <row r="1" spans="1:58" ht="39.75" customHeight="1">
      <c r="U1" s="276"/>
      <c r="AO1" s="214"/>
      <c r="AP1" s="214"/>
      <c r="AQ1" s="214"/>
      <c r="AS1" s="56"/>
      <c r="AT1" s="56"/>
      <c r="AU1" s="56"/>
      <c r="AV1" s="6946" t="s">
        <v>3017</v>
      </c>
      <c r="AW1" s="6946"/>
      <c r="AX1" s="6946"/>
      <c r="AY1" s="6946"/>
      <c r="AZ1" s="6946"/>
      <c r="BA1" s="6946"/>
      <c r="BB1" s="6946"/>
      <c r="BC1" s="6946"/>
      <c r="BD1" s="6946"/>
      <c r="BE1" s="6946"/>
      <c r="BF1" s="6946"/>
    </row>
    <row r="2" spans="1:58" s="5317" customFormat="1" ht="15.6">
      <c r="A2" s="2110"/>
      <c r="B2" s="56"/>
      <c r="U2" s="276"/>
    </row>
    <row r="3" spans="1:58" s="8" customFormat="1" ht="15.6">
      <c r="A3" s="2064"/>
      <c r="B3" s="5908"/>
      <c r="C3" s="5317"/>
      <c r="D3" s="7352">
        <v>2010</v>
      </c>
      <c r="E3" s="7352"/>
      <c r="F3" s="7352"/>
      <c r="H3" s="7352">
        <v>2011</v>
      </c>
      <c r="I3" s="7352"/>
      <c r="J3" s="7352"/>
      <c r="L3" s="7352">
        <v>2012</v>
      </c>
      <c r="M3" s="7352"/>
      <c r="N3" s="7352"/>
      <c r="P3" s="7352">
        <v>2013</v>
      </c>
      <c r="Q3" s="7352"/>
      <c r="R3" s="7352"/>
      <c r="T3" s="7352">
        <v>2014</v>
      </c>
      <c r="U3" s="7352"/>
      <c r="V3" s="7352"/>
      <c r="X3" s="7352">
        <v>2015</v>
      </c>
      <c r="Y3" s="7352"/>
      <c r="Z3" s="7352"/>
      <c r="AB3" s="7352">
        <v>2016</v>
      </c>
      <c r="AC3" s="7352"/>
      <c r="AD3" s="7352"/>
      <c r="AF3" s="7352">
        <v>2017</v>
      </c>
      <c r="AG3" s="7352"/>
      <c r="AH3" s="7352"/>
      <c r="AJ3" s="7352">
        <v>2018</v>
      </c>
      <c r="AK3" s="7352"/>
      <c r="AL3" s="7352"/>
      <c r="AN3" s="7352">
        <v>2019</v>
      </c>
      <c r="AO3" s="7352"/>
      <c r="AP3" s="7352"/>
      <c r="AR3" s="7352">
        <v>2020</v>
      </c>
      <c r="AS3" s="7352"/>
      <c r="AT3" s="7352"/>
      <c r="AV3" s="7352">
        <v>2021</v>
      </c>
      <c r="AW3" s="7352"/>
      <c r="AX3" s="7352"/>
      <c r="AZ3" s="7352">
        <v>2022</v>
      </c>
      <c r="BA3" s="7352"/>
      <c r="BB3" s="7352"/>
      <c r="BD3" s="7352">
        <v>2023</v>
      </c>
      <c r="BE3" s="7352"/>
      <c r="BF3" s="7352"/>
    </row>
    <row r="4" spans="1:58" ht="28.2" thickBot="1">
      <c r="A4" s="1960"/>
      <c r="B4" s="2147" t="s">
        <v>2383</v>
      </c>
      <c r="D4" s="2159" t="s">
        <v>1250</v>
      </c>
      <c r="E4" s="2159" t="s">
        <v>955</v>
      </c>
      <c r="F4" s="2148" t="s">
        <v>76</v>
      </c>
      <c r="H4" s="2159" t="s">
        <v>1250</v>
      </c>
      <c r="I4" s="2159" t="s">
        <v>955</v>
      </c>
      <c r="J4" s="2148" t="s">
        <v>76</v>
      </c>
      <c r="L4" s="2159" t="s">
        <v>1250</v>
      </c>
      <c r="M4" s="2159" t="s">
        <v>955</v>
      </c>
      <c r="N4" s="2148" t="s">
        <v>76</v>
      </c>
      <c r="P4" s="2159" t="s">
        <v>1250</v>
      </c>
      <c r="Q4" s="2159" t="s">
        <v>955</v>
      </c>
      <c r="R4" s="2148" t="s">
        <v>76</v>
      </c>
      <c r="T4" s="2159" t="s">
        <v>1250</v>
      </c>
      <c r="U4" s="2159" t="s">
        <v>955</v>
      </c>
      <c r="V4" s="2148" t="s">
        <v>76</v>
      </c>
      <c r="X4" s="2159" t="s">
        <v>1250</v>
      </c>
      <c r="Y4" s="2159" t="s">
        <v>955</v>
      </c>
      <c r="Z4" s="2148" t="s">
        <v>76</v>
      </c>
      <c r="AB4" s="2159" t="s">
        <v>1250</v>
      </c>
      <c r="AC4" s="2159" t="s">
        <v>955</v>
      </c>
      <c r="AD4" s="2148" t="s">
        <v>76</v>
      </c>
      <c r="AF4" s="2159" t="s">
        <v>1250</v>
      </c>
      <c r="AG4" s="2159" t="s">
        <v>955</v>
      </c>
      <c r="AH4" s="2148" t="s">
        <v>76</v>
      </c>
      <c r="AJ4" s="2159" t="s">
        <v>1250</v>
      </c>
      <c r="AK4" s="2159" t="s">
        <v>955</v>
      </c>
      <c r="AL4" s="2148" t="s">
        <v>76</v>
      </c>
      <c r="AM4" s="2107"/>
      <c r="AN4" s="2159" t="s">
        <v>1250</v>
      </c>
      <c r="AO4" s="2159" t="s">
        <v>955</v>
      </c>
      <c r="AP4" s="2148" t="s">
        <v>76</v>
      </c>
      <c r="AR4" s="2159" t="s">
        <v>1250</v>
      </c>
      <c r="AS4" s="2159" t="s">
        <v>955</v>
      </c>
      <c r="AT4" s="2148" t="s">
        <v>76</v>
      </c>
      <c r="AV4" s="2159" t="s">
        <v>1250</v>
      </c>
      <c r="AW4" s="2159" t="s">
        <v>955</v>
      </c>
      <c r="AX4" s="2148" t="s">
        <v>76</v>
      </c>
      <c r="AZ4" s="2159" t="s">
        <v>1250</v>
      </c>
      <c r="BA4" s="2159" t="s">
        <v>955</v>
      </c>
      <c r="BB4" s="2148" t="s">
        <v>76</v>
      </c>
      <c r="BD4" s="2159" t="s">
        <v>1250</v>
      </c>
      <c r="BE4" s="2159" t="s">
        <v>955</v>
      </c>
      <c r="BF4" s="2148" t="s">
        <v>76</v>
      </c>
    </row>
    <row r="5" spans="1:58" ht="18">
      <c r="A5" s="1960"/>
      <c r="B5" s="1974" t="s">
        <v>956</v>
      </c>
      <c r="D5" s="2325">
        <v>54</v>
      </c>
      <c r="E5" s="1973">
        <v>232</v>
      </c>
      <c r="F5" s="2344">
        <f>D5/E5</f>
        <v>0.23275862068965517</v>
      </c>
      <c r="H5" s="2325">
        <v>72</v>
      </c>
      <c r="I5" s="1973">
        <v>277</v>
      </c>
      <c r="J5" s="2344">
        <f>H5/I5</f>
        <v>0.25992779783393499</v>
      </c>
      <c r="L5" s="2325">
        <v>58</v>
      </c>
      <c r="M5" s="1973">
        <v>258</v>
      </c>
      <c r="N5" s="2344">
        <f>L5/M5</f>
        <v>0.22480620155038761</v>
      </c>
      <c r="P5" s="2325">
        <v>82</v>
      </c>
      <c r="Q5" s="1973">
        <v>361</v>
      </c>
      <c r="R5" s="2344">
        <f>P5/Q5</f>
        <v>0.22714681440443213</v>
      </c>
      <c r="T5" s="2325">
        <v>91</v>
      </c>
      <c r="U5" s="1973">
        <v>341</v>
      </c>
      <c r="V5" s="2344">
        <f>T5/U5</f>
        <v>0.26686217008797652</v>
      </c>
      <c r="X5" s="2325">
        <v>73</v>
      </c>
      <c r="Y5" s="1973">
        <v>529</v>
      </c>
      <c r="Z5" s="2344">
        <f>X5/Y5</f>
        <v>0.13799621928166353</v>
      </c>
      <c r="AB5" s="2325">
        <v>70</v>
      </c>
      <c r="AC5" s="1973">
        <v>347</v>
      </c>
      <c r="AD5" s="2344">
        <f>AB5/AC5</f>
        <v>0.20172910662824209</v>
      </c>
      <c r="AF5" s="2325">
        <v>99</v>
      </c>
      <c r="AG5" s="1973">
        <v>324</v>
      </c>
      <c r="AH5" s="2344">
        <f>AF5/AG5</f>
        <v>0.30555555555555558</v>
      </c>
      <c r="AJ5" s="2325">
        <v>97</v>
      </c>
      <c r="AK5" s="1973">
        <v>284</v>
      </c>
      <c r="AL5" s="2344">
        <f>AJ5/AK5</f>
        <v>0.34154929577464788</v>
      </c>
      <c r="AM5" s="2107"/>
      <c r="AN5" s="2325">
        <v>93</v>
      </c>
      <c r="AO5" s="1973">
        <v>261</v>
      </c>
      <c r="AP5" s="2344">
        <f>AN5/AO5</f>
        <v>0.35632183908045978</v>
      </c>
      <c r="AR5" s="2325">
        <v>66</v>
      </c>
      <c r="AS5" s="1973">
        <v>200</v>
      </c>
      <c r="AT5" s="2344">
        <f>AR5/AS5</f>
        <v>0.33</v>
      </c>
      <c r="AV5" s="2325">
        <v>86</v>
      </c>
      <c r="AW5" s="2290">
        <v>249</v>
      </c>
      <c r="AX5" s="2344">
        <f>AV5/AW5</f>
        <v>0.34538152610441769</v>
      </c>
      <c r="AZ5" s="2325">
        <f>+'I.27.'!AZ5</f>
        <v>104</v>
      </c>
      <c r="BA5" s="2290">
        <f>+'I.26.'!AY5</f>
        <v>227</v>
      </c>
      <c r="BB5" s="2344">
        <f>AZ5/BA5</f>
        <v>0.45814977973568283</v>
      </c>
      <c r="BD5" s="2325">
        <f>+'I.27.'!BD5</f>
        <v>88</v>
      </c>
      <c r="BE5" s="2290">
        <f>+'I.26.'!BC5</f>
        <v>313</v>
      </c>
      <c r="BF5" s="2344">
        <f>BD5/BE5</f>
        <v>0.28115015974440893</v>
      </c>
    </row>
    <row r="6" spans="1:58" ht="18">
      <c r="A6" s="1960"/>
      <c r="B6" s="2355" t="s">
        <v>957</v>
      </c>
      <c r="D6" s="2325">
        <v>4</v>
      </c>
      <c r="E6" s="1973">
        <v>36</v>
      </c>
      <c r="F6" s="2344">
        <f t="shared" ref="F6:F69" si="0">D6/E6</f>
        <v>0.1111111111111111</v>
      </c>
      <c r="H6" s="2325">
        <v>13</v>
      </c>
      <c r="I6" s="1973">
        <v>77</v>
      </c>
      <c r="J6" s="2344">
        <f t="shared" ref="J6:J69" si="1">H6/I6</f>
        <v>0.16883116883116883</v>
      </c>
      <c r="L6" s="2325">
        <v>9</v>
      </c>
      <c r="M6" s="1973">
        <v>32</v>
      </c>
      <c r="N6" s="2344">
        <f t="shared" ref="N6:N69" si="2">L6/M6</f>
        <v>0.28125</v>
      </c>
      <c r="P6" s="2325">
        <v>8</v>
      </c>
      <c r="Q6" s="1973">
        <v>61</v>
      </c>
      <c r="R6" s="2344">
        <f t="shared" ref="R6:R69" si="3">P6/Q6</f>
        <v>0.13114754098360656</v>
      </c>
      <c r="T6" s="2325">
        <v>7</v>
      </c>
      <c r="U6" s="1973">
        <v>38</v>
      </c>
      <c r="V6" s="2344">
        <f t="shared" ref="V6:V69" si="4">T6/U6</f>
        <v>0.18421052631578946</v>
      </c>
      <c r="X6" s="2325">
        <v>15</v>
      </c>
      <c r="Y6" s="1973">
        <v>42</v>
      </c>
      <c r="Z6" s="2344">
        <f t="shared" ref="Z6:Z53" si="5">X6/Y6</f>
        <v>0.35714285714285715</v>
      </c>
      <c r="AB6" s="2325">
        <v>8</v>
      </c>
      <c r="AC6" s="1973">
        <v>90</v>
      </c>
      <c r="AD6" s="2344">
        <f t="shared" ref="AD6:AD53" si="6">AB6/AC6</f>
        <v>8.8888888888888892E-2</v>
      </c>
      <c r="AF6" s="2325">
        <v>5</v>
      </c>
      <c r="AG6" s="1973">
        <v>105</v>
      </c>
      <c r="AH6" s="2344">
        <f t="shared" ref="AH6:AH53" si="7">AF6/AG6</f>
        <v>4.7619047619047616E-2</v>
      </c>
      <c r="AJ6" s="2325">
        <v>14</v>
      </c>
      <c r="AK6" s="1973">
        <v>114</v>
      </c>
      <c r="AL6" s="2344">
        <f t="shared" ref="AL6:AL53" si="8">AJ6/AK6</f>
        <v>0.12280701754385964</v>
      </c>
      <c r="AM6" s="2107"/>
      <c r="AN6" s="2325">
        <v>8</v>
      </c>
      <c r="AO6" s="1973">
        <v>42</v>
      </c>
      <c r="AP6" s="2344">
        <f t="shared" ref="AP6:AP53" si="9">AN6/AO6</f>
        <v>0.19047619047619047</v>
      </c>
      <c r="AR6" s="2325">
        <v>12</v>
      </c>
      <c r="AS6" s="1973">
        <v>45</v>
      </c>
      <c r="AT6" s="2344">
        <f t="shared" ref="AT6:AT53" si="10">AR6/AS6</f>
        <v>0.26666666666666666</v>
      </c>
      <c r="AV6" s="2325">
        <v>16</v>
      </c>
      <c r="AW6" s="2290">
        <v>77</v>
      </c>
      <c r="AX6" s="2344">
        <f t="shared" ref="AX6:AX53" si="11">AV6/AW6</f>
        <v>0.20779220779220781</v>
      </c>
      <c r="AZ6" s="2325">
        <f>+'I.27.'!AZ6</f>
        <v>12</v>
      </c>
      <c r="BA6" s="2290">
        <f>+'I.26.'!AY6</f>
        <v>45</v>
      </c>
      <c r="BB6" s="2344">
        <f t="shared" ref="BB6:BB53" si="12">AZ6/BA6</f>
        <v>0.26666666666666666</v>
      </c>
      <c r="BD6" s="2325">
        <f>+'I.27.'!BD6</f>
        <v>8</v>
      </c>
      <c r="BE6" s="2290">
        <f>+'I.26.'!BC6</f>
        <v>30</v>
      </c>
      <c r="BF6" s="2344">
        <f t="shared" ref="BF6:BF53" si="13">BD6/BE6</f>
        <v>0.26666666666666666</v>
      </c>
    </row>
    <row r="7" spans="1:58" ht="18">
      <c r="A7" s="1960"/>
      <c r="B7" s="2355" t="s">
        <v>958</v>
      </c>
      <c r="D7" s="2325">
        <v>38</v>
      </c>
      <c r="E7" s="1973">
        <v>111</v>
      </c>
      <c r="F7" s="2344">
        <f t="shared" si="0"/>
        <v>0.34234234234234234</v>
      </c>
      <c r="H7" s="2325">
        <v>42</v>
      </c>
      <c r="I7" s="1973">
        <v>109</v>
      </c>
      <c r="J7" s="2344">
        <f t="shared" si="1"/>
        <v>0.38532110091743121</v>
      </c>
      <c r="L7" s="2325">
        <v>31</v>
      </c>
      <c r="M7" s="1973">
        <v>70</v>
      </c>
      <c r="N7" s="2344">
        <f t="shared" si="2"/>
        <v>0.44285714285714284</v>
      </c>
      <c r="P7" s="2325">
        <v>12</v>
      </c>
      <c r="Q7" s="1973">
        <v>60</v>
      </c>
      <c r="R7" s="2344">
        <f t="shared" si="3"/>
        <v>0.2</v>
      </c>
      <c r="T7" s="2325">
        <v>40</v>
      </c>
      <c r="U7" s="1973">
        <v>93</v>
      </c>
      <c r="V7" s="2344">
        <f t="shared" si="4"/>
        <v>0.43010752688172044</v>
      </c>
      <c r="X7" s="2325">
        <v>34</v>
      </c>
      <c r="Y7" s="1973">
        <v>123</v>
      </c>
      <c r="Z7" s="2344">
        <f t="shared" si="5"/>
        <v>0.27642276422764228</v>
      </c>
      <c r="AB7" s="2325">
        <v>46</v>
      </c>
      <c r="AC7" s="1973">
        <v>176</v>
      </c>
      <c r="AD7" s="2344">
        <f t="shared" si="6"/>
        <v>0.26136363636363635</v>
      </c>
      <c r="AF7" s="2325">
        <v>37</v>
      </c>
      <c r="AG7" s="1973">
        <v>169</v>
      </c>
      <c r="AH7" s="2344">
        <f t="shared" si="7"/>
        <v>0.21893491124260356</v>
      </c>
      <c r="AJ7" s="2325">
        <v>37</v>
      </c>
      <c r="AK7" s="1973">
        <v>163</v>
      </c>
      <c r="AL7" s="2344">
        <f t="shared" si="8"/>
        <v>0.22699386503067484</v>
      </c>
      <c r="AM7" s="2107"/>
      <c r="AN7" s="2325">
        <v>34</v>
      </c>
      <c r="AO7" s="1973">
        <v>133</v>
      </c>
      <c r="AP7" s="2344">
        <f t="shared" si="9"/>
        <v>0.25563909774436089</v>
      </c>
      <c r="AR7" s="2325">
        <v>42</v>
      </c>
      <c r="AS7" s="1973">
        <v>100</v>
      </c>
      <c r="AT7" s="2344">
        <f t="shared" si="10"/>
        <v>0.42</v>
      </c>
      <c r="AV7" s="2325">
        <v>72</v>
      </c>
      <c r="AW7" s="2290">
        <v>152</v>
      </c>
      <c r="AX7" s="2344">
        <f t="shared" si="11"/>
        <v>0.47368421052631576</v>
      </c>
      <c r="AZ7" s="2325">
        <f>+'I.27.'!AZ7</f>
        <v>50</v>
      </c>
      <c r="BA7" s="2290">
        <f>+'I.26.'!AY7</f>
        <v>158</v>
      </c>
      <c r="BB7" s="2344">
        <f t="shared" si="12"/>
        <v>0.31645569620253167</v>
      </c>
      <c r="BD7" s="2325">
        <f>+'I.27.'!BD7</f>
        <v>36</v>
      </c>
      <c r="BE7" s="2290">
        <f>+'I.26.'!BC7</f>
        <v>213</v>
      </c>
      <c r="BF7" s="2344">
        <f t="shared" si="13"/>
        <v>0.16901408450704225</v>
      </c>
    </row>
    <row r="8" spans="1:58" ht="18">
      <c r="A8" s="1960"/>
      <c r="B8" s="2355" t="s">
        <v>959</v>
      </c>
      <c r="D8" s="2325">
        <v>21</v>
      </c>
      <c r="E8" s="1973">
        <v>61</v>
      </c>
      <c r="F8" s="2344">
        <f t="shared" si="0"/>
        <v>0.34426229508196721</v>
      </c>
      <c r="H8" s="2325">
        <v>19</v>
      </c>
      <c r="I8" s="1973">
        <v>118</v>
      </c>
      <c r="J8" s="2344">
        <f t="shared" si="1"/>
        <v>0.16101694915254236</v>
      </c>
      <c r="L8" s="2325">
        <v>26</v>
      </c>
      <c r="M8" s="1973">
        <v>85</v>
      </c>
      <c r="N8" s="2344">
        <f t="shared" si="2"/>
        <v>0.30588235294117649</v>
      </c>
      <c r="P8" s="2325">
        <v>37</v>
      </c>
      <c r="Q8" s="1973">
        <v>94</v>
      </c>
      <c r="R8" s="2344">
        <f t="shared" si="3"/>
        <v>0.39361702127659576</v>
      </c>
      <c r="T8" s="2325">
        <v>33</v>
      </c>
      <c r="U8" s="1973">
        <v>69</v>
      </c>
      <c r="V8" s="2344">
        <f t="shared" si="4"/>
        <v>0.47826086956521741</v>
      </c>
      <c r="X8" s="2325">
        <v>40</v>
      </c>
      <c r="Y8" s="1973">
        <v>94</v>
      </c>
      <c r="Z8" s="2344">
        <f t="shared" si="5"/>
        <v>0.42553191489361702</v>
      </c>
      <c r="AB8" s="2325">
        <v>31</v>
      </c>
      <c r="AC8" s="1973">
        <v>96</v>
      </c>
      <c r="AD8" s="2344">
        <f t="shared" si="6"/>
        <v>0.32291666666666669</v>
      </c>
      <c r="AF8" s="2325">
        <v>40</v>
      </c>
      <c r="AG8" s="1973">
        <v>83</v>
      </c>
      <c r="AH8" s="2344">
        <f t="shared" si="7"/>
        <v>0.48192771084337349</v>
      </c>
      <c r="AJ8" s="2325">
        <v>18</v>
      </c>
      <c r="AK8" s="1973">
        <v>86</v>
      </c>
      <c r="AL8" s="2344">
        <f t="shared" si="8"/>
        <v>0.20930232558139536</v>
      </c>
      <c r="AM8" s="2107"/>
      <c r="AN8" s="2325">
        <v>45</v>
      </c>
      <c r="AO8" s="1973">
        <v>129</v>
      </c>
      <c r="AP8" s="2344">
        <f t="shared" si="9"/>
        <v>0.34883720930232559</v>
      </c>
      <c r="AR8" s="2325">
        <v>37</v>
      </c>
      <c r="AS8" s="1973">
        <v>73</v>
      </c>
      <c r="AT8" s="2344">
        <f t="shared" si="10"/>
        <v>0.50684931506849318</v>
      </c>
      <c r="AV8" s="2325">
        <v>57</v>
      </c>
      <c r="AW8" s="2290">
        <v>120</v>
      </c>
      <c r="AX8" s="2344">
        <f t="shared" si="11"/>
        <v>0.47499999999999998</v>
      </c>
      <c r="AZ8" s="2325">
        <f>+'I.27.'!AZ8</f>
        <v>56</v>
      </c>
      <c r="BA8" s="2290">
        <f>+'I.26.'!AY8</f>
        <v>92</v>
      </c>
      <c r="BB8" s="2344">
        <f t="shared" si="12"/>
        <v>0.60869565217391308</v>
      </c>
      <c r="BD8" s="2325">
        <f>+'I.27.'!BD8</f>
        <v>47</v>
      </c>
      <c r="BE8" s="2290">
        <f>+'I.26.'!BC8</f>
        <v>120</v>
      </c>
      <c r="BF8" s="2344">
        <f t="shared" si="13"/>
        <v>0.39166666666666666</v>
      </c>
    </row>
    <row r="9" spans="1:58" ht="18">
      <c r="A9" s="1960"/>
      <c r="B9" s="2356" t="s">
        <v>960</v>
      </c>
      <c r="D9" s="2326">
        <v>11</v>
      </c>
      <c r="E9" s="2327">
        <v>45</v>
      </c>
      <c r="F9" s="2345">
        <f t="shared" si="0"/>
        <v>0.24444444444444444</v>
      </c>
      <c r="H9" s="2326">
        <v>7</v>
      </c>
      <c r="I9" s="2327">
        <v>49</v>
      </c>
      <c r="J9" s="2345">
        <f t="shared" si="1"/>
        <v>0.14285714285714285</v>
      </c>
      <c r="L9" s="2326">
        <v>3</v>
      </c>
      <c r="M9" s="2327">
        <v>15</v>
      </c>
      <c r="N9" s="2345">
        <f t="shared" si="2"/>
        <v>0.2</v>
      </c>
      <c r="P9" s="2326">
        <v>19</v>
      </c>
      <c r="Q9" s="2327">
        <v>84</v>
      </c>
      <c r="R9" s="2345">
        <f t="shared" si="3"/>
        <v>0.22619047619047619</v>
      </c>
      <c r="T9" s="2326">
        <v>11</v>
      </c>
      <c r="U9" s="2327">
        <v>45</v>
      </c>
      <c r="V9" s="2345">
        <f t="shared" si="4"/>
        <v>0.24444444444444444</v>
      </c>
      <c r="X9" s="2326">
        <v>17</v>
      </c>
      <c r="Y9" s="2327">
        <v>69</v>
      </c>
      <c r="Z9" s="2345">
        <f t="shared" si="5"/>
        <v>0.24637681159420291</v>
      </c>
      <c r="AB9" s="2326">
        <v>5</v>
      </c>
      <c r="AC9" s="2327">
        <v>80</v>
      </c>
      <c r="AD9" s="2345">
        <f t="shared" si="6"/>
        <v>6.25E-2</v>
      </c>
      <c r="AF9" s="2326">
        <v>6</v>
      </c>
      <c r="AG9" s="2327">
        <v>53</v>
      </c>
      <c r="AH9" s="2345">
        <f t="shared" si="7"/>
        <v>0.11320754716981132</v>
      </c>
      <c r="AJ9" s="2326">
        <v>14</v>
      </c>
      <c r="AK9" s="2327">
        <v>126</v>
      </c>
      <c r="AL9" s="2345">
        <f t="shared" si="8"/>
        <v>0.1111111111111111</v>
      </c>
      <c r="AM9" s="2107"/>
      <c r="AN9" s="2326">
        <v>9</v>
      </c>
      <c r="AO9" s="2327">
        <v>80</v>
      </c>
      <c r="AP9" s="2345">
        <f t="shared" si="9"/>
        <v>0.1125</v>
      </c>
      <c r="AR9" s="2326">
        <v>12</v>
      </c>
      <c r="AS9" s="2327">
        <v>82</v>
      </c>
      <c r="AT9" s="2345">
        <f t="shared" si="10"/>
        <v>0.14634146341463414</v>
      </c>
      <c r="AV9" s="2326">
        <v>25</v>
      </c>
      <c r="AW9" s="2292">
        <v>115</v>
      </c>
      <c r="AX9" s="2345">
        <f t="shared" si="11"/>
        <v>0.21739130434782608</v>
      </c>
      <c r="AZ9" s="2326">
        <f>+'I.27.'!AZ9</f>
        <v>17</v>
      </c>
      <c r="BA9" s="2292">
        <f>+'I.26.'!AY9</f>
        <v>59</v>
      </c>
      <c r="BB9" s="2345">
        <f t="shared" si="12"/>
        <v>0.28813559322033899</v>
      </c>
      <c r="BD9" s="2326">
        <f>+'I.27.'!BD9</f>
        <v>13</v>
      </c>
      <c r="BE9" s="2292">
        <f>+'I.26.'!BC9</f>
        <v>96</v>
      </c>
      <c r="BF9" s="2345">
        <f t="shared" si="13"/>
        <v>0.13541666666666666</v>
      </c>
    </row>
    <row r="10" spans="1:58" ht="15" customHeight="1">
      <c r="A10" s="1960"/>
      <c r="B10" s="1929" t="s">
        <v>4</v>
      </c>
      <c r="D10" s="2328">
        <f>SUM(D5:D9)</f>
        <v>128</v>
      </c>
      <c r="E10" s="1040">
        <v>485</v>
      </c>
      <c r="F10" s="2346">
        <f t="shared" si="0"/>
        <v>0.26391752577319588</v>
      </c>
      <c r="H10" s="2328">
        <v>153</v>
      </c>
      <c r="I10" s="1040">
        <v>630</v>
      </c>
      <c r="J10" s="2346">
        <f t="shared" si="1"/>
        <v>0.24285714285714285</v>
      </c>
      <c r="L10" s="2328">
        <v>127</v>
      </c>
      <c r="M10" s="1040">
        <f>SUM(M5:M9)</f>
        <v>460</v>
      </c>
      <c r="N10" s="2346">
        <f t="shared" si="2"/>
        <v>0.27608695652173915</v>
      </c>
      <c r="P10" s="2328">
        <v>158</v>
      </c>
      <c r="Q10" s="1040">
        <f>SUM(Q5:Q9)</f>
        <v>660</v>
      </c>
      <c r="R10" s="2346">
        <f t="shared" si="3"/>
        <v>0.23939393939393938</v>
      </c>
      <c r="T10" s="2328">
        <f>SUM(T5:T9)</f>
        <v>182</v>
      </c>
      <c r="U10" s="1040">
        <f>SUM(U5:U9)</f>
        <v>586</v>
      </c>
      <c r="V10" s="2346">
        <f t="shared" si="4"/>
        <v>0.31058020477815701</v>
      </c>
      <c r="X10" s="2328">
        <v>179</v>
      </c>
      <c r="Y10" s="1040">
        <v>857</v>
      </c>
      <c r="Z10" s="2346">
        <f t="shared" si="5"/>
        <v>0.2088681446907818</v>
      </c>
      <c r="AB10" s="2328">
        <v>160</v>
      </c>
      <c r="AC10" s="1040">
        <v>789</v>
      </c>
      <c r="AD10" s="2346">
        <f t="shared" si="6"/>
        <v>0.20278833967046894</v>
      </c>
      <c r="AF10" s="2328">
        <v>187</v>
      </c>
      <c r="AG10" s="1040">
        <v>734</v>
      </c>
      <c r="AH10" s="2346">
        <f t="shared" si="7"/>
        <v>0.25476839237057219</v>
      </c>
      <c r="AJ10" s="2328">
        <v>180</v>
      </c>
      <c r="AK10" s="1040">
        <v>773</v>
      </c>
      <c r="AL10" s="2346">
        <f t="shared" si="8"/>
        <v>0.23285899094437257</v>
      </c>
      <c r="AM10" s="2107"/>
      <c r="AN10" s="2328">
        <v>189</v>
      </c>
      <c r="AO10" s="1040">
        <v>645</v>
      </c>
      <c r="AP10" s="2346">
        <f t="shared" si="9"/>
        <v>0.2930232558139535</v>
      </c>
      <c r="AR10" s="2328">
        <v>169</v>
      </c>
      <c r="AS10" s="1040">
        <v>500</v>
      </c>
      <c r="AT10" s="2346">
        <f t="shared" si="10"/>
        <v>0.33800000000000002</v>
      </c>
      <c r="AV10" s="2328">
        <v>256</v>
      </c>
      <c r="AW10" s="2293">
        <v>713</v>
      </c>
      <c r="AX10" s="2346">
        <f t="shared" si="11"/>
        <v>0.35904628330995791</v>
      </c>
      <c r="AZ10" s="2328">
        <f>+'I.27.'!AZ10</f>
        <v>239</v>
      </c>
      <c r="BA10" s="2293">
        <f>+'I.26.'!AY10</f>
        <v>581</v>
      </c>
      <c r="BB10" s="2346">
        <f t="shared" si="12"/>
        <v>0.41135972461273668</v>
      </c>
      <c r="BD10" s="2328">
        <f>+'I.27.'!BD10</f>
        <v>192</v>
      </c>
      <c r="BE10" s="2293">
        <f>+'I.26.'!BC10</f>
        <v>772</v>
      </c>
      <c r="BF10" s="2346">
        <f t="shared" si="13"/>
        <v>0.24870466321243523</v>
      </c>
    </row>
    <row r="11" spans="1:58" ht="18">
      <c r="A11" s="1960"/>
      <c r="B11" s="1974" t="s">
        <v>961</v>
      </c>
      <c r="D11" s="2329"/>
      <c r="E11" s="2330">
        <v>67</v>
      </c>
      <c r="F11" s="2347">
        <f t="shared" si="0"/>
        <v>0</v>
      </c>
      <c r="H11" s="2329">
        <v>3</v>
      </c>
      <c r="I11" s="2330">
        <v>77</v>
      </c>
      <c r="J11" s="2347">
        <f t="shared" si="1"/>
        <v>3.896103896103896E-2</v>
      </c>
      <c r="L11" s="2329">
        <v>15</v>
      </c>
      <c r="M11" s="2330">
        <v>73</v>
      </c>
      <c r="N11" s="2347">
        <f t="shared" si="2"/>
        <v>0.20547945205479451</v>
      </c>
      <c r="P11" s="2329">
        <v>11</v>
      </c>
      <c r="Q11" s="2330">
        <v>85</v>
      </c>
      <c r="R11" s="2347">
        <f t="shared" si="3"/>
        <v>0.12941176470588237</v>
      </c>
      <c r="T11" s="2329">
        <v>0</v>
      </c>
      <c r="U11" s="2330">
        <v>104</v>
      </c>
      <c r="V11" s="2347">
        <f t="shared" si="4"/>
        <v>0</v>
      </c>
      <c r="X11" s="2329"/>
      <c r="Y11" s="2330">
        <v>77</v>
      </c>
      <c r="Z11" s="2347">
        <f t="shared" si="5"/>
        <v>0</v>
      </c>
      <c r="AB11" s="2329"/>
      <c r="AC11" s="2330">
        <v>61</v>
      </c>
      <c r="AD11" s="2347">
        <f t="shared" si="6"/>
        <v>0</v>
      </c>
      <c r="AF11" s="2329">
        <v>2</v>
      </c>
      <c r="AG11" s="2330">
        <v>57</v>
      </c>
      <c r="AH11" s="2347">
        <f t="shared" si="7"/>
        <v>3.5087719298245612E-2</v>
      </c>
      <c r="AJ11" s="2329">
        <v>2</v>
      </c>
      <c r="AK11" s="2330">
        <v>97</v>
      </c>
      <c r="AL11" s="2347">
        <f t="shared" si="8"/>
        <v>2.0618556701030927E-2</v>
      </c>
      <c r="AM11" s="2107"/>
      <c r="AN11" s="2329">
        <v>1</v>
      </c>
      <c r="AO11" s="2330">
        <v>112</v>
      </c>
      <c r="AP11" s="2347">
        <f t="shared" si="9"/>
        <v>8.9285714285714281E-3</v>
      </c>
      <c r="AR11" s="2329">
        <v>1</v>
      </c>
      <c r="AS11" s="2330">
        <v>42</v>
      </c>
      <c r="AT11" s="2347">
        <f t="shared" si="10"/>
        <v>2.3809523809523808E-2</v>
      </c>
      <c r="AV11" s="2329">
        <v>0</v>
      </c>
      <c r="AW11" s="2294">
        <v>98</v>
      </c>
      <c r="AX11" s="2347">
        <f t="shared" si="11"/>
        <v>0</v>
      </c>
      <c r="AZ11" s="2329">
        <f>+'I.27.'!AZ11</f>
        <v>4</v>
      </c>
      <c r="BA11" s="2294">
        <f>+'I.26.'!AY11</f>
        <v>82</v>
      </c>
      <c r="BB11" s="2347">
        <f t="shared" si="12"/>
        <v>4.878048780487805E-2</v>
      </c>
      <c r="BD11" s="2329">
        <f>+'I.27.'!BD11</f>
        <v>2</v>
      </c>
      <c r="BE11" s="2294">
        <f>+'I.26.'!BC11</f>
        <v>47</v>
      </c>
      <c r="BF11" s="2347">
        <f t="shared" si="13"/>
        <v>4.2553191489361701E-2</v>
      </c>
    </row>
    <row r="12" spans="1:58" ht="18">
      <c r="A12" s="1960"/>
      <c r="B12" s="2355" t="s">
        <v>962</v>
      </c>
      <c r="D12" s="2329">
        <v>1</v>
      </c>
      <c r="E12" s="2330">
        <v>65</v>
      </c>
      <c r="F12" s="2347">
        <f t="shared" si="0"/>
        <v>1.5384615384615385E-2</v>
      </c>
      <c r="H12" s="2329"/>
      <c r="I12" s="2330">
        <v>77</v>
      </c>
      <c r="J12" s="2347">
        <f t="shared" si="1"/>
        <v>0</v>
      </c>
      <c r="L12" s="2329"/>
      <c r="M12" s="2330">
        <v>105</v>
      </c>
      <c r="N12" s="2347">
        <f t="shared" si="2"/>
        <v>0</v>
      </c>
      <c r="P12" s="2329"/>
      <c r="Q12" s="2330">
        <v>89</v>
      </c>
      <c r="R12" s="2347">
        <f t="shared" si="3"/>
        <v>0</v>
      </c>
      <c r="T12" s="2329">
        <v>1</v>
      </c>
      <c r="U12" s="2330">
        <v>59</v>
      </c>
      <c r="V12" s="2347">
        <f t="shared" si="4"/>
        <v>1.6949152542372881E-2</v>
      </c>
      <c r="X12" s="2329"/>
      <c r="Y12" s="2330">
        <v>76</v>
      </c>
      <c r="Z12" s="2347">
        <f t="shared" si="5"/>
        <v>0</v>
      </c>
      <c r="AB12" s="2329">
        <v>1</v>
      </c>
      <c r="AC12" s="2330">
        <v>71</v>
      </c>
      <c r="AD12" s="2347">
        <f t="shared" si="6"/>
        <v>1.4084507042253521E-2</v>
      </c>
      <c r="AF12" s="2329">
        <v>1</v>
      </c>
      <c r="AG12" s="2330">
        <v>70</v>
      </c>
      <c r="AH12" s="2347">
        <f t="shared" si="7"/>
        <v>1.4285714285714285E-2</v>
      </c>
      <c r="AJ12" s="2329">
        <v>0</v>
      </c>
      <c r="AK12" s="2330">
        <v>46</v>
      </c>
      <c r="AL12" s="2347">
        <f t="shared" si="8"/>
        <v>0</v>
      </c>
      <c r="AM12" s="2107"/>
      <c r="AN12" s="2329">
        <v>1</v>
      </c>
      <c r="AO12" s="2330">
        <v>67</v>
      </c>
      <c r="AP12" s="2347">
        <f t="shared" si="9"/>
        <v>1.4925373134328358E-2</v>
      </c>
      <c r="AR12" s="2329">
        <v>1</v>
      </c>
      <c r="AS12" s="2330">
        <v>24</v>
      </c>
      <c r="AT12" s="2347">
        <f t="shared" si="10"/>
        <v>4.1666666666666664E-2</v>
      </c>
      <c r="AV12" s="2329">
        <v>2</v>
      </c>
      <c r="AW12" s="2294">
        <v>55</v>
      </c>
      <c r="AX12" s="2347">
        <f t="shared" si="11"/>
        <v>3.6363636363636362E-2</v>
      </c>
      <c r="AZ12" s="2329">
        <f>+'I.27.'!AZ12</f>
        <v>2</v>
      </c>
      <c r="BA12" s="2294">
        <f>+'I.26.'!AY12</f>
        <v>62</v>
      </c>
      <c r="BB12" s="2347">
        <f t="shared" si="12"/>
        <v>3.2258064516129031E-2</v>
      </c>
      <c r="BD12" s="2329">
        <f>+'I.27.'!BD12</f>
        <v>5</v>
      </c>
      <c r="BE12" s="2294">
        <f>+'I.26.'!BC12</f>
        <v>42</v>
      </c>
      <c r="BF12" s="2347">
        <f t="shared" si="13"/>
        <v>0.11904761904761904</v>
      </c>
    </row>
    <row r="13" spans="1:58" ht="18">
      <c r="A13" s="1960"/>
      <c r="B13" s="2355" t="s">
        <v>963</v>
      </c>
      <c r="D13" s="2329"/>
      <c r="E13" s="2330">
        <v>104</v>
      </c>
      <c r="F13" s="2347">
        <f t="shared" si="0"/>
        <v>0</v>
      </c>
      <c r="H13" s="2329">
        <v>1</v>
      </c>
      <c r="I13" s="2330">
        <v>133</v>
      </c>
      <c r="J13" s="2347">
        <f t="shared" si="1"/>
        <v>7.5187969924812026E-3</v>
      </c>
      <c r="L13" s="2329">
        <v>19</v>
      </c>
      <c r="M13" s="2330">
        <v>131</v>
      </c>
      <c r="N13" s="2347">
        <f t="shared" si="2"/>
        <v>0.14503816793893129</v>
      </c>
      <c r="P13" s="2329">
        <v>12</v>
      </c>
      <c r="Q13" s="2330">
        <v>100</v>
      </c>
      <c r="R13" s="2347">
        <f t="shared" si="3"/>
        <v>0.12</v>
      </c>
      <c r="T13" s="2329">
        <v>0</v>
      </c>
      <c r="U13" s="2330">
        <v>89</v>
      </c>
      <c r="V13" s="2347">
        <f t="shared" si="4"/>
        <v>0</v>
      </c>
      <c r="X13" s="2329"/>
      <c r="Y13" s="2330">
        <v>71</v>
      </c>
      <c r="Z13" s="2347">
        <f t="shared" si="5"/>
        <v>0</v>
      </c>
      <c r="AB13" s="2329">
        <v>3</v>
      </c>
      <c r="AC13" s="2330">
        <v>100</v>
      </c>
      <c r="AD13" s="2347">
        <f t="shared" si="6"/>
        <v>0.03</v>
      </c>
      <c r="AF13" s="2329">
        <v>6</v>
      </c>
      <c r="AG13" s="2330">
        <v>98</v>
      </c>
      <c r="AH13" s="2347">
        <f t="shared" si="7"/>
        <v>6.1224489795918366E-2</v>
      </c>
      <c r="AJ13" s="2329">
        <v>3</v>
      </c>
      <c r="AK13" s="2330">
        <v>113</v>
      </c>
      <c r="AL13" s="2347">
        <f t="shared" si="8"/>
        <v>2.6548672566371681E-2</v>
      </c>
      <c r="AM13" s="2107"/>
      <c r="AN13" s="2329">
        <v>4</v>
      </c>
      <c r="AO13" s="2330">
        <v>94</v>
      </c>
      <c r="AP13" s="2347">
        <f t="shared" si="9"/>
        <v>4.2553191489361701E-2</v>
      </c>
      <c r="AR13" s="2329">
        <v>0</v>
      </c>
      <c r="AS13" s="2330">
        <v>34</v>
      </c>
      <c r="AT13" s="2347">
        <f t="shared" si="10"/>
        <v>0</v>
      </c>
      <c r="AV13" s="2329">
        <v>2</v>
      </c>
      <c r="AW13" s="2294">
        <v>139</v>
      </c>
      <c r="AX13" s="2347">
        <f t="shared" si="11"/>
        <v>1.4388489208633094E-2</v>
      </c>
      <c r="AZ13" s="2329">
        <f>+'I.27.'!AZ13</f>
        <v>9</v>
      </c>
      <c r="BA13" s="2294">
        <f>+'I.26.'!AY13</f>
        <v>87</v>
      </c>
      <c r="BB13" s="2347">
        <f t="shared" si="12"/>
        <v>0.10344827586206896</v>
      </c>
      <c r="BD13" s="2329">
        <f>+'I.27.'!BD13</f>
        <v>11</v>
      </c>
      <c r="BE13" s="2294">
        <f>+'I.26.'!BC13</f>
        <v>76</v>
      </c>
      <c r="BF13" s="2347">
        <f t="shared" si="13"/>
        <v>0.14473684210526316</v>
      </c>
    </row>
    <row r="14" spans="1:58" ht="18">
      <c r="A14" s="1960"/>
      <c r="B14" s="2355" t="s">
        <v>695</v>
      </c>
      <c r="D14" s="2329"/>
      <c r="E14" s="2330">
        <v>116</v>
      </c>
      <c r="F14" s="2347">
        <f t="shared" si="0"/>
        <v>0</v>
      </c>
      <c r="H14" s="2329"/>
      <c r="I14" s="2330">
        <v>106</v>
      </c>
      <c r="J14" s="2347">
        <f t="shared" si="1"/>
        <v>0</v>
      </c>
      <c r="L14" s="2329"/>
      <c r="M14" s="2330">
        <v>118</v>
      </c>
      <c r="N14" s="2347">
        <f t="shared" si="2"/>
        <v>0</v>
      </c>
      <c r="P14" s="2329"/>
      <c r="Q14" s="2330">
        <v>92</v>
      </c>
      <c r="R14" s="2347">
        <f t="shared" si="3"/>
        <v>0</v>
      </c>
      <c r="T14" s="2329">
        <v>0</v>
      </c>
      <c r="U14" s="2330">
        <v>95</v>
      </c>
      <c r="V14" s="2347">
        <f t="shared" si="4"/>
        <v>0</v>
      </c>
      <c r="X14" s="2329"/>
      <c r="Y14" s="2330">
        <v>119</v>
      </c>
      <c r="Z14" s="2347">
        <f t="shared" si="5"/>
        <v>0</v>
      </c>
      <c r="AB14" s="2329"/>
      <c r="AC14" s="2330">
        <v>99</v>
      </c>
      <c r="AD14" s="2347">
        <f t="shared" si="6"/>
        <v>0</v>
      </c>
      <c r="AF14" s="2329">
        <v>1</v>
      </c>
      <c r="AG14" s="2330">
        <v>74</v>
      </c>
      <c r="AH14" s="2347">
        <f t="shared" si="7"/>
        <v>1.3513513513513514E-2</v>
      </c>
      <c r="AJ14" s="2329">
        <v>2</v>
      </c>
      <c r="AK14" s="2330">
        <v>102</v>
      </c>
      <c r="AL14" s="2347">
        <f t="shared" si="8"/>
        <v>1.9607843137254902E-2</v>
      </c>
      <c r="AM14" s="2107"/>
      <c r="AN14" s="2329">
        <v>0</v>
      </c>
      <c r="AO14" s="2330">
        <v>79</v>
      </c>
      <c r="AP14" s="2347">
        <f t="shared" si="9"/>
        <v>0</v>
      </c>
      <c r="AR14" s="2329">
        <v>3</v>
      </c>
      <c r="AS14" s="2330">
        <v>50</v>
      </c>
      <c r="AT14" s="2347">
        <f t="shared" si="10"/>
        <v>0.06</v>
      </c>
      <c r="AV14" s="2329">
        <v>0</v>
      </c>
      <c r="AW14" s="2294">
        <v>88</v>
      </c>
      <c r="AX14" s="2347">
        <f t="shared" si="11"/>
        <v>0</v>
      </c>
      <c r="AZ14" s="2329">
        <f>+'I.27.'!AZ14</f>
        <v>2</v>
      </c>
      <c r="BA14" s="2294">
        <f>+'I.26.'!AY14</f>
        <v>98</v>
      </c>
      <c r="BB14" s="2347">
        <f t="shared" si="12"/>
        <v>2.0408163265306121E-2</v>
      </c>
      <c r="BD14" s="2329">
        <f>+'I.27.'!BD14</f>
        <v>0</v>
      </c>
      <c r="BE14" s="2294">
        <f>+'I.26.'!BC14</f>
        <v>89</v>
      </c>
      <c r="BF14" s="2347">
        <f t="shared" si="13"/>
        <v>0</v>
      </c>
    </row>
    <row r="15" spans="1:58" ht="18">
      <c r="A15" s="1960"/>
      <c r="B15" s="2355" t="s">
        <v>964</v>
      </c>
      <c r="D15" s="2331"/>
      <c r="E15" s="2332">
        <v>144</v>
      </c>
      <c r="F15" s="2348">
        <f t="shared" si="0"/>
        <v>0</v>
      </c>
      <c r="H15" s="2331"/>
      <c r="I15" s="2332">
        <v>80</v>
      </c>
      <c r="J15" s="2348">
        <f t="shared" si="1"/>
        <v>0</v>
      </c>
      <c r="L15" s="2331">
        <v>1</v>
      </c>
      <c r="M15" s="2332">
        <v>50</v>
      </c>
      <c r="N15" s="2348">
        <f t="shared" si="2"/>
        <v>0.02</v>
      </c>
      <c r="P15" s="2331"/>
      <c r="Q15" s="2332">
        <v>107</v>
      </c>
      <c r="R15" s="2348">
        <f t="shared" si="3"/>
        <v>0</v>
      </c>
      <c r="T15" s="2331">
        <v>0</v>
      </c>
      <c r="U15" s="2332">
        <v>83</v>
      </c>
      <c r="V15" s="2348">
        <f t="shared" si="4"/>
        <v>0</v>
      </c>
      <c r="X15" s="2331">
        <v>1</v>
      </c>
      <c r="Y15" s="2332">
        <v>98</v>
      </c>
      <c r="Z15" s="2348">
        <f t="shared" si="5"/>
        <v>1.020408163265306E-2</v>
      </c>
      <c r="AB15" s="2331">
        <v>1</v>
      </c>
      <c r="AC15" s="2332">
        <v>71</v>
      </c>
      <c r="AD15" s="2348">
        <f t="shared" si="6"/>
        <v>1.4084507042253521E-2</v>
      </c>
      <c r="AF15" s="2331"/>
      <c r="AG15" s="2332">
        <v>86</v>
      </c>
      <c r="AH15" s="2348">
        <f t="shared" si="7"/>
        <v>0</v>
      </c>
      <c r="AJ15" s="2331">
        <v>0</v>
      </c>
      <c r="AK15" s="2332">
        <v>92</v>
      </c>
      <c r="AL15" s="2348">
        <f t="shared" si="8"/>
        <v>0</v>
      </c>
      <c r="AM15" s="2107"/>
      <c r="AN15" s="2331">
        <v>1</v>
      </c>
      <c r="AO15" s="2332">
        <v>65</v>
      </c>
      <c r="AP15" s="2348">
        <f t="shared" si="9"/>
        <v>1.5384615384615385E-2</v>
      </c>
      <c r="AR15" s="2331">
        <v>0</v>
      </c>
      <c r="AS15" s="2332">
        <v>51</v>
      </c>
      <c r="AT15" s="2348">
        <f t="shared" si="10"/>
        <v>0</v>
      </c>
      <c r="AV15" s="2331">
        <v>3</v>
      </c>
      <c r="AW15" s="2296">
        <v>102</v>
      </c>
      <c r="AX15" s="2348">
        <f t="shared" si="11"/>
        <v>2.9411764705882353E-2</v>
      </c>
      <c r="AZ15" s="2331">
        <f>+'I.27.'!AZ15</f>
        <v>4</v>
      </c>
      <c r="BA15" s="2296">
        <f>+'I.26.'!AY15</f>
        <v>55</v>
      </c>
      <c r="BB15" s="2348">
        <f t="shared" si="12"/>
        <v>7.2727272727272724E-2</v>
      </c>
      <c r="BD15" s="2331">
        <f>+'I.27.'!BD15</f>
        <v>2</v>
      </c>
      <c r="BE15" s="2296">
        <f>+'I.26.'!BC15</f>
        <v>78</v>
      </c>
      <c r="BF15" s="2348">
        <f t="shared" si="13"/>
        <v>2.564102564102564E-2</v>
      </c>
    </row>
    <row r="16" spans="1:58" ht="15" customHeight="1">
      <c r="A16" s="1960"/>
      <c r="B16" s="1929" t="s">
        <v>16</v>
      </c>
      <c r="D16" s="2328">
        <f>SUM(D11:D15)</f>
        <v>1</v>
      </c>
      <c r="E16" s="1040">
        <v>496</v>
      </c>
      <c r="F16" s="2346">
        <f t="shared" si="0"/>
        <v>2.0161290322580645E-3</v>
      </c>
      <c r="H16" s="2328">
        <v>4</v>
      </c>
      <c r="I16" s="1040">
        <v>473</v>
      </c>
      <c r="J16" s="2346">
        <f t="shared" si="1"/>
        <v>8.4566596194503175E-3</v>
      </c>
      <c r="L16" s="2328">
        <v>35</v>
      </c>
      <c r="M16" s="1040">
        <f>SUM(M11:M15)</f>
        <v>477</v>
      </c>
      <c r="N16" s="2346">
        <f t="shared" si="2"/>
        <v>7.337526205450734E-2</v>
      </c>
      <c r="P16" s="2328">
        <v>23</v>
      </c>
      <c r="Q16" s="1040">
        <f>SUM(Q11:Q15)</f>
        <v>473</v>
      </c>
      <c r="R16" s="2346">
        <f t="shared" si="3"/>
        <v>4.8625792811839326E-2</v>
      </c>
      <c r="T16" s="2328">
        <f>SUM(T11:T15)</f>
        <v>1</v>
      </c>
      <c r="U16" s="1040">
        <f>SUM(U11:U15)</f>
        <v>430</v>
      </c>
      <c r="V16" s="2346">
        <f t="shared" si="4"/>
        <v>2.3255813953488372E-3</v>
      </c>
      <c r="X16" s="2328">
        <v>1</v>
      </c>
      <c r="Y16" s="1040">
        <v>441</v>
      </c>
      <c r="Z16" s="2346">
        <f t="shared" si="5"/>
        <v>2.2675736961451248E-3</v>
      </c>
      <c r="AB16" s="2328">
        <v>5</v>
      </c>
      <c r="AC16" s="1040">
        <v>402</v>
      </c>
      <c r="AD16" s="2346">
        <f t="shared" si="6"/>
        <v>1.2437810945273632E-2</v>
      </c>
      <c r="AF16" s="2328">
        <v>10</v>
      </c>
      <c r="AG16" s="1040">
        <v>385</v>
      </c>
      <c r="AH16" s="2346">
        <f t="shared" si="7"/>
        <v>2.5974025974025976E-2</v>
      </c>
      <c r="AJ16" s="2328">
        <v>7</v>
      </c>
      <c r="AK16" s="1040">
        <v>450</v>
      </c>
      <c r="AL16" s="2346">
        <f t="shared" si="8"/>
        <v>1.5555555555555555E-2</v>
      </c>
      <c r="AM16" s="2107"/>
      <c r="AN16" s="2328">
        <v>7</v>
      </c>
      <c r="AO16" s="1040">
        <v>417</v>
      </c>
      <c r="AP16" s="2346">
        <f t="shared" si="9"/>
        <v>1.6786570743405275E-2</v>
      </c>
      <c r="AR16" s="2328">
        <v>5</v>
      </c>
      <c r="AS16" s="1040">
        <v>201</v>
      </c>
      <c r="AT16" s="2346">
        <f t="shared" si="10"/>
        <v>2.4875621890547265E-2</v>
      </c>
      <c r="AV16" s="2328">
        <v>7</v>
      </c>
      <c r="AW16" s="2293">
        <v>482</v>
      </c>
      <c r="AX16" s="2346">
        <f t="shared" si="11"/>
        <v>1.4522821576763486E-2</v>
      </c>
      <c r="AZ16" s="2328">
        <f>+'I.27.'!AZ16</f>
        <v>21</v>
      </c>
      <c r="BA16" s="2293">
        <f>+'I.26.'!AY16</f>
        <v>384</v>
      </c>
      <c r="BB16" s="2346">
        <f t="shared" si="12"/>
        <v>5.46875E-2</v>
      </c>
      <c r="BD16" s="2328">
        <f>+'I.27.'!BD16</f>
        <v>20</v>
      </c>
      <c r="BE16" s="2293">
        <f>+'I.26.'!BC16</f>
        <v>332</v>
      </c>
      <c r="BF16" s="2346">
        <f t="shared" si="13"/>
        <v>6.0240963855421686E-2</v>
      </c>
    </row>
    <row r="17" spans="1:58" ht="18">
      <c r="A17" s="1960"/>
      <c r="B17" s="2355" t="s">
        <v>966</v>
      </c>
      <c r="D17" s="2329">
        <v>1</v>
      </c>
      <c r="E17" s="2330">
        <v>48</v>
      </c>
      <c r="F17" s="2347">
        <f t="shared" si="0"/>
        <v>2.0833333333333332E-2</v>
      </c>
      <c r="H17" s="2329">
        <v>2</v>
      </c>
      <c r="I17" s="2330">
        <v>40</v>
      </c>
      <c r="J17" s="2347">
        <f t="shared" si="1"/>
        <v>0.05</v>
      </c>
      <c r="L17" s="2329"/>
      <c r="M17" s="2330">
        <v>36</v>
      </c>
      <c r="N17" s="2347">
        <f t="shared" si="2"/>
        <v>0</v>
      </c>
      <c r="P17" s="2329">
        <v>1</v>
      </c>
      <c r="Q17" s="2330">
        <v>60</v>
      </c>
      <c r="R17" s="2347">
        <f t="shared" si="3"/>
        <v>1.6666666666666666E-2</v>
      </c>
      <c r="T17" s="2329">
        <v>1</v>
      </c>
      <c r="U17" s="2330">
        <v>90</v>
      </c>
      <c r="V17" s="2347">
        <f t="shared" si="4"/>
        <v>1.1111111111111112E-2</v>
      </c>
      <c r="X17" s="2329"/>
      <c r="Y17" s="2330">
        <v>43</v>
      </c>
      <c r="Z17" s="2347">
        <f t="shared" si="5"/>
        <v>0</v>
      </c>
      <c r="AB17" s="2329"/>
      <c r="AC17" s="2330">
        <v>59</v>
      </c>
      <c r="AD17" s="2347">
        <f t="shared" si="6"/>
        <v>0</v>
      </c>
      <c r="AF17" s="2329"/>
      <c r="AG17" s="2330">
        <v>27</v>
      </c>
      <c r="AH17" s="2347">
        <f t="shared" si="7"/>
        <v>0</v>
      </c>
      <c r="AJ17" s="2329">
        <v>0</v>
      </c>
      <c r="AK17" s="2330">
        <v>55</v>
      </c>
      <c r="AL17" s="2347">
        <f t="shared" si="8"/>
        <v>0</v>
      </c>
      <c r="AM17" s="2107"/>
      <c r="AN17" s="2329">
        <v>0</v>
      </c>
      <c r="AO17" s="2330">
        <v>29</v>
      </c>
      <c r="AP17" s="2347">
        <f t="shared" si="9"/>
        <v>0</v>
      </c>
      <c r="AR17" s="2329">
        <v>2</v>
      </c>
      <c r="AS17" s="2330">
        <v>29</v>
      </c>
      <c r="AT17" s="2347">
        <f t="shared" si="10"/>
        <v>6.8965517241379309E-2</v>
      </c>
      <c r="AV17" s="2329">
        <v>6</v>
      </c>
      <c r="AW17" s="2294">
        <v>52</v>
      </c>
      <c r="AX17" s="2347">
        <f t="shared" si="11"/>
        <v>0.11538461538461539</v>
      </c>
      <c r="AZ17" s="2329">
        <f>+'I.27.'!AZ17</f>
        <v>9</v>
      </c>
      <c r="BA17" s="2294">
        <f>+'I.26.'!AY17</f>
        <v>39</v>
      </c>
      <c r="BB17" s="2347">
        <f t="shared" si="12"/>
        <v>0.23076923076923078</v>
      </c>
      <c r="BD17" s="2329">
        <f>+'I.27.'!BD17</f>
        <v>13</v>
      </c>
      <c r="BE17" s="2294">
        <f>+'I.26.'!BC17</f>
        <v>74</v>
      </c>
      <c r="BF17" s="2347">
        <f t="shared" si="13"/>
        <v>0.17567567567567569</v>
      </c>
    </row>
    <row r="18" spans="1:58" ht="18">
      <c r="A18" s="1960"/>
      <c r="B18" s="2355" t="s">
        <v>967</v>
      </c>
      <c r="D18" s="2329"/>
      <c r="E18" s="2330">
        <v>18</v>
      </c>
      <c r="F18" s="2347">
        <f t="shared" si="0"/>
        <v>0</v>
      </c>
      <c r="H18" s="2329">
        <v>2</v>
      </c>
      <c r="I18" s="2330">
        <v>24</v>
      </c>
      <c r="J18" s="2347">
        <f t="shared" si="1"/>
        <v>8.3333333333333329E-2</v>
      </c>
      <c r="L18" s="2329">
        <v>3</v>
      </c>
      <c r="M18" s="2330">
        <v>45</v>
      </c>
      <c r="N18" s="2347">
        <f t="shared" si="2"/>
        <v>6.6666666666666666E-2</v>
      </c>
      <c r="P18" s="2329"/>
      <c r="Q18" s="2330">
        <v>42</v>
      </c>
      <c r="R18" s="2347">
        <f t="shared" si="3"/>
        <v>0</v>
      </c>
      <c r="T18" s="2329">
        <v>2</v>
      </c>
      <c r="U18" s="2330">
        <v>50</v>
      </c>
      <c r="V18" s="2347">
        <f t="shared" si="4"/>
        <v>0.04</v>
      </c>
      <c r="X18" s="2329"/>
      <c r="Y18" s="2330">
        <v>41</v>
      </c>
      <c r="Z18" s="2347">
        <f t="shared" si="5"/>
        <v>0</v>
      </c>
      <c r="AB18" s="2329"/>
      <c r="AC18" s="2330">
        <v>54</v>
      </c>
      <c r="AD18" s="2347">
        <f t="shared" si="6"/>
        <v>0</v>
      </c>
      <c r="AF18" s="2329"/>
      <c r="AG18" s="2330">
        <v>27</v>
      </c>
      <c r="AH18" s="2347">
        <f t="shared" si="7"/>
        <v>0</v>
      </c>
      <c r="AJ18" s="2329">
        <v>1</v>
      </c>
      <c r="AK18" s="2330">
        <v>21</v>
      </c>
      <c r="AL18" s="2347">
        <f t="shared" si="8"/>
        <v>4.7619047619047616E-2</v>
      </c>
      <c r="AM18" s="2107"/>
      <c r="AN18" s="2329">
        <v>0</v>
      </c>
      <c r="AO18" s="2330">
        <v>12</v>
      </c>
      <c r="AP18" s="2347">
        <f t="shared" si="9"/>
        <v>0</v>
      </c>
      <c r="AR18" s="2329">
        <v>1</v>
      </c>
      <c r="AS18" s="2330">
        <v>17</v>
      </c>
      <c r="AT18" s="2347">
        <f t="shared" si="10"/>
        <v>5.8823529411764705E-2</v>
      </c>
      <c r="AV18" s="2329">
        <v>1</v>
      </c>
      <c r="AW18" s="2294">
        <v>17</v>
      </c>
      <c r="AX18" s="2347">
        <f t="shared" si="11"/>
        <v>5.8823529411764705E-2</v>
      </c>
      <c r="AZ18" s="2329">
        <f>+'I.27.'!AZ18</f>
        <v>13</v>
      </c>
      <c r="BA18" s="2294">
        <f>+'I.26.'!AY18</f>
        <v>35</v>
      </c>
      <c r="BB18" s="2347">
        <f t="shared" si="12"/>
        <v>0.37142857142857144</v>
      </c>
      <c r="BD18" s="2329">
        <f>+'I.27.'!BD18</f>
        <v>5</v>
      </c>
      <c r="BE18" s="2294">
        <f>+'I.26.'!BC18</f>
        <v>51</v>
      </c>
      <c r="BF18" s="2347">
        <f t="shared" si="13"/>
        <v>9.8039215686274508E-2</v>
      </c>
    </row>
    <row r="19" spans="1:58" ht="18">
      <c r="A19" s="1960"/>
      <c r="B19" s="2355" t="s">
        <v>968</v>
      </c>
      <c r="D19" s="2329">
        <v>2</v>
      </c>
      <c r="E19" s="2330">
        <v>29</v>
      </c>
      <c r="F19" s="2347">
        <f t="shared" si="0"/>
        <v>6.8965517241379309E-2</v>
      </c>
      <c r="H19" s="2329"/>
      <c r="I19" s="2330">
        <v>32</v>
      </c>
      <c r="J19" s="2347">
        <f t="shared" si="1"/>
        <v>0</v>
      </c>
      <c r="L19" s="2329"/>
      <c r="M19" s="2330">
        <v>17</v>
      </c>
      <c r="N19" s="2347">
        <f t="shared" si="2"/>
        <v>0</v>
      </c>
      <c r="P19" s="2329">
        <v>1</v>
      </c>
      <c r="Q19" s="2330">
        <v>45</v>
      </c>
      <c r="R19" s="2347">
        <f t="shared" si="3"/>
        <v>2.2222222222222223E-2</v>
      </c>
      <c r="T19" s="2329">
        <v>1</v>
      </c>
      <c r="U19" s="2330">
        <v>29</v>
      </c>
      <c r="V19" s="2347">
        <f t="shared" si="4"/>
        <v>3.4482758620689655E-2</v>
      </c>
      <c r="X19" s="2329">
        <v>1</v>
      </c>
      <c r="Y19" s="2330">
        <v>21</v>
      </c>
      <c r="Z19" s="2347">
        <f t="shared" si="5"/>
        <v>4.7619047619047616E-2</v>
      </c>
      <c r="AB19" s="2329"/>
      <c r="AC19" s="2330">
        <v>41</v>
      </c>
      <c r="AD19" s="2347">
        <f t="shared" si="6"/>
        <v>0</v>
      </c>
      <c r="AF19" s="2329">
        <v>5</v>
      </c>
      <c r="AG19" s="2330">
        <v>54</v>
      </c>
      <c r="AH19" s="2347">
        <f t="shared" si="7"/>
        <v>9.2592592592592587E-2</v>
      </c>
      <c r="AJ19" s="2329">
        <v>2</v>
      </c>
      <c r="AK19" s="2330">
        <v>61</v>
      </c>
      <c r="AL19" s="2347">
        <f t="shared" si="8"/>
        <v>3.2786885245901641E-2</v>
      </c>
      <c r="AM19" s="2107"/>
      <c r="AN19" s="2329">
        <v>28</v>
      </c>
      <c r="AO19" s="2330">
        <v>80</v>
      </c>
      <c r="AP19" s="2347">
        <f t="shared" si="9"/>
        <v>0.35</v>
      </c>
      <c r="AR19" s="2329">
        <v>23</v>
      </c>
      <c r="AS19" s="2330">
        <v>39</v>
      </c>
      <c r="AT19" s="2347">
        <f t="shared" si="10"/>
        <v>0.58974358974358976</v>
      </c>
      <c r="AV19" s="2329">
        <v>22</v>
      </c>
      <c r="AW19" s="2294">
        <v>32</v>
      </c>
      <c r="AX19" s="2347">
        <f t="shared" si="11"/>
        <v>0.6875</v>
      </c>
      <c r="AZ19" s="2329">
        <f>+'I.27.'!AZ19</f>
        <v>39</v>
      </c>
      <c r="BA19" s="2294">
        <f>+'I.26.'!AY19</f>
        <v>67</v>
      </c>
      <c r="BB19" s="2347">
        <f t="shared" si="12"/>
        <v>0.58208955223880599</v>
      </c>
      <c r="BD19" s="2329">
        <f>+'I.27.'!BD19</f>
        <v>17</v>
      </c>
      <c r="BE19" s="2294">
        <f>+'I.26.'!BC19</f>
        <v>38</v>
      </c>
      <c r="BF19" s="2347">
        <f t="shared" si="13"/>
        <v>0.44736842105263158</v>
      </c>
    </row>
    <row r="20" spans="1:58" ht="18">
      <c r="A20" s="1960"/>
      <c r="B20" s="2355" t="s">
        <v>969</v>
      </c>
      <c r="D20" s="2329"/>
      <c r="E20" s="2330">
        <v>50</v>
      </c>
      <c r="F20" s="2347">
        <f t="shared" si="0"/>
        <v>0</v>
      </c>
      <c r="H20" s="2329">
        <v>1</v>
      </c>
      <c r="I20" s="2330">
        <v>58</v>
      </c>
      <c r="J20" s="2347">
        <f t="shared" si="1"/>
        <v>1.7241379310344827E-2</v>
      </c>
      <c r="L20" s="2329"/>
      <c r="M20" s="2330">
        <v>46</v>
      </c>
      <c r="N20" s="2347">
        <f t="shared" si="2"/>
        <v>0</v>
      </c>
      <c r="P20" s="2329"/>
      <c r="Q20" s="2330">
        <v>61</v>
      </c>
      <c r="R20" s="2347">
        <f t="shared" si="3"/>
        <v>0</v>
      </c>
      <c r="T20" s="2329">
        <v>1</v>
      </c>
      <c r="U20" s="2330">
        <v>90</v>
      </c>
      <c r="V20" s="2347">
        <f t="shared" si="4"/>
        <v>1.1111111111111112E-2</v>
      </c>
      <c r="X20" s="2329">
        <v>1</v>
      </c>
      <c r="Y20" s="2330">
        <v>91</v>
      </c>
      <c r="Z20" s="2347">
        <f t="shared" si="5"/>
        <v>1.098901098901099E-2</v>
      </c>
      <c r="AB20" s="2329">
        <v>4</v>
      </c>
      <c r="AC20" s="2330">
        <v>85</v>
      </c>
      <c r="AD20" s="2347">
        <f t="shared" si="6"/>
        <v>4.7058823529411764E-2</v>
      </c>
      <c r="AF20" s="2329">
        <v>5</v>
      </c>
      <c r="AG20" s="2330">
        <v>83</v>
      </c>
      <c r="AH20" s="2347">
        <f t="shared" si="7"/>
        <v>6.0240963855421686E-2</v>
      </c>
      <c r="AJ20" s="2329">
        <v>2</v>
      </c>
      <c r="AK20" s="2330">
        <v>88</v>
      </c>
      <c r="AL20" s="2347">
        <f t="shared" si="8"/>
        <v>2.2727272727272728E-2</v>
      </c>
      <c r="AM20" s="2107"/>
      <c r="AN20" s="2329">
        <v>21</v>
      </c>
      <c r="AO20" s="2330">
        <v>85</v>
      </c>
      <c r="AP20" s="2347">
        <f t="shared" si="9"/>
        <v>0.24705882352941178</v>
      </c>
      <c r="AR20" s="2329">
        <v>16</v>
      </c>
      <c r="AS20" s="2330">
        <v>109</v>
      </c>
      <c r="AT20" s="2347">
        <f t="shared" si="10"/>
        <v>0.14678899082568808</v>
      </c>
      <c r="AV20" s="2329">
        <v>11</v>
      </c>
      <c r="AW20" s="2294">
        <v>73</v>
      </c>
      <c r="AX20" s="2347">
        <f t="shared" si="11"/>
        <v>0.15068493150684931</v>
      </c>
      <c r="AZ20" s="2329">
        <f>+'I.27.'!AZ20</f>
        <v>9</v>
      </c>
      <c r="BA20" s="2294">
        <f>+'I.26.'!AY20</f>
        <v>73</v>
      </c>
      <c r="BB20" s="2347">
        <f t="shared" si="12"/>
        <v>0.12328767123287671</v>
      </c>
      <c r="BD20" s="2329">
        <f>+'I.27.'!BD20</f>
        <v>11</v>
      </c>
      <c r="BE20" s="2294">
        <f>+'I.26.'!BC20</f>
        <v>93</v>
      </c>
      <c r="BF20" s="2347">
        <f t="shared" si="13"/>
        <v>0.11827956989247312</v>
      </c>
    </row>
    <row r="21" spans="1:58" ht="15" customHeight="1">
      <c r="A21" s="1960"/>
      <c r="B21" s="1961" t="s">
        <v>21</v>
      </c>
      <c r="D21" s="2333">
        <f>SUM(D17:D20)</f>
        <v>3</v>
      </c>
      <c r="E21" s="1962">
        <v>145</v>
      </c>
      <c r="F21" s="2349">
        <f t="shared" si="0"/>
        <v>2.0689655172413793E-2</v>
      </c>
      <c r="H21" s="2333">
        <v>5</v>
      </c>
      <c r="I21" s="1962">
        <v>154</v>
      </c>
      <c r="J21" s="2349">
        <f t="shared" si="1"/>
        <v>3.2467532467532464E-2</v>
      </c>
      <c r="L21" s="2333">
        <v>3</v>
      </c>
      <c r="M21" s="1962">
        <f>SUM(M17:M20)</f>
        <v>144</v>
      </c>
      <c r="N21" s="2349">
        <f t="shared" si="2"/>
        <v>2.0833333333333332E-2</v>
      </c>
      <c r="P21" s="2333">
        <v>2</v>
      </c>
      <c r="Q21" s="1962">
        <f>SUM(Q17:Q20)</f>
        <v>208</v>
      </c>
      <c r="R21" s="2349">
        <f t="shared" si="3"/>
        <v>9.6153846153846159E-3</v>
      </c>
      <c r="T21" s="2333">
        <f>SUM(T17:T20)</f>
        <v>5</v>
      </c>
      <c r="U21" s="1962">
        <f>SUM(U17:U20)</f>
        <v>259</v>
      </c>
      <c r="V21" s="2349">
        <f t="shared" si="4"/>
        <v>1.9305019305019305E-2</v>
      </c>
      <c r="X21" s="2333">
        <v>2</v>
      </c>
      <c r="Y21" s="1962">
        <v>196</v>
      </c>
      <c r="Z21" s="2349">
        <f t="shared" si="5"/>
        <v>1.020408163265306E-2</v>
      </c>
      <c r="AB21" s="2333">
        <v>4</v>
      </c>
      <c r="AC21" s="1962">
        <v>239</v>
      </c>
      <c r="AD21" s="2349">
        <f t="shared" si="6"/>
        <v>1.6736401673640166E-2</v>
      </c>
      <c r="AF21" s="2333">
        <v>10</v>
      </c>
      <c r="AG21" s="1962">
        <v>191</v>
      </c>
      <c r="AH21" s="2349">
        <f t="shared" si="7"/>
        <v>5.2356020942408377E-2</v>
      </c>
      <c r="AJ21" s="2333">
        <v>5</v>
      </c>
      <c r="AK21" s="1962">
        <v>225</v>
      </c>
      <c r="AL21" s="2349">
        <f t="shared" si="8"/>
        <v>2.2222222222222223E-2</v>
      </c>
      <c r="AM21" s="2107"/>
      <c r="AN21" s="2333">
        <v>49</v>
      </c>
      <c r="AO21" s="1962">
        <v>206</v>
      </c>
      <c r="AP21" s="2349">
        <f t="shared" si="9"/>
        <v>0.23786407766990292</v>
      </c>
      <c r="AR21" s="2333">
        <v>42</v>
      </c>
      <c r="AS21" s="1962">
        <v>194</v>
      </c>
      <c r="AT21" s="2349">
        <f t="shared" si="10"/>
        <v>0.21649484536082475</v>
      </c>
      <c r="AV21" s="2333">
        <v>40</v>
      </c>
      <c r="AW21" s="2297">
        <v>174</v>
      </c>
      <c r="AX21" s="2349">
        <f t="shared" si="11"/>
        <v>0.22988505747126436</v>
      </c>
      <c r="AZ21" s="2333">
        <f>+'I.27.'!AZ21</f>
        <v>70</v>
      </c>
      <c r="BA21" s="2297">
        <f>+'I.26.'!AY21</f>
        <v>214</v>
      </c>
      <c r="BB21" s="2349">
        <f t="shared" si="12"/>
        <v>0.32710280373831774</v>
      </c>
      <c r="BD21" s="2333">
        <f>+'I.27.'!BD21</f>
        <v>46</v>
      </c>
      <c r="BE21" s="2297">
        <f>+'I.26.'!BC21</f>
        <v>256</v>
      </c>
      <c r="BF21" s="2349">
        <f t="shared" si="13"/>
        <v>0.1796875</v>
      </c>
    </row>
    <row r="22" spans="1:58" ht="15" customHeight="1">
      <c r="A22" s="1960"/>
      <c r="B22" s="2357" t="s">
        <v>970</v>
      </c>
      <c r="D22" s="2334">
        <f>SUM(D21,D16,D10)</f>
        <v>132</v>
      </c>
      <c r="E22" s="2335">
        <v>1126</v>
      </c>
      <c r="F22" s="2350">
        <f t="shared" si="0"/>
        <v>0.11722912966252221</v>
      </c>
      <c r="H22" s="2334">
        <v>162</v>
      </c>
      <c r="I22" s="2335">
        <v>1257</v>
      </c>
      <c r="J22" s="2350">
        <f t="shared" si="1"/>
        <v>0.12887828162291171</v>
      </c>
      <c r="L22" s="2334">
        <v>165</v>
      </c>
      <c r="M22" s="2335">
        <f>SUM(M21,M16,M10)</f>
        <v>1081</v>
      </c>
      <c r="N22" s="2350">
        <f t="shared" si="2"/>
        <v>0.15263644773358001</v>
      </c>
      <c r="P22" s="2334">
        <v>183</v>
      </c>
      <c r="Q22" s="2335">
        <f>SUM(Q21,Q16,Q10)</f>
        <v>1341</v>
      </c>
      <c r="R22" s="2350">
        <f t="shared" si="3"/>
        <v>0.13646532438478748</v>
      </c>
      <c r="T22" s="2334">
        <f>SUM(T10,T16,T21)</f>
        <v>188</v>
      </c>
      <c r="U22" s="2335">
        <f>SUM(U21,U16,U10)</f>
        <v>1275</v>
      </c>
      <c r="V22" s="2350">
        <f t="shared" si="4"/>
        <v>0.14745098039215687</v>
      </c>
      <c r="X22" s="2334">
        <v>182</v>
      </c>
      <c r="Y22" s="2335">
        <v>1494</v>
      </c>
      <c r="Z22" s="2350">
        <f t="shared" si="5"/>
        <v>0.12182061579651941</v>
      </c>
      <c r="AB22" s="2334">
        <v>169</v>
      </c>
      <c r="AC22" s="2335">
        <v>1430</v>
      </c>
      <c r="AD22" s="2350">
        <f t="shared" si="6"/>
        <v>0.11818181818181818</v>
      </c>
      <c r="AF22" s="2334">
        <v>207</v>
      </c>
      <c r="AG22" s="2335">
        <v>1310</v>
      </c>
      <c r="AH22" s="2350">
        <f t="shared" si="7"/>
        <v>0.15801526717557252</v>
      </c>
      <c r="AJ22" s="2334">
        <v>192</v>
      </c>
      <c r="AK22" s="2335">
        <v>1448</v>
      </c>
      <c r="AL22" s="2350">
        <f t="shared" si="8"/>
        <v>0.13259668508287292</v>
      </c>
      <c r="AM22" s="2107"/>
      <c r="AN22" s="2334">
        <v>245</v>
      </c>
      <c r="AO22" s="2335">
        <v>1268</v>
      </c>
      <c r="AP22" s="2350">
        <f t="shared" si="9"/>
        <v>0.19321766561514195</v>
      </c>
      <c r="AR22" s="2334">
        <v>216</v>
      </c>
      <c r="AS22" s="2335">
        <v>895</v>
      </c>
      <c r="AT22" s="2350">
        <f t="shared" si="10"/>
        <v>0.24134078212290502</v>
      </c>
      <c r="AV22" s="2334">
        <v>303</v>
      </c>
      <c r="AW22" s="2298">
        <v>1369</v>
      </c>
      <c r="AX22" s="2350">
        <f t="shared" si="11"/>
        <v>0.22132943754565376</v>
      </c>
      <c r="AZ22" s="2334">
        <f>+'I.27.'!AZ22</f>
        <v>330</v>
      </c>
      <c r="BA22" s="2298">
        <f>+'I.26.'!AY22</f>
        <v>1179</v>
      </c>
      <c r="BB22" s="2350">
        <f t="shared" si="12"/>
        <v>0.27989821882951654</v>
      </c>
      <c r="BD22" s="2334">
        <f>+'I.27.'!BD22</f>
        <v>258</v>
      </c>
      <c r="BE22" s="2298">
        <f>+'I.26.'!BC22</f>
        <v>1360</v>
      </c>
      <c r="BF22" s="2350">
        <f t="shared" si="13"/>
        <v>0.18970588235294117</v>
      </c>
    </row>
    <row r="23" spans="1:58" ht="18">
      <c r="A23" s="1960"/>
      <c r="B23" s="1974" t="s">
        <v>971</v>
      </c>
      <c r="D23" s="2329"/>
      <c r="E23" s="2330">
        <v>41</v>
      </c>
      <c r="F23" s="2347">
        <f t="shared" si="0"/>
        <v>0</v>
      </c>
      <c r="H23" s="2329"/>
      <c r="I23" s="2330">
        <v>37</v>
      </c>
      <c r="J23" s="2347">
        <f t="shared" si="1"/>
        <v>0</v>
      </c>
      <c r="L23" s="2329"/>
      <c r="M23" s="2330">
        <v>16</v>
      </c>
      <c r="N23" s="2347">
        <f t="shared" si="2"/>
        <v>0</v>
      </c>
      <c r="P23" s="2329"/>
      <c r="Q23" s="2330">
        <v>62</v>
      </c>
      <c r="R23" s="2347">
        <f t="shared" si="3"/>
        <v>0</v>
      </c>
      <c r="T23" s="2329">
        <v>1</v>
      </c>
      <c r="U23" s="2330">
        <v>28</v>
      </c>
      <c r="V23" s="2347">
        <f t="shared" si="4"/>
        <v>3.5714285714285712E-2</v>
      </c>
      <c r="X23" s="2329"/>
      <c r="Y23" s="2330">
        <v>32</v>
      </c>
      <c r="Z23" s="2347">
        <f t="shared" si="5"/>
        <v>0</v>
      </c>
      <c r="AB23" s="2329"/>
      <c r="AC23" s="2330">
        <v>29</v>
      </c>
      <c r="AD23" s="2347">
        <f t="shared" si="6"/>
        <v>0</v>
      </c>
      <c r="AF23" s="2329"/>
      <c r="AG23" s="2330">
        <v>16</v>
      </c>
      <c r="AH23" s="2347">
        <f t="shared" si="7"/>
        <v>0</v>
      </c>
      <c r="AJ23" s="2329">
        <v>1</v>
      </c>
      <c r="AK23" s="2330">
        <v>28</v>
      </c>
      <c r="AL23" s="2347">
        <f t="shared" si="8"/>
        <v>3.5714285714285712E-2</v>
      </c>
      <c r="AM23" s="2107"/>
      <c r="AN23" s="2329">
        <v>1</v>
      </c>
      <c r="AO23" s="2330">
        <v>11</v>
      </c>
      <c r="AP23" s="2347">
        <f t="shared" si="9"/>
        <v>9.0909090909090912E-2</v>
      </c>
      <c r="AR23" s="2329">
        <v>2</v>
      </c>
      <c r="AS23" s="2330">
        <v>33</v>
      </c>
      <c r="AT23" s="2347">
        <f t="shared" si="10"/>
        <v>6.0606060606060608E-2</v>
      </c>
      <c r="AV23" s="2329">
        <v>0</v>
      </c>
      <c r="AW23" s="2300">
        <v>27</v>
      </c>
      <c r="AX23" s="2347">
        <f t="shared" si="11"/>
        <v>0</v>
      </c>
      <c r="AZ23" s="2329">
        <f>+'I.27.'!AZ23</f>
        <v>0</v>
      </c>
      <c r="BA23" s="2300">
        <f>+'I.26.'!AY23</f>
        <v>48</v>
      </c>
      <c r="BB23" s="2347">
        <f t="shared" si="12"/>
        <v>0</v>
      </c>
      <c r="BD23" s="2329">
        <f>+'I.27.'!BD23</f>
        <v>0</v>
      </c>
      <c r="BE23" s="2300">
        <f>+'I.26.'!BC23</f>
        <v>19</v>
      </c>
      <c r="BF23" s="2347">
        <f t="shared" si="13"/>
        <v>0</v>
      </c>
    </row>
    <row r="24" spans="1:58" ht="18">
      <c r="A24" s="1960"/>
      <c r="B24" s="2355" t="s">
        <v>972</v>
      </c>
      <c r="D24" s="2329"/>
      <c r="E24" s="2330">
        <v>7</v>
      </c>
      <c r="F24" s="2347">
        <f t="shared" si="0"/>
        <v>0</v>
      </c>
      <c r="H24" s="2329">
        <v>2</v>
      </c>
      <c r="I24" s="2330">
        <v>14</v>
      </c>
      <c r="J24" s="2347">
        <f t="shared" si="1"/>
        <v>0.14285714285714285</v>
      </c>
      <c r="L24" s="2329">
        <v>3</v>
      </c>
      <c r="M24" s="2330">
        <v>17</v>
      </c>
      <c r="N24" s="2347">
        <f t="shared" si="2"/>
        <v>0.17647058823529413</v>
      </c>
      <c r="P24" s="2329">
        <v>3</v>
      </c>
      <c r="Q24" s="2330">
        <v>34</v>
      </c>
      <c r="R24" s="2347">
        <f t="shared" si="3"/>
        <v>8.8235294117647065E-2</v>
      </c>
      <c r="T24" s="2329">
        <v>5</v>
      </c>
      <c r="U24" s="2330">
        <v>34</v>
      </c>
      <c r="V24" s="2347">
        <f t="shared" si="4"/>
        <v>0.14705882352941177</v>
      </c>
      <c r="X24" s="2329">
        <v>1</v>
      </c>
      <c r="Y24" s="2330">
        <v>39</v>
      </c>
      <c r="Z24" s="2347">
        <f t="shared" si="5"/>
        <v>2.564102564102564E-2</v>
      </c>
      <c r="AB24" s="2329">
        <v>1</v>
      </c>
      <c r="AC24" s="2330">
        <v>36</v>
      </c>
      <c r="AD24" s="2347">
        <f t="shared" si="6"/>
        <v>2.7777777777777776E-2</v>
      </c>
      <c r="AF24" s="2329"/>
      <c r="AG24" s="2330">
        <v>30</v>
      </c>
      <c r="AH24" s="2347">
        <f t="shared" si="7"/>
        <v>0</v>
      </c>
      <c r="AJ24" s="2329">
        <v>4</v>
      </c>
      <c r="AK24" s="2330">
        <v>48</v>
      </c>
      <c r="AL24" s="2347">
        <f t="shared" si="8"/>
        <v>8.3333333333333329E-2</v>
      </c>
      <c r="AM24" s="2107"/>
      <c r="AN24" s="2329">
        <v>13</v>
      </c>
      <c r="AO24" s="2330">
        <v>100</v>
      </c>
      <c r="AP24" s="2347">
        <f t="shared" si="9"/>
        <v>0.13</v>
      </c>
      <c r="AR24" s="2329">
        <v>8</v>
      </c>
      <c r="AS24" s="2330">
        <v>36</v>
      </c>
      <c r="AT24" s="2347">
        <f t="shared" si="10"/>
        <v>0.22222222222222221</v>
      </c>
      <c r="AV24" s="2329">
        <v>15</v>
      </c>
      <c r="AW24" s="2300">
        <v>32</v>
      </c>
      <c r="AX24" s="2347">
        <f t="shared" si="11"/>
        <v>0.46875</v>
      </c>
      <c r="AZ24" s="2329">
        <f>+'I.27.'!AZ24</f>
        <v>8</v>
      </c>
      <c r="BA24" s="2300">
        <f>+'I.26.'!AY24</f>
        <v>24</v>
      </c>
      <c r="BB24" s="2347">
        <f t="shared" si="12"/>
        <v>0.33333333333333331</v>
      </c>
      <c r="BD24" s="2329">
        <f>+'I.27.'!BD24</f>
        <v>9</v>
      </c>
      <c r="BE24" s="2300">
        <f>+'I.26.'!BC24</f>
        <v>46</v>
      </c>
      <c r="BF24" s="2347">
        <f t="shared" si="13"/>
        <v>0.19565217391304349</v>
      </c>
    </row>
    <row r="25" spans="1:58" ht="18">
      <c r="A25" s="1960"/>
      <c r="B25" s="2355" t="s">
        <v>973</v>
      </c>
      <c r="D25" s="2329">
        <v>7</v>
      </c>
      <c r="E25" s="2330">
        <v>19</v>
      </c>
      <c r="F25" s="2347">
        <f t="shared" si="0"/>
        <v>0.36842105263157893</v>
      </c>
      <c r="H25" s="2329">
        <v>1</v>
      </c>
      <c r="I25" s="2330">
        <v>23</v>
      </c>
      <c r="J25" s="2347">
        <f t="shared" si="1"/>
        <v>4.3478260869565216E-2</v>
      </c>
      <c r="L25" s="2329">
        <v>3</v>
      </c>
      <c r="M25" s="2330">
        <v>70</v>
      </c>
      <c r="N25" s="2347">
        <f t="shared" si="2"/>
        <v>4.2857142857142858E-2</v>
      </c>
      <c r="P25" s="2329">
        <v>9</v>
      </c>
      <c r="Q25" s="2330">
        <v>38</v>
      </c>
      <c r="R25" s="2347">
        <f t="shared" si="3"/>
        <v>0.23684210526315788</v>
      </c>
      <c r="T25" s="2329">
        <v>13</v>
      </c>
      <c r="U25" s="2330">
        <v>36</v>
      </c>
      <c r="V25" s="2347">
        <f t="shared" si="4"/>
        <v>0.3611111111111111</v>
      </c>
      <c r="X25" s="2329">
        <v>5</v>
      </c>
      <c r="Y25" s="2330">
        <v>55</v>
      </c>
      <c r="Z25" s="2347">
        <f t="shared" si="5"/>
        <v>9.0909090909090912E-2</v>
      </c>
      <c r="AB25" s="2329">
        <v>18</v>
      </c>
      <c r="AC25" s="2330">
        <v>53</v>
      </c>
      <c r="AD25" s="2347">
        <f t="shared" si="6"/>
        <v>0.33962264150943394</v>
      </c>
      <c r="AF25" s="2329">
        <v>7</v>
      </c>
      <c r="AG25" s="2330">
        <v>61</v>
      </c>
      <c r="AH25" s="2347">
        <f t="shared" si="7"/>
        <v>0.11475409836065574</v>
      </c>
      <c r="AJ25" s="2329">
        <v>11</v>
      </c>
      <c r="AK25" s="2330">
        <v>41</v>
      </c>
      <c r="AL25" s="2347">
        <f t="shared" si="8"/>
        <v>0.26829268292682928</v>
      </c>
      <c r="AM25" s="2107"/>
      <c r="AN25" s="2329">
        <v>16</v>
      </c>
      <c r="AO25" s="2330">
        <v>47</v>
      </c>
      <c r="AP25" s="2347">
        <f t="shared" si="9"/>
        <v>0.34042553191489361</v>
      </c>
      <c r="AR25" s="2329">
        <v>26</v>
      </c>
      <c r="AS25" s="2330">
        <v>36</v>
      </c>
      <c r="AT25" s="2347">
        <f t="shared" si="10"/>
        <v>0.72222222222222221</v>
      </c>
      <c r="AV25" s="2329">
        <v>19</v>
      </c>
      <c r="AW25" s="2300">
        <v>32</v>
      </c>
      <c r="AX25" s="2347">
        <f t="shared" si="11"/>
        <v>0.59375</v>
      </c>
      <c r="AZ25" s="2329">
        <f>+'I.27.'!AZ25</f>
        <v>14</v>
      </c>
      <c r="BA25" s="2300">
        <f>+'I.26.'!AY25</f>
        <v>38</v>
      </c>
      <c r="BB25" s="2347">
        <f t="shared" si="12"/>
        <v>0.36842105263157893</v>
      </c>
      <c r="BD25" s="2329">
        <f>+'I.27.'!BD25</f>
        <v>23</v>
      </c>
      <c r="BE25" s="2300">
        <f>+'I.26.'!BC25</f>
        <v>48</v>
      </c>
      <c r="BF25" s="2347">
        <f t="shared" si="13"/>
        <v>0.47916666666666669</v>
      </c>
    </row>
    <row r="26" spans="1:58" ht="15" customHeight="1">
      <c r="A26" s="1960"/>
      <c r="B26" s="1929" t="s">
        <v>61</v>
      </c>
      <c r="D26" s="2328">
        <f>SUM(D23:D25)</f>
        <v>7</v>
      </c>
      <c r="E26" s="1040">
        <v>67</v>
      </c>
      <c r="F26" s="2346">
        <f t="shared" si="0"/>
        <v>0.1044776119402985</v>
      </c>
      <c r="H26" s="2328">
        <v>3</v>
      </c>
      <c r="I26" s="1040">
        <v>74</v>
      </c>
      <c r="J26" s="2346">
        <f t="shared" si="1"/>
        <v>4.0540540540540543E-2</v>
      </c>
      <c r="L26" s="2328">
        <v>6</v>
      </c>
      <c r="M26" s="1040">
        <f>SUM(M23:M25)</f>
        <v>103</v>
      </c>
      <c r="N26" s="2346">
        <f t="shared" si="2"/>
        <v>5.8252427184466021E-2</v>
      </c>
      <c r="P26" s="2328">
        <v>12</v>
      </c>
      <c r="Q26" s="1040">
        <f>SUM(Q23:Q25)</f>
        <v>134</v>
      </c>
      <c r="R26" s="2346">
        <f t="shared" si="3"/>
        <v>8.9552238805970144E-2</v>
      </c>
      <c r="T26" s="2328">
        <f>SUM(T23:T25)</f>
        <v>19</v>
      </c>
      <c r="U26" s="1040">
        <f>SUM(U23:U25)</f>
        <v>98</v>
      </c>
      <c r="V26" s="2346">
        <f t="shared" si="4"/>
        <v>0.19387755102040816</v>
      </c>
      <c r="X26" s="2328">
        <v>6</v>
      </c>
      <c r="Y26" s="1040">
        <v>126</v>
      </c>
      <c r="Z26" s="2346">
        <f t="shared" si="5"/>
        <v>4.7619047619047616E-2</v>
      </c>
      <c r="AB26" s="2328">
        <v>19</v>
      </c>
      <c r="AC26" s="1040">
        <v>118</v>
      </c>
      <c r="AD26" s="2346">
        <f t="shared" si="6"/>
        <v>0.16101694915254236</v>
      </c>
      <c r="AF26" s="2328">
        <v>7</v>
      </c>
      <c r="AG26" s="1040">
        <v>107</v>
      </c>
      <c r="AH26" s="2346">
        <f t="shared" si="7"/>
        <v>6.5420560747663545E-2</v>
      </c>
      <c r="AJ26" s="2328">
        <v>16</v>
      </c>
      <c r="AK26" s="1040">
        <v>117</v>
      </c>
      <c r="AL26" s="2346">
        <f t="shared" si="8"/>
        <v>0.13675213675213677</v>
      </c>
      <c r="AM26" s="2107"/>
      <c r="AN26" s="2328">
        <v>30</v>
      </c>
      <c r="AO26" s="1040">
        <v>158</v>
      </c>
      <c r="AP26" s="2346">
        <f t="shared" si="9"/>
        <v>0.189873417721519</v>
      </c>
      <c r="AR26" s="2328">
        <v>36</v>
      </c>
      <c r="AS26" s="1040">
        <v>105</v>
      </c>
      <c r="AT26" s="2346">
        <f t="shared" si="10"/>
        <v>0.34285714285714286</v>
      </c>
      <c r="AV26" s="2328">
        <v>34</v>
      </c>
      <c r="AW26" s="2293">
        <v>91</v>
      </c>
      <c r="AX26" s="2346">
        <f t="shared" si="11"/>
        <v>0.37362637362637363</v>
      </c>
      <c r="AZ26" s="2328">
        <f>+'I.27.'!AZ26</f>
        <v>22</v>
      </c>
      <c r="BA26" s="2293">
        <f>+'I.26.'!AY26</f>
        <v>110</v>
      </c>
      <c r="BB26" s="2346">
        <f t="shared" si="12"/>
        <v>0.2</v>
      </c>
      <c r="BD26" s="2328">
        <f>+'I.27.'!BD26</f>
        <v>32</v>
      </c>
      <c r="BE26" s="2293">
        <f>+'I.26.'!BC26</f>
        <v>113</v>
      </c>
      <c r="BF26" s="2346">
        <f t="shared" si="13"/>
        <v>0.2831858407079646</v>
      </c>
    </row>
    <row r="27" spans="1:58" ht="18">
      <c r="A27" s="1960"/>
      <c r="B27" s="2355" t="s">
        <v>974</v>
      </c>
      <c r="D27" s="2329">
        <v>7</v>
      </c>
      <c r="E27" s="2330">
        <v>14</v>
      </c>
      <c r="F27" s="2347">
        <f t="shared" si="0"/>
        <v>0.5</v>
      </c>
      <c r="H27" s="2329">
        <v>13</v>
      </c>
      <c r="I27" s="2330">
        <v>21</v>
      </c>
      <c r="J27" s="2347">
        <f t="shared" si="1"/>
        <v>0.61904761904761907</v>
      </c>
      <c r="L27" s="2329">
        <v>6</v>
      </c>
      <c r="M27" s="2330">
        <v>12</v>
      </c>
      <c r="N27" s="2347">
        <f t="shared" si="2"/>
        <v>0.5</v>
      </c>
      <c r="P27" s="2329">
        <v>19</v>
      </c>
      <c r="Q27" s="2330">
        <v>22</v>
      </c>
      <c r="R27" s="2347">
        <f t="shared" si="3"/>
        <v>0.86363636363636365</v>
      </c>
      <c r="T27" s="2329">
        <v>10</v>
      </c>
      <c r="U27" s="2330">
        <v>15</v>
      </c>
      <c r="V27" s="2347">
        <f t="shared" si="4"/>
        <v>0.66666666666666663</v>
      </c>
      <c r="X27" s="2329">
        <v>21</v>
      </c>
      <c r="Y27" s="2330">
        <v>28</v>
      </c>
      <c r="Z27" s="2347">
        <f t="shared" si="5"/>
        <v>0.75</v>
      </c>
      <c r="AB27" s="2329">
        <v>4</v>
      </c>
      <c r="AC27" s="2330">
        <v>8</v>
      </c>
      <c r="AD27" s="2347">
        <f t="shared" si="6"/>
        <v>0.5</v>
      </c>
      <c r="AF27" s="2329">
        <v>16</v>
      </c>
      <c r="AG27" s="2330">
        <v>23</v>
      </c>
      <c r="AH27" s="2347">
        <f t="shared" si="7"/>
        <v>0.69565217391304346</v>
      </c>
      <c r="AJ27" s="2329">
        <v>12</v>
      </c>
      <c r="AK27" s="2330">
        <v>17</v>
      </c>
      <c r="AL27" s="2347">
        <f t="shared" si="8"/>
        <v>0.70588235294117652</v>
      </c>
      <c r="AM27" s="2107"/>
      <c r="AN27" s="2329">
        <v>22</v>
      </c>
      <c r="AO27" s="2330">
        <v>26</v>
      </c>
      <c r="AP27" s="2347">
        <f t="shared" si="9"/>
        <v>0.84615384615384615</v>
      </c>
      <c r="AR27" s="2329">
        <v>25</v>
      </c>
      <c r="AS27" s="2330">
        <v>27</v>
      </c>
      <c r="AT27" s="2347">
        <f t="shared" si="10"/>
        <v>0.92592592592592593</v>
      </c>
      <c r="AV27" s="2329">
        <v>19</v>
      </c>
      <c r="AW27" s="2300">
        <v>19</v>
      </c>
      <c r="AX27" s="2347">
        <f t="shared" si="11"/>
        <v>1</v>
      </c>
      <c r="AZ27" s="2329">
        <f>+'I.27.'!AZ27</f>
        <v>19</v>
      </c>
      <c r="BA27" s="2300">
        <f>+'I.26.'!AY27</f>
        <v>20</v>
      </c>
      <c r="BB27" s="2347">
        <f t="shared" si="12"/>
        <v>0.95</v>
      </c>
      <c r="BD27" s="2329">
        <f>+'I.27.'!BD27</f>
        <v>18</v>
      </c>
      <c r="BE27" s="2300">
        <f>+'I.26.'!BC27</f>
        <v>30</v>
      </c>
      <c r="BF27" s="2347">
        <f t="shared" si="13"/>
        <v>0.6</v>
      </c>
    </row>
    <row r="28" spans="1:58" ht="18">
      <c r="A28" s="1960"/>
      <c r="B28" s="2355" t="s">
        <v>975</v>
      </c>
      <c r="D28" s="2329">
        <v>7</v>
      </c>
      <c r="E28" s="2330">
        <v>13</v>
      </c>
      <c r="F28" s="2347">
        <f t="shared" si="0"/>
        <v>0.53846153846153844</v>
      </c>
      <c r="H28" s="2329">
        <v>9</v>
      </c>
      <c r="I28" s="2330">
        <v>15</v>
      </c>
      <c r="J28" s="2347">
        <f t="shared" si="1"/>
        <v>0.6</v>
      </c>
      <c r="L28" s="2329">
        <v>18</v>
      </c>
      <c r="M28" s="2330">
        <v>30</v>
      </c>
      <c r="N28" s="2347">
        <f t="shared" si="2"/>
        <v>0.6</v>
      </c>
      <c r="P28" s="2329">
        <v>20</v>
      </c>
      <c r="Q28" s="2330">
        <v>25</v>
      </c>
      <c r="R28" s="2347">
        <f t="shared" si="3"/>
        <v>0.8</v>
      </c>
      <c r="T28" s="2329">
        <v>21</v>
      </c>
      <c r="U28" s="2330">
        <v>33</v>
      </c>
      <c r="V28" s="2347">
        <f t="shared" si="4"/>
        <v>0.63636363636363635</v>
      </c>
      <c r="X28" s="2329">
        <v>21</v>
      </c>
      <c r="Y28" s="2330">
        <v>57</v>
      </c>
      <c r="Z28" s="2347">
        <f t="shared" si="5"/>
        <v>0.36842105263157893</v>
      </c>
      <c r="AB28" s="2329">
        <v>18</v>
      </c>
      <c r="AC28" s="2330">
        <v>31</v>
      </c>
      <c r="AD28" s="2347">
        <f t="shared" si="6"/>
        <v>0.58064516129032262</v>
      </c>
      <c r="AF28" s="2329">
        <v>20</v>
      </c>
      <c r="AG28" s="2330">
        <v>39</v>
      </c>
      <c r="AH28" s="2347">
        <f t="shared" si="7"/>
        <v>0.51282051282051277</v>
      </c>
      <c r="AJ28" s="2329">
        <v>32</v>
      </c>
      <c r="AK28" s="2330">
        <v>41</v>
      </c>
      <c r="AL28" s="2347">
        <f t="shared" si="8"/>
        <v>0.78048780487804881</v>
      </c>
      <c r="AM28" s="2107"/>
      <c r="AN28" s="2329">
        <v>29</v>
      </c>
      <c r="AO28" s="2330">
        <v>51</v>
      </c>
      <c r="AP28" s="2347">
        <f t="shared" si="9"/>
        <v>0.56862745098039214</v>
      </c>
      <c r="AR28" s="2329">
        <v>17</v>
      </c>
      <c r="AS28" s="2330">
        <v>36</v>
      </c>
      <c r="AT28" s="2347">
        <f t="shared" si="10"/>
        <v>0.47222222222222221</v>
      </c>
      <c r="AV28" s="2329">
        <v>35</v>
      </c>
      <c r="AW28" s="2300">
        <v>56</v>
      </c>
      <c r="AX28" s="2347">
        <f t="shared" si="11"/>
        <v>0.625</v>
      </c>
      <c r="AZ28" s="2329">
        <f>+'I.27.'!AZ28</f>
        <v>23</v>
      </c>
      <c r="BA28" s="2300">
        <f>+'I.26.'!AY28</f>
        <v>34</v>
      </c>
      <c r="BB28" s="2347">
        <f t="shared" si="12"/>
        <v>0.67647058823529416</v>
      </c>
      <c r="BD28" s="2329">
        <f>+'I.27.'!BD28</f>
        <v>27</v>
      </c>
      <c r="BE28" s="2300">
        <f>+'I.26.'!BC28</f>
        <v>38</v>
      </c>
      <c r="BF28" s="2347">
        <f t="shared" si="13"/>
        <v>0.71052631578947367</v>
      </c>
    </row>
    <row r="29" spans="1:58" ht="18">
      <c r="A29" s="1960"/>
      <c r="B29" s="2355" t="s">
        <v>976</v>
      </c>
      <c r="D29" s="2329">
        <v>14</v>
      </c>
      <c r="E29" s="2330">
        <v>19</v>
      </c>
      <c r="F29" s="2347">
        <f t="shared" si="0"/>
        <v>0.73684210526315785</v>
      </c>
      <c r="H29" s="2329">
        <v>13</v>
      </c>
      <c r="I29" s="2330">
        <v>30</v>
      </c>
      <c r="J29" s="2347">
        <f t="shared" si="1"/>
        <v>0.43333333333333335</v>
      </c>
      <c r="L29" s="2329">
        <v>4</v>
      </c>
      <c r="M29" s="2330">
        <v>4</v>
      </c>
      <c r="N29" s="2347">
        <f t="shared" si="2"/>
        <v>1</v>
      </c>
      <c r="P29" s="2329">
        <v>27</v>
      </c>
      <c r="Q29" s="2330">
        <v>31</v>
      </c>
      <c r="R29" s="2347">
        <f t="shared" si="3"/>
        <v>0.87096774193548387</v>
      </c>
      <c r="T29" s="2329">
        <v>14</v>
      </c>
      <c r="U29" s="2330">
        <v>18</v>
      </c>
      <c r="V29" s="2347">
        <f t="shared" si="4"/>
        <v>0.77777777777777779</v>
      </c>
      <c r="X29" s="2329">
        <v>42</v>
      </c>
      <c r="Y29" s="2330">
        <v>49</v>
      </c>
      <c r="Z29" s="2347">
        <f t="shared" si="5"/>
        <v>0.8571428571428571</v>
      </c>
      <c r="AB29" s="2329">
        <v>23</v>
      </c>
      <c r="AC29" s="2330">
        <v>33</v>
      </c>
      <c r="AD29" s="2347">
        <f t="shared" si="6"/>
        <v>0.69696969696969702</v>
      </c>
      <c r="AF29" s="2329">
        <v>20</v>
      </c>
      <c r="AG29" s="2330">
        <v>36</v>
      </c>
      <c r="AH29" s="2347">
        <f t="shared" si="7"/>
        <v>0.55555555555555558</v>
      </c>
      <c r="AJ29" s="2329">
        <v>31</v>
      </c>
      <c r="AK29" s="2330">
        <v>40</v>
      </c>
      <c r="AL29" s="2347">
        <f t="shared" si="8"/>
        <v>0.77500000000000002</v>
      </c>
      <c r="AM29" s="2107"/>
      <c r="AN29" s="2329">
        <v>18</v>
      </c>
      <c r="AO29" s="2330">
        <v>27</v>
      </c>
      <c r="AP29" s="2347">
        <f t="shared" si="9"/>
        <v>0.66666666666666663</v>
      </c>
      <c r="AR29" s="2329">
        <v>27</v>
      </c>
      <c r="AS29" s="2330">
        <v>28</v>
      </c>
      <c r="AT29" s="2347">
        <f t="shared" si="10"/>
        <v>0.9642857142857143</v>
      </c>
      <c r="AV29" s="2329">
        <v>45</v>
      </c>
      <c r="AW29" s="2300">
        <v>56</v>
      </c>
      <c r="AX29" s="2347">
        <f t="shared" si="11"/>
        <v>0.8035714285714286</v>
      </c>
      <c r="AZ29" s="2329">
        <f>+'I.27.'!AZ29</f>
        <v>24</v>
      </c>
      <c r="BA29" s="2300">
        <f>+'I.26.'!AY29</f>
        <v>30</v>
      </c>
      <c r="BB29" s="2347">
        <f t="shared" si="12"/>
        <v>0.8</v>
      </c>
      <c r="BD29" s="2329">
        <f>+'I.27.'!BD29</f>
        <v>12</v>
      </c>
      <c r="BE29" s="2300">
        <f>+'I.26.'!BC29</f>
        <v>23</v>
      </c>
      <c r="BF29" s="2347">
        <f t="shared" si="13"/>
        <v>0.52173913043478259</v>
      </c>
    </row>
    <row r="30" spans="1:58" ht="15" customHeight="1">
      <c r="A30" s="1960"/>
      <c r="B30" s="1929" t="s">
        <v>64</v>
      </c>
      <c r="D30" s="2328">
        <f>SUM(D27:D29)</f>
        <v>28</v>
      </c>
      <c r="E30" s="1040">
        <v>46</v>
      </c>
      <c r="F30" s="2346">
        <f t="shared" si="0"/>
        <v>0.60869565217391308</v>
      </c>
      <c r="H30" s="2328">
        <v>35</v>
      </c>
      <c r="I30" s="1040">
        <v>66</v>
      </c>
      <c r="J30" s="2346">
        <f t="shared" si="1"/>
        <v>0.53030303030303028</v>
      </c>
      <c r="L30" s="2328">
        <v>28</v>
      </c>
      <c r="M30" s="1040">
        <f>SUM(M27:M29)</f>
        <v>46</v>
      </c>
      <c r="N30" s="2346">
        <f t="shared" si="2"/>
        <v>0.60869565217391308</v>
      </c>
      <c r="P30" s="2328">
        <v>66</v>
      </c>
      <c r="Q30" s="1040">
        <f>SUM(Q27:Q29)</f>
        <v>78</v>
      </c>
      <c r="R30" s="2346">
        <f t="shared" si="3"/>
        <v>0.84615384615384615</v>
      </c>
      <c r="T30" s="2328">
        <f>SUM(T27:T29)</f>
        <v>45</v>
      </c>
      <c r="U30" s="1040">
        <f>SUM(U27:U29)</f>
        <v>66</v>
      </c>
      <c r="V30" s="2346">
        <f t="shared" si="4"/>
        <v>0.68181818181818177</v>
      </c>
      <c r="X30" s="2328">
        <v>84</v>
      </c>
      <c r="Y30" s="1040">
        <v>134</v>
      </c>
      <c r="Z30" s="2346">
        <f t="shared" si="5"/>
        <v>0.62686567164179108</v>
      </c>
      <c r="AB30" s="2328">
        <v>45</v>
      </c>
      <c r="AC30" s="1040">
        <v>72</v>
      </c>
      <c r="AD30" s="2346">
        <f t="shared" si="6"/>
        <v>0.625</v>
      </c>
      <c r="AF30" s="2328">
        <v>56</v>
      </c>
      <c r="AG30" s="1040">
        <v>98</v>
      </c>
      <c r="AH30" s="2346">
        <f t="shared" si="7"/>
        <v>0.5714285714285714</v>
      </c>
      <c r="AJ30" s="2328">
        <v>75</v>
      </c>
      <c r="AK30" s="1040">
        <v>98</v>
      </c>
      <c r="AL30" s="2346">
        <f t="shared" si="8"/>
        <v>0.76530612244897955</v>
      </c>
      <c r="AM30" s="2107"/>
      <c r="AN30" s="2328">
        <v>69</v>
      </c>
      <c r="AO30" s="1040">
        <v>104</v>
      </c>
      <c r="AP30" s="2346">
        <f t="shared" si="9"/>
        <v>0.66346153846153844</v>
      </c>
      <c r="AR30" s="2328">
        <v>69</v>
      </c>
      <c r="AS30" s="1040">
        <v>91</v>
      </c>
      <c r="AT30" s="2346">
        <f t="shared" si="10"/>
        <v>0.75824175824175821</v>
      </c>
      <c r="AV30" s="2328">
        <v>99</v>
      </c>
      <c r="AW30" s="2293">
        <v>131</v>
      </c>
      <c r="AX30" s="2346">
        <f t="shared" si="11"/>
        <v>0.75572519083969469</v>
      </c>
      <c r="AZ30" s="2328">
        <f>+'I.27.'!AZ30</f>
        <v>66</v>
      </c>
      <c r="BA30" s="2293">
        <f>+'I.26.'!AY30</f>
        <v>84</v>
      </c>
      <c r="BB30" s="2346">
        <f t="shared" si="12"/>
        <v>0.7857142857142857</v>
      </c>
      <c r="BD30" s="2328">
        <f>+'I.27.'!BD30</f>
        <v>57</v>
      </c>
      <c r="BE30" s="2293">
        <f>+'I.26.'!BC30</f>
        <v>91</v>
      </c>
      <c r="BF30" s="2346">
        <f t="shared" si="13"/>
        <v>0.62637362637362637</v>
      </c>
    </row>
    <row r="31" spans="1:58" ht="18">
      <c r="A31" s="1960"/>
      <c r="B31" s="2355" t="s">
        <v>977</v>
      </c>
      <c r="D31" s="2329">
        <v>1</v>
      </c>
      <c r="E31" s="2330">
        <v>29</v>
      </c>
      <c r="F31" s="2347">
        <f t="shared" si="0"/>
        <v>3.4482758620689655E-2</v>
      </c>
      <c r="H31" s="2329"/>
      <c r="I31" s="2330">
        <v>29</v>
      </c>
      <c r="J31" s="2347">
        <f t="shared" si="1"/>
        <v>0</v>
      </c>
      <c r="L31" s="2329"/>
      <c r="M31" s="2330">
        <v>20</v>
      </c>
      <c r="N31" s="2347">
        <f t="shared" si="2"/>
        <v>0</v>
      </c>
      <c r="P31" s="2329">
        <v>3</v>
      </c>
      <c r="Q31" s="2330">
        <v>26</v>
      </c>
      <c r="R31" s="2347">
        <f t="shared" si="3"/>
        <v>0.11538461538461539</v>
      </c>
      <c r="T31" s="2329">
        <v>1</v>
      </c>
      <c r="U31" s="2330">
        <v>22</v>
      </c>
      <c r="V31" s="2347">
        <f t="shared" si="4"/>
        <v>4.5454545454545456E-2</v>
      </c>
      <c r="X31" s="2329"/>
      <c r="Y31" s="2330">
        <v>25</v>
      </c>
      <c r="Z31" s="2347">
        <f t="shared" si="5"/>
        <v>0</v>
      </c>
      <c r="AB31" s="2329"/>
      <c r="AC31" s="2330">
        <v>22</v>
      </c>
      <c r="AD31" s="2347">
        <f t="shared" si="6"/>
        <v>0</v>
      </c>
      <c r="AF31" s="2329"/>
      <c r="AG31" s="2330">
        <v>43</v>
      </c>
      <c r="AH31" s="2347">
        <f t="shared" si="7"/>
        <v>0</v>
      </c>
      <c r="AJ31" s="2329">
        <v>1</v>
      </c>
      <c r="AK31" s="2330">
        <v>49</v>
      </c>
      <c r="AL31" s="2347">
        <f t="shared" si="8"/>
        <v>2.0408163265306121E-2</v>
      </c>
      <c r="AM31" s="2107"/>
      <c r="AN31" s="2329">
        <v>0</v>
      </c>
      <c r="AO31" s="2330">
        <v>40</v>
      </c>
      <c r="AP31" s="2347">
        <f t="shared" si="9"/>
        <v>0</v>
      </c>
      <c r="AR31" s="2329">
        <v>0</v>
      </c>
      <c r="AS31" s="2330">
        <v>25</v>
      </c>
      <c r="AT31" s="2347">
        <f t="shared" si="10"/>
        <v>0</v>
      </c>
      <c r="AV31" s="2329">
        <v>0</v>
      </c>
      <c r="AW31" s="2300">
        <v>25</v>
      </c>
      <c r="AX31" s="2347">
        <f t="shared" si="11"/>
        <v>0</v>
      </c>
      <c r="AZ31" s="2329">
        <f>+'I.27.'!AZ31</f>
        <v>6</v>
      </c>
      <c r="BA31" s="2300">
        <f>+'I.26.'!AY31</f>
        <v>31</v>
      </c>
      <c r="BB31" s="2347">
        <f t="shared" si="12"/>
        <v>0.19354838709677419</v>
      </c>
      <c r="BD31" s="2329">
        <f>+'I.27.'!BD31</f>
        <v>3</v>
      </c>
      <c r="BE31" s="2300">
        <f>+'I.26.'!BC31</f>
        <v>45</v>
      </c>
      <c r="BF31" s="2347">
        <f t="shared" si="13"/>
        <v>6.6666666666666666E-2</v>
      </c>
    </row>
    <row r="32" spans="1:58" ht="18">
      <c r="A32" s="1960"/>
      <c r="B32" s="2355" t="s">
        <v>978</v>
      </c>
      <c r="D32" s="2329"/>
      <c r="E32" s="2330">
        <v>25</v>
      </c>
      <c r="F32" s="2347">
        <f t="shared" si="0"/>
        <v>0</v>
      </c>
      <c r="H32" s="2329">
        <v>1</v>
      </c>
      <c r="I32" s="2330">
        <v>31</v>
      </c>
      <c r="J32" s="2347">
        <f t="shared" si="1"/>
        <v>3.2258064516129031E-2</v>
      </c>
      <c r="L32" s="2329">
        <v>14</v>
      </c>
      <c r="M32" s="2330">
        <v>29</v>
      </c>
      <c r="N32" s="2347">
        <f t="shared" si="2"/>
        <v>0.48275862068965519</v>
      </c>
      <c r="P32" s="2329">
        <v>6</v>
      </c>
      <c r="Q32" s="2330">
        <v>34</v>
      </c>
      <c r="R32" s="2347">
        <f t="shared" si="3"/>
        <v>0.17647058823529413</v>
      </c>
      <c r="T32" s="2329">
        <v>1</v>
      </c>
      <c r="U32" s="2330">
        <v>28</v>
      </c>
      <c r="V32" s="2347">
        <f t="shared" si="4"/>
        <v>3.5714285714285712E-2</v>
      </c>
      <c r="X32" s="2329"/>
      <c r="Y32" s="2330">
        <v>36</v>
      </c>
      <c r="Z32" s="2347">
        <f t="shared" si="5"/>
        <v>0</v>
      </c>
      <c r="AB32" s="2329"/>
      <c r="AC32" s="2330">
        <v>28</v>
      </c>
      <c r="AD32" s="2347">
        <f t="shared" si="6"/>
        <v>0</v>
      </c>
      <c r="AF32" s="2329"/>
      <c r="AG32" s="2330">
        <v>40</v>
      </c>
      <c r="AH32" s="2347">
        <f t="shared" si="7"/>
        <v>0</v>
      </c>
      <c r="AJ32" s="2329">
        <v>1</v>
      </c>
      <c r="AK32" s="2330">
        <v>70</v>
      </c>
      <c r="AL32" s="2347">
        <f t="shared" si="8"/>
        <v>1.4285714285714285E-2</v>
      </c>
      <c r="AM32" s="2107"/>
      <c r="AN32" s="2329">
        <v>0</v>
      </c>
      <c r="AO32" s="2330">
        <v>42</v>
      </c>
      <c r="AP32" s="2347">
        <f t="shared" si="9"/>
        <v>0</v>
      </c>
      <c r="AR32" s="2329">
        <v>0</v>
      </c>
      <c r="AS32" s="2330">
        <v>23</v>
      </c>
      <c r="AT32" s="2347">
        <f t="shared" si="10"/>
        <v>0</v>
      </c>
      <c r="AV32" s="2329">
        <v>0</v>
      </c>
      <c r="AW32" s="2300">
        <v>39</v>
      </c>
      <c r="AX32" s="2347">
        <f t="shared" si="11"/>
        <v>0</v>
      </c>
      <c r="AZ32" s="2329">
        <f>+'I.27.'!AZ32</f>
        <v>0</v>
      </c>
      <c r="BA32" s="2300">
        <f>+'I.26.'!AY32</f>
        <v>47</v>
      </c>
      <c r="BB32" s="2347">
        <f t="shared" si="12"/>
        <v>0</v>
      </c>
      <c r="BD32" s="2329">
        <f>+'I.27.'!BD32</f>
        <v>1</v>
      </c>
      <c r="BE32" s="2300">
        <f>+'I.26.'!BC32</f>
        <v>36</v>
      </c>
      <c r="BF32" s="2347">
        <f t="shared" si="13"/>
        <v>2.7777777777777776E-2</v>
      </c>
    </row>
    <row r="33" spans="1:58" ht="18">
      <c r="A33" s="1960"/>
      <c r="B33" s="2355" t="s">
        <v>695</v>
      </c>
      <c r="D33" s="2329"/>
      <c r="E33" s="2330">
        <v>41</v>
      </c>
      <c r="F33" s="2347">
        <f t="shared" si="0"/>
        <v>0</v>
      </c>
      <c r="H33" s="2329"/>
      <c r="I33" s="2330">
        <v>54</v>
      </c>
      <c r="J33" s="2347">
        <f t="shared" si="1"/>
        <v>0</v>
      </c>
      <c r="L33" s="2329"/>
      <c r="M33" s="2330">
        <v>7</v>
      </c>
      <c r="N33" s="2347">
        <f t="shared" si="2"/>
        <v>0</v>
      </c>
      <c r="P33" s="2329"/>
      <c r="Q33" s="2330">
        <v>37</v>
      </c>
      <c r="R33" s="2347">
        <f t="shared" si="3"/>
        <v>0</v>
      </c>
      <c r="T33" s="2329">
        <v>0</v>
      </c>
      <c r="U33" s="2330">
        <v>23</v>
      </c>
      <c r="V33" s="2347">
        <f t="shared" si="4"/>
        <v>0</v>
      </c>
      <c r="X33" s="2329"/>
      <c r="Y33" s="2330">
        <v>45</v>
      </c>
      <c r="Z33" s="2347">
        <f t="shared" si="5"/>
        <v>0</v>
      </c>
      <c r="AB33" s="2329">
        <v>2</v>
      </c>
      <c r="AC33" s="2330">
        <v>39</v>
      </c>
      <c r="AD33" s="2347">
        <f t="shared" si="6"/>
        <v>5.128205128205128E-2</v>
      </c>
      <c r="AF33" s="2329">
        <v>3</v>
      </c>
      <c r="AG33" s="2330">
        <v>45</v>
      </c>
      <c r="AH33" s="2347">
        <f t="shared" si="7"/>
        <v>6.6666666666666666E-2</v>
      </c>
      <c r="AJ33" s="2329">
        <v>6</v>
      </c>
      <c r="AK33" s="2330">
        <v>36</v>
      </c>
      <c r="AL33" s="2347">
        <f t="shared" si="8"/>
        <v>0.16666666666666666</v>
      </c>
      <c r="AM33" s="2107"/>
      <c r="AN33" s="2329">
        <v>2</v>
      </c>
      <c r="AO33" s="2330">
        <v>46</v>
      </c>
      <c r="AP33" s="2347">
        <f t="shared" si="9"/>
        <v>4.3478260869565216E-2</v>
      </c>
      <c r="AR33" s="2329">
        <v>2</v>
      </c>
      <c r="AS33" s="2330">
        <v>21</v>
      </c>
      <c r="AT33" s="2347">
        <f t="shared" si="10"/>
        <v>9.5238095238095233E-2</v>
      </c>
      <c r="AV33" s="2329">
        <v>1</v>
      </c>
      <c r="AW33" s="2300">
        <v>40</v>
      </c>
      <c r="AX33" s="2347">
        <f t="shared" si="11"/>
        <v>2.5000000000000001E-2</v>
      </c>
      <c r="AZ33" s="2329">
        <f>+'I.27.'!AZ33</f>
        <v>2</v>
      </c>
      <c r="BA33" s="2300">
        <f>+'I.26.'!AY33</f>
        <v>42</v>
      </c>
      <c r="BB33" s="2347">
        <f t="shared" si="12"/>
        <v>4.7619047619047616E-2</v>
      </c>
      <c r="BD33" s="2329">
        <f>+'I.27.'!BD33</f>
        <v>1</v>
      </c>
      <c r="BE33" s="2300">
        <f>+'I.26.'!BC33</f>
        <v>59</v>
      </c>
      <c r="BF33" s="2347">
        <f t="shared" si="13"/>
        <v>1.6949152542372881E-2</v>
      </c>
    </row>
    <row r="34" spans="1:58" ht="15" customHeight="1">
      <c r="A34" s="1960"/>
      <c r="B34" s="1961" t="s">
        <v>16</v>
      </c>
      <c r="D34" s="2333">
        <f>SUM(D31:D33)</f>
        <v>1</v>
      </c>
      <c r="E34" s="1962">
        <v>95</v>
      </c>
      <c r="F34" s="2349">
        <f t="shared" si="0"/>
        <v>1.0526315789473684E-2</v>
      </c>
      <c r="H34" s="2333">
        <v>1</v>
      </c>
      <c r="I34" s="1962">
        <v>114</v>
      </c>
      <c r="J34" s="2349">
        <f t="shared" si="1"/>
        <v>8.771929824561403E-3</v>
      </c>
      <c r="L34" s="2333">
        <v>14</v>
      </c>
      <c r="M34" s="1962">
        <f>SUM(M31:M33)</f>
        <v>56</v>
      </c>
      <c r="N34" s="2349">
        <f t="shared" si="2"/>
        <v>0.25</v>
      </c>
      <c r="P34" s="2333">
        <v>9</v>
      </c>
      <c r="Q34" s="1962">
        <f>SUM(Q31:Q33)</f>
        <v>97</v>
      </c>
      <c r="R34" s="2349">
        <f t="shared" si="3"/>
        <v>9.2783505154639179E-2</v>
      </c>
      <c r="T34" s="2333">
        <f>SUM(T31:T33)</f>
        <v>2</v>
      </c>
      <c r="U34" s="1962">
        <f>SUM(U31:U33)</f>
        <v>73</v>
      </c>
      <c r="V34" s="2349">
        <f t="shared" si="4"/>
        <v>2.7397260273972601E-2</v>
      </c>
      <c r="X34" s="2333">
        <v>0</v>
      </c>
      <c r="Y34" s="1962">
        <v>106</v>
      </c>
      <c r="Z34" s="2349">
        <f t="shared" si="5"/>
        <v>0</v>
      </c>
      <c r="AB34" s="2333">
        <v>2</v>
      </c>
      <c r="AC34" s="1962">
        <v>89</v>
      </c>
      <c r="AD34" s="2349">
        <f t="shared" si="6"/>
        <v>2.247191011235955E-2</v>
      </c>
      <c r="AF34" s="2333">
        <v>3</v>
      </c>
      <c r="AG34" s="1962">
        <v>128</v>
      </c>
      <c r="AH34" s="2349">
        <f t="shared" si="7"/>
        <v>2.34375E-2</v>
      </c>
      <c r="AJ34" s="2333">
        <v>8</v>
      </c>
      <c r="AK34" s="1962">
        <v>155</v>
      </c>
      <c r="AL34" s="2349">
        <f t="shared" si="8"/>
        <v>5.1612903225806452E-2</v>
      </c>
      <c r="AM34" s="2107"/>
      <c r="AN34" s="2333">
        <v>2</v>
      </c>
      <c r="AO34" s="1962">
        <v>128</v>
      </c>
      <c r="AP34" s="2349">
        <f t="shared" si="9"/>
        <v>1.5625E-2</v>
      </c>
      <c r="AR34" s="2333">
        <v>2</v>
      </c>
      <c r="AS34" s="1962">
        <v>69</v>
      </c>
      <c r="AT34" s="2349">
        <f t="shared" si="10"/>
        <v>2.8985507246376812E-2</v>
      </c>
      <c r="AV34" s="2333">
        <v>1</v>
      </c>
      <c r="AW34" s="2297">
        <v>104</v>
      </c>
      <c r="AX34" s="2349">
        <f t="shared" si="11"/>
        <v>9.6153846153846159E-3</v>
      </c>
      <c r="AZ34" s="2333">
        <f>+'I.27.'!AZ34</f>
        <v>8</v>
      </c>
      <c r="BA34" s="2297">
        <f>+'I.26.'!AY34</f>
        <v>120</v>
      </c>
      <c r="BB34" s="2349">
        <f t="shared" si="12"/>
        <v>6.6666666666666666E-2</v>
      </c>
      <c r="BD34" s="2333">
        <f>+'I.27.'!BD34</f>
        <v>5</v>
      </c>
      <c r="BE34" s="2297">
        <f>+'I.26.'!BC34</f>
        <v>140</v>
      </c>
      <c r="BF34" s="2349">
        <f t="shared" si="13"/>
        <v>3.5714285714285712E-2</v>
      </c>
    </row>
    <row r="35" spans="1:58" ht="15" customHeight="1">
      <c r="A35" s="1960"/>
      <c r="B35" s="2358" t="s">
        <v>340</v>
      </c>
      <c r="D35" s="2336">
        <f>SUM(D26,D30,D34)</f>
        <v>36</v>
      </c>
      <c r="E35" s="2337">
        <v>208</v>
      </c>
      <c r="F35" s="2351">
        <f t="shared" si="0"/>
        <v>0.17307692307692307</v>
      </c>
      <c r="H35" s="2336">
        <v>39</v>
      </c>
      <c r="I35" s="2337">
        <v>254</v>
      </c>
      <c r="J35" s="2351">
        <f t="shared" si="1"/>
        <v>0.15354330708661418</v>
      </c>
      <c r="L35" s="2336">
        <v>48</v>
      </c>
      <c r="M35" s="2337">
        <f>SUM(M34,M30,M26)</f>
        <v>205</v>
      </c>
      <c r="N35" s="2351">
        <f t="shared" si="2"/>
        <v>0.23414634146341465</v>
      </c>
      <c r="P35" s="2336">
        <v>87</v>
      </c>
      <c r="Q35" s="2337">
        <f>SUM(Q34,Q30,Q26)</f>
        <v>309</v>
      </c>
      <c r="R35" s="2351">
        <f t="shared" si="3"/>
        <v>0.28155339805825241</v>
      </c>
      <c r="T35" s="2336">
        <f>SUM(T26,T30,T34)</f>
        <v>66</v>
      </c>
      <c r="U35" s="2337">
        <f>SUM(U34,U30,U26)</f>
        <v>237</v>
      </c>
      <c r="V35" s="2351">
        <f t="shared" si="4"/>
        <v>0.27848101265822783</v>
      </c>
      <c r="X35" s="2336">
        <v>90</v>
      </c>
      <c r="Y35" s="2337">
        <v>366</v>
      </c>
      <c r="Z35" s="2351">
        <f t="shared" si="5"/>
        <v>0.24590163934426229</v>
      </c>
      <c r="AB35" s="2336">
        <v>66</v>
      </c>
      <c r="AC35" s="2337">
        <v>279</v>
      </c>
      <c r="AD35" s="2351">
        <f t="shared" si="6"/>
        <v>0.23655913978494625</v>
      </c>
      <c r="AF35" s="2336">
        <v>66</v>
      </c>
      <c r="AG35" s="2337">
        <v>333</v>
      </c>
      <c r="AH35" s="2351">
        <f t="shared" si="7"/>
        <v>0.1981981981981982</v>
      </c>
      <c r="AJ35" s="2336">
        <v>99</v>
      </c>
      <c r="AK35" s="2337">
        <v>370</v>
      </c>
      <c r="AL35" s="2351">
        <f t="shared" si="8"/>
        <v>0.26756756756756755</v>
      </c>
      <c r="AM35" s="2107"/>
      <c r="AN35" s="2336">
        <v>101</v>
      </c>
      <c r="AO35" s="2337">
        <v>390</v>
      </c>
      <c r="AP35" s="2351">
        <f t="shared" si="9"/>
        <v>0.258974358974359</v>
      </c>
      <c r="AR35" s="2336">
        <v>107</v>
      </c>
      <c r="AS35" s="2337">
        <v>265</v>
      </c>
      <c r="AT35" s="2351">
        <f t="shared" si="10"/>
        <v>0.4037735849056604</v>
      </c>
      <c r="AV35" s="2336">
        <v>134</v>
      </c>
      <c r="AW35" s="2303">
        <v>326</v>
      </c>
      <c r="AX35" s="2351">
        <f t="shared" si="11"/>
        <v>0.41104294478527609</v>
      </c>
      <c r="AZ35" s="2336">
        <f>+'I.27.'!AZ35</f>
        <v>96</v>
      </c>
      <c r="BA35" s="2303">
        <f>+'I.26.'!AY35</f>
        <v>314</v>
      </c>
      <c r="BB35" s="2351">
        <f t="shared" si="12"/>
        <v>0.30573248407643311</v>
      </c>
      <c r="BD35" s="2336">
        <f>+'I.27.'!BD35</f>
        <v>94</v>
      </c>
      <c r="BE35" s="2303">
        <f>+'I.26.'!BC35</f>
        <v>344</v>
      </c>
      <c r="BF35" s="2351">
        <f t="shared" si="13"/>
        <v>0.27325581395348836</v>
      </c>
    </row>
    <row r="36" spans="1:58" ht="18">
      <c r="A36" s="1960"/>
      <c r="B36" s="2355" t="s">
        <v>979</v>
      </c>
      <c r="D36" s="2329">
        <v>56</v>
      </c>
      <c r="E36" s="2330">
        <v>105</v>
      </c>
      <c r="F36" s="2347">
        <f t="shared" si="0"/>
        <v>0.53333333333333333</v>
      </c>
      <c r="H36" s="2329">
        <v>45</v>
      </c>
      <c r="I36" s="2330">
        <v>121</v>
      </c>
      <c r="J36" s="2347">
        <f t="shared" si="1"/>
        <v>0.37190082644628097</v>
      </c>
      <c r="L36" s="2329">
        <v>69</v>
      </c>
      <c r="M36" s="2330">
        <v>127</v>
      </c>
      <c r="N36" s="2347">
        <f t="shared" si="2"/>
        <v>0.54330708661417326</v>
      </c>
      <c r="P36" s="2329">
        <v>58</v>
      </c>
      <c r="Q36" s="2330">
        <v>121</v>
      </c>
      <c r="R36" s="2347">
        <f t="shared" si="3"/>
        <v>0.47933884297520662</v>
      </c>
      <c r="T36" s="2329">
        <v>73</v>
      </c>
      <c r="U36" s="2330">
        <v>112</v>
      </c>
      <c r="V36" s="2347">
        <f t="shared" si="4"/>
        <v>0.6517857142857143</v>
      </c>
      <c r="X36" s="2329">
        <v>78</v>
      </c>
      <c r="Y36" s="2330">
        <v>112</v>
      </c>
      <c r="Z36" s="2347">
        <f t="shared" si="5"/>
        <v>0.6964285714285714</v>
      </c>
      <c r="AB36" s="2329">
        <v>55</v>
      </c>
      <c r="AC36" s="2330">
        <v>91</v>
      </c>
      <c r="AD36" s="2347">
        <f t="shared" si="6"/>
        <v>0.60439560439560436</v>
      </c>
      <c r="AF36" s="2329">
        <v>46</v>
      </c>
      <c r="AG36" s="2330">
        <v>66</v>
      </c>
      <c r="AH36" s="2347">
        <f t="shared" si="7"/>
        <v>0.69696969696969702</v>
      </c>
      <c r="AJ36" s="2329">
        <v>66</v>
      </c>
      <c r="AK36" s="2330">
        <v>97</v>
      </c>
      <c r="AL36" s="2347">
        <f t="shared" si="8"/>
        <v>0.68041237113402064</v>
      </c>
      <c r="AM36" s="2107"/>
      <c r="AN36" s="2329">
        <v>49</v>
      </c>
      <c r="AO36" s="2330">
        <v>60</v>
      </c>
      <c r="AP36" s="2347">
        <f t="shared" si="9"/>
        <v>0.81666666666666665</v>
      </c>
      <c r="AR36" s="2329">
        <v>79</v>
      </c>
      <c r="AS36" s="2330">
        <v>95</v>
      </c>
      <c r="AT36" s="2347">
        <f t="shared" si="10"/>
        <v>0.83157894736842108</v>
      </c>
      <c r="AV36" s="2329">
        <v>51</v>
      </c>
      <c r="AW36" s="2300">
        <v>65</v>
      </c>
      <c r="AX36" s="2347">
        <f t="shared" si="11"/>
        <v>0.7846153846153846</v>
      </c>
      <c r="AZ36" s="2329">
        <f>+'I.27.'!AZ36</f>
        <v>62</v>
      </c>
      <c r="BA36" s="2300">
        <f>+'I.26.'!AY36</f>
        <v>63</v>
      </c>
      <c r="BB36" s="2347">
        <f t="shared" si="12"/>
        <v>0.98412698412698407</v>
      </c>
      <c r="BD36" s="2329">
        <f>+'I.27.'!BD36</f>
        <v>54</v>
      </c>
      <c r="BE36" s="2300">
        <f>+'I.26.'!BC36</f>
        <v>90</v>
      </c>
      <c r="BF36" s="2347">
        <f t="shared" si="13"/>
        <v>0.6</v>
      </c>
    </row>
    <row r="37" spans="1:58" ht="18">
      <c r="A37" s="1960"/>
      <c r="B37" s="2355" t="s">
        <v>980</v>
      </c>
      <c r="D37" s="2329">
        <v>75</v>
      </c>
      <c r="E37" s="2330">
        <v>98</v>
      </c>
      <c r="F37" s="2347">
        <f t="shared" si="0"/>
        <v>0.76530612244897955</v>
      </c>
      <c r="H37" s="2329">
        <v>71</v>
      </c>
      <c r="I37" s="2330">
        <v>93</v>
      </c>
      <c r="J37" s="2347">
        <f t="shared" si="1"/>
        <v>0.76344086021505375</v>
      </c>
      <c r="L37" s="2329">
        <v>60</v>
      </c>
      <c r="M37" s="2330">
        <v>85</v>
      </c>
      <c r="N37" s="2347">
        <f t="shared" si="2"/>
        <v>0.70588235294117652</v>
      </c>
      <c r="P37" s="2329">
        <v>89</v>
      </c>
      <c r="Q37" s="2330">
        <v>122</v>
      </c>
      <c r="R37" s="2347">
        <f t="shared" si="3"/>
        <v>0.72950819672131151</v>
      </c>
      <c r="T37" s="2329">
        <v>85</v>
      </c>
      <c r="U37" s="2330">
        <v>110</v>
      </c>
      <c r="V37" s="2347">
        <f t="shared" si="4"/>
        <v>0.77272727272727271</v>
      </c>
      <c r="X37" s="2329">
        <v>75</v>
      </c>
      <c r="Y37" s="2330">
        <v>107</v>
      </c>
      <c r="Z37" s="2347">
        <f t="shared" si="5"/>
        <v>0.7009345794392523</v>
      </c>
      <c r="AB37" s="2329">
        <v>81</v>
      </c>
      <c r="AC37" s="2330">
        <v>110</v>
      </c>
      <c r="AD37" s="2347">
        <f t="shared" si="6"/>
        <v>0.73636363636363633</v>
      </c>
      <c r="AF37" s="2329">
        <v>70</v>
      </c>
      <c r="AG37" s="2330">
        <v>110</v>
      </c>
      <c r="AH37" s="2347">
        <f t="shared" si="7"/>
        <v>0.63636363636363635</v>
      </c>
      <c r="AJ37" s="2329">
        <v>98</v>
      </c>
      <c r="AK37" s="2330">
        <v>128</v>
      </c>
      <c r="AL37" s="2347">
        <f t="shared" si="8"/>
        <v>0.765625</v>
      </c>
      <c r="AM37" s="2107"/>
      <c r="AN37" s="2329">
        <v>52</v>
      </c>
      <c r="AO37" s="2330">
        <v>79</v>
      </c>
      <c r="AP37" s="2347">
        <f t="shared" si="9"/>
        <v>0.65822784810126578</v>
      </c>
      <c r="AR37" s="2329">
        <v>50</v>
      </c>
      <c r="AS37" s="2330">
        <v>72</v>
      </c>
      <c r="AT37" s="2347">
        <f t="shared" si="10"/>
        <v>0.69444444444444442</v>
      </c>
      <c r="AV37" s="2329">
        <v>59</v>
      </c>
      <c r="AW37" s="2300">
        <v>72</v>
      </c>
      <c r="AX37" s="2347">
        <f t="shared" si="11"/>
        <v>0.81944444444444442</v>
      </c>
      <c r="AZ37" s="2329">
        <f>+'I.27.'!AZ37</f>
        <v>73</v>
      </c>
      <c r="BA37" s="2300">
        <f>+'I.26.'!AY37</f>
        <v>96</v>
      </c>
      <c r="BB37" s="2347">
        <f t="shared" si="12"/>
        <v>0.76041666666666663</v>
      </c>
      <c r="BD37" s="2329">
        <f>+'I.27.'!BD37</f>
        <v>61</v>
      </c>
      <c r="BE37" s="2300">
        <f>+'I.26.'!BC37</f>
        <v>78</v>
      </c>
      <c r="BF37" s="2347">
        <f t="shared" si="13"/>
        <v>0.78205128205128205</v>
      </c>
    </row>
    <row r="38" spans="1:58" ht="18">
      <c r="A38" s="1960"/>
      <c r="B38" s="2355" t="s">
        <v>981</v>
      </c>
      <c r="D38" s="2329">
        <v>30</v>
      </c>
      <c r="E38" s="2330">
        <v>97</v>
      </c>
      <c r="F38" s="2347">
        <f t="shared" si="0"/>
        <v>0.30927835051546393</v>
      </c>
      <c r="H38" s="2329">
        <v>35</v>
      </c>
      <c r="I38" s="2330">
        <v>109</v>
      </c>
      <c r="J38" s="2347">
        <f t="shared" si="1"/>
        <v>0.32110091743119268</v>
      </c>
      <c r="L38" s="2329">
        <v>32</v>
      </c>
      <c r="M38" s="2330">
        <v>98</v>
      </c>
      <c r="N38" s="2347">
        <f t="shared" si="2"/>
        <v>0.32653061224489793</v>
      </c>
      <c r="P38" s="2329">
        <v>36</v>
      </c>
      <c r="Q38" s="2330">
        <v>132</v>
      </c>
      <c r="R38" s="2347">
        <f t="shared" si="3"/>
        <v>0.27272727272727271</v>
      </c>
      <c r="T38" s="2329">
        <v>42</v>
      </c>
      <c r="U38" s="2330">
        <v>120</v>
      </c>
      <c r="V38" s="2347">
        <f t="shared" si="4"/>
        <v>0.35</v>
      </c>
      <c r="X38" s="2329">
        <v>31</v>
      </c>
      <c r="Y38" s="2330">
        <v>96</v>
      </c>
      <c r="Z38" s="2347">
        <f t="shared" si="5"/>
        <v>0.32291666666666669</v>
      </c>
      <c r="AB38" s="2329">
        <v>39</v>
      </c>
      <c r="AC38" s="2330">
        <v>107</v>
      </c>
      <c r="AD38" s="2347">
        <f t="shared" si="6"/>
        <v>0.3644859813084112</v>
      </c>
      <c r="AF38" s="2329">
        <v>54</v>
      </c>
      <c r="AG38" s="2330">
        <v>128</v>
      </c>
      <c r="AH38" s="2347">
        <f t="shared" si="7"/>
        <v>0.421875</v>
      </c>
      <c r="AJ38" s="2329">
        <v>40</v>
      </c>
      <c r="AK38" s="2330">
        <v>112</v>
      </c>
      <c r="AL38" s="2347">
        <f t="shared" si="8"/>
        <v>0.35714285714285715</v>
      </c>
      <c r="AM38" s="2107"/>
      <c r="AN38" s="2329">
        <v>25</v>
      </c>
      <c r="AO38" s="2330">
        <v>68</v>
      </c>
      <c r="AP38" s="2347">
        <f t="shared" si="9"/>
        <v>0.36764705882352944</v>
      </c>
      <c r="AR38" s="2329">
        <v>39</v>
      </c>
      <c r="AS38" s="2330">
        <v>128</v>
      </c>
      <c r="AT38" s="2347">
        <f t="shared" si="10"/>
        <v>0.3046875</v>
      </c>
      <c r="AV38" s="2329">
        <v>62</v>
      </c>
      <c r="AW38" s="2300">
        <v>105</v>
      </c>
      <c r="AX38" s="2347">
        <f t="shared" si="11"/>
        <v>0.59047619047619049</v>
      </c>
      <c r="AZ38" s="2329">
        <f>+'I.27.'!AZ38</f>
        <v>40</v>
      </c>
      <c r="BA38" s="2300">
        <f>+'I.26.'!AY38</f>
        <v>101</v>
      </c>
      <c r="BB38" s="2347">
        <f t="shared" si="12"/>
        <v>0.39603960396039606</v>
      </c>
      <c r="BD38" s="2329">
        <f>+'I.27.'!BD38</f>
        <v>27</v>
      </c>
      <c r="BE38" s="2300">
        <f>+'I.26.'!BC38</f>
        <v>46</v>
      </c>
      <c r="BF38" s="2347">
        <f t="shared" si="13"/>
        <v>0.58695652173913049</v>
      </c>
    </row>
    <row r="39" spans="1:58" ht="18">
      <c r="A39" s="1960"/>
      <c r="B39" s="2355" t="s">
        <v>982</v>
      </c>
      <c r="D39" s="2329">
        <v>48</v>
      </c>
      <c r="E39" s="2330">
        <v>73</v>
      </c>
      <c r="F39" s="2347">
        <f t="shared" si="0"/>
        <v>0.65753424657534243</v>
      </c>
      <c r="H39" s="2329">
        <v>43</v>
      </c>
      <c r="I39" s="2330">
        <v>66</v>
      </c>
      <c r="J39" s="2347">
        <f t="shared" si="1"/>
        <v>0.65151515151515149</v>
      </c>
      <c r="L39" s="2329">
        <v>39</v>
      </c>
      <c r="M39" s="2330">
        <v>50</v>
      </c>
      <c r="N39" s="2347">
        <f t="shared" si="2"/>
        <v>0.78</v>
      </c>
      <c r="P39" s="2329">
        <v>64</v>
      </c>
      <c r="Q39" s="2330">
        <v>77</v>
      </c>
      <c r="R39" s="2347">
        <f t="shared" si="3"/>
        <v>0.83116883116883122</v>
      </c>
      <c r="T39" s="2329">
        <v>55</v>
      </c>
      <c r="U39" s="2330">
        <v>63</v>
      </c>
      <c r="V39" s="2347">
        <f t="shared" si="4"/>
        <v>0.87301587301587302</v>
      </c>
      <c r="X39" s="2329">
        <v>42</v>
      </c>
      <c r="Y39" s="2330">
        <v>65</v>
      </c>
      <c r="Z39" s="2347">
        <f t="shared" si="5"/>
        <v>0.64615384615384619</v>
      </c>
      <c r="AB39" s="2329">
        <v>49</v>
      </c>
      <c r="AC39" s="2330">
        <v>57</v>
      </c>
      <c r="AD39" s="2347">
        <f t="shared" si="6"/>
        <v>0.85964912280701755</v>
      </c>
      <c r="AF39" s="2329">
        <v>50</v>
      </c>
      <c r="AG39" s="2330">
        <v>59</v>
      </c>
      <c r="AH39" s="2347">
        <f t="shared" si="7"/>
        <v>0.84745762711864403</v>
      </c>
      <c r="AJ39" s="2329">
        <v>49</v>
      </c>
      <c r="AK39" s="2330">
        <v>71</v>
      </c>
      <c r="AL39" s="2347">
        <f t="shared" si="8"/>
        <v>0.6901408450704225</v>
      </c>
      <c r="AM39" s="2107"/>
      <c r="AN39" s="2329">
        <v>26</v>
      </c>
      <c r="AO39" s="2330">
        <v>32</v>
      </c>
      <c r="AP39" s="2347">
        <f t="shared" si="9"/>
        <v>0.8125</v>
      </c>
      <c r="AR39" s="2329">
        <v>55</v>
      </c>
      <c r="AS39" s="2330">
        <v>60</v>
      </c>
      <c r="AT39" s="2347">
        <f t="shared" si="10"/>
        <v>0.91666666666666663</v>
      </c>
      <c r="AV39" s="2329">
        <v>68</v>
      </c>
      <c r="AW39" s="2300">
        <v>77</v>
      </c>
      <c r="AX39" s="2347">
        <f t="shared" si="11"/>
        <v>0.88311688311688308</v>
      </c>
      <c r="AZ39" s="2329">
        <f>+'I.27.'!AZ39</f>
        <v>46</v>
      </c>
      <c r="BA39" s="2300">
        <f>+'I.26.'!AY39</f>
        <v>49</v>
      </c>
      <c r="BB39" s="2347">
        <f t="shared" si="12"/>
        <v>0.93877551020408168</v>
      </c>
      <c r="BD39" s="2329">
        <f>+'I.27.'!BD39</f>
        <v>56</v>
      </c>
      <c r="BE39" s="2300">
        <f>+'I.26.'!BC39</f>
        <v>71</v>
      </c>
      <c r="BF39" s="2347">
        <f t="shared" si="13"/>
        <v>0.78873239436619713</v>
      </c>
    </row>
    <row r="40" spans="1:58" ht="18">
      <c r="A40" s="1960"/>
      <c r="B40" s="2355" t="s">
        <v>983</v>
      </c>
      <c r="D40" s="2329">
        <v>51</v>
      </c>
      <c r="E40" s="2330">
        <v>112</v>
      </c>
      <c r="F40" s="2347">
        <f t="shared" si="0"/>
        <v>0.45535714285714285</v>
      </c>
      <c r="H40" s="2329">
        <v>64</v>
      </c>
      <c r="I40" s="2330">
        <v>143</v>
      </c>
      <c r="J40" s="2347">
        <f t="shared" si="1"/>
        <v>0.44755244755244755</v>
      </c>
      <c r="L40" s="2329">
        <v>81</v>
      </c>
      <c r="M40" s="2330">
        <v>155</v>
      </c>
      <c r="N40" s="2347">
        <f t="shared" si="2"/>
        <v>0.52258064516129032</v>
      </c>
      <c r="P40" s="2329">
        <v>90</v>
      </c>
      <c r="Q40" s="2330">
        <v>126</v>
      </c>
      <c r="R40" s="2347">
        <f t="shared" si="3"/>
        <v>0.7142857142857143</v>
      </c>
      <c r="T40" s="2329">
        <v>86</v>
      </c>
      <c r="U40" s="2330">
        <v>109</v>
      </c>
      <c r="V40" s="2347">
        <f t="shared" si="4"/>
        <v>0.78899082568807344</v>
      </c>
      <c r="X40" s="2329">
        <v>93</v>
      </c>
      <c r="Y40" s="2330">
        <v>136</v>
      </c>
      <c r="Z40" s="2347">
        <f t="shared" si="5"/>
        <v>0.68382352941176472</v>
      </c>
      <c r="AB40" s="2329">
        <v>84</v>
      </c>
      <c r="AC40" s="2330">
        <v>116</v>
      </c>
      <c r="AD40" s="2347">
        <f t="shared" si="6"/>
        <v>0.72413793103448276</v>
      </c>
      <c r="AF40" s="2329">
        <v>101</v>
      </c>
      <c r="AG40" s="2330">
        <v>130</v>
      </c>
      <c r="AH40" s="2347">
        <f t="shared" si="7"/>
        <v>0.77692307692307694</v>
      </c>
      <c r="AJ40" s="2329">
        <v>85</v>
      </c>
      <c r="AK40" s="2330">
        <v>112</v>
      </c>
      <c r="AL40" s="2347">
        <f t="shared" si="8"/>
        <v>0.7589285714285714</v>
      </c>
      <c r="AM40" s="2107"/>
      <c r="AN40" s="2329">
        <v>120</v>
      </c>
      <c r="AO40" s="2330">
        <v>154</v>
      </c>
      <c r="AP40" s="2347">
        <f t="shared" si="9"/>
        <v>0.77922077922077926</v>
      </c>
      <c r="AR40" s="2329">
        <v>92</v>
      </c>
      <c r="AS40" s="2330">
        <v>126</v>
      </c>
      <c r="AT40" s="2347">
        <f t="shared" si="10"/>
        <v>0.73015873015873012</v>
      </c>
      <c r="AV40" s="2329">
        <v>105</v>
      </c>
      <c r="AW40" s="2300">
        <v>136</v>
      </c>
      <c r="AX40" s="2347">
        <f t="shared" si="11"/>
        <v>0.7720588235294118</v>
      </c>
      <c r="AZ40" s="2329">
        <f>+'I.27.'!AZ40</f>
        <v>77</v>
      </c>
      <c r="BA40" s="2300">
        <f>+'I.26.'!AY40</f>
        <v>95</v>
      </c>
      <c r="BB40" s="2347">
        <f t="shared" si="12"/>
        <v>0.81052631578947365</v>
      </c>
      <c r="BD40" s="2329">
        <f>+'I.27.'!BD40</f>
        <v>53</v>
      </c>
      <c r="BE40" s="2300">
        <f>+'I.26.'!BC40</f>
        <v>91</v>
      </c>
      <c r="BF40" s="2347">
        <f t="shared" si="13"/>
        <v>0.58241758241758246</v>
      </c>
    </row>
    <row r="41" spans="1:58" ht="15" customHeight="1">
      <c r="A41" s="1960"/>
      <c r="B41" s="1929" t="s">
        <v>4</v>
      </c>
      <c r="D41" s="2328">
        <f>SUM(D36:D40)</f>
        <v>260</v>
      </c>
      <c r="E41" s="1040">
        <v>485</v>
      </c>
      <c r="F41" s="2346">
        <f t="shared" si="0"/>
        <v>0.53608247422680411</v>
      </c>
      <c r="H41" s="2328">
        <v>258</v>
      </c>
      <c r="I41" s="1040">
        <v>532</v>
      </c>
      <c r="J41" s="2346">
        <f t="shared" si="1"/>
        <v>0.48496240601503759</v>
      </c>
      <c r="L41" s="2328">
        <v>281</v>
      </c>
      <c r="M41" s="1040">
        <f>SUM(M36:M40)</f>
        <v>515</v>
      </c>
      <c r="N41" s="2346">
        <f t="shared" si="2"/>
        <v>0.54563106796116501</v>
      </c>
      <c r="P41" s="2328">
        <v>337</v>
      </c>
      <c r="Q41" s="1040">
        <f>SUM(Q36:Q40)</f>
        <v>578</v>
      </c>
      <c r="R41" s="2346">
        <f t="shared" si="3"/>
        <v>0.58304498269896199</v>
      </c>
      <c r="T41" s="2328">
        <f>SUM(T36:T40)</f>
        <v>341</v>
      </c>
      <c r="U41" s="1040">
        <f>SUM(U36:U40)</f>
        <v>514</v>
      </c>
      <c r="V41" s="2346">
        <f t="shared" si="4"/>
        <v>0.66342412451361865</v>
      </c>
      <c r="X41" s="2328">
        <v>319</v>
      </c>
      <c r="Y41" s="1040">
        <v>516</v>
      </c>
      <c r="Z41" s="2346">
        <f t="shared" si="5"/>
        <v>0.61821705426356588</v>
      </c>
      <c r="AB41" s="2328">
        <v>308</v>
      </c>
      <c r="AC41" s="1040">
        <v>481</v>
      </c>
      <c r="AD41" s="2346">
        <f t="shared" si="6"/>
        <v>0.64033264033264037</v>
      </c>
      <c r="AF41" s="2328">
        <v>321</v>
      </c>
      <c r="AG41" s="1040">
        <v>493</v>
      </c>
      <c r="AH41" s="2346">
        <f t="shared" si="7"/>
        <v>0.65111561866125756</v>
      </c>
      <c r="AJ41" s="2328">
        <v>338</v>
      </c>
      <c r="AK41" s="1040">
        <v>520</v>
      </c>
      <c r="AL41" s="2346">
        <f t="shared" si="8"/>
        <v>0.65</v>
      </c>
      <c r="AM41" s="2107"/>
      <c r="AN41" s="2328">
        <v>272</v>
      </c>
      <c r="AO41" s="1040">
        <v>393</v>
      </c>
      <c r="AP41" s="2346">
        <f t="shared" si="9"/>
        <v>0.69211195928753177</v>
      </c>
      <c r="AR41" s="2328">
        <v>315</v>
      </c>
      <c r="AS41" s="1040">
        <v>481</v>
      </c>
      <c r="AT41" s="2346">
        <f t="shared" si="10"/>
        <v>0.65488565488565487</v>
      </c>
      <c r="AV41" s="2328">
        <v>345</v>
      </c>
      <c r="AW41" s="2293">
        <v>455</v>
      </c>
      <c r="AX41" s="2346">
        <f t="shared" si="11"/>
        <v>0.75824175824175821</v>
      </c>
      <c r="AZ41" s="2328">
        <f>+'I.27.'!AZ41</f>
        <v>298</v>
      </c>
      <c r="BA41" s="2293">
        <f>+'I.26.'!AY41</f>
        <v>404</v>
      </c>
      <c r="BB41" s="2346">
        <f t="shared" si="12"/>
        <v>0.73762376237623761</v>
      </c>
      <c r="BD41" s="2328">
        <f>+'I.27.'!BD41</f>
        <v>251</v>
      </c>
      <c r="BE41" s="2293">
        <f>+'I.26.'!BC41</f>
        <v>376</v>
      </c>
      <c r="BF41" s="2346">
        <f t="shared" si="13"/>
        <v>0.66755319148936165</v>
      </c>
    </row>
    <row r="42" spans="1:58" ht="18">
      <c r="A42" s="1960"/>
      <c r="B42" s="2355" t="s">
        <v>984</v>
      </c>
      <c r="D42" s="2329">
        <v>26</v>
      </c>
      <c r="E42" s="2330">
        <v>65</v>
      </c>
      <c r="F42" s="2347">
        <f t="shared" si="0"/>
        <v>0.4</v>
      </c>
      <c r="H42" s="2329">
        <v>38</v>
      </c>
      <c r="I42" s="2330">
        <v>72</v>
      </c>
      <c r="J42" s="2347">
        <f t="shared" si="1"/>
        <v>0.52777777777777779</v>
      </c>
      <c r="L42" s="2329">
        <v>56</v>
      </c>
      <c r="M42" s="2330">
        <v>107</v>
      </c>
      <c r="N42" s="2347">
        <f t="shared" si="2"/>
        <v>0.52336448598130836</v>
      </c>
      <c r="P42" s="2329">
        <v>38</v>
      </c>
      <c r="Q42" s="2330">
        <v>73</v>
      </c>
      <c r="R42" s="2347">
        <f t="shared" si="3"/>
        <v>0.52054794520547942</v>
      </c>
      <c r="T42" s="2329">
        <v>36</v>
      </c>
      <c r="U42" s="2330">
        <v>52</v>
      </c>
      <c r="V42" s="2347">
        <f t="shared" si="4"/>
        <v>0.69230769230769229</v>
      </c>
      <c r="X42" s="2329">
        <v>47</v>
      </c>
      <c r="Y42" s="2330">
        <v>77</v>
      </c>
      <c r="Z42" s="2347">
        <f t="shared" si="5"/>
        <v>0.61038961038961037</v>
      </c>
      <c r="AB42" s="2329">
        <v>42</v>
      </c>
      <c r="AC42" s="2330">
        <v>63</v>
      </c>
      <c r="AD42" s="2347">
        <f t="shared" si="6"/>
        <v>0.66666666666666663</v>
      </c>
      <c r="AF42" s="2329">
        <v>35</v>
      </c>
      <c r="AG42" s="2330">
        <v>55</v>
      </c>
      <c r="AH42" s="2347">
        <f t="shared" si="7"/>
        <v>0.63636363636363635</v>
      </c>
      <c r="AJ42" s="2329">
        <v>41</v>
      </c>
      <c r="AK42" s="2330">
        <v>69</v>
      </c>
      <c r="AL42" s="2347">
        <f t="shared" si="8"/>
        <v>0.59420289855072461</v>
      </c>
      <c r="AM42" s="2107"/>
      <c r="AN42" s="2329">
        <v>51</v>
      </c>
      <c r="AO42" s="2330">
        <v>84</v>
      </c>
      <c r="AP42" s="2347">
        <f t="shared" si="9"/>
        <v>0.6071428571428571</v>
      </c>
      <c r="AR42" s="2329">
        <v>46</v>
      </c>
      <c r="AS42" s="2330">
        <v>65</v>
      </c>
      <c r="AT42" s="2347">
        <f t="shared" si="10"/>
        <v>0.70769230769230773</v>
      </c>
      <c r="AV42" s="2329">
        <v>57</v>
      </c>
      <c r="AW42" s="2300">
        <v>87</v>
      </c>
      <c r="AX42" s="2347">
        <f t="shared" si="11"/>
        <v>0.65517241379310343</v>
      </c>
      <c r="AZ42" s="2329">
        <f>+'I.27.'!AZ42</f>
        <v>52</v>
      </c>
      <c r="BA42" s="2300">
        <f>+'I.26.'!AY42</f>
        <v>81</v>
      </c>
      <c r="BB42" s="2347">
        <f t="shared" si="12"/>
        <v>0.64197530864197527</v>
      </c>
      <c r="BD42" s="2329">
        <f>+'I.27.'!BD42</f>
        <v>57</v>
      </c>
      <c r="BE42" s="2300">
        <f>+'I.26.'!BC42</f>
        <v>79</v>
      </c>
      <c r="BF42" s="2347">
        <f t="shared" si="13"/>
        <v>0.72151898734177211</v>
      </c>
    </row>
    <row r="43" spans="1:58" ht="18">
      <c r="A43" s="1960"/>
      <c r="B43" s="2355" t="s">
        <v>985</v>
      </c>
      <c r="D43" s="2329">
        <v>24</v>
      </c>
      <c r="E43" s="2330">
        <v>52</v>
      </c>
      <c r="F43" s="2347">
        <f t="shared" si="0"/>
        <v>0.46153846153846156</v>
      </c>
      <c r="H43" s="2329">
        <v>25</v>
      </c>
      <c r="I43" s="2330">
        <v>56</v>
      </c>
      <c r="J43" s="2347">
        <f t="shared" si="1"/>
        <v>0.44642857142857145</v>
      </c>
      <c r="L43" s="2329">
        <v>11</v>
      </c>
      <c r="M43" s="2330">
        <v>56</v>
      </c>
      <c r="N43" s="2347">
        <f t="shared" si="2"/>
        <v>0.19642857142857142</v>
      </c>
      <c r="P43" s="2329">
        <v>19</v>
      </c>
      <c r="Q43" s="2330">
        <v>56</v>
      </c>
      <c r="R43" s="2347">
        <f t="shared" si="3"/>
        <v>0.3392857142857143</v>
      </c>
      <c r="T43" s="2329">
        <v>16</v>
      </c>
      <c r="U43" s="2330">
        <v>32</v>
      </c>
      <c r="V43" s="2347">
        <f t="shared" si="4"/>
        <v>0.5</v>
      </c>
      <c r="X43" s="2329">
        <v>26</v>
      </c>
      <c r="Y43" s="2330">
        <v>42</v>
      </c>
      <c r="Z43" s="2347">
        <f t="shared" si="5"/>
        <v>0.61904761904761907</v>
      </c>
      <c r="AB43" s="2329">
        <v>32</v>
      </c>
      <c r="AC43" s="2330">
        <v>56</v>
      </c>
      <c r="AD43" s="2347">
        <f t="shared" si="6"/>
        <v>0.5714285714285714</v>
      </c>
      <c r="AF43" s="2329">
        <v>25</v>
      </c>
      <c r="AG43" s="2330">
        <v>59</v>
      </c>
      <c r="AH43" s="2347">
        <f t="shared" si="7"/>
        <v>0.42372881355932202</v>
      </c>
      <c r="AJ43" s="2329">
        <v>22</v>
      </c>
      <c r="AK43" s="2330">
        <v>50</v>
      </c>
      <c r="AL43" s="2347">
        <f t="shared" si="8"/>
        <v>0.44</v>
      </c>
      <c r="AM43" s="2107"/>
      <c r="AN43" s="2329">
        <v>40</v>
      </c>
      <c r="AO43" s="2330">
        <v>71</v>
      </c>
      <c r="AP43" s="2347">
        <f t="shared" si="9"/>
        <v>0.56338028169014087</v>
      </c>
      <c r="AR43" s="2329">
        <v>18</v>
      </c>
      <c r="AS43" s="2330">
        <v>39</v>
      </c>
      <c r="AT43" s="2347">
        <f t="shared" si="10"/>
        <v>0.46153846153846156</v>
      </c>
      <c r="AV43" s="2329">
        <v>42</v>
      </c>
      <c r="AW43" s="2300">
        <v>111</v>
      </c>
      <c r="AX43" s="2347">
        <f t="shared" si="11"/>
        <v>0.3783783783783784</v>
      </c>
      <c r="AZ43" s="2329">
        <f>+'I.27.'!AZ43</f>
        <v>46</v>
      </c>
      <c r="BA43" s="2300">
        <f>+'I.26.'!AY43</f>
        <v>78</v>
      </c>
      <c r="BB43" s="2347">
        <f t="shared" si="12"/>
        <v>0.58974358974358976</v>
      </c>
      <c r="BD43" s="2329">
        <f>+'I.27.'!BD43</f>
        <v>35</v>
      </c>
      <c r="BE43" s="2300">
        <f>+'I.26.'!BC43</f>
        <v>65</v>
      </c>
      <c r="BF43" s="2347">
        <f t="shared" si="13"/>
        <v>0.53846153846153844</v>
      </c>
    </row>
    <row r="44" spans="1:58" ht="18">
      <c r="A44" s="1960"/>
      <c r="B44" s="2355" t="s">
        <v>986</v>
      </c>
      <c r="D44" s="2329">
        <v>86</v>
      </c>
      <c r="E44" s="2330">
        <v>116</v>
      </c>
      <c r="F44" s="2347">
        <f t="shared" si="0"/>
        <v>0.74137931034482762</v>
      </c>
      <c r="H44" s="2329">
        <v>77</v>
      </c>
      <c r="I44" s="2330">
        <v>102</v>
      </c>
      <c r="J44" s="2347">
        <f t="shared" si="1"/>
        <v>0.75490196078431371</v>
      </c>
      <c r="L44" s="2329">
        <v>91</v>
      </c>
      <c r="M44" s="2330">
        <v>100</v>
      </c>
      <c r="N44" s="2347">
        <f t="shared" si="2"/>
        <v>0.91</v>
      </c>
      <c r="P44" s="2329">
        <v>70</v>
      </c>
      <c r="Q44" s="2330">
        <v>84</v>
      </c>
      <c r="R44" s="2347">
        <f t="shared" si="3"/>
        <v>0.83333333333333337</v>
      </c>
      <c r="T44" s="2329">
        <v>75</v>
      </c>
      <c r="U44" s="2330">
        <v>100</v>
      </c>
      <c r="V44" s="2347">
        <f t="shared" si="4"/>
        <v>0.75</v>
      </c>
      <c r="X44" s="2329">
        <v>87</v>
      </c>
      <c r="Y44" s="2330">
        <v>102</v>
      </c>
      <c r="Z44" s="2347">
        <f t="shared" si="5"/>
        <v>0.8529411764705882</v>
      </c>
      <c r="AB44" s="2329">
        <v>76</v>
      </c>
      <c r="AC44" s="2330">
        <v>88</v>
      </c>
      <c r="AD44" s="2347">
        <f t="shared" si="6"/>
        <v>0.86363636363636365</v>
      </c>
      <c r="AF44" s="2329">
        <v>76</v>
      </c>
      <c r="AG44" s="2330">
        <v>87</v>
      </c>
      <c r="AH44" s="2347">
        <f t="shared" si="7"/>
        <v>0.87356321839080464</v>
      </c>
      <c r="AJ44" s="2329">
        <v>119</v>
      </c>
      <c r="AK44" s="2330">
        <v>142</v>
      </c>
      <c r="AL44" s="2347">
        <f t="shared" si="8"/>
        <v>0.8380281690140845</v>
      </c>
      <c r="AM44" s="2107"/>
      <c r="AN44" s="2329">
        <v>133</v>
      </c>
      <c r="AO44" s="2330">
        <v>156</v>
      </c>
      <c r="AP44" s="2347">
        <f t="shared" si="9"/>
        <v>0.85256410256410253</v>
      </c>
      <c r="AR44" s="2329">
        <v>92</v>
      </c>
      <c r="AS44" s="2330">
        <v>109</v>
      </c>
      <c r="AT44" s="2347">
        <f t="shared" si="10"/>
        <v>0.84403669724770647</v>
      </c>
      <c r="AV44" s="2329">
        <v>103</v>
      </c>
      <c r="AW44" s="2300">
        <v>123</v>
      </c>
      <c r="AX44" s="2347">
        <f t="shared" si="11"/>
        <v>0.83739837398373984</v>
      </c>
      <c r="AZ44" s="2329">
        <f>+'I.27.'!AZ44</f>
        <v>97</v>
      </c>
      <c r="BA44" s="2300">
        <f>+'I.26.'!AY44</f>
        <v>117</v>
      </c>
      <c r="BB44" s="2347">
        <f t="shared" si="12"/>
        <v>0.82905982905982911</v>
      </c>
      <c r="BD44" s="2329">
        <f>+'I.27.'!BD44</f>
        <v>103</v>
      </c>
      <c r="BE44" s="2300">
        <f>+'I.26.'!BC44</f>
        <v>136</v>
      </c>
      <c r="BF44" s="2347">
        <f t="shared" si="13"/>
        <v>0.75735294117647056</v>
      </c>
    </row>
    <row r="45" spans="1:58" ht="18">
      <c r="A45" s="1960"/>
      <c r="B45" s="2355" t="s">
        <v>987</v>
      </c>
      <c r="D45" s="2329">
        <v>45</v>
      </c>
      <c r="E45" s="2330">
        <v>87</v>
      </c>
      <c r="F45" s="2347">
        <f t="shared" si="0"/>
        <v>0.51724137931034486</v>
      </c>
      <c r="H45" s="2329">
        <v>26</v>
      </c>
      <c r="I45" s="2330">
        <v>54</v>
      </c>
      <c r="J45" s="2347">
        <f t="shared" si="1"/>
        <v>0.48148148148148145</v>
      </c>
      <c r="L45" s="2329">
        <v>33</v>
      </c>
      <c r="M45" s="2330">
        <v>49</v>
      </c>
      <c r="N45" s="2347">
        <f t="shared" si="2"/>
        <v>0.67346938775510201</v>
      </c>
      <c r="P45" s="2329">
        <v>50</v>
      </c>
      <c r="Q45" s="2330">
        <v>99</v>
      </c>
      <c r="R45" s="2347">
        <f t="shared" si="3"/>
        <v>0.50505050505050508</v>
      </c>
      <c r="T45" s="2329">
        <v>59</v>
      </c>
      <c r="U45" s="2330">
        <v>89</v>
      </c>
      <c r="V45" s="2347">
        <f t="shared" si="4"/>
        <v>0.6629213483146067</v>
      </c>
      <c r="X45" s="2329">
        <v>63</v>
      </c>
      <c r="Y45" s="2330">
        <v>94</v>
      </c>
      <c r="Z45" s="2347">
        <f t="shared" si="5"/>
        <v>0.67021276595744683</v>
      </c>
      <c r="AB45" s="2329">
        <v>73</v>
      </c>
      <c r="AC45" s="2330">
        <v>104</v>
      </c>
      <c r="AD45" s="2347">
        <f t="shared" si="6"/>
        <v>0.70192307692307687</v>
      </c>
      <c r="AF45" s="2329">
        <v>93</v>
      </c>
      <c r="AG45" s="2330">
        <v>168</v>
      </c>
      <c r="AH45" s="2347">
        <f t="shared" si="7"/>
        <v>0.5535714285714286</v>
      </c>
      <c r="AJ45" s="2329">
        <v>73</v>
      </c>
      <c r="AK45" s="2330">
        <v>103</v>
      </c>
      <c r="AL45" s="2347">
        <f t="shared" si="8"/>
        <v>0.70873786407766992</v>
      </c>
      <c r="AM45" s="2107"/>
      <c r="AN45" s="2329">
        <v>90</v>
      </c>
      <c r="AO45" s="2330">
        <v>117</v>
      </c>
      <c r="AP45" s="2347">
        <f t="shared" si="9"/>
        <v>0.76923076923076927</v>
      </c>
      <c r="AR45" s="2329">
        <v>100</v>
      </c>
      <c r="AS45" s="2330">
        <v>136</v>
      </c>
      <c r="AT45" s="2347">
        <f t="shared" si="10"/>
        <v>0.73529411764705888</v>
      </c>
      <c r="AV45" s="2329">
        <v>91</v>
      </c>
      <c r="AW45" s="2300">
        <v>122</v>
      </c>
      <c r="AX45" s="2347">
        <f t="shared" si="11"/>
        <v>0.74590163934426235</v>
      </c>
      <c r="AZ45" s="2329">
        <f>+'I.27.'!AZ45</f>
        <v>88</v>
      </c>
      <c r="BA45" s="2300">
        <f>+'I.26.'!AY45</f>
        <v>128</v>
      </c>
      <c r="BB45" s="2347">
        <f t="shared" si="12"/>
        <v>0.6875</v>
      </c>
      <c r="BD45" s="2329">
        <f>+'I.27.'!BD45</f>
        <v>76</v>
      </c>
      <c r="BE45" s="2300">
        <f>+'I.26.'!BC45</f>
        <v>114</v>
      </c>
      <c r="BF45" s="2347">
        <f t="shared" si="13"/>
        <v>0.66666666666666663</v>
      </c>
    </row>
    <row r="46" spans="1:58" ht="18">
      <c r="A46" s="1960"/>
      <c r="B46" s="2355" t="s">
        <v>988</v>
      </c>
      <c r="D46" s="2329">
        <v>20</v>
      </c>
      <c r="E46" s="2330">
        <v>30</v>
      </c>
      <c r="F46" s="2347">
        <f t="shared" si="0"/>
        <v>0.66666666666666663</v>
      </c>
      <c r="H46" s="2329">
        <v>15</v>
      </c>
      <c r="I46" s="2330">
        <v>45</v>
      </c>
      <c r="J46" s="2347">
        <f t="shared" si="1"/>
        <v>0.33333333333333331</v>
      </c>
      <c r="L46" s="2329">
        <v>8</v>
      </c>
      <c r="M46" s="2330">
        <v>19</v>
      </c>
      <c r="N46" s="2347">
        <f t="shared" si="2"/>
        <v>0.42105263157894735</v>
      </c>
      <c r="P46" s="2329">
        <v>30</v>
      </c>
      <c r="Q46" s="2330">
        <v>62</v>
      </c>
      <c r="R46" s="2347">
        <f t="shared" si="3"/>
        <v>0.4838709677419355</v>
      </c>
      <c r="T46" s="2329">
        <v>48</v>
      </c>
      <c r="U46" s="2330">
        <v>68</v>
      </c>
      <c r="V46" s="2347">
        <f t="shared" si="4"/>
        <v>0.70588235294117652</v>
      </c>
      <c r="X46" s="2329">
        <v>32</v>
      </c>
      <c r="Y46" s="2330">
        <v>56</v>
      </c>
      <c r="Z46" s="2347">
        <f t="shared" si="5"/>
        <v>0.5714285714285714</v>
      </c>
      <c r="AB46" s="2329">
        <v>31</v>
      </c>
      <c r="AC46" s="2330">
        <v>59</v>
      </c>
      <c r="AD46" s="2347">
        <f t="shared" si="6"/>
        <v>0.52542372881355937</v>
      </c>
      <c r="AF46" s="2329">
        <v>39</v>
      </c>
      <c r="AG46" s="2330">
        <v>54</v>
      </c>
      <c r="AH46" s="2347">
        <f t="shared" si="7"/>
        <v>0.72222222222222221</v>
      </c>
      <c r="AJ46" s="2329">
        <v>47</v>
      </c>
      <c r="AK46" s="2330">
        <v>67</v>
      </c>
      <c r="AL46" s="2347">
        <f t="shared" si="8"/>
        <v>0.70149253731343286</v>
      </c>
      <c r="AM46" s="2107"/>
      <c r="AN46" s="2329">
        <v>39</v>
      </c>
      <c r="AO46" s="2330">
        <v>45</v>
      </c>
      <c r="AP46" s="2347">
        <f t="shared" si="9"/>
        <v>0.8666666666666667</v>
      </c>
      <c r="AR46" s="2329">
        <v>29</v>
      </c>
      <c r="AS46" s="2330">
        <v>47</v>
      </c>
      <c r="AT46" s="2347">
        <f t="shared" si="10"/>
        <v>0.61702127659574468</v>
      </c>
      <c r="AV46" s="2329">
        <v>48</v>
      </c>
      <c r="AW46" s="2300">
        <v>83</v>
      </c>
      <c r="AX46" s="2347">
        <f t="shared" si="11"/>
        <v>0.57831325301204817</v>
      </c>
      <c r="AZ46" s="2329">
        <f>+'I.27.'!AZ46</f>
        <v>43</v>
      </c>
      <c r="BA46" s="2300">
        <f>+'I.26.'!AY46</f>
        <v>76</v>
      </c>
      <c r="BB46" s="2347">
        <f t="shared" si="12"/>
        <v>0.56578947368421051</v>
      </c>
      <c r="BD46" s="2329">
        <f>+'I.27.'!BD46</f>
        <v>44</v>
      </c>
      <c r="BE46" s="2300">
        <f>+'I.26.'!BC46</f>
        <v>77</v>
      </c>
      <c r="BF46" s="2347">
        <f t="shared" si="13"/>
        <v>0.5714285714285714</v>
      </c>
    </row>
    <row r="47" spans="1:58" ht="15" customHeight="1">
      <c r="A47" s="1960"/>
      <c r="B47" s="1929" t="s">
        <v>41</v>
      </c>
      <c r="D47" s="2328">
        <f>SUM(D42:D46)</f>
        <v>201</v>
      </c>
      <c r="E47" s="1040">
        <v>350</v>
      </c>
      <c r="F47" s="2346">
        <f t="shared" si="0"/>
        <v>0.57428571428571429</v>
      </c>
      <c r="H47" s="2328">
        <v>181</v>
      </c>
      <c r="I47" s="1040">
        <v>329</v>
      </c>
      <c r="J47" s="2346">
        <f t="shared" si="1"/>
        <v>0.55015197568389063</v>
      </c>
      <c r="L47" s="2328">
        <v>199</v>
      </c>
      <c r="M47" s="1040">
        <f>SUM(M42:M46)</f>
        <v>331</v>
      </c>
      <c r="N47" s="2346">
        <f t="shared" si="2"/>
        <v>0.6012084592145015</v>
      </c>
      <c r="P47" s="2328">
        <v>207</v>
      </c>
      <c r="Q47" s="1040">
        <f>SUM(Q42:Q46)</f>
        <v>374</v>
      </c>
      <c r="R47" s="2346">
        <f t="shared" si="3"/>
        <v>0.553475935828877</v>
      </c>
      <c r="T47" s="2328">
        <f>SUM(T42:T46)</f>
        <v>234</v>
      </c>
      <c r="U47" s="1040">
        <f>SUM(U42:U46)</f>
        <v>341</v>
      </c>
      <c r="V47" s="2346">
        <f t="shared" si="4"/>
        <v>0.6862170087976539</v>
      </c>
      <c r="X47" s="2328">
        <v>255</v>
      </c>
      <c r="Y47" s="1040">
        <v>371</v>
      </c>
      <c r="Z47" s="2346">
        <f t="shared" si="5"/>
        <v>0.68733153638814015</v>
      </c>
      <c r="AB47" s="2328">
        <v>254</v>
      </c>
      <c r="AC47" s="1040">
        <v>370</v>
      </c>
      <c r="AD47" s="2346">
        <f t="shared" si="6"/>
        <v>0.68648648648648647</v>
      </c>
      <c r="AF47" s="2328">
        <v>268</v>
      </c>
      <c r="AG47" s="1040">
        <v>423</v>
      </c>
      <c r="AH47" s="2346">
        <f t="shared" si="7"/>
        <v>0.6335697399527187</v>
      </c>
      <c r="AJ47" s="2328">
        <v>302</v>
      </c>
      <c r="AK47" s="1040">
        <v>431</v>
      </c>
      <c r="AL47" s="2346">
        <f t="shared" si="8"/>
        <v>0.70069605568445481</v>
      </c>
      <c r="AM47" s="2107"/>
      <c r="AN47" s="2328">
        <v>353</v>
      </c>
      <c r="AO47" s="1040">
        <v>473</v>
      </c>
      <c r="AP47" s="2346">
        <f t="shared" si="9"/>
        <v>0.7463002114164905</v>
      </c>
      <c r="AR47" s="2328">
        <v>285</v>
      </c>
      <c r="AS47" s="1040">
        <v>396</v>
      </c>
      <c r="AT47" s="2346">
        <f t="shared" si="10"/>
        <v>0.71969696969696972</v>
      </c>
      <c r="AV47" s="2328">
        <v>341</v>
      </c>
      <c r="AW47" s="2293">
        <v>526</v>
      </c>
      <c r="AX47" s="2346">
        <f t="shared" si="11"/>
        <v>0.64828897338403046</v>
      </c>
      <c r="AZ47" s="2328">
        <f>+'I.27.'!AZ47</f>
        <v>326</v>
      </c>
      <c r="BA47" s="2293">
        <f>+'I.26.'!AY47</f>
        <v>480</v>
      </c>
      <c r="BB47" s="2346">
        <f t="shared" si="12"/>
        <v>0.6791666666666667</v>
      </c>
      <c r="BD47" s="2328">
        <f>+'I.27.'!BD47</f>
        <v>315</v>
      </c>
      <c r="BE47" s="2293">
        <f>+'I.26.'!BC47</f>
        <v>471</v>
      </c>
      <c r="BF47" s="2346">
        <f t="shared" si="13"/>
        <v>0.66878980891719741</v>
      </c>
    </row>
    <row r="48" spans="1:58" ht="18">
      <c r="A48" s="1960"/>
      <c r="B48" s="2355" t="s">
        <v>989</v>
      </c>
      <c r="D48" s="2329">
        <v>1</v>
      </c>
      <c r="E48" s="2330">
        <v>44</v>
      </c>
      <c r="F48" s="2347">
        <f t="shared" si="0"/>
        <v>2.2727272727272728E-2</v>
      </c>
      <c r="H48" s="2329"/>
      <c r="I48" s="2330">
        <v>42</v>
      </c>
      <c r="J48" s="2347">
        <f t="shared" si="1"/>
        <v>0</v>
      </c>
      <c r="L48" s="2329">
        <v>1</v>
      </c>
      <c r="M48" s="2330">
        <v>33</v>
      </c>
      <c r="N48" s="2347">
        <f t="shared" si="2"/>
        <v>3.0303030303030304E-2</v>
      </c>
      <c r="P48" s="2329">
        <v>1</v>
      </c>
      <c r="Q48" s="2330">
        <v>53</v>
      </c>
      <c r="R48" s="2347">
        <f t="shared" si="3"/>
        <v>1.8867924528301886E-2</v>
      </c>
      <c r="T48" s="2329">
        <v>2</v>
      </c>
      <c r="U48" s="2330">
        <v>27</v>
      </c>
      <c r="V48" s="2347">
        <f t="shared" si="4"/>
        <v>7.407407407407407E-2</v>
      </c>
      <c r="X48" s="2329">
        <v>3</v>
      </c>
      <c r="Y48" s="2330">
        <v>45</v>
      </c>
      <c r="Z48" s="2347">
        <f t="shared" si="5"/>
        <v>6.6666666666666666E-2</v>
      </c>
      <c r="AB48" s="2329">
        <v>1</v>
      </c>
      <c r="AC48" s="2330">
        <v>30</v>
      </c>
      <c r="AD48" s="2347">
        <f t="shared" si="6"/>
        <v>3.3333333333333333E-2</v>
      </c>
      <c r="AF48" s="2329">
        <v>1</v>
      </c>
      <c r="AG48" s="2330">
        <v>35</v>
      </c>
      <c r="AH48" s="2347">
        <f t="shared" si="7"/>
        <v>2.8571428571428571E-2</v>
      </c>
      <c r="AJ48" s="2329">
        <v>0</v>
      </c>
      <c r="AK48" s="2330">
        <v>41</v>
      </c>
      <c r="AL48" s="2347">
        <f t="shared" si="8"/>
        <v>0</v>
      </c>
      <c r="AM48" s="2107"/>
      <c r="AN48" s="2329">
        <v>0</v>
      </c>
      <c r="AO48" s="2330">
        <v>18</v>
      </c>
      <c r="AP48" s="2347">
        <f t="shared" si="9"/>
        <v>0</v>
      </c>
      <c r="AR48" s="2329">
        <v>3</v>
      </c>
      <c r="AS48" s="2330">
        <v>37</v>
      </c>
      <c r="AT48" s="2347">
        <f t="shared" si="10"/>
        <v>8.1081081081081086E-2</v>
      </c>
      <c r="AV48" s="2329">
        <v>4</v>
      </c>
      <c r="AW48" s="2300">
        <v>41</v>
      </c>
      <c r="AX48" s="2347">
        <f t="shared" si="11"/>
        <v>9.7560975609756101E-2</v>
      </c>
      <c r="AZ48" s="2329">
        <f>+'I.27.'!AZ48</f>
        <v>3</v>
      </c>
      <c r="BA48" s="2300">
        <f>+'I.26.'!AY48</f>
        <v>10</v>
      </c>
      <c r="BB48" s="2347">
        <f t="shared" si="12"/>
        <v>0.3</v>
      </c>
      <c r="BD48" s="2329">
        <f>+'I.27.'!BD48</f>
        <v>1</v>
      </c>
      <c r="BE48" s="2300">
        <f>+'I.26.'!BC48</f>
        <v>37</v>
      </c>
      <c r="BF48" s="2347">
        <f t="shared" si="13"/>
        <v>2.7027027027027029E-2</v>
      </c>
    </row>
    <row r="49" spans="1:58" ht="18">
      <c r="A49" s="1960"/>
      <c r="B49" s="2355" t="s">
        <v>963</v>
      </c>
      <c r="D49" s="2329">
        <v>1</v>
      </c>
      <c r="E49" s="2330">
        <v>170</v>
      </c>
      <c r="F49" s="2347">
        <f t="shared" si="0"/>
        <v>5.8823529411764705E-3</v>
      </c>
      <c r="H49" s="2329">
        <v>5</v>
      </c>
      <c r="I49" s="2330">
        <v>135</v>
      </c>
      <c r="J49" s="2347">
        <f t="shared" si="1"/>
        <v>3.7037037037037035E-2</v>
      </c>
      <c r="L49" s="2329">
        <v>17</v>
      </c>
      <c r="M49" s="2330">
        <v>163</v>
      </c>
      <c r="N49" s="2347">
        <f t="shared" si="2"/>
        <v>0.10429447852760736</v>
      </c>
      <c r="P49" s="2329">
        <v>15</v>
      </c>
      <c r="Q49" s="2330">
        <v>142</v>
      </c>
      <c r="R49" s="2347">
        <f t="shared" si="3"/>
        <v>0.10563380281690141</v>
      </c>
      <c r="T49" s="2329">
        <v>1</v>
      </c>
      <c r="U49" s="2330">
        <v>136</v>
      </c>
      <c r="V49" s="2347">
        <f t="shared" si="4"/>
        <v>7.3529411764705881E-3</v>
      </c>
      <c r="X49" s="2329">
        <v>3</v>
      </c>
      <c r="Y49" s="2330">
        <v>160</v>
      </c>
      <c r="Z49" s="2347">
        <f t="shared" si="5"/>
        <v>1.8749999999999999E-2</v>
      </c>
      <c r="AB49" s="2329">
        <v>4</v>
      </c>
      <c r="AC49" s="2330">
        <v>109</v>
      </c>
      <c r="AD49" s="2347">
        <f t="shared" si="6"/>
        <v>3.669724770642202E-2</v>
      </c>
      <c r="AF49" s="2329">
        <v>15</v>
      </c>
      <c r="AG49" s="2330">
        <v>110</v>
      </c>
      <c r="AH49" s="2347">
        <f t="shared" si="7"/>
        <v>0.13636363636363635</v>
      </c>
      <c r="AJ49" s="2329">
        <v>6</v>
      </c>
      <c r="AK49" s="2330">
        <v>149</v>
      </c>
      <c r="AL49" s="2347">
        <f t="shared" si="8"/>
        <v>4.0268456375838924E-2</v>
      </c>
      <c r="AM49" s="2107"/>
      <c r="AN49" s="2329">
        <v>3</v>
      </c>
      <c r="AO49" s="2330">
        <v>116</v>
      </c>
      <c r="AP49" s="2347">
        <f t="shared" si="9"/>
        <v>2.5862068965517241E-2</v>
      </c>
      <c r="AR49" s="2329">
        <v>1</v>
      </c>
      <c r="AS49" s="2330">
        <v>79</v>
      </c>
      <c r="AT49" s="2347">
        <f t="shared" si="10"/>
        <v>1.2658227848101266E-2</v>
      </c>
      <c r="AV49" s="2329">
        <v>4</v>
      </c>
      <c r="AW49" s="2300">
        <v>120</v>
      </c>
      <c r="AX49" s="2347">
        <f t="shared" si="11"/>
        <v>3.3333333333333333E-2</v>
      </c>
      <c r="AZ49" s="2329">
        <f>+'I.27.'!AZ49</f>
        <v>12</v>
      </c>
      <c r="BA49" s="2300">
        <f>+'I.26.'!AY49</f>
        <v>142</v>
      </c>
      <c r="BB49" s="2347">
        <f t="shared" si="12"/>
        <v>8.4507042253521125E-2</v>
      </c>
      <c r="BD49" s="2329">
        <f>+'I.27.'!BD49</f>
        <v>12</v>
      </c>
      <c r="BE49" s="2300">
        <f>+'I.26.'!BC49</f>
        <v>97</v>
      </c>
      <c r="BF49" s="2347">
        <f t="shared" si="13"/>
        <v>0.12371134020618557</v>
      </c>
    </row>
    <row r="50" spans="1:58" ht="18">
      <c r="A50" s="1960"/>
      <c r="B50" s="2355" t="s">
        <v>990</v>
      </c>
      <c r="D50" s="2329">
        <v>4</v>
      </c>
      <c r="E50" s="2330">
        <v>181</v>
      </c>
      <c r="F50" s="2347">
        <f t="shared" si="0"/>
        <v>2.2099447513812154E-2</v>
      </c>
      <c r="H50" s="2329">
        <v>3</v>
      </c>
      <c r="I50" s="2330">
        <v>178</v>
      </c>
      <c r="J50" s="2347">
        <f t="shared" si="1"/>
        <v>1.6853932584269662E-2</v>
      </c>
      <c r="L50" s="2329">
        <v>2</v>
      </c>
      <c r="M50" s="2330">
        <v>216</v>
      </c>
      <c r="N50" s="2347">
        <f t="shared" si="2"/>
        <v>9.2592592592592587E-3</v>
      </c>
      <c r="P50" s="2329"/>
      <c r="Q50" s="2330">
        <v>158</v>
      </c>
      <c r="R50" s="2347">
        <f t="shared" si="3"/>
        <v>0</v>
      </c>
      <c r="T50" s="2329">
        <v>3</v>
      </c>
      <c r="U50" s="2330">
        <v>136</v>
      </c>
      <c r="V50" s="2347">
        <f t="shared" si="4"/>
        <v>2.2058823529411766E-2</v>
      </c>
      <c r="X50" s="2329">
        <v>2</v>
      </c>
      <c r="Y50" s="2330">
        <v>152</v>
      </c>
      <c r="Z50" s="2347">
        <f t="shared" si="5"/>
        <v>1.3157894736842105E-2</v>
      </c>
      <c r="AB50" s="2329">
        <v>5</v>
      </c>
      <c r="AC50" s="2330">
        <v>138</v>
      </c>
      <c r="AD50" s="2347">
        <f t="shared" si="6"/>
        <v>3.6231884057971016E-2</v>
      </c>
      <c r="AF50" s="2329">
        <v>7</v>
      </c>
      <c r="AG50" s="2330">
        <v>152</v>
      </c>
      <c r="AH50" s="2347">
        <f t="shared" si="7"/>
        <v>4.6052631578947366E-2</v>
      </c>
      <c r="AJ50" s="2329">
        <v>3</v>
      </c>
      <c r="AK50" s="2330">
        <v>152</v>
      </c>
      <c r="AL50" s="2347">
        <f t="shared" si="8"/>
        <v>1.9736842105263157E-2</v>
      </c>
      <c r="AM50" s="2107"/>
      <c r="AN50" s="2329">
        <v>2</v>
      </c>
      <c r="AO50" s="2330">
        <v>108</v>
      </c>
      <c r="AP50" s="2347">
        <f t="shared" si="9"/>
        <v>1.8518518518518517E-2</v>
      </c>
      <c r="AR50" s="2329">
        <v>6</v>
      </c>
      <c r="AS50" s="2330">
        <v>87</v>
      </c>
      <c r="AT50" s="2347">
        <f t="shared" si="10"/>
        <v>6.8965517241379309E-2</v>
      </c>
      <c r="AV50" s="2329">
        <v>12</v>
      </c>
      <c r="AW50" s="2300">
        <v>115</v>
      </c>
      <c r="AX50" s="2347">
        <f t="shared" si="11"/>
        <v>0.10434782608695652</v>
      </c>
      <c r="AZ50" s="2329">
        <f>+'I.27.'!AZ50</f>
        <v>2</v>
      </c>
      <c r="BA50" s="2300">
        <f>+'I.26.'!AY50</f>
        <v>91</v>
      </c>
      <c r="BB50" s="2347">
        <f t="shared" si="12"/>
        <v>2.197802197802198E-2</v>
      </c>
      <c r="BD50" s="2329">
        <f>+'I.27.'!BD50</f>
        <v>2</v>
      </c>
      <c r="BE50" s="2300">
        <f>+'I.26.'!BC50</f>
        <v>90</v>
      </c>
      <c r="BF50" s="2347">
        <f t="shared" si="13"/>
        <v>2.2222222222222223E-2</v>
      </c>
    </row>
    <row r="51" spans="1:58" ht="18">
      <c r="A51" s="1960"/>
      <c r="B51" s="2355" t="s">
        <v>964</v>
      </c>
      <c r="D51" s="2329">
        <v>2</v>
      </c>
      <c r="E51" s="2330">
        <v>151</v>
      </c>
      <c r="F51" s="2347">
        <f t="shared" si="0"/>
        <v>1.3245033112582781E-2</v>
      </c>
      <c r="H51" s="2329">
        <v>3</v>
      </c>
      <c r="I51" s="2330">
        <v>145</v>
      </c>
      <c r="J51" s="2347">
        <f t="shared" si="1"/>
        <v>2.0689655172413793E-2</v>
      </c>
      <c r="L51" s="2329"/>
      <c r="M51" s="2330">
        <v>111</v>
      </c>
      <c r="N51" s="2347">
        <f t="shared" si="2"/>
        <v>0</v>
      </c>
      <c r="P51" s="2329"/>
      <c r="Q51" s="2330">
        <v>142</v>
      </c>
      <c r="R51" s="2347">
        <f t="shared" si="3"/>
        <v>0</v>
      </c>
      <c r="T51" s="2329">
        <v>1</v>
      </c>
      <c r="U51" s="2330">
        <v>117</v>
      </c>
      <c r="V51" s="2347">
        <f t="shared" si="4"/>
        <v>8.5470085470085479E-3</v>
      </c>
      <c r="X51" s="2329">
        <v>3</v>
      </c>
      <c r="Y51" s="2330">
        <v>121</v>
      </c>
      <c r="Z51" s="2347">
        <f t="shared" si="5"/>
        <v>2.4793388429752067E-2</v>
      </c>
      <c r="AB51" s="2329">
        <v>2</v>
      </c>
      <c r="AC51" s="2330">
        <v>96</v>
      </c>
      <c r="AD51" s="2347">
        <f t="shared" si="6"/>
        <v>2.0833333333333332E-2</v>
      </c>
      <c r="AF51" s="2329"/>
      <c r="AG51" s="2330">
        <v>129</v>
      </c>
      <c r="AH51" s="2347">
        <f t="shared" si="7"/>
        <v>0</v>
      </c>
      <c r="AJ51" s="2329">
        <v>0</v>
      </c>
      <c r="AK51" s="2330">
        <v>162</v>
      </c>
      <c r="AL51" s="2347">
        <f t="shared" si="8"/>
        <v>0</v>
      </c>
      <c r="AM51" s="2107"/>
      <c r="AN51" s="2329">
        <v>0</v>
      </c>
      <c r="AO51" s="2330">
        <v>76</v>
      </c>
      <c r="AP51" s="2347">
        <f t="shared" si="9"/>
        <v>0</v>
      </c>
      <c r="AR51" s="2329">
        <v>1</v>
      </c>
      <c r="AS51" s="2330">
        <v>59</v>
      </c>
      <c r="AT51" s="2347">
        <f t="shared" si="10"/>
        <v>1.6949152542372881E-2</v>
      </c>
      <c r="AV51" s="2329">
        <v>5</v>
      </c>
      <c r="AW51" s="2300">
        <v>165</v>
      </c>
      <c r="AX51" s="2347">
        <f t="shared" si="11"/>
        <v>3.0303030303030304E-2</v>
      </c>
      <c r="AZ51" s="2329">
        <f>+'I.27.'!AZ51</f>
        <v>4</v>
      </c>
      <c r="BA51" s="2300">
        <f>+'I.26.'!AY51</f>
        <v>98</v>
      </c>
      <c r="BB51" s="2347">
        <f t="shared" si="12"/>
        <v>4.0816326530612242E-2</v>
      </c>
      <c r="BD51" s="2329">
        <f>+'I.27.'!BD51</f>
        <v>2</v>
      </c>
      <c r="BE51" s="2300">
        <f>+'I.26.'!BC51</f>
        <v>106</v>
      </c>
      <c r="BF51" s="2347">
        <f t="shared" si="13"/>
        <v>1.8867924528301886E-2</v>
      </c>
    </row>
    <row r="52" spans="1:58" ht="15" customHeight="1">
      <c r="A52" s="1960"/>
      <c r="B52" s="1961" t="s">
        <v>16</v>
      </c>
      <c r="D52" s="2333">
        <f>SUM(D48:D51)</f>
        <v>8</v>
      </c>
      <c r="E52" s="1962">
        <v>546</v>
      </c>
      <c r="F52" s="2349">
        <f t="shared" si="0"/>
        <v>1.4652014652014652E-2</v>
      </c>
      <c r="H52" s="2333">
        <v>11</v>
      </c>
      <c r="I52" s="1962">
        <v>500</v>
      </c>
      <c r="J52" s="2349">
        <f t="shared" si="1"/>
        <v>2.1999999999999999E-2</v>
      </c>
      <c r="L52" s="2333">
        <v>20</v>
      </c>
      <c r="M52" s="1962">
        <f>SUM(M48:M51)</f>
        <v>523</v>
      </c>
      <c r="N52" s="2349">
        <f t="shared" si="2"/>
        <v>3.8240917782026769E-2</v>
      </c>
      <c r="P52" s="2333">
        <v>16</v>
      </c>
      <c r="Q52" s="1962">
        <f>SUM(Q48:Q51)</f>
        <v>495</v>
      </c>
      <c r="R52" s="2349">
        <f t="shared" si="3"/>
        <v>3.2323232323232323E-2</v>
      </c>
      <c r="T52" s="2333">
        <f>SUM(T48:T51)</f>
        <v>7</v>
      </c>
      <c r="U52" s="1962">
        <f>SUM(U48:U51)</f>
        <v>416</v>
      </c>
      <c r="V52" s="2349">
        <f t="shared" si="4"/>
        <v>1.6826923076923076E-2</v>
      </c>
      <c r="X52" s="2333">
        <v>11</v>
      </c>
      <c r="Y52" s="1962">
        <v>478</v>
      </c>
      <c r="Z52" s="2349">
        <f t="shared" si="5"/>
        <v>2.3012552301255231E-2</v>
      </c>
      <c r="AB52" s="2333">
        <v>12</v>
      </c>
      <c r="AC52" s="1962">
        <v>373</v>
      </c>
      <c r="AD52" s="2349">
        <f t="shared" si="6"/>
        <v>3.2171581769436998E-2</v>
      </c>
      <c r="AF52" s="2333">
        <v>23</v>
      </c>
      <c r="AG52" s="1962">
        <v>426</v>
      </c>
      <c r="AH52" s="2349">
        <f t="shared" si="7"/>
        <v>5.39906103286385E-2</v>
      </c>
      <c r="AJ52" s="2333">
        <v>9</v>
      </c>
      <c r="AK52" s="1962">
        <v>504</v>
      </c>
      <c r="AL52" s="2349">
        <f t="shared" si="8"/>
        <v>1.7857142857142856E-2</v>
      </c>
      <c r="AM52" s="2107"/>
      <c r="AN52" s="2333">
        <v>5</v>
      </c>
      <c r="AO52" s="1962">
        <v>318</v>
      </c>
      <c r="AP52" s="2349">
        <f t="shared" si="9"/>
        <v>1.5723270440251572E-2</v>
      </c>
      <c r="AR52" s="2333">
        <v>11</v>
      </c>
      <c r="AS52" s="1962">
        <v>262</v>
      </c>
      <c r="AT52" s="2349">
        <f t="shared" si="10"/>
        <v>4.1984732824427481E-2</v>
      </c>
      <c r="AV52" s="2333">
        <v>25</v>
      </c>
      <c r="AW52" s="2297">
        <v>441</v>
      </c>
      <c r="AX52" s="2349">
        <f t="shared" si="11"/>
        <v>5.6689342403628121E-2</v>
      </c>
      <c r="AZ52" s="2333">
        <f>+'I.27.'!AZ52</f>
        <v>21</v>
      </c>
      <c r="BA52" s="2297">
        <f>+'I.26.'!AY52</f>
        <v>341</v>
      </c>
      <c r="BB52" s="2349">
        <f t="shared" si="12"/>
        <v>6.1583577712609971E-2</v>
      </c>
      <c r="BD52" s="2333">
        <f>+'I.27.'!BD52</f>
        <v>17</v>
      </c>
      <c r="BE52" s="2297">
        <f>+'I.26.'!BC52</f>
        <v>330</v>
      </c>
      <c r="BF52" s="2349">
        <f t="shared" si="13"/>
        <v>5.1515151515151514E-2</v>
      </c>
    </row>
    <row r="53" spans="1:58" ht="15" customHeight="1">
      <c r="A53" s="1960"/>
      <c r="B53" s="2359" t="s">
        <v>991</v>
      </c>
      <c r="D53" s="2338">
        <f>SUM(D41,D47,D52)</f>
        <v>469</v>
      </c>
      <c r="E53" s="2339">
        <v>1381</v>
      </c>
      <c r="F53" s="2352">
        <f t="shared" si="0"/>
        <v>0.33960897900072412</v>
      </c>
      <c r="H53" s="2338">
        <v>450</v>
      </c>
      <c r="I53" s="2339">
        <v>1361</v>
      </c>
      <c r="J53" s="2352">
        <f t="shared" si="1"/>
        <v>0.33063923585598826</v>
      </c>
      <c r="L53" s="2338">
        <v>500</v>
      </c>
      <c r="M53" s="2339">
        <f>SUM(M52,M47,M41)</f>
        <v>1369</v>
      </c>
      <c r="N53" s="2352">
        <f t="shared" si="2"/>
        <v>0.36523009495982467</v>
      </c>
      <c r="P53" s="2338">
        <v>560</v>
      </c>
      <c r="Q53" s="2339">
        <f>SUM(Q52,Q47,Q41)</f>
        <v>1447</v>
      </c>
      <c r="R53" s="2352">
        <f t="shared" si="3"/>
        <v>0.38700760193503803</v>
      </c>
      <c r="T53" s="2338">
        <f>SUM(T41,T47,T52)</f>
        <v>582</v>
      </c>
      <c r="U53" s="2339">
        <f>SUM(U52,U47,U41)</f>
        <v>1271</v>
      </c>
      <c r="V53" s="2352">
        <f t="shared" si="4"/>
        <v>0.45790715971675844</v>
      </c>
      <c r="X53" s="2338">
        <v>585</v>
      </c>
      <c r="Y53" s="2339">
        <v>1365</v>
      </c>
      <c r="Z53" s="2352">
        <f t="shared" si="5"/>
        <v>0.42857142857142855</v>
      </c>
      <c r="AB53" s="2338">
        <v>574</v>
      </c>
      <c r="AC53" s="2339">
        <v>1224</v>
      </c>
      <c r="AD53" s="2352">
        <f t="shared" si="6"/>
        <v>0.46895424836601307</v>
      </c>
      <c r="AF53" s="2338">
        <v>612</v>
      </c>
      <c r="AG53" s="2339">
        <v>1342</v>
      </c>
      <c r="AH53" s="2352">
        <f t="shared" si="7"/>
        <v>0.45603576751117736</v>
      </c>
      <c r="AJ53" s="2338">
        <v>649</v>
      </c>
      <c r="AK53" s="2339">
        <v>1455</v>
      </c>
      <c r="AL53" s="2352">
        <f t="shared" si="8"/>
        <v>0.44604810996563576</v>
      </c>
      <c r="AM53" s="2107"/>
      <c r="AN53" s="2338">
        <v>630</v>
      </c>
      <c r="AO53" s="2339">
        <v>1184</v>
      </c>
      <c r="AP53" s="2352">
        <f t="shared" si="9"/>
        <v>0.53209459459459463</v>
      </c>
      <c r="AR53" s="2338">
        <v>611</v>
      </c>
      <c r="AS53" s="2339">
        <v>1139</v>
      </c>
      <c r="AT53" s="2352">
        <f t="shared" si="10"/>
        <v>0.53643546971027212</v>
      </c>
      <c r="AV53" s="2338">
        <v>711</v>
      </c>
      <c r="AW53" s="2304">
        <v>1422</v>
      </c>
      <c r="AX53" s="2352">
        <f t="shared" si="11"/>
        <v>0.5</v>
      </c>
      <c r="AZ53" s="2338">
        <f>+'I.27.'!AZ53</f>
        <v>645</v>
      </c>
      <c r="BA53" s="2304">
        <f>+'I.26.'!AY53</f>
        <v>1225</v>
      </c>
      <c r="BB53" s="2352">
        <f t="shared" si="12"/>
        <v>0.52653061224489794</v>
      </c>
      <c r="BD53" s="2338">
        <f>+'I.27.'!BD53</f>
        <v>583</v>
      </c>
      <c r="BE53" s="2304">
        <f>+'I.26.'!BC53</f>
        <v>1177</v>
      </c>
      <c r="BF53" s="2352">
        <f t="shared" si="13"/>
        <v>0.49532710280373832</v>
      </c>
    </row>
    <row r="54" spans="1:58" ht="18">
      <c r="A54" s="1960"/>
      <c r="B54" s="2355" t="s">
        <v>992</v>
      </c>
      <c r="D54" s="2361"/>
      <c r="E54" s="2362"/>
      <c r="F54" s="2363"/>
      <c r="H54" s="2361"/>
      <c r="I54" s="2362"/>
      <c r="J54" s="2363"/>
      <c r="L54" s="2361"/>
      <c r="M54" s="2362"/>
      <c r="N54" s="2363"/>
      <c r="P54" s="2361"/>
      <c r="Q54" s="2362"/>
      <c r="R54" s="2363"/>
      <c r="T54" s="2361">
        <v>0</v>
      </c>
      <c r="U54" s="2362"/>
      <c r="V54" s="2363"/>
      <c r="X54" s="2361"/>
      <c r="Y54" s="2362"/>
      <c r="Z54" s="2363"/>
      <c r="AB54" s="2361"/>
      <c r="AC54" s="2362">
        <v>6</v>
      </c>
      <c r="AD54" s="2363"/>
      <c r="AF54" s="2361"/>
      <c r="AG54" s="2362">
        <v>0</v>
      </c>
      <c r="AH54" s="2363"/>
      <c r="AJ54" s="2361">
        <v>0</v>
      </c>
      <c r="AK54" s="2362">
        <v>0</v>
      </c>
      <c r="AL54" s="2363"/>
      <c r="AM54" s="2107"/>
      <c r="AN54" s="2361">
        <v>6</v>
      </c>
      <c r="AO54" s="2362">
        <v>10</v>
      </c>
      <c r="AP54" s="2363"/>
      <c r="AR54" s="2340"/>
      <c r="AS54" s="2362"/>
      <c r="AT54" s="2363"/>
      <c r="AV54" s="2340">
        <v>3</v>
      </c>
      <c r="AW54" s="2305">
        <v>5</v>
      </c>
      <c r="AX54" s="2363"/>
      <c r="AZ54" s="2340">
        <f>+'I.27.'!AZ54</f>
        <v>6</v>
      </c>
      <c r="BA54" s="2305">
        <f>+'I.26.'!AY54</f>
        <v>11</v>
      </c>
      <c r="BB54" s="2363"/>
      <c r="BD54" s="2340">
        <f>+'I.27.'!BD54</f>
        <v>1</v>
      </c>
      <c r="BE54" s="2305">
        <f>+'I.26.'!BC54</f>
        <v>3</v>
      </c>
      <c r="BF54" s="2363">
        <f t="shared" ref="BF54:BF61" si="14">BD54/BE54</f>
        <v>0.33333333333333331</v>
      </c>
    </row>
    <row r="55" spans="1:58" ht="18">
      <c r="A55" s="1960"/>
      <c r="B55" s="2355" t="s">
        <v>993</v>
      </c>
      <c r="D55" s="2361"/>
      <c r="E55" s="2362"/>
      <c r="F55" s="2363"/>
      <c r="H55" s="2361"/>
      <c r="I55" s="2362"/>
      <c r="J55" s="2363"/>
      <c r="L55" s="2361"/>
      <c r="M55" s="2362"/>
      <c r="N55" s="2363"/>
      <c r="P55" s="2361"/>
      <c r="Q55" s="2362">
        <v>18</v>
      </c>
      <c r="R55" s="2363"/>
      <c r="T55" s="2361">
        <v>2</v>
      </c>
      <c r="U55" s="2362">
        <v>2</v>
      </c>
      <c r="V55" s="2363">
        <f t="shared" si="4"/>
        <v>1</v>
      </c>
      <c r="X55" s="2361">
        <v>6</v>
      </c>
      <c r="Y55" s="2362">
        <v>6</v>
      </c>
      <c r="Z55" s="2363">
        <f>X55/Y55</f>
        <v>1</v>
      </c>
      <c r="AB55" s="2361">
        <v>6</v>
      </c>
      <c r="AC55" s="2362">
        <v>8</v>
      </c>
      <c r="AD55" s="2363">
        <f>AB55/AC55</f>
        <v>0.75</v>
      </c>
      <c r="AF55" s="2361">
        <v>5</v>
      </c>
      <c r="AG55" s="2362">
        <v>6</v>
      </c>
      <c r="AH55" s="2363">
        <f>AF55/AG55</f>
        <v>0.83333333333333337</v>
      </c>
      <c r="AJ55" s="2361">
        <v>8</v>
      </c>
      <c r="AK55" s="2362">
        <v>10</v>
      </c>
      <c r="AL55" s="2363">
        <f>AJ55/AK55</f>
        <v>0.8</v>
      </c>
      <c r="AM55" s="2107"/>
      <c r="AN55" s="2361">
        <v>3</v>
      </c>
      <c r="AO55" s="2362">
        <v>6</v>
      </c>
      <c r="AP55" s="2363">
        <f>AN55/AO55</f>
        <v>0.5</v>
      </c>
      <c r="AR55" s="2340">
        <v>2</v>
      </c>
      <c r="AS55" s="2362">
        <v>4</v>
      </c>
      <c r="AT55" s="2363">
        <f>AR55/AS55</f>
        <v>0.5</v>
      </c>
      <c r="AV55" s="2340">
        <v>16</v>
      </c>
      <c r="AW55" s="2305">
        <v>21</v>
      </c>
      <c r="AX55" s="2363">
        <f>AV55/AW55</f>
        <v>0.76190476190476186</v>
      </c>
      <c r="AZ55" s="2340">
        <f>+'I.27.'!AZ55</f>
        <v>14</v>
      </c>
      <c r="BA55" s="2305">
        <f>+'I.26.'!AY55</f>
        <v>22</v>
      </c>
      <c r="BB55" s="2363">
        <f>AZ55/BA55</f>
        <v>0.63636363636363635</v>
      </c>
      <c r="BD55" s="2340">
        <f>+'I.27.'!BD55</f>
        <v>4</v>
      </c>
      <c r="BE55" s="2305">
        <f>+'I.26.'!BC55</f>
        <v>8</v>
      </c>
      <c r="BF55" s="2363">
        <f t="shared" si="14"/>
        <v>0.5</v>
      </c>
    </row>
    <row r="56" spans="1:58" ht="18">
      <c r="A56" s="1960"/>
      <c r="B56" s="2355" t="s">
        <v>994</v>
      </c>
      <c r="D56" s="2361"/>
      <c r="E56" s="2362"/>
      <c r="F56" s="2363"/>
      <c r="H56" s="2361"/>
      <c r="I56" s="2362"/>
      <c r="J56" s="2363"/>
      <c r="L56" s="2361"/>
      <c r="M56" s="2362"/>
      <c r="N56" s="2363"/>
      <c r="P56" s="2361"/>
      <c r="Q56" s="2362"/>
      <c r="R56" s="2363"/>
      <c r="T56" s="2361">
        <v>0</v>
      </c>
      <c r="U56" s="2362">
        <v>3</v>
      </c>
      <c r="V56" s="2363">
        <f t="shared" si="4"/>
        <v>0</v>
      </c>
      <c r="X56" s="2361">
        <v>1</v>
      </c>
      <c r="Y56" s="2362">
        <v>3</v>
      </c>
      <c r="Z56" s="2363">
        <f>X56/Y56</f>
        <v>0.33333333333333331</v>
      </c>
      <c r="AB56" s="2361">
        <v>2</v>
      </c>
      <c r="AC56" s="2362">
        <v>2</v>
      </c>
      <c r="AD56" s="2363">
        <f>AB56/AC56</f>
        <v>1</v>
      </c>
      <c r="AF56" s="2361">
        <v>1</v>
      </c>
      <c r="AG56" s="2362">
        <v>6</v>
      </c>
      <c r="AH56" s="2363">
        <f>AF56/AG56</f>
        <v>0.16666666666666666</v>
      </c>
      <c r="AJ56" s="2361">
        <v>7</v>
      </c>
      <c r="AK56" s="2362">
        <v>26</v>
      </c>
      <c r="AL56" s="2363">
        <f>AJ56/AK56</f>
        <v>0.26923076923076922</v>
      </c>
      <c r="AM56" s="2107"/>
      <c r="AN56" s="2361">
        <v>1</v>
      </c>
      <c r="AO56" s="2362">
        <v>4</v>
      </c>
      <c r="AP56" s="2363">
        <f>AN56/AO56</f>
        <v>0.25</v>
      </c>
      <c r="AR56" s="2340">
        <v>1</v>
      </c>
      <c r="AS56" s="2362">
        <v>10</v>
      </c>
      <c r="AT56" s="2363">
        <f>AR56/AS56</f>
        <v>0.1</v>
      </c>
      <c r="AV56" s="2340">
        <v>1</v>
      </c>
      <c r="AW56" s="2305">
        <v>15</v>
      </c>
      <c r="AX56" s="2363">
        <f>AV56/AW56</f>
        <v>6.6666666666666666E-2</v>
      </c>
      <c r="AZ56" s="2340">
        <f>+'I.27.'!AZ56</f>
        <v>2</v>
      </c>
      <c r="BA56" s="2305">
        <f>+'I.26.'!AY56</f>
        <v>55</v>
      </c>
      <c r="BB56" s="2363">
        <f>AZ56/BA56</f>
        <v>3.6363636363636362E-2</v>
      </c>
      <c r="BD56" s="2340">
        <f>+'I.27.'!BD56</f>
        <v>2</v>
      </c>
      <c r="BE56" s="2305">
        <f>+'I.26.'!BC56</f>
        <v>11</v>
      </c>
      <c r="BF56" s="2363">
        <f t="shared" si="14"/>
        <v>0.18181818181818182</v>
      </c>
    </row>
    <row r="57" spans="1:58" ht="15" customHeight="1">
      <c r="A57" s="1960"/>
      <c r="B57" s="1929" t="s">
        <v>4</v>
      </c>
      <c r="D57" s="2328"/>
      <c r="E57" s="1040"/>
      <c r="F57" s="2346"/>
      <c r="H57" s="2328"/>
      <c r="I57" s="1040"/>
      <c r="J57" s="2346"/>
      <c r="L57" s="2328"/>
      <c r="M57" s="1040"/>
      <c r="N57" s="2346"/>
      <c r="P57" s="2328">
        <v>0</v>
      </c>
      <c r="Q57" s="1040">
        <f>SUM(Q54:Q56)</f>
        <v>18</v>
      </c>
      <c r="R57" s="2346"/>
      <c r="T57" s="2328">
        <f>SUM(T54:T56)</f>
        <v>2</v>
      </c>
      <c r="U57" s="1040">
        <f>SUM(U55:U56)</f>
        <v>5</v>
      </c>
      <c r="V57" s="2346">
        <f t="shared" si="4"/>
        <v>0.4</v>
      </c>
      <c r="X57" s="2328">
        <v>7</v>
      </c>
      <c r="Y57" s="1040">
        <v>9</v>
      </c>
      <c r="Z57" s="2346">
        <f>X57/Y57</f>
        <v>0.77777777777777779</v>
      </c>
      <c r="AB57" s="2328">
        <v>8</v>
      </c>
      <c r="AC57" s="1040">
        <v>16</v>
      </c>
      <c r="AD57" s="2346">
        <f>AB57/AC57</f>
        <v>0.5</v>
      </c>
      <c r="AF57" s="2328">
        <v>6</v>
      </c>
      <c r="AG57" s="1040">
        <v>12</v>
      </c>
      <c r="AH57" s="2346">
        <f>AF57/AG57</f>
        <v>0.5</v>
      </c>
      <c r="AJ57" s="2328">
        <v>15</v>
      </c>
      <c r="AK57" s="1040">
        <v>36</v>
      </c>
      <c r="AL57" s="2346">
        <f>AJ57/AK57</f>
        <v>0.41666666666666669</v>
      </c>
      <c r="AM57" s="2107"/>
      <c r="AN57" s="2328">
        <v>10</v>
      </c>
      <c r="AO57" s="1040">
        <v>20</v>
      </c>
      <c r="AP57" s="2346">
        <f>AN57/AO57</f>
        <v>0.5</v>
      </c>
      <c r="AR57" s="2328">
        <v>3</v>
      </c>
      <c r="AS57" s="1040">
        <v>14</v>
      </c>
      <c r="AT57" s="2346">
        <f>AR57/AS57</f>
        <v>0.21428571428571427</v>
      </c>
      <c r="AV57" s="2328">
        <v>20</v>
      </c>
      <c r="AW57" s="2293">
        <v>41</v>
      </c>
      <c r="AX57" s="2346">
        <f>AV57/AW57</f>
        <v>0.48780487804878048</v>
      </c>
      <c r="AZ57" s="2328">
        <f>+'I.27.'!AZ57</f>
        <v>22</v>
      </c>
      <c r="BA57" s="2293">
        <f>+'I.26.'!AY57</f>
        <v>88</v>
      </c>
      <c r="BB57" s="2346">
        <f>AZ57/BA57</f>
        <v>0.25</v>
      </c>
      <c r="BD57" s="2328">
        <f>+'I.27.'!BD57</f>
        <v>7</v>
      </c>
      <c r="BE57" s="2293">
        <f>+'I.26.'!BC57</f>
        <v>22</v>
      </c>
      <c r="BF57" s="2346">
        <f t="shared" si="14"/>
        <v>0.31818181818181818</v>
      </c>
    </row>
    <row r="58" spans="1:58" ht="18">
      <c r="A58" s="1960"/>
      <c r="B58" s="2355" t="s">
        <v>995</v>
      </c>
      <c r="D58" s="2361"/>
      <c r="E58" s="2362"/>
      <c r="F58" s="2363"/>
      <c r="H58" s="2361"/>
      <c r="I58" s="2362"/>
      <c r="J58" s="2363"/>
      <c r="L58" s="2361"/>
      <c r="M58" s="2362"/>
      <c r="N58" s="2363"/>
      <c r="P58" s="2361"/>
      <c r="Q58" s="2362"/>
      <c r="R58" s="2363"/>
      <c r="T58" s="2361">
        <v>8</v>
      </c>
      <c r="U58" s="2362">
        <v>13</v>
      </c>
      <c r="V58" s="2363">
        <f t="shared" si="4"/>
        <v>0.61538461538461542</v>
      </c>
      <c r="X58" s="2361">
        <v>18</v>
      </c>
      <c r="Y58" s="2362">
        <v>23</v>
      </c>
      <c r="Z58" s="2363">
        <f>X58/Y58</f>
        <v>0.78260869565217395</v>
      </c>
      <c r="AB58" s="2361">
        <v>3</v>
      </c>
      <c r="AC58" s="2362">
        <v>4</v>
      </c>
      <c r="AD58" s="2363">
        <f>AB58/AC58</f>
        <v>0.75</v>
      </c>
      <c r="AF58" s="2361">
        <v>15</v>
      </c>
      <c r="AG58" s="2362">
        <v>23</v>
      </c>
      <c r="AH58" s="2363">
        <f>AF58/AG58</f>
        <v>0.65217391304347827</v>
      </c>
      <c r="AJ58" s="2361">
        <v>11</v>
      </c>
      <c r="AK58" s="2362">
        <v>15</v>
      </c>
      <c r="AL58" s="2363">
        <f>AJ58/AK58</f>
        <v>0.73333333333333328</v>
      </c>
      <c r="AM58" s="2107"/>
      <c r="AN58" s="2361">
        <v>13</v>
      </c>
      <c r="AO58" s="2362">
        <v>23</v>
      </c>
      <c r="AP58" s="2363">
        <f>AN58/AO58</f>
        <v>0.56521739130434778</v>
      </c>
      <c r="AR58" s="2340">
        <v>5</v>
      </c>
      <c r="AS58" s="2362">
        <v>7</v>
      </c>
      <c r="AT58" s="2363">
        <f>AR58/AS58</f>
        <v>0.7142857142857143</v>
      </c>
      <c r="AV58" s="2340">
        <v>28</v>
      </c>
      <c r="AW58" s="2305">
        <v>45</v>
      </c>
      <c r="AX58" s="2363">
        <f>AV58/AW58</f>
        <v>0.62222222222222223</v>
      </c>
      <c r="AZ58" s="2340">
        <f>+'I.27.'!AZ58</f>
        <v>11</v>
      </c>
      <c r="BA58" s="2305">
        <f>+'I.26.'!AY58</f>
        <v>21</v>
      </c>
      <c r="BB58" s="2363">
        <f>AZ58/BA58</f>
        <v>0.52380952380952384</v>
      </c>
      <c r="BD58" s="2340">
        <f>+'I.27.'!BD58</f>
        <v>23</v>
      </c>
      <c r="BE58" s="2305">
        <f>+'I.26.'!BC58</f>
        <v>35</v>
      </c>
      <c r="BF58" s="2363">
        <f t="shared" si="14"/>
        <v>0.65714285714285714</v>
      </c>
    </row>
    <row r="59" spans="1:58" ht="18">
      <c r="A59" s="1960"/>
      <c r="B59" s="2355" t="s">
        <v>996</v>
      </c>
      <c r="D59" s="2361"/>
      <c r="E59" s="2362"/>
      <c r="F59" s="2363"/>
      <c r="H59" s="2361"/>
      <c r="I59" s="2362"/>
      <c r="J59" s="2363"/>
      <c r="L59" s="2361"/>
      <c r="M59" s="2362"/>
      <c r="N59" s="2363"/>
      <c r="P59" s="2361"/>
      <c r="Q59" s="2362"/>
      <c r="R59" s="2363"/>
      <c r="T59" s="2361">
        <v>5</v>
      </c>
      <c r="U59" s="2362">
        <v>5</v>
      </c>
      <c r="V59" s="2363">
        <f t="shared" si="4"/>
        <v>1</v>
      </c>
      <c r="X59" s="2361"/>
      <c r="Y59" s="2362"/>
      <c r="Z59" s="2363" t="e">
        <f>X59/Y59</f>
        <v>#DIV/0!</v>
      </c>
      <c r="AB59" s="2361"/>
      <c r="AC59" s="2362">
        <v>1</v>
      </c>
      <c r="AD59" s="2363">
        <f>AB59/AC59</f>
        <v>0</v>
      </c>
      <c r="AF59" s="2361">
        <v>14</v>
      </c>
      <c r="AG59" s="2362">
        <v>23</v>
      </c>
      <c r="AH59" s="2363">
        <f>AF59/AG59</f>
        <v>0.60869565217391308</v>
      </c>
      <c r="AJ59" s="2361">
        <v>32</v>
      </c>
      <c r="AK59" s="2362">
        <v>46</v>
      </c>
      <c r="AL59" s="2363">
        <f>AJ59/AK59</f>
        <v>0.69565217391304346</v>
      </c>
      <c r="AM59" s="2107"/>
      <c r="AN59" s="2361">
        <v>4</v>
      </c>
      <c r="AO59" s="2362">
        <v>48</v>
      </c>
      <c r="AP59" s="2363">
        <f>AN59/AO59</f>
        <v>8.3333333333333329E-2</v>
      </c>
      <c r="AR59" s="2340">
        <v>3</v>
      </c>
      <c r="AS59" s="2362">
        <v>41</v>
      </c>
      <c r="AT59" s="2363">
        <f>AR59/AS59</f>
        <v>7.3170731707317069E-2</v>
      </c>
      <c r="AV59" s="2340">
        <v>5</v>
      </c>
      <c r="AW59" s="2305">
        <v>31</v>
      </c>
      <c r="AX59" s="2363">
        <f>AV59/AW59</f>
        <v>0.16129032258064516</v>
      </c>
      <c r="AZ59" s="2340">
        <f>+'I.27.'!AZ59</f>
        <v>25</v>
      </c>
      <c r="BA59" s="2305">
        <f>+'I.26.'!AY59</f>
        <v>84</v>
      </c>
      <c r="BB59" s="2363">
        <f>AZ59/BA59</f>
        <v>0.29761904761904762</v>
      </c>
      <c r="BD59" s="2340">
        <f>+'I.27.'!BD59</f>
        <v>5</v>
      </c>
      <c r="BE59" s="2305">
        <f>+'I.26.'!BC59</f>
        <v>15</v>
      </c>
      <c r="BF59" s="2363">
        <f t="shared" si="14"/>
        <v>0.33333333333333331</v>
      </c>
    </row>
    <row r="60" spans="1:58" ht="18">
      <c r="A60" s="1960"/>
      <c r="B60" s="2355" t="s">
        <v>987</v>
      </c>
      <c r="D60" s="2361"/>
      <c r="E60" s="2362"/>
      <c r="F60" s="2363"/>
      <c r="H60" s="2361"/>
      <c r="I60" s="2362"/>
      <c r="J60" s="2363"/>
      <c r="L60" s="2361"/>
      <c r="M60" s="2362"/>
      <c r="N60" s="2363"/>
      <c r="P60" s="2361"/>
      <c r="Q60" s="2362"/>
      <c r="R60" s="2363"/>
      <c r="T60" s="2361">
        <v>0</v>
      </c>
      <c r="U60" s="2362">
        <v>0</v>
      </c>
      <c r="V60" s="2363"/>
      <c r="X60" s="2361"/>
      <c r="Y60" s="2362"/>
      <c r="Z60" s="2363"/>
      <c r="AB60" s="2361"/>
      <c r="AC60" s="2362">
        <v>0</v>
      </c>
      <c r="AD60" s="2363"/>
      <c r="AF60" s="2361">
        <v>26</v>
      </c>
      <c r="AG60" s="2362">
        <v>36</v>
      </c>
      <c r="AH60" s="2363"/>
      <c r="AJ60" s="2361">
        <v>6</v>
      </c>
      <c r="AK60" s="2362">
        <v>8</v>
      </c>
      <c r="AL60" s="2363"/>
      <c r="AM60" s="2107"/>
      <c r="AN60" s="2361">
        <v>1</v>
      </c>
      <c r="AO60" s="2362">
        <v>1</v>
      </c>
      <c r="AP60" s="2363"/>
      <c r="AR60" s="2340">
        <v>7</v>
      </c>
      <c r="AS60" s="2362">
        <v>13</v>
      </c>
      <c r="AT60" s="2363"/>
      <c r="AV60" s="2340">
        <v>4</v>
      </c>
      <c r="AW60" s="2305">
        <v>5</v>
      </c>
      <c r="AX60" s="2363"/>
      <c r="AZ60" s="2340">
        <f>+'I.27.'!AZ60</f>
        <v>2</v>
      </c>
      <c r="BA60" s="2305">
        <f>+'I.26.'!AY60</f>
        <v>4</v>
      </c>
      <c r="BB60" s="2363"/>
      <c r="BD60" s="2340">
        <f>+'I.27.'!BD60</f>
        <v>2</v>
      </c>
      <c r="BE60" s="2305">
        <f>+'I.26.'!BC60</f>
        <v>2</v>
      </c>
      <c r="BF60" s="2363">
        <f t="shared" si="14"/>
        <v>1</v>
      </c>
    </row>
    <row r="61" spans="1:58" ht="15" customHeight="1">
      <c r="A61" s="1960"/>
      <c r="B61" s="1929" t="s">
        <v>41</v>
      </c>
      <c r="D61" s="2328"/>
      <c r="E61" s="1040"/>
      <c r="F61" s="2346"/>
      <c r="H61" s="2328"/>
      <c r="I61" s="1040"/>
      <c r="J61" s="2346"/>
      <c r="L61" s="2328"/>
      <c r="M61" s="1040"/>
      <c r="N61" s="2346"/>
      <c r="P61" s="2328">
        <v>0</v>
      </c>
      <c r="Q61" s="1040"/>
      <c r="R61" s="2346"/>
      <c r="T61" s="2328">
        <f>SUM(T58:T60)</f>
        <v>13</v>
      </c>
      <c r="U61" s="1040">
        <f>SUM(U58:U60)</f>
        <v>18</v>
      </c>
      <c r="V61" s="2346">
        <f t="shared" si="4"/>
        <v>0.72222222222222221</v>
      </c>
      <c r="X61" s="2328">
        <v>18</v>
      </c>
      <c r="Y61" s="1040">
        <v>23</v>
      </c>
      <c r="Z61" s="2346">
        <f>X61/Y61</f>
        <v>0.78260869565217395</v>
      </c>
      <c r="AB61" s="2328">
        <v>3</v>
      </c>
      <c r="AC61" s="1040">
        <v>5</v>
      </c>
      <c r="AD61" s="2346">
        <f>AB61/AC61</f>
        <v>0.6</v>
      </c>
      <c r="AF61" s="2328">
        <v>55</v>
      </c>
      <c r="AG61" s="1040">
        <v>82</v>
      </c>
      <c r="AH61" s="2346">
        <f>AF61/AG61</f>
        <v>0.67073170731707321</v>
      </c>
      <c r="AJ61" s="2328">
        <v>49</v>
      </c>
      <c r="AK61" s="1040">
        <v>69</v>
      </c>
      <c r="AL61" s="2346">
        <f>AJ61/AK61</f>
        <v>0.71014492753623193</v>
      </c>
      <c r="AM61" s="2107"/>
      <c r="AN61" s="2328">
        <v>18</v>
      </c>
      <c r="AO61" s="1040">
        <v>72</v>
      </c>
      <c r="AP61" s="2346">
        <f>AN61/AO61</f>
        <v>0.25</v>
      </c>
      <c r="AR61" s="2328">
        <v>15</v>
      </c>
      <c r="AS61" s="1040">
        <v>61</v>
      </c>
      <c r="AT61" s="2346">
        <f>AR61/AS61</f>
        <v>0.24590163934426229</v>
      </c>
      <c r="AV61" s="2328">
        <v>37</v>
      </c>
      <c r="AW61" s="2293">
        <v>81</v>
      </c>
      <c r="AX61" s="2346">
        <f>AV61/AW61</f>
        <v>0.4567901234567901</v>
      </c>
      <c r="AZ61" s="2328">
        <f>+'I.27.'!AZ61</f>
        <v>38</v>
      </c>
      <c r="BA61" s="2293">
        <f>+'I.26.'!AY61</f>
        <v>109</v>
      </c>
      <c r="BB61" s="2346">
        <f>AZ61/BA61</f>
        <v>0.34862385321100919</v>
      </c>
      <c r="BD61" s="2328">
        <f>+'I.27.'!BD61</f>
        <v>30</v>
      </c>
      <c r="BE61" s="2293">
        <f>+'I.26.'!BC61</f>
        <v>52</v>
      </c>
      <c r="BF61" s="2346">
        <f t="shared" si="14"/>
        <v>0.57692307692307687</v>
      </c>
    </row>
    <row r="62" spans="1:58" ht="18">
      <c r="A62" s="1960"/>
      <c r="B62" s="2355" t="s">
        <v>997</v>
      </c>
      <c r="D62" s="2361"/>
      <c r="E62" s="2362"/>
      <c r="F62" s="2363"/>
      <c r="H62" s="2361"/>
      <c r="I62" s="2362"/>
      <c r="J62" s="2363"/>
      <c r="L62" s="2361"/>
      <c r="M62" s="2362"/>
      <c r="N62" s="2363"/>
      <c r="P62" s="2361"/>
      <c r="Q62" s="2362"/>
      <c r="R62" s="2363"/>
      <c r="T62" s="2361">
        <v>0</v>
      </c>
      <c r="U62" s="2362"/>
      <c r="V62" s="2363"/>
      <c r="X62" s="2361"/>
      <c r="Y62" s="2362"/>
      <c r="Z62" s="2363"/>
      <c r="AB62" s="2361"/>
      <c r="AC62" s="2362">
        <v>10</v>
      </c>
      <c r="AD62" s="2363"/>
      <c r="AF62" s="2361"/>
      <c r="AG62" s="2362">
        <v>8</v>
      </c>
      <c r="AH62" s="2363"/>
      <c r="AJ62" s="2361">
        <v>0</v>
      </c>
      <c r="AK62" s="2362">
        <v>6</v>
      </c>
      <c r="AL62" s="2363"/>
      <c r="AM62" s="2107"/>
      <c r="AN62" s="2361">
        <v>0</v>
      </c>
      <c r="AO62" s="2362">
        <v>11</v>
      </c>
      <c r="AP62" s="2363"/>
      <c r="AR62" s="2340"/>
      <c r="AS62" s="2362">
        <v>19</v>
      </c>
      <c r="AT62" s="2363"/>
      <c r="AV62" s="2340">
        <v>0</v>
      </c>
      <c r="AW62" s="2305">
        <v>14</v>
      </c>
      <c r="AX62" s="2363"/>
      <c r="AZ62" s="2340">
        <f>+'I.27.'!AZ62</f>
        <v>0</v>
      </c>
      <c r="BA62" s="2305">
        <f>+'I.26.'!AY62</f>
        <v>4</v>
      </c>
      <c r="BB62" s="2363"/>
      <c r="BD62" s="2340">
        <f>+'I.27.'!BD62</f>
        <v>0</v>
      </c>
      <c r="BE62" s="2305">
        <f>+'I.26.'!BC62</f>
        <v>10</v>
      </c>
      <c r="BF62" s="2363">
        <f t="shared" ref="BF62:BF82" si="15">BD62/BE62</f>
        <v>0</v>
      </c>
    </row>
    <row r="63" spans="1:58" ht="18">
      <c r="A63" s="1960"/>
      <c r="B63" s="2355" t="s">
        <v>998</v>
      </c>
      <c r="D63" s="2361"/>
      <c r="E63" s="2362"/>
      <c r="F63" s="2363"/>
      <c r="H63" s="2361"/>
      <c r="I63" s="2362"/>
      <c r="J63" s="2363"/>
      <c r="L63" s="2361"/>
      <c r="M63" s="2362"/>
      <c r="N63" s="2363"/>
      <c r="P63" s="2361"/>
      <c r="Q63" s="2362"/>
      <c r="R63" s="2363"/>
      <c r="T63" s="2361">
        <v>0</v>
      </c>
      <c r="U63" s="2362"/>
      <c r="V63" s="2363"/>
      <c r="X63" s="2361"/>
      <c r="Y63" s="2362"/>
      <c r="Z63" s="2363"/>
      <c r="AB63" s="2361"/>
      <c r="AC63" s="2362">
        <v>3</v>
      </c>
      <c r="AD63" s="2363"/>
      <c r="AF63" s="2361"/>
      <c r="AG63" s="2362">
        <v>0</v>
      </c>
      <c r="AH63" s="2363"/>
      <c r="AJ63" s="2361">
        <v>0</v>
      </c>
      <c r="AK63" s="2362">
        <v>21</v>
      </c>
      <c r="AL63" s="2363"/>
      <c r="AM63" s="2107"/>
      <c r="AN63" s="2361">
        <v>0</v>
      </c>
      <c r="AO63" s="2362">
        <v>12</v>
      </c>
      <c r="AP63" s="2363"/>
      <c r="AR63" s="2340"/>
      <c r="AS63" s="2362">
        <v>3</v>
      </c>
      <c r="AT63" s="2363"/>
      <c r="AV63" s="2340">
        <v>0</v>
      </c>
      <c r="AW63" s="2305">
        <v>13</v>
      </c>
      <c r="AX63" s="2363"/>
      <c r="AZ63" s="2340">
        <f>+'I.27.'!AZ63</f>
        <v>0</v>
      </c>
      <c r="BA63" s="2305">
        <f>+'I.26.'!AY63</f>
        <v>22</v>
      </c>
      <c r="BB63" s="2363"/>
      <c r="BD63" s="2340">
        <f>+'I.27.'!BD63</f>
        <v>0</v>
      </c>
      <c r="BE63" s="2305">
        <f>+'I.26.'!BC63</f>
        <v>13</v>
      </c>
      <c r="BF63" s="2363">
        <f t="shared" si="15"/>
        <v>0</v>
      </c>
    </row>
    <row r="64" spans="1:58" ht="18">
      <c r="A64" s="1960"/>
      <c r="B64" s="2355" t="s">
        <v>999</v>
      </c>
      <c r="D64" s="2361"/>
      <c r="E64" s="2362"/>
      <c r="F64" s="2363"/>
      <c r="H64" s="2361"/>
      <c r="I64" s="2362"/>
      <c r="J64" s="2363"/>
      <c r="L64" s="2361"/>
      <c r="M64" s="2362"/>
      <c r="N64" s="2363"/>
      <c r="P64" s="2361"/>
      <c r="Q64" s="2362"/>
      <c r="R64" s="2363"/>
      <c r="T64" s="2361">
        <v>0</v>
      </c>
      <c r="U64" s="2362">
        <v>1</v>
      </c>
      <c r="V64" s="2363">
        <f t="shared" si="4"/>
        <v>0</v>
      </c>
      <c r="X64" s="2361"/>
      <c r="Y64" s="2362">
        <v>25</v>
      </c>
      <c r="Z64" s="2363">
        <f t="shared" ref="Z64:Z84" si="16">X64/Y64</f>
        <v>0</v>
      </c>
      <c r="AB64" s="2361">
        <v>1</v>
      </c>
      <c r="AC64" s="2362">
        <v>26</v>
      </c>
      <c r="AD64" s="2363">
        <f t="shared" ref="AD64:AD84" si="17">AB64/AC64</f>
        <v>3.8461538461538464E-2</v>
      </c>
      <c r="AF64" s="2361"/>
      <c r="AG64" s="2362">
        <v>35</v>
      </c>
      <c r="AH64" s="2363">
        <f t="shared" ref="AH64:AH84" si="18">AF64/AG64</f>
        <v>0</v>
      </c>
      <c r="AJ64" s="2361">
        <v>0</v>
      </c>
      <c r="AK64" s="2362">
        <v>27</v>
      </c>
      <c r="AL64" s="2363">
        <f t="shared" ref="AL64:AL84" si="19">AJ64/AK64</f>
        <v>0</v>
      </c>
      <c r="AM64" s="2107"/>
      <c r="AN64" s="2361">
        <v>0</v>
      </c>
      <c r="AO64" s="2362">
        <v>23</v>
      </c>
      <c r="AP64" s="2363">
        <f t="shared" ref="AP64:AP82" si="20">AN64/AO64</f>
        <v>0</v>
      </c>
      <c r="AR64" s="2340"/>
      <c r="AS64" s="2362">
        <v>7</v>
      </c>
      <c r="AT64" s="2363">
        <f t="shared" ref="AT64:AT82" si="21">AR64/AS64</f>
        <v>0</v>
      </c>
      <c r="AV64" s="2340">
        <v>0</v>
      </c>
      <c r="AW64" s="2305">
        <v>51</v>
      </c>
      <c r="AX64" s="2363">
        <f t="shared" ref="AX64:AX82" si="22">AV64/AW64</f>
        <v>0</v>
      </c>
      <c r="AZ64" s="2340">
        <f>+'I.27.'!AZ64</f>
        <v>0</v>
      </c>
      <c r="BA64" s="2305">
        <f>+'I.26.'!AY64</f>
        <v>62</v>
      </c>
      <c r="BB64" s="2363">
        <f t="shared" ref="BB64:BB82" si="23">AZ64/BA64</f>
        <v>0</v>
      </c>
      <c r="BD64" s="2340">
        <f>+'I.27.'!BD64</f>
        <v>0</v>
      </c>
      <c r="BE64" s="2305">
        <f>+'I.26.'!BC64</f>
        <v>34</v>
      </c>
      <c r="BF64" s="2363">
        <f t="shared" si="15"/>
        <v>0</v>
      </c>
    </row>
    <row r="65" spans="1:58" ht="15" customHeight="1">
      <c r="A65" s="1960"/>
      <c r="B65" s="1961" t="s">
        <v>16</v>
      </c>
      <c r="D65" s="2333"/>
      <c r="E65" s="1962"/>
      <c r="F65" s="2349"/>
      <c r="H65" s="2333"/>
      <c r="I65" s="1962"/>
      <c r="J65" s="2349"/>
      <c r="L65" s="2333"/>
      <c r="M65" s="1962"/>
      <c r="N65" s="2349"/>
      <c r="P65" s="2333">
        <v>0</v>
      </c>
      <c r="Q65" s="1962"/>
      <c r="R65" s="2349"/>
      <c r="T65" s="2333">
        <f>SUM(T62:T64)</f>
        <v>0</v>
      </c>
      <c r="U65" s="1962">
        <f>SUM(U62:U64)</f>
        <v>1</v>
      </c>
      <c r="V65" s="2349">
        <f t="shared" si="4"/>
        <v>0</v>
      </c>
      <c r="X65" s="2333">
        <v>0</v>
      </c>
      <c r="Y65" s="1962">
        <v>25</v>
      </c>
      <c r="Z65" s="2349">
        <f t="shared" si="16"/>
        <v>0</v>
      </c>
      <c r="AB65" s="2333">
        <v>1</v>
      </c>
      <c r="AC65" s="1962">
        <v>39</v>
      </c>
      <c r="AD65" s="2349">
        <f t="shared" si="17"/>
        <v>2.564102564102564E-2</v>
      </c>
      <c r="AF65" s="2333">
        <v>0</v>
      </c>
      <c r="AG65" s="1962">
        <v>43</v>
      </c>
      <c r="AH65" s="2349">
        <f t="shared" si="18"/>
        <v>0</v>
      </c>
      <c r="AJ65" s="2333">
        <v>0</v>
      </c>
      <c r="AK65" s="1962">
        <v>54</v>
      </c>
      <c r="AL65" s="2349">
        <f t="shared" si="19"/>
        <v>0</v>
      </c>
      <c r="AM65" s="2107"/>
      <c r="AN65" s="2333">
        <v>0</v>
      </c>
      <c r="AO65" s="1962">
        <v>46</v>
      </c>
      <c r="AP65" s="2349">
        <f t="shared" si="20"/>
        <v>0</v>
      </c>
      <c r="AR65" s="2333">
        <v>0</v>
      </c>
      <c r="AS65" s="1962">
        <v>29</v>
      </c>
      <c r="AT65" s="2349">
        <f t="shared" si="21"/>
        <v>0</v>
      </c>
      <c r="AV65" s="2333">
        <v>0</v>
      </c>
      <c r="AW65" s="2297">
        <v>78</v>
      </c>
      <c r="AX65" s="2349">
        <f t="shared" si="22"/>
        <v>0</v>
      </c>
      <c r="AZ65" s="2333">
        <f>+'I.27.'!AZ65</f>
        <v>0</v>
      </c>
      <c r="BA65" s="2297">
        <f>+'I.26.'!AY65</f>
        <v>88</v>
      </c>
      <c r="BB65" s="2349">
        <f t="shared" si="23"/>
        <v>0</v>
      </c>
      <c r="BD65" s="2333">
        <f>+'I.27.'!BD65</f>
        <v>0</v>
      </c>
      <c r="BE65" s="2297">
        <f>+'I.26.'!BC65</f>
        <v>57</v>
      </c>
      <c r="BF65" s="2349">
        <f t="shared" si="15"/>
        <v>0</v>
      </c>
    </row>
    <row r="66" spans="1:58" ht="15" customHeight="1">
      <c r="A66" s="1960"/>
      <c r="B66" s="2360" t="s">
        <v>338</v>
      </c>
      <c r="D66" s="2342"/>
      <c r="E66" s="2343"/>
      <c r="F66" s="2353"/>
      <c r="H66" s="2342"/>
      <c r="I66" s="2343"/>
      <c r="J66" s="2353"/>
      <c r="L66" s="2342"/>
      <c r="M66" s="2343"/>
      <c r="N66" s="2353"/>
      <c r="P66" s="2342">
        <v>0</v>
      </c>
      <c r="Q66" s="2343">
        <f>SUM(Q57,Q61,Q65)</f>
        <v>18</v>
      </c>
      <c r="R66" s="2353"/>
      <c r="T66" s="2342">
        <f>SUM(T57,T61,T65)</f>
        <v>15</v>
      </c>
      <c r="U66" s="2343">
        <f>SUM(U57,U61,U65)</f>
        <v>24</v>
      </c>
      <c r="V66" s="2353">
        <f t="shared" si="4"/>
        <v>0.625</v>
      </c>
      <c r="X66" s="2342">
        <v>25</v>
      </c>
      <c r="Y66" s="2343">
        <v>57</v>
      </c>
      <c r="Z66" s="2353">
        <f t="shared" si="16"/>
        <v>0.43859649122807015</v>
      </c>
      <c r="AB66" s="2342">
        <v>12</v>
      </c>
      <c r="AC66" s="2343">
        <v>60</v>
      </c>
      <c r="AD66" s="2353">
        <f t="shared" si="17"/>
        <v>0.2</v>
      </c>
      <c r="AF66" s="2342">
        <v>61</v>
      </c>
      <c r="AG66" s="2343">
        <v>137</v>
      </c>
      <c r="AH66" s="2353">
        <f t="shared" si="18"/>
        <v>0.44525547445255476</v>
      </c>
      <c r="AJ66" s="2342">
        <v>64</v>
      </c>
      <c r="AK66" s="2343">
        <v>159</v>
      </c>
      <c r="AL66" s="2353">
        <f t="shared" si="19"/>
        <v>0.40251572327044027</v>
      </c>
      <c r="AM66" s="2107"/>
      <c r="AN66" s="2342">
        <v>28</v>
      </c>
      <c r="AO66" s="2343">
        <v>138</v>
      </c>
      <c r="AP66" s="2353">
        <f t="shared" si="20"/>
        <v>0.20289855072463769</v>
      </c>
      <c r="AR66" s="2342">
        <v>18</v>
      </c>
      <c r="AS66" s="2343">
        <v>104</v>
      </c>
      <c r="AT66" s="2353">
        <f t="shared" si="21"/>
        <v>0.17307692307692307</v>
      </c>
      <c r="AV66" s="2342">
        <v>57</v>
      </c>
      <c r="AW66" s="2307">
        <v>200</v>
      </c>
      <c r="AX66" s="2353">
        <f t="shared" si="22"/>
        <v>0.28499999999999998</v>
      </c>
      <c r="AZ66" s="2342">
        <f>+'I.27.'!AZ66</f>
        <v>60</v>
      </c>
      <c r="BA66" s="2307">
        <f>+'I.26.'!AY66</f>
        <v>285</v>
      </c>
      <c r="BB66" s="2353">
        <f t="shared" si="23"/>
        <v>0.21052631578947367</v>
      </c>
      <c r="BD66" s="2342">
        <f>+'I.27.'!BD66</f>
        <v>37</v>
      </c>
      <c r="BE66" s="2307">
        <f>+'I.26.'!BC66</f>
        <v>131</v>
      </c>
      <c r="BF66" s="2353">
        <f t="shared" si="15"/>
        <v>0.28244274809160308</v>
      </c>
    </row>
    <row r="67" spans="1:58" ht="18">
      <c r="A67" s="1960"/>
      <c r="B67" s="2355" t="s">
        <v>1000</v>
      </c>
      <c r="D67" s="2329">
        <v>50</v>
      </c>
      <c r="E67" s="2330">
        <v>221</v>
      </c>
      <c r="F67" s="2347">
        <f t="shared" si="0"/>
        <v>0.22624434389140272</v>
      </c>
      <c r="H67" s="2329">
        <v>33</v>
      </c>
      <c r="I67" s="2330">
        <v>216</v>
      </c>
      <c r="J67" s="2347">
        <f t="shared" si="1"/>
        <v>0.15277777777777779</v>
      </c>
      <c r="L67" s="2329">
        <v>38</v>
      </c>
      <c r="M67" s="2330">
        <v>224</v>
      </c>
      <c r="N67" s="2347">
        <f t="shared" si="2"/>
        <v>0.16964285714285715</v>
      </c>
      <c r="P67" s="2329">
        <v>35</v>
      </c>
      <c r="Q67" s="2330">
        <v>151</v>
      </c>
      <c r="R67" s="2347">
        <f t="shared" si="3"/>
        <v>0.23178807947019867</v>
      </c>
      <c r="T67" s="2329">
        <v>51</v>
      </c>
      <c r="U67" s="2330">
        <v>252</v>
      </c>
      <c r="V67" s="2347">
        <f t="shared" si="4"/>
        <v>0.20238095238095238</v>
      </c>
      <c r="X67" s="2329">
        <v>46</v>
      </c>
      <c r="Y67" s="2330">
        <v>217</v>
      </c>
      <c r="Z67" s="2347">
        <f t="shared" si="16"/>
        <v>0.2119815668202765</v>
      </c>
      <c r="AB67" s="2329">
        <v>48</v>
      </c>
      <c r="AC67" s="2330">
        <v>204</v>
      </c>
      <c r="AD67" s="2347">
        <f t="shared" si="17"/>
        <v>0.23529411764705882</v>
      </c>
      <c r="AF67" s="2329">
        <v>45</v>
      </c>
      <c r="AG67" s="2330">
        <v>228</v>
      </c>
      <c r="AH67" s="2347">
        <f t="shared" si="18"/>
        <v>0.19736842105263158</v>
      </c>
      <c r="AJ67" s="2329">
        <v>43</v>
      </c>
      <c r="AK67" s="2330">
        <v>208</v>
      </c>
      <c r="AL67" s="2347">
        <f t="shared" si="19"/>
        <v>0.20673076923076922</v>
      </c>
      <c r="AM67" s="2107"/>
      <c r="AN67" s="2329">
        <v>84</v>
      </c>
      <c r="AO67" s="2330">
        <v>277</v>
      </c>
      <c r="AP67" s="2347">
        <f t="shared" si="20"/>
        <v>0.30324909747292417</v>
      </c>
      <c r="AR67" s="2329">
        <v>49</v>
      </c>
      <c r="AS67" s="2330">
        <v>181</v>
      </c>
      <c r="AT67" s="2347">
        <f t="shared" si="21"/>
        <v>0.27071823204419887</v>
      </c>
      <c r="AV67" s="2329">
        <v>93</v>
      </c>
      <c r="AW67" s="2300">
        <v>278</v>
      </c>
      <c r="AX67" s="2347">
        <f t="shared" si="22"/>
        <v>0.3345323741007194</v>
      </c>
      <c r="AZ67" s="2329">
        <f>+'I.27.'!AZ67</f>
        <v>75</v>
      </c>
      <c r="BA67" s="2300">
        <f>+'I.26.'!AY67</f>
        <v>253</v>
      </c>
      <c r="BB67" s="2347">
        <f t="shared" si="23"/>
        <v>0.29644268774703558</v>
      </c>
      <c r="BD67" s="2329">
        <f>+'I.27.'!BD67</f>
        <v>61</v>
      </c>
      <c r="BE67" s="2300">
        <f>+'I.26.'!BC67</f>
        <v>222</v>
      </c>
      <c r="BF67" s="2347">
        <f t="shared" si="15"/>
        <v>0.2747747747747748</v>
      </c>
    </row>
    <row r="68" spans="1:58" ht="18">
      <c r="A68" s="1960"/>
      <c r="B68" s="2355" t="s">
        <v>1001</v>
      </c>
      <c r="D68" s="2329">
        <v>26</v>
      </c>
      <c r="E68" s="2330">
        <v>60</v>
      </c>
      <c r="F68" s="2347">
        <f t="shared" si="0"/>
        <v>0.43333333333333335</v>
      </c>
      <c r="H68" s="2329">
        <v>12</v>
      </c>
      <c r="I68" s="2330">
        <v>44</v>
      </c>
      <c r="J68" s="2347">
        <f t="shared" si="1"/>
        <v>0.27272727272727271</v>
      </c>
      <c r="L68" s="2329">
        <v>21</v>
      </c>
      <c r="M68" s="2330">
        <v>66</v>
      </c>
      <c r="N68" s="2347">
        <f t="shared" si="2"/>
        <v>0.31818181818181818</v>
      </c>
      <c r="P68" s="2329">
        <v>31</v>
      </c>
      <c r="Q68" s="2330">
        <v>75</v>
      </c>
      <c r="R68" s="2347">
        <f t="shared" si="3"/>
        <v>0.41333333333333333</v>
      </c>
      <c r="T68" s="2329">
        <v>24</v>
      </c>
      <c r="U68" s="2330">
        <v>96</v>
      </c>
      <c r="V68" s="2347">
        <f t="shared" si="4"/>
        <v>0.25</v>
      </c>
      <c r="X68" s="2329">
        <v>21</v>
      </c>
      <c r="Y68" s="2330">
        <v>58</v>
      </c>
      <c r="Z68" s="2347">
        <f t="shared" si="16"/>
        <v>0.36206896551724138</v>
      </c>
      <c r="AB68" s="2329">
        <v>17</v>
      </c>
      <c r="AC68" s="2330">
        <v>83</v>
      </c>
      <c r="AD68" s="2347">
        <f t="shared" si="17"/>
        <v>0.20481927710843373</v>
      </c>
      <c r="AF68" s="2329">
        <v>22</v>
      </c>
      <c r="AG68" s="2330">
        <v>84</v>
      </c>
      <c r="AH68" s="2347">
        <f t="shared" si="18"/>
        <v>0.26190476190476192</v>
      </c>
      <c r="AJ68" s="2329">
        <v>19</v>
      </c>
      <c r="AK68" s="2330">
        <v>94</v>
      </c>
      <c r="AL68" s="2347">
        <f t="shared" si="19"/>
        <v>0.20212765957446807</v>
      </c>
      <c r="AM68" s="2107"/>
      <c r="AN68" s="2329">
        <v>21</v>
      </c>
      <c r="AO68" s="2330">
        <v>81</v>
      </c>
      <c r="AP68" s="2347">
        <f t="shared" si="20"/>
        <v>0.25925925925925924</v>
      </c>
      <c r="AR68" s="2329">
        <v>9</v>
      </c>
      <c r="AS68" s="2330">
        <v>32</v>
      </c>
      <c r="AT68" s="2347">
        <f t="shared" si="21"/>
        <v>0.28125</v>
      </c>
      <c r="AV68" s="2329">
        <v>41</v>
      </c>
      <c r="AW68" s="2300">
        <v>95</v>
      </c>
      <c r="AX68" s="2347">
        <f t="shared" si="22"/>
        <v>0.43157894736842106</v>
      </c>
      <c r="AZ68" s="2329">
        <f>+'I.27.'!AZ68</f>
        <v>25</v>
      </c>
      <c r="BA68" s="2300">
        <f>+'I.26.'!AY68</f>
        <v>46</v>
      </c>
      <c r="BB68" s="2347">
        <f t="shared" si="23"/>
        <v>0.54347826086956519</v>
      </c>
      <c r="BD68" s="2329">
        <f>+'I.27.'!BD68</f>
        <v>26</v>
      </c>
      <c r="BE68" s="2300">
        <f>+'I.26.'!BC68</f>
        <v>54</v>
      </c>
      <c r="BF68" s="2347">
        <f t="shared" si="15"/>
        <v>0.48148148148148145</v>
      </c>
    </row>
    <row r="69" spans="1:58" ht="18">
      <c r="A69" s="1960"/>
      <c r="B69" s="2355" t="s">
        <v>1002</v>
      </c>
      <c r="D69" s="2329">
        <v>73</v>
      </c>
      <c r="E69" s="2330">
        <v>157</v>
      </c>
      <c r="F69" s="2347">
        <f t="shared" si="0"/>
        <v>0.46496815286624205</v>
      </c>
      <c r="H69" s="2329">
        <v>74</v>
      </c>
      <c r="I69" s="2330">
        <v>147</v>
      </c>
      <c r="J69" s="2347">
        <f t="shared" si="1"/>
        <v>0.50340136054421769</v>
      </c>
      <c r="L69" s="2329">
        <v>84</v>
      </c>
      <c r="M69" s="2330">
        <v>189</v>
      </c>
      <c r="N69" s="2347">
        <f t="shared" si="2"/>
        <v>0.44444444444444442</v>
      </c>
      <c r="P69" s="2329">
        <v>86</v>
      </c>
      <c r="Q69" s="2330">
        <v>177</v>
      </c>
      <c r="R69" s="2347">
        <f t="shared" si="3"/>
        <v>0.48587570621468928</v>
      </c>
      <c r="T69" s="2329">
        <v>84</v>
      </c>
      <c r="U69" s="2330">
        <v>148</v>
      </c>
      <c r="V69" s="2347">
        <f t="shared" si="4"/>
        <v>0.56756756756756754</v>
      </c>
      <c r="X69" s="2329">
        <v>83</v>
      </c>
      <c r="Y69" s="2330">
        <v>185</v>
      </c>
      <c r="Z69" s="2347">
        <f t="shared" si="16"/>
        <v>0.44864864864864867</v>
      </c>
      <c r="AB69" s="2329">
        <v>38</v>
      </c>
      <c r="AC69" s="2330">
        <v>87</v>
      </c>
      <c r="AD69" s="2347">
        <f t="shared" si="17"/>
        <v>0.43678160919540232</v>
      </c>
      <c r="AF69" s="2329">
        <v>64</v>
      </c>
      <c r="AG69" s="2330">
        <v>124</v>
      </c>
      <c r="AH69" s="2347">
        <f t="shared" si="18"/>
        <v>0.5161290322580645</v>
      </c>
      <c r="AJ69" s="2329">
        <v>60</v>
      </c>
      <c r="AK69" s="2330">
        <v>118</v>
      </c>
      <c r="AL69" s="2347">
        <f t="shared" si="19"/>
        <v>0.50847457627118642</v>
      </c>
      <c r="AM69" s="2107"/>
      <c r="AN69" s="2329">
        <v>64</v>
      </c>
      <c r="AO69" s="2330">
        <v>121</v>
      </c>
      <c r="AP69" s="2347">
        <f t="shared" si="20"/>
        <v>0.52892561983471076</v>
      </c>
      <c r="AR69" s="2329">
        <v>59</v>
      </c>
      <c r="AS69" s="2330">
        <v>106</v>
      </c>
      <c r="AT69" s="2347">
        <f t="shared" si="21"/>
        <v>0.55660377358490565</v>
      </c>
      <c r="AV69" s="2329">
        <v>79</v>
      </c>
      <c r="AW69" s="2300">
        <v>144</v>
      </c>
      <c r="AX69" s="2347">
        <f t="shared" si="22"/>
        <v>0.54861111111111116</v>
      </c>
      <c r="AZ69" s="2329">
        <f>+'I.27.'!AZ69</f>
        <v>121</v>
      </c>
      <c r="BA69" s="2300">
        <f>+'I.26.'!AY69</f>
        <v>195</v>
      </c>
      <c r="BB69" s="2347">
        <f t="shared" si="23"/>
        <v>0.62051282051282053</v>
      </c>
      <c r="BD69" s="2329">
        <f>+'I.27.'!BD69</f>
        <v>99</v>
      </c>
      <c r="BE69" s="2300">
        <f>+'I.26.'!BC69</f>
        <v>148</v>
      </c>
      <c r="BF69" s="2347">
        <f t="shared" si="15"/>
        <v>0.66891891891891897</v>
      </c>
    </row>
    <row r="70" spans="1:58" ht="18">
      <c r="A70" s="1960"/>
      <c r="B70" s="2355" t="s">
        <v>1003</v>
      </c>
      <c r="D70" s="2329">
        <v>49</v>
      </c>
      <c r="E70" s="2330">
        <v>86</v>
      </c>
      <c r="F70" s="2347">
        <f t="shared" ref="F70:F84" si="24">D70/E70</f>
        <v>0.56976744186046513</v>
      </c>
      <c r="H70" s="2329">
        <v>46</v>
      </c>
      <c r="I70" s="2330">
        <v>80</v>
      </c>
      <c r="J70" s="2347">
        <f t="shared" ref="J70:J84" si="25">H70/I70</f>
        <v>0.57499999999999996</v>
      </c>
      <c r="L70" s="2329">
        <v>58</v>
      </c>
      <c r="M70" s="2330">
        <v>118</v>
      </c>
      <c r="N70" s="2347">
        <f t="shared" ref="N70:N84" si="26">L70/M70</f>
        <v>0.49152542372881358</v>
      </c>
      <c r="P70" s="2329">
        <v>78</v>
      </c>
      <c r="Q70" s="2330">
        <v>131</v>
      </c>
      <c r="R70" s="2347">
        <f t="shared" ref="R70:R84" si="27">P70/Q70</f>
        <v>0.59541984732824427</v>
      </c>
      <c r="T70" s="2329">
        <v>106</v>
      </c>
      <c r="U70" s="2330">
        <v>165</v>
      </c>
      <c r="V70" s="2347">
        <f t="shared" ref="V70:V84" si="28">T70/U70</f>
        <v>0.64242424242424245</v>
      </c>
      <c r="X70" s="2329">
        <v>77</v>
      </c>
      <c r="Y70" s="2330">
        <v>136</v>
      </c>
      <c r="Z70" s="2347">
        <f t="shared" si="16"/>
        <v>0.56617647058823528</v>
      </c>
      <c r="AB70" s="2329">
        <v>59</v>
      </c>
      <c r="AC70" s="2330">
        <v>96</v>
      </c>
      <c r="AD70" s="2347">
        <f t="shared" si="17"/>
        <v>0.61458333333333337</v>
      </c>
      <c r="AF70" s="2329">
        <v>63</v>
      </c>
      <c r="AG70" s="2330">
        <v>123</v>
      </c>
      <c r="AH70" s="2347">
        <f t="shared" si="18"/>
        <v>0.51219512195121952</v>
      </c>
      <c r="AJ70" s="2329">
        <v>79</v>
      </c>
      <c r="AK70" s="2330">
        <v>117</v>
      </c>
      <c r="AL70" s="2347">
        <f t="shared" si="19"/>
        <v>0.67521367521367526</v>
      </c>
      <c r="AM70" s="2107"/>
      <c r="AN70" s="2329">
        <v>55</v>
      </c>
      <c r="AO70" s="2330">
        <v>98</v>
      </c>
      <c r="AP70" s="2347">
        <f t="shared" si="20"/>
        <v>0.56122448979591832</v>
      </c>
      <c r="AR70" s="2329">
        <v>75</v>
      </c>
      <c r="AS70" s="2330">
        <v>104</v>
      </c>
      <c r="AT70" s="2347">
        <f t="shared" si="21"/>
        <v>0.72115384615384615</v>
      </c>
      <c r="AV70" s="2329">
        <v>69</v>
      </c>
      <c r="AW70" s="2300">
        <v>110</v>
      </c>
      <c r="AX70" s="2347">
        <f t="shared" si="22"/>
        <v>0.62727272727272732</v>
      </c>
      <c r="AZ70" s="2329">
        <f>+'I.27.'!AZ70</f>
        <v>73</v>
      </c>
      <c r="BA70" s="2300">
        <f>+'I.26.'!AY70</f>
        <v>104</v>
      </c>
      <c r="BB70" s="2347">
        <f t="shared" si="23"/>
        <v>0.70192307692307687</v>
      </c>
      <c r="BD70" s="2329">
        <f>+'I.27.'!BD70</f>
        <v>78</v>
      </c>
      <c r="BE70" s="2300">
        <f>+'I.26.'!BC70</f>
        <v>120</v>
      </c>
      <c r="BF70" s="2347">
        <f t="shared" si="15"/>
        <v>0.65</v>
      </c>
    </row>
    <row r="71" spans="1:58" ht="15" customHeight="1">
      <c r="A71" s="1960"/>
      <c r="B71" s="1929" t="s">
        <v>41</v>
      </c>
      <c r="D71" s="2328">
        <f>SUM(D67:D70)</f>
        <v>198</v>
      </c>
      <c r="E71" s="1040">
        <v>524</v>
      </c>
      <c r="F71" s="2346">
        <f t="shared" si="24"/>
        <v>0.37786259541984735</v>
      </c>
      <c r="H71" s="2328">
        <v>165</v>
      </c>
      <c r="I71" s="1040">
        <v>487</v>
      </c>
      <c r="J71" s="2346">
        <f t="shared" si="25"/>
        <v>0.33880903490759756</v>
      </c>
      <c r="L71" s="2328">
        <v>201</v>
      </c>
      <c r="M71" s="1040">
        <v>597</v>
      </c>
      <c r="N71" s="2346">
        <f t="shared" si="26"/>
        <v>0.33668341708542715</v>
      </c>
      <c r="P71" s="2328">
        <v>230</v>
      </c>
      <c r="Q71" s="1040">
        <f>SUM(Q67:Q70)</f>
        <v>534</v>
      </c>
      <c r="R71" s="2346">
        <f t="shared" si="27"/>
        <v>0.43071161048689138</v>
      </c>
      <c r="T71" s="2328">
        <f>SUM(T67:T70)</f>
        <v>265</v>
      </c>
      <c r="U71" s="1040">
        <f>SUM(U67:U70)</f>
        <v>661</v>
      </c>
      <c r="V71" s="2346">
        <f t="shared" si="28"/>
        <v>0.40090771558245081</v>
      </c>
      <c r="X71" s="2328">
        <v>227</v>
      </c>
      <c r="Y71" s="1040">
        <v>596</v>
      </c>
      <c r="Z71" s="2346">
        <f t="shared" si="16"/>
        <v>0.38087248322147649</v>
      </c>
      <c r="AB71" s="2328">
        <v>162</v>
      </c>
      <c r="AC71" s="1040">
        <v>470</v>
      </c>
      <c r="AD71" s="2346">
        <f t="shared" si="17"/>
        <v>0.34468085106382979</v>
      </c>
      <c r="AF71" s="2328">
        <v>194</v>
      </c>
      <c r="AG71" s="1040">
        <v>559</v>
      </c>
      <c r="AH71" s="2346">
        <f t="shared" si="18"/>
        <v>0.34704830053667263</v>
      </c>
      <c r="AJ71" s="2328">
        <v>201</v>
      </c>
      <c r="AK71" s="1040">
        <v>537</v>
      </c>
      <c r="AL71" s="2346">
        <f t="shared" si="19"/>
        <v>0.37430167597765363</v>
      </c>
      <c r="AM71" s="2107"/>
      <c r="AN71" s="2328">
        <v>224</v>
      </c>
      <c r="AO71" s="1040">
        <v>577</v>
      </c>
      <c r="AP71" s="2346">
        <f t="shared" si="20"/>
        <v>0.38821490467937608</v>
      </c>
      <c r="AR71" s="2328">
        <v>192</v>
      </c>
      <c r="AS71" s="1040">
        <v>423</v>
      </c>
      <c r="AT71" s="2346">
        <f t="shared" si="21"/>
        <v>0.45390070921985815</v>
      </c>
      <c r="AV71" s="2328">
        <v>282</v>
      </c>
      <c r="AW71" s="2293">
        <v>627</v>
      </c>
      <c r="AX71" s="2346">
        <f t="shared" si="22"/>
        <v>0.44976076555023925</v>
      </c>
      <c r="AZ71" s="2328">
        <f>+'I.27.'!AZ71</f>
        <v>294</v>
      </c>
      <c r="BA71" s="2293">
        <f>+'I.26.'!AY71</f>
        <v>598</v>
      </c>
      <c r="BB71" s="2346">
        <f t="shared" si="23"/>
        <v>0.49163879598662208</v>
      </c>
      <c r="BD71" s="2328">
        <f>+'I.27.'!BD71</f>
        <v>264</v>
      </c>
      <c r="BE71" s="2293">
        <f>+'I.26.'!BC71</f>
        <v>544</v>
      </c>
      <c r="BF71" s="2346">
        <f t="shared" si="15"/>
        <v>0.48529411764705882</v>
      </c>
    </row>
    <row r="72" spans="1:58" ht="18">
      <c r="A72" s="1960"/>
      <c r="B72" s="2355" t="s">
        <v>1004</v>
      </c>
      <c r="D72" s="2329">
        <v>5</v>
      </c>
      <c r="E72" s="2330">
        <v>245</v>
      </c>
      <c r="F72" s="2347">
        <f t="shared" si="24"/>
        <v>2.0408163265306121E-2</v>
      </c>
      <c r="H72" s="2329"/>
      <c r="I72" s="2330">
        <v>210</v>
      </c>
      <c r="J72" s="2347">
        <f t="shared" si="25"/>
        <v>0</v>
      </c>
      <c r="L72" s="2329">
        <v>3</v>
      </c>
      <c r="M72" s="2330">
        <v>303</v>
      </c>
      <c r="N72" s="2347">
        <f t="shared" si="26"/>
        <v>9.9009900990099011E-3</v>
      </c>
      <c r="P72" s="2329">
        <v>1</v>
      </c>
      <c r="Q72" s="2330">
        <v>219</v>
      </c>
      <c r="R72" s="2347">
        <f t="shared" si="27"/>
        <v>4.5662100456621002E-3</v>
      </c>
      <c r="T72" s="2329">
        <v>4</v>
      </c>
      <c r="U72" s="2330">
        <v>233</v>
      </c>
      <c r="V72" s="2347">
        <f t="shared" si="28"/>
        <v>1.7167381974248927E-2</v>
      </c>
      <c r="X72" s="2329"/>
      <c r="Y72" s="2330">
        <v>221</v>
      </c>
      <c r="Z72" s="2347">
        <f t="shared" si="16"/>
        <v>0</v>
      </c>
      <c r="AB72" s="2329">
        <v>3</v>
      </c>
      <c r="AC72" s="2330">
        <v>210</v>
      </c>
      <c r="AD72" s="2347">
        <f t="shared" si="17"/>
        <v>1.4285714285714285E-2</v>
      </c>
      <c r="AF72" s="2329"/>
      <c r="AG72" s="2330">
        <v>159</v>
      </c>
      <c r="AH72" s="2347">
        <f t="shared" si="18"/>
        <v>0</v>
      </c>
      <c r="AJ72" s="2329">
        <v>5</v>
      </c>
      <c r="AK72" s="2330">
        <v>142</v>
      </c>
      <c r="AL72" s="2347">
        <f t="shared" si="19"/>
        <v>3.5211267605633804E-2</v>
      </c>
      <c r="AM72" s="2107"/>
      <c r="AN72" s="2329">
        <v>6</v>
      </c>
      <c r="AO72" s="2330">
        <v>132</v>
      </c>
      <c r="AP72" s="2347">
        <f t="shared" si="20"/>
        <v>4.5454545454545456E-2</v>
      </c>
      <c r="AR72" s="2329">
        <v>3</v>
      </c>
      <c r="AS72" s="2330">
        <v>78</v>
      </c>
      <c r="AT72" s="2347">
        <f t="shared" si="21"/>
        <v>3.8461538461538464E-2</v>
      </c>
      <c r="AV72" s="2329">
        <v>1</v>
      </c>
      <c r="AW72" s="2300">
        <v>166</v>
      </c>
      <c r="AX72" s="2347">
        <f t="shared" si="22"/>
        <v>6.024096385542169E-3</v>
      </c>
      <c r="AZ72" s="2329">
        <f>+'I.27.'!AZ72</f>
        <v>5</v>
      </c>
      <c r="BA72" s="2300">
        <f>+'I.26.'!AY72</f>
        <v>153</v>
      </c>
      <c r="BB72" s="2347">
        <f t="shared" si="23"/>
        <v>3.2679738562091505E-2</v>
      </c>
      <c r="BD72" s="2329">
        <f>+'I.27.'!BD72</f>
        <v>1</v>
      </c>
      <c r="BE72" s="2300">
        <f>+'I.26.'!BC72</f>
        <v>139</v>
      </c>
      <c r="BF72" s="2347">
        <f t="shared" si="15"/>
        <v>7.1942446043165471E-3</v>
      </c>
    </row>
    <row r="73" spans="1:58" ht="18">
      <c r="A73" s="1960"/>
      <c r="B73" s="2355" t="s">
        <v>1005</v>
      </c>
      <c r="D73" s="2329"/>
      <c r="E73" s="2330">
        <v>151</v>
      </c>
      <c r="F73" s="2347">
        <f t="shared" si="24"/>
        <v>0</v>
      </c>
      <c r="H73" s="2329"/>
      <c r="I73" s="2330">
        <v>162</v>
      </c>
      <c r="J73" s="2347">
        <f t="shared" si="25"/>
        <v>0</v>
      </c>
      <c r="L73" s="2329">
        <v>1</v>
      </c>
      <c r="M73" s="2330">
        <v>229</v>
      </c>
      <c r="N73" s="2347">
        <f t="shared" si="26"/>
        <v>4.3668122270742356E-3</v>
      </c>
      <c r="P73" s="2329"/>
      <c r="Q73" s="2330">
        <v>174</v>
      </c>
      <c r="R73" s="2347">
        <f t="shared" si="27"/>
        <v>0</v>
      </c>
      <c r="T73" s="2329">
        <v>4</v>
      </c>
      <c r="U73" s="2330">
        <v>220</v>
      </c>
      <c r="V73" s="2347">
        <f t="shared" si="28"/>
        <v>1.8181818181818181E-2</v>
      </c>
      <c r="X73" s="2329">
        <v>1</v>
      </c>
      <c r="Y73" s="2330">
        <v>170</v>
      </c>
      <c r="Z73" s="2347">
        <f t="shared" si="16"/>
        <v>5.8823529411764705E-3</v>
      </c>
      <c r="AB73" s="2329"/>
      <c r="AC73" s="2330">
        <v>139</v>
      </c>
      <c r="AD73" s="2347">
        <f t="shared" si="17"/>
        <v>0</v>
      </c>
      <c r="AF73" s="2329">
        <v>1</v>
      </c>
      <c r="AG73" s="2330">
        <v>142</v>
      </c>
      <c r="AH73" s="2347">
        <f t="shared" si="18"/>
        <v>7.0422535211267607E-3</v>
      </c>
      <c r="AJ73" s="2329">
        <v>2</v>
      </c>
      <c r="AK73" s="2330">
        <v>207</v>
      </c>
      <c r="AL73" s="2347">
        <f t="shared" si="19"/>
        <v>9.6618357487922701E-3</v>
      </c>
      <c r="AM73" s="2107"/>
      <c r="AN73" s="2329">
        <v>0</v>
      </c>
      <c r="AO73" s="2330">
        <v>186</v>
      </c>
      <c r="AP73" s="2347">
        <f t="shared" si="20"/>
        <v>0</v>
      </c>
      <c r="AR73" s="2329">
        <v>1</v>
      </c>
      <c r="AS73" s="2330">
        <v>99</v>
      </c>
      <c r="AT73" s="2347">
        <f t="shared" si="21"/>
        <v>1.0101010101010102E-2</v>
      </c>
      <c r="AV73" s="2329">
        <v>0</v>
      </c>
      <c r="AW73" s="2300">
        <v>230</v>
      </c>
      <c r="AX73" s="2347">
        <f t="shared" si="22"/>
        <v>0</v>
      </c>
      <c r="AZ73" s="2329">
        <f>+'I.27.'!AZ73</f>
        <v>7</v>
      </c>
      <c r="BA73" s="2300">
        <f>+'I.26.'!AY73</f>
        <v>142</v>
      </c>
      <c r="BB73" s="2347">
        <f t="shared" si="23"/>
        <v>4.9295774647887321E-2</v>
      </c>
      <c r="BD73" s="2329">
        <f>+'I.27.'!BD73</f>
        <v>1</v>
      </c>
      <c r="BE73" s="2300">
        <f>+'I.26.'!BC73</f>
        <v>239</v>
      </c>
      <c r="BF73" s="2347">
        <f t="shared" si="15"/>
        <v>4.1841004184100415E-3</v>
      </c>
    </row>
    <row r="74" spans="1:58" ht="18">
      <c r="A74" s="1960"/>
      <c r="B74" s="2355" t="s">
        <v>1006</v>
      </c>
      <c r="D74" s="2329">
        <v>1</v>
      </c>
      <c r="E74" s="2330">
        <v>160</v>
      </c>
      <c r="F74" s="2347">
        <f t="shared" si="24"/>
        <v>6.2500000000000003E-3</v>
      </c>
      <c r="H74" s="2329">
        <v>4</v>
      </c>
      <c r="I74" s="2330">
        <v>153</v>
      </c>
      <c r="J74" s="2347">
        <f t="shared" si="25"/>
        <v>2.6143790849673203E-2</v>
      </c>
      <c r="L74" s="2329">
        <v>41</v>
      </c>
      <c r="M74" s="2330">
        <v>286</v>
      </c>
      <c r="N74" s="2347">
        <f t="shared" si="26"/>
        <v>0.14335664335664336</v>
      </c>
      <c r="P74" s="2329">
        <v>20</v>
      </c>
      <c r="Q74" s="2330">
        <v>122</v>
      </c>
      <c r="R74" s="2347">
        <f t="shared" si="27"/>
        <v>0.16393442622950818</v>
      </c>
      <c r="T74" s="2329">
        <v>1</v>
      </c>
      <c r="U74" s="2330">
        <v>143</v>
      </c>
      <c r="V74" s="2347">
        <f t="shared" si="28"/>
        <v>6.993006993006993E-3</v>
      </c>
      <c r="X74" s="2329">
        <v>1</v>
      </c>
      <c r="Y74" s="2330">
        <v>153</v>
      </c>
      <c r="Z74" s="2347">
        <f t="shared" si="16"/>
        <v>6.5359477124183009E-3</v>
      </c>
      <c r="AB74" s="2329">
        <v>2</v>
      </c>
      <c r="AC74" s="2330">
        <v>119</v>
      </c>
      <c r="AD74" s="2347">
        <f t="shared" si="17"/>
        <v>1.680672268907563E-2</v>
      </c>
      <c r="AF74" s="2329">
        <v>5</v>
      </c>
      <c r="AG74" s="2330">
        <v>159</v>
      </c>
      <c r="AH74" s="2347">
        <f t="shared" si="18"/>
        <v>3.1446540880503145E-2</v>
      </c>
      <c r="AJ74" s="2329">
        <v>3</v>
      </c>
      <c r="AK74" s="2330">
        <v>161</v>
      </c>
      <c r="AL74" s="2347">
        <f t="shared" si="19"/>
        <v>1.8633540372670808E-2</v>
      </c>
      <c r="AM74" s="2107"/>
      <c r="AN74" s="2329">
        <v>3</v>
      </c>
      <c r="AO74" s="2330">
        <v>109</v>
      </c>
      <c r="AP74" s="2347">
        <f t="shared" si="20"/>
        <v>2.7522935779816515E-2</v>
      </c>
      <c r="AR74" s="2329">
        <v>3</v>
      </c>
      <c r="AS74" s="2330">
        <v>56</v>
      </c>
      <c r="AT74" s="2347">
        <f t="shared" si="21"/>
        <v>5.3571428571428568E-2</v>
      </c>
      <c r="AV74" s="2329">
        <v>1</v>
      </c>
      <c r="AW74" s="2300">
        <v>186</v>
      </c>
      <c r="AX74" s="2347">
        <f t="shared" si="22"/>
        <v>5.3763440860215058E-3</v>
      </c>
      <c r="AZ74" s="2329">
        <f>+'I.27.'!AZ74</f>
        <v>6</v>
      </c>
      <c r="BA74" s="2300">
        <f>+'I.26.'!AY74</f>
        <v>137</v>
      </c>
      <c r="BB74" s="2347">
        <f t="shared" si="23"/>
        <v>4.3795620437956206E-2</v>
      </c>
      <c r="BD74" s="2329">
        <f>+'I.27.'!BD74</f>
        <v>5</v>
      </c>
      <c r="BE74" s="2300">
        <f>+'I.26.'!BC74</f>
        <v>71</v>
      </c>
      <c r="BF74" s="2347">
        <f t="shared" si="15"/>
        <v>7.0422535211267609E-2</v>
      </c>
    </row>
    <row r="75" spans="1:58" ht="18">
      <c r="A75" s="1960"/>
      <c r="B75" s="2355" t="s">
        <v>1007</v>
      </c>
      <c r="D75" s="2329"/>
      <c r="E75" s="2330">
        <v>94</v>
      </c>
      <c r="F75" s="2347">
        <f t="shared" si="24"/>
        <v>0</v>
      </c>
      <c r="H75" s="2329">
        <v>1</v>
      </c>
      <c r="I75" s="2330">
        <v>105</v>
      </c>
      <c r="J75" s="2347">
        <f t="shared" si="25"/>
        <v>9.5238095238095247E-3</v>
      </c>
      <c r="L75" s="2329">
        <v>1</v>
      </c>
      <c r="M75" s="2330">
        <v>84</v>
      </c>
      <c r="N75" s="2347">
        <f t="shared" si="26"/>
        <v>1.1904761904761904E-2</v>
      </c>
      <c r="P75" s="2329">
        <v>1</v>
      </c>
      <c r="Q75" s="2330">
        <v>97</v>
      </c>
      <c r="R75" s="2347">
        <f t="shared" si="27"/>
        <v>1.0309278350515464E-2</v>
      </c>
      <c r="T75" s="2329">
        <v>0</v>
      </c>
      <c r="U75" s="2330">
        <v>117</v>
      </c>
      <c r="V75" s="2347">
        <f t="shared" si="28"/>
        <v>0</v>
      </c>
      <c r="X75" s="2329">
        <v>2</v>
      </c>
      <c r="Y75" s="2330">
        <v>71</v>
      </c>
      <c r="Z75" s="2347">
        <f t="shared" si="16"/>
        <v>2.8169014084507043E-2</v>
      </c>
      <c r="AB75" s="2329">
        <v>1</v>
      </c>
      <c r="AC75" s="2330">
        <v>62</v>
      </c>
      <c r="AD75" s="2347">
        <f t="shared" si="17"/>
        <v>1.6129032258064516E-2</v>
      </c>
      <c r="AF75" s="2329">
        <v>1</v>
      </c>
      <c r="AG75" s="2330">
        <v>52</v>
      </c>
      <c r="AH75" s="2347">
        <f t="shared" si="18"/>
        <v>1.9230769230769232E-2</v>
      </c>
      <c r="AJ75" s="2329">
        <v>1</v>
      </c>
      <c r="AK75" s="2330">
        <v>97</v>
      </c>
      <c r="AL75" s="2347">
        <f t="shared" si="19"/>
        <v>1.0309278350515464E-2</v>
      </c>
      <c r="AM75" s="2107"/>
      <c r="AN75" s="2329">
        <v>0</v>
      </c>
      <c r="AO75" s="2330">
        <v>76</v>
      </c>
      <c r="AP75" s="2347">
        <f t="shared" si="20"/>
        <v>0</v>
      </c>
      <c r="AR75" s="2329">
        <v>0</v>
      </c>
      <c r="AS75" s="2330">
        <v>33</v>
      </c>
      <c r="AT75" s="2347">
        <f t="shared" si="21"/>
        <v>0</v>
      </c>
      <c r="AV75" s="2329">
        <v>0</v>
      </c>
      <c r="AW75" s="2300">
        <v>67</v>
      </c>
      <c r="AX75" s="2347">
        <f t="shared" si="22"/>
        <v>0</v>
      </c>
      <c r="AZ75" s="2329">
        <f>+'I.27.'!AZ75</f>
        <v>2</v>
      </c>
      <c r="BA75" s="2300">
        <f>+'I.26.'!AY75</f>
        <v>75</v>
      </c>
      <c r="BB75" s="2347">
        <f t="shared" si="23"/>
        <v>2.6666666666666668E-2</v>
      </c>
      <c r="BD75" s="2329">
        <f>+'I.27.'!BD75</f>
        <v>0</v>
      </c>
      <c r="BE75" s="2300">
        <f>+'I.26.'!BC75</f>
        <v>91</v>
      </c>
      <c r="BF75" s="2347">
        <f t="shared" si="15"/>
        <v>0</v>
      </c>
    </row>
    <row r="76" spans="1:58" ht="15" customHeight="1">
      <c r="A76" s="1960"/>
      <c r="B76" s="1929" t="s">
        <v>16</v>
      </c>
      <c r="D76" s="2328">
        <f>SUM(D72:D75)</f>
        <v>6</v>
      </c>
      <c r="E76" s="1040">
        <v>650</v>
      </c>
      <c r="F76" s="2346">
        <f t="shared" si="24"/>
        <v>9.2307692307692316E-3</v>
      </c>
      <c r="H76" s="2328">
        <v>5</v>
      </c>
      <c r="I76" s="1040">
        <v>630</v>
      </c>
      <c r="J76" s="2346">
        <f t="shared" si="25"/>
        <v>7.9365079365079361E-3</v>
      </c>
      <c r="L76" s="2328">
        <v>46</v>
      </c>
      <c r="M76" s="1040">
        <v>902</v>
      </c>
      <c r="N76" s="2346">
        <f t="shared" si="26"/>
        <v>5.0997782705099776E-2</v>
      </c>
      <c r="P76" s="2328">
        <v>22</v>
      </c>
      <c r="Q76" s="1040">
        <f>SUM(Q72:Q75)</f>
        <v>612</v>
      </c>
      <c r="R76" s="2346">
        <f t="shared" si="27"/>
        <v>3.5947712418300651E-2</v>
      </c>
      <c r="T76" s="2328">
        <f>SUM(T72:T75)</f>
        <v>9</v>
      </c>
      <c r="U76" s="1040">
        <f>SUM(U72:U75)</f>
        <v>713</v>
      </c>
      <c r="V76" s="2346">
        <f t="shared" si="28"/>
        <v>1.2622720897615708E-2</v>
      </c>
      <c r="X76" s="2328">
        <v>4</v>
      </c>
      <c r="Y76" s="1040">
        <v>615</v>
      </c>
      <c r="Z76" s="2346">
        <f t="shared" si="16"/>
        <v>6.5040650406504065E-3</v>
      </c>
      <c r="AB76" s="2328">
        <v>6</v>
      </c>
      <c r="AC76" s="1040">
        <v>530</v>
      </c>
      <c r="AD76" s="2346">
        <f t="shared" si="17"/>
        <v>1.1320754716981131E-2</v>
      </c>
      <c r="AF76" s="2328">
        <v>7</v>
      </c>
      <c r="AG76" s="1040">
        <v>512</v>
      </c>
      <c r="AH76" s="2346">
        <f t="shared" si="18"/>
        <v>1.3671875E-2</v>
      </c>
      <c r="AJ76" s="2328">
        <v>11</v>
      </c>
      <c r="AK76" s="1040">
        <v>607</v>
      </c>
      <c r="AL76" s="2346">
        <f t="shared" si="19"/>
        <v>1.8121911037891267E-2</v>
      </c>
      <c r="AM76" s="2107"/>
      <c r="AN76" s="2328">
        <v>9</v>
      </c>
      <c r="AO76" s="1040">
        <v>503</v>
      </c>
      <c r="AP76" s="2346">
        <f t="shared" si="20"/>
        <v>1.7892644135188866E-2</v>
      </c>
      <c r="AR76" s="2328">
        <v>7</v>
      </c>
      <c r="AS76" s="1040">
        <v>266</v>
      </c>
      <c r="AT76" s="2346">
        <f t="shared" si="21"/>
        <v>2.6315789473684209E-2</v>
      </c>
      <c r="AV76" s="2328">
        <v>2</v>
      </c>
      <c r="AW76" s="2293">
        <v>649</v>
      </c>
      <c r="AX76" s="2346">
        <f t="shared" si="22"/>
        <v>3.0816640986132513E-3</v>
      </c>
      <c r="AZ76" s="2328">
        <f>+'I.27.'!AZ76</f>
        <v>20</v>
      </c>
      <c r="BA76" s="2293">
        <f>+'I.26.'!AY76</f>
        <v>507</v>
      </c>
      <c r="BB76" s="2346">
        <f t="shared" si="23"/>
        <v>3.9447731755424063E-2</v>
      </c>
      <c r="BD76" s="2328">
        <f>+'I.27.'!BD76</f>
        <v>7</v>
      </c>
      <c r="BE76" s="2293">
        <f>+'I.26.'!BC76</f>
        <v>540</v>
      </c>
      <c r="BF76" s="2346">
        <f t="shared" si="15"/>
        <v>1.2962962962962963E-2</v>
      </c>
    </row>
    <row r="77" spans="1:58" ht="18">
      <c r="A77" s="1960"/>
      <c r="B77" s="2355" t="s">
        <v>1008</v>
      </c>
      <c r="D77" s="2329">
        <v>2</v>
      </c>
      <c r="E77" s="2330">
        <v>24</v>
      </c>
      <c r="F77" s="2347">
        <f t="shared" si="24"/>
        <v>8.3333333333333329E-2</v>
      </c>
      <c r="H77" s="2329">
        <v>2</v>
      </c>
      <c r="I77" s="2330">
        <v>37</v>
      </c>
      <c r="J77" s="2347">
        <f t="shared" si="25"/>
        <v>5.4054054054054057E-2</v>
      </c>
      <c r="L77" s="2329">
        <v>3</v>
      </c>
      <c r="M77" s="2330">
        <v>29</v>
      </c>
      <c r="N77" s="2347">
        <f t="shared" si="26"/>
        <v>0.10344827586206896</v>
      </c>
      <c r="P77" s="2329"/>
      <c r="Q77" s="2330">
        <v>14</v>
      </c>
      <c r="R77" s="2347">
        <f t="shared" si="27"/>
        <v>0</v>
      </c>
      <c r="T77" s="2329">
        <v>5</v>
      </c>
      <c r="U77" s="2330">
        <v>42</v>
      </c>
      <c r="V77" s="2347">
        <f t="shared" si="28"/>
        <v>0.11904761904761904</v>
      </c>
      <c r="X77" s="2329"/>
      <c r="Y77" s="2330">
        <v>34</v>
      </c>
      <c r="Z77" s="2347">
        <f t="shared" si="16"/>
        <v>0</v>
      </c>
      <c r="AB77" s="2329"/>
      <c r="AC77" s="2330">
        <v>21</v>
      </c>
      <c r="AD77" s="2347">
        <f t="shared" si="17"/>
        <v>0</v>
      </c>
      <c r="AF77" s="2329"/>
      <c r="AG77" s="2330">
        <v>32</v>
      </c>
      <c r="AH77" s="2347">
        <f t="shared" si="18"/>
        <v>0</v>
      </c>
      <c r="AJ77" s="2329">
        <v>1</v>
      </c>
      <c r="AK77" s="2330">
        <v>12</v>
      </c>
      <c r="AL77" s="2347">
        <f t="shared" si="19"/>
        <v>8.3333333333333329E-2</v>
      </c>
      <c r="AM77" s="2107"/>
      <c r="AN77" s="2329">
        <v>1</v>
      </c>
      <c r="AO77" s="2330">
        <v>11</v>
      </c>
      <c r="AP77" s="2347">
        <f t="shared" si="20"/>
        <v>9.0909090909090912E-2</v>
      </c>
      <c r="AR77" s="2329">
        <v>0</v>
      </c>
      <c r="AS77" s="2330">
        <v>5</v>
      </c>
      <c r="AT77" s="2347">
        <f t="shared" si="21"/>
        <v>0</v>
      </c>
      <c r="AV77" s="2329">
        <v>1</v>
      </c>
      <c r="AW77" s="2300">
        <v>16</v>
      </c>
      <c r="AX77" s="2347">
        <f t="shared" si="22"/>
        <v>6.25E-2</v>
      </c>
      <c r="AZ77" s="2329">
        <f>+'I.27.'!AZ77</f>
        <v>0</v>
      </c>
      <c r="BA77" s="2300">
        <f>+'I.26.'!AY77</f>
        <v>7</v>
      </c>
      <c r="BB77" s="2347">
        <f t="shared" si="23"/>
        <v>0</v>
      </c>
      <c r="BD77" s="2329">
        <f>+'I.27.'!BD77</f>
        <v>2</v>
      </c>
      <c r="BE77" s="2300">
        <f>+'I.26.'!BC77</f>
        <v>15</v>
      </c>
      <c r="BF77" s="2347">
        <f t="shared" si="15"/>
        <v>0.13333333333333333</v>
      </c>
    </row>
    <row r="78" spans="1:58" ht="18">
      <c r="A78" s="1960"/>
      <c r="B78" s="2355" t="s">
        <v>1009</v>
      </c>
      <c r="D78" s="2329"/>
      <c r="E78" s="2330">
        <v>34</v>
      </c>
      <c r="F78" s="2347">
        <f t="shared" si="24"/>
        <v>0</v>
      </c>
      <c r="H78" s="2329"/>
      <c r="I78" s="2330">
        <v>35</v>
      </c>
      <c r="J78" s="2347">
        <f t="shared" si="25"/>
        <v>0</v>
      </c>
      <c r="L78" s="2329"/>
      <c r="M78" s="2330">
        <v>50</v>
      </c>
      <c r="N78" s="2347">
        <f t="shared" si="26"/>
        <v>0</v>
      </c>
      <c r="P78" s="2329">
        <v>3</v>
      </c>
      <c r="Q78" s="2330">
        <v>25</v>
      </c>
      <c r="R78" s="2347">
        <f t="shared" si="27"/>
        <v>0.12</v>
      </c>
      <c r="T78" s="2329">
        <v>9</v>
      </c>
      <c r="U78" s="2330">
        <v>45</v>
      </c>
      <c r="V78" s="2347">
        <f t="shared" si="28"/>
        <v>0.2</v>
      </c>
      <c r="X78" s="2329">
        <v>3</v>
      </c>
      <c r="Y78" s="2330">
        <v>37</v>
      </c>
      <c r="Z78" s="2347">
        <f t="shared" si="16"/>
        <v>8.1081081081081086E-2</v>
      </c>
      <c r="AB78" s="2329">
        <v>3</v>
      </c>
      <c r="AC78" s="2330">
        <v>43</v>
      </c>
      <c r="AD78" s="2347">
        <f t="shared" si="17"/>
        <v>6.9767441860465115E-2</v>
      </c>
      <c r="AF78" s="2329">
        <v>4</v>
      </c>
      <c r="AG78" s="2330">
        <v>42</v>
      </c>
      <c r="AH78" s="2347">
        <f t="shared" si="18"/>
        <v>9.5238095238095233E-2</v>
      </c>
      <c r="AJ78" s="2329">
        <v>5</v>
      </c>
      <c r="AK78" s="2330">
        <v>33</v>
      </c>
      <c r="AL78" s="2347">
        <f t="shared" si="19"/>
        <v>0.15151515151515152</v>
      </c>
      <c r="AM78" s="2107"/>
      <c r="AN78" s="2329">
        <v>17</v>
      </c>
      <c r="AO78" s="2330">
        <v>41</v>
      </c>
      <c r="AP78" s="2347">
        <f t="shared" si="20"/>
        <v>0.41463414634146339</v>
      </c>
      <c r="AR78" s="2329">
        <v>14</v>
      </c>
      <c r="AS78" s="2330">
        <v>31</v>
      </c>
      <c r="AT78" s="2347">
        <f t="shared" si="21"/>
        <v>0.45161290322580644</v>
      </c>
      <c r="AV78" s="2329">
        <v>14</v>
      </c>
      <c r="AW78" s="2300">
        <v>28</v>
      </c>
      <c r="AX78" s="2347">
        <f t="shared" si="22"/>
        <v>0.5</v>
      </c>
      <c r="AZ78" s="2329">
        <f>+'I.27.'!AZ78</f>
        <v>17</v>
      </c>
      <c r="BA78" s="2300">
        <f>+'I.26.'!AY78</f>
        <v>27</v>
      </c>
      <c r="BB78" s="2347">
        <f t="shared" si="23"/>
        <v>0.62962962962962965</v>
      </c>
      <c r="BD78" s="2329">
        <f>+'I.27.'!BD78</f>
        <v>12</v>
      </c>
      <c r="BE78" s="2300">
        <f>+'I.26.'!BC78</f>
        <v>27</v>
      </c>
      <c r="BF78" s="2347">
        <f t="shared" si="15"/>
        <v>0.44444444444444442</v>
      </c>
    </row>
    <row r="79" spans="1:58" ht="18">
      <c r="A79" s="1960"/>
      <c r="B79" s="2355" t="s">
        <v>1010</v>
      </c>
      <c r="D79" s="2329"/>
      <c r="E79" s="2330">
        <v>10</v>
      </c>
      <c r="F79" s="2347">
        <f t="shared" si="24"/>
        <v>0</v>
      </c>
      <c r="H79" s="2329">
        <v>3</v>
      </c>
      <c r="I79" s="2330">
        <v>29</v>
      </c>
      <c r="J79" s="2347">
        <f t="shared" si="25"/>
        <v>0.10344827586206896</v>
      </c>
      <c r="L79" s="2329">
        <v>3</v>
      </c>
      <c r="M79" s="2330">
        <v>28</v>
      </c>
      <c r="N79" s="2347">
        <f t="shared" si="26"/>
        <v>0.10714285714285714</v>
      </c>
      <c r="P79" s="2329">
        <v>2</v>
      </c>
      <c r="Q79" s="2330">
        <v>12</v>
      </c>
      <c r="R79" s="2347">
        <f t="shared" si="27"/>
        <v>0.16666666666666666</v>
      </c>
      <c r="T79" s="2329">
        <v>4</v>
      </c>
      <c r="U79" s="2330">
        <v>19</v>
      </c>
      <c r="V79" s="2347">
        <f t="shared" si="28"/>
        <v>0.21052631578947367</v>
      </c>
      <c r="X79" s="2329"/>
      <c r="Y79" s="2330">
        <v>33</v>
      </c>
      <c r="Z79" s="2347">
        <f t="shared" si="16"/>
        <v>0</v>
      </c>
      <c r="AB79" s="2329">
        <v>2</v>
      </c>
      <c r="AC79" s="2330">
        <v>16</v>
      </c>
      <c r="AD79" s="2347">
        <f t="shared" si="17"/>
        <v>0.125</v>
      </c>
      <c r="AF79" s="2329"/>
      <c r="AG79" s="2330">
        <v>15</v>
      </c>
      <c r="AH79" s="2347">
        <f t="shared" si="18"/>
        <v>0</v>
      </c>
      <c r="AJ79" s="2329">
        <v>1</v>
      </c>
      <c r="AK79" s="2330">
        <v>19</v>
      </c>
      <c r="AL79" s="2347">
        <f t="shared" si="19"/>
        <v>5.2631578947368418E-2</v>
      </c>
      <c r="AM79" s="2107"/>
      <c r="AN79" s="2329">
        <v>1</v>
      </c>
      <c r="AO79" s="2330">
        <v>6</v>
      </c>
      <c r="AP79" s="2347">
        <f t="shared" si="20"/>
        <v>0.16666666666666666</v>
      </c>
      <c r="AR79" s="2329">
        <v>3</v>
      </c>
      <c r="AS79" s="2330">
        <v>10</v>
      </c>
      <c r="AT79" s="2347">
        <f t="shared" si="21"/>
        <v>0.3</v>
      </c>
      <c r="AV79" s="2329">
        <v>16</v>
      </c>
      <c r="AW79" s="2300">
        <v>23</v>
      </c>
      <c r="AX79" s="2347">
        <f t="shared" si="22"/>
        <v>0.69565217391304346</v>
      </c>
      <c r="AZ79" s="2329">
        <f>+'I.27.'!AZ79</f>
        <v>6</v>
      </c>
      <c r="BA79" s="2300">
        <f>+'I.26.'!AY79</f>
        <v>10</v>
      </c>
      <c r="BB79" s="2347">
        <f t="shared" si="23"/>
        <v>0.6</v>
      </c>
      <c r="BD79" s="2329">
        <f>+'I.27.'!BD79</f>
        <v>13</v>
      </c>
      <c r="BE79" s="2300">
        <f>+'I.26.'!BC79</f>
        <v>19</v>
      </c>
      <c r="BF79" s="2347">
        <f t="shared" si="15"/>
        <v>0.68421052631578949</v>
      </c>
    </row>
    <row r="80" spans="1:58" ht="18">
      <c r="A80" s="1960"/>
      <c r="B80" s="2355" t="s">
        <v>1011</v>
      </c>
      <c r="D80" s="2329">
        <v>10</v>
      </c>
      <c r="E80" s="2330">
        <v>47</v>
      </c>
      <c r="F80" s="2347">
        <f t="shared" si="24"/>
        <v>0.21276595744680851</v>
      </c>
      <c r="H80" s="2329">
        <v>5</v>
      </c>
      <c r="I80" s="2330">
        <v>53</v>
      </c>
      <c r="J80" s="2347">
        <f t="shared" si="25"/>
        <v>9.4339622641509441E-2</v>
      </c>
      <c r="L80" s="2329">
        <v>16</v>
      </c>
      <c r="M80" s="2330">
        <v>67</v>
      </c>
      <c r="N80" s="2347">
        <f t="shared" si="26"/>
        <v>0.23880597014925373</v>
      </c>
      <c r="P80" s="2329"/>
      <c r="Q80" s="2330">
        <v>34</v>
      </c>
      <c r="R80" s="2347">
        <f t="shared" si="27"/>
        <v>0</v>
      </c>
      <c r="T80" s="2329">
        <v>2</v>
      </c>
      <c r="U80" s="2330">
        <v>47</v>
      </c>
      <c r="V80" s="2347">
        <f t="shared" si="28"/>
        <v>4.2553191489361701E-2</v>
      </c>
      <c r="X80" s="2329">
        <v>5</v>
      </c>
      <c r="Y80" s="2330">
        <v>37</v>
      </c>
      <c r="Z80" s="2347">
        <f t="shared" si="16"/>
        <v>0.13513513513513514</v>
      </c>
      <c r="AB80" s="2329">
        <v>2</v>
      </c>
      <c r="AC80" s="2330">
        <v>39</v>
      </c>
      <c r="AD80" s="2347">
        <f t="shared" si="17"/>
        <v>5.128205128205128E-2</v>
      </c>
      <c r="AF80" s="2329"/>
      <c r="AG80" s="2330">
        <v>29</v>
      </c>
      <c r="AH80" s="2347">
        <f t="shared" si="18"/>
        <v>0</v>
      </c>
      <c r="AJ80" s="2329">
        <v>5</v>
      </c>
      <c r="AK80" s="2330">
        <v>27</v>
      </c>
      <c r="AL80" s="2347">
        <f t="shared" si="19"/>
        <v>0.18518518518518517</v>
      </c>
      <c r="AM80" s="2107"/>
      <c r="AN80" s="2329">
        <v>5</v>
      </c>
      <c r="AO80" s="2330">
        <v>22</v>
      </c>
      <c r="AP80" s="2347">
        <f t="shared" si="20"/>
        <v>0.22727272727272727</v>
      </c>
      <c r="AR80" s="2329">
        <v>2</v>
      </c>
      <c r="AS80" s="2330">
        <v>19</v>
      </c>
      <c r="AT80" s="2347">
        <f t="shared" si="21"/>
        <v>0.10526315789473684</v>
      </c>
      <c r="AV80" s="2329">
        <v>3</v>
      </c>
      <c r="AW80" s="2296">
        <v>28</v>
      </c>
      <c r="AX80" s="2347">
        <f t="shared" si="22"/>
        <v>0.10714285714285714</v>
      </c>
      <c r="AZ80" s="2329">
        <f>+'I.27.'!AZ80</f>
        <v>8</v>
      </c>
      <c r="BA80" s="2296">
        <f>+'I.26.'!AY80</f>
        <v>31</v>
      </c>
      <c r="BB80" s="2347">
        <f t="shared" si="23"/>
        <v>0.25806451612903225</v>
      </c>
      <c r="BD80" s="2329">
        <f>+'I.27.'!BD80</f>
        <v>19</v>
      </c>
      <c r="BE80" s="2296">
        <f>+'I.26.'!BC80</f>
        <v>43</v>
      </c>
      <c r="BF80" s="2347">
        <f t="shared" si="15"/>
        <v>0.44186046511627908</v>
      </c>
    </row>
    <row r="81" spans="1:58" ht="15" customHeight="1">
      <c r="A81" s="1960"/>
      <c r="B81" s="1961" t="s">
        <v>21</v>
      </c>
      <c r="D81" s="2333">
        <f>SUM(D77:D80)</f>
        <v>12</v>
      </c>
      <c r="E81" s="1962">
        <v>115</v>
      </c>
      <c r="F81" s="2349">
        <f t="shared" si="24"/>
        <v>0.10434782608695652</v>
      </c>
      <c r="H81" s="2333">
        <v>10</v>
      </c>
      <c r="I81" s="1962">
        <v>154</v>
      </c>
      <c r="J81" s="2349">
        <f t="shared" si="25"/>
        <v>6.4935064935064929E-2</v>
      </c>
      <c r="L81" s="2333">
        <v>22</v>
      </c>
      <c r="M81" s="1962">
        <v>174</v>
      </c>
      <c r="N81" s="2349">
        <f t="shared" si="26"/>
        <v>0.12643678160919541</v>
      </c>
      <c r="P81" s="2333">
        <v>5</v>
      </c>
      <c r="Q81" s="1962">
        <f>SUM(Q77:Q80)</f>
        <v>85</v>
      </c>
      <c r="R81" s="2349">
        <f t="shared" si="27"/>
        <v>5.8823529411764705E-2</v>
      </c>
      <c r="T81" s="2333">
        <f>SUM(T77:T80)</f>
        <v>20</v>
      </c>
      <c r="U81" s="1962">
        <f>SUM(U77:U80)</f>
        <v>153</v>
      </c>
      <c r="V81" s="2349">
        <f t="shared" si="28"/>
        <v>0.13071895424836602</v>
      </c>
      <c r="X81" s="2333">
        <v>8</v>
      </c>
      <c r="Y81" s="1962">
        <f>SUM(Y77:Y80)</f>
        <v>141</v>
      </c>
      <c r="Z81" s="2349">
        <f t="shared" si="16"/>
        <v>5.6737588652482268E-2</v>
      </c>
      <c r="AB81" s="2333">
        <v>7</v>
      </c>
      <c r="AC81" s="1962">
        <v>119</v>
      </c>
      <c r="AD81" s="2349">
        <f t="shared" si="17"/>
        <v>5.8823529411764705E-2</v>
      </c>
      <c r="AF81" s="2333">
        <v>4</v>
      </c>
      <c r="AG81" s="1962">
        <v>118</v>
      </c>
      <c r="AH81" s="2349">
        <f t="shared" si="18"/>
        <v>3.3898305084745763E-2</v>
      </c>
      <c r="AJ81" s="2333">
        <v>12</v>
      </c>
      <c r="AK81" s="1962">
        <v>91</v>
      </c>
      <c r="AL81" s="2349">
        <f t="shared" si="19"/>
        <v>0.13186813186813187</v>
      </c>
      <c r="AM81" s="2107"/>
      <c r="AN81" s="2333">
        <v>24</v>
      </c>
      <c r="AO81" s="1962">
        <v>80</v>
      </c>
      <c r="AP81" s="2349">
        <f t="shared" si="20"/>
        <v>0.3</v>
      </c>
      <c r="AR81" s="2333">
        <v>19</v>
      </c>
      <c r="AS81" s="1962">
        <v>65</v>
      </c>
      <c r="AT81" s="2349">
        <f t="shared" si="21"/>
        <v>0.29230769230769232</v>
      </c>
      <c r="AV81" s="2333">
        <v>34</v>
      </c>
      <c r="AW81" s="2309">
        <v>95</v>
      </c>
      <c r="AX81" s="2349">
        <f t="shared" si="22"/>
        <v>0.35789473684210527</v>
      </c>
      <c r="AZ81" s="2333">
        <f>+'I.27.'!AZ81</f>
        <v>31</v>
      </c>
      <c r="BA81" s="2309">
        <f>+'I.26.'!AY81</f>
        <v>75</v>
      </c>
      <c r="BB81" s="2349">
        <f t="shared" si="23"/>
        <v>0.41333333333333333</v>
      </c>
      <c r="BD81" s="2333">
        <f>+'I.27.'!BD81</f>
        <v>46</v>
      </c>
      <c r="BE81" s="2309">
        <f>+'I.26.'!BC81</f>
        <v>104</v>
      </c>
      <c r="BF81" s="2349">
        <f t="shared" si="15"/>
        <v>0.44230769230769229</v>
      </c>
    </row>
    <row r="82" spans="1:58" ht="15" customHeight="1">
      <c r="A82" s="1960"/>
      <c r="B82" s="2149" t="s">
        <v>336</v>
      </c>
      <c r="D82" s="2164">
        <f>SUM(D81,D76,D71)</f>
        <v>216</v>
      </c>
      <c r="E82" s="2165">
        <v>1289</v>
      </c>
      <c r="F82" s="2354">
        <f t="shared" si="24"/>
        <v>0.16757176105508145</v>
      </c>
      <c r="H82" s="2164">
        <v>180</v>
      </c>
      <c r="I82" s="2165">
        <v>1271</v>
      </c>
      <c r="J82" s="2354">
        <f t="shared" si="25"/>
        <v>0.14162077104642015</v>
      </c>
      <c r="L82" s="2164">
        <v>269</v>
      </c>
      <c r="M82" s="2165">
        <v>1673</v>
      </c>
      <c r="N82" s="2354">
        <f t="shared" si="26"/>
        <v>0.16078900179318589</v>
      </c>
      <c r="P82" s="2164">
        <v>257</v>
      </c>
      <c r="Q82" s="2165">
        <f>SUM(Q81,Q76,Q71)</f>
        <v>1231</v>
      </c>
      <c r="R82" s="2354">
        <f t="shared" si="27"/>
        <v>0.20877335499593827</v>
      </c>
      <c r="T82" s="2164">
        <f>SUM(T71,T76,T81)</f>
        <v>294</v>
      </c>
      <c r="U82" s="2165">
        <f>SUM(U81,U76,U71)</f>
        <v>1527</v>
      </c>
      <c r="V82" s="2354">
        <f t="shared" si="28"/>
        <v>0.1925343811394892</v>
      </c>
      <c r="X82" s="2164">
        <v>239</v>
      </c>
      <c r="Y82" s="2165">
        <f>SUM(Y81,Y76,Y71)</f>
        <v>1352</v>
      </c>
      <c r="Z82" s="2354">
        <f t="shared" si="16"/>
        <v>0.17677514792899407</v>
      </c>
      <c r="AB82" s="2164">
        <v>175</v>
      </c>
      <c r="AC82" s="2165">
        <v>1119</v>
      </c>
      <c r="AD82" s="2354">
        <f t="shared" si="17"/>
        <v>0.15638963360142985</v>
      </c>
      <c r="AF82" s="2164">
        <v>205</v>
      </c>
      <c r="AG82" s="2165">
        <v>1189</v>
      </c>
      <c r="AH82" s="2354">
        <f t="shared" si="18"/>
        <v>0.17241379310344829</v>
      </c>
      <c r="AJ82" s="2164">
        <v>224</v>
      </c>
      <c r="AK82" s="2165">
        <v>1235</v>
      </c>
      <c r="AL82" s="2354">
        <f t="shared" si="19"/>
        <v>0.18137651821862349</v>
      </c>
      <c r="AM82" s="2107"/>
      <c r="AN82" s="2164">
        <v>257</v>
      </c>
      <c r="AO82" s="2165">
        <v>1160</v>
      </c>
      <c r="AP82" s="2354">
        <f t="shared" si="20"/>
        <v>0.22155172413793103</v>
      </c>
      <c r="AQ82" s="2107"/>
      <c r="AR82" s="2164">
        <v>218</v>
      </c>
      <c r="AS82" s="2165">
        <v>754</v>
      </c>
      <c r="AT82" s="2354">
        <f t="shared" si="21"/>
        <v>0.28912466843501328</v>
      </c>
      <c r="AV82" s="2164">
        <v>318</v>
      </c>
      <c r="AW82" s="2310">
        <v>1371</v>
      </c>
      <c r="AX82" s="2354">
        <f t="shared" si="22"/>
        <v>0.23194748358862144</v>
      </c>
      <c r="AZ82" s="2164">
        <f>+'I.27.'!AZ82</f>
        <v>345</v>
      </c>
      <c r="BA82" s="2310">
        <f>+'I.26.'!AY82</f>
        <v>1180</v>
      </c>
      <c r="BB82" s="2354">
        <f t="shared" si="23"/>
        <v>0.2923728813559322</v>
      </c>
      <c r="BD82" s="2164">
        <f>+'I.27.'!BD82</f>
        <v>317</v>
      </c>
      <c r="BE82" s="2310">
        <f>+'I.26.'!BC82</f>
        <v>1188</v>
      </c>
      <c r="BF82" s="2354">
        <f t="shared" si="15"/>
        <v>0.26683501683501681</v>
      </c>
    </row>
    <row r="83" spans="1:58" s="2107" customFormat="1" ht="15" customHeight="1">
      <c r="A83" s="1960"/>
      <c r="B83" s="2364"/>
      <c r="C83" s="5317"/>
      <c r="D83" s="2364"/>
      <c r="E83" s="2364"/>
      <c r="F83" s="2364"/>
      <c r="G83" s="2364"/>
      <c r="H83" s="2364"/>
      <c r="I83" s="2364"/>
      <c r="J83" s="2364"/>
      <c r="K83" s="2364"/>
      <c r="L83" s="2364"/>
      <c r="M83" s="2364"/>
      <c r="N83" s="2364"/>
      <c r="O83" s="2364"/>
      <c r="P83" s="2364"/>
      <c r="Q83" s="2364"/>
      <c r="R83" s="2364"/>
      <c r="S83" s="2364"/>
      <c r="T83" s="2364"/>
      <c r="U83" s="2364"/>
      <c r="V83" s="2364"/>
      <c r="W83" s="2364"/>
      <c r="X83" s="2364"/>
      <c r="Y83" s="2364"/>
      <c r="Z83" s="2364"/>
      <c r="AA83" s="2364"/>
      <c r="AB83" s="2364"/>
      <c r="AC83" s="2364"/>
      <c r="AD83" s="2364"/>
      <c r="AE83" s="2364"/>
      <c r="AF83" s="2364"/>
      <c r="AG83" s="2364"/>
      <c r="AH83" s="2364"/>
      <c r="AI83" s="2364"/>
      <c r="AJ83" s="2364"/>
      <c r="AK83" s="2364"/>
      <c r="AL83" s="2364"/>
      <c r="AM83" s="2364"/>
      <c r="AN83" s="2364"/>
      <c r="AO83" s="2364"/>
      <c r="AP83" s="2364"/>
      <c r="AQ83" s="2364"/>
      <c r="AR83" s="2364"/>
      <c r="AS83" s="2364"/>
      <c r="AT83" s="2364"/>
      <c r="AU83" s="5076"/>
      <c r="AV83" s="2364"/>
      <c r="AW83" s="2364"/>
      <c r="AX83" s="2364"/>
      <c r="AZ83" s="2364"/>
      <c r="BA83" s="2364"/>
      <c r="BB83" s="2364"/>
      <c r="BD83" s="2364"/>
      <c r="BE83" s="2364"/>
      <c r="BF83" s="2364"/>
    </row>
    <row r="84" spans="1:58" ht="20.100000000000001" customHeight="1">
      <c r="A84" s="1960"/>
      <c r="B84" s="6511" t="s">
        <v>67</v>
      </c>
      <c r="D84" s="2365">
        <f>SUM(D22,D35,D53,D66,D82)</f>
        <v>853</v>
      </c>
      <c r="E84" s="2151">
        <f>SUM(E22,E35,E53,E66,E82)</f>
        <v>4004</v>
      </c>
      <c r="F84" s="2366">
        <f t="shared" si="24"/>
        <v>0.21303696303696304</v>
      </c>
      <c r="G84" s="2117"/>
      <c r="H84" s="2365">
        <f>SUM(H22,H35,H53,H66,H82)</f>
        <v>831</v>
      </c>
      <c r="I84" s="2151">
        <f>SUM(I22,I35,I53,I66,I82)</f>
        <v>4143</v>
      </c>
      <c r="J84" s="2366">
        <f t="shared" si="25"/>
        <v>0.20057929036929761</v>
      </c>
      <c r="K84" s="2117"/>
      <c r="L84" s="2365">
        <f>SUM(L22,L35,L53,L66,L82)</f>
        <v>982</v>
      </c>
      <c r="M84" s="2151">
        <f>SUM(M22,M35,M53,M66,M82)</f>
        <v>4328</v>
      </c>
      <c r="N84" s="2366">
        <f t="shared" si="26"/>
        <v>0.22689463955637709</v>
      </c>
      <c r="O84" s="2117"/>
      <c r="P84" s="2151">
        <f>SUM(P22,P35,P53,P66,P82)</f>
        <v>1087</v>
      </c>
      <c r="Q84" s="2151">
        <f>SUM(Q22,Q35,Q53,Q66,Q82)</f>
        <v>4346</v>
      </c>
      <c r="R84" s="2366">
        <f t="shared" si="27"/>
        <v>0.25011504832029452</v>
      </c>
      <c r="S84" s="2117"/>
      <c r="T84" s="2151">
        <f>SUM(T22,T35,T53,T66,T82)</f>
        <v>1145</v>
      </c>
      <c r="U84" s="2151">
        <f>SUM(U22,U35,U53,U66,U82)</f>
        <v>4334</v>
      </c>
      <c r="V84" s="2366">
        <f t="shared" si="28"/>
        <v>0.26419012459621599</v>
      </c>
      <c r="W84" s="2117"/>
      <c r="X84" s="2151">
        <v>1121</v>
      </c>
      <c r="Y84" s="2151">
        <f>SUM(Y22,Y35,Y53,Y66,Y82)</f>
        <v>4634</v>
      </c>
      <c r="Z84" s="2366">
        <f t="shared" si="16"/>
        <v>0.24190763918860594</v>
      </c>
      <c r="AA84" s="2117"/>
      <c r="AB84" s="2365">
        <v>996</v>
      </c>
      <c r="AC84" s="2151">
        <v>4112</v>
      </c>
      <c r="AD84" s="2366">
        <f t="shared" si="17"/>
        <v>0.24221789883268482</v>
      </c>
      <c r="AE84" s="2117"/>
      <c r="AF84" s="2151">
        <f>SUM(AF22,AF35,AF53,AF66,AF82)</f>
        <v>1151</v>
      </c>
      <c r="AG84" s="2151">
        <f>SUM(AG22,AG35,AG53,AG66,AG82)</f>
        <v>4311</v>
      </c>
      <c r="AH84" s="2366">
        <f t="shared" si="18"/>
        <v>0.26699141730456971</v>
      </c>
      <c r="AI84" s="2117"/>
      <c r="AJ84" s="2151">
        <f>SUM(AJ22,AJ35,AJ53,AJ66,AJ82)</f>
        <v>1228</v>
      </c>
      <c r="AK84" s="2151">
        <f>SUM(AK22,AK35,AK53,AK66,AK82)</f>
        <v>4667</v>
      </c>
      <c r="AL84" s="2366">
        <f t="shared" si="19"/>
        <v>0.26312406256695953</v>
      </c>
      <c r="AM84" s="2117"/>
      <c r="AN84" s="2151">
        <f>SUM(AN22,AN35,AN53,AN66,AN82)</f>
        <v>1261</v>
      </c>
      <c r="AO84" s="2151">
        <f>SUM(AO22,AO35,AO53,AO66,AO82)</f>
        <v>4140</v>
      </c>
      <c r="AP84" s="2366">
        <f>AN84/AO84</f>
        <v>0.30458937198067632</v>
      </c>
      <c r="AQ84" s="2117"/>
      <c r="AR84" s="2151">
        <f>SUM(AR22,AR35,AR53,AR66,AR82)</f>
        <v>1170</v>
      </c>
      <c r="AS84" s="2151">
        <f>SUM(AS22,AS35,AS53,AS66,AS82)</f>
        <v>3157</v>
      </c>
      <c r="AT84" s="2366">
        <f>AR84/AS84</f>
        <v>0.37060500475134622</v>
      </c>
      <c r="AV84" s="2151">
        <f>SUM(AV22,AV35,AV53,AV66,AV82)</f>
        <v>1523</v>
      </c>
      <c r="AW84" s="2151">
        <f>SUM(AW22,AW35,AW53,AW66,AW82)</f>
        <v>4688</v>
      </c>
      <c r="AX84" s="2366">
        <f>AV84/AW84</f>
        <v>0.32487201365187712</v>
      </c>
      <c r="AZ84" s="2151">
        <f>SUM(AZ22,AZ35,AZ53,AZ66,AZ82)</f>
        <v>1476</v>
      </c>
      <c r="BA84" s="2151">
        <f>SUM(BA22,BA35,BA53,BA66,BA82)</f>
        <v>4183</v>
      </c>
      <c r="BB84" s="2366">
        <f>AZ84/BA84</f>
        <v>0.35285680133875208</v>
      </c>
      <c r="BD84" s="2151">
        <f>SUM(BD22,BD35,BD53,BD66,BD82)</f>
        <v>1289</v>
      </c>
      <c r="BE84" s="2151">
        <f>SUM(BE22,BE35,BE53,BE66,BE82)</f>
        <v>4200</v>
      </c>
      <c r="BF84" s="2366">
        <f>BD84/BE84</f>
        <v>0.3069047619047619</v>
      </c>
    </row>
    <row r="85" spans="1:58" ht="11.25" customHeight="1">
      <c r="A85" s="1960"/>
      <c r="T85" s="278"/>
    </row>
    <row r="86" spans="1:58" ht="15" customHeight="1">
      <c r="A86" s="1960"/>
      <c r="B86" s="1959" t="s">
        <v>954</v>
      </c>
    </row>
    <row r="87" spans="1:58" ht="18">
      <c r="A87" s="1960"/>
      <c r="B87" s="1959" t="s">
        <v>219</v>
      </c>
    </row>
    <row r="88" spans="1:58" ht="18">
      <c r="A88" s="1960"/>
    </row>
    <row r="89" spans="1:58" ht="21.75" customHeight="1">
      <c r="A89" s="1960"/>
    </row>
    <row r="90" spans="1:58" ht="18">
      <c r="A90" s="1960"/>
    </row>
  </sheetData>
  <mergeCells count="15">
    <mergeCell ref="BD3:BF3"/>
    <mergeCell ref="AV1:BF1"/>
    <mergeCell ref="AZ3:BB3"/>
    <mergeCell ref="AV3:AX3"/>
    <mergeCell ref="AR3:AT3"/>
    <mergeCell ref="AN3:AP3"/>
    <mergeCell ref="AJ3:AL3"/>
    <mergeCell ref="AF3:AH3"/>
    <mergeCell ref="AB3:AD3"/>
    <mergeCell ref="D3:F3"/>
    <mergeCell ref="H3:J3"/>
    <mergeCell ref="L3:N3"/>
    <mergeCell ref="P3:R3"/>
    <mergeCell ref="X3:Z3"/>
    <mergeCell ref="T3:V3"/>
  </mergeCells>
  <printOptions horizontalCentered="1" verticalCentered="1"/>
  <pageMargins left="0.70866141732283472" right="0.70866141732283472" top="0.74803149606299213" bottom="0.74803149606299213" header="0.31496062992125984" footer="0.31496062992125984"/>
  <pageSetup scale="50" firstPageNumber="42" orientation="landscape" useFirstPageNumber="1" r:id="rId1"/>
  <headerFooter scaleWithDoc="0" alignWithMargins="0">
    <oddFooter>&amp;R&amp;P</oddFooter>
  </headerFooter>
  <rowBreaks count="1" manualBreakCount="1">
    <brk id="53" min="39" max="57" man="1"/>
  </rowBreaks>
  <ignoredErrors>
    <ignoredError sqref="X71:Y80 X84:Y84 X81 F84 AH84 R84 T84:V84 T71:V82 R71:R82 X82:Y82" formula="1"/>
    <ignoredError sqref="Y81" formula="1"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B90"/>
  <sheetViews>
    <sheetView showGridLines="0" zoomScaleNormal="100" workbookViewId="0">
      <pane xSplit="2" ySplit="4" topLeftCell="AM5" activePane="bottomRight" state="frozen"/>
      <selection activeCell="O12" sqref="O12"/>
      <selection pane="topRight" activeCell="O12" sqref="O12"/>
      <selection pane="bottomLeft" activeCell="O12" sqref="O12"/>
      <selection pane="bottomRight"/>
    </sheetView>
  </sheetViews>
  <sheetFormatPr baseColWidth="10" defaultRowHeight="14.4"/>
  <cols>
    <col min="1" max="1" width="2.6640625" style="157" customWidth="1"/>
    <col min="2" max="2" width="37.5546875" bestFit="1" customWidth="1"/>
    <col min="3" max="3" width="1.6640625" style="5317" customWidth="1"/>
    <col min="4" max="4" width="9.44140625" bestFit="1" customWidth="1"/>
    <col min="5" max="6" width="12.6640625" customWidth="1"/>
    <col min="7" max="7" width="1.6640625" style="2107" customWidth="1"/>
    <col min="8" max="8" width="9.44140625" bestFit="1" customWidth="1"/>
    <col min="9" max="10" width="12.6640625" customWidth="1"/>
    <col min="11" max="11" width="1.6640625" style="2107" customWidth="1"/>
    <col min="12" max="12" width="9.44140625" bestFit="1" customWidth="1"/>
    <col min="13" max="14" width="12.6640625" customWidth="1"/>
    <col min="15" max="15" width="1.6640625" style="2107" customWidth="1"/>
    <col min="16" max="16" width="9.44140625" bestFit="1" customWidth="1"/>
    <col min="17" max="18" width="12.6640625" customWidth="1"/>
    <col min="19" max="19" width="1.6640625" style="2107" customWidth="1"/>
    <col min="20" max="20" width="9.44140625" bestFit="1" customWidth="1"/>
    <col min="21" max="21" width="12" bestFit="1" customWidth="1"/>
    <col min="23" max="23" width="1.6640625" style="2107" customWidth="1"/>
    <col min="24" max="24" width="9.44140625" bestFit="1" customWidth="1"/>
    <col min="25" max="25" width="12" bestFit="1" customWidth="1"/>
    <col min="27" max="27" width="1.6640625" style="2107" customWidth="1"/>
    <col min="28" max="28" width="9.44140625" bestFit="1" customWidth="1"/>
    <col min="29" max="29" width="12" bestFit="1" customWidth="1"/>
    <col min="30" max="30" width="11.44140625" customWidth="1"/>
    <col min="31" max="31" width="1.6640625" style="2107" customWidth="1"/>
    <col min="32" max="32" width="9.44140625" bestFit="1" customWidth="1"/>
    <col min="33" max="33" width="12" bestFit="1" customWidth="1"/>
    <col min="35" max="35" width="1.6640625" customWidth="1"/>
    <col min="36" max="36" width="9.44140625" bestFit="1" customWidth="1"/>
    <col min="37" max="37" width="12" bestFit="1" customWidth="1"/>
    <col min="39" max="39" width="1.6640625" customWidth="1"/>
    <col min="40" max="40" width="9.44140625" bestFit="1" customWidth="1"/>
    <col min="43" max="43" width="1.6640625" customWidth="1"/>
    <col min="44" max="44" width="9.44140625" bestFit="1" customWidth="1"/>
    <col min="47" max="47" width="1.6640625" customWidth="1"/>
    <col min="48" max="48" width="9.44140625" bestFit="1" customWidth="1"/>
    <col min="49" max="49" width="11.109375" bestFit="1" customWidth="1"/>
    <col min="51" max="51" width="1.6640625" customWidth="1"/>
  </cols>
  <sheetData>
    <row r="1" spans="1:54" ht="19.5" customHeight="1">
      <c r="D1" s="276"/>
      <c r="E1" s="61"/>
      <c r="O1" s="2417"/>
      <c r="W1" s="25"/>
      <c r="AE1" s="25"/>
      <c r="BB1" s="6496" t="s">
        <v>2451</v>
      </c>
    </row>
    <row r="2" spans="1:54" ht="15.6">
      <c r="D2" s="276"/>
      <c r="E2" s="61"/>
      <c r="G2" s="5317"/>
      <c r="O2" s="5317"/>
      <c r="S2" s="2417"/>
      <c r="W2" s="25"/>
      <c r="AA2" s="2417"/>
      <c r="AE2" s="25"/>
      <c r="AQ2" s="5317"/>
    </row>
    <row r="3" spans="1:54" s="8" customFormat="1" ht="15.6">
      <c r="A3" s="5852"/>
      <c r="B3" s="7356" t="s">
        <v>2383</v>
      </c>
      <c r="C3" s="5317"/>
      <c r="D3" s="7353">
        <v>2011</v>
      </c>
      <c r="E3" s="7354"/>
      <c r="F3" s="7355"/>
      <c r="G3" s="5317"/>
      <c r="H3" s="7353">
        <v>2012</v>
      </c>
      <c r="I3" s="7354"/>
      <c r="J3" s="7355"/>
      <c r="L3" s="7353">
        <v>2013</v>
      </c>
      <c r="M3" s="7354"/>
      <c r="N3" s="7355"/>
      <c r="O3" s="5317"/>
      <c r="P3" s="7353">
        <v>2014</v>
      </c>
      <c r="Q3" s="7354"/>
      <c r="R3" s="7355"/>
      <c r="T3" s="7353">
        <v>2015</v>
      </c>
      <c r="U3" s="7354"/>
      <c r="V3" s="7355"/>
      <c r="W3" s="25"/>
      <c r="X3" s="7353">
        <v>2016</v>
      </c>
      <c r="Y3" s="7354"/>
      <c r="Z3" s="7355"/>
      <c r="AB3" s="7353">
        <v>2017</v>
      </c>
      <c r="AC3" s="7354"/>
      <c r="AD3" s="7355"/>
      <c r="AE3" s="5917"/>
      <c r="AF3" s="7353">
        <v>2018</v>
      </c>
      <c r="AG3" s="7354"/>
      <c r="AH3" s="7355"/>
      <c r="AJ3" s="7353">
        <v>2019</v>
      </c>
      <c r="AK3" s="7354"/>
      <c r="AL3" s="7355"/>
      <c r="AM3" s="5317"/>
      <c r="AN3" s="7353">
        <v>2020</v>
      </c>
      <c r="AO3" s="7354"/>
      <c r="AP3" s="7355"/>
      <c r="AQ3" s="5317"/>
      <c r="AR3" s="7353">
        <v>2021</v>
      </c>
      <c r="AS3" s="7354"/>
      <c r="AT3" s="7355"/>
      <c r="AU3" s="5317"/>
      <c r="AV3" s="7353">
        <v>2022</v>
      </c>
      <c r="AW3" s="7354"/>
      <c r="AX3" s="7355"/>
      <c r="AZ3" s="7353">
        <v>2023</v>
      </c>
      <c r="BA3" s="7354"/>
      <c r="BB3" s="7355"/>
    </row>
    <row r="4" spans="1:54" ht="16.2" thickBot="1">
      <c r="B4" s="7357"/>
      <c r="D4" s="2368" t="s">
        <v>1012</v>
      </c>
      <c r="E4" s="2368" t="s">
        <v>1013</v>
      </c>
      <c r="F4" s="2368" t="s">
        <v>1014</v>
      </c>
      <c r="G4" s="5317"/>
      <c r="H4" s="2368" t="s">
        <v>1012</v>
      </c>
      <c r="I4" s="2368" t="s">
        <v>1013</v>
      </c>
      <c r="J4" s="2368" t="s">
        <v>1014</v>
      </c>
      <c r="K4" s="8"/>
      <c r="L4" s="2368" t="s">
        <v>1012</v>
      </c>
      <c r="M4" s="2368" t="s">
        <v>1013</v>
      </c>
      <c r="N4" s="2368" t="s">
        <v>1014</v>
      </c>
      <c r="O4" s="5317"/>
      <c r="P4" s="2368" t="s">
        <v>1012</v>
      </c>
      <c r="Q4" s="2368" t="s">
        <v>1013</v>
      </c>
      <c r="R4" s="2368" t="s">
        <v>1014</v>
      </c>
      <c r="S4" s="8"/>
      <c r="T4" s="2368" t="s">
        <v>1012</v>
      </c>
      <c r="U4" s="2368" t="s">
        <v>1013</v>
      </c>
      <c r="V4" s="2368" t="s">
        <v>1014</v>
      </c>
      <c r="W4" s="25"/>
      <c r="X4" s="2368" t="s">
        <v>1012</v>
      </c>
      <c r="Y4" s="2368" t="s">
        <v>1013</v>
      </c>
      <c r="Z4" s="2368" t="s">
        <v>1014</v>
      </c>
      <c r="AA4" s="8"/>
      <c r="AB4" s="2368" t="s">
        <v>1012</v>
      </c>
      <c r="AC4" s="2368" t="s">
        <v>1013</v>
      </c>
      <c r="AD4" s="2368" t="s">
        <v>1014</v>
      </c>
      <c r="AE4" s="5917"/>
      <c r="AF4" s="2368" t="s">
        <v>1012</v>
      </c>
      <c r="AG4" s="2368" t="s">
        <v>1013</v>
      </c>
      <c r="AH4" s="2368" t="s">
        <v>1014</v>
      </c>
      <c r="AI4" s="5317"/>
      <c r="AJ4" s="2368" t="s">
        <v>1012</v>
      </c>
      <c r="AK4" s="2368" t="s">
        <v>1013</v>
      </c>
      <c r="AL4" s="2368" t="s">
        <v>1014</v>
      </c>
      <c r="AM4" s="5317"/>
      <c r="AN4" s="2368" t="s">
        <v>1012</v>
      </c>
      <c r="AO4" s="2368" t="s">
        <v>1013</v>
      </c>
      <c r="AP4" s="2368" t="s">
        <v>1014</v>
      </c>
      <c r="AQ4" s="5317"/>
      <c r="AR4" s="2368" t="s">
        <v>1012</v>
      </c>
      <c r="AS4" s="2368" t="s">
        <v>1013</v>
      </c>
      <c r="AT4" s="2368" t="s">
        <v>1014</v>
      </c>
      <c r="AU4" s="5317"/>
      <c r="AV4" s="2368" t="s">
        <v>1012</v>
      </c>
      <c r="AW4" s="2368" t="s">
        <v>1013</v>
      </c>
      <c r="AX4" s="2368" t="s">
        <v>1014</v>
      </c>
      <c r="AZ4" s="2368" t="s">
        <v>1012</v>
      </c>
      <c r="BA4" s="2368" t="s">
        <v>1013</v>
      </c>
      <c r="BB4" s="2368" t="s">
        <v>1014</v>
      </c>
    </row>
    <row r="5" spans="1:54" ht="15.6">
      <c r="B5" s="2369" t="s">
        <v>956</v>
      </c>
      <c r="D5" s="2370">
        <v>142</v>
      </c>
      <c r="E5" s="2370">
        <v>14247494.111421233</v>
      </c>
      <c r="F5" s="2370">
        <v>100334.46557338897</v>
      </c>
      <c r="G5" s="5317"/>
      <c r="H5" s="2370">
        <v>144</v>
      </c>
      <c r="I5" s="2370">
        <v>15181948.111421233</v>
      </c>
      <c r="J5" s="2370">
        <v>105430.19521820301</v>
      </c>
      <c r="K5" s="8"/>
      <c r="L5" s="2370">
        <v>145</v>
      </c>
      <c r="M5" s="2370">
        <v>16356799.711421233</v>
      </c>
      <c r="N5" s="2370">
        <v>112805.51525118091</v>
      </c>
      <c r="O5" s="5317"/>
      <c r="P5" s="2370">
        <v>146</v>
      </c>
      <c r="Q5" s="2370">
        <v>17494167.31142123</v>
      </c>
      <c r="R5" s="2370">
        <v>119823.06377685774</v>
      </c>
      <c r="S5" s="8"/>
      <c r="T5" s="2370">
        <v>140</v>
      </c>
      <c r="U5" s="2370">
        <v>18059619.913476028</v>
      </c>
      <c r="V5" s="2370">
        <v>128997.28509625734</v>
      </c>
      <c r="W5" s="25"/>
      <c r="X5" s="2370">
        <v>138</v>
      </c>
      <c r="Y5" s="2370">
        <v>18831011.611421242</v>
      </c>
      <c r="Z5" s="2370">
        <v>136456.60587986407</v>
      </c>
      <c r="AA5" s="8"/>
      <c r="AB5" s="2370">
        <v>138</v>
      </c>
      <c r="AC5" s="2370">
        <v>19600430.513476044</v>
      </c>
      <c r="AD5" s="2370">
        <v>142032.10517011627</v>
      </c>
      <c r="AE5" s="5917"/>
      <c r="AF5" s="2370">
        <v>133</v>
      </c>
      <c r="AG5" s="2370">
        <v>20362870.706626717</v>
      </c>
      <c r="AH5" s="2370">
        <v>153104.29102726854</v>
      </c>
      <c r="AI5" s="5317"/>
      <c r="AJ5" s="2370">
        <v>133</v>
      </c>
      <c r="AK5" s="2370">
        <v>21272718.104982879</v>
      </c>
      <c r="AL5" s="2370">
        <v>159945.24890964571</v>
      </c>
      <c r="AM5" s="5317"/>
      <c r="AN5" s="2370">
        <v>136</v>
      </c>
      <c r="AO5" s="2370">
        <v>22088416.506352723</v>
      </c>
      <c r="AP5" s="2370">
        <v>162414.82725259356</v>
      </c>
      <c r="AQ5" s="5317"/>
      <c r="AR5" s="2370">
        <v>133</v>
      </c>
      <c r="AS5" s="2370">
        <v>22491603.606352735</v>
      </c>
      <c r="AT5" s="2370">
        <v>169109.80155152432</v>
      </c>
      <c r="AU5" s="5317"/>
      <c r="AV5" s="6152">
        <v>132</v>
      </c>
      <c r="AW5" s="6152">
        <v>23189372.61999999</v>
      </c>
      <c r="AX5" s="2370">
        <v>169109.80155152432</v>
      </c>
      <c r="AZ5" s="6152">
        <v>126</v>
      </c>
      <c r="BA5" s="6152">
        <v>23533212.429999989</v>
      </c>
      <c r="BB5" s="2370">
        <v>186771.52722222212</v>
      </c>
    </row>
    <row r="6" spans="1:54" ht="15.6">
      <c r="B6" s="2371" t="s">
        <v>957</v>
      </c>
      <c r="D6" s="2372">
        <v>52</v>
      </c>
      <c r="E6" s="2372">
        <v>3415614.17</v>
      </c>
      <c r="F6" s="2372">
        <v>65684.887884615382</v>
      </c>
      <c r="G6" s="5317"/>
      <c r="H6" s="2372">
        <v>52</v>
      </c>
      <c r="I6" s="2372">
        <v>3491777.5699999989</v>
      </c>
      <c r="J6" s="2372">
        <v>67149.56865384613</v>
      </c>
      <c r="K6" s="8"/>
      <c r="L6" s="2372">
        <v>52</v>
      </c>
      <c r="M6" s="2372">
        <v>3738814.7699999986</v>
      </c>
      <c r="N6" s="2372">
        <v>71900.284038461512</v>
      </c>
      <c r="O6" s="5317"/>
      <c r="P6" s="2372">
        <v>52</v>
      </c>
      <c r="Q6" s="2372">
        <v>3908506.3699999996</v>
      </c>
      <c r="R6" s="2372">
        <v>75163.584038461529</v>
      </c>
      <c r="S6" s="8"/>
      <c r="T6" s="2372">
        <v>54</v>
      </c>
      <c r="U6" s="2372">
        <v>4295795.7699999996</v>
      </c>
      <c r="V6" s="2372">
        <v>79551.773518518516</v>
      </c>
      <c r="W6" s="25"/>
      <c r="X6" s="2372">
        <v>53</v>
      </c>
      <c r="Y6" s="2372">
        <v>4290980.37</v>
      </c>
      <c r="Z6" s="2372">
        <v>80961.893773584903</v>
      </c>
      <c r="AA6" s="8"/>
      <c r="AB6" s="2372">
        <v>54</v>
      </c>
      <c r="AC6" s="2372">
        <v>4630274.7699999996</v>
      </c>
      <c r="AD6" s="2372">
        <v>85745.829074074063</v>
      </c>
      <c r="AE6" s="5917"/>
      <c r="AF6" s="2372">
        <v>51</v>
      </c>
      <c r="AG6" s="2372">
        <v>4742545.5699999984</v>
      </c>
      <c r="AH6" s="2372">
        <v>92991.089607843111</v>
      </c>
      <c r="AI6" s="5317"/>
      <c r="AJ6" s="2372">
        <v>49</v>
      </c>
      <c r="AK6" s="2372">
        <v>4640553.67</v>
      </c>
      <c r="AL6" s="2372">
        <v>94705.176938775505</v>
      </c>
      <c r="AM6" s="5317"/>
      <c r="AN6" s="2372">
        <v>48</v>
      </c>
      <c r="AO6" s="2372">
        <v>4698419.0699999919</v>
      </c>
      <c r="AP6" s="2372">
        <v>97883.730624999836</v>
      </c>
      <c r="AQ6" s="5317"/>
      <c r="AR6" s="2372">
        <v>48</v>
      </c>
      <c r="AS6" s="2372">
        <v>5219321.7700000005</v>
      </c>
      <c r="AT6" s="2372">
        <v>108735.87020833335</v>
      </c>
      <c r="AU6" s="5317"/>
      <c r="AV6" s="6153">
        <v>45</v>
      </c>
      <c r="AW6" s="6153">
        <v>5231423.57</v>
      </c>
      <c r="AX6" s="2372">
        <v>108735.87020833335</v>
      </c>
      <c r="AZ6" s="6153">
        <v>43</v>
      </c>
      <c r="BA6" s="6153">
        <v>5453233.9700000007</v>
      </c>
      <c r="BB6" s="2372">
        <v>126819.3946511628</v>
      </c>
    </row>
    <row r="7" spans="1:54" ht="15.6">
      <c r="B7" s="2371" t="s">
        <v>958</v>
      </c>
      <c r="D7" s="2372">
        <v>59</v>
      </c>
      <c r="E7" s="2372">
        <v>6273035.9300000006</v>
      </c>
      <c r="F7" s="2372">
        <v>106322.64288135595</v>
      </c>
      <c r="G7" s="5317"/>
      <c r="H7" s="2372">
        <v>60</v>
      </c>
      <c r="I7" s="2372">
        <v>6766543.2299999986</v>
      </c>
      <c r="J7" s="2372">
        <v>112775.72049999998</v>
      </c>
      <c r="K7" s="8"/>
      <c r="L7" s="2372">
        <v>60</v>
      </c>
      <c r="M7" s="2372">
        <v>7090054.9299999969</v>
      </c>
      <c r="N7" s="2372">
        <v>118167.58216666662</v>
      </c>
      <c r="O7" s="5317"/>
      <c r="P7" s="2372">
        <v>62</v>
      </c>
      <c r="Q7" s="2372">
        <v>7648683.3299999982</v>
      </c>
      <c r="R7" s="2372">
        <v>123365.8601612903</v>
      </c>
      <c r="S7" s="8"/>
      <c r="T7" s="2372">
        <v>60</v>
      </c>
      <c r="U7" s="2372">
        <v>7994132.6299999999</v>
      </c>
      <c r="V7" s="2372">
        <v>133235.54383333333</v>
      </c>
      <c r="W7" s="25"/>
      <c r="X7" s="2372">
        <v>59</v>
      </c>
      <c r="Y7" s="2372">
        <v>8681998.3796575367</v>
      </c>
      <c r="Z7" s="2372">
        <v>147152.51490944976</v>
      </c>
      <c r="AA7" s="8"/>
      <c r="AB7" s="2372">
        <v>58</v>
      </c>
      <c r="AC7" s="2372">
        <v>9225403.1796575375</v>
      </c>
      <c r="AD7" s="2372">
        <v>159058.67551133686</v>
      </c>
      <c r="AE7" s="5917"/>
      <c r="AF7" s="2372">
        <v>58</v>
      </c>
      <c r="AG7" s="2372">
        <v>9819958.7796575371</v>
      </c>
      <c r="AH7" s="2372">
        <v>169309.63413202649</v>
      </c>
      <c r="AI7" s="5317"/>
      <c r="AJ7" s="2372">
        <v>56</v>
      </c>
      <c r="AK7" s="2372">
        <v>9972705.579657536</v>
      </c>
      <c r="AL7" s="2372">
        <v>178084.02820817029</v>
      </c>
      <c r="AM7" s="5317"/>
      <c r="AN7" s="2372">
        <v>53</v>
      </c>
      <c r="AO7" s="2372">
        <v>10172211.729999989</v>
      </c>
      <c r="AP7" s="2372">
        <v>191928.52320754697</v>
      </c>
      <c r="AQ7" s="5317"/>
      <c r="AR7" s="2372">
        <v>54</v>
      </c>
      <c r="AS7" s="2372">
        <v>10769673.055</v>
      </c>
      <c r="AT7" s="2372">
        <v>199438.3899074074</v>
      </c>
      <c r="AU7" s="5317"/>
      <c r="AV7" s="6153">
        <v>55</v>
      </c>
      <c r="AW7" s="6153">
        <v>11498285.130000001</v>
      </c>
      <c r="AX7" s="2372">
        <v>199438.3899074074</v>
      </c>
      <c r="AZ7" s="6153">
        <v>54</v>
      </c>
      <c r="BA7" s="6153">
        <v>12165439.33</v>
      </c>
      <c r="BB7" s="2372">
        <v>225285.91351851853</v>
      </c>
    </row>
    <row r="8" spans="1:54" ht="15.6">
      <c r="B8" s="2371" t="s">
        <v>959</v>
      </c>
      <c r="D8" s="2372">
        <v>45</v>
      </c>
      <c r="E8" s="2372">
        <v>4802476.5299999993</v>
      </c>
      <c r="F8" s="2372">
        <v>106721.70066666664</v>
      </c>
      <c r="G8" s="5317"/>
      <c r="H8" s="2372">
        <v>45</v>
      </c>
      <c r="I8" s="2372">
        <v>4997866.83</v>
      </c>
      <c r="J8" s="2372">
        <v>111063.70733333334</v>
      </c>
      <c r="K8" s="8"/>
      <c r="L8" s="2372">
        <v>47</v>
      </c>
      <c r="M8" s="2372">
        <v>5288444.2300000014</v>
      </c>
      <c r="N8" s="2372">
        <v>112520.09000000003</v>
      </c>
      <c r="O8" s="5317"/>
      <c r="P8" s="2372">
        <v>47</v>
      </c>
      <c r="Q8" s="2372">
        <v>5632340.0299999993</v>
      </c>
      <c r="R8" s="2372">
        <v>119837.0219148936</v>
      </c>
      <c r="S8" s="8"/>
      <c r="T8" s="2372">
        <v>49</v>
      </c>
      <c r="U8" s="2372">
        <v>6249443.2300000023</v>
      </c>
      <c r="V8" s="2372">
        <v>127539.65775510209</v>
      </c>
      <c r="W8" s="25"/>
      <c r="X8" s="2372">
        <v>46</v>
      </c>
      <c r="Y8" s="2372">
        <v>6482990.7300000014</v>
      </c>
      <c r="Z8" s="2372">
        <v>140934.58108695655</v>
      </c>
      <c r="AA8" s="8"/>
      <c r="AB8" s="2372">
        <v>46</v>
      </c>
      <c r="AC8" s="2372">
        <v>6879105.1300000018</v>
      </c>
      <c r="AD8" s="2372">
        <v>149545.76369565222</v>
      </c>
      <c r="AE8" s="5917"/>
      <c r="AF8" s="2372">
        <v>45</v>
      </c>
      <c r="AG8" s="2372">
        <v>7237145.8300000019</v>
      </c>
      <c r="AH8" s="2372">
        <v>160825.46288888893</v>
      </c>
      <c r="AI8" s="5317"/>
      <c r="AJ8" s="2372">
        <v>44</v>
      </c>
      <c r="AK8" s="2372">
        <v>7645900.7800000012</v>
      </c>
      <c r="AL8" s="2372">
        <v>173770.47227272729</v>
      </c>
      <c r="AM8" s="5317"/>
      <c r="AN8" s="2372">
        <v>48</v>
      </c>
      <c r="AO8" s="2372">
        <v>8093583.9299999904</v>
      </c>
      <c r="AP8" s="2372">
        <v>168616.3318749998</v>
      </c>
      <c r="AQ8" s="5317"/>
      <c r="AR8" s="2372">
        <v>46</v>
      </c>
      <c r="AS8" s="2372">
        <v>8414958.6300000027</v>
      </c>
      <c r="AT8" s="2372">
        <v>182933.88326086962</v>
      </c>
      <c r="AU8" s="5317"/>
      <c r="AV8" s="6153">
        <v>45</v>
      </c>
      <c r="AW8" s="6153">
        <v>8709436.6300000027</v>
      </c>
      <c r="AX8" s="2372">
        <v>182933.88326086962</v>
      </c>
      <c r="AZ8" s="6153">
        <v>43</v>
      </c>
      <c r="BA8" s="6153">
        <v>8698340.0500000007</v>
      </c>
      <c r="BB8" s="2372">
        <v>202286.97790697677</v>
      </c>
    </row>
    <row r="9" spans="1:54" ht="15.6">
      <c r="B9" s="2371" t="s">
        <v>960</v>
      </c>
      <c r="D9" s="2372">
        <v>40</v>
      </c>
      <c r="E9" s="2372">
        <v>3211010.8496575332</v>
      </c>
      <c r="F9" s="2372">
        <v>80275.271241438328</v>
      </c>
      <c r="G9" s="5317"/>
      <c r="H9" s="2372">
        <v>41</v>
      </c>
      <c r="I9" s="2372">
        <v>3435580.1496575344</v>
      </c>
      <c r="J9" s="2372">
        <v>83794.637796525232</v>
      </c>
      <c r="K9" s="8"/>
      <c r="L9" s="2372">
        <v>41</v>
      </c>
      <c r="M9" s="2372">
        <v>3575720.4496575338</v>
      </c>
      <c r="N9" s="2372">
        <v>87212.693894086187</v>
      </c>
      <c r="O9" s="5317"/>
      <c r="P9" s="2372">
        <v>41</v>
      </c>
      <c r="Q9" s="2372">
        <v>3683897.2496575355</v>
      </c>
      <c r="R9" s="2372">
        <v>89851.152430671602</v>
      </c>
      <c r="S9" s="8"/>
      <c r="T9" s="2372">
        <v>42</v>
      </c>
      <c r="U9" s="2372">
        <v>3948730.8496575342</v>
      </c>
      <c r="V9" s="2372">
        <v>94017.401182322239</v>
      </c>
      <c r="W9" s="25"/>
      <c r="X9" s="2372">
        <v>40</v>
      </c>
      <c r="Y9" s="2372">
        <v>4045595.5496575339</v>
      </c>
      <c r="Z9" s="2372">
        <v>101139.88874143835</v>
      </c>
      <c r="AA9" s="8"/>
      <c r="AB9" s="2372">
        <v>39</v>
      </c>
      <c r="AC9" s="2372">
        <v>4199299.5496575339</v>
      </c>
      <c r="AD9" s="2372">
        <v>107674.34742711626</v>
      </c>
      <c r="AE9" s="5917"/>
      <c r="AF9" s="2372">
        <v>36</v>
      </c>
      <c r="AG9" s="2372">
        <v>4151253.1496575335</v>
      </c>
      <c r="AH9" s="2372">
        <v>115312.58749048704</v>
      </c>
      <c r="AI9" s="5317"/>
      <c r="AJ9" s="2372">
        <v>35</v>
      </c>
      <c r="AK9" s="2372">
        <v>4146415.5496575334</v>
      </c>
      <c r="AL9" s="2372">
        <v>118469.01570450095</v>
      </c>
      <c r="AM9" s="5317"/>
      <c r="AN9" s="2372">
        <v>40</v>
      </c>
      <c r="AO9" s="2372">
        <v>4618969.4496575277</v>
      </c>
      <c r="AP9" s="2372">
        <v>115474.23624143819</v>
      </c>
      <c r="AQ9" s="5317"/>
      <c r="AR9" s="2372">
        <v>40</v>
      </c>
      <c r="AS9" s="2372">
        <v>4942198.6496575326</v>
      </c>
      <c r="AT9" s="2372">
        <v>123554.96624143832</v>
      </c>
      <c r="AU9" s="5317"/>
      <c r="AV9" s="6153">
        <v>40</v>
      </c>
      <c r="AW9" s="6153">
        <v>5115090.2499999981</v>
      </c>
      <c r="AX9" s="2372">
        <v>123554.96624143832</v>
      </c>
      <c r="AZ9" s="6153">
        <v>40</v>
      </c>
      <c r="BA9" s="6153">
        <v>5337697.3500000006</v>
      </c>
      <c r="BB9" s="2372">
        <v>133442.43375000003</v>
      </c>
    </row>
    <row r="10" spans="1:54" ht="15.6">
      <c r="B10" s="6159" t="s">
        <v>482</v>
      </c>
      <c r="D10" s="6160">
        <f>SUM(D5:D9)</f>
        <v>338</v>
      </c>
      <c r="E10" s="6160">
        <f>SUM(E5:E9)</f>
        <v>31949631.591078762</v>
      </c>
      <c r="F10" s="6160">
        <f>+E10/D10</f>
        <v>94525.537251712318</v>
      </c>
      <c r="G10" s="5317"/>
      <c r="H10" s="6160">
        <f>SUM(H5:H9)</f>
        <v>342</v>
      </c>
      <c r="I10" s="6160">
        <f>SUM(I5:I9)</f>
        <v>33873715.891078763</v>
      </c>
      <c r="J10" s="6160">
        <f>+I10/H10</f>
        <v>99045.952897891126</v>
      </c>
      <c r="K10" s="8"/>
      <c r="L10" s="6160">
        <f>SUM(L5:L9)</f>
        <v>345</v>
      </c>
      <c r="M10" s="6160">
        <f>SUM(M5:M9)</f>
        <v>36049834.091078766</v>
      </c>
      <c r="N10" s="6160">
        <f>+M10/L10</f>
        <v>104492.27272776453</v>
      </c>
      <c r="O10" s="5317"/>
      <c r="P10" s="6160">
        <f>SUM(P5:P9)</f>
        <v>348</v>
      </c>
      <c r="Q10" s="6160">
        <f>SUM(Q5:Q9)</f>
        <v>38367594.291078761</v>
      </c>
      <c r="R10" s="6160">
        <f>+Q10/P10</f>
        <v>110251.70773298494</v>
      </c>
      <c r="S10" s="8"/>
      <c r="T10" s="6160">
        <f>SUM(T5:T9)</f>
        <v>345</v>
      </c>
      <c r="U10" s="6160">
        <f>SUM(U5:U9)</f>
        <v>40547722.393133566</v>
      </c>
      <c r="V10" s="6160">
        <f>+U10/T10</f>
        <v>117529.63012502482</v>
      </c>
      <c r="W10" s="25"/>
      <c r="X10" s="6160">
        <v>336</v>
      </c>
      <c r="Y10" s="6160">
        <v>42332576.640736312</v>
      </c>
      <c r="Z10" s="6160">
        <v>125989.81143076283</v>
      </c>
      <c r="AA10" s="8"/>
      <c r="AB10" s="6160">
        <v>335</v>
      </c>
      <c r="AC10" s="6160">
        <v>44534513.142791115</v>
      </c>
      <c r="AD10" s="6160">
        <v>132938.84520236152</v>
      </c>
      <c r="AE10" s="5917"/>
      <c r="AF10" s="6160">
        <v>323</v>
      </c>
      <c r="AG10" s="6160">
        <v>46313774.03594178</v>
      </c>
      <c r="AH10" s="6160">
        <v>143386.29732489714</v>
      </c>
      <c r="AI10" s="5317"/>
      <c r="AJ10" s="6160">
        <v>317</v>
      </c>
      <c r="AK10" s="6160">
        <v>47678293.684297942</v>
      </c>
      <c r="AL10" s="6160">
        <v>150404.71193784839</v>
      </c>
      <c r="AM10" s="5317"/>
      <c r="AN10" s="6160">
        <v>325</v>
      </c>
      <c r="AO10" s="6160">
        <v>49671600.686010227</v>
      </c>
      <c r="AP10" s="6160">
        <v>152835.69441849302</v>
      </c>
      <c r="AQ10" s="5317"/>
      <c r="AR10" s="6160">
        <f>SUM(AR5:AR9)</f>
        <v>321</v>
      </c>
      <c r="AS10" s="6160">
        <f>SUM(AS5:AS9)</f>
        <v>51837755.71101027</v>
      </c>
      <c r="AT10" s="6160">
        <f>AS10/AR10</f>
        <v>161488.3355483186</v>
      </c>
      <c r="AU10" s="5317"/>
      <c r="AV10" s="6160">
        <f>SUM(AV5:AV9)</f>
        <v>317</v>
      </c>
      <c r="AW10" s="6160">
        <f>SUM(AW5:AW9)</f>
        <v>53743608.199999996</v>
      </c>
      <c r="AX10" s="6160">
        <f>AW10/AV10</f>
        <v>169538.19621451103</v>
      </c>
      <c r="AZ10" s="6160">
        <v>306</v>
      </c>
      <c r="BA10" s="6160">
        <v>55187923.129999988</v>
      </c>
      <c r="BB10" s="6160">
        <v>180352.68996732021</v>
      </c>
    </row>
    <row r="11" spans="1:54" ht="15.6">
      <c r="B11" s="2371" t="s">
        <v>961</v>
      </c>
      <c r="D11" s="2372">
        <v>43</v>
      </c>
      <c r="E11" s="2372">
        <v>4789945.1450000005</v>
      </c>
      <c r="F11" s="2372">
        <v>111394.07313953488</v>
      </c>
      <c r="G11" s="5317"/>
      <c r="H11" s="2372">
        <v>45</v>
      </c>
      <c r="I11" s="2372">
        <v>5126329.3450000016</v>
      </c>
      <c r="J11" s="2372">
        <v>113918.42988888892</v>
      </c>
      <c r="K11" s="8"/>
      <c r="L11" s="2372">
        <v>46</v>
      </c>
      <c r="M11" s="2372">
        <v>5462126.9449999994</v>
      </c>
      <c r="N11" s="2372">
        <v>118741.89010869565</v>
      </c>
      <c r="O11" s="5317"/>
      <c r="P11" s="2372">
        <v>47</v>
      </c>
      <c r="Q11" s="2372">
        <v>5767336.8450000007</v>
      </c>
      <c r="R11" s="2372">
        <v>122709.29457446811</v>
      </c>
      <c r="S11" s="8"/>
      <c r="T11" s="2372">
        <v>46</v>
      </c>
      <c r="U11" s="2372">
        <v>5653287.5450000009</v>
      </c>
      <c r="V11" s="2372">
        <v>122897.55532608698</v>
      </c>
      <c r="W11" s="25"/>
      <c r="X11" s="2372">
        <v>46</v>
      </c>
      <c r="Y11" s="2372">
        <v>5870398.1450000023</v>
      </c>
      <c r="Z11" s="2372">
        <v>127617.35097826092</v>
      </c>
      <c r="AA11" s="8"/>
      <c r="AB11" s="2372">
        <v>45</v>
      </c>
      <c r="AC11" s="2372">
        <v>5945569.5950000025</v>
      </c>
      <c r="AD11" s="2372">
        <v>132123.76877777785</v>
      </c>
      <c r="AE11" s="5917"/>
      <c r="AF11" s="2372">
        <v>45</v>
      </c>
      <c r="AG11" s="2372">
        <v>6379822.0700000003</v>
      </c>
      <c r="AH11" s="2372">
        <v>141773.82377777778</v>
      </c>
      <c r="AI11" s="5317"/>
      <c r="AJ11" s="2372">
        <v>46</v>
      </c>
      <c r="AK11" s="2372">
        <v>6782014.870000002</v>
      </c>
      <c r="AL11" s="2372">
        <v>147435.10586956525</v>
      </c>
      <c r="AM11" s="5317"/>
      <c r="AN11" s="2372">
        <v>46</v>
      </c>
      <c r="AO11" s="2372">
        <v>6986322.0480821803</v>
      </c>
      <c r="AP11" s="2372">
        <v>151876.5662626561</v>
      </c>
      <c r="AQ11" s="5317"/>
      <c r="AR11" s="2372">
        <v>48</v>
      </c>
      <c r="AS11" s="2372">
        <v>7656644.9480821937</v>
      </c>
      <c r="AT11" s="2372">
        <v>159513.43641837905</v>
      </c>
      <c r="AU11" s="5317"/>
      <c r="AV11" s="6153">
        <v>45</v>
      </c>
      <c r="AW11" s="6153">
        <v>7386667.0700000003</v>
      </c>
      <c r="AX11" s="2372">
        <v>159513.43641837905</v>
      </c>
      <c r="AZ11" s="6153">
        <v>44</v>
      </c>
      <c r="BA11" s="6153">
        <v>7344120.7699999996</v>
      </c>
      <c r="BB11" s="2372">
        <v>166911.83568181816</v>
      </c>
    </row>
    <row r="12" spans="1:54" ht="15.6">
      <c r="B12" s="2371" t="s">
        <v>962</v>
      </c>
      <c r="D12" s="2372">
        <v>75</v>
      </c>
      <c r="E12" s="2372">
        <v>7723520.0157534229</v>
      </c>
      <c r="F12" s="2372">
        <v>102980.26687671231</v>
      </c>
      <c r="G12" s="5317"/>
      <c r="H12" s="2372">
        <v>75</v>
      </c>
      <c r="I12" s="2372">
        <v>8087839.7482876685</v>
      </c>
      <c r="J12" s="2372">
        <v>107837.86331050225</v>
      </c>
      <c r="K12" s="8"/>
      <c r="L12" s="2372">
        <v>76</v>
      </c>
      <c r="M12" s="2372">
        <v>8506525.3921232894</v>
      </c>
      <c r="N12" s="2372">
        <v>111927.96568583275</v>
      </c>
      <c r="O12" s="5317"/>
      <c r="P12" s="2372">
        <v>78</v>
      </c>
      <c r="Q12" s="2372">
        <v>8804409.5921232868</v>
      </c>
      <c r="R12" s="2372">
        <v>112877.04605286264</v>
      </c>
      <c r="S12" s="8"/>
      <c r="T12" s="2372">
        <v>78</v>
      </c>
      <c r="U12" s="2372">
        <v>8825957.5921232887</v>
      </c>
      <c r="V12" s="2372">
        <v>113153.30246311908</v>
      </c>
      <c r="W12" s="25"/>
      <c r="X12" s="2372">
        <v>76</v>
      </c>
      <c r="Y12" s="2372">
        <v>9184236.5921232887</v>
      </c>
      <c r="Z12" s="2372">
        <v>120845.21831741169</v>
      </c>
      <c r="AA12" s="8"/>
      <c r="AB12" s="2372">
        <v>77</v>
      </c>
      <c r="AC12" s="2372">
        <v>9551246.3436301369</v>
      </c>
      <c r="AD12" s="2372">
        <v>124042.16030688489</v>
      </c>
      <c r="AE12" s="5917"/>
      <c r="AF12" s="2372">
        <v>75</v>
      </c>
      <c r="AG12" s="2372">
        <v>9774056.6686301362</v>
      </c>
      <c r="AH12" s="2372">
        <v>130320.75558173515</v>
      </c>
      <c r="AI12" s="5317"/>
      <c r="AJ12" s="2372">
        <v>71</v>
      </c>
      <c r="AK12" s="2372">
        <v>9680547.1186301373</v>
      </c>
      <c r="AL12" s="2372">
        <v>136345.73406521321</v>
      </c>
      <c r="AM12" s="5317"/>
      <c r="AN12" s="2372">
        <v>69</v>
      </c>
      <c r="AO12" s="2372">
        <v>9558979.8193150572</v>
      </c>
      <c r="AP12" s="2372">
        <v>138535.93941036315</v>
      </c>
      <c r="AQ12" s="5317"/>
      <c r="AR12" s="2372">
        <v>68</v>
      </c>
      <c r="AS12" s="2372">
        <v>9563621.1193150692</v>
      </c>
      <c r="AT12" s="2372">
        <v>140641.48704875101</v>
      </c>
      <c r="AU12" s="5317"/>
      <c r="AV12" s="6153">
        <v>64</v>
      </c>
      <c r="AW12" s="6153">
        <v>9573378.7200000007</v>
      </c>
      <c r="AX12" s="2372">
        <v>140641.48704875101</v>
      </c>
      <c r="AZ12" s="6153">
        <v>65</v>
      </c>
      <c r="BA12" s="6153">
        <v>9732132.2699999996</v>
      </c>
      <c r="BB12" s="2372">
        <v>149725.11184615383</v>
      </c>
    </row>
    <row r="13" spans="1:54" ht="15.6">
      <c r="B13" s="2371" t="s">
        <v>963</v>
      </c>
      <c r="D13" s="2372">
        <v>68</v>
      </c>
      <c r="E13" s="2372">
        <v>8878128.5737500004</v>
      </c>
      <c r="F13" s="2372">
        <v>130560.71431985295</v>
      </c>
      <c r="G13" s="5317"/>
      <c r="H13" s="2372">
        <v>70</v>
      </c>
      <c r="I13" s="2372">
        <v>9359077.6737500001</v>
      </c>
      <c r="J13" s="2372">
        <v>133701.10962500001</v>
      </c>
      <c r="K13" s="8"/>
      <c r="L13" s="2372">
        <v>72</v>
      </c>
      <c r="M13" s="2372">
        <v>9812803.7737499997</v>
      </c>
      <c r="N13" s="2372">
        <v>136288.94130208332</v>
      </c>
      <c r="O13" s="5317"/>
      <c r="P13" s="2372">
        <v>73</v>
      </c>
      <c r="Q13" s="2372">
        <v>10217201.873750001</v>
      </c>
      <c r="R13" s="2372">
        <v>139961.66950342467</v>
      </c>
      <c r="S13" s="8"/>
      <c r="T13" s="2372">
        <v>72</v>
      </c>
      <c r="U13" s="2372">
        <v>10440132.373749999</v>
      </c>
      <c r="V13" s="2372">
        <v>145001.83852430555</v>
      </c>
      <c r="W13" s="25"/>
      <c r="X13" s="2372">
        <v>71</v>
      </c>
      <c r="Y13" s="2372">
        <v>10836190.373749997</v>
      </c>
      <c r="Z13" s="2372">
        <v>152622.39963028167</v>
      </c>
      <c r="AA13" s="8"/>
      <c r="AB13" s="2372">
        <v>71</v>
      </c>
      <c r="AC13" s="2372">
        <v>11243882.573750002</v>
      </c>
      <c r="AD13" s="2372">
        <v>158364.54329225354</v>
      </c>
      <c r="AE13" s="5917"/>
      <c r="AF13" s="2372">
        <v>67</v>
      </c>
      <c r="AG13" s="2372">
        <v>11315346.473750003</v>
      </c>
      <c r="AH13" s="2372">
        <v>168885.76826492543</v>
      </c>
      <c r="AI13" s="5317"/>
      <c r="AJ13" s="2372">
        <v>68</v>
      </c>
      <c r="AK13" s="2372">
        <v>11731234.173750002</v>
      </c>
      <c r="AL13" s="2372">
        <v>172518.14961397063</v>
      </c>
      <c r="AM13" s="5317"/>
      <c r="AN13" s="2372">
        <v>67</v>
      </c>
      <c r="AO13" s="2372">
        <v>11611458.573749978</v>
      </c>
      <c r="AP13" s="2372">
        <v>173305.35184701459</v>
      </c>
      <c r="AQ13" s="5317"/>
      <c r="AR13" s="2372">
        <v>67</v>
      </c>
      <c r="AS13" s="2372">
        <v>11637286.373749997</v>
      </c>
      <c r="AT13" s="2372">
        <v>173690.8413992537</v>
      </c>
      <c r="AU13" s="5317"/>
      <c r="AV13" s="6153">
        <v>67</v>
      </c>
      <c r="AW13" s="6153">
        <v>11468526.369999997</v>
      </c>
      <c r="AX13" s="2372">
        <v>173690.8413992537</v>
      </c>
      <c r="AZ13" s="6153">
        <v>64</v>
      </c>
      <c r="BA13" s="6153">
        <v>11402927.27</v>
      </c>
      <c r="BB13" s="2372">
        <v>178170.73859374999</v>
      </c>
    </row>
    <row r="14" spans="1:54" ht="15.6">
      <c r="B14" s="2371" t="s">
        <v>695</v>
      </c>
      <c r="D14" s="2372">
        <v>57</v>
      </c>
      <c r="E14" s="2372">
        <v>9293285.5020547919</v>
      </c>
      <c r="F14" s="2372">
        <v>163040.09652727706</v>
      </c>
      <c r="G14" s="5317"/>
      <c r="H14" s="2372">
        <v>57</v>
      </c>
      <c r="I14" s="2372">
        <v>9766865.5020547975</v>
      </c>
      <c r="J14" s="2372">
        <v>171348.51757990872</v>
      </c>
      <c r="K14" s="8"/>
      <c r="L14" s="2372">
        <v>58</v>
      </c>
      <c r="M14" s="2372">
        <v>10149941.1</v>
      </c>
      <c r="N14" s="2372">
        <v>174998.98448275862</v>
      </c>
      <c r="O14" s="5317"/>
      <c r="P14" s="2372">
        <v>59</v>
      </c>
      <c r="Q14" s="2372">
        <v>10540251.5</v>
      </c>
      <c r="R14" s="2372">
        <v>178648.33050847458</v>
      </c>
      <c r="S14" s="8"/>
      <c r="T14" s="2372">
        <v>57</v>
      </c>
      <c r="U14" s="2372">
        <v>10854115.399999997</v>
      </c>
      <c r="V14" s="2372">
        <v>190423.0771929824</v>
      </c>
      <c r="W14" s="25"/>
      <c r="X14" s="2372">
        <v>59</v>
      </c>
      <c r="Y14" s="2372">
        <v>11238468.599999994</v>
      </c>
      <c r="Z14" s="2372">
        <v>190482.51864406769</v>
      </c>
      <c r="AA14" s="8"/>
      <c r="AB14" s="2372">
        <v>60</v>
      </c>
      <c r="AC14" s="2372">
        <v>11244568.599999998</v>
      </c>
      <c r="AD14" s="2372">
        <v>187409.47666666663</v>
      </c>
      <c r="AE14" s="5917"/>
      <c r="AF14" s="2372">
        <v>60</v>
      </c>
      <c r="AG14" s="2372">
        <v>11568369.799999997</v>
      </c>
      <c r="AH14" s="2372">
        <v>192806.16333333327</v>
      </c>
      <c r="AI14" s="5317"/>
      <c r="AJ14" s="2372">
        <v>60</v>
      </c>
      <c r="AK14" s="2372">
        <v>11707603.699999999</v>
      </c>
      <c r="AL14" s="2372">
        <v>195126.72833333333</v>
      </c>
      <c r="AM14" s="5317"/>
      <c r="AN14" s="2372">
        <v>58</v>
      </c>
      <c r="AO14" s="2372">
        <v>11382824.899999978</v>
      </c>
      <c r="AP14" s="2372">
        <v>196255.60172413755</v>
      </c>
      <c r="AQ14" s="5317"/>
      <c r="AR14" s="2372">
        <v>56</v>
      </c>
      <c r="AS14" s="2372">
        <v>11600962.9</v>
      </c>
      <c r="AT14" s="2372">
        <v>207160.05178571428</v>
      </c>
      <c r="AU14" s="5317"/>
      <c r="AV14" s="6153">
        <v>55</v>
      </c>
      <c r="AW14" s="6153">
        <v>11998652.1</v>
      </c>
      <c r="AX14" s="2372">
        <v>207160.05178571428</v>
      </c>
      <c r="AZ14" s="6153">
        <v>53</v>
      </c>
      <c r="BA14" s="6153">
        <v>11598173.950000001</v>
      </c>
      <c r="BB14" s="2372">
        <v>218833.47075471701</v>
      </c>
    </row>
    <row r="15" spans="1:54" ht="15.6">
      <c r="B15" s="2371" t="s">
        <v>964</v>
      </c>
      <c r="D15" s="2372">
        <v>69</v>
      </c>
      <c r="E15" s="2372">
        <v>7929565.5349999964</v>
      </c>
      <c r="F15" s="2372">
        <v>114921.23963768111</v>
      </c>
      <c r="G15" s="5317"/>
      <c r="H15" s="2372">
        <v>70</v>
      </c>
      <c r="I15" s="2372">
        <v>8358472.1399999978</v>
      </c>
      <c r="J15" s="2372">
        <v>119406.74485714282</v>
      </c>
      <c r="K15" s="8"/>
      <c r="L15" s="2372">
        <v>71</v>
      </c>
      <c r="M15" s="2372">
        <v>8887471.9399999995</v>
      </c>
      <c r="N15" s="2372">
        <v>125175.66112676056</v>
      </c>
      <c r="O15" s="5317"/>
      <c r="P15" s="2372">
        <v>72</v>
      </c>
      <c r="Q15" s="2372">
        <v>9259929.9399999995</v>
      </c>
      <c r="R15" s="2372">
        <v>128610.13805555554</v>
      </c>
      <c r="S15" s="8"/>
      <c r="T15" s="2372">
        <v>72</v>
      </c>
      <c r="U15" s="2372">
        <v>9642433.5399999972</v>
      </c>
      <c r="V15" s="2372">
        <v>133922.68805555551</v>
      </c>
      <c r="W15" s="25"/>
      <c r="X15" s="2372">
        <v>70</v>
      </c>
      <c r="Y15" s="2372">
        <v>9569236.839999998</v>
      </c>
      <c r="Z15" s="2372">
        <v>136703.3834285714</v>
      </c>
      <c r="AA15" s="8"/>
      <c r="AB15" s="2372">
        <v>69</v>
      </c>
      <c r="AC15" s="2372">
        <v>9898665.6399999969</v>
      </c>
      <c r="AD15" s="2372">
        <v>143458.92231884054</v>
      </c>
      <c r="AE15" s="5917"/>
      <c r="AF15" s="2372">
        <v>66</v>
      </c>
      <c r="AG15" s="2372">
        <v>9936155.1399999969</v>
      </c>
      <c r="AH15" s="2372">
        <v>150547.80515151512</v>
      </c>
      <c r="AI15" s="5317"/>
      <c r="AJ15" s="2372">
        <v>66</v>
      </c>
      <c r="AK15" s="2372">
        <v>9998636.9399999939</v>
      </c>
      <c r="AL15" s="2372">
        <v>151494.499090909</v>
      </c>
      <c r="AM15" s="5317"/>
      <c r="AN15" s="2372">
        <v>66</v>
      </c>
      <c r="AO15" s="2372">
        <v>10113719.63999998</v>
      </c>
      <c r="AP15" s="2372">
        <v>153238.17636363607</v>
      </c>
      <c r="AQ15" s="5317"/>
      <c r="AR15" s="2372">
        <v>66</v>
      </c>
      <c r="AS15" s="2372">
        <v>10265634.509999996</v>
      </c>
      <c r="AT15" s="2372">
        <v>155539.91681818175</v>
      </c>
      <c r="AU15" s="5317"/>
      <c r="AV15" s="6153">
        <v>64</v>
      </c>
      <c r="AW15" s="6153">
        <v>9940006.5199999977</v>
      </c>
      <c r="AX15" s="2372">
        <v>155539.91681818175</v>
      </c>
      <c r="AZ15" s="6153">
        <v>64</v>
      </c>
      <c r="BA15" s="6153">
        <v>10145289.720000001</v>
      </c>
      <c r="BB15" s="2372">
        <v>158520.15187500001</v>
      </c>
    </row>
    <row r="16" spans="1:54" ht="15.6">
      <c r="B16" s="6159" t="s">
        <v>483</v>
      </c>
      <c r="D16" s="6160">
        <f>SUM(D11:D15)</f>
        <v>312</v>
      </c>
      <c r="E16" s="6160">
        <f>SUM(E11:E15)</f>
        <v>38614444.77155821</v>
      </c>
      <c r="F16" s="6160">
        <f>+E16/D16</f>
        <v>123764.24606268656</v>
      </c>
      <c r="G16" s="5317"/>
      <c r="H16" s="6160">
        <f>SUM(H11:H15)</f>
        <v>317</v>
      </c>
      <c r="I16" s="6160">
        <f>SUM(I11:I15)</f>
        <v>40698584.409092464</v>
      </c>
      <c r="J16" s="6160">
        <f>+I16/H16</f>
        <v>128386.70160596992</v>
      </c>
      <c r="K16" s="8"/>
      <c r="L16" s="6160">
        <f>SUM(L11:L15)</f>
        <v>323</v>
      </c>
      <c r="M16" s="6160">
        <f>SUM(M11:M15)</f>
        <v>42818869.150873289</v>
      </c>
      <c r="N16" s="6160">
        <f>+M16/L16</f>
        <v>132566.1583618368</v>
      </c>
      <c r="O16" s="5317"/>
      <c r="P16" s="6160">
        <f>SUM(P11:P15)</f>
        <v>329</v>
      </c>
      <c r="Q16" s="6160">
        <f>SUM(Q11:Q15)</f>
        <v>44589129.750873283</v>
      </c>
      <c r="R16" s="6160">
        <f>+Q16/P16</f>
        <v>135529.26975949327</v>
      </c>
      <c r="S16" s="8"/>
      <c r="T16" s="6160">
        <f>SUM(T11:T15)</f>
        <v>325</v>
      </c>
      <c r="U16" s="6160">
        <f>SUM(U11:U15)</f>
        <v>45415926.450873286</v>
      </c>
      <c r="V16" s="6160">
        <f>+U16/T16</f>
        <v>139741.31215653318</v>
      </c>
      <c r="W16" s="25"/>
      <c r="X16" s="6160">
        <v>322</v>
      </c>
      <c r="Y16" s="6160">
        <v>46698530.55087328</v>
      </c>
      <c r="Z16" s="6160">
        <v>145026.49239401639</v>
      </c>
      <c r="AA16" s="8"/>
      <c r="AB16" s="6160">
        <v>322</v>
      </c>
      <c r="AC16" s="6160">
        <v>47883932.752380133</v>
      </c>
      <c r="AD16" s="6160">
        <v>148707.86569062152</v>
      </c>
      <c r="AE16" s="5917"/>
      <c r="AF16" s="6160">
        <v>313</v>
      </c>
      <c r="AG16" s="6160">
        <v>48973750.152380139</v>
      </c>
      <c r="AH16" s="6160">
        <v>156465.65543891417</v>
      </c>
      <c r="AI16" s="5317"/>
      <c r="AJ16" s="6160">
        <v>311</v>
      </c>
      <c r="AK16" s="6160">
        <v>49900036.80238013</v>
      </c>
      <c r="AL16" s="6160">
        <v>160450.27910733162</v>
      </c>
      <c r="AM16" s="5317"/>
      <c r="AN16" s="6160">
        <v>306</v>
      </c>
      <c r="AO16" s="6160">
        <v>49653304.98114717</v>
      </c>
      <c r="AP16" s="6160">
        <v>162265.70255276852</v>
      </c>
      <c r="AQ16" s="5317"/>
      <c r="AR16" s="6160">
        <f>SUM(AR11:AR15)</f>
        <v>305</v>
      </c>
      <c r="AS16" s="6160">
        <f>SUM(AS11:AS15)</f>
        <v>50724149.851147257</v>
      </c>
      <c r="AT16" s="6160">
        <f>AS16/AR16</f>
        <v>166308.68803654838</v>
      </c>
      <c r="AU16" s="5317"/>
      <c r="AV16" s="6160">
        <f>SUM(AV11:AV15)</f>
        <v>295</v>
      </c>
      <c r="AW16" s="6160">
        <f>SUM(AW11:AW15)</f>
        <v>50367230.779999994</v>
      </c>
      <c r="AX16" s="6160">
        <f>AW16/AV16</f>
        <v>170736.3755254237</v>
      </c>
      <c r="AZ16" s="6160">
        <v>290</v>
      </c>
      <c r="BA16" s="6160">
        <v>50222643.979999997</v>
      </c>
      <c r="BB16" s="6160">
        <v>173181.53096551722</v>
      </c>
    </row>
    <row r="17" spans="2:54" ht="15.6">
      <c r="B17" s="2371" t="s">
        <v>1015</v>
      </c>
      <c r="D17" s="2372">
        <v>2</v>
      </c>
      <c r="E17" s="2372">
        <v>67173.8</v>
      </c>
      <c r="F17" s="2372">
        <v>33586.9</v>
      </c>
      <c r="G17" s="5317"/>
      <c r="H17" s="2372">
        <v>2</v>
      </c>
      <c r="I17" s="2372">
        <v>67173.8</v>
      </c>
      <c r="J17" s="2372">
        <v>33586.9</v>
      </c>
      <c r="K17" s="8"/>
      <c r="L17" s="2372">
        <v>2</v>
      </c>
      <c r="M17" s="2372">
        <v>67173.8</v>
      </c>
      <c r="N17" s="2372">
        <v>33586.9</v>
      </c>
      <c r="O17" s="5317"/>
      <c r="P17" s="2372">
        <v>2</v>
      </c>
      <c r="Q17" s="2372">
        <v>67173.8</v>
      </c>
      <c r="R17" s="2372">
        <v>33586.9</v>
      </c>
      <c r="S17" s="8"/>
      <c r="T17" s="2372">
        <v>2</v>
      </c>
      <c r="U17" s="2372">
        <v>67173.8</v>
      </c>
      <c r="V17" s="2372">
        <v>33586.9</v>
      </c>
      <c r="W17" s="25"/>
      <c r="X17" s="2372">
        <v>1</v>
      </c>
      <c r="Y17" s="2372">
        <v>15257</v>
      </c>
      <c r="Z17" s="2372">
        <v>15257</v>
      </c>
      <c r="AA17" s="8"/>
      <c r="AB17" s="2372">
        <v>1</v>
      </c>
      <c r="AC17" s="2372">
        <v>15257</v>
      </c>
      <c r="AD17" s="2372">
        <v>15257</v>
      </c>
      <c r="AE17" s="5917"/>
      <c r="AF17" s="2372">
        <v>1</v>
      </c>
      <c r="AG17" s="2372">
        <v>35240.800000000003</v>
      </c>
      <c r="AH17" s="2372">
        <v>35240.800000000003</v>
      </c>
      <c r="AI17" s="5317"/>
      <c r="AJ17" s="2372">
        <v>1</v>
      </c>
      <c r="AK17" s="2372">
        <v>35240.800000000003</v>
      </c>
      <c r="AL17" s="2372">
        <v>35240.800000000003</v>
      </c>
      <c r="AM17" s="5317"/>
      <c r="AN17" s="2372">
        <v>1</v>
      </c>
      <c r="AO17" s="2372">
        <v>35240.800000000003</v>
      </c>
      <c r="AP17" s="2372">
        <v>35240.800000000003</v>
      </c>
      <c r="AQ17" s="5317"/>
      <c r="AR17" s="2372">
        <v>1</v>
      </c>
      <c r="AS17" s="2372">
        <v>35240.800000000003</v>
      </c>
      <c r="AT17" s="2372">
        <v>35240.800000000003</v>
      </c>
      <c r="AU17" s="5317"/>
      <c r="AV17" s="6153">
        <v>1</v>
      </c>
      <c r="AW17" s="6153">
        <v>35240.800000000003</v>
      </c>
      <c r="AX17" s="2372">
        <v>35240.800000000003</v>
      </c>
      <c r="AZ17" s="6153">
        <v>1</v>
      </c>
      <c r="BA17" s="6153">
        <v>49733</v>
      </c>
      <c r="BB17" s="2372">
        <v>49733</v>
      </c>
    </row>
    <row r="18" spans="2:54" ht="15.6">
      <c r="B18" s="2371" t="s">
        <v>966</v>
      </c>
      <c r="D18" s="2372">
        <v>60</v>
      </c>
      <c r="E18" s="2372">
        <v>7121847.0025000013</v>
      </c>
      <c r="F18" s="2372">
        <v>118697.45004166669</v>
      </c>
      <c r="G18" s="5317"/>
      <c r="H18" s="2372">
        <v>62</v>
      </c>
      <c r="I18" s="2372">
        <v>7589209.4024999999</v>
      </c>
      <c r="J18" s="2372">
        <v>122406.60326612904</v>
      </c>
      <c r="K18" s="8"/>
      <c r="L18" s="2372">
        <v>62</v>
      </c>
      <c r="M18" s="2372">
        <v>7980358.7024999997</v>
      </c>
      <c r="N18" s="2372">
        <v>128715.46294354838</v>
      </c>
      <c r="O18" s="5317"/>
      <c r="P18" s="2372">
        <v>63</v>
      </c>
      <c r="Q18" s="2372">
        <v>8688301.8024999965</v>
      </c>
      <c r="R18" s="2372">
        <v>137909.55242063486</v>
      </c>
      <c r="S18" s="8"/>
      <c r="T18" s="2372">
        <v>65</v>
      </c>
      <c r="U18" s="2372">
        <v>9250343.7025000006</v>
      </c>
      <c r="V18" s="2372">
        <v>142312.98003846154</v>
      </c>
      <c r="W18" s="25"/>
      <c r="X18" s="2372">
        <v>65</v>
      </c>
      <c r="Y18" s="2372">
        <v>9672470.4025000017</v>
      </c>
      <c r="Z18" s="2372">
        <v>148807.2369615385</v>
      </c>
      <c r="AA18" s="8"/>
      <c r="AB18" s="2372">
        <v>63</v>
      </c>
      <c r="AC18" s="2372">
        <v>9112837.2024999987</v>
      </c>
      <c r="AD18" s="2372">
        <v>144648.20956349204</v>
      </c>
      <c r="AE18" s="5917"/>
      <c r="AF18" s="2372">
        <v>62</v>
      </c>
      <c r="AG18" s="2372">
        <v>9734341.5025000013</v>
      </c>
      <c r="AH18" s="2372">
        <v>157005.50810483872</v>
      </c>
      <c r="AI18" s="5317"/>
      <c r="AJ18" s="2372">
        <v>60</v>
      </c>
      <c r="AK18" s="2372">
        <v>9686320.8024999984</v>
      </c>
      <c r="AL18" s="2372">
        <v>161438.68004166664</v>
      </c>
      <c r="AM18" s="5317"/>
      <c r="AN18" s="2372">
        <v>62</v>
      </c>
      <c r="AO18" s="2372">
        <v>10144019.302499985</v>
      </c>
      <c r="AP18" s="2372">
        <v>163613.21455645136</v>
      </c>
      <c r="AQ18" s="5317"/>
      <c r="AR18" s="2372">
        <v>61</v>
      </c>
      <c r="AS18" s="2372">
        <v>10556058.702500002</v>
      </c>
      <c r="AT18" s="2372">
        <v>173050.14266393447</v>
      </c>
      <c r="AU18" s="5317"/>
      <c r="AV18" s="6153">
        <v>59</v>
      </c>
      <c r="AW18" s="6153">
        <v>10878922.850000005</v>
      </c>
      <c r="AX18" s="2372">
        <v>173050.14266393447</v>
      </c>
      <c r="AZ18" s="6153">
        <v>58</v>
      </c>
      <c r="BA18" s="6153">
        <v>11372691.140000001</v>
      </c>
      <c r="BB18" s="2372">
        <v>196080.88172413793</v>
      </c>
    </row>
    <row r="19" spans="2:54" ht="15.6">
      <c r="B19" s="2371" t="s">
        <v>967</v>
      </c>
      <c r="D19" s="2372">
        <v>42</v>
      </c>
      <c r="E19" s="2372">
        <v>4249708.55</v>
      </c>
      <c r="F19" s="2372">
        <v>101183.5369047619</v>
      </c>
      <c r="G19" s="5317"/>
      <c r="H19" s="2372">
        <v>42</v>
      </c>
      <c r="I19" s="2372">
        <v>4658432.450000002</v>
      </c>
      <c r="J19" s="2372">
        <v>110915.05833333338</v>
      </c>
      <c r="K19" s="8"/>
      <c r="L19" s="2372">
        <v>43</v>
      </c>
      <c r="M19" s="2372">
        <v>4958230.6500000013</v>
      </c>
      <c r="N19" s="2372">
        <v>115307.68953488374</v>
      </c>
      <c r="O19" s="5317"/>
      <c r="P19" s="2372">
        <v>44</v>
      </c>
      <c r="Q19" s="2372">
        <v>5406654.6500000032</v>
      </c>
      <c r="R19" s="2372">
        <v>122878.51477272734</v>
      </c>
      <c r="S19" s="8"/>
      <c r="T19" s="2372">
        <v>43</v>
      </c>
      <c r="U19" s="2372">
        <v>5563799.8499999987</v>
      </c>
      <c r="V19" s="2372">
        <v>129390.69418604649</v>
      </c>
      <c r="W19" s="25"/>
      <c r="X19" s="2372">
        <v>40</v>
      </c>
      <c r="Y19" s="2372">
        <v>5769628.3500000006</v>
      </c>
      <c r="Z19" s="2372">
        <v>144240.70875000002</v>
      </c>
      <c r="AA19" s="8"/>
      <c r="AB19" s="2372">
        <v>37</v>
      </c>
      <c r="AC19" s="2372">
        <v>5660735.0500000007</v>
      </c>
      <c r="AD19" s="2372">
        <v>152992.8391891892</v>
      </c>
      <c r="AE19" s="5917"/>
      <c r="AF19" s="2372">
        <v>36</v>
      </c>
      <c r="AG19" s="2372">
        <v>5768336.25</v>
      </c>
      <c r="AH19" s="2372">
        <v>160231.5625</v>
      </c>
      <c r="AI19" s="5317"/>
      <c r="AJ19" s="2372">
        <v>39</v>
      </c>
      <c r="AK19" s="2372">
        <v>6111547.5500000017</v>
      </c>
      <c r="AL19" s="2372">
        <v>156706.34743589748</v>
      </c>
      <c r="AM19" s="5317"/>
      <c r="AN19" s="2372">
        <v>36</v>
      </c>
      <c r="AO19" s="2372">
        <v>5587888.3499999931</v>
      </c>
      <c r="AP19" s="2372">
        <v>155219.12083333315</v>
      </c>
      <c r="AQ19" s="5317"/>
      <c r="AR19" s="2372">
        <v>36</v>
      </c>
      <c r="AS19" s="2372">
        <v>5860876.9499999993</v>
      </c>
      <c r="AT19" s="2372">
        <v>162802.13749999998</v>
      </c>
      <c r="AU19" s="5317"/>
      <c r="AV19" s="6153">
        <v>35</v>
      </c>
      <c r="AW19" s="6153">
        <v>5916550.6499999994</v>
      </c>
      <c r="AX19" s="2372">
        <v>162802.13749999998</v>
      </c>
      <c r="AZ19" s="6153">
        <v>33</v>
      </c>
      <c r="BA19" s="6153">
        <v>5631837.0499999989</v>
      </c>
      <c r="BB19" s="2372">
        <v>170661.72878787876</v>
      </c>
    </row>
    <row r="20" spans="2:54" ht="15.6">
      <c r="B20" s="2371" t="s">
        <v>968</v>
      </c>
      <c r="D20" s="2372">
        <v>36</v>
      </c>
      <c r="E20" s="2372">
        <v>4415410.1100000013</v>
      </c>
      <c r="F20" s="2372">
        <v>122650.28083333337</v>
      </c>
      <c r="G20" s="5317"/>
      <c r="H20" s="2372">
        <v>37</v>
      </c>
      <c r="I20" s="2372">
        <v>4662735.3099999977</v>
      </c>
      <c r="J20" s="2372">
        <v>126019.87324324319</v>
      </c>
      <c r="K20" s="8"/>
      <c r="L20" s="2372">
        <v>38</v>
      </c>
      <c r="M20" s="2372">
        <v>5059262.7100000009</v>
      </c>
      <c r="N20" s="2372">
        <v>133138.49236842108</v>
      </c>
      <c r="O20" s="5317"/>
      <c r="P20" s="2372">
        <v>39</v>
      </c>
      <c r="Q20" s="2372">
        <v>5353192.9100000011</v>
      </c>
      <c r="R20" s="2372">
        <v>137261.35666666669</v>
      </c>
      <c r="S20" s="8"/>
      <c r="T20" s="2372">
        <v>39</v>
      </c>
      <c r="U20" s="2372">
        <v>5567814.209999999</v>
      </c>
      <c r="V20" s="2372">
        <v>142764.46692307689</v>
      </c>
      <c r="W20" s="25"/>
      <c r="X20" s="2372">
        <v>39</v>
      </c>
      <c r="Y20" s="2372">
        <v>5893959.9100000001</v>
      </c>
      <c r="Z20" s="2372">
        <v>151127.17717948719</v>
      </c>
      <c r="AA20" s="8"/>
      <c r="AB20" s="2372">
        <v>38</v>
      </c>
      <c r="AC20" s="2372">
        <v>5984858.5099999998</v>
      </c>
      <c r="AD20" s="2372">
        <v>157496.27657894735</v>
      </c>
      <c r="AE20" s="5917"/>
      <c r="AF20" s="2372">
        <v>39</v>
      </c>
      <c r="AG20" s="2372">
        <v>6513074.5100000007</v>
      </c>
      <c r="AH20" s="2372">
        <v>167001.91051282053</v>
      </c>
      <c r="AI20" s="5317"/>
      <c r="AJ20" s="2372">
        <v>39</v>
      </c>
      <c r="AK20" s="2372">
        <v>7097838.3100000015</v>
      </c>
      <c r="AL20" s="2372">
        <v>181995.85410256413</v>
      </c>
      <c r="AM20" s="5317"/>
      <c r="AN20" s="2372">
        <v>39</v>
      </c>
      <c r="AO20" s="2372">
        <v>7285980.4899999937</v>
      </c>
      <c r="AP20" s="2372">
        <v>186820.01256410239</v>
      </c>
      <c r="AQ20" s="5317"/>
      <c r="AR20" s="2372">
        <v>39</v>
      </c>
      <c r="AS20" s="2372">
        <v>7666082.29</v>
      </c>
      <c r="AT20" s="2372">
        <v>196566.21256410258</v>
      </c>
      <c r="AU20" s="5317"/>
      <c r="AV20" s="6153">
        <v>38</v>
      </c>
      <c r="AW20" s="6153">
        <v>7681155.5899999999</v>
      </c>
      <c r="AX20" s="2372">
        <v>196566.21256410258</v>
      </c>
      <c r="AZ20" s="6153">
        <v>38</v>
      </c>
      <c r="BA20" s="6153">
        <v>8114285.9900000012</v>
      </c>
      <c r="BB20" s="2372">
        <v>213533.84184210529</v>
      </c>
    </row>
    <row r="21" spans="2:54" ht="15.6">
      <c r="B21" s="2371" t="s">
        <v>969</v>
      </c>
      <c r="D21" s="2372">
        <v>76</v>
      </c>
      <c r="E21" s="2372">
        <v>8484226.7750000022</v>
      </c>
      <c r="F21" s="2372">
        <v>111634.5628289474</v>
      </c>
      <c r="G21" s="5317"/>
      <c r="H21" s="2372">
        <v>76</v>
      </c>
      <c r="I21" s="2372">
        <v>8966179.2750000022</v>
      </c>
      <c r="J21" s="2372">
        <v>117976.04309210529</v>
      </c>
      <c r="K21" s="8"/>
      <c r="L21" s="2372">
        <v>77</v>
      </c>
      <c r="M21" s="2372">
        <v>9411854.875</v>
      </c>
      <c r="N21" s="2372">
        <v>122231.8814935065</v>
      </c>
      <c r="O21" s="5317"/>
      <c r="P21" s="2372">
        <v>78</v>
      </c>
      <c r="Q21" s="2372">
        <v>10008102.574999997</v>
      </c>
      <c r="R21" s="2372">
        <v>128309.00737179484</v>
      </c>
      <c r="S21" s="8"/>
      <c r="T21" s="2372">
        <v>75</v>
      </c>
      <c r="U21" s="2372">
        <v>10276926.475</v>
      </c>
      <c r="V21" s="2372">
        <v>137025.68633333332</v>
      </c>
      <c r="W21" s="25"/>
      <c r="X21" s="2372">
        <v>73</v>
      </c>
      <c r="Y21" s="2372">
        <v>10486977.425000004</v>
      </c>
      <c r="Z21" s="2372">
        <v>143657.22500000006</v>
      </c>
      <c r="AA21" s="8"/>
      <c r="AB21" s="2372">
        <v>72</v>
      </c>
      <c r="AC21" s="2372">
        <v>10809551.725000005</v>
      </c>
      <c r="AD21" s="2372">
        <v>150132.66284722229</v>
      </c>
      <c r="AE21" s="5917"/>
      <c r="AF21" s="2372">
        <v>71</v>
      </c>
      <c r="AG21" s="2372">
        <v>11262304.425000001</v>
      </c>
      <c r="AH21" s="2372">
        <v>158624.00598591552</v>
      </c>
      <c r="AI21" s="5317"/>
      <c r="AJ21" s="2372">
        <v>72</v>
      </c>
      <c r="AK21" s="2372">
        <v>11853308.325000001</v>
      </c>
      <c r="AL21" s="2372">
        <v>164629.28229166669</v>
      </c>
      <c r="AM21" s="5317"/>
      <c r="AN21" s="2372">
        <v>74</v>
      </c>
      <c r="AO21" s="2372">
        <v>12707966.624999974</v>
      </c>
      <c r="AP21" s="2372">
        <v>171729.27871621586</v>
      </c>
      <c r="AQ21" s="5317"/>
      <c r="AR21" s="2372">
        <v>72</v>
      </c>
      <c r="AS21" s="2372">
        <v>13073522.424999999</v>
      </c>
      <c r="AT21" s="2372">
        <v>181576.70034722221</v>
      </c>
      <c r="AU21" s="5317"/>
      <c r="AV21" s="6153">
        <v>71</v>
      </c>
      <c r="AW21" s="6153">
        <v>13243674.229999997</v>
      </c>
      <c r="AX21" s="2372">
        <v>181576.70034722221</v>
      </c>
      <c r="AZ21" s="6153">
        <v>68</v>
      </c>
      <c r="BA21" s="6153">
        <v>12974443.529999997</v>
      </c>
      <c r="BB21" s="2372">
        <v>190800.64014705879</v>
      </c>
    </row>
    <row r="22" spans="2:54" ht="15.6">
      <c r="B22" s="6159" t="s">
        <v>484</v>
      </c>
      <c r="D22" s="6160">
        <f>SUM(D17:D21)</f>
        <v>216</v>
      </c>
      <c r="E22" s="6160">
        <f>SUM(E17:E21)</f>
        <v>24338366.237500004</v>
      </c>
      <c r="F22" s="6160">
        <f>+E22/D22</f>
        <v>112677.62146990743</v>
      </c>
      <c r="G22" s="5317"/>
      <c r="H22" s="6160">
        <f>SUM(H17:H21)</f>
        <v>219</v>
      </c>
      <c r="I22" s="6160">
        <f>SUM(I17:I21)</f>
        <v>25943730.237500001</v>
      </c>
      <c r="J22" s="6160">
        <f>+I22/H22</f>
        <v>118464.52163242009</v>
      </c>
      <c r="K22" s="8"/>
      <c r="L22" s="6160">
        <f>SUM(L17:L21)</f>
        <v>222</v>
      </c>
      <c r="M22" s="6160">
        <f>SUM(M17:M21)</f>
        <v>27476880.737500001</v>
      </c>
      <c r="N22" s="6160">
        <f>+M22/L22</f>
        <v>123769.7330518018</v>
      </c>
      <c r="O22" s="5317"/>
      <c r="P22" s="6160">
        <f>SUM(P17:P21)</f>
        <v>226</v>
      </c>
      <c r="Q22" s="6160">
        <f>SUM(Q17:Q21)</f>
        <v>29523425.737499997</v>
      </c>
      <c r="R22" s="6160">
        <f>+Q22/P22</f>
        <v>130634.62715707964</v>
      </c>
      <c r="S22" s="8"/>
      <c r="T22" s="6160">
        <f>SUM(T17:T21)</f>
        <v>224</v>
      </c>
      <c r="U22" s="6160">
        <f>SUM(U17:U21)</f>
        <v>30726058.037500001</v>
      </c>
      <c r="V22" s="6160">
        <f>+U22/T22</f>
        <v>137169.90195312499</v>
      </c>
      <c r="W22" s="25"/>
      <c r="X22" s="6160">
        <v>218</v>
      </c>
      <c r="Y22" s="6160">
        <v>31838293.087500006</v>
      </c>
      <c r="Z22" s="6160">
        <v>146047.21599770646</v>
      </c>
      <c r="AA22" s="8"/>
      <c r="AB22" s="6160">
        <v>211</v>
      </c>
      <c r="AC22" s="6160">
        <v>31583239.487500004</v>
      </c>
      <c r="AD22" s="6160">
        <v>149683.59946682467</v>
      </c>
      <c r="AE22" s="5917"/>
      <c r="AF22" s="6160">
        <v>209</v>
      </c>
      <c r="AG22" s="6160">
        <v>33313297.487500004</v>
      </c>
      <c r="AH22" s="6160">
        <v>159393.76788277514</v>
      </c>
      <c r="AI22" s="5317"/>
      <c r="AJ22" s="6160">
        <v>211</v>
      </c>
      <c r="AK22" s="6160">
        <v>34784255.787500001</v>
      </c>
      <c r="AL22" s="6160">
        <v>164854.29283175356</v>
      </c>
      <c r="AM22" s="5317"/>
      <c r="AN22" s="6160">
        <v>212</v>
      </c>
      <c r="AO22" s="6160">
        <v>35761095.567499951</v>
      </c>
      <c r="AP22" s="6160">
        <v>168684.41305424506</v>
      </c>
      <c r="AQ22" s="5317"/>
      <c r="AR22" s="6160">
        <f>SUM(AR17:AR21)</f>
        <v>209</v>
      </c>
      <c r="AS22" s="6160">
        <f>SUM(AS17:AS21)</f>
        <v>37191781.167500004</v>
      </c>
      <c r="AT22" s="6160">
        <f>AS22/AR22</f>
        <v>177951.10606459333</v>
      </c>
      <c r="AU22" s="5317"/>
      <c r="AV22" s="6160">
        <f>SUM(AV17:AV21)</f>
        <v>204</v>
      </c>
      <c r="AW22" s="6160">
        <f>SUM(AW17:AW21)</f>
        <v>37755544.120000005</v>
      </c>
      <c r="AX22" s="6160">
        <f>AW22/AV22</f>
        <v>185076.19666666668</v>
      </c>
      <c r="AZ22" s="6160">
        <v>198</v>
      </c>
      <c r="BA22" s="6160">
        <v>38142990.709999993</v>
      </c>
      <c r="BB22" s="6160">
        <v>192641.36722222215</v>
      </c>
    </row>
    <row r="23" spans="2:54" ht="15.6">
      <c r="B23" s="6157" t="s">
        <v>105</v>
      </c>
      <c r="D23" s="6158">
        <f>SUM(D22,D16,D10)</f>
        <v>866</v>
      </c>
      <c r="E23" s="6158">
        <f>SUM(E22,E16,E10)</f>
        <v>94902442.60013698</v>
      </c>
      <c r="F23" s="6158">
        <f>+E23/D23</f>
        <v>109587.11616643993</v>
      </c>
      <c r="G23" s="5317"/>
      <c r="H23" s="6158">
        <f>SUM(H22,H16,H10)</f>
        <v>878</v>
      </c>
      <c r="I23" s="6158">
        <f>SUM(I22,I16,I10)</f>
        <v>100516030.53767124</v>
      </c>
      <c r="J23" s="6158">
        <f>+I23/H23</f>
        <v>114482.95049848661</v>
      </c>
      <c r="K23" s="8"/>
      <c r="L23" s="6158">
        <f>SUM(L22,L16,L10)</f>
        <v>890</v>
      </c>
      <c r="M23" s="6158">
        <f>SUM(M22,M16,M10)</f>
        <v>106345583.97945204</v>
      </c>
      <c r="N23" s="6158">
        <f>+M23/L23</f>
        <v>119489.42020163151</v>
      </c>
      <c r="O23" s="5317"/>
      <c r="P23" s="6158">
        <f>SUM(P22,P16,P10)</f>
        <v>903</v>
      </c>
      <c r="Q23" s="6158">
        <f>SUM(Q22,Q16,Q10)</f>
        <v>112480149.77945204</v>
      </c>
      <c r="R23" s="6158">
        <f>+Q23/P23</f>
        <v>124562.73508244965</v>
      </c>
      <c r="S23" s="8"/>
      <c r="T23" s="6158">
        <f>SUM(T22,T16,T10)</f>
        <v>894</v>
      </c>
      <c r="U23" s="6158">
        <f>SUM(U22,U16,U10)</f>
        <v>116689706.88150685</v>
      </c>
      <c r="V23" s="6158">
        <f>+U23/T23</f>
        <v>130525.39919631639</v>
      </c>
      <c r="W23" s="25"/>
      <c r="X23" s="6158">
        <v>876</v>
      </c>
      <c r="Y23" s="6158">
        <v>120869400.2791096</v>
      </c>
      <c r="Z23" s="6158">
        <v>137978.76744190592</v>
      </c>
      <c r="AA23" s="8"/>
      <c r="AB23" s="6158">
        <v>868</v>
      </c>
      <c r="AC23" s="6158">
        <v>124001685.38267127</v>
      </c>
      <c r="AD23" s="6158">
        <v>142859.08454224799</v>
      </c>
      <c r="AE23" s="5917"/>
      <c r="AF23" s="6158">
        <v>845</v>
      </c>
      <c r="AG23" s="6158">
        <v>128600821.67582193</v>
      </c>
      <c r="AH23" s="6158">
        <v>152190.32150984844</v>
      </c>
      <c r="AI23" s="5317"/>
      <c r="AJ23" s="6158">
        <v>839</v>
      </c>
      <c r="AK23" s="6158">
        <v>132362586.27417809</v>
      </c>
      <c r="AL23" s="6158">
        <v>157762.31975468187</v>
      </c>
      <c r="AM23" s="5317"/>
      <c r="AN23" s="6158">
        <v>843</v>
      </c>
      <c r="AO23" s="6158">
        <v>135086001.23465735</v>
      </c>
      <c r="AP23" s="6158">
        <v>160244.36682640255</v>
      </c>
      <c r="AQ23" s="5317"/>
      <c r="AR23" s="6158">
        <f>SUM(AR22,AR16,AR10)</f>
        <v>835</v>
      </c>
      <c r="AS23" s="6158">
        <f>SUM(AS22,AS16,AS10)</f>
        <v>139753686.72965753</v>
      </c>
      <c r="AT23" s="6158">
        <f>AS23/AR23</f>
        <v>167369.68470617669</v>
      </c>
      <c r="AU23" s="5317"/>
      <c r="AV23" s="6158">
        <f>SUM(AV22,AV16,AV10)</f>
        <v>816</v>
      </c>
      <c r="AW23" s="6158">
        <f>SUM(AW22,AW16,AW10)</f>
        <v>141866383.09999999</v>
      </c>
      <c r="AX23" s="6158">
        <f>AW23/AV23</f>
        <v>173855.86164215684</v>
      </c>
      <c r="AZ23" s="6158">
        <v>794</v>
      </c>
      <c r="BA23" s="6158">
        <v>143553557.81999999</v>
      </c>
      <c r="BB23" s="6158">
        <v>180797.93176322413</v>
      </c>
    </row>
    <row r="24" spans="2:54" ht="15.6">
      <c r="B24" s="2369" t="s">
        <v>971</v>
      </c>
      <c r="D24" s="2370">
        <v>15</v>
      </c>
      <c r="E24" s="2370">
        <v>1105961.49</v>
      </c>
      <c r="F24" s="2370">
        <v>73730.766000000003</v>
      </c>
      <c r="G24" s="5317"/>
      <c r="H24" s="2370">
        <v>20</v>
      </c>
      <c r="I24" s="2370">
        <v>1470966.99</v>
      </c>
      <c r="J24" s="2370">
        <v>73548.349499999997</v>
      </c>
      <c r="K24" s="8"/>
      <c r="L24" s="2370">
        <v>21</v>
      </c>
      <c r="M24" s="2370">
        <v>1810778.6900000002</v>
      </c>
      <c r="N24" s="2370">
        <v>86227.556666666671</v>
      </c>
      <c r="O24" s="5317"/>
      <c r="P24" s="2370">
        <v>21</v>
      </c>
      <c r="Q24" s="2370">
        <v>1971440.4900000005</v>
      </c>
      <c r="R24" s="2370">
        <v>93878.118571428597</v>
      </c>
      <c r="S24" s="8"/>
      <c r="T24" s="2370">
        <v>21</v>
      </c>
      <c r="U24" s="2370">
        <v>2106186.69</v>
      </c>
      <c r="V24" s="2370">
        <v>100294.60428571429</v>
      </c>
      <c r="W24" s="25"/>
      <c r="X24" s="2370">
        <v>22</v>
      </c>
      <c r="Y24" s="2370">
        <v>2291744.39</v>
      </c>
      <c r="Z24" s="2370">
        <v>104170.19954545455</v>
      </c>
      <c r="AA24" s="8"/>
      <c r="AB24" s="2370">
        <v>22</v>
      </c>
      <c r="AC24" s="2370">
        <v>2518623.5900000003</v>
      </c>
      <c r="AD24" s="2370">
        <v>114482.89045454547</v>
      </c>
      <c r="AE24" s="5917"/>
      <c r="AF24" s="2370">
        <v>22</v>
      </c>
      <c r="AG24" s="2370">
        <v>2663278.09</v>
      </c>
      <c r="AH24" s="2370">
        <v>121058.09499999999</v>
      </c>
      <c r="AI24" s="5317"/>
      <c r="AJ24" s="2370">
        <v>22</v>
      </c>
      <c r="AK24" s="2370">
        <v>2761289.0899999994</v>
      </c>
      <c r="AL24" s="2370">
        <v>125513.14045454543</v>
      </c>
      <c r="AM24" s="5317"/>
      <c r="AN24" s="2370">
        <v>22</v>
      </c>
      <c r="AO24" s="2370">
        <v>2944876.2899999907</v>
      </c>
      <c r="AP24" s="2370">
        <v>133858.01318181775</v>
      </c>
      <c r="AQ24" s="5317"/>
      <c r="AR24" s="2370">
        <v>21</v>
      </c>
      <c r="AS24" s="2370">
        <v>2964619.2899999996</v>
      </c>
      <c r="AT24" s="2370">
        <v>141172.34714285712</v>
      </c>
      <c r="AU24" s="5317"/>
      <c r="AV24" s="6152">
        <v>21</v>
      </c>
      <c r="AW24" s="6152">
        <v>3231193.0900000003</v>
      </c>
      <c r="AX24" s="2370">
        <v>141172.34714285712</v>
      </c>
      <c r="AZ24" s="6152">
        <v>22</v>
      </c>
      <c r="BA24" s="6152">
        <v>3453664.49</v>
      </c>
      <c r="BB24" s="2370">
        <v>156984.74954545454</v>
      </c>
    </row>
    <row r="25" spans="2:54" ht="15.6">
      <c r="B25" s="2371" t="s">
        <v>972</v>
      </c>
      <c r="D25" s="2372">
        <v>5</v>
      </c>
      <c r="E25" s="2372">
        <v>297268.30000000005</v>
      </c>
      <c r="F25" s="2372">
        <v>59453.66</v>
      </c>
      <c r="G25" s="5317"/>
      <c r="H25" s="2372">
        <v>8</v>
      </c>
      <c r="I25" s="2372">
        <v>490724.2</v>
      </c>
      <c r="J25" s="2372">
        <v>61340.525000000001</v>
      </c>
      <c r="K25" s="8"/>
      <c r="L25" s="2372">
        <v>9.9999999999999982</v>
      </c>
      <c r="M25" s="2372">
        <v>602984.69999999995</v>
      </c>
      <c r="N25" s="2372">
        <v>60298.47</v>
      </c>
      <c r="O25" s="5317"/>
      <c r="P25" s="2372">
        <v>10</v>
      </c>
      <c r="Q25" s="2372">
        <v>650621.1</v>
      </c>
      <c r="R25" s="2372">
        <v>65062.11</v>
      </c>
      <c r="S25" s="8"/>
      <c r="T25" s="2372">
        <v>11</v>
      </c>
      <c r="U25" s="2372">
        <v>749404.2</v>
      </c>
      <c r="V25" s="2372">
        <v>68127.654545454541</v>
      </c>
      <c r="W25" s="25"/>
      <c r="X25" s="2372">
        <v>12</v>
      </c>
      <c r="Y25" s="2372">
        <v>917595.09999999986</v>
      </c>
      <c r="Z25" s="2372">
        <v>76466.258333333317</v>
      </c>
      <c r="AA25" s="8"/>
      <c r="AB25" s="2372">
        <v>13</v>
      </c>
      <c r="AC25" s="2372">
        <v>1191625.4000000001</v>
      </c>
      <c r="AD25" s="2372">
        <v>91663.492307692315</v>
      </c>
      <c r="AE25" s="5917"/>
      <c r="AF25" s="2372">
        <v>14</v>
      </c>
      <c r="AG25" s="2372">
        <v>1388237.4</v>
      </c>
      <c r="AH25" s="2372">
        <v>99159.814285714281</v>
      </c>
      <c r="AI25" s="5317"/>
      <c r="AJ25" s="2372">
        <v>14</v>
      </c>
      <c r="AK25" s="2372">
        <v>1636386.1999999997</v>
      </c>
      <c r="AL25" s="2372">
        <v>116884.72857142855</v>
      </c>
      <c r="AM25" s="5317"/>
      <c r="AN25" s="2372">
        <v>14</v>
      </c>
      <c r="AO25" s="2372">
        <v>1835625.249999997</v>
      </c>
      <c r="AP25" s="2372">
        <v>131116.08928571406</v>
      </c>
      <c r="AQ25" s="5317"/>
      <c r="AR25" s="2372">
        <v>13</v>
      </c>
      <c r="AS25" s="2372">
        <v>1849954.65</v>
      </c>
      <c r="AT25" s="2372">
        <v>142304.20384615383</v>
      </c>
      <c r="AU25" s="5317"/>
      <c r="AV25" s="6153">
        <v>13</v>
      </c>
      <c r="AW25" s="6153">
        <v>1968825.75</v>
      </c>
      <c r="AX25" s="2372">
        <v>142304.20384615383</v>
      </c>
      <c r="AZ25" s="6153">
        <v>14</v>
      </c>
      <c r="BA25" s="6153">
        <v>2040137.8500000003</v>
      </c>
      <c r="BB25" s="2372">
        <v>145724.13214285715</v>
      </c>
    </row>
    <row r="26" spans="2:54" ht="15.6">
      <c r="B26" s="2371" t="s">
        <v>973</v>
      </c>
      <c r="D26" s="2372">
        <v>13</v>
      </c>
      <c r="E26" s="2372">
        <v>1516940.3</v>
      </c>
      <c r="F26" s="2372">
        <v>116687.71538461538</v>
      </c>
      <c r="G26" s="5317"/>
      <c r="H26" s="2372">
        <v>15</v>
      </c>
      <c r="I26" s="2372">
        <v>1739194.9</v>
      </c>
      <c r="J26" s="2372">
        <v>115946.32666666666</v>
      </c>
      <c r="K26" s="8"/>
      <c r="L26" s="2372">
        <v>18</v>
      </c>
      <c r="M26" s="2372">
        <v>2032280</v>
      </c>
      <c r="N26" s="2372">
        <v>112904.44444444444</v>
      </c>
      <c r="O26" s="5317"/>
      <c r="P26" s="2372">
        <v>18</v>
      </c>
      <c r="Q26" s="2372">
        <v>2160433.9999999995</v>
      </c>
      <c r="R26" s="2372">
        <v>120024.11111111109</v>
      </c>
      <c r="S26" s="8"/>
      <c r="T26" s="2372">
        <v>18</v>
      </c>
      <c r="U26" s="2372">
        <v>2463953.9999999995</v>
      </c>
      <c r="V26" s="2372">
        <v>136886.33333333331</v>
      </c>
      <c r="W26" s="25"/>
      <c r="X26" s="2372">
        <v>19</v>
      </c>
      <c r="Y26" s="2372">
        <v>2787399.9</v>
      </c>
      <c r="Z26" s="2372">
        <v>146705.25789473683</v>
      </c>
      <c r="AA26" s="8"/>
      <c r="AB26" s="2372">
        <v>18</v>
      </c>
      <c r="AC26" s="2372">
        <v>2886410.5</v>
      </c>
      <c r="AD26" s="2372">
        <v>160356.13888888888</v>
      </c>
      <c r="AE26" s="5917"/>
      <c r="AF26" s="2372">
        <v>19</v>
      </c>
      <c r="AG26" s="2372">
        <v>3150837.4000000004</v>
      </c>
      <c r="AH26" s="2372">
        <v>165833.54736842107</v>
      </c>
      <c r="AI26" s="5317"/>
      <c r="AJ26" s="2372">
        <v>20</v>
      </c>
      <c r="AK26" s="2372">
        <v>3440984.8000000003</v>
      </c>
      <c r="AL26" s="2372">
        <v>172049.24000000002</v>
      </c>
      <c r="AM26" s="5317"/>
      <c r="AN26" s="2372">
        <v>21</v>
      </c>
      <c r="AO26" s="2372">
        <v>3764024.5369862956</v>
      </c>
      <c r="AP26" s="2372">
        <v>179239.26366601407</v>
      </c>
      <c r="AQ26" s="5317"/>
      <c r="AR26" s="2372">
        <v>22</v>
      </c>
      <c r="AS26" s="2372">
        <v>4102418.1369863013</v>
      </c>
      <c r="AT26" s="2372">
        <v>186473.5516811955</v>
      </c>
      <c r="AU26" s="5317"/>
      <c r="AV26" s="6153">
        <v>22</v>
      </c>
      <c r="AW26" s="6153">
        <v>4296945.6399999997</v>
      </c>
      <c r="AX26" s="2372">
        <v>186473.5516811955</v>
      </c>
      <c r="AZ26" s="6153">
        <v>22</v>
      </c>
      <c r="BA26" s="6153">
        <v>4519800.1399999997</v>
      </c>
      <c r="BB26" s="2372">
        <v>205445.46090909091</v>
      </c>
    </row>
    <row r="27" spans="2:54" ht="15.6">
      <c r="B27" s="6159" t="s">
        <v>486</v>
      </c>
      <c r="D27" s="6160">
        <f>SUM(D24:D26)</f>
        <v>33</v>
      </c>
      <c r="E27" s="6160">
        <f>SUM(E24:E26)</f>
        <v>2920170.09</v>
      </c>
      <c r="F27" s="6160">
        <f>+E27/D27</f>
        <v>88490.002727272717</v>
      </c>
      <c r="G27" s="5317"/>
      <c r="H27" s="6160">
        <f>SUM(H24:H26)</f>
        <v>43</v>
      </c>
      <c r="I27" s="6160">
        <f>SUM(I24:I26)</f>
        <v>3700886.09</v>
      </c>
      <c r="J27" s="6160">
        <f>+I27/H27</f>
        <v>86067.118372093013</v>
      </c>
      <c r="K27" s="8"/>
      <c r="L27" s="6160">
        <f>SUM(L24:L26)</f>
        <v>49</v>
      </c>
      <c r="M27" s="6160">
        <f>SUM(M24:M26)</f>
        <v>4446043.3900000006</v>
      </c>
      <c r="N27" s="6160">
        <f>+M27/L27</f>
        <v>90735.579387755119</v>
      </c>
      <c r="O27" s="5317"/>
      <c r="P27" s="6160">
        <f>SUM(P24:P26)</f>
        <v>49</v>
      </c>
      <c r="Q27" s="6160">
        <f>SUM(Q24:Q26)</f>
        <v>4782495.59</v>
      </c>
      <c r="R27" s="6160">
        <f>+Q27/P27</f>
        <v>97601.950816326527</v>
      </c>
      <c r="S27" s="8"/>
      <c r="T27" s="6160">
        <f>SUM(T24:T26)</f>
        <v>50</v>
      </c>
      <c r="U27" s="6160">
        <f>SUM(U24:U26)</f>
        <v>5319544.8899999987</v>
      </c>
      <c r="V27" s="6160">
        <f>+U27/T27</f>
        <v>106390.89779999998</v>
      </c>
      <c r="W27" s="25"/>
      <c r="X27" s="6160">
        <v>53</v>
      </c>
      <c r="Y27" s="6160">
        <v>5996739.3900000006</v>
      </c>
      <c r="Z27" s="6160">
        <v>113146.02622641511</v>
      </c>
      <c r="AA27" s="8"/>
      <c r="AB27" s="6160">
        <v>53</v>
      </c>
      <c r="AC27" s="6160">
        <v>6596659.4900000002</v>
      </c>
      <c r="AD27" s="6160">
        <v>124465.27339622642</v>
      </c>
      <c r="AE27" s="5917"/>
      <c r="AF27" s="6160">
        <v>55</v>
      </c>
      <c r="AG27" s="6160">
        <v>7202352.8900000006</v>
      </c>
      <c r="AH27" s="6160">
        <v>130951.87072727273</v>
      </c>
      <c r="AI27" s="5317"/>
      <c r="AJ27" s="6160">
        <v>56</v>
      </c>
      <c r="AK27" s="6160">
        <v>7838660.0899999999</v>
      </c>
      <c r="AL27" s="6160">
        <v>139976.07303571427</v>
      </c>
      <c r="AM27" s="5317"/>
      <c r="AN27" s="6160">
        <v>57</v>
      </c>
      <c r="AO27" s="6160">
        <v>8544526.0769862831</v>
      </c>
      <c r="AP27" s="6160">
        <v>149903.96626291724</v>
      </c>
      <c r="AQ27" s="5317"/>
      <c r="AR27" s="6160">
        <f>SUM(AR24:AR26)</f>
        <v>56</v>
      </c>
      <c r="AS27" s="6160">
        <f>SUM(AS24:AS26)</f>
        <v>8916992.0769863017</v>
      </c>
      <c r="AT27" s="6160">
        <f>AS27/AR27</f>
        <v>159232.00137475537</v>
      </c>
      <c r="AU27" s="5317"/>
      <c r="AV27" s="6160">
        <f>SUM(AV24:AV26)</f>
        <v>56</v>
      </c>
      <c r="AW27" s="6160">
        <f>SUM(AW24:AW26)</f>
        <v>9496964.4800000004</v>
      </c>
      <c r="AX27" s="6160">
        <f>AW27/AV27</f>
        <v>169588.65142857144</v>
      </c>
      <c r="AZ27" s="6160">
        <v>58</v>
      </c>
      <c r="BA27" s="6160">
        <v>10013602.48</v>
      </c>
      <c r="BB27" s="6160">
        <v>172648.31862068965</v>
      </c>
    </row>
    <row r="28" spans="2:54" ht="15.6">
      <c r="B28" s="2371" t="s">
        <v>974</v>
      </c>
      <c r="D28" s="2372">
        <v>3</v>
      </c>
      <c r="E28" s="2372">
        <v>551933.65164383606</v>
      </c>
      <c r="F28" s="2372">
        <v>183977.88388127869</v>
      </c>
      <c r="G28" s="5317"/>
      <c r="H28" s="2372">
        <v>7</v>
      </c>
      <c r="I28" s="2372">
        <v>775621.42164383607</v>
      </c>
      <c r="J28" s="2372">
        <v>110803.06023483373</v>
      </c>
      <c r="K28" s="8"/>
      <c r="L28" s="2372">
        <v>8</v>
      </c>
      <c r="M28" s="2372">
        <v>867109.92164383596</v>
      </c>
      <c r="N28" s="2372">
        <v>108388.74020547949</v>
      </c>
      <c r="O28" s="5317"/>
      <c r="P28" s="2372">
        <v>8</v>
      </c>
      <c r="Q28" s="2372">
        <v>961743.92164383607</v>
      </c>
      <c r="R28" s="2372">
        <v>120217.99020547951</v>
      </c>
      <c r="S28" s="8"/>
      <c r="T28" s="2372">
        <v>9</v>
      </c>
      <c r="U28" s="2372">
        <v>1152062.921643836</v>
      </c>
      <c r="V28" s="2372">
        <v>128006.99129375955</v>
      </c>
      <c r="W28" s="25"/>
      <c r="X28" s="2372">
        <v>9</v>
      </c>
      <c r="Y28" s="2372">
        <v>1228634.0216438361</v>
      </c>
      <c r="Z28" s="2372">
        <v>136514.89129375957</v>
      </c>
      <c r="AA28" s="8"/>
      <c r="AB28" s="2372">
        <v>9</v>
      </c>
      <c r="AC28" s="2372">
        <v>1381688.921643836</v>
      </c>
      <c r="AD28" s="2372">
        <v>153520.99129375955</v>
      </c>
      <c r="AE28" s="5917"/>
      <c r="AF28" s="2372">
        <v>10</v>
      </c>
      <c r="AG28" s="2372">
        <v>1387404.46</v>
      </c>
      <c r="AH28" s="2372">
        <v>138740.446</v>
      </c>
      <c r="AI28" s="5317"/>
      <c r="AJ28" s="2372">
        <v>11</v>
      </c>
      <c r="AK28" s="2372">
        <v>1553792.5599999998</v>
      </c>
      <c r="AL28" s="2372">
        <v>141253.86909090908</v>
      </c>
      <c r="AM28" s="5317"/>
      <c r="AN28" s="2372">
        <v>11</v>
      </c>
      <c r="AO28" s="2372">
        <v>1693059.559999998</v>
      </c>
      <c r="AP28" s="2372">
        <v>153914.50545454526</v>
      </c>
      <c r="AQ28" s="5317"/>
      <c r="AR28" s="2372">
        <v>12</v>
      </c>
      <c r="AS28" s="2372">
        <v>1909667.3599999999</v>
      </c>
      <c r="AT28" s="2372">
        <v>159138.94666666666</v>
      </c>
      <c r="AU28" s="5317"/>
      <c r="AV28" s="6153">
        <v>12</v>
      </c>
      <c r="AW28" s="6153">
        <v>2070322.36</v>
      </c>
      <c r="AX28" s="2372">
        <v>159138.94666666666</v>
      </c>
      <c r="AZ28" s="6153">
        <v>12</v>
      </c>
      <c r="BA28" s="6153">
        <v>2250945.7599999998</v>
      </c>
      <c r="BB28" s="2372">
        <v>187578.81333333332</v>
      </c>
    </row>
    <row r="29" spans="2:54" ht="15.6">
      <c r="B29" s="2371" t="s">
        <v>975</v>
      </c>
      <c r="D29" s="2372">
        <v>5</v>
      </c>
      <c r="E29" s="2372">
        <v>242943.40000000002</v>
      </c>
      <c r="F29" s="2372">
        <v>48588.680000000008</v>
      </c>
      <c r="G29" s="5317"/>
      <c r="H29" s="2372">
        <v>8</v>
      </c>
      <c r="I29" s="2372">
        <v>428015.30000000005</v>
      </c>
      <c r="J29" s="2372">
        <v>53501.912500000006</v>
      </c>
      <c r="K29" s="8"/>
      <c r="L29" s="2372">
        <v>8</v>
      </c>
      <c r="M29" s="2372">
        <v>475083.09999999992</v>
      </c>
      <c r="N29" s="2372">
        <v>59385.38749999999</v>
      </c>
      <c r="O29" s="5317"/>
      <c r="P29" s="2372">
        <v>8</v>
      </c>
      <c r="Q29" s="2372">
        <v>642166.19999999995</v>
      </c>
      <c r="R29" s="2372">
        <v>80270.774999999994</v>
      </c>
      <c r="S29" s="8"/>
      <c r="T29" s="2372">
        <v>9</v>
      </c>
      <c r="U29" s="2372">
        <v>857304.1</v>
      </c>
      <c r="V29" s="2372">
        <v>95256.011111111104</v>
      </c>
      <c r="W29" s="25"/>
      <c r="X29" s="2372">
        <v>9</v>
      </c>
      <c r="Y29" s="2372">
        <v>931025.2</v>
      </c>
      <c r="Z29" s="2372">
        <v>103447.24444444444</v>
      </c>
      <c r="AA29" s="8"/>
      <c r="AB29" s="2372">
        <v>11</v>
      </c>
      <c r="AC29" s="2372">
        <v>1196265.5999999999</v>
      </c>
      <c r="AD29" s="2372">
        <v>108751.41818181817</v>
      </c>
      <c r="AE29" s="5917"/>
      <c r="AF29" s="2372">
        <v>12</v>
      </c>
      <c r="AG29" s="2372">
        <v>1362918.9999999998</v>
      </c>
      <c r="AH29" s="2372">
        <v>113576.58333333331</v>
      </c>
      <c r="AI29" s="5317"/>
      <c r="AJ29" s="2372">
        <v>12</v>
      </c>
      <c r="AK29" s="2372">
        <v>1564232.2</v>
      </c>
      <c r="AL29" s="2372">
        <v>130352.68333333333</v>
      </c>
      <c r="AM29" s="5317"/>
      <c r="AN29" s="2372">
        <v>12</v>
      </c>
      <c r="AO29" s="2372">
        <v>1741854.8999999959</v>
      </c>
      <c r="AP29" s="2372">
        <v>145154.57499999966</v>
      </c>
      <c r="AQ29" s="5317"/>
      <c r="AR29" s="2372">
        <v>12</v>
      </c>
      <c r="AS29" s="2372">
        <v>1859289.9</v>
      </c>
      <c r="AT29" s="2372">
        <v>154940.82499999998</v>
      </c>
      <c r="AU29" s="5317"/>
      <c r="AV29" s="6153">
        <v>12</v>
      </c>
      <c r="AW29" s="6153">
        <v>1996681</v>
      </c>
      <c r="AX29" s="2372">
        <v>154940.82499999998</v>
      </c>
      <c r="AZ29" s="6153">
        <v>12</v>
      </c>
      <c r="BA29" s="6153">
        <v>2135174.7999999998</v>
      </c>
      <c r="BB29" s="2372">
        <v>177931.23333333331</v>
      </c>
    </row>
    <row r="30" spans="2:54" ht="15.6">
      <c r="B30" s="2371" t="s">
        <v>976</v>
      </c>
      <c r="D30" s="2372">
        <v>14</v>
      </c>
      <c r="E30" s="2372">
        <v>1981952.145890411</v>
      </c>
      <c r="F30" s="2372">
        <v>141568.01042074364</v>
      </c>
      <c r="G30" s="5317"/>
      <c r="H30" s="2372">
        <v>14</v>
      </c>
      <c r="I30" s="2372">
        <v>2082955.3458904107</v>
      </c>
      <c r="J30" s="2372">
        <v>148782.52470645792</v>
      </c>
      <c r="K30" s="8"/>
      <c r="L30" s="2372">
        <v>14</v>
      </c>
      <c r="M30" s="2372">
        <v>2269658.4458904113</v>
      </c>
      <c r="N30" s="2372">
        <v>162118.46042074365</v>
      </c>
      <c r="O30" s="5317"/>
      <c r="P30" s="2372">
        <v>15</v>
      </c>
      <c r="Q30" s="2372">
        <v>2411990.5458904114</v>
      </c>
      <c r="R30" s="2372">
        <v>160799.36972602742</v>
      </c>
      <c r="S30" s="8"/>
      <c r="T30" s="2372">
        <v>16</v>
      </c>
      <c r="U30" s="2372">
        <v>2517200.3458904107</v>
      </c>
      <c r="V30" s="2372">
        <v>157325.02161815067</v>
      </c>
      <c r="W30" s="25"/>
      <c r="X30" s="2372">
        <v>16</v>
      </c>
      <c r="Y30" s="2372">
        <v>2728818.9458904108</v>
      </c>
      <c r="Z30" s="2372">
        <v>170551.18411815068</v>
      </c>
      <c r="AA30" s="8"/>
      <c r="AB30" s="2372">
        <v>17</v>
      </c>
      <c r="AC30" s="2372">
        <v>3026368.5458904114</v>
      </c>
      <c r="AD30" s="2372">
        <v>178021.6791700242</v>
      </c>
      <c r="AE30" s="5917"/>
      <c r="AF30" s="2372">
        <v>18</v>
      </c>
      <c r="AG30" s="2372">
        <v>3251459.8458904116</v>
      </c>
      <c r="AH30" s="2372">
        <v>180636.65810502286</v>
      </c>
      <c r="AI30" s="5317"/>
      <c r="AJ30" s="2372">
        <v>19</v>
      </c>
      <c r="AK30" s="2372">
        <v>3477381.9458904108</v>
      </c>
      <c r="AL30" s="2372">
        <v>183020.10241528478</v>
      </c>
      <c r="AM30" s="5317"/>
      <c r="AN30" s="2372">
        <v>19</v>
      </c>
      <c r="AO30" s="2372">
        <v>3624759.5458904007</v>
      </c>
      <c r="AP30" s="2372">
        <v>190776.81820475793</v>
      </c>
      <c r="AQ30" s="5317"/>
      <c r="AR30" s="2372">
        <v>19</v>
      </c>
      <c r="AS30" s="2372">
        <v>3933273.9458904103</v>
      </c>
      <c r="AT30" s="2372">
        <v>207014.41820475843</v>
      </c>
      <c r="AU30" s="5317"/>
      <c r="AV30" s="6153">
        <v>19</v>
      </c>
      <c r="AW30" s="6153">
        <v>4066389.2499999995</v>
      </c>
      <c r="AX30" s="2372">
        <v>207014.41820475843</v>
      </c>
      <c r="AZ30" s="6153">
        <v>18</v>
      </c>
      <c r="BA30" s="6153">
        <v>3956336.3499999996</v>
      </c>
      <c r="BB30" s="2372">
        <v>219796.46388888886</v>
      </c>
    </row>
    <row r="31" spans="2:54" ht="15.6">
      <c r="B31" s="6159" t="s">
        <v>487</v>
      </c>
      <c r="D31" s="6160">
        <f>SUM(D28:D30)</f>
        <v>22</v>
      </c>
      <c r="E31" s="6160">
        <f>SUM(E28:E30)</f>
        <v>2776829.1975342473</v>
      </c>
      <c r="F31" s="6160">
        <f>+E31/D31</f>
        <v>126219.50897882943</v>
      </c>
      <c r="G31" s="5317"/>
      <c r="H31" s="6160">
        <f>SUM(H28:H30)</f>
        <v>29</v>
      </c>
      <c r="I31" s="6160">
        <f>SUM(I28:I30)</f>
        <v>3286592.0675342469</v>
      </c>
      <c r="J31" s="6160">
        <f>+I31/H31</f>
        <v>113330.76094945679</v>
      </c>
      <c r="K31" s="8"/>
      <c r="L31" s="6160">
        <f>SUM(L28:L30)</f>
        <v>30</v>
      </c>
      <c r="M31" s="6160">
        <f>SUM(M28:M30)</f>
        <v>3611851.4675342469</v>
      </c>
      <c r="N31" s="6160">
        <f>+M31/L31</f>
        <v>120395.04891780824</v>
      </c>
      <c r="O31" s="5317"/>
      <c r="P31" s="6160">
        <f>SUM(P28:P30)</f>
        <v>31</v>
      </c>
      <c r="Q31" s="6160">
        <f>SUM(Q28:Q30)</f>
        <v>4015900.6675342475</v>
      </c>
      <c r="R31" s="6160">
        <f>+Q31/P31</f>
        <v>129545.18282368541</v>
      </c>
      <c r="S31" s="8"/>
      <c r="T31" s="6160">
        <f>SUM(T28:T30)</f>
        <v>34</v>
      </c>
      <c r="U31" s="6160">
        <f>SUM(U28:U30)</f>
        <v>4526567.3675342463</v>
      </c>
      <c r="V31" s="6160">
        <f>+U31/T31</f>
        <v>133134.33433924254</v>
      </c>
      <c r="W31" s="25"/>
      <c r="X31" s="6160">
        <v>34</v>
      </c>
      <c r="Y31" s="6160">
        <v>4888478.167534247</v>
      </c>
      <c r="Z31" s="6160">
        <v>143778.76963336021</v>
      </c>
      <c r="AA31" s="8"/>
      <c r="AB31" s="6160">
        <v>37</v>
      </c>
      <c r="AC31" s="6160">
        <v>5604323.0675342474</v>
      </c>
      <c r="AD31" s="6160">
        <v>151468.19101443913</v>
      </c>
      <c r="AE31" s="5917"/>
      <c r="AF31" s="6160">
        <v>40</v>
      </c>
      <c r="AG31" s="6160">
        <v>6001783.3058904111</v>
      </c>
      <c r="AH31" s="6160">
        <v>150044.58264726028</v>
      </c>
      <c r="AI31" s="5317"/>
      <c r="AJ31" s="6160">
        <v>42</v>
      </c>
      <c r="AK31" s="6160">
        <v>6595406.7058904106</v>
      </c>
      <c r="AL31" s="6160">
        <v>157033.49299739074</v>
      </c>
      <c r="AM31" s="5317"/>
      <c r="AN31" s="6160">
        <v>42</v>
      </c>
      <c r="AO31" s="6160">
        <v>7059674.0058903946</v>
      </c>
      <c r="AP31" s="6160">
        <v>168087.47633072367</v>
      </c>
      <c r="AQ31" s="5317"/>
      <c r="AR31" s="6160">
        <f>SUM(AR28:AR30)</f>
        <v>43</v>
      </c>
      <c r="AS31" s="6160">
        <f>SUM(AS28:AS30)</f>
        <v>7702231.2058904096</v>
      </c>
      <c r="AT31" s="6160">
        <f>AS31/AR31</f>
        <v>179121.65595093975</v>
      </c>
      <c r="AU31" s="5317"/>
      <c r="AV31" s="6160">
        <f>SUM(AV28:AV30)</f>
        <v>43</v>
      </c>
      <c r="AW31" s="6160">
        <f>SUM(AW28:AW30)</f>
        <v>8133392.6099999994</v>
      </c>
      <c r="AX31" s="6160">
        <f>AW31/AV31</f>
        <v>189148.66534883718</v>
      </c>
      <c r="AZ31" s="6160">
        <v>42</v>
      </c>
      <c r="BA31" s="6160">
        <v>8342456.9099999992</v>
      </c>
      <c r="BB31" s="6160">
        <v>198629.92642857143</v>
      </c>
    </row>
    <row r="32" spans="2:54" ht="15.6">
      <c r="B32" s="2371" t="s">
        <v>977</v>
      </c>
      <c r="D32" s="2372">
        <v>13</v>
      </c>
      <c r="E32" s="2372">
        <v>1310215.0000000002</v>
      </c>
      <c r="F32" s="2372">
        <v>100785.76923076925</v>
      </c>
      <c r="G32" s="5317"/>
      <c r="H32" s="2372">
        <v>13</v>
      </c>
      <c r="I32" s="2372">
        <v>1433263.5</v>
      </c>
      <c r="J32" s="2372">
        <v>110251.03846153847</v>
      </c>
      <c r="K32" s="8"/>
      <c r="L32" s="2372">
        <v>15</v>
      </c>
      <c r="M32" s="2372">
        <v>1633282.5000000002</v>
      </c>
      <c r="N32" s="2372">
        <v>108885.50000000001</v>
      </c>
      <c r="O32" s="5317"/>
      <c r="P32" s="2372">
        <v>15</v>
      </c>
      <c r="Q32" s="2372">
        <v>1717838.3</v>
      </c>
      <c r="R32" s="2372">
        <v>114522.55333333333</v>
      </c>
      <c r="S32" s="8"/>
      <c r="T32" s="2372">
        <v>15</v>
      </c>
      <c r="U32" s="2372">
        <v>1822768.0000000002</v>
      </c>
      <c r="V32" s="2372">
        <v>121517.86666666668</v>
      </c>
      <c r="W32" s="25"/>
      <c r="X32" s="2372">
        <v>15</v>
      </c>
      <c r="Y32" s="2372">
        <v>1920089.5000000002</v>
      </c>
      <c r="Z32" s="2372">
        <v>128005.96666666669</v>
      </c>
      <c r="AA32" s="8"/>
      <c r="AB32" s="2372">
        <v>16</v>
      </c>
      <c r="AC32" s="2372">
        <v>1839926.8</v>
      </c>
      <c r="AD32" s="2372">
        <v>114995.425</v>
      </c>
      <c r="AE32" s="5917"/>
      <c r="AF32" s="2372">
        <v>19</v>
      </c>
      <c r="AG32" s="2372">
        <v>2173920.1999999993</v>
      </c>
      <c r="AH32" s="2372">
        <v>114416.85263157891</v>
      </c>
      <c r="AI32" s="5317"/>
      <c r="AJ32" s="2372">
        <v>18</v>
      </c>
      <c r="AK32" s="2372">
        <v>2178829.1000000006</v>
      </c>
      <c r="AL32" s="2372">
        <v>121046.06111111114</v>
      </c>
      <c r="AM32" s="5317"/>
      <c r="AN32" s="2372">
        <v>19</v>
      </c>
      <c r="AO32" s="2372">
        <v>2329348.3999999966</v>
      </c>
      <c r="AP32" s="2372">
        <v>122597.28421052614</v>
      </c>
      <c r="AQ32" s="5317"/>
      <c r="AR32" s="2372">
        <v>19</v>
      </c>
      <c r="AS32" s="2372">
        <v>2507992.8000000003</v>
      </c>
      <c r="AT32" s="2372">
        <v>131999.62105263158</v>
      </c>
      <c r="AU32" s="5317"/>
      <c r="AV32" s="6153">
        <v>18</v>
      </c>
      <c r="AW32" s="6153">
        <v>2241177.1999999997</v>
      </c>
      <c r="AX32" s="2372">
        <v>131999.62105263158</v>
      </c>
      <c r="AZ32" s="6153">
        <v>18</v>
      </c>
      <c r="BA32" s="6153">
        <v>2407112.0999999996</v>
      </c>
      <c r="BB32" s="2372">
        <v>133728.44999999998</v>
      </c>
    </row>
    <row r="33" spans="2:54" ht="15.6">
      <c r="B33" s="2371" t="s">
        <v>978</v>
      </c>
      <c r="D33" s="2372">
        <v>9</v>
      </c>
      <c r="E33" s="2372">
        <v>641392.6</v>
      </c>
      <c r="F33" s="2372">
        <v>71265.844444444447</v>
      </c>
      <c r="G33" s="5317"/>
      <c r="H33" s="2372">
        <v>11</v>
      </c>
      <c r="I33" s="2372">
        <v>851653.05</v>
      </c>
      <c r="J33" s="2372">
        <v>77423.004545454547</v>
      </c>
      <c r="K33" s="8"/>
      <c r="L33" s="2372">
        <v>12</v>
      </c>
      <c r="M33" s="2372">
        <v>1036590.65</v>
      </c>
      <c r="N33" s="2372">
        <v>86382.554166666669</v>
      </c>
      <c r="O33" s="5317"/>
      <c r="P33" s="2372">
        <v>12</v>
      </c>
      <c r="Q33" s="2372">
        <v>1145128.6499999999</v>
      </c>
      <c r="R33" s="2372">
        <v>95427.387499999997</v>
      </c>
      <c r="S33" s="8"/>
      <c r="T33" s="2372">
        <v>14</v>
      </c>
      <c r="U33" s="2372">
        <v>1272191.7500000002</v>
      </c>
      <c r="V33" s="2372">
        <v>90870.839285714304</v>
      </c>
      <c r="W33" s="25"/>
      <c r="X33" s="2372">
        <v>16</v>
      </c>
      <c r="Y33" s="2372">
        <v>1602834.8499999996</v>
      </c>
      <c r="Z33" s="2372">
        <v>100177.17812499998</v>
      </c>
      <c r="AA33" s="8"/>
      <c r="AB33" s="2372">
        <v>19</v>
      </c>
      <c r="AC33" s="2372">
        <v>2044080.75</v>
      </c>
      <c r="AD33" s="2372">
        <v>107583.19736842105</v>
      </c>
      <c r="AE33" s="5917"/>
      <c r="AF33" s="2372">
        <v>20</v>
      </c>
      <c r="AG33" s="2372">
        <v>2274326.6499999994</v>
      </c>
      <c r="AH33" s="2372">
        <v>113716.33249999997</v>
      </c>
      <c r="AI33" s="5317"/>
      <c r="AJ33" s="2372">
        <v>20</v>
      </c>
      <c r="AK33" s="2372">
        <v>2438221.0499999998</v>
      </c>
      <c r="AL33" s="2372">
        <v>121911.05249999999</v>
      </c>
      <c r="AM33" s="5317"/>
      <c r="AN33" s="2372">
        <v>19</v>
      </c>
      <c r="AO33" s="2372">
        <v>2494043.8499999959</v>
      </c>
      <c r="AP33" s="2372">
        <v>131265.46578947347</v>
      </c>
      <c r="AQ33" s="5317"/>
      <c r="AR33" s="2372">
        <v>20</v>
      </c>
      <c r="AS33" s="2372">
        <v>2757394.45</v>
      </c>
      <c r="AT33" s="2372">
        <v>137869.7225</v>
      </c>
      <c r="AU33" s="5317"/>
      <c r="AV33" s="6153">
        <v>21</v>
      </c>
      <c r="AW33" s="6153">
        <v>3113597.05</v>
      </c>
      <c r="AX33" s="2372">
        <v>137869.7225</v>
      </c>
      <c r="AZ33" s="6153">
        <v>20</v>
      </c>
      <c r="BA33" s="6153">
        <v>3268612.2500000009</v>
      </c>
      <c r="BB33" s="2372">
        <v>163430.61250000005</v>
      </c>
    </row>
    <row r="34" spans="2:54" ht="15.6">
      <c r="B34" s="2371" t="s">
        <v>695</v>
      </c>
      <c r="D34" s="2372">
        <v>15</v>
      </c>
      <c r="E34" s="2372">
        <v>1579596.2299999997</v>
      </c>
      <c r="F34" s="2372">
        <v>105306.41533333332</v>
      </c>
      <c r="G34" s="5317"/>
      <c r="H34" s="2372">
        <v>16</v>
      </c>
      <c r="I34" s="2372">
        <v>1797482.8299999998</v>
      </c>
      <c r="J34" s="2372">
        <v>112342.67687499999</v>
      </c>
      <c r="K34" s="8"/>
      <c r="L34" s="2372">
        <v>17</v>
      </c>
      <c r="M34" s="2372">
        <v>2021735.0300000003</v>
      </c>
      <c r="N34" s="2372">
        <v>118925.59000000001</v>
      </c>
      <c r="O34" s="5317"/>
      <c r="P34" s="2372">
        <v>18</v>
      </c>
      <c r="Q34" s="2372">
        <v>2152240.8299999996</v>
      </c>
      <c r="R34" s="2372">
        <v>119568.93499999998</v>
      </c>
      <c r="S34" s="8"/>
      <c r="T34" s="2372">
        <v>19</v>
      </c>
      <c r="U34" s="2372">
        <v>2439796.9299999997</v>
      </c>
      <c r="V34" s="2372">
        <v>128410.36473684209</v>
      </c>
      <c r="W34" s="25"/>
      <c r="X34" s="2372">
        <v>19</v>
      </c>
      <c r="Y34" s="2372">
        <v>2583899.1300000004</v>
      </c>
      <c r="Z34" s="2372">
        <v>135994.69105263159</v>
      </c>
      <c r="AA34" s="8"/>
      <c r="AB34" s="2372">
        <v>22</v>
      </c>
      <c r="AC34" s="2372">
        <v>3184277.45</v>
      </c>
      <c r="AD34" s="2372">
        <v>144739.88409090909</v>
      </c>
      <c r="AE34" s="5917"/>
      <c r="AF34" s="2372">
        <v>22</v>
      </c>
      <c r="AG34" s="2372">
        <v>3351345.1500000004</v>
      </c>
      <c r="AH34" s="2372">
        <v>152333.87045454548</v>
      </c>
      <c r="AI34" s="5317"/>
      <c r="AJ34" s="2372">
        <v>22</v>
      </c>
      <c r="AK34" s="2372">
        <v>3610970.9499999997</v>
      </c>
      <c r="AL34" s="2372">
        <v>164135.04318181818</v>
      </c>
      <c r="AM34" s="5317"/>
      <c r="AN34" s="2372">
        <v>23</v>
      </c>
      <c r="AO34" s="2372">
        <v>3838495.749999993</v>
      </c>
      <c r="AP34" s="2372">
        <v>166891.11956521709</v>
      </c>
      <c r="AQ34" s="5317"/>
      <c r="AR34" s="2372">
        <v>23</v>
      </c>
      <c r="AS34" s="2372">
        <v>4068818.4499999997</v>
      </c>
      <c r="AT34" s="2372">
        <v>176905.15</v>
      </c>
      <c r="AU34" s="5317"/>
      <c r="AV34" s="6153">
        <v>21</v>
      </c>
      <c r="AW34" s="6153">
        <v>4032156.2499999995</v>
      </c>
      <c r="AX34" s="2372">
        <v>176905.15</v>
      </c>
      <c r="AZ34" s="6153">
        <v>19</v>
      </c>
      <c r="BA34" s="6153">
        <v>4293359.3500000006</v>
      </c>
      <c r="BB34" s="2372">
        <v>225966.28157894741</v>
      </c>
    </row>
    <row r="35" spans="2:54" ht="15.6">
      <c r="B35" s="6159" t="s">
        <v>483</v>
      </c>
      <c r="D35" s="6160">
        <f>SUM(D32:D34)</f>
        <v>37</v>
      </c>
      <c r="E35" s="6160">
        <f>SUM(E32:E34)</f>
        <v>3531203.83</v>
      </c>
      <c r="F35" s="6160">
        <f>+E35/D35</f>
        <v>95437.941351351357</v>
      </c>
      <c r="G35" s="5317"/>
      <c r="H35" s="6160">
        <f>SUM(H32:H34)</f>
        <v>40</v>
      </c>
      <c r="I35" s="6160">
        <f>SUM(I32:I34)</f>
        <v>4082399.38</v>
      </c>
      <c r="J35" s="6160">
        <f>+I35/H35</f>
        <v>102059.98449999999</v>
      </c>
      <c r="K35" s="8"/>
      <c r="L35" s="6160">
        <f>SUM(L32:L34)</f>
        <v>44</v>
      </c>
      <c r="M35" s="6160">
        <f>SUM(M32:M34)</f>
        <v>4691608.1800000006</v>
      </c>
      <c r="N35" s="6160">
        <f>+M35/L35</f>
        <v>106627.45863636365</v>
      </c>
      <c r="O35" s="5317"/>
      <c r="P35" s="6160">
        <f>SUM(P32:P34)</f>
        <v>45</v>
      </c>
      <c r="Q35" s="6160">
        <f>SUM(Q32:Q34)</f>
        <v>5015207.7799999993</v>
      </c>
      <c r="R35" s="6160">
        <f>+Q35/P35</f>
        <v>111449.06177777777</v>
      </c>
      <c r="S35" s="8"/>
      <c r="T35" s="6160">
        <f>SUM(T32:T34)</f>
        <v>48</v>
      </c>
      <c r="U35" s="6160">
        <f>SUM(U32:U34)</f>
        <v>5534756.6799999997</v>
      </c>
      <c r="V35" s="6160">
        <f>+U35/T35</f>
        <v>115307.43083333333</v>
      </c>
      <c r="W35" s="25"/>
      <c r="X35" s="6160">
        <v>50</v>
      </c>
      <c r="Y35" s="6160">
        <v>6106823.4800000004</v>
      </c>
      <c r="Z35" s="6160">
        <v>122136.46960000001</v>
      </c>
      <c r="AA35" s="8"/>
      <c r="AB35" s="6160">
        <v>57</v>
      </c>
      <c r="AC35" s="6160">
        <v>7068285</v>
      </c>
      <c r="AD35" s="6160">
        <v>124005</v>
      </c>
      <c r="AE35" s="5917"/>
      <c r="AF35" s="6160">
        <v>61</v>
      </c>
      <c r="AG35" s="6160">
        <v>7799591.9999999991</v>
      </c>
      <c r="AH35" s="6160">
        <v>127862.16393442621</v>
      </c>
      <c r="AI35" s="5317"/>
      <c r="AJ35" s="6160">
        <v>60</v>
      </c>
      <c r="AK35" s="6160">
        <v>8228021.0999999996</v>
      </c>
      <c r="AL35" s="6160">
        <v>137133.685</v>
      </c>
      <c r="AM35" s="5317"/>
      <c r="AN35" s="6160">
        <v>61</v>
      </c>
      <c r="AO35" s="6160">
        <v>8661887.9999999851</v>
      </c>
      <c r="AP35" s="6160">
        <v>141998.16393442597</v>
      </c>
      <c r="AQ35" s="5317"/>
      <c r="AR35" s="6160">
        <f>SUM(AR32:AR34)</f>
        <v>62</v>
      </c>
      <c r="AS35" s="6160">
        <f>SUM(AS32:AS34)</f>
        <v>9334205.6999999993</v>
      </c>
      <c r="AT35" s="6160">
        <f>AS35/AR35</f>
        <v>150551.70483870967</v>
      </c>
      <c r="AU35" s="5317"/>
      <c r="AV35" s="6160">
        <f>SUM(AV32:AV34)</f>
        <v>60</v>
      </c>
      <c r="AW35" s="6160">
        <f>SUM(AW32:AW34)</f>
        <v>9386930.5</v>
      </c>
      <c r="AX35" s="6160">
        <f>AW35/AV35</f>
        <v>156448.84166666667</v>
      </c>
      <c r="AZ35" s="6160">
        <v>57</v>
      </c>
      <c r="BA35" s="6160">
        <v>9969083.7000000011</v>
      </c>
      <c r="BB35" s="6160">
        <v>174896.20526315787</v>
      </c>
    </row>
    <row r="36" spans="2:54" ht="15.6">
      <c r="B36" s="6169" t="s">
        <v>256</v>
      </c>
      <c r="D36" s="6170">
        <f>SUM(D35,D31,D27)</f>
        <v>92</v>
      </c>
      <c r="E36" s="6170">
        <f>SUM(E35,E31,E27)</f>
        <v>9228203.1175342463</v>
      </c>
      <c r="F36" s="6170">
        <f>+E36/D36</f>
        <v>100306.55562537225</v>
      </c>
      <c r="G36" s="5317"/>
      <c r="H36" s="6170">
        <f>SUM(H35,H31,H27)</f>
        <v>112</v>
      </c>
      <c r="I36" s="6170">
        <f>SUM(I35,I31,I27)</f>
        <v>11069877.537534246</v>
      </c>
      <c r="J36" s="6170">
        <f>+I36/H36</f>
        <v>98838.192299412913</v>
      </c>
      <c r="K36" s="8"/>
      <c r="L36" s="6170">
        <f>SUM(L35,L31,L27)</f>
        <v>123</v>
      </c>
      <c r="M36" s="6170">
        <f>SUM(M35,M31,M27)</f>
        <v>12749503.037534248</v>
      </c>
      <c r="N36" s="6170">
        <f>+M36/L36</f>
        <v>103654.49624011584</v>
      </c>
      <c r="O36" s="5317"/>
      <c r="P36" s="6170">
        <f>SUM(P35,P31,P27)</f>
        <v>125</v>
      </c>
      <c r="Q36" s="6170">
        <f>SUM(Q35,Q31,Q27)</f>
        <v>13813604.037534246</v>
      </c>
      <c r="R36" s="6170">
        <f>+Q36/P36</f>
        <v>110508.83230027396</v>
      </c>
      <c r="S36" s="8"/>
      <c r="T36" s="6170">
        <f>SUM(T35,T31,T27)</f>
        <v>132</v>
      </c>
      <c r="U36" s="6170">
        <f>SUM(U35,U31,U27)</f>
        <v>15380868.937534245</v>
      </c>
      <c r="V36" s="6170">
        <f>+U36/T36</f>
        <v>116521.73437525943</v>
      </c>
      <c r="W36" s="25"/>
      <c r="X36" s="6170">
        <v>137</v>
      </c>
      <c r="Y36" s="6170">
        <v>16992041.037534248</v>
      </c>
      <c r="Z36" s="6170">
        <v>124029.49662433758</v>
      </c>
      <c r="AA36" s="8"/>
      <c r="AB36" s="6170">
        <v>147</v>
      </c>
      <c r="AC36" s="6170">
        <v>19269267.557534248</v>
      </c>
      <c r="AD36" s="6170">
        <v>131083.45277234181</v>
      </c>
      <c r="AE36" s="5917"/>
      <c r="AF36" s="6170">
        <v>156</v>
      </c>
      <c r="AG36" s="6170">
        <v>21003728.195890412</v>
      </c>
      <c r="AH36" s="6170">
        <v>134639.28330698982</v>
      </c>
      <c r="AI36" s="5317"/>
      <c r="AJ36" s="6170">
        <v>158</v>
      </c>
      <c r="AK36" s="6170">
        <v>22662087.895890411</v>
      </c>
      <c r="AL36" s="6170">
        <v>143430.93604993931</v>
      </c>
      <c r="AM36" s="5317"/>
      <c r="AN36" s="6170">
        <v>160</v>
      </c>
      <c r="AO36" s="6170">
        <v>24266088.082876664</v>
      </c>
      <c r="AP36" s="6170">
        <v>151663.05051797914</v>
      </c>
      <c r="AQ36" s="5317"/>
      <c r="AR36" s="6170">
        <f>SUM(AR35,AR31,AR27)</f>
        <v>161</v>
      </c>
      <c r="AS36" s="6170">
        <f>SUM(AS35,AS31,AS27)</f>
        <v>25953428.982876711</v>
      </c>
      <c r="AT36" s="6170">
        <f>AS36/AR36</f>
        <v>161201.42225389261</v>
      </c>
      <c r="AU36" s="5317"/>
      <c r="AV36" s="6170">
        <f>SUM(AV35,AV31,AV27)</f>
        <v>159</v>
      </c>
      <c r="AW36" s="6170">
        <f>SUM(AW35,AW31,AW27)</f>
        <v>27017287.59</v>
      </c>
      <c r="AX36" s="6170">
        <f>AW36/AV36</f>
        <v>169920.04773584905</v>
      </c>
      <c r="AZ36" s="6170">
        <v>157</v>
      </c>
      <c r="BA36" s="6170">
        <v>28325143.09</v>
      </c>
      <c r="BB36" s="6170">
        <v>180414.92414012749</v>
      </c>
    </row>
    <row r="37" spans="2:54" ht="15.6">
      <c r="B37" s="2369" t="s">
        <v>979</v>
      </c>
      <c r="D37" s="2375">
        <v>53</v>
      </c>
      <c r="E37" s="2375">
        <v>10239646.082191782</v>
      </c>
      <c r="F37" s="2375">
        <v>193200.86947531663</v>
      </c>
      <c r="G37" s="5317"/>
      <c r="H37" s="2375">
        <v>53</v>
      </c>
      <c r="I37" s="2375">
        <v>10803795.582191782</v>
      </c>
      <c r="J37" s="2375">
        <v>203845.19966399588</v>
      </c>
      <c r="K37" s="8"/>
      <c r="L37" s="2375">
        <v>53.000000000000007</v>
      </c>
      <c r="M37" s="2375">
        <v>11236289.68219178</v>
      </c>
      <c r="N37" s="2375">
        <v>212005.46570173168</v>
      </c>
      <c r="O37" s="5317"/>
      <c r="P37" s="2375">
        <v>54</v>
      </c>
      <c r="Q37" s="2375">
        <v>11743254.58219178</v>
      </c>
      <c r="R37" s="2375">
        <v>217467.67744799593</v>
      </c>
      <c r="S37" s="8"/>
      <c r="T37" s="2375">
        <v>55</v>
      </c>
      <c r="U37" s="2375">
        <v>12256895.882191783</v>
      </c>
      <c r="V37" s="2375">
        <v>222852.65240348695</v>
      </c>
      <c r="W37" s="25"/>
      <c r="X37" s="2375">
        <v>56</v>
      </c>
      <c r="Y37" s="2375">
        <v>12628986.08219178</v>
      </c>
      <c r="Z37" s="2375">
        <v>229617.92876712329</v>
      </c>
      <c r="AA37" s="8"/>
      <c r="AB37" s="2375">
        <v>56</v>
      </c>
      <c r="AC37" s="2375">
        <v>13000086.08219178</v>
      </c>
      <c r="AD37" s="2375">
        <v>232144.39432485323</v>
      </c>
      <c r="AE37" s="5917"/>
      <c r="AF37" s="2375">
        <v>50</v>
      </c>
      <c r="AG37" s="2375">
        <v>12463519.982191781</v>
      </c>
      <c r="AH37" s="2375">
        <v>249270.39964383561</v>
      </c>
      <c r="AI37" s="5317"/>
      <c r="AJ37" s="2375">
        <v>50</v>
      </c>
      <c r="AK37" s="2375">
        <v>12747766.482191781</v>
      </c>
      <c r="AL37" s="2375">
        <v>254955.3296438356</v>
      </c>
      <c r="AM37" s="5317"/>
      <c r="AN37" s="2375">
        <v>48</v>
      </c>
      <c r="AO37" s="2375">
        <v>12793921.72999998</v>
      </c>
      <c r="AP37" s="2375">
        <v>266540.03604166623</v>
      </c>
      <c r="AQ37" s="5317"/>
      <c r="AR37" s="2375">
        <v>50</v>
      </c>
      <c r="AS37" s="2375">
        <v>13183838.83</v>
      </c>
      <c r="AT37" s="2375">
        <v>263676.77659999998</v>
      </c>
      <c r="AU37" s="5317"/>
      <c r="AV37" s="6154">
        <v>49</v>
      </c>
      <c r="AW37" s="6154">
        <v>13470545.73</v>
      </c>
      <c r="AX37" s="2375">
        <v>263676.77659999998</v>
      </c>
      <c r="AZ37" s="6154">
        <v>50</v>
      </c>
      <c r="BA37" s="6154">
        <v>13964468.030000003</v>
      </c>
      <c r="BB37" s="2375">
        <v>279289.36060000007</v>
      </c>
    </row>
    <row r="38" spans="2:54" ht="15.6">
      <c r="B38" s="2371" t="s">
        <v>980</v>
      </c>
      <c r="D38" s="2373">
        <v>41</v>
      </c>
      <c r="E38" s="2373">
        <v>8806692.5999999996</v>
      </c>
      <c r="F38" s="2373">
        <v>214797.38048780488</v>
      </c>
      <c r="G38" s="5317"/>
      <c r="H38" s="2373">
        <v>42.000000000000007</v>
      </c>
      <c r="I38" s="2373">
        <v>9345817.3000000007</v>
      </c>
      <c r="J38" s="2373">
        <v>222519.45952380952</v>
      </c>
      <c r="K38" s="8"/>
      <c r="L38" s="2373">
        <v>42.000000000000007</v>
      </c>
      <c r="M38" s="2373">
        <v>9798547.1000000015</v>
      </c>
      <c r="N38" s="2373">
        <v>233298.74047619049</v>
      </c>
      <c r="O38" s="5317"/>
      <c r="P38" s="2373">
        <v>44</v>
      </c>
      <c r="Q38" s="2373">
        <v>10431587.300000001</v>
      </c>
      <c r="R38" s="2373">
        <v>237081.52954545451</v>
      </c>
      <c r="S38" s="8"/>
      <c r="T38" s="2373">
        <v>45</v>
      </c>
      <c r="U38" s="2373">
        <v>11013411.900000002</v>
      </c>
      <c r="V38" s="2373">
        <v>244742.48666666672</v>
      </c>
      <c r="W38" s="25"/>
      <c r="X38" s="2373">
        <v>43</v>
      </c>
      <c r="Y38" s="2373">
        <v>11453091.9</v>
      </c>
      <c r="Z38" s="2373">
        <v>266350.97441860469</v>
      </c>
      <c r="AA38" s="8"/>
      <c r="AB38" s="2373">
        <v>41</v>
      </c>
      <c r="AC38" s="2373">
        <v>11942037.6</v>
      </c>
      <c r="AD38" s="2373">
        <v>291269.20975609752</v>
      </c>
      <c r="AE38" s="5917"/>
      <c r="AF38" s="2373">
        <v>42</v>
      </c>
      <c r="AG38" s="2373">
        <v>12509361.100000003</v>
      </c>
      <c r="AH38" s="2373">
        <v>297841.93095238105</v>
      </c>
      <c r="AI38" s="5317"/>
      <c r="AJ38" s="2373">
        <v>42</v>
      </c>
      <c r="AK38" s="2373">
        <v>12990827</v>
      </c>
      <c r="AL38" s="2373">
        <v>309305.40476190473</v>
      </c>
      <c r="AM38" s="5317"/>
      <c r="AN38" s="2373">
        <v>42</v>
      </c>
      <c r="AO38" s="2373">
        <v>13389057.749999987</v>
      </c>
      <c r="AP38" s="2373">
        <v>318787.08928571397</v>
      </c>
      <c r="AQ38" s="5317"/>
      <c r="AR38" s="2373">
        <v>41</v>
      </c>
      <c r="AS38" s="2373">
        <v>13728232.350000001</v>
      </c>
      <c r="AT38" s="2373">
        <v>334834.93536585371</v>
      </c>
      <c r="AU38" s="5317"/>
      <c r="AV38" s="6155">
        <v>39</v>
      </c>
      <c r="AW38" s="6155">
        <v>13745946.85</v>
      </c>
      <c r="AX38" s="2373">
        <v>334834.93536585371</v>
      </c>
      <c r="AZ38" s="6155">
        <v>38</v>
      </c>
      <c r="BA38" s="6155">
        <v>14130706.449999999</v>
      </c>
      <c r="BB38" s="2373">
        <v>371860.69605263154</v>
      </c>
    </row>
    <row r="39" spans="2:54" ht="15.6">
      <c r="B39" s="2371" t="s">
        <v>981</v>
      </c>
      <c r="D39" s="2373">
        <v>61</v>
      </c>
      <c r="E39" s="2373">
        <v>6474026.4723561639</v>
      </c>
      <c r="F39" s="2373">
        <v>106131.58151403547</v>
      </c>
      <c r="G39" s="5317"/>
      <c r="H39" s="2373">
        <v>61.000000000000007</v>
      </c>
      <c r="I39" s="2373">
        <v>6795048.8723561652</v>
      </c>
      <c r="J39" s="2373">
        <v>111394.24380911746</v>
      </c>
      <c r="K39" s="8"/>
      <c r="L39" s="2373">
        <v>60.999999999999993</v>
      </c>
      <c r="M39" s="2373">
        <v>7403774.5723561626</v>
      </c>
      <c r="N39" s="2373">
        <v>121373.353645183</v>
      </c>
      <c r="O39" s="5317"/>
      <c r="P39" s="2373">
        <v>61</v>
      </c>
      <c r="Q39" s="2373">
        <v>7888181.4683561642</v>
      </c>
      <c r="R39" s="2373">
        <v>129314.45030092073</v>
      </c>
      <c r="S39" s="8"/>
      <c r="T39" s="2373">
        <v>61</v>
      </c>
      <c r="U39" s="2373">
        <v>8192857.5683561629</v>
      </c>
      <c r="V39" s="2373">
        <v>134309.14046485513</v>
      </c>
      <c r="W39" s="25"/>
      <c r="X39" s="2373">
        <v>60</v>
      </c>
      <c r="Y39" s="2373">
        <v>8594495.1703561656</v>
      </c>
      <c r="Z39" s="2373">
        <v>143241.58617260275</v>
      </c>
      <c r="AA39" s="8"/>
      <c r="AB39" s="2373">
        <v>59</v>
      </c>
      <c r="AC39" s="2373">
        <v>8989599.9703561664</v>
      </c>
      <c r="AD39" s="2373">
        <v>152366.10119247739</v>
      </c>
      <c r="AE39" s="5917"/>
      <c r="AF39" s="2373">
        <v>57</v>
      </c>
      <c r="AG39" s="2373">
        <v>9207256.9703561664</v>
      </c>
      <c r="AH39" s="2373">
        <v>161530.82404133625</v>
      </c>
      <c r="AI39" s="5317"/>
      <c r="AJ39" s="2373">
        <v>57</v>
      </c>
      <c r="AK39" s="2373">
        <v>9572771.4703561664</v>
      </c>
      <c r="AL39" s="2373">
        <v>167943.35912905555</v>
      </c>
      <c r="AM39" s="5317"/>
      <c r="AN39" s="2373">
        <v>59</v>
      </c>
      <c r="AO39" s="2373">
        <v>9956858.5683561414</v>
      </c>
      <c r="AP39" s="2373">
        <v>168760.31471790071</v>
      </c>
      <c r="AQ39" s="5317"/>
      <c r="AR39" s="2373">
        <v>57</v>
      </c>
      <c r="AS39" s="2373">
        <v>10335358.070356166</v>
      </c>
      <c r="AT39" s="2373">
        <v>181322.07140975731</v>
      </c>
      <c r="AU39" s="5317"/>
      <c r="AV39" s="6155">
        <v>58</v>
      </c>
      <c r="AW39" s="6155">
        <v>10721967.680000002</v>
      </c>
      <c r="AX39" s="2373">
        <v>181322.07140975731</v>
      </c>
      <c r="AZ39" s="6155">
        <v>58</v>
      </c>
      <c r="BA39" s="6155">
        <v>10974269.779999999</v>
      </c>
      <c r="BB39" s="2373">
        <v>189211.54793103447</v>
      </c>
    </row>
    <row r="40" spans="2:54" ht="15.6">
      <c r="B40" s="2371" t="s">
        <v>982</v>
      </c>
      <c r="D40" s="2373">
        <v>57</v>
      </c>
      <c r="E40" s="2373">
        <v>8243204.129999998</v>
      </c>
      <c r="F40" s="2373">
        <v>144617.61631578943</v>
      </c>
      <c r="G40" s="5317"/>
      <c r="H40" s="2373">
        <v>57</v>
      </c>
      <c r="I40" s="2373">
        <v>8553891.9299999997</v>
      </c>
      <c r="J40" s="2373">
        <v>150068.2794736842</v>
      </c>
      <c r="K40" s="8"/>
      <c r="L40" s="2373">
        <v>57</v>
      </c>
      <c r="M40" s="2373">
        <v>9106629.6299999971</v>
      </c>
      <c r="N40" s="2373">
        <v>159765.43210526311</v>
      </c>
      <c r="O40" s="5317"/>
      <c r="P40" s="2373">
        <v>57</v>
      </c>
      <c r="Q40" s="2373">
        <v>9440570.7300000004</v>
      </c>
      <c r="R40" s="2373">
        <v>165624.04789473684</v>
      </c>
      <c r="S40" s="8"/>
      <c r="T40" s="2373">
        <v>56</v>
      </c>
      <c r="U40" s="2373">
        <v>9589245.1300000027</v>
      </c>
      <c r="V40" s="2373">
        <v>171236.52017857149</v>
      </c>
      <c r="W40" s="25"/>
      <c r="X40" s="2373">
        <v>55</v>
      </c>
      <c r="Y40" s="2373">
        <v>9884776.0299999993</v>
      </c>
      <c r="Z40" s="2373">
        <v>179723.20054545454</v>
      </c>
      <c r="AA40" s="8"/>
      <c r="AB40" s="2373">
        <v>55</v>
      </c>
      <c r="AC40" s="2373">
        <v>10341666.730000002</v>
      </c>
      <c r="AD40" s="2373">
        <v>188030.30418181821</v>
      </c>
      <c r="AE40" s="5917"/>
      <c r="AF40" s="2373">
        <v>53</v>
      </c>
      <c r="AG40" s="2373">
        <v>10348906.030000003</v>
      </c>
      <c r="AH40" s="2373">
        <v>195262.37792452835</v>
      </c>
      <c r="AI40" s="5317"/>
      <c r="AJ40" s="2373">
        <v>53</v>
      </c>
      <c r="AK40" s="2373">
        <v>10622202.43</v>
      </c>
      <c r="AL40" s="2373">
        <v>200418.91377358491</v>
      </c>
      <c r="AM40" s="5317"/>
      <c r="AN40" s="2373">
        <v>55</v>
      </c>
      <c r="AO40" s="2373">
        <v>11021927.329999987</v>
      </c>
      <c r="AP40" s="2373">
        <v>200398.67872727249</v>
      </c>
      <c r="AQ40" s="5317"/>
      <c r="AR40" s="2373">
        <v>51</v>
      </c>
      <c r="AS40" s="2373">
        <v>10873562.630000005</v>
      </c>
      <c r="AT40" s="2373">
        <v>213207.11039215696</v>
      </c>
      <c r="AU40" s="5317"/>
      <c r="AV40" s="6155">
        <v>52</v>
      </c>
      <c r="AW40" s="6155">
        <v>10819350.930000002</v>
      </c>
      <c r="AX40" s="2373">
        <v>213207.11039215696</v>
      </c>
      <c r="AZ40" s="6155">
        <v>51</v>
      </c>
      <c r="BA40" s="6155">
        <v>10938065.700000001</v>
      </c>
      <c r="BB40" s="2373">
        <v>214471.87647058826</v>
      </c>
    </row>
    <row r="41" spans="2:54" ht="15.6">
      <c r="B41" s="2371" t="s">
        <v>983</v>
      </c>
      <c r="D41" s="2373">
        <v>55</v>
      </c>
      <c r="E41" s="2373">
        <v>11285438.47349315</v>
      </c>
      <c r="F41" s="2373">
        <v>205189.79042714817</v>
      </c>
      <c r="G41" s="5317"/>
      <c r="H41" s="2373">
        <v>56</v>
      </c>
      <c r="I41" s="2373">
        <v>12045455.673493154</v>
      </c>
      <c r="J41" s="2373">
        <v>215097.42274094917</v>
      </c>
      <c r="K41" s="8"/>
      <c r="L41" s="2373">
        <v>56</v>
      </c>
      <c r="M41" s="2373">
        <v>12810061.973493151</v>
      </c>
      <c r="N41" s="2373">
        <v>228751.10666952055</v>
      </c>
      <c r="O41" s="5317"/>
      <c r="P41" s="2373">
        <v>56</v>
      </c>
      <c r="Q41" s="2373">
        <v>13319734.97349315</v>
      </c>
      <c r="R41" s="2373">
        <v>237852.4102409491</v>
      </c>
      <c r="S41" s="8"/>
      <c r="T41" s="2373">
        <v>56</v>
      </c>
      <c r="U41" s="2373">
        <v>13970427.699999997</v>
      </c>
      <c r="V41" s="2373">
        <v>249471.92321428566</v>
      </c>
      <c r="W41" s="25"/>
      <c r="X41" s="2373">
        <v>55</v>
      </c>
      <c r="Y41" s="2373">
        <v>14237495.000000002</v>
      </c>
      <c r="Z41" s="2373">
        <v>258863.5454545455</v>
      </c>
      <c r="AA41" s="8"/>
      <c r="AB41" s="2373">
        <v>55</v>
      </c>
      <c r="AC41" s="2373">
        <v>14794698.100000001</v>
      </c>
      <c r="AD41" s="2373">
        <v>268994.51090909092</v>
      </c>
      <c r="AE41" s="5917"/>
      <c r="AF41" s="2373">
        <v>53</v>
      </c>
      <c r="AG41" s="2373">
        <v>15085246.100000005</v>
      </c>
      <c r="AH41" s="2373">
        <v>284627.28490566049</v>
      </c>
      <c r="AI41" s="5317"/>
      <c r="AJ41" s="2373">
        <v>51</v>
      </c>
      <c r="AK41" s="2373">
        <v>15364082.350000005</v>
      </c>
      <c r="AL41" s="2373">
        <v>301256.51666666678</v>
      </c>
      <c r="AM41" s="5317"/>
      <c r="AN41" s="2373">
        <v>52</v>
      </c>
      <c r="AO41" s="2373">
        <v>15783317.149999989</v>
      </c>
      <c r="AP41" s="2373">
        <v>303525.32980769209</v>
      </c>
      <c r="AQ41" s="5317"/>
      <c r="AR41" s="2373">
        <v>52</v>
      </c>
      <c r="AS41" s="2373">
        <v>16025990.150000002</v>
      </c>
      <c r="AT41" s="2373">
        <v>308192.11826923082</v>
      </c>
      <c r="AU41" s="5317"/>
      <c r="AV41" s="6155">
        <v>48</v>
      </c>
      <c r="AW41" s="6155">
        <v>15369718.750000006</v>
      </c>
      <c r="AX41" s="2373">
        <v>308192.11826923082</v>
      </c>
      <c r="AZ41" s="6155">
        <v>46</v>
      </c>
      <c r="BA41" s="6155">
        <v>14449394.649999999</v>
      </c>
      <c r="BB41" s="2373">
        <v>314117.27499999997</v>
      </c>
    </row>
    <row r="42" spans="2:54" ht="15.6">
      <c r="B42" s="6159" t="s">
        <v>482</v>
      </c>
      <c r="D42" s="6160">
        <f>SUM(D37:D41)</f>
        <v>267</v>
      </c>
      <c r="E42" s="6160">
        <f>SUM(E37:E41)</f>
        <v>45049007.758041091</v>
      </c>
      <c r="F42" s="6160">
        <f>+E42/D42</f>
        <v>168722.87549828124</v>
      </c>
      <c r="G42" s="5317"/>
      <c r="H42" s="6160">
        <f>SUM(H37:H41)</f>
        <v>269</v>
      </c>
      <c r="I42" s="6160">
        <f>SUM(I37:I41)</f>
        <v>47544009.3580411</v>
      </c>
      <c r="J42" s="6160">
        <f>+I42/H42</f>
        <v>176743.52921204871</v>
      </c>
      <c r="K42" s="8"/>
      <c r="L42" s="6160">
        <f>SUM(L37:L41)</f>
        <v>269</v>
      </c>
      <c r="M42" s="6160">
        <f>SUM(M37:M41)</f>
        <v>50355302.958041094</v>
      </c>
      <c r="N42" s="6160">
        <f>+M42/L42</f>
        <v>187194.43478825685</v>
      </c>
      <c r="O42" s="5317"/>
      <c r="P42" s="6160">
        <f>SUM(P37:P41)</f>
        <v>272</v>
      </c>
      <c r="Q42" s="6160">
        <f>SUM(Q37:Q41)</f>
        <v>52823329.054041095</v>
      </c>
      <c r="R42" s="6160">
        <f>+Q42/P42</f>
        <v>194203.41563985698</v>
      </c>
      <c r="S42" s="8"/>
      <c r="T42" s="6160">
        <f>SUM(T37:T41)</f>
        <v>273</v>
      </c>
      <c r="U42" s="6160">
        <f>SUM(U37:U41)</f>
        <v>55022838.180547945</v>
      </c>
      <c r="V42" s="6160">
        <f>+U42/T42</f>
        <v>201548.85780420492</v>
      </c>
      <c r="W42" s="25"/>
      <c r="X42" s="6160">
        <v>269</v>
      </c>
      <c r="Y42" s="6160">
        <v>56798844.182547942</v>
      </c>
      <c r="Z42" s="6160">
        <v>211148.11963772468</v>
      </c>
      <c r="AA42" s="8"/>
      <c r="AB42" s="6160">
        <v>266</v>
      </c>
      <c r="AC42" s="6160">
        <v>59068088.482547954</v>
      </c>
      <c r="AD42" s="6160">
        <v>222060.48301709758</v>
      </c>
      <c r="AE42" s="5917"/>
      <c r="AF42" s="6160">
        <v>255</v>
      </c>
      <c r="AG42" s="6160">
        <v>59614290.182547957</v>
      </c>
      <c r="AH42" s="6160">
        <v>233781.53012763904</v>
      </c>
      <c r="AI42" s="5317"/>
      <c r="AJ42" s="6160">
        <v>253</v>
      </c>
      <c r="AK42" s="6160">
        <v>61297649.732547954</v>
      </c>
      <c r="AL42" s="6160">
        <v>242283.20052390496</v>
      </c>
      <c r="AM42" s="5317"/>
      <c r="AN42" s="6160">
        <v>256</v>
      </c>
      <c r="AO42" s="6160">
        <v>62945082.52835609</v>
      </c>
      <c r="AP42" s="6160">
        <v>245879.22862639098</v>
      </c>
      <c r="AQ42" s="5317"/>
      <c r="AR42" s="6160">
        <f>SUM(AR37:AR41)</f>
        <v>251</v>
      </c>
      <c r="AS42" s="6160">
        <f>SUM(AS37:AS41)</f>
        <v>64146982.030356169</v>
      </c>
      <c r="AT42" s="6160">
        <f>AS42/AR42</f>
        <v>255565.66545958634</v>
      </c>
      <c r="AU42" s="5317"/>
      <c r="AV42" s="6160">
        <f>SUM(AV37:AV41)</f>
        <v>246</v>
      </c>
      <c r="AW42" s="6160">
        <f>SUM(AW37:AW41)</f>
        <v>64127529.940000005</v>
      </c>
      <c r="AX42" s="6160">
        <f>AW42/AV42</f>
        <v>260681.0160162602</v>
      </c>
      <c r="AZ42" s="6160">
        <v>243</v>
      </c>
      <c r="BA42" s="6160">
        <v>64456904.610000007</v>
      </c>
      <c r="BB42" s="6160">
        <v>265254.75148148142</v>
      </c>
    </row>
    <row r="43" spans="2:54" ht="15.6">
      <c r="B43" s="2371" t="s">
        <v>984</v>
      </c>
      <c r="D43" s="2372">
        <v>41</v>
      </c>
      <c r="E43" s="2373">
        <v>7118820.825000003</v>
      </c>
      <c r="F43" s="2373">
        <v>173629.77621951228</v>
      </c>
      <c r="G43" s="5317"/>
      <c r="H43" s="2372">
        <v>43</v>
      </c>
      <c r="I43" s="2373">
        <v>7682166.8249999993</v>
      </c>
      <c r="J43" s="2373">
        <v>178655.04244186045</v>
      </c>
      <c r="K43" s="8"/>
      <c r="L43" s="2372">
        <v>44</v>
      </c>
      <c r="M43" s="2373">
        <v>8175467.7249999996</v>
      </c>
      <c r="N43" s="2373">
        <v>185806.08465909091</v>
      </c>
      <c r="O43" s="5317"/>
      <c r="P43" s="2372">
        <v>46</v>
      </c>
      <c r="Q43" s="2373">
        <v>8640850.9249999989</v>
      </c>
      <c r="R43" s="2373">
        <v>187844.58532608693</v>
      </c>
      <c r="S43" s="8"/>
      <c r="T43" s="2372">
        <v>49</v>
      </c>
      <c r="U43" s="2373">
        <v>9391869.3250000011</v>
      </c>
      <c r="V43" s="2373">
        <v>191670.80255102043</v>
      </c>
      <c r="W43" s="25"/>
      <c r="X43" s="2372">
        <v>49</v>
      </c>
      <c r="Y43" s="2373">
        <v>9626959.0299999993</v>
      </c>
      <c r="Z43" s="2373">
        <v>200561.64645833333</v>
      </c>
      <c r="AA43" s="8"/>
      <c r="AB43" s="2372">
        <v>49</v>
      </c>
      <c r="AC43" s="2373">
        <v>10137434.83</v>
      </c>
      <c r="AD43" s="2373">
        <v>206886.42510204081</v>
      </c>
      <c r="AE43" s="5917"/>
      <c r="AF43" s="2372">
        <v>47</v>
      </c>
      <c r="AG43" s="2373">
        <v>10339655.730000004</v>
      </c>
      <c r="AH43" s="2373">
        <v>219992.67510638307</v>
      </c>
      <c r="AI43" s="5317"/>
      <c r="AJ43" s="2372">
        <v>47</v>
      </c>
      <c r="AK43" s="2373">
        <v>10905865.630000003</v>
      </c>
      <c r="AL43" s="2373">
        <v>232039.69425531922</v>
      </c>
      <c r="AM43" s="5317"/>
      <c r="AN43" s="2372">
        <v>46</v>
      </c>
      <c r="AO43" s="2373">
        <v>11181480.329999985</v>
      </c>
      <c r="AP43" s="2373">
        <v>243075.65934782577</v>
      </c>
      <c r="AQ43" s="5317"/>
      <c r="AR43" s="2372">
        <v>47</v>
      </c>
      <c r="AS43" s="2373">
        <v>11677565.629999999</v>
      </c>
      <c r="AT43" s="2373">
        <v>248458.84319148934</v>
      </c>
      <c r="AU43" s="5317"/>
      <c r="AV43" s="6153">
        <v>47</v>
      </c>
      <c r="AW43" s="6155">
        <v>12119502.230000004</v>
      </c>
      <c r="AX43" s="2373">
        <v>248458.84319148934</v>
      </c>
      <c r="AZ43" s="6153">
        <v>47</v>
      </c>
      <c r="BA43" s="6155">
        <v>12611539.530000001</v>
      </c>
      <c r="BB43" s="2373">
        <v>268330.62829787238</v>
      </c>
    </row>
    <row r="44" spans="2:54" ht="15.6">
      <c r="B44" s="2371" t="s">
        <v>1016</v>
      </c>
      <c r="D44" s="2372">
        <v>30</v>
      </c>
      <c r="E44" s="2373">
        <v>4810637.0999999996</v>
      </c>
      <c r="F44" s="2373">
        <v>160354.56999999998</v>
      </c>
      <c r="G44" s="5317"/>
      <c r="H44" s="2372">
        <v>31</v>
      </c>
      <c r="I44" s="2373">
        <v>5163014.0000000009</v>
      </c>
      <c r="J44" s="2373">
        <v>166548.83870967745</v>
      </c>
      <c r="K44" s="8"/>
      <c r="L44" s="2372">
        <v>32</v>
      </c>
      <c r="M44" s="2373">
        <v>5529614.8000000007</v>
      </c>
      <c r="N44" s="2373">
        <v>172800.46250000002</v>
      </c>
      <c r="O44" s="5317"/>
      <c r="P44" s="2372">
        <v>33</v>
      </c>
      <c r="Q44" s="2373">
        <v>5801306.9999999991</v>
      </c>
      <c r="R44" s="2373">
        <v>175797.18181818179</v>
      </c>
      <c r="S44" s="8"/>
      <c r="T44" s="2372">
        <v>37</v>
      </c>
      <c r="U44" s="2373">
        <v>6424790.7999999998</v>
      </c>
      <c r="V44" s="2373">
        <v>173642.99459459458</v>
      </c>
      <c r="W44" s="25"/>
      <c r="X44" s="2372">
        <v>37</v>
      </c>
      <c r="Y44" s="2373">
        <v>6575882.4999999991</v>
      </c>
      <c r="Z44" s="2373">
        <v>177726.55405405402</v>
      </c>
      <c r="AA44" s="8"/>
      <c r="AB44" s="2372">
        <v>37</v>
      </c>
      <c r="AC44" s="2373">
        <v>6962674.8999999994</v>
      </c>
      <c r="AD44" s="2373">
        <v>188180.40270270268</v>
      </c>
      <c r="AE44" s="5917"/>
      <c r="AF44" s="2372">
        <v>38</v>
      </c>
      <c r="AG44" s="2373">
        <v>7346726.9999999981</v>
      </c>
      <c r="AH44" s="2373">
        <v>193334.92105263154</v>
      </c>
      <c r="AI44" s="5317"/>
      <c r="AJ44" s="2372">
        <v>37</v>
      </c>
      <c r="AK44" s="2373">
        <v>7589541.0999999978</v>
      </c>
      <c r="AL44" s="2373">
        <v>205122.73243243239</v>
      </c>
      <c r="AM44" s="5317"/>
      <c r="AN44" s="2372">
        <v>38</v>
      </c>
      <c r="AO44" s="2373">
        <v>7883065.3999999883</v>
      </c>
      <c r="AP44" s="2373">
        <v>207449.08947368391</v>
      </c>
      <c r="AQ44" s="5317"/>
      <c r="AR44" s="2372">
        <v>38</v>
      </c>
      <c r="AS44" s="2373">
        <v>8131146.4999999981</v>
      </c>
      <c r="AT44" s="2373">
        <v>213977.53947368416</v>
      </c>
      <c r="AU44" s="5317"/>
      <c r="AV44" s="6153">
        <v>37</v>
      </c>
      <c r="AW44" s="6155">
        <v>8461780.7999999989</v>
      </c>
      <c r="AX44" s="2373">
        <v>213977.53947368416</v>
      </c>
      <c r="AZ44" s="6153">
        <v>35</v>
      </c>
      <c r="BA44" s="6155">
        <v>8575957.0999999996</v>
      </c>
      <c r="BB44" s="2373">
        <v>245027.34571428571</v>
      </c>
    </row>
    <row r="45" spans="2:54" ht="15.6">
      <c r="B45" s="2371" t="s">
        <v>986</v>
      </c>
      <c r="D45" s="2372">
        <v>55</v>
      </c>
      <c r="E45" s="2373">
        <v>10762752.594999999</v>
      </c>
      <c r="F45" s="2373">
        <v>195686.41081818179</v>
      </c>
      <c r="G45" s="5317"/>
      <c r="H45" s="2372">
        <v>56</v>
      </c>
      <c r="I45" s="2373">
        <v>11603741.294999998</v>
      </c>
      <c r="J45" s="2373">
        <v>207209.66598214282</v>
      </c>
      <c r="K45" s="8"/>
      <c r="L45" s="2372">
        <v>56</v>
      </c>
      <c r="M45" s="2373">
        <v>12242142.094999999</v>
      </c>
      <c r="N45" s="2373">
        <v>218609.68026785713</v>
      </c>
      <c r="O45" s="5317"/>
      <c r="P45" s="2372">
        <v>57</v>
      </c>
      <c r="Q45" s="2373">
        <v>12924074.894999998</v>
      </c>
      <c r="R45" s="2373">
        <v>226738.15605263153</v>
      </c>
      <c r="S45" s="8"/>
      <c r="T45" s="2372">
        <v>57</v>
      </c>
      <c r="U45" s="2373">
        <v>13626042.399999997</v>
      </c>
      <c r="V45" s="2373">
        <v>239053.37543859644</v>
      </c>
      <c r="W45" s="25"/>
      <c r="X45" s="2372">
        <v>56</v>
      </c>
      <c r="Y45" s="2373">
        <v>14152159.299999999</v>
      </c>
      <c r="Z45" s="2373">
        <v>252717.13035714283</v>
      </c>
      <c r="AA45" s="8"/>
      <c r="AB45" s="2372">
        <v>55</v>
      </c>
      <c r="AC45" s="2373">
        <v>14574426.899999999</v>
      </c>
      <c r="AD45" s="2373">
        <v>264989.57999999996</v>
      </c>
      <c r="AE45" s="5917"/>
      <c r="AF45" s="2372">
        <v>55</v>
      </c>
      <c r="AG45" s="2373">
        <v>14931284.399999997</v>
      </c>
      <c r="AH45" s="2373">
        <v>271477.89818181813</v>
      </c>
      <c r="AI45" s="5317"/>
      <c r="AJ45" s="2372">
        <v>55</v>
      </c>
      <c r="AK45" s="2373">
        <v>15520512.699999996</v>
      </c>
      <c r="AL45" s="2373">
        <v>282191.1399999999</v>
      </c>
      <c r="AM45" s="5317"/>
      <c r="AN45" s="2372">
        <v>53</v>
      </c>
      <c r="AO45" s="2373">
        <v>15645802.499999989</v>
      </c>
      <c r="AP45" s="2373">
        <v>295203.82075471675</v>
      </c>
      <c r="AQ45" s="5317"/>
      <c r="AR45" s="2372">
        <v>51</v>
      </c>
      <c r="AS45" s="2373">
        <v>15871703.849999998</v>
      </c>
      <c r="AT45" s="2373">
        <v>311209.87941176468</v>
      </c>
      <c r="AU45" s="5317"/>
      <c r="AV45" s="6153">
        <v>51</v>
      </c>
      <c r="AW45" s="6155">
        <v>16447960.599999998</v>
      </c>
      <c r="AX45" s="2373">
        <v>311209.87941176468</v>
      </c>
      <c r="AZ45" s="6153">
        <v>49</v>
      </c>
      <c r="BA45" s="6155">
        <v>16836722.600000001</v>
      </c>
      <c r="BB45" s="2373">
        <v>343606.58367346943</v>
      </c>
    </row>
    <row r="46" spans="2:54" ht="15.6">
      <c r="B46" s="2371" t="s">
        <v>987</v>
      </c>
      <c r="D46" s="2372">
        <v>48</v>
      </c>
      <c r="E46" s="2373">
        <v>8384543.2300000004</v>
      </c>
      <c r="F46" s="2373">
        <v>174677.98395833335</v>
      </c>
      <c r="G46" s="5317"/>
      <c r="H46" s="2372">
        <v>49</v>
      </c>
      <c r="I46" s="2373">
        <v>8895927.4300000034</v>
      </c>
      <c r="J46" s="2373">
        <v>181549.53938775515</v>
      </c>
      <c r="K46" s="8"/>
      <c r="L46" s="2372">
        <v>49</v>
      </c>
      <c r="M46" s="2373">
        <v>9513266.6300000008</v>
      </c>
      <c r="N46" s="2373">
        <v>194148.2985714286</v>
      </c>
      <c r="O46" s="5317"/>
      <c r="P46" s="2372">
        <v>51</v>
      </c>
      <c r="Q46" s="2373">
        <v>10180227.029999999</v>
      </c>
      <c r="R46" s="2373">
        <v>199612.29470588235</v>
      </c>
      <c r="S46" s="8"/>
      <c r="T46" s="2372">
        <v>55</v>
      </c>
      <c r="U46" s="2373">
        <v>10871901.329999998</v>
      </c>
      <c r="V46" s="2373">
        <v>197670.93327272724</v>
      </c>
      <c r="W46" s="25"/>
      <c r="X46" s="2372">
        <v>57</v>
      </c>
      <c r="Y46" s="2373">
        <v>11648381.629999999</v>
      </c>
      <c r="Z46" s="2373">
        <v>204357.57245614033</v>
      </c>
      <c r="AA46" s="8"/>
      <c r="AB46" s="2372">
        <v>57</v>
      </c>
      <c r="AC46" s="2373">
        <v>12368244.23</v>
      </c>
      <c r="AD46" s="2373">
        <v>216986.74087719299</v>
      </c>
      <c r="AE46" s="5917"/>
      <c r="AF46" s="2372">
        <v>55</v>
      </c>
      <c r="AG46" s="2373">
        <v>12762350.93</v>
      </c>
      <c r="AH46" s="2373">
        <v>232042.74418181818</v>
      </c>
      <c r="AI46" s="5317"/>
      <c r="AJ46" s="2372">
        <v>54</v>
      </c>
      <c r="AK46" s="2373">
        <v>13196642.33</v>
      </c>
      <c r="AL46" s="2373">
        <v>244382.26537037038</v>
      </c>
      <c r="AM46" s="5317"/>
      <c r="AN46" s="2372">
        <v>57</v>
      </c>
      <c r="AO46" s="2373">
        <v>14015639.779999977</v>
      </c>
      <c r="AP46" s="2373">
        <v>245888.41719298204</v>
      </c>
      <c r="AQ46" s="5317"/>
      <c r="AR46" s="2372">
        <v>57</v>
      </c>
      <c r="AS46" s="2373">
        <v>14693212.029999999</v>
      </c>
      <c r="AT46" s="2373">
        <v>257775.64964912279</v>
      </c>
      <c r="AU46" s="5317"/>
      <c r="AV46" s="6153">
        <v>53</v>
      </c>
      <c r="AW46" s="6155">
        <v>14397494.080000004</v>
      </c>
      <c r="AX46" s="2373">
        <v>257775.64964912279</v>
      </c>
      <c r="AZ46" s="6153">
        <v>52</v>
      </c>
      <c r="BA46" s="6155">
        <v>14978671.679999998</v>
      </c>
      <c r="BB46" s="2373">
        <v>288051.37846153841</v>
      </c>
    </row>
    <row r="47" spans="2:54" ht="15.6">
      <c r="B47" s="2371" t="s">
        <v>988</v>
      </c>
      <c r="D47" s="2372">
        <v>35</v>
      </c>
      <c r="E47" s="2373">
        <v>4159472.8250000007</v>
      </c>
      <c r="F47" s="2373">
        <v>118842.08071428574</v>
      </c>
      <c r="G47" s="5317"/>
      <c r="H47" s="2372">
        <v>35</v>
      </c>
      <c r="I47" s="2373">
        <v>4376083.9249999998</v>
      </c>
      <c r="J47" s="2373">
        <v>125030.96928571428</v>
      </c>
      <c r="K47" s="8"/>
      <c r="L47" s="2372">
        <v>37</v>
      </c>
      <c r="M47" s="2373">
        <v>4828696.9299999978</v>
      </c>
      <c r="N47" s="2373">
        <v>130505.32243243237</v>
      </c>
      <c r="O47" s="5317"/>
      <c r="P47" s="2372">
        <v>38</v>
      </c>
      <c r="Q47" s="2373">
        <v>5295742.3249999993</v>
      </c>
      <c r="R47" s="2373">
        <v>139361.64013157893</v>
      </c>
      <c r="S47" s="8"/>
      <c r="T47" s="2372">
        <v>39</v>
      </c>
      <c r="U47" s="2373">
        <v>5725140.4250000007</v>
      </c>
      <c r="V47" s="2373">
        <v>146798.47243589745</v>
      </c>
      <c r="W47" s="25"/>
      <c r="X47" s="2372">
        <v>38</v>
      </c>
      <c r="Y47" s="2373">
        <v>6095312.8250000002</v>
      </c>
      <c r="Z47" s="2373">
        <v>160402.96907894738</v>
      </c>
      <c r="AA47" s="8"/>
      <c r="AB47" s="2372">
        <v>37</v>
      </c>
      <c r="AC47" s="2373">
        <v>6400524.9250000007</v>
      </c>
      <c r="AD47" s="2373">
        <v>172987.16013513514</v>
      </c>
      <c r="AE47" s="5917"/>
      <c r="AF47" s="2372">
        <v>35</v>
      </c>
      <c r="AG47" s="2373">
        <v>6428166.7249999987</v>
      </c>
      <c r="AH47" s="2373">
        <v>183661.90642857138</v>
      </c>
      <c r="AI47" s="5317"/>
      <c r="AJ47" s="2372">
        <v>33</v>
      </c>
      <c r="AK47" s="2373">
        <v>6489286.1500000004</v>
      </c>
      <c r="AL47" s="2373">
        <v>196645.03484848485</v>
      </c>
      <c r="AM47" s="5317"/>
      <c r="AN47" s="2372">
        <v>32</v>
      </c>
      <c r="AO47" s="2373">
        <v>6518004.8499999912</v>
      </c>
      <c r="AP47" s="2373">
        <v>203687.65156249973</v>
      </c>
      <c r="AQ47" s="5317"/>
      <c r="AR47" s="2372">
        <v>32</v>
      </c>
      <c r="AS47" s="2373">
        <v>6802889.8500000015</v>
      </c>
      <c r="AT47" s="2373">
        <v>212590.30781250005</v>
      </c>
      <c r="AU47" s="5317"/>
      <c r="AV47" s="6153">
        <v>31</v>
      </c>
      <c r="AW47" s="6155">
        <v>6844939.8499999987</v>
      </c>
      <c r="AX47" s="2373">
        <v>212590.30781250005</v>
      </c>
      <c r="AZ47" s="6153">
        <v>30</v>
      </c>
      <c r="BA47" s="6155">
        <v>6748999.5500000017</v>
      </c>
      <c r="BB47" s="2373">
        <v>224966.65166666673</v>
      </c>
    </row>
    <row r="48" spans="2:54" ht="15.6">
      <c r="B48" s="6159" t="s">
        <v>485</v>
      </c>
      <c r="D48" s="6160">
        <f>SUM(D43:D47)</f>
        <v>209</v>
      </c>
      <c r="E48" s="6160">
        <f>SUM(E43:E47)</f>
        <v>35236226.575000003</v>
      </c>
      <c r="F48" s="6160">
        <f>+E48/D48</f>
        <v>168594.3855263158</v>
      </c>
      <c r="G48" s="5317"/>
      <c r="H48" s="6160">
        <f>SUM(H43:H47)</f>
        <v>214</v>
      </c>
      <c r="I48" s="6160">
        <f>SUM(I43:I47)</f>
        <v>37720933.475000001</v>
      </c>
      <c r="J48" s="6160">
        <f>+I48/H48</f>
        <v>176266.04427570093</v>
      </c>
      <c r="K48" s="8"/>
      <c r="L48" s="6160">
        <f>SUM(L43:L47)</f>
        <v>218</v>
      </c>
      <c r="M48" s="6160">
        <f>SUM(M43:M47)</f>
        <v>40289188.18</v>
      </c>
      <c r="N48" s="6160">
        <f>+M48/L48</f>
        <v>184812.78981651377</v>
      </c>
      <c r="O48" s="5317"/>
      <c r="P48" s="6160">
        <f>SUM(P43:P47)</f>
        <v>225</v>
      </c>
      <c r="Q48" s="6160">
        <f>SUM(Q43:Q47)</f>
        <v>42842202.174999997</v>
      </c>
      <c r="R48" s="6160">
        <f>+Q48/P48</f>
        <v>190409.78744444443</v>
      </c>
      <c r="S48" s="8"/>
      <c r="T48" s="6160">
        <f>SUM(T43:T47)</f>
        <v>237</v>
      </c>
      <c r="U48" s="6160">
        <f>SUM(U43:U47)</f>
        <v>46039744.280000001</v>
      </c>
      <c r="V48" s="6160">
        <f>+U48/T48</f>
        <v>194260.52438818567</v>
      </c>
      <c r="W48" s="25"/>
      <c r="X48" s="6160">
        <v>237</v>
      </c>
      <c r="Y48" s="6160">
        <v>48098695.284999996</v>
      </c>
      <c r="Z48" s="6160">
        <v>202948.08137130801</v>
      </c>
      <c r="AA48" s="8"/>
      <c r="AB48" s="6160">
        <v>235</v>
      </c>
      <c r="AC48" s="6160">
        <v>50443305.784999996</v>
      </c>
      <c r="AD48" s="6160">
        <v>214652.36504255317</v>
      </c>
      <c r="AE48" s="5917"/>
      <c r="AF48" s="6160">
        <v>230</v>
      </c>
      <c r="AG48" s="6160">
        <v>51808184.785000004</v>
      </c>
      <c r="AH48" s="6160">
        <v>225252.97732608698</v>
      </c>
      <c r="AI48" s="5317"/>
      <c r="AJ48" s="6160">
        <v>226</v>
      </c>
      <c r="AK48" s="6160">
        <v>53701847.909999989</v>
      </c>
      <c r="AL48" s="6160">
        <v>237618.79606194686</v>
      </c>
      <c r="AM48" s="5317"/>
      <c r="AN48" s="6160">
        <v>226</v>
      </c>
      <c r="AO48" s="6160">
        <v>55243992.859999932</v>
      </c>
      <c r="AP48" s="6160">
        <v>244442.44628318553</v>
      </c>
      <c r="AQ48" s="5317"/>
      <c r="AR48" s="6160">
        <f>SUM(AR43:AR47)</f>
        <v>225</v>
      </c>
      <c r="AS48" s="6160">
        <f>SUM(AS43:AS47)</f>
        <v>57176517.859999992</v>
      </c>
      <c r="AT48" s="6160">
        <f>AS48/AR48</f>
        <v>254117.85715555551</v>
      </c>
      <c r="AU48" s="5317"/>
      <c r="AV48" s="6160">
        <f>SUM(AV43:AV47)</f>
        <v>219</v>
      </c>
      <c r="AW48" s="6160">
        <f>SUM(AW43:AW47)</f>
        <v>58271677.560000002</v>
      </c>
      <c r="AX48" s="6160">
        <f>AW48/AV48</f>
        <v>266080.71945205482</v>
      </c>
      <c r="AZ48" s="6160">
        <v>213</v>
      </c>
      <c r="BA48" s="6160">
        <v>59751890.460000008</v>
      </c>
      <c r="BB48" s="6160">
        <v>280525.30732394377</v>
      </c>
    </row>
    <row r="49" spans="2:54" ht="15.6">
      <c r="B49" s="2371" t="s">
        <v>989</v>
      </c>
      <c r="D49" s="2372">
        <v>25</v>
      </c>
      <c r="E49" s="2373">
        <v>4513713.4249999998</v>
      </c>
      <c r="F49" s="2373">
        <v>180548.53699999998</v>
      </c>
      <c r="G49" s="5317"/>
      <c r="H49" s="2372">
        <v>25</v>
      </c>
      <c r="I49" s="2373">
        <v>4640848.9249999989</v>
      </c>
      <c r="J49" s="2373">
        <v>185633.95699999997</v>
      </c>
      <c r="K49" s="8"/>
      <c r="L49" s="2372">
        <v>25</v>
      </c>
      <c r="M49" s="2373">
        <v>4924007.8</v>
      </c>
      <c r="N49" s="2373">
        <v>196960.31199999998</v>
      </c>
      <c r="O49" s="5317"/>
      <c r="P49" s="2372">
        <v>25</v>
      </c>
      <c r="Q49" s="2373">
        <v>5066492.7</v>
      </c>
      <c r="R49" s="2373">
        <v>202659.70800000001</v>
      </c>
      <c r="S49" s="8"/>
      <c r="T49" s="2372">
        <v>25</v>
      </c>
      <c r="U49" s="2373">
        <v>5302364.5999999996</v>
      </c>
      <c r="V49" s="2373">
        <v>212094.58399999997</v>
      </c>
      <c r="W49" s="25"/>
      <c r="X49" s="2372">
        <v>25</v>
      </c>
      <c r="Y49" s="2373">
        <v>5402363</v>
      </c>
      <c r="Z49" s="2373">
        <v>216094.52</v>
      </c>
      <c r="AA49" s="8"/>
      <c r="AB49" s="2372">
        <v>25</v>
      </c>
      <c r="AC49" s="2373">
        <v>5577782.5</v>
      </c>
      <c r="AD49" s="2373">
        <v>223111.3</v>
      </c>
      <c r="AE49" s="5917"/>
      <c r="AF49" s="2372">
        <v>24</v>
      </c>
      <c r="AG49" s="2373">
        <v>5589381.0000000009</v>
      </c>
      <c r="AH49" s="2373">
        <v>232890.87500000003</v>
      </c>
      <c r="AI49" s="5317"/>
      <c r="AJ49" s="2372">
        <v>23</v>
      </c>
      <c r="AK49" s="2373">
        <v>5425485.2000000011</v>
      </c>
      <c r="AL49" s="2373">
        <v>235890.66086956527</v>
      </c>
      <c r="AM49" s="5317"/>
      <c r="AN49" s="2372">
        <v>24</v>
      </c>
      <c r="AO49" s="2373">
        <v>5737167.4999999888</v>
      </c>
      <c r="AP49" s="2373">
        <v>239048.64583333288</v>
      </c>
      <c r="AQ49" s="5317"/>
      <c r="AR49" s="2372">
        <v>23</v>
      </c>
      <c r="AS49" s="2373">
        <v>5626186.7000000011</v>
      </c>
      <c r="AT49" s="2373">
        <v>244616.81304347832</v>
      </c>
      <c r="AU49" s="5317"/>
      <c r="AV49" s="6153">
        <v>22</v>
      </c>
      <c r="AW49" s="6155">
        <v>5651797.9199999999</v>
      </c>
      <c r="AX49" s="2373">
        <v>244616.81304347832</v>
      </c>
      <c r="AZ49" s="6153">
        <v>20</v>
      </c>
      <c r="BA49" s="6155">
        <v>5734306.4199999999</v>
      </c>
      <c r="BB49" s="2373">
        <v>286715.321</v>
      </c>
    </row>
    <row r="50" spans="2:54" ht="15.6">
      <c r="B50" s="2371" t="s">
        <v>963</v>
      </c>
      <c r="D50" s="2372">
        <v>91</v>
      </c>
      <c r="E50" s="2373">
        <v>13535693.456027398</v>
      </c>
      <c r="F50" s="2373">
        <v>148743.88413216922</v>
      </c>
      <c r="G50" s="5317"/>
      <c r="H50" s="2372">
        <v>91</v>
      </c>
      <c r="I50" s="2373">
        <v>14219164.060000002</v>
      </c>
      <c r="J50" s="2373">
        <v>156254.55010989014</v>
      </c>
      <c r="K50" s="8"/>
      <c r="L50" s="2372">
        <v>92</v>
      </c>
      <c r="M50" s="2373">
        <v>14994289.760000009</v>
      </c>
      <c r="N50" s="2373">
        <v>162981.41043478271</v>
      </c>
      <c r="O50" s="5317"/>
      <c r="P50" s="2372">
        <v>93</v>
      </c>
      <c r="Q50" s="2373">
        <v>15494463.359999999</v>
      </c>
      <c r="R50" s="2373">
        <v>166607.13290322581</v>
      </c>
      <c r="S50" s="8"/>
      <c r="T50" s="2372">
        <v>92</v>
      </c>
      <c r="U50" s="2373">
        <v>15869539.960000001</v>
      </c>
      <c r="V50" s="2373">
        <v>172494.99956521741</v>
      </c>
      <c r="W50" s="25"/>
      <c r="X50" s="2372">
        <v>88</v>
      </c>
      <c r="Y50" s="2373">
        <v>15858752.937054792</v>
      </c>
      <c r="Z50" s="2373">
        <v>180213.10155744082</v>
      </c>
      <c r="AA50" s="8"/>
      <c r="AB50" s="2372">
        <v>91</v>
      </c>
      <c r="AC50" s="2373">
        <v>16747038.037054792</v>
      </c>
      <c r="AD50" s="2373">
        <v>184033.38502258013</v>
      </c>
      <c r="AE50" s="5917"/>
      <c r="AF50" s="2372">
        <v>91</v>
      </c>
      <c r="AG50" s="2373">
        <v>17246582.237054795</v>
      </c>
      <c r="AH50" s="2373">
        <v>189522.88172587685</v>
      </c>
      <c r="AI50" s="5317"/>
      <c r="AJ50" s="2372">
        <v>90</v>
      </c>
      <c r="AK50" s="2373">
        <v>17290276.937054794</v>
      </c>
      <c r="AL50" s="2373">
        <v>192114.18818949771</v>
      </c>
      <c r="AM50" s="5317"/>
      <c r="AN50" s="2372">
        <v>87</v>
      </c>
      <c r="AO50" s="2373">
        <v>17100799.55999998</v>
      </c>
      <c r="AP50" s="2373">
        <v>196560.91448275838</v>
      </c>
      <c r="AQ50" s="5317"/>
      <c r="AR50" s="2372">
        <v>89</v>
      </c>
      <c r="AS50" s="2373">
        <v>17646668.937054798</v>
      </c>
      <c r="AT50" s="2373">
        <v>198277.17906803143</v>
      </c>
      <c r="AU50" s="5317"/>
      <c r="AV50" s="6153">
        <v>85</v>
      </c>
      <c r="AW50" s="6155">
        <v>16959079.460000001</v>
      </c>
      <c r="AX50" s="2373">
        <v>198277.17906803143</v>
      </c>
      <c r="AZ50" s="6153">
        <v>82</v>
      </c>
      <c r="BA50" s="6155">
        <v>16488372.860000003</v>
      </c>
      <c r="BB50" s="2373">
        <v>201077.71780487808</v>
      </c>
    </row>
    <row r="51" spans="2:54" ht="15.6">
      <c r="B51" s="2371" t="s">
        <v>990</v>
      </c>
      <c r="D51" s="2372">
        <v>122</v>
      </c>
      <c r="E51" s="2373">
        <v>18525811.463424653</v>
      </c>
      <c r="F51" s="2373">
        <v>151850.91363462829</v>
      </c>
      <c r="G51" s="5317"/>
      <c r="H51" s="2372">
        <v>122</v>
      </c>
      <c r="I51" s="2373">
        <v>19481275.963424664</v>
      </c>
      <c r="J51" s="2373">
        <v>159682.58986413659</v>
      </c>
      <c r="K51" s="8"/>
      <c r="L51" s="2372">
        <v>123</v>
      </c>
      <c r="M51" s="2373">
        <v>20470545.962739725</v>
      </c>
      <c r="N51" s="2373">
        <v>166427.20294910346</v>
      </c>
      <c r="O51" s="5317"/>
      <c r="P51" s="2372">
        <v>125.99999999999999</v>
      </c>
      <c r="Q51" s="2373">
        <v>21297457.662739728</v>
      </c>
      <c r="R51" s="2373">
        <v>169027.44176777563</v>
      </c>
      <c r="S51" s="8"/>
      <c r="T51" s="2372">
        <v>126</v>
      </c>
      <c r="U51" s="2373">
        <v>21915382.162739724</v>
      </c>
      <c r="V51" s="2373">
        <v>173931.60446618829</v>
      </c>
      <c r="W51" s="25"/>
      <c r="X51" s="2372">
        <v>126</v>
      </c>
      <c r="Y51" s="2373">
        <v>22266915.362739723</v>
      </c>
      <c r="Z51" s="2373">
        <v>176721.55049793431</v>
      </c>
      <c r="AA51" s="8"/>
      <c r="AB51" s="2372">
        <v>121</v>
      </c>
      <c r="AC51" s="2373">
        <v>22488524.974246569</v>
      </c>
      <c r="AD51" s="2373">
        <v>185855.57829955843</v>
      </c>
      <c r="AE51" s="5917"/>
      <c r="AF51" s="2372">
        <v>113</v>
      </c>
      <c r="AG51" s="2373">
        <v>22373066.093835622</v>
      </c>
      <c r="AH51" s="2373">
        <v>197991.73534367807</v>
      </c>
      <c r="AI51" s="5317"/>
      <c r="AJ51" s="2372">
        <v>107</v>
      </c>
      <c r="AK51" s="2373">
        <v>21296963.79383561</v>
      </c>
      <c r="AL51" s="2373">
        <v>199037.04480220197</v>
      </c>
      <c r="AM51" s="5317"/>
      <c r="AN51" s="2372">
        <v>106</v>
      </c>
      <c r="AO51" s="2373">
        <v>21757435.49383558</v>
      </c>
      <c r="AP51" s="2373">
        <v>205258.82541354321</v>
      </c>
      <c r="AQ51" s="5317"/>
      <c r="AR51" s="2372">
        <v>105</v>
      </c>
      <c r="AS51" s="2373">
        <v>21858390.793835621</v>
      </c>
      <c r="AT51" s="2373">
        <v>208175.1504174821</v>
      </c>
      <c r="AU51" s="5317"/>
      <c r="AV51" s="6153">
        <v>101</v>
      </c>
      <c r="AW51" s="6155">
        <v>22280188.390000001</v>
      </c>
      <c r="AX51" s="2373">
        <v>208175.1504174821</v>
      </c>
      <c r="AZ51" s="6153">
        <v>93</v>
      </c>
      <c r="BA51" s="6155">
        <v>20712158.710000001</v>
      </c>
      <c r="BB51" s="2373">
        <v>222711.38397849465</v>
      </c>
    </row>
    <row r="52" spans="2:54" ht="15.6">
      <c r="B52" s="2371" t="s">
        <v>964</v>
      </c>
      <c r="D52" s="2372">
        <v>85</v>
      </c>
      <c r="E52" s="2373">
        <v>10728337.579434931</v>
      </c>
      <c r="F52" s="2373">
        <v>126215.73622864626</v>
      </c>
      <c r="G52" s="5317"/>
      <c r="H52" s="2372">
        <v>88</v>
      </c>
      <c r="I52" s="2373">
        <v>11326066.179434936</v>
      </c>
      <c r="J52" s="2373">
        <v>128705.29749357882</v>
      </c>
      <c r="K52" s="8"/>
      <c r="L52" s="2372">
        <v>89</v>
      </c>
      <c r="M52" s="2373">
        <v>11963958.984434931</v>
      </c>
      <c r="N52" s="2373">
        <v>134426.50544308912</v>
      </c>
      <c r="O52" s="5317"/>
      <c r="P52" s="2372">
        <v>91</v>
      </c>
      <c r="Q52" s="2373">
        <v>12572124.084434925</v>
      </c>
      <c r="R52" s="2373">
        <v>138155.20971906511</v>
      </c>
      <c r="S52" s="8"/>
      <c r="T52" s="2372">
        <v>92</v>
      </c>
      <c r="U52" s="2373">
        <v>13135864.784434935</v>
      </c>
      <c r="V52" s="2373">
        <v>142781.13896124929</v>
      </c>
      <c r="W52" s="25"/>
      <c r="X52" s="2372">
        <v>95</v>
      </c>
      <c r="Y52" s="2373">
        <v>13722660.084434932</v>
      </c>
      <c r="Z52" s="2373">
        <v>144449.05352036771</v>
      </c>
      <c r="AA52" s="8"/>
      <c r="AB52" s="2372">
        <v>94</v>
      </c>
      <c r="AC52" s="2373">
        <v>14211851.984434934</v>
      </c>
      <c r="AD52" s="2373">
        <v>151189.9147280312</v>
      </c>
      <c r="AE52" s="5917"/>
      <c r="AF52" s="2372">
        <v>90</v>
      </c>
      <c r="AG52" s="2373">
        <v>14436494.704434935</v>
      </c>
      <c r="AH52" s="2373">
        <v>160405.49671594374</v>
      </c>
      <c r="AI52" s="5317"/>
      <c r="AJ52" s="2372">
        <v>86</v>
      </c>
      <c r="AK52" s="2373">
        <v>13990117.204434929</v>
      </c>
      <c r="AL52" s="2373">
        <v>162675.7814469178</v>
      </c>
      <c r="AM52" s="5317"/>
      <c r="AN52" s="2372">
        <v>86</v>
      </c>
      <c r="AO52" s="2373">
        <v>14065549.904982854</v>
      </c>
      <c r="AP52" s="2373">
        <v>163552.90587189366</v>
      </c>
      <c r="AQ52" s="5317"/>
      <c r="AR52" s="2372">
        <v>83</v>
      </c>
      <c r="AS52" s="2373">
        <v>13753783.304982876</v>
      </c>
      <c r="AT52" s="2373">
        <v>165708.23259015512</v>
      </c>
      <c r="AU52" s="5317"/>
      <c r="AV52" s="6153">
        <v>81</v>
      </c>
      <c r="AW52" s="6155">
        <v>14066148.15</v>
      </c>
      <c r="AX52" s="2373">
        <v>165708.23259015512</v>
      </c>
      <c r="AZ52" s="6153">
        <v>74</v>
      </c>
      <c r="BA52" s="6155">
        <v>13320495.479999997</v>
      </c>
      <c r="BB52" s="2373">
        <v>180006.69567567564</v>
      </c>
    </row>
    <row r="53" spans="2:54" ht="15.6">
      <c r="B53" s="6159" t="s">
        <v>483</v>
      </c>
      <c r="D53" s="6160">
        <f>SUM(D49:D52)</f>
        <v>323</v>
      </c>
      <c r="E53" s="6160">
        <f>SUM(E49:E52)</f>
        <v>47303555.923886985</v>
      </c>
      <c r="F53" s="6160">
        <f t="shared" ref="F53:F58" si="0">+E53/D53</f>
        <v>146450.63753525383</v>
      </c>
      <c r="G53" s="5317"/>
      <c r="H53" s="6160">
        <f>SUM(H49:H52)</f>
        <v>326</v>
      </c>
      <c r="I53" s="6160">
        <f>SUM(I49:I52)</f>
        <v>49667355.127859607</v>
      </c>
      <c r="J53" s="6160">
        <f>+I53/H53</f>
        <v>152353.85008545892</v>
      </c>
      <c r="K53" s="8"/>
      <c r="L53" s="6160">
        <f>SUM(L49:L52)</f>
        <v>329</v>
      </c>
      <c r="M53" s="6160">
        <f>SUM(M49:M52)</f>
        <v>52352802.507174671</v>
      </c>
      <c r="N53" s="6160">
        <f>+M53/L53</f>
        <v>159127.05929232424</v>
      </c>
      <c r="O53" s="5317"/>
      <c r="P53" s="6160">
        <f>SUM(P49:P52)</f>
        <v>335</v>
      </c>
      <c r="Q53" s="6160">
        <f>SUM(Q49:Q52)</f>
        <v>54430537.807174653</v>
      </c>
      <c r="R53" s="6160">
        <f>+Q53/P53</f>
        <v>162479.2173348497</v>
      </c>
      <c r="S53" s="8"/>
      <c r="T53" s="6160">
        <f>SUM(T49:T52)</f>
        <v>335</v>
      </c>
      <c r="U53" s="6160">
        <f>SUM(U49:U52)</f>
        <v>56223151.507174663</v>
      </c>
      <c r="V53" s="6160">
        <f>+U53/T53</f>
        <v>167830.30300649154</v>
      </c>
      <c r="W53" s="25"/>
      <c r="X53" s="6160">
        <v>334</v>
      </c>
      <c r="Y53" s="6160">
        <v>57250691.384229444</v>
      </c>
      <c r="Z53" s="6160">
        <v>171409.25564140553</v>
      </c>
      <c r="AA53" s="8"/>
      <c r="AB53" s="6160">
        <v>331</v>
      </c>
      <c r="AC53" s="6160">
        <v>59025197.495736293</v>
      </c>
      <c r="AD53" s="6160">
        <v>178323.85950373503</v>
      </c>
      <c r="AE53" s="5917"/>
      <c r="AF53" s="6160">
        <v>318</v>
      </c>
      <c r="AG53" s="6160">
        <v>59645524.035325348</v>
      </c>
      <c r="AH53" s="6160">
        <v>187564.54099158914</v>
      </c>
      <c r="AI53" s="5317"/>
      <c r="AJ53" s="6160">
        <v>306</v>
      </c>
      <c r="AK53" s="6160">
        <v>58002843.135325335</v>
      </c>
      <c r="AL53" s="6160">
        <v>189551.77495204358</v>
      </c>
      <c r="AM53" s="5317"/>
      <c r="AN53" s="6160">
        <v>303</v>
      </c>
      <c r="AO53" s="6160">
        <v>58660952.458818406</v>
      </c>
      <c r="AP53" s="6160">
        <v>193600.50316441717</v>
      </c>
      <c r="AQ53" s="5317"/>
      <c r="AR53" s="6160">
        <f>SUM(AR49:AR52)</f>
        <v>300</v>
      </c>
      <c r="AS53" s="6160">
        <f>SUM(AS49:AS52)</f>
        <v>58885029.735873304</v>
      </c>
      <c r="AT53" s="6160">
        <f>AS53/AR53</f>
        <v>196283.43245291102</v>
      </c>
      <c r="AU53" s="5317"/>
      <c r="AV53" s="6160">
        <f>SUM(AV49:AV52)</f>
        <v>289</v>
      </c>
      <c r="AW53" s="6160">
        <f>SUM(AW49:AW52)</f>
        <v>58957213.920000002</v>
      </c>
      <c r="AX53" s="6160">
        <f>AW53/AV53</f>
        <v>204004.20041522491</v>
      </c>
      <c r="AZ53" s="6160">
        <v>269</v>
      </c>
      <c r="BA53" s="6160">
        <v>56255333.469999999</v>
      </c>
      <c r="BB53" s="6160">
        <v>209127.63371747223</v>
      </c>
    </row>
    <row r="54" spans="2:54" ht="15.6">
      <c r="B54" s="6167" t="s">
        <v>109</v>
      </c>
      <c r="D54" s="6168">
        <f>SUM(D53,D48,D42)</f>
        <v>799</v>
      </c>
      <c r="E54" s="6168">
        <f>SUM(E53,E48,E42)</f>
        <v>127588790.25692809</v>
      </c>
      <c r="F54" s="6168">
        <f t="shared" si="0"/>
        <v>159685.59481467845</v>
      </c>
      <c r="G54" s="5317"/>
      <c r="H54" s="6168">
        <f>SUM(H53,H48,H42)</f>
        <v>809</v>
      </c>
      <c r="I54" s="6168">
        <f>SUM(I53,I48,I42)</f>
        <v>134932297.96090072</v>
      </c>
      <c r="J54" s="6168">
        <f>+I54/H54</f>
        <v>166788.99624338778</v>
      </c>
      <c r="K54" s="8"/>
      <c r="L54" s="6168">
        <f>SUM(L53,L48,L42)</f>
        <v>816</v>
      </c>
      <c r="M54" s="6168">
        <f>SUM(M53,M48,M42)</f>
        <v>142997293.64521578</v>
      </c>
      <c r="N54" s="6168">
        <f>+M54/L54</f>
        <v>175241.78142796052</v>
      </c>
      <c r="O54" s="5317"/>
      <c r="P54" s="6168">
        <f>SUM(P53,P48,P42)</f>
        <v>832</v>
      </c>
      <c r="Q54" s="6168">
        <f>SUM(Q53,Q48,Q42)</f>
        <v>150096069.03621575</v>
      </c>
      <c r="R54" s="6168">
        <f>+Q54/P54</f>
        <v>180403.929130067</v>
      </c>
      <c r="S54" s="8"/>
      <c r="T54" s="6168">
        <f>SUM(T53,T48,T42)</f>
        <v>845</v>
      </c>
      <c r="U54" s="6168">
        <f>SUM(U53,U48,U42)</f>
        <v>157285733.96772262</v>
      </c>
      <c r="V54" s="6168">
        <f>+U54/T54</f>
        <v>186136.9632754114</v>
      </c>
      <c r="W54" s="25"/>
      <c r="X54" s="6168">
        <v>840</v>
      </c>
      <c r="Y54" s="6168">
        <v>162148230.85177737</v>
      </c>
      <c r="Z54" s="6168">
        <v>193033.60815687783</v>
      </c>
      <c r="AA54" s="8"/>
      <c r="AB54" s="6168">
        <v>832</v>
      </c>
      <c r="AC54" s="6168">
        <v>168536591.76328427</v>
      </c>
      <c r="AD54" s="6168">
        <v>202568.01894625512</v>
      </c>
      <c r="AE54" s="5917"/>
      <c r="AF54" s="6168">
        <v>803</v>
      </c>
      <c r="AG54" s="6168">
        <v>171067999.0028733</v>
      </c>
      <c r="AH54" s="6168">
        <v>213036.11332860935</v>
      </c>
      <c r="AI54" s="5317"/>
      <c r="AJ54" s="6168">
        <v>785</v>
      </c>
      <c r="AK54" s="6168">
        <v>173002340.77787328</v>
      </c>
      <c r="AL54" s="6168">
        <v>220385.14748773666</v>
      </c>
      <c r="AM54" s="5317"/>
      <c r="AN54" s="6168">
        <v>785</v>
      </c>
      <c r="AO54" s="6168">
        <v>176850027.84717441</v>
      </c>
      <c r="AP54" s="6168">
        <v>225286.65967792919</v>
      </c>
      <c r="AQ54" s="5317"/>
      <c r="AR54" s="6168">
        <f>SUM(AR53,AR48,AR42)</f>
        <v>776</v>
      </c>
      <c r="AS54" s="6168">
        <f>SUM(AS53,AS48,AS42)</f>
        <v>180208529.62622947</v>
      </c>
      <c r="AT54" s="6168">
        <f>AS54/AR54</f>
        <v>232227.48663173901</v>
      </c>
      <c r="AU54" s="5317"/>
      <c r="AV54" s="6168">
        <f>SUM(AV53,AV48,AV42)</f>
        <v>754</v>
      </c>
      <c r="AW54" s="6168">
        <f>SUM(AW53,AW48,AW42)</f>
        <v>181356421.42000002</v>
      </c>
      <c r="AX54" s="6168">
        <f>AW54/AV54</f>
        <v>240525.75785145891</v>
      </c>
      <c r="AZ54" s="6168">
        <v>725</v>
      </c>
      <c r="BA54" s="6168">
        <v>180464128.54000002</v>
      </c>
      <c r="BB54" s="6168">
        <v>248916.03936551712</v>
      </c>
    </row>
    <row r="55" spans="2:54" ht="15.6">
      <c r="B55" s="2376" t="s">
        <v>992</v>
      </c>
      <c r="D55" s="2377"/>
      <c r="E55" s="2377"/>
      <c r="F55" s="2377"/>
      <c r="G55" s="5317"/>
      <c r="H55" s="2377"/>
      <c r="I55" s="2377"/>
      <c r="J55" s="2377"/>
      <c r="K55" s="8"/>
      <c r="L55" s="2377"/>
      <c r="M55" s="2377"/>
      <c r="N55" s="2377"/>
      <c r="O55" s="5317"/>
      <c r="P55" s="2377"/>
      <c r="Q55" s="2377"/>
      <c r="R55" s="2377"/>
      <c r="S55" s="8"/>
      <c r="T55" s="2377">
        <v>1</v>
      </c>
      <c r="U55" s="2377">
        <v>115089.1</v>
      </c>
      <c r="V55" s="2377">
        <v>115089.1</v>
      </c>
      <c r="W55" s="25"/>
      <c r="X55" s="2377">
        <v>3</v>
      </c>
      <c r="Y55" s="2377">
        <v>319930.60000000003</v>
      </c>
      <c r="Z55" s="2377">
        <v>106643.53333333334</v>
      </c>
      <c r="AA55" s="8"/>
      <c r="AB55" s="2377">
        <v>3</v>
      </c>
      <c r="AC55" s="2377">
        <v>319930.60000000003</v>
      </c>
      <c r="AD55" s="2377">
        <v>106643.53333333334</v>
      </c>
      <c r="AE55" s="5917"/>
      <c r="AF55" s="2377">
        <v>3</v>
      </c>
      <c r="AG55" s="2377">
        <v>319930.60000000003</v>
      </c>
      <c r="AH55" s="2377">
        <v>106643.53333333334</v>
      </c>
      <c r="AI55" s="5317"/>
      <c r="AJ55" s="2377">
        <v>3</v>
      </c>
      <c r="AK55" s="2377">
        <v>373158.10000000003</v>
      </c>
      <c r="AL55" s="2377">
        <v>124386.03333333334</v>
      </c>
      <c r="AM55" s="5317"/>
      <c r="AN55" s="2373">
        <v>2</v>
      </c>
      <c r="AO55" s="2373">
        <v>206995.29999999888</v>
      </c>
      <c r="AP55" s="2373">
        <v>103497.64999999944</v>
      </c>
      <c r="AQ55" s="5317"/>
      <c r="AR55" s="2373">
        <v>3</v>
      </c>
      <c r="AS55" s="2373">
        <v>386061.10000000003</v>
      </c>
      <c r="AT55" s="2373">
        <v>128687.03333333334</v>
      </c>
      <c r="AU55" s="5317"/>
      <c r="AV55" s="6155">
        <v>2</v>
      </c>
      <c r="AW55" s="6155">
        <v>308877.69999999995</v>
      </c>
      <c r="AX55" s="2373">
        <v>128687.03333333334</v>
      </c>
      <c r="AZ55" s="6155">
        <v>1</v>
      </c>
      <c r="BA55" s="6155">
        <v>161733.9</v>
      </c>
      <c r="BB55" s="2373">
        <v>161733.9</v>
      </c>
    </row>
    <row r="56" spans="2:54" ht="15.6">
      <c r="B56" s="2371" t="s">
        <v>993</v>
      </c>
      <c r="D56" s="2373">
        <v>2</v>
      </c>
      <c r="E56" s="2373">
        <v>127471.6</v>
      </c>
      <c r="F56" s="2373">
        <v>63735.8</v>
      </c>
      <c r="G56" s="5317"/>
      <c r="H56" s="2373">
        <v>2</v>
      </c>
      <c r="I56" s="2373">
        <v>139067.9</v>
      </c>
      <c r="J56" s="2373">
        <v>69533.95</v>
      </c>
      <c r="K56" s="8"/>
      <c r="L56" s="2373">
        <v>2</v>
      </c>
      <c r="M56" s="2373">
        <v>154357.5</v>
      </c>
      <c r="N56" s="2373">
        <v>77178.75</v>
      </c>
      <c r="O56" s="5317"/>
      <c r="P56" s="2373">
        <v>3</v>
      </c>
      <c r="Q56" s="2373">
        <v>209687.5</v>
      </c>
      <c r="R56" s="2373">
        <v>69895.833333333328</v>
      </c>
      <c r="S56" s="8"/>
      <c r="T56" s="2373">
        <v>4</v>
      </c>
      <c r="U56" s="2373">
        <v>419140.10000000003</v>
      </c>
      <c r="V56" s="2373">
        <v>104785.02500000001</v>
      </c>
      <c r="W56" s="25"/>
      <c r="X56" s="2373">
        <v>4</v>
      </c>
      <c r="Y56" s="2373">
        <v>456336.10000000003</v>
      </c>
      <c r="Z56" s="2373">
        <v>114084.02500000001</v>
      </c>
      <c r="AA56" s="8"/>
      <c r="AB56" s="2373">
        <v>5</v>
      </c>
      <c r="AC56" s="2373">
        <v>544990</v>
      </c>
      <c r="AD56" s="2373">
        <v>108998</v>
      </c>
      <c r="AE56" s="5917"/>
      <c r="AF56" s="2373">
        <v>6</v>
      </c>
      <c r="AG56" s="2373">
        <v>634626.20000000007</v>
      </c>
      <c r="AH56" s="2373">
        <v>105771.03333333334</v>
      </c>
      <c r="AI56" s="5317"/>
      <c r="AJ56" s="2373">
        <v>6</v>
      </c>
      <c r="AK56" s="2373">
        <v>646284.20000000007</v>
      </c>
      <c r="AL56" s="2373">
        <v>107714.03333333334</v>
      </c>
      <c r="AM56" s="5317"/>
      <c r="AN56" s="2373">
        <v>7</v>
      </c>
      <c r="AO56" s="2373">
        <v>691704.39999999874</v>
      </c>
      <c r="AP56" s="2373">
        <v>98814.914285714112</v>
      </c>
      <c r="AQ56" s="5317"/>
      <c r="AR56" s="2373">
        <v>6</v>
      </c>
      <c r="AS56" s="2373">
        <v>722738.1</v>
      </c>
      <c r="AT56" s="2373">
        <v>120456.34999999999</v>
      </c>
      <c r="AU56" s="5317"/>
      <c r="AV56" s="6155">
        <v>8</v>
      </c>
      <c r="AW56" s="6155">
        <v>917788</v>
      </c>
      <c r="AX56" s="2373">
        <v>120456.34999999999</v>
      </c>
      <c r="AZ56" s="6155">
        <v>8</v>
      </c>
      <c r="BA56" s="6155">
        <v>992291.2</v>
      </c>
      <c r="BB56" s="2373">
        <v>124036.4</v>
      </c>
    </row>
    <row r="57" spans="2:54" ht="28.8">
      <c r="B57" s="2374" t="s">
        <v>1890</v>
      </c>
      <c r="D57" s="2373"/>
      <c r="E57" s="2373"/>
      <c r="F57" s="2373"/>
      <c r="G57" s="5317"/>
      <c r="H57" s="2373"/>
      <c r="I57" s="2373"/>
      <c r="J57" s="2373"/>
      <c r="K57" s="8"/>
      <c r="L57" s="2373"/>
      <c r="M57" s="2373"/>
      <c r="N57" s="2373"/>
      <c r="O57" s="5317"/>
      <c r="P57" s="2373"/>
      <c r="Q57" s="2373"/>
      <c r="R57" s="2373"/>
      <c r="S57" s="8"/>
      <c r="T57" s="2373"/>
      <c r="U57" s="2373"/>
      <c r="V57" s="2373"/>
      <c r="W57" s="25"/>
      <c r="X57" s="2373">
        <v>1</v>
      </c>
      <c r="Y57" s="2373">
        <v>40012</v>
      </c>
      <c r="Z57" s="2373">
        <v>40012</v>
      </c>
      <c r="AA57" s="8"/>
      <c r="AB57" s="2373">
        <v>2</v>
      </c>
      <c r="AC57" s="2373">
        <v>120545.7</v>
      </c>
      <c r="AD57" s="2373">
        <v>60272.85</v>
      </c>
      <c r="AE57" s="5917"/>
      <c r="AF57" s="2373">
        <v>3</v>
      </c>
      <c r="AG57" s="2373">
        <v>214278.7</v>
      </c>
      <c r="AH57" s="2373">
        <v>71426.233333333337</v>
      </c>
      <c r="AI57" s="5317"/>
      <c r="AJ57" s="2373">
        <v>4</v>
      </c>
      <c r="AK57" s="2373">
        <v>268015.2</v>
      </c>
      <c r="AL57" s="2373">
        <v>67003.8</v>
      </c>
      <c r="AM57" s="5317"/>
      <c r="AN57" s="2373">
        <v>4</v>
      </c>
      <c r="AO57" s="2373">
        <v>400041.19999999984</v>
      </c>
      <c r="AP57" s="2373">
        <v>100010.29999999996</v>
      </c>
      <c r="AQ57" s="5317"/>
      <c r="AR57" s="2373">
        <v>4</v>
      </c>
      <c r="AS57" s="2373">
        <v>400041.19999999995</v>
      </c>
      <c r="AT57" s="2373">
        <v>100010.29999999999</v>
      </c>
      <c r="AU57" s="5317"/>
      <c r="AV57" s="6155">
        <v>3</v>
      </c>
      <c r="AW57" s="6155">
        <v>358366.6</v>
      </c>
      <c r="AX57" s="2373">
        <v>100010.29999999999</v>
      </c>
      <c r="AZ57" s="6155">
        <v>3</v>
      </c>
      <c r="BA57" s="6155">
        <v>370771.6</v>
      </c>
      <c r="BB57" s="2373">
        <v>123590.53333333333</v>
      </c>
    </row>
    <row r="58" spans="2:54" ht="15.6">
      <c r="B58" s="6159" t="s">
        <v>482</v>
      </c>
      <c r="D58" s="6160">
        <f>SUM(D56)</f>
        <v>2</v>
      </c>
      <c r="E58" s="6160">
        <f>SUM(E56)</f>
        <v>127471.6</v>
      </c>
      <c r="F58" s="6160">
        <f t="shared" si="0"/>
        <v>63735.8</v>
      </c>
      <c r="G58" s="5317"/>
      <c r="H58" s="6160">
        <f>SUM(H56)</f>
        <v>2</v>
      </c>
      <c r="I58" s="6160">
        <f>SUM(I56)</f>
        <v>139067.9</v>
      </c>
      <c r="J58" s="6160">
        <f>+I58/H58</f>
        <v>69533.95</v>
      </c>
      <c r="K58" s="8"/>
      <c r="L58" s="6160">
        <f>SUM(L56)</f>
        <v>2</v>
      </c>
      <c r="M58" s="6160">
        <f>SUM(M56)</f>
        <v>154357.5</v>
      </c>
      <c r="N58" s="6160">
        <f>+M58/L58</f>
        <v>77178.75</v>
      </c>
      <c r="O58" s="5317"/>
      <c r="P58" s="6160">
        <f>SUM(P56)</f>
        <v>3</v>
      </c>
      <c r="Q58" s="6160">
        <f>SUM(Q56)</f>
        <v>209687.5</v>
      </c>
      <c r="R58" s="6160">
        <f>+Q58/P58</f>
        <v>69895.833333333328</v>
      </c>
      <c r="S58" s="8"/>
      <c r="T58" s="6160">
        <v>5</v>
      </c>
      <c r="U58" s="6160">
        <v>534229.20000000007</v>
      </c>
      <c r="V58" s="6160">
        <v>106845.84000000001</v>
      </c>
      <c r="W58" s="25"/>
      <c r="X58" s="6160">
        <v>8</v>
      </c>
      <c r="Y58" s="6160">
        <v>816278.70000000007</v>
      </c>
      <c r="Z58" s="6160">
        <v>102034.83750000001</v>
      </c>
      <c r="AA58" s="8"/>
      <c r="AB58" s="6160">
        <v>10</v>
      </c>
      <c r="AC58" s="6160">
        <v>985466.3</v>
      </c>
      <c r="AD58" s="6160">
        <v>98546.63</v>
      </c>
      <c r="AE58" s="5917"/>
      <c r="AF58" s="6160">
        <v>12</v>
      </c>
      <c r="AG58" s="6160">
        <v>1168835.5</v>
      </c>
      <c r="AH58" s="6160">
        <v>97402.958333333328</v>
      </c>
      <c r="AI58" s="5317"/>
      <c r="AJ58" s="6160">
        <v>13</v>
      </c>
      <c r="AK58" s="6160">
        <v>1287457.5</v>
      </c>
      <c r="AL58" s="6160">
        <v>99035.192307692312</v>
      </c>
      <c r="AM58" s="5317"/>
      <c r="AN58" s="6160">
        <v>13</v>
      </c>
      <c r="AO58" s="6160">
        <v>1298740.8999999976</v>
      </c>
      <c r="AP58" s="6160">
        <v>99903.14615384597</v>
      </c>
      <c r="AQ58" s="5317"/>
      <c r="AR58" s="6160">
        <f>SUM(AR55:AR57)</f>
        <v>13</v>
      </c>
      <c r="AS58" s="6160">
        <f>SUM(AS55:AS57)</f>
        <v>1508840.4</v>
      </c>
      <c r="AT58" s="6160">
        <f>AS58/AR58</f>
        <v>116064.64615384614</v>
      </c>
      <c r="AU58" s="5317"/>
      <c r="AV58" s="6160">
        <f>SUM(AV55:AV57)</f>
        <v>13</v>
      </c>
      <c r="AW58" s="6160">
        <f>SUM(AW55:AW57)</f>
        <v>1585032.2999999998</v>
      </c>
      <c r="AX58" s="6160">
        <f>AW58/AV58</f>
        <v>121925.56153846152</v>
      </c>
      <c r="AZ58" s="6160">
        <v>12</v>
      </c>
      <c r="BA58" s="6160">
        <v>1524796.6999999997</v>
      </c>
      <c r="BB58" s="6160">
        <v>127066.39166666668</v>
      </c>
    </row>
    <row r="59" spans="2:54" ht="15.6">
      <c r="B59" s="2371" t="s">
        <v>995</v>
      </c>
      <c r="D59" s="2373">
        <v>2</v>
      </c>
      <c r="E59" s="2373">
        <v>449666.35</v>
      </c>
      <c r="F59" s="2373">
        <v>224833.17499999999</v>
      </c>
      <c r="G59" s="5317"/>
      <c r="H59" s="2373">
        <v>2</v>
      </c>
      <c r="I59" s="2373">
        <v>449666.35</v>
      </c>
      <c r="J59" s="2373">
        <v>224833.17499999999</v>
      </c>
      <c r="K59" s="8"/>
      <c r="L59" s="2373">
        <v>2</v>
      </c>
      <c r="M59" s="2373">
        <v>449666.35</v>
      </c>
      <c r="N59" s="2373">
        <v>224833.17499999999</v>
      </c>
      <c r="O59" s="5317"/>
      <c r="P59" s="2373">
        <v>5</v>
      </c>
      <c r="Q59" s="2373">
        <v>606671.65</v>
      </c>
      <c r="R59" s="2373">
        <v>121334.33</v>
      </c>
      <c r="S59" s="8"/>
      <c r="T59" s="2373">
        <v>4</v>
      </c>
      <c r="U59" s="2373">
        <v>499267.65</v>
      </c>
      <c r="V59" s="2373">
        <v>124816.91250000001</v>
      </c>
      <c r="W59" s="25"/>
      <c r="X59" s="2373">
        <v>4</v>
      </c>
      <c r="Y59" s="2373">
        <v>522547.35</v>
      </c>
      <c r="Z59" s="2373">
        <v>130636.83749999999</v>
      </c>
      <c r="AA59" s="8"/>
      <c r="AB59" s="2373">
        <v>6</v>
      </c>
      <c r="AC59" s="2373">
        <v>793801.75000000012</v>
      </c>
      <c r="AD59" s="2373">
        <v>132300.29166666669</v>
      </c>
      <c r="AE59" s="5917"/>
      <c r="AF59" s="2373">
        <v>9</v>
      </c>
      <c r="AG59" s="2373">
        <v>1100936.45</v>
      </c>
      <c r="AH59" s="2373">
        <v>122326.27222222222</v>
      </c>
      <c r="AI59" s="5317"/>
      <c r="AJ59" s="2373">
        <v>10</v>
      </c>
      <c r="AK59" s="2373">
        <v>1250633.8500000001</v>
      </c>
      <c r="AL59" s="2373">
        <v>125063.38500000001</v>
      </c>
      <c r="AM59" s="5317"/>
      <c r="AN59" s="2373">
        <v>10</v>
      </c>
      <c r="AO59" s="2373">
        <v>1287576.1499999997</v>
      </c>
      <c r="AP59" s="2373">
        <v>128757.61499999996</v>
      </c>
      <c r="AQ59" s="5317"/>
      <c r="AR59" s="2373">
        <v>10</v>
      </c>
      <c r="AS59" s="2373">
        <v>1565896.85</v>
      </c>
      <c r="AT59" s="2373">
        <v>156589.685</v>
      </c>
      <c r="AU59" s="5317"/>
      <c r="AV59" s="6155">
        <v>10</v>
      </c>
      <c r="AW59" s="6155">
        <v>1689692.75</v>
      </c>
      <c r="AX59" s="2373">
        <v>156589.685</v>
      </c>
      <c r="AZ59" s="6155">
        <v>10</v>
      </c>
      <c r="BA59" s="6155">
        <v>1864375.05</v>
      </c>
      <c r="BB59" s="2373">
        <v>186437.505</v>
      </c>
    </row>
    <row r="60" spans="2:54" ht="15.6">
      <c r="B60" s="2371" t="s">
        <v>996</v>
      </c>
      <c r="D60" s="2373">
        <v>1</v>
      </c>
      <c r="E60" s="2373">
        <v>103378.25</v>
      </c>
      <c r="F60" s="2373">
        <v>103378.25</v>
      </c>
      <c r="G60" s="5317"/>
      <c r="H60" s="2373">
        <v>1</v>
      </c>
      <c r="I60" s="2373">
        <v>114910.75</v>
      </c>
      <c r="J60" s="2373">
        <v>114910.75</v>
      </c>
      <c r="K60" s="8"/>
      <c r="L60" s="2373">
        <v>1</v>
      </c>
      <c r="M60" s="2373">
        <v>114910.75</v>
      </c>
      <c r="N60" s="2373">
        <v>114910.75</v>
      </c>
      <c r="O60" s="5317"/>
      <c r="P60" s="2373">
        <v>1</v>
      </c>
      <c r="Q60" s="2373">
        <v>138253.15</v>
      </c>
      <c r="R60" s="2373">
        <v>138253.15</v>
      </c>
      <c r="S60" s="8"/>
      <c r="T60" s="2373">
        <v>1</v>
      </c>
      <c r="U60" s="2373">
        <v>138253.15</v>
      </c>
      <c r="V60" s="2373">
        <v>138253.15</v>
      </c>
      <c r="W60" s="25"/>
      <c r="X60" s="2373">
        <v>1</v>
      </c>
      <c r="Y60" s="2373">
        <v>146460.65</v>
      </c>
      <c r="Z60" s="2373">
        <v>146460.65</v>
      </c>
      <c r="AA60" s="8"/>
      <c r="AB60" s="2373">
        <v>2</v>
      </c>
      <c r="AC60" s="2373">
        <v>252306.15</v>
      </c>
      <c r="AD60" s="2373">
        <v>126153.075</v>
      </c>
      <c r="AE60" s="5917"/>
      <c r="AF60" s="2373">
        <v>4</v>
      </c>
      <c r="AG60" s="2373">
        <v>508961.45</v>
      </c>
      <c r="AH60" s="2373">
        <v>127240.3625</v>
      </c>
      <c r="AI60" s="5317"/>
      <c r="AJ60" s="2373">
        <v>4</v>
      </c>
      <c r="AK60" s="2373">
        <v>541159.15</v>
      </c>
      <c r="AL60" s="2373">
        <v>135289.78750000001</v>
      </c>
      <c r="AM60" s="5317"/>
      <c r="AN60" s="2373">
        <v>5</v>
      </c>
      <c r="AO60" s="2373">
        <v>835715.74999999895</v>
      </c>
      <c r="AP60" s="2373">
        <v>167143.14999999979</v>
      </c>
      <c r="AQ60" s="5317"/>
      <c r="AR60" s="2373">
        <v>5</v>
      </c>
      <c r="AS60" s="2373">
        <v>1184030.3</v>
      </c>
      <c r="AT60" s="2373">
        <v>236806.06</v>
      </c>
      <c r="AU60" s="5317"/>
      <c r="AV60" s="6155">
        <v>5</v>
      </c>
      <c r="AW60" s="6155">
        <v>1441780.9</v>
      </c>
      <c r="AX60" s="2373">
        <v>236806.06</v>
      </c>
      <c r="AZ60" s="6155">
        <v>5</v>
      </c>
      <c r="BA60" s="6155">
        <v>1506907.3</v>
      </c>
      <c r="BB60" s="2373">
        <v>301381.46000000002</v>
      </c>
    </row>
    <row r="61" spans="2:54" ht="15.6">
      <c r="B61" s="2371" t="s">
        <v>987</v>
      </c>
      <c r="D61" s="2373"/>
      <c r="E61" s="2373"/>
      <c r="F61" s="2373"/>
      <c r="G61" s="5317"/>
      <c r="H61" s="2373"/>
      <c r="I61" s="2373"/>
      <c r="J61" s="2373"/>
      <c r="K61" s="8"/>
      <c r="L61" s="2373"/>
      <c r="M61" s="2373"/>
      <c r="N61" s="2373"/>
      <c r="O61" s="5317"/>
      <c r="P61" s="2373"/>
      <c r="Q61" s="2373"/>
      <c r="R61" s="2373"/>
      <c r="S61" s="8"/>
      <c r="T61" s="2373">
        <v>1</v>
      </c>
      <c r="U61" s="2373">
        <v>56272.1</v>
      </c>
      <c r="V61" s="2373">
        <v>56272.1</v>
      </c>
      <c r="W61" s="25"/>
      <c r="X61" s="2373">
        <v>1</v>
      </c>
      <c r="Y61" s="2373">
        <v>56272.1</v>
      </c>
      <c r="Z61" s="2373">
        <v>56272.1</v>
      </c>
      <c r="AA61" s="8"/>
      <c r="AB61" s="2373">
        <v>3</v>
      </c>
      <c r="AC61" s="2373">
        <v>265677.3</v>
      </c>
      <c r="AD61" s="2373">
        <v>88559.099999999991</v>
      </c>
      <c r="AE61" s="5917"/>
      <c r="AF61" s="2373">
        <v>3</v>
      </c>
      <c r="AG61" s="2373">
        <v>289077.5</v>
      </c>
      <c r="AH61" s="2373">
        <v>96359.166666666672</v>
      </c>
      <c r="AI61" s="5317"/>
      <c r="AJ61" s="2373">
        <v>4</v>
      </c>
      <c r="AK61" s="2373">
        <v>347452.3</v>
      </c>
      <c r="AL61" s="2373">
        <v>86863.074999999997</v>
      </c>
      <c r="AM61" s="5317"/>
      <c r="AN61" s="2373">
        <v>4</v>
      </c>
      <c r="AO61" s="2373">
        <v>407317.8</v>
      </c>
      <c r="AP61" s="2373">
        <v>101829.45</v>
      </c>
      <c r="AQ61" s="5317"/>
      <c r="AR61" s="2373">
        <v>4</v>
      </c>
      <c r="AS61" s="2373">
        <v>417237.05</v>
      </c>
      <c r="AT61" s="2373">
        <v>104309.2625</v>
      </c>
      <c r="AU61" s="5317"/>
      <c r="AV61" s="6155">
        <v>4</v>
      </c>
      <c r="AW61" s="6155">
        <v>435912.35</v>
      </c>
      <c r="AX61" s="2373">
        <v>104309.2625</v>
      </c>
      <c r="AZ61" s="6155">
        <v>4</v>
      </c>
      <c r="BA61" s="6155">
        <v>435912.35</v>
      </c>
      <c r="BB61" s="2373">
        <v>108978.08749999999</v>
      </c>
    </row>
    <row r="62" spans="2:54" ht="15.6">
      <c r="B62" s="6159" t="s">
        <v>485</v>
      </c>
      <c r="D62" s="6160">
        <f>SUM(D59:D60)</f>
        <v>3</v>
      </c>
      <c r="E62" s="6160">
        <f>SUM(E59:E60)</f>
        <v>553044.6</v>
      </c>
      <c r="F62" s="6160">
        <f>+E62/D62</f>
        <v>184348.19999999998</v>
      </c>
      <c r="G62" s="5317"/>
      <c r="H62" s="6160">
        <f>SUM(H59:H60)</f>
        <v>3</v>
      </c>
      <c r="I62" s="6160">
        <f>SUM(I59:I60)</f>
        <v>564577.1</v>
      </c>
      <c r="J62" s="6160">
        <f>+I62/H62</f>
        <v>188192.36666666667</v>
      </c>
      <c r="K62" s="8"/>
      <c r="L62" s="6160">
        <f>SUM(L59:L60)</f>
        <v>3</v>
      </c>
      <c r="M62" s="6160">
        <f>SUM(M59:M60)</f>
        <v>564577.1</v>
      </c>
      <c r="N62" s="6160">
        <f>+M62/L62</f>
        <v>188192.36666666667</v>
      </c>
      <c r="O62" s="5317"/>
      <c r="P62" s="6160">
        <f>SUM(P59:P60)</f>
        <v>6</v>
      </c>
      <c r="Q62" s="6160">
        <f>SUM(Q59:Q60)</f>
        <v>744924.8</v>
      </c>
      <c r="R62" s="6160">
        <f>+Q62/P62</f>
        <v>124154.13333333335</v>
      </c>
      <c r="S62" s="8"/>
      <c r="T62" s="6160">
        <v>6</v>
      </c>
      <c r="U62" s="6160">
        <v>693792.9</v>
      </c>
      <c r="V62" s="6160">
        <v>115632.15000000001</v>
      </c>
      <c r="W62" s="25"/>
      <c r="X62" s="6160">
        <v>6</v>
      </c>
      <c r="Y62" s="6160">
        <v>725280.1</v>
      </c>
      <c r="Z62" s="6160">
        <v>120880.01666666666</v>
      </c>
      <c r="AA62" s="8"/>
      <c r="AB62" s="6160">
        <v>11</v>
      </c>
      <c r="AC62" s="6160">
        <v>1311785.2000000002</v>
      </c>
      <c r="AD62" s="6160">
        <v>119253.20000000001</v>
      </c>
      <c r="AE62" s="5917"/>
      <c r="AF62" s="6160">
        <v>16</v>
      </c>
      <c r="AG62" s="6160">
        <v>1898975.4</v>
      </c>
      <c r="AH62" s="6160">
        <v>118685.96249999999</v>
      </c>
      <c r="AI62" s="5317"/>
      <c r="AJ62" s="6160">
        <v>18</v>
      </c>
      <c r="AK62" s="6160">
        <v>2139245.2999999998</v>
      </c>
      <c r="AL62" s="6160">
        <v>118846.9611111111</v>
      </c>
      <c r="AM62" s="5317"/>
      <c r="AN62" s="6160">
        <v>19</v>
      </c>
      <c r="AO62" s="6160">
        <v>2530609.6999999983</v>
      </c>
      <c r="AP62" s="6160">
        <v>133189.98421052622</v>
      </c>
      <c r="AQ62" s="5317"/>
      <c r="AR62" s="6160">
        <f>SUM(AR59:AR61)</f>
        <v>19</v>
      </c>
      <c r="AS62" s="6160">
        <f>SUM(AS59:AS61)</f>
        <v>3167164.2</v>
      </c>
      <c r="AT62" s="6160">
        <f>AS62/AR62</f>
        <v>166692.85263157895</v>
      </c>
      <c r="AU62" s="5317"/>
      <c r="AV62" s="6160">
        <f>SUM(AV59:AV61)</f>
        <v>19</v>
      </c>
      <c r="AW62" s="6160">
        <f>SUM(AW59:AW61)</f>
        <v>3567386</v>
      </c>
      <c r="AX62" s="6160">
        <f>AW62/AV62</f>
        <v>187757.15789473685</v>
      </c>
      <c r="AZ62" s="6160">
        <v>19</v>
      </c>
      <c r="BA62" s="6160">
        <v>3807194.7</v>
      </c>
      <c r="BB62" s="6160">
        <v>200378.66842105263</v>
      </c>
    </row>
    <row r="63" spans="2:54" ht="15.6">
      <c r="B63" s="1590" t="s">
        <v>997</v>
      </c>
      <c r="D63" s="1590"/>
      <c r="E63" s="1590"/>
      <c r="F63" s="1590"/>
      <c r="G63" s="5317"/>
      <c r="H63" s="1590"/>
      <c r="I63" s="1590"/>
      <c r="J63" s="1590"/>
      <c r="K63" s="8"/>
      <c r="L63" s="1590"/>
      <c r="M63" s="1590"/>
      <c r="N63" s="1590"/>
      <c r="O63" s="5317"/>
      <c r="P63" s="1590"/>
      <c r="Q63" s="1590"/>
      <c r="R63" s="1590"/>
      <c r="S63" s="8"/>
      <c r="T63" s="1590"/>
      <c r="U63" s="1590"/>
      <c r="V63" s="1590"/>
      <c r="W63" s="25"/>
      <c r="X63" s="1590">
        <v>3</v>
      </c>
      <c r="Y63" s="1590">
        <v>201046.59999999998</v>
      </c>
      <c r="Z63" s="1590">
        <v>67015.533333333326</v>
      </c>
      <c r="AA63" s="8"/>
      <c r="AB63" s="1590">
        <v>5</v>
      </c>
      <c r="AC63" s="1590">
        <v>370079.69999999995</v>
      </c>
      <c r="AD63" s="1590">
        <v>74015.939999999988</v>
      </c>
      <c r="AE63" s="5917"/>
      <c r="AF63" s="1590">
        <v>5</v>
      </c>
      <c r="AG63" s="1590">
        <v>402054.5</v>
      </c>
      <c r="AH63" s="1590">
        <v>80410.899999999994</v>
      </c>
      <c r="AI63" s="5317"/>
      <c r="AJ63" s="1590">
        <v>6</v>
      </c>
      <c r="AK63" s="1590">
        <v>532833</v>
      </c>
      <c r="AL63" s="1590">
        <v>88805.5</v>
      </c>
      <c r="AM63" s="5317"/>
      <c r="AN63" s="4173">
        <v>10</v>
      </c>
      <c r="AO63" s="4173">
        <v>881583.99999999884</v>
      </c>
      <c r="AP63" s="4173">
        <v>88158.399999999878</v>
      </c>
      <c r="AQ63" s="5317"/>
      <c r="AR63" s="4173">
        <v>10</v>
      </c>
      <c r="AS63" s="2373">
        <v>943702.39999999991</v>
      </c>
      <c r="AT63" s="2373">
        <v>94370.239999999991</v>
      </c>
      <c r="AU63" s="5317"/>
      <c r="AV63" s="6156">
        <v>9</v>
      </c>
      <c r="AW63" s="6155">
        <v>906533.6</v>
      </c>
      <c r="AX63" s="2373">
        <v>94370.239999999991</v>
      </c>
      <c r="AZ63" s="6156">
        <v>9</v>
      </c>
      <c r="BA63" s="6155">
        <v>1036207.2</v>
      </c>
      <c r="BB63" s="2373">
        <v>115134.13333333333</v>
      </c>
    </row>
    <row r="64" spans="2:54" ht="15.6">
      <c r="B64" s="1590" t="s">
        <v>998</v>
      </c>
      <c r="D64" s="1590"/>
      <c r="E64" s="1590"/>
      <c r="F64" s="1590"/>
      <c r="G64" s="5317"/>
      <c r="H64" s="1590"/>
      <c r="I64" s="1590"/>
      <c r="J64" s="1590"/>
      <c r="K64" s="8"/>
      <c r="L64" s="1590"/>
      <c r="M64" s="1590"/>
      <c r="N64" s="1590"/>
      <c r="O64" s="5317"/>
      <c r="P64" s="1590"/>
      <c r="Q64" s="1590"/>
      <c r="R64" s="1590"/>
      <c r="S64" s="8"/>
      <c r="T64" s="1590"/>
      <c r="U64" s="1590"/>
      <c r="V64" s="1590"/>
      <c r="W64" s="25"/>
      <c r="X64" s="1590"/>
      <c r="Y64" s="1590"/>
      <c r="Z64" s="1590"/>
      <c r="AA64" s="8"/>
      <c r="AB64" s="1590"/>
      <c r="AC64" s="1590"/>
      <c r="AD64" s="1590"/>
      <c r="AE64" s="5917"/>
      <c r="AF64" s="1590">
        <v>2</v>
      </c>
      <c r="AG64" s="1590">
        <v>144584.4</v>
      </c>
      <c r="AH64" s="1590">
        <v>72292.2</v>
      </c>
      <c r="AI64" s="5317"/>
      <c r="AJ64" s="1590">
        <v>2</v>
      </c>
      <c r="AK64" s="1590">
        <v>161267.4</v>
      </c>
      <c r="AL64" s="1590">
        <v>80633.7</v>
      </c>
      <c r="AM64" s="5317"/>
      <c r="AN64" s="4173">
        <v>4</v>
      </c>
      <c r="AO64" s="4173">
        <v>291166.42499999993</v>
      </c>
      <c r="AP64" s="4173">
        <v>72791.606249999983</v>
      </c>
      <c r="AQ64" s="5317"/>
      <c r="AR64" s="4173">
        <v>4</v>
      </c>
      <c r="AS64" s="2373">
        <v>333177.42499999999</v>
      </c>
      <c r="AT64" s="2373">
        <v>83294.356249999997</v>
      </c>
      <c r="AU64" s="5317"/>
      <c r="AV64" s="6156">
        <v>4</v>
      </c>
      <c r="AW64" s="6155">
        <v>428161.33</v>
      </c>
      <c r="AX64" s="2373">
        <v>83294.356249999997</v>
      </c>
      <c r="AZ64" s="6156">
        <v>4</v>
      </c>
      <c r="BA64" s="6155">
        <v>502791.13</v>
      </c>
      <c r="BB64" s="2373">
        <v>125697.7825</v>
      </c>
    </row>
    <row r="65" spans="2:54" ht="15.6">
      <c r="B65" s="2371" t="s">
        <v>999</v>
      </c>
      <c r="D65" s="2373">
        <v>1</v>
      </c>
      <c r="E65" s="2373">
        <v>256056.9</v>
      </c>
      <c r="F65" s="2373">
        <v>256056.9</v>
      </c>
      <c r="G65" s="5317"/>
      <c r="H65" s="2373">
        <v>1</v>
      </c>
      <c r="I65" s="2373">
        <v>280030.40000000002</v>
      </c>
      <c r="J65" s="2373">
        <v>280030.40000000002</v>
      </c>
      <c r="K65" s="8"/>
      <c r="L65" s="2373">
        <v>1</v>
      </c>
      <c r="M65" s="2373">
        <v>300526.90000000002</v>
      </c>
      <c r="N65" s="2373">
        <v>300526.90000000002</v>
      </c>
      <c r="O65" s="5317"/>
      <c r="P65" s="2373">
        <v>1</v>
      </c>
      <c r="Q65" s="2373">
        <v>318797.40000000002</v>
      </c>
      <c r="R65" s="2373">
        <v>318797.40000000002</v>
      </c>
      <c r="S65" s="8"/>
      <c r="T65" s="2373">
        <v>3</v>
      </c>
      <c r="U65" s="2373">
        <v>401010.9</v>
      </c>
      <c r="V65" s="2373">
        <v>133670.30000000002</v>
      </c>
      <c r="W65" s="25"/>
      <c r="X65" s="2373">
        <v>5</v>
      </c>
      <c r="Y65" s="2373">
        <v>500027.6</v>
      </c>
      <c r="Z65" s="2373">
        <v>100005.51999999999</v>
      </c>
      <c r="AA65" s="8"/>
      <c r="AB65" s="2373">
        <v>10</v>
      </c>
      <c r="AC65" s="2373">
        <v>888657.10000000009</v>
      </c>
      <c r="AD65" s="2373">
        <v>88865.71</v>
      </c>
      <c r="AE65" s="5917"/>
      <c r="AF65" s="2373">
        <v>11</v>
      </c>
      <c r="AG65" s="2373">
        <v>1039987.1000000001</v>
      </c>
      <c r="AH65" s="2373">
        <v>94544.281818181829</v>
      </c>
      <c r="AI65" s="5317"/>
      <c r="AJ65" s="2373">
        <v>11</v>
      </c>
      <c r="AK65" s="2373">
        <v>1083411.1000000001</v>
      </c>
      <c r="AL65" s="2373">
        <v>98491.918181818197</v>
      </c>
      <c r="AM65" s="5317"/>
      <c r="AN65" s="2373">
        <v>11</v>
      </c>
      <c r="AO65" s="2373">
        <v>1125602.0999999985</v>
      </c>
      <c r="AP65" s="2373">
        <v>102327.46363636349</v>
      </c>
      <c r="AQ65" s="5317"/>
      <c r="AR65" s="2373">
        <v>11</v>
      </c>
      <c r="AS65" s="2373">
        <v>1271926.8999999999</v>
      </c>
      <c r="AT65" s="2373">
        <v>115629.71818181817</v>
      </c>
      <c r="AU65" s="5317"/>
      <c r="AV65" s="6155">
        <v>11</v>
      </c>
      <c r="AW65" s="6155">
        <v>1503744.8000000003</v>
      </c>
      <c r="AX65" s="2373">
        <v>115629.71818181817</v>
      </c>
      <c r="AZ65" s="6155">
        <v>12</v>
      </c>
      <c r="BA65" s="6155">
        <v>1769292.7999999998</v>
      </c>
      <c r="BB65" s="2373">
        <v>147441.06666666665</v>
      </c>
    </row>
    <row r="66" spans="2:54" ht="15.6">
      <c r="B66" s="6159" t="s">
        <v>483</v>
      </c>
      <c r="D66" s="6160">
        <f>SUM(D65)</f>
        <v>1</v>
      </c>
      <c r="E66" s="6160">
        <f>SUM(E65)</f>
        <v>256056.9</v>
      </c>
      <c r="F66" s="6160">
        <f>+E66/D66</f>
        <v>256056.9</v>
      </c>
      <c r="G66" s="5317"/>
      <c r="H66" s="6160">
        <f>SUM(H65)</f>
        <v>1</v>
      </c>
      <c r="I66" s="6160">
        <f>SUM(I65)</f>
        <v>280030.40000000002</v>
      </c>
      <c r="J66" s="6160">
        <f>+I66/H66</f>
        <v>280030.40000000002</v>
      </c>
      <c r="K66" s="8"/>
      <c r="L66" s="6160">
        <f>SUM(L65)</f>
        <v>1</v>
      </c>
      <c r="M66" s="6160">
        <f>SUM(M65)</f>
        <v>300526.90000000002</v>
      </c>
      <c r="N66" s="6160">
        <f>+M66/L66</f>
        <v>300526.90000000002</v>
      </c>
      <c r="O66" s="5317"/>
      <c r="P66" s="6160">
        <f>SUM(P65)</f>
        <v>1</v>
      </c>
      <c r="Q66" s="6160">
        <f>SUM(Q65)</f>
        <v>318797.40000000002</v>
      </c>
      <c r="R66" s="6160">
        <f>+Q66/P66</f>
        <v>318797.40000000002</v>
      </c>
      <c r="S66" s="8"/>
      <c r="T66" s="6160">
        <v>3</v>
      </c>
      <c r="U66" s="6160">
        <v>401010.9</v>
      </c>
      <c r="V66" s="6160">
        <v>133670.30000000002</v>
      </c>
      <c r="W66" s="25"/>
      <c r="X66" s="6160">
        <v>8</v>
      </c>
      <c r="Y66" s="6160">
        <v>701074.2</v>
      </c>
      <c r="Z66" s="6160">
        <v>87634.274999999994</v>
      </c>
      <c r="AA66" s="8"/>
      <c r="AB66" s="6160">
        <v>15</v>
      </c>
      <c r="AC66" s="6160">
        <v>1258736.8</v>
      </c>
      <c r="AD66" s="6160">
        <v>83915.786666666667</v>
      </c>
      <c r="AE66" s="5917"/>
      <c r="AF66" s="6160">
        <v>18</v>
      </c>
      <c r="AG66" s="6160">
        <v>1586626</v>
      </c>
      <c r="AH66" s="6160">
        <v>88145.888888888891</v>
      </c>
      <c r="AI66" s="5317"/>
      <c r="AJ66" s="6160">
        <v>19</v>
      </c>
      <c r="AK66" s="6160">
        <v>1777511.5</v>
      </c>
      <c r="AL66" s="6160">
        <v>93553.236842105267</v>
      </c>
      <c r="AM66" s="5317"/>
      <c r="AN66" s="6160">
        <v>25</v>
      </c>
      <c r="AO66" s="6160">
        <v>2298352.5249999976</v>
      </c>
      <c r="AP66" s="6160">
        <v>91934.100999999908</v>
      </c>
      <c r="AQ66" s="5317"/>
      <c r="AR66" s="6160">
        <f>SUM(AR63:AR65)</f>
        <v>25</v>
      </c>
      <c r="AS66" s="6160">
        <f>SUM(AS63:AS65)</f>
        <v>2548806.7249999996</v>
      </c>
      <c r="AT66" s="6160">
        <f>AS66/AR66</f>
        <v>101952.26899999999</v>
      </c>
      <c r="AU66" s="5317"/>
      <c r="AV66" s="6160">
        <f>SUM(AV63:AV65)</f>
        <v>24</v>
      </c>
      <c r="AW66" s="6160">
        <f>SUM(AW63:AW65)</f>
        <v>2838439.7300000004</v>
      </c>
      <c r="AX66" s="6160">
        <f>AW66/AV66</f>
        <v>118268.32208333335</v>
      </c>
      <c r="AZ66" s="6160">
        <v>25</v>
      </c>
      <c r="BA66" s="6160">
        <v>3308291.13</v>
      </c>
      <c r="BB66" s="6160">
        <v>132331.64519999997</v>
      </c>
    </row>
    <row r="67" spans="2:54" ht="15.6">
      <c r="B67" s="6165" t="s">
        <v>1017</v>
      </c>
      <c r="D67" s="6166">
        <f>SUM(D66,D62,D58)</f>
        <v>6</v>
      </c>
      <c r="E67" s="6166">
        <f>SUM(E66,E62,E58)</f>
        <v>936573.1</v>
      </c>
      <c r="F67" s="6166">
        <f>+E67/D67</f>
        <v>156095.51666666666</v>
      </c>
      <c r="G67" s="5317"/>
      <c r="H67" s="6166">
        <f>SUM(H66,H62,H58)</f>
        <v>6</v>
      </c>
      <c r="I67" s="6166">
        <f>SUM(I66,I62,I58)</f>
        <v>983675.4</v>
      </c>
      <c r="J67" s="6166">
        <f>+I67/H67</f>
        <v>163945.9</v>
      </c>
      <c r="K67" s="8"/>
      <c r="L67" s="6166">
        <f>SUM(L66,L62,L58)</f>
        <v>6</v>
      </c>
      <c r="M67" s="6166">
        <f>SUM(M66,M62,M58)</f>
        <v>1019461.5</v>
      </c>
      <c r="N67" s="6166">
        <f>+M67/L67</f>
        <v>169910.25</v>
      </c>
      <c r="O67" s="5317"/>
      <c r="P67" s="6166">
        <f>SUM(P66,P62,P58)</f>
        <v>10</v>
      </c>
      <c r="Q67" s="6166">
        <f>SUM(Q66,Q62,Q58)</f>
        <v>1273409.7000000002</v>
      </c>
      <c r="R67" s="6166">
        <f>+Q67/P67</f>
        <v>127340.97000000002</v>
      </c>
      <c r="S67" s="8"/>
      <c r="T67" s="6166">
        <v>14</v>
      </c>
      <c r="U67" s="6166">
        <v>1629033</v>
      </c>
      <c r="V67" s="6166">
        <v>116359.5</v>
      </c>
      <c r="W67" s="25"/>
      <c r="X67" s="6166">
        <v>22</v>
      </c>
      <c r="Y67" s="6166">
        <v>2242633</v>
      </c>
      <c r="Z67" s="6166">
        <v>101937.86363636363</v>
      </c>
      <c r="AA67" s="8"/>
      <c r="AB67" s="6166">
        <v>36</v>
      </c>
      <c r="AC67" s="6166">
        <v>3555988.3</v>
      </c>
      <c r="AD67" s="6166">
        <v>98777.452777777769</v>
      </c>
      <c r="AE67" s="5917"/>
      <c r="AF67" s="6166">
        <v>46</v>
      </c>
      <c r="AG67" s="6166">
        <v>4654436.9000000004</v>
      </c>
      <c r="AH67" s="6166">
        <v>101183.41086956522</v>
      </c>
      <c r="AI67" s="5317"/>
      <c r="AJ67" s="6166">
        <v>50</v>
      </c>
      <c r="AK67" s="6166">
        <v>5204214.3</v>
      </c>
      <c r="AL67" s="6166">
        <v>104084.28599999999</v>
      </c>
      <c r="AM67" s="5317"/>
      <c r="AN67" s="6166">
        <v>57</v>
      </c>
      <c r="AO67" s="6166">
        <v>6127703.1249999935</v>
      </c>
      <c r="AP67" s="6166">
        <v>107503.56359649112</v>
      </c>
      <c r="AQ67" s="5317"/>
      <c r="AR67" s="6166">
        <f>SUM(AR66,AR62,AR58)</f>
        <v>57</v>
      </c>
      <c r="AS67" s="6166">
        <f>SUM(AS66,AS62,AS58)</f>
        <v>7224811.3249999993</v>
      </c>
      <c r="AT67" s="6166">
        <f>AS67/AR67</f>
        <v>126751.07587719297</v>
      </c>
      <c r="AU67" s="5317"/>
      <c r="AV67" s="6166">
        <f>SUM(AV66,AV62,AV58)</f>
        <v>56</v>
      </c>
      <c r="AW67" s="6166">
        <f>SUM(AW66,AW62,AW58)</f>
        <v>7990858.0300000003</v>
      </c>
      <c r="AX67" s="6166">
        <f>AW67/AV67</f>
        <v>142693.89339285714</v>
      </c>
      <c r="AZ67" s="6166">
        <v>56</v>
      </c>
      <c r="BA67" s="6166">
        <v>8640282.5299999993</v>
      </c>
      <c r="BB67" s="6166">
        <v>154290.75946428566</v>
      </c>
    </row>
    <row r="68" spans="2:54" ht="15.6">
      <c r="B68" s="2369" t="s">
        <v>1000</v>
      </c>
      <c r="D68" s="2370">
        <v>141</v>
      </c>
      <c r="E68" s="2375">
        <v>17705311.57643836</v>
      </c>
      <c r="F68" s="2375">
        <v>125569.58564849901</v>
      </c>
      <c r="G68" s="5317"/>
      <c r="H68" s="2370">
        <v>142</v>
      </c>
      <c r="I68" s="2375">
        <v>18700150.281438343</v>
      </c>
      <c r="J68" s="2375">
        <v>131691.19916505876</v>
      </c>
      <c r="K68" s="8"/>
      <c r="L68" s="2370">
        <v>142</v>
      </c>
      <c r="M68" s="2375">
        <v>19489107.283356167</v>
      </c>
      <c r="N68" s="2375">
        <v>137247.23438983216</v>
      </c>
      <c r="O68" s="5317"/>
      <c r="P68" s="2370">
        <v>145</v>
      </c>
      <c r="Q68" s="2375">
        <v>20661935.846506845</v>
      </c>
      <c r="R68" s="2375">
        <v>142496.1092862541</v>
      </c>
      <c r="S68" s="8"/>
      <c r="T68" s="2370">
        <v>145</v>
      </c>
      <c r="U68" s="2375">
        <v>21730972.44650685</v>
      </c>
      <c r="V68" s="2375">
        <v>149868.77549315069</v>
      </c>
      <c r="W68" s="25"/>
      <c r="X68" s="2370">
        <v>138</v>
      </c>
      <c r="Y68" s="2375">
        <v>21957098.771339726</v>
      </c>
      <c r="Z68" s="2375">
        <v>160270.79395138487</v>
      </c>
      <c r="AA68" s="8"/>
      <c r="AB68" s="2370">
        <v>137</v>
      </c>
      <c r="AC68" s="2375">
        <v>22516031.771339733</v>
      </c>
      <c r="AD68" s="2375">
        <v>164350.59687109294</v>
      </c>
      <c r="AE68" s="5917"/>
      <c r="AF68" s="2370">
        <v>133</v>
      </c>
      <c r="AG68" s="2375">
        <v>23218916.971339729</v>
      </c>
      <c r="AH68" s="2375">
        <v>174578.3230927799</v>
      </c>
      <c r="AI68" s="5317"/>
      <c r="AJ68" s="2370">
        <v>129</v>
      </c>
      <c r="AK68" s="2375">
        <v>23747376.071339726</v>
      </c>
      <c r="AL68" s="2375">
        <v>184088.18659953275</v>
      </c>
      <c r="AM68" s="5317"/>
      <c r="AN68" s="2370">
        <v>125</v>
      </c>
      <c r="AO68" s="2375">
        <v>23544371.376956142</v>
      </c>
      <c r="AP68" s="2375">
        <v>188354.97101564915</v>
      </c>
      <c r="AQ68" s="5317"/>
      <c r="AR68" s="2370">
        <v>124</v>
      </c>
      <c r="AS68" s="2375">
        <v>24547666.398189042</v>
      </c>
      <c r="AT68" s="2375">
        <v>197965.05159829871</v>
      </c>
      <c r="AU68" s="5317"/>
      <c r="AV68" s="6152">
        <v>117</v>
      </c>
      <c r="AW68" s="6154">
        <v>24451243.089999985</v>
      </c>
      <c r="AX68" s="2375">
        <v>197965.05159829871</v>
      </c>
      <c r="AZ68" s="6152">
        <v>114</v>
      </c>
      <c r="BA68" s="6154">
        <v>24439528.510000009</v>
      </c>
      <c r="BB68" s="2375">
        <v>214381.82903508781</v>
      </c>
    </row>
    <row r="69" spans="2:54" ht="15.6">
      <c r="B69" s="2371" t="s">
        <v>1001</v>
      </c>
      <c r="D69" s="2372">
        <v>46</v>
      </c>
      <c r="E69" s="2373">
        <v>5119595.7149999999</v>
      </c>
      <c r="F69" s="2373">
        <v>111295.55902173913</v>
      </c>
      <c r="G69" s="5317"/>
      <c r="H69" s="2372">
        <v>47</v>
      </c>
      <c r="I69" s="2373">
        <v>5464873.8149999995</v>
      </c>
      <c r="J69" s="2373">
        <v>116273.9109574468</v>
      </c>
      <c r="K69" s="8"/>
      <c r="L69" s="2372">
        <v>47</v>
      </c>
      <c r="M69" s="2373">
        <v>5784046.6149999984</v>
      </c>
      <c r="N69" s="2373">
        <v>123064.82159574465</v>
      </c>
      <c r="O69" s="5317"/>
      <c r="P69" s="2372">
        <v>49</v>
      </c>
      <c r="Q69" s="2373">
        <v>6187249.0150000015</v>
      </c>
      <c r="R69" s="2373">
        <v>126270.38806122453</v>
      </c>
      <c r="S69" s="8"/>
      <c r="T69" s="2372">
        <v>49</v>
      </c>
      <c r="U69" s="2373">
        <v>6448820.9150000019</v>
      </c>
      <c r="V69" s="2373">
        <v>131608.59010204085</v>
      </c>
      <c r="W69" s="25"/>
      <c r="X69" s="2372">
        <v>49</v>
      </c>
      <c r="Y69" s="2373">
        <v>6953648.1149999993</v>
      </c>
      <c r="Z69" s="2373">
        <v>141911.18602040815</v>
      </c>
      <c r="AA69" s="8"/>
      <c r="AB69" s="2372">
        <v>48</v>
      </c>
      <c r="AC69" s="2373">
        <v>7171722.9650000017</v>
      </c>
      <c r="AD69" s="2373">
        <v>149410.8951041667</v>
      </c>
      <c r="AE69" s="5917"/>
      <c r="AF69" s="2372">
        <v>49</v>
      </c>
      <c r="AG69" s="2373">
        <v>7529284.4649999999</v>
      </c>
      <c r="AH69" s="2373">
        <v>153658.86663265305</v>
      </c>
      <c r="AI69" s="5317"/>
      <c r="AJ69" s="2372">
        <v>49</v>
      </c>
      <c r="AK69" s="2373">
        <v>7879284.7650000015</v>
      </c>
      <c r="AL69" s="2373">
        <v>160801.72989795922</v>
      </c>
      <c r="AM69" s="5317"/>
      <c r="AN69" s="2372">
        <v>49</v>
      </c>
      <c r="AO69" s="2373">
        <v>8071697.4649999859</v>
      </c>
      <c r="AP69" s="2373">
        <v>164728.51969387726</v>
      </c>
      <c r="AQ69" s="5317"/>
      <c r="AR69" s="2372">
        <v>46</v>
      </c>
      <c r="AS69" s="2373">
        <v>8007306.2650000025</v>
      </c>
      <c r="AT69" s="2373">
        <v>174071.875326087</v>
      </c>
      <c r="AU69" s="5317"/>
      <c r="AV69" s="6153">
        <v>44</v>
      </c>
      <c r="AW69" s="6155">
        <v>8083544.870000001</v>
      </c>
      <c r="AX69" s="2373">
        <v>174071.875326087</v>
      </c>
      <c r="AZ69" s="6153">
        <v>43</v>
      </c>
      <c r="BA69" s="6155">
        <v>8198100.1699999999</v>
      </c>
      <c r="BB69" s="2373">
        <v>190653.49232558141</v>
      </c>
    </row>
    <row r="70" spans="2:54" ht="15.6">
      <c r="B70" s="2371" t="s">
        <v>1002</v>
      </c>
      <c r="D70" s="2372">
        <v>81</v>
      </c>
      <c r="E70" s="2373">
        <v>11904433.805000003</v>
      </c>
      <c r="F70" s="2373">
        <v>146968.31858024697</v>
      </c>
      <c r="G70" s="5317"/>
      <c r="H70" s="2372">
        <v>82</v>
      </c>
      <c r="I70" s="2373">
        <v>12621762.880000003</v>
      </c>
      <c r="J70" s="2373">
        <v>153923.93756097564</v>
      </c>
      <c r="K70" s="8"/>
      <c r="L70" s="2372">
        <v>85</v>
      </c>
      <c r="M70" s="2373">
        <v>13520323.580000004</v>
      </c>
      <c r="N70" s="2373">
        <v>159062.63035294123</v>
      </c>
      <c r="O70" s="5317"/>
      <c r="P70" s="2372">
        <v>86</v>
      </c>
      <c r="Q70" s="2373">
        <v>14338137.380000001</v>
      </c>
      <c r="R70" s="2373">
        <v>166722.52767441861</v>
      </c>
      <c r="S70" s="8"/>
      <c r="T70" s="2372">
        <v>88</v>
      </c>
      <c r="U70" s="2373">
        <v>15288830.48</v>
      </c>
      <c r="V70" s="2373">
        <v>173736.71</v>
      </c>
      <c r="W70" s="25"/>
      <c r="X70" s="2372">
        <v>91</v>
      </c>
      <c r="Y70" s="2373">
        <v>16013987.279999999</v>
      </c>
      <c r="Z70" s="2373">
        <v>175977.88219780219</v>
      </c>
      <c r="AA70" s="8"/>
      <c r="AB70" s="2372">
        <v>89</v>
      </c>
      <c r="AC70" s="2373">
        <v>16321457.079999994</v>
      </c>
      <c r="AD70" s="2373">
        <v>183387.15820224714</v>
      </c>
      <c r="AE70" s="5917"/>
      <c r="AF70" s="2372">
        <v>89</v>
      </c>
      <c r="AG70" s="2373">
        <v>16743771.379999993</v>
      </c>
      <c r="AH70" s="2373">
        <v>188132.26269662913</v>
      </c>
      <c r="AI70" s="5317"/>
      <c r="AJ70" s="2372">
        <v>85</v>
      </c>
      <c r="AK70" s="2373">
        <v>16454548.079999996</v>
      </c>
      <c r="AL70" s="2373">
        <v>193582.91858823525</v>
      </c>
      <c r="AM70" s="5317"/>
      <c r="AN70" s="2372">
        <v>82</v>
      </c>
      <c r="AO70" s="2373">
        <v>16487393.929999972</v>
      </c>
      <c r="AP70" s="2373">
        <v>201065.77963414599</v>
      </c>
      <c r="AQ70" s="5317"/>
      <c r="AR70" s="2372">
        <v>79</v>
      </c>
      <c r="AS70" s="2373">
        <v>16187002.93</v>
      </c>
      <c r="AT70" s="2373">
        <v>204898.77126582278</v>
      </c>
      <c r="AU70" s="5317"/>
      <c r="AV70" s="6153">
        <v>79</v>
      </c>
      <c r="AW70" s="6155">
        <v>17096932.729999997</v>
      </c>
      <c r="AX70" s="2373">
        <v>204898.77126582278</v>
      </c>
      <c r="AZ70" s="6153">
        <v>76</v>
      </c>
      <c r="BA70" s="6155">
        <v>16155870.630000001</v>
      </c>
      <c r="BB70" s="2373">
        <v>212577.24513157897</v>
      </c>
    </row>
    <row r="71" spans="2:54" ht="15.6">
      <c r="B71" s="2371" t="s">
        <v>1003</v>
      </c>
      <c r="D71" s="2372">
        <v>68</v>
      </c>
      <c r="E71" s="2373">
        <v>9853319.5600000024</v>
      </c>
      <c r="F71" s="2373">
        <v>144901.75823529414</v>
      </c>
      <c r="G71" s="5317"/>
      <c r="H71" s="2372">
        <v>70</v>
      </c>
      <c r="I71" s="2373">
        <v>10480712.02</v>
      </c>
      <c r="J71" s="2373">
        <v>149724.45742857142</v>
      </c>
      <c r="K71" s="8"/>
      <c r="L71" s="2372">
        <v>71</v>
      </c>
      <c r="M71" s="2373">
        <v>11091493.620000003</v>
      </c>
      <c r="N71" s="2373">
        <v>156218.22000000003</v>
      </c>
      <c r="O71" s="5317"/>
      <c r="P71" s="2372">
        <v>75</v>
      </c>
      <c r="Q71" s="2373">
        <v>11938856.020000001</v>
      </c>
      <c r="R71" s="2373">
        <v>159184.74693333334</v>
      </c>
      <c r="S71" s="8"/>
      <c r="T71" s="2372">
        <v>72</v>
      </c>
      <c r="U71" s="2373">
        <v>11915624.120000003</v>
      </c>
      <c r="V71" s="2373">
        <v>165494.77944444449</v>
      </c>
      <c r="W71" s="25"/>
      <c r="X71" s="2372">
        <v>73</v>
      </c>
      <c r="Y71" s="2373">
        <v>12445513.970000001</v>
      </c>
      <c r="Z71" s="2373">
        <v>170486.49273972603</v>
      </c>
      <c r="AA71" s="8"/>
      <c r="AB71" s="2372">
        <v>69</v>
      </c>
      <c r="AC71" s="2373">
        <v>12375825.620000003</v>
      </c>
      <c r="AD71" s="2373">
        <v>179359.79159420295</v>
      </c>
      <c r="AE71" s="5917"/>
      <c r="AF71" s="2372">
        <v>67</v>
      </c>
      <c r="AG71" s="2373">
        <v>12502507.320000008</v>
      </c>
      <c r="AH71" s="2373">
        <v>186604.58686567176</v>
      </c>
      <c r="AI71" s="5317"/>
      <c r="AJ71" s="2372">
        <v>66</v>
      </c>
      <c r="AK71" s="2373">
        <v>12428010.120000005</v>
      </c>
      <c r="AL71" s="2373">
        <v>188303.18363636371</v>
      </c>
      <c r="AM71" s="5317"/>
      <c r="AN71" s="2372">
        <v>63</v>
      </c>
      <c r="AO71" s="2373">
        <v>11754800.219999984</v>
      </c>
      <c r="AP71" s="2373">
        <v>186584.13047619021</v>
      </c>
      <c r="AQ71" s="5317"/>
      <c r="AR71" s="2372">
        <v>63</v>
      </c>
      <c r="AS71" s="2373">
        <v>12449086.619999999</v>
      </c>
      <c r="AT71" s="2373">
        <v>197604.54952380952</v>
      </c>
      <c r="AU71" s="5317"/>
      <c r="AV71" s="6153">
        <v>61</v>
      </c>
      <c r="AW71" s="6155">
        <v>12327724.119999995</v>
      </c>
      <c r="AX71" s="2373">
        <v>197604.54952380952</v>
      </c>
      <c r="AZ71" s="6153">
        <v>61</v>
      </c>
      <c r="BA71" s="6155">
        <v>12727952.119999995</v>
      </c>
      <c r="BB71" s="2373">
        <v>208654.95278688517</v>
      </c>
    </row>
    <row r="72" spans="2:54" ht="15.6">
      <c r="B72" s="6159" t="s">
        <v>485</v>
      </c>
      <c r="D72" s="6160">
        <f>SUM(D68:D71)</f>
        <v>336</v>
      </c>
      <c r="E72" s="6160">
        <f>SUM(E68:E71)</f>
        <v>44582660.656438366</v>
      </c>
      <c r="F72" s="6160">
        <f>+E72/D72</f>
        <v>132686.4900489237</v>
      </c>
      <c r="G72" s="5317"/>
      <c r="H72" s="6160">
        <f>SUM(H68:H71)</f>
        <v>341</v>
      </c>
      <c r="I72" s="6160">
        <f>SUM(I68:I71)</f>
        <v>47267498.996438339</v>
      </c>
      <c r="J72" s="6160">
        <f>+I72/H72</f>
        <v>138614.36655847021</v>
      </c>
      <c r="K72" s="8"/>
      <c r="L72" s="6160">
        <f>SUM(L68:L71)</f>
        <v>345</v>
      </c>
      <c r="M72" s="6160">
        <f>SUM(M68:M71)</f>
        <v>49884971.098356172</v>
      </c>
      <c r="N72" s="6160">
        <f>+M72/L72</f>
        <v>144594.11912567005</v>
      </c>
      <c r="O72" s="5317"/>
      <c r="P72" s="6160">
        <f>SUM(P68:P71)</f>
        <v>355</v>
      </c>
      <c r="Q72" s="6160">
        <f>SUM(Q68:Q71)</f>
        <v>53126178.261506848</v>
      </c>
      <c r="R72" s="6160">
        <f>+Q72/P72</f>
        <v>149651.20637044183</v>
      </c>
      <c r="S72" s="8"/>
      <c r="T72" s="6160">
        <f>SUM(T68:T71)</f>
        <v>354</v>
      </c>
      <c r="U72" s="6160">
        <f>SUM(U68:U71)</f>
        <v>55384247.961506858</v>
      </c>
      <c r="V72" s="6160">
        <f>+U72/T72</f>
        <v>156452.677857364</v>
      </c>
      <c r="W72" s="25"/>
      <c r="X72" s="6160">
        <v>351</v>
      </c>
      <c r="Y72" s="6160">
        <v>57370248.136339724</v>
      </c>
      <c r="Z72" s="6160">
        <v>163448.00038843227</v>
      </c>
      <c r="AA72" s="8"/>
      <c r="AB72" s="6160">
        <v>343</v>
      </c>
      <c r="AC72" s="6160">
        <v>58385037.436339736</v>
      </c>
      <c r="AD72" s="6160">
        <v>170218.7680359759</v>
      </c>
      <c r="AE72" s="5917"/>
      <c r="AF72" s="6160">
        <v>338</v>
      </c>
      <c r="AG72" s="6160">
        <v>59994480.136339732</v>
      </c>
      <c r="AH72" s="6160">
        <v>177498.46194183352</v>
      </c>
      <c r="AI72" s="5317"/>
      <c r="AJ72" s="6160">
        <v>329</v>
      </c>
      <c r="AK72" s="6160">
        <v>60509219.03633973</v>
      </c>
      <c r="AL72" s="6160">
        <v>183918.59889464962</v>
      </c>
      <c r="AM72" s="5317"/>
      <c r="AN72" s="6160">
        <v>319</v>
      </c>
      <c r="AO72" s="6160">
        <v>59858262.991956085</v>
      </c>
      <c r="AP72" s="6160">
        <v>187643.45765503476</v>
      </c>
      <c r="AQ72" s="5317"/>
      <c r="AR72" s="6160">
        <f>SUM(AR68:AR71)</f>
        <v>312</v>
      </c>
      <c r="AS72" s="6160">
        <f>SUM(AS68:AS71)</f>
        <v>61191062.213189043</v>
      </c>
      <c r="AT72" s="6160">
        <f>AS72/AR72</f>
        <v>196125.19940124694</v>
      </c>
      <c r="AU72" s="5317"/>
      <c r="AV72" s="6160">
        <f>SUM(AV68:AV71)</f>
        <v>301</v>
      </c>
      <c r="AW72" s="6160">
        <f>SUM(AW68:AW71)</f>
        <v>61959444.80999998</v>
      </c>
      <c r="AX72" s="6160">
        <f>AW72/AV72</f>
        <v>205845.33159468431</v>
      </c>
      <c r="AZ72" s="6160">
        <v>294</v>
      </c>
      <c r="BA72" s="6160">
        <v>61521451.430000007</v>
      </c>
      <c r="BB72" s="6160">
        <v>209256.63751700681</v>
      </c>
    </row>
    <row r="73" spans="2:54" ht="15.6">
      <c r="B73" s="2371" t="s">
        <v>1004</v>
      </c>
      <c r="D73" s="2372">
        <v>137</v>
      </c>
      <c r="E73" s="2373">
        <v>19722460.058818497</v>
      </c>
      <c r="F73" s="2373">
        <v>143959.56247312771</v>
      </c>
      <c r="G73" s="5317"/>
      <c r="H73" s="2372">
        <v>140</v>
      </c>
      <c r="I73" s="2373">
        <v>20946604.161695205</v>
      </c>
      <c r="J73" s="2373">
        <v>149618.60115496576</v>
      </c>
      <c r="K73" s="8"/>
      <c r="L73" s="2372">
        <v>143</v>
      </c>
      <c r="M73" s="2373">
        <v>22186027.663476035</v>
      </c>
      <c r="N73" s="2373">
        <v>155147.0465977345</v>
      </c>
      <c r="O73" s="5317"/>
      <c r="P73" s="2372">
        <v>145</v>
      </c>
      <c r="Q73" s="2373">
        <v>23398286.763476018</v>
      </c>
      <c r="R73" s="2373">
        <v>161367.49492052427</v>
      </c>
      <c r="S73" s="8"/>
      <c r="T73" s="2372">
        <v>144</v>
      </c>
      <c r="U73" s="2373">
        <v>24197367.463476039</v>
      </c>
      <c r="V73" s="2373">
        <v>168037.27405191693</v>
      </c>
      <c r="W73" s="25"/>
      <c r="X73" s="2372">
        <v>143</v>
      </c>
      <c r="Y73" s="2373">
        <v>24720364.363476049</v>
      </c>
      <c r="Z73" s="2373">
        <v>172869.68086346888</v>
      </c>
      <c r="AA73" s="8"/>
      <c r="AB73" s="2372">
        <v>136</v>
      </c>
      <c r="AC73" s="2373">
        <v>24285781.560976043</v>
      </c>
      <c r="AD73" s="2373">
        <v>178571.92324247092</v>
      </c>
      <c r="AE73" s="5917"/>
      <c r="AF73" s="2372">
        <v>136</v>
      </c>
      <c r="AG73" s="2373">
        <v>25109645.746866453</v>
      </c>
      <c r="AH73" s="2373">
        <v>184629.74813872392</v>
      </c>
      <c r="AI73" s="5317"/>
      <c r="AJ73" s="2372">
        <v>130</v>
      </c>
      <c r="AK73" s="2373">
        <v>24027714.876866445</v>
      </c>
      <c r="AL73" s="2373">
        <v>184828.57597589574</v>
      </c>
      <c r="AM73" s="5317"/>
      <c r="AN73" s="2372">
        <v>131</v>
      </c>
      <c r="AO73" s="2373">
        <v>24865143.836866405</v>
      </c>
      <c r="AP73" s="2373">
        <v>189810.25829669012</v>
      </c>
      <c r="AQ73" s="5317"/>
      <c r="AR73" s="2372">
        <v>127</v>
      </c>
      <c r="AS73" s="2373">
        <v>25046261.836866446</v>
      </c>
      <c r="AT73" s="2373">
        <v>197214.66013280666</v>
      </c>
      <c r="AU73" s="5317"/>
      <c r="AV73" s="6153">
        <v>127</v>
      </c>
      <c r="AW73" s="6155">
        <v>25687897.540000007</v>
      </c>
      <c r="AX73" s="2373">
        <v>197214.66013280666</v>
      </c>
      <c r="AZ73" s="6153">
        <v>120</v>
      </c>
      <c r="BA73" s="6155">
        <v>25380670.439999998</v>
      </c>
      <c r="BB73" s="2373">
        <v>211505.58699999997</v>
      </c>
    </row>
    <row r="74" spans="2:54" ht="15.6">
      <c r="B74" s="2371" t="s">
        <v>1005</v>
      </c>
      <c r="D74" s="2372">
        <v>87</v>
      </c>
      <c r="E74" s="2373">
        <v>11270000.125000002</v>
      </c>
      <c r="F74" s="2373">
        <v>129540.23132183909</v>
      </c>
      <c r="G74" s="5317"/>
      <c r="H74" s="2372">
        <v>91</v>
      </c>
      <c r="I74" s="2373">
        <v>12070575.725000001</v>
      </c>
      <c r="J74" s="2373">
        <v>132643.6892857143</v>
      </c>
      <c r="K74" s="8"/>
      <c r="L74" s="2372">
        <v>95</v>
      </c>
      <c r="M74" s="2373">
        <v>12860091.520000001</v>
      </c>
      <c r="N74" s="2373">
        <v>135369.38442105264</v>
      </c>
      <c r="O74" s="5317"/>
      <c r="P74" s="2372">
        <v>95</v>
      </c>
      <c r="Q74" s="2373">
        <v>13721708.220000001</v>
      </c>
      <c r="R74" s="2373">
        <v>144439.03389473684</v>
      </c>
      <c r="S74" s="8"/>
      <c r="T74" s="2372">
        <v>96</v>
      </c>
      <c r="U74" s="2373">
        <v>14438349.420000009</v>
      </c>
      <c r="V74" s="2373">
        <v>150399.47312500011</v>
      </c>
      <c r="W74" s="25"/>
      <c r="X74" s="2372">
        <v>95</v>
      </c>
      <c r="Y74" s="2373">
        <v>15047555.320000008</v>
      </c>
      <c r="Z74" s="2373">
        <v>158395.31915789482</v>
      </c>
      <c r="AA74" s="8"/>
      <c r="AB74" s="2372">
        <v>93</v>
      </c>
      <c r="AC74" s="2373">
        <v>15524865.020000007</v>
      </c>
      <c r="AD74" s="2373">
        <v>166934.03247311836</v>
      </c>
      <c r="AE74" s="5917"/>
      <c r="AF74" s="2372">
        <v>94</v>
      </c>
      <c r="AG74" s="2373">
        <v>16173882.719999999</v>
      </c>
      <c r="AH74" s="2373">
        <v>172062.58212765955</v>
      </c>
      <c r="AI74" s="5317"/>
      <c r="AJ74" s="2372">
        <v>89</v>
      </c>
      <c r="AK74" s="2373">
        <v>15786001.520000001</v>
      </c>
      <c r="AL74" s="2373">
        <v>177370.80359550563</v>
      </c>
      <c r="AM74" s="5317"/>
      <c r="AN74" s="2372">
        <v>88</v>
      </c>
      <c r="AO74" s="2373">
        <v>16124639.319999967</v>
      </c>
      <c r="AP74" s="2373">
        <v>183234.53772727234</v>
      </c>
      <c r="AQ74" s="5317"/>
      <c r="AR74" s="2372">
        <v>85</v>
      </c>
      <c r="AS74" s="2373">
        <v>16413416.086369861</v>
      </c>
      <c r="AT74" s="2373">
        <v>193099.01278082188</v>
      </c>
      <c r="AU74" s="5317"/>
      <c r="AV74" s="6153">
        <v>84</v>
      </c>
      <c r="AW74" s="6155">
        <v>16773127.59</v>
      </c>
      <c r="AX74" s="2373">
        <v>193099.01278082188</v>
      </c>
      <c r="AZ74" s="6153">
        <v>79</v>
      </c>
      <c r="BA74" s="6155">
        <v>16980062.790000003</v>
      </c>
      <c r="BB74" s="2373">
        <v>214937.5036708861</v>
      </c>
    </row>
    <row r="75" spans="2:54" ht="15.6">
      <c r="B75" s="2371" t="s">
        <v>1006</v>
      </c>
      <c r="D75" s="2372">
        <v>68</v>
      </c>
      <c r="E75" s="2373">
        <v>11343433.489999993</v>
      </c>
      <c r="F75" s="2373">
        <v>166815.19838235283</v>
      </c>
      <c r="G75" s="5317"/>
      <c r="H75" s="2372">
        <v>70</v>
      </c>
      <c r="I75" s="2373">
        <v>12136492.690000003</v>
      </c>
      <c r="J75" s="2373">
        <v>173378.46700000003</v>
      </c>
      <c r="K75" s="8"/>
      <c r="L75" s="2372">
        <v>73</v>
      </c>
      <c r="M75" s="2373">
        <v>12794947.790000003</v>
      </c>
      <c r="N75" s="2373">
        <v>175273.25739726031</v>
      </c>
      <c r="O75" s="5317"/>
      <c r="P75" s="2372">
        <v>75</v>
      </c>
      <c r="Q75" s="2373">
        <v>13308154.189999998</v>
      </c>
      <c r="R75" s="2373">
        <v>177442.05586666663</v>
      </c>
      <c r="S75" s="8"/>
      <c r="T75" s="2372">
        <v>72</v>
      </c>
      <c r="U75" s="2373">
        <v>13398522.189999992</v>
      </c>
      <c r="V75" s="2373">
        <v>186090.58597222212</v>
      </c>
      <c r="W75" s="25"/>
      <c r="X75" s="2372">
        <v>75</v>
      </c>
      <c r="Y75" s="2373">
        <v>14251394.99</v>
      </c>
      <c r="Z75" s="2373">
        <v>190018.59986666666</v>
      </c>
      <c r="AA75" s="8"/>
      <c r="AB75" s="2372">
        <v>75</v>
      </c>
      <c r="AC75" s="2373">
        <v>14878919.290000001</v>
      </c>
      <c r="AD75" s="2373">
        <v>198385.59053333334</v>
      </c>
      <c r="AE75" s="5917"/>
      <c r="AF75" s="2372">
        <v>73</v>
      </c>
      <c r="AG75" s="2373">
        <v>14599798.989999993</v>
      </c>
      <c r="AH75" s="2373">
        <v>199997.24643835606</v>
      </c>
      <c r="AI75" s="5317"/>
      <c r="AJ75" s="2372">
        <v>69</v>
      </c>
      <c r="AK75" s="2373">
        <v>14540421.18999999</v>
      </c>
      <c r="AL75" s="2373">
        <v>210730.74188405782</v>
      </c>
      <c r="AM75" s="5317"/>
      <c r="AN75" s="2372">
        <v>69</v>
      </c>
      <c r="AO75" s="2373">
        <v>14909043.440684903</v>
      </c>
      <c r="AP75" s="2373">
        <v>216073.09334325948</v>
      </c>
      <c r="AQ75" s="5317"/>
      <c r="AR75" s="2372">
        <v>67</v>
      </c>
      <c r="AS75" s="2373">
        <v>14891622.040684927</v>
      </c>
      <c r="AT75" s="2373">
        <v>222263.01553261085</v>
      </c>
      <c r="AU75" s="5317"/>
      <c r="AV75" s="6153">
        <v>63</v>
      </c>
      <c r="AW75" s="6155">
        <v>14960632.239999996</v>
      </c>
      <c r="AX75" s="2373">
        <v>222263.01553261085</v>
      </c>
      <c r="AZ75" s="6153">
        <v>59</v>
      </c>
      <c r="BA75" s="6155">
        <v>14010253.340000002</v>
      </c>
      <c r="BB75" s="2373">
        <v>237461.92101694917</v>
      </c>
    </row>
    <row r="76" spans="2:54" ht="15.6">
      <c r="B76" s="2371" t="s">
        <v>1007</v>
      </c>
      <c r="D76" s="2372">
        <v>59</v>
      </c>
      <c r="E76" s="2373">
        <v>7004724.8400000008</v>
      </c>
      <c r="F76" s="2373">
        <v>118724.14983050848</v>
      </c>
      <c r="G76" s="5317"/>
      <c r="H76" s="2372">
        <v>59</v>
      </c>
      <c r="I76" s="2373">
        <v>7315226.665000001</v>
      </c>
      <c r="J76" s="2373">
        <v>123986.89262711866</v>
      </c>
      <c r="K76" s="8"/>
      <c r="L76" s="2372">
        <v>60</v>
      </c>
      <c r="M76" s="2373">
        <v>7760827.8650000002</v>
      </c>
      <c r="N76" s="2373">
        <v>129347.13108333334</v>
      </c>
      <c r="O76" s="5317"/>
      <c r="P76" s="2372">
        <v>60</v>
      </c>
      <c r="Q76" s="2373">
        <v>8201240.5649999958</v>
      </c>
      <c r="R76" s="2373">
        <v>136687.34274999992</v>
      </c>
      <c r="S76" s="8"/>
      <c r="T76" s="2372">
        <v>59</v>
      </c>
      <c r="U76" s="2373">
        <v>8355082.4649999999</v>
      </c>
      <c r="V76" s="2373">
        <v>141611.56720338983</v>
      </c>
      <c r="W76" s="25"/>
      <c r="X76" s="2372">
        <v>55</v>
      </c>
      <c r="Y76" s="2373">
        <v>8192375.4622602724</v>
      </c>
      <c r="Z76" s="2373">
        <v>148952.28113200495</v>
      </c>
      <c r="AA76" s="8"/>
      <c r="AB76" s="2372">
        <v>56</v>
      </c>
      <c r="AC76" s="2373">
        <v>8761807.262260275</v>
      </c>
      <c r="AD76" s="2373">
        <v>156460.84396893348</v>
      </c>
      <c r="AE76" s="5917"/>
      <c r="AF76" s="2372">
        <v>55</v>
      </c>
      <c r="AG76" s="2373">
        <v>9083422.3622602727</v>
      </c>
      <c r="AH76" s="2373">
        <v>165153.13385927767</v>
      </c>
      <c r="AI76" s="5317"/>
      <c r="AJ76" s="2372">
        <v>52</v>
      </c>
      <c r="AK76" s="2373">
        <v>9219091.3622602746</v>
      </c>
      <c r="AL76" s="2373">
        <v>177290.21850500529</v>
      </c>
      <c r="AM76" s="5317"/>
      <c r="AN76" s="2372">
        <v>53</v>
      </c>
      <c r="AO76" s="2373">
        <v>9260405.5649999902</v>
      </c>
      <c r="AP76" s="2373">
        <v>174724.63330188661</v>
      </c>
      <c r="AQ76" s="5317"/>
      <c r="AR76" s="2372">
        <v>51</v>
      </c>
      <c r="AS76" s="2373">
        <v>9555027.6622602735</v>
      </c>
      <c r="AT76" s="2373">
        <v>187353.48357373086</v>
      </c>
      <c r="AU76" s="5317"/>
      <c r="AV76" s="6153">
        <v>51</v>
      </c>
      <c r="AW76" s="6155">
        <v>9446469.6700000018</v>
      </c>
      <c r="AX76" s="2373">
        <v>187353.48357373086</v>
      </c>
      <c r="AZ76" s="6153">
        <v>51</v>
      </c>
      <c r="BA76" s="6155">
        <v>9543193.9700000007</v>
      </c>
      <c r="BB76" s="2373">
        <v>187121.45039215687</v>
      </c>
    </row>
    <row r="77" spans="2:54" ht="15.6">
      <c r="B77" s="6159" t="s">
        <v>483</v>
      </c>
      <c r="D77" s="6160">
        <f>SUM(D73:D76)</f>
        <v>351</v>
      </c>
      <c r="E77" s="6160">
        <f>SUM(E73:E76)</f>
        <v>49340618.513818495</v>
      </c>
      <c r="F77" s="6160">
        <f>+E77/D77</f>
        <v>140571.5627174316</v>
      </c>
      <c r="G77" s="5317"/>
      <c r="H77" s="6160">
        <f>SUM(H73:H76)</f>
        <v>360</v>
      </c>
      <c r="I77" s="6160">
        <f>SUM(I73:I76)</f>
        <v>52468899.24169521</v>
      </c>
      <c r="J77" s="6160">
        <f>+I77/H77</f>
        <v>145746.94233804225</v>
      </c>
      <c r="K77" s="8"/>
      <c r="L77" s="6160">
        <f>SUM(L73:L76)</f>
        <v>371</v>
      </c>
      <c r="M77" s="6160">
        <f>SUM(M73:M76)</f>
        <v>55601894.838476039</v>
      </c>
      <c r="N77" s="6160">
        <f>+M77/L77</f>
        <v>149870.33649184916</v>
      </c>
      <c r="O77" s="5317"/>
      <c r="P77" s="6160">
        <f>SUM(P73:P76)</f>
        <v>375</v>
      </c>
      <c r="Q77" s="6160">
        <f>SUM(Q73:Q76)</f>
        <v>58629389.738476016</v>
      </c>
      <c r="R77" s="6160">
        <f>+Q77/P77</f>
        <v>156345.0393026027</v>
      </c>
      <c r="S77" s="8"/>
      <c r="T77" s="6160">
        <f>SUM(T73:T76)</f>
        <v>371</v>
      </c>
      <c r="U77" s="6160">
        <f>SUM(U73:U76)</f>
        <v>60389321.538476035</v>
      </c>
      <c r="V77" s="6160">
        <f>+U77/T77</f>
        <v>162774.45158618878</v>
      </c>
      <c r="W77" s="25"/>
      <c r="X77" s="6160">
        <v>368</v>
      </c>
      <c r="Y77" s="6160">
        <v>62211690.135736331</v>
      </c>
      <c r="Z77" s="6160">
        <v>169053.50580363133</v>
      </c>
      <c r="AA77" s="8"/>
      <c r="AB77" s="6160">
        <v>360</v>
      </c>
      <c r="AC77" s="6160">
        <v>63451373.133236326</v>
      </c>
      <c r="AD77" s="6160">
        <v>176253.81425898979</v>
      </c>
      <c r="AE77" s="5917"/>
      <c r="AF77" s="6160">
        <v>358</v>
      </c>
      <c r="AG77" s="6160">
        <v>64966749.819126718</v>
      </c>
      <c r="AH77" s="6160">
        <v>181471.36820985118</v>
      </c>
      <c r="AI77" s="5317"/>
      <c r="AJ77" s="6160">
        <v>340</v>
      </c>
      <c r="AK77" s="6160">
        <v>63573228.949126713</v>
      </c>
      <c r="AL77" s="6160">
        <v>186980.08514449032</v>
      </c>
      <c r="AM77" s="5317"/>
      <c r="AN77" s="6160">
        <v>341</v>
      </c>
      <c r="AO77" s="6160">
        <v>65159232.162551261</v>
      </c>
      <c r="AP77" s="6160">
        <v>191082.79226554622</v>
      </c>
      <c r="AQ77" s="5317"/>
      <c r="AR77" s="6160">
        <f>SUM(AR73:AR76)</f>
        <v>330</v>
      </c>
      <c r="AS77" s="6160">
        <f>SUM(AS73:AS76)</f>
        <v>65906327.626181506</v>
      </c>
      <c r="AT77" s="6160">
        <f>AS77/AR77</f>
        <v>199716.14432176214</v>
      </c>
      <c r="AU77" s="5317"/>
      <c r="AV77" s="6160">
        <f>SUM(AV73:AV76)</f>
        <v>325</v>
      </c>
      <c r="AW77" s="6160">
        <f>SUM(AW73:AW76)</f>
        <v>66868127.040000007</v>
      </c>
      <c r="AX77" s="6160">
        <f>AW77/AV77</f>
        <v>205748.08320000002</v>
      </c>
      <c r="AZ77" s="6160">
        <v>309</v>
      </c>
      <c r="BA77" s="6160">
        <v>65914180.540000007</v>
      </c>
      <c r="BB77" s="6160">
        <v>213314.50012944973</v>
      </c>
    </row>
    <row r="78" spans="2:54" ht="15.6">
      <c r="B78" s="2371" t="s">
        <v>1008</v>
      </c>
      <c r="D78" s="2372">
        <v>32</v>
      </c>
      <c r="E78" s="2372">
        <v>5102996.7431506841</v>
      </c>
      <c r="F78" s="2372">
        <v>159468.64822345888</v>
      </c>
      <c r="G78" s="5317"/>
      <c r="H78" s="2372">
        <v>32</v>
      </c>
      <c r="I78" s="2372">
        <v>5381605.8431506855</v>
      </c>
      <c r="J78" s="2372">
        <v>168175.18259845892</v>
      </c>
      <c r="K78" s="8"/>
      <c r="L78" s="2372">
        <v>32</v>
      </c>
      <c r="M78" s="2372">
        <v>5610612.1499999994</v>
      </c>
      <c r="N78" s="2372">
        <v>175331.62968749998</v>
      </c>
      <c r="O78" s="5317"/>
      <c r="P78" s="2372">
        <v>32</v>
      </c>
      <c r="Q78" s="2372">
        <v>5905182.75</v>
      </c>
      <c r="R78" s="2372">
        <v>184536.9609375</v>
      </c>
      <c r="S78" s="8"/>
      <c r="T78" s="2372">
        <v>32</v>
      </c>
      <c r="U78" s="2372">
        <v>6633867.6000000015</v>
      </c>
      <c r="V78" s="2372">
        <v>207308.36250000005</v>
      </c>
      <c r="W78" s="25"/>
      <c r="X78" s="2372">
        <v>31</v>
      </c>
      <c r="Y78" s="2372">
        <v>6586272.8000000007</v>
      </c>
      <c r="Z78" s="2372">
        <v>212460.41290322584</v>
      </c>
      <c r="AA78" s="8"/>
      <c r="AB78" s="2372">
        <v>31</v>
      </c>
      <c r="AC78" s="2372">
        <v>6311810.6699999999</v>
      </c>
      <c r="AD78" s="2372">
        <v>203606.79580645161</v>
      </c>
      <c r="AE78" s="5917"/>
      <c r="AF78" s="2372">
        <v>31</v>
      </c>
      <c r="AG78" s="2372">
        <v>6537723.2699999996</v>
      </c>
      <c r="AH78" s="2372">
        <v>210894.29903225804</v>
      </c>
      <c r="AI78" s="5317"/>
      <c r="AJ78" s="2372">
        <v>32</v>
      </c>
      <c r="AK78" s="2372">
        <v>6729473.0700000003</v>
      </c>
      <c r="AL78" s="2372">
        <v>210296.03343750001</v>
      </c>
      <c r="AM78" s="5317"/>
      <c r="AN78" s="2372">
        <v>31</v>
      </c>
      <c r="AO78" s="2372">
        <v>6419684.4199999906</v>
      </c>
      <c r="AP78" s="2372">
        <v>207086.59419354808</v>
      </c>
      <c r="AQ78" s="5317"/>
      <c r="AR78" s="2372">
        <v>32</v>
      </c>
      <c r="AS78" s="2372">
        <v>6462316.0200000005</v>
      </c>
      <c r="AT78" s="2372">
        <v>201947.37562500002</v>
      </c>
      <c r="AU78" s="5317"/>
      <c r="AV78" s="6153">
        <v>32</v>
      </c>
      <c r="AW78" s="6153">
        <v>6607932.2200000007</v>
      </c>
      <c r="AX78" s="2372">
        <v>201947.37562500002</v>
      </c>
      <c r="AZ78" s="6153">
        <v>30</v>
      </c>
      <c r="BA78" s="6153">
        <v>6355659.2199999988</v>
      </c>
      <c r="BB78" s="2372">
        <v>211855.3073333333</v>
      </c>
    </row>
    <row r="79" spans="2:54" ht="15.6">
      <c r="B79" s="2371" t="s">
        <v>1009</v>
      </c>
      <c r="D79" s="2372">
        <v>40</v>
      </c>
      <c r="E79" s="2372">
        <v>6050772.1799999997</v>
      </c>
      <c r="F79" s="2372">
        <v>151269.3045</v>
      </c>
      <c r="G79" s="5317"/>
      <c r="H79" s="2372">
        <v>40</v>
      </c>
      <c r="I79" s="2372">
        <v>6272357.5799999991</v>
      </c>
      <c r="J79" s="2372">
        <v>156808.93949999998</v>
      </c>
      <c r="K79" s="8"/>
      <c r="L79" s="2372">
        <v>41</v>
      </c>
      <c r="M79" s="2372">
        <v>6536919.6799999997</v>
      </c>
      <c r="N79" s="2372">
        <v>159437.06536585366</v>
      </c>
      <c r="O79" s="5317"/>
      <c r="P79" s="2372">
        <v>41</v>
      </c>
      <c r="Q79" s="2372">
        <v>6803959.6799999978</v>
      </c>
      <c r="R79" s="2372">
        <v>165950.23609756093</v>
      </c>
      <c r="S79" s="8"/>
      <c r="T79" s="2372">
        <v>42</v>
      </c>
      <c r="U79" s="2372">
        <v>6609664.3300000001</v>
      </c>
      <c r="V79" s="2372">
        <v>157372.96023809523</v>
      </c>
      <c r="W79" s="25"/>
      <c r="X79" s="2372">
        <v>40</v>
      </c>
      <c r="Y79" s="2372">
        <v>6759661.5299999993</v>
      </c>
      <c r="Z79" s="2372">
        <v>168991.53824999998</v>
      </c>
      <c r="AA79" s="8"/>
      <c r="AB79" s="2372">
        <v>37</v>
      </c>
      <c r="AC79" s="2372">
        <v>6644656.8300000001</v>
      </c>
      <c r="AD79" s="2372">
        <v>179585.31972972973</v>
      </c>
      <c r="AE79" s="5917"/>
      <c r="AF79" s="2372">
        <v>37</v>
      </c>
      <c r="AG79" s="2372">
        <v>6864462.5300000003</v>
      </c>
      <c r="AH79" s="2372">
        <v>185526.01432432432</v>
      </c>
      <c r="AI79" s="5317"/>
      <c r="AJ79" s="2372">
        <v>36</v>
      </c>
      <c r="AK79" s="2372">
        <v>7354634.2300000014</v>
      </c>
      <c r="AL79" s="2372">
        <v>204295.3952777778</v>
      </c>
      <c r="AM79" s="5317"/>
      <c r="AN79" s="2372">
        <v>38</v>
      </c>
      <c r="AO79" s="2372">
        <v>7823488.0049999887</v>
      </c>
      <c r="AP79" s="2372">
        <v>205881.2632894734</v>
      </c>
      <c r="AQ79" s="5317"/>
      <c r="AR79" s="2372">
        <v>37</v>
      </c>
      <c r="AS79" s="2372">
        <v>7811229.3050000006</v>
      </c>
      <c r="AT79" s="2372">
        <v>211114.30554054055</v>
      </c>
      <c r="AU79" s="5317"/>
      <c r="AV79" s="6153">
        <v>34</v>
      </c>
      <c r="AW79" s="6153">
        <v>7231548.6700000009</v>
      </c>
      <c r="AX79" s="2372">
        <v>211114.30554054055</v>
      </c>
      <c r="AZ79" s="6153">
        <v>33</v>
      </c>
      <c r="BA79" s="6153">
        <v>7287782.4700000007</v>
      </c>
      <c r="BB79" s="2372">
        <v>220841.89303030306</v>
      </c>
    </row>
    <row r="80" spans="2:54" ht="15.6">
      <c r="B80" s="2371" t="s">
        <v>1010</v>
      </c>
      <c r="D80" s="2372">
        <v>38</v>
      </c>
      <c r="E80" s="2372">
        <v>3518174.09</v>
      </c>
      <c r="F80" s="2372">
        <v>92583.528684210527</v>
      </c>
      <c r="G80" s="5317"/>
      <c r="H80" s="2372">
        <v>39</v>
      </c>
      <c r="I80" s="2372">
        <v>3765969.9900000012</v>
      </c>
      <c r="J80" s="2372">
        <v>96563.333076923111</v>
      </c>
      <c r="K80" s="8"/>
      <c r="L80" s="2372">
        <v>40</v>
      </c>
      <c r="M80" s="2372">
        <v>4014913.09</v>
      </c>
      <c r="N80" s="2372">
        <v>100372.82725</v>
      </c>
      <c r="O80" s="5317"/>
      <c r="P80" s="2372">
        <v>40</v>
      </c>
      <c r="Q80" s="2372">
        <v>4115205.1900000004</v>
      </c>
      <c r="R80" s="2372">
        <v>102880.12975000001</v>
      </c>
      <c r="S80" s="8"/>
      <c r="T80" s="2372">
        <v>39</v>
      </c>
      <c r="U80" s="2372">
        <v>4286988.1899999995</v>
      </c>
      <c r="V80" s="2372">
        <v>109922.77410256409</v>
      </c>
      <c r="W80" s="25"/>
      <c r="X80" s="2372">
        <v>40</v>
      </c>
      <c r="Y80" s="2372">
        <v>4239396.59</v>
      </c>
      <c r="Z80" s="2372">
        <v>105984.91475</v>
      </c>
      <c r="AA80" s="8"/>
      <c r="AB80" s="2372">
        <v>33</v>
      </c>
      <c r="AC80" s="2372">
        <v>3674195.2899999996</v>
      </c>
      <c r="AD80" s="2372">
        <v>111339.25121212121</v>
      </c>
      <c r="AE80" s="5917"/>
      <c r="AF80" s="2372">
        <v>34</v>
      </c>
      <c r="AG80" s="2372">
        <v>3938789.79</v>
      </c>
      <c r="AH80" s="2372">
        <v>115846.75852941176</v>
      </c>
      <c r="AI80" s="5317"/>
      <c r="AJ80" s="2372">
        <v>35</v>
      </c>
      <c r="AK80" s="2372">
        <v>4203887.1899999995</v>
      </c>
      <c r="AL80" s="2372">
        <v>120111.06257142856</v>
      </c>
      <c r="AM80" s="5317"/>
      <c r="AN80" s="2372">
        <v>36</v>
      </c>
      <c r="AO80" s="2372">
        <v>4553049.9899999946</v>
      </c>
      <c r="AP80" s="2372">
        <v>126473.61083333318</v>
      </c>
      <c r="AQ80" s="5317"/>
      <c r="AR80" s="2372">
        <v>35</v>
      </c>
      <c r="AS80" s="2372">
        <v>4521875.8</v>
      </c>
      <c r="AT80" s="2372">
        <v>129196.45142857142</v>
      </c>
      <c r="AU80" s="5317"/>
      <c r="AV80" s="6153">
        <v>33</v>
      </c>
      <c r="AW80" s="6153">
        <v>4283732.21</v>
      </c>
      <c r="AX80" s="2372">
        <v>129196.45142857142</v>
      </c>
      <c r="AZ80" s="6153">
        <v>33</v>
      </c>
      <c r="BA80" s="6153">
        <v>4511359.8099999996</v>
      </c>
      <c r="BB80" s="2372">
        <v>136707.87303030302</v>
      </c>
    </row>
    <row r="81" spans="2:54" ht="15.6">
      <c r="B81" s="2371" t="s">
        <v>1011</v>
      </c>
      <c r="D81" s="2372">
        <v>44</v>
      </c>
      <c r="E81" s="2372">
        <v>7428954.091575346</v>
      </c>
      <c r="F81" s="2372">
        <v>168839.86571762149</v>
      </c>
      <c r="G81" s="5317"/>
      <c r="H81" s="2372">
        <v>46</v>
      </c>
      <c r="I81" s="2372">
        <v>7897182.1415753439</v>
      </c>
      <c r="J81" s="2372">
        <v>171677.87264294227</v>
      </c>
      <c r="K81" s="8"/>
      <c r="L81" s="2372">
        <v>46</v>
      </c>
      <c r="M81" s="2372">
        <v>8240953.636575344</v>
      </c>
      <c r="N81" s="2372">
        <v>179151.16601250748</v>
      </c>
      <c r="O81" s="5317"/>
      <c r="P81" s="2372">
        <v>46</v>
      </c>
      <c r="Q81" s="2372">
        <v>8663139.0365753397</v>
      </c>
      <c r="R81" s="2372">
        <v>188329.10949076826</v>
      </c>
      <c r="S81" s="8"/>
      <c r="T81" s="2372">
        <v>46</v>
      </c>
      <c r="U81" s="2372">
        <v>9089484.9365753401</v>
      </c>
      <c r="V81" s="2372">
        <v>197597.49862120303</v>
      </c>
      <c r="W81" s="25"/>
      <c r="X81" s="2372">
        <v>47</v>
      </c>
      <c r="Y81" s="2372">
        <v>9113602.436575342</v>
      </c>
      <c r="Z81" s="2372">
        <v>193906.43482075195</v>
      </c>
      <c r="AA81" s="8"/>
      <c r="AB81" s="2372">
        <v>44</v>
      </c>
      <c r="AC81" s="2372">
        <v>8812643.5365753435</v>
      </c>
      <c r="AD81" s="2372">
        <v>200287.35310398508</v>
      </c>
      <c r="AE81" s="5917"/>
      <c r="AF81" s="2372">
        <v>39</v>
      </c>
      <c r="AG81" s="2372">
        <v>8545480.6365753431</v>
      </c>
      <c r="AH81" s="2372">
        <v>219114.8881173165</v>
      </c>
      <c r="AI81" s="5317"/>
      <c r="AJ81" s="2372">
        <v>37</v>
      </c>
      <c r="AK81" s="2372">
        <v>8336039.8365753433</v>
      </c>
      <c r="AL81" s="2372">
        <v>225298.37396149576</v>
      </c>
      <c r="AM81" s="5317"/>
      <c r="AN81" s="2372">
        <v>37</v>
      </c>
      <c r="AO81" s="2372">
        <v>8461137.2365753334</v>
      </c>
      <c r="AP81" s="2372">
        <v>228679.38477230631</v>
      </c>
      <c r="AQ81" s="5317"/>
      <c r="AR81" s="2372">
        <v>40</v>
      </c>
      <c r="AS81" s="2372">
        <v>8922133.3365753442</v>
      </c>
      <c r="AT81" s="2372">
        <v>223053.33341438361</v>
      </c>
      <c r="AU81" s="5317"/>
      <c r="AV81" s="6153">
        <v>37</v>
      </c>
      <c r="AW81" s="6153">
        <v>8994625.0300000031</v>
      </c>
      <c r="AX81" s="2372">
        <v>223053.33341438361</v>
      </c>
      <c r="AZ81" s="6153">
        <v>35</v>
      </c>
      <c r="BA81" s="6153">
        <v>9175566.1300000008</v>
      </c>
      <c r="BB81" s="2372">
        <v>262159.03228571429</v>
      </c>
    </row>
    <row r="82" spans="2:54" ht="15.6">
      <c r="B82" s="6159" t="s">
        <v>484</v>
      </c>
      <c r="D82" s="6160">
        <f>SUM(D78:D81)</f>
        <v>154</v>
      </c>
      <c r="E82" s="6160">
        <f>SUM(E78:E81)</f>
        <v>22100897.104726031</v>
      </c>
      <c r="F82" s="6160">
        <f>+E82/D82</f>
        <v>143512.31886185735</v>
      </c>
      <c r="G82" s="5317"/>
      <c r="H82" s="6160">
        <f>SUM(H78:H81)</f>
        <v>157</v>
      </c>
      <c r="I82" s="6160">
        <f>SUM(I78:I81)</f>
        <v>23317115.554726031</v>
      </c>
      <c r="J82" s="6160">
        <f>+I82/H82</f>
        <v>148516.65958424224</v>
      </c>
      <c r="K82" s="8"/>
      <c r="L82" s="6160">
        <f>SUM(L78:L81)</f>
        <v>159</v>
      </c>
      <c r="M82" s="6160">
        <f>SUM(M78:M81)</f>
        <v>24403398.556575343</v>
      </c>
      <c r="N82" s="6160">
        <f>+M82/L82</f>
        <v>153480.4940665116</v>
      </c>
      <c r="O82" s="5317"/>
      <c r="P82" s="6160">
        <f>SUM(P78:P81)</f>
        <v>159</v>
      </c>
      <c r="Q82" s="6160">
        <f>SUM(Q78:Q81)</f>
        <v>25487486.656575337</v>
      </c>
      <c r="R82" s="6160">
        <f>+Q82/P82</f>
        <v>160298.65821745494</v>
      </c>
      <c r="S82" s="8"/>
      <c r="T82" s="6160">
        <f>SUM(T78:T81)</f>
        <v>159</v>
      </c>
      <c r="U82" s="6160">
        <f>SUM(U78:U81)</f>
        <v>26620005.056575343</v>
      </c>
      <c r="V82" s="6160">
        <f>+U82/T82</f>
        <v>167421.4154501594</v>
      </c>
      <c r="W82" s="25"/>
      <c r="X82" s="6160">
        <v>158</v>
      </c>
      <c r="Y82" s="6160">
        <v>26698933.356575344</v>
      </c>
      <c r="Z82" s="6160">
        <v>168980.5908644009</v>
      </c>
      <c r="AA82" s="8"/>
      <c r="AB82" s="6160">
        <v>145</v>
      </c>
      <c r="AC82" s="6160">
        <v>25443306.326575343</v>
      </c>
      <c r="AD82" s="6160">
        <v>175471.0781143127</v>
      </c>
      <c r="AE82" s="5917"/>
      <c r="AF82" s="6160">
        <v>141</v>
      </c>
      <c r="AG82" s="6160">
        <v>25886456.226575345</v>
      </c>
      <c r="AH82" s="6160">
        <v>183591.88813174004</v>
      </c>
      <c r="AI82" s="5317"/>
      <c r="AJ82" s="6160">
        <v>140</v>
      </c>
      <c r="AK82" s="6160">
        <v>26624034.326575346</v>
      </c>
      <c r="AL82" s="6160">
        <v>190171.67376125246</v>
      </c>
      <c r="AM82" s="5317"/>
      <c r="AN82" s="6160">
        <v>142</v>
      </c>
      <c r="AO82" s="6160">
        <v>27257359.651575305</v>
      </c>
      <c r="AP82" s="6160">
        <v>191953.23698292469</v>
      </c>
      <c r="AQ82" s="5317"/>
      <c r="AR82" s="6160">
        <f>SUM(AR78:AR81)</f>
        <v>144</v>
      </c>
      <c r="AS82" s="6160">
        <f>SUM(AS78:AS81)</f>
        <v>27717554.461575344</v>
      </c>
      <c r="AT82" s="6160">
        <f>AS82/AR82</f>
        <v>192483.01709427324</v>
      </c>
      <c r="AU82" s="5317"/>
      <c r="AV82" s="6160">
        <f>SUM(AV78:AV81)</f>
        <v>136</v>
      </c>
      <c r="AW82" s="6160">
        <f>SUM(AW78:AW81)</f>
        <v>27117838.130000003</v>
      </c>
      <c r="AX82" s="6160">
        <f>AW82/AV82</f>
        <v>199395.86860294119</v>
      </c>
      <c r="AZ82" s="6160">
        <v>131</v>
      </c>
      <c r="BA82" s="6160">
        <v>27330367.630000003</v>
      </c>
      <c r="BB82" s="6160">
        <v>208628.76053435117</v>
      </c>
    </row>
    <row r="83" spans="2:54" ht="15.6">
      <c r="B83" s="6161" t="s">
        <v>412</v>
      </c>
      <c r="D83" s="6162">
        <f>SUM(D82,D77,D72)</f>
        <v>841</v>
      </c>
      <c r="E83" s="6162">
        <f>SUM(E82,E77,E72)</f>
        <v>116024176.27498288</v>
      </c>
      <c r="F83" s="6162">
        <f>+E83/D83</f>
        <v>137959.78153981318</v>
      </c>
      <c r="G83" s="5317"/>
      <c r="H83" s="6162">
        <f>SUM(H82,H77,H72)</f>
        <v>858</v>
      </c>
      <c r="I83" s="6162">
        <f>SUM(I82,I77,I72)</f>
        <v>123053513.79285958</v>
      </c>
      <c r="J83" s="6162">
        <f>+I83/H83</f>
        <v>143419.01374459159</v>
      </c>
      <c r="K83" s="8"/>
      <c r="L83" s="6162">
        <f>SUM(L82,L77,L72)</f>
        <v>875</v>
      </c>
      <c r="M83" s="6162">
        <f>SUM(M82,M77,M72)</f>
        <v>129890264.49340756</v>
      </c>
      <c r="N83" s="6162">
        <f>+M83/L83</f>
        <v>148446.01656389434</v>
      </c>
      <c r="O83" s="5317"/>
      <c r="P83" s="6162">
        <f>SUM(P82,P77,P72)</f>
        <v>889</v>
      </c>
      <c r="Q83" s="6162">
        <f>SUM(Q82,Q77,Q72)</f>
        <v>137243054.65655822</v>
      </c>
      <c r="R83" s="6162">
        <f>+Q83/P83</f>
        <v>154379.13909624095</v>
      </c>
      <c r="S83" s="8"/>
      <c r="T83" s="6162">
        <f>SUM(T82,T77,T72)</f>
        <v>884</v>
      </c>
      <c r="U83" s="6162">
        <f>SUM(U82,U77,U72)</f>
        <v>142393574.55655825</v>
      </c>
      <c r="V83" s="6162">
        <f>+U83/T83</f>
        <v>161078.7042495003</v>
      </c>
      <c r="W83" s="25"/>
      <c r="X83" s="6162">
        <v>877</v>
      </c>
      <c r="Y83" s="6162">
        <v>146280871.62865138</v>
      </c>
      <c r="Z83" s="6162">
        <v>166796.88897223645</v>
      </c>
      <c r="AA83" s="8"/>
      <c r="AB83" s="6162">
        <v>848</v>
      </c>
      <c r="AC83" s="6162">
        <v>147279716.89615142</v>
      </c>
      <c r="AD83" s="6162">
        <v>173678.91143414084</v>
      </c>
      <c r="AE83" s="5917"/>
      <c r="AF83" s="6162">
        <v>837</v>
      </c>
      <c r="AG83" s="6162">
        <v>150847686.18204179</v>
      </c>
      <c r="AH83" s="6162">
        <v>180224.23677663296</v>
      </c>
      <c r="AI83" s="5317"/>
      <c r="AJ83" s="6162">
        <f>SUM(AJ82,AJ77,AJ72)</f>
        <v>809</v>
      </c>
      <c r="AK83" s="6162">
        <f>SUM(AK82,AK77,AK72)</f>
        <v>150706482.31204179</v>
      </c>
      <c r="AL83" s="6162">
        <f>+AK83/AJ83</f>
        <v>186287.36997780195</v>
      </c>
      <c r="AM83" s="5317"/>
      <c r="AN83" s="6163">
        <v>802</v>
      </c>
      <c r="AO83" s="6163">
        <v>152274854.80608267</v>
      </c>
      <c r="AP83" s="6163">
        <v>189868.896266936</v>
      </c>
      <c r="AQ83" s="5317"/>
      <c r="AR83" s="6164">
        <f>SUM(AR82,AR77,AR72)</f>
        <v>786</v>
      </c>
      <c r="AS83" s="6164">
        <f>SUM(AS82,AS77,AS72)</f>
        <v>154814944.30094588</v>
      </c>
      <c r="AT83" s="6164">
        <f>AS83/AR83</f>
        <v>196965.57799102529</v>
      </c>
      <c r="AU83" s="5317"/>
      <c r="AV83" s="6163">
        <f>SUM(AV82,AV77,AV72)</f>
        <v>762</v>
      </c>
      <c r="AW83" s="6163">
        <f>SUM(AW82,AW77,AW72)</f>
        <v>155945409.97999999</v>
      </c>
      <c r="AX83" s="6164">
        <f>AW83/AV83</f>
        <v>204652.76900262467</v>
      </c>
      <c r="AZ83" s="6163">
        <v>734</v>
      </c>
      <c r="BA83" s="6163">
        <v>154765999.60000002</v>
      </c>
      <c r="BB83" s="6164">
        <v>210852.86049046321</v>
      </c>
    </row>
    <row r="84" spans="2:54" ht="15.6">
      <c r="B84" s="89"/>
      <c r="D84" s="2367"/>
      <c r="E84" s="2367"/>
      <c r="F84" s="2367"/>
      <c r="G84" s="5317"/>
      <c r="H84" s="2367"/>
      <c r="I84" s="2367"/>
      <c r="J84" s="2367"/>
      <c r="K84" s="8"/>
      <c r="L84" s="2367"/>
      <c r="M84" s="2367"/>
      <c r="N84" s="2367"/>
      <c r="O84" s="5317"/>
      <c r="P84" s="2367"/>
      <c r="Q84" s="2367"/>
      <c r="R84" s="2367"/>
      <c r="S84" s="8"/>
      <c r="T84" s="2367"/>
      <c r="U84" s="2367"/>
      <c r="V84" s="2367"/>
      <c r="W84" s="25"/>
      <c r="X84" s="2367"/>
      <c r="Y84" s="2367"/>
      <c r="Z84" s="2367"/>
      <c r="AA84" s="8"/>
      <c r="AB84" s="2367"/>
      <c r="AC84" s="2367"/>
      <c r="AD84" s="2367"/>
      <c r="AE84" s="5917"/>
      <c r="AF84" s="2367"/>
      <c r="AG84" s="2367"/>
      <c r="AH84" s="2367"/>
      <c r="AI84" s="5317"/>
      <c r="AJ84" s="2367"/>
      <c r="AK84" s="2367"/>
      <c r="AL84" s="2367"/>
      <c r="AM84" s="5317"/>
      <c r="AN84" s="4174"/>
      <c r="AO84" s="4174"/>
      <c r="AP84" s="4174"/>
      <c r="AQ84" s="5317"/>
      <c r="AR84" s="4174"/>
      <c r="AS84" s="4174"/>
      <c r="AT84" s="4174"/>
      <c r="AU84" s="5317"/>
      <c r="AV84" s="4174"/>
      <c r="AW84" s="4174"/>
      <c r="AX84" s="4174"/>
      <c r="AZ84" s="4174"/>
      <c r="BA84" s="4174"/>
      <c r="BB84" s="4174"/>
    </row>
    <row r="85" spans="2:54" ht="16.2" thickBot="1">
      <c r="B85" s="1724" t="s">
        <v>112</v>
      </c>
      <c r="D85" s="1725">
        <f>SUM(D83,D67,D54,D36,D23)</f>
        <v>2604</v>
      </c>
      <c r="E85" s="1725">
        <f>SUM(E83,E67,E54,E36,E23)</f>
        <v>348680185.3495822</v>
      </c>
      <c r="F85" s="1725">
        <f>+E85/D85</f>
        <v>133901.76088693633</v>
      </c>
      <c r="G85" s="5317"/>
      <c r="H85" s="1725">
        <f>SUM(H83,H67,H54,H36,H23)</f>
        <v>2663</v>
      </c>
      <c r="I85" s="1725">
        <f>SUM(I83,I67,I54,I36,I23)</f>
        <v>370555395.22896576</v>
      </c>
      <c r="J85" s="1725">
        <f>+I85/H85</f>
        <v>139149.603916247</v>
      </c>
      <c r="K85" s="8"/>
      <c r="L85" s="1725">
        <f>SUM(L83,L67,L54,L36,L23)</f>
        <v>2710</v>
      </c>
      <c r="M85" s="1725">
        <f>SUM(M83,M67,M54,M36,M23)</f>
        <v>393002106.65560961</v>
      </c>
      <c r="N85" s="1725">
        <f>+M85/L85</f>
        <v>145019.22754819543</v>
      </c>
      <c r="O85" s="5317"/>
      <c r="P85" s="1725">
        <f>SUM(P83,P67,P54,P36,P23)</f>
        <v>2759</v>
      </c>
      <c r="Q85" s="1725">
        <f>SUM(Q83,Q67,Q54,Q36,Q23)</f>
        <v>414906287.20976025</v>
      </c>
      <c r="R85" s="1725">
        <f>+Q85/P85</f>
        <v>150382.85147146077</v>
      </c>
      <c r="S85" s="8"/>
      <c r="T85" s="1725">
        <f>SUM(T83,T67,T54,T36,T23)</f>
        <v>2769</v>
      </c>
      <c r="U85" s="1725">
        <f>SUM(U83,U67,U54,U36,U23)</f>
        <v>433378917.34332204</v>
      </c>
      <c r="V85" s="1725">
        <f>+U85/T85</f>
        <v>156510.98495605707</v>
      </c>
      <c r="W85" s="25"/>
      <c r="X85" s="1725">
        <v>2752</v>
      </c>
      <c r="Y85" s="1725">
        <v>448533176.79707259</v>
      </c>
      <c r="Z85" s="1725">
        <v>162984.4392431223</v>
      </c>
      <c r="AA85" s="8"/>
      <c r="AB85" s="1725">
        <v>2731</v>
      </c>
      <c r="AC85" s="1725">
        <v>462643249.89964116</v>
      </c>
      <c r="AD85" s="1725">
        <v>169404.33903318972</v>
      </c>
      <c r="AE85" s="25"/>
      <c r="AF85" s="1725">
        <v>2687</v>
      </c>
      <c r="AG85" s="1725">
        <v>476174671.95662749</v>
      </c>
      <c r="AH85" s="1725">
        <v>177214.24337797821</v>
      </c>
      <c r="AI85" s="5317"/>
      <c r="AJ85" s="1725">
        <f>SUM(AJ83,AJ67,AJ54,AJ36,AJ23)</f>
        <v>2641</v>
      </c>
      <c r="AK85" s="1725">
        <f>SUM(AK83,AK67,AK54,AK36,AK23)</f>
        <v>483937711.55998361</v>
      </c>
      <c r="AL85" s="1725">
        <f>+AK85/AJ85</f>
        <v>183240.33001135313</v>
      </c>
      <c r="AM85" s="5317"/>
      <c r="AN85" s="1725">
        <f>SUM(AN83,AN67,AN54,AN36,AN23)</f>
        <v>2647</v>
      </c>
      <c r="AO85" s="1725">
        <f>SUM(AO83,AO67,AO54,AO36,AO23)</f>
        <v>494604675.0957911</v>
      </c>
      <c r="AP85" s="1725">
        <f>+AO85/AN85</f>
        <v>186854.8073652403</v>
      </c>
      <c r="AQ85" s="5317"/>
      <c r="AR85" s="1725">
        <f>SUM(AR83,AR67,AR54,AR36,AR23)</f>
        <v>2615</v>
      </c>
      <c r="AS85" s="1725">
        <f>SUM(AS83,AS67,AS54,AS36,AS23)</f>
        <v>507955400.96470958</v>
      </c>
      <c r="AT85" s="1725">
        <f>+AS85/AR85</f>
        <v>194246.80725227899</v>
      </c>
      <c r="AU85" s="5317"/>
      <c r="AV85" s="1725">
        <f>SUM(AV83,AV67,AV54,AV36,AV23)</f>
        <v>2547</v>
      </c>
      <c r="AW85" s="1725">
        <f>SUM(AW83,AW67,AW54,AW36,AW23)</f>
        <v>514176360.12</v>
      </c>
      <c r="AX85" s="1725">
        <f>+AW85/AV85</f>
        <v>201875.28862190814</v>
      </c>
      <c r="AZ85" s="1725">
        <v>2466</v>
      </c>
      <c r="BA85" s="1725">
        <v>515749111.58000004</v>
      </c>
      <c r="BB85" s="1725">
        <v>209144.00307380399</v>
      </c>
    </row>
    <row r="86" spans="2:54" ht="15.6">
      <c r="B86" s="89"/>
      <c r="D86" s="89"/>
      <c r="E86" s="89"/>
      <c r="F86" s="89"/>
      <c r="G86" s="5317"/>
      <c r="H86" s="89"/>
      <c r="I86" s="89"/>
      <c r="J86" s="89"/>
      <c r="K86" s="8"/>
      <c r="L86" s="89"/>
      <c r="M86" s="89"/>
      <c r="N86" s="89"/>
      <c r="O86" s="2417"/>
      <c r="P86" s="89"/>
      <c r="Q86" s="89"/>
      <c r="R86" s="89"/>
      <c r="S86" s="8"/>
      <c r="T86" s="89"/>
      <c r="U86" s="89"/>
      <c r="V86" s="89"/>
      <c r="W86" s="25"/>
      <c r="X86" s="89"/>
      <c r="Y86" s="89"/>
      <c r="Z86" s="89"/>
      <c r="AA86" s="8"/>
      <c r="AB86" s="89"/>
      <c r="AC86" s="89"/>
      <c r="AD86" s="89"/>
      <c r="AE86" s="25"/>
      <c r="AF86" s="89"/>
      <c r="AG86" s="89"/>
      <c r="AH86" s="89"/>
      <c r="AI86" s="2107"/>
      <c r="AJ86" s="89"/>
      <c r="AK86" s="89"/>
      <c r="AL86" s="89"/>
      <c r="AM86" s="5317"/>
      <c r="AN86" s="89"/>
      <c r="AO86" s="89"/>
      <c r="AP86" s="89"/>
      <c r="AQ86" s="5317"/>
      <c r="AR86" s="4174"/>
      <c r="AS86" s="4174"/>
      <c r="AT86" s="4174"/>
      <c r="AU86" s="5317"/>
      <c r="AV86" s="4174"/>
      <c r="AW86" s="4174"/>
      <c r="AX86" s="4174"/>
      <c r="AZ86" s="4174"/>
      <c r="BA86" s="4174"/>
      <c r="BB86" s="4174"/>
    </row>
    <row r="87" spans="2:54" ht="15.6">
      <c r="B87" s="6512" t="s">
        <v>1018</v>
      </c>
      <c r="D87" s="89"/>
      <c r="E87" s="89"/>
      <c r="F87" s="89"/>
      <c r="H87" s="89"/>
      <c r="I87" s="89"/>
      <c r="J87" s="1726">
        <f>J85/F85-1</f>
        <v>3.919174023216776E-2</v>
      </c>
      <c r="K87" s="2417"/>
      <c r="L87" s="89"/>
      <c r="M87" s="89"/>
      <c r="N87" s="1726">
        <f>N85/J85-1</f>
        <v>4.218210808189804E-2</v>
      </c>
      <c r="O87" s="2417"/>
      <c r="P87" s="89"/>
      <c r="Q87" s="89"/>
      <c r="R87" s="1726">
        <f>R85/N85-1</f>
        <v>3.6985605384519227E-2</v>
      </c>
      <c r="S87" s="8"/>
      <c r="T87" s="89"/>
      <c r="U87" s="89"/>
      <c r="V87" s="1726">
        <f>V85/R85-1</f>
        <v>4.0750214699574849E-2</v>
      </c>
      <c r="W87" s="25"/>
      <c r="X87" s="89"/>
      <c r="Y87" s="89"/>
      <c r="Z87" s="1726">
        <f>Z85/V85-1</f>
        <v>4.1361021968411738E-2</v>
      </c>
      <c r="AA87" s="2417"/>
      <c r="AB87" s="89"/>
      <c r="AC87" s="89"/>
      <c r="AD87" s="1726">
        <f>AD85/Z85-1</f>
        <v>3.9389648606213967E-2</v>
      </c>
      <c r="AE87" s="25"/>
      <c r="AF87" s="89"/>
      <c r="AG87" s="89"/>
      <c r="AH87" s="1726">
        <f>AH85/AD85-1</f>
        <v>4.6102150566865729E-2</v>
      </c>
      <c r="AI87" s="2107"/>
      <c r="AJ87" s="89"/>
      <c r="AK87" s="89"/>
      <c r="AL87" s="1726">
        <f>AL85/AH85-1</f>
        <v>3.400452761870798E-2</v>
      </c>
      <c r="AN87" s="89"/>
      <c r="AO87" s="89"/>
      <c r="AP87" s="1726">
        <f>AP85/AL85-1</f>
        <v>1.9725337504375995E-2</v>
      </c>
      <c r="AR87" s="4174"/>
      <c r="AS87" s="4174"/>
      <c r="AT87" s="5079">
        <f>AT85/AP85-1</f>
        <v>3.956012687749455E-2</v>
      </c>
      <c r="AU87" s="5317"/>
      <c r="AV87" s="4174"/>
      <c r="AW87" s="4174"/>
      <c r="AX87" s="5079">
        <f>AX85/AT85-1</f>
        <v>3.9272106849723487E-2</v>
      </c>
      <c r="AZ87" s="4174"/>
      <c r="BA87" s="4174"/>
      <c r="BB87" s="5079">
        <v>3.6005964382839428E-2</v>
      </c>
    </row>
    <row r="88" spans="2:54" ht="15.6">
      <c r="K88" s="2417"/>
      <c r="S88" s="8"/>
      <c r="W88" s="25"/>
      <c r="AA88" s="2417"/>
      <c r="AE88" s="25"/>
    </row>
    <row r="89" spans="2:54">
      <c r="K89" s="2417"/>
      <c r="S89" s="2417"/>
      <c r="V89" s="25"/>
      <c r="W89" s="25"/>
      <c r="Z89" s="25"/>
      <c r="AA89" s="2417"/>
      <c r="AD89" s="25"/>
      <c r="AE89" s="25"/>
    </row>
    <row r="90" spans="2:54">
      <c r="K90" s="2417"/>
      <c r="S90" s="2417"/>
      <c r="AA90" s="2417"/>
    </row>
  </sheetData>
  <mergeCells count="14">
    <mergeCell ref="AZ3:BB3"/>
    <mergeCell ref="AV3:AX3"/>
    <mergeCell ref="AR3:AT3"/>
    <mergeCell ref="B3:B4"/>
    <mergeCell ref="T3:V3"/>
    <mergeCell ref="D3:F3"/>
    <mergeCell ref="H3:J3"/>
    <mergeCell ref="L3:N3"/>
    <mergeCell ref="P3:R3"/>
    <mergeCell ref="AN3:AP3"/>
    <mergeCell ref="AJ3:AL3"/>
    <mergeCell ref="AF3:AH3"/>
    <mergeCell ref="AB3:AD3"/>
    <mergeCell ref="X3:Z3"/>
  </mergeCells>
  <printOptions horizontalCentered="1" verticalCentered="1"/>
  <pageMargins left="0.70866141732283472" right="0.70866141732283472" top="0.74803149606299213" bottom="0.74803149606299213" header="0.31496062992125984" footer="0.31496062992125984"/>
  <pageSetup scale="55" firstPageNumber="44" orientation="landscape" useFirstPageNumber="1" r:id="rId1"/>
  <headerFooter scaleWithDoc="0" alignWithMargins="0">
    <oddFooter>&amp;R&amp;P</oddFooter>
  </headerFooter>
  <rowBreaks count="1" manualBreakCount="1">
    <brk id="54" min="35" max="53" man="1"/>
  </rowBreaks>
  <ignoredErrors>
    <ignoredError sqref="P10:R54 P85:R87 P56:R56 P58:R60 P62:R62 P66:R83 F66:F83 F62 F58:F60 F56 F85:F87 F10:F54 H66:J83 H62:J62 H58:J60 H56:J56 H85:J87 H10:J54 L66:N83 L62:N62 L58:N60 L56:N56 L85:N87 L10:N54" formula="1"/>
    <ignoredError sqref="T72:U72"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AD110"/>
  <sheetViews>
    <sheetView showGridLines="0" zoomScale="110" zoomScaleNormal="110" workbookViewId="0">
      <pane xSplit="2" ySplit="4" topLeftCell="R5" activePane="bottomRight" state="frozen"/>
      <selection activeCell="C65" sqref="C65:C67"/>
      <selection pane="topRight" activeCell="C65" sqref="C65:C67"/>
      <selection pane="bottomLeft" activeCell="C65" sqref="C65:C67"/>
      <selection pane="bottomRight" activeCell="R5" sqref="R5"/>
    </sheetView>
  </sheetViews>
  <sheetFormatPr baseColWidth="10" defaultColWidth="11.44140625" defaultRowHeight="13.8"/>
  <cols>
    <col min="1" max="1" width="2.44140625" style="26" customWidth="1"/>
    <col min="2" max="2" width="39.6640625" style="26" bestFit="1" customWidth="1"/>
    <col min="3" max="14" width="10.6640625" style="26" customWidth="1"/>
    <col min="15" max="15" width="11.44140625" style="26" customWidth="1"/>
    <col min="16" max="16384" width="11.44140625" style="26"/>
  </cols>
  <sheetData>
    <row r="1" spans="2:30" ht="29.25" customHeight="1">
      <c r="Y1" s="6946" t="s">
        <v>2687</v>
      </c>
      <c r="Z1" s="6946"/>
      <c r="AA1" s="6946"/>
      <c r="AB1" s="6946"/>
      <c r="AC1" s="6946"/>
      <c r="AD1" s="6946"/>
    </row>
    <row r="2" spans="2:30">
      <c r="AD2" s="6482" t="s">
        <v>1109</v>
      </c>
    </row>
    <row r="4" spans="2:30" ht="15" thickBot="1">
      <c r="B4" s="2111" t="s">
        <v>2438</v>
      </c>
      <c r="C4" s="3029" t="s">
        <v>3333</v>
      </c>
      <c r="D4" s="3027" t="s">
        <v>3334</v>
      </c>
      <c r="E4" s="3029" t="s">
        <v>869</v>
      </c>
      <c r="F4" s="3027" t="s">
        <v>870</v>
      </c>
      <c r="G4" s="3029" t="s">
        <v>868</v>
      </c>
      <c r="H4" s="3027" t="s">
        <v>871</v>
      </c>
      <c r="I4" s="3029" t="s">
        <v>872</v>
      </c>
      <c r="J4" s="3027" t="s">
        <v>873</v>
      </c>
      <c r="K4" s="3029" t="s">
        <v>874</v>
      </c>
      <c r="L4" s="3027" t="s">
        <v>875</v>
      </c>
      <c r="M4" s="3029" t="s">
        <v>1451</v>
      </c>
      <c r="N4" s="3027" t="s">
        <v>1452</v>
      </c>
      <c r="O4" s="3029" t="s">
        <v>1650</v>
      </c>
      <c r="P4" s="3027" t="s">
        <v>1651</v>
      </c>
      <c r="Q4" s="3029" t="s">
        <v>2249</v>
      </c>
      <c r="R4" s="3027" t="s">
        <v>2250</v>
      </c>
      <c r="S4" s="3030" t="s">
        <v>2402</v>
      </c>
      <c r="T4" s="3028" t="s">
        <v>2403</v>
      </c>
      <c r="U4" s="3030" t="s">
        <v>2458</v>
      </c>
      <c r="V4" s="3028" t="s">
        <v>2459</v>
      </c>
      <c r="W4" s="3030" t="s">
        <v>2657</v>
      </c>
      <c r="X4" s="3028" t="s">
        <v>2658</v>
      </c>
      <c r="Y4" s="3030" t="s">
        <v>2784</v>
      </c>
      <c r="Z4" s="3028" t="s">
        <v>2785</v>
      </c>
      <c r="AA4" s="3030" t="s">
        <v>3044</v>
      </c>
      <c r="AB4" s="3028" t="s">
        <v>3045</v>
      </c>
      <c r="AC4" s="3030" t="s">
        <v>3286</v>
      </c>
      <c r="AD4" s="3028" t="s">
        <v>3287</v>
      </c>
    </row>
    <row r="5" spans="2:30" ht="14.4">
      <c r="B5" s="2422" t="s">
        <v>5</v>
      </c>
      <c r="C5" s="6546">
        <v>4.6511627906976744E-2</v>
      </c>
      <c r="D5" s="6546">
        <v>0</v>
      </c>
      <c r="E5" s="4191">
        <v>0</v>
      </c>
      <c r="F5" s="2910">
        <v>0</v>
      </c>
      <c r="G5" s="2909">
        <v>0</v>
      </c>
      <c r="H5" s="2910">
        <v>0</v>
      </c>
      <c r="I5" s="2909">
        <v>0</v>
      </c>
      <c r="J5" s="2910">
        <v>1.0638297872340425E-2</v>
      </c>
      <c r="K5" s="2909">
        <v>0</v>
      </c>
      <c r="L5" s="2910">
        <v>8.5470085470085479E-3</v>
      </c>
      <c r="M5" s="2909">
        <v>0</v>
      </c>
      <c r="N5" s="2910">
        <v>0</v>
      </c>
      <c r="O5" s="4191">
        <v>0</v>
      </c>
      <c r="P5" s="2910">
        <v>0</v>
      </c>
      <c r="Q5" s="4191">
        <v>1.8518518518518517E-2</v>
      </c>
      <c r="R5" s="2910">
        <v>1.8867924528301886E-2</v>
      </c>
      <c r="S5" s="4191">
        <v>2.2222222222222223E-2</v>
      </c>
      <c r="T5" s="2910">
        <v>1.7543859649122806E-2</v>
      </c>
      <c r="U5" s="4191">
        <v>2.9411764705882353E-2</v>
      </c>
      <c r="V5" s="2910">
        <v>0</v>
      </c>
      <c r="W5" s="2909">
        <v>0</v>
      </c>
      <c r="X5" s="3041">
        <v>3.6363636363636362E-2</v>
      </c>
      <c r="Y5" s="4191">
        <v>0</v>
      </c>
      <c r="Z5" s="3041">
        <v>0</v>
      </c>
      <c r="AA5" s="4191">
        <v>0</v>
      </c>
      <c r="AB5" s="3041">
        <v>0</v>
      </c>
      <c r="AC5" s="4191">
        <v>0</v>
      </c>
      <c r="AD5" s="3041">
        <v>0</v>
      </c>
    </row>
    <row r="6" spans="2:30" ht="14.4">
      <c r="B6" s="2423" t="s">
        <v>6</v>
      </c>
      <c r="C6" s="6547">
        <v>2.1276595744680851E-2</v>
      </c>
      <c r="D6" s="6547">
        <v>1.3888888888888888E-2</v>
      </c>
      <c r="E6" s="4192">
        <v>0</v>
      </c>
      <c r="F6" s="2912">
        <v>0</v>
      </c>
      <c r="G6" s="2911">
        <v>0</v>
      </c>
      <c r="H6" s="2912">
        <v>0</v>
      </c>
      <c r="I6" s="2911">
        <v>0</v>
      </c>
      <c r="J6" s="2912">
        <v>1.1235955056179775E-2</v>
      </c>
      <c r="K6" s="2911">
        <v>0</v>
      </c>
      <c r="L6" s="2912">
        <v>2.9197080291970802E-2</v>
      </c>
      <c r="M6" s="2911">
        <v>9.8039215686274508E-3</v>
      </c>
      <c r="N6" s="2912">
        <v>0</v>
      </c>
      <c r="O6" s="4192">
        <v>0</v>
      </c>
      <c r="P6" s="2912">
        <v>0.02</v>
      </c>
      <c r="Q6" s="4192">
        <v>1.6129032258064516E-2</v>
      </c>
      <c r="R6" s="2912">
        <v>0</v>
      </c>
      <c r="S6" s="4192">
        <v>1.9607843137254902E-2</v>
      </c>
      <c r="T6" s="2912">
        <v>2.0408163265306121E-2</v>
      </c>
      <c r="U6" s="4192">
        <v>2.8571428571428571E-2</v>
      </c>
      <c r="V6" s="2912">
        <v>0</v>
      </c>
      <c r="W6" s="2911">
        <v>0</v>
      </c>
      <c r="X6" s="3042">
        <v>6.1538461538461542E-2</v>
      </c>
      <c r="Y6" s="4192">
        <v>1.6129032258064516E-2</v>
      </c>
      <c r="Z6" s="3042">
        <v>3.7037037037037035E-2</v>
      </c>
      <c r="AA6" s="4192">
        <v>3.1746031746031744E-2</v>
      </c>
      <c r="AB6" s="3042">
        <v>1.6666666666666666E-2</v>
      </c>
      <c r="AC6" s="4192">
        <v>0</v>
      </c>
      <c r="AD6" s="3042">
        <v>0</v>
      </c>
    </row>
    <row r="7" spans="2:30" ht="14.4">
      <c r="B7" s="2423" t="s">
        <v>7</v>
      </c>
      <c r="C7" s="6547">
        <v>0</v>
      </c>
      <c r="D7" s="6547">
        <v>0</v>
      </c>
      <c r="E7" s="4192">
        <v>0</v>
      </c>
      <c r="F7" s="2912">
        <v>0</v>
      </c>
      <c r="G7" s="2911">
        <v>0</v>
      </c>
      <c r="H7" s="2912">
        <v>2.0408163265306121E-2</v>
      </c>
      <c r="I7" s="2911">
        <v>0</v>
      </c>
      <c r="J7" s="2912">
        <v>0</v>
      </c>
      <c r="K7" s="2911">
        <v>0</v>
      </c>
      <c r="L7" s="2912">
        <v>0</v>
      </c>
      <c r="M7" s="2911">
        <v>0</v>
      </c>
      <c r="N7" s="2912">
        <v>0</v>
      </c>
      <c r="O7" s="4192">
        <v>0</v>
      </c>
      <c r="P7" s="2912">
        <v>0</v>
      </c>
      <c r="Q7" s="4192">
        <v>0</v>
      </c>
      <c r="R7" s="2912">
        <v>0</v>
      </c>
      <c r="S7" s="4192">
        <v>0</v>
      </c>
      <c r="T7" s="2912">
        <v>3.7037037037037035E-2</v>
      </c>
      <c r="U7" s="4192">
        <v>0</v>
      </c>
      <c r="V7" s="2912">
        <v>0</v>
      </c>
      <c r="W7" s="2911">
        <v>0</v>
      </c>
      <c r="X7" s="3042">
        <v>3.7037037037037035E-2</v>
      </c>
      <c r="Y7" s="4192">
        <v>0</v>
      </c>
      <c r="Z7" s="3042">
        <v>3.4482758620689655E-2</v>
      </c>
      <c r="AA7" s="4192">
        <v>3.4482758620689655E-2</v>
      </c>
      <c r="AB7" s="3042">
        <v>3.3333333333333333E-2</v>
      </c>
      <c r="AC7" s="4192">
        <v>0</v>
      </c>
      <c r="AD7" s="3042">
        <v>0</v>
      </c>
    </row>
    <row r="8" spans="2:30" ht="14.4">
      <c r="B8" s="2423" t="s">
        <v>8</v>
      </c>
      <c r="C8" s="6547">
        <v>0</v>
      </c>
      <c r="D8" s="6547">
        <v>0</v>
      </c>
      <c r="E8" s="4192">
        <v>0</v>
      </c>
      <c r="F8" s="2912">
        <v>0</v>
      </c>
      <c r="G8" s="2911">
        <v>0</v>
      </c>
      <c r="H8" s="2912">
        <v>0</v>
      </c>
      <c r="I8" s="2911">
        <v>0</v>
      </c>
      <c r="J8" s="2912">
        <v>0</v>
      </c>
      <c r="K8" s="2911">
        <v>0</v>
      </c>
      <c r="L8" s="2912">
        <v>1.7241379310344827E-2</v>
      </c>
      <c r="M8" s="2911">
        <v>0</v>
      </c>
      <c r="N8" s="2912">
        <v>0</v>
      </c>
      <c r="O8" s="4192">
        <v>0</v>
      </c>
      <c r="P8" s="2912">
        <v>0</v>
      </c>
      <c r="Q8" s="4192">
        <v>0</v>
      </c>
      <c r="R8" s="2912">
        <v>0</v>
      </c>
      <c r="S8" s="4192">
        <v>0</v>
      </c>
      <c r="T8" s="2912">
        <v>1.6129032258064516E-2</v>
      </c>
      <c r="U8" s="4192">
        <v>0</v>
      </c>
      <c r="V8" s="2912">
        <v>0</v>
      </c>
      <c r="W8" s="2911">
        <v>0</v>
      </c>
      <c r="X8" s="3042">
        <v>0</v>
      </c>
      <c r="Y8" s="4192">
        <v>0</v>
      </c>
      <c r="Z8" s="3042">
        <v>1.7543859649122806E-2</v>
      </c>
      <c r="AA8" s="4192">
        <v>0</v>
      </c>
      <c r="AB8" s="3042">
        <v>0</v>
      </c>
      <c r="AC8" s="4192">
        <v>1.4925373134328358E-2</v>
      </c>
      <c r="AD8" s="3042">
        <v>1.1494252873563218E-2</v>
      </c>
    </row>
    <row r="9" spans="2:30" ht="14.4">
      <c r="B9" s="2423" t="s">
        <v>9</v>
      </c>
      <c r="C9" s="6547">
        <v>2.6666666666666668E-2</v>
      </c>
      <c r="D9" s="6547">
        <v>2.0408163265306121E-2</v>
      </c>
      <c r="E9" s="4192">
        <v>0</v>
      </c>
      <c r="F9" s="2912">
        <v>0</v>
      </c>
      <c r="G9" s="2911">
        <v>0</v>
      </c>
      <c r="H9" s="2912">
        <v>0</v>
      </c>
      <c r="I9" s="2911">
        <v>0</v>
      </c>
      <c r="J9" s="2912">
        <v>2.6315789473684209E-2</v>
      </c>
      <c r="K9" s="2911">
        <v>0</v>
      </c>
      <c r="L9" s="2912">
        <v>2.1052631578947368E-2</v>
      </c>
      <c r="M9" s="2911">
        <v>9.7087378640776691E-3</v>
      </c>
      <c r="N9" s="2912">
        <v>0</v>
      </c>
      <c r="O9" s="4192">
        <v>0</v>
      </c>
      <c r="P9" s="2912">
        <v>3.5087719298245612E-2</v>
      </c>
      <c r="Q9" s="4192">
        <v>0</v>
      </c>
      <c r="R9" s="2912">
        <v>0</v>
      </c>
      <c r="S9" s="4192">
        <v>2.4390243902439025E-2</v>
      </c>
      <c r="T9" s="2912">
        <v>0</v>
      </c>
      <c r="U9" s="4192">
        <v>2.6315789473684209E-2</v>
      </c>
      <c r="V9" s="2912">
        <v>9.6774193548387094E-2</v>
      </c>
      <c r="W9" s="2911">
        <v>0</v>
      </c>
      <c r="X9" s="3042">
        <v>0</v>
      </c>
      <c r="Y9" s="4192">
        <v>0</v>
      </c>
      <c r="Z9" s="3042">
        <v>1.4925373134328358E-2</v>
      </c>
      <c r="AA9" s="4192">
        <v>0</v>
      </c>
      <c r="AB9" s="3042">
        <v>2.6315789473684209E-2</v>
      </c>
      <c r="AC9" s="4192">
        <v>0</v>
      </c>
      <c r="AD9" s="3042">
        <v>0</v>
      </c>
    </row>
    <row r="10" spans="2:30" ht="14.4">
      <c r="B10" s="2423" t="s">
        <v>10</v>
      </c>
      <c r="C10" s="6547">
        <v>3.5714285714285712E-2</v>
      </c>
      <c r="D10" s="6547">
        <v>0</v>
      </c>
      <c r="E10" s="4192">
        <v>3.6363636363636362E-2</v>
      </c>
      <c r="F10" s="2912">
        <v>0</v>
      </c>
      <c r="G10" s="2911">
        <v>0</v>
      </c>
      <c r="H10" s="2912">
        <v>0</v>
      </c>
      <c r="I10" s="2911">
        <v>0</v>
      </c>
      <c r="J10" s="2912">
        <v>1.5151515151515152E-2</v>
      </c>
      <c r="K10" s="2911">
        <v>0</v>
      </c>
      <c r="L10" s="2912">
        <v>0</v>
      </c>
      <c r="M10" s="2911">
        <v>1.9230769230769232E-2</v>
      </c>
      <c r="N10" s="2912">
        <v>1.8867924528301886E-2</v>
      </c>
      <c r="O10" s="4192">
        <v>0</v>
      </c>
      <c r="P10" s="2912">
        <v>0</v>
      </c>
      <c r="Q10" s="4192">
        <v>0</v>
      </c>
      <c r="R10" s="2912">
        <v>1.6949152542372881E-2</v>
      </c>
      <c r="S10" s="4192">
        <v>0</v>
      </c>
      <c r="T10" s="2912">
        <v>0</v>
      </c>
      <c r="U10" s="4192">
        <v>0</v>
      </c>
      <c r="V10" s="2912">
        <v>2.8571428571428571E-2</v>
      </c>
      <c r="W10" s="2911">
        <v>1.5873015873015872E-2</v>
      </c>
      <c r="X10" s="3042">
        <v>0</v>
      </c>
      <c r="Y10" s="4192">
        <v>4.4444444444444446E-2</v>
      </c>
      <c r="Z10" s="3042">
        <v>2.1276595744680851E-2</v>
      </c>
      <c r="AA10" s="4192">
        <v>4.3478260869565216E-2</v>
      </c>
      <c r="AB10" s="3042">
        <v>0</v>
      </c>
      <c r="AC10" s="4192">
        <v>1.2195121951219513E-2</v>
      </c>
      <c r="AD10" s="3042">
        <v>9.8039215686274508E-3</v>
      </c>
    </row>
    <row r="11" spans="2:30" ht="14.4">
      <c r="B11" s="2423" t="s">
        <v>11</v>
      </c>
      <c r="C11" s="6547">
        <v>0</v>
      </c>
      <c r="D11" s="6547">
        <v>0</v>
      </c>
      <c r="E11" s="4192">
        <v>0</v>
      </c>
      <c r="F11" s="2912">
        <v>0</v>
      </c>
      <c r="G11" s="2911">
        <v>0</v>
      </c>
      <c r="H11" s="2912">
        <v>0</v>
      </c>
      <c r="I11" s="2911">
        <v>0</v>
      </c>
      <c r="J11" s="2912">
        <v>0</v>
      </c>
      <c r="K11" s="2911">
        <v>0</v>
      </c>
      <c r="L11" s="2912">
        <v>0</v>
      </c>
      <c r="M11" s="2911">
        <v>0</v>
      </c>
      <c r="N11" s="2912">
        <v>0</v>
      </c>
      <c r="O11" s="4192">
        <v>0</v>
      </c>
      <c r="P11" s="2912">
        <v>0</v>
      </c>
      <c r="Q11" s="4192">
        <v>0</v>
      </c>
      <c r="R11" s="2912">
        <v>0.02</v>
      </c>
      <c r="S11" s="4192">
        <v>0</v>
      </c>
      <c r="T11" s="2912">
        <v>0</v>
      </c>
      <c r="U11" s="4192">
        <v>0</v>
      </c>
      <c r="V11" s="2912">
        <v>0</v>
      </c>
      <c r="W11" s="2911">
        <v>0</v>
      </c>
      <c r="X11" s="3042">
        <v>0</v>
      </c>
      <c r="Y11" s="4192">
        <v>1.8867924528301886E-2</v>
      </c>
      <c r="Z11" s="3042">
        <v>0</v>
      </c>
      <c r="AA11" s="4192">
        <v>0</v>
      </c>
      <c r="AB11" s="3042">
        <v>0</v>
      </c>
      <c r="AC11" s="4192">
        <v>2.7777777777777776E-2</v>
      </c>
      <c r="AD11" s="3042">
        <v>0</v>
      </c>
    </row>
    <row r="12" spans="2:30" ht="14.4">
      <c r="B12" s="2423" t="s">
        <v>12</v>
      </c>
      <c r="C12" s="6547">
        <v>0</v>
      </c>
      <c r="D12" s="6547">
        <v>0</v>
      </c>
      <c r="E12" s="4192">
        <v>5.8823529411764705E-2</v>
      </c>
      <c r="F12" s="2912">
        <v>9.3457943925233638E-3</v>
      </c>
      <c r="G12" s="2911">
        <v>0</v>
      </c>
      <c r="H12" s="2912">
        <v>4.0816326530612242E-2</v>
      </c>
      <c r="I12" s="2911">
        <v>2.8169014084507043E-2</v>
      </c>
      <c r="J12" s="2912">
        <v>1.1494252873563218E-2</v>
      </c>
      <c r="K12" s="2911">
        <v>9.7087378640776691E-3</v>
      </c>
      <c r="L12" s="2912">
        <v>2.3255813953488372E-2</v>
      </c>
      <c r="M12" s="2911">
        <v>0</v>
      </c>
      <c r="N12" s="2912">
        <v>0</v>
      </c>
      <c r="O12" s="4192">
        <v>0</v>
      </c>
      <c r="P12" s="2912">
        <v>0.02</v>
      </c>
      <c r="Q12" s="4192">
        <v>5.4545454545454543E-2</v>
      </c>
      <c r="R12" s="2912">
        <v>1.9230769230769232E-2</v>
      </c>
      <c r="S12" s="4192">
        <v>0</v>
      </c>
      <c r="T12" s="2912">
        <v>0</v>
      </c>
      <c r="U12" s="4192">
        <v>2.7777777777777776E-2</v>
      </c>
      <c r="V12" s="2912">
        <v>5.4054054054054057E-2</v>
      </c>
      <c r="W12" s="2911">
        <v>1.6129032258064516E-2</v>
      </c>
      <c r="X12" s="3042">
        <v>1.4285714285714285E-2</v>
      </c>
      <c r="Y12" s="4192">
        <v>1.5873015873015872E-2</v>
      </c>
      <c r="Z12" s="3042">
        <v>1.6129032258064516E-2</v>
      </c>
      <c r="AA12" s="4192">
        <v>0</v>
      </c>
      <c r="AB12" s="3042">
        <v>4.1095890410958902E-2</v>
      </c>
      <c r="AC12" s="4192">
        <v>0</v>
      </c>
      <c r="AD12" s="3042">
        <v>2.7027027027027029E-2</v>
      </c>
    </row>
    <row r="13" spans="2:30" ht="14.4">
      <c r="B13" s="2423" t="s">
        <v>13</v>
      </c>
      <c r="C13" s="6547">
        <v>0</v>
      </c>
      <c r="D13" s="6547">
        <v>0</v>
      </c>
      <c r="E13" s="4192">
        <v>0</v>
      </c>
      <c r="F13" s="2912">
        <v>0</v>
      </c>
      <c r="G13" s="2911">
        <v>1.4492753623188406E-2</v>
      </c>
      <c r="H13" s="2912">
        <v>0</v>
      </c>
      <c r="I13" s="2911">
        <v>0</v>
      </c>
      <c r="J13" s="2912">
        <v>9.5238095238095247E-3</v>
      </c>
      <c r="K13" s="2911">
        <v>0</v>
      </c>
      <c r="L13" s="2912">
        <v>1.5873015873015872E-2</v>
      </c>
      <c r="M13" s="2911">
        <v>0</v>
      </c>
      <c r="N13" s="2912">
        <v>1.5873015873015872E-2</v>
      </c>
      <c r="O13" s="4192">
        <v>0</v>
      </c>
      <c r="P13" s="2912">
        <v>0</v>
      </c>
      <c r="Q13" s="4192">
        <v>0</v>
      </c>
      <c r="R13" s="2912">
        <v>0</v>
      </c>
      <c r="S13" s="4192">
        <v>0</v>
      </c>
      <c r="T13" s="2912">
        <v>0</v>
      </c>
      <c r="U13" s="4192">
        <v>0</v>
      </c>
      <c r="V13" s="2912">
        <v>0</v>
      </c>
      <c r="W13" s="2911">
        <v>0</v>
      </c>
      <c r="X13" s="3042">
        <v>3.6363636363636362E-2</v>
      </c>
      <c r="Y13" s="4192">
        <v>0</v>
      </c>
      <c r="Z13" s="3042">
        <v>0</v>
      </c>
      <c r="AA13" s="4192">
        <v>0</v>
      </c>
      <c r="AB13" s="3042">
        <v>1.7241379310344827E-2</v>
      </c>
      <c r="AC13" s="4192">
        <v>0</v>
      </c>
      <c r="AD13" s="3042">
        <v>0</v>
      </c>
    </row>
    <row r="14" spans="2:30" ht="14.4">
      <c r="B14" s="2423" t="s">
        <v>14</v>
      </c>
      <c r="C14" s="6547">
        <v>0</v>
      </c>
      <c r="D14" s="6547">
        <v>1.098901098901099E-2</v>
      </c>
      <c r="E14" s="4192">
        <v>0</v>
      </c>
      <c r="F14" s="2912">
        <v>0</v>
      </c>
      <c r="G14" s="2911">
        <v>6.6225165562913907E-3</v>
      </c>
      <c r="H14" s="2912">
        <v>1.3513513513513514E-2</v>
      </c>
      <c r="I14" s="2911">
        <v>7.874015748031496E-3</v>
      </c>
      <c r="J14" s="2912">
        <v>0</v>
      </c>
      <c r="K14" s="2911">
        <v>7.8125E-3</v>
      </c>
      <c r="L14" s="2912">
        <v>0</v>
      </c>
      <c r="M14" s="2911">
        <v>3.2608695652173912E-2</v>
      </c>
      <c r="N14" s="2912">
        <v>1.5151515151515152E-2</v>
      </c>
      <c r="O14" s="4192">
        <v>2.7777777777777776E-2</v>
      </c>
      <c r="P14" s="2912">
        <v>1.7857142857142856E-2</v>
      </c>
      <c r="Q14" s="4192">
        <v>0</v>
      </c>
      <c r="R14" s="2912">
        <v>4.2553191489361701E-2</v>
      </c>
      <c r="S14" s="4192">
        <v>2.3809523809523808E-2</v>
      </c>
      <c r="T14" s="2912">
        <v>3.0769230769230771E-2</v>
      </c>
      <c r="U14" s="4192">
        <v>0</v>
      </c>
      <c r="V14" s="2912">
        <v>0.02</v>
      </c>
      <c r="W14" s="2911">
        <v>1.4492753623188406E-2</v>
      </c>
      <c r="X14" s="3042">
        <v>1.0309278350515464E-2</v>
      </c>
      <c r="Y14" s="4192">
        <v>0</v>
      </c>
      <c r="Z14" s="3042">
        <v>0</v>
      </c>
      <c r="AA14" s="4192">
        <v>4.5454545454545456E-2</v>
      </c>
      <c r="AB14" s="3042">
        <v>3.3707865168539325E-2</v>
      </c>
      <c r="AC14" s="4192">
        <v>2.247191011235955E-2</v>
      </c>
      <c r="AD14" s="3042">
        <v>1.4814814814814815E-2</v>
      </c>
    </row>
    <row r="15" spans="2:30" ht="14.4">
      <c r="B15" s="2424" t="s">
        <v>482</v>
      </c>
      <c r="C15" s="6545">
        <v>1.1111111111111112E-2</v>
      </c>
      <c r="D15" s="6545">
        <v>7.4999999999999997E-3</v>
      </c>
      <c r="E15" s="2923">
        <v>7.9239302694136295E-3</v>
      </c>
      <c r="F15" s="2914">
        <v>1.2804097311139564E-3</v>
      </c>
      <c r="G15" s="2913">
        <v>3.1201248049921998E-3</v>
      </c>
      <c r="H15" s="2914">
        <v>7.9365079365079361E-3</v>
      </c>
      <c r="I15" s="2913">
        <v>4.329004329004329E-3</v>
      </c>
      <c r="J15" s="2914">
        <v>9.2592592592592587E-3</v>
      </c>
      <c r="K15" s="2913">
        <v>2.3668639053254438E-3</v>
      </c>
      <c r="L15" s="2914">
        <v>1.3377926421404682E-2</v>
      </c>
      <c r="M15" s="2913">
        <v>7.829977628635347E-3</v>
      </c>
      <c r="N15" s="2914">
        <v>5.6497175141242938E-3</v>
      </c>
      <c r="O15" s="2923">
        <v>2.2779043280182231E-3</v>
      </c>
      <c r="P15" s="2914">
        <v>1.0101010101010102E-2</v>
      </c>
      <c r="Q15" s="2923">
        <v>9.3109869646182501E-3</v>
      </c>
      <c r="R15" s="2914">
        <v>1.1627906976744186E-2</v>
      </c>
      <c r="S15" s="2923">
        <v>9.6153846153846159E-3</v>
      </c>
      <c r="T15" s="2914">
        <v>1.2433392539964476E-2</v>
      </c>
      <c r="U15" s="2923">
        <v>1.1904761904761904E-2</v>
      </c>
      <c r="V15" s="2914">
        <v>1.6666666666666666E-2</v>
      </c>
      <c r="W15" s="2913">
        <v>5.6925996204933585E-3</v>
      </c>
      <c r="X15" s="3043">
        <v>1.9855595667870037E-2</v>
      </c>
      <c r="Y15" s="2923">
        <v>9.7465886939571145E-3</v>
      </c>
      <c r="Z15" s="3043">
        <v>1.364522417153996E-2</v>
      </c>
      <c r="AA15" s="2923">
        <v>1.5238095238095238E-2</v>
      </c>
      <c r="AB15" s="3043">
        <v>1.7000000000000001E-2</v>
      </c>
      <c r="AC15" s="2923">
        <v>7.2992700729927005E-3</v>
      </c>
      <c r="AD15" s="3043">
        <v>7.900677200902935E-3</v>
      </c>
    </row>
    <row r="16" spans="2:30" ht="14.4">
      <c r="B16" s="2423" t="s">
        <v>17</v>
      </c>
      <c r="C16" s="6547">
        <v>0.19</v>
      </c>
      <c r="D16" s="6547">
        <v>0.15032679738562091</v>
      </c>
      <c r="E16" s="4192">
        <v>0.21875</v>
      </c>
      <c r="F16" s="2912">
        <v>0.19354838709677419</v>
      </c>
      <c r="G16" s="2911">
        <v>0.30434782608695654</v>
      </c>
      <c r="H16" s="2912">
        <v>0.22222222222222221</v>
      </c>
      <c r="I16" s="2911">
        <v>0.21897810218978103</v>
      </c>
      <c r="J16" s="2912">
        <v>0.18115942028985507</v>
      </c>
      <c r="K16" s="2911">
        <v>0.12977099236641221</v>
      </c>
      <c r="L16" s="2912">
        <v>0.37614678899082571</v>
      </c>
      <c r="M16" s="2911">
        <v>0.2265625</v>
      </c>
      <c r="N16" s="2912">
        <v>0.28947368421052633</v>
      </c>
      <c r="O16" s="4192">
        <v>0.18115942028985507</v>
      </c>
      <c r="P16" s="2912">
        <v>0.17037037037037037</v>
      </c>
      <c r="Q16" s="4192">
        <v>0.11678832116788321</v>
      </c>
      <c r="R16" s="2912">
        <v>0.20567375886524822</v>
      </c>
      <c r="S16" s="4192">
        <v>6.0150375939849621E-2</v>
      </c>
      <c r="T16" s="2912">
        <v>0.22302158273381295</v>
      </c>
      <c r="U16" s="4192">
        <v>9.4890510948905105E-2</v>
      </c>
      <c r="V16" s="2912">
        <v>0.31386861313868614</v>
      </c>
      <c r="W16" s="2911">
        <v>0.23846153846153847</v>
      </c>
      <c r="X16" s="3042">
        <v>0.24025974025974026</v>
      </c>
      <c r="Y16" s="4192">
        <v>0.15966386554621848</v>
      </c>
      <c r="Z16" s="3042">
        <v>0.21333333333333335</v>
      </c>
      <c r="AA16" s="4192">
        <v>0.10714285714285714</v>
      </c>
      <c r="AB16" s="3042">
        <v>0.16535433070866143</v>
      </c>
      <c r="AC16" s="4192">
        <v>0.16556291390728478</v>
      </c>
      <c r="AD16" s="3042">
        <v>0.13402061855670103</v>
      </c>
    </row>
    <row r="17" spans="2:30" ht="14.4">
      <c r="B17" s="2423" t="s">
        <v>18</v>
      </c>
      <c r="C17" s="6547">
        <v>0.13333333333333333</v>
      </c>
      <c r="D17" s="6547">
        <v>0.16591928251121077</v>
      </c>
      <c r="E17" s="4192">
        <v>5.8823529411764705E-2</v>
      </c>
      <c r="F17" s="2912">
        <v>0.18699186991869918</v>
      </c>
      <c r="G17" s="2911">
        <v>0.12206572769953052</v>
      </c>
      <c r="H17" s="2912">
        <v>0.15422885572139303</v>
      </c>
      <c r="I17" s="2911">
        <v>0.21505376344086022</v>
      </c>
      <c r="J17" s="2912">
        <v>0.25</v>
      </c>
      <c r="K17" s="2911">
        <v>0.16113744075829384</v>
      </c>
      <c r="L17" s="2912">
        <v>0.18716577540106952</v>
      </c>
      <c r="M17" s="2911">
        <v>8.4905660377358486E-2</v>
      </c>
      <c r="N17" s="2912">
        <v>0.11940298507462686</v>
      </c>
      <c r="O17" s="4192">
        <v>5.701754385964912E-2</v>
      </c>
      <c r="P17" s="2912">
        <v>0.14953271028037382</v>
      </c>
      <c r="Q17" s="4192">
        <v>5.6872037914691941E-2</v>
      </c>
      <c r="R17" s="2912">
        <v>0.14018691588785046</v>
      </c>
      <c r="S17" s="4192">
        <v>0.107981220657277</v>
      </c>
      <c r="T17" s="2912">
        <v>0.25</v>
      </c>
      <c r="U17" s="4192">
        <v>0.13333333333333333</v>
      </c>
      <c r="V17" s="2912">
        <v>0.16666666666666666</v>
      </c>
      <c r="W17" s="2911">
        <v>9.9009900990099015E-2</v>
      </c>
      <c r="X17" s="3042">
        <v>0.25396825396825395</v>
      </c>
      <c r="Y17" s="4192">
        <v>0.1380952380952381</v>
      </c>
      <c r="Z17" s="3042">
        <v>0.23923444976076555</v>
      </c>
      <c r="AA17" s="4192">
        <v>4.7872340425531915E-2</v>
      </c>
      <c r="AB17" s="3042">
        <v>0.13432835820895522</v>
      </c>
      <c r="AC17" s="4192">
        <v>0.13026819923371646</v>
      </c>
      <c r="AD17" s="3042">
        <v>9.9644128113879002E-2</v>
      </c>
    </row>
    <row r="18" spans="2:30" ht="14.4">
      <c r="B18" s="2423" t="s">
        <v>19</v>
      </c>
      <c r="C18" s="6547">
        <v>0</v>
      </c>
      <c r="D18" s="6547">
        <v>0</v>
      </c>
      <c r="E18" s="4192">
        <v>1.4492753623188406E-2</v>
      </c>
      <c r="F18" s="2912">
        <v>0</v>
      </c>
      <c r="G18" s="2911">
        <v>9.9009900990099011E-3</v>
      </c>
      <c r="H18" s="2912">
        <v>2.5000000000000001E-2</v>
      </c>
      <c r="I18" s="2911">
        <v>3.1578947368421054E-2</v>
      </c>
      <c r="J18" s="2912">
        <v>0</v>
      </c>
      <c r="K18" s="2911">
        <v>0</v>
      </c>
      <c r="L18" s="2912">
        <v>5.6179775280898875E-2</v>
      </c>
      <c r="M18" s="2911">
        <v>0</v>
      </c>
      <c r="N18" s="2912">
        <v>1.1764705882352941E-2</v>
      </c>
      <c r="O18" s="4192">
        <v>2.0618556701030927E-2</v>
      </c>
      <c r="P18" s="2912">
        <v>2.8846153846153848E-2</v>
      </c>
      <c r="Q18" s="4192">
        <v>1.9607843137254902E-2</v>
      </c>
      <c r="R18" s="2912">
        <v>2.9702970297029702E-2</v>
      </c>
      <c r="S18" s="4192">
        <v>0</v>
      </c>
      <c r="T18" s="2912">
        <v>1.1363636363636364E-2</v>
      </c>
      <c r="U18" s="4192">
        <v>0</v>
      </c>
      <c r="V18" s="2912">
        <v>2.0833333333333332E-2</v>
      </c>
      <c r="W18" s="2911">
        <v>8.6206896551724137E-3</v>
      </c>
      <c r="X18" s="3042">
        <v>6.0150375939849621E-2</v>
      </c>
      <c r="Y18" s="4192">
        <v>0</v>
      </c>
      <c r="Z18" s="3042">
        <v>4.0268456375838924E-2</v>
      </c>
      <c r="AA18" s="4192">
        <v>7.462686567164179E-3</v>
      </c>
      <c r="AB18" s="3042">
        <v>8.5714285714285715E-2</v>
      </c>
      <c r="AC18" s="4192">
        <v>7.0921985815602842E-2</v>
      </c>
      <c r="AD18" s="3042">
        <v>5.7142857142857143E-3</v>
      </c>
    </row>
    <row r="19" spans="2:30" ht="14.4">
      <c r="B19" s="2423" t="s">
        <v>20</v>
      </c>
      <c r="C19" s="6547">
        <v>2.197802197802198E-2</v>
      </c>
      <c r="D19" s="6547">
        <v>0.1</v>
      </c>
      <c r="E19" s="4192">
        <v>8.6419753086419748E-2</v>
      </c>
      <c r="F19" s="2912">
        <v>3.9473684210526314E-2</v>
      </c>
      <c r="G19" s="2911">
        <v>0</v>
      </c>
      <c r="H19" s="2912">
        <v>0.05</v>
      </c>
      <c r="I19" s="2911">
        <v>0.04</v>
      </c>
      <c r="J19" s="2912">
        <v>4.7619047619047616E-2</v>
      </c>
      <c r="K19" s="2911">
        <v>1.2048192771084338E-2</v>
      </c>
      <c r="L19" s="2912">
        <v>3.5714285714285712E-2</v>
      </c>
      <c r="M19" s="2911">
        <v>0</v>
      </c>
      <c r="N19" s="2912">
        <v>1.098901098901099E-2</v>
      </c>
      <c r="O19" s="4192">
        <v>2.8301886792452831E-2</v>
      </c>
      <c r="P19" s="2912">
        <v>2.6785714285714284E-2</v>
      </c>
      <c r="Q19" s="4192">
        <v>0</v>
      </c>
      <c r="R19" s="2912">
        <v>1.0752688172043012E-2</v>
      </c>
      <c r="S19" s="4192">
        <v>9.9009900990099011E-3</v>
      </c>
      <c r="T19" s="2912">
        <v>1.1904761904761904E-2</v>
      </c>
      <c r="U19" s="4192">
        <v>0</v>
      </c>
      <c r="V19" s="2912">
        <v>0.10204081632653061</v>
      </c>
      <c r="W19" s="2911">
        <v>4.5977011494252873E-2</v>
      </c>
      <c r="X19" s="3042">
        <v>9.5238095238095247E-3</v>
      </c>
      <c r="Y19" s="4192">
        <v>3.7037037037037035E-2</v>
      </c>
      <c r="Z19" s="3042">
        <v>1.834862385321101E-2</v>
      </c>
      <c r="AA19" s="4192">
        <v>0</v>
      </c>
      <c r="AB19" s="3042">
        <v>3.4722222222222224E-2</v>
      </c>
      <c r="AC19" s="4192">
        <v>2.5000000000000001E-2</v>
      </c>
      <c r="AD19" s="3042">
        <v>6.1068702290076333E-2</v>
      </c>
    </row>
    <row r="20" spans="2:30" ht="14.4">
      <c r="B20" s="2424" t="s">
        <v>483</v>
      </c>
      <c r="C20" s="6545">
        <v>9.3908629441624369E-2</v>
      </c>
      <c r="D20" s="6545">
        <v>0.125</v>
      </c>
      <c r="E20" s="2923">
        <v>0.11041666666666666</v>
      </c>
      <c r="F20" s="2914">
        <v>0.11796246648793565</v>
      </c>
      <c r="G20" s="2913">
        <v>0.12</v>
      </c>
      <c r="H20" s="2914">
        <v>0.13333333333333333</v>
      </c>
      <c r="I20" s="2913">
        <v>0.14864864864864866</v>
      </c>
      <c r="J20" s="2914">
        <v>0.15722120658135283</v>
      </c>
      <c r="K20" s="2913">
        <v>9.9808061420345484E-2</v>
      </c>
      <c r="L20" s="2914">
        <v>0.17910447761194029</v>
      </c>
      <c r="M20" s="2913">
        <v>8.9184060721062622E-2</v>
      </c>
      <c r="N20" s="2914">
        <v>0.12016293279022404</v>
      </c>
      <c r="O20" s="2923">
        <v>7.5571177504393669E-2</v>
      </c>
      <c r="P20" s="2914">
        <v>0.1079646017699115</v>
      </c>
      <c r="Q20" s="2923">
        <v>5.4054054054054057E-2</v>
      </c>
      <c r="R20" s="2914">
        <v>0.11475409836065574</v>
      </c>
      <c r="S20" s="2923">
        <v>5.9701492537313432E-2</v>
      </c>
      <c r="T20" s="2914">
        <v>0.16635514018691588</v>
      </c>
      <c r="U20" s="2923">
        <v>7.7617328519855602E-2</v>
      </c>
      <c r="V20" s="2914">
        <v>0.16637478108581435</v>
      </c>
      <c r="W20" s="2913">
        <v>0.10467289719626169</v>
      </c>
      <c r="X20" s="3043">
        <v>0.17080745341614906</v>
      </c>
      <c r="Y20" s="2923">
        <v>9.3577981651376152E-2</v>
      </c>
      <c r="Z20" s="3043">
        <v>0.14586709886547811</v>
      </c>
      <c r="AA20" s="2923">
        <v>4.4609665427509292E-2</v>
      </c>
      <c r="AB20" s="3043">
        <v>0.105</v>
      </c>
      <c r="AC20" s="2923">
        <v>0.10698365527488855</v>
      </c>
      <c r="AD20" s="3043">
        <v>8.0665813060179253E-2</v>
      </c>
    </row>
    <row r="21" spans="2:30" ht="14.4">
      <c r="B21" s="2423" t="s">
        <v>22</v>
      </c>
      <c r="C21" s="6547">
        <v>3.2000000000000001E-2</v>
      </c>
      <c r="D21" s="6547">
        <v>9.0909090909090912E-2</v>
      </c>
      <c r="E21" s="4192">
        <v>7.1999999999999995E-2</v>
      </c>
      <c r="F21" s="2912">
        <v>0.11881188118811881</v>
      </c>
      <c r="G21" s="2911">
        <v>8.2644628099173556E-2</v>
      </c>
      <c r="H21" s="2912">
        <v>7.8947368421052627E-2</v>
      </c>
      <c r="I21" s="2911">
        <v>9.5238095238095233E-2</v>
      </c>
      <c r="J21" s="2912">
        <v>0.17525773195876287</v>
      </c>
      <c r="K21" s="2911">
        <v>1.9047619047619049E-2</v>
      </c>
      <c r="L21" s="2912">
        <v>0.11881188118811881</v>
      </c>
      <c r="M21" s="2911">
        <v>3.2967032967032968E-2</v>
      </c>
      <c r="N21" s="2912">
        <v>5.5555555555555552E-2</v>
      </c>
      <c r="O21" s="4192">
        <v>5.7471264367816091E-2</v>
      </c>
      <c r="P21" s="2912">
        <v>3.1914893617021274E-2</v>
      </c>
      <c r="Q21" s="4192">
        <v>0</v>
      </c>
      <c r="R21" s="2912">
        <v>0.1111111111111111</v>
      </c>
      <c r="S21" s="4192">
        <v>2.2727272727272728E-2</v>
      </c>
      <c r="T21" s="2912">
        <v>5.6179775280898875E-2</v>
      </c>
      <c r="U21" s="4192">
        <v>0.12903225806451613</v>
      </c>
      <c r="V21" s="2912">
        <v>0.14473684210526316</v>
      </c>
      <c r="W21" s="2911">
        <v>5.7142857142857141E-2</v>
      </c>
      <c r="X21" s="3042">
        <v>0.10588235294117647</v>
      </c>
      <c r="Y21" s="4192">
        <v>0.11564625850340136</v>
      </c>
      <c r="Z21" s="3042">
        <v>0.11678832116788321</v>
      </c>
      <c r="AA21" s="4192">
        <v>7.9136690647482008E-2</v>
      </c>
      <c r="AB21" s="3042">
        <v>0.18439716312056736</v>
      </c>
      <c r="AC21" s="4192">
        <v>0.1048951048951049</v>
      </c>
      <c r="AD21" s="3042">
        <v>4.4303797468354431E-2</v>
      </c>
    </row>
    <row r="22" spans="2:30" ht="14.4">
      <c r="B22" s="2423" t="s">
        <v>23</v>
      </c>
      <c r="C22" s="6547">
        <v>0.14864864864864866</v>
      </c>
      <c r="D22" s="6547">
        <v>0.12345679012345678</v>
      </c>
      <c r="E22" s="4192">
        <v>3.9473684210526314E-2</v>
      </c>
      <c r="F22" s="2912">
        <v>0.25</v>
      </c>
      <c r="G22" s="2911">
        <v>0.1728395061728395</v>
      </c>
      <c r="H22" s="2912">
        <v>0.13953488372093023</v>
      </c>
      <c r="I22" s="2911">
        <v>0.13253012048192772</v>
      </c>
      <c r="J22" s="2912">
        <v>0.36249999999999999</v>
      </c>
      <c r="K22" s="2911">
        <v>0.14457831325301204</v>
      </c>
      <c r="L22" s="2912">
        <v>0.36470588235294116</v>
      </c>
      <c r="M22" s="2911">
        <v>0.17647058823529413</v>
      </c>
      <c r="N22" s="2912">
        <v>0.20430107526881722</v>
      </c>
      <c r="O22" s="4192">
        <v>0.16494845360824742</v>
      </c>
      <c r="P22" s="2912">
        <v>0.25</v>
      </c>
      <c r="Q22" s="4192">
        <v>0.15873015873015872</v>
      </c>
      <c r="R22" s="2912">
        <v>0.3135593220338983</v>
      </c>
      <c r="S22" s="4192">
        <v>9.0909090909090912E-2</v>
      </c>
      <c r="T22" s="2912">
        <v>0.15178571428571427</v>
      </c>
      <c r="U22" s="4192">
        <v>0.19642857142857142</v>
      </c>
      <c r="V22" s="2912">
        <v>0.24812030075187969</v>
      </c>
      <c r="W22" s="2911">
        <v>0.27586206896551724</v>
      </c>
      <c r="X22" s="3042">
        <v>0.32666666666666666</v>
      </c>
      <c r="Y22" s="4192">
        <v>0.24561403508771928</v>
      </c>
      <c r="Z22" s="3042">
        <v>0.30973451327433627</v>
      </c>
      <c r="AA22" s="4192">
        <v>0.25663716814159293</v>
      </c>
      <c r="AB22" s="3042">
        <v>0.35772357723577236</v>
      </c>
      <c r="AC22" s="4192">
        <v>0.20161290322580644</v>
      </c>
      <c r="AD22" s="3042">
        <v>0.21985815602836881</v>
      </c>
    </row>
    <row r="23" spans="2:30" ht="14.4">
      <c r="B23" s="2423" t="s">
        <v>24</v>
      </c>
      <c r="C23" s="6547">
        <v>0</v>
      </c>
      <c r="D23" s="6547">
        <v>1.5151515151515152E-2</v>
      </c>
      <c r="E23" s="4192">
        <v>7.2727272727272724E-2</v>
      </c>
      <c r="F23" s="2912">
        <v>0.17307692307692307</v>
      </c>
      <c r="G23" s="2911">
        <v>5.2631578947368418E-2</v>
      </c>
      <c r="H23" s="2912">
        <v>0</v>
      </c>
      <c r="I23" s="2911">
        <v>0.1038961038961039</v>
      </c>
      <c r="J23" s="2912">
        <v>0.14285714285714285</v>
      </c>
      <c r="K23" s="2911">
        <v>5.7142857142857141E-2</v>
      </c>
      <c r="L23" s="2912">
        <v>0.14864864864864866</v>
      </c>
      <c r="M23" s="2911">
        <v>0.1044776119402985</v>
      </c>
      <c r="N23" s="2912">
        <v>6.4935064935064929E-2</v>
      </c>
      <c r="O23" s="4192">
        <v>0.1111111111111111</v>
      </c>
      <c r="P23" s="2912">
        <v>8.1081081081081086E-2</v>
      </c>
      <c r="Q23" s="4192">
        <v>0.10256410256410256</v>
      </c>
      <c r="R23" s="2912">
        <v>0.17948717948717949</v>
      </c>
      <c r="S23" s="4192">
        <v>5.6338028169014086E-2</v>
      </c>
      <c r="T23" s="2912">
        <v>0.15942028985507245</v>
      </c>
      <c r="U23" s="4192">
        <v>0.13333333333333333</v>
      </c>
      <c r="V23" s="2912">
        <v>0.15555555555555556</v>
      </c>
      <c r="W23" s="2911">
        <v>3.614457831325301E-2</v>
      </c>
      <c r="X23" s="3042">
        <v>0.2</v>
      </c>
      <c r="Y23" s="4192">
        <v>0.22105263157894736</v>
      </c>
      <c r="Z23" s="3042">
        <v>0.23170731707317074</v>
      </c>
      <c r="AA23" s="4192">
        <v>0.13333333333333333</v>
      </c>
      <c r="AB23" s="3042">
        <v>0.125</v>
      </c>
      <c r="AC23" s="4192">
        <v>0.11764705882352941</v>
      </c>
      <c r="AD23" s="3042">
        <v>1.1904761904761904E-2</v>
      </c>
    </row>
    <row r="24" spans="2:30" ht="14.4">
      <c r="B24" s="2424" t="s">
        <v>484</v>
      </c>
      <c r="C24" s="2923">
        <v>5.7471264367816091E-2</v>
      </c>
      <c r="D24" s="2914">
        <v>8.171206225680934E-2</v>
      </c>
      <c r="E24" s="2923">
        <v>6.25E-2</v>
      </c>
      <c r="F24" s="2914">
        <v>0.17467248908296942</v>
      </c>
      <c r="G24" s="2913">
        <v>0.10424710424710425</v>
      </c>
      <c r="H24" s="2914">
        <v>8.1395348837209308E-2</v>
      </c>
      <c r="I24" s="2913">
        <v>0.10943396226415095</v>
      </c>
      <c r="J24" s="2914">
        <v>0.22440944881889763</v>
      </c>
      <c r="K24" s="2913">
        <v>6.9767441860465115E-2</v>
      </c>
      <c r="L24" s="2914">
        <v>0.2076923076923077</v>
      </c>
      <c r="M24" s="2913">
        <v>0.1076923076923077</v>
      </c>
      <c r="N24" s="2914">
        <v>0.11153846153846154</v>
      </c>
      <c r="O24" s="2923">
        <v>0.11328125</v>
      </c>
      <c r="P24" s="2914">
        <v>0.12686567164179105</v>
      </c>
      <c r="Q24" s="2923">
        <v>9.5890410958904104E-2</v>
      </c>
      <c r="R24" s="2914">
        <v>0.21660649819494585</v>
      </c>
      <c r="S24" s="2923">
        <v>5.9479553903345722E-2</v>
      </c>
      <c r="T24" s="2914">
        <v>0.12222222222222222</v>
      </c>
      <c r="U24" s="2923">
        <v>0.15714285714285714</v>
      </c>
      <c r="V24" s="2914">
        <v>0.1939799331103679</v>
      </c>
      <c r="W24" s="2913">
        <v>0.1449814126394052</v>
      </c>
      <c r="X24" s="3043">
        <v>0.2323529411764706</v>
      </c>
      <c r="Y24" s="2923">
        <v>0.1853932584269663</v>
      </c>
      <c r="Z24" s="3043">
        <v>0.21084337349397592</v>
      </c>
      <c r="AA24" s="2923">
        <v>0.15204678362573099</v>
      </c>
      <c r="AB24" s="3043">
        <v>0.22500000000000001</v>
      </c>
      <c r="AC24" s="2923">
        <v>0.14204545454545456</v>
      </c>
      <c r="AD24" s="3043">
        <v>0.10182767624020887</v>
      </c>
    </row>
    <row r="25" spans="2:30" ht="14.4">
      <c r="B25" s="2428" t="s">
        <v>105</v>
      </c>
      <c r="C25" s="2915">
        <v>4.363636363636364E-2</v>
      </c>
      <c r="D25" s="2916">
        <v>5.9337913803872579E-2</v>
      </c>
      <c r="E25" s="2915">
        <v>5.4133138258961232E-2</v>
      </c>
      <c r="F25" s="2916">
        <v>6.146059291395517E-2</v>
      </c>
      <c r="G25" s="2915">
        <v>6.6440677966101688E-2</v>
      </c>
      <c r="H25" s="2916">
        <v>5.8858858858858859E-2</v>
      </c>
      <c r="I25" s="2915">
        <v>7.3848238482384823E-2</v>
      </c>
      <c r="J25" s="2916">
        <v>9.6339113680154145E-2</v>
      </c>
      <c r="K25" s="2915">
        <v>4.4334975369458129E-2</v>
      </c>
      <c r="L25" s="2916">
        <v>9.2250922509225092E-2</v>
      </c>
      <c r="M25" s="2915">
        <v>4.878048780487805E-2</v>
      </c>
      <c r="N25" s="2916">
        <v>7.0982839313572549E-2</v>
      </c>
      <c r="O25" s="2915">
        <v>5.7753164556962028E-2</v>
      </c>
      <c r="P25" s="2916">
        <v>7.5301204819277115E-2</v>
      </c>
      <c r="Q25" s="2915">
        <v>4.552023121387283E-2</v>
      </c>
      <c r="R25" s="2916">
        <v>9.6125186289120715E-2</v>
      </c>
      <c r="S25" s="2915">
        <v>4.2588042588042586E-2</v>
      </c>
      <c r="T25" s="2916">
        <v>9.4298245614035089E-2</v>
      </c>
      <c r="U25" s="2915">
        <v>7.7777777777777779E-2</v>
      </c>
      <c r="V25" s="2916">
        <v>0.12403100775193798</v>
      </c>
      <c r="W25" s="4142">
        <v>7.3628850488354616E-2</v>
      </c>
      <c r="X25" s="1998">
        <v>0.13003901170351106</v>
      </c>
      <c r="Y25" s="2915">
        <v>8.6280056577086275E-2</v>
      </c>
      <c r="Z25" s="1998">
        <v>0.11422708618331054</v>
      </c>
      <c r="AA25" s="2915">
        <v>5.9786476868327401E-2</v>
      </c>
      <c r="AB25" s="1998">
        <v>0.11600000000000001</v>
      </c>
      <c r="AC25" s="2915">
        <v>7.4269005847953221E-2</v>
      </c>
      <c r="AD25" s="1998">
        <v>5.3170731707317072E-2</v>
      </c>
    </row>
    <row r="26" spans="2:30" ht="14.4">
      <c r="B26" s="2427" t="s">
        <v>17</v>
      </c>
      <c r="C26" s="2427"/>
      <c r="D26" s="2918">
        <v>0</v>
      </c>
      <c r="E26" s="4195"/>
      <c r="F26" s="2918">
        <v>0.36065573770491804</v>
      </c>
      <c r="G26" s="2920">
        <v>0</v>
      </c>
      <c r="H26" s="2918">
        <v>0.22580645161290322</v>
      </c>
      <c r="I26" s="2920"/>
      <c r="J26" s="2918">
        <v>0</v>
      </c>
      <c r="K26" s="2920"/>
      <c r="L26" s="2918">
        <v>0.27586206896551724</v>
      </c>
      <c r="M26" s="2920"/>
      <c r="N26" s="2918">
        <v>0.25</v>
      </c>
      <c r="O26" s="4195"/>
      <c r="P26" s="2918">
        <v>0.36363636363636365</v>
      </c>
      <c r="Q26" s="4195">
        <v>0</v>
      </c>
      <c r="R26" s="2918">
        <v>0.1111111111111111</v>
      </c>
      <c r="S26" s="4195">
        <v>0.35714285714285715</v>
      </c>
      <c r="T26" s="2918">
        <v>0.41935483870967744</v>
      </c>
      <c r="U26" s="4195">
        <v>0.6428571428571429</v>
      </c>
      <c r="V26" s="2918">
        <v>0.27777777777777779</v>
      </c>
      <c r="W26" s="2920">
        <v>3.2258064516129031E-2</v>
      </c>
      <c r="X26" s="3044">
        <v>0</v>
      </c>
      <c r="Y26" s="4195">
        <v>6.8965517241379309E-2</v>
      </c>
      <c r="Z26" s="3044">
        <v>0.18181818181818182</v>
      </c>
      <c r="AA26" s="4195">
        <v>0.12903225806451613</v>
      </c>
      <c r="AB26" s="3044">
        <v>0.28125</v>
      </c>
      <c r="AC26" s="4195">
        <v>0.16556291390728478</v>
      </c>
      <c r="AD26" s="3044">
        <v>0.13402061855670103</v>
      </c>
    </row>
    <row r="27" spans="2:30" ht="14.4">
      <c r="B27" s="2427" t="s">
        <v>18</v>
      </c>
      <c r="C27" s="2427"/>
      <c r="D27" s="2918"/>
      <c r="E27" s="4195"/>
      <c r="F27" s="2918"/>
      <c r="G27" s="2920"/>
      <c r="H27" s="2918"/>
      <c r="I27" s="2920"/>
      <c r="J27" s="2918"/>
      <c r="K27" s="2920"/>
      <c r="L27" s="2918"/>
      <c r="M27" s="2920"/>
      <c r="N27" s="2918"/>
      <c r="O27" s="4195"/>
      <c r="P27" s="2918"/>
      <c r="Q27" s="4195"/>
      <c r="R27" s="2918"/>
      <c r="S27" s="4195"/>
      <c r="T27" s="2918"/>
      <c r="U27" s="4195">
        <v>0</v>
      </c>
      <c r="V27" s="2918">
        <v>0.22857142857142856</v>
      </c>
      <c r="W27" s="2920"/>
      <c r="X27" s="3044">
        <v>0</v>
      </c>
      <c r="Y27" s="4195">
        <v>0</v>
      </c>
      <c r="Z27" s="3044">
        <v>0.18181818181818182</v>
      </c>
      <c r="AA27" s="4195">
        <v>0</v>
      </c>
      <c r="AB27" s="3044">
        <v>0</v>
      </c>
      <c r="AC27" s="4195">
        <v>0.13026819923371646</v>
      </c>
      <c r="AD27" s="3044">
        <v>9.9644128113879002E-2</v>
      </c>
    </row>
    <row r="28" spans="2:30" ht="14.4">
      <c r="B28" s="2423" t="s">
        <v>60</v>
      </c>
      <c r="C28" s="2423"/>
      <c r="D28" s="2912"/>
      <c r="E28" s="4192"/>
      <c r="F28" s="2912">
        <v>0.41176470588235292</v>
      </c>
      <c r="G28" s="2911"/>
      <c r="H28" s="2912">
        <v>0.57894736842105265</v>
      </c>
      <c r="I28" s="2911"/>
      <c r="J28" s="2912">
        <v>5.8823529411764705E-2</v>
      </c>
      <c r="K28" s="2911"/>
      <c r="L28" s="2912">
        <v>4.7619047619047616E-2</v>
      </c>
      <c r="M28" s="2911"/>
      <c r="N28" s="2912">
        <v>0</v>
      </c>
      <c r="O28" s="4192"/>
      <c r="P28" s="2912">
        <v>0</v>
      </c>
      <c r="Q28" s="4192">
        <v>0</v>
      </c>
      <c r="R28" s="2912">
        <v>3.2258064516129031E-2</v>
      </c>
      <c r="S28" s="4192">
        <v>3.2258064516129031E-2</v>
      </c>
      <c r="T28" s="2912">
        <v>0</v>
      </c>
      <c r="U28" s="4192">
        <v>0</v>
      </c>
      <c r="V28" s="2912">
        <v>0</v>
      </c>
      <c r="W28" s="2911">
        <v>3.4482758620689655E-2</v>
      </c>
      <c r="X28" s="3042">
        <v>0</v>
      </c>
      <c r="Y28" s="4192">
        <v>6.25E-2</v>
      </c>
      <c r="Z28" s="3042">
        <v>0</v>
      </c>
      <c r="AA28" s="4192">
        <v>0</v>
      </c>
      <c r="AB28" s="3042">
        <v>0.04</v>
      </c>
      <c r="AC28" s="4192">
        <v>0.2</v>
      </c>
      <c r="AD28" s="3042">
        <v>0</v>
      </c>
    </row>
    <row r="29" spans="2:30" ht="14.4">
      <c r="B29" s="2423" t="s">
        <v>384</v>
      </c>
      <c r="C29" s="2423"/>
      <c r="D29" s="2912"/>
      <c r="E29" s="4194"/>
      <c r="F29" s="2912">
        <v>0.04</v>
      </c>
      <c r="G29" s="2919"/>
      <c r="H29" s="2912">
        <v>0</v>
      </c>
      <c r="I29" s="2919"/>
      <c r="J29" s="2912">
        <v>0</v>
      </c>
      <c r="K29" s="2919"/>
      <c r="L29" s="2912">
        <v>0</v>
      </c>
      <c r="M29" s="2919"/>
      <c r="N29" s="2912">
        <v>3.8461538461538464E-2</v>
      </c>
      <c r="O29" s="4194">
        <v>0</v>
      </c>
      <c r="P29" s="2912">
        <v>0</v>
      </c>
      <c r="Q29" s="4194"/>
      <c r="R29" s="2912">
        <v>0</v>
      </c>
      <c r="S29" s="4194">
        <v>0</v>
      </c>
      <c r="T29" s="2912">
        <v>0</v>
      </c>
      <c r="U29" s="4194">
        <v>0</v>
      </c>
      <c r="V29" s="2912">
        <v>7.407407407407407E-2</v>
      </c>
      <c r="W29" s="2919">
        <v>0</v>
      </c>
      <c r="X29" s="3042">
        <v>0</v>
      </c>
      <c r="Y29" s="4194">
        <v>0</v>
      </c>
      <c r="Z29" s="3042">
        <v>0</v>
      </c>
      <c r="AA29" s="4194">
        <v>0</v>
      </c>
      <c r="AB29" s="3042">
        <v>0</v>
      </c>
      <c r="AC29" s="4194">
        <v>0</v>
      </c>
      <c r="AD29" s="3042">
        <v>0</v>
      </c>
    </row>
    <row r="30" spans="2:30" ht="14.4">
      <c r="B30" s="2424" t="s">
        <v>483</v>
      </c>
      <c r="C30" s="2424"/>
      <c r="D30" s="2914">
        <v>0</v>
      </c>
      <c r="E30" s="2923"/>
      <c r="F30" s="2914">
        <v>0.29126213592233008</v>
      </c>
      <c r="G30" s="2913">
        <v>0</v>
      </c>
      <c r="H30" s="2914">
        <v>0.23364485981308411</v>
      </c>
      <c r="I30" s="2913"/>
      <c r="J30" s="2914">
        <v>1.4084507042253521E-2</v>
      </c>
      <c r="K30" s="2913"/>
      <c r="L30" s="2914">
        <v>0.11538461538461539</v>
      </c>
      <c r="M30" s="2913"/>
      <c r="N30" s="2914">
        <v>0.11688311688311688</v>
      </c>
      <c r="O30" s="2923">
        <v>0</v>
      </c>
      <c r="P30" s="2914">
        <v>0.14814814814814814</v>
      </c>
      <c r="Q30" s="2923">
        <v>0</v>
      </c>
      <c r="R30" s="2914">
        <v>5.3191489361702128E-2</v>
      </c>
      <c r="S30" s="2923">
        <v>0.125</v>
      </c>
      <c r="T30" s="2914">
        <v>0.14285714285714285</v>
      </c>
      <c r="U30" s="2923">
        <v>0.20930232558139536</v>
      </c>
      <c r="V30" s="2914">
        <v>0.15748031496062992</v>
      </c>
      <c r="W30" s="2913">
        <v>2.3529411764705882E-2</v>
      </c>
      <c r="X30" s="3043">
        <v>0</v>
      </c>
      <c r="Y30" s="2923">
        <v>4.5454545454545456E-2</v>
      </c>
      <c r="Z30" s="3043">
        <v>9.6000000000000002E-2</v>
      </c>
      <c r="AA30" s="2923">
        <v>4.6511627906976744E-2</v>
      </c>
      <c r="AB30" s="3043">
        <v>0.08</v>
      </c>
      <c r="AC30" s="2923">
        <v>0.25242718446601942</v>
      </c>
      <c r="AD30" s="3043">
        <v>9.8484848484848481E-2</v>
      </c>
    </row>
    <row r="31" spans="2:30" ht="14.4">
      <c r="B31" s="2423" t="s">
        <v>62</v>
      </c>
      <c r="C31" s="2423"/>
      <c r="D31" s="2912">
        <v>3.3333333333333333E-2</v>
      </c>
      <c r="E31" s="4194"/>
      <c r="F31" s="2912">
        <v>3.6363636363636362E-2</v>
      </c>
      <c r="G31" s="2919">
        <v>0</v>
      </c>
      <c r="H31" s="2912">
        <v>7.6923076923076927E-2</v>
      </c>
      <c r="I31" s="2919"/>
      <c r="J31" s="2912">
        <v>0</v>
      </c>
      <c r="K31" s="2919"/>
      <c r="L31" s="2912">
        <v>2.564102564102564E-2</v>
      </c>
      <c r="M31" s="2919"/>
      <c r="N31" s="2912">
        <v>5.8823529411764705E-2</v>
      </c>
      <c r="O31" s="4194">
        <v>0</v>
      </c>
      <c r="P31" s="2912">
        <v>0</v>
      </c>
      <c r="Q31" s="4194"/>
      <c r="R31" s="2912">
        <v>2.5000000000000001E-2</v>
      </c>
      <c r="S31" s="4194">
        <v>0</v>
      </c>
      <c r="T31" s="2912">
        <v>1.8181818181818181E-2</v>
      </c>
      <c r="U31" s="4194"/>
      <c r="V31" s="2912">
        <v>0</v>
      </c>
      <c r="W31" s="2919">
        <v>0</v>
      </c>
      <c r="X31" s="3042">
        <v>0</v>
      </c>
      <c r="Y31" s="4194">
        <v>0</v>
      </c>
      <c r="Z31" s="3042">
        <v>0</v>
      </c>
      <c r="AA31" s="4194">
        <v>0</v>
      </c>
      <c r="AB31" s="3042">
        <v>0</v>
      </c>
      <c r="AC31" s="4194" t="s">
        <v>3363</v>
      </c>
      <c r="AD31" s="3042">
        <v>2.4096385542168676E-2</v>
      </c>
    </row>
    <row r="32" spans="2:30" ht="14.4">
      <c r="B32" s="2423" t="s">
        <v>385</v>
      </c>
      <c r="C32" s="2423"/>
      <c r="D32" s="2912"/>
      <c r="E32" s="4192">
        <v>0</v>
      </c>
      <c r="F32" s="2912">
        <v>0</v>
      </c>
      <c r="G32" s="2911"/>
      <c r="H32" s="2912">
        <v>0</v>
      </c>
      <c r="I32" s="2911"/>
      <c r="J32" s="2912">
        <v>0</v>
      </c>
      <c r="K32" s="2911"/>
      <c r="L32" s="2912">
        <v>0</v>
      </c>
      <c r="M32" s="2911"/>
      <c r="N32" s="2912">
        <v>0</v>
      </c>
      <c r="O32" s="4192"/>
      <c r="P32" s="2912">
        <v>0</v>
      </c>
      <c r="Q32" s="4192"/>
      <c r="R32" s="2912">
        <v>0</v>
      </c>
      <c r="S32" s="4192"/>
      <c r="T32" s="2912">
        <v>6.8965517241379309E-2</v>
      </c>
      <c r="U32" s="4192">
        <v>0</v>
      </c>
      <c r="V32" s="2912">
        <v>0</v>
      </c>
      <c r="X32" s="3042">
        <v>0</v>
      </c>
      <c r="Y32" s="4194">
        <v>0</v>
      </c>
      <c r="Z32" s="3042">
        <v>0</v>
      </c>
      <c r="AA32" s="4194"/>
      <c r="AB32" s="3042">
        <v>2.9411764705882353E-2</v>
      </c>
      <c r="AC32" s="4194" t="s">
        <v>3363</v>
      </c>
      <c r="AD32" s="3042">
        <v>0</v>
      </c>
    </row>
    <row r="33" spans="2:30" ht="14.4">
      <c r="B33" s="2423" t="s">
        <v>63</v>
      </c>
      <c r="C33" s="2423"/>
      <c r="D33" s="2912"/>
      <c r="E33" s="4194"/>
      <c r="F33" s="2912">
        <v>0</v>
      </c>
      <c r="G33" s="2919"/>
      <c r="H33" s="2912">
        <v>0.20408163265306123</v>
      </c>
      <c r="I33" s="2919">
        <v>0</v>
      </c>
      <c r="J33" s="2912">
        <v>0</v>
      </c>
      <c r="K33" s="2919"/>
      <c r="L33" s="2912">
        <v>0.21276595744680851</v>
      </c>
      <c r="M33" s="2919"/>
      <c r="N33" s="2912">
        <v>5.6603773584905662E-2</v>
      </c>
      <c r="O33" s="4194"/>
      <c r="P33" s="2912">
        <v>0.125</v>
      </c>
      <c r="Q33" s="4194"/>
      <c r="R33" s="2912">
        <v>0.13953488372093023</v>
      </c>
      <c r="S33" s="4194">
        <v>0</v>
      </c>
      <c r="T33" s="2912">
        <v>0.22807017543859648</v>
      </c>
      <c r="U33" s="4194">
        <v>0</v>
      </c>
      <c r="V33" s="2912">
        <v>0.26250000000000001</v>
      </c>
      <c r="W33" s="2911">
        <v>0</v>
      </c>
      <c r="X33" s="3042">
        <v>0.21686746987951808</v>
      </c>
      <c r="Y33" s="4192">
        <v>0</v>
      </c>
      <c r="Z33" s="3042">
        <v>0.30588235294117649</v>
      </c>
      <c r="AA33" s="4192"/>
      <c r="AB33" s="3042">
        <v>0.37037037037037035</v>
      </c>
      <c r="AC33" s="4192">
        <v>0</v>
      </c>
      <c r="AD33" s="3042">
        <v>0.19354838709677419</v>
      </c>
    </row>
    <row r="34" spans="2:30" ht="14.4">
      <c r="B34" s="2424" t="s">
        <v>486</v>
      </c>
      <c r="C34" s="2424"/>
      <c r="D34" s="2914">
        <v>3.3333333333333333E-2</v>
      </c>
      <c r="E34" s="2923">
        <v>0</v>
      </c>
      <c r="F34" s="2914">
        <v>1.5873015873015872E-2</v>
      </c>
      <c r="G34" s="2913">
        <v>0</v>
      </c>
      <c r="H34" s="2914">
        <v>0.11666666666666667</v>
      </c>
      <c r="I34" s="2913">
        <v>0</v>
      </c>
      <c r="J34" s="2914">
        <v>0</v>
      </c>
      <c r="K34" s="2913"/>
      <c r="L34" s="2914">
        <v>9.3220338983050849E-2</v>
      </c>
      <c r="M34" s="2913"/>
      <c r="N34" s="2914">
        <v>4.0983606557377046E-2</v>
      </c>
      <c r="O34" s="2923">
        <v>0</v>
      </c>
      <c r="P34" s="2914">
        <v>4.8387096774193547E-2</v>
      </c>
      <c r="Q34" s="2923"/>
      <c r="R34" s="2914">
        <v>6.0344827586206899E-2</v>
      </c>
      <c r="S34" s="2923">
        <v>0</v>
      </c>
      <c r="T34" s="2914">
        <v>0.11347517730496454</v>
      </c>
      <c r="U34" s="2923">
        <v>0</v>
      </c>
      <c r="V34" s="2914">
        <v>0.11602209944751381</v>
      </c>
      <c r="W34" s="4148">
        <v>0</v>
      </c>
      <c r="X34" s="3043">
        <v>8.2568807339449546E-2</v>
      </c>
      <c r="Y34" s="4802">
        <v>0</v>
      </c>
      <c r="Z34" s="3043">
        <v>0.12871287128712872</v>
      </c>
      <c r="AA34" s="4802">
        <v>0</v>
      </c>
      <c r="AB34" s="3043">
        <v>0.13300000000000001</v>
      </c>
      <c r="AC34" s="4802">
        <v>0</v>
      </c>
      <c r="AD34" s="3043">
        <v>8.6580086580086577E-2</v>
      </c>
    </row>
    <row r="35" spans="2:30" ht="14.4">
      <c r="B35" s="2423" t="s">
        <v>14</v>
      </c>
      <c r="C35" s="2423"/>
      <c r="D35" s="2912">
        <v>0.15</v>
      </c>
      <c r="E35" s="4194"/>
      <c r="F35" s="2912">
        <v>0.1891891891891892</v>
      </c>
      <c r="G35" s="2919"/>
      <c r="H35" s="2912">
        <v>6.5217391304347824E-2</v>
      </c>
      <c r="I35" s="2919"/>
      <c r="J35" s="2912">
        <v>3.7037037037037035E-2</v>
      </c>
      <c r="K35" s="2919">
        <v>0</v>
      </c>
      <c r="L35" s="2912">
        <v>0</v>
      </c>
      <c r="M35" s="2919"/>
      <c r="N35" s="2912">
        <v>7.6923076923076927E-2</v>
      </c>
      <c r="O35" s="4194"/>
      <c r="P35" s="2912">
        <v>6.0606060606060608E-2</v>
      </c>
      <c r="Q35" s="4194"/>
      <c r="R35" s="2912">
        <v>0</v>
      </c>
      <c r="S35" s="4194"/>
      <c r="T35" s="2912">
        <v>6.4516129032258063E-2</v>
      </c>
      <c r="U35" s="4194"/>
      <c r="V35" s="2912">
        <v>2.0833333333333332E-2</v>
      </c>
      <c r="W35" s="2919"/>
      <c r="X35" s="3042">
        <v>0</v>
      </c>
      <c r="Y35" s="4194"/>
      <c r="Z35" s="3042">
        <v>1.7543859649122806E-2</v>
      </c>
      <c r="AA35" s="4194"/>
      <c r="AB35" s="3042">
        <v>0</v>
      </c>
      <c r="AC35" s="4194">
        <v>2.247191011235955E-2</v>
      </c>
      <c r="AD35" s="3042">
        <v>1.4814814814814815E-2</v>
      </c>
    </row>
    <row r="36" spans="2:30" ht="14.4">
      <c r="B36" s="2423" t="s">
        <v>65</v>
      </c>
      <c r="C36" s="2423"/>
      <c r="D36" s="2912">
        <v>0.25</v>
      </c>
      <c r="E36" s="4192">
        <v>0</v>
      </c>
      <c r="F36" s="2912">
        <v>0</v>
      </c>
      <c r="G36" s="2911"/>
      <c r="H36" s="2912">
        <v>3.8461538461538464E-2</v>
      </c>
      <c r="I36" s="2911"/>
      <c r="J36" s="2912">
        <v>0</v>
      </c>
      <c r="K36" s="2911"/>
      <c r="L36" s="2912">
        <v>0</v>
      </c>
      <c r="M36" s="2911"/>
      <c r="N36" s="2912">
        <v>0</v>
      </c>
      <c r="O36" s="4192"/>
      <c r="P36" s="2912">
        <v>0</v>
      </c>
      <c r="Q36" s="4192"/>
      <c r="R36" s="2912">
        <v>4.3478260869565216E-2</v>
      </c>
      <c r="S36" s="4192"/>
      <c r="T36" s="2912">
        <v>0</v>
      </c>
      <c r="U36" s="4192"/>
      <c r="V36" s="2912">
        <v>0</v>
      </c>
      <c r="W36" s="2911">
        <v>0</v>
      </c>
      <c r="X36" s="3042">
        <v>0</v>
      </c>
      <c r="Y36" s="4192"/>
      <c r="Z36" s="3042">
        <v>7.1428571428571425E-2</v>
      </c>
      <c r="AA36" s="4192"/>
      <c r="AB36" s="3042">
        <v>0</v>
      </c>
      <c r="AC36" s="4192" t="s">
        <v>3363</v>
      </c>
      <c r="AD36" s="3042">
        <v>3.0303030303030304E-2</v>
      </c>
    </row>
    <row r="37" spans="2:30" ht="14.4">
      <c r="B37" s="2423" t="s">
        <v>386</v>
      </c>
      <c r="C37" s="2423"/>
      <c r="D37" s="2912"/>
      <c r="E37" s="4194"/>
      <c r="F37" s="2912">
        <v>0</v>
      </c>
      <c r="G37" s="2919"/>
      <c r="H37" s="2912">
        <v>0</v>
      </c>
      <c r="I37" s="2919"/>
      <c r="J37" s="2912">
        <v>4.3478260869565216E-2</v>
      </c>
      <c r="K37" s="2919"/>
      <c r="L37" s="2912">
        <v>0</v>
      </c>
      <c r="M37" s="2919"/>
      <c r="N37" s="2912">
        <v>7.6923076923076927E-2</v>
      </c>
      <c r="O37" s="4194"/>
      <c r="P37" s="2912">
        <v>0</v>
      </c>
      <c r="Q37" s="4194">
        <v>0</v>
      </c>
      <c r="R37" s="2912">
        <v>0</v>
      </c>
      <c r="S37" s="4194"/>
      <c r="T37" s="2912">
        <v>6.1224489795918366E-2</v>
      </c>
      <c r="U37" s="4194"/>
      <c r="V37" s="2912">
        <v>2.1276595744680851E-2</v>
      </c>
      <c r="X37" s="3042">
        <v>1.7543859649122806E-2</v>
      </c>
      <c r="Y37" s="4192">
        <v>0</v>
      </c>
      <c r="Z37" s="3042">
        <v>0</v>
      </c>
      <c r="AA37" s="4192"/>
      <c r="AB37" s="3042">
        <v>0</v>
      </c>
      <c r="AC37" s="4192" t="s">
        <v>3363</v>
      </c>
      <c r="AD37" s="3042">
        <v>0</v>
      </c>
    </row>
    <row r="38" spans="2:30" ht="14.4">
      <c r="B38" s="2425" t="s">
        <v>81</v>
      </c>
      <c r="C38" s="2425"/>
      <c r="D38" s="2912"/>
      <c r="E38" s="4192"/>
      <c r="F38" s="2912"/>
      <c r="G38" s="2911">
        <v>0</v>
      </c>
      <c r="H38" s="2912"/>
      <c r="I38" s="2911"/>
      <c r="J38" s="2912"/>
      <c r="K38" s="2911">
        <v>0</v>
      </c>
      <c r="L38" s="2912">
        <v>0</v>
      </c>
      <c r="M38" s="2911"/>
      <c r="N38" s="2912">
        <v>2.8571428571428571E-2</v>
      </c>
      <c r="O38" s="4192">
        <v>0</v>
      </c>
      <c r="P38" s="2912">
        <v>7.6923076923076927E-2</v>
      </c>
      <c r="Q38" s="4192">
        <v>0</v>
      </c>
      <c r="R38" s="2912">
        <v>9.3023255813953487E-2</v>
      </c>
      <c r="S38" s="4192">
        <v>0</v>
      </c>
      <c r="T38" s="2912">
        <v>3.3898305084745763E-2</v>
      </c>
      <c r="U38" s="4192">
        <v>0</v>
      </c>
      <c r="V38" s="2912">
        <v>1.7543859649122806E-2</v>
      </c>
      <c r="W38" s="2919">
        <v>0</v>
      </c>
      <c r="X38" s="3042">
        <v>1.6949152542372881E-2</v>
      </c>
      <c r="Y38" s="4192"/>
      <c r="Z38" s="3042">
        <v>6.4516129032258063E-2</v>
      </c>
      <c r="AA38" s="4192"/>
      <c r="AB38" s="3042">
        <v>0</v>
      </c>
      <c r="AC38" s="4192">
        <v>0</v>
      </c>
      <c r="AD38" s="3042">
        <v>2.7027027027027029E-2</v>
      </c>
    </row>
    <row r="39" spans="2:30" ht="14.4">
      <c r="B39" s="2424" t="s">
        <v>487</v>
      </c>
      <c r="C39" s="2424"/>
      <c r="D39" s="2914">
        <v>0.16666666666666666</v>
      </c>
      <c r="E39" s="2923">
        <v>0</v>
      </c>
      <c r="F39" s="2914">
        <v>0.12727272727272726</v>
      </c>
      <c r="G39" s="2913">
        <v>0</v>
      </c>
      <c r="H39" s="2914">
        <v>4.3956043956043959E-2</v>
      </c>
      <c r="I39" s="2913"/>
      <c r="J39" s="2914">
        <v>2.9411764705882353E-2</v>
      </c>
      <c r="K39" s="2913">
        <v>0</v>
      </c>
      <c r="L39" s="2914">
        <v>0</v>
      </c>
      <c r="M39" s="2913"/>
      <c r="N39" s="2914">
        <v>4.0816326530612242E-2</v>
      </c>
      <c r="O39" s="2923">
        <v>0</v>
      </c>
      <c r="P39" s="2914">
        <v>5.0847457627118647E-2</v>
      </c>
      <c r="Q39" s="2923">
        <v>0</v>
      </c>
      <c r="R39" s="2914">
        <v>4.0322580645161289E-2</v>
      </c>
      <c r="S39" s="2923">
        <v>0</v>
      </c>
      <c r="T39" s="2914">
        <v>4.6153846153846156E-2</v>
      </c>
      <c r="U39" s="2923">
        <v>0</v>
      </c>
      <c r="V39" s="2914">
        <v>1.7142857142857144E-2</v>
      </c>
      <c r="W39" s="2911">
        <v>0</v>
      </c>
      <c r="X39" s="3043">
        <v>9.8039215686274508E-3</v>
      </c>
      <c r="Y39" s="2923">
        <v>0</v>
      </c>
      <c r="Z39" s="3043">
        <v>3.5000000000000003E-2</v>
      </c>
      <c r="AA39" s="2923"/>
      <c r="AB39" s="3043">
        <v>0</v>
      </c>
      <c r="AC39" s="2923">
        <v>0</v>
      </c>
      <c r="AD39" s="3043">
        <v>1.2658227848101266E-2</v>
      </c>
    </row>
    <row r="40" spans="2:30" ht="14.4">
      <c r="B40" s="2428" t="s">
        <v>256</v>
      </c>
      <c r="C40" s="2428"/>
      <c r="D40" s="2916">
        <v>5.1020408163265307E-2</v>
      </c>
      <c r="E40" s="2915">
        <v>0</v>
      </c>
      <c r="F40" s="2916">
        <v>0.13732394366197184</v>
      </c>
      <c r="G40" s="2915">
        <v>0</v>
      </c>
      <c r="H40" s="2916">
        <v>0.13522012578616352</v>
      </c>
      <c r="I40" s="2915">
        <v>0</v>
      </c>
      <c r="J40" s="2916">
        <v>1.3043478260869565E-2</v>
      </c>
      <c r="K40" s="2915">
        <v>0</v>
      </c>
      <c r="L40" s="2916">
        <v>7.0175438596491224E-2</v>
      </c>
      <c r="M40" s="2915"/>
      <c r="N40" s="2916">
        <v>6.0606060606060608E-2</v>
      </c>
      <c r="O40" s="2915">
        <v>0</v>
      </c>
      <c r="P40" s="2916">
        <v>7.4303405572755415E-2</v>
      </c>
      <c r="Q40" s="2915">
        <v>0</v>
      </c>
      <c r="R40" s="2916">
        <v>5.089820359281437E-2</v>
      </c>
      <c r="S40" s="2915">
        <v>0.11827956989247312</v>
      </c>
      <c r="T40" s="2916">
        <v>8.899297423887588E-2</v>
      </c>
      <c r="U40" s="2915">
        <v>0.19780219780219779</v>
      </c>
      <c r="V40" s="2916">
        <v>9.1097308488612833E-2</v>
      </c>
      <c r="W40" s="2915">
        <v>2.1739130434782608E-2</v>
      </c>
      <c r="X40" s="2916">
        <v>3.6832412523020261E-2</v>
      </c>
      <c r="Y40" s="2915">
        <v>4.3010752688172046E-2</v>
      </c>
      <c r="Z40" s="3048">
        <v>8.5388994307400379E-2</v>
      </c>
      <c r="AA40" s="2915">
        <v>4.5499999999999999E-2</v>
      </c>
      <c r="AB40" s="3048">
        <v>7.0999999999999994E-2</v>
      </c>
      <c r="AC40" s="2915">
        <v>0.24299065420560748</v>
      </c>
      <c r="AD40" s="3048">
        <v>0.06</v>
      </c>
    </row>
    <row r="41" spans="2:30" ht="14.4">
      <c r="B41" s="2427" t="s">
        <v>26</v>
      </c>
      <c r="C41" s="4193">
        <v>0</v>
      </c>
      <c r="D41" s="2918">
        <v>0</v>
      </c>
      <c r="E41" s="4193">
        <v>0</v>
      </c>
      <c r="F41" s="2918">
        <v>2.0408163265306121E-2</v>
      </c>
      <c r="G41" s="2917">
        <v>0</v>
      </c>
      <c r="H41" s="2918">
        <v>3.2786885245901641E-2</v>
      </c>
      <c r="I41" s="2917">
        <v>0</v>
      </c>
      <c r="J41" s="2918">
        <v>0</v>
      </c>
      <c r="K41" s="2917"/>
      <c r="L41" s="2918">
        <v>0</v>
      </c>
      <c r="M41" s="2917">
        <v>0</v>
      </c>
      <c r="N41" s="2918">
        <v>0</v>
      </c>
      <c r="O41" s="4193">
        <v>0</v>
      </c>
      <c r="P41" s="2918">
        <v>9.433962264150943E-3</v>
      </c>
      <c r="Q41" s="4193">
        <v>0</v>
      </c>
      <c r="R41" s="2918">
        <v>1.6949152542372881E-2</v>
      </c>
      <c r="S41" s="4193">
        <v>0</v>
      </c>
      <c r="T41" s="2918">
        <v>1.0526315789473684E-2</v>
      </c>
      <c r="U41" s="4193">
        <v>0</v>
      </c>
      <c r="V41" s="2918">
        <v>2.564102564102564E-2</v>
      </c>
      <c r="W41" s="2917"/>
      <c r="X41" s="3044">
        <v>0</v>
      </c>
      <c r="Y41" s="4193">
        <v>0</v>
      </c>
      <c r="Z41" s="3044">
        <v>0</v>
      </c>
      <c r="AA41" s="4193">
        <v>0</v>
      </c>
      <c r="AB41" s="3044">
        <v>0</v>
      </c>
      <c r="AC41" s="4193">
        <v>0</v>
      </c>
      <c r="AD41" s="3044">
        <v>0</v>
      </c>
    </row>
    <row r="42" spans="2:30" ht="14.4">
      <c r="B42" s="2423" t="s">
        <v>27</v>
      </c>
      <c r="C42" s="4192">
        <v>0</v>
      </c>
      <c r="D42" s="2912">
        <v>0</v>
      </c>
      <c r="E42" s="4192">
        <v>0</v>
      </c>
      <c r="F42" s="2912">
        <v>0</v>
      </c>
      <c r="G42" s="2911"/>
      <c r="H42" s="2912">
        <v>0</v>
      </c>
      <c r="I42" s="2911"/>
      <c r="J42" s="2912">
        <v>0</v>
      </c>
      <c r="K42" s="2911">
        <v>0</v>
      </c>
      <c r="L42" s="2912">
        <v>6.25E-2</v>
      </c>
      <c r="M42" s="2911"/>
      <c r="N42" s="2912">
        <v>0</v>
      </c>
      <c r="O42" s="4192"/>
      <c r="P42" s="2912">
        <v>0</v>
      </c>
      <c r="Q42" s="4192">
        <v>0</v>
      </c>
      <c r="R42" s="2912">
        <v>0</v>
      </c>
      <c r="S42" s="4192"/>
      <c r="T42" s="2912">
        <v>0</v>
      </c>
      <c r="U42" s="4192"/>
      <c r="V42" s="2912">
        <v>0</v>
      </c>
      <c r="W42" s="2911"/>
      <c r="X42" s="3042">
        <v>0</v>
      </c>
      <c r="Y42" s="4192"/>
      <c r="Z42" s="3042">
        <v>0</v>
      </c>
      <c r="AA42" s="4192"/>
      <c r="AB42" s="3042">
        <v>0</v>
      </c>
      <c r="AC42" s="4192" t="s">
        <v>3363</v>
      </c>
      <c r="AD42" s="3042">
        <v>0</v>
      </c>
    </row>
    <row r="43" spans="2:30" ht="14.4">
      <c r="B43" s="2423" t="s">
        <v>12</v>
      </c>
      <c r="C43" s="4192">
        <v>0</v>
      </c>
      <c r="D43" s="2912">
        <v>2.3809523809523808E-2</v>
      </c>
      <c r="E43" s="4192">
        <v>0</v>
      </c>
      <c r="F43" s="2912">
        <v>0</v>
      </c>
      <c r="G43" s="2911">
        <v>0</v>
      </c>
      <c r="H43" s="2912">
        <v>3.9215686274509803E-2</v>
      </c>
      <c r="I43" s="2911">
        <v>0</v>
      </c>
      <c r="J43" s="2912">
        <v>0</v>
      </c>
      <c r="K43" s="2911">
        <v>0</v>
      </c>
      <c r="L43" s="2912">
        <v>1.3333333333333334E-2</v>
      </c>
      <c r="M43" s="2911">
        <v>0</v>
      </c>
      <c r="N43" s="2912">
        <v>3.1746031746031744E-2</v>
      </c>
      <c r="O43" s="4192">
        <v>0</v>
      </c>
      <c r="P43" s="2912">
        <v>0</v>
      </c>
      <c r="Q43" s="4192">
        <v>0</v>
      </c>
      <c r="R43" s="2912">
        <v>0</v>
      </c>
      <c r="S43" s="4192">
        <v>0</v>
      </c>
      <c r="T43" s="2912">
        <v>0.02</v>
      </c>
      <c r="U43" s="4192">
        <v>0</v>
      </c>
      <c r="V43" s="2912">
        <v>1.8518518518518517E-2</v>
      </c>
      <c r="W43" s="2911">
        <v>0</v>
      </c>
      <c r="X43" s="3042">
        <v>0.02</v>
      </c>
      <c r="Y43" s="4192"/>
      <c r="Z43" s="3042">
        <v>6.1224489795918366E-2</v>
      </c>
      <c r="AA43" s="4192">
        <v>0</v>
      </c>
      <c r="AB43" s="3042">
        <v>0</v>
      </c>
      <c r="AC43" s="4192">
        <v>0</v>
      </c>
      <c r="AD43" s="3042">
        <v>2.7027027027027029E-2</v>
      </c>
    </row>
    <row r="44" spans="2:30" ht="14.4">
      <c r="B44" s="2423" t="s">
        <v>28</v>
      </c>
      <c r="C44" s="4192">
        <v>0</v>
      </c>
      <c r="D44" s="2912">
        <v>0</v>
      </c>
      <c r="E44" s="4192">
        <v>0</v>
      </c>
      <c r="F44" s="2912">
        <v>0</v>
      </c>
      <c r="G44" s="2911">
        <v>0</v>
      </c>
      <c r="H44" s="2912">
        <v>0</v>
      </c>
      <c r="I44" s="2911">
        <v>0</v>
      </c>
      <c r="J44" s="2912">
        <v>2.3809523809523808E-2</v>
      </c>
      <c r="K44" s="2911">
        <v>0</v>
      </c>
      <c r="L44" s="2912">
        <v>1.9607843137254902E-2</v>
      </c>
      <c r="M44" s="2911">
        <v>0</v>
      </c>
      <c r="N44" s="2912">
        <v>2.1739130434782608E-2</v>
      </c>
      <c r="O44" s="4192">
        <v>0</v>
      </c>
      <c r="P44" s="2912">
        <v>0</v>
      </c>
      <c r="Q44" s="4192">
        <v>2.8571428571428571E-2</v>
      </c>
      <c r="R44" s="2912">
        <v>0</v>
      </c>
      <c r="S44" s="4192">
        <v>0</v>
      </c>
      <c r="T44" s="2912">
        <v>0</v>
      </c>
      <c r="U44" s="4192">
        <v>0</v>
      </c>
      <c r="V44" s="2912">
        <v>4.4444444444444446E-2</v>
      </c>
      <c r="W44" s="2911">
        <v>0</v>
      </c>
      <c r="X44" s="3042">
        <v>6.9767441860465115E-2</v>
      </c>
      <c r="Y44" s="4192"/>
      <c r="Z44" s="3042">
        <v>3.3333333333333333E-2</v>
      </c>
      <c r="AA44" s="4192">
        <v>0</v>
      </c>
      <c r="AB44" s="3042">
        <v>3.2258064516129031E-2</v>
      </c>
      <c r="AC44" s="4192" t="s">
        <v>3363</v>
      </c>
      <c r="AD44" s="3042">
        <v>0</v>
      </c>
    </row>
    <row r="45" spans="2:30" ht="14.4">
      <c r="B45" s="2423" t="s">
        <v>29</v>
      </c>
      <c r="C45" s="4192">
        <v>0</v>
      </c>
      <c r="D45" s="2912">
        <v>0</v>
      </c>
      <c r="E45" s="4192">
        <v>6.6666666666666666E-2</v>
      </c>
      <c r="F45" s="2912">
        <v>5.5555555555555552E-2</v>
      </c>
      <c r="G45" s="2911">
        <v>0</v>
      </c>
      <c r="H45" s="2912">
        <v>0</v>
      </c>
      <c r="I45" s="2911">
        <v>0</v>
      </c>
      <c r="J45" s="2912">
        <v>0.10714285714285714</v>
      </c>
      <c r="K45" s="2911">
        <v>0</v>
      </c>
      <c r="L45" s="2912">
        <v>1.7857142857142856E-2</v>
      </c>
      <c r="M45" s="2911">
        <v>0</v>
      </c>
      <c r="N45" s="2912">
        <v>1.3157894736842105E-2</v>
      </c>
      <c r="O45" s="4192">
        <v>1.8181818181818181E-2</v>
      </c>
      <c r="P45" s="2912">
        <v>5.2631578947368418E-2</v>
      </c>
      <c r="Q45" s="4192">
        <v>0</v>
      </c>
      <c r="R45" s="2912">
        <v>1.8867924528301886E-2</v>
      </c>
      <c r="S45" s="4192">
        <v>0</v>
      </c>
      <c r="T45" s="2912">
        <v>5.4545454545454543E-2</v>
      </c>
      <c r="U45" s="4192">
        <v>4.7619047619047616E-2</v>
      </c>
      <c r="V45" s="2912">
        <v>0</v>
      </c>
      <c r="W45" s="2911">
        <v>0</v>
      </c>
      <c r="X45" s="3042">
        <v>3.1578947368421054E-2</v>
      </c>
      <c r="Y45" s="4192">
        <v>0</v>
      </c>
      <c r="Z45" s="3042">
        <v>2.2727272727272728E-2</v>
      </c>
      <c r="AA45" s="4192"/>
      <c r="AB45" s="3042">
        <v>0.10989010989010989</v>
      </c>
      <c r="AC45" s="4192">
        <v>0</v>
      </c>
      <c r="AD45" s="3042">
        <v>4.2105263157894736E-2</v>
      </c>
    </row>
    <row r="46" spans="2:30" ht="14.4">
      <c r="B46" s="2423" t="s">
        <v>13</v>
      </c>
      <c r="C46" s="4192">
        <v>1.5151515151515152E-2</v>
      </c>
      <c r="D46" s="2912">
        <v>2.5974025974025976E-2</v>
      </c>
      <c r="E46" s="4192">
        <v>0</v>
      </c>
      <c r="F46" s="2912">
        <v>2.6315789473684209E-2</v>
      </c>
      <c r="G46" s="2911">
        <v>0</v>
      </c>
      <c r="H46" s="2912">
        <v>1.4925373134328358E-2</v>
      </c>
      <c r="I46" s="2911">
        <v>0</v>
      </c>
      <c r="J46" s="2912">
        <v>0</v>
      </c>
      <c r="K46" s="2911">
        <v>0</v>
      </c>
      <c r="L46" s="2912">
        <v>2.247191011235955E-2</v>
      </c>
      <c r="M46" s="2911">
        <v>0</v>
      </c>
      <c r="N46" s="2912">
        <v>1.2048192771084338E-2</v>
      </c>
      <c r="O46" s="4192">
        <v>0</v>
      </c>
      <c r="P46" s="2912">
        <v>0</v>
      </c>
      <c r="Q46" s="4192">
        <v>0</v>
      </c>
      <c r="R46" s="2912">
        <v>0</v>
      </c>
      <c r="S46" s="4192"/>
      <c r="T46" s="2912">
        <v>0</v>
      </c>
      <c r="U46" s="4192"/>
      <c r="V46" s="2912">
        <v>1.6129032258064516E-2</v>
      </c>
      <c r="X46" s="3042">
        <v>0</v>
      </c>
      <c r="Y46" s="4192"/>
      <c r="Z46" s="3042">
        <v>1.8518518518518517E-2</v>
      </c>
      <c r="AA46" s="4192">
        <v>0</v>
      </c>
      <c r="AB46" s="3042">
        <v>0</v>
      </c>
      <c r="AC46" s="4192" t="s">
        <v>3363</v>
      </c>
      <c r="AD46" s="3042">
        <v>0</v>
      </c>
    </row>
    <row r="47" spans="2:30" ht="14.4">
      <c r="B47" s="2423" t="s">
        <v>30</v>
      </c>
      <c r="C47" s="4192">
        <v>4.6511627906976744E-2</v>
      </c>
      <c r="D47" s="2912">
        <v>0</v>
      </c>
      <c r="E47" s="4192">
        <v>0</v>
      </c>
      <c r="F47" s="2912">
        <v>0</v>
      </c>
      <c r="G47" s="2911">
        <v>0</v>
      </c>
      <c r="H47" s="2912">
        <v>0</v>
      </c>
      <c r="I47" s="2911">
        <v>0</v>
      </c>
      <c r="J47" s="2912">
        <v>0</v>
      </c>
      <c r="K47" s="2911">
        <v>0</v>
      </c>
      <c r="L47" s="2912">
        <v>1.5625E-2</v>
      </c>
      <c r="M47" s="2911">
        <v>0</v>
      </c>
      <c r="N47" s="2912">
        <v>2.3255813953488372E-2</v>
      </c>
      <c r="O47" s="4192"/>
      <c r="P47" s="2912">
        <v>0</v>
      </c>
      <c r="Q47" s="4192">
        <v>0</v>
      </c>
      <c r="R47" s="2912">
        <v>2.4390243902439025E-2</v>
      </c>
      <c r="S47" s="4192">
        <v>0</v>
      </c>
      <c r="T47" s="2912">
        <v>1.6129032258064516E-2</v>
      </c>
      <c r="U47" s="4192">
        <v>0</v>
      </c>
      <c r="V47" s="2912">
        <v>0</v>
      </c>
      <c r="W47" s="2911">
        <v>0</v>
      </c>
      <c r="X47" s="3042">
        <v>0</v>
      </c>
      <c r="Y47" s="4192">
        <v>0</v>
      </c>
      <c r="Z47" s="3042">
        <v>1.2987012987012988E-2</v>
      </c>
      <c r="AA47" s="4192">
        <v>0</v>
      </c>
      <c r="AB47" s="3042">
        <v>2.5316455696202531E-2</v>
      </c>
      <c r="AC47" s="4192">
        <v>0</v>
      </c>
      <c r="AD47" s="3042">
        <v>0</v>
      </c>
    </row>
    <row r="48" spans="2:30" ht="14.4">
      <c r="B48" s="2423" t="s">
        <v>31</v>
      </c>
      <c r="C48" s="4192">
        <v>0.2</v>
      </c>
      <c r="D48" s="2912">
        <v>0.1111111111111111</v>
      </c>
      <c r="E48" s="4192">
        <v>0.13333333333333333</v>
      </c>
      <c r="F48" s="2912">
        <v>0.16666666666666666</v>
      </c>
      <c r="G48" s="2911">
        <v>0</v>
      </c>
      <c r="H48" s="2912">
        <v>3.125E-2</v>
      </c>
      <c r="I48" s="2911">
        <v>0</v>
      </c>
      <c r="J48" s="2912">
        <v>0</v>
      </c>
      <c r="K48" s="2911">
        <v>0</v>
      </c>
      <c r="L48" s="2912">
        <v>2.7777777777777776E-2</v>
      </c>
      <c r="M48" s="2911">
        <v>0</v>
      </c>
      <c r="N48" s="2912">
        <v>0</v>
      </c>
      <c r="O48" s="4192">
        <v>0.04</v>
      </c>
      <c r="P48" s="2912">
        <v>0</v>
      </c>
      <c r="Q48" s="4192">
        <v>0</v>
      </c>
      <c r="R48" s="2912">
        <v>2.1276595744680851E-2</v>
      </c>
      <c r="S48" s="4192">
        <v>0</v>
      </c>
      <c r="T48" s="2912">
        <v>0</v>
      </c>
      <c r="U48" s="4192">
        <v>0</v>
      </c>
      <c r="V48" s="2912">
        <v>2.1739130434782608E-2</v>
      </c>
      <c r="W48" s="2911">
        <v>0</v>
      </c>
      <c r="X48" s="3042">
        <v>2.6315789473684209E-2</v>
      </c>
      <c r="Y48" s="4192">
        <v>0</v>
      </c>
      <c r="Z48" s="3042">
        <v>0</v>
      </c>
      <c r="AA48" s="4192">
        <v>0</v>
      </c>
      <c r="AB48" s="3042">
        <v>0</v>
      </c>
      <c r="AC48" s="4192">
        <v>0</v>
      </c>
      <c r="AD48" s="3042">
        <v>0</v>
      </c>
    </row>
    <row r="49" spans="2:30" ht="14.4">
      <c r="B49" s="2423" t="s">
        <v>32</v>
      </c>
      <c r="C49" s="4192">
        <v>0</v>
      </c>
      <c r="D49" s="2912">
        <v>0</v>
      </c>
      <c r="E49" s="4192">
        <v>0</v>
      </c>
      <c r="F49" s="2912">
        <v>0</v>
      </c>
      <c r="G49" s="2911">
        <v>0</v>
      </c>
      <c r="H49" s="2912">
        <v>3.1746031746031744E-2</v>
      </c>
      <c r="I49" s="2911">
        <v>2.3809523809523808E-2</v>
      </c>
      <c r="J49" s="2912">
        <v>0</v>
      </c>
      <c r="K49" s="2911">
        <v>0</v>
      </c>
      <c r="L49" s="2912">
        <v>0</v>
      </c>
      <c r="M49" s="2911"/>
      <c r="N49" s="2912">
        <v>8.0645161290322578E-3</v>
      </c>
      <c r="O49" s="4192"/>
      <c r="P49" s="2912">
        <v>0</v>
      </c>
      <c r="Q49" s="4192">
        <v>0</v>
      </c>
      <c r="R49" s="2912">
        <v>8.4033613445378148E-3</v>
      </c>
      <c r="S49" s="4192"/>
      <c r="T49" s="2912">
        <v>0</v>
      </c>
      <c r="U49" s="4192">
        <v>0</v>
      </c>
      <c r="V49" s="2912">
        <v>0</v>
      </c>
      <c r="W49" s="2911"/>
      <c r="X49" s="3042">
        <v>1.1764705882352941E-2</v>
      </c>
      <c r="Y49" s="4192"/>
      <c r="Z49" s="3042">
        <v>1.4705882352941176E-2</v>
      </c>
      <c r="AA49" s="4192"/>
      <c r="AB49" s="3042">
        <v>2.4390243902439025E-2</v>
      </c>
      <c r="AC49" s="4192">
        <v>0</v>
      </c>
      <c r="AD49" s="3042">
        <v>0</v>
      </c>
    </row>
    <row r="50" spans="2:30" ht="14.4">
      <c r="B50" s="2423" t="s">
        <v>2659</v>
      </c>
      <c r="C50" s="4192"/>
      <c r="D50" s="2912"/>
      <c r="E50" s="4192"/>
      <c r="F50" s="2912"/>
      <c r="G50" s="2911"/>
      <c r="H50" s="2912"/>
      <c r="I50" s="2911"/>
      <c r="J50" s="2912"/>
      <c r="K50" s="2911"/>
      <c r="L50" s="2912"/>
      <c r="M50" s="2911"/>
      <c r="N50" s="2912"/>
      <c r="O50" s="4192"/>
      <c r="P50" s="2912"/>
      <c r="Q50" s="4192"/>
      <c r="R50" s="2912"/>
      <c r="S50" s="4192"/>
      <c r="T50" s="2912"/>
      <c r="U50" s="4192"/>
      <c r="V50" s="2912"/>
      <c r="W50" s="2911"/>
      <c r="X50" s="3042">
        <v>0</v>
      </c>
      <c r="Y50" s="4192"/>
      <c r="Z50" s="3042">
        <v>0</v>
      </c>
      <c r="AA50" s="4192"/>
      <c r="AB50" s="3042">
        <v>0</v>
      </c>
      <c r="AC50" s="4192" t="s">
        <v>3363</v>
      </c>
      <c r="AD50" s="3042">
        <v>0</v>
      </c>
    </row>
    <row r="51" spans="2:30" ht="14.4">
      <c r="B51" s="2424" t="s">
        <v>482</v>
      </c>
      <c r="C51" s="2923">
        <v>1.2500000000000001E-2</v>
      </c>
      <c r="D51" s="2914">
        <v>1.1299435028248588E-2</v>
      </c>
      <c r="E51" s="2923">
        <v>1.4999999999999999E-2</v>
      </c>
      <c r="F51" s="2914">
        <v>1.8518518518518517E-2</v>
      </c>
      <c r="G51" s="2913">
        <v>0</v>
      </c>
      <c r="H51" s="2914">
        <v>1.9277108433734941E-2</v>
      </c>
      <c r="I51" s="2913">
        <v>5.4644808743169399E-3</v>
      </c>
      <c r="J51" s="2914">
        <v>1.1494252873563218E-2</v>
      </c>
      <c r="K51" s="2913">
        <v>0</v>
      </c>
      <c r="L51" s="2914">
        <v>1.3445378151260505E-2</v>
      </c>
      <c r="M51" s="2913">
        <v>0</v>
      </c>
      <c r="N51" s="2914">
        <v>1.2173913043478261E-2</v>
      </c>
      <c r="O51" s="2923">
        <v>1.2048192771084338E-2</v>
      </c>
      <c r="P51" s="2914">
        <v>6.6555740432612314E-3</v>
      </c>
      <c r="Q51" s="2923">
        <v>9.7087378640776691E-3</v>
      </c>
      <c r="R51" s="2914">
        <v>1.0447761194029851E-2</v>
      </c>
      <c r="S51" s="2923">
        <v>0</v>
      </c>
      <c r="T51" s="2914">
        <v>1.1560693641618497E-2</v>
      </c>
      <c r="U51" s="2923">
        <v>1.4492753623188406E-2</v>
      </c>
      <c r="V51" s="2914">
        <v>1.415929203539823E-2</v>
      </c>
      <c r="W51" s="2911">
        <v>0</v>
      </c>
      <c r="X51" s="3043">
        <v>1.4754098360655738E-2</v>
      </c>
      <c r="Y51" s="2923">
        <v>0</v>
      </c>
      <c r="Z51" s="3043">
        <v>1.7985611510791366E-2</v>
      </c>
      <c r="AA51" s="2923"/>
      <c r="AB51" s="3043">
        <v>1.9E-2</v>
      </c>
      <c r="AC51" s="2923">
        <v>0</v>
      </c>
      <c r="AD51" s="3043">
        <v>5.434782608695652E-3</v>
      </c>
    </row>
    <row r="52" spans="2:30" ht="14.4">
      <c r="B52" s="2423" t="s">
        <v>17</v>
      </c>
      <c r="C52" s="4192">
        <v>6.3492063492063489E-2</v>
      </c>
      <c r="D52" s="2912">
        <v>8.1967213114754092E-2</v>
      </c>
      <c r="E52" s="4192">
        <v>0.12598425196850394</v>
      </c>
      <c r="F52" s="2912">
        <v>6.569343065693431E-2</v>
      </c>
      <c r="G52" s="2911">
        <v>0.12612612612612611</v>
      </c>
      <c r="H52" s="2912">
        <v>0.15702479338842976</v>
      </c>
      <c r="I52" s="2911">
        <v>8.0357142857142863E-2</v>
      </c>
      <c r="J52" s="2912">
        <v>0.28971962616822428</v>
      </c>
      <c r="K52" s="2911">
        <v>0.24489795918367346</v>
      </c>
      <c r="L52" s="2912">
        <v>0.21052631578947367</v>
      </c>
      <c r="M52" s="2911">
        <v>0.2857142857142857</v>
      </c>
      <c r="N52" s="2912">
        <v>0.18103448275862069</v>
      </c>
      <c r="O52" s="4192">
        <v>9.5238095238095233E-2</v>
      </c>
      <c r="P52" s="2912">
        <v>0.29090909090909089</v>
      </c>
      <c r="Q52" s="4192">
        <v>0.13636363636363635</v>
      </c>
      <c r="R52" s="2912">
        <v>0.20168067226890757</v>
      </c>
      <c r="S52" s="4192">
        <v>5.8139534883720929E-2</v>
      </c>
      <c r="T52" s="2912">
        <v>0.21621621621621623</v>
      </c>
      <c r="U52" s="4192">
        <v>7.3529411764705885E-2</v>
      </c>
      <c r="V52" s="2912">
        <v>0.19587628865979381</v>
      </c>
      <c r="W52" s="2911">
        <v>8.4337349397590355E-2</v>
      </c>
      <c r="X52" s="3042">
        <v>0.32539682539682541</v>
      </c>
      <c r="Y52" s="4192">
        <v>0.13750000000000001</v>
      </c>
      <c r="Z52" s="3042">
        <v>0.22727272727272727</v>
      </c>
      <c r="AA52" s="4192">
        <v>0.11688311688311688</v>
      </c>
      <c r="AB52" s="3042">
        <v>0.2</v>
      </c>
      <c r="AC52" s="4192">
        <v>0.16556291390728478</v>
      </c>
      <c r="AD52" s="3042">
        <v>0.13402061855670103</v>
      </c>
    </row>
    <row r="53" spans="2:30" ht="14.4">
      <c r="B53" s="2423" t="s">
        <v>33</v>
      </c>
      <c r="C53" s="4192">
        <v>0</v>
      </c>
      <c r="D53" s="2912">
        <v>0.05</v>
      </c>
      <c r="E53" s="4192">
        <v>0</v>
      </c>
      <c r="F53" s="2912">
        <v>5.4545454545454543E-2</v>
      </c>
      <c r="G53" s="2911"/>
      <c r="H53" s="2912">
        <v>5.3571428571428568E-2</v>
      </c>
      <c r="I53" s="2911">
        <v>0</v>
      </c>
      <c r="J53" s="2912">
        <v>0</v>
      </c>
      <c r="K53" s="2911">
        <v>0</v>
      </c>
      <c r="L53" s="2912">
        <v>7.3529411764705885E-2</v>
      </c>
      <c r="M53" s="2911">
        <v>0</v>
      </c>
      <c r="N53" s="2912">
        <v>1.8867924528301886E-2</v>
      </c>
      <c r="O53" s="4192"/>
      <c r="P53" s="2912">
        <v>0.14035087719298245</v>
      </c>
      <c r="Q53" s="4192">
        <v>0</v>
      </c>
      <c r="R53" s="2912">
        <v>1.6949152542372881E-2</v>
      </c>
      <c r="S53" s="4192"/>
      <c r="T53" s="2912">
        <v>0.06</v>
      </c>
      <c r="U53" s="4192"/>
      <c r="V53" s="2912">
        <v>5.3571428571428568E-2</v>
      </c>
      <c r="W53" s="2911">
        <v>0</v>
      </c>
      <c r="X53" s="3042">
        <v>0</v>
      </c>
      <c r="Y53" s="4192">
        <v>0</v>
      </c>
      <c r="Z53" s="3042">
        <v>1.8518518518518517E-2</v>
      </c>
      <c r="AA53" s="4192">
        <v>0</v>
      </c>
      <c r="AB53" s="3042">
        <v>0</v>
      </c>
      <c r="AC53" s="4192">
        <v>0</v>
      </c>
      <c r="AD53" s="3042">
        <v>0</v>
      </c>
    </row>
    <row r="54" spans="2:30" ht="14.4">
      <c r="B54" s="2423" t="s">
        <v>34</v>
      </c>
      <c r="C54" s="4194">
        <v>0</v>
      </c>
      <c r="D54" s="2912">
        <v>0</v>
      </c>
      <c r="E54" s="4194"/>
      <c r="F54" s="2912">
        <v>0</v>
      </c>
      <c r="G54" s="2919">
        <v>0</v>
      </c>
      <c r="H54" s="2912">
        <v>3.2786885245901641E-2</v>
      </c>
      <c r="I54" s="2919">
        <v>0</v>
      </c>
      <c r="J54" s="2912">
        <v>0.05</v>
      </c>
      <c r="K54" s="2919"/>
      <c r="L54" s="2912">
        <v>1.6393442622950821E-2</v>
      </c>
      <c r="M54" s="2919">
        <v>0</v>
      </c>
      <c r="N54" s="2912">
        <v>0</v>
      </c>
      <c r="O54" s="4194"/>
      <c r="P54" s="2912">
        <v>0</v>
      </c>
      <c r="Q54" s="4194">
        <v>0</v>
      </c>
      <c r="R54" s="2912">
        <v>1.6949152542372881E-2</v>
      </c>
      <c r="S54" s="4194"/>
      <c r="T54" s="2912">
        <v>5.4545454545454543E-2</v>
      </c>
      <c r="U54" s="4194">
        <v>0</v>
      </c>
      <c r="V54" s="2912">
        <v>0.13114754098360656</v>
      </c>
      <c r="W54" s="2919">
        <v>0</v>
      </c>
      <c r="X54" s="3042">
        <v>3.3333333333333333E-2</v>
      </c>
      <c r="Y54" s="4194"/>
      <c r="Z54" s="3042">
        <v>0</v>
      </c>
      <c r="AA54" s="4194"/>
      <c r="AB54" s="3042">
        <v>7.792207792207792E-2</v>
      </c>
      <c r="AC54" s="4194">
        <v>0</v>
      </c>
      <c r="AD54" s="3042">
        <v>0</v>
      </c>
    </row>
    <row r="55" spans="2:30" ht="14.4">
      <c r="B55" s="2423" t="s">
        <v>35</v>
      </c>
      <c r="C55" s="4192">
        <v>0</v>
      </c>
      <c r="D55" s="2912">
        <v>0</v>
      </c>
      <c r="E55" s="4192">
        <v>0</v>
      </c>
      <c r="F55" s="2912">
        <v>0.1044776119402985</v>
      </c>
      <c r="G55" s="2911">
        <v>0</v>
      </c>
      <c r="H55" s="2912">
        <v>5.1948051948051951E-2</v>
      </c>
      <c r="I55" s="2911">
        <v>0</v>
      </c>
      <c r="J55" s="2912">
        <v>1.3698630136986301E-2</v>
      </c>
      <c r="K55" s="2911"/>
      <c r="L55" s="2912">
        <v>4.2253521126760563E-2</v>
      </c>
      <c r="M55" s="2911">
        <v>0</v>
      </c>
      <c r="N55" s="2912">
        <v>2.9850746268656716E-2</v>
      </c>
      <c r="O55" s="4192">
        <v>0</v>
      </c>
      <c r="P55" s="2912">
        <v>7.3529411764705885E-2</v>
      </c>
      <c r="Q55" s="4192"/>
      <c r="R55" s="2912">
        <v>0</v>
      </c>
      <c r="S55" s="4192">
        <v>0</v>
      </c>
      <c r="T55" s="2912">
        <v>4.6153846153846156E-2</v>
      </c>
      <c r="U55" s="4192"/>
      <c r="V55" s="2912">
        <v>4.3478260869565216E-2</v>
      </c>
      <c r="W55" s="2911">
        <v>0</v>
      </c>
      <c r="X55" s="3042">
        <v>2.8571428571428571E-2</v>
      </c>
      <c r="Y55" s="4192"/>
      <c r="Z55" s="1664">
        <v>0</v>
      </c>
      <c r="AA55" s="4192"/>
      <c r="AB55" s="1664">
        <v>2.1276595744680851E-2</v>
      </c>
      <c r="AC55" s="4192">
        <v>0</v>
      </c>
      <c r="AD55" s="1664">
        <v>1.2658227848101266E-2</v>
      </c>
    </row>
    <row r="56" spans="2:30" ht="14.4">
      <c r="B56" s="2423" t="s">
        <v>19</v>
      </c>
      <c r="C56" s="4192">
        <v>0</v>
      </c>
      <c r="D56" s="2912">
        <v>9.6385542168674704E-2</v>
      </c>
      <c r="E56" s="4192">
        <v>0</v>
      </c>
      <c r="F56" s="2912">
        <v>0.10666666666666667</v>
      </c>
      <c r="G56" s="2911">
        <v>0</v>
      </c>
      <c r="H56" s="2912">
        <v>5.8823529411764705E-2</v>
      </c>
      <c r="I56" s="2911">
        <v>0</v>
      </c>
      <c r="J56" s="2912">
        <v>0.10784313725490197</v>
      </c>
      <c r="K56" s="2911">
        <v>0</v>
      </c>
      <c r="L56" s="2912">
        <v>2.8571428571428571E-2</v>
      </c>
      <c r="M56" s="2911">
        <v>0</v>
      </c>
      <c r="N56" s="2912">
        <v>6.0606060606060608E-2</v>
      </c>
      <c r="O56" s="4192">
        <v>0</v>
      </c>
      <c r="P56" s="2912">
        <v>1.8181818181818181E-2</v>
      </c>
      <c r="Q56" s="4192">
        <v>0</v>
      </c>
      <c r="R56" s="2912">
        <v>0.11764705882352941</v>
      </c>
      <c r="S56" s="4192">
        <v>0</v>
      </c>
      <c r="T56" s="2912">
        <v>5.3571428571428568E-2</v>
      </c>
      <c r="U56" s="4192">
        <v>0</v>
      </c>
      <c r="V56" s="2912">
        <v>1.9230769230769232E-2</v>
      </c>
      <c r="W56" s="2911">
        <v>0</v>
      </c>
      <c r="X56" s="3042">
        <v>6.5040650406504072E-2</v>
      </c>
      <c r="Y56" s="4192">
        <v>0</v>
      </c>
      <c r="Z56" s="3042">
        <v>6.8965517241379309E-2</v>
      </c>
      <c r="AA56" s="4192"/>
      <c r="AB56" s="3042">
        <v>2.4193548387096774E-2</v>
      </c>
      <c r="AC56" s="4192">
        <v>7.0921985815602842E-2</v>
      </c>
      <c r="AD56" s="3042">
        <v>5.7142857142857143E-3</v>
      </c>
    </row>
    <row r="57" spans="2:30" ht="14.4">
      <c r="B57" s="2423" t="s">
        <v>20</v>
      </c>
      <c r="C57" s="4192">
        <v>0</v>
      </c>
      <c r="D57" s="2912">
        <v>7.3170731707317069E-2</v>
      </c>
      <c r="E57" s="4192">
        <v>0</v>
      </c>
      <c r="F57" s="2912">
        <v>0.10606060606060606</v>
      </c>
      <c r="G57" s="2911">
        <v>0</v>
      </c>
      <c r="H57" s="2912">
        <v>0</v>
      </c>
      <c r="I57" s="2911">
        <v>0</v>
      </c>
      <c r="J57" s="2912">
        <v>1.2345679012345678E-2</v>
      </c>
      <c r="K57" s="2911">
        <v>0</v>
      </c>
      <c r="L57" s="2912">
        <v>2.1052631578947368E-2</v>
      </c>
      <c r="M57" s="2911"/>
      <c r="N57" s="2912">
        <v>3.2258064516129031E-2</v>
      </c>
      <c r="O57" s="4192">
        <v>0</v>
      </c>
      <c r="P57" s="2912">
        <v>3.4883720930232558E-2</v>
      </c>
      <c r="Q57" s="4192"/>
      <c r="R57" s="2912">
        <v>6.3157894736842107E-2</v>
      </c>
      <c r="S57" s="4192">
        <v>0</v>
      </c>
      <c r="T57" s="2912">
        <v>0</v>
      </c>
      <c r="U57" s="4192">
        <v>0</v>
      </c>
      <c r="V57" s="2912">
        <v>3.614457831325301E-2</v>
      </c>
      <c r="W57" s="2911">
        <v>0</v>
      </c>
      <c r="X57" s="3042">
        <v>1.2345679012345678E-2</v>
      </c>
      <c r="Y57" s="4192"/>
      <c r="Z57" s="3042">
        <v>1.5384615384615385E-2</v>
      </c>
      <c r="AA57" s="4192">
        <v>0</v>
      </c>
      <c r="AB57" s="3042">
        <v>1.0869565217391304E-2</v>
      </c>
      <c r="AC57" s="4192">
        <v>2.5000000000000001E-2</v>
      </c>
      <c r="AD57" s="3042">
        <v>6.1068702290076333E-2</v>
      </c>
    </row>
    <row r="58" spans="2:30" ht="14.4">
      <c r="B58" s="2423" t="s">
        <v>36</v>
      </c>
      <c r="C58" s="4194">
        <v>0</v>
      </c>
      <c r="D58" s="2912">
        <v>4.9382716049382713E-2</v>
      </c>
      <c r="E58" s="4194"/>
      <c r="F58" s="2912">
        <v>1.6393442622950821E-2</v>
      </c>
      <c r="G58" s="2919">
        <v>0</v>
      </c>
      <c r="H58" s="2912">
        <v>5.7971014492753624E-2</v>
      </c>
      <c r="I58" s="2919">
        <v>0</v>
      </c>
      <c r="J58" s="2912">
        <v>0.05</v>
      </c>
      <c r="K58" s="2919">
        <v>0</v>
      </c>
      <c r="L58" s="2912">
        <v>4.2857142857142858E-2</v>
      </c>
      <c r="M58" s="2919">
        <v>0</v>
      </c>
      <c r="N58" s="2912">
        <v>5.8823529411764705E-2</v>
      </c>
      <c r="O58" s="4194">
        <v>0</v>
      </c>
      <c r="P58" s="2912">
        <v>2.564102564102564E-2</v>
      </c>
      <c r="Q58" s="4194">
        <v>0</v>
      </c>
      <c r="R58" s="2912">
        <v>1.3157894736842105E-2</v>
      </c>
      <c r="S58" s="4194"/>
      <c r="T58" s="2912">
        <v>0.04</v>
      </c>
      <c r="U58" s="4194"/>
      <c r="V58" s="2912">
        <v>1.4084507042253521E-2</v>
      </c>
      <c r="X58" s="3042">
        <v>0</v>
      </c>
      <c r="Y58" s="4192">
        <v>0</v>
      </c>
      <c r="Z58" s="3042">
        <v>0</v>
      </c>
      <c r="AA58" s="4192">
        <v>0</v>
      </c>
      <c r="AB58" s="3042">
        <v>1.0752688172043012E-2</v>
      </c>
      <c r="AC58" s="4192" t="s">
        <v>3363</v>
      </c>
      <c r="AD58" s="3042">
        <v>6.0240963855421686E-2</v>
      </c>
    </row>
    <row r="59" spans="2:30" ht="14.4">
      <c r="B59" s="2423" t="s">
        <v>37</v>
      </c>
      <c r="C59" s="4194"/>
      <c r="D59" s="2912">
        <v>7.8947368421052627E-2</v>
      </c>
      <c r="E59" s="4194"/>
      <c r="F59" s="2912">
        <v>7.407407407407407E-2</v>
      </c>
      <c r="G59" s="2919">
        <v>0</v>
      </c>
      <c r="H59" s="2912">
        <v>0.13953488372093023</v>
      </c>
      <c r="I59" s="2919">
        <v>0</v>
      </c>
      <c r="J59" s="2912">
        <v>7.8947368421052627E-2</v>
      </c>
      <c r="K59" s="2919"/>
      <c r="L59" s="2912">
        <v>8.771929824561403E-2</v>
      </c>
      <c r="M59" s="2919"/>
      <c r="N59" s="2912">
        <v>0.06</v>
      </c>
      <c r="O59" s="4194">
        <v>0</v>
      </c>
      <c r="P59" s="2912">
        <v>0.125</v>
      </c>
      <c r="Q59" s="4194">
        <v>0</v>
      </c>
      <c r="R59" s="2912">
        <v>2.3255813953488372E-2</v>
      </c>
      <c r="S59" s="4194">
        <v>0</v>
      </c>
      <c r="T59" s="2912">
        <v>9.6153846153846159E-2</v>
      </c>
      <c r="U59" s="4194">
        <v>0</v>
      </c>
      <c r="V59" s="2912">
        <v>2.5000000000000001E-2</v>
      </c>
      <c r="W59" s="2919">
        <v>0</v>
      </c>
      <c r="X59" s="3042">
        <v>4.1666666666666664E-2</v>
      </c>
      <c r="Y59" s="4194"/>
      <c r="Z59" s="3042">
        <v>0.1</v>
      </c>
      <c r="AA59" s="4194"/>
      <c r="AB59" s="3042">
        <v>4.4117647058823532E-2</v>
      </c>
      <c r="AC59" s="4194" t="s">
        <v>3363</v>
      </c>
      <c r="AD59" s="3042">
        <v>6.6666666666666666E-2</v>
      </c>
    </row>
    <row r="60" spans="2:30" ht="14.4">
      <c r="B60" s="2423" t="s">
        <v>38</v>
      </c>
      <c r="C60" s="4192">
        <v>0</v>
      </c>
      <c r="D60" s="2912">
        <v>8.4905660377358486E-2</v>
      </c>
      <c r="E60" s="4192">
        <v>0</v>
      </c>
      <c r="F60" s="2912">
        <v>6.7226890756302518E-2</v>
      </c>
      <c r="G60" s="2911"/>
      <c r="H60" s="2912">
        <v>3.9215686274509803E-2</v>
      </c>
      <c r="I60" s="2911">
        <v>0</v>
      </c>
      <c r="J60" s="2912">
        <v>0.16304347826086957</v>
      </c>
      <c r="K60" s="2911"/>
      <c r="L60" s="2912">
        <v>0.05</v>
      </c>
      <c r="M60" s="2911">
        <v>0</v>
      </c>
      <c r="N60" s="2912">
        <v>3.2967032967032968E-2</v>
      </c>
      <c r="O60" s="4192">
        <v>0</v>
      </c>
      <c r="P60" s="2912">
        <v>8.0808080808080815E-2</v>
      </c>
      <c r="Q60" s="4192">
        <v>0</v>
      </c>
      <c r="R60" s="2912">
        <v>7.0707070707070704E-2</v>
      </c>
      <c r="S60" s="4192"/>
      <c r="T60" s="2912">
        <v>2.3255813953488372E-2</v>
      </c>
      <c r="U60" s="4192">
        <v>0</v>
      </c>
      <c r="V60" s="2912">
        <v>0.1134020618556701</v>
      </c>
      <c r="W60" s="2919">
        <v>0</v>
      </c>
      <c r="X60" s="3042">
        <v>5.8823529411764705E-2</v>
      </c>
      <c r="Y60" s="4192">
        <v>0</v>
      </c>
      <c r="Z60" s="3042">
        <v>0.1134020618556701</v>
      </c>
      <c r="AA60" s="4192">
        <v>0</v>
      </c>
      <c r="AB60" s="3042">
        <v>9.1836734693877556E-2</v>
      </c>
      <c r="AC60" s="4192">
        <v>0</v>
      </c>
      <c r="AD60" s="3042">
        <v>6.4516129032258063E-2</v>
      </c>
    </row>
    <row r="61" spans="2:30" ht="14.4">
      <c r="B61" s="2423" t="s">
        <v>39</v>
      </c>
      <c r="C61" s="4192">
        <v>0.12903225806451613</v>
      </c>
      <c r="D61" s="2912">
        <v>0.15151515151515152</v>
      </c>
      <c r="E61" s="4192">
        <v>0.3188405797101449</v>
      </c>
      <c r="F61" s="2912">
        <v>0.12244897959183673</v>
      </c>
      <c r="G61" s="2911">
        <v>0.33333333333333331</v>
      </c>
      <c r="H61" s="2912">
        <v>0.171875</v>
      </c>
      <c r="I61" s="2911">
        <v>0.15789473684210525</v>
      </c>
      <c r="J61" s="2912">
        <v>0.26446280991735538</v>
      </c>
      <c r="K61" s="2911">
        <v>0.21428571428571427</v>
      </c>
      <c r="L61" s="2912">
        <v>0.18852459016393441</v>
      </c>
      <c r="M61" s="2911">
        <v>5.8823529411764705E-2</v>
      </c>
      <c r="N61" s="2912">
        <v>8.4745762711864403E-2</v>
      </c>
      <c r="O61" s="4192">
        <v>0.05</v>
      </c>
      <c r="P61" s="2912">
        <v>0.30275229357798167</v>
      </c>
      <c r="Q61" s="4192">
        <v>0.13461538461538461</v>
      </c>
      <c r="R61" s="2912">
        <v>0.27272727272727271</v>
      </c>
      <c r="S61" s="4192">
        <v>0.11538461538461539</v>
      </c>
      <c r="T61" s="2912">
        <v>0.19130434782608696</v>
      </c>
      <c r="U61" s="4192">
        <v>0.10344827586206896</v>
      </c>
      <c r="V61" s="2912">
        <v>0.29310344827586204</v>
      </c>
      <c r="W61" s="2911">
        <v>0.17543859649122806</v>
      </c>
      <c r="X61" s="3042">
        <v>0.12195121951219512</v>
      </c>
      <c r="Y61" s="4192">
        <v>7.6923076923076927E-2</v>
      </c>
      <c r="Z61" s="3042">
        <v>0.18333333333333332</v>
      </c>
      <c r="AA61" s="4192">
        <v>1.7500000000000002E-2</v>
      </c>
      <c r="AB61" s="3042">
        <v>2.2727272727272728E-2</v>
      </c>
      <c r="AC61" s="4192">
        <v>4.2857142857142858E-2</v>
      </c>
      <c r="AD61" s="3042">
        <v>0.11666666666666667</v>
      </c>
    </row>
    <row r="62" spans="2:30" ht="14.4">
      <c r="B62" s="2423" t="s">
        <v>40</v>
      </c>
      <c r="C62" s="4194">
        <v>0</v>
      </c>
      <c r="D62" s="2912">
        <v>3.2258064516129031E-2</v>
      </c>
      <c r="E62" s="4194"/>
      <c r="F62" s="2912">
        <v>0</v>
      </c>
      <c r="G62" s="2919">
        <v>0</v>
      </c>
      <c r="H62" s="2912">
        <v>0</v>
      </c>
      <c r="I62" s="2919">
        <v>0</v>
      </c>
      <c r="J62" s="2912">
        <v>0</v>
      </c>
      <c r="K62" s="2919"/>
      <c r="L62" s="2912">
        <v>0</v>
      </c>
      <c r="M62" s="2919">
        <v>0</v>
      </c>
      <c r="N62" s="2912">
        <v>0</v>
      </c>
      <c r="O62" s="4194"/>
      <c r="P62" s="2912">
        <v>0</v>
      </c>
      <c r="Q62" s="4194"/>
      <c r="R62" s="2912">
        <v>2.7027027027027029E-2</v>
      </c>
      <c r="S62" s="4194">
        <v>0</v>
      </c>
      <c r="T62" s="2912">
        <v>0</v>
      </c>
      <c r="U62" s="4194"/>
      <c r="V62" s="2912">
        <v>0</v>
      </c>
      <c r="X62" s="3042">
        <v>2.5000000000000001E-2</v>
      </c>
      <c r="Y62" s="4801"/>
      <c r="Z62" s="3042">
        <v>2.6315789473684209E-2</v>
      </c>
      <c r="AA62" s="4801"/>
      <c r="AB62" s="3042">
        <v>0</v>
      </c>
      <c r="AC62" s="4192" t="s">
        <v>3363</v>
      </c>
      <c r="AD62" s="3042">
        <v>0</v>
      </c>
    </row>
    <row r="63" spans="2:30" ht="14.4">
      <c r="B63" s="2424" t="s">
        <v>483</v>
      </c>
      <c r="C63" s="2923">
        <v>7.7669902912621352E-2</v>
      </c>
      <c r="D63" s="2914">
        <v>7.4245939675174011E-2</v>
      </c>
      <c r="E63" s="2923">
        <v>0.18181818181818182</v>
      </c>
      <c r="F63" s="2914">
        <v>7.4468085106382975E-2</v>
      </c>
      <c r="G63" s="2913">
        <v>0.19230769230769232</v>
      </c>
      <c r="H63" s="2914">
        <v>8.0183276059564726E-2</v>
      </c>
      <c r="I63" s="2913">
        <v>9.7826086956521743E-2</v>
      </c>
      <c r="J63" s="2914">
        <v>0.11854460093896714</v>
      </c>
      <c r="K63" s="2913">
        <v>0.22500000000000001</v>
      </c>
      <c r="L63" s="2914">
        <v>8.2681564245810052E-2</v>
      </c>
      <c r="M63" s="2913">
        <v>0.18954248366013071</v>
      </c>
      <c r="N63" s="2914">
        <v>6.1413673232908458E-2</v>
      </c>
      <c r="O63" s="2923">
        <v>7.4712643678160925E-2</v>
      </c>
      <c r="P63" s="2914">
        <v>0.11392405063291139</v>
      </c>
      <c r="Q63" s="2923">
        <v>0.12337662337662338</v>
      </c>
      <c r="R63" s="2914">
        <v>9.578107183580388E-2</v>
      </c>
      <c r="S63" s="2923">
        <v>7.5342465753424653E-2</v>
      </c>
      <c r="T63" s="2914">
        <v>8.4826762246117085E-2</v>
      </c>
      <c r="U63" s="2923">
        <v>7.9136690647482008E-2</v>
      </c>
      <c r="V63" s="2914">
        <v>0.10253317249698432</v>
      </c>
      <c r="W63" s="2913">
        <v>0.11258278145695365</v>
      </c>
      <c r="X63" s="3043">
        <v>8.5620197585071348E-2</v>
      </c>
      <c r="Y63" s="2923">
        <v>0.1079136690647482</v>
      </c>
      <c r="Z63" s="3043">
        <v>8.4937712344280866E-2</v>
      </c>
      <c r="AA63" s="2923">
        <v>7.1428571428571425E-2</v>
      </c>
      <c r="AB63" s="3043">
        <v>4.5999999999999999E-2</v>
      </c>
      <c r="AC63" s="2923">
        <v>7.5949367088607597E-2</v>
      </c>
      <c r="AD63" s="3043">
        <v>5.3347280334728034E-2</v>
      </c>
    </row>
    <row r="64" spans="2:30" ht="14.4">
      <c r="B64" s="2423" t="s">
        <v>42</v>
      </c>
      <c r="C64" s="4192">
        <v>5.4794520547945202E-2</v>
      </c>
      <c r="D64" s="2912">
        <v>4.2857142857142858E-2</v>
      </c>
      <c r="E64" s="4192">
        <v>2.0833333333333332E-2</v>
      </c>
      <c r="F64" s="2912">
        <v>9.45945945945946E-2</v>
      </c>
      <c r="G64" s="2911">
        <v>1.5384615384615385E-2</v>
      </c>
      <c r="H64" s="2912">
        <v>0.12</v>
      </c>
      <c r="I64" s="2911">
        <v>1.2048192771084338E-2</v>
      </c>
      <c r="J64" s="2912">
        <v>1.4285714285714285E-2</v>
      </c>
      <c r="K64" s="2911">
        <v>3.0303030303030304E-2</v>
      </c>
      <c r="L64" s="2912">
        <v>5.2631578947368418E-2</v>
      </c>
      <c r="M64" s="2911">
        <v>2.7397260273972601E-2</v>
      </c>
      <c r="N64" s="2912">
        <v>4.0540540540540543E-2</v>
      </c>
      <c r="O64" s="4192">
        <v>0</v>
      </c>
      <c r="P64" s="2912">
        <v>3.0303030303030304E-2</v>
      </c>
      <c r="Q64" s="4192">
        <v>0</v>
      </c>
      <c r="R64" s="2912">
        <v>0.1095890410958904</v>
      </c>
      <c r="S64" s="4192">
        <v>3.5714285714285712E-2</v>
      </c>
      <c r="T64" s="2912">
        <v>3.5714285714285712E-2</v>
      </c>
      <c r="U64" s="4192">
        <v>7.1428571428571425E-2</v>
      </c>
      <c r="V64" s="2912">
        <v>0.13636363636363635</v>
      </c>
      <c r="W64" s="2911">
        <v>1.5151515151515152E-2</v>
      </c>
      <c r="X64" s="3042">
        <v>4.4776119402985072E-2</v>
      </c>
      <c r="Y64" s="4192">
        <v>0</v>
      </c>
      <c r="Z64" s="3042">
        <v>1.7543859649122806E-2</v>
      </c>
      <c r="AA64" s="4192">
        <v>3.4482758620689655E-2</v>
      </c>
      <c r="AB64" s="3042">
        <v>3.3333333333333333E-2</v>
      </c>
      <c r="AC64" s="4192">
        <v>0</v>
      </c>
      <c r="AD64" s="3042">
        <v>2.0408163265306121E-2</v>
      </c>
    </row>
    <row r="65" spans="2:30" ht="14.4">
      <c r="B65" s="2423" t="s">
        <v>43</v>
      </c>
      <c r="C65" s="4192">
        <v>2.9411764705882353E-2</v>
      </c>
      <c r="D65" s="2912">
        <v>0.11538461538461539</v>
      </c>
      <c r="E65" s="4192">
        <v>3.5714285714285712E-2</v>
      </c>
      <c r="F65" s="2912">
        <v>7.0175438596491224E-2</v>
      </c>
      <c r="G65" s="2911">
        <v>2.4390243902439025E-2</v>
      </c>
      <c r="H65" s="2912">
        <v>5.5555555555555552E-2</v>
      </c>
      <c r="I65" s="2911">
        <v>5.8823529411764705E-2</v>
      </c>
      <c r="J65" s="2912">
        <v>6.25E-2</v>
      </c>
      <c r="K65" s="2911">
        <v>8.1081081081081086E-2</v>
      </c>
      <c r="L65" s="2912">
        <v>2.0408163265306121E-2</v>
      </c>
      <c r="M65" s="2911">
        <v>0</v>
      </c>
      <c r="N65" s="2912">
        <v>1.5873015873015872E-2</v>
      </c>
      <c r="O65" s="4192">
        <v>0</v>
      </c>
      <c r="P65" s="2912">
        <v>6.5573770491803282E-2</v>
      </c>
      <c r="Q65" s="4192">
        <v>0</v>
      </c>
      <c r="R65" s="2912">
        <v>5.3571428571428568E-2</v>
      </c>
      <c r="S65" s="4192">
        <v>0</v>
      </c>
      <c r="T65" s="2912">
        <v>1.7241379310344827E-2</v>
      </c>
      <c r="U65" s="4192">
        <v>0</v>
      </c>
      <c r="V65" s="2912">
        <v>7.2727272727272724E-2</v>
      </c>
      <c r="W65" s="2911">
        <v>0</v>
      </c>
      <c r="X65" s="3042">
        <v>3.1746031746031744E-2</v>
      </c>
      <c r="Y65" s="4192">
        <v>0</v>
      </c>
      <c r="Z65" s="3042">
        <v>0</v>
      </c>
      <c r="AA65" s="4192">
        <v>0</v>
      </c>
      <c r="AB65" s="3042">
        <v>6.9767441860465115E-2</v>
      </c>
      <c r="AC65" s="4192">
        <v>0</v>
      </c>
      <c r="AD65" s="3042">
        <v>2.1276595744680851E-2</v>
      </c>
    </row>
    <row r="66" spans="2:30" ht="14.4">
      <c r="B66" s="2423" t="s">
        <v>44</v>
      </c>
      <c r="C66" s="4192">
        <v>0</v>
      </c>
      <c r="D66" s="2912">
        <v>0</v>
      </c>
      <c r="E66" s="4192">
        <v>0</v>
      </c>
      <c r="F66" s="2912">
        <v>0</v>
      </c>
      <c r="G66" s="2911">
        <v>0</v>
      </c>
      <c r="H66" s="2912">
        <v>0.02</v>
      </c>
      <c r="I66" s="2911">
        <v>0</v>
      </c>
      <c r="J66" s="2912">
        <v>2.8571428571428571E-2</v>
      </c>
      <c r="K66" s="2911">
        <v>2.2222222222222223E-2</v>
      </c>
      <c r="L66" s="2912">
        <v>0</v>
      </c>
      <c r="M66" s="2911">
        <v>0</v>
      </c>
      <c r="N66" s="2912">
        <v>0</v>
      </c>
      <c r="O66" s="4192">
        <v>2.1739130434782608E-2</v>
      </c>
      <c r="P66" s="2912">
        <v>0</v>
      </c>
      <c r="Q66" s="4192">
        <v>5.128205128205128E-2</v>
      </c>
      <c r="R66" s="2912">
        <v>1.9230769230769232E-2</v>
      </c>
      <c r="S66" s="4192">
        <v>2.7027027027027029E-2</v>
      </c>
      <c r="T66" s="2912">
        <v>2.3255813953488372E-2</v>
      </c>
      <c r="U66" s="4192">
        <v>0</v>
      </c>
      <c r="V66" s="2912">
        <v>0</v>
      </c>
      <c r="W66" s="2911">
        <v>0</v>
      </c>
      <c r="X66" s="3042">
        <v>0</v>
      </c>
      <c r="Y66" s="4192">
        <v>0</v>
      </c>
      <c r="Z66" s="3042">
        <v>0</v>
      </c>
      <c r="AA66" s="4192">
        <v>0</v>
      </c>
      <c r="AB66" s="3042">
        <v>3.2258064516129031E-2</v>
      </c>
      <c r="AC66" s="4192">
        <v>0</v>
      </c>
      <c r="AD66" s="3042">
        <v>3.2258064516129031E-2</v>
      </c>
    </row>
    <row r="67" spans="2:30" ht="14.4">
      <c r="B67" s="2423" t="s">
        <v>45</v>
      </c>
      <c r="C67" s="4192">
        <v>0</v>
      </c>
      <c r="D67" s="2912">
        <v>0.2</v>
      </c>
      <c r="E67" s="4192">
        <v>0</v>
      </c>
      <c r="F67" s="2912">
        <v>0</v>
      </c>
      <c r="G67" s="2911"/>
      <c r="H67" s="2912">
        <v>7.6923076923076927E-2</v>
      </c>
      <c r="I67" s="2911">
        <v>0</v>
      </c>
      <c r="J67" s="2912">
        <v>9.375E-2</v>
      </c>
      <c r="K67" s="2911">
        <v>0</v>
      </c>
      <c r="L67" s="2912">
        <v>0</v>
      </c>
      <c r="M67" s="2911">
        <v>2.9411764705882353E-2</v>
      </c>
      <c r="N67" s="2912">
        <v>0</v>
      </c>
      <c r="O67" s="4192">
        <v>0</v>
      </c>
      <c r="P67" s="2912">
        <v>4.5454545454545456E-2</v>
      </c>
      <c r="Q67" s="4192">
        <v>2.7027027027027029E-2</v>
      </c>
      <c r="R67" s="2912">
        <v>0</v>
      </c>
      <c r="S67" s="4192">
        <v>0.21212121212121213</v>
      </c>
      <c r="T67" s="2912">
        <v>0.1388888888888889</v>
      </c>
      <c r="U67" s="4192">
        <v>0.11764705882352941</v>
      </c>
      <c r="V67" s="2912">
        <v>0.11764705882352941</v>
      </c>
      <c r="W67" s="2911">
        <v>5.8823529411764705E-2</v>
      </c>
      <c r="X67" s="3042">
        <v>0</v>
      </c>
      <c r="Y67" s="4192">
        <v>0</v>
      </c>
      <c r="Z67" s="3042">
        <v>0.1</v>
      </c>
      <c r="AA67" s="4192">
        <v>0</v>
      </c>
      <c r="AB67" s="3042">
        <v>0</v>
      </c>
      <c r="AC67" s="4192">
        <v>7.6923076923076927E-2</v>
      </c>
      <c r="AD67" s="3042">
        <v>0</v>
      </c>
    </row>
    <row r="68" spans="2:30" ht="14.4">
      <c r="B68" s="2423" t="s">
        <v>46</v>
      </c>
      <c r="C68" s="4192">
        <v>7.6923076923076927E-2</v>
      </c>
      <c r="D68" s="2912">
        <v>8.98876404494382E-2</v>
      </c>
      <c r="E68" s="4192">
        <v>4.3478260869565216E-2</v>
      </c>
      <c r="F68" s="2912">
        <v>7.2289156626506021E-2</v>
      </c>
      <c r="G68" s="2911">
        <v>1.6949152542372881E-2</v>
      </c>
      <c r="H68" s="2912">
        <v>4.3010752688172046E-2</v>
      </c>
      <c r="I68" s="2911">
        <v>1.0309278350515464E-2</v>
      </c>
      <c r="J68" s="2912">
        <v>6.8627450980392163E-2</v>
      </c>
      <c r="K68" s="2911">
        <v>1.3157894736842105E-2</v>
      </c>
      <c r="L68" s="2912">
        <v>6.1224489795918366E-2</v>
      </c>
      <c r="M68" s="2911">
        <v>0</v>
      </c>
      <c r="N68" s="2912">
        <v>1.0752688172043012E-2</v>
      </c>
      <c r="O68" s="4192">
        <v>1.0416666666666666E-2</v>
      </c>
      <c r="P68" s="2912">
        <v>0</v>
      </c>
      <c r="Q68" s="4192">
        <v>1.3698630136986301E-2</v>
      </c>
      <c r="R68" s="2912">
        <v>3.2258064516129031E-2</v>
      </c>
      <c r="S68" s="4192">
        <v>1.4285714285714285E-2</v>
      </c>
      <c r="T68" s="2912">
        <v>3.7499999999999999E-2</v>
      </c>
      <c r="U68" s="4192">
        <v>3.2258064516129031E-2</v>
      </c>
      <c r="V68" s="2912">
        <v>3.8461538461538464E-2</v>
      </c>
      <c r="W68" s="2911">
        <v>0</v>
      </c>
      <c r="X68" s="3042">
        <v>0</v>
      </c>
      <c r="Y68" s="4192">
        <v>1.2987012987012988E-2</v>
      </c>
      <c r="Z68" s="3042">
        <v>0</v>
      </c>
      <c r="AA68" s="4192">
        <v>0</v>
      </c>
      <c r="AB68" s="3042">
        <v>4.4776119402985072E-2</v>
      </c>
      <c r="AC68" s="4192">
        <v>0</v>
      </c>
      <c r="AD68" s="3042">
        <v>0</v>
      </c>
    </row>
    <row r="69" spans="2:30" ht="14.4">
      <c r="B69" s="2423" t="s">
        <v>47</v>
      </c>
      <c r="C69" s="4192">
        <v>2.3255813953488372E-2</v>
      </c>
      <c r="D69" s="2912">
        <v>2.9702970297029702E-2</v>
      </c>
      <c r="E69" s="4192">
        <v>0</v>
      </c>
      <c r="F69" s="2912">
        <v>2.3255813953488372E-2</v>
      </c>
      <c r="G69" s="2911">
        <v>4.2857142857142858E-2</v>
      </c>
      <c r="H69" s="2912">
        <v>2.247191011235955E-2</v>
      </c>
      <c r="I69" s="2911">
        <v>0</v>
      </c>
      <c r="J69" s="2912">
        <v>3.3333333333333333E-2</v>
      </c>
      <c r="K69" s="2911">
        <v>0</v>
      </c>
      <c r="L69" s="2912">
        <v>2.0833333333333332E-2</v>
      </c>
      <c r="M69" s="2911">
        <v>0</v>
      </c>
      <c r="N69" s="2912">
        <v>8.8495575221238937E-3</v>
      </c>
      <c r="O69" s="4192">
        <v>0</v>
      </c>
      <c r="P69" s="2912">
        <v>0</v>
      </c>
      <c r="Q69" s="4192">
        <v>1.3513513513513514E-2</v>
      </c>
      <c r="R69" s="2912">
        <v>0</v>
      </c>
      <c r="S69" s="4192">
        <v>1.5384615384615385E-2</v>
      </c>
      <c r="T69" s="2912">
        <v>1.1904761904761904E-2</v>
      </c>
      <c r="U69" s="4192">
        <v>0</v>
      </c>
      <c r="V69" s="2912">
        <v>0</v>
      </c>
      <c r="W69" s="2911">
        <v>2.3255813953488372E-2</v>
      </c>
      <c r="X69" s="3042">
        <v>0</v>
      </c>
      <c r="Y69" s="4192">
        <v>0</v>
      </c>
      <c r="Z69" s="3042">
        <v>0</v>
      </c>
      <c r="AA69" s="4192">
        <v>0</v>
      </c>
      <c r="AB69" s="3042">
        <v>8.6206896551724144E-2</v>
      </c>
      <c r="AC69" s="4192">
        <v>0</v>
      </c>
      <c r="AD69" s="3042">
        <v>0</v>
      </c>
    </row>
    <row r="70" spans="2:30" ht="14.4">
      <c r="B70" s="2424" t="s">
        <v>485</v>
      </c>
      <c r="C70" s="2923">
        <v>4.2801556420233464E-2</v>
      </c>
      <c r="D70" s="2914">
        <v>6.1170212765957445E-2</v>
      </c>
      <c r="E70" s="2923">
        <v>2.1052631578947368E-2</v>
      </c>
      <c r="F70" s="2914">
        <v>5.2341597796143252E-2</v>
      </c>
      <c r="G70" s="2913">
        <v>2.5000000000000001E-2</v>
      </c>
      <c r="H70" s="2914">
        <v>5.4263565891472867E-2</v>
      </c>
      <c r="I70" s="2913">
        <v>1.483679525222552E-2</v>
      </c>
      <c r="J70" s="2914">
        <v>4.6116504854368932E-2</v>
      </c>
      <c r="K70" s="2913">
        <v>2.0588235294117647E-2</v>
      </c>
      <c r="L70" s="2914">
        <v>3.1100478468899521E-2</v>
      </c>
      <c r="M70" s="2913">
        <v>7.9575596816976128E-3</v>
      </c>
      <c r="N70" s="2914">
        <v>1.4457831325301205E-2</v>
      </c>
      <c r="O70" s="2923">
        <v>5.263157894736842E-3</v>
      </c>
      <c r="P70" s="2914">
        <v>1.9656019656019656E-2</v>
      </c>
      <c r="Q70" s="2923">
        <v>1.3966480446927373E-2</v>
      </c>
      <c r="R70" s="2914">
        <v>3.6764705882352942E-2</v>
      </c>
      <c r="S70" s="2923">
        <v>3.7854889589905363E-2</v>
      </c>
      <c r="T70" s="2914">
        <v>3.6414565826330535E-2</v>
      </c>
      <c r="U70" s="2923">
        <v>2.9411764705882353E-2</v>
      </c>
      <c r="V70" s="2914">
        <v>5.2631578947368418E-2</v>
      </c>
      <c r="W70" s="2913">
        <v>1.1029411764705883E-2</v>
      </c>
      <c r="X70" s="3043">
        <v>1.3089005235602094E-2</v>
      </c>
      <c r="Y70" s="2923">
        <v>3.8022813688212928E-3</v>
      </c>
      <c r="Z70" s="3043">
        <v>8.356545961002786E-3</v>
      </c>
      <c r="AA70" s="2923">
        <v>4.7846889952153108E-3</v>
      </c>
      <c r="AB70" s="3043">
        <v>4.3999999999999997E-2</v>
      </c>
      <c r="AC70" s="2923">
        <v>4.3859649122807015E-3</v>
      </c>
      <c r="AD70" s="3043">
        <v>1.0416666666666666E-2</v>
      </c>
    </row>
    <row r="71" spans="2:30" ht="14.4">
      <c r="B71" s="2428" t="s">
        <v>109</v>
      </c>
      <c r="C71" s="2915">
        <v>3.9591315453384422E-2</v>
      </c>
      <c r="D71" s="2916">
        <v>5.71608040201005E-2</v>
      </c>
      <c r="E71" s="2915">
        <v>7.512520868113523E-2</v>
      </c>
      <c r="F71" s="2916">
        <v>5.8823529411764705E-2</v>
      </c>
      <c r="G71" s="2915">
        <v>7.1874999999999994E-2</v>
      </c>
      <c r="H71" s="2916">
        <v>5.91044776119403E-2</v>
      </c>
      <c r="I71" s="2915">
        <v>3.4090909090909088E-2</v>
      </c>
      <c r="J71" s="2916">
        <v>7.6923076923076927E-2</v>
      </c>
      <c r="K71" s="2915">
        <v>7.0032573289902283E-2</v>
      </c>
      <c r="L71" s="2916">
        <v>4.979035639412998E-2</v>
      </c>
      <c r="M71" s="2915">
        <v>4.6309696092619389E-2</v>
      </c>
      <c r="N71" s="2916">
        <v>3.5617916891527254E-2</v>
      </c>
      <c r="O71" s="2915">
        <v>2.361111111111111E-2</v>
      </c>
      <c r="P71" s="2916">
        <v>5.913692061800746E-2</v>
      </c>
      <c r="Q71" s="2915">
        <v>3.6211699164345405E-2</v>
      </c>
      <c r="R71" s="2916">
        <v>5.421994884910486E-2</v>
      </c>
      <c r="S71" s="2915">
        <v>3.7337662337662336E-2</v>
      </c>
      <c r="T71" s="2916">
        <v>5.2539404553415062E-2</v>
      </c>
      <c r="U71" s="2915">
        <v>3.825136612021858E-2</v>
      </c>
      <c r="V71" s="2916">
        <v>6.3940092165898618E-2</v>
      </c>
      <c r="W71" s="4142">
        <v>3.6764705882352942E-2</v>
      </c>
      <c r="X71" s="1998">
        <v>4.8344718864950079E-2</v>
      </c>
      <c r="Y71" s="2915">
        <v>3.9119804400977995E-2</v>
      </c>
      <c r="Z71" s="1998">
        <v>4.8943270300333706E-2</v>
      </c>
      <c r="AA71" s="2915">
        <v>3.0898876404494381E-2</v>
      </c>
      <c r="AB71" s="1998">
        <v>3.5999999999999997E-2</v>
      </c>
      <c r="AC71" s="2915">
        <v>3.2581453634085211E-2</v>
      </c>
      <c r="AD71" s="1998">
        <v>2.9292929292929294E-2</v>
      </c>
    </row>
    <row r="72" spans="2:30" ht="14.4">
      <c r="B72" s="2427" t="s">
        <v>1450</v>
      </c>
      <c r="C72" s="2427"/>
      <c r="D72" s="2427"/>
      <c r="E72" s="2921"/>
      <c r="F72" s="2922"/>
      <c r="G72" s="2921"/>
      <c r="H72" s="2922"/>
      <c r="I72" s="2921"/>
      <c r="J72" s="2922"/>
      <c r="K72" s="2921"/>
      <c r="L72" s="2922"/>
      <c r="M72" s="3037">
        <v>0.42105263157894735</v>
      </c>
      <c r="N72" s="3038">
        <v>0.32</v>
      </c>
      <c r="O72" s="3037"/>
      <c r="P72" s="3038">
        <v>0.04</v>
      </c>
      <c r="Q72" s="3037">
        <v>0.1</v>
      </c>
      <c r="R72" s="3038">
        <v>0.15</v>
      </c>
      <c r="S72" s="3037">
        <v>0</v>
      </c>
      <c r="T72" s="3038">
        <v>0</v>
      </c>
      <c r="U72" s="3037">
        <v>4.7619047619047616E-2</v>
      </c>
      <c r="V72" s="3038">
        <v>0</v>
      </c>
      <c r="W72" s="4143">
        <v>0</v>
      </c>
      <c r="X72" s="3045">
        <v>9.6774193548387094E-2</v>
      </c>
      <c r="Y72" s="4192">
        <v>0</v>
      </c>
      <c r="Z72" s="3045">
        <v>0</v>
      </c>
      <c r="AA72" s="4192"/>
      <c r="AB72" s="3045">
        <v>0</v>
      </c>
      <c r="AC72" s="4192" t="s">
        <v>3363</v>
      </c>
      <c r="AD72" s="3045">
        <v>0</v>
      </c>
    </row>
    <row r="73" spans="2:30" ht="14.4">
      <c r="B73" s="2427" t="s">
        <v>2786</v>
      </c>
      <c r="C73" s="2427"/>
      <c r="D73" s="2427"/>
      <c r="E73" s="2921"/>
      <c r="F73" s="2922"/>
      <c r="G73" s="2921"/>
      <c r="H73" s="2922"/>
      <c r="I73" s="2921"/>
      <c r="J73" s="2922"/>
      <c r="K73" s="2921"/>
      <c r="L73" s="2922"/>
      <c r="M73" s="3037"/>
      <c r="N73" s="3038"/>
      <c r="O73" s="3037"/>
      <c r="P73" s="3038"/>
      <c r="Q73" s="3037"/>
      <c r="R73" s="3038"/>
      <c r="S73" s="3037"/>
      <c r="T73" s="3038"/>
      <c r="U73" s="3037"/>
      <c r="V73" s="3038"/>
      <c r="W73" s="4143"/>
      <c r="X73" s="3045"/>
      <c r="Y73" s="4192">
        <v>0</v>
      </c>
      <c r="Z73" s="3045">
        <v>0</v>
      </c>
      <c r="AA73" s="4192"/>
      <c r="AB73" s="3045">
        <v>0</v>
      </c>
      <c r="AC73" s="4192" t="s">
        <v>3363</v>
      </c>
      <c r="AD73" s="3045">
        <v>0</v>
      </c>
    </row>
    <row r="74" spans="2:30" ht="14.4">
      <c r="B74" s="2427" t="s">
        <v>3046</v>
      </c>
      <c r="C74" s="2427"/>
      <c r="D74" s="2427"/>
      <c r="E74" s="2921"/>
      <c r="F74" s="2922"/>
      <c r="G74" s="2921"/>
      <c r="H74" s="2922"/>
      <c r="I74" s="2921"/>
      <c r="J74" s="2922"/>
      <c r="K74" s="2921"/>
      <c r="L74" s="2922"/>
      <c r="M74" s="3037"/>
      <c r="N74" s="3038"/>
      <c r="O74" s="3037"/>
      <c r="P74" s="3038"/>
      <c r="Q74" s="3037"/>
      <c r="R74" s="3038"/>
      <c r="S74" s="3037"/>
      <c r="T74" s="3038"/>
      <c r="U74" s="3037"/>
      <c r="V74" s="3038"/>
      <c r="W74" s="4143"/>
      <c r="X74" s="3045"/>
      <c r="Y74" s="4192"/>
      <c r="Z74" s="3045"/>
      <c r="AA74" s="4192">
        <v>0</v>
      </c>
      <c r="AB74" s="3045">
        <v>0</v>
      </c>
      <c r="AC74" s="4192" t="s">
        <v>3363</v>
      </c>
      <c r="AD74" s="3045">
        <v>0.02</v>
      </c>
    </row>
    <row r="75" spans="2:30" ht="14.4">
      <c r="B75" s="2424" t="s">
        <v>482</v>
      </c>
      <c r="C75" s="2424"/>
      <c r="D75" s="2424"/>
      <c r="E75" s="2923"/>
      <c r="F75" s="2914"/>
      <c r="G75" s="2923"/>
      <c r="H75" s="2914"/>
      <c r="I75" s="2923"/>
      <c r="J75" s="2914"/>
      <c r="K75" s="2923"/>
      <c r="L75" s="2914"/>
      <c r="M75" s="2923">
        <v>0.42105263157894735</v>
      </c>
      <c r="N75" s="2914">
        <v>0.32</v>
      </c>
      <c r="O75" s="2923"/>
      <c r="P75" s="2914">
        <v>0.04</v>
      </c>
      <c r="Q75" s="2923">
        <v>0.1</v>
      </c>
      <c r="R75" s="2914">
        <v>0.15</v>
      </c>
      <c r="S75" s="2923">
        <v>0</v>
      </c>
      <c r="T75" s="2914">
        <v>0</v>
      </c>
      <c r="U75" s="2923">
        <v>4.7619047619047616E-2</v>
      </c>
      <c r="V75" s="2914">
        <v>0</v>
      </c>
      <c r="W75" s="2913">
        <v>0</v>
      </c>
      <c r="X75" s="3043">
        <v>9.6774193548387094E-2</v>
      </c>
      <c r="Y75" s="2923">
        <v>0</v>
      </c>
      <c r="Z75" s="3043">
        <v>0</v>
      </c>
      <c r="AA75" s="2923">
        <v>0</v>
      </c>
      <c r="AB75" s="3043">
        <v>0</v>
      </c>
      <c r="AC75" s="2923">
        <v>0</v>
      </c>
      <c r="AD75" s="3043">
        <v>6.8493150684931503E-3</v>
      </c>
    </row>
    <row r="76" spans="2:30" ht="14.4">
      <c r="B76" s="2423" t="s">
        <v>679</v>
      </c>
      <c r="C76" s="2423"/>
      <c r="D76" s="2423"/>
      <c r="E76" s="2923"/>
      <c r="F76" s="2914"/>
      <c r="G76" s="2923"/>
      <c r="H76" s="2914"/>
      <c r="I76" s="2923"/>
      <c r="J76" s="2914"/>
      <c r="K76" s="2923"/>
      <c r="L76" s="2914"/>
      <c r="M76" s="3039">
        <v>0.45454545454545453</v>
      </c>
      <c r="N76" s="3040">
        <v>0.53846153846153844</v>
      </c>
      <c r="O76" s="3039"/>
      <c r="P76" s="3040">
        <v>0.1</v>
      </c>
      <c r="Q76" s="3039">
        <v>0.15789473684210525</v>
      </c>
      <c r="R76" s="3040">
        <v>0.48</v>
      </c>
      <c r="S76" s="3039"/>
      <c r="T76" s="3040">
        <v>0.30769230769230771</v>
      </c>
      <c r="U76" s="3039"/>
      <c r="V76" s="3040">
        <v>7.6923076923076927E-2</v>
      </c>
      <c r="W76" s="4144">
        <v>0.12</v>
      </c>
      <c r="X76" s="3046">
        <v>0.25925925925925924</v>
      </c>
      <c r="Y76" s="3039">
        <v>0.05</v>
      </c>
      <c r="Z76" s="3046">
        <v>0.2</v>
      </c>
      <c r="AA76" s="3039">
        <v>0.46666666666666667</v>
      </c>
      <c r="AB76" s="3046">
        <v>0.35483870967741937</v>
      </c>
      <c r="AC76" s="3039">
        <v>6.8965517241379309E-2</v>
      </c>
      <c r="AD76" s="3046">
        <v>0.1111111111111111</v>
      </c>
    </row>
    <row r="77" spans="2:30" ht="14.4">
      <c r="B77" s="2423" t="s">
        <v>489</v>
      </c>
      <c r="C77" s="2423"/>
      <c r="D77" s="2423"/>
      <c r="E77" s="2923"/>
      <c r="F77" s="2914"/>
      <c r="G77" s="2923"/>
      <c r="H77" s="2914"/>
      <c r="I77" s="2923"/>
      <c r="J77" s="2914"/>
      <c r="K77" s="2923"/>
      <c r="L77" s="2914"/>
      <c r="M77" s="3039"/>
      <c r="N77" s="3040"/>
      <c r="O77" s="3039"/>
      <c r="P77" s="3040"/>
      <c r="Q77" s="3039">
        <v>0</v>
      </c>
      <c r="R77" s="3040">
        <v>0</v>
      </c>
      <c r="S77" s="3039"/>
      <c r="T77" s="3040">
        <v>0.125</v>
      </c>
      <c r="U77" s="3039"/>
      <c r="V77" s="3040">
        <v>0.53846153846153844</v>
      </c>
      <c r="W77" s="4144">
        <v>0</v>
      </c>
      <c r="X77" s="3046">
        <v>0.63157894736842102</v>
      </c>
      <c r="Y77" s="4192">
        <v>0</v>
      </c>
      <c r="Z77" s="3046">
        <v>0.17857142857142858</v>
      </c>
      <c r="AA77" s="4192">
        <v>0</v>
      </c>
      <c r="AB77" s="3046">
        <v>0.13793103448275862</v>
      </c>
      <c r="AC77" s="4192" t="s">
        <v>3363</v>
      </c>
      <c r="AD77" s="3046">
        <v>0.21428571428571427</v>
      </c>
    </row>
    <row r="78" spans="2:30" ht="14.4">
      <c r="B78" s="2423" t="s">
        <v>2309</v>
      </c>
      <c r="C78" s="2423"/>
      <c r="D78" s="2423"/>
      <c r="E78" s="2923"/>
      <c r="F78" s="2914"/>
      <c r="G78" s="2923"/>
      <c r="H78" s="2914"/>
      <c r="I78" s="2923"/>
      <c r="J78" s="2914"/>
      <c r="K78" s="2923"/>
      <c r="L78" s="2914"/>
      <c r="M78" s="3039"/>
      <c r="N78" s="3040"/>
      <c r="O78" s="3039"/>
      <c r="P78" s="3040"/>
      <c r="Q78" s="3039"/>
      <c r="R78" s="3040"/>
      <c r="S78" s="3039"/>
      <c r="T78" s="3040"/>
      <c r="U78" s="3039"/>
      <c r="V78" s="3040"/>
      <c r="W78" s="4144"/>
      <c r="X78" s="3046"/>
      <c r="Y78" s="4192">
        <v>0</v>
      </c>
      <c r="Z78" s="3046">
        <v>0</v>
      </c>
      <c r="AA78" s="4192">
        <v>0.19047619047619047</v>
      </c>
      <c r="AB78" s="3046">
        <v>0.28000000000000003</v>
      </c>
      <c r="AC78" s="4192">
        <v>0</v>
      </c>
      <c r="AD78" s="3046">
        <v>0.28125</v>
      </c>
    </row>
    <row r="79" spans="2:30" ht="14.4">
      <c r="B79" s="2424" t="s">
        <v>483</v>
      </c>
      <c r="C79" s="2424"/>
      <c r="D79" s="2424"/>
      <c r="E79" s="2923"/>
      <c r="F79" s="2914"/>
      <c r="G79" s="2923"/>
      <c r="H79" s="2914"/>
      <c r="I79" s="2923"/>
      <c r="J79" s="2914"/>
      <c r="K79" s="2923"/>
      <c r="L79" s="2914"/>
      <c r="M79" s="2923">
        <v>0.45454545454545453</v>
      </c>
      <c r="N79" s="2914">
        <v>0.53846153846153844</v>
      </c>
      <c r="O79" s="2923"/>
      <c r="P79" s="2914">
        <v>0.1</v>
      </c>
      <c r="Q79" s="2923">
        <v>0.15</v>
      </c>
      <c r="R79" s="2914">
        <v>0.30769230769230771</v>
      </c>
      <c r="S79" s="2923"/>
      <c r="T79" s="2914">
        <v>0.23809523809523808</v>
      </c>
      <c r="U79" s="2923"/>
      <c r="V79" s="2914">
        <v>0.23076923076923078</v>
      </c>
      <c r="W79" s="2913">
        <v>0.11538461538461539</v>
      </c>
      <c r="X79" s="3043">
        <v>0.41304347826086957</v>
      </c>
      <c r="Y79" s="2923">
        <v>4.3478260869565216E-2</v>
      </c>
      <c r="Z79" s="3043">
        <v>0.2</v>
      </c>
      <c r="AA79" s="2923">
        <v>0.29729729729729731</v>
      </c>
      <c r="AB79" s="3043">
        <v>0.25800000000000001</v>
      </c>
      <c r="AC79" s="2923">
        <v>6.6666666666666666E-2</v>
      </c>
      <c r="AD79" s="3043">
        <v>0.20689655172413793</v>
      </c>
    </row>
    <row r="80" spans="2:30" ht="14.4">
      <c r="B80" s="2423" t="s">
        <v>680</v>
      </c>
      <c r="C80" s="2423"/>
      <c r="D80" s="2423"/>
      <c r="E80" s="2923"/>
      <c r="F80" s="2914"/>
      <c r="G80" s="2923"/>
      <c r="H80" s="2914"/>
      <c r="I80" s="2923"/>
      <c r="J80" s="2914"/>
      <c r="K80" s="2923"/>
      <c r="L80" s="2914"/>
      <c r="M80" s="3039">
        <v>0.42857142857142855</v>
      </c>
      <c r="N80" s="3040">
        <v>0.45833333333333331</v>
      </c>
      <c r="O80" s="3039"/>
      <c r="P80" s="3040">
        <v>0.27272727272727271</v>
      </c>
      <c r="Q80" s="3039">
        <v>0.26666666666666666</v>
      </c>
      <c r="R80" s="3040">
        <v>0.41379310344827586</v>
      </c>
      <c r="S80" s="3039">
        <v>0.11538461538461539</v>
      </c>
      <c r="T80" s="3040">
        <v>6.25E-2</v>
      </c>
      <c r="U80" s="3039">
        <v>0</v>
      </c>
      <c r="V80" s="3040">
        <v>2.6315789473684209E-2</v>
      </c>
      <c r="W80" s="4144">
        <v>7.407407407407407E-2</v>
      </c>
      <c r="X80" s="3046">
        <v>0</v>
      </c>
      <c r="Y80" s="4192">
        <v>0</v>
      </c>
      <c r="Z80" s="3046">
        <v>4.1666666666666664E-2</v>
      </c>
      <c r="AA80" s="4192"/>
      <c r="AB80" s="3046">
        <v>2.7777777777777776E-2</v>
      </c>
      <c r="AC80" s="4192" t="s">
        <v>3363</v>
      </c>
      <c r="AD80" s="3046">
        <v>0</v>
      </c>
    </row>
    <row r="81" spans="2:30" ht="14.4">
      <c r="B81" s="2423" t="s">
        <v>2408</v>
      </c>
      <c r="C81" s="6543"/>
      <c r="D81" s="6543"/>
      <c r="E81" s="2924"/>
      <c r="F81" s="2925"/>
      <c r="G81" s="2924"/>
      <c r="H81" s="2925"/>
      <c r="I81" s="2924"/>
      <c r="J81" s="2925"/>
      <c r="K81" s="2924"/>
      <c r="L81" s="2925"/>
      <c r="M81" s="4149"/>
      <c r="N81" s="4150"/>
      <c r="O81" s="4149"/>
      <c r="P81" s="4150"/>
      <c r="Q81" s="4149"/>
      <c r="R81" s="4150"/>
      <c r="S81" s="4149"/>
      <c r="T81" s="4150"/>
      <c r="U81" s="4149"/>
      <c r="V81" s="4150"/>
      <c r="W81" s="4151">
        <v>0</v>
      </c>
      <c r="X81" s="4152">
        <v>0</v>
      </c>
      <c r="Y81" s="4149"/>
      <c r="Z81" s="4152"/>
      <c r="AA81" s="4149"/>
      <c r="AB81" s="4152">
        <v>0.17073170731707318</v>
      </c>
      <c r="AC81" s="4149" t="s">
        <v>3363</v>
      </c>
      <c r="AD81" s="4152">
        <v>0.53846153846153844</v>
      </c>
    </row>
    <row r="82" spans="2:30" ht="14.4">
      <c r="B82" s="2423" t="s">
        <v>2056</v>
      </c>
      <c r="C82" s="6543"/>
      <c r="D82" s="6543"/>
      <c r="E82" s="2924"/>
      <c r="F82" s="2925"/>
      <c r="G82" s="2924"/>
      <c r="H82" s="2925"/>
      <c r="I82" s="2924"/>
      <c r="J82" s="2925"/>
      <c r="K82" s="2924"/>
      <c r="L82" s="2925"/>
      <c r="M82" s="4149"/>
      <c r="N82" s="4150"/>
      <c r="O82" s="4149"/>
      <c r="P82" s="4150"/>
      <c r="Q82" s="4149"/>
      <c r="R82" s="4150"/>
      <c r="S82" s="4149"/>
      <c r="T82" s="4150"/>
      <c r="U82" s="4149"/>
      <c r="V82" s="4150"/>
      <c r="W82" s="4151"/>
      <c r="X82" s="4152"/>
      <c r="Y82" s="4192">
        <v>0</v>
      </c>
      <c r="Z82" s="4152">
        <v>0.38095238095238093</v>
      </c>
      <c r="AA82" s="4192"/>
      <c r="AB82" s="4152">
        <v>7.407407407407407E-2</v>
      </c>
      <c r="AC82" s="4192" t="s">
        <v>3363</v>
      </c>
      <c r="AD82" s="4152">
        <v>0.20512820512820512</v>
      </c>
    </row>
    <row r="83" spans="2:30" ht="14.4">
      <c r="B83" s="2426" t="s">
        <v>485</v>
      </c>
      <c r="C83" s="2426"/>
      <c r="D83" s="2426"/>
      <c r="E83" s="2924"/>
      <c r="F83" s="2925"/>
      <c r="G83" s="2924"/>
      <c r="H83" s="2925"/>
      <c r="I83" s="2924"/>
      <c r="J83" s="2925"/>
      <c r="K83" s="2924"/>
      <c r="L83" s="2925"/>
      <c r="M83" s="2924">
        <v>0.42857142857142855</v>
      </c>
      <c r="N83" s="2925">
        <v>0.45833333333333331</v>
      </c>
      <c r="O83" s="2924"/>
      <c r="P83" s="2925">
        <v>0.27272727272727271</v>
      </c>
      <c r="Q83" s="2924">
        <v>0.26666666666666666</v>
      </c>
      <c r="R83" s="2925">
        <v>0.41379310344827586</v>
      </c>
      <c r="S83" s="2924">
        <v>0.11538461538461539</v>
      </c>
      <c r="T83" s="2925">
        <v>6.25E-2</v>
      </c>
      <c r="U83" s="2924">
        <v>0</v>
      </c>
      <c r="V83" s="2925">
        <v>2.6315789473684209E-2</v>
      </c>
      <c r="W83" s="4145">
        <v>6.8965517241379309E-2</v>
      </c>
      <c r="X83" s="3047">
        <v>0</v>
      </c>
      <c r="Y83" s="4192">
        <v>0</v>
      </c>
      <c r="Z83" s="3047">
        <v>0.2</v>
      </c>
      <c r="AA83" s="4192"/>
      <c r="AB83" s="3047">
        <v>9.0999999999999998E-2</v>
      </c>
      <c r="AC83" s="4192">
        <v>0</v>
      </c>
      <c r="AD83" s="3047">
        <v>0.25663716814159293</v>
      </c>
    </row>
    <row r="84" spans="2:30" ht="14.4">
      <c r="B84" s="2127" t="s">
        <v>1017</v>
      </c>
      <c r="C84" s="2127"/>
      <c r="D84" s="2127"/>
      <c r="E84" s="6544"/>
      <c r="F84" s="2927"/>
      <c r="G84" s="2926"/>
      <c r="H84" s="2927"/>
      <c r="I84" s="2926"/>
      <c r="J84" s="2927"/>
      <c r="K84" s="2926"/>
      <c r="L84" s="2927"/>
      <c r="M84" s="2926">
        <v>0.43548387096774194</v>
      </c>
      <c r="N84" s="2927">
        <v>0.44</v>
      </c>
      <c r="O84" s="4196"/>
      <c r="P84" s="2927">
        <v>0.12987012987012986</v>
      </c>
      <c r="Q84" s="4803">
        <v>0.16363636363636364</v>
      </c>
      <c r="R84" s="2927">
        <v>0.30681818181818182</v>
      </c>
      <c r="S84" s="6260">
        <v>7.4999999999999997E-2</v>
      </c>
      <c r="T84" s="2927">
        <v>0.14285714285714285</v>
      </c>
      <c r="U84" s="6260">
        <v>0.02</v>
      </c>
      <c r="V84" s="4147">
        <v>8.6206896551724144E-2</v>
      </c>
      <c r="W84" s="4146">
        <v>7.1428571428571425E-2</v>
      </c>
      <c r="X84" s="3048">
        <v>0.18965517241379309</v>
      </c>
      <c r="Y84" s="4803">
        <v>1.0638297872340425E-2</v>
      </c>
      <c r="Z84" s="3048">
        <v>0.13008130081300814</v>
      </c>
      <c r="AA84" s="4803">
        <v>0.28899999999999998</v>
      </c>
      <c r="AB84" s="3048">
        <v>0.17499999999999999</v>
      </c>
      <c r="AC84" s="4803">
        <v>6.6666666666666666E-2</v>
      </c>
      <c r="AD84" s="3048">
        <v>0.13872832369942195</v>
      </c>
    </row>
    <row r="85" spans="2:30" ht="14.4">
      <c r="B85" s="2427" t="s">
        <v>17</v>
      </c>
      <c r="C85" s="4193">
        <v>0.12037037037037036</v>
      </c>
      <c r="D85" s="2918">
        <v>0.1326530612244898</v>
      </c>
      <c r="E85" s="4193">
        <v>0.15748031496062992</v>
      </c>
      <c r="F85" s="2918">
        <v>0.12345679012345678</v>
      </c>
      <c r="G85" s="2917">
        <v>0.14285714285714285</v>
      </c>
      <c r="H85" s="2918">
        <v>0.19587628865979381</v>
      </c>
      <c r="I85" s="2917">
        <v>0.13829787234042554</v>
      </c>
      <c r="J85" s="2918">
        <v>0.41025641025641024</v>
      </c>
      <c r="K85" s="2917">
        <v>0.19801980198019803</v>
      </c>
      <c r="L85" s="2918">
        <v>0.20430107526881722</v>
      </c>
      <c r="M85" s="2917">
        <v>0.125</v>
      </c>
      <c r="N85" s="2918">
        <v>0.23595505617977527</v>
      </c>
      <c r="O85" s="4193">
        <v>0.13861386138613863</v>
      </c>
      <c r="P85" s="2918">
        <v>0.23</v>
      </c>
      <c r="Q85" s="4193">
        <v>8.1632653061224483E-2</v>
      </c>
      <c r="R85" s="2918">
        <v>0.22857142857142856</v>
      </c>
      <c r="S85" s="4193">
        <v>0.13461538461538461</v>
      </c>
      <c r="T85" s="2918">
        <v>0.14606741573033707</v>
      </c>
      <c r="U85" s="4193">
        <v>0.21359223300970873</v>
      </c>
      <c r="V85" s="2918">
        <v>0.34831460674157305</v>
      </c>
      <c r="W85" s="2917">
        <v>0.19791666666666666</v>
      </c>
      <c r="X85" s="3044">
        <v>0.28440366972477066</v>
      </c>
      <c r="Y85" s="4193">
        <v>0.22115384615384615</v>
      </c>
      <c r="Z85" s="3044">
        <v>0.35106382978723405</v>
      </c>
      <c r="AA85" s="4193">
        <v>0.30526315789473685</v>
      </c>
      <c r="AB85" s="3044">
        <v>0.39423076923076922</v>
      </c>
      <c r="AC85" s="4193">
        <v>0.16556291390728478</v>
      </c>
      <c r="AD85" s="3044">
        <v>0.13402061855670103</v>
      </c>
    </row>
    <row r="86" spans="2:30" ht="14.4">
      <c r="B86" s="2423" t="s">
        <v>49</v>
      </c>
      <c r="C86" s="4192">
        <v>0.36842105263157893</v>
      </c>
      <c r="D86" s="2912">
        <v>0.44166666666666665</v>
      </c>
      <c r="E86" s="4192">
        <v>0.23214285714285715</v>
      </c>
      <c r="F86" s="2912">
        <v>0.60396039603960394</v>
      </c>
      <c r="G86" s="2911">
        <v>0.43925233644859812</v>
      </c>
      <c r="H86" s="2912">
        <v>0.6</v>
      </c>
      <c r="I86" s="2911">
        <v>0.46788990825688076</v>
      </c>
      <c r="J86" s="2912">
        <v>0.60194174757281549</v>
      </c>
      <c r="K86" s="2911">
        <v>0.5714285714285714</v>
      </c>
      <c r="L86" s="2912">
        <v>0.52542372881355937</v>
      </c>
      <c r="M86" s="2911">
        <v>0.23364485981308411</v>
      </c>
      <c r="N86" s="2912">
        <v>0.59139784946236562</v>
      </c>
      <c r="O86" s="4192">
        <v>0.36363636363636365</v>
      </c>
      <c r="P86" s="2912">
        <v>0.56521739130434778</v>
      </c>
      <c r="Q86" s="4192">
        <v>0.33333333333333331</v>
      </c>
      <c r="R86" s="2912">
        <v>0.49038461538461536</v>
      </c>
      <c r="S86" s="4192">
        <v>0.26548672566371684</v>
      </c>
      <c r="T86" s="2912">
        <v>0.49019607843137253</v>
      </c>
      <c r="U86" s="4192">
        <v>0.33944954128440369</v>
      </c>
      <c r="V86" s="2912">
        <v>0.39285714285714285</v>
      </c>
      <c r="W86" s="2911">
        <v>0.20370370370370369</v>
      </c>
      <c r="X86" s="3042">
        <v>0.49166666666666664</v>
      </c>
      <c r="Y86" s="4192">
        <v>0.33333333333333331</v>
      </c>
      <c r="Z86" s="3042">
        <v>0.44736842105263158</v>
      </c>
      <c r="AA86" s="4192">
        <v>0.47222222222222221</v>
      </c>
      <c r="AB86" s="3042">
        <v>0.51162790697674421</v>
      </c>
      <c r="AC86" s="4192">
        <v>0.53968253968253965</v>
      </c>
      <c r="AD86" s="3042">
        <v>0.515625</v>
      </c>
    </row>
    <row r="87" spans="2:30" ht="14.4">
      <c r="B87" s="2423" t="s">
        <v>19</v>
      </c>
      <c r="C87" s="4192">
        <v>0.14285714285714285</v>
      </c>
      <c r="D87" s="2912">
        <v>9.375E-2</v>
      </c>
      <c r="E87" s="4192">
        <v>6.5934065934065936E-2</v>
      </c>
      <c r="F87" s="2912">
        <v>9.7222222222222224E-2</v>
      </c>
      <c r="G87" s="2911">
        <v>7.407407407407407E-2</v>
      </c>
      <c r="H87" s="2912">
        <v>0.19101123595505617</v>
      </c>
      <c r="I87" s="2911">
        <v>1.1111111111111112E-2</v>
      </c>
      <c r="J87" s="2912">
        <v>6.7567567567567571E-2</v>
      </c>
      <c r="K87" s="2911">
        <v>4.7619047619047616E-2</v>
      </c>
      <c r="L87" s="2912">
        <v>0.11627906976744186</v>
      </c>
      <c r="M87" s="2911">
        <v>5.6818181818181816E-2</v>
      </c>
      <c r="N87" s="2912">
        <v>7.5949367088607597E-2</v>
      </c>
      <c r="O87" s="4192">
        <v>4.1666666666666664E-2</v>
      </c>
      <c r="P87" s="2912">
        <v>0.16666666666666666</v>
      </c>
      <c r="Q87" s="4192">
        <v>2.3529411764705882E-2</v>
      </c>
      <c r="R87" s="2912">
        <v>6.0240963855421686E-2</v>
      </c>
      <c r="S87" s="4192">
        <v>8.8888888888888892E-2</v>
      </c>
      <c r="T87" s="2912">
        <v>0.18604651162790697</v>
      </c>
      <c r="U87" s="4192">
        <v>0.13414634146341464</v>
      </c>
      <c r="V87" s="2912">
        <v>0.10112359550561797</v>
      </c>
      <c r="W87" s="2911">
        <v>0.10989010989010989</v>
      </c>
      <c r="X87" s="3042">
        <v>0.15094339622641509</v>
      </c>
      <c r="Y87" s="4192">
        <v>0.1</v>
      </c>
      <c r="Z87" s="3042">
        <v>0.16494845360824742</v>
      </c>
      <c r="AA87" s="4192">
        <v>0.20754716981132076</v>
      </c>
      <c r="AB87" s="3042">
        <v>0.25233644859813081</v>
      </c>
      <c r="AC87" s="4192">
        <v>7.0921985815602842E-2</v>
      </c>
      <c r="AD87" s="3042">
        <v>5.7142857142857143E-3</v>
      </c>
    </row>
    <row r="88" spans="2:30" ht="14.4">
      <c r="B88" s="2423" t="s">
        <v>50</v>
      </c>
      <c r="C88" s="4192">
        <v>0.37634408602150538</v>
      </c>
      <c r="D88" s="2912">
        <v>0.45303867403314918</v>
      </c>
      <c r="E88" s="4192">
        <v>0.41711229946524064</v>
      </c>
      <c r="F88" s="2912">
        <v>0.4785276073619632</v>
      </c>
      <c r="G88" s="2911">
        <v>0.375</v>
      </c>
      <c r="H88" s="2912">
        <v>0.510752688172043</v>
      </c>
      <c r="I88" s="2911">
        <v>0.51530612244897955</v>
      </c>
      <c r="J88" s="2912">
        <v>0.58378378378378382</v>
      </c>
      <c r="K88" s="2911">
        <v>0.52380952380952384</v>
      </c>
      <c r="L88" s="2912">
        <v>0.57837837837837835</v>
      </c>
      <c r="M88" s="2911">
        <v>0.52127659574468088</v>
      </c>
      <c r="N88" s="2912">
        <v>0.5357142857142857</v>
      </c>
      <c r="O88" s="4192">
        <v>0.55494505494505497</v>
      </c>
      <c r="P88" s="2912">
        <v>0.55737704918032782</v>
      </c>
      <c r="Q88" s="4192">
        <v>0.39204545454545453</v>
      </c>
      <c r="R88" s="2912">
        <v>0.60588235294117643</v>
      </c>
      <c r="S88" s="4192">
        <v>0.40828402366863903</v>
      </c>
      <c r="T88" s="2912">
        <v>0.61006289308176098</v>
      </c>
      <c r="U88" s="4192">
        <v>0.45238095238095238</v>
      </c>
      <c r="V88" s="2912">
        <v>0.52631578947368418</v>
      </c>
      <c r="W88" s="2911">
        <v>0.53614457831325302</v>
      </c>
      <c r="X88" s="3042">
        <v>0.51724137931034486</v>
      </c>
      <c r="Y88" s="4192">
        <v>0.41477272727272729</v>
      </c>
      <c r="Z88" s="3042">
        <v>0.61392405063291144</v>
      </c>
      <c r="AA88" s="4192">
        <v>0.48</v>
      </c>
      <c r="AB88" s="3042">
        <v>0.52542372881355937</v>
      </c>
      <c r="AC88" s="4192">
        <v>0.54143646408839774</v>
      </c>
      <c r="AD88" s="3042">
        <v>0.63387978142076506</v>
      </c>
    </row>
    <row r="89" spans="2:30" ht="14.4">
      <c r="B89" s="2423" t="s">
        <v>20</v>
      </c>
      <c r="C89" s="4192">
        <v>0.24489795918367346</v>
      </c>
      <c r="D89" s="2912">
        <v>0.33333333333333331</v>
      </c>
      <c r="E89" s="4192">
        <v>0.26666666666666666</v>
      </c>
      <c r="F89" s="2912">
        <v>0.30769230769230771</v>
      </c>
      <c r="G89" s="2911">
        <v>0.21839080459770116</v>
      </c>
      <c r="H89" s="2912">
        <v>0.28865979381443296</v>
      </c>
      <c r="I89" s="2911">
        <v>0.32500000000000001</v>
      </c>
      <c r="J89" s="2912">
        <v>0.42499999999999999</v>
      </c>
      <c r="K89" s="2911">
        <v>0.29032258064516131</v>
      </c>
      <c r="L89" s="2912">
        <v>0.3258426966292135</v>
      </c>
      <c r="M89" s="2911">
        <v>0.23529411764705882</v>
      </c>
      <c r="N89" s="2912">
        <v>0.45555555555555555</v>
      </c>
      <c r="O89" s="4192">
        <v>0.29069767441860467</v>
      </c>
      <c r="P89" s="2912">
        <v>0.23255813953488372</v>
      </c>
      <c r="Q89" s="4192">
        <v>0.30864197530864196</v>
      </c>
      <c r="R89" s="2912">
        <v>0.23749999999999999</v>
      </c>
      <c r="S89" s="4192">
        <v>0.2247191011235955</v>
      </c>
      <c r="T89" s="2912">
        <v>0.35365853658536583</v>
      </c>
      <c r="U89" s="4192">
        <v>0.14814814814814814</v>
      </c>
      <c r="V89" s="2912">
        <v>0.32467532467532467</v>
      </c>
      <c r="W89" s="2911">
        <v>0.20253164556962025</v>
      </c>
      <c r="X89" s="3042">
        <v>0.2857142857142857</v>
      </c>
      <c r="Y89" s="4192">
        <v>0.17647058823529413</v>
      </c>
      <c r="Z89" s="3042">
        <v>0.39325842696629215</v>
      </c>
      <c r="AA89" s="4192">
        <v>0.21875</v>
      </c>
      <c r="AB89" s="3042">
        <v>0.38461538461538464</v>
      </c>
      <c r="AC89" s="4192">
        <v>2.5000000000000001E-2</v>
      </c>
      <c r="AD89" s="3042">
        <v>6.1068702290076333E-2</v>
      </c>
    </row>
    <row r="90" spans="2:30" ht="14.4">
      <c r="B90" s="2423" t="s">
        <v>51</v>
      </c>
      <c r="C90" s="4192">
        <v>0.16216216216216217</v>
      </c>
      <c r="D90" s="2912">
        <v>0.27450980392156865</v>
      </c>
      <c r="E90" s="4192">
        <v>0.29729729729729731</v>
      </c>
      <c r="F90" s="2912">
        <v>0.24390243902439024</v>
      </c>
      <c r="G90" s="2911">
        <v>0.22857142857142856</v>
      </c>
      <c r="H90" s="2912">
        <v>0.29411764705882354</v>
      </c>
      <c r="I90" s="2911">
        <v>0.3235294117647059</v>
      </c>
      <c r="J90" s="2912">
        <v>0.40625</v>
      </c>
      <c r="K90" s="2911">
        <v>0.3125</v>
      </c>
      <c r="L90" s="2912">
        <v>0.34375</v>
      </c>
      <c r="M90" s="2911">
        <v>0.27272727272727271</v>
      </c>
      <c r="N90" s="2912">
        <v>0.23333333333333334</v>
      </c>
      <c r="O90" s="4192">
        <v>0.22580645161290322</v>
      </c>
      <c r="P90" s="2912">
        <v>0.29411764705882354</v>
      </c>
      <c r="Q90" s="4192">
        <v>0.23529411764705882</v>
      </c>
      <c r="R90" s="2912">
        <v>0.32432432432432434</v>
      </c>
      <c r="S90" s="4192">
        <v>0.13559322033898305</v>
      </c>
      <c r="T90" s="2912">
        <v>0.34042553191489361</v>
      </c>
      <c r="U90" s="4192">
        <v>0.20967741935483872</v>
      </c>
      <c r="V90" s="2912">
        <v>0.27272727272727271</v>
      </c>
      <c r="W90" s="2911">
        <v>0.11475409836065574</v>
      </c>
      <c r="X90" s="3042">
        <v>0.18571428571428572</v>
      </c>
      <c r="Y90" s="4192">
        <v>0.15517241379310345</v>
      </c>
      <c r="Z90" s="3042">
        <v>0.35849056603773582</v>
      </c>
      <c r="AA90" s="4192">
        <v>0.1</v>
      </c>
      <c r="AB90" s="3042">
        <v>0.33333333333333331</v>
      </c>
      <c r="AC90" s="4192">
        <v>0.27868852459016391</v>
      </c>
      <c r="AD90" s="3042">
        <v>0.2</v>
      </c>
    </row>
    <row r="91" spans="2:30" ht="14.4">
      <c r="B91" s="2424" t="s">
        <v>483</v>
      </c>
      <c r="C91" s="2923">
        <v>0.26774193548387099</v>
      </c>
      <c r="D91" s="2914">
        <v>0.31627906976744186</v>
      </c>
      <c r="E91" s="2923">
        <v>0.25621118012422361</v>
      </c>
      <c r="F91" s="2914">
        <v>0.3533697632058288</v>
      </c>
      <c r="G91" s="2913">
        <v>0.27556325823223571</v>
      </c>
      <c r="H91" s="2914">
        <v>0.38336052202283849</v>
      </c>
      <c r="I91" s="2913">
        <v>0.33665008291873966</v>
      </c>
      <c r="J91" s="2914">
        <v>0.46014492753623187</v>
      </c>
      <c r="K91" s="2913">
        <v>0.36423841059602646</v>
      </c>
      <c r="L91" s="2914">
        <v>0.3946932006633499</v>
      </c>
      <c r="M91" s="2913">
        <v>0.28099173553719009</v>
      </c>
      <c r="N91" s="2914">
        <v>0.40072859744990891</v>
      </c>
      <c r="O91" s="2923">
        <v>0.31518151815181517</v>
      </c>
      <c r="P91" s="2914">
        <v>0.38651315789473684</v>
      </c>
      <c r="Q91" s="2923">
        <v>0.25470085470085468</v>
      </c>
      <c r="R91" s="2914">
        <v>0.3696027633851468</v>
      </c>
      <c r="S91" s="2923">
        <v>0.23878205128205129</v>
      </c>
      <c r="T91" s="2914">
        <v>0.39115044247787611</v>
      </c>
      <c r="U91" s="2923">
        <v>0.28264462809917357</v>
      </c>
      <c r="V91" s="2914">
        <v>0.35540069686411152</v>
      </c>
      <c r="W91" s="2913">
        <v>0.27121464226289516</v>
      </c>
      <c r="X91" s="3043">
        <v>0.35074626865671643</v>
      </c>
      <c r="Y91" s="2923">
        <v>0.26212121212121214</v>
      </c>
      <c r="Z91" s="3043">
        <v>0.41487603305785126</v>
      </c>
      <c r="AA91" s="2923">
        <v>0.33281250000000001</v>
      </c>
      <c r="AB91" s="3043">
        <v>0.4</v>
      </c>
      <c r="AC91" s="2923">
        <v>0.38920454545454547</v>
      </c>
      <c r="AD91" s="3043">
        <v>0.40273972602739727</v>
      </c>
    </row>
    <row r="92" spans="2:30" ht="14.4">
      <c r="B92" s="2423" t="s">
        <v>42</v>
      </c>
      <c r="C92" s="4192">
        <v>0.20175438596491227</v>
      </c>
      <c r="D92" s="2912">
        <v>0.32520325203252032</v>
      </c>
      <c r="E92" s="4192">
        <v>0.17543859649122806</v>
      </c>
      <c r="F92" s="2912">
        <v>0.33333333333333331</v>
      </c>
      <c r="G92" s="2911">
        <v>0.29213483146067415</v>
      </c>
      <c r="H92" s="2912">
        <v>0.35227272727272729</v>
      </c>
      <c r="I92" s="2911">
        <v>0.36046511627906974</v>
      </c>
      <c r="J92" s="2912">
        <v>0.44705882352941179</v>
      </c>
      <c r="K92" s="2911">
        <v>0.32608695652173914</v>
      </c>
      <c r="L92" s="2912">
        <v>0.42268041237113402</v>
      </c>
      <c r="M92" s="2911">
        <v>0.25806451612903225</v>
      </c>
      <c r="N92" s="2912">
        <v>0.28735632183908044</v>
      </c>
      <c r="O92" s="4192">
        <v>0.32291666666666669</v>
      </c>
      <c r="P92" s="2912">
        <v>0.20212765957446807</v>
      </c>
      <c r="Q92" s="4192">
        <v>0.22448979591836735</v>
      </c>
      <c r="R92" s="2912">
        <v>0.29032258064516131</v>
      </c>
      <c r="S92" s="4192">
        <v>0.33</v>
      </c>
      <c r="T92" s="2912">
        <v>0.39361702127659576</v>
      </c>
      <c r="U92" s="4192">
        <v>0.24731182795698925</v>
      </c>
      <c r="V92" s="2912">
        <v>0.28125</v>
      </c>
      <c r="W92" s="2911">
        <v>0.14563106796116504</v>
      </c>
      <c r="X92" s="3042">
        <v>0.37735849056603776</v>
      </c>
      <c r="Y92" s="4192">
        <v>0.21428571428571427</v>
      </c>
      <c r="Z92" s="3042">
        <v>0.22448979591836735</v>
      </c>
      <c r="AA92" s="4192">
        <v>0.18085106382978725</v>
      </c>
      <c r="AB92" s="3042">
        <v>0.30555555555555558</v>
      </c>
      <c r="AC92" s="4192">
        <v>0</v>
      </c>
      <c r="AD92" s="3042">
        <v>2.0408163265306121E-2</v>
      </c>
    </row>
    <row r="93" spans="2:30" ht="14.4">
      <c r="B93" s="2423" t="s">
        <v>52</v>
      </c>
      <c r="C93" s="4192">
        <v>0.40697674418604651</v>
      </c>
      <c r="D93" s="2912">
        <v>0.34042553191489361</v>
      </c>
      <c r="E93" s="4192">
        <v>0.38028169014084506</v>
      </c>
      <c r="F93" s="2912">
        <v>0.34545454545454546</v>
      </c>
      <c r="G93" s="2911">
        <v>0.48571428571428571</v>
      </c>
      <c r="H93" s="2912">
        <v>0.5</v>
      </c>
      <c r="I93" s="2911">
        <v>0.4</v>
      </c>
      <c r="J93" s="2912">
        <v>0.46153846153846156</v>
      </c>
      <c r="K93" s="2911">
        <v>0.2361111111111111</v>
      </c>
      <c r="L93" s="2912">
        <v>0.53164556962025311</v>
      </c>
      <c r="M93" s="2911">
        <v>0.23376623376623376</v>
      </c>
      <c r="N93" s="2912">
        <v>0.4576271186440678</v>
      </c>
      <c r="O93" s="4192">
        <v>0.33333333333333331</v>
      </c>
      <c r="P93" s="2912">
        <v>0.4838709677419355</v>
      </c>
      <c r="Q93" s="4192">
        <v>0.5625</v>
      </c>
      <c r="R93" s="2912">
        <v>0.48148148148148145</v>
      </c>
      <c r="S93" s="4192">
        <v>0.43103448275862066</v>
      </c>
      <c r="T93" s="2912">
        <v>0.67307692307692313</v>
      </c>
      <c r="U93" s="4192">
        <v>0.23728813559322035</v>
      </c>
      <c r="V93" s="2912">
        <v>0.53333333333333333</v>
      </c>
      <c r="W93" s="2911">
        <v>0.4838709677419355</v>
      </c>
      <c r="X93" s="3042">
        <v>0.53030303030303028</v>
      </c>
      <c r="Y93" s="4192">
        <v>0.41666666666666669</v>
      </c>
      <c r="Z93" s="3042">
        <v>0.38805970149253732</v>
      </c>
      <c r="AA93" s="4192">
        <v>0.5</v>
      </c>
      <c r="AB93" s="3042">
        <v>0.31818181818181818</v>
      </c>
      <c r="AC93" s="4192">
        <v>0.63636363636363635</v>
      </c>
      <c r="AD93" s="3042">
        <v>0.62318840579710144</v>
      </c>
    </row>
    <row r="94" spans="2:30" ht="14.4">
      <c r="B94" s="2423" t="s">
        <v>53</v>
      </c>
      <c r="C94" s="4192">
        <v>0.39316239316239315</v>
      </c>
      <c r="D94" s="2912">
        <v>0.4375</v>
      </c>
      <c r="E94" s="4192">
        <v>0.52439024390243905</v>
      </c>
      <c r="F94" s="2912">
        <v>0.52747252747252749</v>
      </c>
      <c r="G94" s="2911">
        <v>0.57692307692307687</v>
      </c>
      <c r="H94" s="2912">
        <v>0.52873563218390807</v>
      </c>
      <c r="I94" s="2911">
        <v>0.53424657534246578</v>
      </c>
      <c r="J94" s="2912">
        <v>0.51807228915662651</v>
      </c>
      <c r="K94" s="2911">
        <v>0.41666666666666669</v>
      </c>
      <c r="L94" s="2912">
        <v>0.46875</v>
      </c>
      <c r="M94" s="2911">
        <v>0.38043478260869568</v>
      </c>
      <c r="N94" s="2912">
        <v>0.33333333333333331</v>
      </c>
      <c r="O94" s="4192">
        <v>0.46913580246913578</v>
      </c>
      <c r="P94" s="2912">
        <v>0.50602409638554213</v>
      </c>
      <c r="Q94" s="4192">
        <v>0.33333333333333331</v>
      </c>
      <c r="R94" s="2912">
        <v>0.54430379746835444</v>
      </c>
      <c r="S94" s="4192">
        <v>0.44791666666666669</v>
      </c>
      <c r="T94" s="2912">
        <v>0.51111111111111107</v>
      </c>
      <c r="U94" s="4192">
        <v>0.26881720430107525</v>
      </c>
      <c r="V94" s="2912">
        <v>0.45333333333333331</v>
      </c>
      <c r="W94" s="2911">
        <v>0.42696629213483145</v>
      </c>
      <c r="X94" s="3042">
        <v>0.35454545454545455</v>
      </c>
      <c r="Y94" s="4192">
        <v>0.33663366336633666</v>
      </c>
      <c r="Z94" s="3042">
        <v>0.40196078431372551</v>
      </c>
      <c r="AA94" s="4192">
        <v>0.30693069306930693</v>
      </c>
      <c r="AB94" s="3042">
        <v>0.1891891891891892</v>
      </c>
      <c r="AC94" s="4192">
        <v>0.24742268041237114</v>
      </c>
      <c r="AD94" s="3042">
        <v>0.18</v>
      </c>
    </row>
    <row r="95" spans="2:30" ht="14.4">
      <c r="B95" s="2423" t="s">
        <v>54</v>
      </c>
      <c r="C95" s="4192">
        <v>0.11842105263157894</v>
      </c>
      <c r="D95" s="2912">
        <v>0.1891891891891892</v>
      </c>
      <c r="E95" s="4192">
        <v>7.03125E-2</v>
      </c>
      <c r="F95" s="2912">
        <v>0.21495327102803738</v>
      </c>
      <c r="G95" s="2911">
        <v>0.17948717948717949</v>
      </c>
      <c r="H95" s="2912">
        <v>0.40517241379310343</v>
      </c>
      <c r="I95" s="2911">
        <v>0.19658119658119658</v>
      </c>
      <c r="J95" s="2912">
        <v>0.30973451327433627</v>
      </c>
      <c r="K95" s="2911">
        <v>0.11764705882352941</v>
      </c>
      <c r="L95" s="2912">
        <v>0.23214285714285715</v>
      </c>
      <c r="M95" s="2911">
        <v>0.14782608695652175</v>
      </c>
      <c r="N95" s="2912">
        <v>0.2767857142857143</v>
      </c>
      <c r="O95" s="4192">
        <v>9.4827586206896547E-2</v>
      </c>
      <c r="P95" s="2912">
        <v>0.20689655172413793</v>
      </c>
      <c r="Q95" s="4192">
        <v>0.13076923076923078</v>
      </c>
      <c r="R95" s="2912">
        <v>0.19672131147540983</v>
      </c>
      <c r="S95" s="4192">
        <v>0.12</v>
      </c>
      <c r="T95" s="2912">
        <v>0.30882352941176472</v>
      </c>
      <c r="U95" s="4192">
        <v>0.14084507042253522</v>
      </c>
      <c r="V95" s="2912">
        <v>0.34959349593495936</v>
      </c>
      <c r="W95" s="2911">
        <v>0.1111111111111111</v>
      </c>
      <c r="X95" s="3042">
        <v>0.17647058823529413</v>
      </c>
      <c r="Y95" s="4192">
        <v>0.20886075949367089</v>
      </c>
      <c r="Z95" s="3042">
        <v>0.28082191780821919</v>
      </c>
      <c r="AA95" s="4192">
        <v>0.12987012987012986</v>
      </c>
      <c r="AB95" s="3042">
        <v>0.33124999999999999</v>
      </c>
      <c r="AC95" s="4192">
        <v>0.30201342281879195</v>
      </c>
      <c r="AD95" s="3042">
        <v>0.26900584795321636</v>
      </c>
    </row>
    <row r="96" spans="2:30" ht="14.4">
      <c r="B96" s="2423" t="s">
        <v>55</v>
      </c>
      <c r="C96" s="4192">
        <v>9.1463414634146339E-2</v>
      </c>
      <c r="D96" s="2912">
        <v>9.3333333333333338E-2</v>
      </c>
      <c r="E96" s="4192">
        <v>8.9655172413793102E-2</v>
      </c>
      <c r="F96" s="2912">
        <v>0.16935483870967741</v>
      </c>
      <c r="G96" s="2911">
        <v>0.15463917525773196</v>
      </c>
      <c r="H96" s="2912">
        <v>0.19626168224299065</v>
      </c>
      <c r="I96" s="2911">
        <v>0.14529914529914531</v>
      </c>
      <c r="J96" s="2912">
        <v>0.1388888888888889</v>
      </c>
      <c r="K96" s="2911">
        <v>0.11304347826086956</v>
      </c>
      <c r="L96" s="2912">
        <v>0.21238938053097345</v>
      </c>
      <c r="M96" s="2911">
        <v>0.1092436974789916</v>
      </c>
      <c r="N96" s="2912">
        <v>0.16822429906542055</v>
      </c>
      <c r="O96" s="4192">
        <v>0.13385826771653545</v>
      </c>
      <c r="P96" s="2912">
        <v>0.2153846153846154</v>
      </c>
      <c r="Q96" s="4192">
        <v>0.11023622047244094</v>
      </c>
      <c r="R96" s="2912">
        <v>8.0882352941176475E-2</v>
      </c>
      <c r="S96" s="4192">
        <v>1.8018018018018018E-2</v>
      </c>
      <c r="T96" s="2912">
        <v>9.1743119266055051E-3</v>
      </c>
      <c r="U96" s="4192">
        <v>1.680672268907563E-2</v>
      </c>
      <c r="V96" s="2912">
        <v>0</v>
      </c>
      <c r="W96" s="2911">
        <v>0.16935483870967741</v>
      </c>
      <c r="X96" s="3042">
        <v>0.22222222222222221</v>
      </c>
      <c r="Y96" s="4192">
        <v>0</v>
      </c>
      <c r="Z96" s="3042">
        <v>0</v>
      </c>
      <c r="AA96" s="4192">
        <v>0.2</v>
      </c>
      <c r="AB96" s="3042">
        <v>0.27500000000000002</v>
      </c>
      <c r="AC96" s="4192">
        <v>0</v>
      </c>
      <c r="AD96" s="3042">
        <v>7.0921985815602835E-3</v>
      </c>
    </row>
    <row r="97" spans="2:30" ht="14.4">
      <c r="B97" s="2423" t="s">
        <v>56</v>
      </c>
      <c r="C97" s="4192">
        <v>9.45945945945946E-2</v>
      </c>
      <c r="D97" s="2912">
        <v>0.19642857142857142</v>
      </c>
      <c r="E97" s="4192">
        <v>0.20833333333333334</v>
      </c>
      <c r="F97" s="2912">
        <v>0.15294117647058825</v>
      </c>
      <c r="G97" s="2911">
        <v>0.26582278481012656</v>
      </c>
      <c r="H97" s="2912">
        <v>0.25555555555555554</v>
      </c>
      <c r="I97" s="2911">
        <v>0.14864864864864866</v>
      </c>
      <c r="J97" s="2912">
        <v>0.22222222222222221</v>
      </c>
      <c r="K97" s="2911">
        <v>0.20454545454545456</v>
      </c>
      <c r="L97" s="2912">
        <v>0.20909090909090908</v>
      </c>
      <c r="M97" s="2911">
        <v>0.21276595744680851</v>
      </c>
      <c r="N97" s="2912">
        <v>0.37</v>
      </c>
      <c r="O97" s="4192">
        <v>0.25</v>
      </c>
      <c r="P97" s="2912">
        <v>0.20652173913043478</v>
      </c>
      <c r="Q97" s="4192">
        <v>0.2</v>
      </c>
      <c r="R97" s="2912">
        <v>0.2857142857142857</v>
      </c>
      <c r="S97" s="4192">
        <v>0.34375</v>
      </c>
      <c r="T97" s="2912">
        <v>0.25316455696202533</v>
      </c>
      <c r="U97" s="4192">
        <v>0.33333333333333331</v>
      </c>
      <c r="V97" s="2912">
        <v>0.31428571428571428</v>
      </c>
      <c r="W97" s="2911">
        <v>0.28235294117647058</v>
      </c>
      <c r="X97" s="3042">
        <v>0.20238095238095238</v>
      </c>
      <c r="Y97" s="4192">
        <v>0.20833333333333334</v>
      </c>
      <c r="Z97" s="3042">
        <v>0.27884615384615385</v>
      </c>
      <c r="AA97" s="4192">
        <v>0.1212</v>
      </c>
      <c r="AB97" s="3042">
        <v>0.19780219780219779</v>
      </c>
      <c r="AC97" s="4192">
        <v>0.28125</v>
      </c>
      <c r="AD97" s="3042">
        <v>0.26136363636363635</v>
      </c>
    </row>
    <row r="98" spans="2:30" ht="14.4">
      <c r="B98" s="2425" t="s">
        <v>527</v>
      </c>
      <c r="C98" s="4192">
        <v>0</v>
      </c>
      <c r="D98" s="2912">
        <v>9.0909090909090905E-3</v>
      </c>
      <c r="E98" s="4192">
        <v>2.5210084033613446E-2</v>
      </c>
      <c r="F98" s="2912">
        <v>0</v>
      </c>
      <c r="G98" s="2911">
        <v>2.0618556701030927E-2</v>
      </c>
      <c r="H98" s="2912">
        <v>1.4285714285714285E-2</v>
      </c>
      <c r="I98" s="2911">
        <v>1.7391304347826087E-2</v>
      </c>
      <c r="J98" s="2912">
        <v>0</v>
      </c>
      <c r="K98" s="2911">
        <v>1.8867924528301886E-2</v>
      </c>
      <c r="L98" s="2912">
        <v>1.0869565217391304E-2</v>
      </c>
      <c r="M98" s="2911">
        <v>0</v>
      </c>
      <c r="N98" s="2912">
        <v>0</v>
      </c>
      <c r="O98" s="4192">
        <v>0.34020618556701032</v>
      </c>
      <c r="P98" s="2912">
        <v>0.676056338028169</v>
      </c>
      <c r="Q98" s="4192">
        <v>0</v>
      </c>
      <c r="R98" s="2912">
        <v>0</v>
      </c>
      <c r="S98" s="4192">
        <v>0.31707317073170732</v>
      </c>
      <c r="T98" s="2912">
        <v>0.82926829268292679</v>
      </c>
      <c r="U98" s="4192">
        <v>0.23232323232323232</v>
      </c>
      <c r="V98" s="2912">
        <v>0.62352941176470589</v>
      </c>
      <c r="W98" s="2911">
        <v>0.42307692307692307</v>
      </c>
      <c r="X98" s="3042">
        <v>0.53947368421052633</v>
      </c>
      <c r="Y98" s="4192">
        <v>3.2258064516129031E-2</v>
      </c>
      <c r="Z98" s="3042">
        <v>0.24</v>
      </c>
      <c r="AA98" s="4192">
        <v>0</v>
      </c>
      <c r="AB98" s="3042">
        <v>0</v>
      </c>
      <c r="AC98" s="4192">
        <v>9.9009900990099011E-3</v>
      </c>
      <c r="AD98" s="3042">
        <v>0</v>
      </c>
    </row>
    <row r="99" spans="2:30" ht="14.4">
      <c r="B99" s="2423" t="s">
        <v>264</v>
      </c>
      <c r="C99" s="4192">
        <v>0.56578947368421051</v>
      </c>
      <c r="D99" s="2912">
        <v>0.5714285714285714</v>
      </c>
      <c r="E99" s="4192">
        <v>0.48484848484848486</v>
      </c>
      <c r="F99" s="2912">
        <v>0.46551724137931033</v>
      </c>
      <c r="G99" s="2911">
        <v>0.55555555555555558</v>
      </c>
      <c r="H99" s="2912">
        <v>0.64516129032258063</v>
      </c>
      <c r="I99" s="2911">
        <v>0.45070422535211269</v>
      </c>
      <c r="J99" s="2912">
        <v>0.46478873239436619</v>
      </c>
      <c r="K99" s="2911">
        <v>0.37662337662337664</v>
      </c>
      <c r="L99" s="2912">
        <v>0.43661971830985913</v>
      </c>
      <c r="M99" s="2911">
        <v>0.48</v>
      </c>
      <c r="N99" s="2912">
        <v>0.42372881355932202</v>
      </c>
      <c r="O99" s="4192">
        <v>0.41666666666666669</v>
      </c>
      <c r="P99" s="2912">
        <v>0.47222222222222221</v>
      </c>
      <c r="Q99" s="4192">
        <v>0.40243902439024393</v>
      </c>
      <c r="R99" s="2912">
        <v>0.44318181818181818</v>
      </c>
      <c r="S99" s="4192">
        <v>0.32</v>
      </c>
      <c r="T99" s="2912">
        <v>0.54666666666666663</v>
      </c>
      <c r="U99" s="4192">
        <v>0.34615384615384615</v>
      </c>
      <c r="V99" s="2912">
        <v>0.55714285714285716</v>
      </c>
      <c r="W99" s="2911">
        <v>0.44444444444444442</v>
      </c>
      <c r="X99" s="3042">
        <v>0.46250000000000002</v>
      </c>
      <c r="Y99" s="4192">
        <v>0.41558441558441561</v>
      </c>
      <c r="Z99" s="3042">
        <v>0.40789473684210525</v>
      </c>
      <c r="AA99" s="4192">
        <v>0.41666666666666669</v>
      </c>
      <c r="AB99" s="3042">
        <v>5.0000000000000001E-3</v>
      </c>
      <c r="AC99" s="4192">
        <v>0.42666666666666669</v>
      </c>
      <c r="AD99" s="3042">
        <v>0.38095238095238093</v>
      </c>
    </row>
    <row r="100" spans="2:30" ht="14.4">
      <c r="B100" s="2424" t="s">
        <v>485</v>
      </c>
      <c r="C100" s="2923">
        <v>0.20437158469945355</v>
      </c>
      <c r="D100" s="2914">
        <v>0.25427594070695553</v>
      </c>
      <c r="E100" s="2923">
        <v>0.20326223337515684</v>
      </c>
      <c r="F100" s="2914">
        <v>0.25644699140401145</v>
      </c>
      <c r="G100" s="2913">
        <v>0.28840579710144926</v>
      </c>
      <c r="H100" s="2914">
        <v>0.3536231884057971</v>
      </c>
      <c r="I100" s="2913">
        <v>0.25511596180081858</v>
      </c>
      <c r="J100" s="2914">
        <v>0.30027548209366389</v>
      </c>
      <c r="K100" s="2913">
        <v>0.21307189542483659</v>
      </c>
      <c r="L100" s="2914">
        <v>0.30259740259740259</v>
      </c>
      <c r="M100" s="2913">
        <v>0.21059431524547803</v>
      </c>
      <c r="N100" s="2914">
        <v>0.27042253521126758</v>
      </c>
      <c r="O100" s="2923">
        <v>0.2743243243243243</v>
      </c>
      <c r="P100" s="2914">
        <v>0.33888888888888891</v>
      </c>
      <c r="Q100" s="2923">
        <v>0.21923076923076923</v>
      </c>
      <c r="R100" s="2914">
        <v>0.26145552560646901</v>
      </c>
      <c r="S100" s="2923">
        <v>0.26222826086956524</v>
      </c>
      <c r="T100" s="2914">
        <v>0.40446304044630405</v>
      </c>
      <c r="U100" s="2923">
        <v>0.20976253298153033</v>
      </c>
      <c r="V100" s="2914">
        <v>0.35410764872521244</v>
      </c>
      <c r="W100" s="2913">
        <v>0.28097062579821203</v>
      </c>
      <c r="X100" s="3043">
        <v>0.32958801498127338</v>
      </c>
      <c r="Y100" s="2923">
        <v>0.2097735399284863</v>
      </c>
      <c r="Z100" s="3043">
        <v>0.26065773447015833</v>
      </c>
      <c r="AA100" s="2923">
        <v>0.21341463414634146</v>
      </c>
      <c r="AB100" s="3043">
        <v>0.20300000000000001</v>
      </c>
      <c r="AC100" s="2923">
        <v>0.25030376670716892</v>
      </c>
      <c r="AD100" s="3043">
        <v>0.22669735327963175</v>
      </c>
    </row>
    <row r="101" spans="2:30" ht="14.4">
      <c r="B101" s="2423" t="s">
        <v>22</v>
      </c>
      <c r="C101" s="4192">
        <v>0.17948717948717949</v>
      </c>
      <c r="D101" s="2912">
        <v>0.2129032258064516</v>
      </c>
      <c r="E101" s="4192">
        <v>0.1118421052631579</v>
      </c>
      <c r="F101" s="2912">
        <v>0.20437956204379562</v>
      </c>
      <c r="G101" s="2911">
        <v>8.6330935251798566E-2</v>
      </c>
      <c r="H101" s="2912">
        <v>0.23225806451612904</v>
      </c>
      <c r="I101" s="2911">
        <v>0.15833333333333333</v>
      </c>
      <c r="J101" s="2912">
        <v>0.23809523809523808</v>
      </c>
      <c r="K101" s="2911">
        <v>0.31746031746031744</v>
      </c>
      <c r="L101" s="2912">
        <v>0.24590163934426229</v>
      </c>
      <c r="M101" s="2911">
        <v>0.2734375</v>
      </c>
      <c r="N101" s="2912">
        <v>0.23008849557522124</v>
      </c>
      <c r="O101" s="4192">
        <v>0.24806201550387597</v>
      </c>
      <c r="P101" s="2912">
        <v>0.22131147540983606</v>
      </c>
      <c r="Q101" s="4192">
        <v>0.19696969696969696</v>
      </c>
      <c r="R101" s="2912">
        <v>0.3046875</v>
      </c>
      <c r="S101" s="4192">
        <v>0.30158730158730157</v>
      </c>
      <c r="T101" s="2912">
        <v>0.27433628318584069</v>
      </c>
      <c r="U101" s="4192">
        <v>0.1953125</v>
      </c>
      <c r="V101" s="2912">
        <v>0.25</v>
      </c>
      <c r="W101" s="2911">
        <v>0.17037037037037037</v>
      </c>
      <c r="X101" s="3042">
        <v>0.25735294117647056</v>
      </c>
      <c r="Y101" s="4192">
        <v>0.32089552238805968</v>
      </c>
      <c r="Z101" s="3042">
        <v>0.30496453900709219</v>
      </c>
      <c r="AA101" s="4192">
        <v>0.25165562913907286</v>
      </c>
      <c r="AB101" s="3042">
        <v>0.48854961832061067</v>
      </c>
      <c r="AC101" s="4192">
        <v>0.1048951048951049</v>
      </c>
      <c r="AD101" s="3042">
        <v>4.4303797468354431E-2</v>
      </c>
    </row>
    <row r="102" spans="2:30" ht="14.4">
      <c r="B102" s="2423" t="s">
        <v>23</v>
      </c>
      <c r="C102" s="4192">
        <v>0.27941176470588236</v>
      </c>
      <c r="D102" s="2912">
        <v>0.36065573770491804</v>
      </c>
      <c r="E102" s="4192">
        <v>0.31481481481481483</v>
      </c>
      <c r="F102" s="2912">
        <v>0.22413793103448276</v>
      </c>
      <c r="G102" s="2911">
        <v>0.32258064516129031</v>
      </c>
      <c r="H102" s="2912">
        <v>0.35483870967741937</v>
      </c>
      <c r="I102" s="2911">
        <v>0.34426229508196721</v>
      </c>
      <c r="J102" s="2912">
        <v>0.21311475409836064</v>
      </c>
      <c r="K102" s="2911">
        <v>0.532258064516129</v>
      </c>
      <c r="L102" s="2912">
        <v>0.66101694915254239</v>
      </c>
      <c r="M102" s="2911">
        <v>0.296875</v>
      </c>
      <c r="N102" s="2912">
        <v>0.453125</v>
      </c>
      <c r="O102" s="4192">
        <v>0.36666666666666664</v>
      </c>
      <c r="P102" s="2912">
        <v>0.54054054054054057</v>
      </c>
      <c r="Q102" s="4192">
        <v>0.17857142857142858</v>
      </c>
      <c r="R102" s="2912">
        <v>0.56666666666666665</v>
      </c>
      <c r="S102" s="4192">
        <v>0.4925373134328358</v>
      </c>
      <c r="T102" s="2912">
        <v>0.59259259259259256</v>
      </c>
      <c r="U102" s="4192">
        <v>0.34782608695652173</v>
      </c>
      <c r="V102" s="2912">
        <v>0.37096774193548387</v>
      </c>
      <c r="W102" s="2911">
        <v>0.49152542372881358</v>
      </c>
      <c r="X102" s="3042">
        <v>0.375</v>
      </c>
      <c r="Y102" s="4192">
        <v>0.45901639344262296</v>
      </c>
      <c r="Z102" s="3042">
        <v>0.60317460317460314</v>
      </c>
      <c r="AA102" s="4192">
        <v>0.44776119402985076</v>
      </c>
      <c r="AB102" s="3042">
        <v>0.38805970149253732</v>
      </c>
      <c r="AC102" s="4192">
        <v>0.20161290322580644</v>
      </c>
      <c r="AD102" s="3042">
        <v>0.21985815602836881</v>
      </c>
    </row>
    <row r="103" spans="2:30" ht="14.4">
      <c r="B103" s="2423" t="s">
        <v>24</v>
      </c>
      <c r="C103" s="4192">
        <v>0.11267605633802817</v>
      </c>
      <c r="D103" s="2912">
        <v>0.234375</v>
      </c>
      <c r="E103" s="4192">
        <v>0.14754098360655737</v>
      </c>
      <c r="F103" s="2912">
        <v>0.22413793103448276</v>
      </c>
      <c r="G103" s="2911">
        <v>0.2</v>
      </c>
      <c r="H103" s="2912">
        <v>0.11864406779661017</v>
      </c>
      <c r="I103" s="2911">
        <v>0.18518518518518517</v>
      </c>
      <c r="J103" s="2912">
        <v>0.29508196721311475</v>
      </c>
      <c r="K103" s="2911">
        <v>0.22222222222222221</v>
      </c>
      <c r="L103" s="2912">
        <v>0.25757575757575757</v>
      </c>
      <c r="M103" s="2911">
        <v>0.14705882352941177</v>
      </c>
      <c r="N103" s="2912">
        <v>0.2857142857142857</v>
      </c>
      <c r="O103" s="4192">
        <v>0.12903225806451613</v>
      </c>
      <c r="P103" s="2912">
        <v>0.33870967741935482</v>
      </c>
      <c r="Q103" s="4192">
        <v>0.16923076923076924</v>
      </c>
      <c r="R103" s="2912">
        <v>0.25396825396825395</v>
      </c>
      <c r="S103" s="4192">
        <v>0.39393939393939392</v>
      </c>
      <c r="T103" s="2912">
        <v>0.23636363636363636</v>
      </c>
      <c r="U103" s="4192">
        <v>0.19354838709677419</v>
      </c>
      <c r="V103" s="2912">
        <v>0.26984126984126983</v>
      </c>
      <c r="W103" s="2911">
        <v>0.18181818181818182</v>
      </c>
      <c r="X103" s="3042">
        <v>0.22222222222222221</v>
      </c>
      <c r="Y103" s="4192">
        <v>0.13846153846153847</v>
      </c>
      <c r="Z103" s="3042">
        <v>0.140625</v>
      </c>
      <c r="AA103" s="4192">
        <v>0.22033898305084745</v>
      </c>
      <c r="AB103" s="3042">
        <v>0.36363636363636365</v>
      </c>
      <c r="AC103" s="4192">
        <v>0.11764705882352941</v>
      </c>
      <c r="AD103" s="3042">
        <v>1.1904761904761904E-2</v>
      </c>
    </row>
    <row r="104" spans="2:30" ht="14.4">
      <c r="B104" s="2423" t="s">
        <v>58</v>
      </c>
      <c r="C104" s="4192">
        <v>0.23404255319148937</v>
      </c>
      <c r="D104" s="2912">
        <v>0.24705882352941178</v>
      </c>
      <c r="E104" s="4192">
        <v>0.10714285714285714</v>
      </c>
      <c r="F104" s="2912">
        <v>0.16326530612244897</v>
      </c>
      <c r="G104" s="2911">
        <v>0.1276595744680851</v>
      </c>
      <c r="H104" s="2912">
        <v>0.18867924528301888</v>
      </c>
      <c r="I104" s="2911">
        <v>0.24489795918367346</v>
      </c>
      <c r="J104" s="2912">
        <v>0.42553191489361702</v>
      </c>
      <c r="K104" s="2911">
        <v>0.14285714285714285</v>
      </c>
      <c r="L104" s="2912">
        <v>0.35416666666666669</v>
      </c>
      <c r="M104" s="2911">
        <v>0.3392857142857143</v>
      </c>
      <c r="N104" s="2912">
        <v>0.19607843137254902</v>
      </c>
      <c r="O104" s="4192">
        <v>0.31707317073170732</v>
      </c>
      <c r="P104" s="2912">
        <v>0.33333333333333331</v>
      </c>
      <c r="Q104" s="4192">
        <v>0.34042553191489361</v>
      </c>
      <c r="R104" s="2912">
        <v>0.48979591836734693</v>
      </c>
      <c r="S104" s="4192">
        <v>0.45945945945945948</v>
      </c>
      <c r="T104" s="2912">
        <v>0.38461538461538464</v>
      </c>
      <c r="U104" s="4192">
        <v>0.20833333333333334</v>
      </c>
      <c r="V104" s="2912">
        <v>0.48888888888888887</v>
      </c>
      <c r="W104" s="2911">
        <v>0.30232558139534882</v>
      </c>
      <c r="X104" s="3042">
        <v>0.47272727272727272</v>
      </c>
      <c r="Y104" s="4192">
        <v>0.27272727272727271</v>
      </c>
      <c r="Z104" s="3042">
        <v>0.4358974358974359</v>
      </c>
      <c r="AA104" s="4192">
        <v>0.47619047619047616</v>
      </c>
      <c r="AB104" s="3042">
        <v>0.48979591836734693</v>
      </c>
      <c r="AC104" s="4192">
        <v>0.26415094339622641</v>
      </c>
      <c r="AD104" s="3042">
        <v>0.53061224489795922</v>
      </c>
    </row>
    <row r="105" spans="2:30" ht="14.4">
      <c r="B105" s="2424" t="s">
        <v>484</v>
      </c>
      <c r="C105" s="2923">
        <v>0.19298245614035087</v>
      </c>
      <c r="D105" s="2914">
        <v>0.24931506849315069</v>
      </c>
      <c r="E105" s="2923">
        <v>0.15170278637770898</v>
      </c>
      <c r="F105" s="2914">
        <v>0.20529801324503311</v>
      </c>
      <c r="G105" s="2913">
        <v>0.1617161716171617</v>
      </c>
      <c r="H105" s="2914">
        <v>0.22796352583586627</v>
      </c>
      <c r="I105" s="2913">
        <v>0.21830985915492956</v>
      </c>
      <c r="J105" s="2914">
        <v>0.27457627118644068</v>
      </c>
      <c r="K105" s="2913">
        <v>0.31333333333333335</v>
      </c>
      <c r="L105" s="2914">
        <v>0.34915254237288135</v>
      </c>
      <c r="M105" s="2913">
        <v>0.26265822784810128</v>
      </c>
      <c r="N105" s="2914">
        <v>0.28521126760563381</v>
      </c>
      <c r="O105" s="2923">
        <v>0.25684931506849318</v>
      </c>
      <c r="P105" s="2914">
        <v>0.33993399339933994</v>
      </c>
      <c r="Q105" s="2923">
        <v>0.21</v>
      </c>
      <c r="R105" s="2914">
        <v>0.37666666666666665</v>
      </c>
      <c r="S105" s="2923">
        <v>0.38513513513513514</v>
      </c>
      <c r="T105" s="2914">
        <v>0.34865900383141762</v>
      </c>
      <c r="U105" s="2923">
        <v>0.23127035830618892</v>
      </c>
      <c r="V105" s="2914">
        <v>0.31914893617021278</v>
      </c>
      <c r="W105" s="2913">
        <v>0.25412541254125415</v>
      </c>
      <c r="X105" s="3043">
        <v>0.30886850152905199</v>
      </c>
      <c r="Y105" s="2923">
        <v>0.30263157894736842</v>
      </c>
      <c r="Z105" s="3043">
        <v>0.34853420195439738</v>
      </c>
      <c r="AA105" s="2923">
        <v>0.31661442006269591</v>
      </c>
      <c r="AB105" s="3043">
        <v>0.433</v>
      </c>
      <c r="AC105" s="2923">
        <v>0.29341317365269459</v>
      </c>
      <c r="AD105" s="3043">
        <v>0.39528023598820061</v>
      </c>
    </row>
    <row r="106" spans="2:30" ht="14.4">
      <c r="B106" s="2428" t="s">
        <v>412</v>
      </c>
      <c r="C106" s="2915">
        <v>0.22322855620671284</v>
      </c>
      <c r="D106" s="2916">
        <v>0.27450980392156865</v>
      </c>
      <c r="E106" s="2915">
        <v>0.21315192743764172</v>
      </c>
      <c r="F106" s="2916">
        <v>0.28082633957391867</v>
      </c>
      <c r="G106" s="2915">
        <v>0.25923566878980892</v>
      </c>
      <c r="H106" s="2916">
        <v>0.33946078431372551</v>
      </c>
      <c r="I106" s="2915">
        <v>0.27901234567901234</v>
      </c>
      <c r="J106" s="2916">
        <v>0.35155753337571521</v>
      </c>
      <c r="K106" s="2915">
        <v>0.28579988016776514</v>
      </c>
      <c r="L106" s="2916">
        <v>0.34412470023980818</v>
      </c>
      <c r="M106" s="2915">
        <v>0.24542772861356932</v>
      </c>
      <c r="N106" s="2916">
        <v>0.31950745301360983</v>
      </c>
      <c r="O106" s="2915">
        <v>0.28632478632478631</v>
      </c>
      <c r="P106" s="2916">
        <v>0.35683629675045986</v>
      </c>
      <c r="Q106" s="2915">
        <v>0.23003003003003003</v>
      </c>
      <c r="R106" s="2916">
        <v>0.32140653917334977</v>
      </c>
      <c r="S106" s="2915">
        <v>0.27536231884057971</v>
      </c>
      <c r="T106" s="2916">
        <v>0.39014906027219703</v>
      </c>
      <c r="U106" s="2915">
        <v>0.2401197604790419</v>
      </c>
      <c r="V106" s="2916">
        <v>0.34827144686299616</v>
      </c>
      <c r="W106" s="4142">
        <v>0.2726733847065797</v>
      </c>
      <c r="X106" s="1998">
        <v>0.33370411568409342</v>
      </c>
      <c r="Y106" s="2915">
        <v>0.24459234608985025</v>
      </c>
      <c r="Z106" s="1998">
        <v>0.33006347374495093</v>
      </c>
      <c r="AA106" s="2915">
        <v>0.2748735244519393</v>
      </c>
      <c r="AB106" s="1998">
        <v>0.34499999999999997</v>
      </c>
      <c r="AC106" s="2915">
        <v>0.31058570660934981</v>
      </c>
      <c r="AD106" s="1998">
        <v>0.32249742002063986</v>
      </c>
    </row>
    <row r="108" spans="2:30" ht="14.4">
      <c r="B108" s="2130" t="s">
        <v>724</v>
      </c>
      <c r="C108" s="2926">
        <v>0.12639405204460966</v>
      </c>
      <c r="D108" s="2927">
        <v>0.13692545384318269</v>
      </c>
      <c r="E108" s="2926">
        <v>0.13263665594855306</v>
      </c>
      <c r="F108" s="2927">
        <v>0.13759318423855166</v>
      </c>
      <c r="G108" s="2926">
        <v>0.14940347071583515</v>
      </c>
      <c r="H108" s="2927">
        <v>0.15009451795841211</v>
      </c>
      <c r="I108" s="2926">
        <v>0.15390686661404893</v>
      </c>
      <c r="J108" s="2927">
        <v>0.16693483507642801</v>
      </c>
      <c r="K108" s="2926">
        <v>0.15136793658910763</v>
      </c>
      <c r="L108" s="2927">
        <v>0.15290687078549298</v>
      </c>
      <c r="M108" s="2926">
        <v>0.13489949140227658</v>
      </c>
      <c r="N108" s="2927">
        <v>0.13881188118811882</v>
      </c>
      <c r="O108" s="4196">
        <v>0.15403692477266465</v>
      </c>
      <c r="P108" s="2927">
        <v>0.15794499618029029</v>
      </c>
      <c r="Q108" s="4803">
        <v>0.12571876633559853</v>
      </c>
      <c r="R108" s="2927">
        <v>0.14981273408239701</v>
      </c>
      <c r="S108" s="6260">
        <v>0.15030336458907886</v>
      </c>
      <c r="T108" s="2927">
        <v>0.16965678627145087</v>
      </c>
      <c r="U108" s="6485">
        <v>0.15070821529745043</v>
      </c>
      <c r="V108" s="6484">
        <v>0.16753422016579911</v>
      </c>
      <c r="W108" s="6485">
        <v>0.1570891514500537</v>
      </c>
      <c r="X108" s="6484">
        <v>0.15835876568328247</v>
      </c>
      <c r="Y108" s="6485">
        <v>0.15316024127983216</v>
      </c>
      <c r="Z108" s="6484">
        <v>0.15736310473152579</v>
      </c>
      <c r="AA108" s="6485">
        <v>0.16339999999999999</v>
      </c>
      <c r="AB108" s="6484">
        <v>0.13400000000000001</v>
      </c>
      <c r="AC108" s="6485">
        <v>0.18164110056001948</v>
      </c>
      <c r="AD108" s="6484">
        <v>0.126699450390512</v>
      </c>
    </row>
    <row r="109" spans="2:30" ht="24">
      <c r="B109" s="6586" t="s">
        <v>3370</v>
      </c>
    </row>
    <row r="110" spans="2:30">
      <c r="M110" s="350"/>
    </row>
  </sheetData>
  <mergeCells count="1">
    <mergeCell ref="Y1:AD1"/>
  </mergeCells>
  <printOptions horizontalCentered="1" verticalCentered="1"/>
  <pageMargins left="0.70866141732283472" right="0.70866141732283472" top="0.74803149606299213" bottom="0.74803149606299213" header="0.31496062992125984" footer="0.31496062992125984"/>
  <pageSetup scale="49" orientation="landscape" useFirstPageNumber="1" r:id="rId1"/>
  <headerFooter scaleWithDoc="0" alignWithMargins="0">
    <oddFooter>&amp;R&amp;P</oddFooter>
  </headerFooter>
  <rowBreaks count="1" manualBreakCount="1">
    <brk id="64" min="20" max="29" man="1"/>
  </rowBreaks>
  <ignoredErrors>
    <ignoredError sqref="AC85:AD106 AC42:AD71 AC72:AC83 AC31:AC37"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G125"/>
  <sheetViews>
    <sheetView showGridLines="0" zoomScaleNormal="100" workbookViewId="0">
      <pane xSplit="2" ySplit="4" topLeftCell="BH17" activePane="bottomRight" state="frozen"/>
      <selection activeCell="O12" sqref="O12"/>
      <selection pane="topRight" activeCell="O12" sqref="O12"/>
      <selection pane="bottomLeft" activeCell="O12" sqref="O12"/>
      <selection pane="bottomRight" activeCell="CI30" sqref="CI30"/>
    </sheetView>
  </sheetViews>
  <sheetFormatPr baseColWidth="10" defaultColWidth="11.44140625" defaultRowHeight="14.4"/>
  <cols>
    <col min="1" max="1" width="18.6640625" style="283" customWidth="1"/>
    <col min="2" max="2" width="1.6640625" style="283" customWidth="1"/>
    <col min="3" max="4" width="6.6640625" style="281" customWidth="1"/>
    <col min="5" max="5" width="7.5546875" style="281" customWidth="1"/>
    <col min="6" max="7" width="7.6640625" style="281" customWidth="1"/>
    <col min="8" max="8" width="1.6640625" style="281" customWidth="1"/>
    <col min="9" max="11" width="6.6640625" style="281" customWidth="1"/>
    <col min="12" max="13" width="7.6640625" style="281" customWidth="1"/>
    <col min="14" max="14" width="1.6640625" style="281" customWidth="1"/>
    <col min="15" max="17" width="6.6640625" style="281" customWidth="1"/>
    <col min="18" max="19" width="8" style="281" customWidth="1"/>
    <col min="20" max="20" width="1.6640625" style="281" customWidth="1"/>
    <col min="21" max="23" width="6.6640625" style="281" customWidth="1"/>
    <col min="24" max="24" width="8.33203125" style="281" bestFit="1" customWidth="1"/>
    <col min="25" max="25" width="8.33203125" style="281" customWidth="1"/>
    <col min="26" max="26" width="1.6640625" style="281" customWidth="1"/>
    <col min="27" max="30" width="6.6640625" style="281" customWidth="1"/>
    <col min="31" max="31" width="7.6640625" style="281" customWidth="1"/>
    <col min="32" max="32" width="1.6640625" style="281" customWidth="1"/>
    <col min="33" max="36" width="6.6640625" style="281" customWidth="1"/>
    <col min="37" max="37" width="7.6640625" style="281" customWidth="1"/>
    <col min="38" max="38" width="1.6640625" style="281" customWidth="1"/>
    <col min="39" max="43" width="6.6640625" style="281" customWidth="1"/>
    <col min="44" max="44" width="1.6640625" style="281" customWidth="1"/>
    <col min="45" max="46" width="6.6640625" style="281" customWidth="1"/>
    <col min="47" max="49" width="8.6640625" style="281" customWidth="1"/>
    <col min="50" max="50" width="1.6640625" style="281" customWidth="1"/>
    <col min="51" max="52" width="6.6640625" style="281" customWidth="1"/>
    <col min="53" max="55" width="8.6640625" style="281" customWidth="1"/>
    <col min="56" max="56" width="1.6640625" style="281" customWidth="1"/>
    <col min="57" max="58" width="6.6640625" style="281" customWidth="1"/>
    <col min="59" max="61" width="8.6640625" style="281" customWidth="1"/>
    <col min="62" max="62" width="1.6640625" style="281" customWidth="1"/>
    <col min="63" max="64" width="6.6640625" style="281" customWidth="1"/>
    <col min="65" max="67" width="8.6640625" style="281" customWidth="1"/>
    <col min="68" max="68" width="1.6640625" style="281" customWidth="1"/>
    <col min="69" max="70" width="6.6640625" style="281" customWidth="1"/>
    <col min="71" max="73" width="8.6640625" style="281" customWidth="1"/>
    <col min="74" max="74" width="1.6640625" style="281" customWidth="1"/>
    <col min="75" max="79" width="6.6640625" style="281" customWidth="1"/>
    <col min="80" max="80" width="1.6640625" style="281" customWidth="1"/>
    <col min="81" max="103" width="6.6640625" style="281" customWidth="1"/>
    <col min="104" max="235" width="11.44140625" style="281"/>
    <col min="236" max="236" width="15.33203125" style="281" customWidth="1"/>
    <col min="237" max="237" width="13" style="281" bestFit="1" customWidth="1"/>
    <col min="238" max="238" width="6.33203125" style="281" customWidth="1"/>
    <col min="239" max="239" width="7.5546875" style="281" customWidth="1"/>
    <col min="240" max="240" width="8" style="281" customWidth="1"/>
    <col min="241" max="241" width="10.6640625" style="281" customWidth="1"/>
    <col min="242" max="242" width="6.33203125" style="281" customWidth="1"/>
    <col min="243" max="243" width="7.5546875" style="281" customWidth="1"/>
    <col min="244" max="244" width="8.33203125" style="281" customWidth="1"/>
    <col min="245" max="245" width="10.6640625" style="281" customWidth="1"/>
    <col min="246" max="246" width="6.33203125" style="281" customWidth="1"/>
    <col min="247" max="247" width="7.5546875" style="281" customWidth="1"/>
    <col min="248" max="248" width="8.33203125" style="281" customWidth="1"/>
    <col min="249" max="249" width="10.6640625" style="281" customWidth="1"/>
    <col min="250" max="250" width="6.6640625" style="281" customWidth="1"/>
    <col min="251" max="251" width="7.5546875" style="281" customWidth="1"/>
    <col min="252" max="252" width="8.33203125" style="281" customWidth="1"/>
    <col min="253" max="253" width="10.6640625" style="281" customWidth="1"/>
    <col min="254" max="254" width="6.6640625" style="281" customWidth="1"/>
    <col min="255" max="255" width="7.5546875" style="281" customWidth="1"/>
    <col min="256" max="256" width="8.33203125" style="281" customWidth="1"/>
    <col min="257" max="257" width="10.6640625" style="281" customWidth="1"/>
    <col min="258" max="260" width="6.6640625" style="281" customWidth="1"/>
    <col min="261" max="261" width="11.44140625" style="281" customWidth="1"/>
    <col min="262" max="264" width="6.6640625" style="281" customWidth="1"/>
    <col min="265" max="265" width="11.44140625" style="281"/>
    <col min="266" max="266" width="1.5546875" style="281" customWidth="1"/>
    <col min="267" max="491" width="11.44140625" style="281"/>
    <col min="492" max="492" width="15.33203125" style="281" customWidth="1"/>
    <col min="493" max="493" width="13" style="281" bestFit="1" customWidth="1"/>
    <col min="494" max="494" width="6.33203125" style="281" customWidth="1"/>
    <col min="495" max="495" width="7.5546875" style="281" customWidth="1"/>
    <col min="496" max="496" width="8" style="281" customWidth="1"/>
    <col min="497" max="497" width="10.6640625" style="281" customWidth="1"/>
    <col min="498" max="498" width="6.33203125" style="281" customWidth="1"/>
    <col min="499" max="499" width="7.5546875" style="281" customWidth="1"/>
    <col min="500" max="500" width="8.33203125" style="281" customWidth="1"/>
    <col min="501" max="501" width="10.6640625" style="281" customWidth="1"/>
    <col min="502" max="502" width="6.33203125" style="281" customWidth="1"/>
    <col min="503" max="503" width="7.5546875" style="281" customWidth="1"/>
    <col min="504" max="504" width="8.33203125" style="281" customWidth="1"/>
    <col min="505" max="505" width="10.6640625" style="281" customWidth="1"/>
    <col min="506" max="506" width="6.6640625" style="281" customWidth="1"/>
    <col min="507" max="507" width="7.5546875" style="281" customWidth="1"/>
    <col min="508" max="508" width="8.33203125" style="281" customWidth="1"/>
    <col min="509" max="509" width="10.6640625" style="281" customWidth="1"/>
    <col min="510" max="510" width="6.6640625" style="281" customWidth="1"/>
    <col min="511" max="511" width="7.5546875" style="281" customWidth="1"/>
    <col min="512" max="512" width="8.33203125" style="281" customWidth="1"/>
    <col min="513" max="513" width="10.6640625" style="281" customWidth="1"/>
    <col min="514" max="516" width="6.6640625" style="281" customWidth="1"/>
    <col min="517" max="517" width="11.44140625" style="281" customWidth="1"/>
    <col min="518" max="520" width="6.6640625" style="281" customWidth="1"/>
    <col min="521" max="521" width="11.44140625" style="281"/>
    <col min="522" max="522" width="1.5546875" style="281" customWidth="1"/>
    <col min="523" max="747" width="11.44140625" style="281"/>
    <col min="748" max="748" width="15.33203125" style="281" customWidth="1"/>
    <col min="749" max="749" width="13" style="281" bestFit="1" customWidth="1"/>
    <col min="750" max="750" width="6.33203125" style="281" customWidth="1"/>
    <col min="751" max="751" width="7.5546875" style="281" customWidth="1"/>
    <col min="752" max="752" width="8" style="281" customWidth="1"/>
    <col min="753" max="753" width="10.6640625" style="281" customWidth="1"/>
    <col min="754" max="754" width="6.33203125" style="281" customWidth="1"/>
    <col min="755" max="755" width="7.5546875" style="281" customWidth="1"/>
    <col min="756" max="756" width="8.33203125" style="281" customWidth="1"/>
    <col min="757" max="757" width="10.6640625" style="281" customWidth="1"/>
    <col min="758" max="758" width="6.33203125" style="281" customWidth="1"/>
    <col min="759" max="759" width="7.5546875" style="281" customWidth="1"/>
    <col min="760" max="760" width="8.33203125" style="281" customWidth="1"/>
    <col min="761" max="761" width="10.6640625" style="281" customWidth="1"/>
    <col min="762" max="762" width="6.6640625" style="281" customWidth="1"/>
    <col min="763" max="763" width="7.5546875" style="281" customWidth="1"/>
    <col min="764" max="764" width="8.33203125" style="281" customWidth="1"/>
    <col min="765" max="765" width="10.6640625" style="281" customWidth="1"/>
    <col min="766" max="766" width="6.6640625" style="281" customWidth="1"/>
    <col min="767" max="767" width="7.5546875" style="281" customWidth="1"/>
    <col min="768" max="768" width="8.33203125" style="281" customWidth="1"/>
    <col min="769" max="769" width="10.6640625" style="281" customWidth="1"/>
    <col min="770" max="772" width="6.6640625" style="281" customWidth="1"/>
    <col min="773" max="773" width="11.44140625" style="281" customWidth="1"/>
    <col min="774" max="776" width="6.6640625" style="281" customWidth="1"/>
    <col min="777" max="777" width="11.44140625" style="281"/>
    <col min="778" max="778" width="1.5546875" style="281" customWidth="1"/>
    <col min="779" max="1003" width="11.44140625" style="281"/>
    <col min="1004" max="1004" width="15.33203125" style="281" customWidth="1"/>
    <col min="1005" max="1005" width="13" style="281" bestFit="1" customWidth="1"/>
    <col min="1006" max="1006" width="6.33203125" style="281" customWidth="1"/>
    <col min="1007" max="1007" width="7.5546875" style="281" customWidth="1"/>
    <col min="1008" max="1008" width="8" style="281" customWidth="1"/>
    <col min="1009" max="1009" width="10.6640625" style="281" customWidth="1"/>
    <col min="1010" max="1010" width="6.33203125" style="281" customWidth="1"/>
    <col min="1011" max="1011" width="7.5546875" style="281" customWidth="1"/>
    <col min="1012" max="1012" width="8.33203125" style="281" customWidth="1"/>
    <col min="1013" max="1013" width="10.6640625" style="281" customWidth="1"/>
    <col min="1014" max="1014" width="6.33203125" style="281" customWidth="1"/>
    <col min="1015" max="1015" width="7.5546875" style="281" customWidth="1"/>
    <col min="1016" max="1016" width="8.33203125" style="281" customWidth="1"/>
    <col min="1017" max="1017" width="10.6640625" style="281" customWidth="1"/>
    <col min="1018" max="1018" width="6.6640625" style="281" customWidth="1"/>
    <col min="1019" max="1019" width="7.5546875" style="281" customWidth="1"/>
    <col min="1020" max="1020" width="8.33203125" style="281" customWidth="1"/>
    <col min="1021" max="1021" width="10.6640625" style="281" customWidth="1"/>
    <col min="1022" max="1022" width="6.6640625" style="281" customWidth="1"/>
    <col min="1023" max="1023" width="7.5546875" style="281" customWidth="1"/>
    <col min="1024" max="1024" width="8.33203125" style="281" customWidth="1"/>
    <col min="1025" max="1025" width="10.6640625" style="281" customWidth="1"/>
    <col min="1026" max="1028" width="6.6640625" style="281" customWidth="1"/>
    <col min="1029" max="1029" width="11.44140625" style="281" customWidth="1"/>
    <col min="1030" max="1032" width="6.6640625" style="281" customWidth="1"/>
    <col min="1033" max="1033" width="11.44140625" style="281"/>
    <col min="1034" max="1034" width="1.5546875" style="281" customWidth="1"/>
    <col min="1035" max="1259" width="11.44140625" style="281"/>
    <col min="1260" max="1260" width="15.33203125" style="281" customWidth="1"/>
    <col min="1261" max="1261" width="13" style="281" bestFit="1" customWidth="1"/>
    <col min="1262" max="1262" width="6.33203125" style="281" customWidth="1"/>
    <col min="1263" max="1263" width="7.5546875" style="281" customWidth="1"/>
    <col min="1264" max="1264" width="8" style="281" customWidth="1"/>
    <col min="1265" max="1265" width="10.6640625" style="281" customWidth="1"/>
    <col min="1266" max="1266" width="6.33203125" style="281" customWidth="1"/>
    <col min="1267" max="1267" width="7.5546875" style="281" customWidth="1"/>
    <col min="1268" max="1268" width="8.33203125" style="281" customWidth="1"/>
    <col min="1269" max="1269" width="10.6640625" style="281" customWidth="1"/>
    <col min="1270" max="1270" width="6.33203125" style="281" customWidth="1"/>
    <col min="1271" max="1271" width="7.5546875" style="281" customWidth="1"/>
    <col min="1272" max="1272" width="8.33203125" style="281" customWidth="1"/>
    <col min="1273" max="1273" width="10.6640625" style="281" customWidth="1"/>
    <col min="1274" max="1274" width="6.6640625" style="281" customWidth="1"/>
    <col min="1275" max="1275" width="7.5546875" style="281" customWidth="1"/>
    <col min="1276" max="1276" width="8.33203125" style="281" customWidth="1"/>
    <col min="1277" max="1277" width="10.6640625" style="281" customWidth="1"/>
    <col min="1278" max="1278" width="6.6640625" style="281" customWidth="1"/>
    <col min="1279" max="1279" width="7.5546875" style="281" customWidth="1"/>
    <col min="1280" max="1280" width="8.33203125" style="281" customWidth="1"/>
    <col min="1281" max="1281" width="10.6640625" style="281" customWidth="1"/>
    <col min="1282" max="1284" width="6.6640625" style="281" customWidth="1"/>
    <col min="1285" max="1285" width="11.44140625" style="281" customWidth="1"/>
    <col min="1286" max="1288" width="6.6640625" style="281" customWidth="1"/>
    <col min="1289" max="1289" width="11.44140625" style="281"/>
    <col min="1290" max="1290" width="1.5546875" style="281" customWidth="1"/>
    <col min="1291" max="1515" width="11.44140625" style="281"/>
    <col min="1516" max="1516" width="15.33203125" style="281" customWidth="1"/>
    <col min="1517" max="1517" width="13" style="281" bestFit="1" customWidth="1"/>
    <col min="1518" max="1518" width="6.33203125" style="281" customWidth="1"/>
    <col min="1519" max="1519" width="7.5546875" style="281" customWidth="1"/>
    <col min="1520" max="1520" width="8" style="281" customWidth="1"/>
    <col min="1521" max="1521" width="10.6640625" style="281" customWidth="1"/>
    <col min="1522" max="1522" width="6.33203125" style="281" customWidth="1"/>
    <col min="1523" max="1523" width="7.5546875" style="281" customWidth="1"/>
    <col min="1524" max="1524" width="8.33203125" style="281" customWidth="1"/>
    <col min="1525" max="1525" width="10.6640625" style="281" customWidth="1"/>
    <col min="1526" max="1526" width="6.33203125" style="281" customWidth="1"/>
    <col min="1527" max="1527" width="7.5546875" style="281" customWidth="1"/>
    <col min="1528" max="1528" width="8.33203125" style="281" customWidth="1"/>
    <col min="1529" max="1529" width="10.6640625" style="281" customWidth="1"/>
    <col min="1530" max="1530" width="6.6640625" style="281" customWidth="1"/>
    <col min="1531" max="1531" width="7.5546875" style="281" customWidth="1"/>
    <col min="1532" max="1532" width="8.33203125" style="281" customWidth="1"/>
    <col min="1533" max="1533" width="10.6640625" style="281" customWidth="1"/>
    <col min="1534" max="1534" width="6.6640625" style="281" customWidth="1"/>
    <col min="1535" max="1535" width="7.5546875" style="281" customWidth="1"/>
    <col min="1536" max="1536" width="8.33203125" style="281" customWidth="1"/>
    <col min="1537" max="1537" width="10.6640625" style="281" customWidth="1"/>
    <col min="1538" max="1540" width="6.6640625" style="281" customWidth="1"/>
    <col min="1541" max="1541" width="11.44140625" style="281" customWidth="1"/>
    <col min="1542" max="1544" width="6.6640625" style="281" customWidth="1"/>
    <col min="1545" max="1545" width="11.44140625" style="281"/>
    <col min="1546" max="1546" width="1.5546875" style="281" customWidth="1"/>
    <col min="1547" max="1771" width="11.44140625" style="281"/>
    <col min="1772" max="1772" width="15.33203125" style="281" customWidth="1"/>
    <col min="1773" max="1773" width="13" style="281" bestFit="1" customWidth="1"/>
    <col min="1774" max="1774" width="6.33203125" style="281" customWidth="1"/>
    <col min="1775" max="1775" width="7.5546875" style="281" customWidth="1"/>
    <col min="1776" max="1776" width="8" style="281" customWidth="1"/>
    <col min="1777" max="1777" width="10.6640625" style="281" customWidth="1"/>
    <col min="1778" max="1778" width="6.33203125" style="281" customWidth="1"/>
    <col min="1779" max="1779" width="7.5546875" style="281" customWidth="1"/>
    <col min="1780" max="1780" width="8.33203125" style="281" customWidth="1"/>
    <col min="1781" max="1781" width="10.6640625" style="281" customWidth="1"/>
    <col min="1782" max="1782" width="6.33203125" style="281" customWidth="1"/>
    <col min="1783" max="1783" width="7.5546875" style="281" customWidth="1"/>
    <col min="1784" max="1784" width="8.33203125" style="281" customWidth="1"/>
    <col min="1785" max="1785" width="10.6640625" style="281" customWidth="1"/>
    <col min="1786" max="1786" width="6.6640625" style="281" customWidth="1"/>
    <col min="1787" max="1787" width="7.5546875" style="281" customWidth="1"/>
    <col min="1788" max="1788" width="8.33203125" style="281" customWidth="1"/>
    <col min="1789" max="1789" width="10.6640625" style="281" customWidth="1"/>
    <col min="1790" max="1790" width="6.6640625" style="281" customWidth="1"/>
    <col min="1791" max="1791" width="7.5546875" style="281" customWidth="1"/>
    <col min="1792" max="1792" width="8.33203125" style="281" customWidth="1"/>
    <col min="1793" max="1793" width="10.6640625" style="281" customWidth="1"/>
    <col min="1794" max="1796" width="6.6640625" style="281" customWidth="1"/>
    <col min="1797" max="1797" width="11.44140625" style="281" customWidth="1"/>
    <col min="1798" max="1800" width="6.6640625" style="281" customWidth="1"/>
    <col min="1801" max="1801" width="11.44140625" style="281"/>
    <col min="1802" max="1802" width="1.5546875" style="281" customWidth="1"/>
    <col min="1803" max="2027" width="11.44140625" style="281"/>
    <col min="2028" max="2028" width="15.33203125" style="281" customWidth="1"/>
    <col min="2029" max="2029" width="13" style="281" bestFit="1" customWidth="1"/>
    <col min="2030" max="2030" width="6.33203125" style="281" customWidth="1"/>
    <col min="2031" max="2031" width="7.5546875" style="281" customWidth="1"/>
    <col min="2032" max="2032" width="8" style="281" customWidth="1"/>
    <col min="2033" max="2033" width="10.6640625" style="281" customWidth="1"/>
    <col min="2034" max="2034" width="6.33203125" style="281" customWidth="1"/>
    <col min="2035" max="2035" width="7.5546875" style="281" customWidth="1"/>
    <col min="2036" max="2036" width="8.33203125" style="281" customWidth="1"/>
    <col min="2037" max="2037" width="10.6640625" style="281" customWidth="1"/>
    <col min="2038" max="2038" width="6.33203125" style="281" customWidth="1"/>
    <col min="2039" max="2039" width="7.5546875" style="281" customWidth="1"/>
    <col min="2040" max="2040" width="8.33203125" style="281" customWidth="1"/>
    <col min="2041" max="2041" width="10.6640625" style="281" customWidth="1"/>
    <col min="2042" max="2042" width="6.6640625" style="281" customWidth="1"/>
    <col min="2043" max="2043" width="7.5546875" style="281" customWidth="1"/>
    <col min="2044" max="2044" width="8.33203125" style="281" customWidth="1"/>
    <col min="2045" max="2045" width="10.6640625" style="281" customWidth="1"/>
    <col min="2046" max="2046" width="6.6640625" style="281" customWidth="1"/>
    <col min="2047" max="2047" width="7.5546875" style="281" customWidth="1"/>
    <col min="2048" max="2048" width="8.33203125" style="281" customWidth="1"/>
    <col min="2049" max="2049" width="10.6640625" style="281" customWidth="1"/>
    <col min="2050" max="2052" width="6.6640625" style="281" customWidth="1"/>
    <col min="2053" max="2053" width="11.44140625" style="281" customWidth="1"/>
    <col min="2054" max="2056" width="6.6640625" style="281" customWidth="1"/>
    <col min="2057" max="2057" width="11.44140625" style="281"/>
    <col min="2058" max="2058" width="1.5546875" style="281" customWidth="1"/>
    <col min="2059" max="2283" width="11.44140625" style="281"/>
    <col min="2284" max="2284" width="15.33203125" style="281" customWidth="1"/>
    <col min="2285" max="2285" width="13" style="281" bestFit="1" customWidth="1"/>
    <col min="2286" max="2286" width="6.33203125" style="281" customWidth="1"/>
    <col min="2287" max="2287" width="7.5546875" style="281" customWidth="1"/>
    <col min="2288" max="2288" width="8" style="281" customWidth="1"/>
    <col min="2289" max="2289" width="10.6640625" style="281" customWidth="1"/>
    <col min="2290" max="2290" width="6.33203125" style="281" customWidth="1"/>
    <col min="2291" max="2291" width="7.5546875" style="281" customWidth="1"/>
    <col min="2292" max="2292" width="8.33203125" style="281" customWidth="1"/>
    <col min="2293" max="2293" width="10.6640625" style="281" customWidth="1"/>
    <col min="2294" max="2294" width="6.33203125" style="281" customWidth="1"/>
    <col min="2295" max="2295" width="7.5546875" style="281" customWidth="1"/>
    <col min="2296" max="2296" width="8.33203125" style="281" customWidth="1"/>
    <col min="2297" max="2297" width="10.6640625" style="281" customWidth="1"/>
    <col min="2298" max="2298" width="6.6640625" style="281" customWidth="1"/>
    <col min="2299" max="2299" width="7.5546875" style="281" customWidth="1"/>
    <col min="2300" max="2300" width="8.33203125" style="281" customWidth="1"/>
    <col min="2301" max="2301" width="10.6640625" style="281" customWidth="1"/>
    <col min="2302" max="2302" width="6.6640625" style="281" customWidth="1"/>
    <col min="2303" max="2303" width="7.5546875" style="281" customWidth="1"/>
    <col min="2304" max="2304" width="8.33203125" style="281" customWidth="1"/>
    <col min="2305" max="2305" width="10.6640625" style="281" customWidth="1"/>
    <col min="2306" max="2308" width="6.6640625" style="281" customWidth="1"/>
    <col min="2309" max="2309" width="11.44140625" style="281" customWidth="1"/>
    <col min="2310" max="2312" width="6.6640625" style="281" customWidth="1"/>
    <col min="2313" max="2313" width="11.44140625" style="281"/>
    <col min="2314" max="2314" width="1.5546875" style="281" customWidth="1"/>
    <col min="2315" max="2539" width="11.44140625" style="281"/>
    <col min="2540" max="2540" width="15.33203125" style="281" customWidth="1"/>
    <col min="2541" max="2541" width="13" style="281" bestFit="1" customWidth="1"/>
    <col min="2542" max="2542" width="6.33203125" style="281" customWidth="1"/>
    <col min="2543" max="2543" width="7.5546875" style="281" customWidth="1"/>
    <col min="2544" max="2544" width="8" style="281" customWidth="1"/>
    <col min="2545" max="2545" width="10.6640625" style="281" customWidth="1"/>
    <col min="2546" max="2546" width="6.33203125" style="281" customWidth="1"/>
    <col min="2547" max="2547" width="7.5546875" style="281" customWidth="1"/>
    <col min="2548" max="2548" width="8.33203125" style="281" customWidth="1"/>
    <col min="2549" max="2549" width="10.6640625" style="281" customWidth="1"/>
    <col min="2550" max="2550" width="6.33203125" style="281" customWidth="1"/>
    <col min="2551" max="2551" width="7.5546875" style="281" customWidth="1"/>
    <col min="2552" max="2552" width="8.33203125" style="281" customWidth="1"/>
    <col min="2553" max="2553" width="10.6640625" style="281" customWidth="1"/>
    <col min="2554" max="2554" width="6.6640625" style="281" customWidth="1"/>
    <col min="2555" max="2555" width="7.5546875" style="281" customWidth="1"/>
    <col min="2556" max="2556" width="8.33203125" style="281" customWidth="1"/>
    <col min="2557" max="2557" width="10.6640625" style="281" customWidth="1"/>
    <col min="2558" max="2558" width="6.6640625" style="281" customWidth="1"/>
    <col min="2559" max="2559" width="7.5546875" style="281" customWidth="1"/>
    <col min="2560" max="2560" width="8.33203125" style="281" customWidth="1"/>
    <col min="2561" max="2561" width="10.6640625" style="281" customWidth="1"/>
    <col min="2562" max="2564" width="6.6640625" style="281" customWidth="1"/>
    <col min="2565" max="2565" width="11.44140625" style="281" customWidth="1"/>
    <col min="2566" max="2568" width="6.6640625" style="281" customWidth="1"/>
    <col min="2569" max="2569" width="11.44140625" style="281"/>
    <col min="2570" max="2570" width="1.5546875" style="281" customWidth="1"/>
    <col min="2571" max="2795" width="11.44140625" style="281"/>
    <col min="2796" max="2796" width="15.33203125" style="281" customWidth="1"/>
    <col min="2797" max="2797" width="13" style="281" bestFit="1" customWidth="1"/>
    <col min="2798" max="2798" width="6.33203125" style="281" customWidth="1"/>
    <col min="2799" max="2799" width="7.5546875" style="281" customWidth="1"/>
    <col min="2800" max="2800" width="8" style="281" customWidth="1"/>
    <col min="2801" max="2801" width="10.6640625" style="281" customWidth="1"/>
    <col min="2802" max="2802" width="6.33203125" style="281" customWidth="1"/>
    <col min="2803" max="2803" width="7.5546875" style="281" customWidth="1"/>
    <col min="2804" max="2804" width="8.33203125" style="281" customWidth="1"/>
    <col min="2805" max="2805" width="10.6640625" style="281" customWidth="1"/>
    <col min="2806" max="2806" width="6.33203125" style="281" customWidth="1"/>
    <col min="2807" max="2807" width="7.5546875" style="281" customWidth="1"/>
    <col min="2808" max="2808" width="8.33203125" style="281" customWidth="1"/>
    <col min="2809" max="2809" width="10.6640625" style="281" customWidth="1"/>
    <col min="2810" max="2810" width="6.6640625" style="281" customWidth="1"/>
    <col min="2811" max="2811" width="7.5546875" style="281" customWidth="1"/>
    <col min="2812" max="2812" width="8.33203125" style="281" customWidth="1"/>
    <col min="2813" max="2813" width="10.6640625" style="281" customWidth="1"/>
    <col min="2814" max="2814" width="6.6640625" style="281" customWidth="1"/>
    <col min="2815" max="2815" width="7.5546875" style="281" customWidth="1"/>
    <col min="2816" max="2816" width="8.33203125" style="281" customWidth="1"/>
    <col min="2817" max="2817" width="10.6640625" style="281" customWidth="1"/>
    <col min="2818" max="2820" width="6.6640625" style="281" customWidth="1"/>
    <col min="2821" max="2821" width="11.44140625" style="281" customWidth="1"/>
    <col min="2822" max="2824" width="6.6640625" style="281" customWidth="1"/>
    <col min="2825" max="2825" width="11.44140625" style="281"/>
    <col min="2826" max="2826" width="1.5546875" style="281" customWidth="1"/>
    <col min="2827" max="3051" width="11.44140625" style="281"/>
    <col min="3052" max="3052" width="15.33203125" style="281" customWidth="1"/>
    <col min="3053" max="3053" width="13" style="281" bestFit="1" customWidth="1"/>
    <col min="3054" max="3054" width="6.33203125" style="281" customWidth="1"/>
    <col min="3055" max="3055" width="7.5546875" style="281" customWidth="1"/>
    <col min="3056" max="3056" width="8" style="281" customWidth="1"/>
    <col min="3057" max="3057" width="10.6640625" style="281" customWidth="1"/>
    <col min="3058" max="3058" width="6.33203125" style="281" customWidth="1"/>
    <col min="3059" max="3059" width="7.5546875" style="281" customWidth="1"/>
    <col min="3060" max="3060" width="8.33203125" style="281" customWidth="1"/>
    <col min="3061" max="3061" width="10.6640625" style="281" customWidth="1"/>
    <col min="3062" max="3062" width="6.33203125" style="281" customWidth="1"/>
    <col min="3063" max="3063" width="7.5546875" style="281" customWidth="1"/>
    <col min="3064" max="3064" width="8.33203125" style="281" customWidth="1"/>
    <col min="3065" max="3065" width="10.6640625" style="281" customWidth="1"/>
    <col min="3066" max="3066" width="6.6640625" style="281" customWidth="1"/>
    <col min="3067" max="3067" width="7.5546875" style="281" customWidth="1"/>
    <col min="3068" max="3068" width="8.33203125" style="281" customWidth="1"/>
    <col min="3069" max="3069" width="10.6640625" style="281" customWidth="1"/>
    <col min="3070" max="3070" width="6.6640625" style="281" customWidth="1"/>
    <col min="3071" max="3071" width="7.5546875" style="281" customWidth="1"/>
    <col min="3072" max="3072" width="8.33203125" style="281" customWidth="1"/>
    <col min="3073" max="3073" width="10.6640625" style="281" customWidth="1"/>
    <col min="3074" max="3076" width="6.6640625" style="281" customWidth="1"/>
    <col min="3077" max="3077" width="11.44140625" style="281" customWidth="1"/>
    <col min="3078" max="3080" width="6.6640625" style="281" customWidth="1"/>
    <col min="3081" max="3081" width="11.44140625" style="281"/>
    <col min="3082" max="3082" width="1.5546875" style="281" customWidth="1"/>
    <col min="3083" max="3307" width="11.44140625" style="281"/>
    <col min="3308" max="3308" width="15.33203125" style="281" customWidth="1"/>
    <col min="3309" max="3309" width="13" style="281" bestFit="1" customWidth="1"/>
    <col min="3310" max="3310" width="6.33203125" style="281" customWidth="1"/>
    <col min="3311" max="3311" width="7.5546875" style="281" customWidth="1"/>
    <col min="3312" max="3312" width="8" style="281" customWidth="1"/>
    <col min="3313" max="3313" width="10.6640625" style="281" customWidth="1"/>
    <col min="3314" max="3314" width="6.33203125" style="281" customWidth="1"/>
    <col min="3315" max="3315" width="7.5546875" style="281" customWidth="1"/>
    <col min="3316" max="3316" width="8.33203125" style="281" customWidth="1"/>
    <col min="3317" max="3317" width="10.6640625" style="281" customWidth="1"/>
    <col min="3318" max="3318" width="6.33203125" style="281" customWidth="1"/>
    <col min="3319" max="3319" width="7.5546875" style="281" customWidth="1"/>
    <col min="3320" max="3320" width="8.33203125" style="281" customWidth="1"/>
    <col min="3321" max="3321" width="10.6640625" style="281" customWidth="1"/>
    <col min="3322" max="3322" width="6.6640625" style="281" customWidth="1"/>
    <col min="3323" max="3323" width="7.5546875" style="281" customWidth="1"/>
    <col min="3324" max="3324" width="8.33203125" style="281" customWidth="1"/>
    <col min="3325" max="3325" width="10.6640625" style="281" customWidth="1"/>
    <col min="3326" max="3326" width="6.6640625" style="281" customWidth="1"/>
    <col min="3327" max="3327" width="7.5546875" style="281" customWidth="1"/>
    <col min="3328" max="3328" width="8.33203125" style="281" customWidth="1"/>
    <col min="3329" max="3329" width="10.6640625" style="281" customWidth="1"/>
    <col min="3330" max="3332" width="6.6640625" style="281" customWidth="1"/>
    <col min="3333" max="3333" width="11.44140625" style="281" customWidth="1"/>
    <col min="3334" max="3336" width="6.6640625" style="281" customWidth="1"/>
    <col min="3337" max="3337" width="11.44140625" style="281"/>
    <col min="3338" max="3338" width="1.5546875" style="281" customWidth="1"/>
    <col min="3339" max="3563" width="11.44140625" style="281"/>
    <col min="3564" max="3564" width="15.33203125" style="281" customWidth="1"/>
    <col min="3565" max="3565" width="13" style="281" bestFit="1" customWidth="1"/>
    <col min="3566" max="3566" width="6.33203125" style="281" customWidth="1"/>
    <col min="3567" max="3567" width="7.5546875" style="281" customWidth="1"/>
    <col min="3568" max="3568" width="8" style="281" customWidth="1"/>
    <col min="3569" max="3569" width="10.6640625" style="281" customWidth="1"/>
    <col min="3570" max="3570" width="6.33203125" style="281" customWidth="1"/>
    <col min="3571" max="3571" width="7.5546875" style="281" customWidth="1"/>
    <col min="3572" max="3572" width="8.33203125" style="281" customWidth="1"/>
    <col min="3573" max="3573" width="10.6640625" style="281" customWidth="1"/>
    <col min="3574" max="3574" width="6.33203125" style="281" customWidth="1"/>
    <col min="3575" max="3575" width="7.5546875" style="281" customWidth="1"/>
    <col min="3576" max="3576" width="8.33203125" style="281" customWidth="1"/>
    <col min="3577" max="3577" width="10.6640625" style="281" customWidth="1"/>
    <col min="3578" max="3578" width="6.6640625" style="281" customWidth="1"/>
    <col min="3579" max="3579" width="7.5546875" style="281" customWidth="1"/>
    <col min="3580" max="3580" width="8.33203125" style="281" customWidth="1"/>
    <col min="3581" max="3581" width="10.6640625" style="281" customWidth="1"/>
    <col min="3582" max="3582" width="6.6640625" style="281" customWidth="1"/>
    <col min="3583" max="3583" width="7.5546875" style="281" customWidth="1"/>
    <col min="3584" max="3584" width="8.33203125" style="281" customWidth="1"/>
    <col min="3585" max="3585" width="10.6640625" style="281" customWidth="1"/>
    <col min="3586" max="3588" width="6.6640625" style="281" customWidth="1"/>
    <col min="3589" max="3589" width="11.44140625" style="281" customWidth="1"/>
    <col min="3590" max="3592" width="6.6640625" style="281" customWidth="1"/>
    <col min="3593" max="3593" width="11.44140625" style="281"/>
    <col min="3594" max="3594" width="1.5546875" style="281" customWidth="1"/>
    <col min="3595" max="3819" width="11.44140625" style="281"/>
    <col min="3820" max="3820" width="15.33203125" style="281" customWidth="1"/>
    <col min="3821" max="3821" width="13" style="281" bestFit="1" customWidth="1"/>
    <col min="3822" max="3822" width="6.33203125" style="281" customWidth="1"/>
    <col min="3823" max="3823" width="7.5546875" style="281" customWidth="1"/>
    <col min="3824" max="3824" width="8" style="281" customWidth="1"/>
    <col min="3825" max="3825" width="10.6640625" style="281" customWidth="1"/>
    <col min="3826" max="3826" width="6.33203125" style="281" customWidth="1"/>
    <col min="3827" max="3827" width="7.5546875" style="281" customWidth="1"/>
    <col min="3828" max="3828" width="8.33203125" style="281" customWidth="1"/>
    <col min="3829" max="3829" width="10.6640625" style="281" customWidth="1"/>
    <col min="3830" max="3830" width="6.33203125" style="281" customWidth="1"/>
    <col min="3831" max="3831" width="7.5546875" style="281" customWidth="1"/>
    <col min="3832" max="3832" width="8.33203125" style="281" customWidth="1"/>
    <col min="3833" max="3833" width="10.6640625" style="281" customWidth="1"/>
    <col min="3834" max="3834" width="6.6640625" style="281" customWidth="1"/>
    <col min="3835" max="3835" width="7.5546875" style="281" customWidth="1"/>
    <col min="3836" max="3836" width="8.33203125" style="281" customWidth="1"/>
    <col min="3837" max="3837" width="10.6640625" style="281" customWidth="1"/>
    <col min="3838" max="3838" width="6.6640625" style="281" customWidth="1"/>
    <col min="3839" max="3839" width="7.5546875" style="281" customWidth="1"/>
    <col min="3840" max="3840" width="8.33203125" style="281" customWidth="1"/>
    <col min="3841" max="3841" width="10.6640625" style="281" customWidth="1"/>
    <col min="3842" max="3844" width="6.6640625" style="281" customWidth="1"/>
    <col min="3845" max="3845" width="11.44140625" style="281" customWidth="1"/>
    <col min="3846" max="3848" width="6.6640625" style="281" customWidth="1"/>
    <col min="3849" max="3849" width="11.44140625" style="281"/>
    <col min="3850" max="3850" width="1.5546875" style="281" customWidth="1"/>
    <col min="3851" max="4075" width="11.44140625" style="281"/>
    <col min="4076" max="4076" width="15.33203125" style="281" customWidth="1"/>
    <col min="4077" max="4077" width="13" style="281" bestFit="1" customWidth="1"/>
    <col min="4078" max="4078" width="6.33203125" style="281" customWidth="1"/>
    <col min="4079" max="4079" width="7.5546875" style="281" customWidth="1"/>
    <col min="4080" max="4080" width="8" style="281" customWidth="1"/>
    <col min="4081" max="4081" width="10.6640625" style="281" customWidth="1"/>
    <col min="4082" max="4082" width="6.33203125" style="281" customWidth="1"/>
    <col min="4083" max="4083" width="7.5546875" style="281" customWidth="1"/>
    <col min="4084" max="4084" width="8.33203125" style="281" customWidth="1"/>
    <col min="4085" max="4085" width="10.6640625" style="281" customWidth="1"/>
    <col min="4086" max="4086" width="6.33203125" style="281" customWidth="1"/>
    <col min="4087" max="4087" width="7.5546875" style="281" customWidth="1"/>
    <col min="4088" max="4088" width="8.33203125" style="281" customWidth="1"/>
    <col min="4089" max="4089" width="10.6640625" style="281" customWidth="1"/>
    <col min="4090" max="4090" width="6.6640625" style="281" customWidth="1"/>
    <col min="4091" max="4091" width="7.5546875" style="281" customWidth="1"/>
    <col min="4092" max="4092" width="8.33203125" style="281" customWidth="1"/>
    <col min="4093" max="4093" width="10.6640625" style="281" customWidth="1"/>
    <col min="4094" max="4094" width="6.6640625" style="281" customWidth="1"/>
    <col min="4095" max="4095" width="7.5546875" style="281" customWidth="1"/>
    <col min="4096" max="4096" width="8.33203125" style="281" customWidth="1"/>
    <col min="4097" max="4097" width="10.6640625" style="281" customWidth="1"/>
    <col min="4098" max="4100" width="6.6640625" style="281" customWidth="1"/>
    <col min="4101" max="4101" width="11.44140625" style="281" customWidth="1"/>
    <col min="4102" max="4104" width="6.6640625" style="281" customWidth="1"/>
    <col min="4105" max="4105" width="11.44140625" style="281"/>
    <col min="4106" max="4106" width="1.5546875" style="281" customWidth="1"/>
    <col min="4107" max="4331" width="11.44140625" style="281"/>
    <col min="4332" max="4332" width="15.33203125" style="281" customWidth="1"/>
    <col min="4333" max="4333" width="13" style="281" bestFit="1" customWidth="1"/>
    <col min="4334" max="4334" width="6.33203125" style="281" customWidth="1"/>
    <col min="4335" max="4335" width="7.5546875" style="281" customWidth="1"/>
    <col min="4336" max="4336" width="8" style="281" customWidth="1"/>
    <col min="4337" max="4337" width="10.6640625" style="281" customWidth="1"/>
    <col min="4338" max="4338" width="6.33203125" style="281" customWidth="1"/>
    <col min="4339" max="4339" width="7.5546875" style="281" customWidth="1"/>
    <col min="4340" max="4340" width="8.33203125" style="281" customWidth="1"/>
    <col min="4341" max="4341" width="10.6640625" style="281" customWidth="1"/>
    <col min="4342" max="4342" width="6.33203125" style="281" customWidth="1"/>
    <col min="4343" max="4343" width="7.5546875" style="281" customWidth="1"/>
    <col min="4344" max="4344" width="8.33203125" style="281" customWidth="1"/>
    <col min="4345" max="4345" width="10.6640625" style="281" customWidth="1"/>
    <col min="4346" max="4346" width="6.6640625" style="281" customWidth="1"/>
    <col min="4347" max="4347" width="7.5546875" style="281" customWidth="1"/>
    <col min="4348" max="4348" width="8.33203125" style="281" customWidth="1"/>
    <col min="4349" max="4349" width="10.6640625" style="281" customWidth="1"/>
    <col min="4350" max="4350" width="6.6640625" style="281" customWidth="1"/>
    <col min="4351" max="4351" width="7.5546875" style="281" customWidth="1"/>
    <col min="4352" max="4352" width="8.33203125" style="281" customWidth="1"/>
    <col min="4353" max="4353" width="10.6640625" style="281" customWidth="1"/>
    <col min="4354" max="4356" width="6.6640625" style="281" customWidth="1"/>
    <col min="4357" max="4357" width="11.44140625" style="281" customWidth="1"/>
    <col min="4358" max="4360" width="6.6640625" style="281" customWidth="1"/>
    <col min="4361" max="4361" width="11.44140625" style="281"/>
    <col min="4362" max="4362" width="1.5546875" style="281" customWidth="1"/>
    <col min="4363" max="4587" width="11.44140625" style="281"/>
    <col min="4588" max="4588" width="15.33203125" style="281" customWidth="1"/>
    <col min="4589" max="4589" width="13" style="281" bestFit="1" customWidth="1"/>
    <col min="4590" max="4590" width="6.33203125" style="281" customWidth="1"/>
    <col min="4591" max="4591" width="7.5546875" style="281" customWidth="1"/>
    <col min="4592" max="4592" width="8" style="281" customWidth="1"/>
    <col min="4593" max="4593" width="10.6640625" style="281" customWidth="1"/>
    <col min="4594" max="4594" width="6.33203125" style="281" customWidth="1"/>
    <col min="4595" max="4595" width="7.5546875" style="281" customWidth="1"/>
    <col min="4596" max="4596" width="8.33203125" style="281" customWidth="1"/>
    <col min="4597" max="4597" width="10.6640625" style="281" customWidth="1"/>
    <col min="4598" max="4598" width="6.33203125" style="281" customWidth="1"/>
    <col min="4599" max="4599" width="7.5546875" style="281" customWidth="1"/>
    <col min="4600" max="4600" width="8.33203125" style="281" customWidth="1"/>
    <col min="4601" max="4601" width="10.6640625" style="281" customWidth="1"/>
    <col min="4602" max="4602" width="6.6640625" style="281" customWidth="1"/>
    <col min="4603" max="4603" width="7.5546875" style="281" customWidth="1"/>
    <col min="4604" max="4604" width="8.33203125" style="281" customWidth="1"/>
    <col min="4605" max="4605" width="10.6640625" style="281" customWidth="1"/>
    <col min="4606" max="4606" width="6.6640625" style="281" customWidth="1"/>
    <col min="4607" max="4607" width="7.5546875" style="281" customWidth="1"/>
    <col min="4608" max="4608" width="8.33203125" style="281" customWidth="1"/>
    <col min="4609" max="4609" width="10.6640625" style="281" customWidth="1"/>
    <col min="4610" max="4612" width="6.6640625" style="281" customWidth="1"/>
    <col min="4613" max="4613" width="11.44140625" style="281" customWidth="1"/>
    <col min="4614" max="4616" width="6.6640625" style="281" customWidth="1"/>
    <col min="4617" max="4617" width="11.44140625" style="281"/>
    <col min="4618" max="4618" width="1.5546875" style="281" customWidth="1"/>
    <col min="4619" max="4843" width="11.44140625" style="281"/>
    <col min="4844" max="4844" width="15.33203125" style="281" customWidth="1"/>
    <col min="4845" max="4845" width="13" style="281" bestFit="1" customWidth="1"/>
    <col min="4846" max="4846" width="6.33203125" style="281" customWidth="1"/>
    <col min="4847" max="4847" width="7.5546875" style="281" customWidth="1"/>
    <col min="4848" max="4848" width="8" style="281" customWidth="1"/>
    <col min="4849" max="4849" width="10.6640625" style="281" customWidth="1"/>
    <col min="4850" max="4850" width="6.33203125" style="281" customWidth="1"/>
    <col min="4851" max="4851" width="7.5546875" style="281" customWidth="1"/>
    <col min="4852" max="4852" width="8.33203125" style="281" customWidth="1"/>
    <col min="4853" max="4853" width="10.6640625" style="281" customWidth="1"/>
    <col min="4854" max="4854" width="6.33203125" style="281" customWidth="1"/>
    <col min="4855" max="4855" width="7.5546875" style="281" customWidth="1"/>
    <col min="4856" max="4856" width="8.33203125" style="281" customWidth="1"/>
    <col min="4857" max="4857" width="10.6640625" style="281" customWidth="1"/>
    <col min="4858" max="4858" width="6.6640625" style="281" customWidth="1"/>
    <col min="4859" max="4859" width="7.5546875" style="281" customWidth="1"/>
    <col min="4860" max="4860" width="8.33203125" style="281" customWidth="1"/>
    <col min="4861" max="4861" width="10.6640625" style="281" customWidth="1"/>
    <col min="4862" max="4862" width="6.6640625" style="281" customWidth="1"/>
    <col min="4863" max="4863" width="7.5546875" style="281" customWidth="1"/>
    <col min="4864" max="4864" width="8.33203125" style="281" customWidth="1"/>
    <col min="4865" max="4865" width="10.6640625" style="281" customWidth="1"/>
    <col min="4866" max="4868" width="6.6640625" style="281" customWidth="1"/>
    <col min="4869" max="4869" width="11.44140625" style="281" customWidth="1"/>
    <col min="4870" max="4872" width="6.6640625" style="281" customWidth="1"/>
    <col min="4873" max="4873" width="11.44140625" style="281"/>
    <col min="4874" max="4874" width="1.5546875" style="281" customWidth="1"/>
    <col min="4875" max="5099" width="11.44140625" style="281"/>
    <col min="5100" max="5100" width="15.33203125" style="281" customWidth="1"/>
    <col min="5101" max="5101" width="13" style="281" bestFit="1" customWidth="1"/>
    <col min="5102" max="5102" width="6.33203125" style="281" customWidth="1"/>
    <col min="5103" max="5103" width="7.5546875" style="281" customWidth="1"/>
    <col min="5104" max="5104" width="8" style="281" customWidth="1"/>
    <col min="5105" max="5105" width="10.6640625" style="281" customWidth="1"/>
    <col min="5106" max="5106" width="6.33203125" style="281" customWidth="1"/>
    <col min="5107" max="5107" width="7.5546875" style="281" customWidth="1"/>
    <col min="5108" max="5108" width="8.33203125" style="281" customWidth="1"/>
    <col min="5109" max="5109" width="10.6640625" style="281" customWidth="1"/>
    <col min="5110" max="5110" width="6.33203125" style="281" customWidth="1"/>
    <col min="5111" max="5111" width="7.5546875" style="281" customWidth="1"/>
    <col min="5112" max="5112" width="8.33203125" style="281" customWidth="1"/>
    <col min="5113" max="5113" width="10.6640625" style="281" customWidth="1"/>
    <col min="5114" max="5114" width="6.6640625" style="281" customWidth="1"/>
    <col min="5115" max="5115" width="7.5546875" style="281" customWidth="1"/>
    <col min="5116" max="5116" width="8.33203125" style="281" customWidth="1"/>
    <col min="5117" max="5117" width="10.6640625" style="281" customWidth="1"/>
    <col min="5118" max="5118" width="6.6640625" style="281" customWidth="1"/>
    <col min="5119" max="5119" width="7.5546875" style="281" customWidth="1"/>
    <col min="5120" max="5120" width="8.33203125" style="281" customWidth="1"/>
    <col min="5121" max="5121" width="10.6640625" style="281" customWidth="1"/>
    <col min="5122" max="5124" width="6.6640625" style="281" customWidth="1"/>
    <col min="5125" max="5125" width="11.44140625" style="281" customWidth="1"/>
    <col min="5126" max="5128" width="6.6640625" style="281" customWidth="1"/>
    <col min="5129" max="5129" width="11.44140625" style="281"/>
    <col min="5130" max="5130" width="1.5546875" style="281" customWidth="1"/>
    <col min="5131" max="5355" width="11.44140625" style="281"/>
    <col min="5356" max="5356" width="15.33203125" style="281" customWidth="1"/>
    <col min="5357" max="5357" width="13" style="281" bestFit="1" customWidth="1"/>
    <col min="5358" max="5358" width="6.33203125" style="281" customWidth="1"/>
    <col min="5359" max="5359" width="7.5546875" style="281" customWidth="1"/>
    <col min="5360" max="5360" width="8" style="281" customWidth="1"/>
    <col min="5361" max="5361" width="10.6640625" style="281" customWidth="1"/>
    <col min="5362" max="5362" width="6.33203125" style="281" customWidth="1"/>
    <col min="5363" max="5363" width="7.5546875" style="281" customWidth="1"/>
    <col min="5364" max="5364" width="8.33203125" style="281" customWidth="1"/>
    <col min="5365" max="5365" width="10.6640625" style="281" customWidth="1"/>
    <col min="5366" max="5366" width="6.33203125" style="281" customWidth="1"/>
    <col min="5367" max="5367" width="7.5546875" style="281" customWidth="1"/>
    <col min="5368" max="5368" width="8.33203125" style="281" customWidth="1"/>
    <col min="5369" max="5369" width="10.6640625" style="281" customWidth="1"/>
    <col min="5370" max="5370" width="6.6640625" style="281" customWidth="1"/>
    <col min="5371" max="5371" width="7.5546875" style="281" customWidth="1"/>
    <col min="5372" max="5372" width="8.33203125" style="281" customWidth="1"/>
    <col min="5373" max="5373" width="10.6640625" style="281" customWidth="1"/>
    <col min="5374" max="5374" width="6.6640625" style="281" customWidth="1"/>
    <col min="5375" max="5375" width="7.5546875" style="281" customWidth="1"/>
    <col min="5376" max="5376" width="8.33203125" style="281" customWidth="1"/>
    <col min="5377" max="5377" width="10.6640625" style="281" customWidth="1"/>
    <col min="5378" max="5380" width="6.6640625" style="281" customWidth="1"/>
    <col min="5381" max="5381" width="11.44140625" style="281" customWidth="1"/>
    <col min="5382" max="5384" width="6.6640625" style="281" customWidth="1"/>
    <col min="5385" max="5385" width="11.44140625" style="281"/>
    <col min="5386" max="5386" width="1.5546875" style="281" customWidth="1"/>
    <col min="5387" max="5611" width="11.44140625" style="281"/>
    <col min="5612" max="5612" width="15.33203125" style="281" customWidth="1"/>
    <col min="5613" max="5613" width="13" style="281" bestFit="1" customWidth="1"/>
    <col min="5614" max="5614" width="6.33203125" style="281" customWidth="1"/>
    <col min="5615" max="5615" width="7.5546875" style="281" customWidth="1"/>
    <col min="5616" max="5616" width="8" style="281" customWidth="1"/>
    <col min="5617" max="5617" width="10.6640625" style="281" customWidth="1"/>
    <col min="5618" max="5618" width="6.33203125" style="281" customWidth="1"/>
    <col min="5619" max="5619" width="7.5546875" style="281" customWidth="1"/>
    <col min="5620" max="5620" width="8.33203125" style="281" customWidth="1"/>
    <col min="5621" max="5621" width="10.6640625" style="281" customWidth="1"/>
    <col min="5622" max="5622" width="6.33203125" style="281" customWidth="1"/>
    <col min="5623" max="5623" width="7.5546875" style="281" customWidth="1"/>
    <col min="5624" max="5624" width="8.33203125" style="281" customWidth="1"/>
    <col min="5625" max="5625" width="10.6640625" style="281" customWidth="1"/>
    <col min="5626" max="5626" width="6.6640625" style="281" customWidth="1"/>
    <col min="5627" max="5627" width="7.5546875" style="281" customWidth="1"/>
    <col min="5628" max="5628" width="8.33203125" style="281" customWidth="1"/>
    <col min="5629" max="5629" width="10.6640625" style="281" customWidth="1"/>
    <col min="5630" max="5630" width="6.6640625" style="281" customWidth="1"/>
    <col min="5631" max="5631" width="7.5546875" style="281" customWidth="1"/>
    <col min="5632" max="5632" width="8.33203125" style="281" customWidth="1"/>
    <col min="5633" max="5633" width="10.6640625" style="281" customWidth="1"/>
    <col min="5634" max="5636" width="6.6640625" style="281" customWidth="1"/>
    <col min="5637" max="5637" width="11.44140625" style="281" customWidth="1"/>
    <col min="5638" max="5640" width="6.6640625" style="281" customWidth="1"/>
    <col min="5641" max="5641" width="11.44140625" style="281"/>
    <col min="5642" max="5642" width="1.5546875" style="281" customWidth="1"/>
    <col min="5643" max="5867" width="11.44140625" style="281"/>
    <col min="5868" max="5868" width="15.33203125" style="281" customWidth="1"/>
    <col min="5869" max="5869" width="13" style="281" bestFit="1" customWidth="1"/>
    <col min="5870" max="5870" width="6.33203125" style="281" customWidth="1"/>
    <col min="5871" max="5871" width="7.5546875" style="281" customWidth="1"/>
    <col min="5872" max="5872" width="8" style="281" customWidth="1"/>
    <col min="5873" max="5873" width="10.6640625" style="281" customWidth="1"/>
    <col min="5874" max="5874" width="6.33203125" style="281" customWidth="1"/>
    <col min="5875" max="5875" width="7.5546875" style="281" customWidth="1"/>
    <col min="5876" max="5876" width="8.33203125" style="281" customWidth="1"/>
    <col min="5877" max="5877" width="10.6640625" style="281" customWidth="1"/>
    <col min="5878" max="5878" width="6.33203125" style="281" customWidth="1"/>
    <col min="5879" max="5879" width="7.5546875" style="281" customWidth="1"/>
    <col min="5880" max="5880" width="8.33203125" style="281" customWidth="1"/>
    <col min="5881" max="5881" width="10.6640625" style="281" customWidth="1"/>
    <col min="5882" max="5882" width="6.6640625" style="281" customWidth="1"/>
    <col min="5883" max="5883" width="7.5546875" style="281" customWidth="1"/>
    <col min="5884" max="5884" width="8.33203125" style="281" customWidth="1"/>
    <col min="5885" max="5885" width="10.6640625" style="281" customWidth="1"/>
    <col min="5886" max="5886" width="6.6640625" style="281" customWidth="1"/>
    <col min="5887" max="5887" width="7.5546875" style="281" customWidth="1"/>
    <col min="5888" max="5888" width="8.33203125" style="281" customWidth="1"/>
    <col min="5889" max="5889" width="10.6640625" style="281" customWidth="1"/>
    <col min="5890" max="5892" width="6.6640625" style="281" customWidth="1"/>
    <col min="5893" max="5893" width="11.44140625" style="281" customWidth="1"/>
    <col min="5894" max="5896" width="6.6640625" style="281" customWidth="1"/>
    <col min="5897" max="5897" width="11.44140625" style="281"/>
    <col min="5898" max="5898" width="1.5546875" style="281" customWidth="1"/>
    <col min="5899" max="6123" width="11.44140625" style="281"/>
    <col min="6124" max="6124" width="15.33203125" style="281" customWidth="1"/>
    <col min="6125" max="6125" width="13" style="281" bestFit="1" customWidth="1"/>
    <col min="6126" max="6126" width="6.33203125" style="281" customWidth="1"/>
    <col min="6127" max="6127" width="7.5546875" style="281" customWidth="1"/>
    <col min="6128" max="6128" width="8" style="281" customWidth="1"/>
    <col min="6129" max="6129" width="10.6640625" style="281" customWidth="1"/>
    <col min="6130" max="6130" width="6.33203125" style="281" customWidth="1"/>
    <col min="6131" max="6131" width="7.5546875" style="281" customWidth="1"/>
    <col min="6132" max="6132" width="8.33203125" style="281" customWidth="1"/>
    <col min="6133" max="6133" width="10.6640625" style="281" customWidth="1"/>
    <col min="6134" max="6134" width="6.33203125" style="281" customWidth="1"/>
    <col min="6135" max="6135" width="7.5546875" style="281" customWidth="1"/>
    <col min="6136" max="6136" width="8.33203125" style="281" customWidth="1"/>
    <col min="6137" max="6137" width="10.6640625" style="281" customWidth="1"/>
    <col min="6138" max="6138" width="6.6640625" style="281" customWidth="1"/>
    <col min="6139" max="6139" width="7.5546875" style="281" customWidth="1"/>
    <col min="6140" max="6140" width="8.33203125" style="281" customWidth="1"/>
    <col min="6141" max="6141" width="10.6640625" style="281" customWidth="1"/>
    <col min="6142" max="6142" width="6.6640625" style="281" customWidth="1"/>
    <col min="6143" max="6143" width="7.5546875" style="281" customWidth="1"/>
    <col min="6144" max="6144" width="8.33203125" style="281" customWidth="1"/>
    <col min="6145" max="6145" width="10.6640625" style="281" customWidth="1"/>
    <col min="6146" max="6148" width="6.6640625" style="281" customWidth="1"/>
    <col min="6149" max="6149" width="11.44140625" style="281" customWidth="1"/>
    <col min="6150" max="6152" width="6.6640625" style="281" customWidth="1"/>
    <col min="6153" max="6153" width="11.44140625" style="281"/>
    <col min="6154" max="6154" width="1.5546875" style="281" customWidth="1"/>
    <col min="6155" max="6379" width="11.44140625" style="281"/>
    <col min="6380" max="6380" width="15.33203125" style="281" customWidth="1"/>
    <col min="6381" max="6381" width="13" style="281" bestFit="1" customWidth="1"/>
    <col min="6382" max="6382" width="6.33203125" style="281" customWidth="1"/>
    <col min="6383" max="6383" width="7.5546875" style="281" customWidth="1"/>
    <col min="6384" max="6384" width="8" style="281" customWidth="1"/>
    <col min="6385" max="6385" width="10.6640625" style="281" customWidth="1"/>
    <col min="6386" max="6386" width="6.33203125" style="281" customWidth="1"/>
    <col min="6387" max="6387" width="7.5546875" style="281" customWidth="1"/>
    <col min="6388" max="6388" width="8.33203125" style="281" customWidth="1"/>
    <col min="6389" max="6389" width="10.6640625" style="281" customWidth="1"/>
    <col min="6390" max="6390" width="6.33203125" style="281" customWidth="1"/>
    <col min="6391" max="6391" width="7.5546875" style="281" customWidth="1"/>
    <col min="6392" max="6392" width="8.33203125" style="281" customWidth="1"/>
    <col min="6393" max="6393" width="10.6640625" style="281" customWidth="1"/>
    <col min="6394" max="6394" width="6.6640625" style="281" customWidth="1"/>
    <col min="6395" max="6395" width="7.5546875" style="281" customWidth="1"/>
    <col min="6396" max="6396" width="8.33203125" style="281" customWidth="1"/>
    <col min="6397" max="6397" width="10.6640625" style="281" customWidth="1"/>
    <col min="6398" max="6398" width="6.6640625" style="281" customWidth="1"/>
    <col min="6399" max="6399" width="7.5546875" style="281" customWidth="1"/>
    <col min="6400" max="6400" width="8.33203125" style="281" customWidth="1"/>
    <col min="6401" max="6401" width="10.6640625" style="281" customWidth="1"/>
    <col min="6402" max="6404" width="6.6640625" style="281" customWidth="1"/>
    <col min="6405" max="6405" width="11.44140625" style="281" customWidth="1"/>
    <col min="6406" max="6408" width="6.6640625" style="281" customWidth="1"/>
    <col min="6409" max="6409" width="11.44140625" style="281"/>
    <col min="6410" max="6410" width="1.5546875" style="281" customWidth="1"/>
    <col min="6411" max="6635" width="11.44140625" style="281"/>
    <col min="6636" max="6636" width="15.33203125" style="281" customWidth="1"/>
    <col min="6637" max="6637" width="13" style="281" bestFit="1" customWidth="1"/>
    <col min="6638" max="6638" width="6.33203125" style="281" customWidth="1"/>
    <col min="6639" max="6639" width="7.5546875" style="281" customWidth="1"/>
    <col min="6640" max="6640" width="8" style="281" customWidth="1"/>
    <col min="6641" max="6641" width="10.6640625" style="281" customWidth="1"/>
    <col min="6642" max="6642" width="6.33203125" style="281" customWidth="1"/>
    <col min="6643" max="6643" width="7.5546875" style="281" customWidth="1"/>
    <col min="6644" max="6644" width="8.33203125" style="281" customWidth="1"/>
    <col min="6645" max="6645" width="10.6640625" style="281" customWidth="1"/>
    <col min="6646" max="6646" width="6.33203125" style="281" customWidth="1"/>
    <col min="6647" max="6647" width="7.5546875" style="281" customWidth="1"/>
    <col min="6648" max="6648" width="8.33203125" style="281" customWidth="1"/>
    <col min="6649" max="6649" width="10.6640625" style="281" customWidth="1"/>
    <col min="6650" max="6650" width="6.6640625" style="281" customWidth="1"/>
    <col min="6651" max="6651" width="7.5546875" style="281" customWidth="1"/>
    <col min="6652" max="6652" width="8.33203125" style="281" customWidth="1"/>
    <col min="6653" max="6653" width="10.6640625" style="281" customWidth="1"/>
    <col min="6654" max="6654" width="6.6640625" style="281" customWidth="1"/>
    <col min="6655" max="6655" width="7.5546875" style="281" customWidth="1"/>
    <col min="6656" max="6656" width="8.33203125" style="281" customWidth="1"/>
    <col min="6657" max="6657" width="10.6640625" style="281" customWidth="1"/>
    <col min="6658" max="6660" width="6.6640625" style="281" customWidth="1"/>
    <col min="6661" max="6661" width="11.44140625" style="281" customWidth="1"/>
    <col min="6662" max="6664" width="6.6640625" style="281" customWidth="1"/>
    <col min="6665" max="6665" width="11.44140625" style="281"/>
    <col min="6666" max="6666" width="1.5546875" style="281" customWidth="1"/>
    <col min="6667" max="6891" width="11.44140625" style="281"/>
    <col min="6892" max="6892" width="15.33203125" style="281" customWidth="1"/>
    <col min="6893" max="6893" width="13" style="281" bestFit="1" customWidth="1"/>
    <col min="6894" max="6894" width="6.33203125" style="281" customWidth="1"/>
    <col min="6895" max="6895" width="7.5546875" style="281" customWidth="1"/>
    <col min="6896" max="6896" width="8" style="281" customWidth="1"/>
    <col min="6897" max="6897" width="10.6640625" style="281" customWidth="1"/>
    <col min="6898" max="6898" width="6.33203125" style="281" customWidth="1"/>
    <col min="6899" max="6899" width="7.5546875" style="281" customWidth="1"/>
    <col min="6900" max="6900" width="8.33203125" style="281" customWidth="1"/>
    <col min="6901" max="6901" width="10.6640625" style="281" customWidth="1"/>
    <col min="6902" max="6902" width="6.33203125" style="281" customWidth="1"/>
    <col min="6903" max="6903" width="7.5546875" style="281" customWidth="1"/>
    <col min="6904" max="6904" width="8.33203125" style="281" customWidth="1"/>
    <col min="6905" max="6905" width="10.6640625" style="281" customWidth="1"/>
    <col min="6906" max="6906" width="6.6640625" style="281" customWidth="1"/>
    <col min="6907" max="6907" width="7.5546875" style="281" customWidth="1"/>
    <col min="6908" max="6908" width="8.33203125" style="281" customWidth="1"/>
    <col min="6909" max="6909" width="10.6640625" style="281" customWidth="1"/>
    <col min="6910" max="6910" width="6.6640625" style="281" customWidth="1"/>
    <col min="6911" max="6911" width="7.5546875" style="281" customWidth="1"/>
    <col min="6912" max="6912" width="8.33203125" style="281" customWidth="1"/>
    <col min="6913" max="6913" width="10.6640625" style="281" customWidth="1"/>
    <col min="6914" max="6916" width="6.6640625" style="281" customWidth="1"/>
    <col min="6917" max="6917" width="11.44140625" style="281" customWidth="1"/>
    <col min="6918" max="6920" width="6.6640625" style="281" customWidth="1"/>
    <col min="6921" max="6921" width="11.44140625" style="281"/>
    <col min="6922" max="6922" width="1.5546875" style="281" customWidth="1"/>
    <col min="6923" max="7147" width="11.44140625" style="281"/>
    <col min="7148" max="7148" width="15.33203125" style="281" customWidth="1"/>
    <col min="7149" max="7149" width="13" style="281" bestFit="1" customWidth="1"/>
    <col min="7150" max="7150" width="6.33203125" style="281" customWidth="1"/>
    <col min="7151" max="7151" width="7.5546875" style="281" customWidth="1"/>
    <col min="7152" max="7152" width="8" style="281" customWidth="1"/>
    <col min="7153" max="7153" width="10.6640625" style="281" customWidth="1"/>
    <col min="7154" max="7154" width="6.33203125" style="281" customWidth="1"/>
    <col min="7155" max="7155" width="7.5546875" style="281" customWidth="1"/>
    <col min="7156" max="7156" width="8.33203125" style="281" customWidth="1"/>
    <col min="7157" max="7157" width="10.6640625" style="281" customWidth="1"/>
    <col min="7158" max="7158" width="6.33203125" style="281" customWidth="1"/>
    <col min="7159" max="7159" width="7.5546875" style="281" customWidth="1"/>
    <col min="7160" max="7160" width="8.33203125" style="281" customWidth="1"/>
    <col min="7161" max="7161" width="10.6640625" style="281" customWidth="1"/>
    <col min="7162" max="7162" width="6.6640625" style="281" customWidth="1"/>
    <col min="7163" max="7163" width="7.5546875" style="281" customWidth="1"/>
    <col min="7164" max="7164" width="8.33203125" style="281" customWidth="1"/>
    <col min="7165" max="7165" width="10.6640625" style="281" customWidth="1"/>
    <col min="7166" max="7166" width="6.6640625" style="281" customWidth="1"/>
    <col min="7167" max="7167" width="7.5546875" style="281" customWidth="1"/>
    <col min="7168" max="7168" width="8.33203125" style="281" customWidth="1"/>
    <col min="7169" max="7169" width="10.6640625" style="281" customWidth="1"/>
    <col min="7170" max="7172" width="6.6640625" style="281" customWidth="1"/>
    <col min="7173" max="7173" width="11.44140625" style="281" customWidth="1"/>
    <col min="7174" max="7176" width="6.6640625" style="281" customWidth="1"/>
    <col min="7177" max="7177" width="11.44140625" style="281"/>
    <col min="7178" max="7178" width="1.5546875" style="281" customWidth="1"/>
    <col min="7179" max="7403" width="11.44140625" style="281"/>
    <col min="7404" max="7404" width="15.33203125" style="281" customWidth="1"/>
    <col min="7405" max="7405" width="13" style="281" bestFit="1" customWidth="1"/>
    <col min="7406" max="7406" width="6.33203125" style="281" customWidth="1"/>
    <col min="7407" max="7407" width="7.5546875" style="281" customWidth="1"/>
    <col min="7408" max="7408" width="8" style="281" customWidth="1"/>
    <col min="7409" max="7409" width="10.6640625" style="281" customWidth="1"/>
    <col min="7410" max="7410" width="6.33203125" style="281" customWidth="1"/>
    <col min="7411" max="7411" width="7.5546875" style="281" customWidth="1"/>
    <col min="7412" max="7412" width="8.33203125" style="281" customWidth="1"/>
    <col min="7413" max="7413" width="10.6640625" style="281" customWidth="1"/>
    <col min="7414" max="7414" width="6.33203125" style="281" customWidth="1"/>
    <col min="7415" max="7415" width="7.5546875" style="281" customWidth="1"/>
    <col min="7416" max="7416" width="8.33203125" style="281" customWidth="1"/>
    <col min="7417" max="7417" width="10.6640625" style="281" customWidth="1"/>
    <col min="7418" max="7418" width="6.6640625" style="281" customWidth="1"/>
    <col min="7419" max="7419" width="7.5546875" style="281" customWidth="1"/>
    <col min="7420" max="7420" width="8.33203125" style="281" customWidth="1"/>
    <col min="7421" max="7421" width="10.6640625" style="281" customWidth="1"/>
    <col min="7422" max="7422" width="6.6640625" style="281" customWidth="1"/>
    <col min="7423" max="7423" width="7.5546875" style="281" customWidth="1"/>
    <col min="7424" max="7424" width="8.33203125" style="281" customWidth="1"/>
    <col min="7425" max="7425" width="10.6640625" style="281" customWidth="1"/>
    <col min="7426" max="7428" width="6.6640625" style="281" customWidth="1"/>
    <col min="7429" max="7429" width="11.44140625" style="281" customWidth="1"/>
    <col min="7430" max="7432" width="6.6640625" style="281" customWidth="1"/>
    <col min="7433" max="7433" width="11.44140625" style="281"/>
    <col min="7434" max="7434" width="1.5546875" style="281" customWidth="1"/>
    <col min="7435" max="7659" width="11.44140625" style="281"/>
    <col min="7660" max="7660" width="15.33203125" style="281" customWidth="1"/>
    <col min="7661" max="7661" width="13" style="281" bestFit="1" customWidth="1"/>
    <col min="7662" max="7662" width="6.33203125" style="281" customWidth="1"/>
    <col min="7663" max="7663" width="7.5546875" style="281" customWidth="1"/>
    <col min="7664" max="7664" width="8" style="281" customWidth="1"/>
    <col min="7665" max="7665" width="10.6640625" style="281" customWidth="1"/>
    <col min="7666" max="7666" width="6.33203125" style="281" customWidth="1"/>
    <col min="7667" max="7667" width="7.5546875" style="281" customWidth="1"/>
    <col min="7668" max="7668" width="8.33203125" style="281" customWidth="1"/>
    <col min="7669" max="7669" width="10.6640625" style="281" customWidth="1"/>
    <col min="7670" max="7670" width="6.33203125" style="281" customWidth="1"/>
    <col min="7671" max="7671" width="7.5546875" style="281" customWidth="1"/>
    <col min="7672" max="7672" width="8.33203125" style="281" customWidth="1"/>
    <col min="7673" max="7673" width="10.6640625" style="281" customWidth="1"/>
    <col min="7674" max="7674" width="6.6640625" style="281" customWidth="1"/>
    <col min="7675" max="7675" width="7.5546875" style="281" customWidth="1"/>
    <col min="7676" max="7676" width="8.33203125" style="281" customWidth="1"/>
    <col min="7677" max="7677" width="10.6640625" style="281" customWidth="1"/>
    <col min="7678" max="7678" width="6.6640625" style="281" customWidth="1"/>
    <col min="7679" max="7679" width="7.5546875" style="281" customWidth="1"/>
    <col min="7680" max="7680" width="8.33203125" style="281" customWidth="1"/>
    <col min="7681" max="7681" width="10.6640625" style="281" customWidth="1"/>
    <col min="7682" max="7684" width="6.6640625" style="281" customWidth="1"/>
    <col min="7685" max="7685" width="11.44140625" style="281" customWidth="1"/>
    <col min="7686" max="7688" width="6.6640625" style="281" customWidth="1"/>
    <col min="7689" max="7689" width="11.44140625" style="281"/>
    <col min="7690" max="7690" width="1.5546875" style="281" customWidth="1"/>
    <col min="7691" max="7915" width="11.44140625" style="281"/>
    <col min="7916" max="7916" width="15.33203125" style="281" customWidth="1"/>
    <col min="7917" max="7917" width="13" style="281" bestFit="1" customWidth="1"/>
    <col min="7918" max="7918" width="6.33203125" style="281" customWidth="1"/>
    <col min="7919" max="7919" width="7.5546875" style="281" customWidth="1"/>
    <col min="7920" max="7920" width="8" style="281" customWidth="1"/>
    <col min="7921" max="7921" width="10.6640625" style="281" customWidth="1"/>
    <col min="7922" max="7922" width="6.33203125" style="281" customWidth="1"/>
    <col min="7923" max="7923" width="7.5546875" style="281" customWidth="1"/>
    <col min="7924" max="7924" width="8.33203125" style="281" customWidth="1"/>
    <col min="7925" max="7925" width="10.6640625" style="281" customWidth="1"/>
    <col min="7926" max="7926" width="6.33203125" style="281" customWidth="1"/>
    <col min="7927" max="7927" width="7.5546875" style="281" customWidth="1"/>
    <col min="7928" max="7928" width="8.33203125" style="281" customWidth="1"/>
    <col min="7929" max="7929" width="10.6640625" style="281" customWidth="1"/>
    <col min="7930" max="7930" width="6.6640625" style="281" customWidth="1"/>
    <col min="7931" max="7931" width="7.5546875" style="281" customWidth="1"/>
    <col min="7932" max="7932" width="8.33203125" style="281" customWidth="1"/>
    <col min="7933" max="7933" width="10.6640625" style="281" customWidth="1"/>
    <col min="7934" max="7934" width="6.6640625" style="281" customWidth="1"/>
    <col min="7935" max="7935" width="7.5546875" style="281" customWidth="1"/>
    <col min="7936" max="7936" width="8.33203125" style="281" customWidth="1"/>
    <col min="7937" max="7937" width="10.6640625" style="281" customWidth="1"/>
    <col min="7938" max="7940" width="6.6640625" style="281" customWidth="1"/>
    <col min="7941" max="7941" width="11.44140625" style="281" customWidth="1"/>
    <col min="7942" max="7944" width="6.6640625" style="281" customWidth="1"/>
    <col min="7945" max="7945" width="11.44140625" style="281"/>
    <col min="7946" max="7946" width="1.5546875" style="281" customWidth="1"/>
    <col min="7947" max="8171" width="11.44140625" style="281"/>
    <col min="8172" max="8172" width="15.33203125" style="281" customWidth="1"/>
    <col min="8173" max="8173" width="13" style="281" bestFit="1" customWidth="1"/>
    <col min="8174" max="8174" width="6.33203125" style="281" customWidth="1"/>
    <col min="8175" max="8175" width="7.5546875" style="281" customWidth="1"/>
    <col min="8176" max="8176" width="8" style="281" customWidth="1"/>
    <col min="8177" max="8177" width="10.6640625" style="281" customWidth="1"/>
    <col min="8178" max="8178" width="6.33203125" style="281" customWidth="1"/>
    <col min="8179" max="8179" width="7.5546875" style="281" customWidth="1"/>
    <col min="8180" max="8180" width="8.33203125" style="281" customWidth="1"/>
    <col min="8181" max="8181" width="10.6640625" style="281" customWidth="1"/>
    <col min="8182" max="8182" width="6.33203125" style="281" customWidth="1"/>
    <col min="8183" max="8183" width="7.5546875" style="281" customWidth="1"/>
    <col min="8184" max="8184" width="8.33203125" style="281" customWidth="1"/>
    <col min="8185" max="8185" width="10.6640625" style="281" customWidth="1"/>
    <col min="8186" max="8186" width="6.6640625" style="281" customWidth="1"/>
    <col min="8187" max="8187" width="7.5546875" style="281" customWidth="1"/>
    <col min="8188" max="8188" width="8.33203125" style="281" customWidth="1"/>
    <col min="8189" max="8189" width="10.6640625" style="281" customWidth="1"/>
    <col min="8190" max="8190" width="6.6640625" style="281" customWidth="1"/>
    <col min="8191" max="8191" width="7.5546875" style="281" customWidth="1"/>
    <col min="8192" max="8192" width="8.33203125" style="281" customWidth="1"/>
    <col min="8193" max="8193" width="10.6640625" style="281" customWidth="1"/>
    <col min="8194" max="8196" width="6.6640625" style="281" customWidth="1"/>
    <col min="8197" max="8197" width="11.44140625" style="281" customWidth="1"/>
    <col min="8198" max="8200" width="6.6640625" style="281" customWidth="1"/>
    <col min="8201" max="8201" width="11.44140625" style="281"/>
    <col min="8202" max="8202" width="1.5546875" style="281" customWidth="1"/>
    <col min="8203" max="8427" width="11.44140625" style="281"/>
    <col min="8428" max="8428" width="15.33203125" style="281" customWidth="1"/>
    <col min="8429" max="8429" width="13" style="281" bestFit="1" customWidth="1"/>
    <col min="8430" max="8430" width="6.33203125" style="281" customWidth="1"/>
    <col min="8431" max="8431" width="7.5546875" style="281" customWidth="1"/>
    <col min="8432" max="8432" width="8" style="281" customWidth="1"/>
    <col min="8433" max="8433" width="10.6640625" style="281" customWidth="1"/>
    <col min="8434" max="8434" width="6.33203125" style="281" customWidth="1"/>
    <col min="8435" max="8435" width="7.5546875" style="281" customWidth="1"/>
    <col min="8436" max="8436" width="8.33203125" style="281" customWidth="1"/>
    <col min="8437" max="8437" width="10.6640625" style="281" customWidth="1"/>
    <col min="8438" max="8438" width="6.33203125" style="281" customWidth="1"/>
    <col min="8439" max="8439" width="7.5546875" style="281" customWidth="1"/>
    <col min="8440" max="8440" width="8.33203125" style="281" customWidth="1"/>
    <col min="8441" max="8441" width="10.6640625" style="281" customWidth="1"/>
    <col min="8442" max="8442" width="6.6640625" style="281" customWidth="1"/>
    <col min="8443" max="8443" width="7.5546875" style="281" customWidth="1"/>
    <col min="8444" max="8444" width="8.33203125" style="281" customWidth="1"/>
    <col min="8445" max="8445" width="10.6640625" style="281" customWidth="1"/>
    <col min="8446" max="8446" width="6.6640625" style="281" customWidth="1"/>
    <col min="8447" max="8447" width="7.5546875" style="281" customWidth="1"/>
    <col min="8448" max="8448" width="8.33203125" style="281" customWidth="1"/>
    <col min="8449" max="8449" width="10.6640625" style="281" customWidth="1"/>
    <col min="8450" max="8452" width="6.6640625" style="281" customWidth="1"/>
    <col min="8453" max="8453" width="11.44140625" style="281" customWidth="1"/>
    <col min="8454" max="8456" width="6.6640625" style="281" customWidth="1"/>
    <col min="8457" max="8457" width="11.44140625" style="281"/>
    <col min="8458" max="8458" width="1.5546875" style="281" customWidth="1"/>
    <col min="8459" max="8683" width="11.44140625" style="281"/>
    <col min="8684" max="8684" width="15.33203125" style="281" customWidth="1"/>
    <col min="8685" max="8685" width="13" style="281" bestFit="1" customWidth="1"/>
    <col min="8686" max="8686" width="6.33203125" style="281" customWidth="1"/>
    <col min="8687" max="8687" width="7.5546875" style="281" customWidth="1"/>
    <col min="8688" max="8688" width="8" style="281" customWidth="1"/>
    <col min="8689" max="8689" width="10.6640625" style="281" customWidth="1"/>
    <col min="8690" max="8690" width="6.33203125" style="281" customWidth="1"/>
    <col min="8691" max="8691" width="7.5546875" style="281" customWidth="1"/>
    <col min="8692" max="8692" width="8.33203125" style="281" customWidth="1"/>
    <col min="8693" max="8693" width="10.6640625" style="281" customWidth="1"/>
    <col min="8694" max="8694" width="6.33203125" style="281" customWidth="1"/>
    <col min="8695" max="8695" width="7.5546875" style="281" customWidth="1"/>
    <col min="8696" max="8696" width="8.33203125" style="281" customWidth="1"/>
    <col min="8697" max="8697" width="10.6640625" style="281" customWidth="1"/>
    <col min="8698" max="8698" width="6.6640625" style="281" customWidth="1"/>
    <col min="8699" max="8699" width="7.5546875" style="281" customWidth="1"/>
    <col min="8700" max="8700" width="8.33203125" style="281" customWidth="1"/>
    <col min="8701" max="8701" width="10.6640625" style="281" customWidth="1"/>
    <col min="8702" max="8702" width="6.6640625" style="281" customWidth="1"/>
    <col min="8703" max="8703" width="7.5546875" style="281" customWidth="1"/>
    <col min="8704" max="8704" width="8.33203125" style="281" customWidth="1"/>
    <col min="8705" max="8705" width="10.6640625" style="281" customWidth="1"/>
    <col min="8706" max="8708" width="6.6640625" style="281" customWidth="1"/>
    <col min="8709" max="8709" width="11.44140625" style="281" customWidth="1"/>
    <col min="8710" max="8712" width="6.6640625" style="281" customWidth="1"/>
    <col min="8713" max="8713" width="11.44140625" style="281"/>
    <col min="8714" max="8714" width="1.5546875" style="281" customWidth="1"/>
    <col min="8715" max="8939" width="11.44140625" style="281"/>
    <col min="8940" max="8940" width="15.33203125" style="281" customWidth="1"/>
    <col min="8941" max="8941" width="13" style="281" bestFit="1" customWidth="1"/>
    <col min="8942" max="8942" width="6.33203125" style="281" customWidth="1"/>
    <col min="8943" max="8943" width="7.5546875" style="281" customWidth="1"/>
    <col min="8944" max="8944" width="8" style="281" customWidth="1"/>
    <col min="8945" max="8945" width="10.6640625" style="281" customWidth="1"/>
    <col min="8946" max="8946" width="6.33203125" style="281" customWidth="1"/>
    <col min="8947" max="8947" width="7.5546875" style="281" customWidth="1"/>
    <col min="8948" max="8948" width="8.33203125" style="281" customWidth="1"/>
    <col min="8949" max="8949" width="10.6640625" style="281" customWidth="1"/>
    <col min="8950" max="8950" width="6.33203125" style="281" customWidth="1"/>
    <col min="8951" max="8951" width="7.5546875" style="281" customWidth="1"/>
    <col min="8952" max="8952" width="8.33203125" style="281" customWidth="1"/>
    <col min="8953" max="8953" width="10.6640625" style="281" customWidth="1"/>
    <col min="8954" max="8954" width="6.6640625" style="281" customWidth="1"/>
    <col min="8955" max="8955" width="7.5546875" style="281" customWidth="1"/>
    <col min="8956" max="8956" width="8.33203125" style="281" customWidth="1"/>
    <col min="8957" max="8957" width="10.6640625" style="281" customWidth="1"/>
    <col min="8958" max="8958" width="6.6640625" style="281" customWidth="1"/>
    <col min="8959" max="8959" width="7.5546875" style="281" customWidth="1"/>
    <col min="8960" max="8960" width="8.33203125" style="281" customWidth="1"/>
    <col min="8961" max="8961" width="10.6640625" style="281" customWidth="1"/>
    <col min="8962" max="8964" width="6.6640625" style="281" customWidth="1"/>
    <col min="8965" max="8965" width="11.44140625" style="281" customWidth="1"/>
    <col min="8966" max="8968" width="6.6640625" style="281" customWidth="1"/>
    <col min="8969" max="8969" width="11.44140625" style="281"/>
    <col min="8970" max="8970" width="1.5546875" style="281" customWidth="1"/>
    <col min="8971" max="9195" width="11.44140625" style="281"/>
    <col min="9196" max="9196" width="15.33203125" style="281" customWidth="1"/>
    <col min="9197" max="9197" width="13" style="281" bestFit="1" customWidth="1"/>
    <col min="9198" max="9198" width="6.33203125" style="281" customWidth="1"/>
    <col min="9199" max="9199" width="7.5546875" style="281" customWidth="1"/>
    <col min="9200" max="9200" width="8" style="281" customWidth="1"/>
    <col min="9201" max="9201" width="10.6640625" style="281" customWidth="1"/>
    <col min="9202" max="9202" width="6.33203125" style="281" customWidth="1"/>
    <col min="9203" max="9203" width="7.5546875" style="281" customWidth="1"/>
    <col min="9204" max="9204" width="8.33203125" style="281" customWidth="1"/>
    <col min="9205" max="9205" width="10.6640625" style="281" customWidth="1"/>
    <col min="9206" max="9206" width="6.33203125" style="281" customWidth="1"/>
    <col min="9207" max="9207" width="7.5546875" style="281" customWidth="1"/>
    <col min="9208" max="9208" width="8.33203125" style="281" customWidth="1"/>
    <col min="9209" max="9209" width="10.6640625" style="281" customWidth="1"/>
    <col min="9210" max="9210" width="6.6640625" style="281" customWidth="1"/>
    <col min="9211" max="9211" width="7.5546875" style="281" customWidth="1"/>
    <col min="9212" max="9212" width="8.33203125" style="281" customWidth="1"/>
    <col min="9213" max="9213" width="10.6640625" style="281" customWidth="1"/>
    <col min="9214" max="9214" width="6.6640625" style="281" customWidth="1"/>
    <col min="9215" max="9215" width="7.5546875" style="281" customWidth="1"/>
    <col min="9216" max="9216" width="8.33203125" style="281" customWidth="1"/>
    <col min="9217" max="9217" width="10.6640625" style="281" customWidth="1"/>
    <col min="9218" max="9220" width="6.6640625" style="281" customWidth="1"/>
    <col min="9221" max="9221" width="11.44140625" style="281" customWidth="1"/>
    <col min="9222" max="9224" width="6.6640625" style="281" customWidth="1"/>
    <col min="9225" max="9225" width="11.44140625" style="281"/>
    <col min="9226" max="9226" width="1.5546875" style="281" customWidth="1"/>
    <col min="9227" max="9451" width="11.44140625" style="281"/>
    <col min="9452" max="9452" width="15.33203125" style="281" customWidth="1"/>
    <col min="9453" max="9453" width="13" style="281" bestFit="1" customWidth="1"/>
    <col min="9454" max="9454" width="6.33203125" style="281" customWidth="1"/>
    <col min="9455" max="9455" width="7.5546875" style="281" customWidth="1"/>
    <col min="9456" max="9456" width="8" style="281" customWidth="1"/>
    <col min="9457" max="9457" width="10.6640625" style="281" customWidth="1"/>
    <col min="9458" max="9458" width="6.33203125" style="281" customWidth="1"/>
    <col min="9459" max="9459" width="7.5546875" style="281" customWidth="1"/>
    <col min="9460" max="9460" width="8.33203125" style="281" customWidth="1"/>
    <col min="9461" max="9461" width="10.6640625" style="281" customWidth="1"/>
    <col min="9462" max="9462" width="6.33203125" style="281" customWidth="1"/>
    <col min="9463" max="9463" width="7.5546875" style="281" customWidth="1"/>
    <col min="9464" max="9464" width="8.33203125" style="281" customWidth="1"/>
    <col min="9465" max="9465" width="10.6640625" style="281" customWidth="1"/>
    <col min="9466" max="9466" width="6.6640625" style="281" customWidth="1"/>
    <col min="9467" max="9467" width="7.5546875" style="281" customWidth="1"/>
    <col min="9468" max="9468" width="8.33203125" style="281" customWidth="1"/>
    <col min="9469" max="9469" width="10.6640625" style="281" customWidth="1"/>
    <col min="9470" max="9470" width="6.6640625" style="281" customWidth="1"/>
    <col min="9471" max="9471" width="7.5546875" style="281" customWidth="1"/>
    <col min="9472" max="9472" width="8.33203125" style="281" customWidth="1"/>
    <col min="9473" max="9473" width="10.6640625" style="281" customWidth="1"/>
    <col min="9474" max="9476" width="6.6640625" style="281" customWidth="1"/>
    <col min="9477" max="9477" width="11.44140625" style="281" customWidth="1"/>
    <col min="9478" max="9480" width="6.6640625" style="281" customWidth="1"/>
    <col min="9481" max="9481" width="11.44140625" style="281"/>
    <col min="9482" max="9482" width="1.5546875" style="281" customWidth="1"/>
    <col min="9483" max="9707" width="11.44140625" style="281"/>
    <col min="9708" max="9708" width="15.33203125" style="281" customWidth="1"/>
    <col min="9709" max="9709" width="13" style="281" bestFit="1" customWidth="1"/>
    <col min="9710" max="9710" width="6.33203125" style="281" customWidth="1"/>
    <col min="9711" max="9711" width="7.5546875" style="281" customWidth="1"/>
    <col min="9712" max="9712" width="8" style="281" customWidth="1"/>
    <col min="9713" max="9713" width="10.6640625" style="281" customWidth="1"/>
    <col min="9714" max="9714" width="6.33203125" style="281" customWidth="1"/>
    <col min="9715" max="9715" width="7.5546875" style="281" customWidth="1"/>
    <col min="9716" max="9716" width="8.33203125" style="281" customWidth="1"/>
    <col min="9717" max="9717" width="10.6640625" style="281" customWidth="1"/>
    <col min="9718" max="9718" width="6.33203125" style="281" customWidth="1"/>
    <col min="9719" max="9719" width="7.5546875" style="281" customWidth="1"/>
    <col min="9720" max="9720" width="8.33203125" style="281" customWidth="1"/>
    <col min="9721" max="9721" width="10.6640625" style="281" customWidth="1"/>
    <col min="9722" max="9722" width="6.6640625" style="281" customWidth="1"/>
    <col min="9723" max="9723" width="7.5546875" style="281" customWidth="1"/>
    <col min="9724" max="9724" width="8.33203125" style="281" customWidth="1"/>
    <col min="9725" max="9725" width="10.6640625" style="281" customWidth="1"/>
    <col min="9726" max="9726" width="6.6640625" style="281" customWidth="1"/>
    <col min="9727" max="9727" width="7.5546875" style="281" customWidth="1"/>
    <col min="9728" max="9728" width="8.33203125" style="281" customWidth="1"/>
    <col min="9729" max="9729" width="10.6640625" style="281" customWidth="1"/>
    <col min="9730" max="9732" width="6.6640625" style="281" customWidth="1"/>
    <col min="9733" max="9733" width="11.44140625" style="281" customWidth="1"/>
    <col min="9734" max="9736" width="6.6640625" style="281" customWidth="1"/>
    <col min="9737" max="9737" width="11.44140625" style="281"/>
    <col min="9738" max="9738" width="1.5546875" style="281" customWidth="1"/>
    <col min="9739" max="9963" width="11.44140625" style="281"/>
    <col min="9964" max="9964" width="15.33203125" style="281" customWidth="1"/>
    <col min="9965" max="9965" width="13" style="281" bestFit="1" customWidth="1"/>
    <col min="9966" max="9966" width="6.33203125" style="281" customWidth="1"/>
    <col min="9967" max="9967" width="7.5546875" style="281" customWidth="1"/>
    <col min="9968" max="9968" width="8" style="281" customWidth="1"/>
    <col min="9969" max="9969" width="10.6640625" style="281" customWidth="1"/>
    <col min="9970" max="9970" width="6.33203125" style="281" customWidth="1"/>
    <col min="9971" max="9971" width="7.5546875" style="281" customWidth="1"/>
    <col min="9972" max="9972" width="8.33203125" style="281" customWidth="1"/>
    <col min="9973" max="9973" width="10.6640625" style="281" customWidth="1"/>
    <col min="9974" max="9974" width="6.33203125" style="281" customWidth="1"/>
    <col min="9975" max="9975" width="7.5546875" style="281" customWidth="1"/>
    <col min="9976" max="9976" width="8.33203125" style="281" customWidth="1"/>
    <col min="9977" max="9977" width="10.6640625" style="281" customWidth="1"/>
    <col min="9978" max="9978" width="6.6640625" style="281" customWidth="1"/>
    <col min="9979" max="9979" width="7.5546875" style="281" customWidth="1"/>
    <col min="9980" max="9980" width="8.33203125" style="281" customWidth="1"/>
    <col min="9981" max="9981" width="10.6640625" style="281" customWidth="1"/>
    <col min="9982" max="9982" width="6.6640625" style="281" customWidth="1"/>
    <col min="9983" max="9983" width="7.5546875" style="281" customWidth="1"/>
    <col min="9984" max="9984" width="8.33203125" style="281" customWidth="1"/>
    <col min="9985" max="9985" width="10.6640625" style="281" customWidth="1"/>
    <col min="9986" max="9988" width="6.6640625" style="281" customWidth="1"/>
    <col min="9989" max="9989" width="11.44140625" style="281" customWidth="1"/>
    <col min="9990" max="9992" width="6.6640625" style="281" customWidth="1"/>
    <col min="9993" max="9993" width="11.44140625" style="281"/>
    <col min="9994" max="9994" width="1.5546875" style="281" customWidth="1"/>
    <col min="9995" max="10219" width="11.44140625" style="281"/>
    <col min="10220" max="10220" width="15.33203125" style="281" customWidth="1"/>
    <col min="10221" max="10221" width="13" style="281" bestFit="1" customWidth="1"/>
    <col min="10222" max="10222" width="6.33203125" style="281" customWidth="1"/>
    <col min="10223" max="10223" width="7.5546875" style="281" customWidth="1"/>
    <col min="10224" max="10224" width="8" style="281" customWidth="1"/>
    <col min="10225" max="10225" width="10.6640625" style="281" customWidth="1"/>
    <col min="10226" max="10226" width="6.33203125" style="281" customWidth="1"/>
    <col min="10227" max="10227" width="7.5546875" style="281" customWidth="1"/>
    <col min="10228" max="10228" width="8.33203125" style="281" customWidth="1"/>
    <col min="10229" max="10229" width="10.6640625" style="281" customWidth="1"/>
    <col min="10230" max="10230" width="6.33203125" style="281" customWidth="1"/>
    <col min="10231" max="10231" width="7.5546875" style="281" customWidth="1"/>
    <col min="10232" max="10232" width="8.33203125" style="281" customWidth="1"/>
    <col min="10233" max="10233" width="10.6640625" style="281" customWidth="1"/>
    <col min="10234" max="10234" width="6.6640625" style="281" customWidth="1"/>
    <col min="10235" max="10235" width="7.5546875" style="281" customWidth="1"/>
    <col min="10236" max="10236" width="8.33203125" style="281" customWidth="1"/>
    <col min="10237" max="10237" width="10.6640625" style="281" customWidth="1"/>
    <col min="10238" max="10238" width="6.6640625" style="281" customWidth="1"/>
    <col min="10239" max="10239" width="7.5546875" style="281" customWidth="1"/>
    <col min="10240" max="10240" width="8.33203125" style="281" customWidth="1"/>
    <col min="10241" max="10241" width="10.6640625" style="281" customWidth="1"/>
    <col min="10242" max="10244" width="6.6640625" style="281" customWidth="1"/>
    <col min="10245" max="10245" width="11.44140625" style="281" customWidth="1"/>
    <col min="10246" max="10248" width="6.6640625" style="281" customWidth="1"/>
    <col min="10249" max="10249" width="11.44140625" style="281"/>
    <col min="10250" max="10250" width="1.5546875" style="281" customWidth="1"/>
    <col min="10251" max="10475" width="11.44140625" style="281"/>
    <col min="10476" max="10476" width="15.33203125" style="281" customWidth="1"/>
    <col min="10477" max="10477" width="13" style="281" bestFit="1" customWidth="1"/>
    <col min="10478" max="10478" width="6.33203125" style="281" customWidth="1"/>
    <col min="10479" max="10479" width="7.5546875" style="281" customWidth="1"/>
    <col min="10480" max="10480" width="8" style="281" customWidth="1"/>
    <col min="10481" max="10481" width="10.6640625" style="281" customWidth="1"/>
    <col min="10482" max="10482" width="6.33203125" style="281" customWidth="1"/>
    <col min="10483" max="10483" width="7.5546875" style="281" customWidth="1"/>
    <col min="10484" max="10484" width="8.33203125" style="281" customWidth="1"/>
    <col min="10485" max="10485" width="10.6640625" style="281" customWidth="1"/>
    <col min="10486" max="10486" width="6.33203125" style="281" customWidth="1"/>
    <col min="10487" max="10487" width="7.5546875" style="281" customWidth="1"/>
    <col min="10488" max="10488" width="8.33203125" style="281" customWidth="1"/>
    <col min="10489" max="10489" width="10.6640625" style="281" customWidth="1"/>
    <col min="10490" max="10490" width="6.6640625" style="281" customWidth="1"/>
    <col min="10491" max="10491" width="7.5546875" style="281" customWidth="1"/>
    <col min="10492" max="10492" width="8.33203125" style="281" customWidth="1"/>
    <col min="10493" max="10493" width="10.6640625" style="281" customWidth="1"/>
    <col min="10494" max="10494" width="6.6640625" style="281" customWidth="1"/>
    <col min="10495" max="10495" width="7.5546875" style="281" customWidth="1"/>
    <col min="10496" max="10496" width="8.33203125" style="281" customWidth="1"/>
    <col min="10497" max="10497" width="10.6640625" style="281" customWidth="1"/>
    <col min="10498" max="10500" width="6.6640625" style="281" customWidth="1"/>
    <col min="10501" max="10501" width="11.44140625" style="281" customWidth="1"/>
    <col min="10502" max="10504" width="6.6640625" style="281" customWidth="1"/>
    <col min="10505" max="10505" width="11.44140625" style="281"/>
    <col min="10506" max="10506" width="1.5546875" style="281" customWidth="1"/>
    <col min="10507" max="10731" width="11.44140625" style="281"/>
    <col min="10732" max="10732" width="15.33203125" style="281" customWidth="1"/>
    <col min="10733" max="10733" width="13" style="281" bestFit="1" customWidth="1"/>
    <col min="10734" max="10734" width="6.33203125" style="281" customWidth="1"/>
    <col min="10735" max="10735" width="7.5546875" style="281" customWidth="1"/>
    <col min="10736" max="10736" width="8" style="281" customWidth="1"/>
    <col min="10737" max="10737" width="10.6640625" style="281" customWidth="1"/>
    <col min="10738" max="10738" width="6.33203125" style="281" customWidth="1"/>
    <col min="10739" max="10739" width="7.5546875" style="281" customWidth="1"/>
    <col min="10740" max="10740" width="8.33203125" style="281" customWidth="1"/>
    <col min="10741" max="10741" width="10.6640625" style="281" customWidth="1"/>
    <col min="10742" max="10742" width="6.33203125" style="281" customWidth="1"/>
    <col min="10743" max="10743" width="7.5546875" style="281" customWidth="1"/>
    <col min="10744" max="10744" width="8.33203125" style="281" customWidth="1"/>
    <col min="10745" max="10745" width="10.6640625" style="281" customWidth="1"/>
    <col min="10746" max="10746" width="6.6640625" style="281" customWidth="1"/>
    <col min="10747" max="10747" width="7.5546875" style="281" customWidth="1"/>
    <col min="10748" max="10748" width="8.33203125" style="281" customWidth="1"/>
    <col min="10749" max="10749" width="10.6640625" style="281" customWidth="1"/>
    <col min="10750" max="10750" width="6.6640625" style="281" customWidth="1"/>
    <col min="10751" max="10751" width="7.5546875" style="281" customWidth="1"/>
    <col min="10752" max="10752" width="8.33203125" style="281" customWidth="1"/>
    <col min="10753" max="10753" width="10.6640625" style="281" customWidth="1"/>
    <col min="10754" max="10756" width="6.6640625" style="281" customWidth="1"/>
    <col min="10757" max="10757" width="11.44140625" style="281" customWidth="1"/>
    <col min="10758" max="10760" width="6.6640625" style="281" customWidth="1"/>
    <col min="10761" max="10761" width="11.44140625" style="281"/>
    <col min="10762" max="10762" width="1.5546875" style="281" customWidth="1"/>
    <col min="10763" max="10987" width="11.44140625" style="281"/>
    <col min="10988" max="10988" width="15.33203125" style="281" customWidth="1"/>
    <col min="10989" max="10989" width="13" style="281" bestFit="1" customWidth="1"/>
    <col min="10990" max="10990" width="6.33203125" style="281" customWidth="1"/>
    <col min="10991" max="10991" width="7.5546875" style="281" customWidth="1"/>
    <col min="10992" max="10992" width="8" style="281" customWidth="1"/>
    <col min="10993" max="10993" width="10.6640625" style="281" customWidth="1"/>
    <col min="10994" max="10994" width="6.33203125" style="281" customWidth="1"/>
    <col min="10995" max="10995" width="7.5546875" style="281" customWidth="1"/>
    <col min="10996" max="10996" width="8.33203125" style="281" customWidth="1"/>
    <col min="10997" max="10997" width="10.6640625" style="281" customWidth="1"/>
    <col min="10998" max="10998" width="6.33203125" style="281" customWidth="1"/>
    <col min="10999" max="10999" width="7.5546875" style="281" customWidth="1"/>
    <col min="11000" max="11000" width="8.33203125" style="281" customWidth="1"/>
    <col min="11001" max="11001" width="10.6640625" style="281" customWidth="1"/>
    <col min="11002" max="11002" width="6.6640625" style="281" customWidth="1"/>
    <col min="11003" max="11003" width="7.5546875" style="281" customWidth="1"/>
    <col min="11004" max="11004" width="8.33203125" style="281" customWidth="1"/>
    <col min="11005" max="11005" width="10.6640625" style="281" customWidth="1"/>
    <col min="11006" max="11006" width="6.6640625" style="281" customWidth="1"/>
    <col min="11007" max="11007" width="7.5546875" style="281" customWidth="1"/>
    <col min="11008" max="11008" width="8.33203125" style="281" customWidth="1"/>
    <col min="11009" max="11009" width="10.6640625" style="281" customWidth="1"/>
    <col min="11010" max="11012" width="6.6640625" style="281" customWidth="1"/>
    <col min="11013" max="11013" width="11.44140625" style="281" customWidth="1"/>
    <col min="11014" max="11016" width="6.6640625" style="281" customWidth="1"/>
    <col min="11017" max="11017" width="11.44140625" style="281"/>
    <col min="11018" max="11018" width="1.5546875" style="281" customWidth="1"/>
    <col min="11019" max="11243" width="11.44140625" style="281"/>
    <col min="11244" max="11244" width="15.33203125" style="281" customWidth="1"/>
    <col min="11245" max="11245" width="13" style="281" bestFit="1" customWidth="1"/>
    <col min="11246" max="11246" width="6.33203125" style="281" customWidth="1"/>
    <col min="11247" max="11247" width="7.5546875" style="281" customWidth="1"/>
    <col min="11248" max="11248" width="8" style="281" customWidth="1"/>
    <col min="11249" max="11249" width="10.6640625" style="281" customWidth="1"/>
    <col min="11250" max="11250" width="6.33203125" style="281" customWidth="1"/>
    <col min="11251" max="11251" width="7.5546875" style="281" customWidth="1"/>
    <col min="11252" max="11252" width="8.33203125" style="281" customWidth="1"/>
    <col min="11253" max="11253" width="10.6640625" style="281" customWidth="1"/>
    <col min="11254" max="11254" width="6.33203125" style="281" customWidth="1"/>
    <col min="11255" max="11255" width="7.5546875" style="281" customWidth="1"/>
    <col min="11256" max="11256" width="8.33203125" style="281" customWidth="1"/>
    <col min="11257" max="11257" width="10.6640625" style="281" customWidth="1"/>
    <col min="11258" max="11258" width="6.6640625" style="281" customWidth="1"/>
    <col min="11259" max="11259" width="7.5546875" style="281" customWidth="1"/>
    <col min="11260" max="11260" width="8.33203125" style="281" customWidth="1"/>
    <col min="11261" max="11261" width="10.6640625" style="281" customWidth="1"/>
    <col min="11262" max="11262" width="6.6640625" style="281" customWidth="1"/>
    <col min="11263" max="11263" width="7.5546875" style="281" customWidth="1"/>
    <col min="11264" max="11264" width="8.33203125" style="281" customWidth="1"/>
    <col min="11265" max="11265" width="10.6640625" style="281" customWidth="1"/>
    <col min="11266" max="11268" width="6.6640625" style="281" customWidth="1"/>
    <col min="11269" max="11269" width="11.44140625" style="281" customWidth="1"/>
    <col min="11270" max="11272" width="6.6640625" style="281" customWidth="1"/>
    <col min="11273" max="11273" width="11.44140625" style="281"/>
    <col min="11274" max="11274" width="1.5546875" style="281" customWidth="1"/>
    <col min="11275" max="11499" width="11.44140625" style="281"/>
    <col min="11500" max="11500" width="15.33203125" style="281" customWidth="1"/>
    <col min="11501" max="11501" width="13" style="281" bestFit="1" customWidth="1"/>
    <col min="11502" max="11502" width="6.33203125" style="281" customWidth="1"/>
    <col min="11503" max="11503" width="7.5546875" style="281" customWidth="1"/>
    <col min="11504" max="11504" width="8" style="281" customWidth="1"/>
    <col min="11505" max="11505" width="10.6640625" style="281" customWidth="1"/>
    <col min="11506" max="11506" width="6.33203125" style="281" customWidth="1"/>
    <col min="11507" max="11507" width="7.5546875" style="281" customWidth="1"/>
    <col min="11508" max="11508" width="8.33203125" style="281" customWidth="1"/>
    <col min="11509" max="11509" width="10.6640625" style="281" customWidth="1"/>
    <col min="11510" max="11510" width="6.33203125" style="281" customWidth="1"/>
    <col min="11511" max="11511" width="7.5546875" style="281" customWidth="1"/>
    <col min="11512" max="11512" width="8.33203125" style="281" customWidth="1"/>
    <col min="11513" max="11513" width="10.6640625" style="281" customWidth="1"/>
    <col min="11514" max="11514" width="6.6640625" style="281" customWidth="1"/>
    <col min="11515" max="11515" width="7.5546875" style="281" customWidth="1"/>
    <col min="11516" max="11516" width="8.33203125" style="281" customWidth="1"/>
    <col min="11517" max="11517" width="10.6640625" style="281" customWidth="1"/>
    <col min="11518" max="11518" width="6.6640625" style="281" customWidth="1"/>
    <col min="11519" max="11519" width="7.5546875" style="281" customWidth="1"/>
    <col min="11520" max="11520" width="8.33203125" style="281" customWidth="1"/>
    <col min="11521" max="11521" width="10.6640625" style="281" customWidth="1"/>
    <col min="11522" max="11524" width="6.6640625" style="281" customWidth="1"/>
    <col min="11525" max="11525" width="11.44140625" style="281" customWidth="1"/>
    <col min="11526" max="11528" width="6.6640625" style="281" customWidth="1"/>
    <col min="11529" max="11529" width="11.44140625" style="281"/>
    <col min="11530" max="11530" width="1.5546875" style="281" customWidth="1"/>
    <col min="11531" max="11755" width="11.44140625" style="281"/>
    <col min="11756" max="11756" width="15.33203125" style="281" customWidth="1"/>
    <col min="11757" max="11757" width="13" style="281" bestFit="1" customWidth="1"/>
    <col min="11758" max="11758" width="6.33203125" style="281" customWidth="1"/>
    <col min="11759" max="11759" width="7.5546875" style="281" customWidth="1"/>
    <col min="11760" max="11760" width="8" style="281" customWidth="1"/>
    <col min="11761" max="11761" width="10.6640625" style="281" customWidth="1"/>
    <col min="11762" max="11762" width="6.33203125" style="281" customWidth="1"/>
    <col min="11763" max="11763" width="7.5546875" style="281" customWidth="1"/>
    <col min="11764" max="11764" width="8.33203125" style="281" customWidth="1"/>
    <col min="11765" max="11765" width="10.6640625" style="281" customWidth="1"/>
    <col min="11766" max="11766" width="6.33203125" style="281" customWidth="1"/>
    <col min="11767" max="11767" width="7.5546875" style="281" customWidth="1"/>
    <col min="11768" max="11768" width="8.33203125" style="281" customWidth="1"/>
    <col min="11769" max="11769" width="10.6640625" style="281" customWidth="1"/>
    <col min="11770" max="11770" width="6.6640625" style="281" customWidth="1"/>
    <col min="11771" max="11771" width="7.5546875" style="281" customWidth="1"/>
    <col min="11772" max="11772" width="8.33203125" style="281" customWidth="1"/>
    <col min="11773" max="11773" width="10.6640625" style="281" customWidth="1"/>
    <col min="11774" max="11774" width="6.6640625" style="281" customWidth="1"/>
    <col min="11775" max="11775" width="7.5546875" style="281" customWidth="1"/>
    <col min="11776" max="11776" width="8.33203125" style="281" customWidth="1"/>
    <col min="11777" max="11777" width="10.6640625" style="281" customWidth="1"/>
    <col min="11778" max="11780" width="6.6640625" style="281" customWidth="1"/>
    <col min="11781" max="11781" width="11.44140625" style="281" customWidth="1"/>
    <col min="11782" max="11784" width="6.6640625" style="281" customWidth="1"/>
    <col min="11785" max="11785" width="11.44140625" style="281"/>
    <col min="11786" max="11786" width="1.5546875" style="281" customWidth="1"/>
    <col min="11787" max="12011" width="11.44140625" style="281"/>
    <col min="12012" max="12012" width="15.33203125" style="281" customWidth="1"/>
    <col min="12013" max="12013" width="13" style="281" bestFit="1" customWidth="1"/>
    <col min="12014" max="12014" width="6.33203125" style="281" customWidth="1"/>
    <col min="12015" max="12015" width="7.5546875" style="281" customWidth="1"/>
    <col min="12016" max="12016" width="8" style="281" customWidth="1"/>
    <col min="12017" max="12017" width="10.6640625" style="281" customWidth="1"/>
    <col min="12018" max="12018" width="6.33203125" style="281" customWidth="1"/>
    <col min="12019" max="12019" width="7.5546875" style="281" customWidth="1"/>
    <col min="12020" max="12020" width="8.33203125" style="281" customWidth="1"/>
    <col min="12021" max="12021" width="10.6640625" style="281" customWidth="1"/>
    <col min="12022" max="12022" width="6.33203125" style="281" customWidth="1"/>
    <col min="12023" max="12023" width="7.5546875" style="281" customWidth="1"/>
    <col min="12024" max="12024" width="8.33203125" style="281" customWidth="1"/>
    <col min="12025" max="12025" width="10.6640625" style="281" customWidth="1"/>
    <col min="12026" max="12026" width="6.6640625" style="281" customWidth="1"/>
    <col min="12027" max="12027" width="7.5546875" style="281" customWidth="1"/>
    <col min="12028" max="12028" width="8.33203125" style="281" customWidth="1"/>
    <col min="12029" max="12029" width="10.6640625" style="281" customWidth="1"/>
    <col min="12030" max="12030" width="6.6640625" style="281" customWidth="1"/>
    <col min="12031" max="12031" width="7.5546875" style="281" customWidth="1"/>
    <col min="12032" max="12032" width="8.33203125" style="281" customWidth="1"/>
    <col min="12033" max="12033" width="10.6640625" style="281" customWidth="1"/>
    <col min="12034" max="12036" width="6.6640625" style="281" customWidth="1"/>
    <col min="12037" max="12037" width="11.44140625" style="281" customWidth="1"/>
    <col min="12038" max="12040" width="6.6640625" style="281" customWidth="1"/>
    <col min="12041" max="12041" width="11.44140625" style="281"/>
    <col min="12042" max="12042" width="1.5546875" style="281" customWidth="1"/>
    <col min="12043" max="12267" width="11.44140625" style="281"/>
    <col min="12268" max="12268" width="15.33203125" style="281" customWidth="1"/>
    <col min="12269" max="12269" width="13" style="281" bestFit="1" customWidth="1"/>
    <col min="12270" max="12270" width="6.33203125" style="281" customWidth="1"/>
    <col min="12271" max="12271" width="7.5546875" style="281" customWidth="1"/>
    <col min="12272" max="12272" width="8" style="281" customWidth="1"/>
    <col min="12273" max="12273" width="10.6640625" style="281" customWidth="1"/>
    <col min="12274" max="12274" width="6.33203125" style="281" customWidth="1"/>
    <col min="12275" max="12275" width="7.5546875" style="281" customWidth="1"/>
    <col min="12276" max="12276" width="8.33203125" style="281" customWidth="1"/>
    <col min="12277" max="12277" width="10.6640625" style="281" customWidth="1"/>
    <col min="12278" max="12278" width="6.33203125" style="281" customWidth="1"/>
    <col min="12279" max="12279" width="7.5546875" style="281" customWidth="1"/>
    <col min="12280" max="12280" width="8.33203125" style="281" customWidth="1"/>
    <col min="12281" max="12281" width="10.6640625" style="281" customWidth="1"/>
    <col min="12282" max="12282" width="6.6640625" style="281" customWidth="1"/>
    <col min="12283" max="12283" width="7.5546875" style="281" customWidth="1"/>
    <col min="12284" max="12284" width="8.33203125" style="281" customWidth="1"/>
    <col min="12285" max="12285" width="10.6640625" style="281" customWidth="1"/>
    <col min="12286" max="12286" width="6.6640625" style="281" customWidth="1"/>
    <col min="12287" max="12287" width="7.5546875" style="281" customWidth="1"/>
    <col min="12288" max="12288" width="8.33203125" style="281" customWidth="1"/>
    <col min="12289" max="12289" width="10.6640625" style="281" customWidth="1"/>
    <col min="12290" max="12292" width="6.6640625" style="281" customWidth="1"/>
    <col min="12293" max="12293" width="11.44140625" style="281" customWidth="1"/>
    <col min="12294" max="12296" width="6.6640625" style="281" customWidth="1"/>
    <col min="12297" max="12297" width="11.44140625" style="281"/>
    <col min="12298" max="12298" width="1.5546875" style="281" customWidth="1"/>
    <col min="12299" max="12523" width="11.44140625" style="281"/>
    <col min="12524" max="12524" width="15.33203125" style="281" customWidth="1"/>
    <col min="12525" max="12525" width="13" style="281" bestFit="1" customWidth="1"/>
    <col min="12526" max="12526" width="6.33203125" style="281" customWidth="1"/>
    <col min="12527" max="12527" width="7.5546875" style="281" customWidth="1"/>
    <col min="12528" max="12528" width="8" style="281" customWidth="1"/>
    <col min="12529" max="12529" width="10.6640625" style="281" customWidth="1"/>
    <col min="12530" max="12530" width="6.33203125" style="281" customWidth="1"/>
    <col min="12531" max="12531" width="7.5546875" style="281" customWidth="1"/>
    <col min="12532" max="12532" width="8.33203125" style="281" customWidth="1"/>
    <col min="12533" max="12533" width="10.6640625" style="281" customWidth="1"/>
    <col min="12534" max="12534" width="6.33203125" style="281" customWidth="1"/>
    <col min="12535" max="12535" width="7.5546875" style="281" customWidth="1"/>
    <col min="12536" max="12536" width="8.33203125" style="281" customWidth="1"/>
    <col min="12537" max="12537" width="10.6640625" style="281" customWidth="1"/>
    <col min="12538" max="12538" width="6.6640625" style="281" customWidth="1"/>
    <col min="12539" max="12539" width="7.5546875" style="281" customWidth="1"/>
    <col min="12540" max="12540" width="8.33203125" style="281" customWidth="1"/>
    <col min="12541" max="12541" width="10.6640625" style="281" customWidth="1"/>
    <col min="12542" max="12542" width="6.6640625" style="281" customWidth="1"/>
    <col min="12543" max="12543" width="7.5546875" style="281" customWidth="1"/>
    <col min="12544" max="12544" width="8.33203125" style="281" customWidth="1"/>
    <col min="12545" max="12545" width="10.6640625" style="281" customWidth="1"/>
    <col min="12546" max="12548" width="6.6640625" style="281" customWidth="1"/>
    <col min="12549" max="12549" width="11.44140625" style="281" customWidth="1"/>
    <col min="12550" max="12552" width="6.6640625" style="281" customWidth="1"/>
    <col min="12553" max="12553" width="11.44140625" style="281"/>
    <col min="12554" max="12554" width="1.5546875" style="281" customWidth="1"/>
    <col min="12555" max="12779" width="11.44140625" style="281"/>
    <col min="12780" max="12780" width="15.33203125" style="281" customWidth="1"/>
    <col min="12781" max="12781" width="13" style="281" bestFit="1" customWidth="1"/>
    <col min="12782" max="12782" width="6.33203125" style="281" customWidth="1"/>
    <col min="12783" max="12783" width="7.5546875" style="281" customWidth="1"/>
    <col min="12784" max="12784" width="8" style="281" customWidth="1"/>
    <col min="12785" max="12785" width="10.6640625" style="281" customWidth="1"/>
    <col min="12786" max="12786" width="6.33203125" style="281" customWidth="1"/>
    <col min="12787" max="12787" width="7.5546875" style="281" customWidth="1"/>
    <col min="12788" max="12788" width="8.33203125" style="281" customWidth="1"/>
    <col min="12789" max="12789" width="10.6640625" style="281" customWidth="1"/>
    <col min="12790" max="12790" width="6.33203125" style="281" customWidth="1"/>
    <col min="12791" max="12791" width="7.5546875" style="281" customWidth="1"/>
    <col min="12792" max="12792" width="8.33203125" style="281" customWidth="1"/>
    <col min="12793" max="12793" width="10.6640625" style="281" customWidth="1"/>
    <col min="12794" max="12794" width="6.6640625" style="281" customWidth="1"/>
    <col min="12795" max="12795" width="7.5546875" style="281" customWidth="1"/>
    <col min="12796" max="12796" width="8.33203125" style="281" customWidth="1"/>
    <col min="12797" max="12797" width="10.6640625" style="281" customWidth="1"/>
    <col min="12798" max="12798" width="6.6640625" style="281" customWidth="1"/>
    <col min="12799" max="12799" width="7.5546875" style="281" customWidth="1"/>
    <col min="12800" max="12800" width="8.33203125" style="281" customWidth="1"/>
    <col min="12801" max="12801" width="10.6640625" style="281" customWidth="1"/>
    <col min="12802" max="12804" width="6.6640625" style="281" customWidth="1"/>
    <col min="12805" max="12805" width="11.44140625" style="281" customWidth="1"/>
    <col min="12806" max="12808" width="6.6640625" style="281" customWidth="1"/>
    <col min="12809" max="12809" width="11.44140625" style="281"/>
    <col min="12810" max="12810" width="1.5546875" style="281" customWidth="1"/>
    <col min="12811" max="13035" width="11.44140625" style="281"/>
    <col min="13036" max="13036" width="15.33203125" style="281" customWidth="1"/>
    <col min="13037" max="13037" width="13" style="281" bestFit="1" customWidth="1"/>
    <col min="13038" max="13038" width="6.33203125" style="281" customWidth="1"/>
    <col min="13039" max="13039" width="7.5546875" style="281" customWidth="1"/>
    <col min="13040" max="13040" width="8" style="281" customWidth="1"/>
    <col min="13041" max="13041" width="10.6640625" style="281" customWidth="1"/>
    <col min="13042" max="13042" width="6.33203125" style="281" customWidth="1"/>
    <col min="13043" max="13043" width="7.5546875" style="281" customWidth="1"/>
    <col min="13044" max="13044" width="8.33203125" style="281" customWidth="1"/>
    <col min="13045" max="13045" width="10.6640625" style="281" customWidth="1"/>
    <col min="13046" max="13046" width="6.33203125" style="281" customWidth="1"/>
    <col min="13047" max="13047" width="7.5546875" style="281" customWidth="1"/>
    <col min="13048" max="13048" width="8.33203125" style="281" customWidth="1"/>
    <col min="13049" max="13049" width="10.6640625" style="281" customWidth="1"/>
    <col min="13050" max="13050" width="6.6640625" style="281" customWidth="1"/>
    <col min="13051" max="13051" width="7.5546875" style="281" customWidth="1"/>
    <col min="13052" max="13052" width="8.33203125" style="281" customWidth="1"/>
    <col min="13053" max="13053" width="10.6640625" style="281" customWidth="1"/>
    <col min="13054" max="13054" width="6.6640625" style="281" customWidth="1"/>
    <col min="13055" max="13055" width="7.5546875" style="281" customWidth="1"/>
    <col min="13056" max="13056" width="8.33203125" style="281" customWidth="1"/>
    <col min="13057" max="13057" width="10.6640625" style="281" customWidth="1"/>
    <col min="13058" max="13060" width="6.6640625" style="281" customWidth="1"/>
    <col min="13061" max="13061" width="11.44140625" style="281" customWidth="1"/>
    <col min="13062" max="13064" width="6.6640625" style="281" customWidth="1"/>
    <col min="13065" max="13065" width="11.44140625" style="281"/>
    <col min="13066" max="13066" width="1.5546875" style="281" customWidth="1"/>
    <col min="13067" max="13291" width="11.44140625" style="281"/>
    <col min="13292" max="13292" width="15.33203125" style="281" customWidth="1"/>
    <col min="13293" max="13293" width="13" style="281" bestFit="1" customWidth="1"/>
    <col min="13294" max="13294" width="6.33203125" style="281" customWidth="1"/>
    <col min="13295" max="13295" width="7.5546875" style="281" customWidth="1"/>
    <col min="13296" max="13296" width="8" style="281" customWidth="1"/>
    <col min="13297" max="13297" width="10.6640625" style="281" customWidth="1"/>
    <col min="13298" max="13298" width="6.33203125" style="281" customWidth="1"/>
    <col min="13299" max="13299" width="7.5546875" style="281" customWidth="1"/>
    <col min="13300" max="13300" width="8.33203125" style="281" customWidth="1"/>
    <col min="13301" max="13301" width="10.6640625" style="281" customWidth="1"/>
    <col min="13302" max="13302" width="6.33203125" style="281" customWidth="1"/>
    <col min="13303" max="13303" width="7.5546875" style="281" customWidth="1"/>
    <col min="13304" max="13304" width="8.33203125" style="281" customWidth="1"/>
    <col min="13305" max="13305" width="10.6640625" style="281" customWidth="1"/>
    <col min="13306" max="13306" width="6.6640625" style="281" customWidth="1"/>
    <col min="13307" max="13307" width="7.5546875" style="281" customWidth="1"/>
    <col min="13308" max="13308" width="8.33203125" style="281" customWidth="1"/>
    <col min="13309" max="13309" width="10.6640625" style="281" customWidth="1"/>
    <col min="13310" max="13310" width="6.6640625" style="281" customWidth="1"/>
    <col min="13311" max="13311" width="7.5546875" style="281" customWidth="1"/>
    <col min="13312" max="13312" width="8.33203125" style="281" customWidth="1"/>
    <col min="13313" max="13313" width="10.6640625" style="281" customWidth="1"/>
    <col min="13314" max="13316" width="6.6640625" style="281" customWidth="1"/>
    <col min="13317" max="13317" width="11.44140625" style="281" customWidth="1"/>
    <col min="13318" max="13320" width="6.6640625" style="281" customWidth="1"/>
    <col min="13321" max="13321" width="11.44140625" style="281"/>
    <col min="13322" max="13322" width="1.5546875" style="281" customWidth="1"/>
    <col min="13323" max="13547" width="11.44140625" style="281"/>
    <col min="13548" max="13548" width="15.33203125" style="281" customWidth="1"/>
    <col min="13549" max="13549" width="13" style="281" bestFit="1" customWidth="1"/>
    <col min="13550" max="13550" width="6.33203125" style="281" customWidth="1"/>
    <col min="13551" max="13551" width="7.5546875" style="281" customWidth="1"/>
    <col min="13552" max="13552" width="8" style="281" customWidth="1"/>
    <col min="13553" max="13553" width="10.6640625" style="281" customWidth="1"/>
    <col min="13554" max="13554" width="6.33203125" style="281" customWidth="1"/>
    <col min="13555" max="13555" width="7.5546875" style="281" customWidth="1"/>
    <col min="13556" max="13556" width="8.33203125" style="281" customWidth="1"/>
    <col min="13557" max="13557" width="10.6640625" style="281" customWidth="1"/>
    <col min="13558" max="13558" width="6.33203125" style="281" customWidth="1"/>
    <col min="13559" max="13559" width="7.5546875" style="281" customWidth="1"/>
    <col min="13560" max="13560" width="8.33203125" style="281" customWidth="1"/>
    <col min="13561" max="13561" width="10.6640625" style="281" customWidth="1"/>
    <col min="13562" max="13562" width="6.6640625" style="281" customWidth="1"/>
    <col min="13563" max="13563" width="7.5546875" style="281" customWidth="1"/>
    <col min="13564" max="13564" width="8.33203125" style="281" customWidth="1"/>
    <col min="13565" max="13565" width="10.6640625" style="281" customWidth="1"/>
    <col min="13566" max="13566" width="6.6640625" style="281" customWidth="1"/>
    <col min="13567" max="13567" width="7.5546875" style="281" customWidth="1"/>
    <col min="13568" max="13568" width="8.33203125" style="281" customWidth="1"/>
    <col min="13569" max="13569" width="10.6640625" style="281" customWidth="1"/>
    <col min="13570" max="13572" width="6.6640625" style="281" customWidth="1"/>
    <col min="13573" max="13573" width="11.44140625" style="281" customWidth="1"/>
    <col min="13574" max="13576" width="6.6640625" style="281" customWidth="1"/>
    <col min="13577" max="13577" width="11.44140625" style="281"/>
    <col min="13578" max="13578" width="1.5546875" style="281" customWidth="1"/>
    <col min="13579" max="13803" width="11.44140625" style="281"/>
    <col min="13804" max="13804" width="15.33203125" style="281" customWidth="1"/>
    <col min="13805" max="13805" width="13" style="281" bestFit="1" customWidth="1"/>
    <col min="13806" max="13806" width="6.33203125" style="281" customWidth="1"/>
    <col min="13807" max="13807" width="7.5546875" style="281" customWidth="1"/>
    <col min="13808" max="13808" width="8" style="281" customWidth="1"/>
    <col min="13809" max="13809" width="10.6640625" style="281" customWidth="1"/>
    <col min="13810" max="13810" width="6.33203125" style="281" customWidth="1"/>
    <col min="13811" max="13811" width="7.5546875" style="281" customWidth="1"/>
    <col min="13812" max="13812" width="8.33203125" style="281" customWidth="1"/>
    <col min="13813" max="13813" width="10.6640625" style="281" customWidth="1"/>
    <col min="13814" max="13814" width="6.33203125" style="281" customWidth="1"/>
    <col min="13815" max="13815" width="7.5546875" style="281" customWidth="1"/>
    <col min="13816" max="13816" width="8.33203125" style="281" customWidth="1"/>
    <col min="13817" max="13817" width="10.6640625" style="281" customWidth="1"/>
    <col min="13818" max="13818" width="6.6640625" style="281" customWidth="1"/>
    <col min="13819" max="13819" width="7.5546875" style="281" customWidth="1"/>
    <col min="13820" max="13820" width="8.33203125" style="281" customWidth="1"/>
    <col min="13821" max="13821" width="10.6640625" style="281" customWidth="1"/>
    <col min="13822" max="13822" width="6.6640625" style="281" customWidth="1"/>
    <col min="13823" max="13823" width="7.5546875" style="281" customWidth="1"/>
    <col min="13824" max="13824" width="8.33203125" style="281" customWidth="1"/>
    <col min="13825" max="13825" width="10.6640625" style="281" customWidth="1"/>
    <col min="13826" max="13828" width="6.6640625" style="281" customWidth="1"/>
    <col min="13829" max="13829" width="11.44140625" style="281" customWidth="1"/>
    <col min="13830" max="13832" width="6.6640625" style="281" customWidth="1"/>
    <col min="13833" max="13833" width="11.44140625" style="281"/>
    <col min="13834" max="13834" width="1.5546875" style="281" customWidth="1"/>
    <col min="13835" max="14059" width="11.44140625" style="281"/>
    <col min="14060" max="14060" width="15.33203125" style="281" customWidth="1"/>
    <col min="14061" max="14061" width="13" style="281" bestFit="1" customWidth="1"/>
    <col min="14062" max="14062" width="6.33203125" style="281" customWidth="1"/>
    <col min="14063" max="14063" width="7.5546875" style="281" customWidth="1"/>
    <col min="14064" max="14064" width="8" style="281" customWidth="1"/>
    <col min="14065" max="14065" width="10.6640625" style="281" customWidth="1"/>
    <col min="14066" max="14066" width="6.33203125" style="281" customWidth="1"/>
    <col min="14067" max="14067" width="7.5546875" style="281" customWidth="1"/>
    <col min="14068" max="14068" width="8.33203125" style="281" customWidth="1"/>
    <col min="14069" max="14069" width="10.6640625" style="281" customWidth="1"/>
    <col min="14070" max="14070" width="6.33203125" style="281" customWidth="1"/>
    <col min="14071" max="14071" width="7.5546875" style="281" customWidth="1"/>
    <col min="14072" max="14072" width="8.33203125" style="281" customWidth="1"/>
    <col min="14073" max="14073" width="10.6640625" style="281" customWidth="1"/>
    <col min="14074" max="14074" width="6.6640625" style="281" customWidth="1"/>
    <col min="14075" max="14075" width="7.5546875" style="281" customWidth="1"/>
    <col min="14076" max="14076" width="8.33203125" style="281" customWidth="1"/>
    <col min="14077" max="14077" width="10.6640625" style="281" customWidth="1"/>
    <col min="14078" max="14078" width="6.6640625" style="281" customWidth="1"/>
    <col min="14079" max="14079" width="7.5546875" style="281" customWidth="1"/>
    <col min="14080" max="14080" width="8.33203125" style="281" customWidth="1"/>
    <col min="14081" max="14081" width="10.6640625" style="281" customWidth="1"/>
    <col min="14082" max="14084" width="6.6640625" style="281" customWidth="1"/>
    <col min="14085" max="14085" width="11.44140625" style="281" customWidth="1"/>
    <col min="14086" max="14088" width="6.6640625" style="281" customWidth="1"/>
    <col min="14089" max="14089" width="11.44140625" style="281"/>
    <col min="14090" max="14090" width="1.5546875" style="281" customWidth="1"/>
    <col min="14091" max="14315" width="11.44140625" style="281"/>
    <col min="14316" max="14316" width="15.33203125" style="281" customWidth="1"/>
    <col min="14317" max="14317" width="13" style="281" bestFit="1" customWidth="1"/>
    <col min="14318" max="14318" width="6.33203125" style="281" customWidth="1"/>
    <col min="14319" max="14319" width="7.5546875" style="281" customWidth="1"/>
    <col min="14320" max="14320" width="8" style="281" customWidth="1"/>
    <col min="14321" max="14321" width="10.6640625" style="281" customWidth="1"/>
    <col min="14322" max="14322" width="6.33203125" style="281" customWidth="1"/>
    <col min="14323" max="14323" width="7.5546875" style="281" customWidth="1"/>
    <col min="14324" max="14324" width="8.33203125" style="281" customWidth="1"/>
    <col min="14325" max="14325" width="10.6640625" style="281" customWidth="1"/>
    <col min="14326" max="14326" width="6.33203125" style="281" customWidth="1"/>
    <col min="14327" max="14327" width="7.5546875" style="281" customWidth="1"/>
    <col min="14328" max="14328" width="8.33203125" style="281" customWidth="1"/>
    <col min="14329" max="14329" width="10.6640625" style="281" customWidth="1"/>
    <col min="14330" max="14330" width="6.6640625" style="281" customWidth="1"/>
    <col min="14331" max="14331" width="7.5546875" style="281" customWidth="1"/>
    <col min="14332" max="14332" width="8.33203125" style="281" customWidth="1"/>
    <col min="14333" max="14333" width="10.6640625" style="281" customWidth="1"/>
    <col min="14334" max="14334" width="6.6640625" style="281" customWidth="1"/>
    <col min="14335" max="14335" width="7.5546875" style="281" customWidth="1"/>
    <col min="14336" max="14336" width="8.33203125" style="281" customWidth="1"/>
    <col min="14337" max="14337" width="10.6640625" style="281" customWidth="1"/>
    <col min="14338" max="14340" width="6.6640625" style="281" customWidth="1"/>
    <col min="14341" max="14341" width="11.44140625" style="281" customWidth="1"/>
    <col min="14342" max="14344" width="6.6640625" style="281" customWidth="1"/>
    <col min="14345" max="14345" width="11.44140625" style="281"/>
    <col min="14346" max="14346" width="1.5546875" style="281" customWidth="1"/>
    <col min="14347" max="14571" width="11.44140625" style="281"/>
    <col min="14572" max="14572" width="15.33203125" style="281" customWidth="1"/>
    <col min="14573" max="14573" width="13" style="281" bestFit="1" customWidth="1"/>
    <col min="14574" max="14574" width="6.33203125" style="281" customWidth="1"/>
    <col min="14575" max="14575" width="7.5546875" style="281" customWidth="1"/>
    <col min="14576" max="14576" width="8" style="281" customWidth="1"/>
    <col min="14577" max="14577" width="10.6640625" style="281" customWidth="1"/>
    <col min="14578" max="14578" width="6.33203125" style="281" customWidth="1"/>
    <col min="14579" max="14579" width="7.5546875" style="281" customWidth="1"/>
    <col min="14580" max="14580" width="8.33203125" style="281" customWidth="1"/>
    <col min="14581" max="14581" width="10.6640625" style="281" customWidth="1"/>
    <col min="14582" max="14582" width="6.33203125" style="281" customWidth="1"/>
    <col min="14583" max="14583" width="7.5546875" style="281" customWidth="1"/>
    <col min="14584" max="14584" width="8.33203125" style="281" customWidth="1"/>
    <col min="14585" max="14585" width="10.6640625" style="281" customWidth="1"/>
    <col min="14586" max="14586" width="6.6640625" style="281" customWidth="1"/>
    <col min="14587" max="14587" width="7.5546875" style="281" customWidth="1"/>
    <col min="14588" max="14588" width="8.33203125" style="281" customWidth="1"/>
    <col min="14589" max="14589" width="10.6640625" style="281" customWidth="1"/>
    <col min="14590" max="14590" width="6.6640625" style="281" customWidth="1"/>
    <col min="14591" max="14591" width="7.5546875" style="281" customWidth="1"/>
    <col min="14592" max="14592" width="8.33203125" style="281" customWidth="1"/>
    <col min="14593" max="14593" width="10.6640625" style="281" customWidth="1"/>
    <col min="14594" max="14596" width="6.6640625" style="281" customWidth="1"/>
    <col min="14597" max="14597" width="11.44140625" style="281" customWidth="1"/>
    <col min="14598" max="14600" width="6.6640625" style="281" customWidth="1"/>
    <col min="14601" max="14601" width="11.44140625" style="281"/>
    <col min="14602" max="14602" width="1.5546875" style="281" customWidth="1"/>
    <col min="14603" max="14827" width="11.44140625" style="281"/>
    <col min="14828" max="14828" width="15.33203125" style="281" customWidth="1"/>
    <col min="14829" max="14829" width="13" style="281" bestFit="1" customWidth="1"/>
    <col min="14830" max="14830" width="6.33203125" style="281" customWidth="1"/>
    <col min="14831" max="14831" width="7.5546875" style="281" customWidth="1"/>
    <col min="14832" max="14832" width="8" style="281" customWidth="1"/>
    <col min="14833" max="14833" width="10.6640625" style="281" customWidth="1"/>
    <col min="14834" max="14834" width="6.33203125" style="281" customWidth="1"/>
    <col min="14835" max="14835" width="7.5546875" style="281" customWidth="1"/>
    <col min="14836" max="14836" width="8.33203125" style="281" customWidth="1"/>
    <col min="14837" max="14837" width="10.6640625" style="281" customWidth="1"/>
    <col min="14838" max="14838" width="6.33203125" style="281" customWidth="1"/>
    <col min="14839" max="14839" width="7.5546875" style="281" customWidth="1"/>
    <col min="14840" max="14840" width="8.33203125" style="281" customWidth="1"/>
    <col min="14841" max="14841" width="10.6640625" style="281" customWidth="1"/>
    <col min="14842" max="14842" width="6.6640625" style="281" customWidth="1"/>
    <col min="14843" max="14843" width="7.5546875" style="281" customWidth="1"/>
    <col min="14844" max="14844" width="8.33203125" style="281" customWidth="1"/>
    <col min="14845" max="14845" width="10.6640625" style="281" customWidth="1"/>
    <col min="14846" max="14846" width="6.6640625" style="281" customWidth="1"/>
    <col min="14847" max="14847" width="7.5546875" style="281" customWidth="1"/>
    <col min="14848" max="14848" width="8.33203125" style="281" customWidth="1"/>
    <col min="14849" max="14849" width="10.6640625" style="281" customWidth="1"/>
    <col min="14850" max="14852" width="6.6640625" style="281" customWidth="1"/>
    <col min="14853" max="14853" width="11.44140625" style="281" customWidth="1"/>
    <col min="14854" max="14856" width="6.6640625" style="281" customWidth="1"/>
    <col min="14857" max="14857" width="11.44140625" style="281"/>
    <col min="14858" max="14858" width="1.5546875" style="281" customWidth="1"/>
    <col min="14859" max="15083" width="11.44140625" style="281"/>
    <col min="15084" max="15084" width="15.33203125" style="281" customWidth="1"/>
    <col min="15085" max="15085" width="13" style="281" bestFit="1" customWidth="1"/>
    <col min="15086" max="15086" width="6.33203125" style="281" customWidth="1"/>
    <col min="15087" max="15087" width="7.5546875" style="281" customWidth="1"/>
    <col min="15088" max="15088" width="8" style="281" customWidth="1"/>
    <col min="15089" max="15089" width="10.6640625" style="281" customWidth="1"/>
    <col min="15090" max="15090" width="6.33203125" style="281" customWidth="1"/>
    <col min="15091" max="15091" width="7.5546875" style="281" customWidth="1"/>
    <col min="15092" max="15092" width="8.33203125" style="281" customWidth="1"/>
    <col min="15093" max="15093" width="10.6640625" style="281" customWidth="1"/>
    <col min="15094" max="15094" width="6.33203125" style="281" customWidth="1"/>
    <col min="15095" max="15095" width="7.5546875" style="281" customWidth="1"/>
    <col min="15096" max="15096" width="8.33203125" style="281" customWidth="1"/>
    <col min="15097" max="15097" width="10.6640625" style="281" customWidth="1"/>
    <col min="15098" max="15098" width="6.6640625" style="281" customWidth="1"/>
    <col min="15099" max="15099" width="7.5546875" style="281" customWidth="1"/>
    <col min="15100" max="15100" width="8.33203125" style="281" customWidth="1"/>
    <col min="15101" max="15101" width="10.6640625" style="281" customWidth="1"/>
    <col min="15102" max="15102" width="6.6640625" style="281" customWidth="1"/>
    <col min="15103" max="15103" width="7.5546875" style="281" customWidth="1"/>
    <col min="15104" max="15104" width="8.33203125" style="281" customWidth="1"/>
    <col min="15105" max="15105" width="10.6640625" style="281" customWidth="1"/>
    <col min="15106" max="15108" width="6.6640625" style="281" customWidth="1"/>
    <col min="15109" max="15109" width="11.44140625" style="281" customWidth="1"/>
    <col min="15110" max="15112" width="6.6640625" style="281" customWidth="1"/>
    <col min="15113" max="15113" width="11.44140625" style="281"/>
    <col min="15114" max="15114" width="1.5546875" style="281" customWidth="1"/>
    <col min="15115" max="15339" width="11.44140625" style="281"/>
    <col min="15340" max="15340" width="15.33203125" style="281" customWidth="1"/>
    <col min="15341" max="15341" width="13" style="281" bestFit="1" customWidth="1"/>
    <col min="15342" max="15342" width="6.33203125" style="281" customWidth="1"/>
    <col min="15343" max="15343" width="7.5546875" style="281" customWidth="1"/>
    <col min="15344" max="15344" width="8" style="281" customWidth="1"/>
    <col min="15345" max="15345" width="10.6640625" style="281" customWidth="1"/>
    <col min="15346" max="15346" width="6.33203125" style="281" customWidth="1"/>
    <col min="15347" max="15347" width="7.5546875" style="281" customWidth="1"/>
    <col min="15348" max="15348" width="8.33203125" style="281" customWidth="1"/>
    <col min="15349" max="15349" width="10.6640625" style="281" customWidth="1"/>
    <col min="15350" max="15350" width="6.33203125" style="281" customWidth="1"/>
    <col min="15351" max="15351" width="7.5546875" style="281" customWidth="1"/>
    <col min="15352" max="15352" width="8.33203125" style="281" customWidth="1"/>
    <col min="15353" max="15353" width="10.6640625" style="281" customWidth="1"/>
    <col min="15354" max="15354" width="6.6640625" style="281" customWidth="1"/>
    <col min="15355" max="15355" width="7.5546875" style="281" customWidth="1"/>
    <col min="15356" max="15356" width="8.33203125" style="281" customWidth="1"/>
    <col min="15357" max="15357" width="10.6640625" style="281" customWidth="1"/>
    <col min="15358" max="15358" width="6.6640625" style="281" customWidth="1"/>
    <col min="15359" max="15359" width="7.5546875" style="281" customWidth="1"/>
    <col min="15360" max="15360" width="8.33203125" style="281" customWidth="1"/>
    <col min="15361" max="15361" width="10.6640625" style="281" customWidth="1"/>
    <col min="15362" max="15364" width="6.6640625" style="281" customWidth="1"/>
    <col min="15365" max="15365" width="11.44140625" style="281" customWidth="1"/>
    <col min="15366" max="15368" width="6.6640625" style="281" customWidth="1"/>
    <col min="15369" max="15369" width="11.44140625" style="281"/>
    <col min="15370" max="15370" width="1.5546875" style="281" customWidth="1"/>
    <col min="15371" max="15595" width="11.44140625" style="281"/>
    <col min="15596" max="15596" width="15.33203125" style="281" customWidth="1"/>
    <col min="15597" max="15597" width="13" style="281" bestFit="1" customWidth="1"/>
    <col min="15598" max="15598" width="6.33203125" style="281" customWidth="1"/>
    <col min="15599" max="15599" width="7.5546875" style="281" customWidth="1"/>
    <col min="15600" max="15600" width="8" style="281" customWidth="1"/>
    <col min="15601" max="15601" width="10.6640625" style="281" customWidth="1"/>
    <col min="15602" max="15602" width="6.33203125" style="281" customWidth="1"/>
    <col min="15603" max="15603" width="7.5546875" style="281" customWidth="1"/>
    <col min="15604" max="15604" width="8.33203125" style="281" customWidth="1"/>
    <col min="15605" max="15605" width="10.6640625" style="281" customWidth="1"/>
    <col min="15606" max="15606" width="6.33203125" style="281" customWidth="1"/>
    <col min="15607" max="15607" width="7.5546875" style="281" customWidth="1"/>
    <col min="15608" max="15608" width="8.33203125" style="281" customWidth="1"/>
    <col min="15609" max="15609" width="10.6640625" style="281" customWidth="1"/>
    <col min="15610" max="15610" width="6.6640625" style="281" customWidth="1"/>
    <col min="15611" max="15611" width="7.5546875" style="281" customWidth="1"/>
    <col min="15612" max="15612" width="8.33203125" style="281" customWidth="1"/>
    <col min="15613" max="15613" width="10.6640625" style="281" customWidth="1"/>
    <col min="15614" max="15614" width="6.6640625" style="281" customWidth="1"/>
    <col min="15615" max="15615" width="7.5546875" style="281" customWidth="1"/>
    <col min="15616" max="15616" width="8.33203125" style="281" customWidth="1"/>
    <col min="15617" max="15617" width="10.6640625" style="281" customWidth="1"/>
    <col min="15618" max="15620" width="6.6640625" style="281" customWidth="1"/>
    <col min="15621" max="15621" width="11.44140625" style="281" customWidth="1"/>
    <col min="15622" max="15624" width="6.6640625" style="281" customWidth="1"/>
    <col min="15625" max="15625" width="11.44140625" style="281"/>
    <col min="15626" max="15626" width="1.5546875" style="281" customWidth="1"/>
    <col min="15627" max="15851" width="11.44140625" style="281"/>
    <col min="15852" max="15852" width="15.33203125" style="281" customWidth="1"/>
    <col min="15853" max="15853" width="13" style="281" bestFit="1" customWidth="1"/>
    <col min="15854" max="15854" width="6.33203125" style="281" customWidth="1"/>
    <col min="15855" max="15855" width="7.5546875" style="281" customWidth="1"/>
    <col min="15856" max="15856" width="8" style="281" customWidth="1"/>
    <col min="15857" max="15857" width="10.6640625" style="281" customWidth="1"/>
    <col min="15858" max="15858" width="6.33203125" style="281" customWidth="1"/>
    <col min="15859" max="15859" width="7.5546875" style="281" customWidth="1"/>
    <col min="15860" max="15860" width="8.33203125" style="281" customWidth="1"/>
    <col min="15861" max="15861" width="10.6640625" style="281" customWidth="1"/>
    <col min="15862" max="15862" width="6.33203125" style="281" customWidth="1"/>
    <col min="15863" max="15863" width="7.5546875" style="281" customWidth="1"/>
    <col min="15864" max="15864" width="8.33203125" style="281" customWidth="1"/>
    <col min="15865" max="15865" width="10.6640625" style="281" customWidth="1"/>
    <col min="15866" max="15866" width="6.6640625" style="281" customWidth="1"/>
    <col min="15867" max="15867" width="7.5546875" style="281" customWidth="1"/>
    <col min="15868" max="15868" width="8.33203125" style="281" customWidth="1"/>
    <col min="15869" max="15869" width="10.6640625" style="281" customWidth="1"/>
    <col min="15870" max="15870" width="6.6640625" style="281" customWidth="1"/>
    <col min="15871" max="15871" width="7.5546875" style="281" customWidth="1"/>
    <col min="15872" max="15872" width="8.33203125" style="281" customWidth="1"/>
    <col min="15873" max="15873" width="10.6640625" style="281" customWidth="1"/>
    <col min="15874" max="15876" width="6.6640625" style="281" customWidth="1"/>
    <col min="15877" max="15877" width="11.44140625" style="281" customWidth="1"/>
    <col min="15878" max="15880" width="6.6640625" style="281" customWidth="1"/>
    <col min="15881" max="15881" width="11.44140625" style="281"/>
    <col min="15882" max="15882" width="1.5546875" style="281" customWidth="1"/>
    <col min="15883" max="16107" width="11.44140625" style="281"/>
    <col min="16108" max="16108" width="15.33203125" style="281" customWidth="1"/>
    <col min="16109" max="16109" width="13" style="281" bestFit="1" customWidth="1"/>
    <col min="16110" max="16110" width="6.33203125" style="281" customWidth="1"/>
    <col min="16111" max="16111" width="7.5546875" style="281" customWidth="1"/>
    <col min="16112" max="16112" width="8" style="281" customWidth="1"/>
    <col min="16113" max="16113" width="10.6640625" style="281" customWidth="1"/>
    <col min="16114" max="16114" width="6.33203125" style="281" customWidth="1"/>
    <col min="16115" max="16115" width="7.5546875" style="281" customWidth="1"/>
    <col min="16116" max="16116" width="8.33203125" style="281" customWidth="1"/>
    <col min="16117" max="16117" width="10.6640625" style="281" customWidth="1"/>
    <col min="16118" max="16118" width="6.33203125" style="281" customWidth="1"/>
    <col min="16119" max="16119" width="7.5546875" style="281" customWidth="1"/>
    <col min="16120" max="16120" width="8.33203125" style="281" customWidth="1"/>
    <col min="16121" max="16121" width="10.6640625" style="281" customWidth="1"/>
    <col min="16122" max="16122" width="6.6640625" style="281" customWidth="1"/>
    <col min="16123" max="16123" width="7.5546875" style="281" customWidth="1"/>
    <col min="16124" max="16124" width="8.33203125" style="281" customWidth="1"/>
    <col min="16125" max="16125" width="10.6640625" style="281" customWidth="1"/>
    <col min="16126" max="16126" width="6.6640625" style="281" customWidth="1"/>
    <col min="16127" max="16127" width="7.5546875" style="281" customWidth="1"/>
    <col min="16128" max="16128" width="8.33203125" style="281" customWidth="1"/>
    <col min="16129" max="16129" width="10.6640625" style="281" customWidth="1"/>
    <col min="16130" max="16132" width="6.6640625" style="281" customWidth="1"/>
    <col min="16133" max="16133" width="11.44140625" style="281" customWidth="1"/>
    <col min="16134" max="16136" width="6.6640625" style="281" customWidth="1"/>
    <col min="16137" max="16137" width="11.44140625" style="281"/>
    <col min="16138" max="16138" width="1.5546875" style="281" customWidth="1"/>
    <col min="16139" max="16384" width="11.44140625" style="281"/>
  </cols>
  <sheetData>
    <row r="1" spans="1:85" ht="18.75" customHeight="1">
      <c r="B1" s="279"/>
      <c r="C1" s="280"/>
      <c r="AA1" s="276"/>
      <c r="BX1" s="6513"/>
      <c r="BY1" s="6513"/>
      <c r="BZ1" s="6513"/>
      <c r="CA1" s="6513"/>
      <c r="CG1" s="6514" t="s">
        <v>2452</v>
      </c>
    </row>
    <row r="2" spans="1:85" ht="15" customHeight="1">
      <c r="A2" s="282"/>
      <c r="B2" s="279"/>
    </row>
    <row r="3" spans="1:85" s="5920" customFormat="1" ht="15.6">
      <c r="A3" s="7359" t="s">
        <v>941</v>
      </c>
      <c r="B3" s="5918"/>
      <c r="C3" s="7358">
        <v>2010</v>
      </c>
      <c r="D3" s="7358"/>
      <c r="E3" s="7358"/>
      <c r="F3" s="7358"/>
      <c r="G3" s="7358"/>
      <c r="H3" s="5919"/>
      <c r="I3" s="7358">
        <v>2011</v>
      </c>
      <c r="J3" s="7358"/>
      <c r="K3" s="7358"/>
      <c r="L3" s="7358"/>
      <c r="M3" s="7358"/>
      <c r="O3" s="7358">
        <v>2012</v>
      </c>
      <c r="P3" s="7358"/>
      <c r="Q3" s="7358"/>
      <c r="R3" s="7358"/>
      <c r="S3" s="7358"/>
      <c r="U3" s="7358">
        <v>2013</v>
      </c>
      <c r="V3" s="7358"/>
      <c r="W3" s="7358"/>
      <c r="X3" s="7358"/>
      <c r="Y3" s="7358"/>
      <c r="AA3" s="7358">
        <v>2014</v>
      </c>
      <c r="AB3" s="7358"/>
      <c r="AC3" s="7358"/>
      <c r="AD3" s="7358"/>
      <c r="AE3" s="7358"/>
      <c r="AG3" s="7358">
        <v>2015</v>
      </c>
      <c r="AH3" s="7358"/>
      <c r="AI3" s="7358"/>
      <c r="AJ3" s="7358"/>
      <c r="AK3" s="7358"/>
      <c r="AM3" s="7358">
        <v>2016</v>
      </c>
      <c r="AN3" s="7358"/>
      <c r="AO3" s="7358"/>
      <c r="AP3" s="7358"/>
      <c r="AQ3" s="7358"/>
      <c r="AS3" s="7358">
        <v>2017</v>
      </c>
      <c r="AT3" s="7358"/>
      <c r="AU3" s="7358"/>
      <c r="AV3" s="7358"/>
      <c r="AW3" s="7358"/>
      <c r="AY3" s="7358">
        <v>2018</v>
      </c>
      <c r="AZ3" s="7358"/>
      <c r="BA3" s="7358"/>
      <c r="BB3" s="7358"/>
      <c r="BC3" s="7358"/>
      <c r="BE3" s="7358">
        <v>2019</v>
      </c>
      <c r="BF3" s="7358"/>
      <c r="BG3" s="7358"/>
      <c r="BH3" s="7358"/>
      <c r="BI3" s="7358"/>
      <c r="BK3" s="7358">
        <v>2020</v>
      </c>
      <c r="BL3" s="7358"/>
      <c r="BM3" s="7358"/>
      <c r="BN3" s="7358"/>
      <c r="BO3" s="7358"/>
      <c r="BQ3" s="7358">
        <v>2021</v>
      </c>
      <c r="BR3" s="7358"/>
      <c r="BS3" s="7358"/>
      <c r="BT3" s="7358"/>
      <c r="BU3" s="7358"/>
      <c r="BW3" s="7358">
        <v>2022</v>
      </c>
      <c r="BX3" s="7358"/>
      <c r="BY3" s="7358"/>
      <c r="BZ3" s="7358"/>
      <c r="CA3" s="7358"/>
      <c r="CC3" s="7358">
        <v>2023</v>
      </c>
      <c r="CD3" s="7358"/>
      <c r="CE3" s="7358"/>
      <c r="CF3" s="7358"/>
      <c r="CG3" s="7358"/>
    </row>
    <row r="4" spans="1:85" ht="29.4" thickBot="1">
      <c r="A4" s="7360"/>
      <c r="B4" s="279"/>
      <c r="C4" s="3330" t="s">
        <v>1019</v>
      </c>
      <c r="D4" s="3330" t="s">
        <v>1020</v>
      </c>
      <c r="E4" s="3330" t="s">
        <v>1021</v>
      </c>
      <c r="F4" s="3025" t="s">
        <v>15</v>
      </c>
      <c r="G4" s="3330" t="s">
        <v>1312</v>
      </c>
      <c r="H4" s="2174"/>
      <c r="I4" s="3330" t="s">
        <v>1019</v>
      </c>
      <c r="J4" s="3330" t="s">
        <v>1020</v>
      </c>
      <c r="K4" s="3330" t="s">
        <v>1021</v>
      </c>
      <c r="L4" s="3025" t="s">
        <v>15</v>
      </c>
      <c r="M4" s="3330" t="s">
        <v>1312</v>
      </c>
      <c r="O4" s="3330" t="s">
        <v>1019</v>
      </c>
      <c r="P4" s="3330" t="s">
        <v>1020</v>
      </c>
      <c r="Q4" s="3330" t="s">
        <v>1021</v>
      </c>
      <c r="R4" s="3025" t="s">
        <v>15</v>
      </c>
      <c r="S4" s="3330" t="s">
        <v>1312</v>
      </c>
      <c r="U4" s="3330" t="s">
        <v>1019</v>
      </c>
      <c r="V4" s="3330" t="s">
        <v>1020</v>
      </c>
      <c r="W4" s="3330" t="s">
        <v>1021</v>
      </c>
      <c r="X4" s="3025" t="s">
        <v>15</v>
      </c>
      <c r="Y4" s="3330" t="s">
        <v>1312</v>
      </c>
      <c r="AA4" s="3330" t="s">
        <v>1019</v>
      </c>
      <c r="AB4" s="3330" t="s">
        <v>1020</v>
      </c>
      <c r="AC4" s="3330" t="s">
        <v>1021</v>
      </c>
      <c r="AD4" s="3025" t="s">
        <v>15</v>
      </c>
      <c r="AE4" s="3330" t="s">
        <v>1312</v>
      </c>
      <c r="AG4" s="3330" t="s">
        <v>1019</v>
      </c>
      <c r="AH4" s="3330" t="s">
        <v>1020</v>
      </c>
      <c r="AI4" s="3330" t="s">
        <v>1021</v>
      </c>
      <c r="AJ4" s="3025" t="s">
        <v>15</v>
      </c>
      <c r="AK4" s="3330" t="s">
        <v>1312</v>
      </c>
      <c r="AM4" s="3330" t="s">
        <v>1019</v>
      </c>
      <c r="AN4" s="3330" t="s">
        <v>1020</v>
      </c>
      <c r="AO4" s="3330" t="s">
        <v>1021</v>
      </c>
      <c r="AP4" s="3025" t="s">
        <v>15</v>
      </c>
      <c r="AQ4" s="3330" t="s">
        <v>1312</v>
      </c>
      <c r="AS4" s="3330" t="s">
        <v>1019</v>
      </c>
      <c r="AT4" s="3330" t="s">
        <v>1020</v>
      </c>
      <c r="AU4" s="3330" t="s">
        <v>1021</v>
      </c>
      <c r="AV4" s="3025" t="s">
        <v>15</v>
      </c>
      <c r="AW4" s="3330" t="s">
        <v>1312</v>
      </c>
      <c r="AY4" s="3330" t="s">
        <v>1019</v>
      </c>
      <c r="AZ4" s="3330" t="s">
        <v>1020</v>
      </c>
      <c r="BA4" s="3330" t="s">
        <v>1021</v>
      </c>
      <c r="BB4" s="3025" t="s">
        <v>15</v>
      </c>
      <c r="BC4" s="3330" t="s">
        <v>1312</v>
      </c>
      <c r="BE4" s="3330" t="s">
        <v>1019</v>
      </c>
      <c r="BF4" s="3330" t="s">
        <v>1020</v>
      </c>
      <c r="BG4" s="3330" t="s">
        <v>1021</v>
      </c>
      <c r="BH4" s="3025" t="s">
        <v>15</v>
      </c>
      <c r="BI4" s="3330" t="s">
        <v>1312</v>
      </c>
      <c r="BK4" s="3330" t="s">
        <v>1019</v>
      </c>
      <c r="BL4" s="3330" t="s">
        <v>1020</v>
      </c>
      <c r="BM4" s="3330" t="s">
        <v>1021</v>
      </c>
      <c r="BN4" s="3958" t="s">
        <v>15</v>
      </c>
      <c r="BO4" s="3330" t="s">
        <v>1312</v>
      </c>
      <c r="BQ4" s="3330" t="s">
        <v>1019</v>
      </c>
      <c r="BR4" s="3330" t="s">
        <v>1020</v>
      </c>
      <c r="BS4" s="3330" t="s">
        <v>1021</v>
      </c>
      <c r="BT4" s="4782" t="s">
        <v>15</v>
      </c>
      <c r="BU4" s="3330" t="s">
        <v>1312</v>
      </c>
      <c r="BW4" s="3330" t="s">
        <v>1019</v>
      </c>
      <c r="BX4" s="3330" t="s">
        <v>1020</v>
      </c>
      <c r="BY4" s="3330" t="s">
        <v>1021</v>
      </c>
      <c r="BZ4" s="5904" t="s">
        <v>15</v>
      </c>
      <c r="CA4" s="3330" t="s">
        <v>1312</v>
      </c>
      <c r="CC4" s="3330" t="s">
        <v>1019</v>
      </c>
      <c r="CD4" s="3330" t="s">
        <v>1020</v>
      </c>
      <c r="CE4" s="3330" t="s">
        <v>1021</v>
      </c>
      <c r="CF4" s="6473" t="s">
        <v>15</v>
      </c>
      <c r="CG4" s="3330" t="s">
        <v>1312</v>
      </c>
    </row>
    <row r="5" spans="1:85" ht="17.399999999999999">
      <c r="B5" s="279"/>
      <c r="H5" s="2174"/>
    </row>
    <row r="6" spans="1:85" ht="15" customHeight="1">
      <c r="A6" s="2080" t="s">
        <v>4</v>
      </c>
      <c r="B6" s="2202"/>
      <c r="C6" s="2203">
        <v>6</v>
      </c>
      <c r="D6" s="2203">
        <v>12</v>
      </c>
      <c r="E6" s="2204">
        <v>12</v>
      </c>
      <c r="F6" s="2205">
        <f>SUM(C6:E6)</f>
        <v>30</v>
      </c>
      <c r="G6" s="2206">
        <f>C6/F6</f>
        <v>0.2</v>
      </c>
      <c r="H6" s="2174"/>
      <c r="I6" s="2203">
        <v>8</v>
      </c>
      <c r="J6" s="2203">
        <v>9</v>
      </c>
      <c r="K6" s="2204">
        <v>10</v>
      </c>
      <c r="L6" s="2205">
        <f>SUM(I6:K6)</f>
        <v>27</v>
      </c>
      <c r="M6" s="2206">
        <f>I6/L6</f>
        <v>0.29629629629629628</v>
      </c>
      <c r="O6" s="2203">
        <v>8</v>
      </c>
      <c r="P6" s="2203">
        <v>11</v>
      </c>
      <c r="Q6" s="2204">
        <v>9</v>
      </c>
      <c r="R6" s="2205">
        <f>SUM(O6:Q6)</f>
        <v>28</v>
      </c>
      <c r="S6" s="2206">
        <f>O6/R6</f>
        <v>0.2857142857142857</v>
      </c>
      <c r="U6" s="2203">
        <v>8</v>
      </c>
      <c r="V6" s="2203">
        <v>11</v>
      </c>
      <c r="W6" s="2204">
        <v>9</v>
      </c>
      <c r="X6" s="2205">
        <f t="shared" ref="X6:X13" si="0">SUM(U6:W6)</f>
        <v>28</v>
      </c>
      <c r="Y6" s="2206">
        <f>U6/X6</f>
        <v>0.2857142857142857</v>
      </c>
      <c r="AA6" s="2203">
        <v>8</v>
      </c>
      <c r="AB6" s="2203">
        <v>10</v>
      </c>
      <c r="AC6" s="2204">
        <v>8</v>
      </c>
      <c r="AD6" s="2205">
        <f>SUM(AA6:AC6)</f>
        <v>26</v>
      </c>
      <c r="AE6" s="2206">
        <f>AA6/AD6</f>
        <v>0.30769230769230771</v>
      </c>
      <c r="AG6" s="2203">
        <v>11</v>
      </c>
      <c r="AH6" s="2203">
        <v>4</v>
      </c>
      <c r="AI6" s="2204">
        <v>12</v>
      </c>
      <c r="AJ6" s="2205">
        <f>SUM(AG6:AI6)</f>
        <v>27</v>
      </c>
      <c r="AK6" s="2206">
        <f>AG6/AJ6</f>
        <v>0.40740740740740738</v>
      </c>
      <c r="AM6" s="2203">
        <v>11</v>
      </c>
      <c r="AN6" s="2203">
        <v>3</v>
      </c>
      <c r="AO6" s="2204">
        <v>13</v>
      </c>
      <c r="AP6" s="2205">
        <f>SUM(AM6:AO6)</f>
        <v>27</v>
      </c>
      <c r="AQ6" s="2206">
        <f>AM6/AP6</f>
        <v>0.40740740740740738</v>
      </c>
      <c r="AS6" s="2203">
        <v>10</v>
      </c>
      <c r="AT6" s="2203">
        <v>4</v>
      </c>
      <c r="AU6" s="2204">
        <v>14</v>
      </c>
      <c r="AV6" s="2205">
        <f>SUM(AS6:AU6)</f>
        <v>28</v>
      </c>
      <c r="AW6" s="2206">
        <f>AS6/AV6</f>
        <v>0.35714285714285715</v>
      </c>
      <c r="AY6" s="2203">
        <v>14</v>
      </c>
      <c r="AZ6" s="2203">
        <v>3</v>
      </c>
      <c r="BA6" s="2204">
        <v>13</v>
      </c>
      <c r="BB6" s="2205">
        <f>SUM(AY6:BA6)</f>
        <v>30</v>
      </c>
      <c r="BC6" s="2206">
        <f>AY6/BB6</f>
        <v>0.46666666666666667</v>
      </c>
      <c r="BE6" s="2203">
        <v>11</v>
      </c>
      <c r="BF6" s="2203">
        <v>7</v>
      </c>
      <c r="BG6" s="2204">
        <v>11</v>
      </c>
      <c r="BH6" s="2205">
        <f>SUM(BE6:BG6)</f>
        <v>29</v>
      </c>
      <c r="BI6" s="2206">
        <f>BE6/BH6</f>
        <v>0.37931034482758619</v>
      </c>
      <c r="BK6" s="2203">
        <v>11</v>
      </c>
      <c r="BL6" s="2203">
        <v>7</v>
      </c>
      <c r="BM6" s="2204">
        <v>11</v>
      </c>
      <c r="BN6" s="2205">
        <f>SUM(BK6:BM6)</f>
        <v>29</v>
      </c>
      <c r="BO6" s="2206">
        <f>BK6/BN6</f>
        <v>0.37931034482758619</v>
      </c>
      <c r="BQ6" s="2203">
        <v>10</v>
      </c>
      <c r="BR6" s="2203">
        <v>8</v>
      </c>
      <c r="BS6" s="2204">
        <v>11</v>
      </c>
      <c r="BT6" s="2205">
        <f>SUM(BQ6:BS6)</f>
        <v>29</v>
      </c>
      <c r="BU6" s="2206">
        <f>BQ6/BT6</f>
        <v>0.34482758620689657</v>
      </c>
      <c r="BW6" s="2203">
        <v>11</v>
      </c>
      <c r="BX6" s="2203">
        <v>7</v>
      </c>
      <c r="BY6" s="2204">
        <v>10</v>
      </c>
      <c r="BZ6" s="2205">
        <f>SUM(BW6:BY6)</f>
        <v>28</v>
      </c>
      <c r="CA6" s="2206">
        <f>BW6/BZ6</f>
        <v>0.39285714285714285</v>
      </c>
      <c r="CC6" s="2203">
        <v>10</v>
      </c>
      <c r="CD6" s="2203">
        <v>7</v>
      </c>
      <c r="CE6" s="2204">
        <v>10</v>
      </c>
      <c r="CF6" s="2205">
        <f>SUM(CC6:CE6)</f>
        <v>27</v>
      </c>
      <c r="CG6" s="2206">
        <f>CC6/CF6</f>
        <v>0.37037037037037035</v>
      </c>
    </row>
    <row r="7" spans="1:85" ht="15" customHeight="1">
      <c r="A7" s="2081" t="s">
        <v>16</v>
      </c>
      <c r="B7" s="279"/>
      <c r="C7" s="284">
        <v>6</v>
      </c>
      <c r="D7" s="284">
        <v>16</v>
      </c>
      <c r="E7" s="2195">
        <v>12</v>
      </c>
      <c r="F7" s="2188">
        <f>SUM(C7:E7)</f>
        <v>34</v>
      </c>
      <c r="G7" s="2175">
        <f t="shared" ref="G7:G37" si="1">C7/F7</f>
        <v>0.17647058823529413</v>
      </c>
      <c r="H7" s="2174"/>
      <c r="I7" s="284">
        <v>6</v>
      </c>
      <c r="J7" s="284">
        <v>17</v>
      </c>
      <c r="K7" s="2195">
        <v>11</v>
      </c>
      <c r="L7" s="2188">
        <f>SUM(I7:K7)</f>
        <v>34</v>
      </c>
      <c r="M7" s="2175">
        <f t="shared" ref="M7:M37" si="2">I7/L7</f>
        <v>0.17647058823529413</v>
      </c>
      <c r="O7" s="284">
        <v>6</v>
      </c>
      <c r="P7" s="284">
        <v>15</v>
      </c>
      <c r="Q7" s="2195">
        <v>9</v>
      </c>
      <c r="R7" s="2188">
        <f>SUM(O7:Q7)</f>
        <v>30</v>
      </c>
      <c r="S7" s="2175">
        <f t="shared" ref="S7:S37" si="3">O7/R7</f>
        <v>0.2</v>
      </c>
      <c r="U7" s="284">
        <v>6</v>
      </c>
      <c r="V7" s="284">
        <v>15</v>
      </c>
      <c r="W7" s="2195">
        <v>10</v>
      </c>
      <c r="X7" s="2188">
        <f t="shared" si="0"/>
        <v>31</v>
      </c>
      <c r="Y7" s="2175">
        <f t="shared" ref="Y7:Y37" si="4">U7/X7</f>
        <v>0.19354838709677419</v>
      </c>
      <c r="AA7" s="284">
        <v>7</v>
      </c>
      <c r="AB7" s="284">
        <v>11</v>
      </c>
      <c r="AC7" s="2195">
        <v>12</v>
      </c>
      <c r="AD7" s="2188">
        <f>SUM(AA7:AC7)</f>
        <v>30</v>
      </c>
      <c r="AE7" s="2175">
        <f t="shared" ref="AE7:AE37" si="5">AA7/AD7</f>
        <v>0.23333333333333334</v>
      </c>
      <c r="AG7" s="284">
        <v>7</v>
      </c>
      <c r="AH7" s="284">
        <v>10</v>
      </c>
      <c r="AI7" s="2195">
        <v>13</v>
      </c>
      <c r="AJ7" s="2188">
        <f>SUM(AG7:AI7)</f>
        <v>30</v>
      </c>
      <c r="AK7" s="2175">
        <f t="shared" ref="AK7:AK37" si="6">AG7/AJ7</f>
        <v>0.23333333333333334</v>
      </c>
      <c r="AM7" s="284">
        <v>8</v>
      </c>
      <c r="AN7" s="284">
        <v>10</v>
      </c>
      <c r="AO7" s="2195">
        <v>8</v>
      </c>
      <c r="AP7" s="2188">
        <f>SUM(AM7:AO7)</f>
        <v>26</v>
      </c>
      <c r="AQ7" s="2175">
        <f>AM7/AP7</f>
        <v>0.30769230769230771</v>
      </c>
      <c r="AS7" s="284">
        <v>10</v>
      </c>
      <c r="AT7" s="284">
        <v>8</v>
      </c>
      <c r="AU7" s="2195">
        <v>6</v>
      </c>
      <c r="AV7" s="2188">
        <f t="shared" ref="AV7:AV37" si="7">SUM(AS7:AU7)</f>
        <v>24</v>
      </c>
      <c r="AW7" s="2175">
        <f t="shared" ref="AW7:AW36" si="8">AS7/AV7</f>
        <v>0.41666666666666669</v>
      </c>
      <c r="AY7" s="284">
        <v>10</v>
      </c>
      <c r="AZ7" s="284">
        <v>6</v>
      </c>
      <c r="BA7" s="2195">
        <v>8</v>
      </c>
      <c r="BB7" s="2188">
        <f>SUM(AY7:BA7)</f>
        <v>24</v>
      </c>
      <c r="BC7" s="2175">
        <f>AY7/BB7</f>
        <v>0.41666666666666669</v>
      </c>
      <c r="BE7" s="284">
        <v>11</v>
      </c>
      <c r="BF7" s="284">
        <v>4</v>
      </c>
      <c r="BG7" s="2195">
        <v>9</v>
      </c>
      <c r="BH7" s="2188">
        <f>SUM(BE7:BG7)</f>
        <v>24</v>
      </c>
      <c r="BI7" s="2175">
        <f>BE7/BH7</f>
        <v>0.45833333333333331</v>
      </c>
      <c r="BK7" s="284">
        <v>11</v>
      </c>
      <c r="BL7" s="284">
        <v>4</v>
      </c>
      <c r="BM7" s="2195">
        <v>9</v>
      </c>
      <c r="BN7" s="2188">
        <f>SUM(BK7:BM7)</f>
        <v>24</v>
      </c>
      <c r="BO7" s="2175">
        <f>BK7/BN7</f>
        <v>0.45833333333333331</v>
      </c>
      <c r="BQ7" s="284">
        <v>10</v>
      </c>
      <c r="BR7" s="284">
        <v>6</v>
      </c>
      <c r="BS7" s="2195">
        <v>8</v>
      </c>
      <c r="BT7" s="2188">
        <f>SUM(BQ7:BS7)</f>
        <v>24</v>
      </c>
      <c r="BU7" s="2175">
        <f>BQ7/BT7</f>
        <v>0.41666666666666669</v>
      </c>
      <c r="BW7" s="284">
        <v>9</v>
      </c>
      <c r="BX7" s="284">
        <v>9</v>
      </c>
      <c r="BY7" s="2195">
        <v>4</v>
      </c>
      <c r="BZ7" s="2188">
        <f>SUM(BW7:BY7)</f>
        <v>22</v>
      </c>
      <c r="CA7" s="2175">
        <f>BW7/BZ7</f>
        <v>0.40909090909090912</v>
      </c>
      <c r="CC7" s="284">
        <v>9</v>
      </c>
      <c r="CD7" s="284">
        <v>9</v>
      </c>
      <c r="CE7" s="2195">
        <v>4</v>
      </c>
      <c r="CF7" s="2188">
        <f>SUM(CC7:CE7)</f>
        <v>22</v>
      </c>
      <c r="CG7" s="2175">
        <f>CC7/CF7</f>
        <v>0.40909090909090912</v>
      </c>
    </row>
    <row r="8" spans="1:85" ht="15" customHeight="1">
      <c r="A8" s="2081" t="s">
        <v>21</v>
      </c>
      <c r="B8" s="279"/>
      <c r="C8" s="284">
        <v>1</v>
      </c>
      <c r="D8" s="284">
        <v>4</v>
      </c>
      <c r="E8" s="2195">
        <v>12</v>
      </c>
      <c r="F8" s="2188">
        <f>SUM(C8:E8)</f>
        <v>17</v>
      </c>
      <c r="G8" s="2175">
        <f t="shared" si="1"/>
        <v>5.8823529411764705E-2</v>
      </c>
      <c r="H8" s="2174"/>
      <c r="I8" s="284">
        <v>1</v>
      </c>
      <c r="J8" s="284">
        <v>3</v>
      </c>
      <c r="K8" s="2195">
        <v>15</v>
      </c>
      <c r="L8" s="2188">
        <f>SUM(I8:K8)</f>
        <v>19</v>
      </c>
      <c r="M8" s="2175">
        <f t="shared" si="2"/>
        <v>5.2631578947368418E-2</v>
      </c>
      <c r="O8" s="284">
        <v>1</v>
      </c>
      <c r="P8" s="284">
        <v>3</v>
      </c>
      <c r="Q8" s="2195">
        <v>16</v>
      </c>
      <c r="R8" s="2188">
        <f>SUM(O8:Q8)</f>
        <v>20</v>
      </c>
      <c r="S8" s="2175">
        <f t="shared" si="3"/>
        <v>0.05</v>
      </c>
      <c r="U8" s="284">
        <v>1</v>
      </c>
      <c r="V8" s="284">
        <v>3</v>
      </c>
      <c r="W8" s="2195">
        <v>16</v>
      </c>
      <c r="X8" s="2188">
        <f t="shared" si="0"/>
        <v>20</v>
      </c>
      <c r="Y8" s="2175">
        <f t="shared" si="4"/>
        <v>0.05</v>
      </c>
      <c r="AA8" s="284">
        <v>1</v>
      </c>
      <c r="AB8" s="284">
        <v>3</v>
      </c>
      <c r="AC8" s="2195">
        <v>16</v>
      </c>
      <c r="AD8" s="2188">
        <f>SUM(AA8:AC8)</f>
        <v>20</v>
      </c>
      <c r="AE8" s="2175">
        <f t="shared" si="5"/>
        <v>0.05</v>
      </c>
      <c r="AG8" s="284">
        <v>1</v>
      </c>
      <c r="AH8" s="284">
        <v>6</v>
      </c>
      <c r="AI8" s="2195">
        <v>19</v>
      </c>
      <c r="AJ8" s="2188">
        <f>SUM(AG8:AI8)</f>
        <v>26</v>
      </c>
      <c r="AK8" s="2175">
        <f t="shared" si="6"/>
        <v>3.8461538461538464E-2</v>
      </c>
      <c r="AM8" s="284">
        <v>1</v>
      </c>
      <c r="AN8" s="284">
        <v>7</v>
      </c>
      <c r="AO8" s="2195">
        <v>17</v>
      </c>
      <c r="AP8" s="2188">
        <f>SUM(AM8:AO8)</f>
        <v>25</v>
      </c>
      <c r="AQ8" s="2175">
        <f>AM8/AP8</f>
        <v>0.04</v>
      </c>
      <c r="AS8" s="284">
        <v>2</v>
      </c>
      <c r="AT8" s="284">
        <v>5</v>
      </c>
      <c r="AU8" s="2195">
        <v>16</v>
      </c>
      <c r="AV8" s="2188">
        <f t="shared" si="7"/>
        <v>23</v>
      </c>
      <c r="AW8" s="2175">
        <f t="shared" si="8"/>
        <v>8.6956521739130432E-2</v>
      </c>
      <c r="AY8" s="284">
        <v>2</v>
      </c>
      <c r="AZ8" s="284">
        <v>5</v>
      </c>
      <c r="BA8" s="2195">
        <v>19</v>
      </c>
      <c r="BB8" s="2188">
        <f>SUM(AY8:BA8)</f>
        <v>26</v>
      </c>
      <c r="BC8" s="2175">
        <f>AY8/BB8</f>
        <v>7.6923076923076927E-2</v>
      </c>
      <c r="BE8" s="284">
        <v>2</v>
      </c>
      <c r="BF8" s="284">
        <v>5</v>
      </c>
      <c r="BG8" s="2195">
        <v>17</v>
      </c>
      <c r="BH8" s="2188">
        <f>SUM(BE8:BG8)</f>
        <v>24</v>
      </c>
      <c r="BI8" s="2175">
        <f>BE8/BH8</f>
        <v>8.3333333333333329E-2</v>
      </c>
      <c r="BK8" s="284">
        <v>2</v>
      </c>
      <c r="BL8" s="284">
        <v>5</v>
      </c>
      <c r="BM8" s="2195">
        <v>16</v>
      </c>
      <c r="BN8" s="2188">
        <f>SUM(BK8:BM8)</f>
        <v>23</v>
      </c>
      <c r="BO8" s="2175">
        <f>BK8/BN8</f>
        <v>8.6956521739130432E-2</v>
      </c>
      <c r="BQ8" s="284">
        <v>3</v>
      </c>
      <c r="BR8" s="284">
        <v>5</v>
      </c>
      <c r="BS8" s="2195">
        <v>12</v>
      </c>
      <c r="BT8" s="2188">
        <f>SUM(BQ8:BS8)</f>
        <v>20</v>
      </c>
      <c r="BU8" s="2175">
        <f>BQ8/BT8</f>
        <v>0.15</v>
      </c>
      <c r="BW8" s="284">
        <v>2</v>
      </c>
      <c r="BX8" s="284">
        <v>6</v>
      </c>
      <c r="BY8" s="2195">
        <v>10</v>
      </c>
      <c r="BZ8" s="2188">
        <f>SUM(BW8:BY8)</f>
        <v>18</v>
      </c>
      <c r="CA8" s="2175">
        <f>BW8/BZ8</f>
        <v>0.1111111111111111</v>
      </c>
      <c r="CC8" s="284">
        <v>2</v>
      </c>
      <c r="CD8" s="284">
        <v>6</v>
      </c>
      <c r="CE8" s="2195">
        <v>9</v>
      </c>
      <c r="CF8" s="2188">
        <f>SUM(CC8:CE8)</f>
        <v>17</v>
      </c>
      <c r="CG8" s="2175">
        <f>CC8/CF8</f>
        <v>0.11764705882352941</v>
      </c>
    </row>
    <row r="9" spans="1:85" ht="15" customHeight="1">
      <c r="A9" s="2166" t="s">
        <v>3</v>
      </c>
      <c r="B9" s="279"/>
      <c r="C9" s="2176">
        <f>SUM(C6:C8)</f>
        <v>13</v>
      </c>
      <c r="D9" s="2176">
        <f>SUM(D6:D8)</f>
        <v>32</v>
      </c>
      <c r="E9" s="2196">
        <f>SUM(E6:E8)</f>
        <v>36</v>
      </c>
      <c r="F9" s="2189">
        <f>SUM(C9:E9)</f>
        <v>81</v>
      </c>
      <c r="G9" s="2177">
        <f t="shared" si="1"/>
        <v>0.16049382716049382</v>
      </c>
      <c r="H9" s="2174"/>
      <c r="I9" s="2176">
        <f>SUM(I6:I8)</f>
        <v>15</v>
      </c>
      <c r="J9" s="2176">
        <f>SUM(J6:J8)</f>
        <v>29</v>
      </c>
      <c r="K9" s="2196">
        <f>SUM(K6:K8)</f>
        <v>36</v>
      </c>
      <c r="L9" s="2189">
        <f>SUM(I9:K9)</f>
        <v>80</v>
      </c>
      <c r="M9" s="2177">
        <f t="shared" si="2"/>
        <v>0.1875</v>
      </c>
      <c r="O9" s="2176">
        <f>SUM(O6:O8)</f>
        <v>15</v>
      </c>
      <c r="P9" s="2176">
        <f>SUM(P6:P8)</f>
        <v>29</v>
      </c>
      <c r="Q9" s="2196">
        <f>SUM(Q6:Q8)</f>
        <v>34</v>
      </c>
      <c r="R9" s="2189">
        <f>SUM(O9:Q9)</f>
        <v>78</v>
      </c>
      <c r="S9" s="2177">
        <f t="shared" si="3"/>
        <v>0.19230769230769232</v>
      </c>
      <c r="U9" s="2176">
        <f>SUM(U6:U8)</f>
        <v>15</v>
      </c>
      <c r="V9" s="2176">
        <f>SUM(V6:V8)</f>
        <v>29</v>
      </c>
      <c r="W9" s="2196">
        <f>SUM(W6:W8)</f>
        <v>35</v>
      </c>
      <c r="X9" s="2189">
        <f t="shared" si="0"/>
        <v>79</v>
      </c>
      <c r="Y9" s="2177">
        <f t="shared" si="4"/>
        <v>0.189873417721519</v>
      </c>
      <c r="AA9" s="2176">
        <f>SUM(AA6:AA8)</f>
        <v>16</v>
      </c>
      <c r="AB9" s="2176">
        <f>SUM(AB6:AB8)</f>
        <v>24</v>
      </c>
      <c r="AC9" s="2196">
        <f>SUM(AC6:AC8)</f>
        <v>36</v>
      </c>
      <c r="AD9" s="2189">
        <f>SUM(AA9:AC9)</f>
        <v>76</v>
      </c>
      <c r="AE9" s="2177">
        <f t="shared" si="5"/>
        <v>0.21052631578947367</v>
      </c>
      <c r="AG9" s="2176">
        <f>SUM(AG6:AG8)</f>
        <v>19</v>
      </c>
      <c r="AH9" s="2176">
        <f>SUM(AH6:AH8)</f>
        <v>20</v>
      </c>
      <c r="AI9" s="2196">
        <f>SUM(AI6:AI8)</f>
        <v>44</v>
      </c>
      <c r="AJ9" s="2189">
        <f>SUM(AG9:AI9)</f>
        <v>83</v>
      </c>
      <c r="AK9" s="2177">
        <f t="shared" si="6"/>
        <v>0.2289156626506024</v>
      </c>
      <c r="AM9" s="2176">
        <f>SUM(AM6:AM8)</f>
        <v>20</v>
      </c>
      <c r="AN9" s="2176">
        <f>SUM(AN6:AN8)</f>
        <v>20</v>
      </c>
      <c r="AO9" s="2196">
        <f>SUM(AO6:AO8)</f>
        <v>38</v>
      </c>
      <c r="AP9" s="2189">
        <f>SUM(AM9:AO9)</f>
        <v>78</v>
      </c>
      <c r="AQ9" s="2177">
        <f>AM9/AP9</f>
        <v>0.25641025641025639</v>
      </c>
      <c r="AS9" s="2176">
        <f>SUM(AS6:AS8)</f>
        <v>22</v>
      </c>
      <c r="AT9" s="2176">
        <f>SUM(AT6:AT8)</f>
        <v>17</v>
      </c>
      <c r="AU9" s="2196">
        <f>SUM(AU6:AU8)</f>
        <v>36</v>
      </c>
      <c r="AV9" s="2189">
        <f t="shared" si="7"/>
        <v>75</v>
      </c>
      <c r="AW9" s="2177">
        <f t="shared" si="8"/>
        <v>0.29333333333333333</v>
      </c>
      <c r="AY9" s="2176">
        <f>SUM(AY6:AY8)</f>
        <v>26</v>
      </c>
      <c r="AZ9" s="2176">
        <f>SUM(AZ6:AZ8)</f>
        <v>14</v>
      </c>
      <c r="BA9" s="2196">
        <f>SUM(BA6:BA8)</f>
        <v>40</v>
      </c>
      <c r="BB9" s="2189">
        <f>SUM(AY9:BA9)</f>
        <v>80</v>
      </c>
      <c r="BC9" s="2177">
        <f>AY9/BB9</f>
        <v>0.32500000000000001</v>
      </c>
      <c r="BE9" s="2176">
        <f>SUM(BE6:BE8)</f>
        <v>24</v>
      </c>
      <c r="BF9" s="2176">
        <f>SUM(BF6:BF8)</f>
        <v>16</v>
      </c>
      <c r="BG9" s="2196">
        <f>SUM(BG6:BG8)</f>
        <v>37</v>
      </c>
      <c r="BH9" s="2189">
        <f>SUM(BE9:BG9)</f>
        <v>77</v>
      </c>
      <c r="BI9" s="2177">
        <f>BE9/BH9</f>
        <v>0.31168831168831168</v>
      </c>
      <c r="BK9" s="2176">
        <f>SUM(BK6:BK8)</f>
        <v>24</v>
      </c>
      <c r="BL9" s="2176">
        <f>SUM(BL6:BL8)</f>
        <v>16</v>
      </c>
      <c r="BM9" s="2196">
        <f>SUM(BM6:BM8)</f>
        <v>36</v>
      </c>
      <c r="BN9" s="2189">
        <f>SUM(BK9:BM9)</f>
        <v>76</v>
      </c>
      <c r="BO9" s="2177">
        <f>BK9/BN9</f>
        <v>0.31578947368421051</v>
      </c>
      <c r="BQ9" s="2176">
        <f>SUM(BQ6:BQ8)</f>
        <v>23</v>
      </c>
      <c r="BR9" s="2176">
        <f>SUM(BR6:BR8)</f>
        <v>19</v>
      </c>
      <c r="BS9" s="2196">
        <f>SUM(BS6:BS8)</f>
        <v>31</v>
      </c>
      <c r="BT9" s="2189">
        <f>SUM(BQ9:BS9)</f>
        <v>73</v>
      </c>
      <c r="BU9" s="2177">
        <f>BQ9/BT9</f>
        <v>0.31506849315068491</v>
      </c>
      <c r="BW9" s="2176">
        <f>SUM(BW6:BW8)</f>
        <v>22</v>
      </c>
      <c r="BX9" s="2176">
        <f>SUM(BX6:BX8)</f>
        <v>22</v>
      </c>
      <c r="BY9" s="2196">
        <f>SUM(BY6:BY8)</f>
        <v>24</v>
      </c>
      <c r="BZ9" s="2189">
        <f>SUM(BW9:BY9)</f>
        <v>68</v>
      </c>
      <c r="CA9" s="2177">
        <f>BW9/BZ9</f>
        <v>0.3235294117647059</v>
      </c>
      <c r="CC9" s="2176">
        <f>SUM(CC6:CC8)</f>
        <v>21</v>
      </c>
      <c r="CD9" s="2176">
        <f>SUM(CD6:CD8)</f>
        <v>22</v>
      </c>
      <c r="CE9" s="2196">
        <f>SUM(CE6:CE8)</f>
        <v>23</v>
      </c>
      <c r="CF9" s="2189">
        <f>SUM(CC9:CE9)</f>
        <v>66</v>
      </c>
      <c r="CG9" s="2177">
        <f>CC9/CF9</f>
        <v>0.31818181818181818</v>
      </c>
    </row>
    <row r="10" spans="1:85" ht="15" customHeight="1">
      <c r="A10" s="281"/>
      <c r="B10" s="281"/>
    </row>
    <row r="11" spans="1:85" ht="15" customHeight="1">
      <c r="A11" s="2080" t="s">
        <v>16</v>
      </c>
      <c r="B11" s="2202"/>
      <c r="C11" s="2203">
        <v>1</v>
      </c>
      <c r="D11" s="2203">
        <v>4</v>
      </c>
      <c r="E11" s="2204">
        <v>5</v>
      </c>
      <c r="F11" s="2205">
        <f>SUM(C11:E11)</f>
        <v>10</v>
      </c>
      <c r="G11" s="2206">
        <f t="shared" si="1"/>
        <v>0.1</v>
      </c>
      <c r="H11" s="2174"/>
      <c r="I11" s="2203">
        <v>1</v>
      </c>
      <c r="J11" s="2203">
        <v>4</v>
      </c>
      <c r="K11" s="2204">
        <v>6</v>
      </c>
      <c r="L11" s="2205">
        <f>SUM(I11:K11)</f>
        <v>11</v>
      </c>
      <c r="M11" s="2206">
        <f t="shared" si="2"/>
        <v>9.0909090909090912E-2</v>
      </c>
      <c r="O11" s="2203">
        <v>2</v>
      </c>
      <c r="P11" s="2203">
        <v>3</v>
      </c>
      <c r="Q11" s="2204">
        <v>7</v>
      </c>
      <c r="R11" s="2205">
        <f>SUM(O11:Q11)</f>
        <v>12</v>
      </c>
      <c r="S11" s="2206">
        <f t="shared" si="3"/>
        <v>0.16666666666666666</v>
      </c>
      <c r="T11" s="2169"/>
      <c r="U11" s="2203">
        <v>2</v>
      </c>
      <c r="V11" s="2203">
        <v>3</v>
      </c>
      <c r="W11" s="2204">
        <v>7</v>
      </c>
      <c r="X11" s="2205">
        <f t="shared" si="0"/>
        <v>12</v>
      </c>
      <c r="Y11" s="2206">
        <f t="shared" si="4"/>
        <v>0.16666666666666666</v>
      </c>
      <c r="Z11" s="2169"/>
      <c r="AA11" s="2203">
        <v>3</v>
      </c>
      <c r="AB11" s="2203">
        <v>2</v>
      </c>
      <c r="AC11" s="2204">
        <v>5</v>
      </c>
      <c r="AD11" s="2205">
        <f>SUM(AA11:AC11)</f>
        <v>10</v>
      </c>
      <c r="AE11" s="2206">
        <f t="shared" si="5"/>
        <v>0.3</v>
      </c>
      <c r="AF11" s="2169"/>
      <c r="AG11" s="2203">
        <v>3</v>
      </c>
      <c r="AH11" s="2203">
        <v>4</v>
      </c>
      <c r="AI11" s="2204">
        <v>3</v>
      </c>
      <c r="AJ11" s="2205">
        <f>SUM(AG11:AI11)</f>
        <v>10</v>
      </c>
      <c r="AK11" s="2206">
        <f t="shared" si="6"/>
        <v>0.3</v>
      </c>
      <c r="AL11" s="2169"/>
      <c r="AM11" s="2203">
        <v>3</v>
      </c>
      <c r="AN11" s="2203">
        <v>4</v>
      </c>
      <c r="AO11" s="2204">
        <v>4</v>
      </c>
      <c r="AP11" s="2205">
        <f>SUM(AM11:AO11)</f>
        <v>11</v>
      </c>
      <c r="AQ11" s="2206">
        <f>AM11/AP11</f>
        <v>0.27272727272727271</v>
      </c>
      <c r="AR11" s="2169"/>
      <c r="AS11" s="2203">
        <v>2</v>
      </c>
      <c r="AT11" s="2203">
        <v>3</v>
      </c>
      <c r="AU11" s="2204">
        <v>5</v>
      </c>
      <c r="AV11" s="2205">
        <f t="shared" si="7"/>
        <v>10</v>
      </c>
      <c r="AW11" s="2206">
        <f t="shared" si="8"/>
        <v>0.2</v>
      </c>
      <c r="AX11" s="2169"/>
      <c r="AY11" s="2203">
        <v>1</v>
      </c>
      <c r="AZ11" s="2203">
        <v>4</v>
      </c>
      <c r="BA11" s="2204">
        <v>3</v>
      </c>
      <c r="BB11" s="2205">
        <f>SUM(AY11:BA11)</f>
        <v>8</v>
      </c>
      <c r="BC11" s="2206">
        <f>AY11/BB11</f>
        <v>0.125</v>
      </c>
      <c r="BE11" s="2203">
        <v>2</v>
      </c>
      <c r="BF11" s="2203">
        <v>3</v>
      </c>
      <c r="BG11" s="2204">
        <v>4</v>
      </c>
      <c r="BH11" s="2205">
        <f>SUM(BE11:BG11)</f>
        <v>9</v>
      </c>
      <c r="BI11" s="2206">
        <f>BE11/BH11</f>
        <v>0.22222222222222221</v>
      </c>
      <c r="BK11" s="2203">
        <v>2</v>
      </c>
      <c r="BL11" s="2203">
        <v>2</v>
      </c>
      <c r="BM11" s="2204">
        <v>4</v>
      </c>
      <c r="BN11" s="2205">
        <f>SUM(BK11:BM11)</f>
        <v>8</v>
      </c>
      <c r="BO11" s="2206">
        <f>BK11/BN11</f>
        <v>0.25</v>
      </c>
      <c r="BQ11" s="2203">
        <v>2</v>
      </c>
      <c r="BR11" s="2203">
        <v>3</v>
      </c>
      <c r="BS11" s="2204">
        <v>4</v>
      </c>
      <c r="BT11" s="2205">
        <f>SUM(BQ11:BS11)</f>
        <v>9</v>
      </c>
      <c r="BU11" s="2206">
        <f>BQ11/BT11</f>
        <v>0.22222222222222221</v>
      </c>
      <c r="BW11" s="2203">
        <v>3</v>
      </c>
      <c r="BX11" s="2203">
        <v>2</v>
      </c>
      <c r="BY11" s="2204">
        <v>2</v>
      </c>
      <c r="BZ11" s="2205">
        <f>SUM(BW11:BY11)</f>
        <v>7</v>
      </c>
      <c r="CA11" s="2206">
        <f>BW11/BZ11</f>
        <v>0.42857142857142855</v>
      </c>
      <c r="CC11" s="2203">
        <v>3</v>
      </c>
      <c r="CD11" s="2203">
        <v>2</v>
      </c>
      <c r="CE11" s="2204">
        <v>2</v>
      </c>
      <c r="CF11" s="2205">
        <f>SUM(CC11:CE11)</f>
        <v>7</v>
      </c>
      <c r="CG11" s="2206">
        <f>CC11/CF11</f>
        <v>0.42857142857142855</v>
      </c>
    </row>
    <row r="12" spans="1:85" ht="15" customHeight="1">
      <c r="A12" s="2081" t="s">
        <v>61</v>
      </c>
      <c r="B12" s="279"/>
      <c r="C12" s="284">
        <v>1</v>
      </c>
      <c r="D12" s="284"/>
      <c r="E12" s="2195">
        <v>4</v>
      </c>
      <c r="F12" s="2188">
        <f>SUM(C12:E12)</f>
        <v>5</v>
      </c>
      <c r="G12" s="2175">
        <f t="shared" si="1"/>
        <v>0.2</v>
      </c>
      <c r="H12" s="2174"/>
      <c r="I12" s="284">
        <v>1</v>
      </c>
      <c r="J12" s="284"/>
      <c r="K12" s="2195">
        <v>8</v>
      </c>
      <c r="L12" s="2188">
        <f>SUM(I12:K12)</f>
        <v>9</v>
      </c>
      <c r="M12" s="2175">
        <f t="shared" si="2"/>
        <v>0.1111111111111111</v>
      </c>
      <c r="O12" s="284">
        <v>1</v>
      </c>
      <c r="P12" s="284"/>
      <c r="Q12" s="2195">
        <v>9</v>
      </c>
      <c r="R12" s="2188">
        <f>SUM(O12:Q12)</f>
        <v>10</v>
      </c>
      <c r="S12" s="2175">
        <f t="shared" si="3"/>
        <v>0.1</v>
      </c>
      <c r="U12" s="284">
        <v>1</v>
      </c>
      <c r="V12" s="284"/>
      <c r="W12" s="2195">
        <v>8</v>
      </c>
      <c r="X12" s="2188">
        <f t="shared" si="0"/>
        <v>9</v>
      </c>
      <c r="Y12" s="2175">
        <f t="shared" si="4"/>
        <v>0.1111111111111111</v>
      </c>
      <c r="AA12" s="284">
        <v>1</v>
      </c>
      <c r="AB12" s="284">
        <v>1</v>
      </c>
      <c r="AC12" s="2195">
        <v>7</v>
      </c>
      <c r="AD12" s="2188">
        <f>SUM(AA12:AC12)</f>
        <v>9</v>
      </c>
      <c r="AE12" s="2175">
        <f t="shared" si="5"/>
        <v>0.1111111111111111</v>
      </c>
      <c r="AG12" s="284">
        <v>1</v>
      </c>
      <c r="AH12" s="284">
        <v>1</v>
      </c>
      <c r="AI12" s="2195">
        <v>8</v>
      </c>
      <c r="AJ12" s="2188">
        <f>SUM(AG12:AI12)</f>
        <v>10</v>
      </c>
      <c r="AK12" s="2175">
        <f t="shared" si="6"/>
        <v>0.1</v>
      </c>
      <c r="AM12" s="284">
        <v>1</v>
      </c>
      <c r="AN12" s="284">
        <v>1</v>
      </c>
      <c r="AO12" s="2195">
        <v>8</v>
      </c>
      <c r="AP12" s="2188">
        <f>SUM(AM12:AO12)</f>
        <v>10</v>
      </c>
      <c r="AQ12" s="2175">
        <f>AM12/AP12</f>
        <v>0.1</v>
      </c>
      <c r="AS12" s="284">
        <v>1</v>
      </c>
      <c r="AT12" s="284">
        <v>1</v>
      </c>
      <c r="AU12" s="2195">
        <v>6</v>
      </c>
      <c r="AV12" s="2188">
        <f t="shared" si="7"/>
        <v>8</v>
      </c>
      <c r="AW12" s="2175">
        <f t="shared" si="8"/>
        <v>0.125</v>
      </c>
      <c r="AY12" s="284">
        <v>1</v>
      </c>
      <c r="AZ12" s="284">
        <v>1</v>
      </c>
      <c r="BA12" s="2195">
        <v>6</v>
      </c>
      <c r="BB12" s="2188">
        <f>SUM(AY12:BA12)</f>
        <v>8</v>
      </c>
      <c r="BC12" s="2175">
        <f>AY12/BB12</f>
        <v>0.125</v>
      </c>
      <c r="BE12" s="284">
        <v>1</v>
      </c>
      <c r="BF12" s="284">
        <v>1</v>
      </c>
      <c r="BG12" s="2195">
        <v>4</v>
      </c>
      <c r="BH12" s="2188">
        <f>SUM(BE12:BG12)</f>
        <v>6</v>
      </c>
      <c r="BI12" s="2175">
        <f>BE12/BH12</f>
        <v>0.16666666666666666</v>
      </c>
      <c r="BK12" s="284">
        <v>1</v>
      </c>
      <c r="BL12" s="284">
        <v>1</v>
      </c>
      <c r="BM12" s="2195">
        <v>4</v>
      </c>
      <c r="BN12" s="2188">
        <f>SUM(BK12:BM12)</f>
        <v>6</v>
      </c>
      <c r="BO12" s="2175">
        <f>BK12/BN12</f>
        <v>0.16666666666666666</v>
      </c>
      <c r="BQ12" s="284">
        <v>1</v>
      </c>
      <c r="BR12" s="284"/>
      <c r="BS12" s="2195">
        <v>3</v>
      </c>
      <c r="BT12" s="2188">
        <f>SUM(BQ12:BS12)</f>
        <v>4</v>
      </c>
      <c r="BU12" s="2175">
        <f>BQ12/BT12</f>
        <v>0.25</v>
      </c>
      <c r="BW12" s="284">
        <v>1</v>
      </c>
      <c r="BX12" s="284"/>
      <c r="BY12" s="2195">
        <v>3</v>
      </c>
      <c r="BZ12" s="2188">
        <f>SUM(BW12:BY12)</f>
        <v>4</v>
      </c>
      <c r="CA12" s="2175">
        <f>BW12/BZ12</f>
        <v>0.25</v>
      </c>
      <c r="CC12" s="284">
        <v>1</v>
      </c>
      <c r="CD12" s="284">
        <v>0</v>
      </c>
      <c r="CE12" s="2195">
        <v>3</v>
      </c>
      <c r="CF12" s="2188">
        <f>SUM(CC12:CE12)</f>
        <v>4</v>
      </c>
      <c r="CG12" s="2175">
        <f>CC12/CF12</f>
        <v>0.25</v>
      </c>
    </row>
    <row r="13" spans="1:85" ht="15" customHeight="1">
      <c r="A13" s="2081" t="s">
        <v>64</v>
      </c>
      <c r="B13" s="279"/>
      <c r="C13" s="284"/>
      <c r="D13" s="284"/>
      <c r="E13" s="2195">
        <v>5</v>
      </c>
      <c r="F13" s="2188">
        <f>SUM(C13:E13)</f>
        <v>5</v>
      </c>
      <c r="G13" s="2175">
        <f t="shared" si="1"/>
        <v>0</v>
      </c>
      <c r="H13" s="2174"/>
      <c r="I13" s="284">
        <v>1</v>
      </c>
      <c r="J13" s="284">
        <v>1</v>
      </c>
      <c r="K13" s="2195">
        <v>5</v>
      </c>
      <c r="L13" s="2188">
        <f>SUM(I13:K13)</f>
        <v>7</v>
      </c>
      <c r="M13" s="2175">
        <f t="shared" si="2"/>
        <v>0.14285714285714285</v>
      </c>
      <c r="O13" s="284">
        <v>1</v>
      </c>
      <c r="P13" s="284">
        <v>2</v>
      </c>
      <c r="Q13" s="2195">
        <v>5</v>
      </c>
      <c r="R13" s="2188">
        <f>SUM(O13:Q13)</f>
        <v>8</v>
      </c>
      <c r="S13" s="2175">
        <f t="shared" si="3"/>
        <v>0.125</v>
      </c>
      <c r="U13" s="284">
        <v>1</v>
      </c>
      <c r="V13" s="284">
        <v>2</v>
      </c>
      <c r="W13" s="2195">
        <v>5</v>
      </c>
      <c r="X13" s="2188">
        <f t="shared" si="0"/>
        <v>8</v>
      </c>
      <c r="Y13" s="2175">
        <f t="shared" si="4"/>
        <v>0.125</v>
      </c>
      <c r="AA13" s="284">
        <v>1</v>
      </c>
      <c r="AB13" s="284">
        <v>4</v>
      </c>
      <c r="AC13" s="2195">
        <v>4</v>
      </c>
      <c r="AD13" s="2188">
        <f>SUM(AA13:AC13)</f>
        <v>9</v>
      </c>
      <c r="AE13" s="2175">
        <f t="shared" si="5"/>
        <v>0.1111111111111111</v>
      </c>
      <c r="AG13" s="284">
        <v>1</v>
      </c>
      <c r="AH13" s="284">
        <v>6</v>
      </c>
      <c r="AI13" s="2195">
        <v>4</v>
      </c>
      <c r="AJ13" s="2188">
        <f>SUM(AG13:AI13)</f>
        <v>11</v>
      </c>
      <c r="AK13" s="2175">
        <f t="shared" si="6"/>
        <v>9.0909090909090912E-2</v>
      </c>
      <c r="AM13" s="284">
        <v>2</v>
      </c>
      <c r="AN13" s="284">
        <v>5</v>
      </c>
      <c r="AO13" s="2195">
        <v>4</v>
      </c>
      <c r="AP13" s="2188">
        <f>SUM(AM13:AO13)</f>
        <v>11</v>
      </c>
      <c r="AQ13" s="2175">
        <f>AM13/AP13</f>
        <v>0.18181818181818182</v>
      </c>
      <c r="AS13" s="284">
        <v>3</v>
      </c>
      <c r="AT13" s="284">
        <v>5</v>
      </c>
      <c r="AU13" s="2195">
        <v>2</v>
      </c>
      <c r="AV13" s="2188">
        <f t="shared" si="7"/>
        <v>10</v>
      </c>
      <c r="AW13" s="2175">
        <f t="shared" si="8"/>
        <v>0.3</v>
      </c>
      <c r="AY13" s="284">
        <v>3</v>
      </c>
      <c r="AZ13" s="284">
        <v>5</v>
      </c>
      <c r="BA13" s="2195">
        <v>3</v>
      </c>
      <c r="BB13" s="2188">
        <f>SUM(AY13:BA13)</f>
        <v>11</v>
      </c>
      <c r="BC13" s="2175">
        <f>AY13/BB13</f>
        <v>0.27272727272727271</v>
      </c>
      <c r="BE13" s="284">
        <v>4</v>
      </c>
      <c r="BF13" s="284">
        <v>4</v>
      </c>
      <c r="BG13" s="2195">
        <v>3</v>
      </c>
      <c r="BH13" s="2188">
        <f>SUM(BE13:BG13)</f>
        <v>11</v>
      </c>
      <c r="BI13" s="2175">
        <f>BE13/BH13</f>
        <v>0.36363636363636365</v>
      </c>
      <c r="BK13" s="284">
        <v>4</v>
      </c>
      <c r="BL13" s="284">
        <v>4</v>
      </c>
      <c r="BM13" s="2195">
        <v>3</v>
      </c>
      <c r="BN13" s="2188">
        <f>SUM(BK13:BM13)</f>
        <v>11</v>
      </c>
      <c r="BO13" s="2175">
        <f>BK13/BN13</f>
        <v>0.36363636363636365</v>
      </c>
      <c r="BQ13" s="284">
        <v>4</v>
      </c>
      <c r="BR13" s="284">
        <v>4</v>
      </c>
      <c r="BS13" s="2195">
        <v>3</v>
      </c>
      <c r="BT13" s="2188">
        <f>SUM(BQ13:BS13)</f>
        <v>11</v>
      </c>
      <c r="BU13" s="2175">
        <f>BQ13/BT13</f>
        <v>0.36363636363636365</v>
      </c>
      <c r="BW13" s="284">
        <v>4</v>
      </c>
      <c r="BX13" s="284">
        <v>5</v>
      </c>
      <c r="BY13" s="2195">
        <v>3</v>
      </c>
      <c r="BZ13" s="2188">
        <f>SUM(BW13:BY13)</f>
        <v>12</v>
      </c>
      <c r="CA13" s="2175">
        <f>BW13/BZ13</f>
        <v>0.33333333333333331</v>
      </c>
      <c r="CC13" s="284">
        <v>4</v>
      </c>
      <c r="CD13" s="284">
        <v>5</v>
      </c>
      <c r="CE13" s="2195">
        <v>3</v>
      </c>
      <c r="CF13" s="2188">
        <f>SUM(CC13:CE13)</f>
        <v>12</v>
      </c>
      <c r="CG13" s="2175">
        <f>CC13/CF13</f>
        <v>0.33333333333333331</v>
      </c>
    </row>
    <row r="14" spans="1:85" ht="15" customHeight="1">
      <c r="A14" s="2167" t="s">
        <v>59</v>
      </c>
      <c r="B14" s="279"/>
      <c r="C14" s="2178">
        <f t="shared" ref="C14:X14" si="9">SUM(C11:C13)</f>
        <v>2</v>
      </c>
      <c r="D14" s="2178">
        <f t="shared" si="9"/>
        <v>4</v>
      </c>
      <c r="E14" s="2197">
        <f t="shared" si="9"/>
        <v>14</v>
      </c>
      <c r="F14" s="2190">
        <f t="shared" si="9"/>
        <v>20</v>
      </c>
      <c r="G14" s="2179">
        <f t="shared" si="1"/>
        <v>0.1</v>
      </c>
      <c r="H14" s="2174"/>
      <c r="I14" s="2178">
        <f t="shared" si="9"/>
        <v>3</v>
      </c>
      <c r="J14" s="2178">
        <f t="shared" si="9"/>
        <v>5</v>
      </c>
      <c r="K14" s="2197">
        <f t="shared" si="9"/>
        <v>19</v>
      </c>
      <c r="L14" s="2190">
        <f t="shared" si="9"/>
        <v>27</v>
      </c>
      <c r="M14" s="2179">
        <f t="shared" si="2"/>
        <v>0.1111111111111111</v>
      </c>
      <c r="O14" s="2178">
        <f t="shared" si="9"/>
        <v>4</v>
      </c>
      <c r="P14" s="2178">
        <f t="shared" si="9"/>
        <v>5</v>
      </c>
      <c r="Q14" s="2197">
        <f t="shared" si="9"/>
        <v>21</v>
      </c>
      <c r="R14" s="2190">
        <f t="shared" si="9"/>
        <v>30</v>
      </c>
      <c r="S14" s="2179">
        <f t="shared" si="3"/>
        <v>0.13333333333333333</v>
      </c>
      <c r="U14" s="2178">
        <f t="shared" si="9"/>
        <v>4</v>
      </c>
      <c r="V14" s="2178">
        <f t="shared" si="9"/>
        <v>5</v>
      </c>
      <c r="W14" s="2197">
        <f t="shared" si="9"/>
        <v>20</v>
      </c>
      <c r="X14" s="2190">
        <f t="shared" si="9"/>
        <v>29</v>
      </c>
      <c r="Y14" s="2179">
        <f t="shared" si="4"/>
        <v>0.13793103448275862</v>
      </c>
      <c r="AA14" s="2178">
        <f>SUM(AA11:AA13)</f>
        <v>5</v>
      </c>
      <c r="AB14" s="2178">
        <f>SUM(AB11:AB13)</f>
        <v>7</v>
      </c>
      <c r="AC14" s="2197">
        <f>SUM(AC11:AC13)</f>
        <v>16</v>
      </c>
      <c r="AD14" s="2190">
        <f>SUM(AD11:AD13)</f>
        <v>28</v>
      </c>
      <c r="AE14" s="2179">
        <f t="shared" si="5"/>
        <v>0.17857142857142858</v>
      </c>
      <c r="AG14" s="2178">
        <f>SUM(AG11:AG13)</f>
        <v>5</v>
      </c>
      <c r="AH14" s="2178">
        <f>SUM(AH11:AH13)</f>
        <v>11</v>
      </c>
      <c r="AI14" s="2197">
        <f>SUM(AI11:AI13)</f>
        <v>15</v>
      </c>
      <c r="AJ14" s="2190">
        <f>SUM(AJ11:AJ13)</f>
        <v>31</v>
      </c>
      <c r="AK14" s="2179">
        <f t="shared" si="6"/>
        <v>0.16129032258064516</v>
      </c>
      <c r="AM14" s="2178">
        <f t="shared" ref="AM14:AU14" si="10">SUM(AM11:AM13)</f>
        <v>6</v>
      </c>
      <c r="AN14" s="2178">
        <f t="shared" si="10"/>
        <v>10</v>
      </c>
      <c r="AO14" s="2197">
        <f t="shared" si="10"/>
        <v>16</v>
      </c>
      <c r="AP14" s="2190">
        <f t="shared" si="10"/>
        <v>32</v>
      </c>
      <c r="AQ14" s="2179">
        <f>AM14/AP14</f>
        <v>0.1875</v>
      </c>
      <c r="AS14" s="2178">
        <f t="shared" si="10"/>
        <v>6</v>
      </c>
      <c r="AT14" s="2178">
        <f t="shared" si="10"/>
        <v>9</v>
      </c>
      <c r="AU14" s="2197">
        <f t="shared" si="10"/>
        <v>13</v>
      </c>
      <c r="AV14" s="2190">
        <f t="shared" si="7"/>
        <v>28</v>
      </c>
      <c r="AW14" s="2179">
        <f t="shared" si="8"/>
        <v>0.21428571428571427</v>
      </c>
      <c r="AY14" s="2178">
        <f>SUM(AY11:AY13)</f>
        <v>5</v>
      </c>
      <c r="AZ14" s="2178">
        <f>SUM(AZ11:AZ13)</f>
        <v>10</v>
      </c>
      <c r="BA14" s="2197">
        <f>SUM(BA11:BA13)</f>
        <v>12</v>
      </c>
      <c r="BB14" s="2190">
        <f>SUM(AY14:BA14)</f>
        <v>27</v>
      </c>
      <c r="BC14" s="2179">
        <f>AY14/BB14</f>
        <v>0.18518518518518517</v>
      </c>
      <c r="BE14" s="2178">
        <f>SUM(BE11:BE13)</f>
        <v>7</v>
      </c>
      <c r="BF14" s="2178">
        <f>SUM(BF11:BF13)</f>
        <v>8</v>
      </c>
      <c r="BG14" s="2197">
        <f>SUM(BG11:BG13)</f>
        <v>11</v>
      </c>
      <c r="BH14" s="2190">
        <f>SUM(BE14:BG14)</f>
        <v>26</v>
      </c>
      <c r="BI14" s="2179">
        <f>BE14/BH14</f>
        <v>0.26923076923076922</v>
      </c>
      <c r="BK14" s="2178">
        <f>SUM(BK11:BK13)</f>
        <v>7</v>
      </c>
      <c r="BL14" s="2178">
        <f>SUM(BL11:BL13)</f>
        <v>7</v>
      </c>
      <c r="BM14" s="2197">
        <f>SUM(BM11:BM13)</f>
        <v>11</v>
      </c>
      <c r="BN14" s="2190">
        <f>SUM(BK14:BM14)</f>
        <v>25</v>
      </c>
      <c r="BO14" s="2179">
        <f>BK14/BN14</f>
        <v>0.28000000000000003</v>
      </c>
      <c r="BQ14" s="2178">
        <f>SUM(BQ11:BQ13)</f>
        <v>7</v>
      </c>
      <c r="BR14" s="2178">
        <f>SUM(BR11:BR13)</f>
        <v>7</v>
      </c>
      <c r="BS14" s="2197">
        <f>SUM(BS11:BS13)</f>
        <v>10</v>
      </c>
      <c r="BT14" s="2190">
        <f>SUM(BQ14:BS14)</f>
        <v>24</v>
      </c>
      <c r="BU14" s="2179">
        <f>BQ14/BT14</f>
        <v>0.29166666666666669</v>
      </c>
      <c r="BW14" s="2178">
        <f>SUM(BW11:BW13)</f>
        <v>8</v>
      </c>
      <c r="BX14" s="2178">
        <f>SUM(BX11:BX13)</f>
        <v>7</v>
      </c>
      <c r="BY14" s="2197">
        <f>SUM(BY11:BY13)</f>
        <v>8</v>
      </c>
      <c r="BZ14" s="2190">
        <f>SUM(BW14:BY14)</f>
        <v>23</v>
      </c>
      <c r="CA14" s="2179">
        <f>BW14/BZ14</f>
        <v>0.34782608695652173</v>
      </c>
      <c r="CC14" s="2178">
        <f>SUM(CC11:CC13)</f>
        <v>8</v>
      </c>
      <c r="CD14" s="2178">
        <f>SUM(CD11:CD13)</f>
        <v>7</v>
      </c>
      <c r="CE14" s="2197">
        <f>SUM(CE11:CE13)</f>
        <v>8</v>
      </c>
      <c r="CF14" s="2190">
        <f>SUM(CC14:CE14)</f>
        <v>23</v>
      </c>
      <c r="CG14" s="2179">
        <f>CC14/CF14</f>
        <v>0.34782608695652173</v>
      </c>
    </row>
    <row r="15" spans="1:85">
      <c r="A15" s="2140"/>
      <c r="B15" s="281"/>
    </row>
    <row r="16" spans="1:85" ht="15" customHeight="1">
      <c r="A16" s="2080" t="s">
        <v>4</v>
      </c>
      <c r="B16" s="2202"/>
      <c r="C16" s="2203">
        <v>16</v>
      </c>
      <c r="D16" s="2203">
        <v>18</v>
      </c>
      <c r="E16" s="2204">
        <v>3</v>
      </c>
      <c r="F16" s="2205">
        <f>SUM(C16:E16)</f>
        <v>37</v>
      </c>
      <c r="G16" s="2206">
        <f t="shared" si="1"/>
        <v>0.43243243243243246</v>
      </c>
      <c r="H16" s="2174"/>
      <c r="I16" s="2203">
        <v>16</v>
      </c>
      <c r="J16" s="2203">
        <v>19</v>
      </c>
      <c r="K16" s="2204">
        <v>4</v>
      </c>
      <c r="L16" s="2205">
        <f>SUM(I16:K16)</f>
        <v>39</v>
      </c>
      <c r="M16" s="2206">
        <f t="shared" si="2"/>
        <v>0.41025641025641024</v>
      </c>
      <c r="O16" s="2203">
        <v>17</v>
      </c>
      <c r="P16" s="2203">
        <v>17</v>
      </c>
      <c r="Q16" s="2204">
        <v>3</v>
      </c>
      <c r="R16" s="2205">
        <f>SUM(O16:Q16)</f>
        <v>37</v>
      </c>
      <c r="S16" s="2206">
        <f t="shared" si="3"/>
        <v>0.45945945945945948</v>
      </c>
      <c r="T16" s="2169"/>
      <c r="U16" s="2203">
        <v>17</v>
      </c>
      <c r="V16" s="2203">
        <v>16</v>
      </c>
      <c r="W16" s="2204">
        <v>3</v>
      </c>
      <c r="X16" s="2205">
        <f>SUM(U16:W16)</f>
        <v>36</v>
      </c>
      <c r="Y16" s="2206">
        <f t="shared" si="4"/>
        <v>0.47222222222222221</v>
      </c>
      <c r="Z16" s="2169"/>
      <c r="AA16" s="2203">
        <v>18</v>
      </c>
      <c r="AB16" s="2203">
        <v>16</v>
      </c>
      <c r="AC16" s="2204">
        <v>3</v>
      </c>
      <c r="AD16" s="2205">
        <f>SUM(AA16:AC16)</f>
        <v>37</v>
      </c>
      <c r="AE16" s="2206">
        <f t="shared" si="5"/>
        <v>0.48648648648648651</v>
      </c>
      <c r="AF16" s="2169"/>
      <c r="AG16" s="2203">
        <v>17</v>
      </c>
      <c r="AH16" s="2203">
        <v>14</v>
      </c>
      <c r="AI16" s="2204">
        <v>5</v>
      </c>
      <c r="AJ16" s="2205">
        <f>SUM(AG16:AI16)</f>
        <v>36</v>
      </c>
      <c r="AK16" s="2206">
        <f t="shared" si="6"/>
        <v>0.47222222222222221</v>
      </c>
      <c r="AL16" s="2169"/>
      <c r="AM16" s="2203">
        <v>14</v>
      </c>
      <c r="AN16" s="2203">
        <v>16</v>
      </c>
      <c r="AO16" s="2204">
        <v>7</v>
      </c>
      <c r="AP16" s="2205">
        <f>SUM(AM16:AO16)</f>
        <v>37</v>
      </c>
      <c r="AQ16" s="2206">
        <f>AM16/AP16</f>
        <v>0.3783783783783784</v>
      </c>
      <c r="AR16" s="2169"/>
      <c r="AS16" s="2203">
        <v>14</v>
      </c>
      <c r="AT16" s="2203">
        <v>16</v>
      </c>
      <c r="AU16" s="2204">
        <v>4</v>
      </c>
      <c r="AV16" s="2205">
        <f t="shared" si="7"/>
        <v>34</v>
      </c>
      <c r="AW16" s="2206">
        <f t="shared" si="8"/>
        <v>0.41176470588235292</v>
      </c>
      <c r="AX16" s="2169"/>
      <c r="AY16" s="2203">
        <v>14</v>
      </c>
      <c r="AZ16" s="2203">
        <v>15</v>
      </c>
      <c r="BA16" s="2204">
        <v>5</v>
      </c>
      <c r="BB16" s="2205">
        <f>SUM(AY16:BA16)</f>
        <v>34</v>
      </c>
      <c r="BC16" s="2206">
        <f>AY16/BB16</f>
        <v>0.41176470588235292</v>
      </c>
      <c r="BE16" s="2203">
        <v>15</v>
      </c>
      <c r="BF16" s="2203">
        <v>13</v>
      </c>
      <c r="BG16" s="2204">
        <v>5</v>
      </c>
      <c r="BH16" s="2205">
        <f>SUM(BE16:BG16)</f>
        <v>33</v>
      </c>
      <c r="BI16" s="2206">
        <f>BE16/BH16</f>
        <v>0.45454545454545453</v>
      </c>
      <c r="BK16" s="2203">
        <v>15</v>
      </c>
      <c r="BL16" s="2203">
        <v>13</v>
      </c>
      <c r="BM16" s="2204">
        <v>5</v>
      </c>
      <c r="BN16" s="2205">
        <f>SUM(BK16:BM16)</f>
        <v>33</v>
      </c>
      <c r="BO16" s="2206">
        <f>BK16/BN16</f>
        <v>0.45454545454545453</v>
      </c>
      <c r="BQ16" s="2203">
        <v>14</v>
      </c>
      <c r="BR16" s="2203">
        <v>12</v>
      </c>
      <c r="BS16" s="2204">
        <v>4</v>
      </c>
      <c r="BT16" s="2205">
        <f>SUM(BQ16:BS16)</f>
        <v>30</v>
      </c>
      <c r="BU16" s="2206">
        <f>BQ16/BT16</f>
        <v>0.46666666666666667</v>
      </c>
      <c r="BW16" s="2203">
        <v>13</v>
      </c>
      <c r="BX16" s="2203">
        <v>12</v>
      </c>
      <c r="BY16" s="2204">
        <v>4</v>
      </c>
      <c r="BZ16" s="2205">
        <f>SUM(BW16:BY16)</f>
        <v>29</v>
      </c>
      <c r="CA16" s="2206">
        <f>BW16/BZ16</f>
        <v>0.44827586206896552</v>
      </c>
      <c r="CC16" s="2203">
        <v>12</v>
      </c>
      <c r="CD16" s="2203">
        <v>10</v>
      </c>
      <c r="CE16" s="2204">
        <v>4</v>
      </c>
      <c r="CF16" s="2205">
        <f>SUM(CC16:CE16)</f>
        <v>26</v>
      </c>
      <c r="CG16" s="2206">
        <f>CC16/CF16</f>
        <v>0.46153846153846156</v>
      </c>
    </row>
    <row r="17" spans="1:85" ht="15" customHeight="1">
      <c r="A17" s="2081" t="s">
        <v>16</v>
      </c>
      <c r="B17" s="279"/>
      <c r="C17" s="284">
        <v>17</v>
      </c>
      <c r="D17" s="284">
        <v>12</v>
      </c>
      <c r="E17" s="2195">
        <v>3</v>
      </c>
      <c r="F17" s="2188">
        <f>SUM(C17:E17)</f>
        <v>32</v>
      </c>
      <c r="G17" s="2175">
        <f t="shared" si="1"/>
        <v>0.53125</v>
      </c>
      <c r="H17" s="2174"/>
      <c r="I17" s="284">
        <v>12</v>
      </c>
      <c r="J17" s="284">
        <v>14</v>
      </c>
      <c r="K17" s="2195">
        <v>10</v>
      </c>
      <c r="L17" s="2188">
        <f>SUM(I17:K17)</f>
        <v>36</v>
      </c>
      <c r="M17" s="2175">
        <f t="shared" si="2"/>
        <v>0.33333333333333331</v>
      </c>
      <c r="O17" s="284">
        <v>16</v>
      </c>
      <c r="P17" s="284">
        <v>11</v>
      </c>
      <c r="Q17" s="2195">
        <v>9</v>
      </c>
      <c r="R17" s="2188">
        <f>SUM(O17:Q17)</f>
        <v>36</v>
      </c>
      <c r="S17" s="2175">
        <f t="shared" si="3"/>
        <v>0.44444444444444442</v>
      </c>
      <c r="U17" s="284">
        <v>16</v>
      </c>
      <c r="V17" s="284">
        <v>12</v>
      </c>
      <c r="W17" s="2195">
        <v>9</v>
      </c>
      <c r="X17" s="2188">
        <f>SUM(U17:W17)</f>
        <v>37</v>
      </c>
      <c r="Y17" s="2175">
        <f t="shared" si="4"/>
        <v>0.43243243243243246</v>
      </c>
      <c r="AA17" s="284">
        <v>16</v>
      </c>
      <c r="AB17" s="284">
        <v>11</v>
      </c>
      <c r="AC17" s="2195">
        <v>7</v>
      </c>
      <c r="AD17" s="2188">
        <f>SUM(AA17:AC17)</f>
        <v>34</v>
      </c>
      <c r="AE17" s="2175">
        <f t="shared" si="5"/>
        <v>0.47058823529411764</v>
      </c>
      <c r="AG17" s="284">
        <v>15</v>
      </c>
      <c r="AH17" s="284">
        <v>8</v>
      </c>
      <c r="AI17" s="2195">
        <v>6</v>
      </c>
      <c r="AJ17" s="2188">
        <f>SUM(AG17:AI17)</f>
        <v>29</v>
      </c>
      <c r="AK17" s="2175">
        <f t="shared" si="6"/>
        <v>0.51724137931034486</v>
      </c>
      <c r="AM17" s="284">
        <v>12</v>
      </c>
      <c r="AN17" s="284">
        <v>10</v>
      </c>
      <c r="AO17" s="2195">
        <v>7</v>
      </c>
      <c r="AP17" s="2188">
        <f>SUM(AM17:AO17)</f>
        <v>29</v>
      </c>
      <c r="AQ17" s="2175">
        <f>AM17/AP17</f>
        <v>0.41379310344827586</v>
      </c>
      <c r="AS17" s="284">
        <v>10</v>
      </c>
      <c r="AT17" s="284">
        <v>9</v>
      </c>
      <c r="AU17" s="2195">
        <v>8</v>
      </c>
      <c r="AV17" s="2188">
        <f t="shared" si="7"/>
        <v>27</v>
      </c>
      <c r="AW17" s="2175">
        <f t="shared" si="8"/>
        <v>0.37037037037037035</v>
      </c>
      <c r="AY17" s="284">
        <v>10</v>
      </c>
      <c r="AZ17" s="284">
        <v>6</v>
      </c>
      <c r="BA17" s="2195">
        <v>10</v>
      </c>
      <c r="BB17" s="2188">
        <f>SUM(AY17:BA17)</f>
        <v>26</v>
      </c>
      <c r="BC17" s="2175">
        <f>AY17/BB17</f>
        <v>0.38461538461538464</v>
      </c>
      <c r="BE17" s="284">
        <v>10</v>
      </c>
      <c r="BF17" s="284">
        <v>6</v>
      </c>
      <c r="BG17" s="2195">
        <v>11</v>
      </c>
      <c r="BH17" s="2188">
        <f>SUM(BE17:BG17)</f>
        <v>27</v>
      </c>
      <c r="BI17" s="2175">
        <f>BE17/BH17</f>
        <v>0.37037037037037035</v>
      </c>
      <c r="BK17" s="284">
        <v>10</v>
      </c>
      <c r="BL17" s="284">
        <v>6</v>
      </c>
      <c r="BM17" s="2195">
        <v>11</v>
      </c>
      <c r="BN17" s="2188">
        <f>SUM(BK17:BM17)</f>
        <v>27</v>
      </c>
      <c r="BO17" s="2175">
        <f>BK17/BN17</f>
        <v>0.37037037037037035</v>
      </c>
      <c r="BQ17" s="284">
        <v>9</v>
      </c>
      <c r="BR17" s="284">
        <v>5</v>
      </c>
      <c r="BS17" s="2195">
        <v>13</v>
      </c>
      <c r="BT17" s="2188">
        <f>SUM(BQ17:BS17)</f>
        <v>27</v>
      </c>
      <c r="BU17" s="2175">
        <f>BQ17/BT17</f>
        <v>0.33333333333333331</v>
      </c>
      <c r="BW17" s="284">
        <v>7</v>
      </c>
      <c r="BX17" s="284">
        <v>6</v>
      </c>
      <c r="BY17" s="2195">
        <v>7</v>
      </c>
      <c r="BZ17" s="2188">
        <f>SUM(BW17:BY17)</f>
        <v>20</v>
      </c>
      <c r="CA17" s="2175">
        <f>BW17/BZ17</f>
        <v>0.35</v>
      </c>
      <c r="CC17" s="284">
        <v>7</v>
      </c>
      <c r="CD17" s="284">
        <v>6</v>
      </c>
      <c r="CE17" s="2195">
        <v>5</v>
      </c>
      <c r="CF17" s="2188">
        <f>SUM(CC17:CE17)</f>
        <v>18</v>
      </c>
      <c r="CG17" s="2175">
        <f>CC17/CF17</f>
        <v>0.3888888888888889</v>
      </c>
    </row>
    <row r="18" spans="1:85" ht="15" customHeight="1">
      <c r="A18" s="2081" t="s">
        <v>41</v>
      </c>
      <c r="B18" s="279"/>
      <c r="C18" s="284">
        <v>14</v>
      </c>
      <c r="D18" s="284">
        <v>15</v>
      </c>
      <c r="E18" s="2195">
        <v>10</v>
      </c>
      <c r="F18" s="2188">
        <f>SUM(C18:E18)</f>
        <v>39</v>
      </c>
      <c r="G18" s="2175">
        <f t="shared" si="1"/>
        <v>0.35897435897435898</v>
      </c>
      <c r="H18" s="2174"/>
      <c r="I18" s="284">
        <v>15</v>
      </c>
      <c r="J18" s="284">
        <v>13</v>
      </c>
      <c r="K18" s="2195">
        <v>4</v>
      </c>
      <c r="L18" s="2188">
        <f>SUM(I18:K18)</f>
        <v>32</v>
      </c>
      <c r="M18" s="2175">
        <f t="shared" si="2"/>
        <v>0.46875</v>
      </c>
      <c r="O18" s="284">
        <v>15</v>
      </c>
      <c r="P18" s="284">
        <v>9</v>
      </c>
      <c r="Q18" s="2195">
        <v>8</v>
      </c>
      <c r="R18" s="2188">
        <f>SUM(O18:Q18)</f>
        <v>32</v>
      </c>
      <c r="S18" s="2175">
        <f t="shared" si="3"/>
        <v>0.46875</v>
      </c>
      <c r="U18" s="284">
        <v>15</v>
      </c>
      <c r="V18" s="284">
        <v>8</v>
      </c>
      <c r="W18" s="2195">
        <v>8</v>
      </c>
      <c r="X18" s="2188">
        <f>SUM(U18:W18)</f>
        <v>31</v>
      </c>
      <c r="Y18" s="2175">
        <f t="shared" si="4"/>
        <v>0.4838709677419355</v>
      </c>
      <c r="AA18" s="284">
        <v>15</v>
      </c>
      <c r="AB18" s="284">
        <v>8</v>
      </c>
      <c r="AC18" s="2195">
        <v>8</v>
      </c>
      <c r="AD18" s="2188">
        <f>SUM(AA18:AC18)</f>
        <v>31</v>
      </c>
      <c r="AE18" s="2175">
        <f t="shared" si="5"/>
        <v>0.4838709677419355</v>
      </c>
      <c r="AG18" s="284">
        <v>16</v>
      </c>
      <c r="AH18" s="284">
        <v>7</v>
      </c>
      <c r="AI18" s="2195">
        <v>9</v>
      </c>
      <c r="AJ18" s="2188">
        <f>SUM(AG18:AI18)</f>
        <v>32</v>
      </c>
      <c r="AK18" s="2175">
        <f t="shared" si="6"/>
        <v>0.5</v>
      </c>
      <c r="AM18" s="284">
        <v>15</v>
      </c>
      <c r="AN18" s="284">
        <v>8</v>
      </c>
      <c r="AO18" s="2195">
        <v>9</v>
      </c>
      <c r="AP18" s="2188">
        <f>SUM(AM18:AO18)</f>
        <v>32</v>
      </c>
      <c r="AQ18" s="2175">
        <f>AM18/AP18</f>
        <v>0.46875</v>
      </c>
      <c r="AS18" s="284">
        <v>15</v>
      </c>
      <c r="AT18" s="284">
        <v>8</v>
      </c>
      <c r="AU18" s="2195">
        <v>11</v>
      </c>
      <c r="AV18" s="2188">
        <f t="shared" si="7"/>
        <v>34</v>
      </c>
      <c r="AW18" s="2175">
        <f t="shared" si="8"/>
        <v>0.44117647058823528</v>
      </c>
      <c r="AY18" s="284">
        <v>14</v>
      </c>
      <c r="AZ18" s="284">
        <v>13</v>
      </c>
      <c r="BA18" s="2195">
        <v>7</v>
      </c>
      <c r="BB18" s="2188">
        <f>SUM(AY18:BA18)</f>
        <v>34</v>
      </c>
      <c r="BC18" s="2175">
        <f>AY18/BB18</f>
        <v>0.41176470588235292</v>
      </c>
      <c r="BE18" s="284">
        <v>13</v>
      </c>
      <c r="BF18" s="284">
        <v>13</v>
      </c>
      <c r="BG18" s="2195">
        <v>9</v>
      </c>
      <c r="BH18" s="2188">
        <f>SUM(BE18:BG18)</f>
        <v>35</v>
      </c>
      <c r="BI18" s="2175">
        <f>BE18/BH18</f>
        <v>0.37142857142857144</v>
      </c>
      <c r="BK18" s="284">
        <v>13</v>
      </c>
      <c r="BL18" s="284">
        <v>13</v>
      </c>
      <c r="BM18" s="2195">
        <v>9</v>
      </c>
      <c r="BN18" s="2188">
        <f>SUM(BK18:BM18)</f>
        <v>35</v>
      </c>
      <c r="BO18" s="2175">
        <f>BK18/BN18</f>
        <v>0.37142857142857144</v>
      </c>
      <c r="BQ18" s="284">
        <v>11</v>
      </c>
      <c r="BR18" s="284">
        <v>15</v>
      </c>
      <c r="BS18" s="2195">
        <v>8</v>
      </c>
      <c r="BT18" s="2188">
        <f>SUM(BQ18:BS18)</f>
        <v>34</v>
      </c>
      <c r="BU18" s="2175">
        <f>BQ18/BT18</f>
        <v>0.3235294117647059</v>
      </c>
      <c r="BW18" s="284">
        <v>12</v>
      </c>
      <c r="BX18" s="284">
        <v>16</v>
      </c>
      <c r="BY18" s="2195">
        <v>5</v>
      </c>
      <c r="BZ18" s="2188">
        <f>SUM(BW18:BY18)</f>
        <v>33</v>
      </c>
      <c r="CA18" s="2175">
        <f>BW18/BZ18</f>
        <v>0.36363636363636365</v>
      </c>
      <c r="CC18" s="284">
        <v>12</v>
      </c>
      <c r="CD18" s="284">
        <v>16</v>
      </c>
      <c r="CE18" s="2195">
        <v>5</v>
      </c>
      <c r="CF18" s="2188">
        <f>SUM(CC18:CE18)</f>
        <v>33</v>
      </c>
      <c r="CG18" s="2175">
        <f>CC18/CF18</f>
        <v>0.36363636363636365</v>
      </c>
    </row>
    <row r="19" spans="1:85" ht="15" customHeight="1">
      <c r="A19" s="2168" t="s">
        <v>25</v>
      </c>
      <c r="B19" s="279"/>
      <c r="C19" s="2180">
        <f t="shared" ref="C19:X19" si="11">SUM(C16:C18)</f>
        <v>47</v>
      </c>
      <c r="D19" s="2180">
        <f t="shared" si="11"/>
        <v>45</v>
      </c>
      <c r="E19" s="2198">
        <f t="shared" si="11"/>
        <v>16</v>
      </c>
      <c r="F19" s="2191">
        <f t="shared" si="11"/>
        <v>108</v>
      </c>
      <c r="G19" s="2181">
        <f t="shared" si="1"/>
        <v>0.43518518518518517</v>
      </c>
      <c r="H19" s="2174"/>
      <c r="I19" s="2180">
        <f t="shared" si="11"/>
        <v>43</v>
      </c>
      <c r="J19" s="2180">
        <f t="shared" si="11"/>
        <v>46</v>
      </c>
      <c r="K19" s="2198">
        <f t="shared" si="11"/>
        <v>18</v>
      </c>
      <c r="L19" s="2191">
        <f t="shared" si="11"/>
        <v>107</v>
      </c>
      <c r="M19" s="2181">
        <f t="shared" si="2"/>
        <v>0.40186915887850466</v>
      </c>
      <c r="O19" s="2180">
        <f t="shared" si="11"/>
        <v>48</v>
      </c>
      <c r="P19" s="2180">
        <f t="shared" si="11"/>
        <v>37</v>
      </c>
      <c r="Q19" s="2198">
        <f t="shared" si="11"/>
        <v>20</v>
      </c>
      <c r="R19" s="2191">
        <f t="shared" si="11"/>
        <v>105</v>
      </c>
      <c r="S19" s="2181">
        <f t="shared" si="3"/>
        <v>0.45714285714285713</v>
      </c>
      <c r="U19" s="2180">
        <f t="shared" si="11"/>
        <v>48</v>
      </c>
      <c r="V19" s="2180">
        <f t="shared" si="11"/>
        <v>36</v>
      </c>
      <c r="W19" s="2198">
        <f t="shared" si="11"/>
        <v>20</v>
      </c>
      <c r="X19" s="2191">
        <f t="shared" si="11"/>
        <v>104</v>
      </c>
      <c r="Y19" s="2181">
        <f t="shared" si="4"/>
        <v>0.46153846153846156</v>
      </c>
      <c r="AA19" s="2180">
        <f>SUM(AA16:AA18)</f>
        <v>49</v>
      </c>
      <c r="AB19" s="2180">
        <f>SUM(AB16:AB18)</f>
        <v>35</v>
      </c>
      <c r="AC19" s="2198">
        <f>SUM(AC16:AC18)</f>
        <v>18</v>
      </c>
      <c r="AD19" s="2191">
        <f>SUM(AD16:AD18)</f>
        <v>102</v>
      </c>
      <c r="AE19" s="2181">
        <f t="shared" si="5"/>
        <v>0.48039215686274511</v>
      </c>
      <c r="AG19" s="2180">
        <f>SUM(AG16:AG18)</f>
        <v>48</v>
      </c>
      <c r="AH19" s="2180">
        <f>SUM(AH16:AH18)</f>
        <v>29</v>
      </c>
      <c r="AI19" s="2198">
        <f>SUM(AI16:AI18)</f>
        <v>20</v>
      </c>
      <c r="AJ19" s="2191">
        <f>SUM(AJ16:AJ18)</f>
        <v>97</v>
      </c>
      <c r="AK19" s="2181">
        <f t="shared" si="6"/>
        <v>0.49484536082474229</v>
      </c>
      <c r="AM19" s="2180">
        <f t="shared" ref="AM19:AU19" si="12">SUM(AM16:AM18)</f>
        <v>41</v>
      </c>
      <c r="AN19" s="2180">
        <f t="shared" si="12"/>
        <v>34</v>
      </c>
      <c r="AO19" s="2198">
        <f t="shared" si="12"/>
        <v>23</v>
      </c>
      <c r="AP19" s="2191">
        <f t="shared" si="12"/>
        <v>98</v>
      </c>
      <c r="AQ19" s="2181">
        <f>AM19/AP19</f>
        <v>0.41836734693877553</v>
      </c>
      <c r="AS19" s="2180">
        <f t="shared" si="12"/>
        <v>39</v>
      </c>
      <c r="AT19" s="2180">
        <f t="shared" si="12"/>
        <v>33</v>
      </c>
      <c r="AU19" s="2198">
        <f t="shared" si="12"/>
        <v>23</v>
      </c>
      <c r="AV19" s="2191">
        <f t="shared" si="7"/>
        <v>95</v>
      </c>
      <c r="AW19" s="2181">
        <f t="shared" si="8"/>
        <v>0.41052631578947368</v>
      </c>
      <c r="AY19" s="2180">
        <f>SUM(AY16:AY18)</f>
        <v>38</v>
      </c>
      <c r="AZ19" s="2180">
        <f>SUM(AZ16:AZ18)</f>
        <v>34</v>
      </c>
      <c r="BA19" s="2198">
        <f>SUM(BA16:BA18)</f>
        <v>22</v>
      </c>
      <c r="BB19" s="2191">
        <f>SUM(AY19:BA19)</f>
        <v>94</v>
      </c>
      <c r="BC19" s="2181">
        <f>AY19/BB19</f>
        <v>0.40425531914893614</v>
      </c>
      <c r="BE19" s="2180">
        <f>SUM(BE16:BE18)</f>
        <v>38</v>
      </c>
      <c r="BF19" s="2180">
        <f>SUM(BF16:BF18)</f>
        <v>32</v>
      </c>
      <c r="BG19" s="2198">
        <f>SUM(BG16:BG18)</f>
        <v>25</v>
      </c>
      <c r="BH19" s="2191">
        <f>SUM(BE19:BG19)</f>
        <v>95</v>
      </c>
      <c r="BI19" s="2181">
        <f>BE19/BH19</f>
        <v>0.4</v>
      </c>
      <c r="BK19" s="2180">
        <f>SUM(BK16:BK18)</f>
        <v>38</v>
      </c>
      <c r="BL19" s="2180">
        <f>SUM(BL16:BL18)</f>
        <v>32</v>
      </c>
      <c r="BM19" s="2198">
        <f>SUM(BM16:BM18)</f>
        <v>25</v>
      </c>
      <c r="BN19" s="2191">
        <f>SUM(BK19:BM19)</f>
        <v>95</v>
      </c>
      <c r="BO19" s="2181">
        <f>BK19/BN19</f>
        <v>0.4</v>
      </c>
      <c r="BQ19" s="2180">
        <f>SUM(BQ16:BQ18)</f>
        <v>34</v>
      </c>
      <c r="BR19" s="2180">
        <f>SUM(BR16:BR18)</f>
        <v>32</v>
      </c>
      <c r="BS19" s="2198">
        <f>SUM(BS16:BS18)</f>
        <v>25</v>
      </c>
      <c r="BT19" s="2191">
        <f>SUM(BQ19:BS19)</f>
        <v>91</v>
      </c>
      <c r="BU19" s="2181">
        <f>BQ19/BT19</f>
        <v>0.37362637362637363</v>
      </c>
      <c r="BW19" s="2180">
        <f>SUM(BW16:BW18)</f>
        <v>32</v>
      </c>
      <c r="BX19" s="2180">
        <f>SUM(BX16:BX18)</f>
        <v>34</v>
      </c>
      <c r="BY19" s="2198">
        <f>SUM(BY16:BY18)</f>
        <v>16</v>
      </c>
      <c r="BZ19" s="2191">
        <f>SUM(BW19:BY19)</f>
        <v>82</v>
      </c>
      <c r="CA19" s="2181">
        <f>BW19/BZ19</f>
        <v>0.3902439024390244</v>
      </c>
      <c r="CC19" s="2180">
        <f>SUM(CC16:CC18)</f>
        <v>31</v>
      </c>
      <c r="CD19" s="2180">
        <f>SUM(CD16:CD18)</f>
        <v>32</v>
      </c>
      <c r="CE19" s="2198">
        <f>SUM(CE16:CE18)</f>
        <v>14</v>
      </c>
      <c r="CF19" s="2191">
        <f>SUM(CC19:CE19)</f>
        <v>77</v>
      </c>
      <c r="CG19" s="2181">
        <f>CC19/CF19</f>
        <v>0.40259740259740262</v>
      </c>
    </row>
    <row r="20" spans="1:85" ht="15" customHeight="1">
      <c r="A20" s="281"/>
      <c r="B20" s="281"/>
    </row>
    <row r="21" spans="1:85" ht="15" customHeight="1">
      <c r="A21" s="2080" t="s">
        <v>4</v>
      </c>
      <c r="B21" s="2202"/>
      <c r="C21" s="2203"/>
      <c r="D21" s="2203"/>
      <c r="E21" s="2204"/>
      <c r="F21" s="2205"/>
      <c r="G21" s="2206"/>
      <c r="H21" s="2174"/>
      <c r="I21" s="2203"/>
      <c r="J21" s="2203"/>
      <c r="K21" s="2204"/>
      <c r="L21" s="2205"/>
      <c r="M21" s="2206"/>
      <c r="O21" s="2203"/>
      <c r="P21" s="2203"/>
      <c r="Q21" s="2204"/>
      <c r="R21" s="2205"/>
      <c r="S21" s="2206"/>
      <c r="T21" s="2169"/>
      <c r="U21" s="2203"/>
      <c r="V21" s="2203"/>
      <c r="W21" s="2204"/>
      <c r="X21" s="2205"/>
      <c r="Y21" s="2206"/>
      <c r="Z21" s="2169"/>
      <c r="AA21" s="2203"/>
      <c r="AB21" s="2203"/>
      <c r="AC21" s="2204"/>
      <c r="AD21" s="2205"/>
      <c r="AE21" s="2206"/>
      <c r="AF21" s="2169"/>
      <c r="AG21" s="2203"/>
      <c r="AH21" s="2203"/>
      <c r="AI21" s="2204">
        <v>2</v>
      </c>
      <c r="AJ21" s="2205">
        <f>SUM(AG21:AI21)</f>
        <v>2</v>
      </c>
      <c r="AK21" s="2206">
        <f>AG21/AJ21</f>
        <v>0</v>
      </c>
      <c r="AL21" s="2169"/>
      <c r="AM21" s="2203"/>
      <c r="AN21" s="2203"/>
      <c r="AO21" s="2204">
        <v>2</v>
      </c>
      <c r="AP21" s="2205">
        <f>SUM(AM21:AO21)</f>
        <v>2</v>
      </c>
      <c r="AQ21" s="2206">
        <f>AM21/AP21</f>
        <v>0</v>
      </c>
      <c r="AR21" s="2169"/>
      <c r="AS21" s="2203"/>
      <c r="AT21" s="2203"/>
      <c r="AU21" s="2204">
        <v>2</v>
      </c>
      <c r="AV21" s="2205">
        <f t="shared" si="7"/>
        <v>2</v>
      </c>
      <c r="AW21" s="2206">
        <f t="shared" si="8"/>
        <v>0</v>
      </c>
      <c r="AX21" s="2169"/>
      <c r="AY21" s="2203"/>
      <c r="AZ21" s="2203"/>
      <c r="BA21" s="2204">
        <v>3</v>
      </c>
      <c r="BB21" s="2205">
        <f>SUM(AY21:BA21)</f>
        <v>3</v>
      </c>
      <c r="BC21" s="2206">
        <f>AY21/BB21</f>
        <v>0</v>
      </c>
      <c r="BE21" s="2203"/>
      <c r="BF21" s="2203"/>
      <c r="BG21" s="2204">
        <v>3</v>
      </c>
      <c r="BH21" s="2205">
        <f>SUM(BE21:BG21)</f>
        <v>3</v>
      </c>
      <c r="BI21" s="2206">
        <f>BE21/BH21</f>
        <v>0</v>
      </c>
      <c r="BK21" s="2203"/>
      <c r="BL21" s="2203"/>
      <c r="BM21" s="2204">
        <v>2</v>
      </c>
      <c r="BN21" s="2205">
        <f>SUM(BK21:BM21)</f>
        <v>2</v>
      </c>
      <c r="BO21" s="2206">
        <f>BK21/BN21</f>
        <v>0</v>
      </c>
      <c r="BQ21" s="2203"/>
      <c r="BR21" s="2203"/>
      <c r="BS21" s="2204">
        <v>2</v>
      </c>
      <c r="BT21" s="2205">
        <f>SUM(BQ21:BS21)</f>
        <v>2</v>
      </c>
      <c r="BU21" s="2206">
        <f>BQ21/BT21</f>
        <v>0</v>
      </c>
      <c r="BW21" s="2203"/>
      <c r="BX21" s="2203"/>
      <c r="BY21" s="2204"/>
      <c r="BZ21" s="2205">
        <f>SUM(BW21:BY21)</f>
        <v>0</v>
      </c>
      <c r="CA21" s="2206"/>
      <c r="CC21" s="2203">
        <v>0</v>
      </c>
      <c r="CD21" s="2203">
        <v>0</v>
      </c>
      <c r="CE21" s="2204">
        <v>0</v>
      </c>
      <c r="CF21" s="2205">
        <f>SUM(CC21:CE21)</f>
        <v>0</v>
      </c>
      <c r="CG21" s="2206"/>
    </row>
    <row r="22" spans="1:85" ht="15" customHeight="1">
      <c r="A22" s="2081" t="s">
        <v>16</v>
      </c>
      <c r="B22" s="279"/>
      <c r="C22" s="284"/>
      <c r="D22" s="284"/>
      <c r="E22" s="2195"/>
      <c r="F22" s="2188"/>
      <c r="G22" s="2175"/>
      <c r="H22" s="2174"/>
      <c r="I22" s="284"/>
      <c r="J22" s="284"/>
      <c r="K22" s="2195"/>
      <c r="L22" s="2188"/>
      <c r="M22" s="2175"/>
      <c r="O22" s="284"/>
      <c r="P22" s="284"/>
      <c r="Q22" s="2195"/>
      <c r="R22" s="2188"/>
      <c r="S22" s="2175"/>
      <c r="U22" s="284"/>
      <c r="V22" s="284"/>
      <c r="W22" s="2195"/>
      <c r="X22" s="2188"/>
      <c r="Y22" s="2175"/>
      <c r="AA22" s="284"/>
      <c r="AB22" s="284"/>
      <c r="AC22" s="2195"/>
      <c r="AD22" s="2188"/>
      <c r="AE22" s="2175"/>
      <c r="AG22" s="284"/>
      <c r="AH22" s="284"/>
      <c r="AI22" s="2195">
        <v>2</v>
      </c>
      <c r="AJ22" s="2188">
        <f>SUM(AG22:AI22)</f>
        <v>2</v>
      </c>
      <c r="AK22" s="2175">
        <f>AG22/AJ22</f>
        <v>0</v>
      </c>
      <c r="AM22" s="284"/>
      <c r="AN22" s="284"/>
      <c r="AO22" s="2195">
        <v>2</v>
      </c>
      <c r="AP22" s="2188">
        <f>SUM(AM22:AO22)</f>
        <v>2</v>
      </c>
      <c r="AQ22" s="2175">
        <f>AM22/AP22</f>
        <v>0</v>
      </c>
      <c r="AS22" s="284"/>
      <c r="AT22" s="284"/>
      <c r="AU22" s="2195">
        <v>3</v>
      </c>
      <c r="AV22" s="2188">
        <f t="shared" si="7"/>
        <v>3</v>
      </c>
      <c r="AW22" s="2175">
        <f t="shared" si="8"/>
        <v>0</v>
      </c>
      <c r="AY22" s="284">
        <v>1</v>
      </c>
      <c r="AZ22" s="284"/>
      <c r="BA22" s="2195">
        <v>2</v>
      </c>
      <c r="BB22" s="2188">
        <f>SUM(AY22:BA22)</f>
        <v>3</v>
      </c>
      <c r="BC22" s="2175">
        <f>AY22/BB22</f>
        <v>0.33333333333333331</v>
      </c>
      <c r="BE22" s="284">
        <v>1</v>
      </c>
      <c r="BF22" s="284"/>
      <c r="BG22" s="2195">
        <v>2</v>
      </c>
      <c r="BH22" s="2188">
        <f>SUM(BE22:BG22)</f>
        <v>3</v>
      </c>
      <c r="BI22" s="2175">
        <f>BE22/BH22</f>
        <v>0.33333333333333331</v>
      </c>
      <c r="BK22" s="284">
        <v>1</v>
      </c>
      <c r="BL22" s="284"/>
      <c r="BM22" s="2195">
        <v>2</v>
      </c>
      <c r="BN22" s="2188">
        <f>SUM(BK22:BM22)</f>
        <v>3</v>
      </c>
      <c r="BO22" s="2175">
        <f>BK22/BN22</f>
        <v>0.33333333333333331</v>
      </c>
      <c r="BQ22" s="284">
        <v>1</v>
      </c>
      <c r="BR22" s="284"/>
      <c r="BS22" s="2195">
        <v>3</v>
      </c>
      <c r="BT22" s="2188">
        <f>SUM(BQ22:BS22)</f>
        <v>4</v>
      </c>
      <c r="BU22" s="2175">
        <f>BQ22/BT22</f>
        <v>0.25</v>
      </c>
      <c r="BW22" s="284">
        <v>1</v>
      </c>
      <c r="BX22" s="284">
        <v>1</v>
      </c>
      <c r="BY22" s="2195">
        <v>2</v>
      </c>
      <c r="BZ22" s="2188">
        <f>SUM(BW22:BY22)</f>
        <v>4</v>
      </c>
      <c r="CA22" s="2175">
        <f>BW22/BZ22</f>
        <v>0.25</v>
      </c>
      <c r="CC22" s="284">
        <v>1</v>
      </c>
      <c r="CD22" s="284">
        <v>1</v>
      </c>
      <c r="CE22" s="2195">
        <v>2</v>
      </c>
      <c r="CF22" s="2188">
        <f>SUM(CC22:CE22)</f>
        <v>4</v>
      </c>
      <c r="CG22" s="2175">
        <f>CC22/CF22</f>
        <v>0.25</v>
      </c>
    </row>
    <row r="23" spans="1:85" ht="15" customHeight="1">
      <c r="A23" s="2081" t="s">
        <v>41</v>
      </c>
      <c r="B23" s="279"/>
      <c r="C23" s="284"/>
      <c r="D23" s="284"/>
      <c r="E23" s="2195"/>
      <c r="F23" s="2188"/>
      <c r="G23" s="2175"/>
      <c r="H23" s="2174"/>
      <c r="I23" s="284"/>
      <c r="J23" s="284"/>
      <c r="K23" s="2195"/>
      <c r="L23" s="2188"/>
      <c r="M23" s="2175"/>
      <c r="O23" s="284"/>
      <c r="P23" s="284"/>
      <c r="Q23" s="2195"/>
      <c r="R23" s="2188"/>
      <c r="S23" s="2175"/>
      <c r="U23" s="284"/>
      <c r="V23" s="284"/>
      <c r="W23" s="2195"/>
      <c r="X23" s="2188"/>
      <c r="Y23" s="2175"/>
      <c r="AA23" s="284"/>
      <c r="AB23" s="284"/>
      <c r="AC23" s="2195"/>
      <c r="AD23" s="2188"/>
      <c r="AE23" s="2175"/>
      <c r="AG23" s="284"/>
      <c r="AH23" s="284"/>
      <c r="AI23" s="2195"/>
      <c r="AJ23" s="2188">
        <f>SUM(AG23:AI23)</f>
        <v>0</v>
      </c>
      <c r="AK23" s="2175"/>
      <c r="AM23" s="284">
        <v>1</v>
      </c>
      <c r="AN23" s="284">
        <v>1</v>
      </c>
      <c r="AO23" s="2195"/>
      <c r="AP23" s="2188">
        <f>SUM(AM23:AO23)</f>
        <v>2</v>
      </c>
      <c r="AQ23" s="2175"/>
      <c r="AS23" s="284">
        <v>1</v>
      </c>
      <c r="AT23" s="284">
        <v>1</v>
      </c>
      <c r="AU23" s="2195"/>
      <c r="AV23" s="2188">
        <f t="shared" si="7"/>
        <v>2</v>
      </c>
      <c r="AW23" s="2175">
        <f t="shared" si="8"/>
        <v>0.5</v>
      </c>
      <c r="AY23" s="284">
        <v>1</v>
      </c>
      <c r="AZ23" s="284">
        <v>2</v>
      </c>
      <c r="BA23" s="2195"/>
      <c r="BB23" s="2188">
        <f>SUM(AY23:BA23)</f>
        <v>3</v>
      </c>
      <c r="BC23" s="2175">
        <f>AY23/BB23</f>
        <v>0.33333333333333331</v>
      </c>
      <c r="BE23" s="284">
        <v>1</v>
      </c>
      <c r="BF23" s="284">
        <v>2</v>
      </c>
      <c r="BG23" s="2195"/>
      <c r="BH23" s="2188">
        <f>SUM(BE23:BG23)</f>
        <v>3</v>
      </c>
      <c r="BI23" s="2175">
        <f>BE23/BH23</f>
        <v>0.33333333333333331</v>
      </c>
      <c r="BK23" s="284">
        <v>1</v>
      </c>
      <c r="BL23" s="284">
        <v>2</v>
      </c>
      <c r="BM23" s="2195"/>
      <c r="BN23" s="2188">
        <f>SUM(BK23:BM23)</f>
        <v>3</v>
      </c>
      <c r="BO23" s="2175">
        <f>BK23/BN23</f>
        <v>0.33333333333333331</v>
      </c>
      <c r="BQ23" s="284">
        <v>1</v>
      </c>
      <c r="BR23" s="284">
        <v>2</v>
      </c>
      <c r="BS23" s="2195"/>
      <c r="BT23" s="2188">
        <f>SUM(BQ23:BS23)</f>
        <v>3</v>
      </c>
      <c r="BU23" s="2175">
        <f>BQ23/BT23</f>
        <v>0.33333333333333331</v>
      </c>
      <c r="BW23" s="284">
        <v>1</v>
      </c>
      <c r="BX23" s="284">
        <v>2</v>
      </c>
      <c r="BY23" s="2195"/>
      <c r="BZ23" s="2188">
        <f>SUM(BW23:BY23)</f>
        <v>3</v>
      </c>
      <c r="CA23" s="2175">
        <f>BW23/BZ23</f>
        <v>0.33333333333333331</v>
      </c>
      <c r="CC23" s="284">
        <v>1</v>
      </c>
      <c r="CD23" s="284">
        <v>2</v>
      </c>
      <c r="CE23" s="2195"/>
      <c r="CF23" s="2188">
        <f>SUM(CC23:CE23)</f>
        <v>3</v>
      </c>
      <c r="CG23" s="2175">
        <f>CC23/CF23</f>
        <v>0.33333333333333331</v>
      </c>
    </row>
    <row r="24" spans="1:85" s="1125" customFormat="1" ht="15" customHeight="1">
      <c r="A24" s="2170" t="s">
        <v>240</v>
      </c>
      <c r="B24" s="279"/>
      <c r="C24" s="2182"/>
      <c r="D24" s="2182"/>
      <c r="E24" s="2199"/>
      <c r="F24" s="2192"/>
      <c r="G24" s="2183"/>
      <c r="H24" s="2174"/>
      <c r="I24" s="2182"/>
      <c r="J24" s="2182"/>
      <c r="K24" s="2199"/>
      <c r="L24" s="2192"/>
      <c r="M24" s="2183"/>
      <c r="N24" s="281"/>
      <c r="O24" s="2182"/>
      <c r="P24" s="2182"/>
      <c r="Q24" s="2199"/>
      <c r="R24" s="2192"/>
      <c r="S24" s="2183"/>
      <c r="T24" s="281"/>
      <c r="U24" s="2182"/>
      <c r="V24" s="2182"/>
      <c r="W24" s="2199"/>
      <c r="X24" s="2192"/>
      <c r="Y24" s="2183"/>
      <c r="Z24" s="281"/>
      <c r="AA24" s="2182"/>
      <c r="AB24" s="2182"/>
      <c r="AC24" s="2199"/>
      <c r="AD24" s="2192"/>
      <c r="AE24" s="2183"/>
      <c r="AF24" s="281"/>
      <c r="AG24" s="2182">
        <f>SUM(AG21:AG23)</f>
        <v>0</v>
      </c>
      <c r="AH24" s="2182">
        <f>SUM(AH21:AH23)</f>
        <v>0</v>
      </c>
      <c r="AI24" s="2199">
        <f>SUM(AI21:AI23)</f>
        <v>4</v>
      </c>
      <c r="AJ24" s="2192">
        <f>SUM(AJ21:AJ23)</f>
        <v>4</v>
      </c>
      <c r="AK24" s="2183">
        <f>AG24/AJ24</f>
        <v>0</v>
      </c>
      <c r="AL24" s="281"/>
      <c r="AM24" s="2182">
        <f t="shared" ref="AM24:AU24" si="13">SUM(AM21:AM23)</f>
        <v>1</v>
      </c>
      <c r="AN24" s="2182">
        <f t="shared" si="13"/>
        <v>1</v>
      </c>
      <c r="AO24" s="2199">
        <f t="shared" si="13"/>
        <v>4</v>
      </c>
      <c r="AP24" s="2192">
        <f t="shared" si="13"/>
        <v>6</v>
      </c>
      <c r="AQ24" s="2183">
        <f>AM24/AP24</f>
        <v>0.16666666666666666</v>
      </c>
      <c r="AR24" s="281"/>
      <c r="AS24" s="2182">
        <f t="shared" si="13"/>
        <v>1</v>
      </c>
      <c r="AT24" s="2182">
        <f t="shared" si="13"/>
        <v>1</v>
      </c>
      <c r="AU24" s="2199">
        <f t="shared" si="13"/>
        <v>5</v>
      </c>
      <c r="AV24" s="2192">
        <f t="shared" si="7"/>
        <v>7</v>
      </c>
      <c r="AW24" s="2183">
        <f t="shared" si="8"/>
        <v>0.14285714285714285</v>
      </c>
      <c r="AX24" s="281"/>
      <c r="AY24" s="2182">
        <f>SUM(AY21:AY23)</f>
        <v>2</v>
      </c>
      <c r="AZ24" s="2182">
        <f>SUM(AZ21:AZ23)</f>
        <v>2</v>
      </c>
      <c r="BA24" s="2199">
        <f>SUM(BA21:BA23)</f>
        <v>5</v>
      </c>
      <c r="BB24" s="2192">
        <f>SUM(AY24:BA24)</f>
        <v>9</v>
      </c>
      <c r="BC24" s="2183">
        <f>AY24/BB24</f>
        <v>0.22222222222222221</v>
      </c>
      <c r="BD24" s="281"/>
      <c r="BE24" s="2182">
        <f>SUM(BE21:BE23)</f>
        <v>2</v>
      </c>
      <c r="BF24" s="2182">
        <f>SUM(BF21:BF23)</f>
        <v>2</v>
      </c>
      <c r="BG24" s="2199">
        <f>SUM(BG21:BG23)</f>
        <v>5</v>
      </c>
      <c r="BH24" s="2192">
        <f>SUM(BE24:BG24)</f>
        <v>9</v>
      </c>
      <c r="BI24" s="2183">
        <f>BE24/BH24</f>
        <v>0.22222222222222221</v>
      </c>
      <c r="BK24" s="2182">
        <f>SUM(BK21:BK23)</f>
        <v>2</v>
      </c>
      <c r="BL24" s="2182">
        <f>SUM(BL21:BL23)</f>
        <v>2</v>
      </c>
      <c r="BM24" s="2199">
        <f>SUM(BM21:BM23)</f>
        <v>4</v>
      </c>
      <c r="BN24" s="2192">
        <f>SUM(BK24:BM24)</f>
        <v>8</v>
      </c>
      <c r="BO24" s="2183">
        <f>BK24/BN24</f>
        <v>0.25</v>
      </c>
      <c r="BQ24" s="2182">
        <f>SUM(BQ21:BQ23)</f>
        <v>2</v>
      </c>
      <c r="BR24" s="2182">
        <f>SUM(BR21:BR23)</f>
        <v>2</v>
      </c>
      <c r="BS24" s="2199">
        <f>SUM(BS21:BS23)</f>
        <v>5</v>
      </c>
      <c r="BT24" s="2192">
        <f>SUM(BQ24:BS24)</f>
        <v>9</v>
      </c>
      <c r="BU24" s="2183">
        <f>BQ24/BT24</f>
        <v>0.22222222222222221</v>
      </c>
      <c r="BW24" s="2182">
        <f>SUM(BW21:BW23)</f>
        <v>2</v>
      </c>
      <c r="BX24" s="2182">
        <f>SUM(BX21:BX23)</f>
        <v>3</v>
      </c>
      <c r="BY24" s="2199">
        <f>SUM(BY21:BY23)</f>
        <v>2</v>
      </c>
      <c r="BZ24" s="2192">
        <f>SUM(BW24:BY24)</f>
        <v>7</v>
      </c>
      <c r="CA24" s="2183">
        <f>BW24/BZ24</f>
        <v>0.2857142857142857</v>
      </c>
      <c r="CC24" s="2182">
        <f>SUM(CC21:CC23)</f>
        <v>2</v>
      </c>
      <c r="CD24" s="2182">
        <f>SUM(CD21:CD23)</f>
        <v>3</v>
      </c>
      <c r="CE24" s="2199">
        <f>SUM(CE21:CE23)</f>
        <v>2</v>
      </c>
      <c r="CF24" s="2192">
        <f>SUM(CC24:CE24)</f>
        <v>7</v>
      </c>
      <c r="CG24" s="2183">
        <f>CC24/CF24</f>
        <v>0.2857142857142857</v>
      </c>
    </row>
    <row r="25" spans="1:85">
      <c r="A25" s="2171"/>
      <c r="B25" s="281"/>
    </row>
    <row r="26" spans="1:85" ht="15" customHeight="1">
      <c r="A26" s="2080" t="s">
        <v>16</v>
      </c>
      <c r="B26" s="2202"/>
      <c r="C26" s="2203">
        <v>6</v>
      </c>
      <c r="D26" s="2203">
        <v>17</v>
      </c>
      <c r="E26" s="2204">
        <v>12</v>
      </c>
      <c r="F26" s="2205">
        <f>SUM(C26:E26)</f>
        <v>35</v>
      </c>
      <c r="G26" s="2206">
        <f t="shared" si="1"/>
        <v>0.17142857142857143</v>
      </c>
      <c r="H26" s="2174"/>
      <c r="I26" s="2203">
        <v>4</v>
      </c>
      <c r="J26" s="2203">
        <v>13</v>
      </c>
      <c r="K26" s="2204">
        <v>10</v>
      </c>
      <c r="L26" s="2205">
        <f>SUM(I26:K26)</f>
        <v>27</v>
      </c>
      <c r="M26" s="2206">
        <f t="shared" si="2"/>
        <v>0.14814814814814814</v>
      </c>
      <c r="N26" s="2169"/>
      <c r="O26" s="2203">
        <v>4</v>
      </c>
      <c r="P26" s="2203">
        <v>11</v>
      </c>
      <c r="Q26" s="2204">
        <v>13</v>
      </c>
      <c r="R26" s="2205">
        <f>SUM(O26:Q26)</f>
        <v>28</v>
      </c>
      <c r="S26" s="2206">
        <f t="shared" si="3"/>
        <v>0.14285714285714285</v>
      </c>
      <c r="T26" s="2169"/>
      <c r="U26" s="2203">
        <v>4</v>
      </c>
      <c r="V26" s="2203">
        <v>11</v>
      </c>
      <c r="W26" s="2204">
        <v>12</v>
      </c>
      <c r="X26" s="2205">
        <f>SUM(U26:W26)</f>
        <v>27</v>
      </c>
      <c r="Y26" s="2206">
        <f t="shared" si="4"/>
        <v>0.14814814814814814</v>
      </c>
      <c r="Z26" s="2169"/>
      <c r="AA26" s="2203">
        <v>4</v>
      </c>
      <c r="AB26" s="2203">
        <v>9</v>
      </c>
      <c r="AC26" s="2204">
        <v>13</v>
      </c>
      <c r="AD26" s="2205">
        <f>SUM(AA26:AC26)</f>
        <v>26</v>
      </c>
      <c r="AE26" s="2206">
        <f t="shared" si="5"/>
        <v>0.15384615384615385</v>
      </c>
      <c r="AF26" s="2169"/>
      <c r="AG26" s="2203">
        <v>5</v>
      </c>
      <c r="AH26" s="2203">
        <v>6</v>
      </c>
      <c r="AI26" s="2204">
        <v>12</v>
      </c>
      <c r="AJ26" s="2205">
        <f>SUM(AG26:AI26)</f>
        <v>23</v>
      </c>
      <c r="AK26" s="2206">
        <f t="shared" si="6"/>
        <v>0.21739130434782608</v>
      </c>
      <c r="AL26" s="2169"/>
      <c r="AM26" s="2203">
        <v>4</v>
      </c>
      <c r="AN26" s="2203">
        <v>6</v>
      </c>
      <c r="AO26" s="2204">
        <v>12</v>
      </c>
      <c r="AP26" s="2205">
        <f>SUM(AM26:AO26)</f>
        <v>22</v>
      </c>
      <c r="AQ26" s="2206">
        <f>AM26/AP26</f>
        <v>0.18181818181818182</v>
      </c>
      <c r="AR26" s="2169"/>
      <c r="AS26" s="2203">
        <v>4</v>
      </c>
      <c r="AT26" s="2203">
        <v>4</v>
      </c>
      <c r="AU26" s="2204">
        <v>13</v>
      </c>
      <c r="AV26" s="2205">
        <f t="shared" si="7"/>
        <v>21</v>
      </c>
      <c r="AW26" s="2206">
        <f t="shared" si="8"/>
        <v>0.19047619047619047</v>
      </c>
      <c r="AX26" s="2169"/>
      <c r="AY26" s="2203">
        <v>4</v>
      </c>
      <c r="AZ26" s="2203">
        <v>4</v>
      </c>
      <c r="BA26" s="2204">
        <v>13</v>
      </c>
      <c r="BB26" s="2205">
        <f>SUM(AY26:BA26)</f>
        <v>21</v>
      </c>
      <c r="BC26" s="2206">
        <f>AY26/BB26</f>
        <v>0.19047619047619047</v>
      </c>
      <c r="BE26" s="2203">
        <v>3</v>
      </c>
      <c r="BF26" s="2203">
        <v>5</v>
      </c>
      <c r="BG26" s="2204">
        <v>15</v>
      </c>
      <c r="BH26" s="2205">
        <f>SUM(BE26:BG26)</f>
        <v>23</v>
      </c>
      <c r="BI26" s="2206">
        <f>BE26/BH26</f>
        <v>0.13043478260869565</v>
      </c>
      <c r="BK26" s="4102">
        <v>3</v>
      </c>
      <c r="BL26" s="4102">
        <v>5</v>
      </c>
      <c r="BM26" s="4102">
        <v>15</v>
      </c>
      <c r="BN26" s="2205">
        <f>SUM(BK26:BM26)</f>
        <v>23</v>
      </c>
      <c r="BO26" s="2206">
        <f>BK26/BN26</f>
        <v>0.13043478260869565</v>
      </c>
      <c r="BQ26" s="4102">
        <v>3</v>
      </c>
      <c r="BR26" s="4102">
        <v>5</v>
      </c>
      <c r="BS26" s="2204">
        <v>14</v>
      </c>
      <c r="BT26" s="2205">
        <f>SUM(BQ26:BS26)</f>
        <v>22</v>
      </c>
      <c r="BU26" s="2206">
        <f>BQ26/BT26</f>
        <v>0.13636363636363635</v>
      </c>
      <c r="BW26" s="4102">
        <v>3</v>
      </c>
      <c r="BX26" s="4102">
        <v>5</v>
      </c>
      <c r="BY26" s="2204">
        <v>9</v>
      </c>
      <c r="BZ26" s="2205">
        <f>SUM(BW26:BY26)</f>
        <v>17</v>
      </c>
      <c r="CA26" s="2206">
        <f>BW26/BZ26</f>
        <v>0.17647058823529413</v>
      </c>
      <c r="CC26" s="4102">
        <v>3</v>
      </c>
      <c r="CD26" s="4102">
        <v>5</v>
      </c>
      <c r="CE26" s="2204">
        <v>7</v>
      </c>
      <c r="CF26" s="2205">
        <f>SUM(CC26:CE26)</f>
        <v>15</v>
      </c>
      <c r="CG26" s="2206">
        <f>CC26/CF26</f>
        <v>0.2</v>
      </c>
    </row>
    <row r="27" spans="1:85" ht="15" customHeight="1">
      <c r="A27" s="2081" t="s">
        <v>41</v>
      </c>
      <c r="B27" s="279"/>
      <c r="C27" s="284">
        <v>5</v>
      </c>
      <c r="D27" s="284">
        <v>11</v>
      </c>
      <c r="E27" s="2195">
        <v>8</v>
      </c>
      <c r="F27" s="2188">
        <f>SUM(C27:E27)</f>
        <v>24</v>
      </c>
      <c r="G27" s="2175">
        <f t="shared" si="1"/>
        <v>0.20833333333333334</v>
      </c>
      <c r="H27" s="2174"/>
      <c r="I27" s="284">
        <v>7</v>
      </c>
      <c r="J27" s="284">
        <v>17</v>
      </c>
      <c r="K27" s="2195">
        <v>13</v>
      </c>
      <c r="L27" s="2188">
        <f>SUM(I27:K27)</f>
        <v>37</v>
      </c>
      <c r="M27" s="2175">
        <f t="shared" si="2"/>
        <v>0.1891891891891892</v>
      </c>
      <c r="O27" s="284">
        <v>8</v>
      </c>
      <c r="P27" s="284">
        <v>15</v>
      </c>
      <c r="Q27" s="2195">
        <v>14</v>
      </c>
      <c r="R27" s="2188">
        <f>SUM(O27:Q27)</f>
        <v>37</v>
      </c>
      <c r="S27" s="2175">
        <f t="shared" si="3"/>
        <v>0.21621621621621623</v>
      </c>
      <c r="U27" s="284">
        <v>9</v>
      </c>
      <c r="V27" s="284">
        <v>13</v>
      </c>
      <c r="W27" s="2195">
        <v>13</v>
      </c>
      <c r="X27" s="2188">
        <f>SUM(U27:W27)</f>
        <v>35</v>
      </c>
      <c r="Y27" s="2175">
        <f t="shared" si="4"/>
        <v>0.25714285714285712</v>
      </c>
      <c r="AA27" s="284">
        <v>9</v>
      </c>
      <c r="AB27" s="284">
        <v>15</v>
      </c>
      <c r="AC27" s="2195">
        <v>12</v>
      </c>
      <c r="AD27" s="2188">
        <f>SUM(AA27:AC27)</f>
        <v>36</v>
      </c>
      <c r="AE27" s="2175">
        <f t="shared" si="5"/>
        <v>0.25</v>
      </c>
      <c r="AG27" s="284">
        <v>9</v>
      </c>
      <c r="AH27" s="284">
        <v>13</v>
      </c>
      <c r="AI27" s="2195">
        <v>10</v>
      </c>
      <c r="AJ27" s="2188">
        <f>SUM(AG27:AI27)</f>
        <v>32</v>
      </c>
      <c r="AK27" s="2175">
        <f t="shared" si="6"/>
        <v>0.28125</v>
      </c>
      <c r="AM27" s="284">
        <v>9</v>
      </c>
      <c r="AN27" s="284">
        <v>10</v>
      </c>
      <c r="AO27" s="2195">
        <v>13</v>
      </c>
      <c r="AP27" s="2188">
        <f>SUM(AM27:AO27)</f>
        <v>32</v>
      </c>
      <c r="AQ27" s="2175">
        <f>AM27/AP27</f>
        <v>0.28125</v>
      </c>
      <c r="AS27" s="284">
        <v>8</v>
      </c>
      <c r="AT27" s="284">
        <v>12</v>
      </c>
      <c r="AU27" s="2195">
        <v>11</v>
      </c>
      <c r="AV27" s="2188">
        <f t="shared" si="7"/>
        <v>31</v>
      </c>
      <c r="AW27" s="2175">
        <f t="shared" si="8"/>
        <v>0.25806451612903225</v>
      </c>
      <c r="AY27" s="284">
        <v>8</v>
      </c>
      <c r="AZ27" s="284">
        <v>12</v>
      </c>
      <c r="BA27" s="2195">
        <v>10</v>
      </c>
      <c r="BB27" s="2188">
        <f>SUM(AY27:BA27)</f>
        <v>30</v>
      </c>
      <c r="BC27" s="2175">
        <f>AY27/BB27</f>
        <v>0.26666666666666666</v>
      </c>
      <c r="BE27" s="284">
        <v>9</v>
      </c>
      <c r="BF27" s="284">
        <v>10</v>
      </c>
      <c r="BG27" s="2195">
        <v>9</v>
      </c>
      <c r="BH27" s="2188">
        <f>SUM(BE27:BG27)</f>
        <v>28</v>
      </c>
      <c r="BI27" s="2175">
        <f>BE27/BH27</f>
        <v>0.32142857142857145</v>
      </c>
      <c r="BK27" s="3505">
        <v>9</v>
      </c>
      <c r="BL27" s="3505">
        <v>10</v>
      </c>
      <c r="BM27" s="3505">
        <v>9</v>
      </c>
      <c r="BN27" s="2188">
        <f>SUM(BK27:BM27)</f>
        <v>28</v>
      </c>
      <c r="BO27" s="2175">
        <f>BK27/BN27</f>
        <v>0.32142857142857145</v>
      </c>
      <c r="BQ27" s="3505">
        <v>7</v>
      </c>
      <c r="BR27" s="3505">
        <v>11</v>
      </c>
      <c r="BS27" s="2195">
        <v>9</v>
      </c>
      <c r="BT27" s="2188">
        <f>SUM(BQ27:BS27)</f>
        <v>27</v>
      </c>
      <c r="BU27" s="2175">
        <f>BQ27/BT27</f>
        <v>0.25925925925925924</v>
      </c>
      <c r="BW27" s="3505">
        <v>7</v>
      </c>
      <c r="BX27" s="3505">
        <v>10</v>
      </c>
      <c r="BY27" s="2195">
        <v>8</v>
      </c>
      <c r="BZ27" s="2188">
        <f>SUM(BW27:BY27)</f>
        <v>25</v>
      </c>
      <c r="CA27" s="2175">
        <f>BW27/BZ27</f>
        <v>0.28000000000000003</v>
      </c>
      <c r="CC27" s="3505">
        <v>7</v>
      </c>
      <c r="CD27" s="3505">
        <v>8</v>
      </c>
      <c r="CE27" s="2195">
        <v>8</v>
      </c>
      <c r="CF27" s="2188">
        <f>SUM(CC27:CE27)</f>
        <v>23</v>
      </c>
      <c r="CG27" s="2175">
        <f>CC27/CF27</f>
        <v>0.30434782608695654</v>
      </c>
    </row>
    <row r="28" spans="1:85" ht="15" customHeight="1">
      <c r="A28" s="2081" t="s">
        <v>21</v>
      </c>
      <c r="B28" s="279"/>
      <c r="C28" s="284"/>
      <c r="D28" s="284">
        <v>2</v>
      </c>
      <c r="E28" s="2195">
        <v>7</v>
      </c>
      <c r="F28" s="2188">
        <f>SUM(C28:E28)</f>
        <v>9</v>
      </c>
      <c r="G28" s="2175">
        <f t="shared" si="1"/>
        <v>0</v>
      </c>
      <c r="H28" s="2174"/>
      <c r="I28" s="284"/>
      <c r="J28" s="284">
        <v>2</v>
      </c>
      <c r="K28" s="2195">
        <v>6</v>
      </c>
      <c r="L28" s="2188">
        <f>SUM(I28:K28)</f>
        <v>8</v>
      </c>
      <c r="M28" s="2175">
        <f t="shared" si="2"/>
        <v>0</v>
      </c>
      <c r="O28" s="284">
        <v>1</v>
      </c>
      <c r="P28" s="284">
        <v>2</v>
      </c>
      <c r="Q28" s="2195">
        <v>5</v>
      </c>
      <c r="R28" s="2188">
        <f>SUM(O28:Q28)</f>
        <v>8</v>
      </c>
      <c r="S28" s="2175">
        <f t="shared" si="3"/>
        <v>0.125</v>
      </c>
      <c r="U28" s="284">
        <v>1</v>
      </c>
      <c r="V28" s="284">
        <v>2</v>
      </c>
      <c r="W28" s="2195">
        <v>5</v>
      </c>
      <c r="X28" s="2188">
        <f>SUM(U28:W28)</f>
        <v>8</v>
      </c>
      <c r="Y28" s="2175">
        <f t="shared" si="4"/>
        <v>0.125</v>
      </c>
      <c r="AA28" s="284">
        <v>1</v>
      </c>
      <c r="AB28" s="284">
        <v>2</v>
      </c>
      <c r="AC28" s="2195">
        <v>6</v>
      </c>
      <c r="AD28" s="2188">
        <f>SUM(AA28:AC28)</f>
        <v>9</v>
      </c>
      <c r="AE28" s="2175">
        <f t="shared" si="5"/>
        <v>0.1111111111111111</v>
      </c>
      <c r="AG28" s="284">
        <v>1</v>
      </c>
      <c r="AH28" s="284">
        <v>2</v>
      </c>
      <c r="AI28" s="2195">
        <v>6</v>
      </c>
      <c r="AJ28" s="2188">
        <f>SUM(AG28:AI28)</f>
        <v>9</v>
      </c>
      <c r="AK28" s="2175">
        <f t="shared" si="6"/>
        <v>0.1111111111111111</v>
      </c>
      <c r="AM28" s="284">
        <v>1</v>
      </c>
      <c r="AN28" s="284">
        <v>2</v>
      </c>
      <c r="AO28" s="2195">
        <v>6</v>
      </c>
      <c r="AP28" s="2188">
        <f>SUM(AM28:AO28)</f>
        <v>9</v>
      </c>
      <c r="AQ28" s="2175">
        <f>AM28/AP28</f>
        <v>0.1111111111111111</v>
      </c>
      <c r="AS28" s="284"/>
      <c r="AT28" s="284">
        <v>2</v>
      </c>
      <c r="AU28" s="2195">
        <v>5</v>
      </c>
      <c r="AV28" s="2188">
        <f t="shared" si="7"/>
        <v>7</v>
      </c>
      <c r="AW28" s="2175">
        <f t="shared" si="8"/>
        <v>0</v>
      </c>
      <c r="AY28" s="284"/>
      <c r="AZ28" s="284">
        <v>3</v>
      </c>
      <c r="BA28" s="2195">
        <v>2</v>
      </c>
      <c r="BB28" s="2188">
        <f>SUM(AY28:BA28)</f>
        <v>5</v>
      </c>
      <c r="BC28" s="2175">
        <f>AY28/BB28</f>
        <v>0</v>
      </c>
      <c r="BE28" s="284"/>
      <c r="BF28" s="284">
        <v>3</v>
      </c>
      <c r="BG28" s="2195">
        <v>1</v>
      </c>
      <c r="BH28" s="2188">
        <f>SUM(BE28:BG28)</f>
        <v>4</v>
      </c>
      <c r="BI28" s="2175">
        <f>BE28/BH28</f>
        <v>0</v>
      </c>
      <c r="BK28" s="3505"/>
      <c r="BL28" s="3505">
        <v>3</v>
      </c>
      <c r="BM28" s="3505">
        <v>1</v>
      </c>
      <c r="BN28" s="2188">
        <f>SUM(BK28:BM28)</f>
        <v>4</v>
      </c>
      <c r="BO28" s="2175">
        <f>BK28/BN28</f>
        <v>0</v>
      </c>
      <c r="BQ28" s="3505"/>
      <c r="BR28" s="3505">
        <v>3</v>
      </c>
      <c r="BS28" s="2195">
        <v>2</v>
      </c>
      <c r="BT28" s="2188">
        <f>SUM(BQ28:BS28)</f>
        <v>5</v>
      </c>
      <c r="BU28" s="2175">
        <f>BQ28/BT28</f>
        <v>0</v>
      </c>
      <c r="BW28" s="3505"/>
      <c r="BX28" s="3505">
        <v>3</v>
      </c>
      <c r="BY28" s="2195">
        <v>2</v>
      </c>
      <c r="BZ28" s="2188">
        <f>SUM(BW28:BY28)</f>
        <v>5</v>
      </c>
      <c r="CA28" s="2175">
        <f>BW28/BZ28</f>
        <v>0</v>
      </c>
      <c r="CC28" s="3505">
        <v>0</v>
      </c>
      <c r="CD28" s="3505">
        <v>2</v>
      </c>
      <c r="CE28" s="2195">
        <v>2</v>
      </c>
      <c r="CF28" s="2188">
        <f>SUM(CC28:CE28)</f>
        <v>4</v>
      </c>
      <c r="CG28" s="2175">
        <f>CC28/CF28</f>
        <v>0</v>
      </c>
    </row>
    <row r="29" spans="1:85" ht="15" customHeight="1">
      <c r="A29" s="2172" t="s">
        <v>48</v>
      </c>
      <c r="B29" s="279"/>
      <c r="C29" s="2184">
        <f t="shared" ref="C29:X29" si="14">SUM(C26:C28)</f>
        <v>11</v>
      </c>
      <c r="D29" s="2184">
        <f t="shared" si="14"/>
        <v>30</v>
      </c>
      <c r="E29" s="2200">
        <f t="shared" si="14"/>
        <v>27</v>
      </c>
      <c r="F29" s="2193">
        <f t="shared" si="14"/>
        <v>68</v>
      </c>
      <c r="G29" s="2185">
        <f t="shared" si="1"/>
        <v>0.16176470588235295</v>
      </c>
      <c r="H29" s="2174"/>
      <c r="I29" s="2184">
        <f t="shared" si="14"/>
        <v>11</v>
      </c>
      <c r="J29" s="2184">
        <f t="shared" si="14"/>
        <v>32</v>
      </c>
      <c r="K29" s="2200">
        <f t="shared" si="14"/>
        <v>29</v>
      </c>
      <c r="L29" s="2193">
        <f t="shared" si="14"/>
        <v>72</v>
      </c>
      <c r="M29" s="2185">
        <f t="shared" si="2"/>
        <v>0.15277777777777779</v>
      </c>
      <c r="O29" s="2184">
        <f t="shared" si="14"/>
        <v>13</v>
      </c>
      <c r="P29" s="2184">
        <f t="shared" si="14"/>
        <v>28</v>
      </c>
      <c r="Q29" s="2200">
        <f t="shared" si="14"/>
        <v>32</v>
      </c>
      <c r="R29" s="2193">
        <f t="shared" si="14"/>
        <v>73</v>
      </c>
      <c r="S29" s="2185">
        <f t="shared" si="3"/>
        <v>0.17808219178082191</v>
      </c>
      <c r="U29" s="2184">
        <f t="shared" si="14"/>
        <v>14</v>
      </c>
      <c r="V29" s="2184">
        <f t="shared" si="14"/>
        <v>26</v>
      </c>
      <c r="W29" s="2200">
        <f t="shared" si="14"/>
        <v>30</v>
      </c>
      <c r="X29" s="2193">
        <f t="shared" si="14"/>
        <v>70</v>
      </c>
      <c r="Y29" s="2185">
        <f t="shared" si="4"/>
        <v>0.2</v>
      </c>
      <c r="AA29" s="2184">
        <f>SUM(AA26:AA28)</f>
        <v>14</v>
      </c>
      <c r="AB29" s="2184">
        <f>SUM(AB26:AB28)</f>
        <v>26</v>
      </c>
      <c r="AC29" s="2200">
        <f>SUM(AC26:AC28)</f>
        <v>31</v>
      </c>
      <c r="AD29" s="2193">
        <f>SUM(AD26:AD28)</f>
        <v>71</v>
      </c>
      <c r="AE29" s="2185">
        <f t="shared" si="5"/>
        <v>0.19718309859154928</v>
      </c>
      <c r="AG29" s="2184">
        <f>SUM(AG26:AG28)</f>
        <v>15</v>
      </c>
      <c r="AH29" s="2184">
        <f>SUM(AH26:AH28)</f>
        <v>21</v>
      </c>
      <c r="AI29" s="2200">
        <f>SUM(AI26:AI28)</f>
        <v>28</v>
      </c>
      <c r="AJ29" s="2193">
        <f>SUM(AJ26:AJ28)</f>
        <v>64</v>
      </c>
      <c r="AK29" s="2185">
        <f t="shared" si="6"/>
        <v>0.234375</v>
      </c>
      <c r="AM29" s="2184">
        <f t="shared" ref="AM29:AU29" si="15">SUM(AM26:AM28)</f>
        <v>14</v>
      </c>
      <c r="AN29" s="2184">
        <f t="shared" si="15"/>
        <v>18</v>
      </c>
      <c r="AO29" s="2200">
        <f t="shared" si="15"/>
        <v>31</v>
      </c>
      <c r="AP29" s="2193">
        <f t="shared" si="15"/>
        <v>63</v>
      </c>
      <c r="AQ29" s="2185">
        <f>AM29/AP29</f>
        <v>0.22222222222222221</v>
      </c>
      <c r="AS29" s="2184">
        <f t="shared" si="15"/>
        <v>12</v>
      </c>
      <c r="AT29" s="2184">
        <f t="shared" si="15"/>
        <v>18</v>
      </c>
      <c r="AU29" s="2200">
        <f t="shared" si="15"/>
        <v>29</v>
      </c>
      <c r="AV29" s="2193">
        <f t="shared" si="7"/>
        <v>59</v>
      </c>
      <c r="AW29" s="2185">
        <f t="shared" si="8"/>
        <v>0.20338983050847459</v>
      </c>
      <c r="AY29" s="2184">
        <f>SUM(AY26:AY28)</f>
        <v>12</v>
      </c>
      <c r="AZ29" s="2184">
        <f>SUM(AZ26:AZ28)</f>
        <v>19</v>
      </c>
      <c r="BA29" s="2200">
        <f>SUM(BA26:BA28)</f>
        <v>25</v>
      </c>
      <c r="BB29" s="2193">
        <f>SUM(AY29:BA29)</f>
        <v>56</v>
      </c>
      <c r="BC29" s="2185">
        <f>AY29/BB29</f>
        <v>0.21428571428571427</v>
      </c>
      <c r="BE29" s="2184">
        <f>SUM(BE26:BE28)</f>
        <v>12</v>
      </c>
      <c r="BF29" s="2184">
        <f>SUM(BF26:BF28)</f>
        <v>18</v>
      </c>
      <c r="BG29" s="2200">
        <f>SUM(BG26:BG28)</f>
        <v>25</v>
      </c>
      <c r="BH29" s="2193">
        <f>SUM(BE29:BG29)</f>
        <v>55</v>
      </c>
      <c r="BI29" s="2185">
        <f>BE29/BH29</f>
        <v>0.21818181818181817</v>
      </c>
      <c r="BK29" s="2184">
        <f>SUM(BK26:BK28)</f>
        <v>12</v>
      </c>
      <c r="BL29" s="2184">
        <f>SUM(BL26:BL28)</f>
        <v>18</v>
      </c>
      <c r="BM29" s="2200">
        <f>SUM(BM26:BM28)</f>
        <v>25</v>
      </c>
      <c r="BN29" s="2193">
        <f>SUM(BK29:BM29)</f>
        <v>55</v>
      </c>
      <c r="BO29" s="2185">
        <f>BK29/BN29</f>
        <v>0.21818181818181817</v>
      </c>
      <c r="BQ29" s="2184">
        <f>SUM(BQ26:BQ28)</f>
        <v>10</v>
      </c>
      <c r="BR29" s="2184">
        <f>SUM(BR26:BR28)</f>
        <v>19</v>
      </c>
      <c r="BS29" s="2200">
        <f>SUM(BS26:BS28)</f>
        <v>25</v>
      </c>
      <c r="BT29" s="2193">
        <f>SUM(BQ29:BS29)</f>
        <v>54</v>
      </c>
      <c r="BU29" s="2185">
        <f>BQ29/BT29</f>
        <v>0.18518518518518517</v>
      </c>
      <c r="BW29" s="2184">
        <f>SUM(BW26:BW28)</f>
        <v>10</v>
      </c>
      <c r="BX29" s="2184">
        <f>SUM(BX26:BX28)</f>
        <v>18</v>
      </c>
      <c r="BY29" s="2200">
        <f>SUM(BY26:BY28)</f>
        <v>19</v>
      </c>
      <c r="BZ29" s="2193">
        <f>SUM(BW29:BY29)</f>
        <v>47</v>
      </c>
      <c r="CA29" s="2185">
        <f>BW29/BZ29</f>
        <v>0.21276595744680851</v>
      </c>
      <c r="CC29" s="2184">
        <f>SUM(CC26:CC28)</f>
        <v>10</v>
      </c>
      <c r="CD29" s="2184">
        <f>SUM(CD26:CD28)</f>
        <v>15</v>
      </c>
      <c r="CE29" s="2200">
        <f>SUM(CE26:CE28)</f>
        <v>17</v>
      </c>
      <c r="CF29" s="2193">
        <f>SUM(CC29:CE29)</f>
        <v>42</v>
      </c>
      <c r="CG29" s="2185">
        <f>CC29/CF29</f>
        <v>0.23809523809523808</v>
      </c>
    </row>
    <row r="30" spans="1:85">
      <c r="A30" s="2171"/>
      <c r="B30" s="281"/>
    </row>
    <row r="31" spans="1:85" ht="15" customHeight="1">
      <c r="A31" s="2080" t="s">
        <v>4</v>
      </c>
      <c r="B31" s="2202"/>
      <c r="C31" s="2203">
        <f>SUM(C6,C16)</f>
        <v>22</v>
      </c>
      <c r="D31" s="2203">
        <f>SUM(D6,D16)</f>
        <v>30</v>
      </c>
      <c r="E31" s="2204">
        <f>SUM(E6,E16)</f>
        <v>15</v>
      </c>
      <c r="F31" s="2205">
        <f>SUM(F6,F16)</f>
        <v>67</v>
      </c>
      <c r="G31" s="2206">
        <f t="shared" si="1"/>
        <v>0.32835820895522388</v>
      </c>
      <c r="H31" s="2174"/>
      <c r="I31" s="2203">
        <f>SUM(I6,I16)</f>
        <v>24</v>
      </c>
      <c r="J31" s="2203">
        <f>SUM(J6,J16)</f>
        <v>28</v>
      </c>
      <c r="K31" s="2204">
        <f>SUM(K6,K16)</f>
        <v>14</v>
      </c>
      <c r="L31" s="2205">
        <f>SUM(L6,L16)</f>
        <v>66</v>
      </c>
      <c r="M31" s="2206">
        <f t="shared" si="2"/>
        <v>0.36363636363636365</v>
      </c>
      <c r="N31" s="2169"/>
      <c r="O31" s="2203">
        <f>SUM(O6,O16)</f>
        <v>25</v>
      </c>
      <c r="P31" s="2203">
        <f>SUM(P6,P16)</f>
        <v>28</v>
      </c>
      <c r="Q31" s="2204">
        <f>SUM(Q6,Q16)</f>
        <v>12</v>
      </c>
      <c r="R31" s="2205">
        <f>SUM(R6,R16)</f>
        <v>65</v>
      </c>
      <c r="S31" s="2206">
        <f t="shared" si="3"/>
        <v>0.38461538461538464</v>
      </c>
      <c r="T31" s="2169"/>
      <c r="U31" s="2203">
        <f>SUM(U6,U16)</f>
        <v>25</v>
      </c>
      <c r="V31" s="2203">
        <f>SUM(V6,V16)</f>
        <v>27</v>
      </c>
      <c r="W31" s="2204">
        <f>SUM(W6,W16)</f>
        <v>12</v>
      </c>
      <c r="X31" s="2205">
        <f>SUM(X6,X16)</f>
        <v>64</v>
      </c>
      <c r="Y31" s="2206">
        <f t="shared" si="4"/>
        <v>0.390625</v>
      </c>
      <c r="Z31" s="2169"/>
      <c r="AA31" s="2203">
        <f>SUM(AA6,AA16)</f>
        <v>26</v>
      </c>
      <c r="AB31" s="2203">
        <f>SUM(AB6,AB16)</f>
        <v>26</v>
      </c>
      <c r="AC31" s="2204">
        <f>SUM(AC6,AC16)</f>
        <v>11</v>
      </c>
      <c r="AD31" s="2205">
        <f>SUM(AD6,AD16)</f>
        <v>63</v>
      </c>
      <c r="AE31" s="2206">
        <f t="shared" si="5"/>
        <v>0.41269841269841268</v>
      </c>
      <c r="AF31" s="2169"/>
      <c r="AG31" s="2203">
        <f>SUM(AG6,AG16,AG21)</f>
        <v>28</v>
      </c>
      <c r="AH31" s="2203">
        <f>SUM(AH6,AH16,AH21)</f>
        <v>18</v>
      </c>
      <c r="AI31" s="2204">
        <f>SUM(AI6,AI16,AI21)</f>
        <v>19</v>
      </c>
      <c r="AJ31" s="2205">
        <f t="shared" ref="AJ31:AJ36" si="16">SUM(AG31:AI31)</f>
        <v>65</v>
      </c>
      <c r="AK31" s="2206">
        <f t="shared" si="6"/>
        <v>0.43076923076923079</v>
      </c>
      <c r="AL31" s="2169"/>
      <c r="AM31" s="2203">
        <f>SUM(AM6,AM16,AM21)</f>
        <v>25</v>
      </c>
      <c r="AN31" s="2203">
        <f>SUM(AN6,AN16,AN21)</f>
        <v>19</v>
      </c>
      <c r="AO31" s="2204">
        <f>SUM(AO6,AO16,AO21)</f>
        <v>22</v>
      </c>
      <c r="AP31" s="2205">
        <f t="shared" ref="AP31:AP36" si="17">SUM(AM31:AO31)</f>
        <v>66</v>
      </c>
      <c r="AQ31" s="2206">
        <f t="shared" ref="AQ31:AQ37" si="18">AM31/AP31</f>
        <v>0.37878787878787878</v>
      </c>
      <c r="AR31" s="2169"/>
      <c r="AS31" s="2203">
        <f>SUM(AS6,AS16,AS21)</f>
        <v>24</v>
      </c>
      <c r="AT31" s="2203">
        <f>SUM(AT6,AT16,AT21)</f>
        <v>20</v>
      </c>
      <c r="AU31" s="2204">
        <f>SUM(AU6,AU16,AU21)</f>
        <v>20</v>
      </c>
      <c r="AV31" s="2205">
        <f t="shared" si="7"/>
        <v>64</v>
      </c>
      <c r="AW31" s="2206">
        <f t="shared" si="8"/>
        <v>0.375</v>
      </c>
      <c r="AX31" s="2169"/>
      <c r="AY31" s="2203">
        <f>SUM(AY6,AY16,AY21)</f>
        <v>28</v>
      </c>
      <c r="AZ31" s="2203">
        <f>SUM(AZ6,AZ16,AZ21)</f>
        <v>18</v>
      </c>
      <c r="BA31" s="2204">
        <f>SUM(BA6,BA16,BA21)</f>
        <v>21</v>
      </c>
      <c r="BB31" s="2205">
        <f t="shared" ref="BB31:BB37" si="19">SUM(AY31:BA31)</f>
        <v>67</v>
      </c>
      <c r="BC31" s="2206">
        <f t="shared" ref="BC31:BC36" si="20">AY31/BB31</f>
        <v>0.41791044776119401</v>
      </c>
      <c r="BE31" s="2203">
        <f>SUM(BE6,BE16,BE21)</f>
        <v>26</v>
      </c>
      <c r="BF31" s="2203">
        <f>SUM(BF6,BF16,BF21)</f>
        <v>20</v>
      </c>
      <c r="BG31" s="2204">
        <f>SUM(BG6,BG16,BG21)</f>
        <v>19</v>
      </c>
      <c r="BH31" s="2205">
        <f t="shared" ref="BH31:BH37" si="21">SUM(BE31:BG31)</f>
        <v>65</v>
      </c>
      <c r="BI31" s="2206">
        <f t="shared" ref="BI31:BI36" si="22">BE31/BH31</f>
        <v>0.4</v>
      </c>
      <c r="BK31" s="2203">
        <f>SUM(BK6,BK16,BK21)</f>
        <v>26</v>
      </c>
      <c r="BL31" s="2203">
        <f>SUM(BL6,BL16,BL21)</f>
        <v>20</v>
      </c>
      <c r="BM31" s="2204">
        <f>SUM(BM6,BM16,BM21)</f>
        <v>18</v>
      </c>
      <c r="BN31" s="2205">
        <f t="shared" ref="BN31:BN37" si="23">SUM(BK31:BM31)</f>
        <v>64</v>
      </c>
      <c r="BO31" s="2206">
        <f t="shared" ref="BO31:BO36" si="24">BK31/BN31</f>
        <v>0.40625</v>
      </c>
      <c r="BQ31" s="2203">
        <f>SUM(BQ6,BQ16,BQ21)</f>
        <v>24</v>
      </c>
      <c r="BR31" s="2203">
        <f>SUM(BR6,BR16,BR21)</f>
        <v>20</v>
      </c>
      <c r="BS31" s="2204">
        <f>SUM(BS6,BS16,BS21)</f>
        <v>17</v>
      </c>
      <c r="BT31" s="2205">
        <f t="shared" ref="BT31:BT37" si="25">SUM(BQ31:BS31)</f>
        <v>61</v>
      </c>
      <c r="BU31" s="2206">
        <f t="shared" ref="BU31:BU36" si="26">BQ31/BT31</f>
        <v>0.39344262295081966</v>
      </c>
      <c r="BW31" s="2203">
        <f>SUM(BW6,BW16,BW21)</f>
        <v>24</v>
      </c>
      <c r="BX31" s="2203">
        <f>SUM(BX6,BX16,BX21)</f>
        <v>19</v>
      </c>
      <c r="BY31" s="2204">
        <f>SUM(BY6,BY16,BY21)</f>
        <v>14</v>
      </c>
      <c r="BZ31" s="2205">
        <f t="shared" ref="BZ31:BZ37" si="27">SUM(BW31:BY31)</f>
        <v>57</v>
      </c>
      <c r="CA31" s="2206">
        <f t="shared" ref="CA31:CA36" si="28">BW31/BZ31</f>
        <v>0.42105263157894735</v>
      </c>
      <c r="CC31" s="2203">
        <f>SUM(CC6,CC16,CC21)</f>
        <v>22</v>
      </c>
      <c r="CD31" s="2203">
        <f>SUM(CD6,CD16,CD21)</f>
        <v>17</v>
      </c>
      <c r="CE31" s="2204">
        <f>SUM(CE6,CE16,CE21)</f>
        <v>14</v>
      </c>
      <c r="CF31" s="2205">
        <f t="shared" ref="CF31:CF37" si="29">SUM(CC31:CE31)</f>
        <v>53</v>
      </c>
      <c r="CG31" s="2206">
        <f t="shared" ref="CG31:CG36" si="30">CC31/CF31</f>
        <v>0.41509433962264153</v>
      </c>
    </row>
    <row r="32" spans="1:85" ht="15" customHeight="1">
      <c r="A32" s="2081" t="s">
        <v>16</v>
      </c>
      <c r="B32" s="279"/>
      <c r="C32" s="284">
        <f>SUM(C7,C11,C17,C26)</f>
        <v>30</v>
      </c>
      <c r="D32" s="284">
        <f>SUM(D7,D11,D17,D26)</f>
        <v>49</v>
      </c>
      <c r="E32" s="2195">
        <f>SUM(E7,E11,E17,E26)</f>
        <v>32</v>
      </c>
      <c r="F32" s="2188">
        <f>SUM(F7,F11,F17,F26)</f>
        <v>111</v>
      </c>
      <c r="G32" s="2175">
        <f t="shared" si="1"/>
        <v>0.27027027027027029</v>
      </c>
      <c r="H32" s="2174"/>
      <c r="I32" s="284">
        <f>SUM(I7,I11,I17,I26)</f>
        <v>23</v>
      </c>
      <c r="J32" s="284">
        <f>SUM(J7,J11,J17,J26)</f>
        <v>48</v>
      </c>
      <c r="K32" s="2195">
        <f>SUM(K7,K11,K17,K26)</f>
        <v>37</v>
      </c>
      <c r="L32" s="2188">
        <f>SUM(L7,L11,L17,L26)</f>
        <v>108</v>
      </c>
      <c r="M32" s="2175">
        <f t="shared" si="2"/>
        <v>0.21296296296296297</v>
      </c>
      <c r="O32" s="284">
        <f>SUM(O7,O11,O17,O26)</f>
        <v>28</v>
      </c>
      <c r="P32" s="284">
        <f>SUM(P7,P11,P17,P26)</f>
        <v>40</v>
      </c>
      <c r="Q32" s="2195">
        <f>SUM(Q7,Q11,Q17,Q26)</f>
        <v>38</v>
      </c>
      <c r="R32" s="2188">
        <f>SUM(R7,R11,R17,R26)</f>
        <v>106</v>
      </c>
      <c r="S32" s="2175">
        <f t="shared" si="3"/>
        <v>0.26415094339622641</v>
      </c>
      <c r="U32" s="284">
        <f>SUM(U7,U11,U17,U26)</f>
        <v>28</v>
      </c>
      <c r="V32" s="284">
        <f>SUM(V7,V11,V17,V26)</f>
        <v>41</v>
      </c>
      <c r="W32" s="2195">
        <f>SUM(W7,W11,W17,W26)</f>
        <v>38</v>
      </c>
      <c r="X32" s="2188">
        <f>SUM(X7,X11,X17,X26)</f>
        <v>107</v>
      </c>
      <c r="Y32" s="2175">
        <f t="shared" si="4"/>
        <v>0.26168224299065418</v>
      </c>
      <c r="AA32" s="284">
        <f>SUM(AA7,AA11,AA17,AA26)</f>
        <v>30</v>
      </c>
      <c r="AB32" s="284">
        <f>SUM(AB7,AB11,AB17,AB26)</f>
        <v>33</v>
      </c>
      <c r="AC32" s="2195">
        <f>SUM(AC7,AC11,AC17,AC26)</f>
        <v>37</v>
      </c>
      <c r="AD32" s="2188">
        <f>SUM(AD7,AD11,AD17,AD26)</f>
        <v>100</v>
      </c>
      <c r="AE32" s="2175">
        <f t="shared" si="5"/>
        <v>0.3</v>
      </c>
      <c r="AG32" s="284">
        <f>SUM(AG7,AG11,AG17,AG22,AG26)</f>
        <v>30</v>
      </c>
      <c r="AH32" s="284">
        <f>SUM(AH7,AH11,AH17,AH22,AH26)</f>
        <v>28</v>
      </c>
      <c r="AI32" s="2195">
        <f>SUM(AI7,AI11,AI17,AI22,AI26)</f>
        <v>36</v>
      </c>
      <c r="AJ32" s="2188">
        <f t="shared" si="16"/>
        <v>94</v>
      </c>
      <c r="AK32" s="2175">
        <f t="shared" si="6"/>
        <v>0.31914893617021278</v>
      </c>
      <c r="AM32" s="284">
        <f>SUM(AM7,AM11,AM17,AM22,AM26)</f>
        <v>27</v>
      </c>
      <c r="AN32" s="284">
        <f>SUM(AN7,AN11,AN17,AN22,AN26)</f>
        <v>30</v>
      </c>
      <c r="AO32" s="2195">
        <f>SUM(AO7,AO11,AO17,AO22,AO26)</f>
        <v>33</v>
      </c>
      <c r="AP32" s="2188">
        <f t="shared" si="17"/>
        <v>90</v>
      </c>
      <c r="AQ32" s="2175">
        <f t="shared" si="18"/>
        <v>0.3</v>
      </c>
      <c r="AS32" s="284">
        <f>SUM(AS7,AS11,AS17,AS22,AS26)</f>
        <v>26</v>
      </c>
      <c r="AT32" s="284">
        <f>SUM(AT7,AT11,AT17,AT22,AT26)</f>
        <v>24</v>
      </c>
      <c r="AU32" s="2195">
        <f>SUM(AU7,AU11,AU17,AU22,AU26)</f>
        <v>35</v>
      </c>
      <c r="AV32" s="2188">
        <f t="shared" si="7"/>
        <v>85</v>
      </c>
      <c r="AW32" s="2175">
        <f t="shared" si="8"/>
        <v>0.30588235294117649</v>
      </c>
      <c r="AY32" s="284">
        <f>SUM(AY7,AY11,AY17,AY22,AY26)</f>
        <v>26</v>
      </c>
      <c r="AZ32" s="284">
        <f>SUM(AZ7,AZ11,AZ17,AZ22,AZ26)</f>
        <v>20</v>
      </c>
      <c r="BA32" s="2195">
        <f>SUM(BA7,BA11,BA17,BA22,BA26)</f>
        <v>36</v>
      </c>
      <c r="BB32" s="2188">
        <f t="shared" si="19"/>
        <v>82</v>
      </c>
      <c r="BC32" s="2175">
        <f t="shared" si="20"/>
        <v>0.31707317073170732</v>
      </c>
      <c r="BE32" s="284">
        <f>SUM(BE7,BE11,BE17,BE22,BE26)</f>
        <v>27</v>
      </c>
      <c r="BF32" s="284">
        <f>SUM(BF7,BF11,BF17,BF22,BF26)</f>
        <v>18</v>
      </c>
      <c r="BG32" s="2195">
        <f>SUM(BG7,BG11,BG17,BG22,BG26)</f>
        <v>41</v>
      </c>
      <c r="BH32" s="2188">
        <f t="shared" si="21"/>
        <v>86</v>
      </c>
      <c r="BI32" s="2175">
        <f t="shared" si="22"/>
        <v>0.31395348837209303</v>
      </c>
      <c r="BK32" s="284">
        <f>SUM(BK7,BK11,BK17,BK22,BK26)</f>
        <v>27</v>
      </c>
      <c r="BL32" s="284">
        <f>SUM(BL7,BL11,BL17,BL22,BL26)</f>
        <v>17</v>
      </c>
      <c r="BM32" s="2195">
        <f>SUM(BM7,BM11,BM17,BM22,BM26)</f>
        <v>41</v>
      </c>
      <c r="BN32" s="2188">
        <f t="shared" si="23"/>
        <v>85</v>
      </c>
      <c r="BO32" s="2175">
        <f t="shared" si="24"/>
        <v>0.31764705882352939</v>
      </c>
      <c r="BQ32" s="284">
        <f>SUM(BQ7,BQ11,BQ17,BQ22,BQ26)</f>
        <v>25</v>
      </c>
      <c r="BR32" s="284">
        <f>SUM(BR7,BR11,BR17,BR22,BR26)</f>
        <v>19</v>
      </c>
      <c r="BS32" s="2195">
        <f>SUM(BS7,BS11,BS17,BS22,BS26)</f>
        <v>42</v>
      </c>
      <c r="BT32" s="2188">
        <f t="shared" si="25"/>
        <v>86</v>
      </c>
      <c r="BU32" s="2175">
        <f t="shared" si="26"/>
        <v>0.29069767441860467</v>
      </c>
      <c r="BW32" s="284">
        <f>SUM(BW7,BW11,BW17,BW22,BW26)</f>
        <v>23</v>
      </c>
      <c r="BX32" s="284">
        <f>SUM(BX7,BX11,BX17,BX22,BX26)</f>
        <v>23</v>
      </c>
      <c r="BY32" s="2195">
        <f>SUM(BY7,BY11,BY17,BY22,BY26)</f>
        <v>24</v>
      </c>
      <c r="BZ32" s="2188">
        <f t="shared" si="27"/>
        <v>70</v>
      </c>
      <c r="CA32" s="2175">
        <f t="shared" si="28"/>
        <v>0.32857142857142857</v>
      </c>
      <c r="CC32" s="284">
        <f>SUM(CC7,CC11,CC17,CC22,CC26)</f>
        <v>23</v>
      </c>
      <c r="CD32" s="284">
        <f>SUM(CD7,CD11,CD17,CD22,CD26)</f>
        <v>23</v>
      </c>
      <c r="CE32" s="2195">
        <f>SUM(CE7,CE11,CE17,CE22,CE26)</f>
        <v>20</v>
      </c>
      <c r="CF32" s="2188">
        <f t="shared" si="29"/>
        <v>66</v>
      </c>
      <c r="CG32" s="2175">
        <f t="shared" si="30"/>
        <v>0.34848484848484851</v>
      </c>
    </row>
    <row r="33" spans="1:85" ht="15" customHeight="1">
      <c r="A33" s="2081" t="s">
        <v>41</v>
      </c>
      <c r="B33" s="279"/>
      <c r="C33" s="284">
        <f>SUM(C18,C27)</f>
        <v>19</v>
      </c>
      <c r="D33" s="284">
        <f>SUM(D18,D27)</f>
        <v>26</v>
      </c>
      <c r="E33" s="2195">
        <f>SUM(E18,E27)</f>
        <v>18</v>
      </c>
      <c r="F33" s="2188">
        <f>SUM(F18,F27)</f>
        <v>63</v>
      </c>
      <c r="G33" s="2175">
        <f t="shared" si="1"/>
        <v>0.30158730158730157</v>
      </c>
      <c r="H33" s="2174"/>
      <c r="I33" s="284">
        <f>SUM(I18,I27)</f>
        <v>22</v>
      </c>
      <c r="J33" s="284">
        <f>SUM(J18,J27)</f>
        <v>30</v>
      </c>
      <c r="K33" s="2195">
        <f>SUM(K18,K27)</f>
        <v>17</v>
      </c>
      <c r="L33" s="2188">
        <f>SUM(L18,L27)</f>
        <v>69</v>
      </c>
      <c r="M33" s="2175">
        <f t="shared" si="2"/>
        <v>0.3188405797101449</v>
      </c>
      <c r="O33" s="284">
        <f>SUM(O18,O27)</f>
        <v>23</v>
      </c>
      <c r="P33" s="284">
        <f>SUM(P18,P27)</f>
        <v>24</v>
      </c>
      <c r="Q33" s="2195">
        <f>SUM(Q18,Q27)</f>
        <v>22</v>
      </c>
      <c r="R33" s="2188">
        <f>SUM(R18,R27)</f>
        <v>69</v>
      </c>
      <c r="S33" s="2175">
        <f t="shared" si="3"/>
        <v>0.33333333333333331</v>
      </c>
      <c r="U33" s="284">
        <f>SUM(U18,U27)</f>
        <v>24</v>
      </c>
      <c r="V33" s="284">
        <f>SUM(V18,V27)</f>
        <v>21</v>
      </c>
      <c r="W33" s="2195">
        <f>SUM(W18,W27)</f>
        <v>21</v>
      </c>
      <c r="X33" s="2188">
        <f>SUM(X18,X27)</f>
        <v>66</v>
      </c>
      <c r="Y33" s="2175">
        <f t="shared" si="4"/>
        <v>0.36363636363636365</v>
      </c>
      <c r="AA33" s="284">
        <f>SUM(AA18,AA27)</f>
        <v>24</v>
      </c>
      <c r="AB33" s="284">
        <f>SUM(AB18,AB27)</f>
        <v>23</v>
      </c>
      <c r="AC33" s="2195">
        <f>SUM(AC18,AC27)</f>
        <v>20</v>
      </c>
      <c r="AD33" s="2188">
        <f>SUM(AD18,AD27)</f>
        <v>67</v>
      </c>
      <c r="AE33" s="2175">
        <f t="shared" si="5"/>
        <v>0.35820895522388058</v>
      </c>
      <c r="AG33" s="284">
        <f>SUM(AG18,AG23,AG27)</f>
        <v>25</v>
      </c>
      <c r="AH33" s="284">
        <f>SUM(AH18,AH23,AH27)</f>
        <v>20</v>
      </c>
      <c r="AI33" s="2195">
        <f>SUM(AI18,AI23,AI27)</f>
        <v>19</v>
      </c>
      <c r="AJ33" s="2188">
        <f t="shared" si="16"/>
        <v>64</v>
      </c>
      <c r="AK33" s="2175">
        <f t="shared" si="6"/>
        <v>0.390625</v>
      </c>
      <c r="AM33" s="284">
        <f>SUM(AM18,AM23,AM27)</f>
        <v>25</v>
      </c>
      <c r="AN33" s="284">
        <f>SUM(AN18,AN23,AN27)</f>
        <v>19</v>
      </c>
      <c r="AO33" s="2195">
        <f>SUM(AO18,AO23,AO27)</f>
        <v>22</v>
      </c>
      <c r="AP33" s="2188">
        <f t="shared" si="17"/>
        <v>66</v>
      </c>
      <c r="AQ33" s="2175">
        <f t="shared" si="18"/>
        <v>0.37878787878787878</v>
      </c>
      <c r="AS33" s="284">
        <f>SUM(AS18,AS23,AS27)</f>
        <v>24</v>
      </c>
      <c r="AT33" s="284">
        <f>SUM(AT18,AT23,AT27)</f>
        <v>21</v>
      </c>
      <c r="AU33" s="2195">
        <f>SUM(AU18,AU23,AU27)</f>
        <v>22</v>
      </c>
      <c r="AV33" s="2188">
        <f t="shared" si="7"/>
        <v>67</v>
      </c>
      <c r="AW33" s="2175">
        <f t="shared" si="8"/>
        <v>0.35820895522388058</v>
      </c>
      <c r="AY33" s="284">
        <f>SUM(AY18,AY23,AY27)</f>
        <v>23</v>
      </c>
      <c r="AZ33" s="284">
        <f>SUM(AZ18,AZ23,AZ27)</f>
        <v>27</v>
      </c>
      <c r="BA33" s="2195">
        <f>SUM(BA18,BA23,BA27)</f>
        <v>17</v>
      </c>
      <c r="BB33" s="2188">
        <f t="shared" si="19"/>
        <v>67</v>
      </c>
      <c r="BC33" s="2175">
        <f t="shared" si="20"/>
        <v>0.34328358208955223</v>
      </c>
      <c r="BE33" s="284">
        <f>SUM(BE18,BE23,BE27)</f>
        <v>23</v>
      </c>
      <c r="BF33" s="284">
        <f>SUM(BF18,BF23,BF27)</f>
        <v>25</v>
      </c>
      <c r="BG33" s="2195">
        <f>SUM(BG18,BG23,BG27)</f>
        <v>18</v>
      </c>
      <c r="BH33" s="2188">
        <f t="shared" si="21"/>
        <v>66</v>
      </c>
      <c r="BI33" s="2175">
        <f t="shared" si="22"/>
        <v>0.34848484848484851</v>
      </c>
      <c r="BK33" s="284">
        <f>SUM(BK18,BK23,BK27)</f>
        <v>23</v>
      </c>
      <c r="BL33" s="284">
        <f>SUM(BL18,BL23,BL27)</f>
        <v>25</v>
      </c>
      <c r="BM33" s="2195">
        <f>SUM(BM18,BM23,BM27)</f>
        <v>18</v>
      </c>
      <c r="BN33" s="2188">
        <f t="shared" si="23"/>
        <v>66</v>
      </c>
      <c r="BO33" s="2175">
        <f t="shared" si="24"/>
        <v>0.34848484848484851</v>
      </c>
      <c r="BQ33" s="284">
        <f>SUM(BQ18,BQ23,BQ27)</f>
        <v>19</v>
      </c>
      <c r="BR33" s="284">
        <f>SUM(BR18,BR23,BR27)</f>
        <v>28</v>
      </c>
      <c r="BS33" s="2195">
        <f>SUM(BS18,BS23,BS27)</f>
        <v>17</v>
      </c>
      <c r="BT33" s="2188">
        <f t="shared" si="25"/>
        <v>64</v>
      </c>
      <c r="BU33" s="2175">
        <f t="shared" si="26"/>
        <v>0.296875</v>
      </c>
      <c r="BW33" s="284">
        <f>SUM(BW18,BW23,BW27)</f>
        <v>20</v>
      </c>
      <c r="BX33" s="284">
        <f>SUM(BX18,BX23,BX27)</f>
        <v>28</v>
      </c>
      <c r="BY33" s="2195">
        <f>SUM(BY18,BY23,BY27)</f>
        <v>13</v>
      </c>
      <c r="BZ33" s="2188">
        <f t="shared" si="27"/>
        <v>61</v>
      </c>
      <c r="CA33" s="2175">
        <f t="shared" si="28"/>
        <v>0.32786885245901637</v>
      </c>
      <c r="CC33" s="284">
        <f>SUM(CC18,CC23,CC27)</f>
        <v>20</v>
      </c>
      <c r="CD33" s="284">
        <f>SUM(CD18,CD23,CD27)</f>
        <v>26</v>
      </c>
      <c r="CE33" s="2195">
        <f>SUM(CE18,CE23,CE27)</f>
        <v>13</v>
      </c>
      <c r="CF33" s="2188">
        <f t="shared" si="29"/>
        <v>59</v>
      </c>
      <c r="CG33" s="2175">
        <f t="shared" si="30"/>
        <v>0.33898305084745761</v>
      </c>
    </row>
    <row r="34" spans="1:85" ht="15" customHeight="1">
      <c r="A34" s="2081" t="s">
        <v>21</v>
      </c>
      <c r="B34" s="279"/>
      <c r="C34" s="284">
        <f>SUM(C8,C28)</f>
        <v>1</v>
      </c>
      <c r="D34" s="284">
        <f>SUM(D8,D28)</f>
        <v>6</v>
      </c>
      <c r="E34" s="2195">
        <f>SUM(E8,E28)</f>
        <v>19</v>
      </c>
      <c r="F34" s="2188">
        <f>SUM(F8,F28)</f>
        <v>26</v>
      </c>
      <c r="G34" s="2175">
        <f t="shared" si="1"/>
        <v>3.8461538461538464E-2</v>
      </c>
      <c r="H34" s="2174"/>
      <c r="I34" s="284">
        <f>SUM(I8,I28)</f>
        <v>1</v>
      </c>
      <c r="J34" s="284">
        <f>SUM(J8,J28)</f>
        <v>5</v>
      </c>
      <c r="K34" s="2195">
        <f>SUM(K8,K28)</f>
        <v>21</v>
      </c>
      <c r="L34" s="2188">
        <f>SUM(L8,L28)</f>
        <v>27</v>
      </c>
      <c r="M34" s="2175">
        <f t="shared" si="2"/>
        <v>3.7037037037037035E-2</v>
      </c>
      <c r="O34" s="284">
        <f>SUM(O8,O28)</f>
        <v>2</v>
      </c>
      <c r="P34" s="284">
        <f>SUM(P8,P28)</f>
        <v>5</v>
      </c>
      <c r="Q34" s="2195">
        <f>SUM(Q8,Q28)</f>
        <v>21</v>
      </c>
      <c r="R34" s="2188">
        <f>SUM(R8,R28)</f>
        <v>28</v>
      </c>
      <c r="S34" s="2175">
        <f t="shared" si="3"/>
        <v>7.1428571428571425E-2</v>
      </c>
      <c r="U34" s="284">
        <f>SUM(U8,U28)</f>
        <v>2</v>
      </c>
      <c r="V34" s="284">
        <f>SUM(V8,V28)</f>
        <v>5</v>
      </c>
      <c r="W34" s="2195">
        <f>SUM(W8,W28)</f>
        <v>21</v>
      </c>
      <c r="X34" s="2188">
        <f>SUM(X8,X28)</f>
        <v>28</v>
      </c>
      <c r="Y34" s="2175">
        <f t="shared" si="4"/>
        <v>7.1428571428571425E-2</v>
      </c>
      <c r="AA34" s="284">
        <f>SUM(AA8,AA28)</f>
        <v>2</v>
      </c>
      <c r="AB34" s="284">
        <f>SUM(AB8,AB28)</f>
        <v>5</v>
      </c>
      <c r="AC34" s="2195">
        <f>SUM(AC8,AC28)</f>
        <v>22</v>
      </c>
      <c r="AD34" s="2188">
        <f>SUM(AD8,AD28)</f>
        <v>29</v>
      </c>
      <c r="AE34" s="2175">
        <f t="shared" si="5"/>
        <v>6.8965517241379309E-2</v>
      </c>
      <c r="AG34" s="284">
        <f>SUM(AG8,AG28)</f>
        <v>2</v>
      </c>
      <c r="AH34" s="284">
        <f>SUM(AH8,AH28)</f>
        <v>8</v>
      </c>
      <c r="AI34" s="2195">
        <f>SUM(AI8,AI28)</f>
        <v>25</v>
      </c>
      <c r="AJ34" s="2188">
        <f t="shared" si="16"/>
        <v>35</v>
      </c>
      <c r="AK34" s="2175">
        <f t="shared" si="6"/>
        <v>5.7142857142857141E-2</v>
      </c>
      <c r="AM34" s="284">
        <f>SUM(AM8,AM28)</f>
        <v>2</v>
      </c>
      <c r="AN34" s="284">
        <f>SUM(AN8,AN28)</f>
        <v>9</v>
      </c>
      <c r="AO34" s="2195">
        <f>SUM(AO8,AO28)</f>
        <v>23</v>
      </c>
      <c r="AP34" s="2188">
        <f t="shared" si="17"/>
        <v>34</v>
      </c>
      <c r="AQ34" s="2175">
        <f t="shared" si="18"/>
        <v>5.8823529411764705E-2</v>
      </c>
      <c r="AS34" s="284">
        <f>SUM(AS8,AS28)</f>
        <v>2</v>
      </c>
      <c r="AT34" s="284">
        <f>SUM(AT8,AT28)</f>
        <v>7</v>
      </c>
      <c r="AU34" s="2195">
        <f>SUM(AU8,AU28)</f>
        <v>21</v>
      </c>
      <c r="AV34" s="2188">
        <f t="shared" si="7"/>
        <v>30</v>
      </c>
      <c r="AW34" s="2175">
        <f t="shared" si="8"/>
        <v>6.6666666666666666E-2</v>
      </c>
      <c r="AY34" s="284">
        <f>SUM(AY8,AY28)</f>
        <v>2</v>
      </c>
      <c r="AZ34" s="284">
        <f>SUM(AZ8,AZ28)</f>
        <v>8</v>
      </c>
      <c r="BA34" s="2195">
        <f>SUM(BA8,BA28)</f>
        <v>21</v>
      </c>
      <c r="BB34" s="2188">
        <f t="shared" si="19"/>
        <v>31</v>
      </c>
      <c r="BC34" s="2175">
        <f t="shared" si="20"/>
        <v>6.4516129032258063E-2</v>
      </c>
      <c r="BE34" s="284">
        <f>SUM(BE8,BE28)</f>
        <v>2</v>
      </c>
      <c r="BF34" s="284">
        <f>SUM(BF8,BF28)</f>
        <v>8</v>
      </c>
      <c r="BG34" s="2195">
        <f>SUM(BG8,BG28)</f>
        <v>18</v>
      </c>
      <c r="BH34" s="2188">
        <f t="shared" si="21"/>
        <v>28</v>
      </c>
      <c r="BI34" s="2175">
        <f t="shared" si="22"/>
        <v>7.1428571428571425E-2</v>
      </c>
      <c r="BK34" s="284">
        <f>SUM(BK8,BK28)</f>
        <v>2</v>
      </c>
      <c r="BL34" s="284">
        <f>SUM(BL8,BL28)</f>
        <v>8</v>
      </c>
      <c r="BM34" s="2195">
        <f>SUM(BM8,BM28)</f>
        <v>17</v>
      </c>
      <c r="BN34" s="2188">
        <f t="shared" si="23"/>
        <v>27</v>
      </c>
      <c r="BO34" s="2175">
        <f t="shared" si="24"/>
        <v>7.407407407407407E-2</v>
      </c>
      <c r="BQ34" s="284">
        <f>SUM(BQ8,BQ28)</f>
        <v>3</v>
      </c>
      <c r="BR34" s="284">
        <f>SUM(BR8,BR28)</f>
        <v>8</v>
      </c>
      <c r="BS34" s="2195">
        <f>SUM(BS8,BS28)</f>
        <v>14</v>
      </c>
      <c r="BT34" s="2188">
        <f t="shared" si="25"/>
        <v>25</v>
      </c>
      <c r="BU34" s="2175">
        <f t="shared" si="26"/>
        <v>0.12</v>
      </c>
      <c r="BW34" s="284">
        <f>SUM(BW8,BW28)</f>
        <v>2</v>
      </c>
      <c r="BX34" s="284">
        <f>SUM(BX8,BX28)</f>
        <v>9</v>
      </c>
      <c r="BY34" s="2195">
        <f>SUM(BY8,BY28)</f>
        <v>12</v>
      </c>
      <c r="BZ34" s="2188">
        <f t="shared" si="27"/>
        <v>23</v>
      </c>
      <c r="CA34" s="2175">
        <f t="shared" si="28"/>
        <v>8.6956521739130432E-2</v>
      </c>
      <c r="CC34" s="284">
        <f>SUM(CC8,CC28)</f>
        <v>2</v>
      </c>
      <c r="CD34" s="284">
        <f>SUM(CD8,CD28)</f>
        <v>8</v>
      </c>
      <c r="CE34" s="2195">
        <f>SUM(CE8,CE28)</f>
        <v>11</v>
      </c>
      <c r="CF34" s="2188">
        <f t="shared" si="29"/>
        <v>21</v>
      </c>
      <c r="CG34" s="2175">
        <f t="shared" si="30"/>
        <v>9.5238095238095233E-2</v>
      </c>
    </row>
    <row r="35" spans="1:85" ht="15" customHeight="1">
      <c r="A35" s="2081" t="s">
        <v>61</v>
      </c>
      <c r="B35" s="279"/>
      <c r="C35" s="284">
        <f t="shared" ref="C35:F36" si="31">SUM(C12)</f>
        <v>1</v>
      </c>
      <c r="D35" s="284">
        <f t="shared" si="31"/>
        <v>0</v>
      </c>
      <c r="E35" s="2195">
        <f t="shared" si="31"/>
        <v>4</v>
      </c>
      <c r="F35" s="2188">
        <f t="shared" si="31"/>
        <v>5</v>
      </c>
      <c r="G35" s="2175">
        <f t="shared" si="1"/>
        <v>0.2</v>
      </c>
      <c r="H35" s="2174"/>
      <c r="I35" s="284">
        <f t="shared" ref="I35:L36" si="32">SUM(I12)</f>
        <v>1</v>
      </c>
      <c r="J35" s="284">
        <f t="shared" si="32"/>
        <v>0</v>
      </c>
      <c r="K35" s="2195">
        <f t="shared" si="32"/>
        <v>8</v>
      </c>
      <c r="L35" s="2188">
        <f t="shared" si="32"/>
        <v>9</v>
      </c>
      <c r="M35" s="2175">
        <f t="shared" si="2"/>
        <v>0.1111111111111111</v>
      </c>
      <c r="O35" s="284">
        <f t="shared" ref="O35:R36" si="33">SUM(O12)</f>
        <v>1</v>
      </c>
      <c r="P35" s="284">
        <f t="shared" si="33"/>
        <v>0</v>
      </c>
      <c r="Q35" s="2195">
        <f t="shared" si="33"/>
        <v>9</v>
      </c>
      <c r="R35" s="2188">
        <f t="shared" si="33"/>
        <v>10</v>
      </c>
      <c r="S35" s="2175">
        <f t="shared" si="3"/>
        <v>0.1</v>
      </c>
      <c r="U35" s="284">
        <f t="shared" ref="U35:X36" si="34">SUM(U12)</f>
        <v>1</v>
      </c>
      <c r="V35" s="284">
        <f t="shared" si="34"/>
        <v>0</v>
      </c>
      <c r="W35" s="2195">
        <f t="shared" si="34"/>
        <v>8</v>
      </c>
      <c r="X35" s="2188">
        <f t="shared" si="34"/>
        <v>9</v>
      </c>
      <c r="Y35" s="2175">
        <f t="shared" si="4"/>
        <v>0.1111111111111111</v>
      </c>
      <c r="AA35" s="284">
        <f t="shared" ref="AA35:AD36" si="35">SUM(AA12)</f>
        <v>1</v>
      </c>
      <c r="AB35" s="284">
        <f t="shared" si="35"/>
        <v>1</v>
      </c>
      <c r="AC35" s="2195">
        <f t="shared" si="35"/>
        <v>7</v>
      </c>
      <c r="AD35" s="2188">
        <f t="shared" si="35"/>
        <v>9</v>
      </c>
      <c r="AE35" s="2175">
        <f t="shared" si="5"/>
        <v>0.1111111111111111</v>
      </c>
      <c r="AG35" s="284">
        <f t="shared" ref="AG35:AI36" si="36">SUM(AG12)</f>
        <v>1</v>
      </c>
      <c r="AH35" s="284">
        <f t="shared" si="36"/>
        <v>1</v>
      </c>
      <c r="AI35" s="2195">
        <f t="shared" si="36"/>
        <v>8</v>
      </c>
      <c r="AJ35" s="2188">
        <f t="shared" si="16"/>
        <v>10</v>
      </c>
      <c r="AK35" s="2175">
        <f t="shared" si="6"/>
        <v>0.1</v>
      </c>
      <c r="AM35" s="284">
        <f t="shared" ref="AM35:AO36" si="37">SUM(AM12)</f>
        <v>1</v>
      </c>
      <c r="AN35" s="284">
        <f t="shared" si="37"/>
        <v>1</v>
      </c>
      <c r="AO35" s="2195">
        <f t="shared" si="37"/>
        <v>8</v>
      </c>
      <c r="AP35" s="2188">
        <f t="shared" si="17"/>
        <v>10</v>
      </c>
      <c r="AQ35" s="2175">
        <f t="shared" si="18"/>
        <v>0.1</v>
      </c>
      <c r="AS35" s="284">
        <f t="shared" ref="AS35:AU36" si="38">SUM(AS12)</f>
        <v>1</v>
      </c>
      <c r="AT35" s="284">
        <f t="shared" si="38"/>
        <v>1</v>
      </c>
      <c r="AU35" s="2195">
        <f t="shared" si="38"/>
        <v>6</v>
      </c>
      <c r="AV35" s="2188">
        <f t="shared" si="7"/>
        <v>8</v>
      </c>
      <c r="AW35" s="2175">
        <f t="shared" si="8"/>
        <v>0.125</v>
      </c>
      <c r="AY35" s="284">
        <f t="shared" ref="AY35:BA36" si="39">SUM(AY12)</f>
        <v>1</v>
      </c>
      <c r="AZ35" s="284">
        <f t="shared" si="39"/>
        <v>1</v>
      </c>
      <c r="BA35" s="2195">
        <f t="shared" si="39"/>
        <v>6</v>
      </c>
      <c r="BB35" s="2188">
        <f t="shared" si="19"/>
        <v>8</v>
      </c>
      <c r="BC35" s="2175">
        <f t="shared" si="20"/>
        <v>0.125</v>
      </c>
      <c r="BE35" s="284">
        <f t="shared" ref="BE35:BG36" si="40">SUM(BE12)</f>
        <v>1</v>
      </c>
      <c r="BF35" s="284">
        <f t="shared" si="40"/>
        <v>1</v>
      </c>
      <c r="BG35" s="2195">
        <f t="shared" si="40"/>
        <v>4</v>
      </c>
      <c r="BH35" s="2188">
        <f t="shared" si="21"/>
        <v>6</v>
      </c>
      <c r="BI35" s="2175">
        <f t="shared" si="22"/>
        <v>0.16666666666666666</v>
      </c>
      <c r="BK35" s="284">
        <f t="shared" ref="BK35:BM36" si="41">SUM(BK12)</f>
        <v>1</v>
      </c>
      <c r="BL35" s="284">
        <f t="shared" si="41"/>
        <v>1</v>
      </c>
      <c r="BM35" s="2195">
        <f t="shared" si="41"/>
        <v>4</v>
      </c>
      <c r="BN35" s="2188">
        <f t="shared" si="23"/>
        <v>6</v>
      </c>
      <c r="BO35" s="2175">
        <f t="shared" si="24"/>
        <v>0.16666666666666666</v>
      </c>
      <c r="BQ35" s="284">
        <f t="shared" ref="BQ35:BS35" si="42">SUM(BQ12)</f>
        <v>1</v>
      </c>
      <c r="BR35" s="284">
        <f t="shared" si="42"/>
        <v>0</v>
      </c>
      <c r="BS35" s="2195">
        <f t="shared" si="42"/>
        <v>3</v>
      </c>
      <c r="BT35" s="2188">
        <f t="shared" si="25"/>
        <v>4</v>
      </c>
      <c r="BU35" s="2175">
        <f t="shared" si="26"/>
        <v>0.25</v>
      </c>
      <c r="BW35" s="284">
        <f t="shared" ref="BW35:BY35" si="43">SUM(BW12)</f>
        <v>1</v>
      </c>
      <c r="BX35" s="284">
        <f t="shared" si="43"/>
        <v>0</v>
      </c>
      <c r="BY35" s="2195">
        <f t="shared" si="43"/>
        <v>3</v>
      </c>
      <c r="BZ35" s="2188">
        <f t="shared" si="27"/>
        <v>4</v>
      </c>
      <c r="CA35" s="2175">
        <f t="shared" si="28"/>
        <v>0.25</v>
      </c>
      <c r="CC35" s="284">
        <f t="shared" ref="CC35:CE35" si="44">SUM(CC12)</f>
        <v>1</v>
      </c>
      <c r="CD35" s="284">
        <f t="shared" si="44"/>
        <v>0</v>
      </c>
      <c r="CE35" s="2195">
        <f t="shared" si="44"/>
        <v>3</v>
      </c>
      <c r="CF35" s="2188">
        <f t="shared" si="29"/>
        <v>4</v>
      </c>
      <c r="CG35" s="2175">
        <f t="shared" si="30"/>
        <v>0.25</v>
      </c>
    </row>
    <row r="36" spans="1:85" ht="15" customHeight="1">
      <c r="A36" s="2081" t="s">
        <v>64</v>
      </c>
      <c r="B36" s="279"/>
      <c r="C36" s="284">
        <f t="shared" si="31"/>
        <v>0</v>
      </c>
      <c r="D36" s="284">
        <f t="shared" si="31"/>
        <v>0</v>
      </c>
      <c r="E36" s="2195">
        <f t="shared" si="31"/>
        <v>5</v>
      </c>
      <c r="F36" s="2188">
        <f t="shared" si="31"/>
        <v>5</v>
      </c>
      <c r="G36" s="2175">
        <f t="shared" si="1"/>
        <v>0</v>
      </c>
      <c r="H36" s="2174"/>
      <c r="I36" s="284">
        <f t="shared" si="32"/>
        <v>1</v>
      </c>
      <c r="J36" s="284">
        <f t="shared" si="32"/>
        <v>1</v>
      </c>
      <c r="K36" s="2195">
        <f t="shared" si="32"/>
        <v>5</v>
      </c>
      <c r="L36" s="2188">
        <f t="shared" si="32"/>
        <v>7</v>
      </c>
      <c r="M36" s="2175">
        <f t="shared" si="2"/>
        <v>0.14285714285714285</v>
      </c>
      <c r="O36" s="284">
        <f t="shared" si="33"/>
        <v>1</v>
      </c>
      <c r="P36" s="284">
        <f t="shared" si="33"/>
        <v>2</v>
      </c>
      <c r="Q36" s="2195">
        <f t="shared" si="33"/>
        <v>5</v>
      </c>
      <c r="R36" s="2188">
        <f t="shared" si="33"/>
        <v>8</v>
      </c>
      <c r="S36" s="2175">
        <f t="shared" si="3"/>
        <v>0.125</v>
      </c>
      <c r="U36" s="284">
        <f t="shared" si="34"/>
        <v>1</v>
      </c>
      <c r="V36" s="284">
        <f t="shared" si="34"/>
        <v>2</v>
      </c>
      <c r="W36" s="2195">
        <f t="shared" si="34"/>
        <v>5</v>
      </c>
      <c r="X36" s="2188">
        <f t="shared" si="34"/>
        <v>8</v>
      </c>
      <c r="Y36" s="2175">
        <f t="shared" si="4"/>
        <v>0.125</v>
      </c>
      <c r="AA36" s="284">
        <f t="shared" si="35"/>
        <v>1</v>
      </c>
      <c r="AB36" s="284">
        <f t="shared" si="35"/>
        <v>4</v>
      </c>
      <c r="AC36" s="2195">
        <f t="shared" si="35"/>
        <v>4</v>
      </c>
      <c r="AD36" s="2188">
        <f t="shared" si="35"/>
        <v>9</v>
      </c>
      <c r="AE36" s="2175">
        <f t="shared" si="5"/>
        <v>0.1111111111111111</v>
      </c>
      <c r="AG36" s="284">
        <f t="shared" si="36"/>
        <v>1</v>
      </c>
      <c r="AH36" s="284">
        <f t="shared" si="36"/>
        <v>6</v>
      </c>
      <c r="AI36" s="2195">
        <f t="shared" si="36"/>
        <v>4</v>
      </c>
      <c r="AJ36" s="2188">
        <f t="shared" si="16"/>
        <v>11</v>
      </c>
      <c r="AK36" s="2175">
        <f t="shared" si="6"/>
        <v>9.0909090909090912E-2</v>
      </c>
      <c r="AM36" s="284">
        <f t="shared" si="37"/>
        <v>2</v>
      </c>
      <c r="AN36" s="284">
        <f t="shared" si="37"/>
        <v>5</v>
      </c>
      <c r="AO36" s="2195">
        <f t="shared" si="37"/>
        <v>4</v>
      </c>
      <c r="AP36" s="2188">
        <f t="shared" si="17"/>
        <v>11</v>
      </c>
      <c r="AQ36" s="2175">
        <f t="shared" si="18"/>
        <v>0.18181818181818182</v>
      </c>
      <c r="AS36" s="284">
        <f t="shared" si="38"/>
        <v>3</v>
      </c>
      <c r="AT36" s="284">
        <f t="shared" si="38"/>
        <v>5</v>
      </c>
      <c r="AU36" s="2195">
        <f t="shared" si="38"/>
        <v>2</v>
      </c>
      <c r="AV36" s="2188">
        <f t="shared" si="7"/>
        <v>10</v>
      </c>
      <c r="AW36" s="2175">
        <f t="shared" si="8"/>
        <v>0.3</v>
      </c>
      <c r="AY36" s="284">
        <f t="shared" si="39"/>
        <v>3</v>
      </c>
      <c r="AZ36" s="284">
        <f t="shared" si="39"/>
        <v>5</v>
      </c>
      <c r="BA36" s="2195">
        <f t="shared" si="39"/>
        <v>3</v>
      </c>
      <c r="BB36" s="2188">
        <f t="shared" si="19"/>
        <v>11</v>
      </c>
      <c r="BC36" s="2175">
        <f t="shared" si="20"/>
        <v>0.27272727272727271</v>
      </c>
      <c r="BE36" s="284">
        <f t="shared" si="40"/>
        <v>4</v>
      </c>
      <c r="BF36" s="284">
        <f t="shared" si="40"/>
        <v>4</v>
      </c>
      <c r="BG36" s="2195">
        <f t="shared" si="40"/>
        <v>3</v>
      </c>
      <c r="BH36" s="2188">
        <f t="shared" si="21"/>
        <v>11</v>
      </c>
      <c r="BI36" s="2175">
        <f t="shared" si="22"/>
        <v>0.36363636363636365</v>
      </c>
      <c r="BK36" s="284">
        <f t="shared" si="41"/>
        <v>4</v>
      </c>
      <c r="BL36" s="284">
        <f t="shared" si="41"/>
        <v>4</v>
      </c>
      <c r="BM36" s="2195">
        <f t="shared" si="41"/>
        <v>3</v>
      </c>
      <c r="BN36" s="2188">
        <f t="shared" si="23"/>
        <v>11</v>
      </c>
      <c r="BO36" s="2175">
        <f t="shared" si="24"/>
        <v>0.36363636363636365</v>
      </c>
      <c r="BQ36" s="284">
        <f t="shared" ref="BQ36:BS36" si="45">SUM(BQ13)</f>
        <v>4</v>
      </c>
      <c r="BR36" s="284">
        <f t="shared" si="45"/>
        <v>4</v>
      </c>
      <c r="BS36" s="2195">
        <f t="shared" si="45"/>
        <v>3</v>
      </c>
      <c r="BT36" s="2188">
        <f t="shared" si="25"/>
        <v>11</v>
      </c>
      <c r="BU36" s="2175">
        <f t="shared" si="26"/>
        <v>0.36363636363636365</v>
      </c>
      <c r="BW36" s="284">
        <f t="shared" ref="BW36:BY36" si="46">SUM(BW13)</f>
        <v>4</v>
      </c>
      <c r="BX36" s="284">
        <f t="shared" si="46"/>
        <v>5</v>
      </c>
      <c r="BY36" s="2195">
        <f t="shared" si="46"/>
        <v>3</v>
      </c>
      <c r="BZ36" s="2188">
        <f t="shared" si="27"/>
        <v>12</v>
      </c>
      <c r="CA36" s="2175">
        <f t="shared" si="28"/>
        <v>0.33333333333333331</v>
      </c>
      <c r="CC36" s="284">
        <f t="shared" ref="CC36:CE36" si="47">SUM(CC13)</f>
        <v>4</v>
      </c>
      <c r="CD36" s="284">
        <f t="shared" si="47"/>
        <v>5</v>
      </c>
      <c r="CE36" s="2195">
        <f t="shared" si="47"/>
        <v>3</v>
      </c>
      <c r="CF36" s="2188">
        <f t="shared" si="29"/>
        <v>12</v>
      </c>
      <c r="CG36" s="2175">
        <f t="shared" si="30"/>
        <v>0.33333333333333331</v>
      </c>
    </row>
    <row r="37" spans="1:85" ht="15" customHeight="1">
      <c r="A37" s="2173" t="s">
        <v>112</v>
      </c>
      <c r="B37" s="279"/>
      <c r="C37" s="2186">
        <f t="shared" ref="C37:L37" si="48">SUM(C31:C36)</f>
        <v>73</v>
      </c>
      <c r="D37" s="2186">
        <f t="shared" si="48"/>
        <v>111</v>
      </c>
      <c r="E37" s="2201">
        <f t="shared" si="48"/>
        <v>93</v>
      </c>
      <c r="F37" s="2194">
        <f t="shared" si="48"/>
        <v>277</v>
      </c>
      <c r="G37" s="2187">
        <f t="shared" si="1"/>
        <v>0.26353790613718414</v>
      </c>
      <c r="H37" s="2174"/>
      <c r="I37" s="2186">
        <f t="shared" si="48"/>
        <v>72</v>
      </c>
      <c r="J37" s="2186">
        <f t="shared" si="48"/>
        <v>112</v>
      </c>
      <c r="K37" s="2201">
        <f t="shared" si="48"/>
        <v>102</v>
      </c>
      <c r="L37" s="2194">
        <f t="shared" si="48"/>
        <v>286</v>
      </c>
      <c r="M37" s="2187">
        <f t="shared" si="2"/>
        <v>0.25174825174825177</v>
      </c>
      <c r="O37" s="2186">
        <f t="shared" ref="O37:X37" si="49">SUM(O31:O36)</f>
        <v>80</v>
      </c>
      <c r="P37" s="2186">
        <f t="shared" si="49"/>
        <v>99</v>
      </c>
      <c r="Q37" s="2201">
        <f t="shared" si="49"/>
        <v>107</v>
      </c>
      <c r="R37" s="2194">
        <f t="shared" si="49"/>
        <v>286</v>
      </c>
      <c r="S37" s="2187">
        <f t="shared" si="3"/>
        <v>0.27972027972027974</v>
      </c>
      <c r="U37" s="2186">
        <f t="shared" si="49"/>
        <v>81</v>
      </c>
      <c r="V37" s="2186">
        <f t="shared" si="49"/>
        <v>96</v>
      </c>
      <c r="W37" s="2201">
        <f t="shared" si="49"/>
        <v>105</v>
      </c>
      <c r="X37" s="2194">
        <f t="shared" si="49"/>
        <v>282</v>
      </c>
      <c r="Y37" s="2187">
        <f t="shared" si="4"/>
        <v>0.28723404255319152</v>
      </c>
      <c r="AA37" s="2186">
        <f>SUM(AA31:AA36)</f>
        <v>84</v>
      </c>
      <c r="AB37" s="2186">
        <f>SUM(AB31:AB36)</f>
        <v>92</v>
      </c>
      <c r="AC37" s="2201">
        <f>SUM(AC31:AC36)</f>
        <v>101</v>
      </c>
      <c r="AD37" s="2194">
        <f>SUM(AD31:AD36)</f>
        <v>277</v>
      </c>
      <c r="AE37" s="2187">
        <f t="shared" si="5"/>
        <v>0.30324909747292417</v>
      </c>
      <c r="AG37" s="2186">
        <f>SUM(AG31:AG36)</f>
        <v>87</v>
      </c>
      <c r="AH37" s="2186">
        <f>SUM(AH31:AH36)</f>
        <v>81</v>
      </c>
      <c r="AI37" s="2201">
        <f>SUM(AI31:AI36)</f>
        <v>111</v>
      </c>
      <c r="AJ37" s="2194">
        <f>SUM(AJ31:AJ36)</f>
        <v>279</v>
      </c>
      <c r="AK37" s="2187">
        <f t="shared" si="6"/>
        <v>0.31182795698924731</v>
      </c>
      <c r="AM37" s="2186">
        <f>SUM(AM31:AM36)</f>
        <v>82</v>
      </c>
      <c r="AN37" s="2186">
        <f>SUM(AN31:AN36)</f>
        <v>83</v>
      </c>
      <c r="AO37" s="2201">
        <f>SUM(AO31:AO36)</f>
        <v>112</v>
      </c>
      <c r="AP37" s="2194">
        <f>SUM(AP31:AP36)</f>
        <v>277</v>
      </c>
      <c r="AQ37" s="2187">
        <f t="shared" si="18"/>
        <v>0.29602888086642598</v>
      </c>
      <c r="AS37" s="2186">
        <f>SUM(AS31:AS36)</f>
        <v>80</v>
      </c>
      <c r="AT37" s="2186">
        <f>SUM(AT31:AT36)</f>
        <v>78</v>
      </c>
      <c r="AU37" s="2201">
        <f>SUM(AU31:AU36)</f>
        <v>106</v>
      </c>
      <c r="AV37" s="2194">
        <f t="shared" si="7"/>
        <v>264</v>
      </c>
      <c r="AW37" s="2187">
        <f>AS37/AV37</f>
        <v>0.30303030303030304</v>
      </c>
      <c r="AY37" s="2186">
        <f>SUM(AY31:AY36)</f>
        <v>83</v>
      </c>
      <c r="AZ37" s="2186">
        <f>SUM(AZ31:AZ36)</f>
        <v>79</v>
      </c>
      <c r="BA37" s="2201">
        <f>SUM(BA31:BA36)</f>
        <v>104</v>
      </c>
      <c r="BB37" s="2194">
        <f t="shared" si="19"/>
        <v>266</v>
      </c>
      <c r="BC37" s="2187">
        <f>AY37/BB37</f>
        <v>0.31203007518796994</v>
      </c>
      <c r="BE37" s="2186">
        <f>SUM(BE31:BE36)</f>
        <v>83</v>
      </c>
      <c r="BF37" s="2186">
        <f>SUM(BF31:BF36)</f>
        <v>76</v>
      </c>
      <c r="BG37" s="2201">
        <f>SUM(BG31:BG36)</f>
        <v>103</v>
      </c>
      <c r="BH37" s="2194">
        <f t="shared" si="21"/>
        <v>262</v>
      </c>
      <c r="BI37" s="2187">
        <f>BE37/BH37</f>
        <v>0.31679389312977096</v>
      </c>
      <c r="BK37" s="2186">
        <f>SUM(BK31:BK36)</f>
        <v>83</v>
      </c>
      <c r="BL37" s="2186">
        <f>SUM(BL31:BL36)</f>
        <v>75</v>
      </c>
      <c r="BM37" s="2201">
        <f>SUM(BM31:BM36)</f>
        <v>101</v>
      </c>
      <c r="BN37" s="2194">
        <f t="shared" si="23"/>
        <v>259</v>
      </c>
      <c r="BO37" s="2187">
        <f>BK37/BN37</f>
        <v>0.32046332046332049</v>
      </c>
      <c r="BQ37" s="2186">
        <f>SUM(BQ31:BQ36)</f>
        <v>76</v>
      </c>
      <c r="BR37" s="2186">
        <f>SUM(BR31:BR36)</f>
        <v>79</v>
      </c>
      <c r="BS37" s="2201">
        <f>SUM(BS31:BS36)</f>
        <v>96</v>
      </c>
      <c r="BT37" s="2194">
        <f t="shared" si="25"/>
        <v>251</v>
      </c>
      <c r="BU37" s="2187">
        <f>BQ37/BT37</f>
        <v>0.30278884462151395</v>
      </c>
      <c r="BW37" s="2186">
        <f>SUM(BW31:BW36)</f>
        <v>74</v>
      </c>
      <c r="BX37" s="2186">
        <f>SUM(BX31:BX36)</f>
        <v>84</v>
      </c>
      <c r="BY37" s="2201">
        <f>SUM(BY31:BY36)</f>
        <v>69</v>
      </c>
      <c r="BZ37" s="2194">
        <f t="shared" si="27"/>
        <v>227</v>
      </c>
      <c r="CA37" s="2187">
        <f>BW37/BZ37</f>
        <v>0.32599118942731276</v>
      </c>
      <c r="CC37" s="2186">
        <f>SUM(CC31:CC36)</f>
        <v>72</v>
      </c>
      <c r="CD37" s="2186">
        <f>SUM(CD31:CD36)</f>
        <v>79</v>
      </c>
      <c r="CE37" s="2201">
        <f>SUM(CE31:CE36)</f>
        <v>64</v>
      </c>
      <c r="CF37" s="2194">
        <f t="shared" si="29"/>
        <v>215</v>
      </c>
      <c r="CG37" s="2187">
        <f>CC37/CF37</f>
        <v>0.33488372093023255</v>
      </c>
    </row>
    <row r="38" spans="1:85" ht="13.2" customHeight="1">
      <c r="A38" s="285"/>
      <c r="B38" s="279"/>
      <c r="H38" s="2174"/>
    </row>
    <row r="39" spans="1:85" ht="13.2" customHeight="1">
      <c r="B39" s="279"/>
      <c r="C39" s="286" t="s">
        <v>1022</v>
      </c>
      <c r="H39" s="2174"/>
      <c r="BO39" s="1903"/>
      <c r="BU39" s="1903"/>
      <c r="CA39" s="1903"/>
      <c r="CG39" s="1903" t="s">
        <v>1022</v>
      </c>
    </row>
    <row r="40" spans="1:85" ht="13.2" customHeight="1">
      <c r="B40" s="279"/>
      <c r="C40" s="286" t="s">
        <v>1023</v>
      </c>
      <c r="H40" s="2174"/>
      <c r="BO40" s="1903"/>
      <c r="BU40" s="1903"/>
      <c r="CA40" s="1903"/>
      <c r="CG40" s="1903" t="s">
        <v>1023</v>
      </c>
    </row>
    <row r="41" spans="1:85" ht="17.399999999999999">
      <c r="B41" s="279"/>
      <c r="C41" s="286" t="s">
        <v>1024</v>
      </c>
      <c r="H41" s="2174"/>
      <c r="BO41" s="1903"/>
      <c r="BU41" s="1903"/>
      <c r="CA41" s="1903"/>
      <c r="CG41" s="1903" t="s">
        <v>1024</v>
      </c>
    </row>
    <row r="42" spans="1:85" ht="17.399999999999999">
      <c r="A42" s="287"/>
      <c r="B42" s="279"/>
      <c r="H42" s="2174"/>
    </row>
    <row r="43" spans="1:85" ht="15" customHeight="1">
      <c r="A43" s="288"/>
      <c r="B43" s="279"/>
      <c r="H43" s="2174"/>
    </row>
    <row r="44" spans="1:85" ht="17.399999999999999">
      <c r="B44" s="279"/>
      <c r="H44" s="2174"/>
    </row>
    <row r="45" spans="1:85" ht="17.399999999999999">
      <c r="B45" s="279"/>
      <c r="H45" s="2174"/>
    </row>
    <row r="46" spans="1:85" ht="17.399999999999999">
      <c r="B46" s="279"/>
      <c r="H46" s="2174"/>
    </row>
    <row r="47" spans="1:85" ht="17.399999999999999">
      <c r="B47" s="279"/>
      <c r="H47" s="2174"/>
    </row>
    <row r="48" spans="1:85" ht="17.399999999999999">
      <c r="B48" s="279"/>
      <c r="H48" s="2174"/>
    </row>
    <row r="49" spans="2:8" ht="17.399999999999999">
      <c r="B49" s="279"/>
      <c r="H49" s="2174"/>
    </row>
    <row r="50" spans="2:8" ht="17.399999999999999">
      <c r="B50" s="279"/>
      <c r="H50" s="2174"/>
    </row>
    <row r="51" spans="2:8" ht="17.399999999999999">
      <c r="B51" s="279"/>
    </row>
    <row r="52" spans="2:8" ht="17.399999999999999">
      <c r="B52" s="279"/>
    </row>
    <row r="53" spans="2:8" ht="17.399999999999999">
      <c r="B53" s="279"/>
    </row>
    <row r="54" spans="2:8" ht="17.399999999999999">
      <c r="B54" s="279"/>
    </row>
    <row r="55" spans="2:8" ht="17.399999999999999">
      <c r="B55" s="279"/>
    </row>
    <row r="56" spans="2:8" ht="17.399999999999999">
      <c r="B56" s="279"/>
    </row>
    <row r="57" spans="2:8" ht="17.399999999999999">
      <c r="B57" s="279"/>
    </row>
    <row r="58" spans="2:8" ht="17.399999999999999">
      <c r="B58" s="279"/>
    </row>
    <row r="59" spans="2:8" ht="17.399999999999999">
      <c r="B59" s="279"/>
    </row>
    <row r="60" spans="2:8" ht="17.399999999999999">
      <c r="B60" s="279"/>
    </row>
    <row r="61" spans="2:8" ht="17.399999999999999">
      <c r="B61" s="279"/>
    </row>
    <row r="62" spans="2:8" ht="17.399999999999999">
      <c r="B62" s="279"/>
    </row>
    <row r="63" spans="2:8" ht="17.399999999999999">
      <c r="B63" s="279"/>
    </row>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sheetData>
  <mergeCells count="15">
    <mergeCell ref="CC3:CG3"/>
    <mergeCell ref="BW3:CA3"/>
    <mergeCell ref="BQ3:BU3"/>
    <mergeCell ref="BK3:BO3"/>
    <mergeCell ref="BE3:BI3"/>
    <mergeCell ref="A3:A4"/>
    <mergeCell ref="C3:G3"/>
    <mergeCell ref="I3:M3"/>
    <mergeCell ref="O3:S3"/>
    <mergeCell ref="U3:Y3"/>
    <mergeCell ref="AY3:BC3"/>
    <mergeCell ref="AS3:AW3"/>
    <mergeCell ref="AM3:AQ3"/>
    <mergeCell ref="AG3:AK3"/>
    <mergeCell ref="AA3:AE3"/>
  </mergeCells>
  <printOptions horizontalCentered="1" verticalCentered="1"/>
  <pageMargins left="0.70866141732283472" right="0.70866141732283472" top="0.74803149606299213" bottom="0.74803149606299213" header="0.31496062992125984" footer="0.31496062992125984"/>
  <pageSetup scale="54" firstPageNumber="46" orientation="landscape" useFirstPageNumber="1" r:id="rId1"/>
  <headerFooter scaleWithDoc="0" alignWithMargins="0">
    <oddFooter>&amp;R&amp;P</oddFooter>
  </headerFooter>
  <ignoredErrors>
    <ignoredError sqref="AQ14 AQ37 AQ26:AQ29 AQ21:AQ24 AQ16:AQ19" formula="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K28"/>
  <sheetViews>
    <sheetView topLeftCell="A4" workbookViewId="0">
      <selection activeCell="I9" sqref="I9"/>
    </sheetView>
  </sheetViews>
  <sheetFormatPr baseColWidth="10" defaultRowHeight="14.4"/>
  <cols>
    <col min="1" max="1" width="4.6640625" customWidth="1"/>
    <col min="3" max="3" width="24.44140625" customWidth="1"/>
    <col min="4" max="4" width="24.6640625" style="119" customWidth="1"/>
    <col min="5" max="5" width="31.6640625" style="119" customWidth="1"/>
  </cols>
  <sheetData>
    <row r="1" spans="1:11" ht="17.399999999999999">
      <c r="B1" s="7366" t="s">
        <v>429</v>
      </c>
      <c r="C1" s="7366"/>
      <c r="D1" s="7366"/>
      <c r="E1" s="7366"/>
      <c r="F1" s="7366"/>
      <c r="G1" s="48"/>
      <c r="H1" s="48"/>
      <c r="I1" s="48"/>
      <c r="J1" s="48"/>
      <c r="K1" s="48"/>
    </row>
    <row r="2" spans="1:11" ht="17.399999999999999">
      <c r="B2" s="212"/>
      <c r="C2" s="212"/>
      <c r="D2" s="212"/>
      <c r="E2" s="212"/>
      <c r="F2" s="212"/>
      <c r="G2" s="48"/>
      <c r="H2" s="48"/>
      <c r="I2" s="48"/>
      <c r="J2" s="48"/>
      <c r="K2" s="48"/>
    </row>
    <row r="3" spans="1:11" ht="57.6">
      <c r="B3" s="289">
        <v>2016</v>
      </c>
      <c r="C3" s="168" t="s">
        <v>686</v>
      </c>
      <c r="D3" s="169" t="s">
        <v>394</v>
      </c>
      <c r="E3" s="169" t="s">
        <v>1748</v>
      </c>
      <c r="F3" s="170"/>
      <c r="G3" s="7364" t="s">
        <v>2053</v>
      </c>
      <c r="H3" s="7365"/>
      <c r="I3" s="7365"/>
      <c r="J3" s="7365"/>
      <c r="K3" s="48"/>
    </row>
    <row r="4" spans="1:11" ht="17.399999999999999">
      <c r="B4" s="42" t="s">
        <v>319</v>
      </c>
      <c r="C4" s="212"/>
      <c r="D4" s="212"/>
      <c r="E4" s="212"/>
      <c r="F4" s="212"/>
      <c r="G4" s="48"/>
      <c r="H4" s="48"/>
      <c r="I4" s="48"/>
      <c r="J4" s="48"/>
      <c r="K4" s="48"/>
    </row>
    <row r="5" spans="1:11" ht="17.399999999999999">
      <c r="B5" s="212"/>
      <c r="C5" s="212"/>
      <c r="D5" s="212"/>
      <c r="E5" s="212"/>
      <c r="F5" s="212"/>
      <c r="G5" s="48"/>
      <c r="H5" s="48"/>
      <c r="I5" s="48"/>
      <c r="J5" s="48"/>
      <c r="K5" s="48"/>
    </row>
    <row r="6" spans="1:11" ht="57.6">
      <c r="B6" s="289">
        <v>2015</v>
      </c>
      <c r="C6" s="168" t="s">
        <v>686</v>
      </c>
      <c r="D6" s="169" t="s">
        <v>394</v>
      </c>
      <c r="E6" s="169" t="s">
        <v>1615</v>
      </c>
      <c r="F6" s="170">
        <v>0.3</v>
      </c>
      <c r="G6" s="48"/>
      <c r="H6" s="48"/>
      <c r="I6" s="48"/>
      <c r="J6" s="48"/>
      <c r="K6" s="48"/>
    </row>
    <row r="7" spans="1:11" ht="17.399999999999999">
      <c r="B7" s="42" t="s">
        <v>319</v>
      </c>
      <c r="C7" s="212"/>
      <c r="D7" s="212"/>
      <c r="E7" s="212"/>
      <c r="F7" s="212"/>
      <c r="G7" s="48"/>
      <c r="H7" s="48"/>
      <c r="I7" s="48"/>
      <c r="J7" s="48"/>
      <c r="K7" s="48"/>
    </row>
    <row r="8" spans="1:11" ht="17.399999999999999">
      <c r="B8" s="212"/>
      <c r="C8" s="212"/>
      <c r="D8" s="212"/>
      <c r="E8" s="212"/>
      <c r="F8" s="212"/>
      <c r="G8" s="281"/>
      <c r="H8" s="48"/>
      <c r="I8" s="48"/>
      <c r="J8" s="48"/>
      <c r="K8" s="48"/>
    </row>
    <row r="9" spans="1:11" ht="57.6">
      <c r="B9" s="289">
        <v>2014</v>
      </c>
      <c r="C9" s="168" t="s">
        <v>686</v>
      </c>
      <c r="D9" s="169" t="s">
        <v>394</v>
      </c>
      <c r="E9" s="169" t="s">
        <v>1025</v>
      </c>
      <c r="F9" s="170">
        <v>0.33</v>
      </c>
      <c r="G9" s="48"/>
      <c r="H9" s="48"/>
      <c r="I9" s="48"/>
      <c r="J9" s="48"/>
      <c r="K9" s="48"/>
    </row>
    <row r="10" spans="1:11" ht="17.399999999999999">
      <c r="A10" s="48"/>
      <c r="B10" s="42" t="s">
        <v>319</v>
      </c>
      <c r="C10" s="48"/>
      <c r="D10" s="48"/>
      <c r="E10" s="48"/>
      <c r="F10" s="48"/>
      <c r="G10" s="48"/>
      <c r="H10" s="48"/>
      <c r="I10" s="48"/>
      <c r="J10" s="48"/>
      <c r="K10" s="48"/>
    </row>
    <row r="11" spans="1:11" ht="17.399999999999999">
      <c r="B11" s="212"/>
      <c r="C11" s="212"/>
      <c r="D11" s="212"/>
      <c r="E11" s="212"/>
      <c r="F11" s="212"/>
      <c r="G11" s="48"/>
      <c r="H11" s="48"/>
      <c r="I11" s="48"/>
      <c r="J11" s="48"/>
      <c r="K11" s="48"/>
    </row>
    <row r="12" spans="1:11" ht="57.6">
      <c r="B12" s="289">
        <v>2013</v>
      </c>
      <c r="C12" s="168" t="s">
        <v>423</v>
      </c>
      <c r="D12" s="169" t="s">
        <v>394</v>
      </c>
      <c r="E12" s="169" t="s">
        <v>1026</v>
      </c>
      <c r="F12" s="290">
        <f>34.8/168</f>
        <v>0.20714285714285713</v>
      </c>
      <c r="G12" s="48"/>
      <c r="H12" s="139"/>
      <c r="I12" s="48"/>
      <c r="J12" s="48"/>
      <c r="K12" s="48"/>
    </row>
    <row r="13" spans="1:11" ht="49.5" customHeight="1">
      <c r="B13" s="7367" t="s">
        <v>620</v>
      </c>
      <c r="C13" s="7367"/>
      <c r="D13" s="7367"/>
      <c r="E13" s="7367"/>
      <c r="F13" s="7367"/>
      <c r="G13" s="48"/>
      <c r="H13" s="48"/>
      <c r="I13" s="48"/>
      <c r="J13" s="48"/>
      <c r="K13" s="48"/>
    </row>
    <row r="14" spans="1:11" ht="17.399999999999999">
      <c r="B14" s="114"/>
      <c r="C14" s="114"/>
      <c r="D14" s="114"/>
      <c r="E14" s="114"/>
      <c r="F14" s="114"/>
      <c r="G14" s="48"/>
      <c r="H14" s="48"/>
      <c r="I14" s="48"/>
      <c r="J14" s="48"/>
      <c r="K14" s="48"/>
    </row>
    <row r="15" spans="1:11" ht="57.6">
      <c r="B15" s="289">
        <v>2012</v>
      </c>
      <c r="C15" s="168" t="s">
        <v>423</v>
      </c>
      <c r="D15" s="169" t="s">
        <v>394</v>
      </c>
      <c r="E15" s="169" t="s">
        <v>1027</v>
      </c>
      <c r="F15" s="290">
        <f>35/168</f>
        <v>0.20833333333333334</v>
      </c>
      <c r="H15" s="294"/>
    </row>
    <row r="16" spans="1:11" ht="39.75" customHeight="1">
      <c r="B16" s="7367" t="s">
        <v>547</v>
      </c>
      <c r="C16" s="7367"/>
      <c r="D16" s="7367"/>
      <c r="E16" s="7367"/>
      <c r="F16" s="7367"/>
    </row>
    <row r="17" spans="2:11" ht="15.6">
      <c r="B17" s="27"/>
      <c r="C17" s="18"/>
      <c r="D17" s="18"/>
      <c r="E17" s="18"/>
      <c r="F17" s="61"/>
    </row>
    <row r="18" spans="2:11" s="26" customFormat="1" ht="57.6">
      <c r="B18" s="289">
        <v>2011</v>
      </c>
      <c r="C18" s="291" t="s">
        <v>423</v>
      </c>
      <c r="D18" s="173" t="s">
        <v>394</v>
      </c>
      <c r="E18" s="292" t="s">
        <v>1028</v>
      </c>
      <c r="F18" s="290">
        <f>52/168</f>
        <v>0.30952380952380953</v>
      </c>
      <c r="I18"/>
      <c r="J18"/>
      <c r="K18"/>
    </row>
    <row r="19" spans="2:11" s="1" customFormat="1" ht="56.25" customHeight="1">
      <c r="B19" s="7367" t="s">
        <v>422</v>
      </c>
      <c r="C19" s="7367"/>
      <c r="D19" s="7367"/>
      <c r="E19" s="7367"/>
      <c r="F19" s="7367"/>
      <c r="G19" s="65"/>
      <c r="H19"/>
      <c r="I19"/>
    </row>
    <row r="20" spans="2:11" s="1" customFormat="1" ht="15.6">
      <c r="B20" s="42" t="s">
        <v>319</v>
      </c>
      <c r="D20" s="18"/>
      <c r="E20" s="18"/>
      <c r="F20" s="55"/>
    </row>
    <row r="21" spans="2:11" s="1" customFormat="1" ht="15.6">
      <c r="D21" s="18"/>
      <c r="E21" s="18"/>
    </row>
    <row r="22" spans="2:11" s="1" customFormat="1" ht="35.25" customHeight="1">
      <c r="B22" s="289">
        <v>2010</v>
      </c>
      <c r="C22" s="7361" t="s">
        <v>392</v>
      </c>
      <c r="D22" s="7362"/>
      <c r="E22" s="7362"/>
      <c r="F22" s="7363"/>
    </row>
    <row r="23" spans="2:11" s="1" customFormat="1">
      <c r="B23" s="36" t="s">
        <v>319</v>
      </c>
      <c r="D23" s="119"/>
      <c r="E23" s="119"/>
      <c r="F23"/>
    </row>
    <row r="24" spans="2:11" s="1" customFormat="1" ht="19.95" customHeight="1">
      <c r="B24" s="27"/>
      <c r="D24" s="119"/>
      <c r="E24" s="119"/>
      <c r="F24"/>
    </row>
    <row r="25" spans="2:11" s="1" customFormat="1" ht="19.95" customHeight="1">
      <c r="C25" s="18"/>
      <c r="D25" s="18"/>
      <c r="E25" s="18"/>
    </row>
    <row r="26" spans="2:11" ht="15.6">
      <c r="C26" s="18"/>
      <c r="D26" s="18"/>
      <c r="E26" s="18"/>
    </row>
    <row r="27" spans="2:11" ht="15.6">
      <c r="C27" s="18"/>
      <c r="D27" s="18"/>
      <c r="E27" s="18"/>
    </row>
    <row r="28" spans="2:11" ht="15.6">
      <c r="C28" s="18"/>
      <c r="D28" s="18"/>
      <c r="E28" s="18"/>
    </row>
  </sheetData>
  <mergeCells count="6">
    <mergeCell ref="C22:F22"/>
    <mergeCell ref="G3:J3"/>
    <mergeCell ref="B1:F1"/>
    <mergeCell ref="B13:F13"/>
    <mergeCell ref="B16:F16"/>
    <mergeCell ref="B19:F19"/>
  </mergeCells>
  <pageMargins left="0.70866141732283472" right="0.70866141732283472" top="0.74803149606299213" bottom="0.74803149606299213" header="0.31496062992125984" footer="0.31496062992125984"/>
  <pageSetup scale="6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AE327"/>
  <sheetViews>
    <sheetView showGridLines="0" zoomScaleNormal="100" workbookViewId="0">
      <selection activeCell="S333" sqref="S333"/>
    </sheetView>
  </sheetViews>
  <sheetFormatPr baseColWidth="10" defaultColWidth="11.44140625" defaultRowHeight="14.4"/>
  <cols>
    <col min="1" max="1" width="2.33203125" customWidth="1"/>
    <col min="2" max="2" width="17" customWidth="1"/>
    <col min="3" max="4" width="10.6640625" customWidth="1"/>
    <col min="5" max="5" width="10.6640625" style="119" customWidth="1"/>
    <col min="6" max="11" width="10.6640625" customWidth="1"/>
    <col min="12" max="12" width="10.6640625" style="2402" customWidth="1"/>
    <col min="13" max="13" width="10.6640625" style="4130" customWidth="1"/>
    <col min="14" max="14" width="10.5546875" customWidth="1"/>
    <col min="15" max="15" width="10.6640625" customWidth="1"/>
    <col min="16" max="16" width="11.5546875" style="5620" bestFit="1" customWidth="1"/>
    <col min="17" max="17" width="11.44140625" style="5620"/>
    <col min="18" max="18" width="64.109375" style="5620" customWidth="1"/>
    <col min="19" max="19" width="72" style="5620" customWidth="1"/>
    <col min="20" max="20" width="29.6640625" style="5620" customWidth="1"/>
    <col min="21" max="21" width="28.6640625" style="5620" bestFit="1" customWidth="1"/>
    <col min="22" max="22" width="11" style="5620" bestFit="1" customWidth="1"/>
    <col min="23" max="31" width="11.44140625" style="5620"/>
  </cols>
  <sheetData>
    <row r="1" spans="2:31" ht="15.75" customHeight="1">
      <c r="C1" s="165"/>
      <c r="D1" s="165"/>
      <c r="F1" s="165"/>
      <c r="G1" s="165"/>
      <c r="N1" s="2928"/>
      <c r="O1" s="2928"/>
      <c r="P1" s="6475" t="s">
        <v>395</v>
      </c>
    </row>
    <row r="2" spans="2:31" ht="15.6">
      <c r="G2" s="209"/>
    </row>
    <row r="3" spans="2:31" s="8" customFormat="1" ht="31.8" thickBot="1">
      <c r="B3" s="5921" t="s">
        <v>2312</v>
      </c>
      <c r="C3" s="5922">
        <v>2010</v>
      </c>
      <c r="D3" s="5922">
        <v>2011</v>
      </c>
      <c r="E3" s="5922">
        <v>2012</v>
      </c>
      <c r="F3" s="5922">
        <v>2013</v>
      </c>
      <c r="G3" s="5923">
        <v>2014</v>
      </c>
      <c r="H3" s="5922">
        <v>2015</v>
      </c>
      <c r="I3" s="5922">
        <v>2016</v>
      </c>
      <c r="J3" s="5922">
        <v>2017</v>
      </c>
      <c r="K3" s="5922">
        <v>2018</v>
      </c>
      <c r="L3" s="5922">
        <v>2019</v>
      </c>
      <c r="M3" s="5922">
        <v>2020</v>
      </c>
      <c r="N3" s="5922">
        <v>2021</v>
      </c>
      <c r="O3" s="5922">
        <v>2022</v>
      </c>
      <c r="P3" s="5922">
        <v>2023</v>
      </c>
    </row>
    <row r="4" spans="2:31" ht="18" customHeight="1">
      <c r="B4" s="1907" t="s">
        <v>4</v>
      </c>
      <c r="C4" s="1909">
        <v>2</v>
      </c>
      <c r="D4" s="1909">
        <v>16</v>
      </c>
      <c r="E4" s="1909">
        <v>4</v>
      </c>
      <c r="F4" s="1909">
        <v>22</v>
      </c>
      <c r="G4" s="1909">
        <v>14</v>
      </c>
      <c r="H4" s="1909">
        <v>6</v>
      </c>
      <c r="I4" s="1909">
        <v>11</v>
      </c>
      <c r="J4" s="1909">
        <v>6</v>
      </c>
      <c r="K4" s="1908">
        <v>11</v>
      </c>
      <c r="L4" s="2403">
        <v>11</v>
      </c>
      <c r="M4" s="2403">
        <v>12</v>
      </c>
      <c r="N4" s="2403">
        <v>6</v>
      </c>
      <c r="O4" s="2403">
        <v>13</v>
      </c>
      <c r="P4" s="2403">
        <v>6</v>
      </c>
      <c r="Q4" s="8"/>
      <c r="R4" s="8"/>
    </row>
    <row r="5" spans="2:31" ht="18" customHeight="1">
      <c r="B5" s="1881" t="s">
        <v>16</v>
      </c>
      <c r="C5" s="1910">
        <v>25</v>
      </c>
      <c r="D5" s="1910">
        <v>26</v>
      </c>
      <c r="E5" s="1910">
        <v>29</v>
      </c>
      <c r="F5" s="1910">
        <v>41</v>
      </c>
      <c r="G5" s="1910">
        <v>30</v>
      </c>
      <c r="H5" s="1910">
        <v>29</v>
      </c>
      <c r="I5" s="1910">
        <v>36</v>
      </c>
      <c r="J5" s="1910">
        <v>27</v>
      </c>
      <c r="K5" s="1905">
        <v>37</v>
      </c>
      <c r="L5" s="2404">
        <v>32</v>
      </c>
      <c r="M5" s="2404">
        <v>25</v>
      </c>
      <c r="N5" s="2404">
        <v>10</v>
      </c>
      <c r="O5" s="2404">
        <v>70</v>
      </c>
      <c r="P5" s="2404">
        <v>26</v>
      </c>
      <c r="Q5" s="8"/>
      <c r="R5" s="8"/>
    </row>
    <row r="6" spans="2:31" ht="18" customHeight="1">
      <c r="B6" s="1881" t="s">
        <v>21</v>
      </c>
      <c r="C6" s="1910">
        <v>17</v>
      </c>
      <c r="D6" s="1910">
        <v>8</v>
      </c>
      <c r="E6" s="1910">
        <v>18</v>
      </c>
      <c r="F6" s="1910">
        <v>11</v>
      </c>
      <c r="G6" s="1910">
        <v>18</v>
      </c>
      <c r="H6" s="1910">
        <v>6</v>
      </c>
      <c r="I6" s="1910">
        <v>17</v>
      </c>
      <c r="J6" s="1910">
        <v>14</v>
      </c>
      <c r="K6" s="1905">
        <v>15</v>
      </c>
      <c r="L6" s="2404">
        <v>13</v>
      </c>
      <c r="M6" s="2404">
        <v>19</v>
      </c>
      <c r="N6" s="2404"/>
      <c r="O6" s="2404">
        <v>32</v>
      </c>
      <c r="P6" s="2404">
        <v>22</v>
      </c>
      <c r="Q6" s="8"/>
      <c r="R6" s="8"/>
    </row>
    <row r="7" spans="2:31" ht="18" customHeight="1">
      <c r="B7" s="1881" t="s">
        <v>3023</v>
      </c>
      <c r="C7" s="1910"/>
      <c r="D7" s="1910">
        <v>8</v>
      </c>
      <c r="E7" s="1910">
        <v>11</v>
      </c>
      <c r="F7" s="1910">
        <v>10</v>
      </c>
      <c r="G7" s="1910">
        <v>4</v>
      </c>
      <c r="H7" s="1910">
        <v>4</v>
      </c>
      <c r="I7" s="1910"/>
      <c r="J7" s="1910">
        <v>6</v>
      </c>
      <c r="K7" s="1905">
        <v>8</v>
      </c>
      <c r="L7" s="2404">
        <v>5</v>
      </c>
      <c r="M7" s="2404">
        <v>15</v>
      </c>
      <c r="N7" s="2404">
        <v>23</v>
      </c>
      <c r="O7" s="2404">
        <v>3</v>
      </c>
      <c r="P7" s="2404">
        <v>3</v>
      </c>
      <c r="Q7" s="8"/>
      <c r="R7" s="8"/>
    </row>
    <row r="8" spans="2:31" ht="18" customHeight="1">
      <c r="B8" s="1913" t="s">
        <v>3</v>
      </c>
      <c r="C8" s="1914">
        <f>SUM(C4:C7)</f>
        <v>44</v>
      </c>
      <c r="D8" s="1914">
        <f>SUBTOTAL(9,D4:D7)</f>
        <v>58</v>
      </c>
      <c r="E8" s="1914">
        <f>SUBTOTAL(9,E4:E7)</f>
        <v>62</v>
      </c>
      <c r="F8" s="1914">
        <f>SUBTOTAL(9,F4:F7)</f>
        <v>84</v>
      </c>
      <c r="G8" s="1914">
        <f>SUM(G4:G7)</f>
        <v>66</v>
      </c>
      <c r="H8" s="1914">
        <f>SUM(H4:H7)</f>
        <v>45</v>
      </c>
      <c r="I8" s="1914">
        <f>SUBTOTAL(9,I4:I7)</f>
        <v>64</v>
      </c>
      <c r="J8" s="1914">
        <f>SUBTOTAL(9,J4:J7)</f>
        <v>53</v>
      </c>
      <c r="K8" s="1915">
        <f>SUBTOTAL(9,K4:K7)</f>
        <v>71</v>
      </c>
      <c r="L8" s="2405">
        <f>SUM(L4:L7)</f>
        <v>61</v>
      </c>
      <c r="M8" s="2405">
        <f>SUM(M4:M7)</f>
        <v>71</v>
      </c>
      <c r="N8" s="2405">
        <f>SUM(N4:N7)</f>
        <v>39</v>
      </c>
      <c r="O8" s="2405">
        <f>SUM(O4:O7)</f>
        <v>118</v>
      </c>
      <c r="P8" s="2405">
        <f>SUM(P4:P7)</f>
        <v>57</v>
      </c>
      <c r="Q8" s="8"/>
      <c r="R8" s="8"/>
    </row>
    <row r="9" spans="2:31" ht="18" customHeight="1">
      <c r="B9" s="1907" t="s">
        <v>16</v>
      </c>
      <c r="C9" s="1911">
        <v>7</v>
      </c>
      <c r="D9" s="1911">
        <v>18</v>
      </c>
      <c r="E9" s="1911">
        <v>22</v>
      </c>
      <c r="F9" s="1911">
        <v>16</v>
      </c>
      <c r="G9" s="1911">
        <v>13</v>
      </c>
      <c r="H9" s="1911">
        <v>9</v>
      </c>
      <c r="I9" s="1911">
        <v>18</v>
      </c>
      <c r="J9" s="1911">
        <v>19</v>
      </c>
      <c r="K9" s="1908">
        <v>28</v>
      </c>
      <c r="L9" s="3473">
        <v>14</v>
      </c>
      <c r="M9" s="3473">
        <v>14</v>
      </c>
      <c r="N9" s="3473">
        <v>34</v>
      </c>
      <c r="O9" s="3473">
        <v>51</v>
      </c>
      <c r="P9" s="3473">
        <v>19</v>
      </c>
      <c r="Q9" s="8"/>
      <c r="R9" s="8"/>
    </row>
    <row r="10" spans="2:31" ht="18" customHeight="1">
      <c r="B10" s="1881" t="s">
        <v>61</v>
      </c>
      <c r="C10" s="1910">
        <v>0</v>
      </c>
      <c r="D10" s="1910">
        <v>5</v>
      </c>
      <c r="E10" s="1910">
        <v>1</v>
      </c>
      <c r="F10" s="1910">
        <v>5</v>
      </c>
      <c r="G10" s="1910">
        <v>5</v>
      </c>
      <c r="H10" s="1910">
        <v>6</v>
      </c>
      <c r="I10" s="1910">
        <v>15</v>
      </c>
      <c r="J10" s="1910">
        <v>9</v>
      </c>
      <c r="K10" s="1905">
        <v>8</v>
      </c>
      <c r="L10" s="2404">
        <v>14</v>
      </c>
      <c r="M10" s="2404">
        <v>10</v>
      </c>
      <c r="N10" s="2404">
        <v>9</v>
      </c>
      <c r="O10" s="2404">
        <v>12</v>
      </c>
      <c r="P10" s="2404">
        <v>11</v>
      </c>
      <c r="Q10" s="8"/>
      <c r="R10" s="8"/>
    </row>
    <row r="11" spans="2:31" ht="18" customHeight="1">
      <c r="B11" s="1881" t="s">
        <v>64</v>
      </c>
      <c r="C11" s="1910">
        <v>3</v>
      </c>
      <c r="D11" s="1910">
        <v>4</v>
      </c>
      <c r="E11" s="1910">
        <v>2</v>
      </c>
      <c r="F11" s="1910">
        <v>13</v>
      </c>
      <c r="G11" s="1910">
        <v>3</v>
      </c>
      <c r="H11" s="1910">
        <v>2</v>
      </c>
      <c r="I11" s="1910">
        <v>9</v>
      </c>
      <c r="J11" s="1910">
        <v>7</v>
      </c>
      <c r="K11" s="1905">
        <v>4</v>
      </c>
      <c r="L11" s="2404">
        <v>6</v>
      </c>
      <c r="M11" s="2404"/>
      <c r="N11" s="2404">
        <v>1</v>
      </c>
      <c r="O11" s="2404"/>
      <c r="P11" s="2404">
        <v>5</v>
      </c>
      <c r="Q11" s="8"/>
      <c r="R11" s="8"/>
    </row>
    <row r="12" spans="2:31" s="5317" customFormat="1" ht="18" customHeight="1">
      <c r="B12" s="1881" t="s">
        <v>86</v>
      </c>
      <c r="C12" s="1910"/>
      <c r="D12" s="1910"/>
      <c r="E12" s="1910"/>
      <c r="F12" s="1910"/>
      <c r="G12" s="1910"/>
      <c r="H12" s="1910"/>
      <c r="I12" s="1910"/>
      <c r="J12" s="1910"/>
      <c r="K12" s="1905"/>
      <c r="L12" s="2404"/>
      <c r="M12" s="2404"/>
      <c r="N12" s="2404"/>
      <c r="O12" s="2404"/>
      <c r="P12" s="2404">
        <v>6</v>
      </c>
      <c r="Q12" s="8"/>
      <c r="R12" s="8"/>
      <c r="S12" s="6569"/>
      <c r="T12" s="6569"/>
      <c r="U12" s="6569"/>
      <c r="V12" s="6569"/>
      <c r="W12" s="6569"/>
      <c r="X12" s="6569"/>
      <c r="Y12" s="6569"/>
      <c r="Z12" s="6569"/>
      <c r="AA12" s="6569"/>
      <c r="AB12" s="6569"/>
      <c r="AC12" s="6569"/>
      <c r="AD12" s="6569"/>
      <c r="AE12" s="6569"/>
    </row>
    <row r="13" spans="2:31" ht="18" customHeight="1">
      <c r="B13" s="1881" t="s">
        <v>3023</v>
      </c>
      <c r="C13" s="1910"/>
      <c r="D13" s="1910"/>
      <c r="E13" s="1910"/>
      <c r="F13" s="1910"/>
      <c r="G13" s="1910"/>
      <c r="H13" s="1910"/>
      <c r="I13" s="1910"/>
      <c r="J13" s="1910">
        <v>10</v>
      </c>
      <c r="K13" s="1905"/>
      <c r="L13" s="2404">
        <v>7</v>
      </c>
      <c r="M13" s="2404">
        <v>3</v>
      </c>
      <c r="N13" s="2404">
        <v>17</v>
      </c>
      <c r="O13" s="2404">
        <v>5</v>
      </c>
      <c r="P13" s="2404">
        <v>4</v>
      </c>
      <c r="Q13" s="8"/>
      <c r="R13" s="8"/>
    </row>
    <row r="14" spans="2:31" ht="18" customHeight="1">
      <c r="B14" s="1919" t="s">
        <v>59</v>
      </c>
      <c r="C14" s="1920">
        <f t="shared" ref="C14:H14" si="0">SUM(C9:C11)</f>
        <v>10</v>
      </c>
      <c r="D14" s="1920">
        <f t="shared" si="0"/>
        <v>27</v>
      </c>
      <c r="E14" s="1920">
        <f t="shared" si="0"/>
        <v>25</v>
      </c>
      <c r="F14" s="1920">
        <f t="shared" si="0"/>
        <v>34</v>
      </c>
      <c r="G14" s="1920">
        <f t="shared" si="0"/>
        <v>21</v>
      </c>
      <c r="H14" s="1920">
        <f t="shared" si="0"/>
        <v>17</v>
      </c>
      <c r="I14" s="1920">
        <f>SUBTOTAL(9,I9:I11)</f>
        <v>42</v>
      </c>
      <c r="J14" s="1920">
        <f t="shared" ref="J14:O14" si="1">SUBTOTAL(9,J9:J13)</f>
        <v>45</v>
      </c>
      <c r="K14" s="2407">
        <f t="shared" si="1"/>
        <v>40</v>
      </c>
      <c r="L14" s="2407">
        <f t="shared" si="1"/>
        <v>41</v>
      </c>
      <c r="M14" s="2407">
        <f t="shared" si="1"/>
        <v>27</v>
      </c>
      <c r="N14" s="2407">
        <f t="shared" si="1"/>
        <v>61</v>
      </c>
      <c r="O14" s="2407">
        <f t="shared" si="1"/>
        <v>68</v>
      </c>
      <c r="P14" s="2407">
        <f t="shared" ref="P14" si="2">SUBTOTAL(9,P9:P13)</f>
        <v>45</v>
      </c>
      <c r="Q14" s="8"/>
      <c r="R14" s="8"/>
    </row>
    <row r="15" spans="2:31" ht="18" customHeight="1">
      <c r="B15" s="1907" t="s">
        <v>4</v>
      </c>
      <c r="C15" s="1911">
        <v>6</v>
      </c>
      <c r="D15" s="1911">
        <v>6</v>
      </c>
      <c r="E15" s="1911">
        <v>1</v>
      </c>
      <c r="F15" s="1911">
        <v>7</v>
      </c>
      <c r="G15" s="1911">
        <v>9</v>
      </c>
      <c r="H15" s="1911">
        <v>6</v>
      </c>
      <c r="I15" s="1911">
        <v>6</v>
      </c>
      <c r="J15" s="1911">
        <v>1</v>
      </c>
      <c r="K15" s="1908">
        <v>4</v>
      </c>
      <c r="L15" s="2406">
        <v>2</v>
      </c>
      <c r="M15" s="2406">
        <v>2</v>
      </c>
      <c r="N15" s="2406">
        <v>1</v>
      </c>
      <c r="O15" s="2406">
        <v>7</v>
      </c>
      <c r="P15" s="2406">
        <v>6</v>
      </c>
      <c r="Q15" s="8"/>
      <c r="R15" s="8"/>
    </row>
    <row r="16" spans="2:31" ht="18" customHeight="1">
      <c r="B16" s="1881" t="s">
        <v>16</v>
      </c>
      <c r="C16" s="1910">
        <v>70</v>
      </c>
      <c r="D16" s="1910">
        <v>48</v>
      </c>
      <c r="E16" s="1910">
        <v>45</v>
      </c>
      <c r="F16" s="1910">
        <v>38</v>
      </c>
      <c r="G16" s="1910">
        <v>33</v>
      </c>
      <c r="H16" s="1910">
        <v>71</v>
      </c>
      <c r="I16" s="1910">
        <v>63</v>
      </c>
      <c r="J16" s="1910">
        <v>58</v>
      </c>
      <c r="K16" s="1905">
        <v>51</v>
      </c>
      <c r="L16" s="2404">
        <v>44</v>
      </c>
      <c r="M16" s="2404">
        <v>44</v>
      </c>
      <c r="N16" s="2404">
        <v>25</v>
      </c>
      <c r="O16" s="2404">
        <v>69</v>
      </c>
      <c r="P16" s="2404">
        <v>47</v>
      </c>
      <c r="Q16" s="8"/>
      <c r="R16" s="8"/>
    </row>
    <row r="17" spans="2:31" ht="18" customHeight="1">
      <c r="B17" s="1881" t="s">
        <v>41</v>
      </c>
      <c r="C17" s="1910">
        <v>7</v>
      </c>
      <c r="D17" s="1910">
        <v>3</v>
      </c>
      <c r="E17" s="1910">
        <v>2</v>
      </c>
      <c r="F17" s="1910">
        <v>11</v>
      </c>
      <c r="G17" s="1910">
        <v>3</v>
      </c>
      <c r="H17" s="1910">
        <v>4</v>
      </c>
      <c r="I17" s="1910">
        <v>3</v>
      </c>
      <c r="J17" s="1910">
        <v>1</v>
      </c>
      <c r="K17" s="1905">
        <v>2</v>
      </c>
      <c r="L17" s="2404">
        <v>2</v>
      </c>
      <c r="M17" s="2404">
        <v>4</v>
      </c>
      <c r="N17" s="2404">
        <v>2</v>
      </c>
      <c r="O17" s="2404">
        <v>5</v>
      </c>
      <c r="P17" s="2404">
        <v>2</v>
      </c>
      <c r="Q17" s="8"/>
      <c r="R17" s="8"/>
    </row>
    <row r="18" spans="2:31" ht="18" customHeight="1">
      <c r="B18" s="1881" t="s">
        <v>2437</v>
      </c>
      <c r="C18" s="1910"/>
      <c r="D18" s="1910"/>
      <c r="E18" s="1910">
        <v>2</v>
      </c>
      <c r="F18" s="1910"/>
      <c r="G18" s="1910"/>
      <c r="H18" s="1910"/>
      <c r="I18" s="1910"/>
      <c r="J18" s="1910"/>
      <c r="K18" s="1905"/>
      <c r="L18" s="2404"/>
      <c r="M18" s="2404"/>
      <c r="N18" s="2404"/>
      <c r="O18" s="2404"/>
      <c r="P18" s="2404"/>
      <c r="Q18" s="8"/>
      <c r="R18" s="8"/>
    </row>
    <row r="19" spans="2:31" ht="18" customHeight="1">
      <c r="B19" s="1916" t="s">
        <v>25</v>
      </c>
      <c r="C19" s="1917">
        <f>SUM(C15:C17)</f>
        <v>83</v>
      </c>
      <c r="D19" s="1917">
        <f>SUM(D15:D17)</f>
        <v>57</v>
      </c>
      <c r="E19" s="1917">
        <f t="shared" ref="E19:K19" si="3">SUM(E15:E18)</f>
        <v>50</v>
      </c>
      <c r="F19" s="1917">
        <f t="shared" si="3"/>
        <v>56</v>
      </c>
      <c r="G19" s="1917">
        <f t="shared" si="3"/>
        <v>45</v>
      </c>
      <c r="H19" s="1917">
        <f t="shared" si="3"/>
        <v>81</v>
      </c>
      <c r="I19" s="1917">
        <f t="shared" si="3"/>
        <v>72</v>
      </c>
      <c r="J19" s="1917">
        <f t="shared" si="3"/>
        <v>60</v>
      </c>
      <c r="K19" s="1918">
        <f t="shared" si="3"/>
        <v>57</v>
      </c>
      <c r="L19" s="2408">
        <f>SUBTOTAL(9,L15:L18)</f>
        <v>48</v>
      </c>
      <c r="M19" s="2408">
        <f>SUBTOTAL(9,M15:M18)</f>
        <v>50</v>
      </c>
      <c r="N19" s="2408">
        <f>SUBTOTAL(9,N15:N18)</f>
        <v>28</v>
      </c>
      <c r="O19" s="2408">
        <f>SUBTOTAL(9,O15:O18)</f>
        <v>81</v>
      </c>
      <c r="P19" s="2408">
        <f>SUBTOTAL(9,P15:P18)</f>
        <v>55</v>
      </c>
      <c r="Q19" s="8"/>
      <c r="R19" s="8"/>
    </row>
    <row r="20" spans="2:31" ht="18" customHeight="1">
      <c r="B20" s="1907" t="s">
        <v>4</v>
      </c>
      <c r="C20" s="1911"/>
      <c r="D20" s="1911"/>
      <c r="E20" s="1911">
        <v>1</v>
      </c>
      <c r="F20" s="1911">
        <v>3</v>
      </c>
      <c r="G20" s="1911">
        <v>8</v>
      </c>
      <c r="H20" s="1911">
        <v>1</v>
      </c>
      <c r="I20" s="1911">
        <v>1</v>
      </c>
      <c r="J20" s="1911"/>
      <c r="K20" s="1908">
        <v>2</v>
      </c>
      <c r="L20" s="2406"/>
      <c r="M20" s="2406">
        <v>2</v>
      </c>
      <c r="N20" s="2406">
        <v>2</v>
      </c>
      <c r="O20" s="2406"/>
      <c r="P20" s="2406"/>
      <c r="Q20" s="8"/>
      <c r="R20" s="8"/>
    </row>
    <row r="21" spans="2:31" ht="18" customHeight="1">
      <c r="B21" s="1881" t="s">
        <v>16</v>
      </c>
      <c r="C21" s="1910"/>
      <c r="D21" s="1910"/>
      <c r="E21" s="1910">
        <v>3</v>
      </c>
      <c r="F21" s="1910">
        <v>2</v>
      </c>
      <c r="G21" s="1910">
        <v>3</v>
      </c>
      <c r="H21" s="1910">
        <v>8</v>
      </c>
      <c r="I21" s="1910">
        <v>16</v>
      </c>
      <c r="J21" s="1910">
        <v>8</v>
      </c>
      <c r="K21" s="1905">
        <v>13</v>
      </c>
      <c r="L21" s="2404">
        <v>9</v>
      </c>
      <c r="M21" s="2404">
        <v>8</v>
      </c>
      <c r="N21" s="2404">
        <v>10</v>
      </c>
      <c r="O21" s="2404">
        <v>9</v>
      </c>
      <c r="P21" s="2404">
        <v>16</v>
      </c>
      <c r="Q21" s="8"/>
      <c r="R21" s="8"/>
    </row>
    <row r="22" spans="2:31" ht="18" customHeight="1">
      <c r="B22" s="1881" t="s">
        <v>41</v>
      </c>
      <c r="C22" s="1910"/>
      <c r="D22" s="1910">
        <v>5</v>
      </c>
      <c r="E22" s="1910">
        <v>1</v>
      </c>
      <c r="F22" s="1910">
        <v>4</v>
      </c>
      <c r="G22" s="1910">
        <v>1</v>
      </c>
      <c r="H22" s="1910"/>
      <c r="I22" s="1910"/>
      <c r="J22" s="1910"/>
      <c r="K22" s="1905"/>
      <c r="L22" s="2404"/>
      <c r="M22" s="2404"/>
      <c r="N22" s="2404"/>
      <c r="O22" s="2404"/>
      <c r="P22" s="2404"/>
      <c r="Q22" s="8"/>
      <c r="R22" s="8"/>
    </row>
    <row r="23" spans="2:31" ht="18" customHeight="1">
      <c r="B23" s="1924" t="s">
        <v>240</v>
      </c>
      <c r="C23" s="1925">
        <f t="shared" ref="C23:K23" si="4">SUM(C20:C22)</f>
        <v>0</v>
      </c>
      <c r="D23" s="1925">
        <f t="shared" si="4"/>
        <v>5</v>
      </c>
      <c r="E23" s="1925">
        <f t="shared" si="4"/>
        <v>5</v>
      </c>
      <c r="F23" s="1925">
        <f t="shared" si="4"/>
        <v>9</v>
      </c>
      <c r="G23" s="1925">
        <f t="shared" si="4"/>
        <v>12</v>
      </c>
      <c r="H23" s="1925">
        <f t="shared" si="4"/>
        <v>9</v>
      </c>
      <c r="I23" s="1926">
        <f t="shared" si="4"/>
        <v>17</v>
      </c>
      <c r="J23" s="1926">
        <f t="shared" si="4"/>
        <v>8</v>
      </c>
      <c r="K23" s="1927">
        <f t="shared" si="4"/>
        <v>15</v>
      </c>
      <c r="L23" s="2409">
        <f>SUBTOTAL(9,L20:L22)</f>
        <v>9</v>
      </c>
      <c r="M23" s="2409">
        <f>SUBTOTAL(9,M20:M22)</f>
        <v>10</v>
      </c>
      <c r="N23" s="2409">
        <f>SUBTOTAL(9,N20:N22)</f>
        <v>12</v>
      </c>
      <c r="O23" s="2409">
        <f>SUBTOTAL(9,O20:O22)</f>
        <v>9</v>
      </c>
      <c r="P23" s="2409">
        <f>SUBTOTAL(9,P20:P22)</f>
        <v>16</v>
      </c>
      <c r="Q23" s="8"/>
      <c r="R23" s="8"/>
    </row>
    <row r="24" spans="2:31" ht="18" customHeight="1">
      <c r="B24" s="1907" t="s">
        <v>16</v>
      </c>
      <c r="C24" s="1911">
        <v>51</v>
      </c>
      <c r="D24" s="1911">
        <v>35</v>
      </c>
      <c r="E24" s="1911">
        <v>41</v>
      </c>
      <c r="F24" s="1911">
        <v>36</v>
      </c>
      <c r="G24" s="1911">
        <v>58</v>
      </c>
      <c r="H24" s="1911">
        <v>79</v>
      </c>
      <c r="I24" s="1911">
        <v>31</v>
      </c>
      <c r="J24" s="1911">
        <v>54</v>
      </c>
      <c r="K24" s="1908">
        <v>91</v>
      </c>
      <c r="L24" s="2406">
        <v>80</v>
      </c>
      <c r="M24" s="2406">
        <v>70</v>
      </c>
      <c r="N24" s="2406">
        <v>39</v>
      </c>
      <c r="O24" s="2406">
        <v>63</v>
      </c>
      <c r="P24" s="2406">
        <v>55</v>
      </c>
      <c r="Q24" s="8"/>
      <c r="R24" s="8"/>
    </row>
    <row r="25" spans="2:31" ht="18" customHeight="1">
      <c r="B25" s="1881" t="s">
        <v>41</v>
      </c>
      <c r="C25" s="1910">
        <v>4</v>
      </c>
      <c r="D25" s="1910">
        <v>22</v>
      </c>
      <c r="E25" s="1910">
        <v>12</v>
      </c>
      <c r="F25" s="1910">
        <v>18</v>
      </c>
      <c r="G25" s="1910">
        <v>25</v>
      </c>
      <c r="H25" s="1910">
        <v>16</v>
      </c>
      <c r="I25" s="1910">
        <v>8</v>
      </c>
      <c r="J25" s="1910">
        <v>26</v>
      </c>
      <c r="K25" s="1905">
        <v>29</v>
      </c>
      <c r="L25" s="2404">
        <v>17</v>
      </c>
      <c r="M25" s="2404">
        <v>25</v>
      </c>
      <c r="N25" s="2404">
        <v>21</v>
      </c>
      <c r="O25" s="2404">
        <v>8</v>
      </c>
      <c r="P25" s="2404">
        <v>20</v>
      </c>
      <c r="Q25" s="8"/>
      <c r="R25" s="8"/>
    </row>
    <row r="26" spans="2:31" ht="18" customHeight="1">
      <c r="B26" s="1881" t="s">
        <v>21</v>
      </c>
      <c r="C26" s="1910">
        <v>10</v>
      </c>
      <c r="D26" s="1910">
        <v>13</v>
      </c>
      <c r="E26" s="1910">
        <v>9</v>
      </c>
      <c r="F26" s="1910">
        <v>18</v>
      </c>
      <c r="G26" s="1910">
        <v>13</v>
      </c>
      <c r="H26" s="1910">
        <v>19</v>
      </c>
      <c r="I26" s="1910">
        <v>3</v>
      </c>
      <c r="J26" s="1910">
        <v>17</v>
      </c>
      <c r="K26" s="1905">
        <v>15</v>
      </c>
      <c r="L26" s="2404">
        <v>14</v>
      </c>
      <c r="M26" s="2404">
        <v>18</v>
      </c>
      <c r="N26" s="2404">
        <v>10</v>
      </c>
      <c r="O26" s="2404">
        <v>3</v>
      </c>
      <c r="P26" s="2404">
        <v>7</v>
      </c>
      <c r="Q26" s="8"/>
      <c r="R26" s="8"/>
    </row>
    <row r="27" spans="2:31" ht="18" customHeight="1">
      <c r="B27" s="1881" t="s">
        <v>3023</v>
      </c>
      <c r="C27" s="1910">
        <v>4</v>
      </c>
      <c r="D27" s="1910"/>
      <c r="E27" s="1910">
        <v>10</v>
      </c>
      <c r="F27" s="1910">
        <v>9</v>
      </c>
      <c r="G27" s="1910">
        <v>4</v>
      </c>
      <c r="H27" s="1910"/>
      <c r="I27" s="1910"/>
      <c r="J27" s="1910">
        <v>4</v>
      </c>
      <c r="K27" s="1905"/>
      <c r="L27" s="2404"/>
      <c r="M27" s="2404"/>
      <c r="N27" s="2404">
        <v>7</v>
      </c>
      <c r="O27" s="2404"/>
      <c r="P27" s="2404">
        <v>10</v>
      </c>
      <c r="Q27" s="8"/>
      <c r="R27" s="8"/>
    </row>
    <row r="28" spans="2:31" ht="18" customHeight="1">
      <c r="B28" s="1921" t="s">
        <v>48</v>
      </c>
      <c r="C28" s="1922">
        <f t="shared" ref="C28:H28" si="5">SUM(C24:C27)</f>
        <v>69</v>
      </c>
      <c r="D28" s="1922">
        <f t="shared" si="5"/>
        <v>70</v>
      </c>
      <c r="E28" s="1922">
        <f t="shared" si="5"/>
        <v>72</v>
      </c>
      <c r="F28" s="1922">
        <f t="shared" si="5"/>
        <v>81</v>
      </c>
      <c r="G28" s="1922">
        <f t="shared" si="5"/>
        <v>100</v>
      </c>
      <c r="H28" s="1922">
        <f t="shared" si="5"/>
        <v>114</v>
      </c>
      <c r="I28" s="1922">
        <f>SUBTOTAL(9,I24:I27)</f>
        <v>42</v>
      </c>
      <c r="J28" s="1922">
        <f>SUBTOTAL(9,J24:J27)</f>
        <v>101</v>
      </c>
      <c r="K28" s="1923">
        <f>SUM(K24:K27)</f>
        <v>135</v>
      </c>
      <c r="L28" s="2410">
        <f>SUBTOTAL(9,L24:L27)</f>
        <v>111</v>
      </c>
      <c r="M28" s="2410">
        <f>SUBTOTAL(9,M24:M27)</f>
        <v>113</v>
      </c>
      <c r="N28" s="2410">
        <f>SUBTOTAL(9,N24:N27)</f>
        <v>77</v>
      </c>
      <c r="O28" s="2410">
        <f>SUBTOTAL(9,O24:O27)</f>
        <v>74</v>
      </c>
      <c r="P28" s="2410">
        <f>SUBTOTAL(9,P24:P27)</f>
        <v>92</v>
      </c>
    </row>
    <row r="29" spans="2:31" ht="18" customHeight="1">
      <c r="B29" s="1902" t="s">
        <v>87</v>
      </c>
      <c r="C29" s="1928">
        <v>17</v>
      </c>
      <c r="D29" s="1928">
        <v>31</v>
      </c>
      <c r="E29" s="1928">
        <v>26</v>
      </c>
      <c r="F29" s="1928">
        <v>29</v>
      </c>
      <c r="G29" s="1928">
        <v>43</v>
      </c>
      <c r="H29" s="1928">
        <v>35</v>
      </c>
      <c r="I29" s="1928">
        <v>25</v>
      </c>
      <c r="J29" s="1928">
        <v>23</v>
      </c>
      <c r="K29" s="3471">
        <v>20</v>
      </c>
      <c r="L29" s="3474">
        <v>14</v>
      </c>
      <c r="M29" s="3474">
        <v>13</v>
      </c>
      <c r="N29" s="3474">
        <v>26</v>
      </c>
      <c r="O29" s="3474">
        <v>14</v>
      </c>
      <c r="P29" s="3474">
        <v>12</v>
      </c>
    </row>
    <row r="30" spans="2:31">
      <c r="B30" s="6171" t="s">
        <v>2338</v>
      </c>
      <c r="C30" s="6171"/>
      <c r="D30" s="6171"/>
      <c r="E30" s="6171"/>
      <c r="F30" s="6171"/>
      <c r="G30" s="6171"/>
      <c r="H30" s="6171"/>
      <c r="I30" s="6171"/>
      <c r="J30" s="6171"/>
      <c r="K30" s="6171"/>
      <c r="L30" s="6171"/>
      <c r="M30" s="6171"/>
      <c r="N30" s="6171"/>
      <c r="O30" s="6171">
        <v>2</v>
      </c>
      <c r="P30" s="6480"/>
    </row>
    <row r="31" spans="2:31" s="37" customFormat="1" ht="20.100000000000001" customHeight="1">
      <c r="B31"/>
      <c r="C31"/>
      <c r="D31"/>
      <c r="E31"/>
      <c r="F31"/>
      <c r="G31"/>
      <c r="H31"/>
      <c r="I31"/>
      <c r="J31" s="3470"/>
      <c r="K31" s="3470"/>
      <c r="L31" s="3470"/>
      <c r="M31" s="4130"/>
      <c r="N31" s="5314"/>
      <c r="O31" s="5317"/>
      <c r="P31" s="5317"/>
      <c r="Q31" s="5620"/>
      <c r="R31" s="5620"/>
      <c r="S31" s="5620"/>
      <c r="T31" s="5620"/>
      <c r="U31" s="5620"/>
      <c r="V31" s="5620"/>
      <c r="W31" s="5620"/>
      <c r="X31" s="5620"/>
      <c r="Y31" s="5620"/>
      <c r="Z31" s="5620"/>
      <c r="AA31" s="5620"/>
      <c r="AB31" s="5620"/>
      <c r="AC31" s="5620"/>
      <c r="AD31" s="5620"/>
      <c r="AE31" s="5620"/>
    </row>
    <row r="32" spans="2:31" s="37" customFormat="1">
      <c r="B32" s="1906" t="s">
        <v>67</v>
      </c>
      <c r="C32" s="1912">
        <f>SUM(C8,C19,C28,C14,C23,C29)</f>
        <v>223</v>
      </c>
      <c r="D32" s="1912">
        <f>SUM(D8,D14,D19,D28,D23,D29)</f>
        <v>248</v>
      </c>
      <c r="E32" s="1912">
        <f>SUM(E8,E14,E19,E28,E23,E29)</f>
        <v>240</v>
      </c>
      <c r="F32" s="1912">
        <f t="shared" ref="F32:L32" si="6">SUM(F8,F14,F19,F23,F28,F29)</f>
        <v>293</v>
      </c>
      <c r="G32" s="1912">
        <f t="shared" si="6"/>
        <v>287</v>
      </c>
      <c r="H32" s="1912">
        <f t="shared" si="6"/>
        <v>301</v>
      </c>
      <c r="I32" s="1912">
        <f t="shared" si="6"/>
        <v>262</v>
      </c>
      <c r="J32" s="1912">
        <f t="shared" si="6"/>
        <v>290</v>
      </c>
      <c r="K32" s="3472">
        <f t="shared" si="6"/>
        <v>338</v>
      </c>
      <c r="L32" s="3475">
        <f t="shared" si="6"/>
        <v>284</v>
      </c>
      <c r="M32" s="3475">
        <f>SUM(M8,M14,M19,M23,M28,M29)</f>
        <v>284</v>
      </c>
      <c r="N32" s="3475">
        <f>SUM(N8,N14,N19,N23,N28,N29)</f>
        <v>243</v>
      </c>
      <c r="O32" s="3475">
        <f>SUM(O8,O14,O19,O23,O28,O29,O30)</f>
        <v>366</v>
      </c>
      <c r="P32" s="3475">
        <f>SUM(P8,P14,P19,P23,P28,P29,P30)</f>
        <v>277</v>
      </c>
      <c r="Q32" s="5620"/>
      <c r="R32" s="5620"/>
      <c r="S32" s="5620"/>
      <c r="T32" s="5620"/>
      <c r="U32" s="5620"/>
      <c r="V32" s="5620"/>
      <c r="W32" s="5620"/>
      <c r="X32" s="5620"/>
      <c r="Y32" s="5620"/>
      <c r="Z32" s="5620"/>
      <c r="AA32" s="5620"/>
      <c r="AB32" s="5620"/>
      <c r="AC32" s="5620"/>
      <c r="AD32" s="5620"/>
      <c r="AE32" s="5620"/>
    </row>
    <row r="33" spans="2:31" s="37" customFormat="1">
      <c r="D33" s="63"/>
      <c r="H33"/>
      <c r="I33"/>
      <c r="J33"/>
      <c r="K33"/>
      <c r="L33" s="2402"/>
      <c r="M33" s="4130"/>
      <c r="N33"/>
      <c r="P33" s="5620"/>
      <c r="Q33" s="5620"/>
      <c r="R33" s="5620"/>
      <c r="S33" s="5620"/>
      <c r="T33" s="5620"/>
      <c r="U33" s="5620"/>
      <c r="V33" s="5620"/>
      <c r="W33" s="5620"/>
      <c r="X33" s="5620"/>
      <c r="Y33" s="5620"/>
      <c r="Z33" s="5620"/>
      <c r="AA33" s="5620"/>
      <c r="AB33" s="5620"/>
      <c r="AC33" s="5620"/>
      <c r="AD33" s="5620"/>
      <c r="AE33" s="5620"/>
    </row>
    <row r="34" spans="2:31" s="37" customFormat="1">
      <c r="B34" s="133"/>
      <c r="E34" s="63"/>
      <c r="H34"/>
      <c r="I34"/>
      <c r="J34"/>
      <c r="K34" s="2"/>
      <c r="L34" s="2"/>
      <c r="M34" s="2"/>
      <c r="N34"/>
      <c r="P34" s="5620"/>
      <c r="Q34" s="5620"/>
      <c r="R34" s="5620"/>
      <c r="S34" s="5620"/>
      <c r="T34" s="5620"/>
      <c r="U34" s="5620"/>
      <c r="V34" s="5620"/>
      <c r="W34" s="5620"/>
      <c r="X34" s="5620"/>
      <c r="Y34" s="5620"/>
      <c r="Z34" s="5620"/>
      <c r="AA34" s="5620"/>
      <c r="AB34" s="5620"/>
      <c r="AC34" s="5620"/>
      <c r="AD34" s="5620"/>
      <c r="AE34" s="5620"/>
    </row>
    <row r="35" spans="2:31" s="37" customFormat="1" ht="15" thickBot="1">
      <c r="E35" s="63"/>
      <c r="H35"/>
      <c r="I35"/>
      <c r="J35"/>
      <c r="K35"/>
      <c r="L35" s="2402"/>
      <c r="M35" s="4130"/>
      <c r="N35"/>
      <c r="P35" s="5622" t="s">
        <v>314</v>
      </c>
      <c r="Q35" s="5622" t="s">
        <v>69</v>
      </c>
      <c r="R35" s="5622" t="s">
        <v>3019</v>
      </c>
      <c r="S35" s="5622" t="s">
        <v>3020</v>
      </c>
      <c r="T35" s="5623" t="s">
        <v>3021</v>
      </c>
      <c r="U35" s="5623" t="s">
        <v>3022</v>
      </c>
      <c r="V35" s="5623" t="s">
        <v>3189</v>
      </c>
      <c r="W35" s="5620"/>
      <c r="X35" s="5620"/>
      <c r="Y35" s="5620"/>
      <c r="Z35" s="5620"/>
      <c r="AA35" s="5620"/>
      <c r="AB35" s="5620"/>
      <c r="AC35" s="5620"/>
      <c r="AD35" s="5620"/>
      <c r="AE35" s="5620"/>
    </row>
    <row r="36" spans="2:31" s="37" customFormat="1">
      <c r="E36" s="63"/>
      <c r="H36"/>
      <c r="I36"/>
      <c r="J36"/>
      <c r="K36"/>
      <c r="L36" s="2402"/>
      <c r="M36" s="4130"/>
      <c r="N36"/>
      <c r="P36" s="6761">
        <v>1</v>
      </c>
      <c r="Q36" s="6762" t="s">
        <v>21</v>
      </c>
      <c r="R36" s="6763" t="s">
        <v>3417</v>
      </c>
      <c r="S36" s="6763" t="s">
        <v>3418</v>
      </c>
      <c r="T36" s="6762"/>
      <c r="U36" s="6764">
        <v>9786072825734</v>
      </c>
      <c r="V36" s="6175"/>
      <c r="W36" s="5620"/>
      <c r="X36" s="5620"/>
      <c r="Y36" s="5620"/>
      <c r="Z36" s="5620"/>
      <c r="AA36" s="5620"/>
      <c r="AB36" s="5620"/>
      <c r="AC36" s="5620"/>
      <c r="AD36" s="5620"/>
      <c r="AE36" s="5620"/>
    </row>
    <row r="37" spans="2:31" s="37" customFormat="1" ht="24">
      <c r="E37" s="63"/>
      <c r="H37"/>
      <c r="I37"/>
      <c r="J37"/>
      <c r="K37"/>
      <c r="L37" s="2402"/>
      <c r="M37" s="4130"/>
      <c r="N37"/>
      <c r="P37" s="6765">
        <v>2</v>
      </c>
      <c r="Q37" s="6766" t="s">
        <v>21</v>
      </c>
      <c r="R37" s="6767" t="s">
        <v>3419</v>
      </c>
      <c r="S37" s="6768" t="s">
        <v>3420</v>
      </c>
      <c r="T37" s="6769" t="s">
        <v>3421</v>
      </c>
      <c r="U37" s="6770" t="s">
        <v>3422</v>
      </c>
      <c r="V37" s="6176"/>
      <c r="W37" s="5620"/>
      <c r="X37" s="5620"/>
      <c r="Y37" s="5620"/>
      <c r="Z37" s="5620"/>
      <c r="AA37" s="5620"/>
      <c r="AB37" s="5620"/>
      <c r="AC37" s="5620"/>
      <c r="AD37" s="5620"/>
      <c r="AE37" s="5620"/>
    </row>
    <row r="38" spans="2:31" s="37" customFormat="1" ht="24">
      <c r="E38" s="63"/>
      <c r="H38"/>
      <c r="I38"/>
      <c r="J38"/>
      <c r="K38"/>
      <c r="L38" s="2402"/>
      <c r="M38" s="4130"/>
      <c r="N38"/>
      <c r="P38" s="6765">
        <v>3</v>
      </c>
      <c r="Q38" s="6769" t="s">
        <v>21</v>
      </c>
      <c r="R38" s="6768" t="s">
        <v>3423</v>
      </c>
      <c r="S38" s="6768" t="s">
        <v>3424</v>
      </c>
      <c r="T38" s="6766" t="s">
        <v>3421</v>
      </c>
      <c r="U38" s="6771" t="s">
        <v>3425</v>
      </c>
      <c r="V38" s="6176" t="s">
        <v>3190</v>
      </c>
      <c r="W38" s="5620"/>
      <c r="X38" s="5620"/>
      <c r="Y38" s="5620"/>
      <c r="Z38" s="5620"/>
      <c r="AA38" s="5620"/>
      <c r="AB38" s="5620"/>
      <c r="AC38" s="5620"/>
      <c r="AD38" s="5620"/>
      <c r="AE38" s="5620"/>
    </row>
    <row r="39" spans="2:31" s="37" customFormat="1">
      <c r="E39" s="63"/>
      <c r="H39"/>
      <c r="I39"/>
      <c r="J39"/>
      <c r="K39"/>
      <c r="L39" s="2402"/>
      <c r="M39" s="4130"/>
      <c r="N39"/>
      <c r="P39" s="6765">
        <v>4</v>
      </c>
      <c r="Q39" s="6769" t="s">
        <v>16</v>
      </c>
      <c r="R39" s="6767" t="s">
        <v>3426</v>
      </c>
      <c r="S39" s="6768" t="s">
        <v>3427</v>
      </c>
      <c r="T39" s="6766"/>
      <c r="U39" s="6771">
        <v>9786072826137</v>
      </c>
      <c r="V39" s="6177"/>
      <c r="W39" s="5620"/>
      <c r="X39" s="5620"/>
      <c r="Y39" s="5620"/>
      <c r="Z39" s="5620"/>
      <c r="AA39" s="5620"/>
      <c r="AB39" s="5620"/>
      <c r="AC39" s="5620"/>
      <c r="AD39" s="5620"/>
      <c r="AE39" s="5620"/>
    </row>
    <row r="40" spans="2:31" s="37" customFormat="1">
      <c r="E40" s="63"/>
      <c r="H40"/>
      <c r="I40"/>
      <c r="J40"/>
      <c r="K40"/>
      <c r="L40" s="2402"/>
      <c r="M40" s="4130"/>
      <c r="N40"/>
      <c r="P40" s="6765">
        <v>5</v>
      </c>
      <c r="Q40" s="6766" t="s">
        <v>3023</v>
      </c>
      <c r="R40" s="6772" t="s">
        <v>3428</v>
      </c>
      <c r="S40" s="6772" t="s">
        <v>3429</v>
      </c>
      <c r="T40" s="6766" t="s">
        <v>3421</v>
      </c>
      <c r="U40" s="6771" t="s">
        <v>3191</v>
      </c>
      <c r="V40" s="6177"/>
      <c r="W40" s="5620"/>
      <c r="X40" s="5620"/>
      <c r="Y40" s="5620"/>
      <c r="Z40" s="5620"/>
      <c r="AA40" s="5620"/>
      <c r="AB40" s="5620"/>
      <c r="AC40" s="5620"/>
      <c r="AD40" s="5620"/>
      <c r="AE40" s="5620"/>
    </row>
    <row r="41" spans="2:31" s="37" customFormat="1">
      <c r="E41" s="63"/>
      <c r="H41"/>
      <c r="I41"/>
      <c r="J41"/>
      <c r="K41"/>
      <c r="L41" s="2402"/>
      <c r="M41" s="4130"/>
      <c r="N41"/>
      <c r="P41" s="6765">
        <v>6</v>
      </c>
      <c r="Q41" s="6766" t="s">
        <v>3023</v>
      </c>
      <c r="R41" s="6768" t="s">
        <v>3430</v>
      </c>
      <c r="S41" s="6772" t="s">
        <v>3431</v>
      </c>
      <c r="T41" s="6766" t="s">
        <v>3432</v>
      </c>
      <c r="U41" s="6771">
        <v>9786072826144</v>
      </c>
      <c r="V41" s="6178"/>
      <c r="W41" s="5620"/>
      <c r="X41" s="5620"/>
      <c r="Y41" s="5620"/>
      <c r="Z41" s="5620"/>
      <c r="AA41" s="5620"/>
      <c r="AB41" s="5620"/>
      <c r="AC41" s="5620"/>
      <c r="AD41" s="5620"/>
      <c r="AE41" s="5620"/>
    </row>
    <row r="42" spans="2:31" s="37" customFormat="1">
      <c r="E42" s="63"/>
      <c r="H42"/>
      <c r="I42"/>
      <c r="J42"/>
      <c r="K42"/>
      <c r="L42" s="2402"/>
      <c r="M42" s="4130"/>
      <c r="N42"/>
      <c r="P42" s="6765">
        <v>7</v>
      </c>
      <c r="Q42" s="6769" t="s">
        <v>16</v>
      </c>
      <c r="R42" s="6772" t="s">
        <v>3433</v>
      </c>
      <c r="S42" s="6772" t="s">
        <v>3434</v>
      </c>
      <c r="T42" s="6766" t="s">
        <v>3421</v>
      </c>
      <c r="U42" s="6773" t="s">
        <v>3435</v>
      </c>
      <c r="V42" s="6177"/>
      <c r="W42" s="5620"/>
      <c r="X42" s="5620"/>
      <c r="Y42" s="5620"/>
      <c r="Z42" s="5620"/>
      <c r="AA42" s="5620"/>
      <c r="AB42" s="5620"/>
      <c r="AC42" s="5620"/>
      <c r="AD42" s="5620"/>
      <c r="AE42" s="5620"/>
    </row>
    <row r="43" spans="2:31" s="37" customFormat="1" ht="24">
      <c r="E43" s="63"/>
      <c r="H43"/>
      <c r="I43"/>
      <c r="J43"/>
      <c r="K43"/>
      <c r="L43" s="2402"/>
      <c r="M43" s="4130"/>
      <c r="N43"/>
      <c r="P43" s="6765">
        <v>8</v>
      </c>
      <c r="Q43" s="6766" t="s">
        <v>21</v>
      </c>
      <c r="R43" s="6768" t="s">
        <v>3436</v>
      </c>
      <c r="S43" s="6768" t="s">
        <v>3437</v>
      </c>
      <c r="T43" s="6766" t="s">
        <v>3421</v>
      </c>
      <c r="U43" s="6771" t="s">
        <v>3438</v>
      </c>
      <c r="V43" s="6176"/>
      <c r="W43" s="5620"/>
      <c r="X43" s="5620"/>
      <c r="Y43" s="5620"/>
      <c r="Z43" s="5620"/>
      <c r="AA43" s="5620"/>
      <c r="AB43" s="5620"/>
      <c r="AC43" s="5620"/>
      <c r="AD43" s="5620"/>
      <c r="AE43" s="5620"/>
    </row>
    <row r="44" spans="2:31" s="37" customFormat="1">
      <c r="E44" s="63"/>
      <c r="H44"/>
      <c r="I44"/>
      <c r="J44"/>
      <c r="K44"/>
      <c r="L44" s="2402"/>
      <c r="M44" s="4130"/>
      <c r="N44"/>
      <c r="P44" s="6765">
        <v>9</v>
      </c>
      <c r="Q44" s="6769" t="s">
        <v>21</v>
      </c>
      <c r="R44" s="6767" t="s">
        <v>3439</v>
      </c>
      <c r="S44" s="6768" t="s">
        <v>3440</v>
      </c>
      <c r="T44" s="6766"/>
      <c r="U44" s="6771">
        <v>9786072827110</v>
      </c>
      <c r="V44" s="6178"/>
      <c r="W44" s="5620"/>
      <c r="X44" s="5620"/>
      <c r="Y44" s="5620"/>
      <c r="Z44" s="5620"/>
      <c r="AA44" s="5620"/>
      <c r="AB44" s="5620"/>
      <c r="AC44" s="5620"/>
      <c r="AD44" s="5620"/>
      <c r="AE44" s="5620"/>
    </row>
    <row r="45" spans="2:31" s="37" customFormat="1">
      <c r="E45" s="63"/>
      <c r="H45"/>
      <c r="I45"/>
      <c r="J45"/>
      <c r="K45"/>
      <c r="L45" s="2402"/>
      <c r="M45" s="4130"/>
      <c r="N45"/>
      <c r="P45" s="6765">
        <v>10</v>
      </c>
      <c r="Q45" s="6769" t="s">
        <v>4</v>
      </c>
      <c r="R45" s="6767" t="s">
        <v>3441</v>
      </c>
      <c r="S45" s="6768" t="s">
        <v>3442</v>
      </c>
      <c r="T45" s="6769"/>
      <c r="U45" s="6771">
        <v>9786072826731</v>
      </c>
      <c r="V45" s="6178"/>
      <c r="W45" s="5620"/>
      <c r="X45" s="5620"/>
      <c r="Y45" s="5620"/>
      <c r="Z45" s="5620"/>
      <c r="AA45" s="5620"/>
      <c r="AB45" s="5620"/>
      <c r="AC45" s="5620"/>
      <c r="AD45" s="5620"/>
      <c r="AE45" s="5620"/>
    </row>
    <row r="46" spans="2:31" s="37" customFormat="1">
      <c r="E46" s="63"/>
      <c r="H46"/>
      <c r="I46"/>
      <c r="J46"/>
      <c r="K46"/>
      <c r="L46" s="2402"/>
      <c r="M46" s="4130"/>
      <c r="N46"/>
      <c r="P46" s="6765">
        <v>11</v>
      </c>
      <c r="Q46" s="6769" t="s">
        <v>4</v>
      </c>
      <c r="R46" s="6768" t="s">
        <v>3443</v>
      </c>
      <c r="S46" s="6768" t="s">
        <v>3444</v>
      </c>
      <c r="T46" s="6769"/>
      <c r="U46" s="6771">
        <v>9786072828490</v>
      </c>
      <c r="V46" s="6177"/>
      <c r="W46" s="5620"/>
      <c r="X46" s="5620"/>
      <c r="Y46" s="5620"/>
      <c r="Z46" s="5620"/>
      <c r="AA46" s="5620"/>
      <c r="AB46" s="5620"/>
      <c r="AC46" s="5620"/>
      <c r="AD46" s="5620"/>
      <c r="AE46" s="5620"/>
    </row>
    <row r="47" spans="2:31" s="37" customFormat="1" ht="13.8">
      <c r="E47" s="63"/>
      <c r="P47" s="6765">
        <v>12</v>
      </c>
      <c r="Q47" s="6766" t="s">
        <v>16</v>
      </c>
      <c r="R47" s="6767" t="s">
        <v>3445</v>
      </c>
      <c r="S47" s="6768" t="s">
        <v>3446</v>
      </c>
      <c r="T47" s="6766"/>
      <c r="U47" s="6771">
        <v>9786072828148</v>
      </c>
      <c r="V47" s="6178"/>
      <c r="W47" s="5620"/>
      <c r="X47" s="5620"/>
      <c r="Y47" s="5620"/>
      <c r="Z47" s="5620"/>
      <c r="AA47" s="5620"/>
      <c r="AB47" s="5620"/>
      <c r="AC47" s="5620"/>
      <c r="AD47" s="5620"/>
      <c r="AE47" s="5620"/>
    </row>
    <row r="48" spans="2:31" s="37" customFormat="1" ht="13.8">
      <c r="E48" s="63"/>
      <c r="P48" s="6765">
        <v>13</v>
      </c>
      <c r="Q48" s="6766" t="s">
        <v>21</v>
      </c>
      <c r="R48" s="6768" t="s">
        <v>3447</v>
      </c>
      <c r="S48" s="6772" t="s">
        <v>3448</v>
      </c>
      <c r="T48" s="6766" t="s">
        <v>3421</v>
      </c>
      <c r="U48" s="6771" t="s">
        <v>3449</v>
      </c>
      <c r="V48" s="6176" t="s">
        <v>3190</v>
      </c>
      <c r="W48" s="5620"/>
      <c r="X48" s="5620"/>
      <c r="Y48" s="5620"/>
      <c r="Z48" s="5620"/>
      <c r="AA48" s="5620"/>
      <c r="AB48" s="5620"/>
      <c r="AC48" s="5620"/>
      <c r="AD48" s="5620"/>
      <c r="AE48" s="5620"/>
    </row>
    <row r="49" spans="5:31" s="37" customFormat="1" ht="36">
      <c r="E49" s="63"/>
      <c r="P49" s="6765">
        <v>14</v>
      </c>
      <c r="Q49" s="6766" t="s">
        <v>21</v>
      </c>
      <c r="R49" s="6767" t="s">
        <v>3447</v>
      </c>
      <c r="S49" s="6768" t="s">
        <v>3448</v>
      </c>
      <c r="T49" s="6769" t="s">
        <v>3421</v>
      </c>
      <c r="U49" s="6770" t="s">
        <v>3450</v>
      </c>
      <c r="V49" s="6178"/>
      <c r="W49" s="5620"/>
      <c r="X49" s="5620"/>
      <c r="Y49" s="5620"/>
      <c r="Z49" s="5620"/>
      <c r="AA49" s="5620"/>
      <c r="AB49" s="5620"/>
      <c r="AC49" s="5620"/>
      <c r="AD49" s="5620"/>
      <c r="AE49" s="5620"/>
    </row>
    <row r="50" spans="5:31" s="37" customFormat="1" ht="24">
      <c r="E50" s="63"/>
      <c r="P50" s="6765">
        <v>15</v>
      </c>
      <c r="Q50" s="6766" t="s">
        <v>16</v>
      </c>
      <c r="R50" s="6768" t="s">
        <v>3451</v>
      </c>
      <c r="S50" s="6768" t="s">
        <v>3452</v>
      </c>
      <c r="T50" s="6766"/>
      <c r="U50" s="6771">
        <v>9786072828261</v>
      </c>
      <c r="V50" s="6179"/>
      <c r="W50" s="5620"/>
      <c r="X50" s="5620"/>
      <c r="Y50" s="5620"/>
      <c r="Z50" s="5620"/>
      <c r="AA50" s="5620"/>
      <c r="AB50" s="5620"/>
      <c r="AC50" s="5620"/>
      <c r="AD50" s="5620"/>
      <c r="AE50" s="5620"/>
    </row>
    <row r="51" spans="5:31" s="37" customFormat="1" ht="13.8">
      <c r="E51" s="63"/>
      <c r="P51" s="6765">
        <v>16</v>
      </c>
      <c r="Q51" s="6769" t="s">
        <v>16</v>
      </c>
      <c r="R51" s="6767" t="s">
        <v>3453</v>
      </c>
      <c r="S51" s="6768" t="s">
        <v>3454</v>
      </c>
      <c r="T51" s="6766"/>
      <c r="U51" s="6771">
        <v>9786072827080</v>
      </c>
      <c r="V51" s="6177"/>
      <c r="W51" s="5620"/>
      <c r="X51" s="5620"/>
      <c r="Y51" s="5620"/>
      <c r="Z51" s="5620"/>
      <c r="AA51" s="5620"/>
      <c r="AB51" s="5620"/>
      <c r="AC51" s="5620"/>
      <c r="AD51" s="5620"/>
      <c r="AE51" s="5620"/>
    </row>
    <row r="52" spans="5:31" s="37" customFormat="1" ht="13.8">
      <c r="E52" s="63"/>
      <c r="P52" s="6765">
        <v>17</v>
      </c>
      <c r="Q52" s="6769" t="s">
        <v>21</v>
      </c>
      <c r="R52" s="6767" t="s">
        <v>3455</v>
      </c>
      <c r="S52" s="6768" t="s">
        <v>3456</v>
      </c>
      <c r="T52" s="6766"/>
      <c r="U52" s="6771">
        <v>9786072826519</v>
      </c>
      <c r="V52" s="6176"/>
      <c r="W52" s="5620"/>
      <c r="X52" s="5620"/>
      <c r="Y52" s="5620"/>
      <c r="Z52" s="5620"/>
      <c r="AA52" s="5620"/>
      <c r="AB52" s="5620"/>
      <c r="AC52" s="5620"/>
      <c r="AD52" s="5620"/>
      <c r="AE52" s="5620"/>
    </row>
    <row r="53" spans="5:31" s="37" customFormat="1" ht="13.8">
      <c r="E53" s="63"/>
      <c r="P53" s="6765">
        <v>18</v>
      </c>
      <c r="Q53" s="6769" t="s">
        <v>21</v>
      </c>
      <c r="R53" s="6767" t="s">
        <v>3457</v>
      </c>
      <c r="S53" s="6768" t="s">
        <v>3458</v>
      </c>
      <c r="T53" s="6766" t="s">
        <v>3421</v>
      </c>
      <c r="U53" s="6774" t="s">
        <v>3459</v>
      </c>
      <c r="V53" s="6176" t="s">
        <v>3189</v>
      </c>
      <c r="W53" s="5620"/>
      <c r="X53" s="5620"/>
      <c r="Y53" s="5620"/>
      <c r="Z53" s="5620"/>
      <c r="AA53" s="5620"/>
      <c r="AB53" s="5620"/>
      <c r="AC53" s="5620"/>
      <c r="AD53" s="5620"/>
      <c r="AE53" s="5620"/>
    </row>
    <row r="54" spans="5:31" s="37" customFormat="1" ht="13.8">
      <c r="E54" s="63"/>
      <c r="P54" s="6765">
        <v>19</v>
      </c>
      <c r="Q54" s="6769" t="s">
        <v>21</v>
      </c>
      <c r="R54" s="6767" t="s">
        <v>3460</v>
      </c>
      <c r="S54" s="6768" t="s">
        <v>3461</v>
      </c>
      <c r="T54" s="6766" t="s">
        <v>3421</v>
      </c>
      <c r="U54" s="6774" t="s">
        <v>3462</v>
      </c>
      <c r="V54" s="6176" t="s">
        <v>3189</v>
      </c>
      <c r="W54" s="5620"/>
      <c r="X54" s="5620"/>
      <c r="Y54" s="5620"/>
      <c r="Z54" s="5620"/>
      <c r="AA54" s="5620"/>
      <c r="AB54" s="5620"/>
      <c r="AC54" s="5620"/>
      <c r="AD54" s="5620"/>
      <c r="AE54" s="5620"/>
    </row>
    <row r="55" spans="5:31" s="37" customFormat="1" ht="24">
      <c r="E55" s="63"/>
      <c r="P55" s="6765">
        <v>20</v>
      </c>
      <c r="Q55" s="6769" t="s">
        <v>16</v>
      </c>
      <c r="R55" s="6768" t="s">
        <v>3463</v>
      </c>
      <c r="S55" s="6772" t="s">
        <v>3464</v>
      </c>
      <c r="T55" s="6766" t="s">
        <v>3421</v>
      </c>
      <c r="U55" s="6771" t="s">
        <v>3465</v>
      </c>
      <c r="V55" s="6176"/>
      <c r="W55" s="5620"/>
      <c r="X55" s="5620"/>
      <c r="Y55" s="5620"/>
      <c r="Z55" s="5620"/>
      <c r="AA55" s="5620"/>
      <c r="AB55" s="5620"/>
      <c r="AC55" s="5620"/>
      <c r="AD55" s="5620"/>
      <c r="AE55" s="5620"/>
    </row>
    <row r="56" spans="5:31" s="37" customFormat="1" ht="13.8">
      <c r="E56" s="63"/>
      <c r="P56" s="6765">
        <v>21</v>
      </c>
      <c r="Q56" s="6766" t="s">
        <v>21</v>
      </c>
      <c r="R56" s="6768" t="s">
        <v>3466</v>
      </c>
      <c r="S56" s="6768" t="s">
        <v>3424</v>
      </c>
      <c r="T56" s="6766" t="s">
        <v>3421</v>
      </c>
      <c r="U56" s="6771" t="s">
        <v>3467</v>
      </c>
      <c r="V56" s="6180"/>
      <c r="W56" s="5620"/>
      <c r="X56" s="5620"/>
      <c r="Y56" s="5620"/>
      <c r="Z56" s="5620"/>
      <c r="AA56" s="5620"/>
      <c r="AB56" s="5620"/>
      <c r="AC56" s="5620"/>
      <c r="AD56" s="5620"/>
      <c r="AE56" s="5620"/>
    </row>
    <row r="57" spans="5:31" s="37" customFormat="1" ht="13.8">
      <c r="E57" s="63"/>
      <c r="P57" s="6765">
        <v>22</v>
      </c>
      <c r="Q57" s="6766" t="s">
        <v>16</v>
      </c>
      <c r="R57" s="6768" t="s">
        <v>3468</v>
      </c>
      <c r="S57" s="6768" t="s">
        <v>3469</v>
      </c>
      <c r="T57" s="6766"/>
      <c r="U57" s="6771">
        <v>9786072827738</v>
      </c>
      <c r="V57" s="6177"/>
      <c r="W57" s="5620"/>
      <c r="X57" s="5620"/>
      <c r="Y57" s="5620"/>
      <c r="Z57" s="5620"/>
      <c r="AA57" s="5620"/>
      <c r="AB57" s="5620"/>
      <c r="AC57" s="5620"/>
      <c r="AD57" s="5620"/>
      <c r="AE57" s="5620"/>
    </row>
    <row r="58" spans="5:31" s="37" customFormat="1" ht="13.8">
      <c r="E58" s="63"/>
      <c r="P58" s="6765">
        <v>23</v>
      </c>
      <c r="Q58" s="6769" t="s">
        <v>21</v>
      </c>
      <c r="R58" s="6767" t="s">
        <v>3470</v>
      </c>
      <c r="S58" s="6768" t="s">
        <v>3471</v>
      </c>
      <c r="T58" s="6766" t="s">
        <v>3421</v>
      </c>
      <c r="U58" s="6775" t="s">
        <v>3194</v>
      </c>
      <c r="V58" s="6176"/>
      <c r="W58" s="5620"/>
      <c r="X58" s="5620"/>
      <c r="Y58" s="5620"/>
      <c r="Z58" s="5620"/>
      <c r="AA58" s="5620"/>
      <c r="AB58" s="5620"/>
      <c r="AC58" s="5620"/>
      <c r="AD58" s="5620"/>
      <c r="AE58" s="5620"/>
    </row>
    <row r="59" spans="5:31" s="37" customFormat="1" ht="13.8">
      <c r="E59" s="63"/>
      <c r="P59" s="6765">
        <v>24</v>
      </c>
      <c r="Q59" s="6769" t="s">
        <v>16</v>
      </c>
      <c r="R59" s="6767" t="s">
        <v>3472</v>
      </c>
      <c r="S59" s="6768" t="s">
        <v>3195</v>
      </c>
      <c r="T59" s="6766"/>
      <c r="U59" s="6771">
        <v>9786072825949</v>
      </c>
      <c r="V59" s="6176"/>
      <c r="W59" s="5620"/>
      <c r="X59" s="5620"/>
      <c r="Y59" s="5620"/>
      <c r="Z59" s="5620"/>
      <c r="AA59" s="5620"/>
      <c r="AB59" s="5620"/>
      <c r="AC59" s="5620"/>
      <c r="AD59" s="5620"/>
      <c r="AE59" s="5620"/>
    </row>
    <row r="60" spans="5:31" s="37" customFormat="1" ht="13.8">
      <c r="E60" s="63"/>
      <c r="P60" s="6765">
        <v>25</v>
      </c>
      <c r="Q60" s="6769" t="s">
        <v>16</v>
      </c>
      <c r="R60" s="6767" t="s">
        <v>3473</v>
      </c>
      <c r="S60" s="6768" t="s">
        <v>3474</v>
      </c>
      <c r="T60" s="6766"/>
      <c r="U60" s="6771">
        <v>9786072827165</v>
      </c>
      <c r="V60" s="6177"/>
      <c r="W60" s="5620"/>
      <c r="X60" s="5620"/>
      <c r="Y60" s="5620"/>
      <c r="Z60" s="5620"/>
      <c r="AA60" s="5620"/>
      <c r="AB60" s="5620"/>
      <c r="AC60" s="5620"/>
      <c r="AD60" s="5620"/>
      <c r="AE60" s="5620"/>
    </row>
    <row r="61" spans="5:31" s="37" customFormat="1" ht="13.8">
      <c r="E61" s="63"/>
      <c r="P61" s="6765">
        <v>26</v>
      </c>
      <c r="Q61" s="6769" t="s">
        <v>16</v>
      </c>
      <c r="R61" s="6767" t="s">
        <v>3475</v>
      </c>
      <c r="S61" s="6768" t="s">
        <v>3476</v>
      </c>
      <c r="T61" s="6766" t="s">
        <v>3421</v>
      </c>
      <c r="U61" s="6775" t="s">
        <v>3477</v>
      </c>
      <c r="V61" s="6177"/>
      <c r="W61" s="5620"/>
      <c r="X61" s="5620"/>
      <c r="Y61" s="5620"/>
      <c r="Z61" s="5620"/>
      <c r="AA61" s="5620"/>
      <c r="AB61" s="5620"/>
      <c r="AC61" s="5620"/>
      <c r="AD61" s="5620"/>
      <c r="AE61" s="5620"/>
    </row>
    <row r="62" spans="5:31" s="37" customFormat="1" ht="13.8">
      <c r="E62" s="63"/>
      <c r="P62" s="6765">
        <v>27</v>
      </c>
      <c r="Q62" s="6769" t="s">
        <v>4</v>
      </c>
      <c r="R62" s="6767" t="s">
        <v>3478</v>
      </c>
      <c r="S62" s="6768" t="s">
        <v>3479</v>
      </c>
      <c r="T62" s="6766"/>
      <c r="U62" s="6771">
        <v>9786072826724</v>
      </c>
      <c r="V62" s="6177"/>
      <c r="W62" s="5620"/>
      <c r="X62" s="5620"/>
      <c r="Y62" s="5620"/>
      <c r="Z62" s="5620"/>
      <c r="AA62" s="5620"/>
      <c r="AB62" s="5620"/>
      <c r="AC62" s="5620"/>
      <c r="AD62" s="5620"/>
      <c r="AE62" s="5620"/>
    </row>
    <row r="63" spans="5:31" s="37" customFormat="1" ht="24">
      <c r="E63" s="63"/>
      <c r="P63" s="6765">
        <v>28</v>
      </c>
      <c r="Q63" s="6769" t="s">
        <v>21</v>
      </c>
      <c r="R63" s="6767" t="s">
        <v>3480</v>
      </c>
      <c r="S63" s="6768" t="s">
        <v>3481</v>
      </c>
      <c r="T63" s="6766"/>
      <c r="U63" s="6771">
        <v>9786072826250</v>
      </c>
      <c r="V63" s="6177"/>
      <c r="W63" s="5620"/>
      <c r="X63" s="5620"/>
      <c r="Y63" s="5620"/>
      <c r="Z63" s="5620"/>
      <c r="AA63" s="5620"/>
      <c r="AB63" s="5620"/>
      <c r="AC63" s="5620"/>
      <c r="AD63" s="5620"/>
      <c r="AE63" s="5620"/>
    </row>
    <row r="64" spans="5:31" s="37" customFormat="1" ht="24">
      <c r="E64" s="63"/>
      <c r="P64" s="6765">
        <v>29</v>
      </c>
      <c r="Q64" s="6769" t="s">
        <v>21</v>
      </c>
      <c r="R64" s="6767" t="s">
        <v>3482</v>
      </c>
      <c r="S64" s="6768" t="s">
        <v>3424</v>
      </c>
      <c r="T64" s="6766" t="s">
        <v>3421</v>
      </c>
      <c r="U64" s="6770" t="s">
        <v>3483</v>
      </c>
      <c r="V64" s="6177"/>
      <c r="W64" s="5620"/>
      <c r="X64" s="5620"/>
      <c r="Y64" s="5620"/>
      <c r="Z64" s="5620"/>
      <c r="AA64" s="5620"/>
      <c r="AB64" s="5620"/>
      <c r="AC64" s="5620"/>
      <c r="AD64" s="5620"/>
      <c r="AE64" s="5620"/>
    </row>
    <row r="65" spans="5:31" s="37" customFormat="1" ht="13.8">
      <c r="E65" s="63"/>
      <c r="P65" s="6765">
        <v>30</v>
      </c>
      <c r="Q65" s="6766" t="s">
        <v>21</v>
      </c>
      <c r="R65" s="6767" t="s">
        <v>3484</v>
      </c>
      <c r="S65" s="6768" t="s">
        <v>3485</v>
      </c>
      <c r="T65" s="6766"/>
      <c r="U65" s="6771">
        <v>9786072826236</v>
      </c>
      <c r="V65" s="6178"/>
      <c r="W65" s="5620"/>
      <c r="X65" s="5620"/>
      <c r="Y65" s="5620"/>
      <c r="Z65" s="5620"/>
      <c r="AA65" s="5620"/>
      <c r="AB65" s="5620"/>
      <c r="AC65" s="5620"/>
      <c r="AD65" s="5620"/>
      <c r="AE65" s="5620"/>
    </row>
    <row r="66" spans="5:31" s="37" customFormat="1" ht="13.8">
      <c r="P66" s="6765">
        <v>31</v>
      </c>
      <c r="Q66" s="6766" t="s">
        <v>16</v>
      </c>
      <c r="R66" s="6768" t="s">
        <v>3486</v>
      </c>
      <c r="S66" s="6768" t="s">
        <v>3487</v>
      </c>
      <c r="T66" s="6769"/>
      <c r="U66" s="6771">
        <v>9786072827721</v>
      </c>
      <c r="V66" s="6177"/>
      <c r="W66" s="5620"/>
      <c r="X66" s="5620"/>
      <c r="Y66" s="5620"/>
      <c r="Z66" s="5620"/>
      <c r="AA66" s="5620"/>
      <c r="AB66" s="5620"/>
      <c r="AC66" s="5620"/>
      <c r="AD66" s="5620"/>
      <c r="AE66" s="5620"/>
    </row>
    <row r="67" spans="5:31" s="37" customFormat="1" ht="13.8">
      <c r="P67" s="6765">
        <v>32</v>
      </c>
      <c r="Q67" s="6769" t="s">
        <v>21</v>
      </c>
      <c r="R67" s="6768" t="s">
        <v>3488</v>
      </c>
      <c r="S67" s="6768" t="s">
        <v>3489</v>
      </c>
      <c r="T67" s="6766" t="s">
        <v>3421</v>
      </c>
      <c r="U67" s="6771" t="s">
        <v>3490</v>
      </c>
      <c r="V67" s="6180"/>
      <c r="W67" s="5620"/>
      <c r="X67" s="5620"/>
      <c r="Y67" s="5620"/>
      <c r="Z67" s="5620"/>
      <c r="AA67" s="5620"/>
      <c r="AB67" s="5620"/>
      <c r="AC67" s="5620"/>
      <c r="AD67" s="5620"/>
      <c r="AE67" s="5620"/>
    </row>
    <row r="68" spans="5:31" s="37" customFormat="1" ht="13.8">
      <c r="P68" s="6765">
        <v>33</v>
      </c>
      <c r="Q68" s="6769" t="s">
        <v>16</v>
      </c>
      <c r="R68" s="6767" t="s">
        <v>3491</v>
      </c>
      <c r="S68" s="6768" t="s">
        <v>3492</v>
      </c>
      <c r="T68" s="6766" t="s">
        <v>3421</v>
      </c>
      <c r="U68" s="6770" t="s">
        <v>3493</v>
      </c>
      <c r="V68" s="6178"/>
      <c r="W68" s="5620"/>
      <c r="X68" s="5620"/>
      <c r="Y68" s="5620"/>
      <c r="Z68" s="5620"/>
      <c r="AA68" s="5620"/>
      <c r="AB68" s="5620"/>
      <c r="AC68" s="5620"/>
      <c r="AD68" s="5620"/>
      <c r="AE68" s="5620"/>
    </row>
    <row r="69" spans="5:31" s="37" customFormat="1" ht="13.8">
      <c r="P69" s="6765">
        <v>34</v>
      </c>
      <c r="Q69" s="6769" t="s">
        <v>16</v>
      </c>
      <c r="R69" s="6768" t="s">
        <v>3494</v>
      </c>
      <c r="S69" s="6768" t="s">
        <v>3495</v>
      </c>
      <c r="T69" s="6766" t="s">
        <v>3421</v>
      </c>
      <c r="U69" s="6771" t="s">
        <v>3496</v>
      </c>
      <c r="V69" s="6176"/>
      <c r="W69" s="5620"/>
      <c r="X69" s="5620"/>
      <c r="Y69" s="5620"/>
      <c r="Z69" s="5620"/>
      <c r="AA69" s="5620"/>
      <c r="AB69" s="5620"/>
      <c r="AC69" s="5620"/>
      <c r="AD69" s="5620"/>
      <c r="AE69" s="5620"/>
    </row>
    <row r="70" spans="5:31" s="37" customFormat="1" ht="13.8">
      <c r="P70" s="6765">
        <v>35</v>
      </c>
      <c r="Q70" s="6769" t="s">
        <v>16</v>
      </c>
      <c r="R70" s="6767" t="s">
        <v>3497</v>
      </c>
      <c r="S70" s="6768" t="s">
        <v>3498</v>
      </c>
      <c r="T70" s="6766" t="s">
        <v>3421</v>
      </c>
      <c r="U70" s="6775" t="s">
        <v>3499</v>
      </c>
      <c r="V70" s="6177"/>
      <c r="W70" s="5620"/>
      <c r="X70" s="5620"/>
      <c r="Y70" s="5620"/>
      <c r="Z70" s="5620"/>
      <c r="AA70" s="5620"/>
      <c r="AB70" s="5620"/>
      <c r="AC70" s="5620"/>
      <c r="AD70" s="5620"/>
      <c r="AE70" s="5620"/>
    </row>
    <row r="71" spans="5:31" s="37" customFormat="1" ht="13.8">
      <c r="P71" s="6765">
        <v>36</v>
      </c>
      <c r="Q71" s="6769" t="s">
        <v>16</v>
      </c>
      <c r="R71" s="6767" t="s">
        <v>3500</v>
      </c>
      <c r="S71" s="6768" t="s">
        <v>3501</v>
      </c>
      <c r="T71" s="6766" t="s">
        <v>3421</v>
      </c>
      <c r="U71" s="6774" t="s">
        <v>3502</v>
      </c>
      <c r="V71" s="6177"/>
      <c r="W71" s="5620"/>
      <c r="X71" s="5620"/>
      <c r="Y71" s="5620"/>
      <c r="Z71" s="5620"/>
      <c r="AA71" s="5620"/>
      <c r="AB71" s="5620"/>
      <c r="AC71" s="5620"/>
      <c r="AD71" s="5620"/>
      <c r="AE71" s="5620"/>
    </row>
    <row r="72" spans="5:31" s="37" customFormat="1" ht="36">
      <c r="P72" s="6765">
        <v>37</v>
      </c>
      <c r="Q72" s="6766" t="s">
        <v>21</v>
      </c>
      <c r="R72" s="6772" t="s">
        <v>3503</v>
      </c>
      <c r="S72" s="6768" t="s">
        <v>3504</v>
      </c>
      <c r="T72" s="6766" t="s">
        <v>3421</v>
      </c>
      <c r="U72" s="6771" t="s">
        <v>3505</v>
      </c>
      <c r="V72" s="6177"/>
      <c r="W72" s="5620"/>
      <c r="X72" s="5620"/>
      <c r="Y72" s="5620"/>
      <c r="Z72" s="5620"/>
      <c r="AA72" s="5620"/>
      <c r="AB72" s="5620"/>
      <c r="AC72" s="5620"/>
      <c r="AD72" s="5620"/>
      <c r="AE72" s="5620"/>
    </row>
    <row r="73" spans="5:31" s="37" customFormat="1" ht="13.8">
      <c r="P73" s="6765">
        <v>38</v>
      </c>
      <c r="Q73" s="6766" t="s">
        <v>21</v>
      </c>
      <c r="R73" s="6772" t="s">
        <v>3506</v>
      </c>
      <c r="S73" s="6768" t="s">
        <v>3507</v>
      </c>
      <c r="T73" s="6766" t="s">
        <v>3421</v>
      </c>
      <c r="U73" s="6771" t="s">
        <v>3508</v>
      </c>
      <c r="V73" s="6177"/>
      <c r="W73" s="5620"/>
      <c r="X73" s="5620"/>
      <c r="Y73" s="5620"/>
      <c r="Z73" s="5620"/>
      <c r="AA73" s="5620"/>
      <c r="AB73" s="5620"/>
      <c r="AC73" s="5620"/>
      <c r="AD73" s="5620"/>
      <c r="AE73" s="5620"/>
    </row>
    <row r="74" spans="5:31" s="37" customFormat="1" ht="13.8">
      <c r="P74" s="6765">
        <v>39</v>
      </c>
      <c r="Q74" s="6766" t="s">
        <v>16</v>
      </c>
      <c r="R74" s="6768" t="s">
        <v>3509</v>
      </c>
      <c r="S74" s="6768" t="s">
        <v>3510</v>
      </c>
      <c r="T74" s="6766" t="s">
        <v>3421</v>
      </c>
      <c r="U74" s="6771" t="s">
        <v>3511</v>
      </c>
      <c r="V74" s="6177"/>
      <c r="W74" s="5620"/>
      <c r="X74" s="5620"/>
      <c r="Y74" s="5620"/>
      <c r="Z74" s="5620"/>
      <c r="AA74" s="5620"/>
      <c r="AB74" s="5620"/>
      <c r="AC74" s="5620"/>
      <c r="AD74" s="5620"/>
      <c r="AE74" s="5620"/>
    </row>
    <row r="75" spans="5:31" s="37" customFormat="1" ht="24">
      <c r="P75" s="6765">
        <v>40</v>
      </c>
      <c r="Q75" s="6766" t="s">
        <v>16</v>
      </c>
      <c r="R75" s="6767" t="s">
        <v>3512</v>
      </c>
      <c r="S75" s="6768" t="s">
        <v>3513</v>
      </c>
      <c r="T75" s="6766" t="s">
        <v>3193</v>
      </c>
      <c r="U75" s="6771">
        <v>9786072826380</v>
      </c>
      <c r="V75" s="6180"/>
      <c r="W75" s="5620"/>
      <c r="X75" s="5620"/>
      <c r="Y75" s="5620"/>
      <c r="Z75" s="5620"/>
      <c r="AA75" s="5620"/>
      <c r="AB75" s="5620"/>
      <c r="AC75" s="5620"/>
      <c r="AD75" s="5620"/>
      <c r="AE75" s="5620"/>
    </row>
    <row r="76" spans="5:31" s="37" customFormat="1" ht="13.8">
      <c r="P76" s="6765">
        <v>41</v>
      </c>
      <c r="Q76" s="6766" t="s">
        <v>16</v>
      </c>
      <c r="R76" s="6768" t="s">
        <v>3514</v>
      </c>
      <c r="S76" s="6768" t="s">
        <v>3515</v>
      </c>
      <c r="T76" s="6766" t="s">
        <v>3421</v>
      </c>
      <c r="U76" s="6771" t="s">
        <v>3516</v>
      </c>
      <c r="V76" s="6178"/>
      <c r="W76" s="5620"/>
      <c r="X76" s="5620"/>
      <c r="Y76" s="5620"/>
      <c r="Z76" s="5620"/>
      <c r="AA76" s="5620"/>
      <c r="AB76" s="5620"/>
      <c r="AC76" s="5620"/>
      <c r="AD76" s="5620"/>
      <c r="AE76" s="5620"/>
    </row>
    <row r="77" spans="5:31" s="37" customFormat="1" ht="13.8">
      <c r="P77" s="6765">
        <v>42</v>
      </c>
      <c r="Q77" s="6766" t="s">
        <v>16</v>
      </c>
      <c r="R77" s="6767" t="s">
        <v>3517</v>
      </c>
      <c r="S77" s="6768" t="s">
        <v>3518</v>
      </c>
      <c r="T77" s="6766" t="s">
        <v>3421</v>
      </c>
      <c r="U77" s="6774" t="s">
        <v>3519</v>
      </c>
      <c r="V77" s="6180"/>
      <c r="W77" s="5620"/>
      <c r="X77" s="5620"/>
      <c r="Y77" s="5620"/>
      <c r="Z77" s="5620"/>
      <c r="AA77" s="5620"/>
      <c r="AB77" s="5620"/>
      <c r="AC77" s="5620"/>
      <c r="AD77" s="5620"/>
      <c r="AE77" s="5620"/>
    </row>
    <row r="78" spans="5:31" s="37" customFormat="1" ht="24">
      <c r="P78" s="6765">
        <v>43</v>
      </c>
      <c r="Q78" s="6766" t="s">
        <v>21</v>
      </c>
      <c r="R78" s="6768" t="s">
        <v>3520</v>
      </c>
      <c r="S78" s="6768" t="s">
        <v>3521</v>
      </c>
      <c r="T78" s="6766" t="s">
        <v>3421</v>
      </c>
      <c r="U78" s="6771" t="s">
        <v>3522</v>
      </c>
      <c r="V78" s="6178"/>
      <c r="W78" s="5620"/>
      <c r="X78" s="5620"/>
      <c r="Y78" s="5620"/>
      <c r="Z78" s="5620"/>
      <c r="AA78" s="5620"/>
      <c r="AB78" s="5620"/>
      <c r="AC78" s="5620"/>
      <c r="AD78" s="5620"/>
      <c r="AE78" s="5620"/>
    </row>
    <row r="79" spans="5:31" s="37" customFormat="1" ht="13.8">
      <c r="P79" s="6765">
        <v>44</v>
      </c>
      <c r="Q79" s="6769" t="s">
        <v>21</v>
      </c>
      <c r="R79" s="6767" t="s">
        <v>3523</v>
      </c>
      <c r="S79" s="6768" t="s">
        <v>3437</v>
      </c>
      <c r="T79" s="6766" t="s">
        <v>3421</v>
      </c>
      <c r="U79" s="6775" t="s">
        <v>3524</v>
      </c>
      <c r="V79" s="6177"/>
      <c r="W79" s="5620"/>
      <c r="X79" s="5620"/>
      <c r="Y79" s="5620"/>
      <c r="Z79" s="5620"/>
      <c r="AA79" s="5620"/>
      <c r="AB79" s="5620"/>
      <c r="AC79" s="5620"/>
      <c r="AD79" s="5620"/>
      <c r="AE79" s="5620"/>
    </row>
    <row r="80" spans="5:31" s="37" customFormat="1" ht="13.8">
      <c r="P80" s="6765">
        <v>45</v>
      </c>
      <c r="Q80" s="6769" t="s">
        <v>16</v>
      </c>
      <c r="R80" s="6767" t="s">
        <v>3525</v>
      </c>
      <c r="S80" s="6768" t="s">
        <v>3526</v>
      </c>
      <c r="T80" s="6766" t="s">
        <v>3421</v>
      </c>
      <c r="U80" s="6775" t="s">
        <v>3527</v>
      </c>
      <c r="V80" s="6177"/>
      <c r="W80" s="5620"/>
      <c r="X80" s="5620"/>
      <c r="Y80" s="5620"/>
      <c r="Z80" s="5620"/>
      <c r="AA80" s="5620"/>
      <c r="AB80" s="5620"/>
      <c r="AC80" s="5620"/>
      <c r="AD80" s="5620"/>
      <c r="AE80" s="5620"/>
    </row>
    <row r="81" spans="16:31" s="37" customFormat="1" ht="13.8">
      <c r="P81" s="6765">
        <v>46</v>
      </c>
      <c r="Q81" s="6769" t="s">
        <v>3023</v>
      </c>
      <c r="R81" s="6767" t="s">
        <v>3528</v>
      </c>
      <c r="S81" s="6768" t="s">
        <v>3529</v>
      </c>
      <c r="T81" s="6766" t="s">
        <v>3432</v>
      </c>
      <c r="U81" s="6776">
        <v>9786072826472</v>
      </c>
      <c r="V81" s="6178"/>
      <c r="W81" s="5620"/>
      <c r="X81" s="5620"/>
      <c r="Y81" s="5620"/>
      <c r="Z81" s="5620"/>
      <c r="AA81" s="5620"/>
      <c r="AB81" s="5620"/>
      <c r="AC81" s="5620"/>
      <c r="AD81" s="5620"/>
      <c r="AE81" s="5620"/>
    </row>
    <row r="82" spans="16:31" s="37" customFormat="1" ht="24">
      <c r="P82" s="6765">
        <v>47</v>
      </c>
      <c r="Q82" s="6766" t="s">
        <v>16</v>
      </c>
      <c r="R82" s="6768" t="s">
        <v>3530</v>
      </c>
      <c r="S82" s="6768" t="s">
        <v>3196</v>
      </c>
      <c r="T82" s="6766"/>
      <c r="U82" s="6776">
        <v>9786072826175</v>
      </c>
      <c r="V82" s="6178"/>
      <c r="W82" s="5620"/>
      <c r="X82" s="5620"/>
      <c r="Y82" s="5620"/>
      <c r="Z82" s="5620"/>
      <c r="AA82" s="5620"/>
      <c r="AB82" s="5620"/>
      <c r="AC82" s="5620"/>
      <c r="AD82" s="5620"/>
      <c r="AE82" s="5620"/>
    </row>
    <row r="83" spans="16:31" s="37" customFormat="1" ht="24">
      <c r="P83" s="6765">
        <v>48</v>
      </c>
      <c r="Q83" s="6766" t="s">
        <v>16</v>
      </c>
      <c r="R83" s="6768" t="s">
        <v>3531</v>
      </c>
      <c r="S83" s="6768" t="s">
        <v>3532</v>
      </c>
      <c r="T83" s="6766"/>
      <c r="U83" s="6776">
        <v>9786072827042</v>
      </c>
      <c r="V83" s="6180"/>
      <c r="W83" s="5620"/>
      <c r="X83" s="5620"/>
      <c r="Y83" s="5620"/>
      <c r="Z83" s="5620"/>
      <c r="AA83" s="5620"/>
      <c r="AB83" s="5620"/>
      <c r="AC83" s="5620"/>
      <c r="AD83" s="5620"/>
      <c r="AE83" s="5620"/>
    </row>
    <row r="84" spans="16:31" s="37" customFormat="1" ht="13.8">
      <c r="P84" s="6765">
        <v>49</v>
      </c>
      <c r="Q84" s="6766" t="s">
        <v>16</v>
      </c>
      <c r="R84" s="6767" t="s">
        <v>3533</v>
      </c>
      <c r="S84" s="6768" t="s">
        <v>3534</v>
      </c>
      <c r="T84" s="6769"/>
      <c r="U84" s="6776">
        <v>9786072828254</v>
      </c>
      <c r="V84" s="6177"/>
      <c r="W84" s="5620"/>
      <c r="X84" s="5620"/>
      <c r="Y84" s="5620"/>
      <c r="Z84" s="5620"/>
      <c r="AA84" s="5620"/>
      <c r="AB84" s="5620"/>
      <c r="AC84" s="5620"/>
      <c r="AD84" s="5620"/>
      <c r="AE84" s="5620"/>
    </row>
    <row r="85" spans="16:31" s="37" customFormat="1" ht="13.8">
      <c r="P85" s="6765">
        <v>50</v>
      </c>
      <c r="Q85" s="6769" t="s">
        <v>4</v>
      </c>
      <c r="R85" s="6767" t="s">
        <v>3535</v>
      </c>
      <c r="S85" s="6768" t="s">
        <v>3536</v>
      </c>
      <c r="T85" s="6766"/>
      <c r="U85" s="6776">
        <v>9786072822429</v>
      </c>
      <c r="V85" s="6176"/>
      <c r="W85" s="5620"/>
      <c r="X85" s="5620"/>
      <c r="Y85" s="5620"/>
      <c r="Z85" s="5620"/>
      <c r="AA85" s="5620"/>
      <c r="AB85" s="5620"/>
      <c r="AC85" s="5620"/>
      <c r="AD85" s="5620"/>
      <c r="AE85" s="5620"/>
    </row>
    <row r="86" spans="16:31" s="37" customFormat="1" ht="13.8">
      <c r="P86" s="6765">
        <v>51</v>
      </c>
      <c r="Q86" s="6769" t="s">
        <v>21</v>
      </c>
      <c r="R86" s="6768" t="s">
        <v>3537</v>
      </c>
      <c r="S86" s="6768" t="s">
        <v>3538</v>
      </c>
      <c r="T86" s="6766" t="s">
        <v>3421</v>
      </c>
      <c r="U86" s="6776" t="s">
        <v>3192</v>
      </c>
      <c r="V86" s="6176"/>
      <c r="W86" s="5620"/>
      <c r="X86" s="5620"/>
      <c r="Y86" s="5620"/>
      <c r="Z86" s="5620"/>
      <c r="AA86" s="5620"/>
      <c r="AB86" s="5620"/>
      <c r="AC86" s="5620"/>
      <c r="AD86" s="5620"/>
      <c r="AE86" s="5620"/>
    </row>
    <row r="87" spans="16:31" s="37" customFormat="1" ht="24">
      <c r="P87" s="6765">
        <v>52</v>
      </c>
      <c r="Q87" s="6769" t="s">
        <v>16</v>
      </c>
      <c r="R87" s="6767" t="s">
        <v>3539</v>
      </c>
      <c r="S87" s="6768" t="s">
        <v>3540</v>
      </c>
      <c r="T87" s="6766" t="s">
        <v>3421</v>
      </c>
      <c r="U87" s="6777" t="s">
        <v>3541</v>
      </c>
      <c r="V87" s="6180"/>
      <c r="W87" s="5620"/>
      <c r="X87" s="5620"/>
      <c r="Y87" s="5620"/>
      <c r="Z87" s="5620"/>
      <c r="AA87" s="5620"/>
      <c r="AB87" s="5620"/>
      <c r="AC87" s="5620"/>
      <c r="AD87" s="5620"/>
      <c r="AE87" s="5620"/>
    </row>
    <row r="88" spans="16:31" s="37" customFormat="1" ht="13.8">
      <c r="P88" s="6765">
        <v>53</v>
      </c>
      <c r="Q88" s="6769" t="s">
        <v>16</v>
      </c>
      <c r="R88" s="6767" t="s">
        <v>3542</v>
      </c>
      <c r="S88" s="6768" t="s">
        <v>3543</v>
      </c>
      <c r="T88" s="6766" t="s">
        <v>3421</v>
      </c>
      <c r="U88" s="6777" t="s">
        <v>3544</v>
      </c>
      <c r="V88" s="6178"/>
      <c r="W88" s="5620"/>
      <c r="X88" s="5620"/>
      <c r="Y88" s="5620"/>
      <c r="Z88" s="5620"/>
      <c r="AA88" s="5620"/>
      <c r="AB88" s="5620"/>
      <c r="AC88" s="5620"/>
      <c r="AD88" s="5620"/>
      <c r="AE88" s="5620"/>
    </row>
    <row r="89" spans="16:31" s="37" customFormat="1" ht="13.8">
      <c r="P89" s="6765">
        <v>54</v>
      </c>
      <c r="Q89" s="6766" t="s">
        <v>4</v>
      </c>
      <c r="R89" s="6768" t="s">
        <v>3545</v>
      </c>
      <c r="S89" s="6768" t="s">
        <v>3546</v>
      </c>
      <c r="T89" s="6766"/>
      <c r="U89" s="6776">
        <v>9786072829572</v>
      </c>
      <c r="V89" s="6178"/>
      <c r="W89" s="5620"/>
      <c r="X89" s="5620"/>
      <c r="Y89" s="5620"/>
      <c r="Z89" s="5620"/>
      <c r="AA89" s="5620"/>
      <c r="AB89" s="5620"/>
      <c r="AC89" s="5620"/>
      <c r="AD89" s="5620"/>
      <c r="AE89" s="5620"/>
    </row>
    <row r="90" spans="16:31" s="37" customFormat="1" ht="13.8">
      <c r="P90" s="6765">
        <v>55</v>
      </c>
      <c r="Q90" s="6766" t="s">
        <v>21</v>
      </c>
      <c r="R90" s="6772" t="s">
        <v>3547</v>
      </c>
      <c r="S90" s="6772" t="s">
        <v>3424</v>
      </c>
      <c r="T90" s="6766" t="s">
        <v>3421</v>
      </c>
      <c r="U90" s="6776" t="s">
        <v>3548</v>
      </c>
      <c r="V90" s="6178" t="s">
        <v>3190</v>
      </c>
      <c r="W90" s="5620"/>
      <c r="X90" s="5620"/>
      <c r="Y90" s="5620"/>
      <c r="Z90" s="5620"/>
      <c r="AA90" s="5620"/>
      <c r="AB90" s="5620"/>
      <c r="AC90" s="5620"/>
      <c r="AD90" s="5620"/>
      <c r="AE90" s="5620"/>
    </row>
    <row r="91" spans="16:31" s="37" customFormat="1" ht="24">
      <c r="P91" s="6765">
        <v>56</v>
      </c>
      <c r="Q91" s="6766" t="s">
        <v>16</v>
      </c>
      <c r="R91" s="6768" t="s">
        <v>3549</v>
      </c>
      <c r="S91" s="6768" t="s">
        <v>3550</v>
      </c>
      <c r="T91" s="6766"/>
      <c r="U91" s="6776">
        <v>9786072826168</v>
      </c>
      <c r="V91" s="6180"/>
      <c r="W91" s="5620"/>
      <c r="X91" s="5620"/>
      <c r="Y91" s="5620"/>
      <c r="Z91" s="5620"/>
      <c r="AA91" s="5620"/>
      <c r="AB91" s="5620"/>
      <c r="AC91" s="5620"/>
      <c r="AD91" s="5620"/>
      <c r="AE91" s="5620"/>
    </row>
    <row r="92" spans="16:31" s="37" customFormat="1" ht="24">
      <c r="P92" s="6765">
        <v>57</v>
      </c>
      <c r="Q92" s="6769" t="s">
        <v>4</v>
      </c>
      <c r="R92" s="6767" t="s">
        <v>3551</v>
      </c>
      <c r="S92" s="6768" t="s">
        <v>3552</v>
      </c>
      <c r="T92" s="6766"/>
      <c r="U92" s="6776">
        <v>9786072825604</v>
      </c>
      <c r="V92" s="6179"/>
      <c r="W92" s="5620"/>
      <c r="X92" s="5620"/>
      <c r="Y92" s="5620"/>
      <c r="Z92" s="5620"/>
      <c r="AA92" s="5620"/>
      <c r="AB92" s="5620"/>
      <c r="AC92" s="5620"/>
      <c r="AD92" s="5620"/>
      <c r="AE92" s="5620"/>
    </row>
    <row r="93" spans="16:31" s="37" customFormat="1" ht="13.8">
      <c r="P93" s="5625"/>
      <c r="Q93" s="6183"/>
      <c r="R93" s="5631"/>
      <c r="S93" s="5631"/>
      <c r="T93" s="5631"/>
      <c r="U93" s="5631"/>
      <c r="V93" s="97"/>
      <c r="W93" s="5620"/>
      <c r="X93" s="5620"/>
      <c r="Y93" s="5620"/>
      <c r="Z93" s="5620"/>
      <c r="AA93" s="5620"/>
      <c r="AB93" s="5620"/>
      <c r="AC93" s="5620"/>
      <c r="AD93" s="5620"/>
      <c r="AE93" s="5620"/>
    </row>
    <row r="94" spans="16:31" s="37" customFormat="1" ht="13.8">
      <c r="P94" s="42"/>
      <c r="Q94" s="42"/>
      <c r="R94" s="42"/>
      <c r="S94" s="42"/>
      <c r="T94" s="97"/>
      <c r="U94" s="97"/>
      <c r="V94" s="97"/>
      <c r="W94" s="5620"/>
      <c r="X94" s="5620"/>
      <c r="Y94" s="5620"/>
      <c r="Z94" s="5620"/>
      <c r="AA94" s="5620"/>
      <c r="AB94" s="5620"/>
      <c r="AC94" s="5620"/>
      <c r="AD94" s="5620"/>
      <c r="AE94" s="5620"/>
    </row>
    <row r="95" spans="16:31" s="37" customFormat="1" thickBot="1">
      <c r="P95" s="5626" t="s">
        <v>314</v>
      </c>
      <c r="Q95" s="5626" t="s">
        <v>69</v>
      </c>
      <c r="R95" s="5626" t="s">
        <v>3019</v>
      </c>
      <c r="S95" s="5626" t="s">
        <v>3020</v>
      </c>
      <c r="T95" s="5627" t="s">
        <v>3021</v>
      </c>
      <c r="U95" s="5627" t="s">
        <v>3022</v>
      </c>
      <c r="V95" s="6184" t="s">
        <v>3189</v>
      </c>
      <c r="W95" s="5620"/>
      <c r="X95" s="5620"/>
      <c r="Y95" s="5620"/>
      <c r="Z95" s="5620"/>
      <c r="AA95" s="5620"/>
      <c r="AB95" s="5620"/>
      <c r="AC95" s="5620"/>
      <c r="AD95" s="5620"/>
      <c r="AE95" s="5620"/>
    </row>
    <row r="96" spans="16:31" s="37" customFormat="1" ht="13.8">
      <c r="P96" s="6761">
        <v>1</v>
      </c>
      <c r="Q96" s="6778" t="s">
        <v>3023</v>
      </c>
      <c r="R96" s="6779" t="s">
        <v>3553</v>
      </c>
      <c r="S96" s="6780" t="s">
        <v>3554</v>
      </c>
      <c r="T96" s="6762"/>
      <c r="U96" s="6781">
        <v>9786072821514</v>
      </c>
      <c r="V96" s="6185" t="s">
        <v>3190</v>
      </c>
      <c r="W96" s="5620"/>
      <c r="X96" s="5620"/>
      <c r="Y96" s="5620"/>
      <c r="Z96" s="5620"/>
      <c r="AA96" s="5620"/>
      <c r="AB96" s="5620"/>
      <c r="AC96" s="5620"/>
      <c r="AD96" s="5620"/>
      <c r="AE96" s="5620"/>
    </row>
    <row r="97" spans="16:31" s="37" customFormat="1" ht="13.8">
      <c r="P97" s="6765">
        <v>2</v>
      </c>
      <c r="Q97" s="6766" t="s">
        <v>3555</v>
      </c>
      <c r="R97" s="6768" t="s">
        <v>3556</v>
      </c>
      <c r="S97" s="6768" t="s">
        <v>3557</v>
      </c>
      <c r="T97" s="6766" t="s">
        <v>95</v>
      </c>
      <c r="U97" s="6776" t="s">
        <v>3558</v>
      </c>
      <c r="V97" s="6186"/>
      <c r="W97" s="5620"/>
      <c r="X97" s="5620"/>
      <c r="Y97" s="5620"/>
      <c r="Z97" s="5620"/>
      <c r="AA97" s="5620"/>
      <c r="AB97" s="5620"/>
      <c r="AC97" s="5620"/>
      <c r="AD97" s="5620"/>
      <c r="AE97" s="5620"/>
    </row>
    <row r="98" spans="16:31" s="37" customFormat="1" ht="13.8">
      <c r="P98" s="6765">
        <v>3</v>
      </c>
      <c r="Q98" s="6769" t="s">
        <v>3555</v>
      </c>
      <c r="R98" s="6767" t="s">
        <v>3556</v>
      </c>
      <c r="S98" s="6772" t="s">
        <v>3557</v>
      </c>
      <c r="T98" s="6766" t="s">
        <v>95</v>
      </c>
      <c r="U98" s="6769" t="s">
        <v>3559</v>
      </c>
      <c r="V98" s="6185" t="s">
        <v>3190</v>
      </c>
      <c r="W98" s="5620"/>
      <c r="X98" s="5620"/>
      <c r="Y98" s="5620"/>
      <c r="Z98" s="5620"/>
      <c r="AA98" s="5620"/>
      <c r="AB98" s="5620"/>
      <c r="AC98" s="5620"/>
      <c r="AD98" s="5620"/>
      <c r="AE98" s="5620"/>
    </row>
    <row r="99" spans="16:31" s="37" customFormat="1" ht="13.8">
      <c r="P99" s="6765">
        <v>4</v>
      </c>
      <c r="Q99" s="6769" t="s">
        <v>3023</v>
      </c>
      <c r="R99" s="6767" t="s">
        <v>3560</v>
      </c>
      <c r="S99" s="6772" t="s">
        <v>3561</v>
      </c>
      <c r="T99" s="6766"/>
      <c r="U99" s="6776">
        <v>9786072826809</v>
      </c>
      <c r="V99" s="6185"/>
      <c r="W99" s="5620"/>
      <c r="X99" s="5620"/>
      <c r="Y99" s="5620"/>
      <c r="Z99" s="5620"/>
      <c r="AA99" s="5620"/>
      <c r="AB99" s="5620"/>
      <c r="AC99" s="5620"/>
      <c r="AD99" s="5620"/>
      <c r="AE99" s="5620"/>
    </row>
    <row r="100" spans="16:31" s="37" customFormat="1" ht="13.8">
      <c r="P100" s="6765">
        <v>5</v>
      </c>
      <c r="Q100" s="6769" t="s">
        <v>86</v>
      </c>
      <c r="R100" s="6767" t="s">
        <v>3562</v>
      </c>
      <c r="S100" s="6772" t="s">
        <v>3563</v>
      </c>
      <c r="T100" s="6766" t="s">
        <v>3564</v>
      </c>
      <c r="U100" s="6769" t="s">
        <v>3565</v>
      </c>
      <c r="V100" s="6185" t="s">
        <v>3190</v>
      </c>
      <c r="W100" s="5620"/>
      <c r="X100" s="5620"/>
      <c r="Y100" s="5620"/>
      <c r="Z100" s="5620"/>
      <c r="AA100" s="5620"/>
      <c r="AB100" s="5620"/>
      <c r="AC100" s="5620"/>
      <c r="AD100" s="5620"/>
      <c r="AE100" s="5620"/>
    </row>
    <row r="101" spans="16:31" s="37" customFormat="1" ht="13.8">
      <c r="P101" s="6765">
        <v>6</v>
      </c>
      <c r="Q101" s="6766" t="s">
        <v>16</v>
      </c>
      <c r="R101" s="6768" t="s">
        <v>3198</v>
      </c>
      <c r="S101" s="6768" t="s">
        <v>3199</v>
      </c>
      <c r="T101" s="6766" t="s">
        <v>3566</v>
      </c>
      <c r="U101" s="6776">
        <v>9786072826786</v>
      </c>
      <c r="V101" s="6185" t="s">
        <v>3190</v>
      </c>
      <c r="W101" s="5620"/>
      <c r="X101" s="5620"/>
      <c r="Y101" s="5620"/>
      <c r="Z101" s="5620"/>
      <c r="AA101" s="5620"/>
      <c r="AB101" s="5620"/>
      <c r="AC101" s="5620"/>
      <c r="AD101" s="5620"/>
      <c r="AE101" s="5620"/>
    </row>
    <row r="102" spans="16:31" s="37" customFormat="1" ht="13.8">
      <c r="P102" s="6765">
        <v>7</v>
      </c>
      <c r="Q102" s="6766" t="s">
        <v>86</v>
      </c>
      <c r="R102" s="6768" t="s">
        <v>3567</v>
      </c>
      <c r="S102" s="6768" t="s">
        <v>3197</v>
      </c>
      <c r="T102" s="6766" t="s">
        <v>3564</v>
      </c>
      <c r="U102" s="6776" t="s">
        <v>3568</v>
      </c>
      <c r="V102" s="6185" t="s">
        <v>3190</v>
      </c>
      <c r="W102" s="5620"/>
      <c r="X102" s="5620"/>
      <c r="Y102" s="5620"/>
      <c r="Z102" s="5620"/>
      <c r="AA102" s="5620"/>
      <c r="AB102" s="5620"/>
      <c r="AC102" s="5620"/>
      <c r="AD102" s="5620"/>
      <c r="AE102" s="5620"/>
    </row>
    <row r="103" spans="16:31" s="37" customFormat="1" ht="13.8">
      <c r="P103" s="6765">
        <v>8</v>
      </c>
      <c r="Q103" s="6766" t="s">
        <v>16</v>
      </c>
      <c r="R103" s="6768" t="s">
        <v>3569</v>
      </c>
      <c r="S103" s="6768" t="s">
        <v>3570</v>
      </c>
      <c r="T103" s="6766" t="s">
        <v>3202</v>
      </c>
      <c r="U103" s="6776">
        <v>9786072828513</v>
      </c>
      <c r="V103" s="6185"/>
      <c r="W103" s="5620"/>
      <c r="X103" s="5620"/>
      <c r="Y103" s="5620"/>
      <c r="Z103" s="5620"/>
      <c r="AA103" s="5620"/>
      <c r="AB103" s="5620"/>
      <c r="AC103" s="5620"/>
      <c r="AD103" s="5620"/>
      <c r="AE103" s="5620"/>
    </row>
    <row r="104" spans="16:31" s="37" customFormat="1" ht="24">
      <c r="P104" s="6765">
        <v>9</v>
      </c>
      <c r="Q104" s="6769" t="s">
        <v>3571</v>
      </c>
      <c r="R104" s="6767" t="s">
        <v>3572</v>
      </c>
      <c r="S104" s="6772" t="s">
        <v>3573</v>
      </c>
      <c r="T104" s="6766" t="s">
        <v>3574</v>
      </c>
      <c r="U104" s="6769" t="s">
        <v>3575</v>
      </c>
      <c r="V104" s="6185" t="s">
        <v>3190</v>
      </c>
      <c r="W104" s="5620"/>
      <c r="X104" s="5620"/>
      <c r="Y104" s="5620"/>
      <c r="Z104" s="5620"/>
      <c r="AA104" s="5620"/>
      <c r="AB104" s="5620"/>
      <c r="AC104" s="5620"/>
      <c r="AD104" s="5620"/>
      <c r="AE104" s="5620"/>
    </row>
    <row r="105" spans="16:31" s="37" customFormat="1" ht="24">
      <c r="P105" s="6765">
        <v>10</v>
      </c>
      <c r="Q105" s="6769" t="s">
        <v>3571</v>
      </c>
      <c r="R105" s="6767" t="s">
        <v>3576</v>
      </c>
      <c r="S105" s="6772" t="s">
        <v>3573</v>
      </c>
      <c r="T105" s="6766" t="s">
        <v>3574</v>
      </c>
      <c r="U105" s="6769" t="s">
        <v>3577</v>
      </c>
      <c r="V105" s="6185"/>
      <c r="W105" s="5620"/>
      <c r="X105" s="5620"/>
      <c r="Y105" s="5620"/>
      <c r="Z105" s="5620"/>
      <c r="AA105" s="5620"/>
      <c r="AB105" s="5620"/>
      <c r="AC105" s="5620"/>
      <c r="AD105" s="5620"/>
      <c r="AE105" s="5620"/>
    </row>
    <row r="106" spans="16:31" s="37" customFormat="1" ht="13.8">
      <c r="P106" s="6765">
        <v>11</v>
      </c>
      <c r="Q106" s="6769" t="s">
        <v>3571</v>
      </c>
      <c r="R106" s="6767" t="s">
        <v>3578</v>
      </c>
      <c r="S106" s="6772" t="s">
        <v>3579</v>
      </c>
      <c r="T106" s="6766" t="s">
        <v>3580</v>
      </c>
      <c r="U106" s="6769" t="s">
        <v>3581</v>
      </c>
      <c r="V106" s="6185" t="s">
        <v>3190</v>
      </c>
      <c r="W106" s="5620"/>
      <c r="X106" s="5620"/>
      <c r="Y106" s="5620"/>
      <c r="Z106" s="5620"/>
      <c r="AA106" s="5620"/>
      <c r="AB106" s="5620"/>
      <c r="AC106" s="5620"/>
      <c r="AD106" s="5620"/>
      <c r="AE106" s="5620"/>
    </row>
    <row r="107" spans="16:31" s="37" customFormat="1" ht="13.8">
      <c r="P107" s="6765">
        <v>12</v>
      </c>
      <c r="Q107" s="6769" t="s">
        <v>3023</v>
      </c>
      <c r="R107" s="6767" t="s">
        <v>3582</v>
      </c>
      <c r="S107" s="6772" t="s">
        <v>3583</v>
      </c>
      <c r="T107" s="6766"/>
      <c r="U107" s="6776">
        <v>9786072827691</v>
      </c>
      <c r="V107" s="6185"/>
      <c r="W107" s="5620"/>
      <c r="X107" s="5620"/>
      <c r="Y107" s="5620"/>
      <c r="Z107" s="5620"/>
      <c r="AA107" s="5620"/>
      <c r="AB107" s="5620"/>
      <c r="AC107" s="5620"/>
      <c r="AD107" s="5620"/>
      <c r="AE107" s="5620"/>
    </row>
    <row r="108" spans="16:31" s="37" customFormat="1" ht="13.8">
      <c r="P108" s="6765">
        <v>13</v>
      </c>
      <c r="Q108" s="6766" t="s">
        <v>3584</v>
      </c>
      <c r="R108" s="6768" t="s">
        <v>3585</v>
      </c>
      <c r="S108" s="6768" t="s">
        <v>3586</v>
      </c>
      <c r="T108" s="6766" t="s">
        <v>3564</v>
      </c>
      <c r="U108" s="6776" t="s">
        <v>3587</v>
      </c>
      <c r="V108" s="6186"/>
      <c r="W108" s="5620"/>
      <c r="X108" s="5620"/>
      <c r="Y108" s="5620"/>
      <c r="Z108" s="5620"/>
      <c r="AA108" s="5620"/>
      <c r="AB108" s="5620"/>
      <c r="AC108" s="5620"/>
      <c r="AD108" s="5620"/>
      <c r="AE108" s="5620"/>
    </row>
    <row r="109" spans="16:31" s="37" customFormat="1" ht="24">
      <c r="P109" s="6765">
        <v>14</v>
      </c>
      <c r="Q109" s="6766" t="s">
        <v>3571</v>
      </c>
      <c r="R109" s="6768" t="s">
        <v>3588</v>
      </c>
      <c r="S109" s="6768" t="s">
        <v>3589</v>
      </c>
      <c r="T109" s="6766" t="s">
        <v>3590</v>
      </c>
      <c r="U109" s="6776" t="s">
        <v>3591</v>
      </c>
      <c r="V109" s="6186"/>
      <c r="W109" s="5620"/>
      <c r="X109" s="5620"/>
      <c r="Y109" s="5620"/>
      <c r="Z109" s="5620"/>
      <c r="AA109" s="5620"/>
      <c r="AB109" s="5620"/>
      <c r="AC109" s="5620"/>
      <c r="AD109" s="5620"/>
      <c r="AE109" s="5620"/>
    </row>
    <row r="110" spans="16:31" s="37" customFormat="1" ht="13.8">
      <c r="P110" s="6765">
        <v>15</v>
      </c>
      <c r="Q110" s="6766" t="s">
        <v>3584</v>
      </c>
      <c r="R110" s="6768" t="s">
        <v>3592</v>
      </c>
      <c r="S110" s="6768" t="s">
        <v>3593</v>
      </c>
      <c r="T110" s="6766" t="s">
        <v>3564</v>
      </c>
      <c r="U110" s="6776" t="s">
        <v>3594</v>
      </c>
      <c r="V110" s="6185"/>
      <c r="W110" s="5620"/>
      <c r="X110" s="5620"/>
      <c r="Y110" s="5620"/>
      <c r="Z110" s="5620"/>
      <c r="AA110" s="5620"/>
      <c r="AB110" s="5620"/>
      <c r="AC110" s="5620"/>
      <c r="AD110" s="5620"/>
      <c r="AE110" s="5620"/>
    </row>
    <row r="111" spans="16:31" s="37" customFormat="1" ht="13.8">
      <c r="P111" s="6765">
        <v>16</v>
      </c>
      <c r="Q111" s="6766" t="s">
        <v>3555</v>
      </c>
      <c r="R111" s="6772" t="s">
        <v>3595</v>
      </c>
      <c r="S111" s="6768" t="s">
        <v>3596</v>
      </c>
      <c r="T111" s="6766" t="s">
        <v>95</v>
      </c>
      <c r="U111" s="6776" t="s">
        <v>3597</v>
      </c>
      <c r="V111" s="6185" t="s">
        <v>3200</v>
      </c>
      <c r="W111" s="5620"/>
      <c r="X111" s="5620"/>
      <c r="Y111" s="5620"/>
      <c r="Z111" s="5620"/>
      <c r="AA111" s="5620"/>
      <c r="AB111" s="5620"/>
      <c r="AC111" s="5620"/>
      <c r="AD111" s="5620"/>
      <c r="AE111" s="5620"/>
    </row>
    <row r="112" spans="16:31" s="37" customFormat="1" ht="13.8">
      <c r="P112" s="6765">
        <v>17</v>
      </c>
      <c r="Q112" s="6769" t="s">
        <v>3555</v>
      </c>
      <c r="R112" s="6767" t="s">
        <v>3595</v>
      </c>
      <c r="S112" s="6772" t="s">
        <v>3596</v>
      </c>
      <c r="T112" s="6766" t="s">
        <v>95</v>
      </c>
      <c r="U112" s="6769" t="s">
        <v>3598</v>
      </c>
      <c r="V112" s="6186"/>
      <c r="W112" s="5620"/>
      <c r="X112" s="5620"/>
      <c r="Y112" s="5620"/>
      <c r="Z112" s="5620"/>
      <c r="AA112" s="5620"/>
      <c r="AB112" s="5620"/>
      <c r="AC112" s="5620"/>
      <c r="AD112" s="5620"/>
      <c r="AE112" s="5620"/>
    </row>
    <row r="113" spans="16:31" s="37" customFormat="1" ht="24">
      <c r="P113" s="6765">
        <v>18</v>
      </c>
      <c r="Q113" s="6769" t="s">
        <v>3571</v>
      </c>
      <c r="R113" s="6767" t="s">
        <v>3599</v>
      </c>
      <c r="S113" s="6772" t="s">
        <v>3600</v>
      </c>
      <c r="T113" s="6766" t="s">
        <v>3601</v>
      </c>
      <c r="U113" s="6769" t="s">
        <v>3602</v>
      </c>
      <c r="V113" s="6186"/>
      <c r="W113" s="5620"/>
      <c r="X113" s="5620"/>
      <c r="Y113" s="5620"/>
      <c r="Z113" s="5620"/>
      <c r="AA113" s="5620"/>
      <c r="AB113" s="5620"/>
      <c r="AC113" s="5620"/>
      <c r="AD113" s="5620"/>
      <c r="AE113" s="5620"/>
    </row>
    <row r="114" spans="16:31" s="37" customFormat="1" ht="24">
      <c r="P114" s="6765">
        <v>19</v>
      </c>
      <c r="Q114" s="6766" t="s">
        <v>3603</v>
      </c>
      <c r="R114" s="6767" t="s">
        <v>3604</v>
      </c>
      <c r="S114" s="6772" t="s">
        <v>3605</v>
      </c>
      <c r="T114" s="6766" t="s">
        <v>3564</v>
      </c>
      <c r="U114" s="6769" t="s">
        <v>3606</v>
      </c>
      <c r="V114" s="6186"/>
      <c r="W114" s="5620"/>
      <c r="X114" s="5620"/>
      <c r="Y114" s="5620"/>
      <c r="Z114" s="5620"/>
      <c r="AA114" s="5620"/>
      <c r="AB114" s="5620"/>
      <c r="AC114" s="5620"/>
      <c r="AD114" s="5620"/>
      <c r="AE114" s="5620"/>
    </row>
    <row r="115" spans="16:31" s="37" customFormat="1" ht="13.8">
      <c r="P115" s="6765">
        <v>20</v>
      </c>
      <c r="Q115" s="6769" t="s">
        <v>3571</v>
      </c>
      <c r="R115" s="6767" t="s">
        <v>3607</v>
      </c>
      <c r="S115" s="6772" t="s">
        <v>3608</v>
      </c>
      <c r="T115" s="6766" t="s">
        <v>3609</v>
      </c>
      <c r="U115" s="6769" t="s">
        <v>3610</v>
      </c>
      <c r="V115" s="6186"/>
      <c r="W115" s="5620"/>
      <c r="X115" s="5620"/>
      <c r="Y115" s="5620"/>
      <c r="Z115" s="5620"/>
      <c r="AA115" s="5620"/>
      <c r="AB115" s="5620"/>
      <c r="AC115" s="5620"/>
      <c r="AD115" s="5620"/>
      <c r="AE115" s="5620"/>
    </row>
    <row r="116" spans="16:31" s="37" customFormat="1" ht="13.8">
      <c r="P116" s="6765">
        <v>21</v>
      </c>
      <c r="Q116" s="6769" t="s">
        <v>3571</v>
      </c>
      <c r="R116" s="6767" t="s">
        <v>3611</v>
      </c>
      <c r="S116" s="6772" t="s">
        <v>3612</v>
      </c>
      <c r="T116" s="6766" t="s">
        <v>3609</v>
      </c>
      <c r="U116" s="6769" t="s">
        <v>3613</v>
      </c>
      <c r="V116" s="6186"/>
      <c r="W116" s="5620"/>
      <c r="X116" s="5620"/>
      <c r="Y116" s="5620"/>
      <c r="Z116" s="5620"/>
      <c r="AA116" s="5620"/>
      <c r="AB116" s="5620"/>
      <c r="AC116" s="5620"/>
      <c r="AD116" s="5620"/>
      <c r="AE116" s="5620"/>
    </row>
    <row r="117" spans="16:31" s="37" customFormat="1" ht="13.8">
      <c r="P117" s="6765">
        <v>22</v>
      </c>
      <c r="Q117" s="6769" t="s">
        <v>16</v>
      </c>
      <c r="R117" s="6767" t="s">
        <v>3614</v>
      </c>
      <c r="S117" s="6772" t="s">
        <v>3615</v>
      </c>
      <c r="T117" s="6766" t="s">
        <v>3211</v>
      </c>
      <c r="U117" s="6776">
        <v>9786072825802</v>
      </c>
      <c r="V117" s="6185" t="s">
        <v>3201</v>
      </c>
      <c r="W117" s="5620"/>
      <c r="X117" s="5620"/>
      <c r="Y117" s="5620"/>
      <c r="Z117" s="5620"/>
      <c r="AA117" s="5620"/>
      <c r="AB117" s="5620"/>
      <c r="AC117" s="5620"/>
      <c r="AD117" s="5620"/>
      <c r="AE117" s="5620"/>
    </row>
    <row r="118" spans="16:31" s="37" customFormat="1" ht="13.8">
      <c r="P118" s="6765">
        <v>23</v>
      </c>
      <c r="Q118" s="6769" t="s">
        <v>3584</v>
      </c>
      <c r="R118" s="6767" t="s">
        <v>3616</v>
      </c>
      <c r="S118" s="6772" t="s">
        <v>3617</v>
      </c>
      <c r="T118" s="6766" t="s">
        <v>3618</v>
      </c>
      <c r="U118" s="6769" t="s">
        <v>3619</v>
      </c>
      <c r="V118" s="6185" t="s">
        <v>3201</v>
      </c>
      <c r="W118" s="5620"/>
      <c r="X118" s="5620"/>
      <c r="Y118" s="5620"/>
      <c r="Z118" s="5620"/>
      <c r="AA118" s="5620"/>
      <c r="AB118" s="5620"/>
      <c r="AC118" s="5620"/>
      <c r="AD118" s="5620"/>
      <c r="AE118" s="5620"/>
    </row>
    <row r="119" spans="16:31" s="37" customFormat="1" ht="24">
      <c r="P119" s="6765">
        <v>24</v>
      </c>
      <c r="Q119" s="6769" t="s">
        <v>3620</v>
      </c>
      <c r="R119" s="6767" t="s">
        <v>3621</v>
      </c>
      <c r="S119" s="6772" t="s">
        <v>3622</v>
      </c>
      <c r="T119" s="6766"/>
      <c r="U119" s="6776">
        <v>9786072826922</v>
      </c>
      <c r="V119" s="6186"/>
      <c r="W119" s="5620"/>
      <c r="X119" s="5620"/>
      <c r="Y119" s="5620"/>
      <c r="Z119" s="5620"/>
      <c r="AA119" s="5620"/>
      <c r="AB119" s="5620"/>
      <c r="AC119" s="5620"/>
      <c r="AD119" s="5620"/>
      <c r="AE119" s="5620"/>
    </row>
    <row r="120" spans="16:31" s="37" customFormat="1" ht="13.8">
      <c r="P120" s="6765">
        <v>25</v>
      </c>
      <c r="Q120" s="6766" t="s">
        <v>86</v>
      </c>
      <c r="R120" s="6768" t="s">
        <v>3623</v>
      </c>
      <c r="S120" s="6772" t="s">
        <v>3624</v>
      </c>
      <c r="T120" s="6766" t="s">
        <v>3564</v>
      </c>
      <c r="U120" s="6776" t="s">
        <v>3625</v>
      </c>
      <c r="V120" s="6185" t="s">
        <v>3200</v>
      </c>
      <c r="W120" s="5620"/>
      <c r="X120" s="5620"/>
      <c r="Y120" s="5620"/>
      <c r="Z120" s="5620"/>
      <c r="AA120" s="5620"/>
      <c r="AB120" s="5620"/>
      <c r="AC120" s="5620"/>
      <c r="AD120" s="5620"/>
      <c r="AE120" s="5620"/>
    </row>
    <row r="121" spans="16:31" s="37" customFormat="1" ht="13.8">
      <c r="P121" s="6765">
        <v>26</v>
      </c>
      <c r="Q121" s="6766" t="s">
        <v>86</v>
      </c>
      <c r="R121" s="6768" t="s">
        <v>3626</v>
      </c>
      <c r="S121" s="6768" t="s">
        <v>3624</v>
      </c>
      <c r="T121" s="6766" t="s">
        <v>3564</v>
      </c>
      <c r="U121" s="6776" t="s">
        <v>3627</v>
      </c>
      <c r="V121" s="6186"/>
      <c r="W121" s="5620"/>
      <c r="X121" s="5620"/>
      <c r="Y121" s="5620"/>
      <c r="Z121" s="5620"/>
      <c r="AA121" s="5620"/>
      <c r="AB121" s="5620"/>
      <c r="AC121" s="5620"/>
      <c r="AD121" s="5620"/>
      <c r="AE121" s="5620"/>
    </row>
    <row r="122" spans="16:31" s="37" customFormat="1" ht="13.8">
      <c r="P122" s="6765">
        <v>27</v>
      </c>
      <c r="Q122" s="6769" t="s">
        <v>3620</v>
      </c>
      <c r="R122" s="6767" t="s">
        <v>3628</v>
      </c>
      <c r="S122" s="6772" t="s">
        <v>3629</v>
      </c>
      <c r="T122" s="6766"/>
      <c r="U122" s="6776">
        <v>9786072827400</v>
      </c>
      <c r="V122" s="6186"/>
      <c r="W122" s="5620"/>
      <c r="X122" s="5620"/>
      <c r="Y122" s="5620"/>
      <c r="Z122" s="5620"/>
      <c r="AA122" s="5620"/>
      <c r="AB122" s="5620"/>
      <c r="AC122" s="5620"/>
      <c r="AD122" s="5620"/>
      <c r="AE122" s="5620"/>
    </row>
    <row r="123" spans="16:31" s="37" customFormat="1" ht="13.8">
      <c r="P123" s="6765">
        <v>28</v>
      </c>
      <c r="Q123" s="6769" t="s">
        <v>16</v>
      </c>
      <c r="R123" s="6767" t="s">
        <v>3203</v>
      </c>
      <c r="S123" s="6772" t="s">
        <v>3630</v>
      </c>
      <c r="T123" s="6766"/>
      <c r="U123" s="6776">
        <v>9786072826526</v>
      </c>
      <c r="V123" s="6185" t="s">
        <v>3200</v>
      </c>
      <c r="W123" s="5620"/>
      <c r="X123" s="5620"/>
      <c r="Y123" s="5620"/>
      <c r="Z123" s="5620"/>
      <c r="AA123" s="5620"/>
      <c r="AB123" s="5620"/>
      <c r="AC123" s="5620"/>
      <c r="AD123" s="5620"/>
      <c r="AE123" s="5620"/>
    </row>
    <row r="124" spans="16:31" s="37" customFormat="1" ht="13.8">
      <c r="P124" s="6765">
        <v>29</v>
      </c>
      <c r="Q124" s="6769" t="s">
        <v>3584</v>
      </c>
      <c r="R124" s="6767" t="s">
        <v>3631</v>
      </c>
      <c r="S124" s="6772" t="s">
        <v>3632</v>
      </c>
      <c r="T124" s="6766" t="s">
        <v>3564</v>
      </c>
      <c r="U124" s="6769" t="s">
        <v>3633</v>
      </c>
      <c r="V124" s="6185" t="s">
        <v>3201</v>
      </c>
      <c r="W124" s="5620"/>
      <c r="X124" s="5620"/>
      <c r="Y124" s="5620"/>
      <c r="Z124" s="5620"/>
      <c r="AA124" s="5620"/>
      <c r="AB124" s="5620"/>
      <c r="AC124" s="5620"/>
      <c r="AD124" s="5620"/>
      <c r="AE124" s="5620"/>
    </row>
    <row r="125" spans="16:31" s="37" customFormat="1" ht="13.8">
      <c r="P125" s="6765">
        <v>30</v>
      </c>
      <c r="Q125" s="6766" t="s">
        <v>3555</v>
      </c>
      <c r="R125" s="6768" t="s">
        <v>3634</v>
      </c>
      <c r="S125" s="6772" t="s">
        <v>3635</v>
      </c>
      <c r="T125" s="6769" t="s">
        <v>95</v>
      </c>
      <c r="U125" s="6776" t="s">
        <v>3636</v>
      </c>
      <c r="V125" s="6185" t="s">
        <v>3200</v>
      </c>
      <c r="W125" s="5620"/>
      <c r="X125" s="5620"/>
      <c r="Y125" s="5620"/>
      <c r="Z125" s="5620"/>
      <c r="AA125" s="5620"/>
      <c r="AB125" s="5620"/>
      <c r="AC125" s="5620"/>
      <c r="AD125" s="5620"/>
      <c r="AE125" s="5620"/>
    </row>
    <row r="126" spans="16:31" s="37" customFormat="1" ht="24">
      <c r="P126" s="6765">
        <v>31</v>
      </c>
      <c r="Q126" s="6766" t="s">
        <v>3584</v>
      </c>
      <c r="R126" s="6768" t="s">
        <v>3637</v>
      </c>
      <c r="S126" s="6768" t="s">
        <v>3638</v>
      </c>
      <c r="T126" s="6766" t="s">
        <v>3618</v>
      </c>
      <c r="U126" s="6776" t="s">
        <v>3639</v>
      </c>
      <c r="V126" s="6185" t="s">
        <v>3201</v>
      </c>
      <c r="W126" s="5620"/>
      <c r="X126" s="5620"/>
      <c r="Y126" s="5620"/>
      <c r="Z126" s="5620"/>
      <c r="AA126" s="5620"/>
      <c r="AB126" s="5620"/>
      <c r="AC126" s="5620"/>
      <c r="AD126" s="5620"/>
      <c r="AE126" s="5620"/>
    </row>
    <row r="127" spans="16:31" s="37" customFormat="1" ht="24">
      <c r="P127" s="6765">
        <v>32</v>
      </c>
      <c r="Q127" s="6769" t="s">
        <v>3571</v>
      </c>
      <c r="R127" s="6767" t="s">
        <v>3640</v>
      </c>
      <c r="S127" s="6772" t="s">
        <v>3641</v>
      </c>
      <c r="T127" s="6766" t="s">
        <v>3642</v>
      </c>
      <c r="U127" s="6769" t="s">
        <v>3643</v>
      </c>
      <c r="V127" s="6185"/>
      <c r="W127" s="5620"/>
      <c r="X127" s="5620"/>
      <c r="Y127" s="5620"/>
      <c r="Z127" s="5620"/>
      <c r="AA127" s="5620"/>
      <c r="AB127" s="5620"/>
      <c r="AC127" s="5620"/>
      <c r="AD127" s="5620"/>
      <c r="AE127" s="5620"/>
    </row>
    <row r="128" spans="16:31" s="37" customFormat="1" ht="13.8">
      <c r="P128" s="6765">
        <v>33</v>
      </c>
      <c r="Q128" s="6766" t="s">
        <v>3023</v>
      </c>
      <c r="R128" s="6768" t="s">
        <v>3644</v>
      </c>
      <c r="S128" s="6772" t="s">
        <v>3645</v>
      </c>
      <c r="T128" s="6766"/>
      <c r="U128" s="6776">
        <v>9786072826571</v>
      </c>
      <c r="V128" s="6185" t="s">
        <v>3200</v>
      </c>
      <c r="W128" s="5620"/>
      <c r="X128" s="5620"/>
      <c r="Y128" s="5620"/>
      <c r="Z128" s="5620"/>
      <c r="AA128" s="5620"/>
      <c r="AB128" s="5620"/>
      <c r="AC128" s="5620"/>
      <c r="AD128" s="5620"/>
      <c r="AE128" s="5620"/>
    </row>
    <row r="129" spans="16:31" s="37" customFormat="1" ht="13.8">
      <c r="P129" s="6765">
        <v>34</v>
      </c>
      <c r="Q129" s="6769" t="s">
        <v>3571</v>
      </c>
      <c r="R129" s="6767" t="s">
        <v>3646</v>
      </c>
      <c r="S129" s="6772" t="s">
        <v>3647</v>
      </c>
      <c r="T129" s="6766" t="s">
        <v>3609</v>
      </c>
      <c r="U129" s="6769" t="s">
        <v>3648</v>
      </c>
      <c r="V129" s="6187" t="s">
        <v>3201</v>
      </c>
      <c r="W129" s="5620"/>
      <c r="X129" s="5620"/>
      <c r="Y129" s="5620"/>
      <c r="Z129" s="5620"/>
      <c r="AA129" s="5620"/>
      <c r="AB129" s="5620"/>
      <c r="AC129" s="5620"/>
      <c r="AD129" s="5620"/>
      <c r="AE129" s="5620"/>
    </row>
    <row r="130" spans="16:31" s="37" customFormat="1" ht="24">
      <c r="P130" s="6765">
        <v>35</v>
      </c>
      <c r="Q130" s="6769" t="s">
        <v>3571</v>
      </c>
      <c r="R130" s="6767" t="s">
        <v>3649</v>
      </c>
      <c r="S130" s="6772" t="s">
        <v>3650</v>
      </c>
      <c r="T130" s="6766" t="s">
        <v>3651</v>
      </c>
      <c r="U130" s="6769" t="s">
        <v>3204</v>
      </c>
      <c r="V130" s="6185"/>
      <c r="W130" s="5620"/>
      <c r="X130" s="5620"/>
      <c r="Y130" s="5620"/>
      <c r="Z130" s="5620"/>
      <c r="AA130" s="5620"/>
      <c r="AB130" s="5620"/>
      <c r="AC130" s="5620"/>
      <c r="AD130" s="5620"/>
      <c r="AE130" s="5620"/>
    </row>
    <row r="131" spans="16:31" s="37" customFormat="1" ht="13.8">
      <c r="P131" s="6765">
        <v>36</v>
      </c>
      <c r="Q131" s="6769" t="s">
        <v>16</v>
      </c>
      <c r="R131" s="6767" t="s">
        <v>3205</v>
      </c>
      <c r="S131" s="6772" t="s">
        <v>3206</v>
      </c>
      <c r="T131" s="6766"/>
      <c r="U131" s="6776">
        <v>9786072825895</v>
      </c>
      <c r="V131" s="6185" t="s">
        <v>3200</v>
      </c>
      <c r="W131" s="5620"/>
      <c r="X131" s="5620"/>
      <c r="Y131" s="5620"/>
      <c r="Z131" s="5620"/>
      <c r="AA131" s="5620"/>
      <c r="AB131" s="5620"/>
      <c r="AC131" s="5620"/>
      <c r="AD131" s="5620"/>
      <c r="AE131" s="5620"/>
    </row>
    <row r="132" spans="16:31" s="37" customFormat="1" ht="13.8">
      <c r="P132" s="6765">
        <v>37</v>
      </c>
      <c r="Q132" s="6766" t="s">
        <v>3571</v>
      </c>
      <c r="R132" s="6768" t="s">
        <v>3652</v>
      </c>
      <c r="S132" s="6772" t="s">
        <v>3589</v>
      </c>
      <c r="T132" s="6766" t="s">
        <v>3590</v>
      </c>
      <c r="U132" s="6776" t="s">
        <v>3653</v>
      </c>
      <c r="V132" s="6187" t="s">
        <v>3201</v>
      </c>
      <c r="W132" s="5620"/>
      <c r="X132" s="5620"/>
      <c r="Y132" s="5620"/>
      <c r="Z132" s="5620"/>
      <c r="AA132" s="5620"/>
      <c r="AB132" s="5620"/>
      <c r="AC132" s="5620"/>
      <c r="AD132" s="5620"/>
      <c r="AE132" s="5620"/>
    </row>
    <row r="133" spans="16:31" s="37" customFormat="1" ht="13.8">
      <c r="P133" s="6765">
        <v>38</v>
      </c>
      <c r="Q133" s="6769" t="s">
        <v>3555</v>
      </c>
      <c r="R133" s="6767" t="s">
        <v>3654</v>
      </c>
      <c r="S133" s="6772" t="s">
        <v>3655</v>
      </c>
      <c r="T133" s="6766" t="s">
        <v>95</v>
      </c>
      <c r="U133" s="6769" t="s">
        <v>3656</v>
      </c>
      <c r="V133" s="6186"/>
      <c r="W133" s="5620"/>
      <c r="X133" s="5620"/>
      <c r="Y133" s="5620"/>
      <c r="Z133" s="5620"/>
      <c r="AA133" s="5620"/>
      <c r="AB133" s="5620"/>
      <c r="AC133" s="5620"/>
      <c r="AD133" s="5620"/>
      <c r="AE133" s="5620"/>
    </row>
    <row r="134" spans="16:31" s="37" customFormat="1" ht="13.8">
      <c r="P134" s="6765">
        <v>39</v>
      </c>
      <c r="Q134" s="6766" t="s">
        <v>3555</v>
      </c>
      <c r="R134" s="6768" t="s">
        <v>3654</v>
      </c>
      <c r="S134" s="6768" t="s">
        <v>3655</v>
      </c>
      <c r="T134" s="6766" t="s">
        <v>95</v>
      </c>
      <c r="U134" s="6776" t="s">
        <v>3657</v>
      </c>
      <c r="V134" s="6186"/>
      <c r="W134" s="5620"/>
      <c r="X134" s="5620"/>
      <c r="Y134" s="5620"/>
      <c r="Z134" s="5620"/>
      <c r="AA134" s="5620"/>
      <c r="AB134" s="5620"/>
      <c r="AC134" s="5620"/>
      <c r="AD134" s="5620"/>
      <c r="AE134" s="5620"/>
    </row>
    <row r="135" spans="16:31" s="37" customFormat="1" ht="24">
      <c r="P135" s="6765">
        <v>40</v>
      </c>
      <c r="Q135" s="6769" t="s">
        <v>3620</v>
      </c>
      <c r="R135" s="6767" t="s">
        <v>3658</v>
      </c>
      <c r="S135" s="6772" t="s">
        <v>3659</v>
      </c>
      <c r="T135" s="6766"/>
      <c r="U135" s="6776">
        <v>9786072828391</v>
      </c>
      <c r="V135" s="6185"/>
      <c r="W135" s="5620"/>
      <c r="X135" s="5620"/>
      <c r="Y135" s="5620"/>
      <c r="Z135" s="5620"/>
      <c r="AA135" s="5620"/>
      <c r="AB135" s="5620"/>
      <c r="AC135" s="5620"/>
      <c r="AD135" s="5620"/>
      <c r="AE135" s="5620"/>
    </row>
    <row r="136" spans="16:31" s="37" customFormat="1" ht="24">
      <c r="P136" s="6765">
        <v>41</v>
      </c>
      <c r="Q136" s="6766" t="s">
        <v>3603</v>
      </c>
      <c r="R136" s="6767" t="s">
        <v>3660</v>
      </c>
      <c r="S136" s="6772" t="s">
        <v>3661</v>
      </c>
      <c r="T136" s="6766" t="s">
        <v>3564</v>
      </c>
      <c r="U136" s="6769" t="s">
        <v>3662</v>
      </c>
      <c r="V136" s="6185" t="s">
        <v>3200</v>
      </c>
      <c r="W136" s="5620"/>
      <c r="X136" s="5620"/>
      <c r="Y136" s="5620"/>
      <c r="Z136" s="5620"/>
      <c r="AA136" s="5620"/>
      <c r="AB136" s="5620"/>
      <c r="AC136" s="5620"/>
      <c r="AD136" s="5620"/>
      <c r="AE136" s="5620"/>
    </row>
    <row r="137" spans="16:31" s="37" customFormat="1" ht="13.8">
      <c r="P137" s="6765">
        <v>42</v>
      </c>
      <c r="Q137" s="6769" t="s">
        <v>3620</v>
      </c>
      <c r="R137" s="6767" t="s">
        <v>3663</v>
      </c>
      <c r="S137" s="6772" t="s">
        <v>3664</v>
      </c>
      <c r="T137" s="6766"/>
      <c r="U137" s="6776">
        <v>9786072829060</v>
      </c>
      <c r="V137" s="6185" t="s">
        <v>3200</v>
      </c>
      <c r="W137" s="5620"/>
      <c r="X137" s="5620"/>
      <c r="Y137" s="5620"/>
      <c r="Z137" s="5620"/>
      <c r="AA137" s="5620"/>
      <c r="AB137" s="5620"/>
      <c r="AC137" s="5620"/>
      <c r="AD137" s="5620"/>
      <c r="AE137" s="5620"/>
    </row>
    <row r="138" spans="16:31" s="37" customFormat="1" ht="13.8">
      <c r="P138" s="6765">
        <v>43</v>
      </c>
      <c r="Q138" s="6769" t="s">
        <v>16</v>
      </c>
      <c r="R138" s="6767" t="s">
        <v>3665</v>
      </c>
      <c r="S138" s="6772" t="s">
        <v>3207</v>
      </c>
      <c r="T138" s="6766"/>
      <c r="U138" s="6776">
        <v>9786072826281</v>
      </c>
      <c r="V138" s="6186"/>
      <c r="W138" s="5620"/>
      <c r="X138" s="5620"/>
      <c r="Y138" s="5620"/>
      <c r="Z138" s="5620"/>
      <c r="AA138" s="5620"/>
      <c r="AB138" s="5620"/>
      <c r="AC138" s="5620"/>
      <c r="AD138" s="5620"/>
      <c r="AE138" s="5620"/>
    </row>
    <row r="139" spans="16:31" s="37" customFormat="1" ht="24">
      <c r="P139" s="6765">
        <v>44</v>
      </c>
      <c r="Q139" s="6769" t="s">
        <v>3571</v>
      </c>
      <c r="R139" s="6767" t="s">
        <v>3666</v>
      </c>
      <c r="S139" s="6772" t="s">
        <v>3667</v>
      </c>
      <c r="T139" s="6766" t="s">
        <v>3668</v>
      </c>
      <c r="U139" s="6769" t="s">
        <v>3669</v>
      </c>
      <c r="V139" s="6185"/>
      <c r="W139" s="5620"/>
      <c r="X139" s="5620"/>
      <c r="Y139" s="5620"/>
      <c r="Z139" s="5620"/>
      <c r="AA139" s="5620"/>
      <c r="AB139" s="5620"/>
      <c r="AC139" s="5620"/>
      <c r="AD139" s="5620"/>
      <c r="AE139" s="5620"/>
    </row>
    <row r="140" spans="16:31" s="37" customFormat="1" ht="13.8">
      <c r="P140" s="6765">
        <v>45</v>
      </c>
      <c r="Q140" s="6769" t="s">
        <v>3571</v>
      </c>
      <c r="R140" s="6767" t="s">
        <v>3670</v>
      </c>
      <c r="S140" s="6772" t="s">
        <v>3671</v>
      </c>
      <c r="T140" s="6766" t="s">
        <v>3668</v>
      </c>
      <c r="U140" s="6769" t="s">
        <v>3672</v>
      </c>
      <c r="V140" s="6188"/>
      <c r="W140" s="5620"/>
      <c r="X140" s="5620"/>
      <c r="Y140" s="5620"/>
      <c r="Z140" s="5620"/>
      <c r="AA140" s="5620"/>
      <c r="AB140" s="5620"/>
      <c r="AC140" s="5620"/>
      <c r="AD140" s="5620"/>
      <c r="AE140" s="5620"/>
    </row>
    <row r="141" spans="16:31" s="37" customFormat="1" ht="13.8">
      <c r="P141" s="5625"/>
      <c r="Q141" s="5621"/>
      <c r="R141" s="4206"/>
      <c r="S141" s="5628"/>
      <c r="T141" s="5629"/>
      <c r="U141" s="5629"/>
      <c r="V141" s="97"/>
      <c r="W141" s="5620"/>
      <c r="X141" s="5620"/>
      <c r="Y141" s="5620"/>
      <c r="Z141" s="5620"/>
      <c r="AA141" s="5620"/>
      <c r="AB141" s="5620"/>
      <c r="AC141" s="5620"/>
      <c r="AD141" s="5620"/>
      <c r="AE141" s="5620"/>
    </row>
    <row r="142" spans="16:31" s="37" customFormat="1" ht="13.8">
      <c r="P142" s="5624"/>
      <c r="Q142" s="5624"/>
      <c r="R142" s="5624"/>
      <c r="S142" s="5624"/>
      <c r="T142" s="3750"/>
      <c r="U142" s="3750"/>
      <c r="V142" s="97"/>
      <c r="W142" s="5620"/>
      <c r="X142" s="5620"/>
      <c r="Y142" s="5620"/>
      <c r="Z142" s="5620"/>
      <c r="AA142" s="5620"/>
      <c r="AB142" s="5620"/>
      <c r="AC142" s="5620"/>
      <c r="AD142" s="5620"/>
      <c r="AE142" s="5620"/>
    </row>
    <row r="143" spans="16:31" s="37" customFormat="1" thickBot="1">
      <c r="P143" s="6782" t="s">
        <v>314</v>
      </c>
      <c r="Q143" s="6782" t="s">
        <v>69</v>
      </c>
      <c r="R143" s="6782" t="s">
        <v>3019</v>
      </c>
      <c r="S143" s="6782" t="s">
        <v>3020</v>
      </c>
      <c r="T143" s="6783" t="s">
        <v>3021</v>
      </c>
      <c r="U143" s="6783" t="s">
        <v>3022</v>
      </c>
      <c r="V143" s="6189" t="s">
        <v>3189</v>
      </c>
      <c r="W143" s="5620"/>
      <c r="X143" s="5620"/>
      <c r="Y143" s="5620"/>
      <c r="Z143" s="5620"/>
      <c r="AA143" s="5620"/>
      <c r="AB143" s="5620"/>
      <c r="AC143" s="5620"/>
      <c r="AD143" s="5620"/>
      <c r="AE143" s="5620"/>
    </row>
    <row r="144" spans="16:31" s="37" customFormat="1" ht="13.8">
      <c r="P144" s="6784">
        <v>1</v>
      </c>
      <c r="Q144" s="6785" t="s">
        <v>16</v>
      </c>
      <c r="R144" s="6786" t="s">
        <v>3673</v>
      </c>
      <c r="S144" s="6787" t="s">
        <v>3674</v>
      </c>
      <c r="T144" s="6754" t="s">
        <v>3212</v>
      </c>
      <c r="U144" s="6788">
        <v>9786072826564</v>
      </c>
      <c r="V144" s="6190" t="s">
        <v>3208</v>
      </c>
      <c r="W144" s="5620"/>
      <c r="X144" s="5620"/>
      <c r="Y144" s="5620"/>
      <c r="Z144" s="5620"/>
      <c r="AA144" s="5620"/>
      <c r="AB144" s="5620"/>
      <c r="AC144" s="5620"/>
      <c r="AD144" s="5620"/>
      <c r="AE144" s="5620"/>
    </row>
    <row r="145" spans="16:31" s="37" customFormat="1" ht="24">
      <c r="P145" s="6789">
        <v>2</v>
      </c>
      <c r="Q145" s="6790" t="s">
        <v>4</v>
      </c>
      <c r="R145" s="6791" t="s">
        <v>3675</v>
      </c>
      <c r="S145" s="6792" t="s">
        <v>3676</v>
      </c>
      <c r="T145" s="6793"/>
      <c r="U145" s="6794">
        <v>9786072824409</v>
      </c>
      <c r="V145" s="6190" t="s">
        <v>3208</v>
      </c>
      <c r="W145" s="5620"/>
      <c r="X145" s="5620"/>
      <c r="Y145" s="5620"/>
      <c r="Z145" s="5620"/>
      <c r="AA145" s="5620"/>
      <c r="AB145" s="5620"/>
      <c r="AC145" s="5620"/>
      <c r="AD145" s="5620"/>
      <c r="AE145" s="5620"/>
    </row>
    <row r="146" spans="16:31" s="37" customFormat="1" ht="13.8">
      <c r="P146" s="6789">
        <v>3</v>
      </c>
      <c r="Q146" s="6795" t="s">
        <v>16</v>
      </c>
      <c r="R146" s="6796" t="s">
        <v>3677</v>
      </c>
      <c r="S146" s="6796" t="s">
        <v>3678</v>
      </c>
      <c r="T146" s="6797" t="s">
        <v>3214</v>
      </c>
      <c r="U146" s="6793" t="s">
        <v>3679</v>
      </c>
      <c r="V146" s="6190" t="s">
        <v>3208</v>
      </c>
      <c r="W146" s="5620"/>
      <c r="X146" s="5620"/>
      <c r="Y146" s="5620"/>
      <c r="Z146" s="5620"/>
      <c r="AA146" s="5620"/>
      <c r="AB146" s="5620"/>
      <c r="AC146" s="5620"/>
      <c r="AD146" s="5620"/>
      <c r="AE146" s="5620"/>
    </row>
    <row r="147" spans="16:31" s="37" customFormat="1" ht="13.8">
      <c r="P147" s="6789">
        <v>4</v>
      </c>
      <c r="Q147" s="6795" t="s">
        <v>16</v>
      </c>
      <c r="R147" s="6796" t="s">
        <v>3677</v>
      </c>
      <c r="S147" s="6796" t="s">
        <v>3678</v>
      </c>
      <c r="T147" s="6797" t="s">
        <v>3214</v>
      </c>
      <c r="U147" s="6793" t="s">
        <v>3680</v>
      </c>
      <c r="V147" s="6190" t="s">
        <v>3208</v>
      </c>
      <c r="W147" s="5620"/>
      <c r="X147" s="5620"/>
      <c r="Y147" s="5620"/>
      <c r="Z147" s="5620"/>
      <c r="AA147" s="5620"/>
      <c r="AB147" s="5620"/>
      <c r="AC147" s="5620"/>
      <c r="AD147" s="5620"/>
      <c r="AE147" s="5620"/>
    </row>
    <row r="148" spans="16:31" s="37" customFormat="1" ht="48">
      <c r="P148" s="6789">
        <v>5</v>
      </c>
      <c r="Q148" s="6795" t="s">
        <v>16</v>
      </c>
      <c r="R148" s="6798" t="s">
        <v>3681</v>
      </c>
      <c r="S148" s="6798" t="s">
        <v>3682</v>
      </c>
      <c r="T148" s="6799" t="s">
        <v>3683</v>
      </c>
      <c r="U148" s="6799" t="s">
        <v>3684</v>
      </c>
      <c r="V148" s="6181"/>
      <c r="W148" s="5620"/>
      <c r="X148" s="5620"/>
      <c r="Y148" s="5620"/>
      <c r="Z148" s="5620"/>
      <c r="AA148" s="5620"/>
      <c r="AB148" s="5620"/>
      <c r="AC148" s="5620"/>
      <c r="AD148" s="5620"/>
      <c r="AE148" s="5620"/>
    </row>
    <row r="149" spans="16:31" s="37" customFormat="1" ht="13.8">
      <c r="P149" s="6789">
        <v>6</v>
      </c>
      <c r="Q149" s="6790" t="s">
        <v>16</v>
      </c>
      <c r="R149" s="6791" t="s">
        <v>3685</v>
      </c>
      <c r="S149" s="6792" t="s">
        <v>3686</v>
      </c>
      <c r="T149" s="6793"/>
      <c r="U149" s="6794">
        <v>9786072829084</v>
      </c>
      <c r="V149" s="6181"/>
      <c r="W149" s="5620"/>
      <c r="X149" s="5620"/>
      <c r="Y149" s="5620"/>
      <c r="Z149" s="5620"/>
      <c r="AA149" s="5620"/>
      <c r="AB149" s="5620"/>
      <c r="AC149" s="5620"/>
      <c r="AD149" s="5620"/>
      <c r="AE149" s="5620"/>
    </row>
    <row r="150" spans="16:31" s="37" customFormat="1" ht="24">
      <c r="P150" s="6789">
        <v>7</v>
      </c>
      <c r="Q150" s="6795" t="s">
        <v>41</v>
      </c>
      <c r="R150" s="6798" t="s">
        <v>3687</v>
      </c>
      <c r="S150" s="6800" t="s">
        <v>3688</v>
      </c>
      <c r="T150" s="6799" t="s">
        <v>75</v>
      </c>
      <c r="U150" s="6801" t="s">
        <v>3689</v>
      </c>
      <c r="V150" s="6190" t="s">
        <v>3208</v>
      </c>
      <c r="W150" s="5620"/>
      <c r="X150" s="5620"/>
      <c r="Y150" s="5620"/>
      <c r="Z150" s="5620"/>
      <c r="AA150" s="5620"/>
      <c r="AB150" s="5620"/>
      <c r="AC150" s="5620"/>
      <c r="AD150" s="5620"/>
      <c r="AE150" s="5620"/>
    </row>
    <row r="151" spans="16:31" s="37" customFormat="1" ht="24">
      <c r="P151" s="6789">
        <v>8</v>
      </c>
      <c r="Q151" s="6790" t="s">
        <v>16</v>
      </c>
      <c r="R151" s="6791" t="s">
        <v>3690</v>
      </c>
      <c r="S151" s="6792" t="s">
        <v>3691</v>
      </c>
      <c r="T151" s="6793" t="s">
        <v>3213</v>
      </c>
      <c r="U151" s="6794">
        <v>9786072827554</v>
      </c>
      <c r="V151" s="5632"/>
      <c r="W151" s="5620"/>
      <c r="X151" s="5620"/>
      <c r="Y151" s="5620"/>
      <c r="Z151" s="5620"/>
      <c r="AA151" s="5620"/>
      <c r="AB151" s="5620"/>
      <c r="AC151" s="5620"/>
      <c r="AD151" s="5620"/>
      <c r="AE151" s="5620"/>
    </row>
    <row r="152" spans="16:31" s="37" customFormat="1" ht="13.8">
      <c r="P152" s="6789">
        <v>9</v>
      </c>
      <c r="Q152" s="6790" t="s">
        <v>16</v>
      </c>
      <c r="R152" s="6791" t="s">
        <v>3692</v>
      </c>
      <c r="S152" s="6792" t="s">
        <v>3693</v>
      </c>
      <c r="T152" s="6793" t="s">
        <v>3211</v>
      </c>
      <c r="U152" s="6794">
        <v>9786072827646</v>
      </c>
      <c r="V152" s="6182"/>
      <c r="W152" s="5620"/>
      <c r="X152" s="5620"/>
      <c r="Y152" s="5620"/>
      <c r="Z152" s="5620"/>
      <c r="AA152" s="5620"/>
      <c r="AB152" s="5620"/>
      <c r="AC152" s="5620"/>
      <c r="AD152" s="5620"/>
      <c r="AE152" s="5620"/>
    </row>
    <row r="153" spans="16:31" s="37" customFormat="1" ht="13.8">
      <c r="P153" s="6789">
        <v>10</v>
      </c>
      <c r="Q153" s="6790" t="s">
        <v>16</v>
      </c>
      <c r="R153" s="6791" t="s">
        <v>3694</v>
      </c>
      <c r="S153" s="6792" t="s">
        <v>3695</v>
      </c>
      <c r="T153" s="6793" t="s">
        <v>3212</v>
      </c>
      <c r="U153" s="6794">
        <v>9786072829046</v>
      </c>
      <c r="V153" s="6191">
        <v>50</v>
      </c>
      <c r="W153" s="5620"/>
      <c r="X153" s="5620"/>
      <c r="Y153" s="5620"/>
      <c r="Z153" s="5620"/>
      <c r="AA153" s="5620"/>
      <c r="AB153" s="5620"/>
      <c r="AC153" s="5620"/>
      <c r="AD153" s="5620"/>
      <c r="AE153" s="5620"/>
    </row>
    <row r="154" spans="16:31" s="37" customFormat="1" ht="13.8">
      <c r="P154" s="6789">
        <v>11</v>
      </c>
      <c r="Q154" s="6795" t="s">
        <v>16</v>
      </c>
      <c r="R154" s="6802" t="s">
        <v>3696</v>
      </c>
      <c r="S154" s="6796" t="s">
        <v>3697</v>
      </c>
      <c r="T154" s="6797" t="s">
        <v>75</v>
      </c>
      <c r="U154" s="6793" t="s">
        <v>3698</v>
      </c>
      <c r="V154" s="6182"/>
      <c r="W154" s="5620"/>
      <c r="X154" s="5620"/>
      <c r="Y154" s="5620"/>
      <c r="Z154" s="5620"/>
      <c r="AA154" s="5620"/>
      <c r="AB154" s="5620"/>
      <c r="AC154" s="5620"/>
      <c r="AD154" s="5620"/>
      <c r="AE154" s="5620"/>
    </row>
    <row r="155" spans="16:31" s="37" customFormat="1" ht="13.8">
      <c r="P155" s="6789">
        <v>12</v>
      </c>
      <c r="Q155" s="6795" t="s">
        <v>4</v>
      </c>
      <c r="R155" s="6800" t="s">
        <v>3699</v>
      </c>
      <c r="S155" s="6800" t="s">
        <v>3700</v>
      </c>
      <c r="T155" s="6797" t="s">
        <v>75</v>
      </c>
      <c r="U155" s="6797" t="s">
        <v>3701</v>
      </c>
      <c r="V155" s="6191"/>
      <c r="W155" s="5620"/>
      <c r="X155" s="5620"/>
      <c r="Y155" s="5620"/>
      <c r="Z155" s="5620"/>
      <c r="AA155" s="5620"/>
      <c r="AB155" s="5620"/>
      <c r="AC155" s="5620"/>
      <c r="AD155" s="5620"/>
      <c r="AE155" s="5620"/>
    </row>
    <row r="156" spans="16:31" s="37" customFormat="1" ht="24">
      <c r="P156" s="6789">
        <v>13</v>
      </c>
      <c r="Q156" s="6790" t="s">
        <v>16</v>
      </c>
      <c r="R156" s="6791" t="s">
        <v>3702</v>
      </c>
      <c r="S156" s="6792" t="s">
        <v>3703</v>
      </c>
      <c r="T156" s="6793" t="s">
        <v>3213</v>
      </c>
      <c r="U156" s="6794">
        <v>9786072828537</v>
      </c>
      <c r="V156" s="6191"/>
      <c r="W156" s="5620"/>
      <c r="X156" s="5620"/>
      <c r="Y156" s="5620"/>
      <c r="Z156" s="5620"/>
      <c r="AA156" s="5620"/>
      <c r="AB156" s="5620"/>
      <c r="AC156" s="5620"/>
      <c r="AD156" s="5620"/>
      <c r="AE156" s="5620"/>
    </row>
    <row r="157" spans="16:31" s="37" customFormat="1" ht="48">
      <c r="P157" s="6789">
        <v>14</v>
      </c>
      <c r="Q157" s="6795" t="s">
        <v>16</v>
      </c>
      <c r="R157" s="6798" t="s">
        <v>3704</v>
      </c>
      <c r="S157" s="6798" t="s">
        <v>3705</v>
      </c>
      <c r="T157" s="6799" t="s">
        <v>3683</v>
      </c>
      <c r="U157" s="6799" t="s">
        <v>3706</v>
      </c>
      <c r="V157" s="6191" t="s">
        <v>3210</v>
      </c>
      <c r="W157" s="5620"/>
      <c r="X157" s="5620"/>
      <c r="Y157" s="5620"/>
      <c r="Z157" s="5620"/>
      <c r="AA157" s="5620"/>
      <c r="AB157" s="5620"/>
      <c r="AC157" s="5620"/>
      <c r="AD157" s="5620"/>
      <c r="AE157" s="5620"/>
    </row>
    <row r="158" spans="16:31" s="37" customFormat="1" ht="24">
      <c r="P158" s="6789">
        <v>15</v>
      </c>
      <c r="Q158" s="6790" t="s">
        <v>16</v>
      </c>
      <c r="R158" s="6791" t="s">
        <v>3707</v>
      </c>
      <c r="S158" s="6792" t="s">
        <v>3708</v>
      </c>
      <c r="T158" s="6793" t="s">
        <v>3211</v>
      </c>
      <c r="U158" s="6794">
        <v>9786072827639</v>
      </c>
      <c r="V158" s="6191"/>
      <c r="W158" s="5620"/>
      <c r="X158" s="5620"/>
      <c r="Y158" s="5620"/>
      <c r="Z158" s="5620"/>
      <c r="AA158" s="5620"/>
      <c r="AB158" s="5620"/>
      <c r="AC158" s="5620"/>
      <c r="AD158" s="5620"/>
      <c r="AE158" s="5620"/>
    </row>
    <row r="159" spans="16:31" s="37" customFormat="1" ht="60">
      <c r="P159" s="6789">
        <v>16</v>
      </c>
      <c r="Q159" s="6795" t="s">
        <v>16</v>
      </c>
      <c r="R159" s="6803" t="s">
        <v>3709</v>
      </c>
      <c r="S159" s="6798" t="s">
        <v>3710</v>
      </c>
      <c r="T159" s="6804" t="s">
        <v>3711</v>
      </c>
      <c r="U159" s="6800" t="s">
        <v>3712</v>
      </c>
      <c r="V159" s="6191" t="s">
        <v>3210</v>
      </c>
      <c r="W159" s="5620"/>
      <c r="X159" s="5620"/>
      <c r="Y159" s="5620"/>
      <c r="Z159" s="5620"/>
      <c r="AA159" s="5620"/>
      <c r="AB159" s="5620"/>
      <c r="AC159" s="5620"/>
      <c r="AD159" s="5620"/>
      <c r="AE159" s="5620"/>
    </row>
    <row r="160" spans="16:31" s="37" customFormat="1" ht="13.8">
      <c r="P160" s="6789">
        <v>17</v>
      </c>
      <c r="Q160" s="6790" t="s">
        <v>16</v>
      </c>
      <c r="R160" s="6791" t="s">
        <v>3713</v>
      </c>
      <c r="S160" s="6792" t="s">
        <v>3714</v>
      </c>
      <c r="T160" s="6793" t="s">
        <v>3715</v>
      </c>
      <c r="U160" s="6794">
        <v>9786072816886</v>
      </c>
      <c r="V160" s="6182"/>
      <c r="W160" s="5620"/>
      <c r="X160" s="5620"/>
      <c r="Y160" s="5620"/>
      <c r="Z160" s="5620"/>
      <c r="AA160" s="5620"/>
      <c r="AB160" s="5620"/>
      <c r="AC160" s="5620"/>
      <c r="AD160" s="5620"/>
      <c r="AE160" s="5620"/>
    </row>
    <row r="161" spans="16:31" s="37" customFormat="1" ht="13.8">
      <c r="P161" s="6789">
        <v>18</v>
      </c>
      <c r="Q161" s="6790" t="s">
        <v>16</v>
      </c>
      <c r="R161" s="6791" t="s">
        <v>3716</v>
      </c>
      <c r="S161" s="6792" t="s">
        <v>3717</v>
      </c>
      <c r="T161" s="6793" t="s">
        <v>3213</v>
      </c>
      <c r="U161" s="6794">
        <v>9786072827530</v>
      </c>
      <c r="V161" s="6182"/>
      <c r="W161" s="5620"/>
      <c r="X161" s="5620"/>
      <c r="Y161" s="5620"/>
      <c r="Z161" s="5620"/>
      <c r="AA161" s="5620"/>
      <c r="AB161" s="5620"/>
      <c r="AC161" s="5620"/>
      <c r="AD161" s="5620"/>
      <c r="AE161" s="5620"/>
    </row>
    <row r="162" spans="16:31" s="37" customFormat="1" ht="84">
      <c r="P162" s="6789">
        <v>19</v>
      </c>
      <c r="Q162" s="6795" t="s">
        <v>16</v>
      </c>
      <c r="R162" s="6798" t="s">
        <v>3718</v>
      </c>
      <c r="S162" s="6798" t="s">
        <v>3719</v>
      </c>
      <c r="T162" s="6799" t="s">
        <v>3683</v>
      </c>
      <c r="U162" s="6799" t="s">
        <v>3720</v>
      </c>
      <c r="V162" s="6182"/>
      <c r="W162" s="5620"/>
      <c r="X162" s="5620"/>
      <c r="Y162" s="5620"/>
      <c r="Z162" s="5620"/>
      <c r="AA162" s="5620"/>
      <c r="AB162" s="5620"/>
      <c r="AC162" s="5620"/>
      <c r="AD162" s="5620"/>
      <c r="AE162" s="5620"/>
    </row>
    <row r="163" spans="16:31" s="37" customFormat="1" ht="48">
      <c r="P163" s="6789">
        <v>20</v>
      </c>
      <c r="Q163" s="6795" t="s">
        <v>16</v>
      </c>
      <c r="R163" s="6798" t="s">
        <v>3721</v>
      </c>
      <c r="S163" s="6798" t="s">
        <v>3722</v>
      </c>
      <c r="T163" s="6804" t="s">
        <v>3723</v>
      </c>
      <c r="U163" s="6800" t="s">
        <v>3724</v>
      </c>
      <c r="V163" s="6181"/>
      <c r="W163" s="5620"/>
      <c r="X163" s="5620"/>
      <c r="Y163" s="5620"/>
      <c r="Z163" s="5620"/>
      <c r="AA163" s="5620"/>
      <c r="AB163" s="5620"/>
      <c r="AC163" s="5620"/>
      <c r="AD163" s="5620"/>
      <c r="AE163" s="5620"/>
    </row>
    <row r="164" spans="16:31" s="37" customFormat="1" ht="24">
      <c r="P164" s="6789">
        <v>21</v>
      </c>
      <c r="Q164" s="6790" t="s">
        <v>16</v>
      </c>
      <c r="R164" s="6791" t="s">
        <v>3725</v>
      </c>
      <c r="S164" s="6792" t="s">
        <v>3726</v>
      </c>
      <c r="T164" s="6793" t="s">
        <v>3213</v>
      </c>
      <c r="U164" s="6794">
        <v>9786072820203</v>
      </c>
      <c r="V164" s="6181"/>
      <c r="W164" s="5620"/>
      <c r="X164" s="5620"/>
      <c r="Y164" s="5620"/>
      <c r="Z164" s="5620"/>
      <c r="AA164" s="5620"/>
      <c r="AB164" s="5620"/>
      <c r="AC164" s="5620"/>
      <c r="AD164" s="5620"/>
      <c r="AE164" s="5620"/>
    </row>
    <row r="165" spans="16:31" s="37" customFormat="1" ht="13.8">
      <c r="P165" s="6789">
        <v>22</v>
      </c>
      <c r="Q165" s="6790" t="s">
        <v>16</v>
      </c>
      <c r="R165" s="6791" t="s">
        <v>3727</v>
      </c>
      <c r="S165" s="6792" t="s">
        <v>3728</v>
      </c>
      <c r="T165" s="6793"/>
      <c r="U165" s="6794">
        <v>9786072829039</v>
      </c>
      <c r="V165" s="6182"/>
      <c r="W165" s="5620"/>
      <c r="X165" s="5620"/>
      <c r="Y165" s="5620"/>
      <c r="Z165" s="5620"/>
      <c r="AA165" s="5620"/>
      <c r="AB165" s="5620"/>
      <c r="AC165" s="5620"/>
      <c r="AD165" s="5620"/>
      <c r="AE165" s="5620"/>
    </row>
    <row r="166" spans="16:31" s="37" customFormat="1" ht="13.8">
      <c r="P166" s="6789">
        <v>23</v>
      </c>
      <c r="Q166" s="6795" t="s">
        <v>16</v>
      </c>
      <c r="R166" s="6798" t="s">
        <v>3729</v>
      </c>
      <c r="S166" s="6798" t="s">
        <v>3730</v>
      </c>
      <c r="T166" s="6799" t="s">
        <v>3683</v>
      </c>
      <c r="U166" s="6799" t="s">
        <v>3731</v>
      </c>
      <c r="V166" s="6181"/>
      <c r="W166" s="5620"/>
      <c r="X166" s="5620"/>
      <c r="Y166" s="5620"/>
      <c r="Z166" s="5620"/>
      <c r="AA166" s="5620"/>
      <c r="AB166" s="5620"/>
      <c r="AC166" s="5620"/>
      <c r="AD166" s="5620"/>
      <c r="AE166" s="5620"/>
    </row>
    <row r="167" spans="16:31" s="37" customFormat="1" ht="13.8">
      <c r="P167" s="6789">
        <v>24</v>
      </c>
      <c r="Q167" s="6790" t="s">
        <v>16</v>
      </c>
      <c r="R167" s="6791" t="s">
        <v>3732</v>
      </c>
      <c r="S167" s="6792" t="s">
        <v>3733</v>
      </c>
      <c r="T167" s="6793" t="s">
        <v>3213</v>
      </c>
      <c r="U167" s="6794">
        <v>9786072820296</v>
      </c>
      <c r="V167" s="6181"/>
      <c r="W167" s="5620"/>
      <c r="X167" s="5620"/>
      <c r="Y167" s="5620"/>
      <c r="Z167" s="5620"/>
      <c r="AA167" s="5620"/>
      <c r="AB167" s="5620"/>
      <c r="AC167" s="5620"/>
      <c r="AD167" s="5620"/>
      <c r="AE167" s="5620"/>
    </row>
    <row r="168" spans="16:31" s="37" customFormat="1" ht="13.8">
      <c r="P168" s="6789">
        <v>25</v>
      </c>
      <c r="Q168" s="6795" t="s">
        <v>16</v>
      </c>
      <c r="R168" s="6798" t="s">
        <v>3734</v>
      </c>
      <c r="S168" s="6798" t="s">
        <v>3735</v>
      </c>
      <c r="T168" s="6799" t="s">
        <v>3683</v>
      </c>
      <c r="U168" s="6799" t="s">
        <v>3736</v>
      </c>
      <c r="V168" s="6182"/>
      <c r="W168" s="5620"/>
      <c r="X168" s="5620"/>
      <c r="Y168" s="5620"/>
      <c r="Z168" s="5620"/>
      <c r="AA168" s="5620"/>
      <c r="AB168" s="5620"/>
      <c r="AC168" s="5620"/>
      <c r="AD168" s="5620"/>
      <c r="AE168" s="5620"/>
    </row>
    <row r="169" spans="16:31" s="37" customFormat="1" ht="13.8">
      <c r="P169" s="6789">
        <v>26</v>
      </c>
      <c r="Q169" s="6790" t="s">
        <v>16</v>
      </c>
      <c r="R169" s="6791" t="s">
        <v>3737</v>
      </c>
      <c r="S169" s="6792" t="s">
        <v>3738</v>
      </c>
      <c r="T169" s="6793" t="s">
        <v>3213</v>
      </c>
      <c r="U169" s="6794">
        <v>9786078837564</v>
      </c>
      <c r="V169" s="6181"/>
      <c r="W169" s="5620"/>
      <c r="X169" s="5620"/>
      <c r="Y169" s="5620"/>
      <c r="Z169" s="5620"/>
      <c r="AA169" s="5620"/>
      <c r="AB169" s="5620"/>
      <c r="AC169" s="5620"/>
      <c r="AD169" s="5620"/>
      <c r="AE169" s="5620"/>
    </row>
    <row r="170" spans="16:31" s="37" customFormat="1" ht="13.8">
      <c r="P170" s="6789">
        <v>27</v>
      </c>
      <c r="Q170" s="6790" t="s">
        <v>16</v>
      </c>
      <c r="R170" s="6791" t="s">
        <v>3739</v>
      </c>
      <c r="S170" s="6792" t="s">
        <v>3740</v>
      </c>
      <c r="T170" s="6793"/>
      <c r="U170" s="6794">
        <v>9786072828131</v>
      </c>
      <c r="V170" s="6192"/>
      <c r="W170" s="5620"/>
      <c r="X170" s="5620"/>
      <c r="Y170" s="5620"/>
      <c r="Z170" s="5620"/>
      <c r="AA170" s="5620"/>
      <c r="AB170" s="5620"/>
      <c r="AC170" s="5620"/>
      <c r="AD170" s="5620"/>
      <c r="AE170" s="5620"/>
    </row>
    <row r="171" spans="16:31" s="37" customFormat="1" ht="36">
      <c r="P171" s="6789">
        <v>28</v>
      </c>
      <c r="Q171" s="6795" t="s">
        <v>4</v>
      </c>
      <c r="R171" s="6800" t="s">
        <v>3741</v>
      </c>
      <c r="S171" s="6800" t="s">
        <v>3742</v>
      </c>
      <c r="T171" s="6797" t="s">
        <v>75</v>
      </c>
      <c r="U171" s="6805" t="s">
        <v>3743</v>
      </c>
      <c r="V171" s="6182"/>
      <c r="W171" s="5620"/>
      <c r="X171" s="5620"/>
      <c r="Y171" s="5620"/>
      <c r="Z171" s="5620"/>
      <c r="AA171" s="5620"/>
      <c r="AB171" s="5620"/>
      <c r="AC171" s="5620"/>
      <c r="AD171" s="5620"/>
      <c r="AE171" s="5620"/>
    </row>
    <row r="172" spans="16:31" s="37" customFormat="1" ht="48">
      <c r="P172" s="6789">
        <v>29</v>
      </c>
      <c r="Q172" s="6806" t="s">
        <v>16</v>
      </c>
      <c r="R172" s="6807" t="s">
        <v>3744</v>
      </c>
      <c r="S172" s="6807" t="s">
        <v>3745</v>
      </c>
      <c r="T172" s="6808" t="s">
        <v>3683</v>
      </c>
      <c r="U172" s="6808" t="s">
        <v>3746</v>
      </c>
      <c r="V172" s="6181"/>
      <c r="W172" s="5620"/>
      <c r="X172" s="5620"/>
      <c r="Y172" s="5620"/>
      <c r="Z172" s="5620"/>
      <c r="AA172" s="5620"/>
      <c r="AB172" s="5620"/>
      <c r="AC172" s="5620"/>
      <c r="AD172" s="5620"/>
      <c r="AE172" s="5620"/>
    </row>
    <row r="173" spans="16:31" s="37" customFormat="1" ht="24">
      <c r="P173" s="6789">
        <v>30</v>
      </c>
      <c r="Q173" s="6806" t="s">
        <v>16</v>
      </c>
      <c r="R173" s="6809" t="s">
        <v>3747</v>
      </c>
      <c r="S173" s="6809" t="s">
        <v>3748</v>
      </c>
      <c r="T173" s="6810" t="s">
        <v>3683</v>
      </c>
      <c r="U173" s="6810" t="s">
        <v>3749</v>
      </c>
      <c r="V173" s="6181"/>
      <c r="W173" s="5620"/>
      <c r="X173" s="5620"/>
      <c r="Y173" s="5620"/>
      <c r="Z173" s="5620"/>
      <c r="AA173" s="5620"/>
      <c r="AB173" s="5620"/>
      <c r="AC173" s="5620"/>
      <c r="AD173" s="5620"/>
      <c r="AE173" s="5620"/>
    </row>
    <row r="174" spans="16:31" s="37" customFormat="1" ht="24">
      <c r="P174" s="6789">
        <v>31</v>
      </c>
      <c r="Q174" s="6811" t="s">
        <v>16</v>
      </c>
      <c r="R174" s="6812" t="s">
        <v>3750</v>
      </c>
      <c r="S174" s="6813" t="s">
        <v>3751</v>
      </c>
      <c r="T174" s="6814" t="s">
        <v>3213</v>
      </c>
      <c r="U174" s="6815">
        <v>9786072828612</v>
      </c>
      <c r="V174" s="6181"/>
      <c r="W174" s="5620"/>
      <c r="X174" s="5620"/>
      <c r="Y174" s="5620"/>
      <c r="Z174" s="5620"/>
      <c r="AA174" s="5620"/>
      <c r="AB174" s="5620"/>
      <c r="AC174" s="5620"/>
      <c r="AD174" s="5620"/>
      <c r="AE174" s="5620"/>
    </row>
    <row r="175" spans="16:31" s="37" customFormat="1" ht="13.8">
      <c r="P175" s="6789">
        <v>32</v>
      </c>
      <c r="Q175" s="6816" t="s">
        <v>16</v>
      </c>
      <c r="R175" s="6817" t="s">
        <v>3216</v>
      </c>
      <c r="S175" s="6817" t="s">
        <v>3217</v>
      </c>
      <c r="T175" s="6818" t="s">
        <v>3214</v>
      </c>
      <c r="U175" s="6814" t="s">
        <v>3752</v>
      </c>
      <c r="V175" s="6191" t="s">
        <v>3210</v>
      </c>
      <c r="W175" s="5620"/>
      <c r="X175" s="5620"/>
      <c r="Y175" s="5620"/>
      <c r="Z175" s="5620"/>
      <c r="AA175" s="5620"/>
      <c r="AB175" s="5620"/>
      <c r="AC175" s="5620"/>
      <c r="AD175" s="5620"/>
      <c r="AE175" s="5620"/>
    </row>
    <row r="176" spans="16:31" s="37" customFormat="1" ht="13.8">
      <c r="P176" s="6789">
        <v>33</v>
      </c>
      <c r="Q176" s="6795" t="s">
        <v>16</v>
      </c>
      <c r="R176" s="6796" t="s">
        <v>3216</v>
      </c>
      <c r="S176" s="6819" t="s">
        <v>3217</v>
      </c>
      <c r="T176" s="6820" t="s">
        <v>3214</v>
      </c>
      <c r="U176" s="6766" t="s">
        <v>3753</v>
      </c>
      <c r="V176" s="6191" t="s">
        <v>3210</v>
      </c>
      <c r="W176" s="5620"/>
      <c r="X176" s="5620"/>
      <c r="Y176" s="5620"/>
      <c r="Z176" s="5620"/>
      <c r="AA176" s="5620"/>
      <c r="AB176" s="5620"/>
      <c r="AC176" s="5620"/>
      <c r="AD176" s="5620"/>
      <c r="AE176" s="5620"/>
    </row>
    <row r="177" spans="16:31" s="37" customFormat="1" ht="24">
      <c r="P177" s="6789">
        <v>34</v>
      </c>
      <c r="Q177" s="6769" t="s">
        <v>4</v>
      </c>
      <c r="R177" s="6768" t="s">
        <v>3754</v>
      </c>
      <c r="S177" s="6768" t="s">
        <v>3755</v>
      </c>
      <c r="T177" s="6820" t="s">
        <v>75</v>
      </c>
      <c r="U177" s="6821" t="s">
        <v>3209</v>
      </c>
      <c r="V177" s="6191" t="s">
        <v>3210</v>
      </c>
      <c r="W177" s="5620"/>
      <c r="X177" s="5620"/>
      <c r="Y177" s="5620"/>
      <c r="Z177" s="5620"/>
      <c r="AA177" s="5620"/>
      <c r="AB177" s="5620"/>
      <c r="AC177" s="5620"/>
      <c r="AD177" s="5620"/>
      <c r="AE177" s="5620"/>
    </row>
    <row r="178" spans="16:31" s="37" customFormat="1" ht="13.8">
      <c r="P178" s="6789">
        <v>35</v>
      </c>
      <c r="Q178" s="6822" t="s">
        <v>16</v>
      </c>
      <c r="R178" s="6823" t="s">
        <v>3756</v>
      </c>
      <c r="S178" s="6824" t="s">
        <v>3757</v>
      </c>
      <c r="T178" s="6766" t="s">
        <v>3212</v>
      </c>
      <c r="U178" s="6776">
        <v>9786072828711</v>
      </c>
      <c r="V178" s="6191" t="s">
        <v>3210</v>
      </c>
      <c r="W178" s="5620"/>
      <c r="X178" s="5620"/>
      <c r="Y178" s="5620"/>
      <c r="Z178" s="5620"/>
      <c r="AA178" s="5620"/>
      <c r="AB178" s="5620"/>
      <c r="AC178" s="5620"/>
      <c r="AD178" s="5620"/>
      <c r="AE178" s="5620"/>
    </row>
    <row r="179" spans="16:31" s="37" customFormat="1" ht="13.8">
      <c r="P179" s="6789">
        <v>36</v>
      </c>
      <c r="Q179" s="6822" t="s">
        <v>16</v>
      </c>
      <c r="R179" s="6823" t="s">
        <v>3218</v>
      </c>
      <c r="S179" s="6824" t="s">
        <v>3758</v>
      </c>
      <c r="T179" s="6766" t="s">
        <v>3212</v>
      </c>
      <c r="U179" s="6776">
        <v>9786072826540</v>
      </c>
      <c r="V179" s="6182"/>
      <c r="W179" s="5620"/>
      <c r="X179" s="5620"/>
      <c r="Y179" s="5620"/>
      <c r="Z179" s="5620"/>
      <c r="AA179" s="5620"/>
      <c r="AB179" s="5620"/>
      <c r="AC179" s="5620"/>
      <c r="AD179" s="5620"/>
      <c r="AE179" s="5620"/>
    </row>
    <row r="180" spans="16:31" s="37" customFormat="1" ht="13.8">
      <c r="P180" s="6789">
        <v>37</v>
      </c>
      <c r="Q180" s="6822" t="s">
        <v>16</v>
      </c>
      <c r="R180" s="6823" t="s">
        <v>3219</v>
      </c>
      <c r="S180" s="6824" t="s">
        <v>3759</v>
      </c>
      <c r="T180" s="6766" t="s">
        <v>3212</v>
      </c>
      <c r="U180" s="6776">
        <v>9786072826533</v>
      </c>
      <c r="V180" s="6181"/>
      <c r="W180" s="5620"/>
      <c r="X180" s="5620"/>
      <c r="Y180" s="5620"/>
      <c r="Z180" s="5620"/>
      <c r="AA180" s="5620"/>
      <c r="AB180" s="5620"/>
      <c r="AC180" s="5620"/>
      <c r="AD180" s="5620"/>
      <c r="AE180" s="5620"/>
    </row>
    <row r="181" spans="16:31" s="37" customFormat="1" ht="13.8">
      <c r="P181" s="6789">
        <v>38</v>
      </c>
      <c r="Q181" s="6822" t="s">
        <v>16</v>
      </c>
      <c r="R181" s="6823" t="s">
        <v>3760</v>
      </c>
      <c r="S181" s="6824" t="s">
        <v>3761</v>
      </c>
      <c r="T181" s="6766" t="s">
        <v>3211</v>
      </c>
      <c r="U181" s="6776">
        <v>9786072826366</v>
      </c>
      <c r="V181" s="6182"/>
      <c r="W181" s="5620"/>
      <c r="X181" s="5620"/>
      <c r="Y181" s="5620"/>
      <c r="Z181" s="5620"/>
      <c r="AA181" s="5620"/>
      <c r="AB181" s="5620"/>
      <c r="AC181" s="5620"/>
      <c r="AD181" s="5620"/>
      <c r="AE181" s="5620"/>
    </row>
    <row r="182" spans="16:31" s="37" customFormat="1" ht="13.8">
      <c r="P182" s="6789">
        <v>39</v>
      </c>
      <c r="Q182" s="6822" t="s">
        <v>16</v>
      </c>
      <c r="R182" s="6823" t="s">
        <v>3762</v>
      </c>
      <c r="S182" s="6824" t="s">
        <v>3763</v>
      </c>
      <c r="T182" s="6766" t="s">
        <v>3211</v>
      </c>
      <c r="U182" s="6776">
        <v>9786072826359</v>
      </c>
      <c r="V182" s="6182"/>
      <c r="W182" s="5620"/>
      <c r="X182" s="5620"/>
      <c r="Y182" s="5620"/>
      <c r="Z182" s="5620"/>
      <c r="AA182" s="5620"/>
      <c r="AB182" s="5620"/>
      <c r="AC182" s="5620"/>
      <c r="AD182" s="5620"/>
      <c r="AE182" s="5620"/>
    </row>
    <row r="183" spans="16:31" s="37" customFormat="1" ht="13.8">
      <c r="P183" s="6789">
        <v>40</v>
      </c>
      <c r="Q183" s="6822" t="s">
        <v>16</v>
      </c>
      <c r="R183" s="6823" t="s">
        <v>3764</v>
      </c>
      <c r="S183" s="6824" t="s">
        <v>3765</v>
      </c>
      <c r="T183" s="6766"/>
      <c r="U183" s="6776">
        <v>9786072829206</v>
      </c>
      <c r="V183" s="6181"/>
      <c r="W183" s="5620"/>
      <c r="X183" s="5620"/>
      <c r="Y183" s="5620"/>
      <c r="Z183" s="5620"/>
      <c r="AA183" s="5620"/>
      <c r="AB183" s="5620"/>
      <c r="AC183" s="5620"/>
      <c r="AD183" s="5620"/>
      <c r="AE183" s="5620"/>
    </row>
    <row r="184" spans="16:31" s="37" customFormat="1" ht="13.8">
      <c r="P184" s="6789">
        <v>41</v>
      </c>
      <c r="Q184" s="6822" t="s">
        <v>4</v>
      </c>
      <c r="R184" s="6823" t="s">
        <v>3766</v>
      </c>
      <c r="S184" s="6824" t="s">
        <v>3767</v>
      </c>
      <c r="T184" s="6766"/>
      <c r="U184" s="6776">
        <v>9786072824355</v>
      </c>
      <c r="V184" s="6181"/>
      <c r="W184" s="5620"/>
      <c r="X184" s="5620"/>
      <c r="Y184" s="5620"/>
      <c r="Z184" s="5620"/>
      <c r="AA184" s="5620"/>
      <c r="AB184" s="5620"/>
      <c r="AC184" s="5620"/>
      <c r="AD184" s="5620"/>
      <c r="AE184" s="5620"/>
    </row>
    <row r="185" spans="16:31" s="37" customFormat="1" ht="13.8">
      <c r="P185" s="6789">
        <v>42</v>
      </c>
      <c r="Q185" s="6822" t="s">
        <v>16</v>
      </c>
      <c r="R185" s="6823" t="s">
        <v>3768</v>
      </c>
      <c r="S185" s="6824" t="s">
        <v>3769</v>
      </c>
      <c r="T185" s="6766" t="s">
        <v>3770</v>
      </c>
      <c r="U185" s="6776">
        <v>9786072828582</v>
      </c>
      <c r="V185" s="6181"/>
      <c r="W185" s="5620"/>
      <c r="X185" s="5620"/>
      <c r="Y185" s="5620"/>
      <c r="Z185" s="5620"/>
      <c r="AA185" s="5620"/>
      <c r="AB185" s="5620"/>
      <c r="AC185" s="5620"/>
      <c r="AD185" s="5620"/>
      <c r="AE185" s="5620"/>
    </row>
    <row r="186" spans="16:31" s="37" customFormat="1" ht="13.8">
      <c r="P186" s="6789">
        <v>43</v>
      </c>
      <c r="Q186" s="6822" t="s">
        <v>16</v>
      </c>
      <c r="R186" s="6823" t="s">
        <v>3771</v>
      </c>
      <c r="S186" s="6824" t="s">
        <v>3769</v>
      </c>
      <c r="T186" s="6766" t="s">
        <v>3770</v>
      </c>
      <c r="U186" s="6776">
        <v>9786072828599</v>
      </c>
      <c r="V186" s="6181"/>
      <c r="W186" s="5620"/>
      <c r="X186" s="5620"/>
      <c r="Y186" s="5620"/>
      <c r="Z186" s="5620"/>
      <c r="AA186" s="5620"/>
      <c r="AB186" s="5620"/>
      <c r="AC186" s="5620"/>
      <c r="AD186" s="5620"/>
      <c r="AE186" s="5620"/>
    </row>
    <row r="187" spans="16:31" s="37" customFormat="1" ht="13.8">
      <c r="P187" s="6789">
        <v>44</v>
      </c>
      <c r="Q187" s="6822" t="s">
        <v>16</v>
      </c>
      <c r="R187" s="6823" t="s">
        <v>3772</v>
      </c>
      <c r="S187" s="6824" t="s">
        <v>3773</v>
      </c>
      <c r="T187" s="6766"/>
      <c r="U187" s="6776">
        <v>9786072829169</v>
      </c>
      <c r="V187" s="6181"/>
      <c r="W187" s="5620"/>
      <c r="X187" s="5620"/>
      <c r="Y187" s="5620"/>
      <c r="Z187" s="5620"/>
      <c r="AA187" s="5620"/>
      <c r="AB187" s="5620"/>
      <c r="AC187" s="5620"/>
      <c r="AD187" s="5620"/>
      <c r="AE187" s="5620"/>
    </row>
    <row r="188" spans="16:31" s="37" customFormat="1" ht="13.8">
      <c r="P188" s="6789">
        <v>45</v>
      </c>
      <c r="Q188" s="6822" t="s">
        <v>16</v>
      </c>
      <c r="R188" s="6823" t="s">
        <v>3774</v>
      </c>
      <c r="S188" s="6824" t="s">
        <v>3775</v>
      </c>
      <c r="T188" s="6766" t="s">
        <v>3211</v>
      </c>
      <c r="U188" s="6776">
        <v>9786072824379</v>
      </c>
      <c r="V188" s="6182"/>
      <c r="W188" s="5620"/>
      <c r="X188" s="5620"/>
      <c r="Y188" s="5620"/>
      <c r="Z188" s="5620"/>
      <c r="AA188" s="5620"/>
      <c r="AB188" s="5620"/>
      <c r="AC188" s="5620"/>
      <c r="AD188" s="5620"/>
      <c r="AE188" s="5620"/>
    </row>
    <row r="189" spans="16:31" s="37" customFormat="1" ht="24">
      <c r="P189" s="6789">
        <v>46</v>
      </c>
      <c r="Q189" s="6822" t="s">
        <v>16</v>
      </c>
      <c r="R189" s="6823" t="s">
        <v>3776</v>
      </c>
      <c r="S189" s="6824" t="s">
        <v>3777</v>
      </c>
      <c r="T189" s="6766" t="s">
        <v>3213</v>
      </c>
      <c r="U189" s="6776">
        <v>9786072827509</v>
      </c>
      <c r="V189" s="6182"/>
      <c r="W189" s="5620"/>
      <c r="X189" s="5620"/>
      <c r="Y189" s="5620"/>
      <c r="Z189" s="5620"/>
      <c r="AA189" s="5620"/>
      <c r="AB189" s="5620"/>
      <c r="AC189" s="5620"/>
      <c r="AD189" s="5620"/>
      <c r="AE189" s="5620"/>
    </row>
    <row r="190" spans="16:31" s="37" customFormat="1" ht="13.8">
      <c r="P190" s="6789">
        <v>47</v>
      </c>
      <c r="Q190" s="6769" t="s">
        <v>41</v>
      </c>
      <c r="R190" s="6825" t="s">
        <v>3778</v>
      </c>
      <c r="S190" s="6826" t="s">
        <v>3779</v>
      </c>
      <c r="T190" s="6827" t="s">
        <v>75</v>
      </c>
      <c r="U190" s="6828" t="s">
        <v>3780</v>
      </c>
      <c r="V190" s="6191" t="s">
        <v>3210</v>
      </c>
      <c r="W190" s="5620"/>
      <c r="X190" s="5620"/>
      <c r="Y190" s="5620"/>
      <c r="Z190" s="5620"/>
      <c r="AA190" s="5620"/>
      <c r="AB190" s="5620"/>
      <c r="AC190" s="5620"/>
      <c r="AD190" s="5620"/>
      <c r="AE190" s="5620"/>
    </row>
    <row r="191" spans="16:31" s="37" customFormat="1" ht="13.8">
      <c r="P191" s="6789">
        <v>48</v>
      </c>
      <c r="Q191" s="6769" t="s">
        <v>4</v>
      </c>
      <c r="R191" s="6772" t="s">
        <v>3781</v>
      </c>
      <c r="S191" s="6768" t="s">
        <v>3782</v>
      </c>
      <c r="T191" s="6820" t="s">
        <v>75</v>
      </c>
      <c r="U191" s="6829" t="s">
        <v>3783</v>
      </c>
      <c r="V191" s="6192"/>
      <c r="W191" s="5620"/>
      <c r="X191" s="5620"/>
      <c r="Y191" s="5620"/>
      <c r="Z191" s="5620"/>
      <c r="AA191" s="5620"/>
      <c r="AB191" s="5620"/>
      <c r="AC191" s="5620"/>
      <c r="AD191" s="5620"/>
      <c r="AE191" s="5620"/>
    </row>
    <row r="192" spans="16:31" s="37" customFormat="1" ht="13.8">
      <c r="P192" s="6789">
        <v>49</v>
      </c>
      <c r="Q192" s="6769" t="s">
        <v>16</v>
      </c>
      <c r="R192" s="6819" t="s">
        <v>3784</v>
      </c>
      <c r="S192" s="6819" t="s">
        <v>3217</v>
      </c>
      <c r="T192" s="6820" t="s">
        <v>3214</v>
      </c>
      <c r="U192" s="6766" t="s">
        <v>3785</v>
      </c>
      <c r="V192" s="6191" t="s">
        <v>3210</v>
      </c>
      <c r="W192" s="5620"/>
      <c r="X192" s="5620"/>
      <c r="Y192" s="5620"/>
      <c r="Z192" s="5620"/>
      <c r="AA192" s="5620"/>
      <c r="AB192" s="5620"/>
      <c r="AC192" s="5620"/>
      <c r="AD192" s="5620"/>
      <c r="AE192" s="5620"/>
    </row>
    <row r="193" spans="16:31" s="37" customFormat="1" ht="13.8">
      <c r="P193" s="6789">
        <v>50</v>
      </c>
      <c r="Q193" s="6769" t="s">
        <v>16</v>
      </c>
      <c r="R193" s="6819" t="s">
        <v>3784</v>
      </c>
      <c r="S193" s="6819" t="s">
        <v>3217</v>
      </c>
      <c r="T193" s="6820" t="s">
        <v>3214</v>
      </c>
      <c r="U193" s="6766" t="s">
        <v>3786</v>
      </c>
      <c r="V193" s="6181"/>
      <c r="W193" s="5620"/>
      <c r="X193" s="5620"/>
      <c r="Y193" s="5620"/>
      <c r="Z193" s="5620"/>
      <c r="AA193" s="5620"/>
      <c r="AB193" s="5620"/>
      <c r="AC193" s="5620"/>
      <c r="AD193" s="5620"/>
      <c r="AE193" s="5620"/>
    </row>
    <row r="194" spans="16:31" s="37" customFormat="1" ht="13.8">
      <c r="P194" s="6789">
        <v>51</v>
      </c>
      <c r="Q194" s="6822" t="s">
        <v>16</v>
      </c>
      <c r="R194" s="6823" t="s">
        <v>3787</v>
      </c>
      <c r="S194" s="6824" t="s">
        <v>3215</v>
      </c>
      <c r="T194" s="6766" t="s">
        <v>3213</v>
      </c>
      <c r="U194" s="6776">
        <v>9786072827677</v>
      </c>
      <c r="V194" s="6181"/>
      <c r="W194" s="5620"/>
      <c r="X194" s="5620"/>
      <c r="Y194" s="5620"/>
      <c r="Z194" s="5620"/>
      <c r="AA194" s="5620"/>
      <c r="AB194" s="5620"/>
      <c r="AC194" s="5620"/>
      <c r="AD194" s="5620"/>
      <c r="AE194" s="5620"/>
    </row>
    <row r="195" spans="16:31" s="37" customFormat="1" ht="13.8">
      <c r="P195" s="6789">
        <v>52</v>
      </c>
      <c r="Q195" s="6822" t="s">
        <v>16</v>
      </c>
      <c r="R195" s="6823" t="s">
        <v>3788</v>
      </c>
      <c r="S195" s="6824" t="s">
        <v>3751</v>
      </c>
      <c r="T195" s="6766"/>
      <c r="U195" s="6776">
        <v>9786072828766</v>
      </c>
      <c r="V195" s="6191"/>
      <c r="W195" s="5620"/>
      <c r="X195" s="5620"/>
      <c r="Y195" s="5620"/>
      <c r="Z195" s="5620"/>
      <c r="AA195" s="5620"/>
      <c r="AB195" s="5620"/>
      <c r="AC195" s="5620"/>
      <c r="AD195" s="5620"/>
      <c r="AE195" s="5620"/>
    </row>
    <row r="196" spans="16:31" s="37" customFormat="1" ht="24">
      <c r="P196" s="6789">
        <v>53</v>
      </c>
      <c r="Q196" s="6822" t="s">
        <v>16</v>
      </c>
      <c r="R196" s="6823" t="s">
        <v>3789</v>
      </c>
      <c r="S196" s="6824" t="s">
        <v>3708</v>
      </c>
      <c r="T196" s="6766" t="s">
        <v>3213</v>
      </c>
      <c r="U196" s="6776">
        <v>9786072828568</v>
      </c>
      <c r="V196" s="6191" t="s">
        <v>3210</v>
      </c>
      <c r="W196" s="5620"/>
      <c r="X196" s="5620"/>
      <c r="Y196" s="5620"/>
      <c r="Z196" s="5620"/>
      <c r="AA196" s="5620"/>
      <c r="AB196" s="5620"/>
      <c r="AC196" s="5620"/>
      <c r="AD196" s="5620"/>
      <c r="AE196" s="5620"/>
    </row>
    <row r="197" spans="16:31" s="37" customFormat="1" ht="13.8">
      <c r="P197" s="6789">
        <v>54</v>
      </c>
      <c r="Q197" s="6769" t="s">
        <v>16</v>
      </c>
      <c r="R197" s="6830" t="s">
        <v>3790</v>
      </c>
      <c r="S197" s="6830" t="s">
        <v>3791</v>
      </c>
      <c r="T197" s="6827" t="s">
        <v>3683</v>
      </c>
      <c r="U197" s="6827" t="s">
        <v>3792</v>
      </c>
      <c r="V197" s="6191"/>
      <c r="W197" s="5620"/>
      <c r="X197" s="5620"/>
      <c r="Y197" s="5620"/>
      <c r="Z197" s="5620"/>
      <c r="AA197" s="5620"/>
      <c r="AB197" s="5620"/>
      <c r="AC197" s="5620"/>
      <c r="AD197" s="5620"/>
      <c r="AE197" s="5620"/>
    </row>
    <row r="198" spans="16:31" s="37" customFormat="1" ht="13.8">
      <c r="P198" s="6789">
        <v>55</v>
      </c>
      <c r="Q198" s="6822" t="s">
        <v>16</v>
      </c>
      <c r="R198" s="6823" t="s">
        <v>3793</v>
      </c>
      <c r="S198" s="6824" t="s">
        <v>3794</v>
      </c>
      <c r="T198" s="6766" t="s">
        <v>3211</v>
      </c>
      <c r="U198" s="6776">
        <v>9786072827622</v>
      </c>
      <c r="V198" s="6191" t="s">
        <v>3210</v>
      </c>
      <c r="W198" s="5620"/>
      <c r="X198" s="5620"/>
      <c r="Y198" s="5620"/>
      <c r="Z198" s="5620"/>
      <c r="AA198" s="5620"/>
      <c r="AB198" s="5620"/>
      <c r="AC198" s="5620"/>
      <c r="AD198" s="5620"/>
      <c r="AE198" s="5620"/>
    </row>
    <row r="199" spans="16:31">
      <c r="P199" s="5625"/>
      <c r="Q199" s="6193"/>
      <c r="R199" s="5628"/>
      <c r="S199" s="6194"/>
      <c r="T199" s="5625"/>
      <c r="U199" s="6195"/>
      <c r="V199" s="97"/>
    </row>
    <row r="200" spans="16:31">
      <c r="P200" s="5624"/>
      <c r="Q200" s="5624"/>
      <c r="R200" s="5624"/>
      <c r="S200" s="5624"/>
      <c r="T200" s="3750"/>
      <c r="U200" s="3750"/>
      <c r="V200" s="97"/>
    </row>
    <row r="201" spans="16:31" ht="15" thickBot="1">
      <c r="P201" s="6838" t="s">
        <v>314</v>
      </c>
      <c r="Q201" s="6838" t="s">
        <v>69</v>
      </c>
      <c r="R201" s="6838" t="s">
        <v>3019</v>
      </c>
      <c r="S201" s="6838" t="s">
        <v>3020</v>
      </c>
      <c r="T201" s="6839" t="s">
        <v>3021</v>
      </c>
      <c r="U201" s="6839" t="s">
        <v>3022</v>
      </c>
      <c r="V201" s="6839" t="s">
        <v>3189</v>
      </c>
    </row>
    <row r="202" spans="16:31" ht="24">
      <c r="P202" s="6835">
        <v>1</v>
      </c>
      <c r="Q202" s="6754" t="s">
        <v>16</v>
      </c>
      <c r="R202" s="6836" t="s">
        <v>3795</v>
      </c>
      <c r="S202" s="6836" t="s">
        <v>3796</v>
      </c>
      <c r="T202" s="6754" t="s">
        <v>3797</v>
      </c>
      <c r="U202" s="6754" t="s">
        <v>3798</v>
      </c>
      <c r="V202" s="6837" t="s">
        <v>3220</v>
      </c>
    </row>
    <row r="203" spans="16:31" ht="24">
      <c r="P203" s="6831">
        <v>2</v>
      </c>
      <c r="Q203" s="6766" t="s">
        <v>16</v>
      </c>
      <c r="R203" s="6768" t="s">
        <v>3799</v>
      </c>
      <c r="S203" s="6198" t="s">
        <v>3800</v>
      </c>
      <c r="T203" s="6766" t="s">
        <v>3801</v>
      </c>
      <c r="U203" s="6770" t="s">
        <v>3802</v>
      </c>
      <c r="V203" s="6196" t="s">
        <v>3220</v>
      </c>
    </row>
    <row r="204" spans="16:31" ht="24">
      <c r="P204" s="6831">
        <v>3</v>
      </c>
      <c r="Q204" s="6766" t="s">
        <v>16</v>
      </c>
      <c r="R204" s="6768" t="s">
        <v>3803</v>
      </c>
      <c r="S204" s="6768" t="s">
        <v>3800</v>
      </c>
      <c r="T204" s="6766" t="s">
        <v>3801</v>
      </c>
      <c r="U204" s="6770" t="s">
        <v>3804</v>
      </c>
      <c r="V204" s="6196" t="s">
        <v>3220</v>
      </c>
    </row>
    <row r="205" spans="16:31">
      <c r="P205" s="6831">
        <v>4</v>
      </c>
      <c r="Q205" s="6766" t="s">
        <v>16</v>
      </c>
      <c r="R205" s="6772" t="s">
        <v>3805</v>
      </c>
      <c r="S205" s="6768" t="s">
        <v>3806</v>
      </c>
      <c r="T205" s="6766" t="s">
        <v>75</v>
      </c>
      <c r="U205" s="6771" t="s">
        <v>3807</v>
      </c>
      <c r="V205" s="6180"/>
    </row>
    <row r="206" spans="16:31" ht="24">
      <c r="P206" s="6831">
        <v>5</v>
      </c>
      <c r="Q206" s="6766" t="s">
        <v>16</v>
      </c>
      <c r="R206" s="6768" t="s">
        <v>3808</v>
      </c>
      <c r="S206" s="6768" t="s">
        <v>3809</v>
      </c>
      <c r="T206" s="6766" t="s">
        <v>3225</v>
      </c>
      <c r="U206" s="6770" t="s">
        <v>3810</v>
      </c>
      <c r="V206" s="6180"/>
    </row>
    <row r="207" spans="16:31">
      <c r="P207" s="6831">
        <v>6</v>
      </c>
      <c r="Q207" s="6766" t="s">
        <v>16</v>
      </c>
      <c r="R207" s="6768" t="s">
        <v>3811</v>
      </c>
      <c r="S207" s="6768" t="s">
        <v>3812</v>
      </c>
      <c r="T207" s="6766" t="s">
        <v>3225</v>
      </c>
      <c r="U207" s="6771" t="s">
        <v>3221</v>
      </c>
      <c r="V207" s="6180"/>
    </row>
    <row r="208" spans="16:31" ht="24">
      <c r="P208" s="6831">
        <v>7</v>
      </c>
      <c r="Q208" s="6766" t="s">
        <v>16</v>
      </c>
      <c r="R208" s="6768" t="s">
        <v>3813</v>
      </c>
      <c r="S208" s="6768" t="s">
        <v>3814</v>
      </c>
      <c r="T208" s="6766" t="s">
        <v>3225</v>
      </c>
      <c r="U208" s="6771" t="s">
        <v>3815</v>
      </c>
      <c r="V208" s="6196" t="s">
        <v>3220</v>
      </c>
    </row>
    <row r="209" spans="16:24" ht="24">
      <c r="P209" s="6831">
        <v>8</v>
      </c>
      <c r="Q209" s="6766" t="s">
        <v>16</v>
      </c>
      <c r="R209" s="6768" t="s">
        <v>3816</v>
      </c>
      <c r="S209" s="6768" t="s">
        <v>3817</v>
      </c>
      <c r="T209" s="6766" t="s">
        <v>3818</v>
      </c>
      <c r="U209" s="6770" t="s">
        <v>3819</v>
      </c>
      <c r="V209" s="6177"/>
    </row>
    <row r="210" spans="16:24" ht="24">
      <c r="P210" s="6831">
        <v>9</v>
      </c>
      <c r="Q210" s="6766" t="s">
        <v>16</v>
      </c>
      <c r="R210" s="6768" t="s">
        <v>3820</v>
      </c>
      <c r="S210" s="6768" t="s">
        <v>3812</v>
      </c>
      <c r="T210" s="6766" t="s">
        <v>3225</v>
      </c>
      <c r="U210" s="6770" t="s">
        <v>3821</v>
      </c>
      <c r="V210" s="6196" t="s">
        <v>3220</v>
      </c>
    </row>
    <row r="211" spans="16:24" ht="24">
      <c r="P211" s="6831">
        <v>10</v>
      </c>
      <c r="Q211" s="6766" t="s">
        <v>16</v>
      </c>
      <c r="R211" s="6768" t="s">
        <v>3822</v>
      </c>
      <c r="S211" s="6768" t="s">
        <v>3823</v>
      </c>
      <c r="T211" s="6766" t="s">
        <v>75</v>
      </c>
      <c r="U211" s="6770" t="s">
        <v>3824</v>
      </c>
      <c r="V211" s="97"/>
    </row>
    <row r="212" spans="16:24" ht="24">
      <c r="P212" s="6831">
        <v>11</v>
      </c>
      <c r="Q212" s="6822" t="s">
        <v>16</v>
      </c>
      <c r="R212" s="6823" t="s">
        <v>3825</v>
      </c>
      <c r="S212" s="6824" t="s">
        <v>3826</v>
      </c>
      <c r="T212" s="6766" t="s">
        <v>3212</v>
      </c>
      <c r="U212" s="6771">
        <v>9786072827998</v>
      </c>
      <c r="V212" s="97"/>
    </row>
    <row r="213" spans="16:24">
      <c r="P213" s="6831">
        <v>12</v>
      </c>
      <c r="Q213" s="6766" t="s">
        <v>16</v>
      </c>
      <c r="R213" s="6768" t="s">
        <v>3827</v>
      </c>
      <c r="S213" s="6768" t="s">
        <v>3828</v>
      </c>
      <c r="T213" s="6766" t="s">
        <v>3829</v>
      </c>
      <c r="U213" s="6770" t="s">
        <v>3830</v>
      </c>
      <c r="V213" s="97"/>
    </row>
    <row r="214" spans="16:24" ht="15" thickBot="1">
      <c r="P214" s="6831">
        <v>13</v>
      </c>
      <c r="Q214" s="6766" t="s">
        <v>16</v>
      </c>
      <c r="R214" s="6768" t="s">
        <v>3831</v>
      </c>
      <c r="S214" s="6768" t="s">
        <v>3828</v>
      </c>
      <c r="T214" s="6766" t="s">
        <v>3829</v>
      </c>
      <c r="U214" s="6770" t="s">
        <v>3832</v>
      </c>
      <c r="V214" s="5634" t="s">
        <v>3189</v>
      </c>
    </row>
    <row r="215" spans="16:24">
      <c r="P215" s="6831">
        <v>14</v>
      </c>
      <c r="Q215" s="6766" t="s">
        <v>16</v>
      </c>
      <c r="R215" s="6768" t="s">
        <v>3833</v>
      </c>
      <c r="S215" s="6768" t="s">
        <v>3828</v>
      </c>
      <c r="T215" s="6766" t="s">
        <v>3829</v>
      </c>
      <c r="U215" s="6770" t="s">
        <v>3834</v>
      </c>
      <c r="V215" s="6197"/>
    </row>
    <row r="216" spans="16:24">
      <c r="P216" s="6831">
        <v>15</v>
      </c>
      <c r="Q216" s="6766" t="s">
        <v>16</v>
      </c>
      <c r="R216" s="6768" t="s">
        <v>3835</v>
      </c>
      <c r="S216" s="6768" t="s">
        <v>3828</v>
      </c>
      <c r="T216" s="6766" t="s">
        <v>3829</v>
      </c>
      <c r="U216" s="6770" t="s">
        <v>3836</v>
      </c>
      <c r="V216" s="6180"/>
    </row>
    <row r="217" spans="16:24">
      <c r="P217" s="6831">
        <v>16</v>
      </c>
      <c r="Q217" s="6766" t="s">
        <v>16</v>
      </c>
      <c r="R217" s="6768" t="s">
        <v>3837</v>
      </c>
      <c r="S217" s="6772" t="s">
        <v>3838</v>
      </c>
      <c r="T217" s="6766" t="s">
        <v>3225</v>
      </c>
      <c r="U217" s="6771" t="s">
        <v>3839</v>
      </c>
      <c r="V217" s="6177"/>
    </row>
    <row r="218" spans="16:24">
      <c r="P218" s="5317"/>
      <c r="Q218" s="5317"/>
      <c r="R218" s="5317"/>
      <c r="S218" s="5317"/>
      <c r="T218" s="5317"/>
      <c r="U218" s="5317"/>
      <c r="V218" s="5317"/>
      <c r="W218" s="5317"/>
      <c r="X218" s="5317"/>
    </row>
    <row r="219" spans="16:24">
      <c r="P219" s="5317"/>
      <c r="Q219" s="5317"/>
      <c r="R219" s="5317"/>
      <c r="S219" s="5317"/>
      <c r="T219" s="5317"/>
      <c r="U219" s="5317"/>
      <c r="V219" s="5317"/>
      <c r="W219" s="5317"/>
      <c r="X219" s="5317"/>
    </row>
    <row r="220" spans="16:24" ht="15" thickBot="1">
      <c r="P220" s="5633" t="s">
        <v>314</v>
      </c>
      <c r="Q220" s="5633" t="s">
        <v>69</v>
      </c>
      <c r="R220" s="5633" t="s">
        <v>3019</v>
      </c>
      <c r="S220" s="6833" t="s">
        <v>3020</v>
      </c>
      <c r="T220" s="5634" t="s">
        <v>3021</v>
      </c>
      <c r="U220" s="5634" t="s">
        <v>3022</v>
      </c>
      <c r="V220" s="6834"/>
    </row>
    <row r="221" spans="16:24" ht="24">
      <c r="P221" s="6784">
        <v>1</v>
      </c>
      <c r="Q221" s="6762" t="s">
        <v>3840</v>
      </c>
      <c r="R221" s="6763" t="s">
        <v>3841</v>
      </c>
      <c r="S221" s="6763" t="s">
        <v>3842</v>
      </c>
      <c r="T221" s="6762" t="s">
        <v>3843</v>
      </c>
      <c r="U221" s="6781" t="s">
        <v>3844</v>
      </c>
      <c r="V221" s="6832"/>
    </row>
    <row r="222" spans="16:24" ht="156">
      <c r="P222" s="6789">
        <v>2</v>
      </c>
      <c r="Q222" s="6766" t="s">
        <v>41</v>
      </c>
      <c r="R222" s="6768" t="s">
        <v>3845</v>
      </c>
      <c r="S222" s="6768" t="s">
        <v>3846</v>
      </c>
      <c r="T222" s="6766" t="s">
        <v>95</v>
      </c>
      <c r="U222" s="6766" t="s">
        <v>3847</v>
      </c>
      <c r="V222" s="6177"/>
    </row>
    <row r="223" spans="16:24">
      <c r="P223" s="6789">
        <v>3</v>
      </c>
      <c r="Q223" s="6822" t="s">
        <v>16</v>
      </c>
      <c r="R223" s="6823" t="s">
        <v>3848</v>
      </c>
      <c r="S223" s="6824" t="s">
        <v>3849</v>
      </c>
      <c r="T223" s="6766" t="s">
        <v>3223</v>
      </c>
      <c r="U223" s="6776">
        <v>9786072826403</v>
      </c>
      <c r="V223" s="6177"/>
    </row>
    <row r="224" spans="16:24" ht="24">
      <c r="P224" s="6789">
        <v>4</v>
      </c>
      <c r="Q224" s="6766" t="s">
        <v>41</v>
      </c>
      <c r="R224" s="6768" t="s">
        <v>3850</v>
      </c>
      <c r="S224" s="6768" t="s">
        <v>3851</v>
      </c>
      <c r="T224" s="6766" t="s">
        <v>95</v>
      </c>
      <c r="U224" s="6776" t="s">
        <v>3852</v>
      </c>
      <c r="V224" s="6177"/>
    </row>
    <row r="225" spans="16:22" ht="24">
      <c r="P225" s="6789">
        <v>5</v>
      </c>
      <c r="Q225" s="6766" t="s">
        <v>41</v>
      </c>
      <c r="R225" s="6767" t="s">
        <v>3850</v>
      </c>
      <c r="S225" s="6768" t="s">
        <v>3851</v>
      </c>
      <c r="T225" s="6766" t="s">
        <v>95</v>
      </c>
      <c r="U225" s="6766" t="s">
        <v>3853</v>
      </c>
      <c r="V225" s="6177"/>
    </row>
    <row r="226" spans="16:22" ht="36">
      <c r="P226" s="6789">
        <v>6</v>
      </c>
      <c r="Q226" s="6822" t="s">
        <v>41</v>
      </c>
      <c r="R226" s="6823" t="s">
        <v>3854</v>
      </c>
      <c r="S226" s="6824" t="s">
        <v>3855</v>
      </c>
      <c r="T226" s="6766" t="s">
        <v>3856</v>
      </c>
      <c r="U226" s="6776">
        <v>9789877228410</v>
      </c>
      <c r="V226" s="6180"/>
    </row>
    <row r="227" spans="16:22">
      <c r="P227" s="6789">
        <v>7</v>
      </c>
      <c r="Q227" s="6766" t="s">
        <v>41</v>
      </c>
      <c r="R227" s="6768" t="s">
        <v>3857</v>
      </c>
      <c r="S227" s="6768" t="s">
        <v>3855</v>
      </c>
      <c r="T227" s="6766" t="s">
        <v>95</v>
      </c>
      <c r="U227" s="6766" t="s">
        <v>3858</v>
      </c>
      <c r="V227" s="6180"/>
    </row>
    <row r="228" spans="16:22" ht="24">
      <c r="P228" s="6789">
        <v>8</v>
      </c>
      <c r="Q228" s="6766" t="s">
        <v>16</v>
      </c>
      <c r="R228" s="6768" t="s">
        <v>3859</v>
      </c>
      <c r="S228" s="6768" t="s">
        <v>3860</v>
      </c>
      <c r="T228" s="6766" t="s">
        <v>75</v>
      </c>
      <c r="U228" s="6776" t="s">
        <v>3861</v>
      </c>
      <c r="V228" s="6180"/>
    </row>
    <row r="229" spans="16:22" ht="72">
      <c r="P229" s="6789">
        <v>9</v>
      </c>
      <c r="Q229" s="6766" t="s">
        <v>41</v>
      </c>
      <c r="R229" s="6768" t="s">
        <v>3862</v>
      </c>
      <c r="S229" s="6768" t="s">
        <v>3863</v>
      </c>
      <c r="T229" s="6766" t="s">
        <v>95</v>
      </c>
      <c r="U229" s="6776" t="s">
        <v>3864</v>
      </c>
      <c r="V229" s="6180"/>
    </row>
    <row r="230" spans="16:22">
      <c r="P230" s="6789">
        <v>10</v>
      </c>
      <c r="Q230" s="6766" t="s">
        <v>16</v>
      </c>
      <c r="R230" s="6768" t="s">
        <v>3865</v>
      </c>
      <c r="S230" s="6768" t="s">
        <v>3866</v>
      </c>
      <c r="T230" s="6766" t="s">
        <v>75</v>
      </c>
      <c r="U230" s="6776" t="s">
        <v>3867</v>
      </c>
      <c r="V230" s="6199"/>
    </row>
    <row r="231" spans="16:22" ht="24">
      <c r="P231" s="6789">
        <v>11</v>
      </c>
      <c r="Q231" s="6766" t="s">
        <v>16</v>
      </c>
      <c r="R231" s="6768" t="s">
        <v>3868</v>
      </c>
      <c r="S231" s="6768" t="s">
        <v>3869</v>
      </c>
      <c r="T231" s="6766" t="s">
        <v>3870</v>
      </c>
      <c r="U231" s="6776" t="s">
        <v>3871</v>
      </c>
      <c r="V231" s="6180"/>
    </row>
    <row r="232" spans="16:22">
      <c r="P232" s="6789">
        <v>12</v>
      </c>
      <c r="Q232" s="6822" t="s">
        <v>3023</v>
      </c>
      <c r="R232" s="6823" t="s">
        <v>3872</v>
      </c>
      <c r="S232" s="6824" t="s">
        <v>3873</v>
      </c>
      <c r="T232" s="6766"/>
      <c r="U232" s="6776">
        <v>9786072829602</v>
      </c>
      <c r="V232" s="6180"/>
    </row>
    <row r="233" spans="16:22" ht="24">
      <c r="P233" s="6789">
        <v>13</v>
      </c>
      <c r="Q233" s="6766" t="s">
        <v>16</v>
      </c>
      <c r="R233" s="6768" t="s">
        <v>3874</v>
      </c>
      <c r="S233" s="6768" t="s">
        <v>3875</v>
      </c>
      <c r="T233" s="6766" t="s">
        <v>75</v>
      </c>
      <c r="U233" s="6776" t="s">
        <v>3876</v>
      </c>
      <c r="V233" s="6177"/>
    </row>
    <row r="234" spans="16:22">
      <c r="P234" s="6789">
        <v>14</v>
      </c>
      <c r="Q234" s="6766" t="s">
        <v>16</v>
      </c>
      <c r="R234" s="6768" t="s">
        <v>3877</v>
      </c>
      <c r="S234" s="6768" t="s">
        <v>3878</v>
      </c>
      <c r="T234" s="6766" t="s">
        <v>75</v>
      </c>
      <c r="U234" s="6776" t="s">
        <v>3879</v>
      </c>
      <c r="V234" s="6199"/>
    </row>
    <row r="235" spans="16:22">
      <c r="P235" s="6789">
        <v>15</v>
      </c>
      <c r="Q235" s="6766" t="s">
        <v>16</v>
      </c>
      <c r="R235" s="6768" t="s">
        <v>3880</v>
      </c>
      <c r="S235" s="6768" t="s">
        <v>3881</v>
      </c>
      <c r="T235" s="6766" t="s">
        <v>3882</v>
      </c>
      <c r="U235" s="6776" t="s">
        <v>3883</v>
      </c>
      <c r="V235" s="6180"/>
    </row>
    <row r="236" spans="16:22">
      <c r="P236" s="6789">
        <v>16</v>
      </c>
      <c r="Q236" s="6822" t="s">
        <v>16</v>
      </c>
      <c r="R236" s="6823" t="s">
        <v>3884</v>
      </c>
      <c r="S236" s="6824" t="s">
        <v>3885</v>
      </c>
      <c r="T236" s="6766"/>
      <c r="U236" s="6776">
        <v>9786072827189</v>
      </c>
      <c r="V236" s="6180"/>
    </row>
    <row r="237" spans="16:22">
      <c r="P237" s="6789">
        <v>17</v>
      </c>
      <c r="Q237" s="6822" t="s">
        <v>21</v>
      </c>
      <c r="R237" s="6823" t="s">
        <v>3886</v>
      </c>
      <c r="S237" s="6824" t="s">
        <v>3887</v>
      </c>
      <c r="T237" s="6766"/>
      <c r="U237" s="6776">
        <v>9786072827578</v>
      </c>
      <c r="V237" s="6177"/>
    </row>
    <row r="238" spans="16:22" ht="24">
      <c r="P238" s="6789">
        <v>18</v>
      </c>
      <c r="Q238" s="6766" t="s">
        <v>16</v>
      </c>
      <c r="R238" s="6768" t="s">
        <v>3888</v>
      </c>
      <c r="S238" s="6768" t="s">
        <v>3889</v>
      </c>
      <c r="T238" s="6766" t="s">
        <v>75</v>
      </c>
      <c r="U238" s="6766" t="s">
        <v>3890</v>
      </c>
      <c r="V238" s="6177"/>
    </row>
    <row r="239" spans="16:22" ht="24">
      <c r="P239" s="6789">
        <v>19</v>
      </c>
      <c r="Q239" s="6766" t="s">
        <v>16</v>
      </c>
      <c r="R239" s="6768" t="s">
        <v>3891</v>
      </c>
      <c r="S239" s="6768" t="s">
        <v>3892</v>
      </c>
      <c r="T239" s="6766" t="s">
        <v>3893</v>
      </c>
      <c r="U239" s="6776" t="s">
        <v>3894</v>
      </c>
      <c r="V239" s="6199"/>
    </row>
    <row r="240" spans="16:22">
      <c r="P240" s="6789">
        <v>20</v>
      </c>
      <c r="Q240" s="6766" t="s">
        <v>16</v>
      </c>
      <c r="R240" s="6768" t="s">
        <v>3895</v>
      </c>
      <c r="S240" s="6768" t="s">
        <v>3896</v>
      </c>
      <c r="T240" s="6766" t="s">
        <v>3897</v>
      </c>
      <c r="U240" s="6776" t="s">
        <v>3898</v>
      </c>
      <c r="V240" s="6177"/>
    </row>
    <row r="241" spans="16:22" ht="24">
      <c r="P241" s="6789">
        <v>21</v>
      </c>
      <c r="Q241" s="6766" t="s">
        <v>16</v>
      </c>
      <c r="R241" s="6768" t="s">
        <v>3899</v>
      </c>
      <c r="S241" s="6768" t="s">
        <v>3900</v>
      </c>
      <c r="T241" s="6766" t="s">
        <v>75</v>
      </c>
      <c r="U241" s="6776" t="s">
        <v>3901</v>
      </c>
      <c r="V241" s="6199"/>
    </row>
    <row r="242" spans="16:22">
      <c r="P242" s="6789">
        <v>22</v>
      </c>
      <c r="Q242" s="6822" t="s">
        <v>16</v>
      </c>
      <c r="R242" s="6823" t="s">
        <v>3902</v>
      </c>
      <c r="S242" s="6824" t="s">
        <v>3903</v>
      </c>
      <c r="T242" s="6766"/>
      <c r="U242" s="6776">
        <v>9786072827479</v>
      </c>
      <c r="V242" s="6199"/>
    </row>
    <row r="243" spans="16:22" ht="24">
      <c r="P243" s="6789">
        <v>23</v>
      </c>
      <c r="Q243" s="6766" t="s">
        <v>16</v>
      </c>
      <c r="R243" s="6768" t="s">
        <v>3904</v>
      </c>
      <c r="S243" s="6768" t="s">
        <v>3905</v>
      </c>
      <c r="T243" s="6766" t="s">
        <v>75</v>
      </c>
      <c r="U243" s="6776" t="s">
        <v>3906</v>
      </c>
      <c r="V243" s="6199"/>
    </row>
    <row r="244" spans="16:22">
      <c r="P244" s="6789">
        <v>24</v>
      </c>
      <c r="Q244" s="6822" t="s">
        <v>16</v>
      </c>
      <c r="R244" s="6823" t="s">
        <v>3907</v>
      </c>
      <c r="S244" s="6824" t="s">
        <v>3908</v>
      </c>
      <c r="T244" s="6766" t="s">
        <v>3224</v>
      </c>
      <c r="U244" s="6776">
        <v>9786072828933</v>
      </c>
      <c r="V244" s="6199"/>
    </row>
    <row r="245" spans="16:22">
      <c r="P245" s="6789">
        <v>25</v>
      </c>
      <c r="Q245" s="6766" t="s">
        <v>16</v>
      </c>
      <c r="R245" s="6768" t="s">
        <v>3909</v>
      </c>
      <c r="S245" s="6768" t="s">
        <v>3910</v>
      </c>
      <c r="T245" s="6766" t="s">
        <v>75</v>
      </c>
      <c r="U245" s="6776" t="s">
        <v>3911</v>
      </c>
      <c r="V245" s="6177"/>
    </row>
    <row r="246" spans="16:22">
      <c r="P246" s="6789">
        <v>26</v>
      </c>
      <c r="Q246" s="6822" t="s">
        <v>16</v>
      </c>
      <c r="R246" s="6823" t="s">
        <v>3912</v>
      </c>
      <c r="S246" s="6824" t="s">
        <v>3913</v>
      </c>
      <c r="T246" s="6766"/>
      <c r="U246" s="6776">
        <v>9786072827295</v>
      </c>
      <c r="V246" s="6199"/>
    </row>
    <row r="247" spans="16:22" ht="48">
      <c r="P247" s="6789">
        <v>27</v>
      </c>
      <c r="Q247" s="6766" t="s">
        <v>3840</v>
      </c>
      <c r="R247" s="6768" t="s">
        <v>3914</v>
      </c>
      <c r="S247" s="6768" t="s">
        <v>3915</v>
      </c>
      <c r="T247" s="6766" t="s">
        <v>3916</v>
      </c>
      <c r="U247" s="6776" t="s">
        <v>3917</v>
      </c>
      <c r="V247" s="6177"/>
    </row>
    <row r="248" spans="16:22">
      <c r="P248" s="6789">
        <v>28</v>
      </c>
      <c r="Q248" s="6766" t="s">
        <v>3918</v>
      </c>
      <c r="R248" s="6768" t="s">
        <v>3919</v>
      </c>
      <c r="S248" s="6768" t="s">
        <v>3920</v>
      </c>
      <c r="T248" s="6766" t="s">
        <v>75</v>
      </c>
      <c r="U248" s="6776">
        <v>9786072827578</v>
      </c>
      <c r="V248" s="6177"/>
    </row>
    <row r="249" spans="16:22" ht="24">
      <c r="P249" s="6789">
        <v>29</v>
      </c>
      <c r="Q249" s="6766" t="s">
        <v>16</v>
      </c>
      <c r="R249" s="6768" t="s">
        <v>3921</v>
      </c>
      <c r="S249" s="6768" t="s">
        <v>3922</v>
      </c>
      <c r="T249" s="6766" t="s">
        <v>75</v>
      </c>
      <c r="U249" s="6776" t="s">
        <v>3923</v>
      </c>
      <c r="V249" s="6180"/>
    </row>
    <row r="250" spans="16:22">
      <c r="P250" s="6789">
        <v>30</v>
      </c>
      <c r="Q250" s="6766" t="s">
        <v>16</v>
      </c>
      <c r="R250" s="6768" t="s">
        <v>3924</v>
      </c>
      <c r="S250" s="6768" t="s">
        <v>3925</v>
      </c>
      <c r="T250" s="6766" t="s">
        <v>3926</v>
      </c>
      <c r="U250" s="6776" t="s">
        <v>3927</v>
      </c>
      <c r="V250" s="6177"/>
    </row>
    <row r="251" spans="16:22" ht="36">
      <c r="P251" s="6789">
        <v>31</v>
      </c>
      <c r="Q251" s="6766" t="s">
        <v>3840</v>
      </c>
      <c r="R251" s="6768" t="s">
        <v>3928</v>
      </c>
      <c r="S251" s="6768" t="s">
        <v>3929</v>
      </c>
      <c r="T251" s="6766" t="s">
        <v>3930</v>
      </c>
      <c r="U251" s="6776" t="s">
        <v>3931</v>
      </c>
      <c r="V251" s="6199"/>
    </row>
    <row r="252" spans="16:22" ht="24">
      <c r="P252" s="6789">
        <v>32</v>
      </c>
      <c r="Q252" s="6766" t="s">
        <v>16</v>
      </c>
      <c r="R252" s="6768" t="s">
        <v>3932</v>
      </c>
      <c r="S252" s="6768" t="s">
        <v>3933</v>
      </c>
      <c r="T252" s="6766" t="s">
        <v>75</v>
      </c>
      <c r="U252" s="6776" t="s">
        <v>3934</v>
      </c>
      <c r="V252" s="6177"/>
    </row>
    <row r="253" spans="16:22" ht="24">
      <c r="P253" s="6789">
        <v>33</v>
      </c>
      <c r="Q253" s="6766" t="s">
        <v>3918</v>
      </c>
      <c r="R253" s="6768" t="s">
        <v>3935</v>
      </c>
      <c r="S253" s="6768" t="s">
        <v>3936</v>
      </c>
      <c r="T253" s="6766" t="s">
        <v>75</v>
      </c>
      <c r="U253" s="6776">
        <v>9786072827912</v>
      </c>
      <c r="V253" s="6177"/>
    </row>
    <row r="254" spans="16:22">
      <c r="P254" s="6789">
        <v>34</v>
      </c>
      <c r="Q254" s="6766" t="s">
        <v>16</v>
      </c>
      <c r="R254" s="6768" t="s">
        <v>3937</v>
      </c>
      <c r="S254" s="6768" t="s">
        <v>3875</v>
      </c>
      <c r="T254" s="6766" t="s">
        <v>3897</v>
      </c>
      <c r="U254" s="6766" t="s">
        <v>3938</v>
      </c>
      <c r="V254" s="6180"/>
    </row>
    <row r="255" spans="16:22">
      <c r="P255" s="6789">
        <v>35</v>
      </c>
      <c r="Q255" s="6766" t="s">
        <v>16</v>
      </c>
      <c r="R255" s="6768" t="s">
        <v>3939</v>
      </c>
      <c r="S255" s="6768" t="s">
        <v>3940</v>
      </c>
      <c r="T255" s="6766" t="s">
        <v>75</v>
      </c>
      <c r="U255" s="6776" t="s">
        <v>3941</v>
      </c>
      <c r="V255" s="6199"/>
    </row>
    <row r="256" spans="16:22">
      <c r="P256" s="6789">
        <v>36</v>
      </c>
      <c r="Q256" s="6822" t="s">
        <v>16</v>
      </c>
      <c r="R256" s="6823" t="s">
        <v>3942</v>
      </c>
      <c r="S256" s="6824" t="s">
        <v>3943</v>
      </c>
      <c r="T256" s="6766" t="s">
        <v>3944</v>
      </c>
      <c r="U256" s="6776">
        <v>9786072827936</v>
      </c>
      <c r="V256" s="6177"/>
    </row>
    <row r="257" spans="16:22">
      <c r="P257" s="6789">
        <v>37</v>
      </c>
      <c r="Q257" s="6822" t="s">
        <v>21</v>
      </c>
      <c r="R257" s="6823" t="s">
        <v>3945</v>
      </c>
      <c r="S257" s="6824" t="s">
        <v>3946</v>
      </c>
      <c r="T257" s="6766"/>
      <c r="U257" s="6776">
        <v>9786072820708</v>
      </c>
      <c r="V257" s="6180"/>
    </row>
    <row r="258" spans="16:22">
      <c r="P258" s="6789">
        <v>38</v>
      </c>
      <c r="Q258" s="6822" t="s">
        <v>16</v>
      </c>
      <c r="R258" s="6823" t="s">
        <v>3947</v>
      </c>
      <c r="S258" s="6824" t="s">
        <v>3948</v>
      </c>
      <c r="T258" s="6766"/>
      <c r="U258" s="6776">
        <v>9786072827981</v>
      </c>
      <c r="V258" s="6177"/>
    </row>
    <row r="259" spans="16:22" ht="24">
      <c r="P259" s="6789">
        <v>39</v>
      </c>
      <c r="Q259" s="6766" t="s">
        <v>16</v>
      </c>
      <c r="R259" s="6768" t="s">
        <v>3949</v>
      </c>
      <c r="S259" s="6768" t="s">
        <v>3950</v>
      </c>
      <c r="T259" s="6766" t="s">
        <v>75</v>
      </c>
      <c r="U259" s="6776" t="s">
        <v>3951</v>
      </c>
      <c r="V259" s="6177"/>
    </row>
    <row r="260" spans="16:22" ht="24">
      <c r="P260" s="6789">
        <v>40</v>
      </c>
      <c r="Q260" s="6766" t="s">
        <v>41</v>
      </c>
      <c r="R260" s="6767" t="s">
        <v>3952</v>
      </c>
      <c r="S260" s="6768" t="s">
        <v>3953</v>
      </c>
      <c r="T260" s="6766" t="s">
        <v>95</v>
      </c>
      <c r="U260" s="6776" t="s">
        <v>3954</v>
      </c>
      <c r="V260" s="6199"/>
    </row>
    <row r="261" spans="16:22" ht="24">
      <c r="P261" s="6789">
        <v>41</v>
      </c>
      <c r="Q261" s="6766" t="s">
        <v>41</v>
      </c>
      <c r="R261" s="6768" t="s">
        <v>3952</v>
      </c>
      <c r="S261" s="6768" t="s">
        <v>3953</v>
      </c>
      <c r="T261" s="6766" t="s">
        <v>95</v>
      </c>
      <c r="U261" s="6776" t="s">
        <v>3955</v>
      </c>
      <c r="V261" s="6199"/>
    </row>
    <row r="262" spans="16:22">
      <c r="P262" s="6789">
        <v>42</v>
      </c>
      <c r="Q262" s="6822" t="s">
        <v>16</v>
      </c>
      <c r="R262" s="6823" t="s">
        <v>3956</v>
      </c>
      <c r="S262" s="6824" t="s">
        <v>3957</v>
      </c>
      <c r="T262" s="6766"/>
      <c r="U262" s="6776">
        <v>9786072827431</v>
      </c>
      <c r="V262" s="6180"/>
    </row>
    <row r="263" spans="16:22" ht="24">
      <c r="P263" s="6789">
        <v>43</v>
      </c>
      <c r="Q263" s="6766" t="s">
        <v>16</v>
      </c>
      <c r="R263" s="6768" t="s">
        <v>3958</v>
      </c>
      <c r="S263" s="6768" t="s">
        <v>3959</v>
      </c>
      <c r="T263" s="6766" t="s">
        <v>75</v>
      </c>
      <c r="U263" s="6766" t="s">
        <v>3960</v>
      </c>
      <c r="V263" s="6199"/>
    </row>
    <row r="264" spans="16:22">
      <c r="P264" s="6789">
        <v>44</v>
      </c>
      <c r="Q264" s="6822" t="s">
        <v>3023</v>
      </c>
      <c r="R264" s="6823" t="s">
        <v>3961</v>
      </c>
      <c r="S264" s="6824" t="s">
        <v>3962</v>
      </c>
      <c r="T264" s="6766"/>
      <c r="U264" s="6776">
        <v>9786072827066</v>
      </c>
      <c r="V264" s="6180"/>
    </row>
    <row r="265" spans="16:22" ht="24">
      <c r="P265" s="6789">
        <v>45</v>
      </c>
      <c r="Q265" s="6766" t="s">
        <v>3840</v>
      </c>
      <c r="R265" s="6768" t="s">
        <v>3963</v>
      </c>
      <c r="S265" s="6768" t="s">
        <v>3964</v>
      </c>
      <c r="T265" s="6766" t="s">
        <v>3965</v>
      </c>
      <c r="U265" s="6776" t="s">
        <v>3966</v>
      </c>
      <c r="V265" s="6180"/>
    </row>
    <row r="266" spans="16:22">
      <c r="P266" s="6789">
        <v>46</v>
      </c>
      <c r="Q266" s="6766" t="s">
        <v>16</v>
      </c>
      <c r="R266" s="6768" t="s">
        <v>3967</v>
      </c>
      <c r="S266" s="6768" t="s">
        <v>3968</v>
      </c>
      <c r="T266" s="6766" t="s">
        <v>75</v>
      </c>
      <c r="U266" s="6776" t="s">
        <v>3969</v>
      </c>
      <c r="V266" s="6180"/>
    </row>
    <row r="267" spans="16:22" ht="24">
      <c r="P267" s="6789">
        <v>47</v>
      </c>
      <c r="Q267" s="6766" t="s">
        <v>16</v>
      </c>
      <c r="R267" s="6768" t="s">
        <v>3970</v>
      </c>
      <c r="S267" s="6768" t="s">
        <v>3971</v>
      </c>
      <c r="T267" s="6766" t="s">
        <v>3972</v>
      </c>
      <c r="U267" s="6776" t="s">
        <v>3973</v>
      </c>
      <c r="V267" s="6177"/>
    </row>
    <row r="268" spans="16:22">
      <c r="P268" s="6789">
        <v>48</v>
      </c>
      <c r="Q268" s="6766" t="s">
        <v>16</v>
      </c>
      <c r="R268" s="6768" t="s">
        <v>3974</v>
      </c>
      <c r="S268" s="6768" t="s">
        <v>3975</v>
      </c>
      <c r="T268" s="6766" t="s">
        <v>3976</v>
      </c>
      <c r="U268" s="6766" t="s">
        <v>3977</v>
      </c>
      <c r="V268" s="6180"/>
    </row>
    <row r="269" spans="16:22" ht="24">
      <c r="P269" s="6789">
        <v>49</v>
      </c>
      <c r="Q269" s="6766" t="s">
        <v>16</v>
      </c>
      <c r="R269" s="6768" t="s">
        <v>3978</v>
      </c>
      <c r="S269" s="6768" t="s">
        <v>3979</v>
      </c>
      <c r="T269" s="6766" t="s">
        <v>3024</v>
      </c>
      <c r="U269" s="6776" t="s">
        <v>3980</v>
      </c>
      <c r="V269" s="6199" t="s">
        <v>3226</v>
      </c>
    </row>
    <row r="270" spans="16:22">
      <c r="P270" s="6789">
        <v>50</v>
      </c>
      <c r="Q270" s="6766" t="s">
        <v>16</v>
      </c>
      <c r="R270" s="6767" t="s">
        <v>3981</v>
      </c>
      <c r="S270" s="6768" t="s">
        <v>3982</v>
      </c>
      <c r="T270" s="6766"/>
      <c r="U270" s="6776">
        <v>9786072823617</v>
      </c>
      <c r="V270" s="6200"/>
    </row>
    <row r="271" spans="16:22">
      <c r="P271" s="6789">
        <v>51</v>
      </c>
      <c r="Q271" s="6822" t="s">
        <v>16</v>
      </c>
      <c r="R271" s="6823" t="s">
        <v>3983</v>
      </c>
      <c r="S271" s="6824" t="s">
        <v>3984</v>
      </c>
      <c r="T271" s="6766"/>
      <c r="U271" s="6776">
        <v>9786072827233</v>
      </c>
      <c r="V271" s="6200"/>
    </row>
    <row r="272" spans="16:22" ht="24">
      <c r="P272" s="6789">
        <v>52</v>
      </c>
      <c r="Q272" s="6766" t="s">
        <v>3985</v>
      </c>
      <c r="R272" s="6768" t="s">
        <v>3986</v>
      </c>
      <c r="S272" s="6768" t="s">
        <v>3987</v>
      </c>
      <c r="T272" s="6766" t="s">
        <v>3988</v>
      </c>
      <c r="U272" s="6776">
        <v>9786072829398</v>
      </c>
      <c r="V272" s="6200"/>
    </row>
    <row r="273" spans="16:22" ht="24">
      <c r="P273" s="6789">
        <v>53</v>
      </c>
      <c r="Q273" s="6766" t="s">
        <v>16</v>
      </c>
      <c r="R273" s="6768" t="s">
        <v>3989</v>
      </c>
      <c r="S273" s="6768" t="s">
        <v>3990</v>
      </c>
      <c r="T273" s="6766" t="s">
        <v>3972</v>
      </c>
      <c r="U273" s="6776" t="s">
        <v>3991</v>
      </c>
      <c r="V273" s="6200"/>
    </row>
    <row r="274" spans="16:22">
      <c r="P274" s="6789">
        <v>54</v>
      </c>
      <c r="Q274" s="6766" t="s">
        <v>16</v>
      </c>
      <c r="R274" s="6768" t="s">
        <v>3992</v>
      </c>
      <c r="S274" s="6768" t="s">
        <v>3993</v>
      </c>
      <c r="T274" s="6766" t="s">
        <v>3994</v>
      </c>
      <c r="U274" s="6776" t="s">
        <v>3995</v>
      </c>
      <c r="V274" s="6201"/>
    </row>
    <row r="275" spans="16:22" ht="24">
      <c r="P275" s="6789">
        <v>55</v>
      </c>
      <c r="Q275" s="6766" t="s">
        <v>16</v>
      </c>
      <c r="R275" s="6768" t="s">
        <v>3996</v>
      </c>
      <c r="S275" s="6768" t="s">
        <v>3997</v>
      </c>
      <c r="T275" s="6766" t="s">
        <v>75</v>
      </c>
      <c r="U275" s="6776" t="s">
        <v>3998</v>
      </c>
      <c r="V275" s="6202"/>
    </row>
    <row r="276" spans="16:22">
      <c r="P276" s="6789">
        <v>56</v>
      </c>
      <c r="Q276" s="6766" t="s">
        <v>16</v>
      </c>
      <c r="R276" s="6768" t="s">
        <v>3999</v>
      </c>
      <c r="S276" s="6768" t="s">
        <v>4000</v>
      </c>
      <c r="T276" s="6766" t="s">
        <v>75</v>
      </c>
      <c r="U276" s="6776" t="s">
        <v>4001</v>
      </c>
      <c r="V276" s="6202" t="s">
        <v>3226</v>
      </c>
    </row>
    <row r="277" spans="16:22" ht="24">
      <c r="P277" s="6789">
        <v>57</v>
      </c>
      <c r="Q277" s="6766" t="s">
        <v>41</v>
      </c>
      <c r="R277" s="6768" t="s">
        <v>4002</v>
      </c>
      <c r="S277" s="6768" t="s">
        <v>4003</v>
      </c>
      <c r="T277" s="6766" t="s">
        <v>95</v>
      </c>
      <c r="U277" s="6776" t="s">
        <v>4004</v>
      </c>
      <c r="V277" s="6200"/>
    </row>
    <row r="278" spans="16:22" ht="24">
      <c r="P278" s="6789">
        <v>58</v>
      </c>
      <c r="Q278" s="6766" t="s">
        <v>41</v>
      </c>
      <c r="R278" s="6768" t="s">
        <v>4002</v>
      </c>
      <c r="S278" s="6768" t="s">
        <v>4003</v>
      </c>
      <c r="T278" s="6766" t="s">
        <v>95</v>
      </c>
      <c r="U278" s="6776" t="s">
        <v>4005</v>
      </c>
      <c r="V278" s="6201"/>
    </row>
    <row r="279" spans="16:22">
      <c r="P279" s="6789">
        <v>59</v>
      </c>
      <c r="Q279" s="6822" t="s">
        <v>16</v>
      </c>
      <c r="R279" s="6823" t="s">
        <v>4006</v>
      </c>
      <c r="S279" s="6824" t="s">
        <v>4007</v>
      </c>
      <c r="T279" s="6766"/>
      <c r="U279" s="6776">
        <v>9786072827356</v>
      </c>
      <c r="V279" s="6202"/>
    </row>
    <row r="280" spans="16:22">
      <c r="P280" s="6789">
        <v>60</v>
      </c>
      <c r="Q280" s="6822" t="s">
        <v>16</v>
      </c>
      <c r="R280" s="6823" t="s">
        <v>4008</v>
      </c>
      <c r="S280" s="6824" t="s">
        <v>3908</v>
      </c>
      <c r="T280" s="6766" t="s">
        <v>4009</v>
      </c>
      <c r="U280" s="6776">
        <v>9786072827950</v>
      </c>
      <c r="V280" s="6201"/>
    </row>
    <row r="281" spans="16:22" ht="24">
      <c r="P281" s="6789">
        <v>61</v>
      </c>
      <c r="Q281" s="6766" t="s">
        <v>3840</v>
      </c>
      <c r="R281" s="6768" t="s">
        <v>4010</v>
      </c>
      <c r="S281" s="6768" t="s">
        <v>4011</v>
      </c>
      <c r="T281" s="6766" t="s">
        <v>3965</v>
      </c>
      <c r="U281" s="6776" t="s">
        <v>4012</v>
      </c>
      <c r="V281" s="6201"/>
    </row>
    <row r="282" spans="16:22">
      <c r="P282" s="6789">
        <v>62</v>
      </c>
      <c r="Q282" s="6766" t="s">
        <v>16</v>
      </c>
      <c r="R282" s="6768" t="s">
        <v>4013</v>
      </c>
      <c r="S282" s="6768" t="s">
        <v>4014</v>
      </c>
      <c r="T282" s="6766" t="s">
        <v>75</v>
      </c>
      <c r="U282" s="6776" t="s">
        <v>4015</v>
      </c>
      <c r="V282" s="6201"/>
    </row>
    <row r="283" spans="16:22" ht="24">
      <c r="P283" s="6789">
        <v>63</v>
      </c>
      <c r="Q283" s="6766" t="s">
        <v>3840</v>
      </c>
      <c r="R283" s="6768" t="s">
        <v>4016</v>
      </c>
      <c r="S283" s="6768" t="s">
        <v>4017</v>
      </c>
      <c r="T283" s="6766" t="s">
        <v>4018</v>
      </c>
      <c r="U283" s="6776" t="s">
        <v>4019</v>
      </c>
      <c r="V283" s="6202"/>
    </row>
    <row r="284" spans="16:22" ht="24">
      <c r="P284" s="6789">
        <v>64</v>
      </c>
      <c r="Q284" s="6766" t="s">
        <v>41</v>
      </c>
      <c r="R284" s="6768" t="s">
        <v>4020</v>
      </c>
      <c r="S284" s="6768" t="s">
        <v>4021</v>
      </c>
      <c r="T284" s="6766" t="s">
        <v>95</v>
      </c>
      <c r="U284" s="6776" t="s">
        <v>4022</v>
      </c>
      <c r="V284" s="6201"/>
    </row>
    <row r="285" spans="16:22" ht="24">
      <c r="P285" s="6789">
        <v>65</v>
      </c>
      <c r="Q285" s="6766" t="s">
        <v>41</v>
      </c>
      <c r="R285" s="6768" t="s">
        <v>4020</v>
      </c>
      <c r="S285" s="6768" t="s">
        <v>4021</v>
      </c>
      <c r="T285" s="6766" t="s">
        <v>95</v>
      </c>
      <c r="U285" s="6776" t="s">
        <v>4023</v>
      </c>
      <c r="V285" s="6202"/>
    </row>
    <row r="286" spans="16:22" ht="24">
      <c r="P286" s="6789">
        <v>66</v>
      </c>
      <c r="Q286" s="6822" t="s">
        <v>41</v>
      </c>
      <c r="R286" s="6823" t="s">
        <v>4024</v>
      </c>
      <c r="S286" s="6824" t="s">
        <v>4025</v>
      </c>
      <c r="T286" s="6766"/>
      <c r="U286" s="6776">
        <v>9786072827493</v>
      </c>
      <c r="V286" s="6201"/>
    </row>
    <row r="287" spans="16:22" ht="24">
      <c r="P287" s="6789">
        <v>67</v>
      </c>
      <c r="Q287" s="6766" t="s">
        <v>41</v>
      </c>
      <c r="R287" s="6768" t="s">
        <v>4026</v>
      </c>
      <c r="S287" s="6768" t="s">
        <v>4027</v>
      </c>
      <c r="T287" s="6766" t="s">
        <v>95</v>
      </c>
      <c r="U287" s="6766" t="s">
        <v>4028</v>
      </c>
      <c r="V287" s="6201"/>
    </row>
    <row r="288" spans="16:22" ht="24">
      <c r="P288" s="6789">
        <v>68</v>
      </c>
      <c r="Q288" s="6766" t="s">
        <v>41</v>
      </c>
      <c r="R288" s="6768" t="s">
        <v>4026</v>
      </c>
      <c r="S288" s="6768" t="s">
        <v>4027</v>
      </c>
      <c r="T288" s="6766" t="s">
        <v>95</v>
      </c>
      <c r="U288" s="6776" t="s">
        <v>4029</v>
      </c>
      <c r="V288" s="6203"/>
    </row>
    <row r="289" spans="16:22">
      <c r="P289" s="6789">
        <v>69</v>
      </c>
      <c r="Q289" s="6822" t="s">
        <v>16</v>
      </c>
      <c r="R289" s="6823" t="s">
        <v>4030</v>
      </c>
      <c r="S289" s="6824" t="s">
        <v>4031</v>
      </c>
      <c r="T289" s="6766" t="s">
        <v>4009</v>
      </c>
      <c r="U289" s="6776">
        <v>9786072825475</v>
      </c>
      <c r="V289" s="97"/>
    </row>
    <row r="290" spans="16:22" ht="24">
      <c r="P290" s="6789">
        <v>70</v>
      </c>
      <c r="Q290" s="6766" t="s">
        <v>41</v>
      </c>
      <c r="R290" s="6768" t="s">
        <v>4032</v>
      </c>
      <c r="S290" s="6768" t="s">
        <v>4033</v>
      </c>
      <c r="T290" s="6766" t="s">
        <v>95</v>
      </c>
      <c r="U290" s="6776" t="s">
        <v>4034</v>
      </c>
      <c r="V290" s="97"/>
    </row>
    <row r="291" spans="16:22">
      <c r="P291" s="6789">
        <v>71</v>
      </c>
      <c r="Q291" s="6822" t="s">
        <v>16</v>
      </c>
      <c r="R291" s="6823" t="s">
        <v>4035</v>
      </c>
      <c r="S291" s="6824" t="s">
        <v>4036</v>
      </c>
      <c r="T291" s="6766" t="s">
        <v>3944</v>
      </c>
      <c r="U291" s="6776">
        <v>9786072827127</v>
      </c>
      <c r="V291" s="97"/>
    </row>
    <row r="292" spans="16:22" ht="15" thickBot="1">
      <c r="P292" s="6789">
        <v>72</v>
      </c>
      <c r="Q292" s="6822" t="s">
        <v>41</v>
      </c>
      <c r="R292" s="6823" t="s">
        <v>4037</v>
      </c>
      <c r="S292" s="6824" t="s">
        <v>4038</v>
      </c>
      <c r="T292" s="6766"/>
      <c r="U292" s="6776">
        <v>9786072822320</v>
      </c>
      <c r="V292" s="3406" t="s">
        <v>3189</v>
      </c>
    </row>
    <row r="293" spans="16:22" ht="24">
      <c r="P293" s="6789">
        <v>73</v>
      </c>
      <c r="Q293" s="6766" t="s">
        <v>16</v>
      </c>
      <c r="R293" s="6768" t="s">
        <v>4039</v>
      </c>
      <c r="S293" s="6768" t="s">
        <v>4040</v>
      </c>
      <c r="T293" s="6766" t="s">
        <v>75</v>
      </c>
      <c r="U293" s="6766" t="s">
        <v>4041</v>
      </c>
      <c r="V293" s="6204"/>
    </row>
    <row r="294" spans="16:22" ht="24">
      <c r="P294" s="6789">
        <v>74</v>
      </c>
      <c r="Q294" s="6766" t="s">
        <v>16</v>
      </c>
      <c r="R294" s="6768" t="s">
        <v>4042</v>
      </c>
      <c r="S294" s="6768" t="s">
        <v>4043</v>
      </c>
      <c r="T294" s="6766" t="s">
        <v>75</v>
      </c>
      <c r="U294" s="6776" t="s">
        <v>4044</v>
      </c>
      <c r="V294" s="6177"/>
    </row>
    <row r="295" spans="16:22" ht="24">
      <c r="P295" s="6789">
        <v>75</v>
      </c>
      <c r="Q295" s="6766" t="s">
        <v>16</v>
      </c>
      <c r="R295" s="6768" t="s">
        <v>4045</v>
      </c>
      <c r="S295" s="6768" t="s">
        <v>4046</v>
      </c>
      <c r="T295" s="6766" t="s">
        <v>75</v>
      </c>
      <c r="U295" s="6776" t="s">
        <v>4047</v>
      </c>
      <c r="V295" s="6177"/>
    </row>
    <row r="296" spans="16:22" ht="24">
      <c r="P296" s="6789">
        <v>76</v>
      </c>
      <c r="Q296" s="6766" t="s">
        <v>16</v>
      </c>
      <c r="R296" s="6768" t="s">
        <v>4048</v>
      </c>
      <c r="S296" s="6768" t="s">
        <v>4046</v>
      </c>
      <c r="T296" s="6766" t="s">
        <v>75</v>
      </c>
      <c r="U296" s="6776" t="s">
        <v>4049</v>
      </c>
      <c r="V296" s="6177"/>
    </row>
    <row r="297" spans="16:22">
      <c r="P297" s="6789">
        <v>77</v>
      </c>
      <c r="Q297" s="6766" t="s">
        <v>16</v>
      </c>
      <c r="R297" s="6767" t="s">
        <v>4050</v>
      </c>
      <c r="S297" s="6768" t="s">
        <v>4051</v>
      </c>
      <c r="T297" s="6766" t="s">
        <v>3212</v>
      </c>
      <c r="U297" s="6776">
        <v>9786072826793</v>
      </c>
      <c r="V297" s="6177"/>
    </row>
    <row r="298" spans="16:22" ht="24">
      <c r="P298" s="6789">
        <v>78</v>
      </c>
      <c r="Q298" s="6766" t="s">
        <v>41</v>
      </c>
      <c r="R298" s="6768" t="s">
        <v>4052</v>
      </c>
      <c r="S298" s="6768" t="s">
        <v>4053</v>
      </c>
      <c r="T298" s="6766" t="s">
        <v>95</v>
      </c>
      <c r="U298" s="6776" t="s">
        <v>4054</v>
      </c>
      <c r="V298" s="6180"/>
    </row>
    <row r="299" spans="16:22" ht="24">
      <c r="P299" s="6789">
        <v>79</v>
      </c>
      <c r="Q299" s="6766" t="s">
        <v>41</v>
      </c>
      <c r="R299" s="6768" t="s">
        <v>4052</v>
      </c>
      <c r="S299" s="6768" t="s">
        <v>4053</v>
      </c>
      <c r="T299" s="6766" t="s">
        <v>95</v>
      </c>
      <c r="U299" s="6776" t="s">
        <v>4055</v>
      </c>
      <c r="V299" s="6180"/>
    </row>
    <row r="300" spans="16:22">
      <c r="P300" s="6789">
        <v>80</v>
      </c>
      <c r="Q300" s="6766" t="s">
        <v>16</v>
      </c>
      <c r="R300" s="6768" t="s">
        <v>4056</v>
      </c>
      <c r="S300" s="6768" t="s">
        <v>4057</v>
      </c>
      <c r="T300" s="6766" t="s">
        <v>4058</v>
      </c>
      <c r="U300" s="6776" t="s">
        <v>4059</v>
      </c>
      <c r="V300" s="6180"/>
    </row>
    <row r="301" spans="16:22">
      <c r="P301" s="6789">
        <v>81</v>
      </c>
      <c r="Q301" s="6766" t="s">
        <v>16</v>
      </c>
      <c r="R301" s="6768" t="s">
        <v>4060</v>
      </c>
      <c r="S301" s="6768" t="s">
        <v>4061</v>
      </c>
      <c r="T301" s="6766" t="s">
        <v>75</v>
      </c>
      <c r="U301" s="6776" t="s">
        <v>4062</v>
      </c>
      <c r="V301" s="6180"/>
    </row>
    <row r="302" spans="16:22" ht="24">
      <c r="P302" s="6789">
        <v>82</v>
      </c>
      <c r="Q302" s="6766" t="s">
        <v>4063</v>
      </c>
      <c r="R302" s="6768" t="s">
        <v>4064</v>
      </c>
      <c r="S302" s="6768" t="s">
        <v>4065</v>
      </c>
      <c r="T302" s="6766" t="s">
        <v>75</v>
      </c>
      <c r="U302" s="6776">
        <v>9786072830332</v>
      </c>
      <c r="V302" s="6180"/>
    </row>
    <row r="303" spans="16:22" ht="24">
      <c r="P303" s="6789">
        <v>83</v>
      </c>
      <c r="Q303" s="6822" t="s">
        <v>41</v>
      </c>
      <c r="R303" s="6823" t="s">
        <v>4066</v>
      </c>
      <c r="S303" s="6824" t="s">
        <v>4067</v>
      </c>
      <c r="T303" s="6766"/>
      <c r="U303" s="6776">
        <v>9786072827844</v>
      </c>
      <c r="V303" s="6180"/>
    </row>
    <row r="304" spans="16:22">
      <c r="P304" s="6789">
        <v>84</v>
      </c>
      <c r="Q304" s="6766" t="s">
        <v>16</v>
      </c>
      <c r="R304" s="6767" t="s">
        <v>4068</v>
      </c>
      <c r="S304" s="6768" t="s">
        <v>4069</v>
      </c>
      <c r="T304" s="6766"/>
      <c r="U304" s="6776">
        <v>9786072827325</v>
      </c>
      <c r="V304" s="6180"/>
    </row>
    <row r="305" spans="16:22">
      <c r="P305" s="6789">
        <v>85</v>
      </c>
      <c r="Q305" s="6766" t="s">
        <v>16</v>
      </c>
      <c r="R305" s="6767" t="s">
        <v>4070</v>
      </c>
      <c r="S305" s="6768" t="s">
        <v>4071</v>
      </c>
      <c r="T305" s="6766" t="s">
        <v>3224</v>
      </c>
      <c r="U305" s="6776">
        <v>9786072827455</v>
      </c>
      <c r="V305" s="6180"/>
    </row>
    <row r="306" spans="16:22">
      <c r="P306" s="6789">
        <v>86</v>
      </c>
      <c r="Q306" s="6822" t="s">
        <v>3023</v>
      </c>
      <c r="R306" s="6823" t="s">
        <v>4072</v>
      </c>
      <c r="S306" s="6824" t="s">
        <v>4073</v>
      </c>
      <c r="T306" s="6766" t="s">
        <v>4074</v>
      </c>
      <c r="U306" s="6776">
        <v>9786072828605</v>
      </c>
      <c r="V306" s="6180"/>
    </row>
    <row r="307" spans="16:22">
      <c r="P307" s="6789">
        <v>87</v>
      </c>
      <c r="Q307" s="6766" t="s">
        <v>16</v>
      </c>
      <c r="R307" s="6767" t="s">
        <v>4075</v>
      </c>
      <c r="S307" s="6768" t="s">
        <v>4076</v>
      </c>
      <c r="T307" s="6766"/>
      <c r="U307" s="6776">
        <v>9786072827752</v>
      </c>
      <c r="V307" s="97"/>
    </row>
    <row r="308" spans="16:22">
      <c r="P308" s="6789">
        <v>88</v>
      </c>
      <c r="Q308" s="6766" t="s">
        <v>16</v>
      </c>
      <c r="R308" s="6768" t="s">
        <v>4077</v>
      </c>
      <c r="S308" s="6768" t="s">
        <v>4078</v>
      </c>
      <c r="T308" s="6766" t="s">
        <v>75</v>
      </c>
      <c r="U308" s="6776" t="s">
        <v>4079</v>
      </c>
      <c r="V308" s="97"/>
    </row>
    <row r="309" spans="16:22" ht="15" thickBot="1">
      <c r="P309" s="6789">
        <v>89</v>
      </c>
      <c r="Q309" s="6822" t="s">
        <v>16</v>
      </c>
      <c r="R309" s="6823" t="s">
        <v>4080</v>
      </c>
      <c r="S309" s="6824" t="s">
        <v>4081</v>
      </c>
      <c r="T309" s="6766"/>
      <c r="U309" s="6776">
        <v>9786072824034</v>
      </c>
      <c r="V309" s="3406" t="s">
        <v>3189</v>
      </c>
    </row>
    <row r="310" spans="16:22" ht="24">
      <c r="P310" s="6789">
        <v>90</v>
      </c>
      <c r="Q310" s="6822" t="s">
        <v>16</v>
      </c>
      <c r="R310" s="6823" t="s">
        <v>4082</v>
      </c>
      <c r="S310" s="6824" t="s">
        <v>4083</v>
      </c>
      <c r="T310" s="6766" t="s">
        <v>3715</v>
      </c>
      <c r="U310" s="6776">
        <v>9786072825871</v>
      </c>
      <c r="V310" s="6204"/>
    </row>
    <row r="311" spans="16:22">
      <c r="P311" s="6789">
        <v>91</v>
      </c>
      <c r="Q311" s="6766" t="s">
        <v>21</v>
      </c>
      <c r="R311" s="6767" t="s">
        <v>4084</v>
      </c>
      <c r="S311" s="6768" t="s">
        <v>3222</v>
      </c>
      <c r="T311" s="6766"/>
      <c r="U311" s="6776">
        <v>9786072824232</v>
      </c>
      <c r="V311" s="6177"/>
    </row>
    <row r="312" spans="16:22" ht="24">
      <c r="P312" s="6789">
        <v>92</v>
      </c>
      <c r="Q312" s="6766" t="s">
        <v>3840</v>
      </c>
      <c r="R312" s="6768" t="s">
        <v>4085</v>
      </c>
      <c r="S312" s="6768" t="s">
        <v>4086</v>
      </c>
      <c r="T312" s="6766" t="s">
        <v>3965</v>
      </c>
      <c r="U312" s="6776" t="s">
        <v>4087</v>
      </c>
    </row>
    <row r="315" spans="16:22" ht="15" thickBot="1">
      <c r="P315" s="5635" t="s">
        <v>314</v>
      </c>
      <c r="Q315" s="5635" t="s">
        <v>69</v>
      </c>
      <c r="R315" s="5635" t="s">
        <v>3019</v>
      </c>
      <c r="S315" s="6840" t="s">
        <v>3020</v>
      </c>
      <c r="T315" s="3406" t="s">
        <v>3021</v>
      </c>
      <c r="U315" s="3406" t="s">
        <v>3022</v>
      </c>
    </row>
    <row r="316" spans="16:22">
      <c r="P316" s="6789">
        <v>1</v>
      </c>
      <c r="Q316" s="6790" t="s">
        <v>4088</v>
      </c>
      <c r="R316" s="6791" t="s">
        <v>4089</v>
      </c>
      <c r="S316" s="6792" t="s">
        <v>4090</v>
      </c>
      <c r="T316" s="6841"/>
      <c r="U316" s="6842">
        <v>9786072829190</v>
      </c>
    </row>
    <row r="317" spans="16:22">
      <c r="P317" s="6789">
        <v>2</v>
      </c>
      <c r="Q317" s="6790" t="s">
        <v>4088</v>
      </c>
      <c r="R317" s="6791" t="s">
        <v>4091</v>
      </c>
      <c r="S317" s="6792" t="s">
        <v>4092</v>
      </c>
      <c r="T317" s="6841"/>
      <c r="U317" s="6842">
        <v>978607282959</v>
      </c>
    </row>
    <row r="318" spans="16:22">
      <c r="P318" s="6789">
        <v>3</v>
      </c>
      <c r="Q318" s="6790" t="s">
        <v>4088</v>
      </c>
      <c r="R318" s="6791" t="s">
        <v>4093</v>
      </c>
      <c r="S318" s="6792" t="s">
        <v>4094</v>
      </c>
      <c r="T318" s="6841"/>
      <c r="U318" s="6842">
        <v>9786072829480</v>
      </c>
    </row>
    <row r="319" spans="16:22">
      <c r="P319" s="6789">
        <v>4</v>
      </c>
      <c r="Q319" s="6790" t="s">
        <v>4088</v>
      </c>
      <c r="R319" s="6791" t="s">
        <v>4095</v>
      </c>
      <c r="S319" s="6792" t="s">
        <v>4096</v>
      </c>
      <c r="T319" s="6841"/>
      <c r="U319" s="6842">
        <v>9786072828940</v>
      </c>
    </row>
    <row r="320" spans="16:22" ht="24">
      <c r="P320" s="6789">
        <v>5</v>
      </c>
      <c r="Q320" s="6790" t="s">
        <v>4088</v>
      </c>
      <c r="R320" s="6791" t="s">
        <v>4097</v>
      </c>
      <c r="S320" s="6792" t="s">
        <v>4098</v>
      </c>
      <c r="T320" s="6841"/>
      <c r="U320" s="6842">
        <v>9786072828889</v>
      </c>
    </row>
    <row r="321" spans="16:21">
      <c r="P321" s="6789">
        <v>6</v>
      </c>
      <c r="Q321" s="6790" t="s">
        <v>4088</v>
      </c>
      <c r="R321" s="6791" t="s">
        <v>4099</v>
      </c>
      <c r="S321" s="6792" t="s">
        <v>4100</v>
      </c>
      <c r="T321" s="6841" t="s">
        <v>4101</v>
      </c>
      <c r="U321" s="6842">
        <v>9786072828902</v>
      </c>
    </row>
    <row r="322" spans="16:21">
      <c r="P322" s="6789">
        <v>7</v>
      </c>
      <c r="Q322" s="6790" t="s">
        <v>4088</v>
      </c>
      <c r="R322" s="6791" t="s">
        <v>4102</v>
      </c>
      <c r="S322" s="6792" t="s">
        <v>4103</v>
      </c>
      <c r="T322" s="6841"/>
      <c r="U322" s="6842">
        <v>9786072829497</v>
      </c>
    </row>
    <row r="323" spans="16:21">
      <c r="P323" s="6789">
        <v>8</v>
      </c>
      <c r="Q323" s="6790" t="s">
        <v>4088</v>
      </c>
      <c r="R323" s="6791" t="s">
        <v>4104</v>
      </c>
      <c r="S323" s="6792" t="s">
        <v>4105</v>
      </c>
      <c r="T323" s="6841" t="s">
        <v>4106</v>
      </c>
      <c r="U323" s="6842">
        <v>9786072829473</v>
      </c>
    </row>
    <row r="324" spans="16:21">
      <c r="P324" s="6789">
        <v>9</v>
      </c>
      <c r="Q324" s="6790" t="s">
        <v>4088</v>
      </c>
      <c r="R324" s="6791" t="s">
        <v>4107</v>
      </c>
      <c r="S324" s="6792" t="s">
        <v>4108</v>
      </c>
      <c r="T324" s="6841"/>
      <c r="U324" s="6842">
        <v>9786072829312</v>
      </c>
    </row>
    <row r="325" spans="16:21">
      <c r="P325" s="6789">
        <v>10</v>
      </c>
      <c r="Q325" s="6790" t="s">
        <v>4088</v>
      </c>
      <c r="R325" s="6791" t="s">
        <v>4109</v>
      </c>
      <c r="S325" s="6792" t="s">
        <v>4110</v>
      </c>
      <c r="T325" s="6841" t="s">
        <v>4111</v>
      </c>
      <c r="U325" s="6842">
        <v>9786072829268</v>
      </c>
    </row>
    <row r="326" spans="16:21">
      <c r="P326" s="6789">
        <v>11</v>
      </c>
      <c r="Q326" s="6790" t="s">
        <v>4088</v>
      </c>
      <c r="R326" s="6791" t="s">
        <v>4112</v>
      </c>
      <c r="S326" s="6792" t="s">
        <v>4113</v>
      </c>
      <c r="T326" s="6841"/>
      <c r="U326" s="6842">
        <v>9786072829466</v>
      </c>
    </row>
    <row r="327" spans="16:21">
      <c r="P327" s="6789">
        <v>12</v>
      </c>
      <c r="Q327" s="6822" t="s">
        <v>4088</v>
      </c>
      <c r="R327" s="6823" t="s">
        <v>4114</v>
      </c>
      <c r="S327" s="6824" t="s">
        <v>4115</v>
      </c>
      <c r="T327" s="6843"/>
      <c r="U327" s="6844">
        <v>9786072828063</v>
      </c>
    </row>
  </sheetData>
  <hyperlinks>
    <hyperlink ref="S197" r:id="rId1" display="https://isbnmexico.indautor.cerlalc.org/catalogo.php?mode=detalle&amp;nt=386680"/>
  </hyperlinks>
  <printOptions horizontalCentered="1" verticalCentered="1"/>
  <pageMargins left="0.70866141732283472" right="0.70866141732283472" top="0.74803149606299213" bottom="0.74803149606299213" header="0.31496062992125984" footer="0.31496062992125984"/>
  <pageSetup scale="85" firstPageNumber="47" orientation="landscape" useFirstPageNumber="1" r:id="rId2"/>
  <headerFooter scaleWithDoc="0" alignWithMargins="0">
    <oddFooter>&amp;R&amp;P</oddFooter>
  </headerFooter>
  <ignoredErrors>
    <ignoredError sqref="C8:E8 F8:N8 O8:P8" formulaRange="1"/>
    <ignoredError sqref="K28" formula="1"/>
  </ignoredError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J17"/>
  <sheetViews>
    <sheetView showGridLines="0" zoomScaleNormal="100" workbookViewId="0">
      <selection activeCell="C16" sqref="C16"/>
    </sheetView>
  </sheetViews>
  <sheetFormatPr baseColWidth="10" defaultColWidth="11.44140625" defaultRowHeight="13.8"/>
  <cols>
    <col min="1" max="1" width="12.6640625" style="26" customWidth="1"/>
    <col min="2" max="2" width="27" style="26" customWidth="1"/>
    <col min="3" max="3" width="22.33203125" style="26" customWidth="1"/>
    <col min="4" max="16384" width="11.44140625" style="26"/>
  </cols>
  <sheetData>
    <row r="1" spans="1:10" s="941" customFormat="1" ht="31.5" customHeight="1">
      <c r="A1" s="6946" t="s">
        <v>3319</v>
      </c>
      <c r="B1" s="6946"/>
      <c r="C1" s="6946"/>
    </row>
    <row r="2" spans="1:10" s="941" customFormat="1">
      <c r="A2" s="951"/>
      <c r="B2" s="951"/>
      <c r="C2" s="951"/>
    </row>
    <row r="3" spans="1:10" ht="28.5" customHeight="1" thickBot="1">
      <c r="A3" s="2091" t="s">
        <v>331</v>
      </c>
      <c r="B3" s="2092" t="s">
        <v>1649</v>
      </c>
      <c r="C3" s="2092" t="s">
        <v>1018</v>
      </c>
    </row>
    <row r="4" spans="1:10" ht="24" customHeight="1">
      <c r="A4" s="1907">
        <v>2011</v>
      </c>
      <c r="B4" s="2090">
        <v>2240</v>
      </c>
      <c r="C4" s="1907"/>
      <c r="H4" s="1035"/>
      <c r="I4" s="1035"/>
      <c r="J4" s="1035"/>
    </row>
    <row r="5" spans="1:10" ht="24" customHeight="1">
      <c r="A5" s="1881">
        <v>2012</v>
      </c>
      <c r="B5" s="2086">
        <v>2591</v>
      </c>
      <c r="C5" s="3774">
        <f t="shared" ref="C5:C13" si="0">+B5/B4-1</f>
        <v>0.15669642857142851</v>
      </c>
    </row>
    <row r="6" spans="1:10" ht="24" customHeight="1">
      <c r="A6" s="1881">
        <v>2013</v>
      </c>
      <c r="B6" s="2086">
        <v>2599</v>
      </c>
      <c r="C6" s="3774">
        <f t="shared" si="0"/>
        <v>3.0876109610189495E-3</v>
      </c>
    </row>
    <row r="7" spans="1:10" ht="24" customHeight="1">
      <c r="A7" s="1881">
        <v>2014</v>
      </c>
      <c r="B7" s="2086">
        <v>2622</v>
      </c>
      <c r="C7" s="3774">
        <f t="shared" si="0"/>
        <v>8.8495575221239076E-3</v>
      </c>
    </row>
    <row r="8" spans="1:10" ht="24" customHeight="1">
      <c r="A8" s="1881">
        <v>2015</v>
      </c>
      <c r="B8" s="2086">
        <v>2635</v>
      </c>
      <c r="C8" s="3774">
        <f t="shared" si="0"/>
        <v>4.9580472921433305E-3</v>
      </c>
      <c r="F8" s="382"/>
    </row>
    <row r="9" spans="1:10" ht="24" customHeight="1">
      <c r="A9" s="1881">
        <v>2016</v>
      </c>
      <c r="B9" s="2086">
        <v>2650</v>
      </c>
      <c r="C9" s="3774">
        <f t="shared" si="0"/>
        <v>5.6925996204932883E-3</v>
      </c>
    </row>
    <row r="10" spans="1:10" ht="24" customHeight="1">
      <c r="A10" s="1881">
        <v>2017</v>
      </c>
      <c r="B10" s="2086">
        <v>2660</v>
      </c>
      <c r="C10" s="3774">
        <f t="shared" si="0"/>
        <v>3.7735849056603765E-3</v>
      </c>
    </row>
    <row r="11" spans="1:10" ht="24" customHeight="1">
      <c r="A11" s="1881">
        <v>2018</v>
      </c>
      <c r="B11" s="2086">
        <v>2687</v>
      </c>
      <c r="C11" s="3774">
        <f t="shared" si="0"/>
        <v>1.0150375939849576E-2</v>
      </c>
      <c r="H11" s="950"/>
    </row>
    <row r="12" spans="1:10" ht="24" customHeight="1">
      <c r="A12" s="1881">
        <v>2019</v>
      </c>
      <c r="B12" s="2086">
        <v>1986</v>
      </c>
      <c r="C12" s="3774">
        <f t="shared" si="0"/>
        <v>-0.26088574618533678</v>
      </c>
      <c r="H12" s="950"/>
    </row>
    <row r="13" spans="1:10" ht="24" customHeight="1">
      <c r="A13" s="5077">
        <v>2020</v>
      </c>
      <c r="B13" s="5078">
        <v>1881</v>
      </c>
      <c r="C13" s="3774">
        <f t="shared" si="0"/>
        <v>-5.2870090634441036E-2</v>
      </c>
      <c r="H13" s="950"/>
    </row>
    <row r="14" spans="1:10" ht="24" customHeight="1">
      <c r="A14" s="1881">
        <v>2021</v>
      </c>
      <c r="B14" s="2086">
        <v>3616</v>
      </c>
      <c r="C14" s="3774">
        <f>+B14/B13-1</f>
        <v>0.92238171185539608</v>
      </c>
    </row>
    <row r="15" spans="1:10" ht="24" customHeight="1">
      <c r="A15" s="5077">
        <v>2022</v>
      </c>
      <c r="B15" s="5078">
        <v>3867</v>
      </c>
      <c r="C15" s="3774">
        <f>+B15/B14-1</f>
        <v>6.941371681415931E-2</v>
      </c>
    </row>
    <row r="16" spans="1:10" ht="24" customHeight="1">
      <c r="A16" s="1882">
        <v>2023</v>
      </c>
      <c r="B16" s="2088">
        <v>4338</v>
      </c>
      <c r="C16" s="3775">
        <f>+B16/B15-1</f>
        <v>0.12179984484096207</v>
      </c>
    </row>
    <row r="17" spans="2:3" ht="23.4" customHeight="1">
      <c r="B17" s="7368" t="s">
        <v>2370</v>
      </c>
      <c r="C17" s="7368"/>
    </row>
  </sheetData>
  <mergeCells count="2">
    <mergeCell ref="A1:C1"/>
    <mergeCell ref="B17:C17"/>
  </mergeCells>
  <printOptions horizontalCentered="1" verticalCentered="1"/>
  <pageMargins left="0.70866141732283472" right="0.70866141732283472" top="0.74803149606299213" bottom="0.74803149606299213" header="0.31496062992125984" footer="0.31496062992125984"/>
  <pageSetup scale="90" firstPageNumber="48" orientation="landscape" useFirstPageNumber="1" r:id="rId1"/>
  <headerFooter scaleWithDoc="0" alignWithMargins="0">
    <oddFooter>&amp;R&amp;P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J24"/>
  <sheetViews>
    <sheetView showGridLines="0" topLeftCell="A4" zoomScale="110" zoomScaleNormal="110" workbookViewId="0"/>
  </sheetViews>
  <sheetFormatPr baseColWidth="10" defaultRowHeight="14.4"/>
  <cols>
    <col min="1" max="1" width="1.6640625" customWidth="1"/>
    <col min="2" max="2" width="8.44140625" style="119" customWidth="1"/>
    <col min="3" max="3" width="25" customWidth="1"/>
    <col min="4" max="4" width="19" customWidth="1"/>
    <col min="5" max="5" width="12.6640625" customWidth="1"/>
    <col min="6" max="6" width="21.6640625" customWidth="1"/>
    <col min="7" max="7" width="12" bestFit="1" customWidth="1"/>
  </cols>
  <sheetData>
    <row r="1" spans="2:10" ht="19.5" customHeight="1">
      <c r="D1" s="7369" t="s">
        <v>2453</v>
      </c>
      <c r="E1" s="7369"/>
      <c r="F1" s="7369"/>
      <c r="G1" s="7369"/>
    </row>
    <row r="2" spans="2:10">
      <c r="D2" s="3033"/>
      <c r="E2" s="3033"/>
      <c r="F2" s="3033"/>
      <c r="G2" s="6498" t="s">
        <v>97</v>
      </c>
    </row>
    <row r="3" spans="2:10">
      <c r="G3" s="66"/>
    </row>
    <row r="4" spans="2:10" ht="43.8" thickBot="1">
      <c r="B4" s="1754" t="s">
        <v>331</v>
      </c>
      <c r="C4" s="1754" t="s">
        <v>332</v>
      </c>
      <c r="D4" s="1754" t="s">
        <v>333</v>
      </c>
      <c r="E4" s="1754" t="s">
        <v>2303</v>
      </c>
      <c r="F4" s="1754" t="s">
        <v>2304</v>
      </c>
      <c r="G4" s="1754" t="s">
        <v>334</v>
      </c>
    </row>
    <row r="5" spans="2:10">
      <c r="B5" s="1755"/>
      <c r="C5" s="1756"/>
      <c r="D5" s="1756"/>
      <c r="E5" s="1756"/>
      <c r="F5" s="1756"/>
      <c r="G5" s="1756"/>
    </row>
    <row r="6" spans="2:10" ht="19.2" customHeight="1">
      <c r="B6" s="1757">
        <v>2006</v>
      </c>
      <c r="C6" s="1758">
        <v>3321048</v>
      </c>
      <c r="D6" s="1758">
        <v>0</v>
      </c>
      <c r="E6" s="1759">
        <v>83.451138863411998</v>
      </c>
      <c r="F6" s="1758">
        <f>(C6/E6)*100</f>
        <v>3979631.7284964789</v>
      </c>
      <c r="G6" s="1760">
        <v>0</v>
      </c>
      <c r="I6" s="45"/>
      <c r="J6" s="23"/>
    </row>
    <row r="7" spans="2:10" ht="19.2" customHeight="1">
      <c r="B7" s="1761">
        <v>2007</v>
      </c>
      <c r="C7" s="1762">
        <v>3445051</v>
      </c>
      <c r="D7" s="1763">
        <f t="shared" ref="D7:D20" si="0">(+C7-C6)/C6</f>
        <v>3.73385148302584E-2</v>
      </c>
      <c r="E7" s="1764">
        <v>86.588098998020996</v>
      </c>
      <c r="F7" s="1762">
        <f t="shared" ref="F7:F20" si="1">(C7/E7)*100</f>
        <v>3978665.7056401456</v>
      </c>
      <c r="G7" s="1765">
        <f t="shared" ref="G7:G16" si="2">(+F7-F6)/F6</f>
        <v>-2.4274177166093216E-4</v>
      </c>
      <c r="I7" s="45"/>
      <c r="J7" s="23"/>
    </row>
    <row r="8" spans="2:10" ht="19.2" customHeight="1">
      <c r="B8" s="1761">
        <v>2008</v>
      </c>
      <c r="C8" s="1762">
        <v>3866003</v>
      </c>
      <c r="D8" s="1763">
        <f t="shared" si="0"/>
        <v>0.12219035364062825</v>
      </c>
      <c r="E8" s="1764">
        <v>92.240695661768001</v>
      </c>
      <c r="F8" s="1762">
        <f t="shared" si="1"/>
        <v>4191211.8856692272</v>
      </c>
      <c r="G8" s="1765">
        <f t="shared" si="2"/>
        <v>5.3421472361394114E-2</v>
      </c>
      <c r="I8" s="45"/>
      <c r="J8" s="23"/>
    </row>
    <row r="9" spans="2:10" ht="19.2" customHeight="1">
      <c r="B9" s="1761">
        <v>2009</v>
      </c>
      <c r="C9" s="1762">
        <v>4465920</v>
      </c>
      <c r="D9" s="1763">
        <f t="shared" si="0"/>
        <v>0.15517758263508849</v>
      </c>
      <c r="E9" s="1764">
        <v>95.536951859487999</v>
      </c>
      <c r="F9" s="1762">
        <f t="shared" si="1"/>
        <v>4674547.296179493</v>
      </c>
      <c r="G9" s="1765">
        <f t="shared" si="2"/>
        <v>0.11532115858014887</v>
      </c>
      <c r="H9" s="23"/>
      <c r="I9" s="45"/>
      <c r="J9" s="23"/>
    </row>
    <row r="10" spans="2:10" ht="19.2" customHeight="1">
      <c r="B10" s="1761">
        <v>2010</v>
      </c>
      <c r="C10" s="1762">
        <v>4244093.0660000006</v>
      </c>
      <c r="D10" s="1763">
        <f t="shared" si="0"/>
        <v>-4.9671049638148342E-2</v>
      </c>
      <c r="E10" s="1764">
        <v>99.742092088296005</v>
      </c>
      <c r="F10" s="1762">
        <f t="shared" si="1"/>
        <v>4255067.2210113127</v>
      </c>
      <c r="G10" s="1765">
        <f t="shared" si="2"/>
        <v>-8.9737048015541804E-2</v>
      </c>
      <c r="H10" s="23"/>
      <c r="I10" s="45"/>
      <c r="J10" s="23"/>
    </row>
    <row r="11" spans="2:10" ht="19.2" customHeight="1">
      <c r="B11" s="1761">
        <v>2011</v>
      </c>
      <c r="C11" s="1762">
        <f>4415905.946+70000</f>
        <v>4485905.9460000005</v>
      </c>
      <c r="D11" s="1763">
        <f t="shared" si="0"/>
        <v>5.6976337756868563E-2</v>
      </c>
      <c r="E11" s="1764">
        <v>103.551</v>
      </c>
      <c r="F11" s="1762">
        <f t="shared" si="1"/>
        <v>4332073.9983196687</v>
      </c>
      <c r="G11" s="1765">
        <f t="shared" si="2"/>
        <v>1.8097664104599884E-2</v>
      </c>
      <c r="H11" s="23"/>
      <c r="I11" s="45"/>
      <c r="J11" s="23"/>
    </row>
    <row r="12" spans="2:10" ht="19.2" customHeight="1">
      <c r="B12" s="1761">
        <v>2012</v>
      </c>
      <c r="C12" s="1762">
        <v>5095787.4400000004</v>
      </c>
      <c r="D12" s="1763">
        <f t="shared" si="0"/>
        <v>0.13595503368585335</v>
      </c>
      <c r="E12" s="1764">
        <v>107.246</v>
      </c>
      <c r="F12" s="1762">
        <f t="shared" si="1"/>
        <v>4751494.1722768219</v>
      </c>
      <c r="G12" s="1765">
        <f t="shared" si="2"/>
        <v>9.6817407578872972E-2</v>
      </c>
      <c r="H12" s="23"/>
      <c r="I12" s="45"/>
      <c r="J12" s="23"/>
    </row>
    <row r="13" spans="2:10" ht="19.2" customHeight="1">
      <c r="B13" s="1761">
        <v>2013</v>
      </c>
      <c r="C13" s="1762">
        <v>5445070.1430000002</v>
      </c>
      <c r="D13" s="1763">
        <f t="shared" si="0"/>
        <v>6.8543420837820446E-2</v>
      </c>
      <c r="E13" s="1764">
        <v>111.508</v>
      </c>
      <c r="F13" s="1762">
        <f t="shared" si="1"/>
        <v>4883120.6218387922</v>
      </c>
      <c r="G13" s="1765">
        <f t="shared" si="2"/>
        <v>2.7702117437070857E-2</v>
      </c>
      <c r="H13" s="23"/>
      <c r="J13" s="23"/>
    </row>
    <row r="14" spans="2:10" ht="19.2" customHeight="1">
      <c r="B14" s="1761">
        <v>2014</v>
      </c>
      <c r="C14" s="1762">
        <v>5773895</v>
      </c>
      <c r="D14" s="1763">
        <f t="shared" si="0"/>
        <v>6.0389462094023905E-2</v>
      </c>
      <c r="E14" s="1764">
        <v>116.059</v>
      </c>
      <c r="F14" s="1762">
        <f t="shared" si="1"/>
        <v>4974965.3193634273</v>
      </c>
      <c r="G14" s="1765">
        <f t="shared" si="2"/>
        <v>1.8808607166875595E-2</v>
      </c>
      <c r="H14" s="23"/>
      <c r="J14" s="23"/>
    </row>
    <row r="15" spans="2:10" ht="19.2" customHeight="1">
      <c r="B15" s="1766">
        <v>2015</v>
      </c>
      <c r="C15" s="1762">
        <v>6499319.2779999999</v>
      </c>
      <c r="D15" s="1763">
        <f t="shared" si="0"/>
        <v>0.12563863353940449</v>
      </c>
      <c r="E15" s="1764">
        <v>118.532</v>
      </c>
      <c r="F15" s="1762">
        <f t="shared" si="1"/>
        <v>5483176.9294367768</v>
      </c>
      <c r="G15" s="1767">
        <f t="shared" si="2"/>
        <v>0.10215379956425058</v>
      </c>
      <c r="H15" s="23"/>
      <c r="J15" s="23"/>
    </row>
    <row r="16" spans="2:10" ht="19.2" customHeight="1">
      <c r="B16" s="1761">
        <v>2016</v>
      </c>
      <c r="C16" s="1762">
        <v>6588615.4670000002</v>
      </c>
      <c r="D16" s="1763">
        <f t="shared" si="0"/>
        <v>1.3739314100518981E-2</v>
      </c>
      <c r="E16" s="1764">
        <v>122.515</v>
      </c>
      <c r="F16" s="1762">
        <f t="shared" si="1"/>
        <v>5377803.099212341</v>
      </c>
      <c r="G16" s="1768">
        <f t="shared" si="2"/>
        <v>-1.921766005009428E-2</v>
      </c>
      <c r="H16" s="23"/>
      <c r="J16" s="23"/>
    </row>
    <row r="17" spans="2:10" ht="19.2" customHeight="1">
      <c r="B17" s="1761">
        <v>2017</v>
      </c>
      <c r="C17" s="1762">
        <v>6554708.7079999996</v>
      </c>
      <c r="D17" s="1763">
        <f t="shared" si="0"/>
        <v>-5.1462646696908143E-3</v>
      </c>
      <c r="E17" s="1764">
        <v>130.812999999998</v>
      </c>
      <c r="F17" s="1762">
        <f t="shared" si="1"/>
        <v>5010747.1795617407</v>
      </c>
      <c r="G17" s="1768">
        <f>(+F17-F16)/F16</f>
        <v>-6.8253878559510872E-2</v>
      </c>
      <c r="H17" s="23"/>
      <c r="J17" s="23"/>
    </row>
    <row r="18" spans="2:10" ht="19.2" customHeight="1">
      <c r="B18" s="1761">
        <v>2018</v>
      </c>
      <c r="C18" s="1762">
        <f>6978162+50000</f>
        <v>7028162</v>
      </c>
      <c r="D18" s="1763">
        <f t="shared" si="0"/>
        <v>7.2231019423052656E-2</v>
      </c>
      <c r="E18" s="1764">
        <f>+E17*1.0483</f>
        <v>137.13126789999791</v>
      </c>
      <c r="F18" s="1762">
        <f t="shared" si="1"/>
        <v>5125134.5572953075</v>
      </c>
      <c r="G18" s="1768">
        <f>(+F18-F17)/F17</f>
        <v>2.2828407348137559E-2</v>
      </c>
      <c r="H18" s="23"/>
      <c r="J18" s="23"/>
    </row>
    <row r="19" spans="2:10" ht="19.2" customHeight="1">
      <c r="B19" s="1761">
        <v>2019</v>
      </c>
      <c r="C19" s="1762">
        <v>7299503</v>
      </c>
      <c r="D19" s="1763">
        <f t="shared" si="0"/>
        <v>3.8607675804854809E-2</v>
      </c>
      <c r="E19" s="1764">
        <f>+E18*1.0283</f>
        <v>141.01208278156784</v>
      </c>
      <c r="F19" s="1762">
        <f t="shared" si="1"/>
        <v>5176508.889175944</v>
      </c>
      <c r="G19" s="1768">
        <f>(+F19-F18)/F18</f>
        <v>1.0023996698293194E-2</v>
      </c>
      <c r="H19" s="23"/>
      <c r="J19" s="23"/>
    </row>
    <row r="20" spans="2:10" ht="19.2" customHeight="1">
      <c r="B20" s="1761">
        <v>2020</v>
      </c>
      <c r="C20" s="1762">
        <v>7570951</v>
      </c>
      <c r="D20" s="1763">
        <f t="shared" si="0"/>
        <v>3.7187189319601625E-2</v>
      </c>
      <c r="E20" s="1764">
        <f>+E19*1.0315</f>
        <v>145.45396338918724</v>
      </c>
      <c r="F20" s="1762">
        <f t="shared" si="1"/>
        <v>5205049.6415437032</v>
      </c>
      <c r="G20" s="1768">
        <f t="shared" ref="G20" si="3">(+F20-F19)/F19</f>
        <v>5.5135136399432644E-3</v>
      </c>
      <c r="H20" s="23"/>
      <c r="J20" s="23"/>
    </row>
    <row r="21" spans="2:10" s="5093" customFormat="1" ht="19.2" customHeight="1">
      <c r="B21" s="1761">
        <v>2021</v>
      </c>
      <c r="C21" s="1762">
        <v>7830299.4050000003</v>
      </c>
      <c r="D21" s="1763">
        <v>3.4255723620454058E-2</v>
      </c>
      <c r="E21" s="1764">
        <v>156.0721027165979</v>
      </c>
      <c r="F21" s="1762">
        <v>5017103.805680492</v>
      </c>
      <c r="G21" s="1768">
        <v>-3.6108365684572145E-2</v>
      </c>
      <c r="J21" s="23"/>
    </row>
    <row r="22" spans="2:10" s="4131" customFormat="1" ht="19.2" customHeight="1">
      <c r="B22" s="1761">
        <v>2022</v>
      </c>
      <c r="C22" s="6756">
        <v>8138548.3470000001</v>
      </c>
      <c r="D22" s="1763">
        <f t="shared" ref="D22:D23" si="4">(+C22-C21)/C21</f>
        <v>3.9366175679459832E-2</v>
      </c>
      <c r="E22" s="1764">
        <f>+E21*1.087</f>
        <v>169.6503756529419</v>
      </c>
      <c r="F22" s="1762">
        <f t="shared" ref="F22:F23" si="5">(C22/E22)*100</f>
        <v>4797247.465958599</v>
      </c>
      <c r="G22" s="1768">
        <f t="shared" ref="G22:G23" si="6">(+F22-F21)/F21</f>
        <v>-4.3821365520276066E-2</v>
      </c>
      <c r="J22" s="23"/>
    </row>
    <row r="23" spans="2:10" s="5317" customFormat="1" ht="19.2" customHeight="1">
      <c r="B23" s="6757">
        <v>2023</v>
      </c>
      <c r="C23" s="1769">
        <v>8655187.4306099992</v>
      </c>
      <c r="D23" s="5316">
        <f t="shared" si="4"/>
        <v>6.3480495732441106E-2</v>
      </c>
      <c r="E23" s="1764">
        <f>+E22*1.0466</f>
        <v>177.55608315836901</v>
      </c>
      <c r="F23" s="1762">
        <f t="shared" si="5"/>
        <v>4874621.7401575083</v>
      </c>
      <c r="G23" s="1768">
        <f t="shared" si="6"/>
        <v>1.6128889482554171E-2</v>
      </c>
      <c r="J23" s="23"/>
    </row>
    <row r="24" spans="2:10">
      <c r="B24" s="6535" t="s">
        <v>335</v>
      </c>
      <c r="C24" s="6536"/>
      <c r="D24" s="6536"/>
      <c r="E24" s="6536"/>
      <c r="F24" s="6536"/>
      <c r="G24" s="6536"/>
    </row>
  </sheetData>
  <mergeCells count="1">
    <mergeCell ref="D1:G1"/>
  </mergeCells>
  <printOptions horizontalCentered="1" verticalCentered="1"/>
  <pageMargins left="0.70866141732283472" right="0.70866141732283472" top="0.74803149606299213" bottom="0.74803149606299213" header="0.31496062992125984" footer="0.31496062992125984"/>
  <pageSetup scale="90" firstPageNumber="49" orientation="landscape" useFirstPageNumber="1" r:id="rId1"/>
  <headerFooter scaleWithDoc="0" alignWithMargins="0">
    <oddFooter>&amp;R&amp;P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36"/>
  <sheetViews>
    <sheetView showGridLines="0" zoomScaleNormal="100" workbookViewId="0">
      <pane xSplit="1" ySplit="4" topLeftCell="D5" activePane="bottomRight" state="frozen"/>
      <selection activeCell="H20" sqref="H20"/>
      <selection pane="topRight" activeCell="H20" sqref="H20"/>
      <selection pane="bottomLeft" activeCell="H20" sqref="H20"/>
      <selection pane="bottomRight"/>
    </sheetView>
  </sheetViews>
  <sheetFormatPr baseColWidth="10" defaultRowHeight="14.4"/>
  <cols>
    <col min="1" max="1" width="27.44140625" customWidth="1"/>
    <col min="2" max="7" width="15.6640625" customWidth="1"/>
    <col min="8" max="8" width="16.6640625" bestFit="1" customWidth="1"/>
    <col min="9" max="12" width="15.6640625" customWidth="1"/>
    <col min="13" max="13" width="16.44140625" bestFit="1" customWidth="1"/>
    <col min="14" max="15" width="15.6640625" customWidth="1"/>
  </cols>
  <sheetData>
    <row r="1" spans="1:15" ht="15.75" customHeight="1">
      <c r="C1" s="148"/>
      <c r="D1" s="148"/>
      <c r="E1" s="7"/>
      <c r="F1" s="7"/>
      <c r="L1" s="6502"/>
      <c r="M1" s="6502"/>
      <c r="O1" s="6502" t="s">
        <v>433</v>
      </c>
    </row>
    <row r="2" spans="1:15">
      <c r="O2" s="6499" t="s">
        <v>97</v>
      </c>
    </row>
    <row r="3" spans="1:15" s="4207" customFormat="1"/>
    <row r="4" spans="1:15" ht="19.95" customHeight="1" thickBot="1">
      <c r="A4" s="1770" t="s">
        <v>99</v>
      </c>
      <c r="B4" s="1770">
        <v>2010</v>
      </c>
      <c r="C4" s="1770">
        <v>2011</v>
      </c>
      <c r="D4" s="1770">
        <v>2012</v>
      </c>
      <c r="E4" s="1770">
        <v>2013</v>
      </c>
      <c r="F4" s="1770">
        <v>2014</v>
      </c>
      <c r="G4" s="1770">
        <v>2015</v>
      </c>
      <c r="H4" s="1770">
        <v>2016</v>
      </c>
      <c r="I4" s="1770">
        <v>2017</v>
      </c>
      <c r="J4" s="1770">
        <v>2018</v>
      </c>
      <c r="K4" s="1770">
        <v>2019</v>
      </c>
      <c r="L4" s="1770">
        <v>2020</v>
      </c>
      <c r="M4" s="1770">
        <v>2021</v>
      </c>
      <c r="N4" s="1770">
        <v>2022</v>
      </c>
      <c r="O4" s="1770">
        <v>2023</v>
      </c>
    </row>
    <row r="5" spans="1:15" ht="15.6">
      <c r="A5" s="8"/>
      <c r="B5" s="8"/>
      <c r="C5" s="8"/>
      <c r="K5" s="2401"/>
      <c r="L5" s="4131"/>
      <c r="M5" s="4816"/>
      <c r="N5" s="5317"/>
      <c r="O5" s="5317"/>
    </row>
    <row r="6" spans="1:15" ht="35.1" customHeight="1">
      <c r="A6" s="1771" t="s">
        <v>100</v>
      </c>
      <c r="B6" s="1772">
        <v>4244093</v>
      </c>
      <c r="C6" s="1772">
        <f>4415906 +70000</f>
        <v>4485906</v>
      </c>
      <c r="D6" s="1772">
        <v>5095787.4400000004</v>
      </c>
      <c r="E6" s="1772">
        <f>+'A.34.'!C13</f>
        <v>5445070.1430000002</v>
      </c>
      <c r="F6" s="1772">
        <f>+'A.34.'!$C$14</f>
        <v>5773895</v>
      </c>
      <c r="G6" s="1772">
        <v>6499319.2779999999</v>
      </c>
      <c r="H6" s="1772">
        <v>6588615.4670000002</v>
      </c>
      <c r="I6" s="1773">
        <f>+'A.34.'!C17</f>
        <v>6554708.7079999996</v>
      </c>
      <c r="J6" s="1773">
        <v>7028162</v>
      </c>
      <c r="K6" s="1773">
        <v>7299503</v>
      </c>
      <c r="L6" s="1773">
        <v>7570951</v>
      </c>
      <c r="M6" s="1773">
        <v>7830300</v>
      </c>
      <c r="N6" s="1773">
        <v>8138548</v>
      </c>
      <c r="O6" s="1773">
        <v>8655187.4306099992</v>
      </c>
    </row>
    <row r="7" spans="1:15" ht="35.1" customHeight="1">
      <c r="A7" s="1774" t="s">
        <v>2517</v>
      </c>
      <c r="B7" s="1775">
        <v>321965.00799999997</v>
      </c>
      <c r="C7" s="1775">
        <v>252343.76449</v>
      </c>
      <c r="D7" s="1775">
        <v>484457.45</v>
      </c>
      <c r="E7" s="1775">
        <f>213281.95287</f>
        <v>213281.95287000001</v>
      </c>
      <c r="F7" s="1775">
        <v>266440.15999999997</v>
      </c>
      <c r="G7" s="1775">
        <v>334269.39</v>
      </c>
      <c r="H7" s="1775">
        <v>290714.88938000001</v>
      </c>
      <c r="I7" s="1776">
        <v>223280.75</v>
      </c>
      <c r="J7" s="1776">
        <v>187344.94</v>
      </c>
      <c r="K7" s="1776">
        <v>147031.93700000001</v>
      </c>
      <c r="L7" s="1776">
        <v>113418.06305000001</v>
      </c>
      <c r="M7" s="1776">
        <v>111923.77499999999</v>
      </c>
      <c r="N7" s="1776">
        <v>92330.063750000001</v>
      </c>
      <c r="O7" s="1776">
        <v>99809.007209999996</v>
      </c>
    </row>
    <row r="8" spans="1:15" ht="35.1" customHeight="1">
      <c r="A8" s="1777" t="s">
        <v>101</v>
      </c>
      <c r="B8" s="1778">
        <f t="shared" ref="B8:H8" si="0">+B7/B6</f>
        <v>7.5861911602785326E-2</v>
      </c>
      <c r="C8" s="1778">
        <f t="shared" si="0"/>
        <v>5.6252575174334907E-2</v>
      </c>
      <c r="D8" s="1778">
        <f t="shared" si="0"/>
        <v>9.5070184089154228E-2</v>
      </c>
      <c r="E8" s="1778">
        <f t="shared" si="0"/>
        <v>3.9169734690045845E-2</v>
      </c>
      <c r="F8" s="1778">
        <f t="shared" si="0"/>
        <v>4.6145653843722476E-2</v>
      </c>
      <c r="G8" s="1778">
        <f t="shared" si="0"/>
        <v>5.1431446233375831E-2</v>
      </c>
      <c r="H8" s="1778">
        <f t="shared" si="0"/>
        <v>4.4123820981219211E-2</v>
      </c>
      <c r="I8" s="1779">
        <f t="shared" ref="I8:N8" si="1">+I7/I6</f>
        <v>3.4064175838582518E-2</v>
      </c>
      <c r="J8" s="1779">
        <f t="shared" si="1"/>
        <v>2.6656320671037462E-2</v>
      </c>
      <c r="K8" s="1779">
        <f t="shared" si="1"/>
        <v>2.0142732594260186E-2</v>
      </c>
      <c r="L8" s="1779">
        <f t="shared" si="1"/>
        <v>1.4980689090445838E-2</v>
      </c>
      <c r="M8" s="1779">
        <f t="shared" si="1"/>
        <v>1.42936764874909E-2</v>
      </c>
      <c r="N8" s="1779">
        <f t="shared" si="1"/>
        <v>1.1344783338502151E-2</v>
      </c>
      <c r="O8" s="1779">
        <f t="shared" ref="O8" si="2">+O7/O6</f>
        <v>1.153169795688245E-2</v>
      </c>
    </row>
    <row r="9" spans="1:15" ht="15" customHeight="1">
      <c r="K9" s="7370" t="s">
        <v>3320</v>
      </c>
      <c r="L9" s="7370"/>
      <c r="M9" s="7370"/>
      <c r="N9" s="7370"/>
      <c r="O9" s="7370"/>
    </row>
    <row r="10" spans="1:15" ht="15" customHeight="1">
      <c r="K10" s="7371"/>
      <c r="L10" s="7371"/>
      <c r="M10" s="7371"/>
      <c r="N10" s="7371"/>
      <c r="O10" s="7371"/>
    </row>
    <row r="11" spans="1:15">
      <c r="J11" s="51"/>
      <c r="K11" s="65"/>
      <c r="L11" s="65"/>
      <c r="M11" s="65"/>
      <c r="N11" s="65"/>
      <c r="O11" s="65"/>
    </row>
    <row r="12" spans="1:15">
      <c r="K12" s="4141"/>
    </row>
    <row r="13" spans="1:15">
      <c r="I13" s="3519"/>
      <c r="J13" s="3519"/>
      <c r="K13" s="4141"/>
    </row>
    <row r="14" spans="1:15">
      <c r="K14" s="4141"/>
    </row>
    <row r="15" spans="1:15">
      <c r="N15" s="35"/>
    </row>
    <row r="17" spans="6:9" ht="18">
      <c r="I17" s="1708"/>
    </row>
    <row r="31" spans="6:9">
      <c r="F31" s="9"/>
    </row>
    <row r="32" spans="6:9">
      <c r="F32" s="9"/>
    </row>
    <row r="33" spans="6:6">
      <c r="F33" s="9"/>
    </row>
    <row r="34" spans="6:6">
      <c r="F34" s="9"/>
    </row>
    <row r="35" spans="6:6">
      <c r="F35" s="9"/>
    </row>
    <row r="36" spans="6:6">
      <c r="F36" s="9"/>
    </row>
  </sheetData>
  <mergeCells count="1">
    <mergeCell ref="K9:O10"/>
  </mergeCells>
  <printOptions horizontalCentered="1" verticalCentered="1"/>
  <pageMargins left="0.70866141732283472" right="0.70866141732283472" top="0.74803149606299213" bottom="0.74803149606299213" header="0.31496062992125984" footer="0.31496062992125984"/>
  <pageSetup scale="85" firstPageNumber="50" orientation="landscape" useFirstPageNumber="1" r:id="rId1"/>
  <headerFooter scaleWithDoc="0" alignWithMargins="0">
    <oddFooter>&amp;R&amp;P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59"/>
  <sheetViews>
    <sheetView showGridLines="0" zoomScale="120" zoomScaleNormal="120" workbookViewId="0">
      <selection activeCell="B7" sqref="B7:D7"/>
    </sheetView>
  </sheetViews>
  <sheetFormatPr baseColWidth="10" defaultRowHeight="14.4"/>
  <cols>
    <col min="1" max="1" width="23.6640625" customWidth="1"/>
    <col min="3" max="3" width="14.33203125" customWidth="1"/>
    <col min="4" max="4" width="13.6640625" customWidth="1"/>
    <col min="5" max="5" width="14" customWidth="1"/>
    <col min="6" max="6" width="15" customWidth="1"/>
    <col min="7" max="7" width="16.6640625" customWidth="1"/>
    <col min="8" max="8" width="7.6640625" customWidth="1"/>
  </cols>
  <sheetData>
    <row r="1" spans="1:8" ht="19.5" customHeight="1">
      <c r="B1" s="2928"/>
      <c r="D1" s="2928"/>
      <c r="E1" s="2928"/>
      <c r="F1" s="2928"/>
      <c r="G1" s="6475" t="s">
        <v>396</v>
      </c>
      <c r="H1" s="209"/>
    </row>
    <row r="2" spans="1:8">
      <c r="B2" s="51"/>
      <c r="D2" s="51"/>
      <c r="E2" s="51"/>
      <c r="F2" s="51"/>
      <c r="G2" s="6500" t="s">
        <v>339</v>
      </c>
      <c r="H2" s="85"/>
    </row>
    <row r="3" spans="1:8" s="5317" customFormat="1">
      <c r="B3" s="51"/>
      <c r="D3" s="51"/>
      <c r="E3" s="51"/>
      <c r="F3" s="51"/>
      <c r="G3" s="6500"/>
      <c r="H3" s="2043"/>
    </row>
    <row r="4" spans="1:8" s="5317" customFormat="1" ht="15.6">
      <c r="B4" s="51"/>
      <c r="D4" s="2822">
        <v>2023</v>
      </c>
      <c r="E4" s="51"/>
      <c r="F4" s="51"/>
      <c r="G4" s="6500"/>
      <c r="H4" s="2043"/>
    </row>
    <row r="5" spans="1:8" s="5317" customFormat="1">
      <c r="A5" s="7287" t="s">
        <v>0</v>
      </c>
      <c r="B5" s="7287" t="s">
        <v>160</v>
      </c>
      <c r="C5" s="7373" t="s">
        <v>451</v>
      </c>
      <c r="D5" s="7373"/>
      <c r="E5" s="7373"/>
      <c r="F5" s="7375" t="s">
        <v>2514</v>
      </c>
      <c r="G5" s="7287" t="s">
        <v>1553</v>
      </c>
      <c r="H5" s="2043"/>
    </row>
    <row r="6" spans="1:8" s="5317" customFormat="1" ht="15" thickBot="1">
      <c r="A6" s="7372"/>
      <c r="B6" s="7372"/>
      <c r="C6" s="6474" t="s">
        <v>452</v>
      </c>
      <c r="D6" s="6474" t="s">
        <v>453</v>
      </c>
      <c r="E6" s="6474" t="s">
        <v>15</v>
      </c>
      <c r="F6" s="7376"/>
      <c r="G6" s="7372"/>
      <c r="H6" s="2043"/>
    </row>
    <row r="7" spans="1:8" s="5317" customFormat="1">
      <c r="A7" s="5291" t="s">
        <v>3</v>
      </c>
      <c r="B7" s="5292">
        <v>676</v>
      </c>
      <c r="C7" s="5292">
        <v>110</v>
      </c>
      <c r="D7" s="5292">
        <v>243</v>
      </c>
      <c r="E7" s="5292">
        <v>243</v>
      </c>
      <c r="F7" s="5292">
        <f>+'A.37.'!J9</f>
        <v>1316</v>
      </c>
      <c r="G7" s="6145">
        <f t="shared" ref="G7:G12" si="0">B7/F7</f>
        <v>0.51367781155015202</v>
      </c>
      <c r="H7" s="2043"/>
    </row>
    <row r="8" spans="1:8" s="5317" customFormat="1">
      <c r="A8" s="5294" t="s">
        <v>59</v>
      </c>
      <c r="B8" s="5295">
        <v>423</v>
      </c>
      <c r="C8" s="5295">
        <v>112</v>
      </c>
      <c r="D8" s="5295">
        <v>62</v>
      </c>
      <c r="E8" s="5295">
        <f>SUM(C8:D8)</f>
        <v>174</v>
      </c>
      <c r="F8" s="5295">
        <f>+'A.37.'!J11</f>
        <v>339</v>
      </c>
      <c r="G8" s="6146">
        <f t="shared" si="0"/>
        <v>1.247787610619469</v>
      </c>
      <c r="H8" s="2043"/>
    </row>
    <row r="9" spans="1:8" s="5317" customFormat="1">
      <c r="A9" s="5294" t="s">
        <v>25</v>
      </c>
      <c r="B9" s="5297">
        <v>1223</v>
      </c>
      <c r="C9" s="5297">
        <v>149</v>
      </c>
      <c r="D9" s="5297">
        <v>267</v>
      </c>
      <c r="E9" s="5295">
        <f t="shared" ref="E9:E12" si="1">SUM(C9:D9)</f>
        <v>416</v>
      </c>
      <c r="F9" s="5295">
        <f>+'A.37.'!J13</f>
        <v>1193</v>
      </c>
      <c r="G9" s="6146">
        <f t="shared" si="0"/>
        <v>1.0251466890192791</v>
      </c>
      <c r="H9" s="2043"/>
    </row>
    <row r="10" spans="1:8" s="5317" customFormat="1">
      <c r="A10" s="5294" t="s">
        <v>240</v>
      </c>
      <c r="B10" s="5295">
        <v>350</v>
      </c>
      <c r="C10" s="5295">
        <v>7</v>
      </c>
      <c r="D10" s="5295">
        <v>73</v>
      </c>
      <c r="E10" s="5295">
        <f t="shared" si="1"/>
        <v>80</v>
      </c>
      <c r="F10" s="5295">
        <f>+'A.37.'!J15</f>
        <v>194</v>
      </c>
      <c r="G10" s="6146">
        <f t="shared" si="0"/>
        <v>1.8041237113402062</v>
      </c>
      <c r="H10" s="2043"/>
    </row>
    <row r="11" spans="1:8" s="5317" customFormat="1">
      <c r="A11" s="5294" t="s">
        <v>48</v>
      </c>
      <c r="B11" s="5295">
        <v>344</v>
      </c>
      <c r="C11" s="5295">
        <v>68</v>
      </c>
      <c r="D11" s="5295">
        <v>135</v>
      </c>
      <c r="E11" s="5295">
        <f t="shared" si="1"/>
        <v>203</v>
      </c>
      <c r="F11" s="5295">
        <f>+'A.37.'!J17</f>
        <v>1390</v>
      </c>
      <c r="G11" s="6147">
        <f t="shared" si="0"/>
        <v>0.24748201438848921</v>
      </c>
      <c r="H11" s="2043"/>
    </row>
    <row r="12" spans="1:8" s="5317" customFormat="1">
      <c r="A12" s="5299" t="s">
        <v>87</v>
      </c>
      <c r="B12" s="5300">
        <v>2139</v>
      </c>
      <c r="C12" s="5300">
        <v>663</v>
      </c>
      <c r="D12" s="5300">
        <v>1009</v>
      </c>
      <c r="E12" s="5300">
        <f t="shared" si="1"/>
        <v>1672</v>
      </c>
      <c r="F12" s="5300">
        <f>+'A.37.'!J19</f>
        <v>1230</v>
      </c>
      <c r="G12" s="6148">
        <f t="shared" si="0"/>
        <v>1.7390243902439024</v>
      </c>
      <c r="H12" s="2043"/>
    </row>
    <row r="13" spans="1:8" s="5317" customFormat="1">
      <c r="A13" s="3307" t="s">
        <v>112</v>
      </c>
      <c r="B13" s="3312">
        <f>SUM(B7:B12)</f>
        <v>5155</v>
      </c>
      <c r="C13" s="3312">
        <f>SUM(C7:C12)</f>
        <v>1109</v>
      </c>
      <c r="D13" s="3312">
        <f>SUM(D7:D12)</f>
        <v>1789</v>
      </c>
      <c r="E13" s="3312">
        <f>SUM(E7:E12)</f>
        <v>2788</v>
      </c>
      <c r="F13" s="3312">
        <f>SUM(F7:F12)</f>
        <v>5662</v>
      </c>
      <c r="G13" s="6149">
        <f>B13/F13</f>
        <v>0.91045566937477918</v>
      </c>
      <c r="H13" s="2043"/>
    </row>
    <row r="14" spans="1:8" s="5317" customFormat="1">
      <c r="B14" s="51"/>
      <c r="C14" s="3034"/>
      <c r="D14" s="51"/>
      <c r="E14" s="51"/>
      <c r="F14" s="3518" t="s">
        <v>2515</v>
      </c>
      <c r="G14" s="51"/>
      <c r="H14" s="2043"/>
    </row>
    <row r="15" spans="1:8" s="5317" customFormat="1">
      <c r="B15" s="51"/>
      <c r="D15" s="51"/>
      <c r="E15" s="51"/>
      <c r="F15" s="51"/>
      <c r="G15" s="6500"/>
      <c r="H15" s="2043"/>
    </row>
    <row r="16" spans="1:8" s="5317" customFormat="1" ht="15.6">
      <c r="B16" s="3315"/>
      <c r="C16" s="3315"/>
      <c r="D16" s="2822">
        <v>2022</v>
      </c>
      <c r="E16" s="3315"/>
      <c r="F16" s="3315"/>
      <c r="G16" s="3315"/>
      <c r="H16" s="2043"/>
    </row>
    <row r="17" spans="1:8" s="5317" customFormat="1">
      <c r="A17" s="7287" t="s">
        <v>0</v>
      </c>
      <c r="B17" s="7287" t="s">
        <v>160</v>
      </c>
      <c r="C17" s="7373" t="s">
        <v>451</v>
      </c>
      <c r="D17" s="7373"/>
      <c r="E17" s="7373"/>
      <c r="F17" s="7375" t="s">
        <v>2514</v>
      </c>
      <c r="G17" s="7287" t="s">
        <v>1553</v>
      </c>
      <c r="H17" s="2043"/>
    </row>
    <row r="18" spans="1:8" s="5317" customFormat="1" ht="15" thickBot="1">
      <c r="A18" s="7372"/>
      <c r="B18" s="7372"/>
      <c r="C18" s="6130" t="s">
        <v>452</v>
      </c>
      <c r="D18" s="6130" t="s">
        <v>453</v>
      </c>
      <c r="E18" s="6130" t="s">
        <v>15</v>
      </c>
      <c r="F18" s="7376"/>
      <c r="G18" s="7372"/>
      <c r="H18" s="2043"/>
    </row>
    <row r="19" spans="1:8" s="5317" customFormat="1">
      <c r="A19" s="5291" t="s">
        <v>3</v>
      </c>
      <c r="B19" s="5292">
        <v>667</v>
      </c>
      <c r="C19" s="5292">
        <v>106</v>
      </c>
      <c r="D19" s="5292">
        <v>346</v>
      </c>
      <c r="E19" s="5292">
        <f t="shared" ref="E19" si="2">SUM(C19:D19)</f>
        <v>452</v>
      </c>
      <c r="F19" s="5292">
        <v>1282</v>
      </c>
      <c r="G19" s="6145">
        <f t="shared" ref="G19:G24" si="3">B19/F19</f>
        <v>0.52028081123244929</v>
      </c>
      <c r="H19" s="2043"/>
    </row>
    <row r="20" spans="1:8" s="5317" customFormat="1">
      <c r="A20" s="5294" t="s">
        <v>59</v>
      </c>
      <c r="B20" s="5295">
        <v>652</v>
      </c>
      <c r="C20" s="5295">
        <v>169</v>
      </c>
      <c r="D20" s="5295">
        <v>103</v>
      </c>
      <c r="E20" s="5295">
        <f>SUM(C20:D20)</f>
        <v>272</v>
      </c>
      <c r="F20" s="5295">
        <v>351</v>
      </c>
      <c r="G20" s="6146">
        <f t="shared" si="3"/>
        <v>1.8575498575498575</v>
      </c>
      <c r="H20" s="2043"/>
    </row>
    <row r="21" spans="1:8" s="5317" customFormat="1">
      <c r="A21" s="5294" t="s">
        <v>25</v>
      </c>
      <c r="B21" s="5297">
        <v>1345</v>
      </c>
      <c r="C21" s="5297">
        <v>132</v>
      </c>
      <c r="D21" s="5297">
        <v>91</v>
      </c>
      <c r="E21" s="5295">
        <f t="shared" ref="E21:E24" si="4">SUM(C21:D21)</f>
        <v>223</v>
      </c>
      <c r="F21" s="5295">
        <v>1185</v>
      </c>
      <c r="G21" s="6146">
        <f t="shared" si="3"/>
        <v>1.1350210970464134</v>
      </c>
      <c r="H21" s="2043"/>
    </row>
    <row r="22" spans="1:8" s="5317" customFormat="1">
      <c r="A22" s="5294" t="s">
        <v>240</v>
      </c>
      <c r="B22" s="5295">
        <v>159</v>
      </c>
      <c r="C22" s="5295">
        <v>36</v>
      </c>
      <c r="D22" s="5295">
        <v>4</v>
      </c>
      <c r="E22" s="5295">
        <f t="shared" si="4"/>
        <v>40</v>
      </c>
      <c r="F22" s="5295">
        <v>168</v>
      </c>
      <c r="G22" s="6146">
        <f t="shared" si="3"/>
        <v>0.9464285714285714</v>
      </c>
      <c r="H22" s="2043"/>
    </row>
    <row r="23" spans="1:8" s="5317" customFormat="1">
      <c r="A23" s="5294" t="s">
        <v>48</v>
      </c>
      <c r="B23" s="5295">
        <v>272</v>
      </c>
      <c r="C23" s="5295">
        <v>104</v>
      </c>
      <c r="D23" s="5295">
        <v>105</v>
      </c>
      <c r="E23" s="5295">
        <f t="shared" si="4"/>
        <v>209</v>
      </c>
      <c r="F23" s="5295">
        <v>1374</v>
      </c>
      <c r="G23" s="6147">
        <f t="shared" si="3"/>
        <v>0.19796215429403202</v>
      </c>
      <c r="H23" s="2043"/>
    </row>
    <row r="24" spans="1:8" s="5317" customFormat="1">
      <c r="A24" s="5299" t="s">
        <v>87</v>
      </c>
      <c r="B24" s="5300">
        <v>1590</v>
      </c>
      <c r="C24" s="5300">
        <v>437</v>
      </c>
      <c r="D24" s="5300">
        <v>3924</v>
      </c>
      <c r="E24" s="5300">
        <f t="shared" si="4"/>
        <v>4361</v>
      </c>
      <c r="F24" s="5300">
        <v>1201</v>
      </c>
      <c r="G24" s="6148">
        <f t="shared" si="3"/>
        <v>1.3238967527060783</v>
      </c>
      <c r="H24" s="2043"/>
    </row>
    <row r="25" spans="1:8" s="4124" customFormat="1">
      <c r="A25" s="3307" t="s">
        <v>112</v>
      </c>
      <c r="B25" s="3312">
        <f>SUM(B19:B24)</f>
        <v>4685</v>
      </c>
      <c r="C25" s="3312">
        <f>SUM(C19:C24)</f>
        <v>984</v>
      </c>
      <c r="D25" s="3312">
        <f>SUM(D19:D24)</f>
        <v>4573</v>
      </c>
      <c r="E25" s="3312">
        <f>SUM(E19:E24)</f>
        <v>5557</v>
      </c>
      <c r="F25" s="3312">
        <f>SUM(F19:F24)</f>
        <v>5561</v>
      </c>
      <c r="G25" s="6149">
        <f>B25/F25</f>
        <v>0.84247437511238987</v>
      </c>
      <c r="H25" s="2043"/>
    </row>
    <row r="26" spans="1:8" s="4804" customFormat="1">
      <c r="A26" s="5317"/>
      <c r="B26" s="51"/>
      <c r="C26" s="3034"/>
      <c r="D26" s="51"/>
      <c r="E26" s="51"/>
      <c r="F26" s="3518" t="s">
        <v>2515</v>
      </c>
      <c r="G26" s="51"/>
      <c r="H26" s="2043"/>
    </row>
    <row r="27" spans="1:8" s="5317" customFormat="1">
      <c r="B27" s="51"/>
      <c r="C27" s="3034"/>
      <c r="D27" s="51"/>
      <c r="E27" s="51"/>
      <c r="F27" s="3518"/>
      <c r="G27" s="51"/>
      <c r="H27" s="2043"/>
    </row>
    <row r="28" spans="1:8" s="5317" customFormat="1">
      <c r="B28" s="51"/>
      <c r="C28" s="3034"/>
      <c r="D28" s="51"/>
      <c r="E28" s="51"/>
      <c r="F28" s="3518"/>
      <c r="G28" s="51"/>
      <c r="H28" s="2043"/>
    </row>
    <row r="29" spans="1:8" s="5317" customFormat="1" ht="15.6">
      <c r="B29" s="51"/>
      <c r="C29" s="3034"/>
      <c r="D29" s="2822">
        <v>2021</v>
      </c>
      <c r="E29" s="51"/>
      <c r="F29" s="3518"/>
      <c r="G29" s="51"/>
      <c r="H29" s="2043"/>
    </row>
    <row r="30" spans="1:8" s="4804" customFormat="1">
      <c r="A30" s="7287" t="s">
        <v>0</v>
      </c>
      <c r="B30" s="7287" t="s">
        <v>160</v>
      </c>
      <c r="C30" s="7373" t="s">
        <v>451</v>
      </c>
      <c r="D30" s="7373"/>
      <c r="E30" s="7373"/>
      <c r="F30" s="7375" t="s">
        <v>2514</v>
      </c>
      <c r="G30" s="7287" t="s">
        <v>1553</v>
      </c>
      <c r="H30" s="2043"/>
    </row>
    <row r="31" spans="1:8" s="4804" customFormat="1" ht="15" thickBot="1">
      <c r="A31" s="7372"/>
      <c r="B31" s="7372"/>
      <c r="C31" s="4805" t="s">
        <v>452</v>
      </c>
      <c r="D31" s="4805" t="s">
        <v>453</v>
      </c>
      <c r="E31" s="4805" t="s">
        <v>15</v>
      </c>
      <c r="F31" s="7376"/>
      <c r="G31" s="7372"/>
      <c r="H31" s="2043"/>
    </row>
    <row r="32" spans="1:8" s="4804" customFormat="1">
      <c r="A32" s="5291" t="s">
        <v>3</v>
      </c>
      <c r="B32" s="5292">
        <v>455</v>
      </c>
      <c r="C32" s="5292"/>
      <c r="D32" s="5292">
        <v>350</v>
      </c>
      <c r="E32" s="5292">
        <f t="shared" ref="E32:E37" si="5">SUM(C32:D32)</f>
        <v>350</v>
      </c>
      <c r="F32" s="5292">
        <v>1274</v>
      </c>
      <c r="G32" s="5293">
        <f t="shared" ref="G32:G37" si="6">B32/F32</f>
        <v>0.35714285714285715</v>
      </c>
      <c r="H32" s="2043"/>
    </row>
    <row r="33" spans="1:8" s="4804" customFormat="1">
      <c r="A33" s="5294" t="s">
        <v>59</v>
      </c>
      <c r="B33" s="5295">
        <v>97.125</v>
      </c>
      <c r="C33" s="5295">
        <v>5</v>
      </c>
      <c r="D33" s="5295">
        <v>38</v>
      </c>
      <c r="E33" s="5295">
        <f>SUM(C33:D33)</f>
        <v>43</v>
      </c>
      <c r="F33" s="5295">
        <v>355</v>
      </c>
      <c r="G33" s="5296">
        <f t="shared" si="6"/>
        <v>0.27359154929577467</v>
      </c>
      <c r="H33" s="2043"/>
    </row>
    <row r="34" spans="1:8" s="4804" customFormat="1">
      <c r="A34" s="5294" t="s">
        <v>25</v>
      </c>
      <c r="B34" s="5297">
        <v>249</v>
      </c>
      <c r="C34" s="5297">
        <v>14</v>
      </c>
      <c r="D34" s="5297">
        <v>72</v>
      </c>
      <c r="E34" s="5295">
        <f t="shared" si="5"/>
        <v>86</v>
      </c>
      <c r="F34" s="5295">
        <v>1160</v>
      </c>
      <c r="G34" s="5296">
        <f t="shared" si="6"/>
        <v>0.21465517241379312</v>
      </c>
      <c r="H34" s="2043"/>
    </row>
    <row r="35" spans="1:8" s="4804" customFormat="1">
      <c r="A35" s="5294" t="s">
        <v>240</v>
      </c>
      <c r="B35" s="5295">
        <v>332</v>
      </c>
      <c r="C35" s="5295">
        <v>172</v>
      </c>
      <c r="D35" s="5295">
        <v>43</v>
      </c>
      <c r="E35" s="5295">
        <f t="shared" si="5"/>
        <v>215</v>
      </c>
      <c r="F35" s="5295">
        <v>166</v>
      </c>
      <c r="G35" s="5296">
        <f t="shared" si="6"/>
        <v>2</v>
      </c>
      <c r="H35" s="2043"/>
    </row>
    <row r="36" spans="1:8" s="4804" customFormat="1">
      <c r="A36" s="5294" t="s">
        <v>48</v>
      </c>
      <c r="B36" s="5295">
        <v>40</v>
      </c>
      <c r="C36" s="5295"/>
      <c r="D36" s="5295">
        <v>49</v>
      </c>
      <c r="E36" s="5295">
        <f t="shared" si="5"/>
        <v>49</v>
      </c>
      <c r="F36" s="5295">
        <v>1344</v>
      </c>
      <c r="G36" s="5298">
        <f t="shared" si="6"/>
        <v>2.976190476190476E-2</v>
      </c>
      <c r="H36" s="2043"/>
    </row>
    <row r="37" spans="1:8" s="4804" customFormat="1">
      <c r="A37" s="5299" t="s">
        <v>87</v>
      </c>
      <c r="B37" s="5300">
        <v>48</v>
      </c>
      <c r="C37" s="5300"/>
      <c r="D37" s="5300">
        <v>21</v>
      </c>
      <c r="E37" s="5300">
        <f t="shared" si="5"/>
        <v>21</v>
      </c>
      <c r="F37" s="5300">
        <v>1219</v>
      </c>
      <c r="G37" s="5301">
        <f t="shared" si="6"/>
        <v>3.937653814602133E-2</v>
      </c>
      <c r="H37" s="2043"/>
    </row>
    <row r="38" spans="1:8" s="4804" customFormat="1">
      <c r="A38" s="3307" t="s">
        <v>112</v>
      </c>
      <c r="B38" s="3312">
        <f>SUM(B32:B37)</f>
        <v>1221.125</v>
      </c>
      <c r="C38" s="3312">
        <f>SUM(C32:C37)</f>
        <v>191</v>
      </c>
      <c r="D38" s="3312">
        <f>SUM(D32:D37)</f>
        <v>573</v>
      </c>
      <c r="E38" s="3312">
        <f>SUM(E32:E37)</f>
        <v>764</v>
      </c>
      <c r="F38" s="3312">
        <f>SUM(F32:F37)</f>
        <v>5518</v>
      </c>
      <c r="G38" s="2018">
        <f>B38/F38</f>
        <v>0.22129847770931496</v>
      </c>
      <c r="H38" s="2043"/>
    </row>
    <row r="39" spans="1:8" s="4804" customFormat="1">
      <c r="B39" s="51"/>
      <c r="C39" s="3034"/>
      <c r="D39" s="51"/>
      <c r="E39" s="51"/>
      <c r="F39" s="3518" t="s">
        <v>2515</v>
      </c>
      <c r="G39" s="51"/>
      <c r="H39" s="2043"/>
    </row>
    <row r="40" spans="1:8" s="4804" customFormat="1">
      <c r="B40" s="51"/>
      <c r="C40" s="3034"/>
      <c r="D40" s="51"/>
      <c r="E40" s="51"/>
      <c r="F40" s="51"/>
      <c r="G40" s="51"/>
      <c r="H40" s="2043"/>
    </row>
    <row r="41" spans="1:8" s="4124" customFormat="1" ht="15.6">
      <c r="B41" s="3315"/>
      <c r="C41" s="3315"/>
      <c r="D41" s="2822">
        <v>2020</v>
      </c>
      <c r="E41" s="3315"/>
      <c r="F41" s="3315"/>
      <c r="G41" s="3315"/>
      <c r="H41" s="2043"/>
    </row>
    <row r="42" spans="1:8" s="4124" customFormat="1">
      <c r="A42" s="7287" t="s">
        <v>0</v>
      </c>
      <c r="B42" s="7287" t="s">
        <v>160</v>
      </c>
      <c r="C42" s="7373" t="s">
        <v>451</v>
      </c>
      <c r="D42" s="7373"/>
      <c r="E42" s="7373"/>
      <c r="F42" s="7375" t="s">
        <v>2514</v>
      </c>
      <c r="G42" s="7287" t="s">
        <v>1553</v>
      </c>
      <c r="H42" s="2043"/>
    </row>
    <row r="43" spans="1:8" s="4124" customFormat="1" ht="15" thickBot="1">
      <c r="A43" s="7372"/>
      <c r="B43" s="7372"/>
      <c r="C43" s="4125" t="s">
        <v>452</v>
      </c>
      <c r="D43" s="4125" t="s">
        <v>453</v>
      </c>
      <c r="E43" s="4125" t="s">
        <v>15</v>
      </c>
      <c r="F43" s="7376"/>
      <c r="G43" s="7372"/>
      <c r="H43" s="2043"/>
    </row>
    <row r="44" spans="1:8" s="4124" customFormat="1">
      <c r="A44" s="3309" t="s">
        <v>3</v>
      </c>
      <c r="B44" s="3310">
        <v>669.5</v>
      </c>
      <c r="C44" s="3310">
        <v>58</v>
      </c>
      <c r="D44" s="3310">
        <v>257</v>
      </c>
      <c r="E44" s="3310">
        <f t="shared" ref="E44:E49" si="7">SUM(C44:D44)</f>
        <v>315</v>
      </c>
      <c r="F44" s="3310">
        <v>1291</v>
      </c>
      <c r="G44" s="2017">
        <f t="shared" ref="G44:G49" si="8">B44/F44</f>
        <v>0.51859024012393495</v>
      </c>
      <c r="H44" s="2043"/>
    </row>
    <row r="45" spans="1:8" s="4124" customFormat="1">
      <c r="A45" s="3309" t="s">
        <v>59</v>
      </c>
      <c r="B45" s="3310">
        <v>440</v>
      </c>
      <c r="C45" s="3310">
        <v>125</v>
      </c>
      <c r="D45" s="3310">
        <v>108</v>
      </c>
      <c r="E45" s="3310">
        <f t="shared" si="7"/>
        <v>233</v>
      </c>
      <c r="F45" s="3310">
        <v>353</v>
      </c>
      <c r="G45" s="2017">
        <f t="shared" si="8"/>
        <v>1.2464589235127479</v>
      </c>
      <c r="H45" s="2043"/>
    </row>
    <row r="46" spans="1:8" s="4124" customFormat="1">
      <c r="A46" s="3309" t="s">
        <v>25</v>
      </c>
      <c r="B46" s="3311">
        <v>451</v>
      </c>
      <c r="C46" s="3311">
        <v>138</v>
      </c>
      <c r="D46" s="3311">
        <v>32</v>
      </c>
      <c r="E46" s="3310">
        <f t="shared" si="7"/>
        <v>170</v>
      </c>
      <c r="F46" s="3310">
        <v>1184</v>
      </c>
      <c r="G46" s="2017">
        <f t="shared" si="8"/>
        <v>0.38091216216216217</v>
      </c>
      <c r="H46" s="2043"/>
    </row>
    <row r="47" spans="1:8" s="4124" customFormat="1">
      <c r="A47" s="3309" t="s">
        <v>240</v>
      </c>
      <c r="B47" s="3310">
        <v>38.5</v>
      </c>
      <c r="C47" s="3310">
        <v>37</v>
      </c>
      <c r="D47" s="3310">
        <v>2</v>
      </c>
      <c r="E47" s="3310">
        <f t="shared" si="7"/>
        <v>39</v>
      </c>
      <c r="F47" s="3310">
        <v>172</v>
      </c>
      <c r="G47" s="2017">
        <f t="shared" si="8"/>
        <v>0.22383720930232559</v>
      </c>
      <c r="H47" s="2043"/>
    </row>
    <row r="48" spans="1:8" s="4124" customFormat="1">
      <c r="A48" s="3309" t="s">
        <v>48</v>
      </c>
      <c r="B48" s="3310">
        <v>156</v>
      </c>
      <c r="C48" s="3310">
        <v>103</v>
      </c>
      <c r="D48" s="3310">
        <v>35</v>
      </c>
      <c r="E48" s="3310">
        <f t="shared" si="7"/>
        <v>138</v>
      </c>
      <c r="F48" s="3310">
        <v>1373</v>
      </c>
      <c r="G48" s="2017">
        <f t="shared" si="8"/>
        <v>0.11361981063364894</v>
      </c>
      <c r="H48" s="2043"/>
    </row>
    <row r="49" spans="1:8" s="4124" customFormat="1">
      <c r="A49" s="3309" t="s">
        <v>87</v>
      </c>
      <c r="B49" s="3310">
        <v>861</v>
      </c>
      <c r="C49" s="3310">
        <v>346</v>
      </c>
      <c r="D49" s="3310">
        <v>27</v>
      </c>
      <c r="E49" s="3310">
        <f t="shared" si="7"/>
        <v>373</v>
      </c>
      <c r="F49" s="3310">
        <v>1232</v>
      </c>
      <c r="G49" s="2017">
        <f t="shared" si="8"/>
        <v>0.69886363636363635</v>
      </c>
      <c r="H49" s="2043"/>
    </row>
    <row r="50" spans="1:8" s="4124" customFormat="1">
      <c r="A50" s="3307" t="s">
        <v>112</v>
      </c>
      <c r="B50" s="3312">
        <f>SUM(B44:B49)</f>
        <v>2616</v>
      </c>
      <c r="C50" s="3312">
        <f>SUM(C44:C49)</f>
        <v>807</v>
      </c>
      <c r="D50" s="3312">
        <f>SUM(D44:D49)</f>
        <v>461</v>
      </c>
      <c r="E50" s="3312">
        <f>SUM(E44:E49)</f>
        <v>1268</v>
      </c>
      <c r="F50" s="3312">
        <f>SUM(F44:F49)</f>
        <v>5605</v>
      </c>
      <c r="G50" s="2018">
        <f>B50/F50</f>
        <v>0.46672613737734164</v>
      </c>
      <c r="H50" s="2043"/>
    </row>
    <row r="51" spans="1:8" s="4124" customFormat="1">
      <c r="B51" s="51"/>
      <c r="C51" s="3034"/>
      <c r="D51" s="51"/>
      <c r="E51" s="51"/>
      <c r="F51" s="3518" t="s">
        <v>2515</v>
      </c>
      <c r="G51" s="51"/>
      <c r="H51" s="2043"/>
    </row>
    <row r="52" spans="1:8" s="3023" customFormat="1">
      <c r="B52" s="51"/>
      <c r="C52" s="3034"/>
      <c r="D52" s="51"/>
      <c r="E52" s="51"/>
      <c r="F52" s="51"/>
      <c r="G52" s="51"/>
      <c r="H52" s="2043"/>
    </row>
    <row r="53" spans="1:8" s="3023" customFormat="1" ht="15.6">
      <c r="B53" s="3315"/>
      <c r="C53" s="3315"/>
      <c r="D53" s="2822">
        <v>2019</v>
      </c>
      <c r="E53" s="3315"/>
      <c r="F53" s="3315"/>
      <c r="G53" s="3315"/>
      <c r="H53" s="2043"/>
    </row>
    <row r="54" spans="1:8" s="3023" customFormat="1">
      <c r="A54" s="7287" t="s">
        <v>0</v>
      </c>
      <c r="B54" s="7287" t="s">
        <v>160</v>
      </c>
      <c r="C54" s="7373" t="s">
        <v>451</v>
      </c>
      <c r="D54" s="7373"/>
      <c r="E54" s="7373"/>
      <c r="F54" s="7375" t="s">
        <v>2514</v>
      </c>
      <c r="G54" s="7287" t="s">
        <v>1553</v>
      </c>
      <c r="H54" s="2043"/>
    </row>
    <row r="55" spans="1:8" s="3023" customFormat="1" ht="15" thickBot="1">
      <c r="A55" s="7372"/>
      <c r="B55" s="7372"/>
      <c r="C55" s="3308" t="s">
        <v>452</v>
      </c>
      <c r="D55" s="3308" t="s">
        <v>453</v>
      </c>
      <c r="E55" s="3308" t="s">
        <v>15</v>
      </c>
      <c r="F55" s="7376"/>
      <c r="G55" s="7372"/>
      <c r="H55" s="2043"/>
    </row>
    <row r="56" spans="1:8" s="3023" customFormat="1">
      <c r="A56" s="3309" t="s">
        <v>3</v>
      </c>
      <c r="B56" s="3310">
        <v>1137</v>
      </c>
      <c r="C56" s="3310">
        <v>605</v>
      </c>
      <c r="D56" s="3310">
        <v>16</v>
      </c>
      <c r="E56" s="3310">
        <v>621</v>
      </c>
      <c r="F56" s="3310">
        <f>+'A.37.'!J95</f>
        <v>1317</v>
      </c>
      <c r="G56" s="2017">
        <f t="shared" ref="G56:G61" si="9">B56/F56</f>
        <v>0.86332574031890663</v>
      </c>
      <c r="H56" s="2043"/>
    </row>
    <row r="57" spans="1:8" s="3023" customFormat="1">
      <c r="A57" s="3309" t="s">
        <v>59</v>
      </c>
      <c r="B57" s="3310">
        <v>748</v>
      </c>
      <c r="C57" s="3310">
        <v>109</v>
      </c>
      <c r="D57" s="3310">
        <v>30</v>
      </c>
      <c r="E57" s="3310">
        <v>139</v>
      </c>
      <c r="F57" s="3310">
        <f>+'A.37.'!J97</f>
        <v>350</v>
      </c>
      <c r="G57" s="2017">
        <f t="shared" si="9"/>
        <v>2.137142857142857</v>
      </c>
      <c r="H57" s="2043"/>
    </row>
    <row r="58" spans="1:8" s="3023" customFormat="1">
      <c r="A58" s="3309" t="s">
        <v>25</v>
      </c>
      <c r="B58" s="3311">
        <v>2533</v>
      </c>
      <c r="C58" s="3311">
        <v>369</v>
      </c>
      <c r="D58" s="3311">
        <v>95</v>
      </c>
      <c r="E58" s="3310">
        <v>464</v>
      </c>
      <c r="F58" s="3310">
        <f>+'A.37.'!J99</f>
        <v>1194</v>
      </c>
      <c r="G58" s="2017">
        <f t="shared" si="9"/>
        <v>2.1214405360134005</v>
      </c>
      <c r="H58" s="2043"/>
    </row>
    <row r="59" spans="1:8" s="3023" customFormat="1">
      <c r="A59" s="3309" t="s">
        <v>240</v>
      </c>
      <c r="B59" s="3310">
        <v>368</v>
      </c>
      <c r="C59" s="3310">
        <v>157</v>
      </c>
      <c r="D59" s="3310">
        <v>6</v>
      </c>
      <c r="E59" s="3310">
        <v>163</v>
      </c>
      <c r="F59" s="3310">
        <f>+'A.37.'!J101</f>
        <v>163</v>
      </c>
      <c r="G59" s="2017">
        <f t="shared" si="9"/>
        <v>2.2576687116564416</v>
      </c>
      <c r="H59" s="2043"/>
    </row>
    <row r="60" spans="1:8" s="3023" customFormat="1">
      <c r="A60" s="3309" t="s">
        <v>48</v>
      </c>
      <c r="B60" s="3310">
        <v>474</v>
      </c>
      <c r="C60" s="3310">
        <v>127</v>
      </c>
      <c r="D60" s="3310">
        <v>59</v>
      </c>
      <c r="E60" s="3310">
        <v>186</v>
      </c>
      <c r="F60" s="3310">
        <f>+'A.37.'!J103</f>
        <v>1361</v>
      </c>
      <c r="G60" s="2017">
        <f t="shared" si="9"/>
        <v>0.34827332843497427</v>
      </c>
      <c r="H60" s="2043"/>
    </row>
    <row r="61" spans="1:8" s="3023" customFormat="1">
      <c r="A61" s="3309" t="s">
        <v>87</v>
      </c>
      <c r="B61" s="3310">
        <v>872</v>
      </c>
      <c r="C61" s="3310">
        <v>667</v>
      </c>
      <c r="D61" s="3310">
        <f>E61-C61</f>
        <v>238</v>
      </c>
      <c r="E61" s="3310">
        <v>905</v>
      </c>
      <c r="F61" s="3310">
        <f>+'A.37.'!J105</f>
        <v>1233</v>
      </c>
      <c r="G61" s="2017">
        <f t="shared" si="9"/>
        <v>0.70721816707218166</v>
      </c>
      <c r="H61" s="2043"/>
    </row>
    <row r="62" spans="1:8" s="3023" customFormat="1">
      <c r="A62" s="3307" t="s">
        <v>112</v>
      </c>
      <c r="B62" s="3312">
        <f>SUM(B56:B61)</f>
        <v>6132</v>
      </c>
      <c r="C62" s="3312">
        <f>SUM(C56:C61)</f>
        <v>2034</v>
      </c>
      <c r="D62" s="3312">
        <f>SUM(D56:D61)</f>
        <v>444</v>
      </c>
      <c r="E62" s="3312">
        <f>SUM(E56:E61)</f>
        <v>2478</v>
      </c>
      <c r="F62" s="3312">
        <f>SUM(F56:F61)</f>
        <v>5618</v>
      </c>
      <c r="G62" s="2018">
        <f>B62/F62</f>
        <v>1.0914916340334639</v>
      </c>
      <c r="H62" s="2043"/>
    </row>
    <row r="63" spans="1:8" s="3023" customFormat="1">
      <c r="B63" s="51"/>
      <c r="C63" s="3034"/>
      <c r="D63" s="51"/>
      <c r="E63" s="51"/>
      <c r="F63" s="3518" t="s">
        <v>2515</v>
      </c>
      <c r="G63" s="51"/>
      <c r="H63" s="2043"/>
    </row>
    <row r="64" spans="1:8">
      <c r="A64" s="85"/>
      <c r="B64" s="85"/>
      <c r="C64" s="85"/>
      <c r="D64" s="85"/>
      <c r="E64" s="85"/>
      <c r="F64" s="85"/>
      <c r="G64" s="85"/>
      <c r="H64" s="85"/>
    </row>
    <row r="65" spans="1:8" ht="15.6">
      <c r="B65" s="3315"/>
      <c r="C65" s="3315"/>
      <c r="D65" s="2822">
        <v>2018</v>
      </c>
      <c r="E65" s="3315"/>
      <c r="F65" s="3315"/>
      <c r="G65" s="3315"/>
      <c r="H65" s="85"/>
    </row>
    <row r="66" spans="1:8" ht="20.100000000000001" customHeight="1">
      <c r="A66" s="7287" t="s">
        <v>0</v>
      </c>
      <c r="B66" s="7287" t="s">
        <v>160</v>
      </c>
      <c r="C66" s="7373" t="s">
        <v>451</v>
      </c>
      <c r="D66" s="7373"/>
      <c r="E66" s="7373"/>
      <c r="F66" s="7287" t="s">
        <v>450</v>
      </c>
      <c r="G66" s="7287" t="s">
        <v>1553</v>
      </c>
      <c r="H66" s="85"/>
    </row>
    <row r="67" spans="1:8" ht="25.5" customHeight="1" thickBot="1">
      <c r="A67" s="7372"/>
      <c r="B67" s="7372"/>
      <c r="C67" s="3308" t="s">
        <v>452</v>
      </c>
      <c r="D67" s="3308" t="s">
        <v>453</v>
      </c>
      <c r="E67" s="3308" t="s">
        <v>15</v>
      </c>
      <c r="F67" s="7372"/>
      <c r="G67" s="7372"/>
      <c r="H67" s="85"/>
    </row>
    <row r="68" spans="1:8">
      <c r="A68" s="3309" t="s">
        <v>3</v>
      </c>
      <c r="B68" s="3310">
        <v>610</v>
      </c>
      <c r="C68" s="3310">
        <v>123</v>
      </c>
      <c r="D68" s="3310">
        <v>16</v>
      </c>
      <c r="E68" s="3310">
        <f t="shared" ref="E68:E73" si="10">SUM(C68:D68)</f>
        <v>139</v>
      </c>
      <c r="F68" s="3310">
        <v>1292</v>
      </c>
      <c r="G68" s="2017">
        <f t="shared" ref="G68:G73" si="11">B68/F68</f>
        <v>0.47213622291021673</v>
      </c>
      <c r="H68" s="85"/>
    </row>
    <row r="69" spans="1:8">
      <c r="A69" s="3309" t="s">
        <v>59</v>
      </c>
      <c r="B69" s="3310">
        <v>564</v>
      </c>
      <c r="C69" s="3310">
        <v>82</v>
      </c>
      <c r="D69" s="3310">
        <v>34</v>
      </c>
      <c r="E69" s="3310">
        <f t="shared" si="10"/>
        <v>116</v>
      </c>
      <c r="F69" s="3310">
        <v>334</v>
      </c>
      <c r="G69" s="2017">
        <f t="shared" si="11"/>
        <v>1.688622754491018</v>
      </c>
      <c r="H69" s="85"/>
    </row>
    <row r="70" spans="1:8">
      <c r="A70" s="3309" t="s">
        <v>25</v>
      </c>
      <c r="B70" s="3311">
        <v>1826</v>
      </c>
      <c r="C70" s="3311">
        <v>184</v>
      </c>
      <c r="D70" s="3311">
        <v>134</v>
      </c>
      <c r="E70" s="3310">
        <f t="shared" si="10"/>
        <v>318</v>
      </c>
      <c r="F70" s="3310">
        <v>1179</v>
      </c>
      <c r="G70" s="2017">
        <f t="shared" si="11"/>
        <v>1.5487701441899915</v>
      </c>
      <c r="H70" s="85"/>
    </row>
    <row r="71" spans="1:8">
      <c r="A71" s="3309" t="s">
        <v>240</v>
      </c>
      <c r="B71" s="3310">
        <v>36</v>
      </c>
      <c r="C71" s="3310">
        <v>11</v>
      </c>
      <c r="D71" s="3310">
        <v>73</v>
      </c>
      <c r="E71" s="3310">
        <f t="shared" si="10"/>
        <v>84</v>
      </c>
      <c r="F71" s="3310">
        <v>138</v>
      </c>
      <c r="G71" s="2017">
        <f t="shared" si="11"/>
        <v>0.2608695652173913</v>
      </c>
      <c r="H71" s="85"/>
    </row>
    <row r="72" spans="1:8">
      <c r="A72" s="3309" t="s">
        <v>48</v>
      </c>
      <c r="B72" s="3310">
        <v>472</v>
      </c>
      <c r="C72" s="3310">
        <v>193</v>
      </c>
      <c r="D72" s="3310">
        <v>46</v>
      </c>
      <c r="E72" s="3310">
        <f t="shared" si="10"/>
        <v>239</v>
      </c>
      <c r="F72" s="3310">
        <v>1356</v>
      </c>
      <c r="G72" s="2017">
        <f t="shared" si="11"/>
        <v>0.34808259587020651</v>
      </c>
      <c r="H72" s="85"/>
    </row>
    <row r="73" spans="1:8">
      <c r="A73" s="3309" t="s">
        <v>87</v>
      </c>
      <c r="B73" s="3310">
        <v>2214</v>
      </c>
      <c r="C73" s="3310">
        <v>1380</v>
      </c>
      <c r="D73" s="3310">
        <v>19</v>
      </c>
      <c r="E73" s="3310">
        <f t="shared" si="10"/>
        <v>1399</v>
      </c>
      <c r="F73" s="3310">
        <v>1225</v>
      </c>
      <c r="G73" s="2017">
        <f t="shared" si="11"/>
        <v>1.8073469387755101</v>
      </c>
      <c r="H73" s="85"/>
    </row>
    <row r="74" spans="1:8">
      <c r="A74" s="3307" t="s">
        <v>112</v>
      </c>
      <c r="B74" s="3312">
        <f>SUM(B68:B73)</f>
        <v>5722</v>
      </c>
      <c r="C74" s="3312">
        <f>SUM(C68:C73)</f>
        <v>1973</v>
      </c>
      <c r="D74" s="3312">
        <f>SUM(D68:D73)</f>
        <v>322</v>
      </c>
      <c r="E74" s="3312">
        <f>SUM(E68:E73)</f>
        <v>2295</v>
      </c>
      <c r="F74" s="3312">
        <f>SUM(F68:F73)</f>
        <v>5524</v>
      </c>
      <c r="G74" s="2018">
        <f>B74/F74</f>
        <v>1.0358435916002897</v>
      </c>
      <c r="H74" s="85"/>
    </row>
    <row r="75" spans="1:8">
      <c r="A75" s="2027"/>
      <c r="B75" s="2027"/>
      <c r="C75" s="2027"/>
      <c r="D75" s="2027"/>
      <c r="E75" s="2027"/>
      <c r="F75" s="2027"/>
      <c r="G75" s="2027"/>
      <c r="H75" s="85"/>
    </row>
    <row r="76" spans="1:8">
      <c r="A76" s="2027"/>
      <c r="B76" s="2027"/>
      <c r="C76" s="2027"/>
      <c r="D76" s="2027"/>
      <c r="E76" s="2027"/>
      <c r="F76" s="2027"/>
      <c r="G76" s="2027"/>
      <c r="H76" s="85"/>
    </row>
    <row r="77" spans="1:8" ht="15.6">
      <c r="B77" s="3316"/>
      <c r="C77" s="3316"/>
      <c r="D77" s="2822">
        <v>2017</v>
      </c>
      <c r="E77" s="3316"/>
      <c r="F77" s="3316"/>
      <c r="G77" s="3316"/>
      <c r="H77" s="85"/>
    </row>
    <row r="78" spans="1:8" ht="15" customHeight="1">
      <c r="A78" s="7287" t="s">
        <v>0</v>
      </c>
      <c r="B78" s="7287" t="s">
        <v>160</v>
      </c>
      <c r="C78" s="7374" t="s">
        <v>451</v>
      </c>
      <c r="D78" s="7374"/>
      <c r="E78" s="7374"/>
      <c r="F78" s="7287" t="s">
        <v>450</v>
      </c>
      <c r="G78" s="7287" t="s">
        <v>1553</v>
      </c>
      <c r="H78" s="85"/>
    </row>
    <row r="79" spans="1:8" ht="29.25" customHeight="1" thickBot="1">
      <c r="A79" s="7372"/>
      <c r="B79" s="7372"/>
      <c r="C79" s="3308" t="s">
        <v>452</v>
      </c>
      <c r="D79" s="3308" t="s">
        <v>453</v>
      </c>
      <c r="E79" s="3308" t="s">
        <v>15</v>
      </c>
      <c r="F79" s="7372"/>
      <c r="G79" s="7372"/>
      <c r="H79" s="85"/>
    </row>
    <row r="80" spans="1:8">
      <c r="A80" s="3309" t="s">
        <v>3</v>
      </c>
      <c r="B80" s="3310">
        <v>989</v>
      </c>
      <c r="C80" s="3310">
        <v>420</v>
      </c>
      <c r="D80" s="3310">
        <v>52</v>
      </c>
      <c r="E80" s="3310">
        <f t="shared" ref="E80:E85" si="12">SUM(C80:D80)</f>
        <v>472</v>
      </c>
      <c r="F80" s="3310">
        <v>1300</v>
      </c>
      <c r="G80" s="2017">
        <f t="shared" ref="G80:G85" si="13">B80/F80</f>
        <v>0.76076923076923075</v>
      </c>
      <c r="H80" s="85"/>
    </row>
    <row r="81" spans="1:8">
      <c r="A81" s="3309" t="s">
        <v>59</v>
      </c>
      <c r="B81" s="3310">
        <v>1214</v>
      </c>
      <c r="C81" s="3310">
        <v>285</v>
      </c>
      <c r="D81" s="3310">
        <v>27</v>
      </c>
      <c r="E81" s="3310">
        <f t="shared" si="12"/>
        <v>312</v>
      </c>
      <c r="F81" s="3310">
        <v>319</v>
      </c>
      <c r="G81" s="2017">
        <f t="shared" si="13"/>
        <v>3.8056426332288402</v>
      </c>
      <c r="H81" s="85"/>
    </row>
    <row r="82" spans="1:8">
      <c r="A82" s="3309" t="s">
        <v>25</v>
      </c>
      <c r="B82" s="3311">
        <v>1019</v>
      </c>
      <c r="C82" s="3311">
        <v>293</v>
      </c>
      <c r="D82" s="3311">
        <v>194</v>
      </c>
      <c r="E82" s="3310">
        <f t="shared" si="12"/>
        <v>487</v>
      </c>
      <c r="F82" s="3310">
        <v>1165</v>
      </c>
      <c r="G82" s="2017">
        <f t="shared" si="13"/>
        <v>0.87467811158798281</v>
      </c>
      <c r="H82" s="85"/>
    </row>
    <row r="83" spans="1:8">
      <c r="A83" s="3309" t="s">
        <v>240</v>
      </c>
      <c r="B83" s="3310">
        <v>182</v>
      </c>
      <c r="C83" s="3310">
        <v>0</v>
      </c>
      <c r="D83" s="3310">
        <v>47</v>
      </c>
      <c r="E83" s="3310">
        <f t="shared" si="12"/>
        <v>47</v>
      </c>
      <c r="F83" s="3310">
        <v>118</v>
      </c>
      <c r="G83" s="2017">
        <f t="shared" si="13"/>
        <v>1.5423728813559323</v>
      </c>
      <c r="H83" s="1618"/>
    </row>
    <row r="84" spans="1:8">
      <c r="A84" s="3309" t="s">
        <v>48</v>
      </c>
      <c r="B84" s="3310">
        <v>702</v>
      </c>
      <c r="C84" s="3310">
        <v>298</v>
      </c>
      <c r="D84" s="3310">
        <v>121</v>
      </c>
      <c r="E84" s="3310">
        <f t="shared" si="12"/>
        <v>419</v>
      </c>
      <c r="F84" s="3310">
        <v>1347</v>
      </c>
      <c r="G84" s="2017">
        <f t="shared" si="13"/>
        <v>0.52115812917594651</v>
      </c>
      <c r="H84" s="85"/>
    </row>
    <row r="85" spans="1:8">
      <c r="A85" s="3309" t="s">
        <v>87</v>
      </c>
      <c r="B85" s="3310">
        <v>2953.5</v>
      </c>
      <c r="C85" s="3310">
        <v>1394</v>
      </c>
      <c r="D85" s="3310"/>
      <c r="E85" s="3310">
        <f t="shared" si="12"/>
        <v>1394</v>
      </c>
      <c r="F85" s="3310">
        <v>1245</v>
      </c>
      <c r="G85" s="2017">
        <f t="shared" si="13"/>
        <v>2.3722891566265059</v>
      </c>
      <c r="H85" s="1618"/>
    </row>
    <row r="86" spans="1:8">
      <c r="A86" s="3307" t="s">
        <v>112</v>
      </c>
      <c r="B86" s="3312">
        <f>SUM(B80:B85)</f>
        <v>7059.5</v>
      </c>
      <c r="C86" s="3312">
        <f>SUM(C80:C85)</f>
        <v>2690</v>
      </c>
      <c r="D86" s="3312">
        <f>SUM(D80:D85)</f>
        <v>441</v>
      </c>
      <c r="E86" s="3312">
        <f>SUM(E80:E85)</f>
        <v>3131</v>
      </c>
      <c r="F86" s="3312">
        <f>SUM(F80:F85)</f>
        <v>5494</v>
      </c>
      <c r="G86" s="2018">
        <f>B86/F86</f>
        <v>1.2849472151437933</v>
      </c>
      <c r="H86" s="85"/>
    </row>
    <row r="87" spans="1:8">
      <c r="A87" s="2027"/>
      <c r="B87" s="2027"/>
      <c r="C87" s="2027"/>
      <c r="D87" s="2027"/>
      <c r="E87" s="2027"/>
      <c r="F87" s="2027"/>
      <c r="G87" s="2027"/>
      <c r="H87" s="85"/>
    </row>
    <row r="88" spans="1:8" ht="15.6">
      <c r="B88" s="3316"/>
      <c r="C88" s="3316"/>
      <c r="D88" s="2822">
        <v>2016</v>
      </c>
      <c r="E88" s="3316"/>
      <c r="F88" s="3316"/>
      <c r="G88" s="3316"/>
      <c r="H88" s="85"/>
    </row>
    <row r="89" spans="1:8" ht="16.5" customHeight="1">
      <c r="A89" s="7287" t="s">
        <v>0</v>
      </c>
      <c r="B89" s="7287" t="s">
        <v>160</v>
      </c>
      <c r="C89" s="7374" t="s">
        <v>451</v>
      </c>
      <c r="D89" s="7374"/>
      <c r="E89" s="7374"/>
      <c r="F89" s="7287" t="s">
        <v>450</v>
      </c>
      <c r="G89" s="7287" t="s">
        <v>1553</v>
      </c>
      <c r="H89" s="85"/>
    </row>
    <row r="90" spans="1:8" ht="27" customHeight="1" thickBot="1">
      <c r="A90" s="7372"/>
      <c r="B90" s="7372"/>
      <c r="C90" s="3308" t="s">
        <v>452</v>
      </c>
      <c r="D90" s="3308" t="s">
        <v>453</v>
      </c>
      <c r="E90" s="3308" t="s">
        <v>15</v>
      </c>
      <c r="F90" s="7372"/>
      <c r="G90" s="7372"/>
      <c r="H90" s="85"/>
    </row>
    <row r="91" spans="1:8">
      <c r="A91" s="3309" t="s">
        <v>3</v>
      </c>
      <c r="B91" s="3310">
        <v>948.5</v>
      </c>
      <c r="C91" s="3310">
        <v>535</v>
      </c>
      <c r="D91" s="3310">
        <v>184</v>
      </c>
      <c r="E91" s="3310">
        <v>719</v>
      </c>
      <c r="F91" s="3310">
        <v>1312</v>
      </c>
      <c r="G91" s="2017">
        <f>B91/F91</f>
        <v>0.72294207317073167</v>
      </c>
      <c r="H91" s="85"/>
    </row>
    <row r="92" spans="1:8">
      <c r="A92" s="3309" t="s">
        <v>59</v>
      </c>
      <c r="B92" s="3310">
        <v>1577</v>
      </c>
      <c r="C92" s="3310">
        <v>159</v>
      </c>
      <c r="D92" s="3310">
        <v>163</v>
      </c>
      <c r="E92" s="3310">
        <f>SUM(C92:D92)</f>
        <v>322</v>
      </c>
      <c r="F92" s="3310">
        <v>322</v>
      </c>
      <c r="G92" s="2017">
        <f t="shared" ref="G92:G97" si="14">B92/F92</f>
        <v>4.8975155279503104</v>
      </c>
      <c r="H92" s="85"/>
    </row>
    <row r="93" spans="1:8">
      <c r="A93" s="3309" t="s">
        <v>25</v>
      </c>
      <c r="B93" s="3311">
        <v>1458</v>
      </c>
      <c r="C93" s="3311">
        <v>399</v>
      </c>
      <c r="D93" s="3311">
        <v>141</v>
      </c>
      <c r="E93" s="3310">
        <f>SUM(C93:D93)</f>
        <v>540</v>
      </c>
      <c r="F93" s="3310">
        <v>1157</v>
      </c>
      <c r="G93" s="2017">
        <f t="shared" si="14"/>
        <v>1.2601555747623163</v>
      </c>
      <c r="H93" s="1618"/>
    </row>
    <row r="94" spans="1:8">
      <c r="A94" s="3309" t="s">
        <v>240</v>
      </c>
      <c r="B94" s="3310">
        <v>182</v>
      </c>
      <c r="C94" s="3310">
        <v>0</v>
      </c>
      <c r="D94" s="3310">
        <v>47</v>
      </c>
      <c r="E94" s="3310">
        <f>SUM(C94:D94)</f>
        <v>47</v>
      </c>
      <c r="F94" s="3310">
        <v>118</v>
      </c>
      <c r="G94" s="2017">
        <f t="shared" si="14"/>
        <v>1.5423728813559323</v>
      </c>
      <c r="H94" s="1618"/>
    </row>
    <row r="95" spans="1:8">
      <c r="A95" s="3309" t="s">
        <v>48</v>
      </c>
      <c r="B95" s="3310">
        <v>670</v>
      </c>
      <c r="C95" s="3310">
        <v>365</v>
      </c>
      <c r="D95" s="3310">
        <v>77</v>
      </c>
      <c r="E95" s="3310">
        <f>SUM(C95:D95)</f>
        <v>442</v>
      </c>
      <c r="F95" s="3310">
        <v>1342</v>
      </c>
      <c r="G95" s="2017">
        <f t="shared" si="14"/>
        <v>0.49925484351713861</v>
      </c>
      <c r="H95" s="1618"/>
    </row>
    <row r="96" spans="1:8">
      <c r="A96" s="3309" t="s">
        <v>87</v>
      </c>
      <c r="B96" s="3310">
        <v>2953.5</v>
      </c>
      <c r="C96" s="3310">
        <v>1394</v>
      </c>
      <c r="D96" s="3310"/>
      <c r="E96" s="3310">
        <f>SUM(C96:D96)</f>
        <v>1394</v>
      </c>
      <c r="F96" s="3310">
        <v>1260</v>
      </c>
      <c r="G96" s="2017">
        <f t="shared" si="14"/>
        <v>2.3440476190476192</v>
      </c>
      <c r="H96" s="85"/>
    </row>
    <row r="97" spans="1:8">
      <c r="A97" s="3307" t="s">
        <v>112</v>
      </c>
      <c r="B97" s="3312">
        <f>SUM(B91:B96)</f>
        <v>7789</v>
      </c>
      <c r="C97" s="3312">
        <f>SUM(C91:C96)</f>
        <v>2852</v>
      </c>
      <c r="D97" s="3312">
        <f>SUM(D91:D96)</f>
        <v>612</v>
      </c>
      <c r="E97" s="3312">
        <f>SUM(E91:E96)</f>
        <v>3464</v>
      </c>
      <c r="F97" s="3312">
        <f>SUM(F91:F96)</f>
        <v>5511</v>
      </c>
      <c r="G97" s="2018">
        <f t="shared" si="14"/>
        <v>1.4133551079658864</v>
      </c>
      <c r="H97" s="85"/>
    </row>
    <row r="98" spans="1:8">
      <c r="A98" s="2027"/>
      <c r="B98" s="2027"/>
      <c r="C98" s="2027"/>
      <c r="D98" s="2027"/>
      <c r="E98" s="2027"/>
      <c r="F98" s="2027"/>
      <c r="G98" s="2027"/>
      <c r="H98" s="85"/>
    </row>
    <row r="99" spans="1:8" ht="15.6">
      <c r="B99" s="3316"/>
      <c r="C99" s="3316"/>
      <c r="D99" s="2822">
        <v>2015</v>
      </c>
      <c r="E99" s="3316"/>
      <c r="F99" s="3316"/>
      <c r="G99" s="3316"/>
      <c r="H99" s="85"/>
    </row>
    <row r="100" spans="1:8" ht="15.75" customHeight="1">
      <c r="A100" s="7287" t="s">
        <v>0</v>
      </c>
      <c r="B100" s="7287" t="s">
        <v>160</v>
      </c>
      <c r="C100" s="7374" t="s">
        <v>451</v>
      </c>
      <c r="D100" s="7374"/>
      <c r="E100" s="7374"/>
      <c r="F100" s="7287" t="s">
        <v>450</v>
      </c>
      <c r="G100" s="7287" t="s">
        <v>1553</v>
      </c>
      <c r="H100" s="85"/>
    </row>
    <row r="101" spans="1:8" ht="33" customHeight="1" thickBot="1">
      <c r="A101" s="7372"/>
      <c r="B101" s="7372"/>
      <c r="C101" s="3308" t="s">
        <v>452</v>
      </c>
      <c r="D101" s="3308" t="s">
        <v>453</v>
      </c>
      <c r="E101" s="3308" t="s">
        <v>15</v>
      </c>
      <c r="F101" s="7372"/>
      <c r="G101" s="7372"/>
      <c r="H101" s="85"/>
    </row>
    <row r="102" spans="1:8">
      <c r="A102" s="3309" t="s">
        <v>3</v>
      </c>
      <c r="B102" s="3310">
        <v>873</v>
      </c>
      <c r="C102" s="3310">
        <v>586</v>
      </c>
      <c r="D102" s="3310">
        <v>222</v>
      </c>
      <c r="E102" s="3310">
        <f t="shared" ref="E102:E107" si="15">SUM(C102:D102)</f>
        <v>808</v>
      </c>
      <c r="F102" s="3310">
        <v>1307</v>
      </c>
      <c r="G102" s="2017">
        <f t="shared" ref="G102:G108" si="16">B102/F102</f>
        <v>0.66794185156847741</v>
      </c>
      <c r="H102" s="85"/>
    </row>
    <row r="103" spans="1:8">
      <c r="A103" s="3309" t="s">
        <v>59</v>
      </c>
      <c r="B103" s="3310">
        <v>131</v>
      </c>
      <c r="C103" s="3310">
        <v>90</v>
      </c>
      <c r="D103" s="3310">
        <v>228</v>
      </c>
      <c r="E103" s="3310">
        <f t="shared" si="15"/>
        <v>318</v>
      </c>
      <c r="F103" s="3310">
        <v>286</v>
      </c>
      <c r="G103" s="2017">
        <f t="shared" si="16"/>
        <v>0.45804195804195802</v>
      </c>
      <c r="H103" s="85"/>
    </row>
    <row r="104" spans="1:8">
      <c r="A104" s="3309" t="s">
        <v>25</v>
      </c>
      <c r="B104" s="3311">
        <v>1458</v>
      </c>
      <c r="C104" s="3311">
        <v>399</v>
      </c>
      <c r="D104" s="3311">
        <v>141</v>
      </c>
      <c r="E104" s="3310">
        <f t="shared" si="15"/>
        <v>540</v>
      </c>
      <c r="F104" s="3310">
        <v>1177</v>
      </c>
      <c r="G104" s="2017">
        <f t="shared" si="16"/>
        <v>1.2387425658453697</v>
      </c>
      <c r="H104" s="85"/>
    </row>
    <row r="105" spans="1:8">
      <c r="A105" s="3309" t="s">
        <v>240</v>
      </c>
      <c r="B105" s="3310">
        <v>182</v>
      </c>
      <c r="C105" s="3310">
        <v>0</v>
      </c>
      <c r="D105" s="3310">
        <v>47</v>
      </c>
      <c r="E105" s="3310">
        <f t="shared" si="15"/>
        <v>47</v>
      </c>
      <c r="F105" s="3310">
        <v>81</v>
      </c>
      <c r="G105" s="2017">
        <f t="shared" si="16"/>
        <v>2.2469135802469138</v>
      </c>
      <c r="H105" s="85"/>
    </row>
    <row r="106" spans="1:8">
      <c r="A106" s="3309" t="s">
        <v>48</v>
      </c>
      <c r="B106" s="3310">
        <v>670</v>
      </c>
      <c r="C106" s="3310">
        <v>365</v>
      </c>
      <c r="D106" s="3310">
        <v>77</v>
      </c>
      <c r="E106" s="3310">
        <f t="shared" si="15"/>
        <v>442</v>
      </c>
      <c r="F106" s="3310">
        <v>1371</v>
      </c>
      <c r="G106" s="2017">
        <f t="shared" si="16"/>
        <v>0.48869438366156093</v>
      </c>
      <c r="H106" s="85"/>
    </row>
    <row r="107" spans="1:8">
      <c r="A107" s="3309" t="s">
        <v>87</v>
      </c>
      <c r="B107" s="3310">
        <v>460</v>
      </c>
      <c r="C107" s="3310"/>
      <c r="D107" s="3310"/>
      <c r="E107" s="3310">
        <f t="shared" si="15"/>
        <v>0</v>
      </c>
      <c r="F107" s="3310">
        <v>1225</v>
      </c>
      <c r="G107" s="2017">
        <f t="shared" si="16"/>
        <v>0.37551020408163266</v>
      </c>
      <c r="H107" s="1618"/>
    </row>
    <row r="108" spans="1:8">
      <c r="A108" s="3307" t="s">
        <v>112</v>
      </c>
      <c r="B108" s="3312">
        <f>SUM(B102:B107)</f>
        <v>3774</v>
      </c>
      <c r="C108" s="3312">
        <f>SUM(C102:C107)</f>
        <v>1440</v>
      </c>
      <c r="D108" s="3312">
        <f>SUM(D102:D107)</f>
        <v>715</v>
      </c>
      <c r="E108" s="3312">
        <f>SUM(E102:E107)</f>
        <v>2155</v>
      </c>
      <c r="F108" s="3312">
        <f>SUM(F102:F107)</f>
        <v>5447</v>
      </c>
      <c r="G108" s="2018">
        <f t="shared" si="16"/>
        <v>0.69285845419496972</v>
      </c>
      <c r="H108" s="85"/>
    </row>
    <row r="109" spans="1:8">
      <c r="A109" s="2027"/>
      <c r="B109" s="2027"/>
      <c r="C109" s="2027"/>
      <c r="D109" s="2027"/>
      <c r="E109" s="2027"/>
      <c r="F109" s="2027"/>
      <c r="G109" s="2027"/>
      <c r="H109" s="85"/>
    </row>
    <row r="110" spans="1:8">
      <c r="A110" s="2027"/>
      <c r="B110" s="2027"/>
      <c r="C110" s="2027"/>
      <c r="D110" s="2027"/>
      <c r="E110" s="2027"/>
      <c r="F110" s="2027"/>
      <c r="G110" s="2027"/>
      <c r="H110" s="85"/>
    </row>
    <row r="111" spans="1:8" ht="15.6">
      <c r="B111" s="3316"/>
      <c r="C111" s="3316"/>
      <c r="D111" s="2822">
        <v>2014</v>
      </c>
      <c r="E111" s="3316"/>
      <c r="F111" s="3316"/>
      <c r="G111" s="3316"/>
      <c r="H111" s="85"/>
    </row>
    <row r="112" spans="1:8" ht="24" customHeight="1">
      <c r="A112" s="7287" t="s">
        <v>0</v>
      </c>
      <c r="B112" s="7287" t="s">
        <v>160</v>
      </c>
      <c r="C112" s="7374" t="s">
        <v>451</v>
      </c>
      <c r="D112" s="7374"/>
      <c r="E112" s="7374"/>
      <c r="F112" s="7287" t="s">
        <v>450</v>
      </c>
      <c r="G112" s="7287" t="s">
        <v>1553</v>
      </c>
      <c r="H112" s="85"/>
    </row>
    <row r="113" spans="1:8" ht="27" customHeight="1" thickBot="1">
      <c r="A113" s="7372"/>
      <c r="B113" s="7372"/>
      <c r="C113" s="3308" t="s">
        <v>452</v>
      </c>
      <c r="D113" s="3308" t="s">
        <v>453</v>
      </c>
      <c r="E113" s="3308" t="s">
        <v>15</v>
      </c>
      <c r="F113" s="7372"/>
      <c r="G113" s="7372"/>
      <c r="H113" s="85"/>
    </row>
    <row r="114" spans="1:8">
      <c r="A114" s="3309" t="s">
        <v>3</v>
      </c>
      <c r="B114" s="3310">
        <v>1238</v>
      </c>
      <c r="C114" s="3310">
        <v>452</v>
      </c>
      <c r="D114" s="3310">
        <v>213</v>
      </c>
      <c r="E114" s="3310">
        <f>SUM(C114:D114)</f>
        <v>665</v>
      </c>
      <c r="F114" s="3310">
        <v>1313</v>
      </c>
      <c r="G114" s="2017">
        <f t="shared" ref="G114:G120" si="17">B114/F114</f>
        <v>0.94287890327494284</v>
      </c>
      <c r="H114" s="85"/>
    </row>
    <row r="115" spans="1:8">
      <c r="A115" s="3309" t="s">
        <v>59</v>
      </c>
      <c r="B115" s="3310">
        <v>48</v>
      </c>
      <c r="C115" s="3310">
        <v>4</v>
      </c>
      <c r="D115" s="3310">
        <v>4</v>
      </c>
      <c r="E115" s="3310">
        <f>SUM(C115:D115)</f>
        <v>8</v>
      </c>
      <c r="F115" s="3310">
        <v>271</v>
      </c>
      <c r="G115" s="2017">
        <f t="shared" si="17"/>
        <v>0.17712177121771217</v>
      </c>
      <c r="H115" s="85"/>
    </row>
    <row r="116" spans="1:8">
      <c r="A116" s="3309" t="s">
        <v>25</v>
      </c>
      <c r="B116" s="3311">
        <v>1011</v>
      </c>
      <c r="C116" s="3311">
        <v>248</v>
      </c>
      <c r="D116" s="3311">
        <v>142</v>
      </c>
      <c r="E116" s="3310">
        <f>SUM(C116:D116)</f>
        <v>390</v>
      </c>
      <c r="F116" s="3310">
        <v>1189</v>
      </c>
      <c r="G116" s="2017">
        <f t="shared" si="17"/>
        <v>0.85029436501261568</v>
      </c>
      <c r="H116" s="85"/>
    </row>
    <row r="117" spans="1:8">
      <c r="A117" s="3309" t="s">
        <v>240</v>
      </c>
      <c r="B117" s="3310">
        <v>144</v>
      </c>
      <c r="C117" s="3310">
        <v>0</v>
      </c>
      <c r="D117" s="3310">
        <v>26</v>
      </c>
      <c r="E117" s="3310">
        <f>SUM(C117:D117)</f>
        <v>26</v>
      </c>
      <c r="F117" s="3310">
        <v>80</v>
      </c>
      <c r="G117" s="2017">
        <f t="shared" si="17"/>
        <v>1.8</v>
      </c>
      <c r="H117" s="85"/>
    </row>
    <row r="118" spans="1:8">
      <c r="A118" s="3309" t="s">
        <v>48</v>
      </c>
      <c r="B118" s="3310">
        <v>526</v>
      </c>
      <c r="C118" s="3310"/>
      <c r="D118" s="3310"/>
      <c r="E118" s="3310">
        <v>377</v>
      </c>
      <c r="F118" s="3310">
        <v>1379</v>
      </c>
      <c r="G118" s="2017">
        <f t="shared" si="17"/>
        <v>0.38143582306018853</v>
      </c>
      <c r="H118" s="85"/>
    </row>
    <row r="119" spans="1:8">
      <c r="A119" s="3309" t="s">
        <v>87</v>
      </c>
      <c r="B119" s="3310">
        <v>460</v>
      </c>
      <c r="C119" s="3310"/>
      <c r="D119" s="3310"/>
      <c r="E119" s="3310">
        <v>375</v>
      </c>
      <c r="F119" s="3310">
        <v>1248</v>
      </c>
      <c r="G119" s="2017">
        <f t="shared" si="17"/>
        <v>0.36858974358974361</v>
      </c>
      <c r="H119" s="85"/>
    </row>
    <row r="120" spans="1:8">
      <c r="A120" s="3307" t="s">
        <v>112</v>
      </c>
      <c r="B120" s="3312">
        <f>SUM(B114:B119)</f>
        <v>3427</v>
      </c>
      <c r="C120" s="3312">
        <f>SUM(C114:C119)</f>
        <v>704</v>
      </c>
      <c r="D120" s="3312">
        <f>SUM(D114:D119)</f>
        <v>385</v>
      </c>
      <c r="E120" s="3312">
        <f>SUM(E114:E119)</f>
        <v>1841</v>
      </c>
      <c r="F120" s="3312">
        <f>SUM(F114:F119)</f>
        <v>5480</v>
      </c>
      <c r="G120" s="2018">
        <f t="shared" si="17"/>
        <v>0.62536496350364967</v>
      </c>
      <c r="H120" s="85"/>
    </row>
    <row r="121" spans="1:8">
      <c r="A121" s="2027"/>
      <c r="B121" s="2027"/>
      <c r="C121" s="2027"/>
      <c r="D121" s="2027"/>
      <c r="E121" s="2027"/>
      <c r="F121" s="2027"/>
      <c r="G121" s="2027"/>
      <c r="H121" s="85"/>
    </row>
    <row r="122" spans="1:8">
      <c r="A122" s="2027"/>
      <c r="B122" s="2027"/>
      <c r="C122" s="2027"/>
      <c r="D122" s="2027"/>
      <c r="E122" s="2027"/>
      <c r="F122" s="2027"/>
      <c r="G122" s="2027"/>
      <c r="H122" s="85"/>
    </row>
    <row r="123" spans="1:8" ht="15.6">
      <c r="B123" s="3316"/>
      <c r="C123" s="3316"/>
      <c r="D123" s="2822">
        <v>2013</v>
      </c>
      <c r="E123" s="3316"/>
      <c r="F123" s="3316"/>
      <c r="G123" s="3316"/>
      <c r="H123" s="85"/>
    </row>
    <row r="124" spans="1:8" ht="18.75" customHeight="1">
      <c r="A124" s="7287" t="s">
        <v>0</v>
      </c>
      <c r="B124" s="7287" t="s">
        <v>160</v>
      </c>
      <c r="C124" s="7374" t="s">
        <v>451</v>
      </c>
      <c r="D124" s="7374"/>
      <c r="E124" s="7374"/>
      <c r="F124" s="7287" t="s">
        <v>450</v>
      </c>
      <c r="G124" s="7287" t="s">
        <v>1553</v>
      </c>
      <c r="H124" s="85"/>
    </row>
    <row r="125" spans="1:8" ht="24.75" customHeight="1" thickBot="1">
      <c r="A125" s="7372"/>
      <c r="B125" s="7372"/>
      <c r="C125" s="3308" t="s">
        <v>452</v>
      </c>
      <c r="D125" s="3308" t="s">
        <v>453</v>
      </c>
      <c r="E125" s="3308" t="s">
        <v>15</v>
      </c>
      <c r="F125" s="7372"/>
      <c r="G125" s="7372"/>
      <c r="H125" s="85"/>
    </row>
    <row r="126" spans="1:8">
      <c r="A126" s="3309" t="s">
        <v>3</v>
      </c>
      <c r="B126" s="3310">
        <v>1056</v>
      </c>
      <c r="C126" s="3310">
        <v>175</v>
      </c>
      <c r="D126" s="3310">
        <v>698</v>
      </c>
      <c r="E126" s="3310">
        <f>SUM(C126:D126)</f>
        <v>873</v>
      </c>
      <c r="F126" s="3310">
        <v>1329</v>
      </c>
      <c r="G126" s="2017">
        <f t="shared" ref="G126:G132" si="18">B126/F126</f>
        <v>0.79458239277652365</v>
      </c>
      <c r="H126" s="85"/>
    </row>
    <row r="127" spans="1:8">
      <c r="A127" s="3309" t="s">
        <v>59</v>
      </c>
      <c r="B127" s="3310">
        <v>745</v>
      </c>
      <c r="C127" s="3310">
        <v>6</v>
      </c>
      <c r="D127" s="3310">
        <v>56</v>
      </c>
      <c r="E127" s="3310">
        <f>SUM(C127:D127)</f>
        <v>62</v>
      </c>
      <c r="F127" s="3310">
        <v>216</v>
      </c>
      <c r="G127" s="2017">
        <f t="shared" si="18"/>
        <v>3.449074074074074</v>
      </c>
      <c r="H127" s="127"/>
    </row>
    <row r="128" spans="1:8">
      <c r="A128" s="3309" t="s">
        <v>25</v>
      </c>
      <c r="B128" s="3311">
        <v>3076</v>
      </c>
      <c r="C128" s="3311">
        <v>272</v>
      </c>
      <c r="D128" s="3311">
        <v>159</v>
      </c>
      <c r="E128" s="3310">
        <f>SUM(C128:D128)</f>
        <v>431</v>
      </c>
      <c r="F128" s="3310">
        <v>1198</v>
      </c>
      <c r="G128" s="2017">
        <f t="shared" si="18"/>
        <v>2.5676126878130217</v>
      </c>
      <c r="H128" s="85"/>
    </row>
    <row r="129" spans="1:8">
      <c r="A129" s="3309" t="s">
        <v>240</v>
      </c>
      <c r="B129" s="3310">
        <v>144</v>
      </c>
      <c r="C129" s="3310">
        <v>0</v>
      </c>
      <c r="D129" s="3310">
        <v>26</v>
      </c>
      <c r="E129" s="3310">
        <f>SUM(C129:D129)</f>
        <v>26</v>
      </c>
      <c r="F129" s="3310">
        <v>56</v>
      </c>
      <c r="G129" s="2017">
        <f t="shared" si="18"/>
        <v>2.5714285714285716</v>
      </c>
      <c r="H129" s="85"/>
    </row>
    <row r="130" spans="1:8">
      <c r="A130" s="3309" t="s">
        <v>48</v>
      </c>
      <c r="B130" s="3310">
        <v>291</v>
      </c>
      <c r="C130" s="3310">
        <v>118</v>
      </c>
      <c r="D130" s="3310">
        <v>142</v>
      </c>
      <c r="E130" s="3310">
        <f>SUM(C130:D130)</f>
        <v>260</v>
      </c>
      <c r="F130" s="3310">
        <v>1346</v>
      </c>
      <c r="G130" s="2017">
        <f t="shared" si="18"/>
        <v>0.2161961367013373</v>
      </c>
      <c r="H130" s="85"/>
    </row>
    <row r="131" spans="1:8">
      <c r="A131" s="3309" t="s">
        <v>87</v>
      </c>
      <c r="B131" s="3310">
        <v>369</v>
      </c>
      <c r="C131" s="3310"/>
      <c r="D131" s="3310"/>
      <c r="E131" s="3310">
        <v>534</v>
      </c>
      <c r="F131" s="3310">
        <v>1211</v>
      </c>
      <c r="G131" s="2017">
        <f t="shared" si="18"/>
        <v>0.30470685383980184</v>
      </c>
      <c r="H131" s="85"/>
    </row>
    <row r="132" spans="1:8">
      <c r="A132" s="3307" t="s">
        <v>112</v>
      </c>
      <c r="B132" s="3312">
        <f>SUM(B126:B131)</f>
        <v>5681</v>
      </c>
      <c r="C132" s="3312">
        <f>SUM(C126:C131)</f>
        <v>571</v>
      </c>
      <c r="D132" s="3312">
        <f>SUM(D126:D131)</f>
        <v>1081</v>
      </c>
      <c r="E132" s="3312">
        <f>SUM(E126:E131)</f>
        <v>2186</v>
      </c>
      <c r="F132" s="3312">
        <f>SUM(F126:F131)</f>
        <v>5356</v>
      </c>
      <c r="G132" s="2018">
        <f t="shared" si="18"/>
        <v>1.0606796116504855</v>
      </c>
      <c r="H132" s="85"/>
    </row>
    <row r="133" spans="1:8">
      <c r="A133" s="3313" t="s">
        <v>161</v>
      </c>
      <c r="B133" s="1756"/>
      <c r="C133" s="1755"/>
      <c r="D133" s="1755"/>
      <c r="E133" s="1755"/>
      <c r="F133" s="1755"/>
      <c r="G133" s="2026"/>
      <c r="H133" s="85"/>
    </row>
    <row r="134" spans="1:8">
      <c r="A134" s="2026"/>
      <c r="B134" s="2026"/>
      <c r="C134" s="2026"/>
      <c r="D134" s="2026"/>
      <c r="E134" s="2026"/>
      <c r="F134" s="2026"/>
      <c r="G134" s="2026"/>
      <c r="H134" s="85"/>
    </row>
    <row r="135" spans="1:8" ht="15.6">
      <c r="B135" s="3316"/>
      <c r="C135" s="3316"/>
      <c r="D135" s="2822">
        <v>2012</v>
      </c>
      <c r="E135" s="3316"/>
      <c r="F135" s="3316"/>
      <c r="G135" s="3316"/>
      <c r="H135" s="85"/>
    </row>
    <row r="136" spans="1:8" ht="15" customHeight="1">
      <c r="A136" s="7287" t="s">
        <v>0</v>
      </c>
      <c r="B136" s="7287" t="s">
        <v>160</v>
      </c>
      <c r="C136" s="7374" t="s">
        <v>451</v>
      </c>
      <c r="D136" s="7374"/>
      <c r="E136" s="7374"/>
      <c r="F136" s="7287" t="s">
        <v>450</v>
      </c>
      <c r="G136" s="7287" t="s">
        <v>1553</v>
      </c>
      <c r="H136" s="85"/>
    </row>
    <row r="137" spans="1:8" ht="30" customHeight="1" thickBot="1">
      <c r="A137" s="7372"/>
      <c r="B137" s="7372"/>
      <c r="C137" s="3308" t="s">
        <v>452</v>
      </c>
      <c r="D137" s="3308" t="s">
        <v>453</v>
      </c>
      <c r="E137" s="3308" t="s">
        <v>15</v>
      </c>
      <c r="F137" s="7372"/>
      <c r="G137" s="7372"/>
      <c r="H137" s="85"/>
    </row>
    <row r="138" spans="1:8">
      <c r="A138" s="3309" t="s">
        <v>3</v>
      </c>
      <c r="B138" s="3310">
        <v>711</v>
      </c>
      <c r="C138" s="3310">
        <v>240</v>
      </c>
      <c r="D138" s="3310">
        <v>315</v>
      </c>
      <c r="E138" s="3310">
        <f t="shared" ref="E138:E143" si="19">SUM(C138:D138)</f>
        <v>555</v>
      </c>
      <c r="F138" s="3310">
        <v>1334</v>
      </c>
      <c r="G138" s="2017">
        <f t="shared" ref="G138:G144" si="20">B138/F138</f>
        <v>0.53298350824587704</v>
      </c>
      <c r="H138" s="85"/>
    </row>
    <row r="139" spans="1:8">
      <c r="A139" s="3309" t="s">
        <v>59</v>
      </c>
      <c r="B139" s="3310">
        <v>462</v>
      </c>
      <c r="C139" s="3310">
        <v>4</v>
      </c>
      <c r="D139" s="3310">
        <v>47</v>
      </c>
      <c r="E139" s="3310">
        <f t="shared" si="19"/>
        <v>51</v>
      </c>
      <c r="F139" s="3310">
        <v>218</v>
      </c>
      <c r="G139" s="2017">
        <f t="shared" si="20"/>
        <v>2.1192660550458715</v>
      </c>
      <c r="H139" s="85"/>
    </row>
    <row r="140" spans="1:8">
      <c r="A140" s="3309" t="s">
        <v>25</v>
      </c>
      <c r="B140" s="3311">
        <v>1560</v>
      </c>
      <c r="C140" s="3311">
        <v>267</v>
      </c>
      <c r="D140" s="3311">
        <v>137</v>
      </c>
      <c r="E140" s="3310">
        <f t="shared" si="19"/>
        <v>404</v>
      </c>
      <c r="F140" s="3310">
        <v>1199</v>
      </c>
      <c r="G140" s="2017">
        <f t="shared" si="20"/>
        <v>1.3010842368640534</v>
      </c>
      <c r="H140" s="85"/>
    </row>
    <row r="141" spans="1:8">
      <c r="A141" s="3309" t="s">
        <v>240</v>
      </c>
      <c r="B141" s="3310">
        <v>148</v>
      </c>
      <c r="C141" s="3310">
        <v>0</v>
      </c>
      <c r="D141" s="3310">
        <v>62</v>
      </c>
      <c r="E141" s="3310">
        <f t="shared" si="19"/>
        <v>62</v>
      </c>
      <c r="F141" s="3310">
        <v>50</v>
      </c>
      <c r="G141" s="2017">
        <f t="shared" si="20"/>
        <v>2.96</v>
      </c>
      <c r="H141" s="85"/>
    </row>
    <row r="142" spans="1:8">
      <c r="A142" s="3309" t="s">
        <v>48</v>
      </c>
      <c r="B142" s="3310">
        <v>679</v>
      </c>
      <c r="C142" s="3310">
        <v>353</v>
      </c>
      <c r="D142" s="3310">
        <v>82</v>
      </c>
      <c r="E142" s="3310">
        <f t="shared" si="19"/>
        <v>435</v>
      </c>
      <c r="F142" s="3310">
        <v>1363</v>
      </c>
      <c r="G142" s="2017">
        <f t="shared" si="20"/>
        <v>0.49816581071166544</v>
      </c>
      <c r="H142" s="85"/>
    </row>
    <row r="143" spans="1:8">
      <c r="A143" s="3309" t="s">
        <v>87</v>
      </c>
      <c r="B143" s="3310">
        <v>835</v>
      </c>
      <c r="C143" s="3310">
        <v>499</v>
      </c>
      <c r="D143" s="3310">
        <v>19</v>
      </c>
      <c r="E143" s="3310">
        <f t="shared" si="19"/>
        <v>518</v>
      </c>
      <c r="F143" s="3310">
        <v>1219</v>
      </c>
      <c r="G143" s="2017">
        <f t="shared" si="20"/>
        <v>0.68498769483182942</v>
      </c>
      <c r="H143" s="85"/>
    </row>
    <row r="144" spans="1:8">
      <c r="A144" s="3307" t="s">
        <v>112</v>
      </c>
      <c r="B144" s="3312">
        <f>SUM(B138:B143)</f>
        <v>4395</v>
      </c>
      <c r="C144" s="3312">
        <f>SUM(C138:C143)</f>
        <v>1363</v>
      </c>
      <c r="D144" s="3312">
        <f>SUM(D138:D143)</f>
        <v>662</v>
      </c>
      <c r="E144" s="3312">
        <f>SUM(E138:E143)</f>
        <v>2025</v>
      </c>
      <c r="F144" s="3312">
        <f>SUM(F138:F143)</f>
        <v>5383</v>
      </c>
      <c r="G144" s="2018">
        <f t="shared" si="20"/>
        <v>0.81645922348133015</v>
      </c>
      <c r="H144" s="85"/>
    </row>
    <row r="145" spans="1:8">
      <c r="A145" s="3313" t="s">
        <v>161</v>
      </c>
      <c r="B145" s="1756"/>
      <c r="C145" s="1755"/>
      <c r="D145" s="1755"/>
      <c r="E145" s="1755"/>
      <c r="F145" s="1755"/>
      <c r="G145" s="2026"/>
      <c r="H145" s="85"/>
    </row>
    <row r="146" spans="1:8">
      <c r="A146" s="3317"/>
      <c r="B146" s="3317"/>
      <c r="C146" s="3317"/>
      <c r="D146" s="3317"/>
      <c r="E146" s="3317"/>
      <c r="F146" s="3317"/>
      <c r="G146" s="3317"/>
      <c r="H146" s="85"/>
    </row>
    <row r="147" spans="1:8" ht="15.6">
      <c r="B147" s="3316"/>
      <c r="C147" s="3316"/>
      <c r="D147" s="2822">
        <v>2011</v>
      </c>
      <c r="E147" s="3316"/>
      <c r="F147" s="3316"/>
      <c r="G147" s="3316"/>
      <c r="H147" s="85"/>
    </row>
    <row r="148" spans="1:8" ht="15.75" customHeight="1">
      <c r="A148" s="7287" t="s">
        <v>0</v>
      </c>
      <c r="B148" s="7287" t="s">
        <v>160</v>
      </c>
      <c r="C148" s="7374" t="s">
        <v>451</v>
      </c>
      <c r="D148" s="7374"/>
      <c r="E148" s="7374"/>
      <c r="F148" s="7287" t="s">
        <v>450</v>
      </c>
      <c r="G148" s="7287" t="s">
        <v>1553</v>
      </c>
      <c r="H148" s="85"/>
    </row>
    <row r="149" spans="1:8" ht="30" customHeight="1" thickBot="1">
      <c r="A149" s="7372"/>
      <c r="B149" s="7372"/>
      <c r="C149" s="3308" t="s">
        <v>452</v>
      </c>
      <c r="D149" s="3308" t="s">
        <v>453</v>
      </c>
      <c r="E149" s="3308" t="s">
        <v>15</v>
      </c>
      <c r="F149" s="7372"/>
      <c r="G149" s="7372"/>
      <c r="H149" s="85"/>
    </row>
    <row r="150" spans="1:8">
      <c r="A150" s="3309" t="s">
        <v>3</v>
      </c>
      <c r="B150" s="3310">
        <v>456</v>
      </c>
      <c r="C150" s="3310">
        <v>59</v>
      </c>
      <c r="D150" s="3310">
        <v>64</v>
      </c>
      <c r="E150" s="3310">
        <v>123</v>
      </c>
      <c r="F150" s="3310">
        <v>1340</v>
      </c>
      <c r="G150" s="2017">
        <f t="shared" ref="G150:G156" si="21">B150/F150</f>
        <v>0.34029850746268658</v>
      </c>
      <c r="H150" s="85"/>
    </row>
    <row r="151" spans="1:8">
      <c r="A151" s="3309" t="s">
        <v>59</v>
      </c>
      <c r="B151" s="3310">
        <v>440</v>
      </c>
      <c r="C151" s="3310">
        <v>3</v>
      </c>
      <c r="D151" s="3310">
        <v>8</v>
      </c>
      <c r="E151" s="3310">
        <v>62</v>
      </c>
      <c r="F151" s="3310">
        <v>188</v>
      </c>
      <c r="G151" s="2017">
        <f>B151/F151</f>
        <v>2.3404255319148937</v>
      </c>
      <c r="H151" s="85"/>
    </row>
    <row r="152" spans="1:8" ht="15.75" customHeight="1">
      <c r="A152" s="3309" t="s">
        <v>25</v>
      </c>
      <c r="B152" s="3311">
        <v>1708</v>
      </c>
      <c r="C152" s="3311">
        <v>126</v>
      </c>
      <c r="D152" s="3311">
        <v>35</v>
      </c>
      <c r="E152" s="3310">
        <f>SUM(C152:D152)</f>
        <v>161</v>
      </c>
      <c r="F152" s="3310">
        <v>1200</v>
      </c>
      <c r="G152" s="2017">
        <f t="shared" si="21"/>
        <v>1.4233333333333333</v>
      </c>
      <c r="H152" s="85"/>
    </row>
    <row r="153" spans="1:8">
      <c r="A153" s="3309" t="s">
        <v>240</v>
      </c>
      <c r="B153" s="3310">
        <v>546</v>
      </c>
      <c r="C153" s="3310">
        <v>0</v>
      </c>
      <c r="D153" s="3310">
        <v>35</v>
      </c>
      <c r="E153" s="3310">
        <f>SUM(C153:D153)</f>
        <v>35</v>
      </c>
      <c r="F153" s="3310">
        <v>41</v>
      </c>
      <c r="G153" s="2017">
        <f>B153/F153</f>
        <v>13.317073170731707</v>
      </c>
      <c r="H153" s="85"/>
    </row>
    <row r="154" spans="1:8">
      <c r="A154" s="3309" t="s">
        <v>48</v>
      </c>
      <c r="B154" s="3310">
        <v>497</v>
      </c>
      <c r="C154" s="3310">
        <v>225</v>
      </c>
      <c r="D154" s="3310">
        <v>158</v>
      </c>
      <c r="E154" s="3310">
        <f>SUM(C154:D154)</f>
        <v>383</v>
      </c>
      <c r="F154" s="3310">
        <v>1368</v>
      </c>
      <c r="G154" s="2017">
        <f>B154/F154</f>
        <v>0.36330409356725146</v>
      </c>
      <c r="H154" s="85"/>
    </row>
    <row r="155" spans="1:8">
      <c r="A155" s="3309" t="s">
        <v>87</v>
      </c>
      <c r="B155" s="3310">
        <v>490</v>
      </c>
      <c r="C155" s="3310">
        <v>447</v>
      </c>
      <c r="D155" s="3310">
        <v>108</v>
      </c>
      <c r="E155" s="3310">
        <v>555</v>
      </c>
      <c r="F155" s="3310">
        <v>1195</v>
      </c>
      <c r="G155" s="2017">
        <f t="shared" si="21"/>
        <v>0.41004184100418412</v>
      </c>
      <c r="H155" s="85"/>
    </row>
    <row r="156" spans="1:8">
      <c r="A156" s="3307" t="s">
        <v>112</v>
      </c>
      <c r="B156" s="3312">
        <f>SUM(B150:B155)</f>
        <v>4137</v>
      </c>
      <c r="C156" s="3312">
        <f>SUM(C150:C155)</f>
        <v>860</v>
      </c>
      <c r="D156" s="3312">
        <f>SUM(D150:D155)</f>
        <v>408</v>
      </c>
      <c r="E156" s="3312">
        <f>SUM(E150:E155)</f>
        <v>1319</v>
      </c>
      <c r="F156" s="3312">
        <f>SUM(F150:F155)</f>
        <v>5332</v>
      </c>
      <c r="G156" s="2018">
        <f t="shared" si="21"/>
        <v>0.77588147036759192</v>
      </c>
      <c r="H156" s="85"/>
    </row>
    <row r="157" spans="1:8">
      <c r="A157" s="3313" t="s">
        <v>161</v>
      </c>
      <c r="B157" s="1756"/>
      <c r="C157" s="1755"/>
      <c r="D157" s="1755"/>
      <c r="E157" s="1755"/>
      <c r="F157" s="1755"/>
      <c r="G157" s="2026"/>
      <c r="H157" s="85"/>
    </row>
    <row r="158" spans="1:8">
      <c r="A158" s="2026"/>
      <c r="B158" s="2026"/>
      <c r="C158" s="2026"/>
      <c r="D158" s="2026"/>
      <c r="E158" s="2026"/>
      <c r="F158" s="2026"/>
      <c r="G158" s="2026"/>
      <c r="H158" s="85"/>
    </row>
    <row r="159" spans="1:8">
      <c r="A159" s="2026"/>
      <c r="B159" s="2026"/>
      <c r="C159" s="2026"/>
      <c r="D159" s="2026"/>
      <c r="E159" s="3314"/>
      <c r="F159" s="3314"/>
      <c r="G159" s="2026"/>
      <c r="H159" s="85"/>
    </row>
    <row r="160" spans="1:8" ht="15.6">
      <c r="B160" s="3316"/>
      <c r="C160" s="3316"/>
      <c r="D160" s="2822">
        <v>2010</v>
      </c>
      <c r="E160" s="3316"/>
      <c r="F160" s="3316"/>
      <c r="G160" s="3316"/>
      <c r="H160" s="85"/>
    </row>
    <row r="161" spans="1:8" ht="15" customHeight="1">
      <c r="A161" s="7287" t="s">
        <v>0</v>
      </c>
      <c r="B161" s="7287" t="s">
        <v>160</v>
      </c>
      <c r="C161" s="7374" t="s">
        <v>451</v>
      </c>
      <c r="D161" s="7374"/>
      <c r="E161" s="7374"/>
      <c r="F161" s="7287" t="s">
        <v>450</v>
      </c>
      <c r="G161" s="7287" t="s">
        <v>1553</v>
      </c>
      <c r="H161" s="85"/>
    </row>
    <row r="162" spans="1:8" ht="30.75" customHeight="1" thickBot="1">
      <c r="A162" s="7372"/>
      <c r="B162" s="7372"/>
      <c r="C162" s="3308" t="s">
        <v>452</v>
      </c>
      <c r="D162" s="3308" t="s">
        <v>453</v>
      </c>
      <c r="E162" s="3308" t="s">
        <v>15</v>
      </c>
      <c r="F162" s="7372"/>
      <c r="G162" s="7372"/>
      <c r="H162" s="85"/>
    </row>
    <row r="163" spans="1:8">
      <c r="A163" s="3309" t="s">
        <v>3</v>
      </c>
      <c r="B163" s="3310">
        <v>1364</v>
      </c>
      <c r="C163" s="3310">
        <v>599</v>
      </c>
      <c r="D163" s="3310">
        <v>305</v>
      </c>
      <c r="E163" s="3310">
        <v>904</v>
      </c>
      <c r="F163" s="3310">
        <v>1309</v>
      </c>
      <c r="G163" s="2017">
        <f t="shared" ref="G163:G169" si="22">B163/F163</f>
        <v>1.0420168067226891</v>
      </c>
      <c r="H163" s="85"/>
    </row>
    <row r="164" spans="1:8">
      <c r="A164" s="3309" t="s">
        <v>59</v>
      </c>
      <c r="B164" s="3310"/>
      <c r="C164" s="3310"/>
      <c r="D164" s="3310"/>
      <c r="E164" s="3310"/>
      <c r="F164" s="3310">
        <v>146</v>
      </c>
      <c r="G164" s="2017">
        <f>B164/F164</f>
        <v>0</v>
      </c>
      <c r="H164" s="85"/>
    </row>
    <row r="165" spans="1:8">
      <c r="A165" s="3309" t="s">
        <v>25</v>
      </c>
      <c r="B165" s="3311">
        <v>2268</v>
      </c>
      <c r="C165" s="3311">
        <v>376</v>
      </c>
      <c r="D165" s="3311">
        <v>167</v>
      </c>
      <c r="E165" s="3310">
        <v>543</v>
      </c>
      <c r="F165" s="3310">
        <v>1187</v>
      </c>
      <c r="G165" s="2017">
        <f t="shared" si="22"/>
        <v>1.9106992417860151</v>
      </c>
      <c r="H165" s="85"/>
    </row>
    <row r="166" spans="1:8">
      <c r="A166" s="3309" t="s">
        <v>240</v>
      </c>
      <c r="B166" s="3310"/>
      <c r="C166" s="3310"/>
      <c r="D166" s="3310"/>
      <c r="E166" s="3310"/>
      <c r="F166" s="3310">
        <v>32</v>
      </c>
      <c r="G166" s="2017">
        <f>B166/F166</f>
        <v>0</v>
      </c>
      <c r="H166" s="85"/>
    </row>
    <row r="167" spans="1:8">
      <c r="A167" s="3309" t="s">
        <v>48</v>
      </c>
      <c r="B167" s="3310">
        <v>667</v>
      </c>
      <c r="C167" s="3310">
        <v>310</v>
      </c>
      <c r="D167" s="3310">
        <v>87</v>
      </c>
      <c r="E167" s="3310">
        <v>397</v>
      </c>
      <c r="F167" s="3310">
        <v>1355</v>
      </c>
      <c r="G167" s="2017">
        <f>B167/F167</f>
        <v>0.49225092250922509</v>
      </c>
      <c r="H167" s="85"/>
    </row>
    <row r="168" spans="1:8" ht="15.75" customHeight="1">
      <c r="A168" s="3309" t="s">
        <v>87</v>
      </c>
      <c r="B168" s="3310">
        <v>540</v>
      </c>
      <c r="C168" s="3310"/>
      <c r="D168" s="3310"/>
      <c r="E168" s="3310">
        <v>557</v>
      </c>
      <c r="F168" s="3310">
        <v>1176</v>
      </c>
      <c r="G168" s="2017">
        <f t="shared" si="22"/>
        <v>0.45918367346938777</v>
      </c>
      <c r="H168" s="85"/>
    </row>
    <row r="169" spans="1:8">
      <c r="A169" s="3307" t="s">
        <v>112</v>
      </c>
      <c r="B169" s="3312">
        <f>SUM(B163:B168)</f>
        <v>4839</v>
      </c>
      <c r="C169" s="3312">
        <v>1285</v>
      </c>
      <c r="D169" s="3312">
        <v>559</v>
      </c>
      <c r="E169" s="3312">
        <v>2401</v>
      </c>
      <c r="F169" s="3312">
        <f>SUM(F163:F168)</f>
        <v>5205</v>
      </c>
      <c r="G169" s="2018">
        <f t="shared" si="22"/>
        <v>0.92968299711815561</v>
      </c>
      <c r="H169" s="85"/>
    </row>
    <row r="170" spans="1:8">
      <c r="A170" s="2026"/>
      <c r="B170" s="2026"/>
      <c r="C170" s="2026"/>
      <c r="D170" s="2026"/>
      <c r="E170" s="2026"/>
      <c r="F170" s="2026"/>
      <c r="G170" s="2026"/>
      <c r="H170" s="85"/>
    </row>
    <row r="171" spans="1:8" ht="15" customHeight="1">
      <c r="A171" s="2026"/>
      <c r="B171" s="2026"/>
      <c r="C171" s="2026"/>
      <c r="D171" s="2026"/>
      <c r="E171" s="2026"/>
      <c r="F171" s="2026"/>
      <c r="G171" s="2026"/>
      <c r="H171" s="85"/>
    </row>
    <row r="172" spans="1:8">
      <c r="A172" s="2026"/>
      <c r="B172" s="2026"/>
      <c r="C172" s="2026"/>
      <c r="D172" s="2026"/>
      <c r="E172" s="2026"/>
      <c r="F172" s="2026"/>
      <c r="G172" s="2026"/>
      <c r="H172" s="85"/>
    </row>
    <row r="173" spans="1:8">
      <c r="A173" s="2026"/>
      <c r="B173" s="2026"/>
      <c r="C173" s="2026"/>
      <c r="D173" s="2026"/>
      <c r="E173" s="2026"/>
      <c r="F173" s="2026"/>
      <c r="G173" s="2026"/>
      <c r="H173" s="85"/>
    </row>
    <row r="174" spans="1:8">
      <c r="A174" s="2026"/>
      <c r="B174" s="2026"/>
      <c r="C174" s="2026"/>
      <c r="D174" s="2026"/>
      <c r="E174" s="2026"/>
      <c r="F174" s="2026"/>
      <c r="G174" s="2026"/>
      <c r="H174" s="85"/>
    </row>
    <row r="175" spans="1:8">
      <c r="A175" s="2026"/>
      <c r="B175" s="2026"/>
      <c r="C175" s="2026"/>
      <c r="D175" s="2026"/>
      <c r="E175" s="2026"/>
      <c r="F175" s="2026"/>
      <c r="G175" s="2026"/>
      <c r="H175" s="85"/>
    </row>
    <row r="176" spans="1:8">
      <c r="A176" s="2026"/>
      <c r="B176" s="2026"/>
      <c r="C176" s="2026"/>
      <c r="D176" s="2026"/>
      <c r="E176" s="2026"/>
      <c r="F176" s="2026"/>
      <c r="G176" s="2026"/>
      <c r="H176" s="85"/>
    </row>
    <row r="177" spans="1:8">
      <c r="A177" s="2026"/>
      <c r="B177" s="2026"/>
      <c r="C177" s="2026"/>
      <c r="D177" s="2026"/>
      <c r="E177" s="2026"/>
      <c r="F177" s="2026"/>
      <c r="G177" s="2026"/>
      <c r="H177" s="85"/>
    </row>
    <row r="178" spans="1:8">
      <c r="A178" s="2026"/>
      <c r="B178" s="2026"/>
      <c r="C178" s="2026"/>
      <c r="D178" s="2026"/>
      <c r="E178" s="2026"/>
      <c r="F178" s="2026"/>
      <c r="G178" s="2026"/>
      <c r="H178" s="85"/>
    </row>
    <row r="179" spans="1:8">
      <c r="A179" s="2026"/>
      <c r="B179" s="2026"/>
      <c r="C179" s="2026"/>
      <c r="D179" s="2026"/>
      <c r="E179" s="2026"/>
      <c r="F179" s="2026"/>
      <c r="G179" s="2026"/>
      <c r="H179" s="85"/>
    </row>
    <row r="180" spans="1:8">
      <c r="A180" s="2026"/>
      <c r="B180" s="2026"/>
      <c r="C180" s="2026"/>
      <c r="D180" s="2026"/>
      <c r="E180" s="2026"/>
      <c r="F180" s="2026"/>
      <c r="G180" s="2026"/>
      <c r="H180" s="85"/>
    </row>
    <row r="181" spans="1:8">
      <c r="A181" s="2026"/>
      <c r="B181" s="2026"/>
      <c r="C181" s="2026"/>
      <c r="D181" s="2026"/>
      <c r="E181" s="2026"/>
      <c r="F181" s="2026"/>
      <c r="G181" s="2026"/>
      <c r="H181" s="85"/>
    </row>
    <row r="182" spans="1:8">
      <c r="A182" s="2026"/>
      <c r="B182" s="2026"/>
      <c r="C182" s="2026"/>
      <c r="D182" s="2026"/>
      <c r="E182" s="2026"/>
      <c r="F182" s="2026"/>
      <c r="G182" s="2026"/>
      <c r="H182" s="85"/>
    </row>
    <row r="183" spans="1:8">
      <c r="A183" s="2026"/>
      <c r="B183" s="2026"/>
      <c r="C183" s="2026"/>
      <c r="D183" s="2026"/>
      <c r="E183" s="2026"/>
      <c r="F183" s="2026"/>
      <c r="G183" s="2026"/>
      <c r="H183" s="85"/>
    </row>
    <row r="184" spans="1:8">
      <c r="A184" s="2026"/>
      <c r="B184" s="2026"/>
      <c r="C184" s="2026"/>
      <c r="D184" s="2026"/>
      <c r="E184" s="2026"/>
      <c r="F184" s="2026"/>
      <c r="G184" s="2026"/>
      <c r="H184" s="85"/>
    </row>
    <row r="185" spans="1:8">
      <c r="A185" s="2026"/>
      <c r="B185" s="2026"/>
      <c r="C185" s="2026"/>
      <c r="D185" s="2026"/>
      <c r="E185" s="2026"/>
      <c r="F185" s="2026"/>
      <c r="G185" s="2026"/>
      <c r="H185" s="85"/>
    </row>
    <row r="186" spans="1:8">
      <c r="A186" s="2026"/>
      <c r="B186" s="2026"/>
      <c r="C186" s="2026"/>
      <c r="D186" s="2026"/>
      <c r="E186" s="2026"/>
      <c r="F186" s="2026"/>
      <c r="G186" s="2026"/>
      <c r="H186" s="85"/>
    </row>
    <row r="187" spans="1:8">
      <c r="A187" s="2026"/>
      <c r="B187" s="2026"/>
      <c r="C187" s="2026"/>
      <c r="D187" s="2026"/>
      <c r="E187" s="2026"/>
      <c r="F187" s="2026"/>
      <c r="G187" s="2026"/>
      <c r="H187" s="85"/>
    </row>
    <row r="188" spans="1:8">
      <c r="A188" s="2026"/>
      <c r="B188" s="2026"/>
      <c r="C188" s="2026"/>
      <c r="D188" s="2026"/>
      <c r="E188" s="2026"/>
      <c r="F188" s="2026"/>
      <c r="G188" s="2026"/>
      <c r="H188" s="85"/>
    </row>
    <row r="189" spans="1:8">
      <c r="A189" s="2026"/>
      <c r="B189" s="2026"/>
      <c r="C189" s="2026"/>
      <c r="D189" s="2026"/>
      <c r="E189" s="2026"/>
      <c r="F189" s="2026"/>
      <c r="G189" s="2026"/>
      <c r="H189" s="85"/>
    </row>
    <row r="190" spans="1:8">
      <c r="A190" s="2026"/>
      <c r="B190" s="2026"/>
      <c r="C190" s="2026"/>
      <c r="D190" s="2026"/>
      <c r="E190" s="2026"/>
      <c r="F190" s="2026"/>
      <c r="G190" s="2026"/>
      <c r="H190" s="85"/>
    </row>
    <row r="191" spans="1:8">
      <c r="A191" s="2026"/>
      <c r="B191" s="2026"/>
      <c r="C191" s="2026"/>
      <c r="D191" s="2026"/>
      <c r="E191" s="2026"/>
      <c r="F191" s="2026"/>
      <c r="G191" s="2026"/>
    </row>
    <row r="192" spans="1:8">
      <c r="A192" s="2026"/>
      <c r="B192" s="2026"/>
      <c r="C192" s="2026"/>
      <c r="D192" s="2026"/>
      <c r="E192" s="2026"/>
      <c r="F192" s="2026"/>
      <c r="G192" s="2026"/>
    </row>
    <row r="193" spans="1:7">
      <c r="A193" s="2026"/>
      <c r="B193" s="2026"/>
      <c r="C193" s="2026"/>
      <c r="D193" s="2026"/>
      <c r="E193" s="2026"/>
      <c r="F193" s="2026"/>
      <c r="G193" s="2026"/>
    </row>
    <row r="194" spans="1:7">
      <c r="A194" s="2026"/>
      <c r="B194" s="2026"/>
      <c r="C194" s="2026"/>
      <c r="D194" s="2026"/>
      <c r="E194" s="2026"/>
      <c r="F194" s="2026"/>
      <c r="G194" s="2026"/>
    </row>
    <row r="195" spans="1:7">
      <c r="A195" s="2026"/>
      <c r="B195" s="2026"/>
      <c r="C195" s="2026"/>
      <c r="D195" s="2026"/>
      <c r="E195" s="2026"/>
      <c r="F195" s="2026"/>
      <c r="G195" s="2026"/>
    </row>
    <row r="196" spans="1:7">
      <c r="A196" s="2026"/>
      <c r="B196" s="2026"/>
      <c r="C196" s="2026"/>
      <c r="D196" s="2026"/>
      <c r="E196" s="2026"/>
      <c r="F196" s="2026"/>
      <c r="G196" s="2026"/>
    </row>
    <row r="197" spans="1:7">
      <c r="A197" s="2026"/>
      <c r="B197" s="2026"/>
      <c r="C197" s="2026"/>
      <c r="D197" s="2026"/>
      <c r="E197" s="2026"/>
      <c r="F197" s="2026"/>
      <c r="G197" s="2026"/>
    </row>
    <row r="198" spans="1:7">
      <c r="A198" s="2026"/>
      <c r="B198" s="2026"/>
      <c r="C198" s="2026"/>
      <c r="D198" s="2026"/>
      <c r="E198" s="2026"/>
      <c r="F198" s="2026"/>
      <c r="G198" s="2026"/>
    </row>
    <row r="199" spans="1:7">
      <c r="A199" s="2026"/>
      <c r="B199" s="2026"/>
      <c r="C199" s="2026"/>
      <c r="D199" s="2026"/>
      <c r="E199" s="2026"/>
      <c r="F199" s="2026"/>
      <c r="G199" s="2026"/>
    </row>
    <row r="200" spans="1:7">
      <c r="A200" s="2026"/>
      <c r="B200" s="2026"/>
      <c r="C200" s="2026"/>
      <c r="D200" s="2026"/>
      <c r="E200" s="2026"/>
      <c r="F200" s="2026"/>
      <c r="G200" s="2026"/>
    </row>
    <row r="201" spans="1:7">
      <c r="A201" s="2026"/>
      <c r="B201" s="2026"/>
      <c r="C201" s="2026"/>
      <c r="D201" s="2026"/>
      <c r="E201" s="2026"/>
      <c r="F201" s="2026"/>
      <c r="G201" s="2026"/>
    </row>
    <row r="224" ht="24" customHeight="1"/>
    <row r="244" ht="15" customHeight="1"/>
    <row r="249" ht="25.5" customHeight="1"/>
    <row r="266" ht="24" customHeight="1"/>
    <row r="281" ht="15" customHeight="1"/>
    <row r="307" ht="24.75" customHeight="1"/>
    <row r="318" ht="15" customHeight="1"/>
    <row r="331" ht="15" customHeight="1"/>
    <row r="338" ht="15" customHeight="1"/>
    <row r="353" ht="15" customHeight="1"/>
    <row r="359" ht="15" customHeight="1"/>
  </sheetData>
  <mergeCells count="70">
    <mergeCell ref="A5:A6"/>
    <mergeCell ref="B5:B6"/>
    <mergeCell ref="C5:E5"/>
    <mergeCell ref="F5:F6"/>
    <mergeCell ref="G5:G6"/>
    <mergeCell ref="A17:A18"/>
    <mergeCell ref="B17:B18"/>
    <mergeCell ref="C17:E17"/>
    <mergeCell ref="F17:F18"/>
    <mergeCell ref="G17:G18"/>
    <mergeCell ref="A30:A31"/>
    <mergeCell ref="B30:B31"/>
    <mergeCell ref="C30:E30"/>
    <mergeCell ref="F30:F31"/>
    <mergeCell ref="G30:G31"/>
    <mergeCell ref="C54:E54"/>
    <mergeCell ref="F54:F55"/>
    <mergeCell ref="G54:G55"/>
    <mergeCell ref="G66:G67"/>
    <mergeCell ref="A78:A79"/>
    <mergeCell ref="B78:B79"/>
    <mergeCell ref="C78:E78"/>
    <mergeCell ref="F78:F79"/>
    <mergeCell ref="G78:G79"/>
    <mergeCell ref="G161:G162"/>
    <mergeCell ref="A148:A149"/>
    <mergeCell ref="B148:B149"/>
    <mergeCell ref="C148:E148"/>
    <mergeCell ref="F148:F149"/>
    <mergeCell ref="G148:G149"/>
    <mergeCell ref="A161:A162"/>
    <mergeCell ref="B161:B162"/>
    <mergeCell ref="C161:E161"/>
    <mergeCell ref="F161:F162"/>
    <mergeCell ref="G136:G137"/>
    <mergeCell ref="A124:A125"/>
    <mergeCell ref="B124:B125"/>
    <mergeCell ref="C124:E124"/>
    <mergeCell ref="F124:F125"/>
    <mergeCell ref="G124:G125"/>
    <mergeCell ref="A136:A137"/>
    <mergeCell ref="B136:B137"/>
    <mergeCell ref="C136:E136"/>
    <mergeCell ref="F136:F137"/>
    <mergeCell ref="G112:G113"/>
    <mergeCell ref="A100:A101"/>
    <mergeCell ref="B100:B101"/>
    <mergeCell ref="C100:E100"/>
    <mergeCell ref="F100:F101"/>
    <mergeCell ref="G100:G101"/>
    <mergeCell ref="A112:A113"/>
    <mergeCell ref="B112:B113"/>
    <mergeCell ref="C112:E112"/>
    <mergeCell ref="F112:F113"/>
    <mergeCell ref="G42:G43"/>
    <mergeCell ref="A89:A90"/>
    <mergeCell ref="F66:F67"/>
    <mergeCell ref="C66:E66"/>
    <mergeCell ref="B66:B67"/>
    <mergeCell ref="A66:A67"/>
    <mergeCell ref="B89:B90"/>
    <mergeCell ref="C89:E89"/>
    <mergeCell ref="F89:F90"/>
    <mergeCell ref="G89:G90"/>
    <mergeCell ref="A42:A43"/>
    <mergeCell ref="B42:B43"/>
    <mergeCell ref="C42:E42"/>
    <mergeCell ref="F42:F43"/>
    <mergeCell ref="A54:A55"/>
    <mergeCell ref="B54:B55"/>
  </mergeCells>
  <printOptions horizontalCentered="1" verticalCentered="1"/>
  <pageMargins left="0.70866141732283472" right="0.70866141732283472" top="0.74803149606299213" bottom="0.74803149606299213" header="0.31496062992125984" footer="0.31496062992125984"/>
  <pageSetup scale="52" firstPageNumber="51" orientation="landscape" useFirstPageNumber="1" r:id="rId1"/>
  <headerFooter scaleWithDoc="0" alignWithMargins="0">
    <oddFooter>&amp;R&amp;P</oddFooter>
  </headerFooter>
  <ignoredErrors>
    <ignoredError sqref="E114:E117 E102:E107 E92:E96 E126:E130 E152:E154 E138:E143 E80:E85 E68:E73 E45:E49 E44 E32:E37 E20:E24 E8:E12" formulaRange="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380"/>
  <sheetViews>
    <sheetView showGridLines="0" zoomScaleNormal="100" workbookViewId="0"/>
  </sheetViews>
  <sheetFormatPr baseColWidth="10" defaultColWidth="11.5546875" defaultRowHeight="14.4"/>
  <cols>
    <col min="1" max="1" width="23.6640625" customWidth="1"/>
    <col min="2" max="2" width="1.6640625" customWidth="1"/>
    <col min="3" max="5" width="10.6640625" customWidth="1"/>
    <col min="6" max="6" width="9.6640625" customWidth="1"/>
    <col min="7" max="7" width="1.6640625" customWidth="1"/>
    <col min="8" max="9" width="13.6640625" customWidth="1"/>
    <col min="10" max="10" width="9.6640625" customWidth="1"/>
    <col min="11" max="11" width="1.6640625" customWidth="1"/>
    <col min="12" max="12" width="10.6640625" customWidth="1"/>
    <col min="13" max="13" width="4.44140625" customWidth="1"/>
  </cols>
  <sheetData>
    <row r="1" spans="1:12" ht="19.5" customHeight="1">
      <c r="B1" s="56"/>
      <c r="C1" s="56"/>
      <c r="D1" s="56"/>
      <c r="E1" s="56"/>
      <c r="F1" s="56"/>
      <c r="G1" s="56"/>
      <c r="H1" s="56"/>
      <c r="I1" s="56"/>
      <c r="J1" s="56"/>
      <c r="K1" s="56"/>
      <c r="L1" s="6496" t="s">
        <v>430</v>
      </c>
    </row>
    <row r="2" spans="1:12">
      <c r="B2" s="6501"/>
      <c r="C2" s="6501"/>
      <c r="D2" s="6501"/>
      <c r="E2" s="6501"/>
      <c r="F2" s="6501"/>
      <c r="G2" s="6501"/>
      <c r="H2" s="6501"/>
      <c r="I2" s="6501"/>
      <c r="J2" s="6501"/>
      <c r="K2" s="6501"/>
      <c r="L2" s="6500" t="s">
        <v>409</v>
      </c>
    </row>
    <row r="3" spans="1:12" s="5317" customFormat="1">
      <c r="B3" s="6501"/>
      <c r="C3" s="6501"/>
      <c r="D3" s="6501"/>
      <c r="E3" s="6501"/>
      <c r="F3" s="6501"/>
      <c r="G3" s="6501"/>
      <c r="H3" s="6501"/>
      <c r="I3" s="6501"/>
      <c r="J3" s="6501"/>
      <c r="K3" s="6501"/>
      <c r="L3" s="6500"/>
    </row>
    <row r="4" spans="1:12" s="5317" customFormat="1" ht="15.6">
      <c r="B4" s="6478"/>
      <c r="C4" s="163"/>
      <c r="D4" s="163"/>
      <c r="E4" s="163"/>
      <c r="F4" s="163">
        <v>2023</v>
      </c>
      <c r="G4" s="163"/>
      <c r="H4" s="163"/>
      <c r="I4" s="163"/>
      <c r="J4" s="163"/>
      <c r="K4" s="163"/>
      <c r="L4" s="163"/>
    </row>
    <row r="5" spans="1:12" s="5317" customFormat="1">
      <c r="A5" s="2026"/>
      <c r="B5" s="3318"/>
      <c r="C5" s="7378" t="s">
        <v>212</v>
      </c>
      <c r="D5" s="7378"/>
      <c r="E5" s="7378"/>
      <c r="F5" s="7378"/>
      <c r="G5" s="3319"/>
      <c r="H5" s="7378" t="s">
        <v>213</v>
      </c>
      <c r="I5" s="7378"/>
      <c r="J5" s="7378"/>
      <c r="K5" s="3319"/>
      <c r="L5" s="7379" t="s">
        <v>2461</v>
      </c>
    </row>
    <row r="6" spans="1:12" s="5317" customFormat="1">
      <c r="A6" s="7382" t="s">
        <v>68</v>
      </c>
      <c r="B6" s="3318"/>
      <c r="C6" s="7384" t="s">
        <v>2432</v>
      </c>
      <c r="D6" s="7384"/>
      <c r="E6" s="7384"/>
      <c r="F6" s="7385" t="s">
        <v>2462</v>
      </c>
      <c r="G6" s="3319"/>
      <c r="H6" s="7377" t="s">
        <v>2433</v>
      </c>
      <c r="I6" s="7377"/>
      <c r="J6" s="7385" t="s">
        <v>2463</v>
      </c>
      <c r="K6" s="3319"/>
      <c r="L6" s="7380"/>
    </row>
    <row r="7" spans="1:12" s="5317" customFormat="1" ht="15" thickBot="1">
      <c r="A7" s="7383"/>
      <c r="B7" s="3318"/>
      <c r="C7" s="6476" t="s">
        <v>216</v>
      </c>
      <c r="D7" s="6476" t="s">
        <v>217</v>
      </c>
      <c r="E7" s="6476" t="s">
        <v>218</v>
      </c>
      <c r="F7" s="7386"/>
      <c r="G7" s="3319"/>
      <c r="H7" s="6476" t="s">
        <v>214</v>
      </c>
      <c r="I7" s="6476" t="s">
        <v>215</v>
      </c>
      <c r="J7" s="7386"/>
      <c r="K7" s="3319"/>
      <c r="L7" s="7381"/>
    </row>
    <row r="8" spans="1:12" s="5317" customFormat="1">
      <c r="A8" s="3294"/>
      <c r="B8" s="3318"/>
      <c r="C8" s="3294"/>
      <c r="D8" s="3294"/>
      <c r="E8" s="3294"/>
      <c r="F8" s="3294"/>
      <c r="G8" s="3319"/>
      <c r="H8" s="3294"/>
      <c r="I8" s="3294"/>
      <c r="J8" s="3294"/>
      <c r="K8" s="3319"/>
      <c r="L8" s="3294"/>
    </row>
    <row r="9" spans="1:12" s="5317" customFormat="1">
      <c r="A9" s="3320" t="s">
        <v>70</v>
      </c>
      <c r="B9" s="3318"/>
      <c r="C9" s="3321">
        <v>1014</v>
      </c>
      <c r="D9" s="3321">
        <v>335</v>
      </c>
      <c r="E9" s="3321">
        <v>44</v>
      </c>
      <c r="F9" s="3322">
        <f>SUM(C9:E9)</f>
        <v>1393</v>
      </c>
      <c r="G9" s="3319"/>
      <c r="H9" s="3321">
        <v>1126</v>
      </c>
      <c r="I9" s="3321">
        <v>190</v>
      </c>
      <c r="J9" s="3322">
        <f>SUM(H9:I9)</f>
        <v>1316</v>
      </c>
      <c r="K9" s="3319"/>
      <c r="L9" s="3331">
        <f>+F9/J9</f>
        <v>1.0585106382978724</v>
      </c>
    </row>
    <row r="10" spans="1:12" s="5317" customFormat="1">
      <c r="A10" s="3294"/>
      <c r="B10" s="3318"/>
      <c r="C10" s="3323"/>
      <c r="D10" s="3323"/>
      <c r="E10" s="3323"/>
      <c r="F10" s="3323"/>
      <c r="G10" s="3319"/>
      <c r="H10" s="3323"/>
      <c r="I10" s="3323"/>
      <c r="J10" s="3323"/>
      <c r="K10" s="3319"/>
      <c r="L10" s="3332"/>
    </row>
    <row r="11" spans="1:12" s="5317" customFormat="1">
      <c r="A11" s="3320" t="s">
        <v>72</v>
      </c>
      <c r="B11" s="3318"/>
      <c r="C11" s="3321">
        <v>238</v>
      </c>
      <c r="D11" s="3321">
        <v>31</v>
      </c>
      <c r="E11" s="3321">
        <v>13</v>
      </c>
      <c r="F11" s="3322">
        <f>SUM(C11:E11)</f>
        <v>282</v>
      </c>
      <c r="G11" s="3319"/>
      <c r="H11" s="3321">
        <v>219</v>
      </c>
      <c r="I11" s="3321">
        <v>120</v>
      </c>
      <c r="J11" s="3322">
        <f>SUM(H11:I11)</f>
        <v>339</v>
      </c>
      <c r="K11" s="3319"/>
      <c r="L11" s="3331">
        <f>+F11/J11</f>
        <v>0.83185840707964598</v>
      </c>
    </row>
    <row r="12" spans="1:12" s="5317" customFormat="1">
      <c r="A12" s="3294"/>
      <c r="B12" s="3318"/>
      <c r="C12" s="3323"/>
      <c r="D12" s="3323"/>
      <c r="E12" s="3323"/>
      <c r="F12" s="3323"/>
      <c r="G12" s="3319"/>
      <c r="H12" s="3323"/>
      <c r="I12" s="3323"/>
      <c r="J12" s="3323"/>
      <c r="K12" s="3319"/>
      <c r="L12" s="3332"/>
    </row>
    <row r="13" spans="1:12" s="5317" customFormat="1">
      <c r="A13" s="3320" t="s">
        <v>73</v>
      </c>
      <c r="B13" s="3318"/>
      <c r="C13" s="3321">
        <v>857</v>
      </c>
      <c r="D13" s="3321">
        <v>274</v>
      </c>
      <c r="E13" s="3321">
        <v>77</v>
      </c>
      <c r="F13" s="3322">
        <f>SUM(C13:E13)</f>
        <v>1208</v>
      </c>
      <c r="G13" s="3319"/>
      <c r="H13" s="3321">
        <v>972</v>
      </c>
      <c r="I13" s="3321">
        <v>221</v>
      </c>
      <c r="J13" s="3322">
        <f>SUM(H13:I13)</f>
        <v>1193</v>
      </c>
      <c r="K13" s="3319"/>
      <c r="L13" s="3331">
        <f>+F13/J13</f>
        <v>1.0125733445096397</v>
      </c>
    </row>
    <row r="14" spans="1:12" s="5317" customFormat="1">
      <c r="A14" s="3294"/>
      <c r="B14" s="3318"/>
      <c r="C14" s="3323"/>
      <c r="D14" s="3323"/>
      <c r="E14" s="3323"/>
      <c r="F14" s="3323"/>
      <c r="G14" s="3319"/>
      <c r="H14" s="3323"/>
      <c r="I14" s="3323"/>
      <c r="J14" s="3323"/>
      <c r="K14" s="3319"/>
      <c r="L14" s="3332"/>
    </row>
    <row r="15" spans="1:12" s="5317" customFormat="1">
      <c r="A15" s="3320" t="s">
        <v>82</v>
      </c>
      <c r="B15" s="3318"/>
      <c r="C15" s="3321">
        <v>112</v>
      </c>
      <c r="D15" s="3321"/>
      <c r="E15" s="3321"/>
      <c r="F15" s="3322">
        <f>SUM(C15:E15)</f>
        <v>112</v>
      </c>
      <c r="G15" s="3319"/>
      <c r="H15" s="3321">
        <v>132</v>
      </c>
      <c r="I15" s="3321">
        <v>62</v>
      </c>
      <c r="J15" s="3322">
        <f>SUM(H15:I15)</f>
        <v>194</v>
      </c>
      <c r="K15" s="3319"/>
      <c r="L15" s="3331">
        <f>+F15/J15</f>
        <v>0.57731958762886593</v>
      </c>
    </row>
    <row r="16" spans="1:12" s="5317" customFormat="1">
      <c r="A16" s="3294"/>
      <c r="B16" s="3318"/>
      <c r="C16" s="3323"/>
      <c r="D16" s="3323"/>
      <c r="E16" s="3323"/>
      <c r="F16" s="3323"/>
      <c r="G16" s="3319"/>
      <c r="H16" s="3323"/>
      <c r="I16" s="3323"/>
      <c r="J16" s="3323"/>
      <c r="K16" s="3319"/>
      <c r="L16" s="3332"/>
    </row>
    <row r="17" spans="1:12" s="5317" customFormat="1">
      <c r="A17" s="3320" t="s">
        <v>74</v>
      </c>
      <c r="B17" s="3318"/>
      <c r="C17" s="3321">
        <v>909</v>
      </c>
      <c r="D17" s="3321">
        <v>297</v>
      </c>
      <c r="E17" s="3321">
        <v>137</v>
      </c>
      <c r="F17" s="3322">
        <f>SUM(C17:E17)</f>
        <v>1343</v>
      </c>
      <c r="G17" s="3319"/>
      <c r="H17" s="3321">
        <v>1138</v>
      </c>
      <c r="I17" s="3321">
        <v>252</v>
      </c>
      <c r="J17" s="3322">
        <f>SUM(H17:I17)</f>
        <v>1390</v>
      </c>
      <c r="K17" s="3319"/>
      <c r="L17" s="3331">
        <f>+F17/J17</f>
        <v>0.9661870503597122</v>
      </c>
    </row>
    <row r="18" spans="1:12" s="5317" customFormat="1">
      <c r="A18" s="3294"/>
      <c r="B18" s="3318"/>
      <c r="C18" s="3323"/>
      <c r="D18" s="3323"/>
      <c r="E18" s="3323"/>
      <c r="F18" s="3323"/>
      <c r="G18" s="3319"/>
      <c r="H18" s="3323"/>
      <c r="I18" s="3323"/>
      <c r="J18" s="3323"/>
      <c r="K18" s="3319"/>
      <c r="L18" s="3332"/>
    </row>
    <row r="19" spans="1:12" s="5317" customFormat="1">
      <c r="A19" s="3320" t="s">
        <v>188</v>
      </c>
      <c r="B19" s="3318"/>
      <c r="C19" s="3321">
        <v>9</v>
      </c>
      <c r="D19" s="3321"/>
      <c r="E19" s="3321"/>
      <c r="F19" s="3322">
        <f>SUM(C19:E19)</f>
        <v>9</v>
      </c>
      <c r="G19" s="3319"/>
      <c r="H19" s="3321">
        <v>662</v>
      </c>
      <c r="I19" s="3321">
        <v>568</v>
      </c>
      <c r="J19" s="3322">
        <f>SUM(H19:I19)</f>
        <v>1230</v>
      </c>
      <c r="K19" s="3319"/>
      <c r="L19" s="3331">
        <f>+F19/J19</f>
        <v>7.3170731707317077E-3</v>
      </c>
    </row>
    <row r="20" spans="1:12" s="5317" customFormat="1">
      <c r="A20" s="3294"/>
      <c r="B20" s="3318"/>
      <c r="C20" s="3323"/>
      <c r="D20" s="3323"/>
      <c r="E20" s="3323"/>
      <c r="F20" s="3323"/>
      <c r="G20" s="3319"/>
      <c r="H20" s="3323"/>
      <c r="I20" s="3323"/>
      <c r="J20" s="3323"/>
      <c r="K20" s="3319"/>
      <c r="L20" s="3332"/>
    </row>
    <row r="21" spans="1:12" s="5317" customFormat="1">
      <c r="A21" s="3515" t="s">
        <v>67</v>
      </c>
      <c r="B21" s="3318"/>
      <c r="C21" s="3516">
        <f>SUM(C9,C11,C13,C15,C17,C19)</f>
        <v>3139</v>
      </c>
      <c r="D21" s="3516">
        <f>SUM(D9,D11,D13,D15,D17,D19)</f>
        <v>937</v>
      </c>
      <c r="E21" s="3516">
        <f>SUM(E9,E11,E13,E15,E17,E19)</f>
        <v>271</v>
      </c>
      <c r="F21" s="3516">
        <f>SUM(F9,F11,F13,F15,F17,F19)</f>
        <v>4347</v>
      </c>
      <c r="G21" s="3319"/>
      <c r="H21" s="3516">
        <f>SUM(H9,H11,H13,H15,H17,H19)</f>
        <v>4249</v>
      </c>
      <c r="I21" s="3516">
        <f>SUM(I9,I11,I13,I15,I17,I19)</f>
        <v>1413</v>
      </c>
      <c r="J21" s="3516">
        <f>SUM(H21:I21)</f>
        <v>5662</v>
      </c>
      <c r="K21" s="3319"/>
      <c r="L21" s="3517">
        <f>+F21/J21</f>
        <v>0.76774991169198159</v>
      </c>
    </row>
    <row r="22" spans="1:12" s="5317" customFormat="1" ht="15.6">
      <c r="A22" s="6470" t="s">
        <v>3321</v>
      </c>
      <c r="B22" s="4"/>
      <c r="C22" s="4"/>
      <c r="D22" s="4"/>
      <c r="E22" s="4"/>
      <c r="F22" s="4"/>
      <c r="G22" s="163"/>
      <c r="H22" s="4"/>
      <c r="I22" s="4"/>
      <c r="J22" s="4"/>
      <c r="K22" s="163"/>
      <c r="L22" s="4"/>
    </row>
    <row r="23" spans="1:12" s="5317" customFormat="1">
      <c r="A23" s="42" t="s">
        <v>219</v>
      </c>
      <c r="B23" s="38"/>
      <c r="C23" s="38"/>
      <c r="D23" s="38"/>
      <c r="E23" s="38"/>
      <c r="F23" s="38"/>
      <c r="G23" s="38"/>
      <c r="J23" s="38"/>
      <c r="K23" s="38"/>
      <c r="L23" s="38"/>
    </row>
    <row r="24" spans="1:12" s="5317" customFormat="1">
      <c r="B24" s="6501"/>
      <c r="C24" s="6501"/>
      <c r="D24" s="6501"/>
      <c r="E24" s="6501"/>
      <c r="F24" s="6501"/>
      <c r="G24" s="6501"/>
      <c r="H24" s="6501"/>
      <c r="I24" s="6501"/>
      <c r="J24" s="6501"/>
      <c r="K24" s="6501"/>
      <c r="L24" s="6500"/>
    </row>
    <row r="25" spans="1:12" s="5317" customFormat="1">
      <c r="B25" s="6501"/>
      <c r="C25" s="6501"/>
      <c r="D25" s="6501"/>
      <c r="E25" s="6501"/>
      <c r="F25" s="6501"/>
      <c r="G25" s="6501"/>
      <c r="H25" s="6501"/>
      <c r="I25" s="6501"/>
      <c r="J25" s="6501"/>
      <c r="K25" s="6501"/>
      <c r="L25" s="6500"/>
    </row>
    <row r="26" spans="1:12" s="5317" customFormat="1" ht="20.25" customHeight="1">
      <c r="B26" s="5906"/>
      <c r="C26" s="163"/>
      <c r="D26" s="163"/>
      <c r="E26" s="163"/>
      <c r="F26" s="163">
        <v>2022</v>
      </c>
      <c r="G26" s="163"/>
      <c r="H26" s="163"/>
      <c r="I26" s="163"/>
      <c r="J26" s="163"/>
      <c r="K26" s="163"/>
      <c r="L26" s="163"/>
    </row>
    <row r="27" spans="1:12" s="5317" customFormat="1" ht="20.25" customHeight="1">
      <c r="A27" s="2026"/>
      <c r="B27" s="3318"/>
      <c r="C27" s="7378" t="s">
        <v>212</v>
      </c>
      <c r="D27" s="7378"/>
      <c r="E27" s="7378"/>
      <c r="F27" s="7378"/>
      <c r="G27" s="3319"/>
      <c r="H27" s="7378" t="s">
        <v>213</v>
      </c>
      <c r="I27" s="7378"/>
      <c r="J27" s="7378"/>
      <c r="K27" s="3319"/>
      <c r="L27" s="7379" t="s">
        <v>2461</v>
      </c>
    </row>
    <row r="28" spans="1:12" s="5317" customFormat="1" ht="20.25" customHeight="1">
      <c r="A28" s="7382" t="s">
        <v>68</v>
      </c>
      <c r="B28" s="3318"/>
      <c r="C28" s="7384" t="s">
        <v>2432</v>
      </c>
      <c r="D28" s="7384"/>
      <c r="E28" s="7384"/>
      <c r="F28" s="7385" t="s">
        <v>2462</v>
      </c>
      <c r="G28" s="3319"/>
      <c r="H28" s="7377" t="s">
        <v>2433</v>
      </c>
      <c r="I28" s="7377"/>
      <c r="J28" s="7385" t="s">
        <v>2463</v>
      </c>
      <c r="K28" s="3319"/>
      <c r="L28" s="7380"/>
    </row>
    <row r="29" spans="1:12" s="5317" customFormat="1" ht="20.25" customHeight="1" thickBot="1">
      <c r="A29" s="7383"/>
      <c r="B29" s="3318"/>
      <c r="C29" s="5905" t="s">
        <v>216</v>
      </c>
      <c r="D29" s="5905" t="s">
        <v>217</v>
      </c>
      <c r="E29" s="5905" t="s">
        <v>218</v>
      </c>
      <c r="F29" s="7386"/>
      <c r="G29" s="3319"/>
      <c r="H29" s="5905" t="s">
        <v>214</v>
      </c>
      <c r="I29" s="5905" t="s">
        <v>215</v>
      </c>
      <c r="J29" s="7386"/>
      <c r="K29" s="3319"/>
      <c r="L29" s="7381"/>
    </row>
    <row r="30" spans="1:12" s="5317" customFormat="1" ht="20.25" customHeight="1">
      <c r="A30" s="3294"/>
      <c r="B30" s="3318"/>
      <c r="C30" s="3294"/>
      <c r="D30" s="3294"/>
      <c r="E30" s="3294"/>
      <c r="F30" s="3294"/>
      <c r="G30" s="3319"/>
      <c r="H30" s="3294"/>
      <c r="I30" s="3294"/>
      <c r="J30" s="3294"/>
      <c r="K30" s="3319"/>
      <c r="L30" s="3294"/>
    </row>
    <row r="31" spans="1:12" s="5317" customFormat="1" ht="20.25" customHeight="1">
      <c r="A31" s="3320" t="s">
        <v>70</v>
      </c>
      <c r="B31" s="3318"/>
      <c r="C31" s="3321">
        <v>1011</v>
      </c>
      <c r="D31" s="3321">
        <v>351</v>
      </c>
      <c r="E31" s="3321">
        <v>42</v>
      </c>
      <c r="F31" s="3322">
        <f>SUM(C31:E31)</f>
        <v>1404</v>
      </c>
      <c r="G31" s="3319"/>
      <c r="H31" s="3321">
        <v>1095</v>
      </c>
      <c r="I31" s="3321">
        <v>187</v>
      </c>
      <c r="J31" s="3322">
        <f>SUM(H31:I31)</f>
        <v>1282</v>
      </c>
      <c r="K31" s="3319"/>
      <c r="L31" s="3331">
        <f>+F31/J31</f>
        <v>1.0951638065522622</v>
      </c>
    </row>
    <row r="32" spans="1:12" s="5317" customFormat="1" ht="20.25" customHeight="1">
      <c r="A32" s="3294"/>
      <c r="B32" s="3318"/>
      <c r="C32" s="3323"/>
      <c r="D32" s="3323"/>
      <c r="E32" s="3323"/>
      <c r="F32" s="3323"/>
      <c r="G32" s="3319"/>
      <c r="H32" s="3323"/>
      <c r="I32" s="3323"/>
      <c r="J32" s="3323"/>
      <c r="K32" s="3319"/>
      <c r="L32" s="3332"/>
    </row>
    <row r="33" spans="1:15" s="5317" customFormat="1" ht="20.25" customHeight="1">
      <c r="A33" s="3320" t="s">
        <v>72</v>
      </c>
      <c r="B33" s="3318"/>
      <c r="C33" s="3321">
        <v>238</v>
      </c>
      <c r="D33" s="3321">
        <v>34</v>
      </c>
      <c r="E33" s="3321">
        <v>15</v>
      </c>
      <c r="F33" s="3322">
        <f>SUM(C33:E33)</f>
        <v>287</v>
      </c>
      <c r="G33" s="3319"/>
      <c r="H33" s="3321">
        <v>228</v>
      </c>
      <c r="I33" s="3321">
        <v>123</v>
      </c>
      <c r="J33" s="3322">
        <f>SUM(H33:I33)</f>
        <v>351</v>
      </c>
      <c r="K33" s="3319"/>
      <c r="L33" s="3331">
        <f>+F33/J33</f>
        <v>0.81766381766381768</v>
      </c>
    </row>
    <row r="34" spans="1:15" s="5317" customFormat="1" ht="20.25" customHeight="1">
      <c r="A34" s="3294"/>
      <c r="B34" s="3318"/>
      <c r="C34" s="3323"/>
      <c r="D34" s="3323"/>
      <c r="E34" s="3323"/>
      <c r="F34" s="3323"/>
      <c r="G34" s="3319"/>
      <c r="H34" s="3323"/>
      <c r="I34" s="3323"/>
      <c r="J34" s="3323"/>
      <c r="K34" s="3319"/>
      <c r="L34" s="3332"/>
    </row>
    <row r="35" spans="1:15" s="5317" customFormat="1" ht="20.25" customHeight="1">
      <c r="A35" s="3320" t="s">
        <v>73</v>
      </c>
      <c r="B35" s="3318"/>
      <c r="C35" s="3321">
        <v>859</v>
      </c>
      <c r="D35" s="3321">
        <v>255</v>
      </c>
      <c r="E35" s="3321">
        <v>86</v>
      </c>
      <c r="F35" s="3322">
        <f>SUM(C35:E35)</f>
        <v>1200</v>
      </c>
      <c r="G35" s="3319"/>
      <c r="H35" s="3321">
        <v>965</v>
      </c>
      <c r="I35" s="3321">
        <v>220</v>
      </c>
      <c r="J35" s="3322">
        <f>SUM(H35:I35)</f>
        <v>1185</v>
      </c>
      <c r="K35" s="3319"/>
      <c r="L35" s="3331">
        <f>+F35/J35</f>
        <v>1.0126582278481013</v>
      </c>
    </row>
    <row r="36" spans="1:15" s="5317" customFormat="1" ht="20.25" customHeight="1">
      <c r="A36" s="3294"/>
      <c r="B36" s="3318"/>
      <c r="C36" s="3323"/>
      <c r="D36" s="3323"/>
      <c r="E36" s="3323"/>
      <c r="F36" s="3323"/>
      <c r="G36" s="3319"/>
      <c r="H36" s="3323"/>
      <c r="I36" s="3323"/>
      <c r="J36" s="3323"/>
      <c r="K36" s="3319"/>
      <c r="L36" s="3332"/>
    </row>
    <row r="37" spans="1:15" s="5317" customFormat="1" ht="20.25" customHeight="1">
      <c r="A37" s="3320" t="s">
        <v>82</v>
      </c>
      <c r="B37" s="3318"/>
      <c r="C37" s="3321">
        <v>102</v>
      </c>
      <c r="D37" s="3321">
        <v>1</v>
      </c>
      <c r="E37" s="3321">
        <v>0</v>
      </c>
      <c r="F37" s="3322">
        <f>SUM(C37:E37)</f>
        <v>103</v>
      </c>
      <c r="G37" s="3319"/>
      <c r="H37" s="3321">
        <v>109</v>
      </c>
      <c r="I37" s="3321">
        <v>59</v>
      </c>
      <c r="J37" s="3322">
        <f>SUM(H37:I37)</f>
        <v>168</v>
      </c>
      <c r="K37" s="3319"/>
      <c r="L37" s="3331">
        <f>+F37/J37</f>
        <v>0.61309523809523814</v>
      </c>
    </row>
    <row r="38" spans="1:15" s="5317" customFormat="1" ht="20.25" customHeight="1">
      <c r="A38" s="3294"/>
      <c r="B38" s="3318"/>
      <c r="C38" s="3323"/>
      <c r="D38" s="3323"/>
      <c r="E38" s="3323"/>
      <c r="F38" s="3323"/>
      <c r="G38" s="3319"/>
      <c r="H38" s="3323"/>
      <c r="I38" s="3323"/>
      <c r="J38" s="3323"/>
      <c r="K38" s="3319"/>
      <c r="L38" s="3332"/>
    </row>
    <row r="39" spans="1:15" s="5317" customFormat="1" ht="20.25" customHeight="1">
      <c r="A39" s="3320" t="s">
        <v>74</v>
      </c>
      <c r="B39" s="3318"/>
      <c r="C39" s="3321">
        <v>908</v>
      </c>
      <c r="D39" s="3321">
        <v>286</v>
      </c>
      <c r="E39" s="3321">
        <v>141</v>
      </c>
      <c r="F39" s="3322">
        <f>SUM(C39:E39)</f>
        <v>1335</v>
      </c>
      <c r="G39" s="3319"/>
      <c r="H39" s="3321">
        <v>1122</v>
      </c>
      <c r="I39" s="3321">
        <v>252</v>
      </c>
      <c r="J39" s="3322">
        <f>SUM(H39:I39)</f>
        <v>1374</v>
      </c>
      <c r="K39" s="3319"/>
      <c r="L39" s="3331">
        <f>+F39/J39</f>
        <v>0.97161572052401746</v>
      </c>
    </row>
    <row r="40" spans="1:15" s="5317" customFormat="1" ht="20.25" customHeight="1">
      <c r="A40" s="3294"/>
      <c r="B40" s="3318"/>
      <c r="C40" s="3323"/>
      <c r="D40" s="3323"/>
      <c r="E40" s="3323"/>
      <c r="F40" s="3323"/>
      <c r="G40" s="3319"/>
      <c r="H40" s="3323"/>
      <c r="I40" s="3323"/>
      <c r="J40" s="3323"/>
      <c r="K40" s="3319"/>
      <c r="L40" s="3332"/>
    </row>
    <row r="41" spans="1:15" s="5317" customFormat="1" ht="20.25" customHeight="1">
      <c r="A41" s="3320" t="s">
        <v>188</v>
      </c>
      <c r="B41" s="3318"/>
      <c r="C41" s="3321">
        <v>6</v>
      </c>
      <c r="D41" s="3321"/>
      <c r="E41" s="3321"/>
      <c r="F41" s="3322">
        <f>SUM(C41:E41)</f>
        <v>6</v>
      </c>
      <c r="G41" s="3319"/>
      <c r="H41" s="3321">
        <v>639</v>
      </c>
      <c r="I41" s="3321">
        <v>562</v>
      </c>
      <c r="J41" s="3322">
        <f>SUM(H41:I41)</f>
        <v>1201</v>
      </c>
      <c r="K41" s="3319"/>
      <c r="L41" s="3331">
        <f>+F41/J41</f>
        <v>4.9958368026644462E-3</v>
      </c>
    </row>
    <row r="42" spans="1:15" s="5317" customFormat="1" ht="20.25" customHeight="1">
      <c r="A42" s="3294"/>
      <c r="B42" s="3318"/>
      <c r="C42" s="3323"/>
      <c r="D42" s="3323"/>
      <c r="E42" s="3323"/>
      <c r="F42" s="3323"/>
      <c r="G42" s="3319"/>
      <c r="H42" s="3323"/>
      <c r="I42" s="3323"/>
      <c r="J42" s="3323"/>
      <c r="K42" s="3319"/>
      <c r="L42" s="3332"/>
    </row>
    <row r="43" spans="1:15" s="5317" customFormat="1" ht="20.25" customHeight="1">
      <c r="A43" s="3515" t="s">
        <v>67</v>
      </c>
      <c r="B43" s="3318"/>
      <c r="C43" s="3516">
        <f>SUM(C31,C33,C35,C37,C39,C41)</f>
        <v>3124</v>
      </c>
      <c r="D43" s="3516">
        <f>SUM(D31,D33,D35,D37,D39,D41)</f>
        <v>927</v>
      </c>
      <c r="E43" s="3516">
        <f>SUM(E31,E33,E35,E37,E39,E41)</f>
        <v>284</v>
      </c>
      <c r="F43" s="3516">
        <f>SUM(F31,F33,F35,F37,F39,F41)</f>
        <v>4335</v>
      </c>
      <c r="G43" s="3319"/>
      <c r="H43" s="3516">
        <f>SUM(H31,H33,H35,H37,H39,H41)</f>
        <v>4158</v>
      </c>
      <c r="I43" s="3516">
        <f>SUM(I31,I33,I35,I37,I39,I41)</f>
        <v>1403</v>
      </c>
      <c r="J43" s="3516">
        <f>SUM(H43:I43)</f>
        <v>5561</v>
      </c>
      <c r="K43" s="3319"/>
      <c r="L43" s="3517">
        <f>+F43/J43</f>
        <v>0.77953605466642695</v>
      </c>
      <c r="O43" s="117"/>
    </row>
    <row r="44" spans="1:15" s="5317" customFormat="1" ht="20.25" customHeight="1">
      <c r="A44" s="5902" t="s">
        <v>3078</v>
      </c>
      <c r="B44" s="4"/>
      <c r="C44" s="4"/>
      <c r="D44" s="4"/>
      <c r="E44" s="4"/>
      <c r="F44" s="4"/>
      <c r="G44" s="163"/>
      <c r="H44" s="4"/>
      <c r="I44" s="4"/>
      <c r="J44" s="4"/>
      <c r="K44" s="163"/>
      <c r="L44" s="4"/>
    </row>
    <row r="45" spans="1:15" s="5317" customFormat="1" ht="20.25" customHeight="1">
      <c r="A45" s="42" t="s">
        <v>219</v>
      </c>
      <c r="B45" s="38"/>
      <c r="C45" s="38"/>
      <c r="D45" s="38"/>
      <c r="E45" s="38"/>
      <c r="F45" s="38"/>
      <c r="G45" s="38"/>
      <c r="J45" s="38"/>
      <c r="K45" s="38"/>
      <c r="L45" s="38"/>
    </row>
    <row r="46" spans="1:15" s="5317" customFormat="1">
      <c r="A46" s="5906"/>
      <c r="B46" s="5906"/>
      <c r="C46" s="5906"/>
      <c r="D46" s="5906"/>
      <c r="E46" s="5906"/>
      <c r="F46" s="5906"/>
      <c r="G46" s="5906"/>
      <c r="H46" s="5906"/>
      <c r="I46" s="5906"/>
      <c r="J46" s="5906"/>
      <c r="K46" s="5906"/>
      <c r="L46" s="5906"/>
    </row>
    <row r="47" spans="1:15" s="5317" customFormat="1">
      <c r="A47" s="5906"/>
      <c r="B47" s="5906"/>
      <c r="C47" s="5906"/>
      <c r="D47" s="5906"/>
      <c r="E47" s="5906"/>
      <c r="F47" s="5906"/>
      <c r="G47" s="5906"/>
      <c r="H47" s="5906"/>
      <c r="I47" s="5906"/>
      <c r="J47" s="5906"/>
      <c r="K47" s="5906"/>
      <c r="L47" s="5906"/>
    </row>
    <row r="48" spans="1:15" s="4804" customFormat="1" ht="20.25" customHeight="1">
      <c r="B48" s="4807"/>
      <c r="C48" s="163"/>
      <c r="D48" s="163"/>
      <c r="E48" s="163"/>
      <c r="F48" s="163">
        <v>2021</v>
      </c>
      <c r="G48" s="163"/>
      <c r="H48" s="163"/>
      <c r="I48" s="163"/>
      <c r="J48" s="163"/>
      <c r="K48" s="163"/>
      <c r="L48" s="163"/>
    </row>
    <row r="49" spans="1:22" s="4804" customFormat="1" ht="20.25" customHeight="1">
      <c r="A49" s="2026"/>
      <c r="B49" s="3318"/>
      <c r="C49" s="7378" t="s">
        <v>212</v>
      </c>
      <c r="D49" s="7378"/>
      <c r="E49" s="7378"/>
      <c r="F49" s="7378"/>
      <c r="G49" s="3319"/>
      <c r="H49" s="7378" t="s">
        <v>213</v>
      </c>
      <c r="I49" s="7378"/>
      <c r="J49" s="7378"/>
      <c r="K49" s="3319"/>
      <c r="L49" s="7379" t="s">
        <v>2461</v>
      </c>
    </row>
    <row r="50" spans="1:22" s="4804" customFormat="1" ht="20.25" customHeight="1">
      <c r="A50" s="7382" t="s">
        <v>68</v>
      </c>
      <c r="B50" s="3318"/>
      <c r="C50" s="7384" t="s">
        <v>2432</v>
      </c>
      <c r="D50" s="7384"/>
      <c r="E50" s="7384"/>
      <c r="F50" s="7385" t="s">
        <v>2462</v>
      </c>
      <c r="G50" s="3319"/>
      <c r="H50" s="7377" t="s">
        <v>2433</v>
      </c>
      <c r="I50" s="7377"/>
      <c r="J50" s="7385" t="s">
        <v>2463</v>
      </c>
      <c r="K50" s="3319"/>
      <c r="L50" s="7380"/>
    </row>
    <row r="51" spans="1:22" s="4804" customFormat="1" ht="20.25" customHeight="1" thickBot="1">
      <c r="A51" s="7383"/>
      <c r="B51" s="3318"/>
      <c r="C51" s="4806" t="s">
        <v>216</v>
      </c>
      <c r="D51" s="4806" t="s">
        <v>217</v>
      </c>
      <c r="E51" s="4806" t="s">
        <v>218</v>
      </c>
      <c r="F51" s="7386"/>
      <c r="G51" s="3319"/>
      <c r="H51" s="4806" t="s">
        <v>214</v>
      </c>
      <c r="I51" s="4806" t="s">
        <v>215</v>
      </c>
      <c r="J51" s="7386"/>
      <c r="K51" s="3319"/>
      <c r="L51" s="7381"/>
    </row>
    <row r="52" spans="1:22" s="4804" customFormat="1" ht="20.25" customHeight="1">
      <c r="A52" s="3294"/>
      <c r="B52" s="3318"/>
      <c r="C52" s="3294"/>
      <c r="D52" s="3294"/>
      <c r="E52" s="3294"/>
      <c r="F52" s="3294"/>
      <c r="G52" s="3319"/>
      <c r="H52" s="3294"/>
      <c r="I52" s="3294"/>
      <c r="J52" s="3294"/>
      <c r="K52" s="3319"/>
      <c r="L52" s="3294"/>
      <c r="P52" s="3873"/>
      <c r="Q52" s="3873"/>
      <c r="R52" s="3873"/>
      <c r="S52" s="3873"/>
      <c r="T52" s="3873"/>
      <c r="U52" s="3873"/>
      <c r="V52" s="3873"/>
    </row>
    <row r="53" spans="1:22" s="4804" customFormat="1" ht="20.25" customHeight="1">
      <c r="A53" s="3320" t="s">
        <v>70</v>
      </c>
      <c r="B53" s="3318"/>
      <c r="C53" s="3321">
        <v>993</v>
      </c>
      <c r="D53" s="3321">
        <v>366</v>
      </c>
      <c r="E53" s="3321">
        <v>51</v>
      </c>
      <c r="F53" s="3322">
        <f>SUM(C53:E53)</f>
        <v>1410</v>
      </c>
      <c r="G53" s="3319"/>
      <c r="H53" s="3321">
        <v>1087</v>
      </c>
      <c r="I53" s="3321">
        <v>187</v>
      </c>
      <c r="J53" s="3322">
        <f>SUM(H53:I53)</f>
        <v>1274</v>
      </c>
      <c r="K53" s="3319"/>
      <c r="L53" s="3331">
        <f>+F53/J53</f>
        <v>1.1067503924646782</v>
      </c>
    </row>
    <row r="54" spans="1:22" s="4804" customFormat="1" ht="20.25" customHeight="1">
      <c r="A54" s="3294"/>
      <c r="B54" s="3318"/>
      <c r="C54" s="3323"/>
      <c r="D54" s="3323"/>
      <c r="E54" s="3323"/>
      <c r="F54" s="3323"/>
      <c r="G54" s="3319"/>
      <c r="H54" s="3323"/>
      <c r="I54" s="3323"/>
      <c r="J54" s="3323"/>
      <c r="K54" s="3319"/>
      <c r="L54" s="3332"/>
    </row>
    <row r="55" spans="1:22" s="4804" customFormat="1" ht="20.25" customHeight="1">
      <c r="A55" s="3320" t="s">
        <v>72</v>
      </c>
      <c r="B55" s="3318"/>
      <c r="C55" s="3321">
        <v>227</v>
      </c>
      <c r="D55" s="3321">
        <v>32</v>
      </c>
      <c r="E55" s="3321">
        <v>15</v>
      </c>
      <c r="F55" s="3322">
        <f>SUM(C55:E55)</f>
        <v>274</v>
      </c>
      <c r="G55" s="3319"/>
      <c r="H55" s="3321">
        <v>230</v>
      </c>
      <c r="I55" s="3321">
        <v>125</v>
      </c>
      <c r="J55" s="3322">
        <f>SUM(H55:I55)</f>
        <v>355</v>
      </c>
      <c r="K55" s="3319"/>
      <c r="L55" s="3331">
        <f>+F55/J55</f>
        <v>0.77183098591549293</v>
      </c>
    </row>
    <row r="56" spans="1:22" s="4804" customFormat="1" ht="20.25" customHeight="1">
      <c r="A56" s="3294"/>
      <c r="B56" s="3318"/>
      <c r="C56" s="3323"/>
      <c r="D56" s="3323"/>
      <c r="E56" s="3323"/>
      <c r="F56" s="3323"/>
      <c r="G56" s="3319"/>
      <c r="H56" s="3323"/>
      <c r="I56" s="3323"/>
      <c r="J56" s="3323"/>
      <c r="K56" s="3319"/>
      <c r="L56" s="3332"/>
    </row>
    <row r="57" spans="1:22" s="4804" customFormat="1" ht="20.25" customHeight="1">
      <c r="A57" s="3320" t="s">
        <v>73</v>
      </c>
      <c r="B57" s="3318"/>
      <c r="C57" s="3321">
        <v>858</v>
      </c>
      <c r="D57" s="3321">
        <v>255</v>
      </c>
      <c r="E57" s="3321">
        <v>101</v>
      </c>
      <c r="F57" s="3322">
        <f>SUM(C57:E57)</f>
        <v>1214</v>
      </c>
      <c r="G57" s="3319"/>
      <c r="H57" s="3321">
        <v>940</v>
      </c>
      <c r="I57" s="3321">
        <v>220</v>
      </c>
      <c r="J57" s="3322">
        <f>SUM(H57:I57)</f>
        <v>1160</v>
      </c>
      <c r="K57" s="3319"/>
      <c r="L57" s="3331">
        <f>+F57/J57</f>
        <v>1.046551724137931</v>
      </c>
    </row>
    <row r="58" spans="1:22" s="4804" customFormat="1" ht="20.25" customHeight="1">
      <c r="A58" s="3294"/>
      <c r="B58" s="3318"/>
      <c r="C58" s="3323"/>
      <c r="D58" s="3323"/>
      <c r="E58" s="3323"/>
      <c r="F58" s="3323"/>
      <c r="G58" s="3319"/>
      <c r="H58" s="3323"/>
      <c r="I58" s="3323"/>
      <c r="J58" s="3323"/>
      <c r="K58" s="3319"/>
      <c r="L58" s="3332"/>
    </row>
    <row r="59" spans="1:22" s="4804" customFormat="1" ht="20.25" customHeight="1">
      <c r="A59" s="3320" t="s">
        <v>82</v>
      </c>
      <c r="B59" s="3318"/>
      <c r="C59" s="3321">
        <v>105</v>
      </c>
      <c r="D59" s="3321">
        <v>7</v>
      </c>
      <c r="E59" s="3321"/>
      <c r="F59" s="3322">
        <f>SUM(C59:E59)</f>
        <v>112</v>
      </c>
      <c r="G59" s="3319"/>
      <c r="H59" s="3321">
        <v>110</v>
      </c>
      <c r="I59" s="3321">
        <v>56</v>
      </c>
      <c r="J59" s="3322">
        <f>SUM(H59:I59)</f>
        <v>166</v>
      </c>
      <c r="K59" s="3319"/>
      <c r="L59" s="3331">
        <f>+F59/J59</f>
        <v>0.67469879518072284</v>
      </c>
    </row>
    <row r="60" spans="1:22" s="4804" customFormat="1" ht="20.25" customHeight="1">
      <c r="A60" s="3294"/>
      <c r="B60" s="3318"/>
      <c r="C60" s="3323"/>
      <c r="D60" s="3323"/>
      <c r="E60" s="3323"/>
      <c r="F60" s="3323"/>
      <c r="G60" s="3319"/>
      <c r="H60" s="3323"/>
      <c r="I60" s="3323"/>
      <c r="J60" s="3323"/>
      <c r="K60" s="3319"/>
      <c r="L60" s="3332"/>
    </row>
    <row r="61" spans="1:22" s="4804" customFormat="1" ht="20.25" customHeight="1">
      <c r="A61" s="3320" t="s">
        <v>74</v>
      </c>
      <c r="B61" s="3318"/>
      <c r="C61" s="3321">
        <v>915</v>
      </c>
      <c r="D61" s="3321">
        <v>278</v>
      </c>
      <c r="E61" s="3321">
        <v>144</v>
      </c>
      <c r="F61" s="3322">
        <f>SUM(C61:E61)</f>
        <v>1337</v>
      </c>
      <c r="G61" s="3319"/>
      <c r="H61" s="3321">
        <v>1093</v>
      </c>
      <c r="I61" s="3321">
        <v>251</v>
      </c>
      <c r="J61" s="3322">
        <f>SUM(H61:I61)</f>
        <v>1344</v>
      </c>
      <c r="K61" s="3319"/>
      <c r="L61" s="3331">
        <f>+F61/J61</f>
        <v>0.99479166666666663</v>
      </c>
    </row>
    <row r="62" spans="1:22" s="4804" customFormat="1" ht="20.25" customHeight="1">
      <c r="A62" s="3294"/>
      <c r="B62" s="3318"/>
      <c r="C62" s="3323"/>
      <c r="D62" s="3323"/>
      <c r="E62" s="3323"/>
      <c r="F62" s="3323"/>
      <c r="G62" s="3319"/>
      <c r="H62" s="3323"/>
      <c r="I62" s="3323"/>
      <c r="J62" s="3323"/>
      <c r="K62" s="3319"/>
      <c r="L62" s="3332"/>
    </row>
    <row r="63" spans="1:22" s="4804" customFormat="1" ht="20.25" customHeight="1">
      <c r="A63" s="3320" t="s">
        <v>188</v>
      </c>
      <c r="B63" s="3318"/>
      <c r="C63" s="3321">
        <v>5</v>
      </c>
      <c r="D63" s="3321"/>
      <c r="E63" s="3321"/>
      <c r="F63" s="3322">
        <f>SUM(C63:E63)</f>
        <v>5</v>
      </c>
      <c r="G63" s="3319"/>
      <c r="H63" s="3321">
        <v>659</v>
      </c>
      <c r="I63" s="3321">
        <v>560</v>
      </c>
      <c r="J63" s="3322">
        <f>SUM(H63:I63)</f>
        <v>1219</v>
      </c>
      <c r="K63" s="3319"/>
      <c r="L63" s="3331">
        <f>+F63/J63</f>
        <v>4.1017227235438884E-3</v>
      </c>
    </row>
    <row r="64" spans="1:22" s="4804" customFormat="1" ht="20.25" customHeight="1">
      <c r="A64" s="3294"/>
      <c r="B64" s="3318"/>
      <c r="C64" s="3323"/>
      <c r="D64" s="3323"/>
      <c r="E64" s="3323"/>
      <c r="F64" s="3323"/>
      <c r="G64" s="3319"/>
      <c r="H64" s="3323"/>
      <c r="I64" s="3323"/>
      <c r="J64" s="3323"/>
      <c r="K64" s="3319"/>
      <c r="L64" s="3332"/>
    </row>
    <row r="65" spans="1:15" s="4804" customFormat="1" ht="20.25" customHeight="1">
      <c r="A65" s="3515" t="s">
        <v>67</v>
      </c>
      <c r="B65" s="3318"/>
      <c r="C65" s="3516">
        <f>SUM(C53,C55,C57,C59,C61,C63)</f>
        <v>3103</v>
      </c>
      <c r="D65" s="3516">
        <f>SUM(D53,D55,D57,D59,D61,D63)</f>
        <v>938</v>
      </c>
      <c r="E65" s="3516">
        <f>SUM(E53,E55,E57,E59,E61,E63)</f>
        <v>311</v>
      </c>
      <c r="F65" s="3516">
        <f>SUM(F53,F55,F57,F59,F61,F63)</f>
        <v>4352</v>
      </c>
      <c r="G65" s="3319"/>
      <c r="H65" s="3516">
        <f>SUM(H53,H55,H57,H59,H61,H63)</f>
        <v>4119</v>
      </c>
      <c r="I65" s="3516">
        <f>SUM(I53,I55,I57,I59,I61,I63)</f>
        <v>1399</v>
      </c>
      <c r="J65" s="3516">
        <f>SUM(H65:I65)</f>
        <v>5518</v>
      </c>
      <c r="K65" s="3319"/>
      <c r="L65" s="3517">
        <f>+F65/J65</f>
        <v>0.78869155491119969</v>
      </c>
      <c r="O65" s="117"/>
    </row>
    <row r="66" spans="1:15" s="4804" customFormat="1" ht="20.25" customHeight="1">
      <c r="A66" s="36" t="s">
        <v>2792</v>
      </c>
      <c r="B66" s="4"/>
      <c r="C66" s="4"/>
      <c r="D66" s="4"/>
      <c r="E66" s="4"/>
      <c r="F66" s="4"/>
      <c r="G66" s="163"/>
      <c r="H66" s="4"/>
      <c r="I66" s="4"/>
      <c r="J66" s="4"/>
      <c r="K66" s="163"/>
      <c r="L66" s="4"/>
    </row>
    <row r="67" spans="1:15" s="4804" customFormat="1" ht="20.25" customHeight="1">
      <c r="A67" s="42" t="s">
        <v>219</v>
      </c>
      <c r="B67" s="38"/>
      <c r="C67" s="38"/>
      <c r="D67" s="38"/>
      <c r="E67" s="38"/>
      <c r="F67" s="38"/>
      <c r="G67" s="38"/>
      <c r="H67" s="38"/>
      <c r="I67" s="38"/>
      <c r="J67" s="38"/>
      <c r="K67" s="38"/>
      <c r="L67" s="38"/>
    </row>
    <row r="68" spans="1:15" s="4804" customFormat="1" ht="20.25" customHeight="1">
      <c r="A68" s="4807"/>
      <c r="B68" s="4807"/>
      <c r="C68" s="4807"/>
      <c r="D68" s="4807"/>
      <c r="E68" s="4807"/>
      <c r="F68" s="4807"/>
      <c r="G68" s="4807"/>
      <c r="H68" s="4807"/>
      <c r="I68" s="4807"/>
      <c r="J68" s="4807"/>
      <c r="K68" s="4807"/>
      <c r="L68" s="4807"/>
    </row>
    <row r="69" spans="1:15" s="3873" customFormat="1" ht="20.25" customHeight="1">
      <c r="B69" s="3875"/>
      <c r="C69" s="163"/>
      <c r="D69" s="163"/>
      <c r="E69" s="163"/>
      <c r="F69" s="163">
        <v>2020</v>
      </c>
      <c r="G69" s="163"/>
      <c r="H69" s="163"/>
      <c r="I69" s="163"/>
      <c r="J69" s="163"/>
      <c r="K69" s="163"/>
      <c r="L69" s="163"/>
    </row>
    <row r="70" spans="1:15" s="3873" customFormat="1" ht="20.25" customHeight="1">
      <c r="A70" s="2026"/>
      <c r="B70" s="3318"/>
      <c r="C70" s="7378" t="s">
        <v>212</v>
      </c>
      <c r="D70" s="7378"/>
      <c r="E70" s="7378"/>
      <c r="F70" s="7378"/>
      <c r="G70" s="3319"/>
      <c r="H70" s="7378" t="s">
        <v>213</v>
      </c>
      <c r="I70" s="7378"/>
      <c r="J70" s="7378"/>
      <c r="K70" s="3319"/>
      <c r="L70" s="7379" t="s">
        <v>2461</v>
      </c>
    </row>
    <row r="71" spans="1:15" s="3873" customFormat="1" ht="20.25" customHeight="1">
      <c r="A71" s="7382" t="s">
        <v>68</v>
      </c>
      <c r="B71" s="3318"/>
      <c r="C71" s="7384" t="s">
        <v>2432</v>
      </c>
      <c r="D71" s="7384"/>
      <c r="E71" s="7384"/>
      <c r="F71" s="7385" t="s">
        <v>2462</v>
      </c>
      <c r="G71" s="3319"/>
      <c r="H71" s="7377" t="s">
        <v>2433</v>
      </c>
      <c r="I71" s="7377"/>
      <c r="J71" s="7385" t="s">
        <v>2463</v>
      </c>
      <c r="K71" s="3319"/>
      <c r="L71" s="7380"/>
    </row>
    <row r="72" spans="1:15" s="3873" customFormat="1" ht="20.25" customHeight="1" thickBot="1">
      <c r="A72" s="7383"/>
      <c r="B72" s="3318"/>
      <c r="C72" s="3874" t="s">
        <v>216</v>
      </c>
      <c r="D72" s="3874" t="s">
        <v>217</v>
      </c>
      <c r="E72" s="3874" t="s">
        <v>218</v>
      </c>
      <c r="F72" s="7386"/>
      <c r="G72" s="3319"/>
      <c r="H72" s="3874" t="s">
        <v>214</v>
      </c>
      <c r="I72" s="3874" t="s">
        <v>215</v>
      </c>
      <c r="J72" s="7386"/>
      <c r="K72" s="3319"/>
      <c r="L72" s="7381"/>
    </row>
    <row r="73" spans="1:15" s="3873" customFormat="1" ht="20.25" customHeight="1">
      <c r="A73" s="3294"/>
      <c r="B73" s="3318"/>
      <c r="C73" s="3294"/>
      <c r="D73" s="3294"/>
      <c r="E73" s="3294"/>
      <c r="F73" s="3294"/>
      <c r="G73" s="3319"/>
      <c r="H73" s="3294"/>
      <c r="I73" s="3294"/>
      <c r="J73" s="3294"/>
      <c r="K73" s="3319"/>
      <c r="L73" s="3294"/>
    </row>
    <row r="74" spans="1:15" s="3873" customFormat="1" ht="20.25" customHeight="1">
      <c r="A74" s="3320" t="s">
        <v>70</v>
      </c>
      <c r="B74" s="3318"/>
      <c r="C74" s="3321">
        <v>981</v>
      </c>
      <c r="D74" s="3321">
        <v>376</v>
      </c>
      <c r="E74" s="3321">
        <v>49</v>
      </c>
      <c r="F74" s="3322">
        <f>SUM(C74:E74)</f>
        <v>1406</v>
      </c>
      <c r="G74" s="3319"/>
      <c r="H74" s="3321">
        <v>1107</v>
      </c>
      <c r="I74" s="3321">
        <v>184</v>
      </c>
      <c r="J74" s="3322">
        <f>SUM(H74:I74)</f>
        <v>1291</v>
      </c>
      <c r="K74" s="3319"/>
      <c r="L74" s="3331">
        <f>+F74/J74</f>
        <v>1.0890782339271883</v>
      </c>
    </row>
    <row r="75" spans="1:15" s="3873" customFormat="1" ht="20.25" customHeight="1">
      <c r="A75" s="3294"/>
      <c r="B75" s="3318"/>
      <c r="C75" s="3323"/>
      <c r="D75" s="3323"/>
      <c r="E75" s="3323"/>
      <c r="F75" s="3323"/>
      <c r="G75" s="3319"/>
      <c r="H75" s="3323"/>
      <c r="I75" s="3323"/>
      <c r="J75" s="3323"/>
      <c r="K75" s="3319"/>
      <c r="L75" s="3332"/>
    </row>
    <row r="76" spans="1:15" s="3873" customFormat="1" ht="20.25" customHeight="1">
      <c r="A76" s="3320" t="s">
        <v>72</v>
      </c>
      <c r="B76" s="3318"/>
      <c r="C76" s="3321">
        <v>216</v>
      </c>
      <c r="D76" s="3321">
        <v>30</v>
      </c>
      <c r="E76" s="3321">
        <v>16</v>
      </c>
      <c r="F76" s="3322">
        <f>SUM(C76:E76)</f>
        <v>262</v>
      </c>
      <c r="G76" s="3319"/>
      <c r="H76" s="3321">
        <v>231</v>
      </c>
      <c r="I76" s="3321">
        <v>122</v>
      </c>
      <c r="J76" s="3322">
        <f>SUM(H76:I76)</f>
        <v>353</v>
      </c>
      <c r="K76" s="3319"/>
      <c r="L76" s="3331">
        <f>+F76/J76</f>
        <v>0.74220963172804533</v>
      </c>
    </row>
    <row r="77" spans="1:15" s="3873" customFormat="1" ht="20.25" customHeight="1">
      <c r="A77" s="3294"/>
      <c r="B77" s="3318"/>
      <c r="C77" s="3323"/>
      <c r="D77" s="3323"/>
      <c r="E77" s="3323"/>
      <c r="F77" s="3323"/>
      <c r="G77" s="3319"/>
      <c r="H77" s="3323"/>
      <c r="I77" s="3323"/>
      <c r="J77" s="3323"/>
      <c r="K77" s="3319"/>
      <c r="L77" s="3332"/>
    </row>
    <row r="78" spans="1:15" s="3873" customFormat="1" ht="20.25" customHeight="1">
      <c r="A78" s="3320" t="s">
        <v>73</v>
      </c>
      <c r="B78" s="3318"/>
      <c r="C78" s="3321">
        <v>869</v>
      </c>
      <c r="D78" s="3321">
        <v>230</v>
      </c>
      <c r="E78" s="3321">
        <v>106</v>
      </c>
      <c r="F78" s="3322">
        <f>SUM(C78:E78)</f>
        <v>1205</v>
      </c>
      <c r="G78" s="3319"/>
      <c r="H78" s="3321">
        <v>971</v>
      </c>
      <c r="I78" s="3321">
        <v>213</v>
      </c>
      <c r="J78" s="3322">
        <f>SUM(H78:I78)</f>
        <v>1184</v>
      </c>
      <c r="K78" s="3319"/>
      <c r="L78" s="3331">
        <f>+F78/J78</f>
        <v>1.0177364864864864</v>
      </c>
    </row>
    <row r="79" spans="1:15" s="3873" customFormat="1" ht="20.25" customHeight="1">
      <c r="A79" s="3294"/>
      <c r="B79" s="3318"/>
      <c r="C79" s="3323"/>
      <c r="D79" s="3323"/>
      <c r="E79" s="3323"/>
      <c r="F79" s="3323"/>
      <c r="G79" s="3319"/>
      <c r="H79" s="3323"/>
      <c r="I79" s="3323"/>
      <c r="J79" s="3323"/>
      <c r="K79" s="3319"/>
      <c r="L79" s="3332"/>
    </row>
    <row r="80" spans="1:15" s="3873" customFormat="1" ht="20.25" customHeight="1">
      <c r="A80" s="3320" t="s">
        <v>82</v>
      </c>
      <c r="B80" s="3318"/>
      <c r="C80" s="3321">
        <v>100</v>
      </c>
      <c r="D80" s="3321">
        <v>7</v>
      </c>
      <c r="E80" s="3321"/>
      <c r="F80" s="3322">
        <f>SUM(C80:E80)</f>
        <v>107</v>
      </c>
      <c r="G80" s="3319"/>
      <c r="H80" s="3321">
        <v>116</v>
      </c>
      <c r="I80" s="3321">
        <v>56</v>
      </c>
      <c r="J80" s="3322">
        <f>SUM(H80:I80)</f>
        <v>172</v>
      </c>
      <c r="K80" s="3319"/>
      <c r="L80" s="3331">
        <f>+F80/J80</f>
        <v>0.62209302325581395</v>
      </c>
    </row>
    <row r="81" spans="1:14" s="3873" customFormat="1" ht="20.25" customHeight="1">
      <c r="A81" s="3294"/>
      <c r="B81" s="3318"/>
      <c r="C81" s="3323"/>
      <c r="D81" s="3323"/>
      <c r="E81" s="3323"/>
      <c r="F81" s="3323"/>
      <c r="G81" s="3319"/>
      <c r="H81" s="3323"/>
      <c r="I81" s="3323"/>
      <c r="J81" s="3323"/>
      <c r="K81" s="3319"/>
      <c r="L81" s="3332"/>
    </row>
    <row r="82" spans="1:14" s="3873" customFormat="1" ht="20.25" customHeight="1">
      <c r="A82" s="3320" t="s">
        <v>74</v>
      </c>
      <c r="B82" s="3318"/>
      <c r="C82" s="3321">
        <v>918</v>
      </c>
      <c r="D82" s="3321">
        <v>308</v>
      </c>
      <c r="E82" s="3321">
        <v>153</v>
      </c>
      <c r="F82" s="3322">
        <f>SUM(C82:E82)</f>
        <v>1379</v>
      </c>
      <c r="G82" s="3319"/>
      <c r="H82" s="3321">
        <v>1127</v>
      </c>
      <c r="I82" s="3321">
        <v>246</v>
      </c>
      <c r="J82" s="3322">
        <f>SUM(H82:I82)</f>
        <v>1373</v>
      </c>
      <c r="K82" s="3319"/>
      <c r="L82" s="3331">
        <f>+F82/J82</f>
        <v>1.0043699927166787</v>
      </c>
    </row>
    <row r="83" spans="1:14" s="3873" customFormat="1" ht="20.25" customHeight="1">
      <c r="A83" s="3294"/>
      <c r="B83" s="3318"/>
      <c r="C83" s="3323"/>
      <c r="D83" s="3323"/>
      <c r="E83" s="3323"/>
      <c r="F83" s="3323"/>
      <c r="G83" s="3319"/>
      <c r="H83" s="3323"/>
      <c r="I83" s="3323"/>
      <c r="J83" s="3323"/>
      <c r="K83" s="3319"/>
      <c r="L83" s="3332"/>
    </row>
    <row r="84" spans="1:14" s="3873" customFormat="1" ht="20.25" customHeight="1">
      <c r="A84" s="3320" t="s">
        <v>188</v>
      </c>
      <c r="B84" s="3318"/>
      <c r="C84" s="3321">
        <v>6</v>
      </c>
      <c r="D84" s="3321"/>
      <c r="E84" s="3321"/>
      <c r="F84" s="3322">
        <f>SUM(C84:E84)</f>
        <v>6</v>
      </c>
      <c r="G84" s="3319"/>
      <c r="H84" s="3321">
        <v>669</v>
      </c>
      <c r="I84" s="3321">
        <v>563</v>
      </c>
      <c r="J84" s="3322">
        <f>SUM(H84:I84)</f>
        <v>1232</v>
      </c>
      <c r="K84" s="3319"/>
      <c r="L84" s="3331">
        <f>+F84/J84</f>
        <v>4.87012987012987E-3</v>
      </c>
    </row>
    <row r="85" spans="1:14" s="3873" customFormat="1" ht="20.25" customHeight="1">
      <c r="A85" s="3294"/>
      <c r="B85" s="3318"/>
      <c r="C85" s="3323"/>
      <c r="D85" s="3323"/>
      <c r="E85" s="3323"/>
      <c r="F85" s="3323"/>
      <c r="G85" s="3319"/>
      <c r="H85" s="3323"/>
      <c r="I85" s="3323"/>
      <c r="J85" s="3323"/>
      <c r="K85" s="3319"/>
      <c r="L85" s="3332"/>
    </row>
    <row r="86" spans="1:14" s="3873" customFormat="1" ht="20.25" customHeight="1">
      <c r="A86" s="3515" t="s">
        <v>67</v>
      </c>
      <c r="B86" s="3318"/>
      <c r="C86" s="3516">
        <f>SUM(C74,C76,C78,C80,C82,C84)</f>
        <v>3090</v>
      </c>
      <c r="D86" s="3516">
        <f>SUM(D74,D76,D78,D80,D82,D84)</f>
        <v>951</v>
      </c>
      <c r="E86" s="3516">
        <f>SUM(E74,E76,E78,E80,E82,E84)</f>
        <v>324</v>
      </c>
      <c r="F86" s="3516">
        <f>SUM(F74,F76,F78,F80,F82,F84)</f>
        <v>4365</v>
      </c>
      <c r="G86" s="3319"/>
      <c r="H86" s="3516">
        <f>SUM(H74,H76,H78,H80,H82,H84)</f>
        <v>4221</v>
      </c>
      <c r="I86" s="3516">
        <f>SUM(I74,I76,I78,I80,I82,I84)</f>
        <v>1384</v>
      </c>
      <c r="J86" s="3516">
        <f>SUM(H86:I86)</f>
        <v>5605</v>
      </c>
      <c r="K86" s="3319"/>
      <c r="L86" s="3517">
        <f>+F86/J86</f>
        <v>0.77876895628902765</v>
      </c>
    </row>
    <row r="87" spans="1:14" s="3873" customFormat="1" ht="20.25" customHeight="1">
      <c r="A87" s="36" t="s">
        <v>2601</v>
      </c>
      <c r="B87" s="4"/>
      <c r="C87" s="4"/>
      <c r="D87" s="4"/>
      <c r="E87" s="4"/>
      <c r="F87" s="4"/>
      <c r="G87" s="163"/>
      <c r="H87" s="4"/>
      <c r="I87" s="4"/>
      <c r="J87" s="4"/>
      <c r="K87" s="163"/>
      <c r="L87" s="4"/>
    </row>
    <row r="88" spans="1:14" s="3873" customFormat="1" ht="20.25" customHeight="1">
      <c r="A88" s="42" t="s">
        <v>219</v>
      </c>
      <c r="B88" s="38"/>
      <c r="C88" s="38"/>
      <c r="D88" s="38"/>
      <c r="E88" s="38"/>
      <c r="F88" s="38"/>
      <c r="G88" s="38"/>
      <c r="H88" s="38"/>
      <c r="I88" s="38"/>
      <c r="J88" s="38"/>
      <c r="K88" s="38"/>
      <c r="L88" s="38"/>
    </row>
    <row r="89" spans="1:14" s="3873" customFormat="1" ht="20.25" customHeight="1">
      <c r="A89" s="3875"/>
      <c r="B89" s="3875"/>
      <c r="C89" s="3875"/>
      <c r="D89" s="3875"/>
      <c r="E89" s="3875"/>
      <c r="F89" s="3875"/>
      <c r="G89" s="3875"/>
      <c r="H89" s="3875"/>
      <c r="I89" s="3875"/>
      <c r="J89" s="3875"/>
      <c r="K89" s="3875"/>
      <c r="L89" s="3875"/>
    </row>
    <row r="90" spans="1:14" s="2381" customFormat="1" ht="15.75" customHeight="1">
      <c r="B90" s="2382"/>
      <c r="C90" s="163"/>
      <c r="D90" s="163"/>
      <c r="E90" s="163"/>
      <c r="F90" s="163">
        <v>2019</v>
      </c>
      <c r="G90" s="163"/>
      <c r="H90" s="163"/>
      <c r="I90" s="163"/>
      <c r="J90" s="163"/>
      <c r="K90" s="163"/>
      <c r="L90" s="163"/>
    </row>
    <row r="91" spans="1:14" s="2381" customFormat="1" ht="15.75" customHeight="1">
      <c r="A91" s="2026"/>
      <c r="B91" s="3318"/>
      <c r="C91" s="7378" t="s">
        <v>212</v>
      </c>
      <c r="D91" s="7378"/>
      <c r="E91" s="7378"/>
      <c r="F91" s="7378"/>
      <c r="G91" s="3319"/>
      <c r="H91" s="7378" t="s">
        <v>213</v>
      </c>
      <c r="I91" s="7378"/>
      <c r="J91" s="7378"/>
      <c r="K91" s="3319"/>
      <c r="L91" s="7379" t="s">
        <v>2461</v>
      </c>
    </row>
    <row r="92" spans="1:14" s="2381" customFormat="1" ht="15.75" customHeight="1">
      <c r="A92" s="7382" t="s">
        <v>68</v>
      </c>
      <c r="B92" s="3318"/>
      <c r="C92" s="7384" t="s">
        <v>2432</v>
      </c>
      <c r="D92" s="7384"/>
      <c r="E92" s="7384"/>
      <c r="F92" s="7385" t="s">
        <v>2462</v>
      </c>
      <c r="G92" s="3319"/>
      <c r="H92" s="7377" t="s">
        <v>2433</v>
      </c>
      <c r="I92" s="7377"/>
      <c r="J92" s="7385" t="s">
        <v>2463</v>
      </c>
      <c r="K92" s="3319"/>
      <c r="L92" s="7380"/>
    </row>
    <row r="93" spans="1:14" s="2381" customFormat="1" ht="15.75" customHeight="1" thickBot="1">
      <c r="A93" s="7383"/>
      <c r="B93" s="3318"/>
      <c r="C93" s="2138" t="s">
        <v>216</v>
      </c>
      <c r="D93" s="2138" t="s">
        <v>217</v>
      </c>
      <c r="E93" s="2138" t="s">
        <v>218</v>
      </c>
      <c r="F93" s="7386"/>
      <c r="G93" s="3319"/>
      <c r="H93" s="2138" t="s">
        <v>214</v>
      </c>
      <c r="I93" s="2138" t="s">
        <v>215</v>
      </c>
      <c r="J93" s="7386"/>
      <c r="K93" s="3319"/>
      <c r="L93" s="7381"/>
    </row>
    <row r="94" spans="1:14" s="2381" customFormat="1" ht="15.75" customHeight="1">
      <c r="A94" s="3294"/>
      <c r="B94" s="3318"/>
      <c r="C94" s="3294"/>
      <c r="D94" s="3294"/>
      <c r="E94" s="3294"/>
      <c r="F94" s="3294"/>
      <c r="G94" s="3319"/>
      <c r="H94" s="3294"/>
      <c r="I94" s="3294"/>
      <c r="J94" s="3294"/>
      <c r="K94" s="3319"/>
      <c r="L94" s="3294"/>
    </row>
    <row r="95" spans="1:14" s="2381" customFormat="1" ht="15.75" customHeight="1">
      <c r="A95" s="3320" t="s">
        <v>70</v>
      </c>
      <c r="B95" s="3318"/>
      <c r="C95" s="3321">
        <v>947</v>
      </c>
      <c r="D95" s="3321">
        <v>350</v>
      </c>
      <c r="E95" s="3321">
        <v>51</v>
      </c>
      <c r="F95" s="3322">
        <f>SUM(C95:E95)</f>
        <v>1348</v>
      </c>
      <c r="G95" s="3319"/>
      <c r="H95" s="3321">
        <v>1132</v>
      </c>
      <c r="I95" s="3321">
        <v>185</v>
      </c>
      <c r="J95" s="3322">
        <f>SUM(H95:I95)</f>
        <v>1317</v>
      </c>
      <c r="K95" s="3319"/>
      <c r="L95" s="3331">
        <f>+F95/J95</f>
        <v>1.023538344722855</v>
      </c>
      <c r="N95" s="117"/>
    </row>
    <row r="96" spans="1:14" s="2381" customFormat="1" ht="15.75" customHeight="1">
      <c r="A96" s="3294"/>
      <c r="B96" s="3318"/>
      <c r="C96" s="3323"/>
      <c r="D96" s="3323"/>
      <c r="E96" s="3323"/>
      <c r="F96" s="3323"/>
      <c r="G96" s="3319"/>
      <c r="H96" s="3323"/>
      <c r="I96" s="3323"/>
      <c r="J96" s="3323"/>
      <c r="K96" s="3319"/>
      <c r="L96" s="3332"/>
      <c r="N96" s="117"/>
    </row>
    <row r="97" spans="1:14" s="2381" customFormat="1" ht="15.75" customHeight="1">
      <c r="A97" s="3320" t="s">
        <v>72</v>
      </c>
      <c r="B97" s="3318"/>
      <c r="C97" s="3321">
        <v>200</v>
      </c>
      <c r="D97" s="3321">
        <v>23</v>
      </c>
      <c r="E97" s="3321">
        <v>10</v>
      </c>
      <c r="F97" s="3322">
        <f>SUM(C97:E97)</f>
        <v>233</v>
      </c>
      <c r="G97" s="3319"/>
      <c r="H97" s="3321">
        <v>231</v>
      </c>
      <c r="I97" s="3321">
        <v>119</v>
      </c>
      <c r="J97" s="3322">
        <f>SUM(H97:I97)</f>
        <v>350</v>
      </c>
      <c r="K97" s="3319"/>
      <c r="L97" s="3331">
        <f>+F97/J97</f>
        <v>0.6657142857142857</v>
      </c>
      <c r="N97" s="117"/>
    </row>
    <row r="98" spans="1:14" s="2381" customFormat="1" ht="15.75" customHeight="1">
      <c r="A98" s="3294"/>
      <c r="B98" s="3318"/>
      <c r="C98" s="3323"/>
      <c r="D98" s="3323"/>
      <c r="E98" s="3323"/>
      <c r="F98" s="3323"/>
      <c r="G98" s="3319"/>
      <c r="H98" s="3323"/>
      <c r="I98" s="3323"/>
      <c r="J98" s="3323"/>
      <c r="K98" s="3319"/>
      <c r="L98" s="3332"/>
      <c r="N98" s="117"/>
    </row>
    <row r="99" spans="1:14" s="2381" customFormat="1" ht="15.75" customHeight="1">
      <c r="A99" s="3320" t="s">
        <v>73</v>
      </c>
      <c r="B99" s="3318"/>
      <c r="C99" s="3321">
        <v>873</v>
      </c>
      <c r="D99" s="3321">
        <v>186</v>
      </c>
      <c r="E99" s="3321">
        <v>86</v>
      </c>
      <c r="F99" s="3322">
        <f>SUM(C99:E99)</f>
        <v>1145</v>
      </c>
      <c r="G99" s="3319"/>
      <c r="H99" s="3321">
        <v>981</v>
      </c>
      <c r="I99" s="3321">
        <v>213</v>
      </c>
      <c r="J99" s="3322">
        <f>SUM(H99:I99)</f>
        <v>1194</v>
      </c>
      <c r="K99" s="3319"/>
      <c r="L99" s="3331">
        <f>+F99/J99</f>
        <v>0.95896147403685095</v>
      </c>
      <c r="N99" s="117"/>
    </row>
    <row r="100" spans="1:14" s="2381" customFormat="1" ht="15.75" customHeight="1">
      <c r="A100" s="3294"/>
      <c r="B100" s="3318"/>
      <c r="C100" s="3323"/>
      <c r="D100" s="3323"/>
      <c r="E100" s="3323"/>
      <c r="F100" s="3323"/>
      <c r="G100" s="3319"/>
      <c r="H100" s="3323"/>
      <c r="I100" s="3323"/>
      <c r="J100" s="3323"/>
      <c r="K100" s="3319"/>
      <c r="L100" s="3332"/>
      <c r="N100" s="117"/>
    </row>
    <row r="101" spans="1:14" s="2381" customFormat="1" ht="15.75" customHeight="1">
      <c r="A101" s="3320" t="s">
        <v>82</v>
      </c>
      <c r="B101" s="3318"/>
      <c r="C101" s="3321">
        <v>92</v>
      </c>
      <c r="D101" s="3321">
        <v>2</v>
      </c>
      <c r="E101" s="3321"/>
      <c r="F101" s="3322">
        <f>SUM(C101:E101)</f>
        <v>94</v>
      </c>
      <c r="G101" s="3319"/>
      <c r="H101" s="3321">
        <v>109</v>
      </c>
      <c r="I101" s="3321">
        <v>54</v>
      </c>
      <c r="J101" s="3322">
        <f>SUM(H101:I101)</f>
        <v>163</v>
      </c>
      <c r="K101" s="3319"/>
      <c r="L101" s="3331">
        <f>+F101/J101</f>
        <v>0.57668711656441718</v>
      </c>
      <c r="N101" s="117"/>
    </row>
    <row r="102" spans="1:14" s="2381" customFormat="1" ht="15.75" customHeight="1">
      <c r="A102" s="3294"/>
      <c r="B102" s="3318"/>
      <c r="C102" s="3323"/>
      <c r="D102" s="3323"/>
      <c r="E102" s="3323"/>
      <c r="F102" s="3323"/>
      <c r="G102" s="3319"/>
      <c r="H102" s="3323"/>
      <c r="I102" s="3323"/>
      <c r="J102" s="3323"/>
      <c r="K102" s="3319"/>
      <c r="L102" s="3332"/>
      <c r="N102" s="117"/>
    </row>
    <row r="103" spans="1:14" s="2381" customFormat="1" ht="15.75" customHeight="1">
      <c r="A103" s="3320" t="s">
        <v>74</v>
      </c>
      <c r="B103" s="3318"/>
      <c r="C103" s="3321">
        <v>891</v>
      </c>
      <c r="D103" s="3321">
        <v>281</v>
      </c>
      <c r="E103" s="3321">
        <v>148</v>
      </c>
      <c r="F103" s="3322">
        <f>SUM(C103:E103)</f>
        <v>1320</v>
      </c>
      <c r="G103" s="3319"/>
      <c r="H103" s="3321">
        <v>1121</v>
      </c>
      <c r="I103" s="3321">
        <v>240</v>
      </c>
      <c r="J103" s="3322">
        <f>SUM(H103:I103)</f>
        <v>1361</v>
      </c>
      <c r="K103" s="3319"/>
      <c r="L103" s="3331">
        <f>+F103/J103</f>
        <v>0.96987509184423215</v>
      </c>
      <c r="N103" s="117"/>
    </row>
    <row r="104" spans="1:14" s="2381" customFormat="1" ht="15.75" customHeight="1">
      <c r="A104" s="3294"/>
      <c r="B104" s="3318"/>
      <c r="C104" s="3323"/>
      <c r="D104" s="3323"/>
      <c r="E104" s="3323"/>
      <c r="F104" s="3323"/>
      <c r="G104" s="3319"/>
      <c r="H104" s="3323"/>
      <c r="I104" s="3323"/>
      <c r="J104" s="3323"/>
      <c r="K104" s="3319"/>
      <c r="L104" s="3332"/>
      <c r="N104" s="117"/>
    </row>
    <row r="105" spans="1:14" s="2381" customFormat="1" ht="15.75" customHeight="1">
      <c r="A105" s="3320" t="s">
        <v>188</v>
      </c>
      <c r="B105" s="3318"/>
      <c r="C105" s="3321">
        <v>6</v>
      </c>
      <c r="D105" s="3321"/>
      <c r="E105" s="3321"/>
      <c r="F105" s="3322">
        <f>SUM(C105:E105)</f>
        <v>6</v>
      </c>
      <c r="G105" s="3319"/>
      <c r="H105" s="3321">
        <v>684</v>
      </c>
      <c r="I105" s="3321">
        <v>549</v>
      </c>
      <c r="J105" s="3322">
        <f>SUM(H105:I105)</f>
        <v>1233</v>
      </c>
      <c r="K105" s="3319"/>
      <c r="L105" s="3331">
        <f>+F105/J105</f>
        <v>4.8661800486618006E-3</v>
      </c>
      <c r="N105" s="117"/>
    </row>
    <row r="106" spans="1:14" s="2381" customFormat="1" ht="15.75" customHeight="1">
      <c r="A106" s="3294"/>
      <c r="B106" s="3318"/>
      <c r="C106" s="3323"/>
      <c r="D106" s="3323"/>
      <c r="E106" s="3323"/>
      <c r="F106" s="3323"/>
      <c r="G106" s="3319"/>
      <c r="H106" s="3323"/>
      <c r="I106" s="3323"/>
      <c r="J106" s="3323"/>
      <c r="K106" s="3319"/>
      <c r="L106" s="3332"/>
      <c r="N106" s="117"/>
    </row>
    <row r="107" spans="1:14" s="2381" customFormat="1" ht="15.75" customHeight="1">
      <c r="A107" s="3515" t="s">
        <v>67</v>
      </c>
      <c r="B107" s="3318"/>
      <c r="C107" s="3516">
        <f>SUM(C95,C97,C99,C101,C103,C105)</f>
        <v>3009</v>
      </c>
      <c r="D107" s="3516">
        <f>SUM(D95,D97,D99,D101,D103,D105)</f>
        <v>842</v>
      </c>
      <c r="E107" s="3516">
        <f>SUM(E95,E97,E99,E101,E103,E105)</f>
        <v>295</v>
      </c>
      <c r="F107" s="3516">
        <f>SUM(F95,F97,F99,F101,F103,F105)</f>
        <v>4146</v>
      </c>
      <c r="G107" s="3319"/>
      <c r="H107" s="3516">
        <f>SUM(H95,H97,H99,H101,H103,H105)</f>
        <v>4258</v>
      </c>
      <c r="I107" s="3516">
        <f>SUM(I95,I97,I99,I101,I103,I105)</f>
        <v>1360</v>
      </c>
      <c r="J107" s="3516">
        <f>SUM(H107:I107)</f>
        <v>5618</v>
      </c>
      <c r="K107" s="3319"/>
      <c r="L107" s="3517">
        <f>+F107/J107</f>
        <v>0.7379850480598078</v>
      </c>
      <c r="N107" s="117"/>
    </row>
    <row r="108" spans="1:14" s="2381" customFormat="1" ht="15.75" customHeight="1">
      <c r="A108" s="36" t="s">
        <v>2436</v>
      </c>
      <c r="B108" s="4"/>
      <c r="C108" s="4"/>
      <c r="D108" s="4"/>
      <c r="E108" s="4"/>
      <c r="F108" s="4"/>
      <c r="G108" s="163"/>
      <c r="H108" s="4"/>
      <c r="I108" s="4"/>
      <c r="J108" s="4"/>
      <c r="K108" s="163"/>
      <c r="L108" s="4"/>
    </row>
    <row r="109" spans="1:14" s="2381" customFormat="1" ht="15.75" customHeight="1">
      <c r="A109" s="42" t="s">
        <v>219</v>
      </c>
      <c r="B109" s="38"/>
      <c r="C109" s="38"/>
      <c r="D109" s="38"/>
      <c r="E109" s="38"/>
      <c r="F109" s="38"/>
      <c r="G109" s="38"/>
      <c r="H109" s="38"/>
      <c r="I109" s="38"/>
      <c r="J109" s="38"/>
      <c r="K109" s="38"/>
      <c r="L109" s="38"/>
    </row>
    <row r="110" spans="1:14" ht="15.75" customHeight="1">
      <c r="A110" s="1149"/>
      <c r="B110" s="1149"/>
      <c r="C110" s="1149"/>
      <c r="D110" s="1149"/>
      <c r="E110" s="1149"/>
      <c r="F110" s="1149"/>
      <c r="G110" s="1149"/>
      <c r="H110" s="1149"/>
      <c r="I110" s="1149"/>
      <c r="J110" s="1149"/>
      <c r="K110" s="1149"/>
      <c r="L110" s="1149"/>
    </row>
    <row r="111" spans="1:14" ht="15.75" customHeight="1">
      <c r="B111" s="2072"/>
      <c r="C111" s="163"/>
      <c r="D111" s="163"/>
      <c r="E111" s="163"/>
      <c r="F111" s="163">
        <v>2018</v>
      </c>
      <c r="G111" s="163"/>
      <c r="H111" s="163"/>
      <c r="I111" s="163"/>
      <c r="J111" s="163"/>
      <c r="K111" s="163"/>
      <c r="L111" s="163"/>
    </row>
    <row r="112" spans="1:14" ht="15.75" customHeight="1">
      <c r="A112" s="2026"/>
      <c r="B112" s="3318"/>
      <c r="C112" s="7378" t="s">
        <v>212</v>
      </c>
      <c r="D112" s="7378"/>
      <c r="E112" s="7378"/>
      <c r="F112" s="7378"/>
      <c r="G112" s="3319"/>
      <c r="H112" s="7378" t="s">
        <v>213</v>
      </c>
      <c r="I112" s="7378"/>
      <c r="J112" s="7378"/>
      <c r="K112" s="3319"/>
      <c r="L112" s="7379" t="s">
        <v>551</v>
      </c>
    </row>
    <row r="113" spans="1:21" ht="15.75" customHeight="1">
      <c r="A113" s="7382" t="s">
        <v>68</v>
      </c>
      <c r="B113" s="3318"/>
      <c r="C113" s="7384" t="s">
        <v>2432</v>
      </c>
      <c r="D113" s="7384"/>
      <c r="E113" s="7384"/>
      <c r="F113" s="7385" t="s">
        <v>2434</v>
      </c>
      <c r="G113" s="3319"/>
      <c r="H113" s="7377" t="s">
        <v>2433</v>
      </c>
      <c r="I113" s="7377"/>
      <c r="J113" s="7385" t="s">
        <v>2435</v>
      </c>
      <c r="K113" s="3319"/>
      <c r="L113" s="7380"/>
    </row>
    <row r="114" spans="1:21" ht="15.75" customHeight="1" thickBot="1">
      <c r="A114" s="7383"/>
      <c r="B114" s="3318"/>
      <c r="C114" s="2138" t="s">
        <v>216</v>
      </c>
      <c r="D114" s="2138" t="s">
        <v>217</v>
      </c>
      <c r="E114" s="2138" t="s">
        <v>218</v>
      </c>
      <c r="F114" s="7386"/>
      <c r="G114" s="3319"/>
      <c r="H114" s="2138" t="s">
        <v>214</v>
      </c>
      <c r="I114" s="2138" t="s">
        <v>215</v>
      </c>
      <c r="J114" s="7386"/>
      <c r="K114" s="3319"/>
      <c r="L114" s="7381"/>
    </row>
    <row r="115" spans="1:21" ht="15.75" customHeight="1">
      <c r="A115" s="3294"/>
      <c r="B115" s="3318"/>
      <c r="C115" s="3294"/>
      <c r="D115" s="3294"/>
      <c r="E115" s="3294"/>
      <c r="F115" s="3294"/>
      <c r="G115" s="3319"/>
      <c r="H115" s="3294"/>
      <c r="I115" s="3294"/>
      <c r="J115" s="3294"/>
      <c r="K115" s="3319"/>
      <c r="L115" s="3294"/>
    </row>
    <row r="116" spans="1:21" ht="15.75" customHeight="1">
      <c r="A116" s="3320" t="s">
        <v>70</v>
      </c>
      <c r="B116" s="3318"/>
      <c r="C116" s="3321">
        <v>1021</v>
      </c>
      <c r="D116" s="3321">
        <v>356</v>
      </c>
      <c r="E116" s="3321">
        <v>58</v>
      </c>
      <c r="F116" s="3322">
        <f>SUM(C116:E116)</f>
        <v>1435</v>
      </c>
      <c r="G116" s="3319"/>
      <c r="H116" s="3321">
        <v>1108</v>
      </c>
      <c r="I116" s="3321">
        <v>184</v>
      </c>
      <c r="J116" s="3322">
        <f>SUM(H116:I116)</f>
        <v>1292</v>
      </c>
      <c r="K116" s="3319"/>
      <c r="L116" s="3331">
        <f>+F116/J116</f>
        <v>1.1106811145510835</v>
      </c>
      <c r="O116" s="2381"/>
      <c r="P116" s="2381"/>
      <c r="Q116" s="2381"/>
      <c r="R116" s="2381"/>
      <c r="S116" s="2381"/>
      <c r="T116" s="2381"/>
      <c r="U116" s="2381"/>
    </row>
    <row r="117" spans="1:21" ht="15.75" customHeight="1">
      <c r="A117" s="3294"/>
      <c r="B117" s="3318"/>
      <c r="C117" s="3323"/>
      <c r="D117" s="3323"/>
      <c r="E117" s="3323"/>
      <c r="F117" s="3323"/>
      <c r="G117" s="3319"/>
      <c r="H117" s="3323"/>
      <c r="I117" s="3323"/>
      <c r="J117" s="3323"/>
      <c r="K117" s="3319"/>
      <c r="L117" s="3332"/>
    </row>
    <row r="118" spans="1:21" ht="15.75" customHeight="1">
      <c r="A118" s="3320" t="s">
        <v>72</v>
      </c>
      <c r="B118" s="3318"/>
      <c r="C118" s="3321">
        <v>213</v>
      </c>
      <c r="D118" s="3321">
        <v>21</v>
      </c>
      <c r="E118" s="3321">
        <v>13</v>
      </c>
      <c r="F118" s="3322">
        <f>SUM(C118:E118)</f>
        <v>247</v>
      </c>
      <c r="G118" s="3319"/>
      <c r="H118" s="3321">
        <v>216</v>
      </c>
      <c r="I118" s="3321">
        <v>118</v>
      </c>
      <c r="J118" s="3322">
        <f>SUM(H118:I118)</f>
        <v>334</v>
      </c>
      <c r="K118" s="3319"/>
      <c r="L118" s="3331">
        <f>+F118/J118</f>
        <v>0.73952095808383234</v>
      </c>
    </row>
    <row r="119" spans="1:21" ht="15.75" customHeight="1">
      <c r="A119" s="3294"/>
      <c r="B119" s="3318"/>
      <c r="C119" s="3323"/>
      <c r="D119" s="3323"/>
      <c r="E119" s="3323"/>
      <c r="F119" s="3323"/>
      <c r="G119" s="3319"/>
      <c r="H119" s="3323"/>
      <c r="I119" s="3323"/>
      <c r="J119" s="3323"/>
      <c r="K119" s="3319"/>
      <c r="L119" s="3332"/>
    </row>
    <row r="120" spans="1:21" ht="15.75" customHeight="1">
      <c r="A120" s="3320" t="s">
        <v>73</v>
      </c>
      <c r="B120" s="3318"/>
      <c r="C120" s="3321">
        <v>896</v>
      </c>
      <c r="D120" s="3321">
        <v>241</v>
      </c>
      <c r="E120" s="3321">
        <v>107</v>
      </c>
      <c r="F120" s="3322">
        <f>SUM(C120:E120)</f>
        <v>1244</v>
      </c>
      <c r="G120" s="3319"/>
      <c r="H120" s="3321">
        <v>971</v>
      </c>
      <c r="I120" s="3321">
        <v>208</v>
      </c>
      <c r="J120" s="3322">
        <f>SUM(H120:I120)</f>
        <v>1179</v>
      </c>
      <c r="K120" s="3319"/>
      <c r="L120" s="3331">
        <f>+F120/J120</f>
        <v>1.0551314673452079</v>
      </c>
    </row>
    <row r="121" spans="1:21" ht="15.75" customHeight="1">
      <c r="A121" s="3294"/>
      <c r="B121" s="3318"/>
      <c r="C121" s="3323"/>
      <c r="D121" s="3323"/>
      <c r="E121" s="3323"/>
      <c r="F121" s="3323"/>
      <c r="G121" s="3319"/>
      <c r="H121" s="3323"/>
      <c r="I121" s="3323"/>
      <c r="J121" s="3323"/>
      <c r="K121" s="3319"/>
      <c r="L121" s="3332"/>
    </row>
    <row r="122" spans="1:21" ht="15.75" customHeight="1">
      <c r="A122" s="3320" t="s">
        <v>82</v>
      </c>
      <c r="B122" s="3318"/>
      <c r="C122" s="3321">
        <v>82</v>
      </c>
      <c r="D122" s="3321">
        <v>3</v>
      </c>
      <c r="E122" s="3321"/>
      <c r="F122" s="3322">
        <f>SUM(C122:E122)</f>
        <v>85</v>
      </c>
      <c r="G122" s="3319"/>
      <c r="H122" s="3321">
        <v>84</v>
      </c>
      <c r="I122" s="3321">
        <v>54</v>
      </c>
      <c r="J122" s="3322">
        <f>SUM(H122:I122)</f>
        <v>138</v>
      </c>
      <c r="K122" s="3319"/>
      <c r="L122" s="3331">
        <f>+F122/J122</f>
        <v>0.61594202898550721</v>
      </c>
    </row>
    <row r="123" spans="1:21" ht="15.75" customHeight="1">
      <c r="A123" s="3294"/>
      <c r="B123" s="3318"/>
      <c r="C123" s="3323"/>
      <c r="D123" s="3323"/>
      <c r="E123" s="3323"/>
      <c r="F123" s="3323"/>
      <c r="G123" s="3319"/>
      <c r="H123" s="3323"/>
      <c r="I123" s="3323"/>
      <c r="J123" s="3323"/>
      <c r="K123" s="3319"/>
      <c r="L123" s="3332"/>
    </row>
    <row r="124" spans="1:21" ht="15.75" customHeight="1">
      <c r="A124" s="3320" t="s">
        <v>74</v>
      </c>
      <c r="B124" s="3318"/>
      <c r="C124" s="3321">
        <v>958</v>
      </c>
      <c r="D124" s="3321">
        <v>281</v>
      </c>
      <c r="E124" s="3321">
        <v>169</v>
      </c>
      <c r="F124" s="3322">
        <f>SUM(C124:E124)</f>
        <v>1408</v>
      </c>
      <c r="G124" s="3319"/>
      <c r="H124" s="3321">
        <v>1120</v>
      </c>
      <c r="I124" s="3321">
        <v>236</v>
      </c>
      <c r="J124" s="3322">
        <f>SUM(H124:I124)</f>
        <v>1356</v>
      </c>
      <c r="K124" s="3319"/>
      <c r="L124" s="3331">
        <f>+F124/J124</f>
        <v>1.0383480825958702</v>
      </c>
    </row>
    <row r="125" spans="1:21" ht="15.75" customHeight="1">
      <c r="A125" s="3294"/>
      <c r="B125" s="3318"/>
      <c r="C125" s="3323"/>
      <c r="D125" s="3323"/>
      <c r="E125" s="3323"/>
      <c r="F125" s="3323"/>
      <c r="G125" s="3319"/>
      <c r="H125" s="3323"/>
      <c r="I125" s="3323"/>
      <c r="J125" s="3323"/>
      <c r="K125" s="3319"/>
      <c r="L125" s="3332"/>
    </row>
    <row r="126" spans="1:21" ht="15.75" customHeight="1">
      <c r="A126" s="3320" t="s">
        <v>188</v>
      </c>
      <c r="B126" s="3318"/>
      <c r="C126" s="3321">
        <v>7</v>
      </c>
      <c r="D126" s="3321"/>
      <c r="E126" s="3321"/>
      <c r="F126" s="3322">
        <f>SUM(C126:E126)</f>
        <v>7</v>
      </c>
      <c r="G126" s="3319"/>
      <c r="H126" s="3321">
        <v>679</v>
      </c>
      <c r="I126" s="3321">
        <v>546</v>
      </c>
      <c r="J126" s="3322">
        <f>SUM(H126:I126)</f>
        <v>1225</v>
      </c>
      <c r="K126" s="3319"/>
      <c r="L126" s="3331">
        <f>+F126/J126</f>
        <v>5.7142857142857143E-3</v>
      </c>
    </row>
    <row r="127" spans="1:21" ht="15.75" customHeight="1">
      <c r="A127" s="3294"/>
      <c r="B127" s="3318"/>
      <c r="C127" s="3323"/>
      <c r="D127" s="3323"/>
      <c r="E127" s="3323"/>
      <c r="F127" s="3323"/>
      <c r="G127" s="3319"/>
      <c r="H127" s="3323"/>
      <c r="I127" s="3323"/>
      <c r="J127" s="3323"/>
      <c r="K127" s="3319"/>
      <c r="L127" s="3332"/>
    </row>
    <row r="128" spans="1:21" ht="15.75" customHeight="1" thickBot="1">
      <c r="A128" s="3324" t="s">
        <v>67</v>
      </c>
      <c r="B128" s="3318"/>
      <c r="C128" s="3325">
        <f>SUM(C116,C118,C120,C122,C124,C126)</f>
        <v>3177</v>
      </c>
      <c r="D128" s="3325">
        <f>SUM(D116,D118,D120,D122,D124,D126)</f>
        <v>902</v>
      </c>
      <c r="E128" s="3325">
        <f>SUM(E116,E118,E120,E122,E124,E126)</f>
        <v>347</v>
      </c>
      <c r="F128" s="3325">
        <f>SUM(F116,F118,F120,F122,F124,F126)</f>
        <v>4426</v>
      </c>
      <c r="G128" s="3319"/>
      <c r="H128" s="3325">
        <f>SUM(H116,H118,H120,H122,H124,H126)</f>
        <v>4178</v>
      </c>
      <c r="I128" s="3325">
        <f>SUM(I116,I118,I120,I122,I124,I126)</f>
        <v>1346</v>
      </c>
      <c r="J128" s="3325">
        <f>SUM(H128:I128)</f>
        <v>5524</v>
      </c>
      <c r="K128" s="3319"/>
      <c r="L128" s="3333">
        <f>+F128/J128</f>
        <v>0.80123099203475745</v>
      </c>
    </row>
    <row r="129" spans="1:20" ht="15.75" customHeight="1">
      <c r="A129" s="36" t="s">
        <v>2313</v>
      </c>
      <c r="B129" s="4"/>
      <c r="C129" s="4"/>
      <c r="D129" s="4"/>
      <c r="E129" s="4"/>
      <c r="F129" s="4"/>
      <c r="G129" s="163"/>
      <c r="H129" s="4"/>
      <c r="I129" s="4"/>
      <c r="J129" s="4"/>
      <c r="K129" s="163"/>
      <c r="L129" s="4"/>
    </row>
    <row r="130" spans="1:20" ht="15.75" customHeight="1">
      <c r="A130" s="42" t="s">
        <v>219</v>
      </c>
      <c r="B130" s="38"/>
      <c r="C130" s="38"/>
      <c r="D130" s="38"/>
      <c r="E130" s="38"/>
      <c r="F130" s="38"/>
      <c r="G130" s="38"/>
      <c r="H130" s="38"/>
      <c r="I130" s="38"/>
      <c r="J130" s="38"/>
      <c r="K130" s="38"/>
      <c r="L130" s="38"/>
    </row>
    <row r="131" spans="1:20" ht="15.75" customHeight="1">
      <c r="A131" s="1149"/>
      <c r="B131" s="1149"/>
      <c r="C131" s="1149"/>
      <c r="D131" s="1149"/>
      <c r="E131" s="1149"/>
      <c r="F131" s="1149"/>
      <c r="G131" s="1149"/>
      <c r="H131" s="1149"/>
      <c r="I131" s="1149"/>
      <c r="J131" s="1149"/>
      <c r="K131" s="1149"/>
      <c r="L131" s="1149"/>
    </row>
    <row r="132" spans="1:20" ht="15.75" customHeight="1">
      <c r="B132" s="163"/>
      <c r="C132" s="163"/>
      <c r="D132" s="163"/>
      <c r="E132" s="163"/>
      <c r="F132" s="163">
        <v>2017</v>
      </c>
      <c r="G132" s="163"/>
      <c r="H132" s="163"/>
      <c r="I132" s="163"/>
      <c r="J132" s="163"/>
      <c r="K132" s="163"/>
      <c r="L132" s="163"/>
    </row>
    <row r="133" spans="1:20" ht="15.75" customHeight="1">
      <c r="A133" s="2026"/>
      <c r="B133" s="3318"/>
      <c r="C133" s="7378" t="s">
        <v>212</v>
      </c>
      <c r="D133" s="7378"/>
      <c r="E133" s="7378"/>
      <c r="F133" s="7378"/>
      <c r="G133" s="3319"/>
      <c r="H133" s="7378" t="s">
        <v>213</v>
      </c>
      <c r="I133" s="7378"/>
      <c r="J133" s="7378"/>
      <c r="K133" s="3319"/>
      <c r="L133" s="7379" t="s">
        <v>551</v>
      </c>
    </row>
    <row r="134" spans="1:20" ht="15.75" customHeight="1">
      <c r="A134" s="7382" t="s">
        <v>68</v>
      </c>
      <c r="B134" s="3318"/>
      <c r="C134" s="7384" t="s">
        <v>2432</v>
      </c>
      <c r="D134" s="7384"/>
      <c r="E134" s="7384"/>
      <c r="F134" s="7385" t="s">
        <v>2434</v>
      </c>
      <c r="G134" s="3319"/>
      <c r="H134" s="7377" t="s">
        <v>2433</v>
      </c>
      <c r="I134" s="7377"/>
      <c r="J134" s="7385" t="s">
        <v>2435</v>
      </c>
      <c r="K134" s="3319"/>
      <c r="L134" s="7380"/>
    </row>
    <row r="135" spans="1:20" ht="15.75" customHeight="1" thickBot="1">
      <c r="A135" s="7383"/>
      <c r="B135" s="3318"/>
      <c r="C135" s="2138" t="s">
        <v>216</v>
      </c>
      <c r="D135" s="2138" t="s">
        <v>217</v>
      </c>
      <c r="E135" s="2138" t="s">
        <v>218</v>
      </c>
      <c r="F135" s="7386"/>
      <c r="G135" s="3319"/>
      <c r="H135" s="2138" t="s">
        <v>214</v>
      </c>
      <c r="I135" s="2138" t="s">
        <v>215</v>
      </c>
      <c r="J135" s="7386"/>
      <c r="K135" s="3319"/>
      <c r="L135" s="7381"/>
    </row>
    <row r="136" spans="1:20" ht="15.75" customHeight="1">
      <c r="A136" s="3294"/>
      <c r="B136" s="3318"/>
      <c r="C136" s="3294"/>
      <c r="D136" s="3294"/>
      <c r="E136" s="3294"/>
      <c r="F136" s="3294"/>
      <c r="G136" s="3319"/>
      <c r="H136" s="3294"/>
      <c r="I136" s="3294"/>
      <c r="J136" s="3294"/>
      <c r="K136" s="3319"/>
      <c r="L136" s="3294"/>
      <c r="O136" s="2381"/>
      <c r="P136" s="2381"/>
      <c r="Q136" s="2381"/>
      <c r="R136" s="2381"/>
      <c r="S136" s="2381"/>
      <c r="T136" s="2381"/>
    </row>
    <row r="137" spans="1:20" ht="15.75" customHeight="1">
      <c r="A137" s="3320" t="s">
        <v>70</v>
      </c>
      <c r="B137" s="3318"/>
      <c r="C137" s="3321">
        <v>1024</v>
      </c>
      <c r="D137" s="3321">
        <v>318</v>
      </c>
      <c r="E137" s="3321">
        <v>60</v>
      </c>
      <c r="F137" s="3322">
        <f>SUM(C137:E137)</f>
        <v>1402</v>
      </c>
      <c r="G137" s="3319"/>
      <c r="H137" s="3321">
        <v>1117</v>
      </c>
      <c r="I137" s="3321">
        <v>183</v>
      </c>
      <c r="J137" s="3322">
        <f>SUM(H137:I137)</f>
        <v>1300</v>
      </c>
      <c r="K137" s="3319"/>
      <c r="L137" s="3331">
        <f>+F137/J137</f>
        <v>1.0784615384615384</v>
      </c>
      <c r="O137" s="117"/>
    </row>
    <row r="138" spans="1:20" ht="15.75" customHeight="1">
      <c r="A138" s="3294"/>
      <c r="B138" s="3318"/>
      <c r="C138" s="3323"/>
      <c r="D138" s="3323"/>
      <c r="E138" s="3323"/>
      <c r="F138" s="3323"/>
      <c r="G138" s="3319"/>
      <c r="H138" s="3323"/>
      <c r="I138" s="3323"/>
      <c r="J138" s="3323"/>
      <c r="K138" s="3319"/>
      <c r="L138" s="3332"/>
    </row>
    <row r="139" spans="1:20" ht="15.75" customHeight="1">
      <c r="A139" s="3320" t="s">
        <v>72</v>
      </c>
      <c r="B139" s="3318"/>
      <c r="C139" s="3321">
        <v>202</v>
      </c>
      <c r="D139" s="3321">
        <v>26</v>
      </c>
      <c r="E139" s="3321">
        <v>9</v>
      </c>
      <c r="F139" s="3322">
        <f>SUM(C139:E139)</f>
        <v>237</v>
      </c>
      <c r="G139" s="3319"/>
      <c r="H139" s="3321">
        <v>210</v>
      </c>
      <c r="I139" s="3321">
        <v>109</v>
      </c>
      <c r="J139" s="3322">
        <f>SUM(H139:I139)</f>
        <v>319</v>
      </c>
      <c r="K139" s="3319"/>
      <c r="L139" s="3331">
        <f>+F139/J139</f>
        <v>0.74294670846394983</v>
      </c>
    </row>
    <row r="140" spans="1:20" ht="15.75" customHeight="1">
      <c r="A140" s="3294"/>
      <c r="B140" s="3318"/>
      <c r="C140" s="3323"/>
      <c r="D140" s="3323"/>
      <c r="E140" s="3323"/>
      <c r="F140" s="3323"/>
      <c r="G140" s="3319"/>
      <c r="H140" s="3323"/>
      <c r="I140" s="3323"/>
      <c r="J140" s="3323"/>
      <c r="K140" s="3319"/>
      <c r="L140" s="3332"/>
    </row>
    <row r="141" spans="1:20" ht="15.75" customHeight="1">
      <c r="A141" s="3320" t="s">
        <v>73</v>
      </c>
      <c r="B141" s="3318"/>
      <c r="C141" s="3321">
        <v>917</v>
      </c>
      <c r="D141" s="3321">
        <v>219</v>
      </c>
      <c r="E141" s="3321">
        <v>115</v>
      </c>
      <c r="F141" s="3322">
        <f>SUM(C141:E141)</f>
        <v>1251</v>
      </c>
      <c r="G141" s="3319"/>
      <c r="H141" s="3321">
        <v>954</v>
      </c>
      <c r="I141" s="3321">
        <v>211</v>
      </c>
      <c r="J141" s="3322">
        <f>SUM(H141:I141)</f>
        <v>1165</v>
      </c>
      <c r="K141" s="3319"/>
      <c r="L141" s="3331">
        <f>+F141/J141</f>
        <v>1.0738197424892704</v>
      </c>
    </row>
    <row r="142" spans="1:20" ht="15.75" customHeight="1">
      <c r="A142" s="3294"/>
      <c r="B142" s="3318"/>
      <c r="C142" s="3323"/>
      <c r="D142" s="3323"/>
      <c r="E142" s="3323"/>
      <c r="F142" s="3323"/>
      <c r="G142" s="3319"/>
      <c r="H142" s="3323"/>
      <c r="I142" s="3323"/>
      <c r="J142" s="3323"/>
      <c r="K142" s="3319"/>
      <c r="L142" s="3332"/>
    </row>
    <row r="143" spans="1:20" ht="15.75" customHeight="1">
      <c r="A143" s="3320" t="s">
        <v>82</v>
      </c>
      <c r="B143" s="3318"/>
      <c r="C143" s="3321">
        <v>86</v>
      </c>
      <c r="D143" s="3321">
        <v>2</v>
      </c>
      <c r="E143" s="3321"/>
      <c r="F143" s="3322">
        <f>SUM(C143:E143)</f>
        <v>88</v>
      </c>
      <c r="G143" s="3319"/>
      <c r="H143" s="3321">
        <v>63</v>
      </c>
      <c r="I143" s="3321">
        <v>55</v>
      </c>
      <c r="J143" s="3322">
        <f>SUM(H143:I143)</f>
        <v>118</v>
      </c>
      <c r="K143" s="3319"/>
      <c r="L143" s="3331">
        <f>+F143/J143</f>
        <v>0.74576271186440679</v>
      </c>
    </row>
    <row r="144" spans="1:20" ht="15.75" customHeight="1">
      <c r="A144" s="3294"/>
      <c r="B144" s="3318"/>
      <c r="C144" s="3323"/>
      <c r="D144" s="3323"/>
      <c r="E144" s="3323"/>
      <c r="F144" s="3323"/>
      <c r="G144" s="3319"/>
      <c r="H144" s="3323"/>
      <c r="I144" s="3323"/>
      <c r="J144" s="3323"/>
      <c r="K144" s="3319"/>
      <c r="L144" s="3332"/>
    </row>
    <row r="145" spans="1:12" ht="15.75" customHeight="1">
      <c r="A145" s="3320" t="s">
        <v>74</v>
      </c>
      <c r="B145" s="3318"/>
      <c r="C145" s="3321">
        <v>991</v>
      </c>
      <c r="D145" s="3321">
        <v>271</v>
      </c>
      <c r="E145" s="3321">
        <v>158</v>
      </c>
      <c r="F145" s="3322">
        <f>SUM(C145:E145)</f>
        <v>1420</v>
      </c>
      <c r="G145" s="3319"/>
      <c r="H145" s="3321">
        <v>1105</v>
      </c>
      <c r="I145" s="3321">
        <v>242</v>
      </c>
      <c r="J145" s="3322">
        <f>SUM(H145:I145)</f>
        <v>1347</v>
      </c>
      <c r="K145" s="3319"/>
      <c r="L145" s="3331">
        <f>+F145/J145</f>
        <v>1.0541945063103193</v>
      </c>
    </row>
    <row r="146" spans="1:12" ht="15.75" customHeight="1">
      <c r="A146" s="3294"/>
      <c r="B146" s="3318"/>
      <c r="C146" s="3323"/>
      <c r="D146" s="3323"/>
      <c r="E146" s="3323"/>
      <c r="F146" s="3323"/>
      <c r="G146" s="3319"/>
      <c r="H146" s="3323"/>
      <c r="I146" s="3323"/>
      <c r="J146" s="3323"/>
      <c r="K146" s="3319"/>
      <c r="L146" s="3332"/>
    </row>
    <row r="147" spans="1:12" ht="15.75" customHeight="1">
      <c r="A147" s="3320" t="s">
        <v>188</v>
      </c>
      <c r="B147" s="3318"/>
      <c r="C147" s="3321">
        <v>6</v>
      </c>
      <c r="D147" s="3321"/>
      <c r="E147" s="3321"/>
      <c r="F147" s="3322">
        <f>SUM(C147:E147)</f>
        <v>6</v>
      </c>
      <c r="G147" s="3319"/>
      <c r="H147" s="3321">
        <v>671</v>
      </c>
      <c r="I147" s="3321">
        <v>574</v>
      </c>
      <c r="J147" s="3322">
        <f>SUM(H147:I147)</f>
        <v>1245</v>
      </c>
      <c r="K147" s="3319"/>
      <c r="L147" s="3331">
        <f>+F147/J147</f>
        <v>4.8192771084337354E-3</v>
      </c>
    </row>
    <row r="148" spans="1:12" ht="15.75" customHeight="1">
      <c r="A148" s="3294"/>
      <c r="B148" s="3318"/>
      <c r="C148" s="3323"/>
      <c r="D148" s="3323"/>
      <c r="E148" s="3323"/>
      <c r="F148" s="3323"/>
      <c r="G148" s="3319"/>
      <c r="H148" s="3323"/>
      <c r="I148" s="3323"/>
      <c r="J148" s="3323"/>
      <c r="K148" s="3319"/>
      <c r="L148" s="3332"/>
    </row>
    <row r="149" spans="1:12" ht="15.75" customHeight="1" thickBot="1">
      <c r="A149" s="3324" t="s">
        <v>67</v>
      </c>
      <c r="B149" s="3318"/>
      <c r="C149" s="3325">
        <f>SUM(C137,C139,C141,C143,C145,C147)</f>
        <v>3226</v>
      </c>
      <c r="D149" s="3325">
        <f>SUM(D137,D139,D141,D143,D145,D147)</f>
        <v>836</v>
      </c>
      <c r="E149" s="3325">
        <f>SUM(E137,E139,E141,E143,E145,E147)</f>
        <v>342</v>
      </c>
      <c r="F149" s="3325">
        <f>SUM(F137,F139,F141,F143,F145,F147)</f>
        <v>4404</v>
      </c>
      <c r="G149" s="3319"/>
      <c r="H149" s="3325">
        <f>SUM(H137,H139,H141,H143,H145,H147)</f>
        <v>4120</v>
      </c>
      <c r="I149" s="3325">
        <f>SUM(I137,I139,I141,I143,I145,I147)</f>
        <v>1374</v>
      </c>
      <c r="J149" s="3325">
        <f>SUM(H149:I149)</f>
        <v>5494</v>
      </c>
      <c r="K149" s="3319"/>
      <c r="L149" s="3333">
        <f>+F149/J149</f>
        <v>0.80160174736075718</v>
      </c>
    </row>
    <row r="150" spans="1:12" ht="15.75" customHeight="1">
      <c r="A150" s="4" t="s">
        <v>2137</v>
      </c>
      <c r="B150" s="4"/>
      <c r="C150" s="4"/>
      <c r="D150" s="4"/>
      <c r="E150" s="4"/>
      <c r="F150" s="4"/>
      <c r="G150" s="4"/>
      <c r="H150" s="4"/>
      <c r="I150" s="4"/>
      <c r="J150" s="4"/>
      <c r="K150" s="4"/>
      <c r="L150" s="4"/>
    </row>
    <row r="151" spans="1:12" ht="15.75" customHeight="1">
      <c r="A151" s="44" t="s">
        <v>219</v>
      </c>
      <c r="B151" s="38"/>
      <c r="C151" s="38"/>
      <c r="D151" s="38"/>
      <c r="E151" s="38"/>
      <c r="F151" s="38"/>
      <c r="G151" s="38"/>
      <c r="H151" s="38"/>
      <c r="I151" s="38"/>
      <c r="J151" s="38"/>
      <c r="K151" s="38"/>
      <c r="L151" s="38"/>
    </row>
    <row r="152" spans="1:12" ht="15.75" customHeight="1">
      <c r="A152" s="1149"/>
      <c r="B152" s="1149"/>
      <c r="C152" s="1149"/>
      <c r="D152" s="1149"/>
      <c r="E152" s="1149"/>
      <c r="F152" s="1149"/>
      <c r="G152" s="1149"/>
      <c r="H152" s="1149"/>
      <c r="I152" s="1149"/>
      <c r="J152" s="1149"/>
      <c r="K152" s="1149"/>
      <c r="L152" s="1149"/>
    </row>
    <row r="153" spans="1:12" ht="15.75" customHeight="1">
      <c r="B153" s="163"/>
      <c r="C153" s="163"/>
      <c r="D153" s="163"/>
      <c r="E153" s="163"/>
      <c r="F153" s="163">
        <v>2016</v>
      </c>
      <c r="G153" s="163"/>
      <c r="H153" s="163"/>
      <c r="I153" s="163"/>
      <c r="J153" s="163"/>
      <c r="K153" s="163"/>
      <c r="L153" s="163"/>
    </row>
    <row r="154" spans="1:12" ht="15.75" customHeight="1">
      <c r="A154" s="2026"/>
      <c r="B154" s="3318"/>
      <c r="C154" s="7378" t="s">
        <v>212</v>
      </c>
      <c r="D154" s="7378"/>
      <c r="E154" s="7378"/>
      <c r="F154" s="7378"/>
      <c r="G154" s="3319"/>
      <c r="H154" s="7378" t="s">
        <v>213</v>
      </c>
      <c r="I154" s="7378"/>
      <c r="J154" s="7378"/>
      <c r="K154" s="3319"/>
      <c r="L154" s="7379" t="s">
        <v>551</v>
      </c>
    </row>
    <row r="155" spans="1:12" ht="15.75" customHeight="1">
      <c r="A155" s="7382" t="s">
        <v>68</v>
      </c>
      <c r="B155" s="3318"/>
      <c r="C155" s="7384" t="s">
        <v>2432</v>
      </c>
      <c r="D155" s="7384"/>
      <c r="E155" s="7384"/>
      <c r="F155" s="7385" t="s">
        <v>2434</v>
      </c>
      <c r="G155" s="3319"/>
      <c r="H155" s="7377" t="s">
        <v>2433</v>
      </c>
      <c r="I155" s="7377"/>
      <c r="J155" s="7385" t="s">
        <v>2435</v>
      </c>
      <c r="K155" s="3319"/>
      <c r="L155" s="7380"/>
    </row>
    <row r="156" spans="1:12" ht="15.75" customHeight="1" thickBot="1">
      <c r="A156" s="7383"/>
      <c r="B156" s="3318"/>
      <c r="C156" s="2138" t="s">
        <v>216</v>
      </c>
      <c r="D156" s="2138" t="s">
        <v>217</v>
      </c>
      <c r="E156" s="2138" t="s">
        <v>218</v>
      </c>
      <c r="F156" s="7386"/>
      <c r="G156" s="3319"/>
      <c r="H156" s="2138" t="s">
        <v>214</v>
      </c>
      <c r="I156" s="2138" t="s">
        <v>215</v>
      </c>
      <c r="J156" s="7386"/>
      <c r="K156" s="3319"/>
      <c r="L156" s="7381"/>
    </row>
    <row r="157" spans="1:12" ht="15.75" customHeight="1">
      <c r="A157" s="3294"/>
      <c r="B157" s="3318"/>
      <c r="C157" s="3294"/>
      <c r="D157" s="3294"/>
      <c r="E157" s="3294"/>
      <c r="F157" s="3294"/>
      <c r="G157" s="3319"/>
      <c r="H157" s="3294"/>
      <c r="I157" s="3294"/>
      <c r="J157" s="3294"/>
      <c r="K157" s="3319"/>
      <c r="L157" s="3294"/>
    </row>
    <row r="158" spans="1:12" ht="15.75" customHeight="1">
      <c r="A158" s="3320" t="s">
        <v>70</v>
      </c>
      <c r="B158" s="3318"/>
      <c r="C158" s="3321">
        <v>1023</v>
      </c>
      <c r="D158" s="3321">
        <v>331</v>
      </c>
      <c r="E158" s="3321">
        <v>62</v>
      </c>
      <c r="F158" s="3322">
        <f>SUM(C158:E158)</f>
        <v>1416</v>
      </c>
      <c r="G158" s="3319"/>
      <c r="H158" s="3321">
        <v>1128</v>
      </c>
      <c r="I158" s="3321">
        <v>184</v>
      </c>
      <c r="J158" s="3322">
        <f>SUM(H158:I158)</f>
        <v>1312</v>
      </c>
      <c r="K158" s="3319"/>
      <c r="L158" s="3331">
        <f>+F158/J158</f>
        <v>1.0792682926829269</v>
      </c>
    </row>
    <row r="159" spans="1:12" ht="15.75" customHeight="1">
      <c r="A159" s="3294"/>
      <c r="B159" s="3318"/>
      <c r="C159" s="3323"/>
      <c r="D159" s="3323"/>
      <c r="E159" s="3323"/>
      <c r="F159" s="3323"/>
      <c r="G159" s="3319"/>
      <c r="H159" s="3323"/>
      <c r="I159" s="3323"/>
      <c r="J159" s="3323"/>
      <c r="K159" s="3319"/>
      <c r="L159" s="3332"/>
    </row>
    <row r="160" spans="1:12" ht="15.75" customHeight="1">
      <c r="A160" s="3320" t="s">
        <v>72</v>
      </c>
      <c r="B160" s="3318"/>
      <c r="C160" s="3321">
        <v>209</v>
      </c>
      <c r="D160" s="3321">
        <v>21</v>
      </c>
      <c r="E160" s="3321">
        <v>13</v>
      </c>
      <c r="F160" s="3322">
        <f>SUM(C160:E160)</f>
        <v>243</v>
      </c>
      <c r="G160" s="3319"/>
      <c r="H160" s="3321">
        <v>212</v>
      </c>
      <c r="I160" s="3321">
        <v>110</v>
      </c>
      <c r="J160" s="3322">
        <f>SUM(H160:I160)</f>
        <v>322</v>
      </c>
      <c r="K160" s="3319"/>
      <c r="L160" s="3331">
        <f>+F160/J160</f>
        <v>0.75465838509316774</v>
      </c>
    </row>
    <row r="161" spans="1:12" ht="15.75" customHeight="1">
      <c r="A161" s="3294"/>
      <c r="B161" s="3318"/>
      <c r="C161" s="3323"/>
      <c r="D161" s="3323"/>
      <c r="E161" s="3323"/>
      <c r="F161" s="3323"/>
      <c r="G161" s="3319"/>
      <c r="H161" s="3323"/>
      <c r="I161" s="3323"/>
      <c r="J161" s="3323"/>
      <c r="K161" s="3319"/>
      <c r="L161" s="3332"/>
    </row>
    <row r="162" spans="1:12" ht="15.75" customHeight="1">
      <c r="A162" s="3320" t="s">
        <v>73</v>
      </c>
      <c r="B162" s="3318"/>
      <c r="C162" s="3321">
        <v>931</v>
      </c>
      <c r="D162" s="3321">
        <v>230</v>
      </c>
      <c r="E162" s="3321">
        <v>133</v>
      </c>
      <c r="F162" s="3322">
        <f>SUM(C162:E162)</f>
        <v>1294</v>
      </c>
      <c r="G162" s="3319"/>
      <c r="H162" s="3321">
        <v>954</v>
      </c>
      <c r="I162" s="3321">
        <v>203</v>
      </c>
      <c r="J162" s="3322">
        <f>SUM(H162:I162)</f>
        <v>1157</v>
      </c>
      <c r="K162" s="3319"/>
      <c r="L162" s="3331">
        <f>+F162/J162</f>
        <v>1.118409680207433</v>
      </c>
    </row>
    <row r="163" spans="1:12" ht="15.75" customHeight="1">
      <c r="A163" s="3294"/>
      <c r="B163" s="3318"/>
      <c r="C163" s="3323"/>
      <c r="D163" s="3323"/>
      <c r="E163" s="3323"/>
      <c r="F163" s="3323"/>
      <c r="G163" s="3319"/>
      <c r="H163" s="3323"/>
      <c r="I163" s="3323"/>
      <c r="J163" s="3323"/>
      <c r="K163" s="3319"/>
      <c r="L163" s="3332"/>
    </row>
    <row r="164" spans="1:12" ht="15.75" customHeight="1">
      <c r="A164" s="3320" t="s">
        <v>82</v>
      </c>
      <c r="B164" s="3318"/>
      <c r="C164" s="3321">
        <v>73</v>
      </c>
      <c r="D164" s="3321">
        <v>5</v>
      </c>
      <c r="E164" s="3321"/>
      <c r="F164" s="3322">
        <f>SUM(C164:E164)</f>
        <v>78</v>
      </c>
      <c r="G164" s="3319"/>
      <c r="H164" s="3321">
        <v>64</v>
      </c>
      <c r="I164" s="3321">
        <v>54</v>
      </c>
      <c r="J164" s="3322">
        <f>SUM(H164:I164)</f>
        <v>118</v>
      </c>
      <c r="K164" s="3319"/>
      <c r="L164" s="3331">
        <f>+F164/J164</f>
        <v>0.66101694915254239</v>
      </c>
    </row>
    <row r="165" spans="1:12" ht="15.75" customHeight="1">
      <c r="A165" s="3294"/>
      <c r="B165" s="3318"/>
      <c r="C165" s="3323"/>
      <c r="D165" s="3323"/>
      <c r="E165" s="3323"/>
      <c r="F165" s="3323"/>
      <c r="G165" s="3319"/>
      <c r="H165" s="3323"/>
      <c r="I165" s="3323"/>
      <c r="J165" s="3323"/>
      <c r="K165" s="3319"/>
      <c r="L165" s="3332"/>
    </row>
    <row r="166" spans="1:12" ht="15.75" customHeight="1">
      <c r="A166" s="3320" t="s">
        <v>74</v>
      </c>
      <c r="B166" s="3318"/>
      <c r="C166" s="3321">
        <v>991</v>
      </c>
      <c r="D166" s="3321">
        <v>248</v>
      </c>
      <c r="E166" s="3321">
        <v>166</v>
      </c>
      <c r="F166" s="3322">
        <f>SUM(C166:E166)</f>
        <v>1405</v>
      </c>
      <c r="G166" s="3319"/>
      <c r="H166" s="3321">
        <v>1104</v>
      </c>
      <c r="I166" s="3321">
        <v>238</v>
      </c>
      <c r="J166" s="3322">
        <f>SUM(H166:I166)</f>
        <v>1342</v>
      </c>
      <c r="K166" s="3319"/>
      <c r="L166" s="3331">
        <f>+F166/J166</f>
        <v>1.0469448584202683</v>
      </c>
    </row>
    <row r="167" spans="1:12" ht="15.75" customHeight="1">
      <c r="A167" s="3294"/>
      <c r="B167" s="3318"/>
      <c r="C167" s="3323"/>
      <c r="D167" s="3323"/>
      <c r="E167" s="3323"/>
      <c r="F167" s="3323"/>
      <c r="G167" s="3319"/>
      <c r="H167" s="3323"/>
      <c r="I167" s="3323"/>
      <c r="J167" s="3323"/>
      <c r="K167" s="3319"/>
      <c r="L167" s="3332"/>
    </row>
    <row r="168" spans="1:12" ht="15.75" customHeight="1">
      <c r="A168" s="3320" t="s">
        <v>188</v>
      </c>
      <c r="B168" s="3318"/>
      <c r="C168" s="3321">
        <v>5</v>
      </c>
      <c r="D168" s="3321"/>
      <c r="E168" s="3321"/>
      <c r="F168" s="3322">
        <f>SUM(C168:E168)</f>
        <v>5</v>
      </c>
      <c r="G168" s="3319"/>
      <c r="H168" s="3321">
        <v>676</v>
      </c>
      <c r="I168" s="3321">
        <v>584</v>
      </c>
      <c r="J168" s="3322">
        <f>SUM(H168:I168)</f>
        <v>1260</v>
      </c>
      <c r="K168" s="3319"/>
      <c r="L168" s="3331">
        <f>+F168/J168</f>
        <v>3.968253968253968E-3</v>
      </c>
    </row>
    <row r="169" spans="1:12" ht="15.75" customHeight="1">
      <c r="A169" s="3294"/>
      <c r="B169" s="3318"/>
      <c r="C169" s="3323"/>
      <c r="D169" s="3323"/>
      <c r="E169" s="3323"/>
      <c r="F169" s="3323"/>
      <c r="G169" s="3319"/>
      <c r="H169" s="3323"/>
      <c r="I169" s="3323"/>
      <c r="J169" s="3323"/>
      <c r="K169" s="3319"/>
      <c r="L169" s="3332"/>
    </row>
    <row r="170" spans="1:12" ht="15.75" customHeight="1" thickBot="1">
      <c r="A170" s="3324" t="s">
        <v>67</v>
      </c>
      <c r="B170" s="3318"/>
      <c r="C170" s="3325">
        <f>SUM(C158,C160,C162,C164,C166,C168)</f>
        <v>3232</v>
      </c>
      <c r="D170" s="3325">
        <f>SUM(D158,D160,D162,D164,D166,D168)</f>
        <v>835</v>
      </c>
      <c r="E170" s="3325">
        <f>SUM(E158,E160,E162,E164,E166,E168)</f>
        <v>374</v>
      </c>
      <c r="F170" s="3325">
        <f>SUM(F158,F160,F162,F164,F166,F168)</f>
        <v>4441</v>
      </c>
      <c r="G170" s="3319"/>
      <c r="H170" s="3325">
        <f>SUM(H158,H160,H162,H164,H166,H168)</f>
        <v>4138</v>
      </c>
      <c r="I170" s="3325">
        <f>SUM(I158,I160,I162,I164,I166,I168)</f>
        <v>1373</v>
      </c>
      <c r="J170" s="3325">
        <f>SUM(H170:I170)</f>
        <v>5511</v>
      </c>
      <c r="K170" s="3319"/>
      <c r="L170" s="3333">
        <f>+F170/J170</f>
        <v>0.8058428597350753</v>
      </c>
    </row>
    <row r="171" spans="1:12" ht="15.75" customHeight="1">
      <c r="A171" s="4" t="s">
        <v>2136</v>
      </c>
      <c r="B171" s="4"/>
      <c r="C171" s="4"/>
      <c r="D171" s="4"/>
      <c r="E171" s="4"/>
      <c r="F171" s="4"/>
      <c r="G171" s="4"/>
      <c r="H171" s="4"/>
      <c r="I171" s="4"/>
      <c r="J171" s="4"/>
      <c r="K171" s="4"/>
      <c r="L171" s="4"/>
    </row>
    <row r="172" spans="1:12" ht="15.75" customHeight="1">
      <c r="A172" s="44" t="s">
        <v>219</v>
      </c>
      <c r="B172" s="38"/>
      <c r="C172" s="38"/>
      <c r="D172" s="38"/>
      <c r="E172" s="38"/>
      <c r="F172" s="38"/>
      <c r="G172" s="38"/>
      <c r="H172" s="38"/>
      <c r="I172" s="38"/>
      <c r="J172" s="38"/>
      <c r="K172" s="38"/>
      <c r="L172" s="38"/>
    </row>
    <row r="173" spans="1:12" ht="15.75" customHeight="1">
      <c r="A173" s="1149"/>
      <c r="B173" s="1149"/>
      <c r="C173" s="1149"/>
      <c r="D173" s="1149"/>
      <c r="E173" s="1149"/>
      <c r="F173" s="1149"/>
      <c r="G173" s="1149"/>
      <c r="H173" s="1149"/>
      <c r="I173" s="1149"/>
      <c r="J173" s="1149"/>
      <c r="K173" s="1149"/>
      <c r="L173" s="1149"/>
    </row>
    <row r="174" spans="1:12" ht="15.75" customHeight="1">
      <c r="B174" s="163"/>
      <c r="C174" s="163"/>
      <c r="D174" s="163"/>
      <c r="E174" s="163"/>
      <c r="F174" s="163">
        <v>2015</v>
      </c>
      <c r="G174" s="163"/>
      <c r="H174" s="163"/>
      <c r="I174" s="163"/>
      <c r="J174" s="163"/>
      <c r="K174" s="163"/>
      <c r="L174" s="163"/>
    </row>
    <row r="175" spans="1:12" ht="15.75" customHeight="1">
      <c r="A175" s="2026"/>
      <c r="B175" s="3318"/>
      <c r="C175" s="7378" t="s">
        <v>212</v>
      </c>
      <c r="D175" s="7378"/>
      <c r="E175" s="7378"/>
      <c r="F175" s="7378"/>
      <c r="G175" s="3319"/>
      <c r="H175" s="7378" t="s">
        <v>213</v>
      </c>
      <c r="I175" s="7378"/>
      <c r="J175" s="7378"/>
      <c r="K175" s="3319"/>
      <c r="L175" s="7379" t="s">
        <v>551</v>
      </c>
    </row>
    <row r="176" spans="1:12" ht="15.75" customHeight="1">
      <c r="A176" s="7382" t="s">
        <v>68</v>
      </c>
      <c r="B176" s="3318"/>
      <c r="C176" s="7384" t="s">
        <v>2432</v>
      </c>
      <c r="D176" s="7384"/>
      <c r="E176" s="7384"/>
      <c r="F176" s="7385" t="s">
        <v>2434</v>
      </c>
      <c r="G176" s="3319"/>
      <c r="H176" s="7377" t="s">
        <v>2433</v>
      </c>
      <c r="I176" s="7377"/>
      <c r="J176" s="7385" t="s">
        <v>2435</v>
      </c>
      <c r="K176" s="3319"/>
      <c r="L176" s="7380"/>
    </row>
    <row r="177" spans="1:12" ht="15.75" customHeight="1" thickBot="1">
      <c r="A177" s="7383"/>
      <c r="B177" s="3318"/>
      <c r="C177" s="2138" t="s">
        <v>216</v>
      </c>
      <c r="D177" s="2138" t="s">
        <v>217</v>
      </c>
      <c r="E177" s="2138" t="s">
        <v>218</v>
      </c>
      <c r="F177" s="7386"/>
      <c r="G177" s="3319"/>
      <c r="H177" s="2138" t="s">
        <v>214</v>
      </c>
      <c r="I177" s="2138" t="s">
        <v>215</v>
      </c>
      <c r="J177" s="7386"/>
      <c r="K177" s="3319"/>
      <c r="L177" s="7381"/>
    </row>
    <row r="178" spans="1:12" ht="15.75" customHeight="1">
      <c r="A178" s="3294"/>
      <c r="B178" s="3318"/>
      <c r="C178" s="3294"/>
      <c r="D178" s="3294"/>
      <c r="E178" s="3294"/>
      <c r="F178" s="3294"/>
      <c r="G178" s="3319"/>
      <c r="H178" s="3294"/>
      <c r="I178" s="3294"/>
      <c r="J178" s="3294"/>
      <c r="K178" s="3319"/>
      <c r="L178" s="3294"/>
    </row>
    <row r="179" spans="1:12" ht="15.75" customHeight="1">
      <c r="A179" s="3320" t="s">
        <v>70</v>
      </c>
      <c r="B179" s="3318"/>
      <c r="C179" s="3321">
        <v>1045</v>
      </c>
      <c r="D179" s="3321">
        <v>345</v>
      </c>
      <c r="E179" s="3321">
        <v>64</v>
      </c>
      <c r="F179" s="3322">
        <f>SUM(C179:E179)</f>
        <v>1454</v>
      </c>
      <c r="G179" s="3319"/>
      <c r="H179" s="3321">
        <v>1125</v>
      </c>
      <c r="I179" s="3321">
        <v>182</v>
      </c>
      <c r="J179" s="3322">
        <f>SUM(H179:I179)</f>
        <v>1307</v>
      </c>
      <c r="K179" s="3319"/>
      <c r="L179" s="3331">
        <f>+F179/J179</f>
        <v>1.1124713083397093</v>
      </c>
    </row>
    <row r="180" spans="1:12" ht="15.75" customHeight="1">
      <c r="A180" s="3294"/>
      <c r="B180" s="3318"/>
      <c r="C180" s="3323"/>
      <c r="D180" s="3323"/>
      <c r="E180" s="3323"/>
      <c r="F180" s="3323"/>
      <c r="G180" s="3319"/>
      <c r="H180" s="3323"/>
      <c r="I180" s="3323"/>
      <c r="J180" s="3323"/>
      <c r="K180" s="3319"/>
      <c r="L180" s="3332"/>
    </row>
    <row r="181" spans="1:12" ht="15.75" customHeight="1">
      <c r="A181" s="3320" t="s">
        <v>72</v>
      </c>
      <c r="B181" s="3318"/>
      <c r="C181" s="3321">
        <v>207</v>
      </c>
      <c r="D181" s="3321">
        <v>16</v>
      </c>
      <c r="E181" s="3321">
        <v>16</v>
      </c>
      <c r="F181" s="3322">
        <f>SUM(C181:E181)</f>
        <v>239</v>
      </c>
      <c r="G181" s="3319"/>
      <c r="H181" s="3321">
        <v>181</v>
      </c>
      <c r="I181" s="3321">
        <v>105</v>
      </c>
      <c r="J181" s="3322">
        <f>SUM(H181:I181)</f>
        <v>286</v>
      </c>
      <c r="K181" s="3319"/>
      <c r="L181" s="3331">
        <f>+F181/J181</f>
        <v>0.83566433566433562</v>
      </c>
    </row>
    <row r="182" spans="1:12" ht="15.75" customHeight="1">
      <c r="A182" s="3294"/>
      <c r="B182" s="3318"/>
      <c r="C182" s="3323"/>
      <c r="D182" s="3323"/>
      <c r="E182" s="3323"/>
      <c r="F182" s="3323"/>
      <c r="G182" s="3319"/>
      <c r="H182" s="3323"/>
      <c r="I182" s="3323"/>
      <c r="J182" s="3323"/>
      <c r="K182" s="3319"/>
      <c r="L182" s="3332"/>
    </row>
    <row r="183" spans="1:12" ht="15.75" customHeight="1">
      <c r="A183" s="3320" t="s">
        <v>73</v>
      </c>
      <c r="B183" s="3318"/>
      <c r="C183" s="3321">
        <v>924</v>
      </c>
      <c r="D183" s="3321">
        <v>200</v>
      </c>
      <c r="E183" s="3321">
        <v>149</v>
      </c>
      <c r="F183" s="3322">
        <f>SUM(C183:E183)</f>
        <v>1273</v>
      </c>
      <c r="G183" s="3319"/>
      <c r="H183" s="3321">
        <v>967</v>
      </c>
      <c r="I183" s="3321">
        <v>210</v>
      </c>
      <c r="J183" s="3322">
        <f>SUM(H183:I183)</f>
        <v>1177</v>
      </c>
      <c r="K183" s="3319"/>
      <c r="L183" s="3331">
        <f>+F183/J183</f>
        <v>1.0815632965165676</v>
      </c>
    </row>
    <row r="184" spans="1:12" ht="15.75" customHeight="1">
      <c r="A184" s="3294"/>
      <c r="B184" s="3318"/>
      <c r="C184" s="3323"/>
      <c r="D184" s="3323"/>
      <c r="E184" s="3323"/>
      <c r="F184" s="3323"/>
      <c r="G184" s="3319"/>
      <c r="H184" s="3323"/>
      <c r="I184" s="3323"/>
      <c r="J184" s="3323"/>
      <c r="K184" s="3319"/>
      <c r="L184" s="3332"/>
    </row>
    <row r="185" spans="1:12" ht="15.75" customHeight="1">
      <c r="A185" s="3320" t="s">
        <v>82</v>
      </c>
      <c r="B185" s="3318"/>
      <c r="C185" s="3321">
        <v>64</v>
      </c>
      <c r="D185" s="3321"/>
      <c r="E185" s="3321"/>
      <c r="F185" s="3322">
        <f>SUM(C185:E185)</f>
        <v>64</v>
      </c>
      <c r="G185" s="3319"/>
      <c r="H185" s="3321">
        <v>29</v>
      </c>
      <c r="I185" s="3321">
        <v>52</v>
      </c>
      <c r="J185" s="3322">
        <f>SUM(H185:I185)</f>
        <v>81</v>
      </c>
      <c r="K185" s="3319"/>
      <c r="L185" s="3331">
        <f>+F185/J185</f>
        <v>0.79012345679012341</v>
      </c>
    </row>
    <row r="186" spans="1:12" ht="15.75" customHeight="1">
      <c r="A186" s="3294"/>
      <c r="B186" s="3318"/>
      <c r="C186" s="3323"/>
      <c r="D186" s="3323"/>
      <c r="E186" s="3323"/>
      <c r="F186" s="3323"/>
      <c r="G186" s="3319"/>
      <c r="H186" s="3323"/>
      <c r="I186" s="3323"/>
      <c r="J186" s="3323"/>
      <c r="K186" s="3319"/>
      <c r="L186" s="3332"/>
    </row>
    <row r="187" spans="1:12" ht="15.75" customHeight="1">
      <c r="A187" s="3320" t="s">
        <v>74</v>
      </c>
      <c r="B187" s="3318"/>
      <c r="C187" s="3321">
        <v>1008</v>
      </c>
      <c r="D187" s="3321">
        <v>244</v>
      </c>
      <c r="E187" s="3321">
        <v>158</v>
      </c>
      <c r="F187" s="3322">
        <f>SUM(C187:E187)</f>
        <v>1410</v>
      </c>
      <c r="G187" s="3319"/>
      <c r="H187" s="3321">
        <v>1133</v>
      </c>
      <c r="I187" s="3321">
        <v>238</v>
      </c>
      <c r="J187" s="3322">
        <f>SUM(H187:I187)</f>
        <v>1371</v>
      </c>
      <c r="K187" s="3319"/>
      <c r="L187" s="3331">
        <f>+F187/J187</f>
        <v>1.0284463894967177</v>
      </c>
    </row>
    <row r="188" spans="1:12" ht="15.75" customHeight="1">
      <c r="A188" s="3294"/>
      <c r="B188" s="3318"/>
      <c r="C188" s="3323"/>
      <c r="D188" s="3323"/>
      <c r="E188" s="3323"/>
      <c r="F188" s="3323"/>
      <c r="G188" s="3319"/>
      <c r="H188" s="3323"/>
      <c r="I188" s="3323"/>
      <c r="J188" s="3323"/>
      <c r="K188" s="3319"/>
      <c r="L188" s="3332"/>
    </row>
    <row r="189" spans="1:12" ht="15.75" customHeight="1">
      <c r="A189" s="3320" t="s">
        <v>188</v>
      </c>
      <c r="B189" s="3318"/>
      <c r="C189" s="3321">
        <v>5</v>
      </c>
      <c r="D189" s="3321"/>
      <c r="E189" s="3321"/>
      <c r="F189" s="3322">
        <f>SUM(C189:E189)</f>
        <v>5</v>
      </c>
      <c r="G189" s="3319"/>
      <c r="H189" s="3321">
        <v>667</v>
      </c>
      <c r="I189" s="3321">
        <v>558</v>
      </c>
      <c r="J189" s="3322">
        <f>SUM(H189:I189)</f>
        <v>1225</v>
      </c>
      <c r="K189" s="3319"/>
      <c r="L189" s="3331">
        <f>+F189/J189</f>
        <v>4.0816326530612249E-3</v>
      </c>
    </row>
    <row r="190" spans="1:12" ht="15.75" customHeight="1">
      <c r="A190" s="3294"/>
      <c r="B190" s="3318"/>
      <c r="C190" s="3323"/>
      <c r="D190" s="3323"/>
      <c r="E190" s="3323"/>
      <c r="F190" s="3323"/>
      <c r="G190" s="3319"/>
      <c r="H190" s="3323"/>
      <c r="I190" s="3323"/>
      <c r="J190" s="3323"/>
      <c r="K190" s="3319"/>
      <c r="L190" s="3332"/>
    </row>
    <row r="191" spans="1:12" ht="15.75" customHeight="1" thickBot="1">
      <c r="A191" s="3324" t="s">
        <v>67</v>
      </c>
      <c r="B191" s="3318"/>
      <c r="C191" s="3325">
        <f>SUM(C179,C181,C183,C185,C187,C189)</f>
        <v>3253</v>
      </c>
      <c r="D191" s="3325">
        <f>SUM(D179,D181,D183,D185,D187,D189)</f>
        <v>805</v>
      </c>
      <c r="E191" s="3325">
        <f>SUM(E179,E181,E183,E185,E187,E189)</f>
        <v>387</v>
      </c>
      <c r="F191" s="3325">
        <f>SUM(F179,F181,F183,F185,F187,F189)</f>
        <v>4445</v>
      </c>
      <c r="G191" s="3319"/>
      <c r="H191" s="3325">
        <f>SUM(H179,H181,H183,H185,H187,H189)</f>
        <v>4102</v>
      </c>
      <c r="I191" s="3325">
        <f>SUM(I179,I181,I183,I185,I187,I189)</f>
        <v>1345</v>
      </c>
      <c r="J191" s="3325">
        <f>SUM(H191:I191)</f>
        <v>5447</v>
      </c>
      <c r="K191" s="3319"/>
      <c r="L191" s="3333">
        <f>+F191/J191</f>
        <v>0.81604552964934829</v>
      </c>
    </row>
    <row r="192" spans="1:12" ht="15.75" customHeight="1">
      <c r="A192" s="4" t="s">
        <v>1554</v>
      </c>
      <c r="B192" s="4"/>
      <c r="C192" s="4"/>
      <c r="D192" s="4"/>
      <c r="E192" s="4"/>
      <c r="F192" s="4"/>
      <c r="G192" s="4"/>
      <c r="H192" s="4"/>
      <c r="I192" s="4"/>
      <c r="J192" s="4"/>
      <c r="K192" s="4"/>
      <c r="L192" s="4"/>
    </row>
    <row r="193" spans="1:12" ht="15.75" customHeight="1">
      <c r="A193" s="44" t="s">
        <v>219</v>
      </c>
      <c r="B193" s="38"/>
      <c r="C193" s="38"/>
      <c r="D193" s="38"/>
      <c r="E193" s="38"/>
      <c r="F193" s="38"/>
      <c r="G193" s="38"/>
      <c r="H193" s="38"/>
      <c r="I193" s="38"/>
      <c r="J193" s="38"/>
      <c r="K193" s="38"/>
      <c r="L193" s="38"/>
    </row>
    <row r="194" spans="1:12" ht="15.75" customHeight="1">
      <c r="B194" s="163"/>
      <c r="C194" s="163"/>
      <c r="D194" s="163"/>
      <c r="E194" s="163"/>
      <c r="F194" s="163">
        <v>2014</v>
      </c>
      <c r="G194" s="163"/>
      <c r="H194" s="163"/>
      <c r="I194" s="163"/>
      <c r="J194" s="163"/>
      <c r="K194" s="163"/>
      <c r="L194" s="163"/>
    </row>
    <row r="195" spans="1:12" ht="15.75" customHeight="1">
      <c r="A195" s="2026"/>
      <c r="B195" s="3318"/>
      <c r="C195" s="7378" t="s">
        <v>212</v>
      </c>
      <c r="D195" s="7378"/>
      <c r="E195" s="7378"/>
      <c r="F195" s="7378"/>
      <c r="G195" s="3319"/>
      <c r="H195" s="7378" t="s">
        <v>213</v>
      </c>
      <c r="I195" s="7378"/>
      <c r="J195" s="7378"/>
      <c r="K195" s="3319"/>
      <c r="L195" s="7379" t="s">
        <v>551</v>
      </c>
    </row>
    <row r="196" spans="1:12" ht="15.75" customHeight="1">
      <c r="A196" s="7382" t="s">
        <v>68</v>
      </c>
      <c r="B196" s="3318"/>
      <c r="C196" s="7384" t="s">
        <v>2432</v>
      </c>
      <c r="D196" s="7384"/>
      <c r="E196" s="7384"/>
      <c r="F196" s="7385" t="s">
        <v>2434</v>
      </c>
      <c r="G196" s="3319"/>
      <c r="H196" s="7377" t="s">
        <v>2433</v>
      </c>
      <c r="I196" s="7377"/>
      <c r="J196" s="7385" t="s">
        <v>2435</v>
      </c>
      <c r="K196" s="3319"/>
      <c r="L196" s="7380"/>
    </row>
    <row r="197" spans="1:12" ht="15.75" customHeight="1" thickBot="1">
      <c r="A197" s="7383"/>
      <c r="B197" s="3318"/>
      <c r="C197" s="2138" t="s">
        <v>216</v>
      </c>
      <c r="D197" s="2138" t="s">
        <v>217</v>
      </c>
      <c r="E197" s="2138" t="s">
        <v>218</v>
      </c>
      <c r="F197" s="7386"/>
      <c r="G197" s="3319"/>
      <c r="H197" s="2138" t="s">
        <v>214</v>
      </c>
      <c r="I197" s="2138" t="s">
        <v>215</v>
      </c>
      <c r="J197" s="7386"/>
      <c r="K197" s="3319"/>
      <c r="L197" s="7381"/>
    </row>
    <row r="198" spans="1:12" ht="15.75" customHeight="1">
      <c r="A198" s="3294"/>
      <c r="B198" s="3318"/>
      <c r="C198" s="3294"/>
      <c r="D198" s="3294"/>
      <c r="E198" s="3294"/>
      <c r="F198" s="3294"/>
      <c r="G198" s="3319"/>
      <c r="H198" s="3294"/>
      <c r="I198" s="3294"/>
      <c r="J198" s="3294"/>
      <c r="K198" s="3319"/>
      <c r="L198" s="3294"/>
    </row>
    <row r="199" spans="1:12" ht="15.75" customHeight="1">
      <c r="A199" s="3320" t="s">
        <v>70</v>
      </c>
      <c r="B199" s="3318"/>
      <c r="C199" s="3321">
        <v>1046</v>
      </c>
      <c r="D199" s="3321">
        <v>333</v>
      </c>
      <c r="E199" s="3321">
        <v>77</v>
      </c>
      <c r="F199" s="3322">
        <f>SUM(C199:E199)</f>
        <v>1456</v>
      </c>
      <c r="G199" s="3319"/>
      <c r="H199" s="3321">
        <v>1133</v>
      </c>
      <c r="I199" s="3321">
        <v>180</v>
      </c>
      <c r="J199" s="3322">
        <f>SUM(H199:I199)</f>
        <v>1313</v>
      </c>
      <c r="K199" s="3319"/>
      <c r="L199" s="3331">
        <f>+F199/J199</f>
        <v>1.108910891089109</v>
      </c>
    </row>
    <row r="200" spans="1:12" ht="15.75" customHeight="1">
      <c r="A200" s="3294"/>
      <c r="B200" s="3318"/>
      <c r="C200" s="3323"/>
      <c r="D200" s="3323"/>
      <c r="E200" s="3323"/>
      <c r="F200" s="3323"/>
      <c r="G200" s="3319"/>
      <c r="H200" s="3323"/>
      <c r="I200" s="3323"/>
      <c r="J200" s="3323"/>
      <c r="K200" s="3319"/>
      <c r="L200" s="3332"/>
    </row>
    <row r="201" spans="1:12" ht="15.75" customHeight="1">
      <c r="A201" s="3320" t="s">
        <v>72</v>
      </c>
      <c r="B201" s="3318"/>
      <c r="C201" s="3321">
        <v>195</v>
      </c>
      <c r="D201" s="3321">
        <v>18</v>
      </c>
      <c r="E201" s="3321">
        <v>15</v>
      </c>
      <c r="F201" s="3322">
        <f>SUM(C201:E201)</f>
        <v>228</v>
      </c>
      <c r="G201" s="3319"/>
      <c r="H201" s="3321">
        <v>169</v>
      </c>
      <c r="I201" s="3321">
        <v>102</v>
      </c>
      <c r="J201" s="3322">
        <f>SUM(H201:I201)</f>
        <v>271</v>
      </c>
      <c r="K201" s="3319"/>
      <c r="L201" s="3331">
        <f>+F201/J201</f>
        <v>0.84132841328413288</v>
      </c>
    </row>
    <row r="202" spans="1:12" ht="15.75" customHeight="1">
      <c r="A202" s="3294"/>
      <c r="B202" s="3318"/>
      <c r="C202" s="3323"/>
      <c r="D202" s="3323"/>
      <c r="E202" s="3323"/>
      <c r="F202" s="3323"/>
      <c r="G202" s="3319"/>
      <c r="H202" s="3323"/>
      <c r="I202" s="3323"/>
      <c r="J202" s="3323"/>
      <c r="K202" s="3319"/>
      <c r="L202" s="3332"/>
    </row>
    <row r="203" spans="1:12" ht="15.75" customHeight="1">
      <c r="A203" s="3320" t="s">
        <v>73</v>
      </c>
      <c r="B203" s="3318"/>
      <c r="C203" s="3321">
        <v>922</v>
      </c>
      <c r="D203" s="3321">
        <v>193</v>
      </c>
      <c r="E203" s="3321">
        <v>180</v>
      </c>
      <c r="F203" s="3322">
        <f>SUM(C203:E203)</f>
        <v>1295</v>
      </c>
      <c r="G203" s="3319"/>
      <c r="H203" s="3321">
        <v>979</v>
      </c>
      <c r="I203" s="3321">
        <v>210</v>
      </c>
      <c r="J203" s="3322">
        <f>SUM(H203:I203)</f>
        <v>1189</v>
      </c>
      <c r="K203" s="3319"/>
      <c r="L203" s="3331">
        <f>+F203/J203</f>
        <v>1.0891505466778806</v>
      </c>
    </row>
    <row r="204" spans="1:12" ht="15.75" customHeight="1">
      <c r="A204" s="3294"/>
      <c r="B204" s="3318"/>
      <c r="C204" s="3323"/>
      <c r="D204" s="3323"/>
      <c r="E204" s="3323"/>
      <c r="F204" s="3323"/>
      <c r="G204" s="3319"/>
      <c r="H204" s="3323"/>
      <c r="I204" s="3323"/>
      <c r="J204" s="3323"/>
      <c r="K204" s="3319"/>
      <c r="L204" s="3332"/>
    </row>
    <row r="205" spans="1:12" ht="15.75" customHeight="1">
      <c r="A205" s="3320" t="s">
        <v>82</v>
      </c>
      <c r="B205" s="3318"/>
      <c r="C205" s="3321">
        <v>72</v>
      </c>
      <c r="D205" s="3321"/>
      <c r="E205" s="3321"/>
      <c r="F205" s="3322">
        <f>SUM(C205:E205)</f>
        <v>72</v>
      </c>
      <c r="G205" s="3319"/>
      <c r="H205" s="3321">
        <v>28</v>
      </c>
      <c r="I205" s="3321">
        <v>52</v>
      </c>
      <c r="J205" s="3322">
        <f>SUM(H205:I205)</f>
        <v>80</v>
      </c>
      <c r="K205" s="3319"/>
      <c r="L205" s="3331">
        <f>+F205/J205</f>
        <v>0.9</v>
      </c>
    </row>
    <row r="206" spans="1:12" ht="15.75" customHeight="1">
      <c r="A206" s="3294"/>
      <c r="B206" s="3318"/>
      <c r="C206" s="3323"/>
      <c r="D206" s="3323"/>
      <c r="E206" s="3323"/>
      <c r="F206" s="3323"/>
      <c r="G206" s="3319"/>
      <c r="H206" s="3323"/>
      <c r="I206" s="3323"/>
      <c r="J206" s="3323"/>
      <c r="K206" s="3319"/>
      <c r="L206" s="3332"/>
    </row>
    <row r="207" spans="1:12" ht="15.75" customHeight="1">
      <c r="A207" s="3320" t="s">
        <v>74</v>
      </c>
      <c r="B207" s="3318"/>
      <c r="C207" s="3321">
        <v>989</v>
      </c>
      <c r="D207" s="3321">
        <v>230</v>
      </c>
      <c r="E207" s="3321">
        <v>179</v>
      </c>
      <c r="F207" s="3322">
        <f>SUM(C207:E207)</f>
        <v>1398</v>
      </c>
      <c r="G207" s="3319"/>
      <c r="H207" s="3321">
        <v>1142</v>
      </c>
      <c r="I207" s="3321">
        <v>237</v>
      </c>
      <c r="J207" s="3322">
        <f>SUM(H207:I207)</f>
        <v>1379</v>
      </c>
      <c r="K207" s="3319"/>
      <c r="L207" s="3331">
        <f>+F207/J207</f>
        <v>1.0137781000725163</v>
      </c>
    </row>
    <row r="208" spans="1:12" ht="15.75" customHeight="1">
      <c r="A208" s="3294"/>
      <c r="B208" s="3318"/>
      <c r="C208" s="3323"/>
      <c r="D208" s="3323"/>
      <c r="E208" s="3323"/>
      <c r="F208" s="3323"/>
      <c r="G208" s="3319"/>
      <c r="H208" s="3323"/>
      <c r="I208" s="3323"/>
      <c r="J208" s="3323"/>
      <c r="K208" s="3319"/>
      <c r="L208" s="3332"/>
    </row>
    <row r="209" spans="1:17" ht="15.75" customHeight="1">
      <c r="A209" s="3320" t="s">
        <v>188</v>
      </c>
      <c r="B209" s="3318"/>
      <c r="C209" s="3321">
        <v>5</v>
      </c>
      <c r="D209" s="3321"/>
      <c r="E209" s="3321"/>
      <c r="F209" s="3322">
        <f>SUM(C209:E209)</f>
        <v>5</v>
      </c>
      <c r="G209" s="3319"/>
      <c r="H209" s="3321">
        <v>691</v>
      </c>
      <c r="I209" s="3321">
        <v>557</v>
      </c>
      <c r="J209" s="3322">
        <f>SUM(H209:I209)</f>
        <v>1248</v>
      </c>
      <c r="K209" s="3319"/>
      <c r="L209" s="3331">
        <f>+F209/J209</f>
        <v>4.0064102564102561E-3</v>
      </c>
    </row>
    <row r="210" spans="1:17" ht="15.75" customHeight="1">
      <c r="A210" s="3294"/>
      <c r="B210" s="3318"/>
      <c r="C210" s="3323"/>
      <c r="D210" s="3323"/>
      <c r="E210" s="3323"/>
      <c r="F210" s="3323"/>
      <c r="G210" s="3319"/>
      <c r="H210" s="3323"/>
      <c r="I210" s="3323"/>
      <c r="J210" s="3323"/>
      <c r="K210" s="3319"/>
      <c r="L210" s="3332"/>
    </row>
    <row r="211" spans="1:17" ht="15.75" customHeight="1" thickBot="1">
      <c r="A211" s="3324" t="s">
        <v>67</v>
      </c>
      <c r="B211" s="3318"/>
      <c r="C211" s="3325">
        <f>SUM(C199,C201,C203,C205,C207,C209)</f>
        <v>3229</v>
      </c>
      <c r="D211" s="3325">
        <f>SUM(D199,D201,D203,D205,D207,D209)</f>
        <v>774</v>
      </c>
      <c r="E211" s="3325">
        <f>SUM(E199,E201,E203,E205,E207,E209)</f>
        <v>451</v>
      </c>
      <c r="F211" s="3325">
        <f>SUM(F199,F201,F203,F205,F207,F209)</f>
        <v>4454</v>
      </c>
      <c r="G211" s="3319"/>
      <c r="H211" s="3325">
        <f>SUM(H199,H201,H203,H205,H207,H209)</f>
        <v>4142</v>
      </c>
      <c r="I211" s="3325">
        <f>SUM(I199,I201,I203,I205,I207,I209)</f>
        <v>1338</v>
      </c>
      <c r="J211" s="3325">
        <f>SUM(H211:I211)</f>
        <v>5480</v>
      </c>
      <c r="K211" s="3319"/>
      <c r="L211" s="3333">
        <f>+F211/J211</f>
        <v>0.81277372262773717</v>
      </c>
      <c r="N211" s="166"/>
    </row>
    <row r="212" spans="1:17" ht="15.75" customHeight="1">
      <c r="A212" s="4" t="s">
        <v>682</v>
      </c>
      <c r="B212" s="4"/>
      <c r="C212" s="4"/>
      <c r="D212" s="4"/>
      <c r="E212" s="4"/>
      <c r="F212" s="4"/>
      <c r="G212" s="4"/>
      <c r="H212" s="4"/>
      <c r="I212" s="4"/>
      <c r="J212" s="4"/>
      <c r="K212" s="4"/>
      <c r="L212" s="4"/>
    </row>
    <row r="213" spans="1:17" ht="15.75" customHeight="1">
      <c r="A213" s="44" t="s">
        <v>219</v>
      </c>
      <c r="B213" s="38"/>
      <c r="C213" s="38"/>
      <c r="D213" s="38"/>
      <c r="E213" s="38"/>
      <c r="F213" s="38"/>
      <c r="G213" s="38"/>
      <c r="H213" s="38"/>
      <c r="I213" s="38"/>
      <c r="J213" s="38"/>
      <c r="K213" s="38"/>
      <c r="L213" s="38"/>
    </row>
    <row r="214" spans="1:17" ht="15.75" customHeight="1">
      <c r="B214" s="163"/>
      <c r="C214" s="163"/>
      <c r="D214" s="163"/>
      <c r="E214" s="163"/>
      <c r="F214" s="163">
        <v>2013</v>
      </c>
      <c r="G214" s="163"/>
      <c r="H214" s="163"/>
      <c r="I214" s="163"/>
      <c r="J214" s="163"/>
      <c r="K214" s="163"/>
      <c r="L214" s="163"/>
    </row>
    <row r="215" spans="1:17" ht="15.75" customHeight="1">
      <c r="A215" s="2026"/>
      <c r="B215" s="3318"/>
      <c r="C215" s="7378" t="s">
        <v>212</v>
      </c>
      <c r="D215" s="7378"/>
      <c r="E215" s="7378"/>
      <c r="F215" s="7378"/>
      <c r="G215" s="3319"/>
      <c r="H215" s="7378" t="s">
        <v>213</v>
      </c>
      <c r="I215" s="7378"/>
      <c r="J215" s="7378"/>
      <c r="K215" s="3319"/>
      <c r="L215" s="7379" t="s">
        <v>551</v>
      </c>
    </row>
    <row r="216" spans="1:17" ht="15.75" customHeight="1">
      <c r="A216" s="7382" t="s">
        <v>68</v>
      </c>
      <c r="B216" s="3318"/>
      <c r="C216" s="7384" t="s">
        <v>2432</v>
      </c>
      <c r="D216" s="7384"/>
      <c r="E216" s="7384"/>
      <c r="F216" s="7385" t="s">
        <v>2434</v>
      </c>
      <c r="G216" s="3319"/>
      <c r="H216" s="7377" t="s">
        <v>2433</v>
      </c>
      <c r="I216" s="7377"/>
      <c r="J216" s="7385" t="s">
        <v>2435</v>
      </c>
      <c r="K216" s="3319"/>
      <c r="L216" s="7380"/>
    </row>
    <row r="217" spans="1:17" ht="15.75" customHeight="1" thickBot="1">
      <c r="A217" s="7383"/>
      <c r="B217" s="3318"/>
      <c r="C217" s="2138" t="s">
        <v>216</v>
      </c>
      <c r="D217" s="2138" t="s">
        <v>217</v>
      </c>
      <c r="E217" s="2138" t="s">
        <v>218</v>
      </c>
      <c r="F217" s="7386"/>
      <c r="G217" s="3319"/>
      <c r="H217" s="2138" t="s">
        <v>214</v>
      </c>
      <c r="I217" s="2138" t="s">
        <v>215</v>
      </c>
      <c r="J217" s="7386"/>
      <c r="K217" s="3319"/>
      <c r="L217" s="7381"/>
    </row>
    <row r="218" spans="1:17" ht="15.75" customHeight="1">
      <c r="A218" s="3294"/>
      <c r="B218" s="3318"/>
      <c r="C218" s="3294"/>
      <c r="D218" s="3294"/>
      <c r="E218" s="3294"/>
      <c r="F218" s="3294"/>
      <c r="G218" s="3319"/>
      <c r="H218" s="3294"/>
      <c r="I218" s="3294"/>
      <c r="J218" s="3294"/>
      <c r="K218" s="3319"/>
      <c r="L218" s="3294"/>
    </row>
    <row r="219" spans="1:17" ht="15.75" customHeight="1">
      <c r="A219" s="3320" t="s">
        <v>70</v>
      </c>
      <c r="B219" s="3318"/>
      <c r="C219" s="3321">
        <f>870+140</f>
        <v>1010</v>
      </c>
      <c r="D219" s="3321">
        <v>340</v>
      </c>
      <c r="E219" s="3321">
        <v>80</v>
      </c>
      <c r="F219" s="3322">
        <f>SUM(C219:E219)</f>
        <v>1430</v>
      </c>
      <c r="G219" s="3319"/>
      <c r="H219" s="3321">
        <v>1143</v>
      </c>
      <c r="I219" s="3321">
        <v>186</v>
      </c>
      <c r="J219" s="3322">
        <f>SUM(H219:I219)</f>
        <v>1329</v>
      </c>
      <c r="K219" s="3319"/>
      <c r="L219" s="3331">
        <f>+F219/J219</f>
        <v>1.0759969902182092</v>
      </c>
    </row>
    <row r="220" spans="1:17" ht="15.75" customHeight="1">
      <c r="A220" s="3294"/>
      <c r="B220" s="3318"/>
      <c r="C220" s="3323"/>
      <c r="D220" s="3323"/>
      <c r="E220" s="3323"/>
      <c r="F220" s="3323"/>
      <c r="G220" s="3319"/>
      <c r="H220" s="3323"/>
      <c r="I220" s="3323"/>
      <c r="J220" s="3323"/>
      <c r="K220" s="3319"/>
      <c r="L220" s="3332"/>
    </row>
    <row r="221" spans="1:17" ht="15.75" customHeight="1">
      <c r="A221" s="3320" t="s">
        <v>72</v>
      </c>
      <c r="B221" s="3318"/>
      <c r="C221" s="3321">
        <f>148+30</f>
        <v>178</v>
      </c>
      <c r="D221" s="3321">
        <v>14</v>
      </c>
      <c r="E221" s="3321">
        <v>15</v>
      </c>
      <c r="F221" s="3322">
        <f>SUM(C221:E221)</f>
        <v>207</v>
      </c>
      <c r="G221" s="3319"/>
      <c r="H221" s="3321">
        <v>118</v>
      </c>
      <c r="I221" s="3321">
        <v>98</v>
      </c>
      <c r="J221" s="3322">
        <f>SUM(H221:I221)</f>
        <v>216</v>
      </c>
      <c r="K221" s="3319"/>
      <c r="L221" s="3331">
        <f>+F221/J221</f>
        <v>0.95833333333333337</v>
      </c>
      <c r="Q221" s="117"/>
    </row>
    <row r="222" spans="1:17" ht="15.75" customHeight="1">
      <c r="A222" s="3294"/>
      <c r="B222" s="3318"/>
      <c r="C222" s="3323"/>
      <c r="D222" s="3323"/>
      <c r="E222" s="3323"/>
      <c r="F222" s="3323"/>
      <c r="G222" s="3319"/>
      <c r="H222" s="3323"/>
      <c r="I222" s="3323"/>
      <c r="J222" s="3323"/>
      <c r="K222" s="3319"/>
      <c r="L222" s="3332"/>
    </row>
    <row r="223" spans="1:17" ht="15.75" customHeight="1">
      <c r="A223" s="3320" t="s">
        <v>73</v>
      </c>
      <c r="B223" s="3318"/>
      <c r="C223" s="3321">
        <f>758 +165</f>
        <v>923</v>
      </c>
      <c r="D223" s="3321">
        <v>188</v>
      </c>
      <c r="E223" s="3321">
        <v>181</v>
      </c>
      <c r="F223" s="3322">
        <f>SUM(C223:E223)</f>
        <v>1292</v>
      </c>
      <c r="G223" s="3319"/>
      <c r="H223" s="3321">
        <v>985</v>
      </c>
      <c r="I223" s="3321">
        <v>213</v>
      </c>
      <c r="J223" s="3322">
        <f>SUM(H223:I223)</f>
        <v>1198</v>
      </c>
      <c r="K223" s="3319"/>
      <c r="L223" s="3331">
        <f>+F223/J223</f>
        <v>1.0784641068447411</v>
      </c>
    </row>
    <row r="224" spans="1:17" ht="15.75" customHeight="1">
      <c r="A224" s="3294"/>
      <c r="B224" s="3318"/>
      <c r="C224" s="3323"/>
      <c r="D224" s="3323"/>
      <c r="E224" s="3323"/>
      <c r="F224" s="3323"/>
      <c r="G224" s="3319"/>
      <c r="H224" s="3323"/>
      <c r="I224" s="3323"/>
      <c r="J224" s="3323"/>
      <c r="K224" s="3319"/>
      <c r="L224" s="3332"/>
    </row>
    <row r="225" spans="1:14" ht="15.75" customHeight="1">
      <c r="A225" s="3320" t="s">
        <v>82</v>
      </c>
      <c r="B225" s="3318"/>
      <c r="C225" s="3321">
        <f>43+20</f>
        <v>63</v>
      </c>
      <c r="D225" s="3321"/>
      <c r="E225" s="3321"/>
      <c r="F225" s="3322">
        <f>SUM(C225:E225)</f>
        <v>63</v>
      </c>
      <c r="G225" s="3319"/>
      <c r="H225" s="3321">
        <v>5</v>
      </c>
      <c r="I225" s="3321">
        <v>51</v>
      </c>
      <c r="J225" s="3322">
        <f>SUM(H225:I225)</f>
        <v>56</v>
      </c>
      <c r="K225" s="3319"/>
      <c r="L225" s="3331">
        <f>+F225/J225</f>
        <v>1.125</v>
      </c>
    </row>
    <row r="226" spans="1:14" ht="15.75" customHeight="1">
      <c r="A226" s="3294"/>
      <c r="B226" s="3318"/>
      <c r="C226" s="3323"/>
      <c r="D226" s="3323"/>
      <c r="E226" s="3323"/>
      <c r="F226" s="3323"/>
      <c r="G226" s="3319"/>
      <c r="H226" s="3323"/>
      <c r="I226" s="3323"/>
      <c r="J226" s="3323"/>
      <c r="K226" s="3319"/>
      <c r="L226" s="3332"/>
    </row>
    <row r="227" spans="1:14" ht="15.75" customHeight="1">
      <c r="A227" s="3320" t="s">
        <v>74</v>
      </c>
      <c r="B227" s="3318"/>
      <c r="C227" s="3321">
        <f>825+137</f>
        <v>962</v>
      </c>
      <c r="D227" s="3321">
        <v>235</v>
      </c>
      <c r="E227" s="3321">
        <v>194</v>
      </c>
      <c r="F227" s="3322">
        <f>SUM(C227:E227)</f>
        <v>1391</v>
      </c>
      <c r="G227" s="3319"/>
      <c r="H227" s="3321">
        <v>1117</v>
      </c>
      <c r="I227" s="3321">
        <v>229</v>
      </c>
      <c r="J227" s="3322">
        <f>SUM(H227:I227)</f>
        <v>1346</v>
      </c>
      <c r="K227" s="3319"/>
      <c r="L227" s="3331">
        <f>+F227/J227</f>
        <v>1.0334323922734028</v>
      </c>
    </row>
    <row r="228" spans="1:14" ht="15.75" customHeight="1">
      <c r="A228" s="3294"/>
      <c r="B228" s="3318"/>
      <c r="C228" s="3323"/>
      <c r="D228" s="3323"/>
      <c r="E228" s="3323"/>
      <c r="F228" s="3323"/>
      <c r="G228" s="3319"/>
      <c r="H228" s="3323"/>
      <c r="I228" s="3323"/>
      <c r="J228" s="3323"/>
      <c r="K228" s="3319"/>
      <c r="L228" s="3332"/>
    </row>
    <row r="229" spans="1:14" ht="15.75" customHeight="1">
      <c r="A229" s="3320" t="s">
        <v>188</v>
      </c>
      <c r="B229" s="3318"/>
      <c r="C229" s="3321">
        <v>5</v>
      </c>
      <c r="D229" s="3321"/>
      <c r="E229" s="3321"/>
      <c r="F229" s="3322">
        <f>SUM(C229:E229)</f>
        <v>5</v>
      </c>
      <c r="G229" s="3319"/>
      <c r="H229" s="3321">
        <v>676</v>
      </c>
      <c r="I229" s="3321">
        <v>535</v>
      </c>
      <c r="J229" s="3322">
        <f>SUM(H229:I229)</f>
        <v>1211</v>
      </c>
      <c r="K229" s="3319"/>
      <c r="L229" s="3331">
        <f>+F229/J229</f>
        <v>4.1288191577208916E-3</v>
      </c>
    </row>
    <row r="230" spans="1:14" ht="15.75" customHeight="1">
      <c r="A230" s="3294"/>
      <c r="B230" s="3318"/>
      <c r="C230" s="3323"/>
      <c r="D230" s="3323"/>
      <c r="E230" s="3323"/>
      <c r="F230" s="3323"/>
      <c r="G230" s="3319"/>
      <c r="H230" s="3323"/>
      <c r="I230" s="3323"/>
      <c r="J230" s="3323"/>
      <c r="K230" s="3319"/>
      <c r="L230" s="3332"/>
    </row>
    <row r="231" spans="1:14" ht="15.75" customHeight="1" thickBot="1">
      <c r="A231" s="3324" t="s">
        <v>67</v>
      </c>
      <c r="B231" s="3318"/>
      <c r="C231" s="3325">
        <f>SUM(C219,C221,C223,C225,C227,C229)</f>
        <v>3141</v>
      </c>
      <c r="D231" s="3325">
        <f>SUM(D219,D221,D223,D225,D227,D229)</f>
        <v>777</v>
      </c>
      <c r="E231" s="3325">
        <f>SUM(E219,E221,E223,E225,E227,E229)</f>
        <v>470</v>
      </c>
      <c r="F231" s="3325">
        <f>SUM(F219,F221,F223,F225,F227,F229)</f>
        <v>4388</v>
      </c>
      <c r="G231" s="3319"/>
      <c r="H231" s="3325">
        <f>SUM(H219,H221,H223,H225,H227,H229)</f>
        <v>4044</v>
      </c>
      <c r="I231" s="3325">
        <f>SUM(I219,I221,I223,I225,I227,I229)</f>
        <v>1312</v>
      </c>
      <c r="J231" s="3325">
        <f>SUM(H231:I231)</f>
        <v>5356</v>
      </c>
      <c r="K231" s="3319"/>
      <c r="L231" s="3333">
        <f>+F231/J231</f>
        <v>0.81926811053024651</v>
      </c>
      <c r="N231" s="166"/>
    </row>
    <row r="232" spans="1:14" ht="15.75" customHeight="1">
      <c r="A232" s="4" t="s">
        <v>552</v>
      </c>
      <c r="B232" s="4"/>
      <c r="C232" s="4"/>
      <c r="D232" s="4"/>
      <c r="E232" s="4"/>
      <c r="F232" s="4"/>
      <c r="G232" s="4"/>
      <c r="H232" s="4"/>
      <c r="I232" s="4"/>
      <c r="J232" s="4"/>
      <c r="K232" s="4"/>
      <c r="L232" s="4"/>
    </row>
    <row r="233" spans="1:14" ht="15.75" customHeight="1">
      <c r="A233" s="44" t="s">
        <v>219</v>
      </c>
      <c r="B233" s="38"/>
      <c r="C233" s="38"/>
      <c r="D233" s="38"/>
      <c r="E233" s="38"/>
      <c r="F233" s="38"/>
      <c r="G233" s="38"/>
      <c r="H233" s="38"/>
      <c r="I233" s="38"/>
      <c r="J233" s="38"/>
      <c r="K233" s="38"/>
      <c r="L233" s="38"/>
    </row>
    <row r="234" spans="1:14" ht="15.75" customHeight="1">
      <c r="A234" s="80"/>
      <c r="B234" s="80"/>
      <c r="C234" s="80"/>
      <c r="D234" s="80"/>
      <c r="E234" s="80"/>
      <c r="F234" s="80"/>
      <c r="G234" s="80"/>
      <c r="H234" s="80"/>
      <c r="I234" s="80"/>
      <c r="J234" s="80"/>
      <c r="K234" s="80"/>
      <c r="L234" s="80"/>
    </row>
    <row r="235" spans="1:14" ht="15.75" customHeight="1">
      <c r="F235" s="163">
        <v>2012</v>
      </c>
    </row>
    <row r="236" spans="1:14" ht="15.75" customHeight="1">
      <c r="A236" s="2026"/>
      <c r="B236" s="3318"/>
      <c r="C236" s="7378" t="s">
        <v>212</v>
      </c>
      <c r="D236" s="7378"/>
      <c r="E236" s="7378"/>
      <c r="F236" s="7378"/>
      <c r="G236" s="3319"/>
      <c r="H236" s="7378" t="s">
        <v>213</v>
      </c>
      <c r="I236" s="7378"/>
      <c r="J236" s="7378"/>
      <c r="K236" s="3319"/>
      <c r="L236" s="7379" t="s">
        <v>551</v>
      </c>
    </row>
    <row r="237" spans="1:14" ht="15.75" customHeight="1">
      <c r="A237" s="7382" t="s">
        <v>68</v>
      </c>
      <c r="B237" s="3318"/>
      <c r="C237" s="7384" t="s">
        <v>2432</v>
      </c>
      <c r="D237" s="7384"/>
      <c r="E237" s="7384"/>
      <c r="F237" s="7385" t="s">
        <v>2434</v>
      </c>
      <c r="G237" s="3319"/>
      <c r="H237" s="7377" t="s">
        <v>2433</v>
      </c>
      <c r="I237" s="7377"/>
      <c r="J237" s="7385" t="s">
        <v>2435</v>
      </c>
      <c r="K237" s="3319"/>
      <c r="L237" s="7380"/>
    </row>
    <row r="238" spans="1:14" ht="15.75" customHeight="1" thickBot="1">
      <c r="A238" s="7383"/>
      <c r="B238" s="3318"/>
      <c r="C238" s="2138" t="s">
        <v>216</v>
      </c>
      <c r="D238" s="2138" t="s">
        <v>217</v>
      </c>
      <c r="E238" s="2138" t="s">
        <v>218</v>
      </c>
      <c r="F238" s="7386"/>
      <c r="G238" s="3319"/>
      <c r="H238" s="2138" t="s">
        <v>214</v>
      </c>
      <c r="I238" s="2138" t="s">
        <v>215</v>
      </c>
      <c r="J238" s="7386"/>
      <c r="K238" s="3319"/>
      <c r="L238" s="7381"/>
    </row>
    <row r="239" spans="1:14" ht="15.75" customHeight="1">
      <c r="A239" s="3294"/>
      <c r="B239" s="3318"/>
      <c r="C239" s="3294"/>
      <c r="D239" s="3294"/>
      <c r="E239" s="3294"/>
      <c r="F239" s="3294"/>
      <c r="G239" s="3319"/>
      <c r="H239" s="3294"/>
      <c r="I239" s="3294"/>
      <c r="J239" s="3294"/>
      <c r="K239" s="3319"/>
      <c r="L239" s="3294"/>
    </row>
    <row r="240" spans="1:14" ht="15.75" customHeight="1">
      <c r="A240" s="3320" t="s">
        <v>70</v>
      </c>
      <c r="B240" s="3318"/>
      <c r="C240" s="3321">
        <v>984</v>
      </c>
      <c r="D240" s="3321">
        <v>381</v>
      </c>
      <c r="E240" s="3321">
        <v>115</v>
      </c>
      <c r="F240" s="3322">
        <f>SUM(C240:E240)</f>
        <v>1480</v>
      </c>
      <c r="G240" s="3319"/>
      <c r="H240" s="3321">
        <v>1152</v>
      </c>
      <c r="I240" s="3321">
        <v>182</v>
      </c>
      <c r="J240" s="3322">
        <f>SUM(H240:I240)</f>
        <v>1334</v>
      </c>
      <c r="K240" s="3319"/>
      <c r="L240" s="3331">
        <f>+F240/J240</f>
        <v>1.1094452773613193</v>
      </c>
    </row>
    <row r="241" spans="1:14" ht="15.75" customHeight="1">
      <c r="A241" s="3294"/>
      <c r="B241" s="3318"/>
      <c r="C241" s="3323"/>
      <c r="D241" s="3323"/>
      <c r="E241" s="3323"/>
      <c r="F241" s="3323"/>
      <c r="G241" s="3319"/>
      <c r="H241" s="3323"/>
      <c r="I241" s="3323"/>
      <c r="J241" s="3323"/>
      <c r="K241" s="3319"/>
      <c r="L241" s="3332"/>
    </row>
    <row r="242" spans="1:14" ht="15.75" customHeight="1">
      <c r="A242" s="3320" t="s">
        <v>72</v>
      </c>
      <c r="B242" s="3318"/>
      <c r="C242" s="3321">
        <v>184</v>
      </c>
      <c r="D242" s="3321">
        <v>20</v>
      </c>
      <c r="E242" s="3321">
        <v>10</v>
      </c>
      <c r="F242" s="3322">
        <f>SUM(C242:E242)</f>
        <v>214</v>
      </c>
      <c r="G242" s="3319"/>
      <c r="H242" s="3321">
        <v>123</v>
      </c>
      <c r="I242" s="3321">
        <v>95</v>
      </c>
      <c r="J242" s="3322">
        <f>SUM(H242:I242)</f>
        <v>218</v>
      </c>
      <c r="K242" s="3319"/>
      <c r="L242" s="3331">
        <f>+F242/J242</f>
        <v>0.98165137614678899</v>
      </c>
    </row>
    <row r="243" spans="1:14" ht="15.75" customHeight="1">
      <c r="A243" s="3294"/>
      <c r="B243" s="3318"/>
      <c r="C243" s="3323"/>
      <c r="D243" s="3323"/>
      <c r="E243" s="3323"/>
      <c r="F243" s="3323"/>
      <c r="G243" s="3319"/>
      <c r="H243" s="3323"/>
      <c r="I243" s="3323"/>
      <c r="J243" s="3323"/>
      <c r="K243" s="3319"/>
      <c r="L243" s="3332"/>
    </row>
    <row r="244" spans="1:14" ht="15.75" customHeight="1">
      <c r="A244" s="3320" t="s">
        <v>73</v>
      </c>
      <c r="B244" s="3318"/>
      <c r="C244" s="3321">
        <v>901</v>
      </c>
      <c r="D244" s="3321">
        <v>189</v>
      </c>
      <c r="E244" s="3321">
        <v>200</v>
      </c>
      <c r="F244" s="3322">
        <f>SUM(C244:E244)</f>
        <v>1290</v>
      </c>
      <c r="G244" s="3319"/>
      <c r="H244" s="3321">
        <v>996</v>
      </c>
      <c r="I244" s="3321">
        <v>203</v>
      </c>
      <c r="J244" s="3322">
        <f>SUM(H244:I244)</f>
        <v>1199</v>
      </c>
      <c r="K244" s="3319"/>
      <c r="L244" s="3331">
        <f>+F244/J244</f>
        <v>1.0758965804837364</v>
      </c>
    </row>
    <row r="245" spans="1:14" ht="15.75" customHeight="1">
      <c r="A245" s="3294"/>
      <c r="B245" s="3318"/>
      <c r="C245" s="3323"/>
      <c r="D245" s="3323"/>
      <c r="E245" s="3323"/>
      <c r="F245" s="3323"/>
      <c r="G245" s="3319"/>
      <c r="H245" s="3323"/>
      <c r="I245" s="3323"/>
      <c r="J245" s="3323"/>
      <c r="K245" s="3319"/>
      <c r="L245" s="3332"/>
    </row>
    <row r="246" spans="1:14" ht="15.75" customHeight="1">
      <c r="A246" s="3320" t="s">
        <v>82</v>
      </c>
      <c r="B246" s="3318"/>
      <c r="C246" s="3321">
        <v>46</v>
      </c>
      <c r="D246" s="3321"/>
      <c r="E246" s="3321"/>
      <c r="F246" s="3322">
        <f>SUM(C246:E246)</f>
        <v>46</v>
      </c>
      <c r="G246" s="3319"/>
      <c r="H246" s="3321">
        <v>3</v>
      </c>
      <c r="I246" s="3321">
        <v>47</v>
      </c>
      <c r="J246" s="3322">
        <f>SUM(H246:I246)</f>
        <v>50</v>
      </c>
      <c r="K246" s="3319"/>
      <c r="L246" s="3331">
        <f>+F246/J246</f>
        <v>0.92</v>
      </c>
    </row>
    <row r="247" spans="1:14" ht="15.75" customHeight="1">
      <c r="A247" s="3294"/>
      <c r="B247" s="3318"/>
      <c r="C247" s="3323"/>
      <c r="D247" s="3323"/>
      <c r="E247" s="3323"/>
      <c r="F247" s="3323"/>
      <c r="G247" s="3319"/>
      <c r="H247" s="3323"/>
      <c r="I247" s="3323"/>
      <c r="J247" s="3323"/>
      <c r="K247" s="3319"/>
      <c r="L247" s="3332"/>
    </row>
    <row r="248" spans="1:14" ht="15.75" customHeight="1">
      <c r="A248" s="3320" t="s">
        <v>74</v>
      </c>
      <c r="B248" s="3318"/>
      <c r="C248" s="3321">
        <v>959</v>
      </c>
      <c r="D248" s="3321">
        <v>223</v>
      </c>
      <c r="E248" s="3321">
        <v>196</v>
      </c>
      <c r="F248" s="3322">
        <f>SUM(C248:E248)</f>
        <v>1378</v>
      </c>
      <c r="G248" s="3319"/>
      <c r="H248" s="3321">
        <v>1135</v>
      </c>
      <c r="I248" s="3321">
        <v>228</v>
      </c>
      <c r="J248" s="3322">
        <f>SUM(H248:I248)</f>
        <v>1363</v>
      </c>
      <c r="K248" s="3319"/>
      <c r="L248" s="3331">
        <f>+F248/J248</f>
        <v>1.0110051357300074</v>
      </c>
    </row>
    <row r="249" spans="1:14" ht="15.75" customHeight="1">
      <c r="A249" s="3294"/>
      <c r="B249" s="3318"/>
      <c r="C249" s="3323"/>
      <c r="D249" s="3323"/>
      <c r="E249" s="3323"/>
      <c r="F249" s="3323"/>
      <c r="G249" s="3319"/>
      <c r="H249" s="3323"/>
      <c r="I249" s="3323"/>
      <c r="J249" s="3323"/>
      <c r="K249" s="3319"/>
      <c r="L249" s="3332"/>
    </row>
    <row r="250" spans="1:14" ht="15.75" customHeight="1">
      <c r="A250" s="3320" t="s">
        <v>188</v>
      </c>
      <c r="B250" s="3318"/>
      <c r="C250" s="3321">
        <v>4</v>
      </c>
      <c r="D250" s="3321"/>
      <c r="E250" s="3321"/>
      <c r="F250" s="3322">
        <f>SUM(C250:E250)</f>
        <v>4</v>
      </c>
      <c r="G250" s="3319"/>
      <c r="H250" s="3321">
        <v>689</v>
      </c>
      <c r="I250" s="3321">
        <v>530</v>
      </c>
      <c r="J250" s="3322">
        <f>SUM(H250:I250)</f>
        <v>1219</v>
      </c>
      <c r="K250" s="3319"/>
      <c r="L250" s="3331">
        <f>+F250/J250</f>
        <v>3.2813781788351109E-3</v>
      </c>
    </row>
    <row r="251" spans="1:14" ht="15.75" customHeight="1">
      <c r="A251" s="3294"/>
      <c r="B251" s="3318"/>
      <c r="C251" s="3323"/>
      <c r="D251" s="3323"/>
      <c r="E251" s="3323"/>
      <c r="F251" s="3323"/>
      <c r="G251" s="3319"/>
      <c r="H251" s="3323"/>
      <c r="I251" s="3323"/>
      <c r="J251" s="3323"/>
      <c r="K251" s="3319"/>
      <c r="L251" s="3332"/>
    </row>
    <row r="252" spans="1:14" ht="15.75" customHeight="1" thickBot="1">
      <c r="A252" s="3324" t="s">
        <v>67</v>
      </c>
      <c r="B252" s="3318"/>
      <c r="C252" s="3325">
        <f>SUM(C240,C242,C244,C246,C248,C250)</f>
        <v>3078</v>
      </c>
      <c r="D252" s="3325">
        <f>SUM(D240,D242,D244,D246,D248,D250)</f>
        <v>813</v>
      </c>
      <c r="E252" s="3325">
        <f>SUM(E240,E242,E244,E246,E248,E250)</f>
        <v>521</v>
      </c>
      <c r="F252" s="3325">
        <f>SUM(C252:E252)</f>
        <v>4412</v>
      </c>
      <c r="G252" s="3319"/>
      <c r="H252" s="3325">
        <f>SUM(H240,H242,H244,H246,H248,H250)</f>
        <v>4098</v>
      </c>
      <c r="I252" s="3325">
        <f>SUM(I240,I242,I244,I246,I248,I250)</f>
        <v>1285</v>
      </c>
      <c r="J252" s="3325">
        <f>SUM(H252:I252)</f>
        <v>5383</v>
      </c>
      <c r="K252" s="3319"/>
      <c r="L252" s="3333">
        <f>+F252/J252</f>
        <v>0.81961731376555824</v>
      </c>
      <c r="N252" s="117"/>
    </row>
    <row r="253" spans="1:14" ht="15.75" customHeight="1">
      <c r="A253" s="4" t="s">
        <v>455</v>
      </c>
      <c r="B253" s="4"/>
      <c r="C253" s="4"/>
      <c r="D253" s="4"/>
      <c r="E253" s="4"/>
      <c r="F253" s="4"/>
      <c r="G253" s="4"/>
      <c r="H253" s="4"/>
      <c r="I253" s="4"/>
      <c r="J253" s="4"/>
      <c r="K253" s="4"/>
      <c r="L253" s="4"/>
    </row>
    <row r="254" spans="1:14" ht="15.75" customHeight="1">
      <c r="A254" s="44" t="s">
        <v>219</v>
      </c>
      <c r="B254" s="38"/>
      <c r="C254" s="38"/>
      <c r="D254" s="38"/>
      <c r="E254" s="38"/>
      <c r="F254" s="38"/>
      <c r="G254" s="38"/>
      <c r="H254" s="38"/>
      <c r="I254" s="38"/>
      <c r="J254" s="38"/>
      <c r="K254" s="38"/>
      <c r="L254" s="38"/>
    </row>
    <row r="255" spans="1:14" ht="15.75" customHeight="1"/>
    <row r="256" spans="1:14" ht="15.75" customHeight="1">
      <c r="F256" s="163">
        <v>2011</v>
      </c>
    </row>
    <row r="257" spans="1:13" ht="15.75" customHeight="1">
      <c r="A257" s="2026"/>
      <c r="B257" s="3318"/>
      <c r="C257" s="7378" t="s">
        <v>212</v>
      </c>
      <c r="D257" s="7378"/>
      <c r="E257" s="7378"/>
      <c r="F257" s="7378"/>
      <c r="G257" s="3319"/>
      <c r="H257" s="7378" t="s">
        <v>213</v>
      </c>
      <c r="I257" s="7378"/>
      <c r="J257" s="7378"/>
      <c r="K257" s="3319"/>
      <c r="L257" s="7379" t="s">
        <v>551</v>
      </c>
    </row>
    <row r="258" spans="1:13" ht="15.75" customHeight="1">
      <c r="A258" s="7382" t="s">
        <v>68</v>
      </c>
      <c r="B258" s="3318"/>
      <c r="C258" s="7384" t="s">
        <v>2432</v>
      </c>
      <c r="D258" s="7384"/>
      <c r="E258" s="7384"/>
      <c r="F258" s="7385" t="s">
        <v>2434</v>
      </c>
      <c r="G258" s="3319"/>
      <c r="H258" s="7377" t="s">
        <v>2433</v>
      </c>
      <c r="I258" s="7377"/>
      <c r="J258" s="7385" t="s">
        <v>2435</v>
      </c>
      <c r="K258" s="3319"/>
      <c r="L258" s="7380"/>
      <c r="M258" s="66"/>
    </row>
    <row r="259" spans="1:13" ht="15.75" customHeight="1" thickBot="1">
      <c r="A259" s="7383"/>
      <c r="B259" s="3318"/>
      <c r="C259" s="2138" t="s">
        <v>216</v>
      </c>
      <c r="D259" s="2138" t="s">
        <v>217</v>
      </c>
      <c r="E259" s="2138" t="s">
        <v>218</v>
      </c>
      <c r="F259" s="7386"/>
      <c r="G259" s="3319"/>
      <c r="H259" s="2138" t="s">
        <v>214</v>
      </c>
      <c r="I259" s="2138" t="s">
        <v>215</v>
      </c>
      <c r="J259" s="7386"/>
      <c r="K259" s="3319"/>
      <c r="L259" s="7381"/>
    </row>
    <row r="260" spans="1:13" ht="15.75" customHeight="1">
      <c r="A260" s="3294"/>
      <c r="B260" s="3318"/>
      <c r="C260" s="3294"/>
      <c r="D260" s="3294"/>
      <c r="E260" s="3294"/>
      <c r="F260" s="3294"/>
      <c r="G260" s="3319"/>
      <c r="H260" s="3294"/>
      <c r="I260" s="3294"/>
      <c r="J260" s="3294"/>
      <c r="K260" s="3319"/>
      <c r="L260" s="3294"/>
    </row>
    <row r="261" spans="1:13" ht="15.75" customHeight="1">
      <c r="A261" s="3320" t="s">
        <v>70</v>
      </c>
      <c r="B261" s="3318"/>
      <c r="C261" s="3321">
        <v>942</v>
      </c>
      <c r="D261" s="3321">
        <v>375</v>
      </c>
      <c r="E261" s="3321">
        <v>153</v>
      </c>
      <c r="F261" s="3322">
        <f>SUM(C261:E261)</f>
        <v>1470</v>
      </c>
      <c r="G261" s="3319"/>
      <c r="H261" s="3321">
        <v>1156</v>
      </c>
      <c r="I261" s="3321">
        <v>184</v>
      </c>
      <c r="J261" s="3322">
        <f>SUM(H261:I261)</f>
        <v>1340</v>
      </c>
      <c r="K261" s="3319"/>
      <c r="L261" s="3331">
        <f>+F261/J261</f>
        <v>1.0970149253731343</v>
      </c>
    </row>
    <row r="262" spans="1:13" ht="15.75" customHeight="1">
      <c r="A262" s="3294"/>
      <c r="B262" s="3318"/>
      <c r="C262" s="3323"/>
      <c r="D262" s="3323"/>
      <c r="E262" s="3323"/>
      <c r="F262" s="3323"/>
      <c r="G262" s="3319"/>
      <c r="H262" s="3323"/>
      <c r="I262" s="3323"/>
      <c r="J262" s="3323"/>
      <c r="K262" s="3319"/>
      <c r="L262" s="3332"/>
    </row>
    <row r="263" spans="1:13" ht="15.75" customHeight="1">
      <c r="A263" s="3320" t="s">
        <v>72</v>
      </c>
      <c r="B263" s="3318"/>
      <c r="C263" s="3321">
        <v>177</v>
      </c>
      <c r="D263" s="3321">
        <v>19</v>
      </c>
      <c r="E263" s="3321">
        <v>9</v>
      </c>
      <c r="F263" s="3322">
        <f>SUM(C263:E263)</f>
        <v>205</v>
      </c>
      <c r="G263" s="3319"/>
      <c r="H263" s="3321">
        <v>101</v>
      </c>
      <c r="I263" s="3321">
        <v>87</v>
      </c>
      <c r="J263" s="3322">
        <f>SUM(H263:I263)</f>
        <v>188</v>
      </c>
      <c r="K263" s="3319"/>
      <c r="L263" s="3331">
        <f>+F263/J263</f>
        <v>1.0904255319148937</v>
      </c>
    </row>
    <row r="264" spans="1:13" ht="15.75" customHeight="1">
      <c r="A264" s="3294"/>
      <c r="B264" s="3318"/>
      <c r="C264" s="3323"/>
      <c r="D264" s="3323"/>
      <c r="E264" s="3323"/>
      <c r="F264" s="3323"/>
      <c r="G264" s="3319"/>
      <c r="H264" s="3323"/>
      <c r="I264" s="3323"/>
      <c r="J264" s="3323"/>
      <c r="K264" s="3319"/>
      <c r="L264" s="3332"/>
    </row>
    <row r="265" spans="1:13" ht="15.75" customHeight="1">
      <c r="A265" s="3320" t="s">
        <v>73</v>
      </c>
      <c r="B265" s="3318"/>
      <c r="C265" s="3321">
        <v>881</v>
      </c>
      <c r="D265" s="3321">
        <v>184</v>
      </c>
      <c r="E265" s="3321">
        <v>220</v>
      </c>
      <c r="F265" s="3322">
        <f>SUM(C265:E265)</f>
        <v>1285</v>
      </c>
      <c r="G265" s="3319"/>
      <c r="H265" s="3321">
        <v>1000</v>
      </c>
      <c r="I265" s="3321">
        <v>200</v>
      </c>
      <c r="J265" s="3322">
        <f>SUM(H265:I265)</f>
        <v>1200</v>
      </c>
      <c r="K265" s="3319"/>
      <c r="L265" s="3331">
        <f>+F265/J265</f>
        <v>1.0708333333333333</v>
      </c>
    </row>
    <row r="266" spans="1:13" ht="15.75" customHeight="1">
      <c r="A266" s="3294"/>
      <c r="B266" s="3318"/>
      <c r="C266" s="3323"/>
      <c r="D266" s="3323"/>
      <c r="E266" s="3323"/>
      <c r="F266" s="3323"/>
      <c r="G266" s="3319"/>
      <c r="H266" s="3323"/>
      <c r="I266" s="3323"/>
      <c r="J266" s="3323"/>
      <c r="K266" s="3319"/>
      <c r="L266" s="3332"/>
    </row>
    <row r="267" spans="1:13" ht="15.75" customHeight="1">
      <c r="A267" s="3320" t="s">
        <v>82</v>
      </c>
      <c r="B267" s="3318"/>
      <c r="C267" s="3321">
        <v>27</v>
      </c>
      <c r="D267" s="3321">
        <v>0</v>
      </c>
      <c r="E267" s="3321">
        <v>0</v>
      </c>
      <c r="F267" s="3322">
        <f>SUM(C267:E267)</f>
        <v>27</v>
      </c>
      <c r="G267" s="3319"/>
      <c r="H267" s="3321">
        <v>0</v>
      </c>
      <c r="I267" s="3321">
        <v>41</v>
      </c>
      <c r="J267" s="3322">
        <f>SUM(H267:I267)</f>
        <v>41</v>
      </c>
      <c r="K267" s="3319"/>
      <c r="L267" s="3331">
        <f>+F267/J267</f>
        <v>0.65853658536585369</v>
      </c>
    </row>
    <row r="268" spans="1:13" ht="15.75" customHeight="1">
      <c r="A268" s="3294"/>
      <c r="B268" s="3318"/>
      <c r="C268" s="3323"/>
      <c r="D268" s="3323"/>
      <c r="E268" s="3323"/>
      <c r="F268" s="3323"/>
      <c r="G268" s="3319"/>
      <c r="H268" s="3323"/>
      <c r="I268" s="3323"/>
      <c r="J268" s="3323"/>
      <c r="K268" s="3319"/>
      <c r="L268" s="3332"/>
    </row>
    <row r="269" spans="1:13" ht="15.75" customHeight="1">
      <c r="A269" s="3320" t="s">
        <v>74</v>
      </c>
      <c r="B269" s="3318"/>
      <c r="C269" s="3321">
        <v>910</v>
      </c>
      <c r="D269" s="3321">
        <v>233</v>
      </c>
      <c r="E269" s="3321">
        <v>246</v>
      </c>
      <c r="F269" s="3322">
        <f>SUM(C269:E269)</f>
        <v>1389</v>
      </c>
      <c r="G269" s="3319"/>
      <c r="H269" s="3321">
        <v>1144</v>
      </c>
      <c r="I269" s="3321">
        <v>224</v>
      </c>
      <c r="J269" s="3322">
        <f>SUM(H269:I269)</f>
        <v>1368</v>
      </c>
      <c r="K269" s="3319"/>
      <c r="L269" s="3331">
        <f>+F269/J269</f>
        <v>1.0153508771929824</v>
      </c>
    </row>
    <row r="270" spans="1:13" ht="15.75" customHeight="1">
      <c r="A270" s="3294"/>
      <c r="B270" s="3318"/>
      <c r="C270" s="3323"/>
      <c r="D270" s="3323"/>
      <c r="E270" s="3323"/>
      <c r="F270" s="3323"/>
      <c r="G270" s="3319"/>
      <c r="H270" s="3323"/>
      <c r="I270" s="3323"/>
      <c r="J270" s="3323"/>
      <c r="K270" s="3319"/>
      <c r="L270" s="3332"/>
    </row>
    <row r="271" spans="1:13" ht="15.75" customHeight="1">
      <c r="A271" s="3320" t="s">
        <v>188</v>
      </c>
      <c r="B271" s="3318"/>
      <c r="C271" s="3321">
        <f>0+5</f>
        <v>5</v>
      </c>
      <c r="D271" s="3321">
        <v>0</v>
      </c>
      <c r="E271" s="3321">
        <v>0</v>
      </c>
      <c r="F271" s="3322">
        <f>SUM(C271:E271)</f>
        <v>5</v>
      </c>
      <c r="G271" s="3319"/>
      <c r="H271" s="3321">
        <v>683</v>
      </c>
      <c r="I271" s="3321">
        <v>512</v>
      </c>
      <c r="J271" s="3322">
        <f>SUM(H271:I271)</f>
        <v>1195</v>
      </c>
      <c r="K271" s="3319"/>
      <c r="L271" s="3331">
        <f>+F271/J271</f>
        <v>4.1841004184100415E-3</v>
      </c>
    </row>
    <row r="272" spans="1:13" ht="15.75" customHeight="1">
      <c r="A272" s="3294"/>
      <c r="B272" s="3318"/>
      <c r="C272" s="3323"/>
      <c r="D272" s="3323"/>
      <c r="E272" s="3323"/>
      <c r="F272" s="3323"/>
      <c r="G272" s="3319"/>
      <c r="H272" s="3323"/>
      <c r="I272" s="3323"/>
      <c r="J272" s="3323"/>
      <c r="K272" s="3319"/>
      <c r="L272" s="3332"/>
    </row>
    <row r="273" spans="1:12" ht="15.75" customHeight="1" thickBot="1">
      <c r="A273" s="3324" t="s">
        <v>67</v>
      </c>
      <c r="B273" s="3318"/>
      <c r="C273" s="3325">
        <f>SUM(C261,C263,C265,C267,C269,C271)</f>
        <v>2942</v>
      </c>
      <c r="D273" s="3325">
        <f>SUM(D261,D263,D265,D267,D269,D271)</f>
        <v>811</v>
      </c>
      <c r="E273" s="3325">
        <f>SUM(E261,E263,E265,E267,E269,E271)</f>
        <v>628</v>
      </c>
      <c r="F273" s="3325">
        <f>SUM(C273:E273)</f>
        <v>4381</v>
      </c>
      <c r="G273" s="3319"/>
      <c r="H273" s="3325">
        <f>SUM(H261,H263,H265,H267,H269,H271)</f>
        <v>4084</v>
      </c>
      <c r="I273" s="3325">
        <f>SUM(I261,I263,I265,I267,I269,I271)</f>
        <v>1248</v>
      </c>
      <c r="J273" s="3325">
        <f>SUM(H273:I273)</f>
        <v>5332</v>
      </c>
      <c r="K273" s="3319"/>
      <c r="L273" s="3333">
        <f>+F273/J273</f>
        <v>0.82164291072768192</v>
      </c>
    </row>
    <row r="274" spans="1:12" ht="15.75" customHeight="1">
      <c r="A274" s="4" t="s">
        <v>337</v>
      </c>
      <c r="B274" s="4"/>
      <c r="C274" s="4"/>
      <c r="D274" s="4"/>
      <c r="E274" s="4"/>
      <c r="F274" s="4"/>
      <c r="G274" s="4"/>
      <c r="H274" s="4"/>
      <c r="I274" s="4"/>
      <c r="J274" s="4"/>
      <c r="K274" s="4"/>
      <c r="L274" s="4"/>
    </row>
    <row r="275" spans="1:12" ht="15.75" customHeight="1">
      <c r="A275" s="44" t="s">
        <v>219</v>
      </c>
      <c r="B275" s="38"/>
      <c r="C275" s="38"/>
      <c r="D275" s="38"/>
      <c r="E275" s="38"/>
      <c r="F275" s="38"/>
      <c r="G275" s="38"/>
      <c r="H275" s="38"/>
      <c r="I275" s="38"/>
      <c r="J275" s="38"/>
      <c r="K275" s="38"/>
      <c r="L275" s="38"/>
    </row>
    <row r="276" spans="1:12" ht="15.75" customHeight="1">
      <c r="A276" s="44"/>
      <c r="B276" s="38"/>
      <c r="C276" s="38"/>
      <c r="D276" s="38"/>
      <c r="E276" s="38"/>
      <c r="F276" s="38"/>
      <c r="G276" s="38"/>
      <c r="H276" s="38"/>
      <c r="I276" s="38"/>
      <c r="J276" s="38"/>
      <c r="K276" s="38"/>
      <c r="L276" s="38"/>
    </row>
    <row r="277" spans="1:12" ht="15.75" customHeight="1">
      <c r="A277" s="44"/>
      <c r="B277" s="38"/>
      <c r="C277" s="38"/>
      <c r="D277" s="38"/>
      <c r="E277" s="38"/>
      <c r="F277" s="38"/>
      <c r="G277" s="38"/>
      <c r="H277" s="38"/>
      <c r="I277" s="38"/>
      <c r="J277" s="38"/>
      <c r="K277" s="38"/>
      <c r="L277" s="38"/>
    </row>
    <row r="278" spans="1:12" ht="15.75" customHeight="1">
      <c r="F278" s="163">
        <v>2010</v>
      </c>
    </row>
    <row r="279" spans="1:12" ht="15.75" customHeight="1">
      <c r="A279" s="2026"/>
      <c r="B279" s="3318"/>
      <c r="C279" s="7378" t="s">
        <v>212</v>
      </c>
      <c r="D279" s="7378"/>
      <c r="E279" s="7378"/>
      <c r="F279" s="7378"/>
      <c r="G279" s="3319"/>
      <c r="H279" s="7378" t="s">
        <v>213</v>
      </c>
      <c r="I279" s="7378"/>
      <c r="J279" s="7378"/>
      <c r="K279" s="3319"/>
      <c r="L279" s="7379" t="s">
        <v>551</v>
      </c>
    </row>
    <row r="280" spans="1:12" ht="15.75" customHeight="1">
      <c r="A280" s="7382" t="s">
        <v>68</v>
      </c>
      <c r="B280" s="3318"/>
      <c r="C280" s="7384" t="s">
        <v>2432</v>
      </c>
      <c r="D280" s="7384"/>
      <c r="E280" s="7384"/>
      <c r="F280" s="7385" t="s">
        <v>2434</v>
      </c>
      <c r="G280" s="3319"/>
      <c r="H280" s="7377" t="s">
        <v>2433</v>
      </c>
      <c r="I280" s="7377"/>
      <c r="J280" s="7385" t="s">
        <v>2435</v>
      </c>
      <c r="K280" s="3319"/>
      <c r="L280" s="7380"/>
    </row>
    <row r="281" spans="1:12" ht="15.75" customHeight="1" thickBot="1">
      <c r="A281" s="7383"/>
      <c r="B281" s="3318"/>
      <c r="C281" s="2138" t="s">
        <v>216</v>
      </c>
      <c r="D281" s="2138" t="s">
        <v>217</v>
      </c>
      <c r="E281" s="2138" t="s">
        <v>218</v>
      </c>
      <c r="F281" s="7386"/>
      <c r="G281" s="3319"/>
      <c r="H281" s="2138" t="s">
        <v>214</v>
      </c>
      <c r="I281" s="2138" t="s">
        <v>215</v>
      </c>
      <c r="J281" s="7386"/>
      <c r="K281" s="3319"/>
      <c r="L281" s="7381"/>
    </row>
    <row r="282" spans="1:12" ht="15.75" customHeight="1">
      <c r="A282" s="3294"/>
      <c r="B282" s="3318"/>
      <c r="C282" s="3294"/>
      <c r="D282" s="3294"/>
      <c r="E282" s="3294"/>
      <c r="F282" s="3294"/>
      <c r="G282" s="3319"/>
      <c r="H282" s="3294"/>
      <c r="I282" s="3294"/>
      <c r="J282" s="3294"/>
      <c r="K282" s="3319"/>
      <c r="L282" s="3294"/>
    </row>
    <row r="283" spans="1:12" ht="15.75" customHeight="1">
      <c r="A283" s="3320" t="s">
        <v>70</v>
      </c>
      <c r="B283" s="3318"/>
      <c r="C283" s="3321">
        <f>785+130</f>
        <v>915</v>
      </c>
      <c r="D283" s="3321">
        <v>378</v>
      </c>
      <c r="E283" s="3321">
        <v>173</v>
      </c>
      <c r="F283" s="3322">
        <f>SUM(C283:E283)</f>
        <v>1466</v>
      </c>
      <c r="G283" s="3319"/>
      <c r="H283" s="3321">
        <v>1123</v>
      </c>
      <c r="I283" s="3321">
        <v>186</v>
      </c>
      <c r="J283" s="3322">
        <f>SUM(H283:I283)</f>
        <v>1309</v>
      </c>
      <c r="K283" s="3319"/>
      <c r="L283" s="3331">
        <f>+F283/J283</f>
        <v>1.1199388846447671</v>
      </c>
    </row>
    <row r="284" spans="1:12" ht="15.75" customHeight="1">
      <c r="A284" s="3294"/>
      <c r="B284" s="3318"/>
      <c r="C284" s="3323"/>
      <c r="D284" s="3323"/>
      <c r="E284" s="3323"/>
      <c r="F284" s="3323"/>
      <c r="G284" s="3319"/>
      <c r="H284" s="3323"/>
      <c r="I284" s="3323"/>
      <c r="J284" s="3323"/>
      <c r="K284" s="3319"/>
      <c r="L284" s="3332"/>
    </row>
    <row r="285" spans="1:12" ht="15.75" customHeight="1">
      <c r="A285" s="3320" t="s">
        <v>72</v>
      </c>
      <c r="B285" s="3318"/>
      <c r="C285" s="3321">
        <f>130+27</f>
        <v>157</v>
      </c>
      <c r="D285" s="3321">
        <v>18</v>
      </c>
      <c r="E285" s="3321">
        <v>5</v>
      </c>
      <c r="F285" s="3322">
        <f>SUM(C285:E285)</f>
        <v>180</v>
      </c>
      <c r="G285" s="3319"/>
      <c r="H285" s="3321">
        <v>63</v>
      </c>
      <c r="I285" s="3321">
        <v>83</v>
      </c>
      <c r="J285" s="3322">
        <f>SUM(H285:I285)</f>
        <v>146</v>
      </c>
      <c r="K285" s="3319"/>
      <c r="L285" s="3331">
        <f>+F285/J285</f>
        <v>1.2328767123287672</v>
      </c>
    </row>
    <row r="286" spans="1:12" ht="15.75" customHeight="1">
      <c r="A286" s="3294"/>
      <c r="B286" s="3318"/>
      <c r="C286" s="3323"/>
      <c r="D286" s="3323"/>
      <c r="E286" s="3323"/>
      <c r="F286" s="3323"/>
      <c r="G286" s="3319"/>
      <c r="H286" s="3323"/>
      <c r="I286" s="3323"/>
      <c r="J286" s="3323"/>
      <c r="K286" s="3319"/>
      <c r="L286" s="3332"/>
    </row>
    <row r="287" spans="1:12" ht="15.75" customHeight="1">
      <c r="A287" s="3320" t="s">
        <v>73</v>
      </c>
      <c r="B287" s="3318"/>
      <c r="C287" s="3321">
        <f>718+156</f>
        <v>874</v>
      </c>
      <c r="D287" s="3321">
        <v>189</v>
      </c>
      <c r="E287" s="3321">
        <v>238</v>
      </c>
      <c r="F287" s="3322">
        <f>SUM(C287:E287)</f>
        <v>1301</v>
      </c>
      <c r="G287" s="3319"/>
      <c r="H287" s="3321">
        <v>984</v>
      </c>
      <c r="I287" s="3321">
        <v>203</v>
      </c>
      <c r="J287" s="3322">
        <f>SUM(H287:I287)</f>
        <v>1187</v>
      </c>
      <c r="K287" s="3319"/>
      <c r="L287" s="3331">
        <f>+F287/J287</f>
        <v>1.0960404380791913</v>
      </c>
    </row>
    <row r="288" spans="1:12" ht="15.75" customHeight="1">
      <c r="A288" s="3294"/>
      <c r="B288" s="3318"/>
      <c r="C288" s="3323"/>
      <c r="D288" s="3323"/>
      <c r="E288" s="3323"/>
      <c r="F288" s="3323"/>
      <c r="G288" s="3319"/>
      <c r="H288" s="3323"/>
      <c r="I288" s="3323"/>
      <c r="J288" s="3323"/>
      <c r="K288" s="3319"/>
      <c r="L288" s="3332"/>
    </row>
    <row r="289" spans="1:12" ht="15.75" customHeight="1">
      <c r="A289" s="3320" t="s">
        <v>82</v>
      </c>
      <c r="B289" s="3318"/>
      <c r="C289" s="3321">
        <f>0+10</f>
        <v>10</v>
      </c>
      <c r="D289" s="3321">
        <v>0</v>
      </c>
      <c r="E289" s="3321">
        <v>0</v>
      </c>
      <c r="F289" s="3322">
        <f>SUM(C289:E289)</f>
        <v>10</v>
      </c>
      <c r="G289" s="3319"/>
      <c r="H289" s="3321">
        <v>0</v>
      </c>
      <c r="I289" s="3321">
        <v>32</v>
      </c>
      <c r="J289" s="3322">
        <f>SUM(H289:I289)</f>
        <v>32</v>
      </c>
      <c r="K289" s="3319"/>
      <c r="L289" s="3331">
        <f>+F289/J289</f>
        <v>0.3125</v>
      </c>
    </row>
    <row r="290" spans="1:12" ht="15.75" customHeight="1">
      <c r="A290" s="3294"/>
      <c r="B290" s="3318"/>
      <c r="C290" s="3323"/>
      <c r="D290" s="3323"/>
      <c r="E290" s="3323"/>
      <c r="F290" s="3323"/>
      <c r="G290" s="3319"/>
      <c r="H290" s="3323"/>
      <c r="I290" s="3323"/>
      <c r="J290" s="3323"/>
      <c r="K290" s="3319"/>
      <c r="L290" s="3332"/>
    </row>
    <row r="291" spans="1:12" ht="15.75" customHeight="1">
      <c r="A291" s="3320" t="s">
        <v>74</v>
      </c>
      <c r="B291" s="3318"/>
      <c r="C291" s="3321">
        <f>767+131</f>
        <v>898</v>
      </c>
      <c r="D291" s="3321">
        <f>205+1</f>
        <v>206</v>
      </c>
      <c r="E291" s="3321">
        <v>245</v>
      </c>
      <c r="F291" s="3322">
        <f>SUM(C291:E291)</f>
        <v>1349</v>
      </c>
      <c r="G291" s="3319"/>
      <c r="H291" s="3321">
        <v>1127</v>
      </c>
      <c r="I291" s="3321">
        <v>228</v>
      </c>
      <c r="J291" s="3322">
        <f>SUM(H291:I291)</f>
        <v>1355</v>
      </c>
      <c r="K291" s="3319"/>
      <c r="L291" s="3331">
        <f>+F291/J291</f>
        <v>0.99557195571955714</v>
      </c>
    </row>
    <row r="292" spans="1:12" ht="15.75" customHeight="1">
      <c r="A292" s="3294"/>
      <c r="B292" s="3318"/>
      <c r="C292" s="3323"/>
      <c r="D292" s="3323"/>
      <c r="E292" s="3323"/>
      <c r="F292" s="3323"/>
      <c r="G292" s="3319"/>
      <c r="H292" s="3323"/>
      <c r="I292" s="3323"/>
      <c r="J292" s="3323"/>
      <c r="K292" s="3319"/>
      <c r="L292" s="3332"/>
    </row>
    <row r="293" spans="1:12" ht="15.75" customHeight="1">
      <c r="A293" s="3320" t="s">
        <v>188</v>
      </c>
      <c r="B293" s="3318"/>
      <c r="C293" s="3321">
        <f>0+5</f>
        <v>5</v>
      </c>
      <c r="D293" s="3321">
        <v>0</v>
      </c>
      <c r="E293" s="3321">
        <v>0</v>
      </c>
      <c r="F293" s="3322">
        <f>SUM(C293:E293)</f>
        <v>5</v>
      </c>
      <c r="G293" s="3319"/>
      <c r="H293" s="3321">
        <v>682</v>
      </c>
      <c r="I293" s="3321">
        <v>494</v>
      </c>
      <c r="J293" s="3322">
        <f>SUM(H293:I293)</f>
        <v>1176</v>
      </c>
      <c r="K293" s="3319"/>
      <c r="L293" s="3331">
        <f>+F293/J293</f>
        <v>4.2517006802721092E-3</v>
      </c>
    </row>
    <row r="294" spans="1:12" ht="15.75" customHeight="1">
      <c r="A294" s="3294"/>
      <c r="B294" s="3318"/>
      <c r="C294" s="3323"/>
      <c r="D294" s="3323"/>
      <c r="E294" s="3323"/>
      <c r="F294" s="3323"/>
      <c r="G294" s="3319"/>
      <c r="H294" s="3323"/>
      <c r="I294" s="3323"/>
      <c r="J294" s="3323"/>
      <c r="K294" s="3319"/>
      <c r="L294" s="3332"/>
    </row>
    <row r="295" spans="1:12" ht="15.75" customHeight="1" thickBot="1">
      <c r="A295" s="3324" t="s">
        <v>67</v>
      </c>
      <c r="B295" s="3318"/>
      <c r="C295" s="3325">
        <f>SUM(C283,C285,C287,C289,C291,C293)</f>
        <v>2859</v>
      </c>
      <c r="D295" s="3325">
        <f>SUM(D283,D285,D287,D289,D291,D293)</f>
        <v>791</v>
      </c>
      <c r="E295" s="3325">
        <f>SUM(E283,E285,E287,E289,E291,E293)</f>
        <v>661</v>
      </c>
      <c r="F295" s="3325">
        <f>SUM(C295:E295)</f>
        <v>4311</v>
      </c>
      <c r="G295" s="3319"/>
      <c r="H295" s="3325">
        <f>SUM(H283,H285,H287,H289,H291,H293)</f>
        <v>3979</v>
      </c>
      <c r="I295" s="3325">
        <f>SUM(I283,I285,I287,I289,I291,I293)</f>
        <v>1226</v>
      </c>
      <c r="J295" s="3325">
        <f>SUM(H295:I295)</f>
        <v>5205</v>
      </c>
      <c r="K295" s="3319"/>
      <c r="L295" s="3333">
        <f>+F295/J295</f>
        <v>0.82824207492795388</v>
      </c>
    </row>
    <row r="296" spans="1:12" ht="15.75" customHeight="1">
      <c r="A296" s="49"/>
      <c r="B296" s="49"/>
      <c r="C296" s="49"/>
      <c r="D296" s="49"/>
      <c r="E296" s="49"/>
      <c r="F296" s="49"/>
      <c r="G296" s="49"/>
      <c r="H296" s="49"/>
      <c r="I296" s="49"/>
      <c r="J296" s="49"/>
      <c r="K296" s="49"/>
      <c r="L296" s="49"/>
    </row>
    <row r="297" spans="1:12" ht="15.75" customHeight="1">
      <c r="A297" s="38" t="s">
        <v>397</v>
      </c>
      <c r="B297" s="49"/>
      <c r="C297" s="49"/>
      <c r="D297" s="49"/>
      <c r="E297" s="49"/>
      <c r="F297" s="49"/>
      <c r="G297" s="49"/>
      <c r="H297" s="49"/>
      <c r="I297" s="49"/>
      <c r="J297" s="49"/>
      <c r="K297" s="49"/>
      <c r="L297" s="49"/>
    </row>
    <row r="298" spans="1:12" ht="15.75" customHeight="1">
      <c r="A298" s="38" t="s">
        <v>219</v>
      </c>
      <c r="B298" s="49"/>
      <c r="C298" s="49"/>
      <c r="D298" s="49"/>
      <c r="E298" s="49"/>
      <c r="F298" s="49"/>
      <c r="G298" s="49"/>
      <c r="H298" s="49"/>
      <c r="I298" s="49"/>
      <c r="J298" s="49"/>
      <c r="K298" s="49"/>
      <c r="L298" s="49"/>
    </row>
    <row r="299" spans="1:12" ht="15.75" customHeight="1"/>
    <row r="300" spans="1:12" ht="15.75" customHeight="1"/>
    <row r="301" spans="1:12" ht="15.75" customHeight="1"/>
    <row r="302" spans="1:12" ht="15.75" customHeight="1"/>
    <row r="303" spans="1:12" ht="15.75" customHeight="1"/>
    <row r="304" spans="1:12"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sheetData>
  <mergeCells count="112">
    <mergeCell ref="H91:J91"/>
    <mergeCell ref="L91:L93"/>
    <mergeCell ref="A92:A93"/>
    <mergeCell ref="C92:E92"/>
    <mergeCell ref="F92:F93"/>
    <mergeCell ref="J92:J93"/>
    <mergeCell ref="C5:F5"/>
    <mergeCell ref="H5:J5"/>
    <mergeCell ref="L5:L7"/>
    <mergeCell ref="A6:A7"/>
    <mergeCell ref="C6:E6"/>
    <mergeCell ref="F6:F7"/>
    <mergeCell ref="H6:I6"/>
    <mergeCell ref="J6:J7"/>
    <mergeCell ref="L70:L72"/>
    <mergeCell ref="A71:A72"/>
    <mergeCell ref="C71:E71"/>
    <mergeCell ref="F71:F72"/>
    <mergeCell ref="H71:I71"/>
    <mergeCell ref="J71:J72"/>
    <mergeCell ref="C27:F27"/>
    <mergeCell ref="H27:J27"/>
    <mergeCell ref="L27:L29"/>
    <mergeCell ref="A28:A29"/>
    <mergeCell ref="C28:E28"/>
    <mergeCell ref="F28:F29"/>
    <mergeCell ref="H28:I28"/>
    <mergeCell ref="J28:J29"/>
    <mergeCell ref="C49:F49"/>
    <mergeCell ref="H49:J49"/>
    <mergeCell ref="L49:L51"/>
    <mergeCell ref="A50:A51"/>
    <mergeCell ref="C50:E50"/>
    <mergeCell ref="F50:F51"/>
    <mergeCell ref="H50:I50"/>
    <mergeCell ref="J50:J51"/>
    <mergeCell ref="H280:I280"/>
    <mergeCell ref="A258:A259"/>
    <mergeCell ref="C258:E258"/>
    <mergeCell ref="F258:F259"/>
    <mergeCell ref="J258:J259"/>
    <mergeCell ref="H258:I258"/>
    <mergeCell ref="C279:F279"/>
    <mergeCell ref="H279:J279"/>
    <mergeCell ref="C70:F70"/>
    <mergeCell ref="H70:J70"/>
    <mergeCell ref="A196:A197"/>
    <mergeCell ref="A280:A281"/>
    <mergeCell ref="A155:A156"/>
    <mergeCell ref="A237:A238"/>
    <mergeCell ref="F237:F238"/>
    <mergeCell ref="J237:J238"/>
    <mergeCell ref="H237:I237"/>
    <mergeCell ref="A216:A217"/>
    <mergeCell ref="C216:E216"/>
    <mergeCell ref="F216:F217"/>
    <mergeCell ref="J216:J217"/>
    <mergeCell ref="H216:I216"/>
    <mergeCell ref="A176:A177"/>
    <mergeCell ref="C91:F91"/>
    <mergeCell ref="L279:L281"/>
    <mergeCell ref="L257:L259"/>
    <mergeCell ref="L236:L238"/>
    <mergeCell ref="L215:L217"/>
    <mergeCell ref="C154:F154"/>
    <mergeCell ref="H154:J154"/>
    <mergeCell ref="C155:E155"/>
    <mergeCell ref="F155:F156"/>
    <mergeCell ref="J155:J156"/>
    <mergeCell ref="H155:I155"/>
    <mergeCell ref="C175:F175"/>
    <mergeCell ref="H175:J175"/>
    <mergeCell ref="C176:E176"/>
    <mergeCell ref="F176:F177"/>
    <mergeCell ref="J176:J177"/>
    <mergeCell ref="H176:I176"/>
    <mergeCell ref="C257:F257"/>
    <mergeCell ref="H257:J257"/>
    <mergeCell ref="C236:F236"/>
    <mergeCell ref="C280:E280"/>
    <mergeCell ref="F280:F281"/>
    <mergeCell ref="J280:J281"/>
    <mergeCell ref="L154:L156"/>
    <mergeCell ref="C237:E237"/>
    <mergeCell ref="L195:L197"/>
    <mergeCell ref="L175:L177"/>
    <mergeCell ref="F196:F197"/>
    <mergeCell ref="J196:J197"/>
    <mergeCell ref="H196:I196"/>
    <mergeCell ref="C196:E196"/>
    <mergeCell ref="H236:J236"/>
    <mergeCell ref="C215:F215"/>
    <mergeCell ref="H215:J215"/>
    <mergeCell ref="C195:F195"/>
    <mergeCell ref="H195:J195"/>
    <mergeCell ref="H92:I92"/>
    <mergeCell ref="C112:F112"/>
    <mergeCell ref="H134:I134"/>
    <mergeCell ref="L133:L135"/>
    <mergeCell ref="A134:A135"/>
    <mergeCell ref="C133:F133"/>
    <mergeCell ref="H133:J133"/>
    <mergeCell ref="C134:E134"/>
    <mergeCell ref="F134:F135"/>
    <mergeCell ref="J134:J135"/>
    <mergeCell ref="A113:A114"/>
    <mergeCell ref="L112:L114"/>
    <mergeCell ref="J113:J114"/>
    <mergeCell ref="F113:F114"/>
    <mergeCell ref="H112:J112"/>
    <mergeCell ref="C113:E113"/>
    <mergeCell ref="H113:I113"/>
  </mergeCells>
  <printOptions horizontalCentered="1" verticalCentered="1"/>
  <pageMargins left="0.70866141732283472" right="0.70866141732283472" top="0.74803149606299213" bottom="0.74803149606299213" header="0.31496062992125984" footer="0.31496062992125984"/>
  <pageSetup scale="55" firstPageNumber="52" orientation="landscape" useFirstPageNumber="1" r:id="rId1"/>
  <headerFooter scaleWithDoc="0" alignWithMargins="0">
    <oddFooter>&amp;R&amp;P</oddFooter>
  </headerFooter>
  <rowBreaks count="3" manualBreakCount="3">
    <brk id="45" max="11" man="1"/>
    <brk id="130" max="16383" man="1"/>
    <brk id="172"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BH56"/>
  <sheetViews>
    <sheetView showGridLines="0" topLeftCell="A13" zoomScaleNormal="100" workbookViewId="0">
      <selection activeCell="F43" sqref="F43"/>
    </sheetView>
  </sheetViews>
  <sheetFormatPr baseColWidth="10" defaultRowHeight="14.4"/>
  <cols>
    <col min="1" max="1" width="1.5546875" customWidth="1"/>
    <col min="2" max="2" width="20" customWidth="1"/>
    <col min="3" max="3" width="1.6640625" customWidth="1"/>
    <col min="4" max="4" width="15.6640625" style="5317" customWidth="1"/>
    <col min="5" max="5" width="19.5546875" style="5317" customWidth="1"/>
    <col min="6" max="6" width="10.6640625" style="5317" customWidth="1"/>
    <col min="7" max="7" width="1.6640625" style="5317" customWidth="1"/>
    <col min="8" max="8" width="14.109375" style="5317" bestFit="1" customWidth="1"/>
    <col min="9" max="9" width="20" style="5317" bestFit="1" customWidth="1"/>
    <col min="10" max="10" width="10.6640625" style="5317" customWidth="1"/>
    <col min="11" max="11" width="1.6640625" style="5317" customWidth="1"/>
    <col min="12" max="12" width="15.6640625" style="5317" customWidth="1"/>
    <col min="13" max="13" width="21.33203125" style="5317" customWidth="1"/>
    <col min="14" max="14" width="9.5546875" style="5317" customWidth="1"/>
    <col min="15" max="15" width="1.6640625" style="5317" customWidth="1"/>
    <col min="16" max="16" width="15.6640625" style="4163" customWidth="1"/>
    <col min="17" max="17" width="21.6640625" style="4163" customWidth="1"/>
    <col min="18" max="18" width="9.6640625" style="4163" customWidth="1"/>
    <col min="19" max="19" width="1.6640625" style="4163" customWidth="1"/>
    <col min="20" max="20" width="15.6640625" style="3023" customWidth="1"/>
    <col min="21" max="21" width="19.6640625" style="3023" customWidth="1"/>
    <col min="22" max="22" width="9.6640625" style="3023" customWidth="1"/>
    <col min="23" max="23" width="1.6640625" style="3023" customWidth="1"/>
    <col min="24" max="24" width="15.6640625" customWidth="1"/>
    <col min="25" max="25" width="19.6640625" customWidth="1"/>
    <col min="26" max="26" width="9.6640625" customWidth="1"/>
    <col min="27" max="27" width="1.6640625" customWidth="1"/>
    <col min="28" max="28" width="15.6640625" customWidth="1"/>
    <col min="29" max="29" width="19.6640625" customWidth="1"/>
    <col min="30" max="30" width="9.5546875" customWidth="1"/>
    <col min="31" max="31" width="1.6640625" customWidth="1"/>
    <col min="32" max="32" width="13.6640625" customWidth="1"/>
    <col min="33" max="33" width="19.6640625" customWidth="1"/>
    <col min="34" max="34" width="9.5546875" customWidth="1"/>
    <col min="35" max="35" width="1.6640625" customWidth="1"/>
    <col min="36" max="36" width="15.6640625" customWidth="1"/>
    <col min="37" max="37" width="19.6640625" customWidth="1"/>
    <col min="38" max="38" width="9.6640625" customWidth="1"/>
    <col min="39" max="39" width="1.6640625" customWidth="1"/>
    <col min="40" max="40" width="15.6640625" customWidth="1"/>
    <col min="41" max="41" width="19.6640625" customWidth="1"/>
    <col min="42" max="42" width="9.6640625" customWidth="1"/>
    <col min="43" max="43" width="1.6640625" customWidth="1"/>
    <col min="44" max="44" width="18.33203125" customWidth="1"/>
    <col min="45" max="45" width="19.6640625" customWidth="1"/>
    <col min="46" max="46" width="9.6640625" customWidth="1"/>
    <col min="47" max="47" width="1.6640625" customWidth="1"/>
    <col min="48" max="48" width="14.33203125" customWidth="1"/>
    <col min="49" max="49" width="19.6640625" customWidth="1"/>
    <col min="50" max="50" width="9.6640625" customWidth="1"/>
    <col min="51" max="51" width="1.6640625" customWidth="1"/>
    <col min="52" max="52" width="14" customWidth="1"/>
    <col min="53" max="53" width="19.6640625" customWidth="1"/>
    <col min="54" max="54" width="9.5546875" customWidth="1"/>
    <col min="55" max="55" width="1.6640625" customWidth="1"/>
    <col min="56" max="56" width="14" customWidth="1"/>
    <col min="57" max="57" width="19.6640625" customWidth="1"/>
    <col min="58" max="58" width="9.6640625" style="3" customWidth="1"/>
  </cols>
  <sheetData>
    <row r="1" spans="2:60" ht="15.6">
      <c r="C1" s="81"/>
      <c r="D1" s="81"/>
      <c r="E1" s="81"/>
      <c r="F1" s="6502" t="s">
        <v>431</v>
      </c>
      <c r="G1" s="81"/>
      <c r="H1" s="81"/>
      <c r="I1" s="81"/>
      <c r="K1" s="81"/>
      <c r="L1" s="81"/>
      <c r="M1" s="81"/>
      <c r="N1" s="81"/>
      <c r="O1" s="81"/>
      <c r="P1" s="81"/>
      <c r="Q1" s="81"/>
      <c r="S1" s="81"/>
      <c r="T1" s="81"/>
      <c r="V1" s="6502" t="s">
        <v>431</v>
      </c>
      <c r="W1" s="81"/>
      <c r="Y1" s="81"/>
      <c r="Z1" s="81"/>
      <c r="AA1" s="81"/>
      <c r="AB1" s="81"/>
      <c r="AC1" s="81"/>
      <c r="AD1" s="81"/>
      <c r="AE1" s="81"/>
      <c r="AF1" s="81"/>
      <c r="AG1" s="81"/>
      <c r="AH1" s="81"/>
      <c r="AI1" s="81"/>
      <c r="AJ1" s="81"/>
      <c r="AK1" s="81"/>
      <c r="AL1" s="81"/>
      <c r="AM1" s="81"/>
      <c r="AN1" s="81"/>
      <c r="AO1" s="81"/>
      <c r="AP1" s="81"/>
      <c r="AQ1" s="81"/>
      <c r="AR1" s="81"/>
      <c r="AS1" s="81"/>
      <c r="AT1" s="81"/>
      <c r="AU1" s="81"/>
      <c r="AV1" s="81"/>
      <c r="AW1" s="81"/>
      <c r="AX1" s="81"/>
    </row>
    <row r="2" spans="2:60">
      <c r="J2" s="6488" t="s">
        <v>98</v>
      </c>
      <c r="V2" s="6488" t="s">
        <v>98</v>
      </c>
      <c r="BB2" s="66"/>
      <c r="BD2" s="16"/>
      <c r="BE2" s="16"/>
      <c r="BF2" s="16"/>
    </row>
    <row r="3" spans="2:60" ht="15.6">
      <c r="D3" s="7387">
        <v>2023</v>
      </c>
      <c r="E3" s="7387"/>
      <c r="F3" s="7387"/>
      <c r="H3" s="7387">
        <v>2022</v>
      </c>
      <c r="I3" s="7387"/>
      <c r="J3" s="7387"/>
      <c r="L3" s="7387">
        <v>2021</v>
      </c>
      <c r="M3" s="7387"/>
      <c r="N3" s="7387"/>
      <c r="P3" s="7387">
        <v>2020</v>
      </c>
      <c r="Q3" s="7387"/>
      <c r="R3" s="7387"/>
      <c r="T3" s="7387">
        <v>2019</v>
      </c>
      <c r="U3" s="7387"/>
      <c r="V3" s="7387"/>
      <c r="X3" s="7387">
        <v>2018</v>
      </c>
      <c r="Y3" s="7387"/>
      <c r="Z3" s="7387"/>
      <c r="AB3" s="7387">
        <v>2017</v>
      </c>
      <c r="AC3" s="7387"/>
      <c r="AD3" s="7387"/>
      <c r="AF3" s="7387">
        <v>2016</v>
      </c>
      <c r="AG3" s="7387"/>
      <c r="AH3" s="7387"/>
      <c r="AJ3" s="7387">
        <v>2015</v>
      </c>
      <c r="AK3" s="7387"/>
      <c r="AL3" s="7387"/>
      <c r="AN3" s="7387">
        <v>2014</v>
      </c>
      <c r="AO3" s="7387"/>
      <c r="AP3" s="7387"/>
      <c r="AR3" s="7387">
        <v>2013</v>
      </c>
      <c r="AS3" s="7387"/>
      <c r="AT3" s="7387"/>
      <c r="AV3" s="2378" t="s">
        <v>97</v>
      </c>
      <c r="AW3" s="1781">
        <v>2012</v>
      </c>
      <c r="AX3" s="2379"/>
      <c r="AZ3" s="2378" t="s">
        <v>97</v>
      </c>
      <c r="BA3" s="1781">
        <v>2011</v>
      </c>
      <c r="BB3" s="2379"/>
      <c r="BD3" s="2378" t="s">
        <v>97</v>
      </c>
      <c r="BE3" s="1781">
        <v>2010</v>
      </c>
      <c r="BF3" s="2380"/>
    </row>
    <row r="4" spans="2:60" ht="66.75" customHeight="1" thickBot="1">
      <c r="B4" s="1780" t="s">
        <v>2312</v>
      </c>
      <c r="D4" s="6472" t="s">
        <v>163</v>
      </c>
      <c r="E4" s="47" t="s">
        <v>3228</v>
      </c>
      <c r="F4" s="6472" t="s">
        <v>76</v>
      </c>
      <c r="H4" s="6173" t="s">
        <v>163</v>
      </c>
      <c r="I4" s="47" t="s">
        <v>3228</v>
      </c>
      <c r="J4" s="6173" t="s">
        <v>76</v>
      </c>
      <c r="L4" s="5331" t="s">
        <v>163</v>
      </c>
      <c r="M4" s="47" t="s">
        <v>3232</v>
      </c>
      <c r="N4" s="5331" t="s">
        <v>76</v>
      </c>
      <c r="P4" s="4164" t="s">
        <v>163</v>
      </c>
      <c r="Q4" s="47" t="s">
        <v>3231</v>
      </c>
      <c r="R4" s="4164" t="s">
        <v>76</v>
      </c>
      <c r="T4" s="3024" t="s">
        <v>163</v>
      </c>
      <c r="U4" s="47" t="s">
        <v>3230</v>
      </c>
      <c r="V4" s="3024" t="s">
        <v>76</v>
      </c>
      <c r="X4" s="1780" t="s">
        <v>163</v>
      </c>
      <c r="Y4" s="47" t="s">
        <v>3229</v>
      </c>
      <c r="Z4" s="1780" t="s">
        <v>76</v>
      </c>
      <c r="AB4" s="2109" t="s">
        <v>163</v>
      </c>
      <c r="AC4" s="47" t="s">
        <v>2302</v>
      </c>
      <c r="AD4" s="2109" t="s">
        <v>76</v>
      </c>
      <c r="AF4" s="2109" t="s">
        <v>163</v>
      </c>
      <c r="AG4" s="47" t="s">
        <v>1744</v>
      </c>
      <c r="AH4" s="2109" t="s">
        <v>76</v>
      </c>
      <c r="AJ4" s="2109" t="s">
        <v>163</v>
      </c>
      <c r="AK4" s="47" t="s">
        <v>713</v>
      </c>
      <c r="AL4" s="2109" t="s">
        <v>76</v>
      </c>
      <c r="AN4" s="2109" t="s">
        <v>163</v>
      </c>
      <c r="AO4" s="47" t="s">
        <v>713</v>
      </c>
      <c r="AP4" s="2109" t="s">
        <v>76</v>
      </c>
      <c r="AR4" s="2109" t="s">
        <v>163</v>
      </c>
      <c r="AS4" s="47" t="s">
        <v>629</v>
      </c>
      <c r="AT4" s="2109" t="s">
        <v>76</v>
      </c>
      <c r="AV4" s="2109" t="s">
        <v>163</v>
      </c>
      <c r="AW4" s="47" t="s">
        <v>456</v>
      </c>
      <c r="AX4" s="2109" t="s">
        <v>76</v>
      </c>
      <c r="AZ4" s="2109" t="s">
        <v>163</v>
      </c>
      <c r="BA4" s="47" t="s">
        <v>420</v>
      </c>
      <c r="BB4" s="2109" t="s">
        <v>76</v>
      </c>
      <c r="BD4" s="2109" t="s">
        <v>163</v>
      </c>
      <c r="BE4" s="47" t="s">
        <v>162</v>
      </c>
      <c r="BF4" s="2109" t="s">
        <v>76</v>
      </c>
    </row>
    <row r="5" spans="2:60">
      <c r="B5" s="119"/>
      <c r="AB5" s="2107"/>
      <c r="AC5" s="2107"/>
      <c r="AD5" s="2107"/>
      <c r="AF5" s="2107"/>
      <c r="AG5" s="2107"/>
      <c r="AH5" s="2107"/>
      <c r="AJ5" s="2107"/>
      <c r="AK5" s="2107"/>
      <c r="AL5" s="2107"/>
      <c r="AN5" s="2107"/>
      <c r="AO5" s="2107"/>
      <c r="AP5" s="2107"/>
      <c r="AR5" s="2107"/>
      <c r="AS5" s="2107"/>
      <c r="AT5" s="2107"/>
      <c r="AV5" s="2107"/>
      <c r="AW5" s="2107"/>
      <c r="AX5" s="2107"/>
      <c r="AZ5" s="2107"/>
      <c r="BA5" s="2107"/>
      <c r="BB5" s="2107"/>
      <c r="BD5" s="2107"/>
      <c r="BE5" s="2107"/>
      <c r="BF5" s="2107"/>
    </row>
    <row r="6" spans="2:60">
      <c r="B6" s="1942" t="s">
        <v>4</v>
      </c>
      <c r="D6" s="1933">
        <v>7595878</v>
      </c>
      <c r="E6" s="1934">
        <v>35234884</v>
      </c>
      <c r="F6" s="1930">
        <f t="shared" ref="F6:F11" si="0">+D6/E6</f>
        <v>0.21557834559636979</v>
      </c>
      <c r="H6" s="1933">
        <v>10194774</v>
      </c>
      <c r="I6" s="1934">
        <v>33099932</v>
      </c>
      <c r="J6" s="1930">
        <f t="shared" ref="J6:J11" si="1">+H6/I6</f>
        <v>0.30799984725044149</v>
      </c>
      <c r="L6" s="1933">
        <v>10879280</v>
      </c>
      <c r="M6" s="1934">
        <v>29396942</v>
      </c>
      <c r="N6" s="1930">
        <f t="shared" ref="N6:N17" si="2">+L6/M6</f>
        <v>0.3700820309813177</v>
      </c>
      <c r="P6" s="1933">
        <v>9148335</v>
      </c>
      <c r="Q6" s="1934">
        <v>26335902</v>
      </c>
      <c r="R6" s="1930">
        <f t="shared" ref="R6:R11" si="3">P6/Q6</f>
        <v>0.34737124249626994</v>
      </c>
      <c r="T6" s="1933">
        <v>9939946</v>
      </c>
      <c r="U6" s="1934">
        <v>33186123</v>
      </c>
      <c r="V6" s="1930">
        <f t="shared" ref="V6:V11" si="4">T6/U6</f>
        <v>0.29952115828655246</v>
      </c>
      <c r="X6" s="1933">
        <v>8463372</v>
      </c>
      <c r="Y6" s="1934">
        <v>33802020</v>
      </c>
      <c r="Z6" s="1930">
        <f>X6/Y6</f>
        <v>0.25038065772400586</v>
      </c>
      <c r="AB6" s="1933">
        <v>7403263</v>
      </c>
      <c r="AC6" s="1934">
        <v>32452357</v>
      </c>
      <c r="AD6" s="1930">
        <f t="shared" ref="AD6:AD11" si="5">AB6/AC6</f>
        <v>0.22812712802339749</v>
      </c>
      <c r="AF6" s="1933">
        <v>11225115</v>
      </c>
      <c r="AG6" s="1934">
        <v>38662409</v>
      </c>
      <c r="AH6" s="1930">
        <f t="shared" ref="AH6:AH43" si="6">AF6/AG6</f>
        <v>0.29033666784705525</v>
      </c>
      <c r="AJ6" s="1933">
        <v>11806286</v>
      </c>
      <c r="AK6" s="1934">
        <v>35715205.930000007</v>
      </c>
      <c r="AL6" s="1930">
        <f t="shared" ref="AL6:AL11" si="7">AJ6/AK6</f>
        <v>0.33056749058481483</v>
      </c>
      <c r="AN6" s="1933">
        <v>9273454.1799999997</v>
      </c>
      <c r="AO6" s="1934">
        <v>37607483.199999996</v>
      </c>
      <c r="AP6" s="1930">
        <f t="shared" ref="AP6:AP11" si="8">AN6/AO6</f>
        <v>0.24658534395090817</v>
      </c>
      <c r="AR6" s="1933">
        <v>10924304.41</v>
      </c>
      <c r="AS6" s="1934">
        <v>36111059.99000001</v>
      </c>
      <c r="AT6" s="1930">
        <f t="shared" ref="AT6:AT11" si="9">AR6/AS6</f>
        <v>0.3025196273115548</v>
      </c>
      <c r="AV6" s="1933">
        <v>10148.535</v>
      </c>
      <c r="AW6" s="1934">
        <v>35928.148999999998</v>
      </c>
      <c r="AX6" s="1930">
        <f t="shared" ref="AX6:AX11" si="10">AV6/AW6</f>
        <v>0.28246751593019725</v>
      </c>
      <c r="AZ6" s="1933">
        <v>14913.53908</v>
      </c>
      <c r="BA6" s="1934">
        <v>45371.399960000002</v>
      </c>
      <c r="BB6" s="1930">
        <f t="shared" ref="BB6:BB43" si="11">AZ6/BA6</f>
        <v>0.32869911647310784</v>
      </c>
      <c r="BD6" s="1933">
        <v>14152.976000000001</v>
      </c>
      <c r="BE6" s="1934">
        <v>42459.078999999998</v>
      </c>
      <c r="BF6" s="1930">
        <f>BD6/BE6</f>
        <v>0.33333214787819587</v>
      </c>
      <c r="BH6" s="6"/>
    </row>
    <row r="7" spans="2:60">
      <c r="B7" s="1874" t="s">
        <v>16</v>
      </c>
      <c r="D7" s="1935">
        <v>5544571</v>
      </c>
      <c r="E7" s="1936">
        <v>23511732</v>
      </c>
      <c r="F7" s="1930">
        <f t="shared" si="0"/>
        <v>0.23582146138787224</v>
      </c>
      <c r="H7" s="1935">
        <v>2794022</v>
      </c>
      <c r="I7" s="1936">
        <v>20081283</v>
      </c>
      <c r="J7" s="1930">
        <f t="shared" si="1"/>
        <v>0.13913563192152614</v>
      </c>
      <c r="L7" s="1935">
        <v>2895022</v>
      </c>
      <c r="M7" s="1936">
        <v>16525623</v>
      </c>
      <c r="N7" s="1930">
        <f t="shared" si="2"/>
        <v>0.17518383421913958</v>
      </c>
      <c r="P7" s="1935">
        <v>2758625</v>
      </c>
      <c r="Q7" s="1936">
        <v>15010219</v>
      </c>
      <c r="R7" s="1930">
        <f t="shared" si="3"/>
        <v>0.18378312801432145</v>
      </c>
      <c r="T7" s="1935">
        <v>2763860</v>
      </c>
      <c r="U7" s="1936">
        <v>19534199</v>
      </c>
      <c r="V7" s="1930">
        <f t="shared" si="4"/>
        <v>0.14148826885607135</v>
      </c>
      <c r="X7" s="1935">
        <v>1260760</v>
      </c>
      <c r="Y7" s="1936">
        <v>19917073</v>
      </c>
      <c r="Z7" s="1930">
        <f t="shared" ref="Z7:Z43" si="12">X7/Y7</f>
        <v>6.330046588672944E-2</v>
      </c>
      <c r="AB7" s="1935">
        <v>750179</v>
      </c>
      <c r="AC7" s="1936">
        <v>20794595</v>
      </c>
      <c r="AD7" s="1930">
        <f t="shared" si="5"/>
        <v>3.6075672548563704E-2</v>
      </c>
      <c r="AF7" s="1935">
        <v>1463053</v>
      </c>
      <c r="AG7" s="1936">
        <v>23187494</v>
      </c>
      <c r="AH7" s="1930">
        <f t="shared" si="6"/>
        <v>6.3096641663821021E-2</v>
      </c>
      <c r="AJ7" s="1935">
        <v>1513276</v>
      </c>
      <c r="AK7" s="1936">
        <v>23696879.060000002</v>
      </c>
      <c r="AL7" s="1930">
        <f t="shared" si="7"/>
        <v>6.3859717398583024E-2</v>
      </c>
      <c r="AN7" s="1935">
        <v>1784131.55</v>
      </c>
      <c r="AO7" s="1936">
        <v>25487518.180000003</v>
      </c>
      <c r="AP7" s="1930">
        <f t="shared" si="8"/>
        <v>7.0000207058214248E-2</v>
      </c>
      <c r="AR7" s="1935">
        <v>1717018.5</v>
      </c>
      <c r="AS7" s="1936">
        <v>24015302</v>
      </c>
      <c r="AT7" s="1930">
        <f t="shared" si="9"/>
        <v>7.1496852298588626E-2</v>
      </c>
      <c r="AV7" s="1935">
        <v>2363.6819999999998</v>
      </c>
      <c r="AW7" s="1936">
        <v>26088.303</v>
      </c>
      <c r="AX7" s="1930">
        <f t="shared" si="10"/>
        <v>9.0603133519263399E-2</v>
      </c>
      <c r="AZ7" s="1935">
        <v>5938.9283599999999</v>
      </c>
      <c r="BA7" s="1936">
        <v>37181.375359999998</v>
      </c>
      <c r="BB7" s="1930">
        <f t="shared" si="11"/>
        <v>0.15972858191763242</v>
      </c>
      <c r="BD7" s="1935">
        <v>3677.0079999999998</v>
      </c>
      <c r="BE7" s="1936">
        <v>28403.235000000001</v>
      </c>
      <c r="BF7" s="1930">
        <f t="shared" ref="BF7:BF43" si="13">BD7/BE7</f>
        <v>0.12945736638801883</v>
      </c>
      <c r="BH7" s="6"/>
    </row>
    <row r="8" spans="2:60">
      <c r="B8" s="1874" t="s">
        <v>21</v>
      </c>
      <c r="D8" s="1935">
        <v>4297413</v>
      </c>
      <c r="E8" s="1936">
        <v>16633907</v>
      </c>
      <c r="F8" s="1930">
        <f t="shared" si="0"/>
        <v>0.25835259268913791</v>
      </c>
      <c r="H8" s="1935">
        <v>3604029</v>
      </c>
      <c r="I8" s="1936">
        <v>13609186</v>
      </c>
      <c r="J8" s="1930">
        <f t="shared" si="1"/>
        <v>0.26482325981877242</v>
      </c>
      <c r="L8" s="1935">
        <v>4221641</v>
      </c>
      <c r="M8" s="1936">
        <v>11232190</v>
      </c>
      <c r="N8" s="1930">
        <f t="shared" si="2"/>
        <v>0.37585199324441626</v>
      </c>
      <c r="P8" s="1935">
        <v>5420655</v>
      </c>
      <c r="Q8" s="1936">
        <v>12020145</v>
      </c>
      <c r="R8" s="1930">
        <f t="shared" si="3"/>
        <v>0.45096419385955827</v>
      </c>
      <c r="T8" s="1935">
        <v>3181871</v>
      </c>
      <c r="U8" s="1936">
        <v>14686014</v>
      </c>
      <c r="V8" s="1930">
        <f t="shared" si="4"/>
        <v>0.21665994598670546</v>
      </c>
      <c r="X8" s="1935">
        <v>2315900</v>
      </c>
      <c r="Y8" s="1936">
        <v>15600288</v>
      </c>
      <c r="Z8" s="1930">
        <f t="shared" si="12"/>
        <v>0.14845238754566584</v>
      </c>
      <c r="AB8" s="1935">
        <v>1887438</v>
      </c>
      <c r="AC8" s="1936">
        <v>14137835</v>
      </c>
      <c r="AD8" s="1930">
        <f t="shared" si="5"/>
        <v>0.13350261903608296</v>
      </c>
      <c r="AF8" s="1935">
        <v>2897637</v>
      </c>
      <c r="AG8" s="1936">
        <v>16297355.749999998</v>
      </c>
      <c r="AH8" s="1930">
        <f t="shared" si="6"/>
        <v>0.17779798419139253</v>
      </c>
      <c r="AJ8" s="1935">
        <v>2987584</v>
      </c>
      <c r="AK8" s="1936">
        <v>18678800.340000004</v>
      </c>
      <c r="AL8" s="1930">
        <f t="shared" si="7"/>
        <v>0.15994517557972887</v>
      </c>
      <c r="AN8" s="1935">
        <v>2670191.16</v>
      </c>
      <c r="AO8" s="1936">
        <v>19022996.799999997</v>
      </c>
      <c r="AP8" s="1930">
        <f t="shared" si="8"/>
        <v>0.14036648316105488</v>
      </c>
      <c r="AR8" s="1935">
        <v>4530047.09</v>
      </c>
      <c r="AS8" s="1936">
        <v>20500302</v>
      </c>
      <c r="AT8" s="1930">
        <f t="shared" si="9"/>
        <v>0.22097465149537796</v>
      </c>
      <c r="AV8" s="1935">
        <v>4749.3509999999997</v>
      </c>
      <c r="AW8" s="1936">
        <v>22281.187000000002</v>
      </c>
      <c r="AX8" s="1930">
        <f t="shared" si="10"/>
        <v>0.21315520577965613</v>
      </c>
      <c r="AZ8" s="1935">
        <v>6137.9798499999997</v>
      </c>
      <c r="BA8" s="1936">
        <v>31158.618259999999</v>
      </c>
      <c r="BB8" s="1930">
        <f t="shared" si="11"/>
        <v>0.19699140054229092</v>
      </c>
      <c r="BD8" s="1935">
        <v>6246.49</v>
      </c>
      <c r="BE8" s="1936">
        <v>24270.187999999998</v>
      </c>
      <c r="BF8" s="1930">
        <f t="shared" si="13"/>
        <v>0.2573729548366086</v>
      </c>
      <c r="BH8" s="6"/>
    </row>
    <row r="9" spans="2:60">
      <c r="B9" s="1874" t="s">
        <v>85</v>
      </c>
      <c r="D9" s="1935">
        <v>7409890</v>
      </c>
      <c r="E9" s="1936">
        <v>109889669</v>
      </c>
      <c r="F9" s="1930">
        <f t="shared" si="0"/>
        <v>6.7430269536984402E-2</v>
      </c>
      <c r="H9" s="1935">
        <v>5636147</v>
      </c>
      <c r="I9" s="1936">
        <v>101992165</v>
      </c>
      <c r="J9" s="1930">
        <f t="shared" si="1"/>
        <v>5.526058790888496E-2</v>
      </c>
      <c r="L9" s="1935">
        <v>13765431</v>
      </c>
      <c r="M9" s="1936">
        <v>86870937</v>
      </c>
      <c r="N9" s="1930">
        <f t="shared" si="2"/>
        <v>0.15845841515442616</v>
      </c>
      <c r="P9" s="1935">
        <v>15335654</v>
      </c>
      <c r="Q9" s="1936">
        <v>141304092</v>
      </c>
      <c r="R9" s="1930">
        <f t="shared" si="3"/>
        <v>0.10852944018068493</v>
      </c>
      <c r="T9" s="1935">
        <v>5778478</v>
      </c>
      <c r="U9" s="1936">
        <v>96104394</v>
      </c>
      <c r="V9" s="1930">
        <f t="shared" si="4"/>
        <v>6.0127094709113926E-2</v>
      </c>
      <c r="X9" s="1935">
        <v>6959522</v>
      </c>
      <c r="Y9" s="1936">
        <v>96482393</v>
      </c>
      <c r="Z9" s="1930">
        <f t="shared" si="12"/>
        <v>7.2132559979104172E-2</v>
      </c>
      <c r="AB9" s="1935">
        <v>3950952</v>
      </c>
      <c r="AC9" s="1936">
        <v>96078043</v>
      </c>
      <c r="AD9" s="1930">
        <f t="shared" si="5"/>
        <v>4.1122319695874737E-2</v>
      </c>
      <c r="AF9" s="1935">
        <v>5682242</v>
      </c>
      <c r="AG9" s="1936">
        <v>85962666.520000026</v>
      </c>
      <c r="AH9" s="1930">
        <f t="shared" si="6"/>
        <v>6.6101276635921621E-2</v>
      </c>
      <c r="AJ9" s="1935">
        <v>4200061</v>
      </c>
      <c r="AK9" s="1936">
        <v>128673263.84999999</v>
      </c>
      <c r="AL9" s="1930">
        <f t="shared" si="7"/>
        <v>3.2641287508617126E-2</v>
      </c>
      <c r="AN9" s="1935">
        <v>3555410.9799999995</v>
      </c>
      <c r="AO9" s="1936">
        <v>90021246.810000017</v>
      </c>
      <c r="AP9" s="1930">
        <f t="shared" si="8"/>
        <v>3.94952425787225E-2</v>
      </c>
      <c r="AR9" s="1935">
        <v>5975805.6400000006</v>
      </c>
      <c r="AS9" s="1936">
        <v>100390131</v>
      </c>
      <c r="AT9" s="1930">
        <f t="shared" si="9"/>
        <v>5.9525827693162392E-2</v>
      </c>
      <c r="AV9" s="1935">
        <v>4626.0230000000001</v>
      </c>
      <c r="AW9" s="1936">
        <v>83313.448000000004</v>
      </c>
      <c r="AX9" s="1930">
        <f t="shared" si="10"/>
        <v>5.5525525723050133E-2</v>
      </c>
      <c r="AZ9" s="1935">
        <v>14034.823259999999</v>
      </c>
      <c r="BA9" s="1936">
        <v>126742.96192</v>
      </c>
      <c r="BB9" s="1930">
        <f t="shared" si="11"/>
        <v>0.11073453742432469</v>
      </c>
      <c r="BD9" s="1935">
        <v>17614.782999999999</v>
      </c>
      <c r="BE9" s="1936">
        <v>140759.179</v>
      </c>
      <c r="BF9" s="1930">
        <f t="shared" si="13"/>
        <v>0.12514127409055148</v>
      </c>
      <c r="BH9" s="6"/>
    </row>
    <row r="10" spans="2:60">
      <c r="B10" s="1874" t="s">
        <v>86</v>
      </c>
      <c r="D10" s="1935">
        <v>1578222</v>
      </c>
      <c r="E10" s="1936">
        <v>17086661</v>
      </c>
      <c r="F10" s="1930">
        <f t="shared" si="0"/>
        <v>9.2365734885241774E-2</v>
      </c>
      <c r="H10" s="1935">
        <v>2321454</v>
      </c>
      <c r="I10" s="1936">
        <v>26407370</v>
      </c>
      <c r="J10" s="1930">
        <f t="shared" si="1"/>
        <v>8.7909322283892713E-2</v>
      </c>
      <c r="L10" s="1935">
        <v>1305356</v>
      </c>
      <c r="M10" s="1936">
        <v>24345630</v>
      </c>
      <c r="N10" s="1930">
        <f t="shared" si="2"/>
        <v>5.3617671836793709E-2</v>
      </c>
      <c r="P10" s="1935">
        <v>512333</v>
      </c>
      <c r="Q10" s="1936">
        <v>11317773</v>
      </c>
      <c r="R10" s="1930">
        <f t="shared" si="3"/>
        <v>4.5268004580052985E-2</v>
      </c>
      <c r="T10" s="1935">
        <v>8414470</v>
      </c>
      <c r="U10" s="1936">
        <v>18775742</v>
      </c>
      <c r="V10" s="1930">
        <f t="shared" si="4"/>
        <v>0.44815645634670526</v>
      </c>
      <c r="X10" s="1935">
        <v>739779</v>
      </c>
      <c r="Y10" s="1936">
        <v>8803828</v>
      </c>
      <c r="Z10" s="1930">
        <f t="shared" si="12"/>
        <v>8.4029242733956178E-2</v>
      </c>
      <c r="AB10" s="1935">
        <v>347199</v>
      </c>
      <c r="AC10" s="1936">
        <v>8142229</v>
      </c>
      <c r="AD10" s="1930">
        <f t="shared" si="5"/>
        <v>4.2641763084776907E-2</v>
      </c>
      <c r="AF10" s="1935">
        <v>650623</v>
      </c>
      <c r="AG10" s="1936">
        <v>10383302.360000005</v>
      </c>
      <c r="AH10" s="1930">
        <f t="shared" si="6"/>
        <v>6.2660507942677274E-2</v>
      </c>
      <c r="AJ10" s="1935">
        <v>2365874</v>
      </c>
      <c r="AK10" s="1936">
        <v>16039235.569999998</v>
      </c>
      <c r="AL10" s="1930">
        <f t="shared" si="7"/>
        <v>0.14750540882541574</v>
      </c>
      <c r="AN10" s="1935">
        <v>477517.96</v>
      </c>
      <c r="AO10" s="1936">
        <v>9978778.1999999974</v>
      </c>
      <c r="AP10" s="1930">
        <f t="shared" si="8"/>
        <v>4.7853349421074429E-2</v>
      </c>
      <c r="AR10" s="1935">
        <v>647546.6</v>
      </c>
      <c r="AS10" s="1936">
        <v>13516515</v>
      </c>
      <c r="AT10" s="1930">
        <f t="shared" si="9"/>
        <v>4.790780759685466E-2</v>
      </c>
      <c r="AV10" s="1935">
        <v>830.52</v>
      </c>
      <c r="AW10" s="1936">
        <v>13079.763999999999</v>
      </c>
      <c r="AX10" s="1930">
        <f t="shared" si="10"/>
        <v>6.3496558500596809E-2</v>
      </c>
      <c r="AZ10" s="1935">
        <v>2689.7519900000002</v>
      </c>
      <c r="BA10" s="1936">
        <v>22491.557959999998</v>
      </c>
      <c r="BB10" s="1930">
        <f t="shared" si="11"/>
        <v>0.11958940304551496</v>
      </c>
      <c r="BD10" s="1935">
        <v>838.78300000000002</v>
      </c>
      <c r="BE10" s="1936">
        <v>26597.09</v>
      </c>
      <c r="BF10" s="1930">
        <f t="shared" si="13"/>
        <v>3.1536645550321485E-2</v>
      </c>
      <c r="BH10" s="6"/>
    </row>
    <row r="11" spans="2:60">
      <c r="B11" s="1943" t="s">
        <v>3</v>
      </c>
      <c r="D11" s="1937">
        <f>SUM(D6:D10)</f>
        <v>26425974</v>
      </c>
      <c r="E11" s="1938">
        <f>SUM(E6:E10)</f>
        <v>202356853</v>
      </c>
      <c r="F11" s="1931">
        <f t="shared" si="0"/>
        <v>0.13059095161951348</v>
      </c>
      <c r="H11" s="1937">
        <f>SUM(H6:H10)</f>
        <v>24550426</v>
      </c>
      <c r="I11" s="1938">
        <f>SUM(I6:I10)</f>
        <v>195189936</v>
      </c>
      <c r="J11" s="1931">
        <f t="shared" si="1"/>
        <v>0.1257771097378709</v>
      </c>
      <c r="L11" s="1937">
        <f>SUM(L6:L10)</f>
        <v>33066730</v>
      </c>
      <c r="M11" s="1938">
        <f>SUM(M6:M10)</f>
        <v>168371322</v>
      </c>
      <c r="N11" s="1931">
        <f t="shared" si="2"/>
        <v>0.19639169905668377</v>
      </c>
      <c r="P11" s="1937">
        <v>33175602</v>
      </c>
      <c r="Q11" s="1938">
        <v>205988131</v>
      </c>
      <c r="R11" s="1931">
        <f t="shared" si="3"/>
        <v>0.16105589112801844</v>
      </c>
      <c r="T11" s="1937">
        <v>30078625</v>
      </c>
      <c r="U11" s="1938">
        <v>182286472</v>
      </c>
      <c r="V11" s="1931">
        <f t="shared" si="4"/>
        <v>0.16500744498472711</v>
      </c>
      <c r="X11" s="1937">
        <v>19739333</v>
      </c>
      <c r="Y11" s="1938">
        <v>174605602</v>
      </c>
      <c r="Z11" s="1931">
        <f t="shared" si="12"/>
        <v>0.11305097186973417</v>
      </c>
      <c r="AB11" s="1937">
        <f>SUM(AB6:AB10)</f>
        <v>14339031</v>
      </c>
      <c r="AC11" s="1938">
        <f>SUM(AC6:AC10)</f>
        <v>171605059</v>
      </c>
      <c r="AD11" s="1931">
        <f t="shared" si="5"/>
        <v>8.3558323300946508E-2</v>
      </c>
      <c r="AF11" s="1937">
        <f>SUM(AF6:AF10)</f>
        <v>21918670</v>
      </c>
      <c r="AG11" s="1938">
        <f>SUM(AG6:AG10)</f>
        <v>174493227.63000005</v>
      </c>
      <c r="AH11" s="1931">
        <f t="shared" si="6"/>
        <v>0.12561329913890362</v>
      </c>
      <c r="AJ11" s="1937">
        <f>SUM(AJ6:AJ10)</f>
        <v>22873081</v>
      </c>
      <c r="AK11" s="1938">
        <f>SUM(AK6:AK10)</f>
        <v>222803384.75</v>
      </c>
      <c r="AL11" s="1931">
        <f t="shared" si="7"/>
        <v>0.10266038384320371</v>
      </c>
      <c r="AN11" s="1937">
        <f>SUM(AN6:AN10)</f>
        <v>17760705.830000002</v>
      </c>
      <c r="AO11" s="1938">
        <f>SUM(AO6:AO10)</f>
        <v>182118023.19</v>
      </c>
      <c r="AP11" s="1931">
        <f t="shared" si="8"/>
        <v>9.7523054110194365E-2</v>
      </c>
      <c r="AR11" s="1937">
        <f>SUM(AR6:AR10)</f>
        <v>23794722.240000002</v>
      </c>
      <c r="AS11" s="1938">
        <f>SUM(AS6:AS10)</f>
        <v>194533309.99000001</v>
      </c>
      <c r="AT11" s="1931">
        <f t="shared" si="9"/>
        <v>0.12231695559605278</v>
      </c>
      <c r="AV11" s="1937">
        <f>SUM(AV6:AV10)</f>
        <v>22718.111000000001</v>
      </c>
      <c r="AW11" s="1938">
        <f>SUM(AW6:AW10)</f>
        <v>180690.851</v>
      </c>
      <c r="AX11" s="1931">
        <f t="shared" si="10"/>
        <v>0.125729171533981</v>
      </c>
      <c r="AZ11" s="1937">
        <f>SUM(AZ6:AZ10)</f>
        <v>43715.022539999998</v>
      </c>
      <c r="BA11" s="1938">
        <f>SUM(BA6:BA10)</f>
        <v>262945.91346000001</v>
      </c>
      <c r="BB11" s="1931">
        <f t="shared" si="11"/>
        <v>0.16625100563371195</v>
      </c>
      <c r="BD11" s="1937">
        <f>SUM(BD6:BD10)</f>
        <v>42530.04</v>
      </c>
      <c r="BE11" s="1938">
        <f>SUM(BE6:BE10)</f>
        <v>262488.77100000001</v>
      </c>
      <c r="BF11" s="1931">
        <f t="shared" si="13"/>
        <v>0.16202613101495303</v>
      </c>
      <c r="BH11" s="6"/>
    </row>
    <row r="12" spans="2:60">
      <c r="B12" s="119"/>
      <c r="D12" s="1939"/>
      <c r="E12" s="1939"/>
      <c r="F12" s="1932"/>
      <c r="H12" s="1939"/>
      <c r="I12" s="1939"/>
      <c r="J12" s="1932"/>
      <c r="L12" s="1939"/>
      <c r="M12" s="1939"/>
      <c r="N12" s="1932"/>
      <c r="P12" s="1939"/>
      <c r="Q12" s="1939"/>
      <c r="R12" s="1932"/>
      <c r="T12" s="1939"/>
      <c r="U12" s="1939"/>
      <c r="V12" s="1932"/>
      <c r="X12" s="1939"/>
      <c r="Y12" s="1939"/>
      <c r="Z12" s="1932"/>
      <c r="AB12" s="1939"/>
      <c r="AC12" s="1939"/>
      <c r="AD12" s="1932"/>
      <c r="AF12" s="1939"/>
      <c r="AG12" s="1939"/>
      <c r="AH12" s="1932"/>
      <c r="AJ12" s="1939"/>
      <c r="AK12" s="1939"/>
      <c r="AL12" s="1932"/>
      <c r="AN12" s="1939"/>
      <c r="AO12" s="1939"/>
      <c r="AP12" s="1932"/>
      <c r="AR12" s="1939"/>
      <c r="AS12" s="1939"/>
      <c r="AT12" s="1932"/>
      <c r="AV12" s="1939"/>
      <c r="AW12" s="1939"/>
      <c r="AX12" s="1932"/>
      <c r="AZ12" s="1939"/>
      <c r="BA12" s="1939"/>
      <c r="BB12" s="1932"/>
      <c r="BD12" s="1939"/>
      <c r="BE12" s="1939"/>
      <c r="BF12" s="1932"/>
      <c r="BH12" s="6"/>
    </row>
    <row r="13" spans="2:60">
      <c r="B13" s="1942" t="s">
        <v>16</v>
      </c>
      <c r="D13" s="1933">
        <v>773241</v>
      </c>
      <c r="E13" s="1934">
        <v>6571288</v>
      </c>
      <c r="F13" s="1930">
        <f>+D13/E13</f>
        <v>0.11766962580243021</v>
      </c>
      <c r="H13" s="1933">
        <v>779259</v>
      </c>
      <c r="I13" s="1934">
        <v>6447867</v>
      </c>
      <c r="J13" s="1930">
        <f>+H13/I13</f>
        <v>0.12085531540895617</v>
      </c>
      <c r="L13" s="1933">
        <v>1117861</v>
      </c>
      <c r="M13" s="1934">
        <v>6016889</v>
      </c>
      <c r="N13" s="1930">
        <f>+L13/M13</f>
        <v>0.18578720664449686</v>
      </c>
      <c r="P13" s="1933">
        <v>1514605</v>
      </c>
      <c r="Q13" s="1934">
        <v>6636727</v>
      </c>
      <c r="R13" s="1930">
        <f t="shared" ref="R13:R18" si="14">P13/Q13</f>
        <v>0.22821565509625452</v>
      </c>
      <c r="T13" s="1933">
        <v>1128299</v>
      </c>
      <c r="U13" s="1934">
        <v>6316980</v>
      </c>
      <c r="V13" s="1930">
        <f t="shared" ref="V13:V18" si="15">T13/U13</f>
        <v>0.17861367298930819</v>
      </c>
      <c r="X13" s="1933">
        <v>256736</v>
      </c>
      <c r="Y13" s="1934">
        <v>7221030</v>
      </c>
      <c r="Z13" s="1930">
        <f t="shared" si="12"/>
        <v>3.5553930671940154E-2</v>
      </c>
      <c r="AB13" s="1933">
        <v>564628</v>
      </c>
      <c r="AC13" s="1934">
        <v>4974441</v>
      </c>
      <c r="AD13" s="1930">
        <f t="shared" ref="AD13:AD18" si="16">AB13/AC13</f>
        <v>0.11350581904579832</v>
      </c>
      <c r="AF13" s="1933">
        <v>436536</v>
      </c>
      <c r="AG13" s="1934">
        <v>5396492</v>
      </c>
      <c r="AH13" s="1930">
        <f t="shared" si="6"/>
        <v>8.0892550197424543E-2</v>
      </c>
      <c r="AJ13" s="1933">
        <v>685780</v>
      </c>
      <c r="AK13" s="1934">
        <v>5391953.2400000002</v>
      </c>
      <c r="AL13" s="1930">
        <f t="shared" ref="AL13:AL18" si="17">AJ13/AK13</f>
        <v>0.12718582106991713</v>
      </c>
      <c r="AN13" s="1933">
        <v>128511</v>
      </c>
      <c r="AO13" s="1934">
        <v>4098987</v>
      </c>
      <c r="AP13" s="1930">
        <f t="shared" ref="AP13:AP18" si="18">AN13/AO13</f>
        <v>3.1351892552964916E-2</v>
      </c>
      <c r="AR13" s="1933">
        <v>335779.00999999995</v>
      </c>
      <c r="AS13" s="1934">
        <v>3884636</v>
      </c>
      <c r="AT13" s="1930">
        <f t="shared" ref="AT13:AT18" si="19">AR13/AS13</f>
        <v>8.6437702271203773E-2</v>
      </c>
      <c r="AV13" s="1933">
        <v>203.08099999999999</v>
      </c>
      <c r="AW13" s="1934">
        <v>4332.6840000000002</v>
      </c>
      <c r="AX13" s="1930">
        <f t="shared" ref="AX13:AX18" si="20">AV13/AW13</f>
        <v>4.6871869723247757E-2</v>
      </c>
      <c r="AZ13" s="1933">
        <v>466.66224999999997</v>
      </c>
      <c r="BA13" s="1934">
        <v>4328.61516999999</v>
      </c>
      <c r="BB13" s="1930">
        <f t="shared" si="11"/>
        <v>0.10780867128920611</v>
      </c>
      <c r="BD13" s="1933">
        <v>1201.1990000000001</v>
      </c>
      <c r="BE13" s="1934">
        <v>4511.2169999999996</v>
      </c>
      <c r="BF13" s="1930">
        <f t="shared" si="13"/>
        <v>0.26626939027761248</v>
      </c>
      <c r="BH13" s="6"/>
    </row>
    <row r="14" spans="2:60">
      <c r="B14" s="1874" t="s">
        <v>61</v>
      </c>
      <c r="D14" s="1935">
        <v>2153952</v>
      </c>
      <c r="E14" s="1936">
        <v>6465638</v>
      </c>
      <c r="F14" s="1930">
        <f t="shared" ref="F14:F17" si="21">+D14/E14</f>
        <v>0.33313835386391877</v>
      </c>
      <c r="H14" s="1935">
        <v>1309743</v>
      </c>
      <c r="I14" s="1936">
        <v>6583431</v>
      </c>
      <c r="J14" s="1930">
        <f t="shared" ref="J14:J17" si="22">+H14/I14</f>
        <v>0.19894535235502583</v>
      </c>
      <c r="L14" s="1935">
        <v>2361765</v>
      </c>
      <c r="M14" s="1936">
        <v>5248105</v>
      </c>
      <c r="N14" s="1930">
        <f t="shared" si="2"/>
        <v>0.45002243666999803</v>
      </c>
      <c r="P14" s="1935">
        <v>2467663</v>
      </c>
      <c r="Q14" s="1936">
        <v>6005741</v>
      </c>
      <c r="R14" s="1930">
        <f t="shared" si="14"/>
        <v>0.41088401914101857</v>
      </c>
      <c r="T14" s="1935">
        <v>1442188</v>
      </c>
      <c r="U14" s="1936">
        <v>5509784</v>
      </c>
      <c r="V14" s="1930">
        <f t="shared" si="15"/>
        <v>0.26175036988745837</v>
      </c>
      <c r="X14" s="1935">
        <v>1006239</v>
      </c>
      <c r="Y14" s="1936">
        <v>4933074</v>
      </c>
      <c r="Z14" s="1930">
        <f t="shared" si="12"/>
        <v>0.20397808749676166</v>
      </c>
      <c r="AB14" s="1935">
        <v>1512152</v>
      </c>
      <c r="AC14" s="1936">
        <v>4688458</v>
      </c>
      <c r="AD14" s="1930">
        <f t="shared" si="16"/>
        <v>0.32252651084855616</v>
      </c>
      <c r="AF14" s="1935">
        <v>364936</v>
      </c>
      <c r="AG14" s="1936">
        <v>4584419.5599999987</v>
      </c>
      <c r="AH14" s="1930">
        <f t="shared" si="6"/>
        <v>7.9603534367609252E-2</v>
      </c>
      <c r="AJ14" s="1935">
        <v>773891</v>
      </c>
      <c r="AK14" s="1936">
        <v>4426369.57</v>
      </c>
      <c r="AL14" s="1930">
        <f t="shared" si="17"/>
        <v>0.17483650828550223</v>
      </c>
      <c r="AN14" s="1935">
        <v>548010.38</v>
      </c>
      <c r="AO14" s="1936">
        <v>3636230.34</v>
      </c>
      <c r="AP14" s="1930">
        <f t="shared" si="18"/>
        <v>0.15070837894169267</v>
      </c>
      <c r="AR14" s="1935">
        <v>1304835.8500000001</v>
      </c>
      <c r="AS14" s="1936">
        <v>3689660.8699999996</v>
      </c>
      <c r="AT14" s="1930">
        <f t="shared" si="19"/>
        <v>0.35364655342971946</v>
      </c>
      <c r="AV14" s="1935">
        <v>773.49800000000005</v>
      </c>
      <c r="AW14" s="1936">
        <v>3588.306</v>
      </c>
      <c r="AX14" s="1930">
        <f t="shared" si="20"/>
        <v>0.21556076878616262</v>
      </c>
      <c r="AZ14" s="1935">
        <v>732.75877000000003</v>
      </c>
      <c r="BA14" s="1936">
        <v>3717.9780500000002</v>
      </c>
      <c r="BB14" s="1930">
        <f t="shared" si="11"/>
        <v>0.19708528671921557</v>
      </c>
      <c r="BD14" s="1935">
        <v>1324.3330000000001</v>
      </c>
      <c r="BE14" s="1936">
        <v>3833.855</v>
      </c>
      <c r="BF14" s="1930">
        <f t="shared" si="13"/>
        <v>0.34543116523707862</v>
      </c>
      <c r="BH14" s="6"/>
    </row>
    <row r="15" spans="2:60">
      <c r="B15" s="1874" t="s">
        <v>64</v>
      </c>
      <c r="D15" s="1935">
        <v>3843064</v>
      </c>
      <c r="E15" s="1936">
        <v>10681469</v>
      </c>
      <c r="F15" s="1930">
        <f t="shared" si="21"/>
        <v>0.35978796549425929</v>
      </c>
      <c r="H15" s="1935">
        <v>1943609</v>
      </c>
      <c r="I15" s="1936">
        <v>6744176</v>
      </c>
      <c r="J15" s="1930">
        <f t="shared" si="22"/>
        <v>0.28819072930481054</v>
      </c>
      <c r="L15" s="1935">
        <v>1959228</v>
      </c>
      <c r="M15" s="1936">
        <v>6270865</v>
      </c>
      <c r="N15" s="1930">
        <f t="shared" si="2"/>
        <v>0.31243345216329804</v>
      </c>
      <c r="P15" s="1935">
        <v>2044596</v>
      </c>
      <c r="Q15" s="1936">
        <v>5893685</v>
      </c>
      <c r="R15" s="1930">
        <f t="shared" si="14"/>
        <v>0.34691300943297781</v>
      </c>
      <c r="T15" s="1935">
        <v>1626846</v>
      </c>
      <c r="U15" s="1936">
        <v>5757439</v>
      </c>
      <c r="V15" s="1930">
        <f t="shared" si="15"/>
        <v>0.28256417480063617</v>
      </c>
      <c r="X15" s="1935">
        <v>1493322</v>
      </c>
      <c r="Y15" s="1936">
        <v>5581029</v>
      </c>
      <c r="Z15" s="1930">
        <f t="shared" si="12"/>
        <v>0.26757108769726873</v>
      </c>
      <c r="AB15" s="1935">
        <v>2126193</v>
      </c>
      <c r="AC15" s="1936">
        <v>6320284</v>
      </c>
      <c r="AD15" s="1930">
        <f t="shared" si="16"/>
        <v>0.33640782597744023</v>
      </c>
      <c r="AF15" s="1935">
        <v>1037992</v>
      </c>
      <c r="AG15" s="1936">
        <v>4963842.76</v>
      </c>
      <c r="AH15" s="1930">
        <f t="shared" si="6"/>
        <v>0.20911057222932664</v>
      </c>
      <c r="AJ15" s="1935">
        <v>1351580</v>
      </c>
      <c r="AK15" s="1936">
        <v>5423995.9500000011</v>
      </c>
      <c r="AL15" s="1930">
        <f t="shared" si="17"/>
        <v>0.24918528930686235</v>
      </c>
      <c r="AN15" s="1935">
        <v>702990.68</v>
      </c>
      <c r="AO15" s="1936">
        <v>3682705.1599999997</v>
      </c>
      <c r="AP15" s="1930">
        <f t="shared" si="18"/>
        <v>0.19088975344417747</v>
      </c>
      <c r="AR15" s="1935">
        <v>690451.43</v>
      </c>
      <c r="AS15" s="1936">
        <v>3581257</v>
      </c>
      <c r="AT15" s="1930">
        <f t="shared" si="19"/>
        <v>0.19279583397672942</v>
      </c>
      <c r="AV15" s="1935">
        <v>754.46100000000001</v>
      </c>
      <c r="AW15" s="1936">
        <v>3791.2420000000002</v>
      </c>
      <c r="AX15" s="1930">
        <f t="shared" si="20"/>
        <v>0.19900101338822476</v>
      </c>
      <c r="AZ15" s="1935">
        <v>2056.5882099999999</v>
      </c>
      <c r="BA15" s="1936">
        <v>5489.5613600000197</v>
      </c>
      <c r="BB15" s="1930">
        <f t="shared" si="11"/>
        <v>0.37463616400855615</v>
      </c>
      <c r="BD15" s="1935">
        <v>982.09900000000005</v>
      </c>
      <c r="BE15" s="1936">
        <v>3406.6129999999998</v>
      </c>
      <c r="BF15" s="1930">
        <f t="shared" si="13"/>
        <v>0.28829191927583209</v>
      </c>
      <c r="BH15" s="6"/>
    </row>
    <row r="16" spans="2:60">
      <c r="B16" s="1874" t="s">
        <v>85</v>
      </c>
      <c r="D16" s="1935">
        <v>10092870</v>
      </c>
      <c r="E16" s="1936">
        <v>86281430</v>
      </c>
      <c r="F16" s="1930">
        <f t="shared" si="21"/>
        <v>0.11697615581939243</v>
      </c>
      <c r="H16" s="1935">
        <v>5296711</v>
      </c>
      <c r="I16" s="1936">
        <v>62660941</v>
      </c>
      <c r="J16" s="1930">
        <f t="shared" si="22"/>
        <v>8.4529707270115842E-2</v>
      </c>
      <c r="L16" s="1935">
        <v>5411798</v>
      </c>
      <c r="M16" s="1936">
        <v>54043549</v>
      </c>
      <c r="N16" s="1930">
        <f t="shared" si="2"/>
        <v>0.1001377241157867</v>
      </c>
      <c r="P16" s="1935">
        <v>4115140</v>
      </c>
      <c r="Q16" s="1936">
        <v>55754919</v>
      </c>
      <c r="R16" s="1930">
        <f t="shared" si="14"/>
        <v>7.3807658118918623E-2</v>
      </c>
      <c r="T16" s="1935">
        <v>7996911</v>
      </c>
      <c r="U16" s="1936">
        <v>56645293</v>
      </c>
      <c r="V16" s="1930">
        <f t="shared" si="15"/>
        <v>0.14117520762051669</v>
      </c>
      <c r="X16" s="1935">
        <v>2468888</v>
      </c>
      <c r="Y16" s="1936">
        <v>53811692</v>
      </c>
      <c r="Z16" s="1930">
        <f t="shared" si="12"/>
        <v>4.588014069507422E-2</v>
      </c>
      <c r="AB16" s="1935">
        <v>6813584</v>
      </c>
      <c r="AC16" s="1936">
        <v>47277331</v>
      </c>
      <c r="AD16" s="1930">
        <f t="shared" si="16"/>
        <v>0.14411947239576617</v>
      </c>
      <c r="AF16" s="1935">
        <v>6832862</v>
      </c>
      <c r="AG16" s="1936">
        <v>55514815.25999999</v>
      </c>
      <c r="AH16" s="1930">
        <f t="shared" si="6"/>
        <v>0.12308177498202488</v>
      </c>
      <c r="AJ16" s="1935">
        <v>9019047</v>
      </c>
      <c r="AK16" s="1936">
        <v>73980290.639999986</v>
      </c>
      <c r="AL16" s="1930">
        <f t="shared" si="17"/>
        <v>0.12191148374758537</v>
      </c>
      <c r="AN16" s="1935">
        <v>15978059.989999998</v>
      </c>
      <c r="AO16" s="1936">
        <v>74673293.629999995</v>
      </c>
      <c r="AP16" s="1930">
        <f t="shared" si="18"/>
        <v>0.21397288392246319</v>
      </c>
      <c r="AR16" s="1935">
        <v>24285229.34</v>
      </c>
      <c r="AS16" s="1936">
        <v>104640749</v>
      </c>
      <c r="AT16" s="1930">
        <f t="shared" si="19"/>
        <v>0.23208195250972449</v>
      </c>
      <c r="AV16" s="1935">
        <v>4897.7979999999998</v>
      </c>
      <c r="AW16" s="1936">
        <v>674991.34299999999</v>
      </c>
      <c r="AX16" s="1930">
        <f t="shared" si="20"/>
        <v>7.2560900977362607E-3</v>
      </c>
      <c r="AZ16" s="1935">
        <v>7666.4898400000002</v>
      </c>
      <c r="BA16" s="1936">
        <v>127420.00512</v>
      </c>
      <c r="BB16" s="1930">
        <f t="shared" si="11"/>
        <v>6.0167081556620171E-2</v>
      </c>
      <c r="BD16" s="1935">
        <v>13367.171</v>
      </c>
      <c r="BE16" s="1936">
        <v>72636.747000000003</v>
      </c>
      <c r="BF16" s="1930">
        <f t="shared" si="13"/>
        <v>0.18402766577638727</v>
      </c>
      <c r="BH16" s="6"/>
    </row>
    <row r="17" spans="2:60">
      <c r="B17" s="1874" t="s">
        <v>86</v>
      </c>
      <c r="D17" s="1935">
        <v>418458</v>
      </c>
      <c r="E17" s="1936">
        <v>20742332</v>
      </c>
      <c r="F17" s="1930">
        <f t="shared" si="21"/>
        <v>2.017410578521258E-2</v>
      </c>
      <c r="H17" s="1935">
        <v>1365715</v>
      </c>
      <c r="I17" s="1936">
        <v>20493412</v>
      </c>
      <c r="J17" s="1930">
        <f t="shared" si="22"/>
        <v>6.6641660256476568E-2</v>
      </c>
      <c r="L17" s="1935">
        <v>1080283</v>
      </c>
      <c r="M17" s="1936">
        <v>22032692</v>
      </c>
      <c r="N17" s="1930">
        <f t="shared" si="2"/>
        <v>4.9030912790865501E-2</v>
      </c>
      <c r="P17" s="1935">
        <v>1135998</v>
      </c>
      <c r="Q17" s="1936">
        <v>19937664</v>
      </c>
      <c r="R17" s="1930">
        <f t="shared" si="14"/>
        <v>5.6977487432830647E-2</v>
      </c>
      <c r="T17" s="1935">
        <v>782059</v>
      </c>
      <c r="U17" s="1936">
        <v>15877248</v>
      </c>
      <c r="V17" s="1930">
        <f t="shared" si="15"/>
        <v>4.9256584012544243E-2</v>
      </c>
      <c r="X17" s="1935">
        <v>2319164</v>
      </c>
      <c r="Y17" s="1936">
        <v>17565055</v>
      </c>
      <c r="Z17" s="1930">
        <f t="shared" si="12"/>
        <v>0.13203283451147749</v>
      </c>
      <c r="AB17" s="1935">
        <v>869931</v>
      </c>
      <c r="AC17" s="1936">
        <v>13599521</v>
      </c>
      <c r="AD17" s="1930">
        <f t="shared" si="16"/>
        <v>6.3967767688288435E-2</v>
      </c>
      <c r="AF17" s="1935">
        <v>907607</v>
      </c>
      <c r="AG17" s="1936">
        <v>14500829.620000001</v>
      </c>
      <c r="AH17" s="1930">
        <f t="shared" si="6"/>
        <v>6.2590005108962857E-2</v>
      </c>
      <c r="AJ17" s="1935">
        <v>4276903</v>
      </c>
      <c r="AK17" s="1936">
        <v>18186990.669999998</v>
      </c>
      <c r="AL17" s="1930">
        <f t="shared" si="17"/>
        <v>0.23516276428595101</v>
      </c>
      <c r="AN17" s="1935">
        <v>556249.53</v>
      </c>
      <c r="AO17" s="1936">
        <v>10616492.68</v>
      </c>
      <c r="AP17" s="1930">
        <f t="shared" si="18"/>
        <v>5.2394848917279149E-2</v>
      </c>
      <c r="AR17" s="1935">
        <v>1178594.73</v>
      </c>
      <c r="AS17" s="1936">
        <v>9479603</v>
      </c>
      <c r="AT17" s="1930">
        <f t="shared" si="19"/>
        <v>0.12432954523517493</v>
      </c>
      <c r="AV17" s="1935">
        <v>184.20500000000001</v>
      </c>
      <c r="AW17" s="1936">
        <v>10196.973</v>
      </c>
      <c r="AX17" s="1930">
        <f t="shared" si="20"/>
        <v>1.8064674683359466E-2</v>
      </c>
      <c r="AZ17" s="1935">
        <v>299.40325999999999</v>
      </c>
      <c r="BA17" s="1936">
        <v>70651.988769999996</v>
      </c>
      <c r="BB17" s="1930">
        <f t="shared" si="11"/>
        <v>4.2377187848834002E-3</v>
      </c>
      <c r="BD17" s="1935">
        <v>417.61099999999999</v>
      </c>
      <c r="BE17" s="1936">
        <v>63720.667000000001</v>
      </c>
      <c r="BF17" s="1930">
        <f t="shared" si="13"/>
        <v>6.5537763438665827E-3</v>
      </c>
      <c r="BH17" s="6"/>
    </row>
    <row r="18" spans="2:60">
      <c r="B18" s="1943" t="s">
        <v>59</v>
      </c>
      <c r="D18" s="1937">
        <f>SUM(D13:D17)</f>
        <v>17281585</v>
      </c>
      <c r="E18" s="1938">
        <f>SUM(E13:E17)</f>
        <v>130742157</v>
      </c>
      <c r="F18" s="1931">
        <f>+D18/E18</f>
        <v>0.13218066304352008</v>
      </c>
      <c r="H18" s="1937">
        <f>SUM(H13:H17)</f>
        <v>10695037</v>
      </c>
      <c r="I18" s="1938">
        <f>SUM(I13:I17)</f>
        <v>102929827</v>
      </c>
      <c r="J18" s="1931">
        <f>+H18/I18</f>
        <v>0.10390610099830441</v>
      </c>
      <c r="L18" s="1937">
        <f>SUM(L13:L17)</f>
        <v>11930935</v>
      </c>
      <c r="M18" s="1938">
        <f>SUM(M13:M17)</f>
        <v>93612100</v>
      </c>
      <c r="N18" s="1931">
        <f>+L18/M18</f>
        <v>0.1274507782647756</v>
      </c>
      <c r="P18" s="1937">
        <v>11278002</v>
      </c>
      <c r="Q18" s="1938">
        <v>94228736</v>
      </c>
      <c r="R18" s="1931">
        <f t="shared" si="14"/>
        <v>0.11968750169799582</v>
      </c>
      <c r="T18" s="1937">
        <v>12976303</v>
      </c>
      <c r="U18" s="1938">
        <v>90106744</v>
      </c>
      <c r="V18" s="1931">
        <f t="shared" si="15"/>
        <v>0.14401034177863534</v>
      </c>
      <c r="X18" s="1937">
        <v>7544349</v>
      </c>
      <c r="Y18" s="1938">
        <v>89111880</v>
      </c>
      <c r="Z18" s="1931">
        <f t="shared" si="12"/>
        <v>8.4661540077484623E-2</v>
      </c>
      <c r="AB18" s="1937">
        <f>SUM(AB13:AB17)</f>
        <v>11886488</v>
      </c>
      <c r="AC18" s="1938">
        <f>SUM(AC13:AC17)</f>
        <v>76860035</v>
      </c>
      <c r="AD18" s="1931">
        <f t="shared" si="16"/>
        <v>0.15465108752552612</v>
      </c>
      <c r="AF18" s="1937">
        <f>SUM(AF13:AF17)</f>
        <v>9579933</v>
      </c>
      <c r="AG18" s="1938">
        <f>SUM(AG13:AG17)</f>
        <v>84960399.199999988</v>
      </c>
      <c r="AH18" s="1931">
        <f t="shared" si="6"/>
        <v>0.11275762696745899</v>
      </c>
      <c r="AJ18" s="1937">
        <f>SUM(AJ13:AJ17)</f>
        <v>16107201</v>
      </c>
      <c r="AK18" s="1938">
        <f>SUM(AK13:AK17)</f>
        <v>107409600.06999999</v>
      </c>
      <c r="AL18" s="1931">
        <f t="shared" si="17"/>
        <v>0.14996053415619054</v>
      </c>
      <c r="AN18" s="1937">
        <f>SUM(AN13:AN17)</f>
        <v>17913821.579999998</v>
      </c>
      <c r="AO18" s="1938">
        <f>SUM(AO13:AO17)</f>
        <v>96707708.810000002</v>
      </c>
      <c r="AP18" s="1931">
        <f t="shared" si="18"/>
        <v>0.18523674896687894</v>
      </c>
      <c r="AR18" s="1937">
        <f>SUM(AR13:AR17)</f>
        <v>27794890.359999999</v>
      </c>
      <c r="AS18" s="1938">
        <f>SUM(AS13:AS17)</f>
        <v>125275905.87</v>
      </c>
      <c r="AT18" s="1931">
        <f t="shared" si="19"/>
        <v>0.22186940231622049</v>
      </c>
      <c r="AV18" s="1937">
        <f>SUM(AV13:AV17)</f>
        <v>6813.0429999999997</v>
      </c>
      <c r="AW18" s="1938">
        <f>SUM(AW13:AW17)</f>
        <v>696900.54799999995</v>
      </c>
      <c r="AX18" s="1931">
        <f t="shared" si="20"/>
        <v>9.776205542602041E-3</v>
      </c>
      <c r="AZ18" s="1937">
        <f>SUM(AZ13:AZ17)</f>
        <v>11221.902329999999</v>
      </c>
      <c r="BA18" s="1938">
        <f>SUM(BA13:BA17)</f>
        <v>211608.14847000001</v>
      </c>
      <c r="BB18" s="1931">
        <f t="shared" si="11"/>
        <v>5.3031522704292004E-2</v>
      </c>
      <c r="BD18" s="1937">
        <f>SUM(BD13:BD17)</f>
        <v>17292.413</v>
      </c>
      <c r="BE18" s="1938">
        <f>SUM(BE13:BE17)</f>
        <v>148109.09899999999</v>
      </c>
      <c r="BF18" s="1931">
        <f t="shared" si="13"/>
        <v>0.11675456212180456</v>
      </c>
      <c r="BH18" s="6"/>
    </row>
    <row r="19" spans="2:60">
      <c r="B19" s="119"/>
      <c r="D19" s="1939"/>
      <c r="E19" s="1939"/>
      <c r="F19" s="1932"/>
      <c r="H19" s="1939"/>
      <c r="I19" s="1939"/>
      <c r="J19" s="1932"/>
      <c r="L19" s="1939"/>
      <c r="M19" s="1939"/>
      <c r="N19" s="1932"/>
      <c r="P19" s="1939"/>
      <c r="Q19" s="1939"/>
      <c r="R19" s="1932"/>
      <c r="T19" s="1939"/>
      <c r="U19" s="1939"/>
      <c r="V19" s="1932"/>
      <c r="X19" s="1939"/>
      <c r="Y19" s="1939"/>
      <c r="Z19" s="1932"/>
      <c r="AB19" s="1939"/>
      <c r="AC19" s="1939"/>
      <c r="AD19" s="1932"/>
      <c r="AF19" s="1939"/>
      <c r="AG19" s="1939"/>
      <c r="AH19" s="1932"/>
      <c r="AJ19" s="1939"/>
      <c r="AK19" s="1939"/>
      <c r="AL19" s="1932"/>
      <c r="AN19" s="1939"/>
      <c r="AO19" s="1939"/>
      <c r="AP19" s="1932"/>
      <c r="AR19" s="1939"/>
      <c r="AS19" s="1939"/>
      <c r="AT19" s="1932"/>
      <c r="AV19" s="1939"/>
      <c r="AW19" s="1939"/>
      <c r="AX19" s="1932"/>
      <c r="AZ19" s="1939"/>
      <c r="BA19" s="1939"/>
      <c r="BB19" s="1932"/>
      <c r="BD19" s="1939"/>
      <c r="BE19" s="1939"/>
      <c r="BF19" s="1932"/>
      <c r="BH19" s="6"/>
    </row>
    <row r="20" spans="2:60">
      <c r="B20" s="1942" t="s">
        <v>4</v>
      </c>
      <c r="D20" s="1933">
        <v>3786032</v>
      </c>
      <c r="E20" s="1934">
        <v>25810886</v>
      </c>
      <c r="F20" s="1930">
        <f t="shared" ref="F20:F25" si="23">+D20/E20</f>
        <v>0.14668353500147185</v>
      </c>
      <c r="H20" s="1933">
        <v>4345194</v>
      </c>
      <c r="I20" s="1934">
        <v>24750583</v>
      </c>
      <c r="J20" s="1930">
        <f t="shared" ref="J20:J25" si="24">+H20/I20</f>
        <v>0.17555925854352603</v>
      </c>
      <c r="L20" s="1933">
        <v>6348040</v>
      </c>
      <c r="M20" s="1934">
        <v>20039877</v>
      </c>
      <c r="N20" s="1930">
        <f t="shared" ref="N20:N25" si="25">+L20/M20</f>
        <v>0.31677040732335832</v>
      </c>
      <c r="P20" s="1933">
        <v>4835239</v>
      </c>
      <c r="Q20" s="1934">
        <v>23217697</v>
      </c>
      <c r="R20" s="1930">
        <f t="shared" ref="R20:R25" si="26">P20/Q20</f>
        <v>0.20825661563246345</v>
      </c>
      <c r="T20" s="1933">
        <v>5378781</v>
      </c>
      <c r="U20" s="1934">
        <v>26409157</v>
      </c>
      <c r="V20" s="1930">
        <f t="shared" ref="V20:V25" si="27">T20/U20</f>
        <v>0.20367106000392213</v>
      </c>
      <c r="X20" s="1933">
        <v>4208673</v>
      </c>
      <c r="Y20" s="1934">
        <v>25445653</v>
      </c>
      <c r="Z20" s="1930">
        <f t="shared" si="12"/>
        <v>0.16539850637749404</v>
      </c>
      <c r="AB20" s="1933">
        <v>3910872</v>
      </c>
      <c r="AC20" s="1934">
        <v>29002754</v>
      </c>
      <c r="AD20" s="1930">
        <f t="shared" ref="AD20:AD25" si="28">AB20/AC20</f>
        <v>0.13484484956152784</v>
      </c>
      <c r="AF20" s="1933">
        <v>2453027</v>
      </c>
      <c r="AG20" s="1934">
        <v>28037771.640000001</v>
      </c>
      <c r="AH20" s="1930">
        <f t="shared" si="6"/>
        <v>8.7490084144219105E-2</v>
      </c>
      <c r="AJ20" s="1933">
        <v>2598733</v>
      </c>
      <c r="AK20" s="1934">
        <v>26536484.91</v>
      </c>
      <c r="AL20" s="1930">
        <f t="shared" ref="AL20:AL25" si="29">AJ20/AK20</f>
        <v>9.7930566494158933E-2</v>
      </c>
      <c r="AN20" s="1933">
        <v>2493196.5699999998</v>
      </c>
      <c r="AO20" s="1934">
        <v>23517971.870000001</v>
      </c>
      <c r="AP20" s="1930">
        <f t="shared" ref="AP20:AP25" si="30">AN20/AO20</f>
        <v>0.10601239697800521</v>
      </c>
      <c r="AR20" s="1933">
        <v>4057112.1500000004</v>
      </c>
      <c r="AS20" s="1934">
        <v>30922524</v>
      </c>
      <c r="AT20" s="1930">
        <f t="shared" ref="AT20:AT25" si="31">AR20/AS20</f>
        <v>0.1312024901330823</v>
      </c>
      <c r="AV20" s="1933">
        <v>3250.1930000000002</v>
      </c>
      <c r="AW20" s="1934">
        <v>24122.48</v>
      </c>
      <c r="AX20" s="1930">
        <f t="shared" ref="AX20:AX25" si="32">AV20/AW20</f>
        <v>0.13473709999966837</v>
      </c>
      <c r="AZ20" s="1933">
        <v>6482.3054199999997</v>
      </c>
      <c r="BA20" s="1934">
        <v>36910.90797</v>
      </c>
      <c r="BB20" s="1930">
        <f t="shared" si="11"/>
        <v>0.17562031866754968</v>
      </c>
      <c r="BD20" s="1933">
        <v>6022.6589999999997</v>
      </c>
      <c r="BE20" s="1934">
        <v>31868.187000000002</v>
      </c>
      <c r="BF20" s="1930">
        <f t="shared" si="13"/>
        <v>0.18898655891532201</v>
      </c>
      <c r="BH20" s="6"/>
    </row>
    <row r="21" spans="2:60">
      <c r="B21" s="1874" t="s">
        <v>16</v>
      </c>
      <c r="D21" s="1935">
        <v>4385392</v>
      </c>
      <c r="E21" s="1936">
        <v>23662833</v>
      </c>
      <c r="F21" s="1930">
        <f t="shared" si="23"/>
        <v>0.18532827409127217</v>
      </c>
      <c r="H21" s="1935">
        <v>5048775</v>
      </c>
      <c r="I21" s="1936">
        <v>27098837</v>
      </c>
      <c r="J21" s="1930">
        <f t="shared" si="24"/>
        <v>0.18630965601955538</v>
      </c>
      <c r="L21" s="1935">
        <v>9152718</v>
      </c>
      <c r="M21" s="1936">
        <v>29983060</v>
      </c>
      <c r="N21" s="1930">
        <f t="shared" si="25"/>
        <v>0.30526297182475703</v>
      </c>
      <c r="P21" s="1935">
        <v>5212764</v>
      </c>
      <c r="Q21" s="1936">
        <v>23229828</v>
      </c>
      <c r="R21" s="1930">
        <f t="shared" si="26"/>
        <v>0.22439959521008937</v>
      </c>
      <c r="T21" s="1935">
        <v>3050371</v>
      </c>
      <c r="U21" s="1936">
        <v>22186480</v>
      </c>
      <c r="V21" s="1930">
        <f t="shared" si="27"/>
        <v>0.1374878304264579</v>
      </c>
      <c r="X21" s="1935">
        <v>2732689</v>
      </c>
      <c r="Y21" s="1936">
        <v>23924755</v>
      </c>
      <c r="Z21" s="1930">
        <f t="shared" si="12"/>
        <v>0.11422014561904605</v>
      </c>
      <c r="AB21" s="1935">
        <v>851706</v>
      </c>
      <c r="AC21" s="1936">
        <v>21808783</v>
      </c>
      <c r="AD21" s="1930">
        <f t="shared" si="28"/>
        <v>3.9053348368865884E-2</v>
      </c>
      <c r="AF21" s="1935">
        <v>1677469</v>
      </c>
      <c r="AG21" s="1936">
        <v>24199854</v>
      </c>
      <c r="AH21" s="1930">
        <f t="shared" si="6"/>
        <v>6.931731902184203E-2</v>
      </c>
      <c r="AJ21" s="1935">
        <v>2072259</v>
      </c>
      <c r="AK21" s="1936">
        <v>22582558</v>
      </c>
      <c r="AL21" s="1930">
        <f t="shared" si="29"/>
        <v>9.1763696566172878E-2</v>
      </c>
      <c r="AN21" s="1935">
        <v>1585557.3299999998</v>
      </c>
      <c r="AO21" s="1936">
        <v>26538805.379999995</v>
      </c>
      <c r="AP21" s="1930">
        <f t="shared" si="30"/>
        <v>5.9744864446494544E-2</v>
      </c>
      <c r="AR21" s="1935">
        <v>2182283.46</v>
      </c>
      <c r="AS21" s="1936">
        <v>28058499</v>
      </c>
      <c r="AT21" s="1930">
        <f t="shared" si="31"/>
        <v>7.7776201071910508E-2</v>
      </c>
      <c r="AV21" s="1935">
        <v>2350.9209999999998</v>
      </c>
      <c r="AW21" s="1936">
        <v>22154.499</v>
      </c>
      <c r="AX21" s="1930">
        <f t="shared" si="32"/>
        <v>0.10611483473401948</v>
      </c>
      <c r="AZ21" s="1935">
        <v>1146.60447</v>
      </c>
      <c r="BA21" s="1936">
        <v>22781.2382</v>
      </c>
      <c r="BB21" s="1930">
        <f t="shared" si="11"/>
        <v>5.0331086481506526E-2</v>
      </c>
      <c r="BD21" s="1935">
        <v>1546.241</v>
      </c>
      <c r="BE21" s="1936">
        <v>20467.61</v>
      </c>
      <c r="BF21" s="1930">
        <f t="shared" si="13"/>
        <v>7.5545752532904423E-2</v>
      </c>
      <c r="BH21" s="6"/>
    </row>
    <row r="22" spans="2:60">
      <c r="B22" s="1874" t="s">
        <v>41</v>
      </c>
      <c r="D22" s="1935">
        <v>4048941</v>
      </c>
      <c r="E22" s="1936">
        <v>23305417</v>
      </c>
      <c r="F22" s="1930">
        <f t="shared" si="23"/>
        <v>0.17373390057770688</v>
      </c>
      <c r="H22" s="1935">
        <v>3392141</v>
      </c>
      <c r="I22" s="1936">
        <v>20385269</v>
      </c>
      <c r="J22" s="1930">
        <f t="shared" si="24"/>
        <v>0.16640158145570705</v>
      </c>
      <c r="L22" s="1935">
        <v>6070675</v>
      </c>
      <c r="M22" s="1936">
        <v>18188040</v>
      </c>
      <c r="N22" s="1930">
        <f t="shared" si="25"/>
        <v>0.33377290791091291</v>
      </c>
      <c r="P22" s="1935">
        <v>4420480</v>
      </c>
      <c r="Q22" s="1936">
        <v>22366084</v>
      </c>
      <c r="R22" s="1930">
        <f t="shared" si="26"/>
        <v>0.19764210847102245</v>
      </c>
      <c r="T22" s="1935">
        <v>4997746</v>
      </c>
      <c r="U22" s="1936">
        <v>21604245</v>
      </c>
      <c r="V22" s="1930">
        <f t="shared" si="27"/>
        <v>0.2313316665312766</v>
      </c>
      <c r="X22" s="1935">
        <v>2150371</v>
      </c>
      <c r="Y22" s="1936">
        <v>20142528</v>
      </c>
      <c r="Z22" s="1930">
        <f t="shared" si="12"/>
        <v>0.10675775155928789</v>
      </c>
      <c r="AB22" s="1935">
        <v>1351840</v>
      </c>
      <c r="AC22" s="1936">
        <v>16956795</v>
      </c>
      <c r="AD22" s="1930">
        <f t="shared" si="28"/>
        <v>7.9722612675331636E-2</v>
      </c>
      <c r="AF22" s="1935">
        <v>2115684</v>
      </c>
      <c r="AG22" s="1936">
        <v>20150357</v>
      </c>
      <c r="AH22" s="1930">
        <f t="shared" si="6"/>
        <v>0.10499486435897885</v>
      </c>
      <c r="AJ22" s="1935">
        <v>2637431</v>
      </c>
      <c r="AK22" s="1936">
        <v>19517343.690000005</v>
      </c>
      <c r="AL22" s="1930">
        <f t="shared" si="29"/>
        <v>0.13513268208477192</v>
      </c>
      <c r="AN22" s="1935">
        <v>2581052.42</v>
      </c>
      <c r="AO22" s="1936">
        <v>21604736.829999998</v>
      </c>
      <c r="AP22" s="1930">
        <f t="shared" si="30"/>
        <v>0.1194669687628868</v>
      </c>
      <c r="AR22" s="1935">
        <v>2530619.64</v>
      </c>
      <c r="AS22" s="1936">
        <v>22959647</v>
      </c>
      <c r="AT22" s="1930">
        <f t="shared" si="31"/>
        <v>0.11022032002495509</v>
      </c>
      <c r="AV22" s="1935">
        <v>1489.78</v>
      </c>
      <c r="AW22" s="1936">
        <v>17004.931</v>
      </c>
      <c r="AX22" s="1930">
        <f t="shared" si="32"/>
        <v>8.7608705968874559E-2</v>
      </c>
      <c r="AZ22" s="1935">
        <v>7495.9536799999996</v>
      </c>
      <c r="BA22" s="1936">
        <v>25082.755579999899</v>
      </c>
      <c r="BB22" s="1930">
        <f t="shared" si="11"/>
        <v>0.29884889066881504</v>
      </c>
      <c r="BD22" s="1935">
        <v>3375.8429999999998</v>
      </c>
      <c r="BE22" s="1936">
        <v>19824.717000000001</v>
      </c>
      <c r="BF22" s="1930">
        <f t="shared" si="13"/>
        <v>0.17028454933303713</v>
      </c>
      <c r="BH22" s="6"/>
    </row>
    <row r="23" spans="2:60">
      <c r="B23" s="1874" t="s">
        <v>85</v>
      </c>
      <c r="D23" s="1935">
        <v>13315311</v>
      </c>
      <c r="E23" s="1936">
        <v>122557640</v>
      </c>
      <c r="F23" s="1930">
        <f t="shared" si="23"/>
        <v>0.10864529538917361</v>
      </c>
      <c r="H23" s="1935">
        <v>36464422</v>
      </c>
      <c r="I23" s="1936">
        <v>138307787</v>
      </c>
      <c r="J23" s="1930">
        <f t="shared" si="24"/>
        <v>0.26364691960547382</v>
      </c>
      <c r="L23" s="1935">
        <v>41450512</v>
      </c>
      <c r="M23" s="1936">
        <v>118915609</v>
      </c>
      <c r="N23" s="1930">
        <f t="shared" si="25"/>
        <v>0.34857082555074836</v>
      </c>
      <c r="P23" s="1935">
        <v>8441288</v>
      </c>
      <c r="Q23" s="1936">
        <v>121195753</v>
      </c>
      <c r="R23" s="1930">
        <f t="shared" si="26"/>
        <v>6.9650031383525463E-2</v>
      </c>
      <c r="T23" s="1935">
        <v>8623420</v>
      </c>
      <c r="U23" s="1936">
        <v>110273326</v>
      </c>
      <c r="V23" s="1930">
        <f t="shared" si="27"/>
        <v>7.8200416300130457E-2</v>
      </c>
      <c r="X23" s="1935">
        <v>8121306</v>
      </c>
      <c r="Y23" s="1936">
        <v>117922375</v>
      </c>
      <c r="Z23" s="1930">
        <f t="shared" si="12"/>
        <v>6.8869932444966447E-2</v>
      </c>
      <c r="AB23" s="1935">
        <v>5404767</v>
      </c>
      <c r="AC23" s="1936">
        <v>106306820</v>
      </c>
      <c r="AD23" s="1930">
        <f t="shared" si="28"/>
        <v>5.0841206613084652E-2</v>
      </c>
      <c r="AF23" s="1935">
        <v>11205058</v>
      </c>
      <c r="AG23" s="1936">
        <v>95624538.019999996</v>
      </c>
      <c r="AH23" s="1930">
        <f t="shared" si="6"/>
        <v>0.11717764322852413</v>
      </c>
      <c r="AJ23" s="1935">
        <v>10493123</v>
      </c>
      <c r="AK23" s="1936">
        <v>85112200.079999998</v>
      </c>
      <c r="AL23" s="1930">
        <f t="shared" si="29"/>
        <v>0.12328576855183086</v>
      </c>
      <c r="AN23" s="1935">
        <v>8567883.5099999998</v>
      </c>
      <c r="AO23" s="1936">
        <v>105655918.29999998</v>
      </c>
      <c r="AP23" s="1930">
        <f t="shared" si="30"/>
        <v>8.1092319747506289E-2</v>
      </c>
      <c r="AR23" s="1935">
        <v>14429569.41</v>
      </c>
      <c r="AS23" s="1936">
        <v>96469849</v>
      </c>
      <c r="AT23" s="1930">
        <f t="shared" si="31"/>
        <v>0.14957595103108329</v>
      </c>
      <c r="AV23" s="1935">
        <v>7389.0789999999997</v>
      </c>
      <c r="AW23" s="1936">
        <v>104777.079</v>
      </c>
      <c r="AX23" s="1930">
        <f t="shared" si="32"/>
        <v>7.0521902982235263E-2</v>
      </c>
      <c r="AZ23" s="1935">
        <v>17467.651010000001</v>
      </c>
      <c r="BA23" s="1936">
        <v>231812.41046000001</v>
      </c>
      <c r="BB23" s="1930">
        <f t="shared" si="11"/>
        <v>7.5352527396345334E-2</v>
      </c>
      <c r="BD23" s="1935">
        <v>14292.633</v>
      </c>
      <c r="BE23" s="1936">
        <v>245882.73300000001</v>
      </c>
      <c r="BF23" s="1930">
        <f t="shared" si="13"/>
        <v>5.8127843405742521E-2</v>
      </c>
      <c r="BH23" s="6"/>
    </row>
    <row r="24" spans="2:60">
      <c r="B24" s="1874" t="s">
        <v>86</v>
      </c>
      <c r="D24" s="1935">
        <v>381804</v>
      </c>
      <c r="E24" s="1936">
        <v>14630619</v>
      </c>
      <c r="F24" s="1930">
        <f t="shared" si="23"/>
        <v>2.6096230104823315E-2</v>
      </c>
      <c r="H24" s="1935">
        <v>726985</v>
      </c>
      <c r="I24" s="1936">
        <v>13380157</v>
      </c>
      <c r="J24" s="1930">
        <f t="shared" si="24"/>
        <v>5.4333069484909631E-2</v>
      </c>
      <c r="L24" s="1935">
        <v>1106533</v>
      </c>
      <c r="M24" s="1936">
        <v>6197316</v>
      </c>
      <c r="N24" s="1930">
        <f t="shared" si="25"/>
        <v>0.17855035954274398</v>
      </c>
      <c r="P24" s="1935">
        <v>89417</v>
      </c>
      <c r="Q24" s="1936">
        <v>8088926</v>
      </c>
      <c r="R24" s="1930">
        <f t="shared" si="26"/>
        <v>1.1054248734628059E-2</v>
      </c>
      <c r="T24" s="1935">
        <v>8785997</v>
      </c>
      <c r="U24" s="1936">
        <v>14502494</v>
      </c>
      <c r="V24" s="1930">
        <f t="shared" si="27"/>
        <v>0.60582662540663701</v>
      </c>
      <c r="X24" s="1935">
        <v>762129</v>
      </c>
      <c r="Y24" s="1936">
        <v>8847844</v>
      </c>
      <c r="Z24" s="1930">
        <f t="shared" si="12"/>
        <v>8.6137255584524314E-2</v>
      </c>
      <c r="AB24" s="1935">
        <v>152415</v>
      </c>
      <c r="AC24" s="1936">
        <v>7383186</v>
      </c>
      <c r="AD24" s="1930">
        <f t="shared" si="28"/>
        <v>2.0643527062707074E-2</v>
      </c>
      <c r="AF24" s="1935">
        <v>931917</v>
      </c>
      <c r="AG24" s="1936">
        <v>10675982</v>
      </c>
      <c r="AH24" s="1930">
        <f t="shared" si="6"/>
        <v>8.729098644040427E-2</v>
      </c>
      <c r="AJ24" s="1935">
        <v>1348504</v>
      </c>
      <c r="AK24" s="1936">
        <v>18769750.039999995</v>
      </c>
      <c r="AL24" s="1930">
        <f t="shared" si="29"/>
        <v>7.184453693449401E-2</v>
      </c>
      <c r="AN24" s="1935">
        <v>25617.93</v>
      </c>
      <c r="AO24" s="1936">
        <v>9684062.7300000004</v>
      </c>
      <c r="AP24" s="1930">
        <f t="shared" si="30"/>
        <v>2.6453701007779409E-3</v>
      </c>
      <c r="AR24" s="1935">
        <v>829007.50000000012</v>
      </c>
      <c r="AS24" s="1936">
        <v>17062916</v>
      </c>
      <c r="AT24" s="1930">
        <f t="shared" si="31"/>
        <v>4.8585335589766729E-2</v>
      </c>
      <c r="AV24" s="1935">
        <v>650.46</v>
      </c>
      <c r="AW24" s="1936">
        <v>18896.394</v>
      </c>
      <c r="AX24" s="1930">
        <f t="shared" si="32"/>
        <v>3.4422440598984125E-2</v>
      </c>
      <c r="AZ24" s="1935">
        <v>15043.332560000001</v>
      </c>
      <c r="BA24" s="1936">
        <v>43411.862000000001</v>
      </c>
      <c r="BB24" s="1930">
        <f t="shared" si="11"/>
        <v>0.34652585415479298</v>
      </c>
      <c r="BD24" s="1935">
        <v>1659.4559999999999</v>
      </c>
      <c r="BE24" s="1936">
        <v>20053.233</v>
      </c>
      <c r="BF24" s="1930">
        <f t="shared" si="13"/>
        <v>8.275254169739113E-2</v>
      </c>
      <c r="BH24" s="6"/>
    </row>
    <row r="25" spans="2:60">
      <c r="B25" s="1943" t="s">
        <v>25</v>
      </c>
      <c r="D25" s="1937">
        <f>SUM(D20:D24)</f>
        <v>25917480</v>
      </c>
      <c r="E25" s="1938">
        <f>SUM(E20:E24)</f>
        <v>209967395</v>
      </c>
      <c r="F25" s="1931">
        <f t="shared" si="23"/>
        <v>0.12343573629610445</v>
      </c>
      <c r="H25" s="1937">
        <f>SUM(H20:H24)</f>
        <v>49977517</v>
      </c>
      <c r="I25" s="1938">
        <f>SUM(I20:I24)</f>
        <v>223922633</v>
      </c>
      <c r="J25" s="1931">
        <f t="shared" si="24"/>
        <v>0.22319100276031498</v>
      </c>
      <c r="L25" s="1937">
        <f>SUM(L20:L24)</f>
        <v>64128478</v>
      </c>
      <c r="M25" s="1938">
        <f>SUM(M20:M24)</f>
        <v>193323902</v>
      </c>
      <c r="N25" s="1931">
        <f t="shared" si="25"/>
        <v>0.33171520612076205</v>
      </c>
      <c r="P25" s="1937">
        <v>22999188</v>
      </c>
      <c r="Q25" s="1938">
        <v>198098288</v>
      </c>
      <c r="R25" s="1931">
        <f t="shared" si="26"/>
        <v>0.11609988270065211</v>
      </c>
      <c r="T25" s="1937">
        <v>30836315</v>
      </c>
      <c r="U25" s="1938">
        <v>194975702</v>
      </c>
      <c r="V25" s="1931">
        <f t="shared" si="27"/>
        <v>0.15815465559908587</v>
      </c>
      <c r="X25" s="1937">
        <v>17975168</v>
      </c>
      <c r="Y25" s="1938">
        <v>196283155</v>
      </c>
      <c r="Z25" s="1931">
        <f t="shared" si="12"/>
        <v>9.1577741350244754E-2</v>
      </c>
      <c r="AB25" s="1937">
        <f>SUM(AB20:AB24)</f>
        <v>11671600</v>
      </c>
      <c r="AC25" s="1938">
        <f>SUM(AC20:AC24)</f>
        <v>181458338</v>
      </c>
      <c r="AD25" s="1931">
        <f t="shared" si="28"/>
        <v>6.4321100527218539E-2</v>
      </c>
      <c r="AF25" s="1937">
        <f>SUM(AF20:AF24)</f>
        <v>18383155</v>
      </c>
      <c r="AG25" s="1938">
        <f>SUM(AG20:AG24)</f>
        <v>178688502.66</v>
      </c>
      <c r="AH25" s="1931">
        <f t="shared" si="6"/>
        <v>0.10287821950681737</v>
      </c>
      <c r="AJ25" s="1937">
        <f>SUM(AJ20:AJ24)</f>
        <v>19150050</v>
      </c>
      <c r="AK25" s="1938">
        <f>SUM(AK20:AK24)</f>
        <v>172518336.72</v>
      </c>
      <c r="AL25" s="1931">
        <f t="shared" si="29"/>
        <v>0.11100298301090646</v>
      </c>
      <c r="AN25" s="1937">
        <f>SUM(AN20:AN24)</f>
        <v>15253307.759999998</v>
      </c>
      <c r="AO25" s="1938">
        <f>SUM(AO20:AO24)</f>
        <v>187001495.10999998</v>
      </c>
      <c r="AP25" s="1931">
        <f t="shared" si="30"/>
        <v>8.15678385406894E-2</v>
      </c>
      <c r="AR25" s="1937">
        <f>SUM(AR20:AR24)</f>
        <v>24028592.16</v>
      </c>
      <c r="AS25" s="1938">
        <f>SUM(AS20:AS24)</f>
        <v>195473435</v>
      </c>
      <c r="AT25" s="1931">
        <f t="shared" si="31"/>
        <v>0.12292510314764767</v>
      </c>
      <c r="AV25" s="1937">
        <f>SUM(AV20:AV24)</f>
        <v>15130.432999999997</v>
      </c>
      <c r="AW25" s="1938">
        <f>SUM(AW20:AW24)</f>
        <v>186955.383</v>
      </c>
      <c r="AX25" s="1931">
        <f t="shared" si="32"/>
        <v>8.0930715966600425E-2</v>
      </c>
      <c r="AZ25" s="1937">
        <f>SUM(AZ20:AZ24)</f>
        <v>47635.847140000005</v>
      </c>
      <c r="BA25" s="1938">
        <f>SUM(BA20:BA24)</f>
        <v>359999.17420999991</v>
      </c>
      <c r="BB25" s="1931">
        <f t="shared" si="11"/>
        <v>0.13232210113963311</v>
      </c>
      <c r="BD25" s="1937">
        <f>SUM(BD20:BD24)</f>
        <v>26896.831999999995</v>
      </c>
      <c r="BE25" s="1938">
        <f>SUM(BE20:BE24)</f>
        <v>338096.48000000004</v>
      </c>
      <c r="BF25" s="1931">
        <f t="shared" si="13"/>
        <v>7.9553717920991043E-2</v>
      </c>
      <c r="BH25" s="6"/>
    </row>
    <row r="26" spans="2:60">
      <c r="B26" s="119"/>
      <c r="D26" s="1939"/>
      <c r="E26" s="1939"/>
      <c r="F26" s="1932"/>
      <c r="H26" s="1939"/>
      <c r="I26" s="1939"/>
      <c r="J26" s="1932"/>
      <c r="L26" s="1939"/>
      <c r="M26" s="1939"/>
      <c r="N26" s="1932"/>
      <c r="P26" s="1939"/>
      <c r="Q26" s="1939"/>
      <c r="R26" s="1932"/>
      <c r="T26" s="1939"/>
      <c r="U26" s="1939"/>
      <c r="V26" s="1932"/>
      <c r="X26" s="1939"/>
      <c r="Y26" s="1939"/>
      <c r="Z26" s="1932"/>
      <c r="AB26" s="1939"/>
      <c r="AC26" s="1939"/>
      <c r="AD26" s="1932"/>
      <c r="AF26" s="1939"/>
      <c r="AG26" s="1939"/>
      <c r="AH26" s="1932"/>
      <c r="AJ26" s="1939"/>
      <c r="AK26" s="1939"/>
      <c r="AL26" s="1932"/>
      <c r="AN26" s="1939"/>
      <c r="AO26" s="1939"/>
      <c r="AP26" s="1932"/>
      <c r="AR26" s="1939"/>
      <c r="AS26" s="1939"/>
      <c r="AT26" s="1932"/>
      <c r="AV26" s="1939"/>
      <c r="AW26" s="1939"/>
      <c r="AX26" s="1932"/>
      <c r="AZ26" s="1939"/>
      <c r="BA26" s="1939"/>
      <c r="BB26" s="1932"/>
      <c r="BD26" s="1939"/>
      <c r="BE26" s="1939"/>
      <c r="BF26" s="1932"/>
      <c r="BH26" s="6"/>
    </row>
    <row r="27" spans="2:60">
      <c r="B27" s="1942" t="s">
        <v>4</v>
      </c>
      <c r="D27" s="1933">
        <v>3281896</v>
      </c>
      <c r="E27" s="1934">
        <v>5340711</v>
      </c>
      <c r="F27" s="1930">
        <f t="shared" ref="F27:F32" si="33">+D27/E27</f>
        <v>0.61450544693393816</v>
      </c>
      <c r="H27" s="1933">
        <v>3395930</v>
      </c>
      <c r="I27" s="1934">
        <v>5219698</v>
      </c>
      <c r="J27" s="1930">
        <f t="shared" ref="J27:J32" si="34">+H27/I27</f>
        <v>0.65059894269745111</v>
      </c>
      <c r="L27" s="1933">
        <v>3505333</v>
      </c>
      <c r="M27" s="1934">
        <v>5153281</v>
      </c>
      <c r="N27" s="1930">
        <f t="shared" ref="N27:N32" si="35">+L27/M27</f>
        <v>0.68021382882090076</v>
      </c>
      <c r="P27" s="1933">
        <v>4271738</v>
      </c>
      <c r="Q27" s="1934">
        <v>6487957</v>
      </c>
      <c r="R27" s="1930">
        <f t="shared" ref="R27:R32" si="36">P27/Q27</f>
        <v>0.65841034396497999</v>
      </c>
      <c r="T27" s="1933">
        <v>1143348</v>
      </c>
      <c r="U27" s="1934">
        <v>4106946</v>
      </c>
      <c r="V27" s="1930">
        <f t="shared" ref="V27:V32" si="37">T27/U27</f>
        <v>0.27839372614103036</v>
      </c>
      <c r="X27" s="1933">
        <v>2518511</v>
      </c>
      <c r="Y27" s="1934">
        <v>5213826</v>
      </c>
      <c r="Z27" s="1930">
        <f t="shared" si="12"/>
        <v>0.48304469692697838</v>
      </c>
      <c r="AB27" s="1933">
        <v>1417698</v>
      </c>
      <c r="AC27" s="1934">
        <v>3852775</v>
      </c>
      <c r="AD27" s="1930">
        <f t="shared" ref="AD27:AD32" si="38">AB27/AC27</f>
        <v>0.36796802304832232</v>
      </c>
      <c r="AF27" s="1933">
        <v>2926354</v>
      </c>
      <c r="AG27" s="1934">
        <v>5243822.2699999996</v>
      </c>
      <c r="AH27" s="1930">
        <f t="shared" si="6"/>
        <v>0.55805743393358753</v>
      </c>
      <c r="AJ27" s="1933">
        <v>2943846</v>
      </c>
      <c r="AK27" s="1934">
        <v>4164198.2900000005</v>
      </c>
      <c r="AL27" s="1930">
        <f t="shared" ref="AL27:AL32" si="39">AJ27/AK27</f>
        <v>0.70694183969803215</v>
      </c>
      <c r="AN27" s="1933">
        <v>2617648.29</v>
      </c>
      <c r="AO27" s="1934">
        <v>4691826.17</v>
      </c>
      <c r="AP27" s="1930">
        <f t="shared" ref="AP27:AP32" si="40">AN27/AO27</f>
        <v>0.5579167247792558</v>
      </c>
      <c r="AR27" s="1933">
        <v>1711014.7700000003</v>
      </c>
      <c r="AS27" s="1934">
        <v>3824228</v>
      </c>
      <c r="AT27" s="1930">
        <f t="shared" ref="AT27:AT32" si="41">AR27/AS27</f>
        <v>0.44741442455836844</v>
      </c>
      <c r="AV27" s="1933">
        <v>1192.297</v>
      </c>
      <c r="AW27" s="1934">
        <v>2489.7330000000002</v>
      </c>
      <c r="AX27" s="1930">
        <f t="shared" ref="AX27:AX32" si="42">AV27/AW27</f>
        <v>0.47888548691767346</v>
      </c>
      <c r="AZ27" s="1933">
        <v>1340.00008</v>
      </c>
      <c r="BA27" s="1934">
        <v>3136.3728599999999</v>
      </c>
      <c r="BB27" s="1930">
        <f t="shared" si="11"/>
        <v>0.42724514584659429</v>
      </c>
      <c r="BD27" s="1933">
        <v>1363.4169999999999</v>
      </c>
      <c r="BE27" s="1934">
        <v>2335.6149999999998</v>
      </c>
      <c r="BF27" s="1930">
        <f t="shared" si="13"/>
        <v>0.58375074659136894</v>
      </c>
      <c r="BH27" s="6"/>
    </row>
    <row r="28" spans="2:60">
      <c r="B28" s="1874" t="s">
        <v>16</v>
      </c>
      <c r="D28" s="1935">
        <v>616105</v>
      </c>
      <c r="E28" s="1936">
        <v>4359536</v>
      </c>
      <c r="F28" s="1930">
        <f t="shared" si="33"/>
        <v>0.14132352617342764</v>
      </c>
      <c r="H28" s="1935">
        <v>1042780</v>
      </c>
      <c r="I28" s="1936">
        <v>3987872</v>
      </c>
      <c r="J28" s="1930">
        <f t="shared" si="34"/>
        <v>0.26148783110390705</v>
      </c>
      <c r="L28" s="1935">
        <v>1392162</v>
      </c>
      <c r="M28" s="1936">
        <v>4738474</v>
      </c>
      <c r="N28" s="1930">
        <f t="shared" si="35"/>
        <v>0.29379964942299991</v>
      </c>
      <c r="P28" s="1935">
        <v>1123368</v>
      </c>
      <c r="Q28" s="1936">
        <v>3874866</v>
      </c>
      <c r="R28" s="1930">
        <f t="shared" si="36"/>
        <v>0.28991144467963537</v>
      </c>
      <c r="T28" s="1935">
        <v>1185388</v>
      </c>
      <c r="U28" s="1936">
        <v>4341138</v>
      </c>
      <c r="V28" s="1930">
        <f t="shared" si="37"/>
        <v>0.2730592761621492</v>
      </c>
      <c r="X28" s="1935">
        <v>1193141</v>
      </c>
      <c r="Y28" s="1936">
        <v>4651537</v>
      </c>
      <c r="Z28" s="1930">
        <f t="shared" si="12"/>
        <v>0.25650467791613824</v>
      </c>
      <c r="AB28" s="1935">
        <v>1305802</v>
      </c>
      <c r="AC28" s="1936">
        <v>3971316</v>
      </c>
      <c r="AD28" s="1930">
        <f t="shared" si="38"/>
        <v>0.32880838492832098</v>
      </c>
      <c r="AF28" s="1935">
        <v>2384388</v>
      </c>
      <c r="AG28" s="1936">
        <v>5446345.1199999992</v>
      </c>
      <c r="AH28" s="1930">
        <f t="shared" si="6"/>
        <v>0.43779598014163312</v>
      </c>
      <c r="AJ28" s="1935">
        <v>2166878</v>
      </c>
      <c r="AK28" s="1936">
        <v>5055249.99</v>
      </c>
      <c r="AL28" s="1930">
        <f t="shared" si="39"/>
        <v>0.42863913837819917</v>
      </c>
      <c r="AN28" s="1935">
        <v>1441431.1500000001</v>
      </c>
      <c r="AO28" s="1936">
        <v>3434016.69</v>
      </c>
      <c r="AP28" s="1930">
        <f t="shared" si="40"/>
        <v>0.41975077005231448</v>
      </c>
      <c r="AR28" s="1935">
        <v>2020993.82</v>
      </c>
      <c r="AS28" s="1936">
        <v>3917399</v>
      </c>
      <c r="AT28" s="1930">
        <f t="shared" si="41"/>
        <v>0.5159019594378822</v>
      </c>
      <c r="AV28" s="1935">
        <v>906.07899999999995</v>
      </c>
      <c r="AW28" s="1936">
        <v>2555.3200000000002</v>
      </c>
      <c r="AX28" s="1930">
        <f t="shared" si="42"/>
        <v>0.35458533569181155</v>
      </c>
      <c r="AZ28" s="1935">
        <v>2229.7894999999999</v>
      </c>
      <c r="BA28" s="1936">
        <v>3758.67002</v>
      </c>
      <c r="BB28" s="1930">
        <f t="shared" si="11"/>
        <v>0.59323896168996493</v>
      </c>
      <c r="BD28" s="1935">
        <v>3648.54</v>
      </c>
      <c r="BE28" s="1936">
        <v>4608.7749999999996</v>
      </c>
      <c r="BF28" s="1930">
        <f t="shared" si="13"/>
        <v>0.791650709787308</v>
      </c>
      <c r="BH28" s="6"/>
    </row>
    <row r="29" spans="2:60">
      <c r="B29" s="1874" t="s">
        <v>41</v>
      </c>
      <c r="D29" s="1935">
        <v>2276154</v>
      </c>
      <c r="E29" s="1936">
        <v>5848556</v>
      </c>
      <c r="F29" s="1930">
        <f t="shared" si="33"/>
        <v>0.38918221865363006</v>
      </c>
      <c r="H29" s="1935">
        <v>2337635</v>
      </c>
      <c r="I29" s="1936">
        <v>5669250</v>
      </c>
      <c r="J29" s="1930">
        <f t="shared" si="34"/>
        <v>0.41233584689332803</v>
      </c>
      <c r="L29" s="1935">
        <v>2019028</v>
      </c>
      <c r="M29" s="1936">
        <v>4742886</v>
      </c>
      <c r="N29" s="1930">
        <f t="shared" si="35"/>
        <v>0.42569608462020803</v>
      </c>
      <c r="P29" s="1935">
        <v>2333272</v>
      </c>
      <c r="Q29" s="1936">
        <v>4384610</v>
      </c>
      <c r="R29" s="1930">
        <f t="shared" si="36"/>
        <v>0.53215040790400969</v>
      </c>
      <c r="T29" s="1935">
        <v>2130339</v>
      </c>
      <c r="U29" s="1936">
        <v>4723000</v>
      </c>
      <c r="V29" s="1930">
        <f t="shared" si="37"/>
        <v>0.45105632013550712</v>
      </c>
      <c r="X29" s="1935">
        <v>2403882</v>
      </c>
      <c r="Y29" s="1936">
        <v>5432221</v>
      </c>
      <c r="Z29" s="1930">
        <f t="shared" si="12"/>
        <v>0.44252286495707743</v>
      </c>
      <c r="AB29" s="1935">
        <v>2775663</v>
      </c>
      <c r="AC29" s="1936">
        <v>5910032</v>
      </c>
      <c r="AD29" s="1930">
        <f t="shared" si="38"/>
        <v>0.46965278698998586</v>
      </c>
      <c r="AF29" s="1935">
        <v>2705382</v>
      </c>
      <c r="AG29" s="1936">
        <v>6472217.3600000003</v>
      </c>
      <c r="AH29" s="1930">
        <f t="shared" si="6"/>
        <v>0.41799924964201141</v>
      </c>
      <c r="AJ29" s="1935">
        <v>2234326</v>
      </c>
      <c r="AK29" s="1936">
        <v>4170625.1899999995</v>
      </c>
      <c r="AL29" s="1930">
        <f t="shared" si="39"/>
        <v>0.53572927276162163</v>
      </c>
      <c r="AN29" s="1935">
        <v>2236780.9500000002</v>
      </c>
      <c r="AO29" s="1936">
        <v>4864582.6100000003</v>
      </c>
      <c r="AP29" s="1930">
        <f t="shared" si="40"/>
        <v>0.45980942854211287</v>
      </c>
      <c r="AR29" s="1935">
        <v>1045131.9</v>
      </c>
      <c r="AS29" s="1936">
        <v>3735070.4200000013</v>
      </c>
      <c r="AT29" s="1930">
        <f t="shared" si="41"/>
        <v>0.27981584882675375</v>
      </c>
      <c r="AV29" s="1935">
        <v>950.29399999999998</v>
      </c>
      <c r="AW29" s="1936">
        <v>2913.1759999999999</v>
      </c>
      <c r="AX29" s="1930">
        <f t="shared" si="42"/>
        <v>0.32620548844285413</v>
      </c>
      <c r="AZ29" s="1935">
        <v>2949.33052</v>
      </c>
      <c r="BA29" s="1936">
        <v>4800.2083599999996</v>
      </c>
      <c r="BB29" s="1930">
        <f t="shared" si="11"/>
        <v>0.61441718750725238</v>
      </c>
      <c r="BD29" s="1935">
        <v>4359.1880000000001</v>
      </c>
      <c r="BE29" s="1936">
        <v>5232.0860000000002</v>
      </c>
      <c r="BF29" s="1930">
        <f t="shared" si="13"/>
        <v>0.83316443957534336</v>
      </c>
      <c r="BH29" s="6"/>
    </row>
    <row r="30" spans="2:60">
      <c r="B30" s="1874" t="s">
        <v>85</v>
      </c>
      <c r="D30" s="1935">
        <v>1206483</v>
      </c>
      <c r="E30" s="1936">
        <v>45538841</v>
      </c>
      <c r="F30" s="1930">
        <f t="shared" si="33"/>
        <v>2.6493493762829844E-2</v>
      </c>
      <c r="H30" s="1935">
        <v>538355</v>
      </c>
      <c r="I30" s="1936">
        <v>21289303</v>
      </c>
      <c r="J30" s="1930">
        <f t="shared" si="34"/>
        <v>2.5287582219107877E-2</v>
      </c>
      <c r="L30" s="1935">
        <v>4523355</v>
      </c>
      <c r="M30" s="1936">
        <v>21376701</v>
      </c>
      <c r="N30" s="1930">
        <f t="shared" si="35"/>
        <v>0.21160210829538198</v>
      </c>
      <c r="P30" s="1935">
        <v>4911128</v>
      </c>
      <c r="Q30" s="1936">
        <v>23982631</v>
      </c>
      <c r="R30" s="1930">
        <f t="shared" si="36"/>
        <v>0.2047785332643445</v>
      </c>
      <c r="T30" s="1935">
        <v>4235270</v>
      </c>
      <c r="U30" s="1936">
        <v>22892074</v>
      </c>
      <c r="V30" s="1930">
        <f t="shared" si="37"/>
        <v>0.18501032278683005</v>
      </c>
      <c r="X30" s="1935">
        <v>2151443</v>
      </c>
      <c r="Y30" s="1936">
        <v>21102578</v>
      </c>
      <c r="Z30" s="1930">
        <f t="shared" si="12"/>
        <v>0.1019516667584406</v>
      </c>
      <c r="AB30" s="1935">
        <v>969316</v>
      </c>
      <c r="AC30" s="1936">
        <v>18881978</v>
      </c>
      <c r="AD30" s="1930">
        <f t="shared" si="38"/>
        <v>5.1335511565578563E-2</v>
      </c>
      <c r="AF30" s="1935">
        <v>4651904</v>
      </c>
      <c r="AG30" s="1936">
        <v>19246642.990000002</v>
      </c>
      <c r="AH30" s="1930">
        <f t="shared" si="6"/>
        <v>0.24169950065665968</v>
      </c>
      <c r="AJ30" s="1935">
        <v>5151345</v>
      </c>
      <c r="AK30" s="1936">
        <v>20819366.740000002</v>
      </c>
      <c r="AL30" s="1930">
        <f t="shared" si="39"/>
        <v>0.24743043649367019</v>
      </c>
      <c r="AN30" s="1935">
        <v>5967898.9800000004</v>
      </c>
      <c r="AO30" s="1936">
        <v>21781328.02</v>
      </c>
      <c r="AP30" s="1930">
        <f t="shared" si="40"/>
        <v>0.27399151119344839</v>
      </c>
      <c r="AR30" s="1935">
        <v>6820884.7299999995</v>
      </c>
      <c r="AS30" s="1936">
        <v>22819202.310000002</v>
      </c>
      <c r="AT30" s="1930">
        <f t="shared" si="41"/>
        <v>0.29890986710832129</v>
      </c>
      <c r="AV30" s="1935">
        <v>2884.3220000000001</v>
      </c>
      <c r="AW30" s="1936">
        <v>19065.144</v>
      </c>
      <c r="AX30" s="1930">
        <f t="shared" si="42"/>
        <v>0.1512877112284072</v>
      </c>
      <c r="AZ30" s="1935">
        <v>3281.7864199999999</v>
      </c>
      <c r="BA30" s="1936">
        <v>20081.92368</v>
      </c>
      <c r="BB30" s="1930">
        <f t="shared" si="11"/>
        <v>0.16341992292642754</v>
      </c>
      <c r="BD30" s="1935">
        <v>2084.3159999999998</v>
      </c>
      <c r="BE30" s="1936">
        <v>14247.491</v>
      </c>
      <c r="BF30" s="1930">
        <f t="shared" si="13"/>
        <v>0.14629354740424119</v>
      </c>
      <c r="BH30" s="6"/>
    </row>
    <row r="31" spans="2:60">
      <c r="B31" s="1874" t="s">
        <v>86</v>
      </c>
      <c r="D31" s="1935">
        <v>11115444</v>
      </c>
      <c r="E31" s="1936">
        <v>18637511</v>
      </c>
      <c r="F31" s="1930">
        <f t="shared" si="33"/>
        <v>0.59640174055430473</v>
      </c>
      <c r="H31" s="1935">
        <v>2734393</v>
      </c>
      <c r="I31" s="1936">
        <v>8177801</v>
      </c>
      <c r="J31" s="1930">
        <f t="shared" si="34"/>
        <v>0.33436775974372573</v>
      </c>
      <c r="L31" s="1935">
        <v>2227217</v>
      </c>
      <c r="M31" s="1936">
        <v>5572066</v>
      </c>
      <c r="N31" s="1930">
        <f t="shared" si="35"/>
        <v>0.399711166378862</v>
      </c>
      <c r="P31" s="1935">
        <v>537657</v>
      </c>
      <c r="Q31" s="1936">
        <v>3125918</v>
      </c>
      <c r="R31" s="1930">
        <f t="shared" si="36"/>
        <v>0.17199971336420214</v>
      </c>
      <c r="T31" s="1935">
        <v>1995456</v>
      </c>
      <c r="U31" s="1936">
        <v>4981493</v>
      </c>
      <c r="V31" s="1930">
        <f t="shared" si="37"/>
        <v>0.40057388417488493</v>
      </c>
      <c r="X31" s="1935">
        <v>1323921</v>
      </c>
      <c r="Y31" s="1936">
        <v>4193085</v>
      </c>
      <c r="Z31" s="1930">
        <f t="shared" si="12"/>
        <v>0.31573912763514217</v>
      </c>
      <c r="AB31" s="1935">
        <v>48286</v>
      </c>
      <c r="AC31" s="1936">
        <v>17277501</v>
      </c>
      <c r="AD31" s="1930">
        <f t="shared" si="38"/>
        <v>2.7947328725375273E-3</v>
      </c>
      <c r="AF31" s="1935">
        <v>336488</v>
      </c>
      <c r="AG31" s="1936">
        <v>3024873.38</v>
      </c>
      <c r="AH31" s="1930">
        <f t="shared" si="6"/>
        <v>0.11124035876172775</v>
      </c>
      <c r="AJ31" s="1935">
        <v>2240750</v>
      </c>
      <c r="AK31" s="1936">
        <v>14075306.51</v>
      </c>
      <c r="AL31" s="1930">
        <f t="shared" si="39"/>
        <v>0.15919724365561969</v>
      </c>
      <c r="AN31" s="1935">
        <v>630296.37</v>
      </c>
      <c r="AO31" s="1936">
        <v>2668364.21</v>
      </c>
      <c r="AP31" s="1930">
        <f t="shared" si="40"/>
        <v>0.23621077199202878</v>
      </c>
      <c r="AR31" s="1935">
        <v>33264.15</v>
      </c>
      <c r="AS31" s="1936">
        <v>102293735.47</v>
      </c>
      <c r="AT31" s="1930">
        <f t="shared" si="41"/>
        <v>3.2518266976139004E-4</v>
      </c>
      <c r="AV31" s="1935">
        <v>944.29399999999998</v>
      </c>
      <c r="AW31" s="1936">
        <v>40805.379000000001</v>
      </c>
      <c r="AX31" s="1930">
        <f t="shared" si="42"/>
        <v>2.3141409861675344E-2</v>
      </c>
      <c r="AZ31" s="1935">
        <v>2022.5329200000001</v>
      </c>
      <c r="BA31" s="1936">
        <v>374097.53360999998</v>
      </c>
      <c r="BB31" s="1930">
        <f t="shared" si="11"/>
        <v>5.4064321153972344E-3</v>
      </c>
      <c r="BD31" s="1935">
        <v>377.935</v>
      </c>
      <c r="BE31" s="1936">
        <v>63335.339</v>
      </c>
      <c r="BF31" s="1930">
        <f t="shared" si="13"/>
        <v>5.9672057648574358E-3</v>
      </c>
      <c r="BH31" s="17"/>
    </row>
    <row r="32" spans="2:60">
      <c r="B32" s="1943" t="s">
        <v>240</v>
      </c>
      <c r="D32" s="1937">
        <f>SUM(D27:D31)</f>
        <v>18496082</v>
      </c>
      <c r="E32" s="1938">
        <f>SUM(E27:E31)</f>
        <v>79725155</v>
      </c>
      <c r="F32" s="1931">
        <f t="shared" si="33"/>
        <v>0.23199806886546662</v>
      </c>
      <c r="H32" s="1937">
        <f>SUM(H27:H31)</f>
        <v>10049093</v>
      </c>
      <c r="I32" s="1938">
        <f>SUM(I27:I31)</f>
        <v>44343924</v>
      </c>
      <c r="J32" s="1931">
        <f t="shared" si="34"/>
        <v>0.22661713473981238</v>
      </c>
      <c r="L32" s="1937">
        <f>SUM(L27:L31)</f>
        <v>13667095</v>
      </c>
      <c r="M32" s="1938">
        <f>SUM(M27:M31)</f>
        <v>41583408</v>
      </c>
      <c r="N32" s="1931">
        <f t="shared" si="35"/>
        <v>0.32866702507884876</v>
      </c>
      <c r="P32" s="1937">
        <v>13177163</v>
      </c>
      <c r="Q32" s="1938">
        <v>41855982</v>
      </c>
      <c r="R32" s="1931">
        <f t="shared" si="36"/>
        <v>0.31482149911092755</v>
      </c>
      <c r="T32" s="1937">
        <v>10689801</v>
      </c>
      <c r="U32" s="1938">
        <v>41044651</v>
      </c>
      <c r="V32" s="1931">
        <f t="shared" si="37"/>
        <v>0.26044321828927236</v>
      </c>
      <c r="X32" s="1937">
        <v>9590898</v>
      </c>
      <c r="Y32" s="1938">
        <v>40593247</v>
      </c>
      <c r="Z32" s="1931">
        <f t="shared" si="12"/>
        <v>0.23626831329851489</v>
      </c>
      <c r="AB32" s="1937">
        <f>SUM(AB27:AB31)</f>
        <v>6516765</v>
      </c>
      <c r="AC32" s="1938">
        <f>SUM(AC27:AC31)</f>
        <v>49893602</v>
      </c>
      <c r="AD32" s="1931">
        <f t="shared" si="38"/>
        <v>0.13061323974965769</v>
      </c>
      <c r="AF32" s="1937">
        <f>SUM(AF27:AF31)</f>
        <v>13004516</v>
      </c>
      <c r="AG32" s="1938">
        <f>SUM(AG27:AG31)</f>
        <v>39433901.120000005</v>
      </c>
      <c r="AH32" s="1931">
        <f t="shared" si="6"/>
        <v>0.32978010368353833</v>
      </c>
      <c r="AJ32" s="1937">
        <f>SUM(AJ27:AJ31)</f>
        <v>14737145</v>
      </c>
      <c r="AK32" s="1938">
        <f>SUM(AK27:AK31)</f>
        <v>48284746.719999999</v>
      </c>
      <c r="AL32" s="1931">
        <f t="shared" si="39"/>
        <v>0.30521326093848467</v>
      </c>
      <c r="AN32" s="1937">
        <f>SUM(AN27:AN31)</f>
        <v>12894055.74</v>
      </c>
      <c r="AO32" s="1938">
        <v>37440117.699999996</v>
      </c>
      <c r="AP32" s="1931">
        <f t="shared" si="40"/>
        <v>0.34439143176091036</v>
      </c>
      <c r="AR32" s="1937">
        <f>SUM(AR27:AR31)</f>
        <v>11631289.369999999</v>
      </c>
      <c r="AS32" s="1938">
        <f>SUM(AS27:AS31)</f>
        <v>136589635.19999999</v>
      </c>
      <c r="AT32" s="1931">
        <f t="shared" si="41"/>
        <v>8.5154992565643808E-2</v>
      </c>
      <c r="AV32" s="1937">
        <f>SUM(AV27:AV31)</f>
        <v>6877.2860000000001</v>
      </c>
      <c r="AW32" s="1938">
        <f>SUM(AW27:AW31)</f>
        <v>67828.752000000008</v>
      </c>
      <c r="AX32" s="1931">
        <f t="shared" si="42"/>
        <v>0.10139189941162413</v>
      </c>
      <c r="AZ32" s="1937">
        <f>SUM(AZ27:AZ31)</f>
        <v>11823.43944</v>
      </c>
      <c r="BA32" s="1938">
        <f>SUM(BA27:BA31)</f>
        <v>405874.70853</v>
      </c>
      <c r="BB32" s="1931">
        <f t="shared" si="11"/>
        <v>2.9130761763457053E-2</v>
      </c>
      <c r="BD32" s="1937">
        <f>SUM(BD27:BD31)</f>
        <v>11833.395999999999</v>
      </c>
      <c r="BE32" s="1938">
        <f>SUM(BE27:BE31)</f>
        <v>89759.305999999997</v>
      </c>
      <c r="BF32" s="1931">
        <f t="shared" si="13"/>
        <v>0.13183475371344783</v>
      </c>
      <c r="BH32" s="17"/>
    </row>
    <row r="33" spans="2:60">
      <c r="B33" s="119"/>
      <c r="D33" s="1939"/>
      <c r="E33" s="1939"/>
      <c r="F33" s="1932"/>
      <c r="H33" s="1939"/>
      <c r="I33" s="1939"/>
      <c r="J33" s="1932"/>
      <c r="L33" s="1939"/>
      <c r="M33" s="1939"/>
      <c r="N33" s="1932"/>
      <c r="P33" s="1939"/>
      <c r="Q33" s="1939"/>
      <c r="R33" s="1932"/>
      <c r="T33" s="1939"/>
      <c r="U33" s="1939"/>
      <c r="V33" s="1932"/>
      <c r="X33" s="1939"/>
      <c r="Y33" s="1939"/>
      <c r="Z33" s="1932"/>
      <c r="AB33" s="1939"/>
      <c r="AC33" s="1939"/>
      <c r="AD33" s="1932"/>
      <c r="AF33" s="1939"/>
      <c r="AG33" s="1939"/>
      <c r="AH33" s="1932"/>
      <c r="AJ33" s="1939"/>
      <c r="AK33" s="1939"/>
      <c r="AL33" s="1932"/>
      <c r="AN33" s="1939"/>
      <c r="AO33" s="1939"/>
      <c r="AP33" s="1932"/>
      <c r="AR33" s="1939"/>
      <c r="AS33" s="1939"/>
      <c r="AT33" s="1932"/>
      <c r="AV33" s="1939"/>
      <c r="AW33" s="1939"/>
      <c r="AX33" s="1932"/>
      <c r="AZ33" s="1939"/>
      <c r="BA33" s="1939"/>
      <c r="BB33" s="1932"/>
      <c r="BD33" s="1939"/>
      <c r="BE33" s="1939"/>
      <c r="BF33" s="1932"/>
      <c r="BH33" s="17"/>
    </row>
    <row r="34" spans="2:60">
      <c r="B34" s="1942" t="s">
        <v>16</v>
      </c>
      <c r="D34" s="1933">
        <v>2832483</v>
      </c>
      <c r="E34" s="1934">
        <v>16940757</v>
      </c>
      <c r="F34" s="1930">
        <f t="shared" ref="F34:F39" si="43">+D34/E34</f>
        <v>0.16719931700808885</v>
      </c>
      <c r="H34" s="1933">
        <v>3966125</v>
      </c>
      <c r="I34" s="1934">
        <v>19408424</v>
      </c>
      <c r="J34" s="1930">
        <f t="shared" ref="J34:J39" si="44">+H34/I34</f>
        <v>0.20435069843898712</v>
      </c>
      <c r="L34" s="1933">
        <v>2441245</v>
      </c>
      <c r="M34" s="1934">
        <v>16434579</v>
      </c>
      <c r="N34" s="1930">
        <f t="shared" ref="N34:N39" si="45">+L34/M34</f>
        <v>0.14854320271909613</v>
      </c>
      <c r="P34" s="1933">
        <v>2993483</v>
      </c>
      <c r="Q34" s="1934">
        <v>15215266</v>
      </c>
      <c r="R34" s="1930">
        <f t="shared" ref="R34:R39" si="46">P34/Q34</f>
        <v>0.1967420747031304</v>
      </c>
      <c r="T34" s="1933">
        <v>3975461</v>
      </c>
      <c r="U34" s="1934">
        <v>19224878</v>
      </c>
      <c r="V34" s="1930">
        <f t="shared" ref="V34:V39" si="47">T34/U34</f>
        <v>0.20678732005477485</v>
      </c>
      <c r="X34" s="1933">
        <v>803891</v>
      </c>
      <c r="Y34" s="1934">
        <v>19144574</v>
      </c>
      <c r="Z34" s="1930">
        <f t="shared" si="12"/>
        <v>4.1990539982764828E-2</v>
      </c>
      <c r="AB34" s="1933">
        <v>514144</v>
      </c>
      <c r="AC34" s="1934">
        <v>19372984</v>
      </c>
      <c r="AD34" s="1930">
        <f t="shared" ref="AD34:AD39" si="48">AB34/AC34</f>
        <v>2.6539225965395936E-2</v>
      </c>
      <c r="AF34" s="1933">
        <v>1249322</v>
      </c>
      <c r="AG34" s="1934">
        <v>21682031</v>
      </c>
      <c r="AH34" s="1930">
        <f t="shared" si="6"/>
        <v>5.7620155602581692E-2</v>
      </c>
      <c r="AJ34" s="1933">
        <v>769039</v>
      </c>
      <c r="AK34" s="1934">
        <v>18147907.109999999</v>
      </c>
      <c r="AL34" s="1930">
        <f t="shared" ref="AL34:AL39" si="49">AJ34/AK34</f>
        <v>4.2376181194813269E-2</v>
      </c>
      <c r="AN34" s="1933">
        <v>946290.4</v>
      </c>
      <c r="AO34" s="1934">
        <v>22428255.450000003</v>
      </c>
      <c r="AP34" s="1930">
        <f t="shared" ref="AP34:AP39" si="50">AN34/AO34</f>
        <v>4.2191886128174087E-2</v>
      </c>
      <c r="AR34" s="1933">
        <v>2799601.07</v>
      </c>
      <c r="AS34" s="1934">
        <v>24622486.720000003</v>
      </c>
      <c r="AT34" s="1930">
        <f t="shared" ref="AT34:AT39" si="51">AR34/AS34</f>
        <v>0.11370098811855506</v>
      </c>
      <c r="AV34" s="1933">
        <v>657.97400000000005</v>
      </c>
      <c r="AW34" s="1934">
        <v>21557.43</v>
      </c>
      <c r="AX34" s="1930">
        <f t="shared" ref="AX34:AX39" si="52">AV34/AW34</f>
        <v>3.0521912862525823E-2</v>
      </c>
      <c r="AZ34" s="1933">
        <v>4465.4868100000003</v>
      </c>
      <c r="BA34" s="1934">
        <v>33605.041790000003</v>
      </c>
      <c r="BB34" s="1930">
        <f t="shared" si="11"/>
        <v>0.13288145385758202</v>
      </c>
      <c r="BD34" s="1933">
        <v>1404.47</v>
      </c>
      <c r="BE34" s="1934">
        <v>22352.589</v>
      </c>
      <c r="BF34" s="1930">
        <f t="shared" si="13"/>
        <v>6.2832542574822098E-2</v>
      </c>
      <c r="BH34" s="17"/>
    </row>
    <row r="35" spans="2:60">
      <c r="B35" s="1874" t="s">
        <v>41</v>
      </c>
      <c r="D35" s="1935">
        <v>5423802</v>
      </c>
      <c r="E35" s="1936">
        <v>25457861</v>
      </c>
      <c r="F35" s="1930">
        <f t="shared" si="43"/>
        <v>0.21305018516677424</v>
      </c>
      <c r="H35" s="1935">
        <v>6792447</v>
      </c>
      <c r="I35" s="1936">
        <v>28455733</v>
      </c>
      <c r="J35" s="1930">
        <f t="shared" si="44"/>
        <v>0.23870223269244198</v>
      </c>
      <c r="L35" s="1935">
        <v>9141972</v>
      </c>
      <c r="M35" s="1936">
        <v>25485830</v>
      </c>
      <c r="N35" s="1930">
        <f t="shared" si="45"/>
        <v>0.35870803501396659</v>
      </c>
      <c r="P35" s="1935">
        <v>6308990</v>
      </c>
      <c r="Q35" s="1936">
        <v>25034959</v>
      </c>
      <c r="R35" s="1930">
        <f t="shared" si="46"/>
        <v>0.25200720320732301</v>
      </c>
      <c r="T35" s="1935">
        <v>6084407</v>
      </c>
      <c r="U35" s="1936">
        <v>29492338</v>
      </c>
      <c r="V35" s="1930">
        <f t="shared" si="47"/>
        <v>0.20630466801241731</v>
      </c>
      <c r="X35" s="1935">
        <v>2836168</v>
      </c>
      <c r="Y35" s="1936">
        <v>27066559</v>
      </c>
      <c r="Z35" s="1930">
        <f t="shared" si="12"/>
        <v>0.10478494883668071</v>
      </c>
      <c r="AB35" s="1935">
        <v>1610251</v>
      </c>
      <c r="AC35" s="1936">
        <v>22560915</v>
      </c>
      <c r="AD35" s="1930">
        <f t="shared" si="48"/>
        <v>7.1373479311455226E-2</v>
      </c>
      <c r="AF35" s="1935">
        <v>8533529</v>
      </c>
      <c r="AG35" s="1936">
        <v>33033756</v>
      </c>
      <c r="AH35" s="1930">
        <f t="shared" si="6"/>
        <v>0.25832754228734994</v>
      </c>
      <c r="AJ35" s="1935">
        <v>4422325</v>
      </c>
      <c r="AK35" s="1936">
        <v>26966160.77</v>
      </c>
      <c r="AL35" s="1930">
        <f t="shared" si="49"/>
        <v>0.16399535097780255</v>
      </c>
      <c r="AN35" s="1935">
        <v>2425865.6100000003</v>
      </c>
      <c r="AO35" s="1936">
        <v>25115423.980000004</v>
      </c>
      <c r="AP35" s="1930">
        <f t="shared" si="50"/>
        <v>9.6588678412587156E-2</v>
      </c>
      <c r="AR35" s="1935">
        <v>4359280.3599999994</v>
      </c>
      <c r="AS35" s="1936">
        <v>25412030.869999997</v>
      </c>
      <c r="AT35" s="1930">
        <f t="shared" si="51"/>
        <v>0.17154395814725373</v>
      </c>
      <c r="AV35" s="1935">
        <v>2243.2890000000002</v>
      </c>
      <c r="AW35" s="1936">
        <v>23737.074000000001</v>
      </c>
      <c r="AX35" s="1930">
        <f t="shared" si="52"/>
        <v>9.4505708664850613E-2</v>
      </c>
      <c r="AZ35" s="1935">
        <v>18981.408009999999</v>
      </c>
      <c r="BA35" s="1936">
        <v>47855.210240000102</v>
      </c>
      <c r="BB35" s="1930">
        <f t="shared" si="11"/>
        <v>0.39664245365981615</v>
      </c>
      <c r="BD35" s="1935">
        <v>10205.030000000001</v>
      </c>
      <c r="BE35" s="1936">
        <v>37177.546999999999</v>
      </c>
      <c r="BF35" s="1930">
        <f t="shared" si="13"/>
        <v>0.27449444149717572</v>
      </c>
      <c r="BH35" s="17"/>
    </row>
    <row r="36" spans="2:60">
      <c r="B36" s="1874" t="s">
        <v>21</v>
      </c>
      <c r="D36" s="1935">
        <v>1758377</v>
      </c>
      <c r="E36" s="1936">
        <v>7185312</v>
      </c>
      <c r="F36" s="1930">
        <f t="shared" si="43"/>
        <v>0.24471825301392619</v>
      </c>
      <c r="H36" s="1935">
        <v>2140455</v>
      </c>
      <c r="I36" s="1936">
        <v>7823065</v>
      </c>
      <c r="J36" s="1930">
        <f t="shared" si="44"/>
        <v>0.27360823411284452</v>
      </c>
      <c r="L36" s="1935">
        <v>3935094</v>
      </c>
      <c r="M36" s="1936">
        <v>9027500</v>
      </c>
      <c r="N36" s="1930">
        <f t="shared" si="45"/>
        <v>0.43590074771531434</v>
      </c>
      <c r="P36" s="1935">
        <v>3150542</v>
      </c>
      <c r="Q36" s="1936">
        <v>8067915</v>
      </c>
      <c r="R36" s="1930">
        <f t="shared" si="46"/>
        <v>0.39050262676292452</v>
      </c>
      <c r="T36" s="1935">
        <v>2003233</v>
      </c>
      <c r="U36" s="1936">
        <v>8594933</v>
      </c>
      <c r="V36" s="1930">
        <f t="shared" si="47"/>
        <v>0.23307139217955508</v>
      </c>
      <c r="X36" s="1935">
        <v>911647</v>
      </c>
      <c r="Y36" s="1936">
        <v>8324527</v>
      </c>
      <c r="Z36" s="1930">
        <f t="shared" si="12"/>
        <v>0.10951336934819239</v>
      </c>
      <c r="AB36" s="1935">
        <v>716001</v>
      </c>
      <c r="AC36" s="1936">
        <v>8347434</v>
      </c>
      <c r="AD36" s="1930">
        <f t="shared" si="48"/>
        <v>8.5774981868679642E-2</v>
      </c>
      <c r="AF36" s="1935">
        <v>2222242</v>
      </c>
      <c r="AG36" s="1936">
        <v>9629343</v>
      </c>
      <c r="AH36" s="1930">
        <f t="shared" si="6"/>
        <v>0.23077815381589378</v>
      </c>
      <c r="AJ36" s="1935">
        <v>1125974</v>
      </c>
      <c r="AK36" s="1936">
        <v>8354540.75</v>
      </c>
      <c r="AL36" s="1930">
        <f t="shared" si="49"/>
        <v>0.13477389526168748</v>
      </c>
      <c r="AN36" s="1935">
        <v>572329.55000000005</v>
      </c>
      <c r="AO36" s="1936">
        <v>8512811.1599999983</v>
      </c>
      <c r="AP36" s="1930">
        <f t="shared" si="50"/>
        <v>6.7231557148743348E-2</v>
      </c>
      <c r="AR36" s="1935">
        <v>2205726.7199999997</v>
      </c>
      <c r="AS36" s="1936">
        <v>11755729.889999999</v>
      </c>
      <c r="AT36" s="1930">
        <f t="shared" si="51"/>
        <v>0.18762992520577554</v>
      </c>
      <c r="AV36" s="1935">
        <v>458.38299999999998</v>
      </c>
      <c r="AW36" s="1936">
        <v>8285.6290000000008</v>
      </c>
      <c r="AX36" s="1930">
        <f t="shared" si="52"/>
        <v>5.5322655648714171E-2</v>
      </c>
      <c r="AZ36" s="1935">
        <v>3345.7326800000001</v>
      </c>
      <c r="BA36" s="1936">
        <v>14017.052530000001</v>
      </c>
      <c r="BB36" s="1930">
        <f t="shared" si="11"/>
        <v>0.23869017204860257</v>
      </c>
      <c r="BD36" s="1935">
        <v>2070.1930000000002</v>
      </c>
      <c r="BE36" s="1936">
        <v>10637.235000000001</v>
      </c>
      <c r="BF36" s="1930">
        <f t="shared" si="13"/>
        <v>0.19461758624304154</v>
      </c>
      <c r="BH36" s="17"/>
    </row>
    <row r="37" spans="2:60">
      <c r="B37" s="1874" t="s">
        <v>85</v>
      </c>
      <c r="D37" s="1935">
        <v>16779734</v>
      </c>
      <c r="E37" s="1936">
        <v>137764570</v>
      </c>
      <c r="F37" s="1930">
        <f t="shared" si="43"/>
        <v>0.12180006804361963</v>
      </c>
      <c r="H37" s="1935">
        <v>12062546</v>
      </c>
      <c r="I37" s="1936">
        <v>152778233</v>
      </c>
      <c r="J37" s="1930">
        <f t="shared" si="44"/>
        <v>7.8954611289423673E-2</v>
      </c>
      <c r="L37" s="1935">
        <v>14625059</v>
      </c>
      <c r="M37" s="1936">
        <v>129927726</v>
      </c>
      <c r="N37" s="1930">
        <f t="shared" si="45"/>
        <v>0.11256303369767282</v>
      </c>
      <c r="P37" s="1935">
        <v>11178942</v>
      </c>
      <c r="Q37" s="1936">
        <v>158166565</v>
      </c>
      <c r="R37" s="1930">
        <f t="shared" si="46"/>
        <v>7.0678287791101746E-2</v>
      </c>
      <c r="T37" s="1935">
        <v>5084658</v>
      </c>
      <c r="U37" s="1936">
        <v>94720895</v>
      </c>
      <c r="V37" s="1930">
        <f t="shared" si="47"/>
        <v>5.3680426055940457E-2</v>
      </c>
      <c r="X37" s="1935">
        <v>9014224</v>
      </c>
      <c r="Y37" s="1936">
        <v>117061346</v>
      </c>
      <c r="Z37" s="1930">
        <f t="shared" si="12"/>
        <v>7.7004274322969093E-2</v>
      </c>
      <c r="AB37" s="1935">
        <v>6689382</v>
      </c>
      <c r="AC37" s="1936">
        <v>99701583</v>
      </c>
      <c r="AD37" s="1930">
        <f t="shared" si="48"/>
        <v>6.7094040021410686E-2</v>
      </c>
      <c r="AF37" s="1935">
        <v>11495481</v>
      </c>
      <c r="AG37" s="1936">
        <v>100014616</v>
      </c>
      <c r="AH37" s="1930">
        <f t="shared" si="6"/>
        <v>0.11493801066036188</v>
      </c>
      <c r="AJ37" s="1935">
        <v>15331829</v>
      </c>
      <c r="AK37" s="1936">
        <v>141706982.87</v>
      </c>
      <c r="AL37" s="1930">
        <f t="shared" si="49"/>
        <v>0.10819388494119027</v>
      </c>
      <c r="AN37" s="1935">
        <v>10534989.420000002</v>
      </c>
      <c r="AO37" s="1936">
        <v>107382374.99000004</v>
      </c>
      <c r="AP37" s="1930">
        <f t="shared" si="50"/>
        <v>9.8107249173629008E-2</v>
      </c>
      <c r="AR37" s="1935">
        <v>13828394.439999999</v>
      </c>
      <c r="AS37" s="1936">
        <v>122362059</v>
      </c>
      <c r="AT37" s="1930">
        <f t="shared" si="51"/>
        <v>0.11301210974228539</v>
      </c>
      <c r="AV37" s="1935">
        <v>12542.671</v>
      </c>
      <c r="AW37" s="1936">
        <v>99945.835999999996</v>
      </c>
      <c r="AX37" s="1930">
        <f t="shared" si="52"/>
        <v>0.12549468294006766</v>
      </c>
      <c r="AZ37" s="1935">
        <v>24573.869269999999</v>
      </c>
      <c r="BA37" s="1936">
        <v>173213.75023000001</v>
      </c>
      <c r="BB37" s="1930">
        <f t="shared" si="11"/>
        <v>0.14187019931945272</v>
      </c>
      <c r="BD37" s="1935">
        <v>20190.496999999999</v>
      </c>
      <c r="BE37" s="1936">
        <v>181075.38399999999</v>
      </c>
      <c r="BF37" s="1930">
        <f t="shared" si="13"/>
        <v>0.11150326761146065</v>
      </c>
      <c r="BH37" s="17"/>
    </row>
    <row r="38" spans="2:60">
      <c r="B38" s="1874" t="s">
        <v>86</v>
      </c>
      <c r="D38" s="1935">
        <v>1877983</v>
      </c>
      <c r="E38" s="1936">
        <v>25232759</v>
      </c>
      <c r="F38" s="1930">
        <f t="shared" si="43"/>
        <v>7.4426383575414798E-2</v>
      </c>
      <c r="H38" s="1935">
        <v>1729621</v>
      </c>
      <c r="I38" s="1936">
        <v>19274044</v>
      </c>
      <c r="J38" s="1930">
        <f t="shared" si="44"/>
        <v>8.9738354856925717E-2</v>
      </c>
      <c r="L38" s="1935">
        <v>1411572</v>
      </c>
      <c r="M38" s="1936">
        <v>33183360</v>
      </c>
      <c r="N38" s="1930">
        <f t="shared" si="45"/>
        <v>4.2538549441647859E-2</v>
      </c>
      <c r="P38" s="1935">
        <v>1262037</v>
      </c>
      <c r="Q38" s="1936">
        <v>11209582</v>
      </c>
      <c r="R38" s="1930">
        <f t="shared" si="46"/>
        <v>0.11258555403760818</v>
      </c>
      <c r="T38" s="1935">
        <v>9473249</v>
      </c>
      <c r="U38" s="1936">
        <v>16920214</v>
      </c>
      <c r="V38" s="1930">
        <f t="shared" si="47"/>
        <v>0.55987761147701798</v>
      </c>
      <c r="X38" s="1935">
        <v>1745703</v>
      </c>
      <c r="Y38" s="1936">
        <v>13345297</v>
      </c>
      <c r="Z38" s="1930">
        <f t="shared" si="12"/>
        <v>0.13081035214128242</v>
      </c>
      <c r="AB38" s="1935">
        <v>80049</v>
      </c>
      <c r="AC38" s="1936">
        <v>13680271</v>
      </c>
      <c r="AD38" s="1930">
        <f t="shared" si="48"/>
        <v>5.8514191714476999E-3</v>
      </c>
      <c r="AF38" s="1935">
        <v>1176113</v>
      </c>
      <c r="AG38" s="1936">
        <v>17244619</v>
      </c>
      <c r="AH38" s="1930">
        <f t="shared" si="6"/>
        <v>6.8201738756884109E-2</v>
      </c>
      <c r="AJ38" s="1935">
        <v>7701497</v>
      </c>
      <c r="AK38" s="1936">
        <v>27328570.91</v>
      </c>
      <c r="AL38" s="1930">
        <f t="shared" si="49"/>
        <v>0.28181118673797495</v>
      </c>
      <c r="AN38" s="1935">
        <v>4647901.47</v>
      </c>
      <c r="AO38" s="1936">
        <v>23994530.239999998</v>
      </c>
      <c r="AP38" s="1930">
        <f t="shared" si="50"/>
        <v>0.19370670830019968</v>
      </c>
      <c r="AR38" s="1935">
        <v>2465409.5</v>
      </c>
      <c r="AS38" s="1936">
        <v>28787836.789999995</v>
      </c>
      <c r="AT38" s="1930">
        <f t="shared" si="51"/>
        <v>8.5640665465228943E-2</v>
      </c>
      <c r="AV38" s="1935">
        <v>2353.7669999999998</v>
      </c>
      <c r="AW38" s="1936">
        <v>32351.325000000001</v>
      </c>
      <c r="AX38" s="1930">
        <f t="shared" si="52"/>
        <v>7.275643269634241E-2</v>
      </c>
      <c r="AZ38" s="1935">
        <v>4420.9780199999996</v>
      </c>
      <c r="BA38" s="1936">
        <v>34200.820679999997</v>
      </c>
      <c r="BB38" s="1930">
        <f t="shared" si="11"/>
        <v>0.12926526124518717</v>
      </c>
      <c r="BD38" s="1935">
        <v>1538.1089999999999</v>
      </c>
      <c r="BE38" s="1936">
        <v>27559.028999999999</v>
      </c>
      <c r="BF38" s="1930">
        <f t="shared" si="13"/>
        <v>5.5811436607581491E-2</v>
      </c>
      <c r="BH38" s="17"/>
    </row>
    <row r="39" spans="2:60">
      <c r="B39" s="1943" t="s">
        <v>48</v>
      </c>
      <c r="D39" s="1937">
        <f>SUM(D34:D38)</f>
        <v>28672379</v>
      </c>
      <c r="E39" s="1938">
        <f>SUM(E34:E38)</f>
        <v>212581259</v>
      </c>
      <c r="F39" s="1931">
        <f t="shared" si="43"/>
        <v>0.13487726592116947</v>
      </c>
      <c r="H39" s="1937">
        <f>SUM(H34:H38)</f>
        <v>26691194</v>
      </c>
      <c r="I39" s="1938">
        <f>SUM(I34:I38)</f>
        <v>227739499</v>
      </c>
      <c r="J39" s="1931">
        <f t="shared" si="44"/>
        <v>0.11720054763095795</v>
      </c>
      <c r="L39" s="1937">
        <f>SUM(L34:L38)</f>
        <v>31554942</v>
      </c>
      <c r="M39" s="1938">
        <f>SUM(M34:M38)</f>
        <v>214058995</v>
      </c>
      <c r="N39" s="1931">
        <f t="shared" si="45"/>
        <v>0.14741236171831976</v>
      </c>
      <c r="P39" s="1937">
        <v>24893994</v>
      </c>
      <c r="Q39" s="1938">
        <v>217694287</v>
      </c>
      <c r="R39" s="1931">
        <f t="shared" si="46"/>
        <v>0.11435299631909955</v>
      </c>
      <c r="T39" s="1937">
        <v>26621008</v>
      </c>
      <c r="U39" s="1938">
        <v>168953258</v>
      </c>
      <c r="V39" s="1931">
        <f t="shared" si="47"/>
        <v>0.1575643365219983</v>
      </c>
      <c r="X39" s="1937">
        <v>15311633</v>
      </c>
      <c r="Y39" s="1938">
        <v>184942303</v>
      </c>
      <c r="Z39" s="1931">
        <f t="shared" si="12"/>
        <v>8.2791404408973965E-2</v>
      </c>
      <c r="AB39" s="1937">
        <f>SUM(AB34:AB38)</f>
        <v>9609827</v>
      </c>
      <c r="AC39" s="1938">
        <f>SUM(AC34:AC38)</f>
        <v>163663187</v>
      </c>
      <c r="AD39" s="1931">
        <f t="shared" si="48"/>
        <v>5.8717095616621473E-2</v>
      </c>
      <c r="AF39" s="1937">
        <f>SUM(AF34:AF38)</f>
        <v>24676687</v>
      </c>
      <c r="AG39" s="1938">
        <f>SUM(AG34:AG38)</f>
        <v>181604365</v>
      </c>
      <c r="AH39" s="1931">
        <f t="shared" si="6"/>
        <v>0.13588157421216168</v>
      </c>
      <c r="AJ39" s="1937">
        <f>SUM(AJ34:AJ38)</f>
        <v>29350664</v>
      </c>
      <c r="AK39" s="1938">
        <f>SUM(AK34:AK38)</f>
        <v>222504162.41</v>
      </c>
      <c r="AL39" s="1931">
        <f t="shared" si="49"/>
        <v>0.13191062891631053</v>
      </c>
      <c r="AN39" s="1937">
        <f>SUM(AN34:AN38)</f>
        <v>19127376.450000003</v>
      </c>
      <c r="AO39" s="1938">
        <v>187433395.82000005</v>
      </c>
      <c r="AP39" s="1931">
        <f t="shared" si="50"/>
        <v>0.10204892445297638</v>
      </c>
      <c r="AR39" s="1937">
        <f>SUM(AR34:AR38)</f>
        <v>25658412.089999996</v>
      </c>
      <c r="AS39" s="1938">
        <f>SUM(AS34:AS38)</f>
        <v>212940143.27000001</v>
      </c>
      <c r="AT39" s="1931">
        <f t="shared" si="51"/>
        <v>0.12049589004674476</v>
      </c>
      <c r="AV39" s="1937">
        <f>SUM(AV34:AV38)</f>
        <v>18256.084000000003</v>
      </c>
      <c r="AW39" s="1938">
        <f>SUM(AW34:AW38)</f>
        <v>185877.29399999999</v>
      </c>
      <c r="AX39" s="1931">
        <f t="shared" si="52"/>
        <v>9.821578314993118E-2</v>
      </c>
      <c r="AZ39" s="1937">
        <f>SUM(AZ34:AZ38)</f>
        <v>55787.47479</v>
      </c>
      <c r="BA39" s="1938">
        <f>SUM(BA34:BA38)</f>
        <v>302891.87547000009</v>
      </c>
      <c r="BB39" s="1931">
        <f t="shared" si="11"/>
        <v>0.18418280352826918</v>
      </c>
      <c r="BD39" s="1937">
        <f>SUM(BD34:BD38)</f>
        <v>35408.298999999999</v>
      </c>
      <c r="BE39" s="1938">
        <f>SUM(BE34:BE38)</f>
        <v>278801.78399999999</v>
      </c>
      <c r="BF39" s="1931">
        <f t="shared" si="13"/>
        <v>0.1270016945085258</v>
      </c>
      <c r="BH39" s="17"/>
    </row>
    <row r="40" spans="2:60">
      <c r="B40" s="119"/>
      <c r="D40" s="1939"/>
      <c r="E40" s="1939"/>
      <c r="F40" s="1932"/>
      <c r="H40" s="1939"/>
      <c r="I40" s="1939"/>
      <c r="J40" s="1932"/>
      <c r="L40" s="1939"/>
      <c r="M40" s="1939"/>
      <c r="N40" s="1932"/>
      <c r="P40" s="1939"/>
      <c r="Q40" s="1939"/>
      <c r="R40" s="1932"/>
      <c r="T40" s="1939"/>
      <c r="U40" s="1939"/>
      <c r="V40" s="1932"/>
      <c r="X40" s="1939"/>
      <c r="Y40" s="1939"/>
      <c r="Z40" s="1932"/>
      <c r="AB40" s="1939"/>
      <c r="AC40" s="1939"/>
      <c r="AD40" s="1932"/>
      <c r="AF40" s="1939"/>
      <c r="AG40" s="1939"/>
      <c r="AH40" s="1932"/>
      <c r="AJ40" s="1939"/>
      <c r="AK40" s="1939"/>
      <c r="AL40" s="1932"/>
      <c r="AN40" s="1939"/>
      <c r="AO40" s="1939"/>
      <c r="AP40" s="1932"/>
      <c r="AR40" s="1939"/>
      <c r="AS40" s="1939"/>
      <c r="AT40" s="1932"/>
      <c r="AV40" s="1939"/>
      <c r="AW40" s="1939"/>
      <c r="AX40" s="1932"/>
      <c r="AZ40" s="1939"/>
      <c r="BA40" s="1939"/>
      <c r="BB40" s="1932"/>
      <c r="BD40" s="1939"/>
      <c r="BE40" s="1939"/>
      <c r="BF40" s="1932"/>
      <c r="BH40" s="17"/>
    </row>
    <row r="41" spans="2:60">
      <c r="B41" s="1791" t="s">
        <v>87</v>
      </c>
      <c r="D41" s="1940">
        <v>24823868</v>
      </c>
      <c r="E41" s="1941">
        <v>1409314897</v>
      </c>
      <c r="F41" s="1931">
        <f>+D41/E41</f>
        <v>1.7614138651938199E-2</v>
      </c>
      <c r="H41" s="1940">
        <v>12922280</v>
      </c>
      <c r="I41" s="1941">
        <v>1296470055</v>
      </c>
      <c r="J41" s="1931">
        <f>+H41/I41</f>
        <v>9.9672799615876974E-3</v>
      </c>
      <c r="L41" s="1940">
        <v>15770419</v>
      </c>
      <c r="M41" s="1941">
        <v>1101243279</v>
      </c>
      <c r="N41" s="1931">
        <f>+L41/M41</f>
        <v>1.4320558681929536E-2</v>
      </c>
      <c r="P41" s="1940">
        <v>18021987</v>
      </c>
      <c r="Q41" s="1941">
        <v>847015211</v>
      </c>
      <c r="R41" s="1931">
        <f>P41/Q41</f>
        <v>2.1277052366890727E-2</v>
      </c>
      <c r="T41" s="1940">
        <v>18738683</v>
      </c>
      <c r="U41" s="1941">
        <v>493681159</v>
      </c>
      <c r="V41" s="1931">
        <f>T41/U41</f>
        <v>3.7957055193187955E-2</v>
      </c>
      <c r="X41" s="1940">
        <v>20242847</v>
      </c>
      <c r="Y41" s="1941">
        <v>772292925</v>
      </c>
      <c r="Z41" s="1931">
        <f t="shared" si="12"/>
        <v>2.6211358857133129E-2</v>
      </c>
      <c r="AB41" s="1940">
        <v>22876537</v>
      </c>
      <c r="AC41" s="1941">
        <f>1689570389-1030606703</f>
        <v>658963686</v>
      </c>
      <c r="AD41" s="1931">
        <f>AB41/AC41</f>
        <v>3.4715929702991248E-2</v>
      </c>
      <c r="AF41" s="1940">
        <v>6478793</v>
      </c>
      <c r="AG41" s="1941">
        <v>323814823.56999999</v>
      </c>
      <c r="AH41" s="1931">
        <f t="shared" si="6"/>
        <v>2.000770974155067E-2</v>
      </c>
      <c r="AJ41" s="1940">
        <v>14180029.460000001</v>
      </c>
      <c r="AK41" s="1941">
        <v>386904713.12000006</v>
      </c>
      <c r="AL41" s="1931">
        <f>AJ41/AK41</f>
        <v>3.6649926917799031E-2</v>
      </c>
      <c r="AN41" s="1940">
        <v>6207434.8100000005</v>
      </c>
      <c r="AO41" s="1941">
        <v>348170844.51000005</v>
      </c>
      <c r="AP41" s="1931">
        <f>AN41/AO41</f>
        <v>1.7828703660514898E-2</v>
      </c>
      <c r="AR41" s="1940">
        <v>55779082</v>
      </c>
      <c r="AS41" s="1941">
        <v>241904405</v>
      </c>
      <c r="AT41" s="1931">
        <f>AR41/AS41</f>
        <v>0.23058315949227962</v>
      </c>
      <c r="AV41" s="1940">
        <v>314.04399999999998</v>
      </c>
      <c r="AW41" s="1941">
        <v>215342.73699999999</v>
      </c>
      <c r="AX41" s="1931">
        <f>AV41/AW41</f>
        <v>1.4583449823989188E-3</v>
      </c>
      <c r="AZ41" s="1940">
        <v>54737.291879999997</v>
      </c>
      <c r="BA41" s="1941">
        <v>254566.56563</v>
      </c>
      <c r="BB41" s="1931">
        <f t="shared" si="11"/>
        <v>0.21502152784493295</v>
      </c>
      <c r="BD41" s="1940">
        <v>88020.993000000002</v>
      </c>
      <c r="BE41" s="1941">
        <v>283877.58199999999</v>
      </c>
      <c r="BF41" s="1931">
        <f t="shared" si="13"/>
        <v>0.31006672798840451</v>
      </c>
      <c r="BH41" s="17"/>
    </row>
    <row r="42" spans="2:60">
      <c r="B42" s="157"/>
      <c r="D42" s="1939"/>
      <c r="E42" s="1939"/>
      <c r="F42" s="1932"/>
      <c r="H42" s="1939"/>
      <c r="I42" s="1939"/>
      <c r="J42" s="1932"/>
      <c r="L42" s="1939"/>
      <c r="M42" s="1939"/>
      <c r="N42" s="1932"/>
      <c r="P42" s="1939"/>
      <c r="Q42" s="1939"/>
      <c r="R42" s="1932"/>
      <c r="T42" s="1939"/>
      <c r="U42" s="1939"/>
      <c r="V42" s="1932"/>
      <c r="X42" s="1939"/>
      <c r="Y42" s="1939"/>
      <c r="Z42" s="1932"/>
      <c r="AB42" s="1939"/>
      <c r="AC42" s="1939"/>
      <c r="AD42" s="1932"/>
      <c r="AF42" s="1939"/>
      <c r="AG42" s="1939"/>
      <c r="AH42" s="1932"/>
      <c r="AJ42" s="1939"/>
      <c r="AK42" s="1939"/>
      <c r="AL42" s="1932"/>
      <c r="AN42" s="1939"/>
      <c r="AO42" s="1939"/>
      <c r="AP42" s="1932"/>
      <c r="AR42" s="1939"/>
      <c r="AS42" s="1939"/>
      <c r="AT42" s="1932"/>
      <c r="AV42" s="1939"/>
      <c r="AW42" s="1939"/>
      <c r="AX42" s="1932"/>
      <c r="AZ42" s="1939"/>
      <c r="BA42" s="1939"/>
      <c r="BB42" s="1932"/>
      <c r="BD42" s="1939"/>
      <c r="BE42" s="1939"/>
      <c r="BF42" s="1932"/>
      <c r="BH42" s="17"/>
    </row>
    <row r="43" spans="2:60" s="27" customFormat="1">
      <c r="B43" s="1792" t="s">
        <v>67</v>
      </c>
      <c r="D43" s="4169">
        <f>+D11+D18+D25+D32+D39+D41</f>
        <v>141617368</v>
      </c>
      <c r="E43" s="4169">
        <f>+E11+E18+E25+E32+E39+E41</f>
        <v>2244687716</v>
      </c>
      <c r="F43" s="1944">
        <f>+D43/E43</f>
        <v>6.3090008908838341E-2</v>
      </c>
      <c r="H43" s="4169">
        <f>+H11+H18+H25+H32+H39+H41</f>
        <v>134885547</v>
      </c>
      <c r="I43" s="4169">
        <f>+I11+I18+I25+I32+I39+I41</f>
        <v>2090595874</v>
      </c>
      <c r="J43" s="1944">
        <f>+H43/I43</f>
        <v>6.4520144078309805E-2</v>
      </c>
      <c r="L43" s="4169">
        <f>+L11+L18+L25+L32+L39+L41</f>
        <v>170118599</v>
      </c>
      <c r="M43" s="4169">
        <f>+M11+M18+M25+M32+M39+M41</f>
        <v>1812193006</v>
      </c>
      <c r="N43" s="1944">
        <f>+L43/M43</f>
        <v>9.38744374560289E-2</v>
      </c>
      <c r="P43" s="4169">
        <v>123545936</v>
      </c>
      <c r="Q43" s="4169">
        <v>1604880635</v>
      </c>
      <c r="R43" s="1944">
        <f>P43/Q43</f>
        <v>7.698138622004122E-2</v>
      </c>
      <c r="T43" s="4169">
        <v>129940735</v>
      </c>
      <c r="U43" s="4169">
        <v>1171047986</v>
      </c>
      <c r="V43" s="1944">
        <f>T43/U43</f>
        <v>0.11096106782425225</v>
      </c>
      <c r="X43" s="4169">
        <f>SUM(X11,X18,X25,X32,X39,X41)</f>
        <v>90404228</v>
      </c>
      <c r="Y43" s="4169">
        <f>SUM(Y11,Y18,Y25,Y32,Y39,Y41)</f>
        <v>1457829112</v>
      </c>
      <c r="Z43" s="1944">
        <f t="shared" si="12"/>
        <v>6.2012911702644058E-2</v>
      </c>
      <c r="AB43" s="4169">
        <f>+AB11+AB18+AB25+AB32+AB39+AB41</f>
        <v>76900248</v>
      </c>
      <c r="AC43" s="4169">
        <f>+AC11+AC18+AC25+AC32+AC39+AC41</f>
        <v>1302443907</v>
      </c>
      <c r="AD43" s="1944">
        <f>AB43/AC43</f>
        <v>5.904304023129036E-2</v>
      </c>
      <c r="AF43" s="4169">
        <f>+AF11+AF18+AF25+AF32+AF39+AF41</f>
        <v>94041754</v>
      </c>
      <c r="AG43" s="4169">
        <f>+AG11+AG18+AG25+AG32+AG39+AG41</f>
        <v>982995219.18000007</v>
      </c>
      <c r="AH43" s="1944">
        <f t="shared" si="6"/>
        <v>9.5668577186416248E-2</v>
      </c>
      <c r="AJ43" s="4169">
        <f>SUM(AJ11,AJ18,AJ25,AJ32,AJ39,AJ41)</f>
        <v>116398170.46000001</v>
      </c>
      <c r="AK43" s="4169">
        <f>SUM(AK11,AK18,AK25,AK32,AK39,AK41)</f>
        <v>1160424943.79</v>
      </c>
      <c r="AL43" s="1944">
        <f>AJ43/AK43</f>
        <v>0.10030650502895806</v>
      </c>
      <c r="AN43" s="4169">
        <f>+AN11+AN18+AN25+AN32+AN39+AN41</f>
        <v>89156702.170000002</v>
      </c>
      <c r="AO43" s="4169">
        <f>+AO11+AO18+AO25+AO32+AO39+AO41</f>
        <v>1038871585.1400001</v>
      </c>
      <c r="AP43" s="1944">
        <f>AN43/AO43</f>
        <v>8.5820714942343029E-2</v>
      </c>
      <c r="AR43" s="4169">
        <f>+AR11+AR18+AR25+AR32+AR39+AR41</f>
        <v>168686988.22</v>
      </c>
      <c r="AS43" s="4169">
        <f>+AS11+AS18+AS25+AS32+AS39+AS41</f>
        <v>1106716834.3299999</v>
      </c>
      <c r="AT43" s="1944">
        <f>AR43/AS43</f>
        <v>0.15242109181624777</v>
      </c>
      <c r="AV43" s="4169">
        <f>+AV11+AV18+AV25+AV32+AV39+AV41</f>
        <v>70109.000999999989</v>
      </c>
      <c r="AW43" s="4169">
        <f>+AW11+AW18+AW25+AW32+AW39+AW41</f>
        <v>1533595.5649999999</v>
      </c>
      <c r="AX43" s="1944">
        <f>AV43/AW43</f>
        <v>4.5715443236822341E-2</v>
      </c>
      <c r="AZ43" s="4169">
        <f>+AZ11+AZ18+AZ25+AZ32+AZ39+AZ41</f>
        <v>224920.97812000001</v>
      </c>
      <c r="BA43" s="4169">
        <f>+BA11+BA18+BA25+BA32+BA39+BA41</f>
        <v>1797886.3857700001</v>
      </c>
      <c r="BB43" s="1944">
        <f t="shared" si="11"/>
        <v>0.12510299866566413</v>
      </c>
      <c r="BD43" s="4169">
        <f>+BD11+BD18+BD25+BD32+BD39+BD41</f>
        <v>221981.973</v>
      </c>
      <c r="BE43" s="4169">
        <f>+BE11+BE18+BE25+BE32+BE39+BE41</f>
        <v>1401133.0219999999</v>
      </c>
      <c r="BF43" s="1944">
        <f t="shared" si="13"/>
        <v>0.15843033424702199</v>
      </c>
    </row>
    <row r="44" spans="2:60">
      <c r="AX44" s="3"/>
      <c r="BB44" s="3"/>
    </row>
    <row r="45" spans="2:60">
      <c r="AN45" s="36" t="s">
        <v>722</v>
      </c>
      <c r="AV45" s="36" t="s">
        <v>457</v>
      </c>
      <c r="AW45" s="32"/>
      <c r="AX45" s="115"/>
      <c r="AY45" s="32"/>
      <c r="AZ45" s="32" t="s">
        <v>425</v>
      </c>
      <c r="BA45" s="32"/>
      <c r="BB45" s="115"/>
      <c r="BC45" s="32"/>
      <c r="BD45" s="32" t="s">
        <v>164</v>
      </c>
      <c r="BE45" s="32"/>
    </row>
    <row r="46" spans="2:60">
      <c r="AV46" s="32"/>
      <c r="AW46" s="32"/>
      <c r="AX46" s="32"/>
      <c r="AY46" s="32"/>
      <c r="AZ46" s="32"/>
      <c r="BA46" s="32"/>
      <c r="BB46" s="32"/>
      <c r="BC46" s="32"/>
      <c r="BD46" s="32"/>
      <c r="BE46" s="32"/>
    </row>
    <row r="52" spans="48:48">
      <c r="AV52" s="27"/>
    </row>
    <row r="56" spans="48:48">
      <c r="AV56" s="24"/>
    </row>
  </sheetData>
  <mergeCells count="11">
    <mergeCell ref="D3:F3"/>
    <mergeCell ref="AF3:AH3"/>
    <mergeCell ref="AJ3:AL3"/>
    <mergeCell ref="AN3:AP3"/>
    <mergeCell ref="AR3:AT3"/>
    <mergeCell ref="H3:J3"/>
    <mergeCell ref="L3:N3"/>
    <mergeCell ref="P3:R3"/>
    <mergeCell ref="T3:V3"/>
    <mergeCell ref="X3:Z3"/>
    <mergeCell ref="AB3:AD3"/>
  </mergeCells>
  <printOptions horizontalCentered="1" verticalCentered="1"/>
  <pageMargins left="0.70866141732283472" right="0.70866141732283472" top="0.74803149606299213" bottom="0.74803149606299213" header="0.31496062992125984" footer="0.31496062992125984"/>
  <pageSetup scale="65" firstPageNumber="54" orientation="landscape" useFirstPageNumber="1" r:id="rId1"/>
  <headerFooter scaleWithDoc="0" alignWithMargins="0">
    <oddFooter>&amp;R&amp;P</oddFooter>
  </headerFooter>
  <colBreaks count="2" manualBreakCount="2">
    <brk id="11" max="42" man="1"/>
    <brk id="30" max="1048575" man="1"/>
  </colBreaks>
  <ignoredErrors>
    <ignoredError sqref="V37:V43" evalError="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G52"/>
  <sheetViews>
    <sheetView showGridLines="0" zoomScaleNormal="100" workbookViewId="0">
      <selection activeCell="H40" sqref="H40"/>
    </sheetView>
  </sheetViews>
  <sheetFormatPr baseColWidth="10" defaultRowHeight="14.4"/>
  <cols>
    <col min="1" max="1" width="20.33203125" customWidth="1"/>
    <col min="2" max="2" width="1.6640625" customWidth="1"/>
    <col min="3" max="3" width="13" style="5317" bestFit="1" customWidth="1"/>
    <col min="4" max="4" width="15" style="5317" bestFit="1" customWidth="1"/>
    <col min="5" max="5" width="12.44140625" style="5317" customWidth="1"/>
    <col min="6" max="6" width="26.44140625" style="5317" customWidth="1"/>
    <col min="7" max="7" width="10.6640625" style="5317" customWidth="1"/>
    <col min="8" max="8" width="1.6640625" style="5317" customWidth="1"/>
    <col min="9" max="9" width="13" style="5317" bestFit="1" customWidth="1"/>
    <col min="10" max="10" width="15" style="5317" bestFit="1" customWidth="1"/>
    <col min="11" max="11" width="12.5546875" style="5317" bestFit="1" customWidth="1"/>
    <col min="12" max="12" width="27.44140625" style="5317" customWidth="1"/>
    <col min="13" max="13" width="10.6640625" style="5317" customWidth="1"/>
    <col min="14" max="14" width="1.6640625" style="5317" customWidth="1"/>
    <col min="15" max="15" width="13.88671875" style="5317" customWidth="1"/>
    <col min="16" max="16" width="15.33203125" style="5317" customWidth="1"/>
    <col min="17" max="17" width="14.109375" style="5317" customWidth="1"/>
    <col min="18" max="18" width="26.88671875" style="5317" customWidth="1"/>
    <col min="19" max="19" width="11.6640625" style="5317" customWidth="1"/>
    <col min="20" max="20" width="1.6640625" style="5317" customWidth="1"/>
    <col min="21" max="21" width="14.109375" style="4163" customWidth="1"/>
    <col min="22" max="22" width="15.88671875" style="4163" customWidth="1"/>
    <col min="23" max="23" width="12.44140625" style="4163" bestFit="1" customWidth="1"/>
    <col min="24" max="24" width="26.109375" style="4163" customWidth="1"/>
    <col min="25" max="25" width="11.6640625" style="4163" customWidth="1"/>
    <col min="26" max="26" width="1.6640625" style="4163" customWidth="1"/>
    <col min="27" max="27" width="13.44140625" style="3023" bestFit="1" customWidth="1"/>
    <col min="28" max="28" width="15.33203125" style="3023" bestFit="1" customWidth="1"/>
    <col min="29" max="29" width="13.44140625" style="3023" bestFit="1" customWidth="1"/>
    <col min="30" max="30" width="25.6640625" style="3023" customWidth="1"/>
    <col min="31" max="31" width="11.6640625" style="3023" customWidth="1"/>
    <col min="32" max="32" width="1.5546875" style="3023" customWidth="1"/>
    <col min="33" max="33" width="15.33203125" customWidth="1"/>
    <col min="34" max="34" width="15" bestFit="1" customWidth="1"/>
    <col min="35" max="35" width="13.44140625" bestFit="1" customWidth="1"/>
    <col min="36" max="36" width="25.6640625" customWidth="1"/>
    <col min="37" max="37" width="11.6640625" customWidth="1"/>
    <col min="38" max="38" width="1.6640625" customWidth="1"/>
    <col min="39" max="39" width="13.44140625" bestFit="1" customWidth="1"/>
    <col min="40" max="40" width="15" bestFit="1" customWidth="1"/>
    <col min="41" max="41" width="13.44140625" bestFit="1" customWidth="1"/>
    <col min="42" max="42" width="26" customWidth="1"/>
    <col min="43" max="43" width="11.6640625" customWidth="1"/>
    <col min="44" max="44" width="1.6640625" customWidth="1"/>
    <col min="45" max="45" width="13.44140625" bestFit="1" customWidth="1"/>
    <col min="46" max="46" width="15" bestFit="1" customWidth="1"/>
    <col min="47" max="47" width="13.44140625" bestFit="1" customWidth="1"/>
    <col min="48" max="48" width="26.6640625" customWidth="1"/>
    <col min="49" max="49" width="11.6640625" customWidth="1"/>
    <col min="50" max="50" width="1.6640625" customWidth="1"/>
    <col min="51" max="51" width="13.44140625" bestFit="1" customWidth="1"/>
    <col min="52" max="52" width="15" bestFit="1" customWidth="1"/>
    <col min="53" max="53" width="15.6640625" customWidth="1"/>
    <col min="54" max="54" width="27.33203125" customWidth="1"/>
    <col min="55" max="55" width="9.6640625" customWidth="1"/>
    <col min="56" max="56" width="1.6640625" customWidth="1"/>
    <col min="57" max="59" width="15.6640625" customWidth="1"/>
    <col min="60" max="60" width="26.33203125" customWidth="1"/>
    <col min="61" max="61" width="15.6640625" customWidth="1"/>
    <col min="62" max="62" width="1.6640625" customWidth="1"/>
    <col min="63" max="64" width="15.6640625" customWidth="1"/>
    <col min="65" max="65" width="15.33203125" customWidth="1"/>
    <col min="66" max="66" width="26.6640625" customWidth="1"/>
    <col min="67" max="67" width="12.33203125" customWidth="1"/>
    <col min="68" max="68" width="1.6640625" customWidth="1"/>
    <col min="69" max="69" width="13.6640625" customWidth="1"/>
    <col min="70" max="70" width="15.6640625" bestFit="1" customWidth="1"/>
    <col min="71" max="71" width="13.44140625" bestFit="1" customWidth="1"/>
    <col min="72" max="72" width="26.33203125" customWidth="1"/>
    <col min="74" max="74" width="1.6640625" customWidth="1"/>
    <col min="75" max="75" width="14.33203125" customWidth="1"/>
    <col min="76" max="76" width="15.33203125" customWidth="1"/>
    <col min="77" max="77" width="13.6640625" customWidth="1"/>
    <col min="78" max="78" width="26.6640625" customWidth="1"/>
    <col min="80" max="80" width="1.6640625" customWidth="1"/>
    <col min="81" max="81" width="13.44140625" bestFit="1" customWidth="1"/>
    <col min="82" max="82" width="15" bestFit="1" customWidth="1"/>
    <col min="83" max="83" width="11.6640625" customWidth="1"/>
    <col min="84" max="84" width="26.33203125" customWidth="1"/>
  </cols>
  <sheetData>
    <row r="1" spans="1:85" ht="15.6">
      <c r="B1" s="81"/>
      <c r="C1" s="81"/>
      <c r="D1" s="81"/>
      <c r="E1" s="81"/>
      <c r="F1" s="81"/>
      <c r="G1" s="81"/>
      <c r="H1" s="81"/>
      <c r="I1" s="81"/>
      <c r="J1" s="81"/>
      <c r="K1" s="81"/>
      <c r="L1" s="81"/>
      <c r="M1" s="6502" t="s">
        <v>432</v>
      </c>
      <c r="N1" s="81"/>
      <c r="O1" s="81"/>
      <c r="P1" s="81"/>
      <c r="Q1" s="81"/>
      <c r="R1" s="81"/>
      <c r="S1" s="81"/>
      <c r="T1" s="81"/>
      <c r="U1" s="81"/>
      <c r="V1" s="81"/>
      <c r="W1" s="81"/>
      <c r="X1" s="81"/>
      <c r="Y1" s="6502" t="s">
        <v>432</v>
      </c>
      <c r="Z1" s="81"/>
      <c r="AA1" s="81"/>
      <c r="AB1" s="81"/>
      <c r="AC1" s="81"/>
      <c r="AD1" s="81"/>
      <c r="AE1" s="81"/>
      <c r="AF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W1" s="81"/>
      <c r="BX1" s="81"/>
      <c r="BY1" s="81"/>
      <c r="BZ1" s="81"/>
      <c r="CA1" s="81"/>
      <c r="CC1" s="7"/>
      <c r="CD1" s="7"/>
      <c r="CE1" s="7"/>
      <c r="CF1" s="7"/>
      <c r="CG1" s="7"/>
    </row>
    <row r="2" spans="1:85">
      <c r="M2" s="6488" t="s">
        <v>98</v>
      </c>
      <c r="Y2" s="6488" t="s">
        <v>98</v>
      </c>
      <c r="AF2" s="81"/>
      <c r="BU2" s="62"/>
      <c r="CA2" s="62"/>
      <c r="CC2" s="6403" t="s">
        <v>97</v>
      </c>
    </row>
    <row r="3" spans="1:85" ht="15" customHeight="1">
      <c r="A3" s="7393" t="s">
        <v>2312</v>
      </c>
      <c r="C3" s="7390" t="s">
        <v>3322</v>
      </c>
      <c r="D3" s="7390"/>
      <c r="E3" s="7390"/>
      <c r="F3" s="7391" t="s">
        <v>3323</v>
      </c>
      <c r="G3" s="7388" t="s">
        <v>76</v>
      </c>
      <c r="I3" s="7390" t="s">
        <v>3233</v>
      </c>
      <c r="J3" s="7390"/>
      <c r="K3" s="7390"/>
      <c r="L3" s="7391" t="s">
        <v>3234</v>
      </c>
      <c r="M3" s="7388" t="s">
        <v>76</v>
      </c>
      <c r="O3" s="7390" t="s">
        <v>3014</v>
      </c>
      <c r="P3" s="7390"/>
      <c r="Q3" s="7390"/>
      <c r="R3" s="7391" t="s">
        <v>3015</v>
      </c>
      <c r="S3" s="7388" t="s">
        <v>76</v>
      </c>
      <c r="U3" s="7390" t="s">
        <v>2669</v>
      </c>
      <c r="V3" s="7390"/>
      <c r="W3" s="7390"/>
      <c r="X3" s="7391" t="s">
        <v>2668</v>
      </c>
      <c r="Y3" s="7388" t="s">
        <v>76</v>
      </c>
      <c r="AA3" s="7390" t="s">
        <v>2466</v>
      </c>
      <c r="AB3" s="7390"/>
      <c r="AC3" s="7390"/>
      <c r="AD3" s="7391" t="s">
        <v>2555</v>
      </c>
      <c r="AE3" s="7388" t="s">
        <v>76</v>
      </c>
      <c r="AF3" s="81"/>
      <c r="AG3" s="7390" t="s">
        <v>2315</v>
      </c>
      <c r="AH3" s="7390"/>
      <c r="AI3" s="7390"/>
      <c r="AJ3" s="7391" t="s">
        <v>2314</v>
      </c>
      <c r="AK3" s="7388" t="s">
        <v>76</v>
      </c>
      <c r="AM3" s="7390" t="s">
        <v>2289</v>
      </c>
      <c r="AN3" s="7390"/>
      <c r="AO3" s="7390"/>
      <c r="AP3" s="7391" t="s">
        <v>2290</v>
      </c>
      <c r="AQ3" s="7388" t="s">
        <v>76</v>
      </c>
      <c r="AS3" s="7390" t="s">
        <v>1746</v>
      </c>
      <c r="AT3" s="7390"/>
      <c r="AU3" s="7390"/>
      <c r="AV3" s="7391" t="s">
        <v>1745</v>
      </c>
      <c r="AW3" s="7388" t="s">
        <v>76</v>
      </c>
      <c r="AY3" s="7390" t="s">
        <v>1555</v>
      </c>
      <c r="AZ3" s="7390"/>
      <c r="BA3" s="7390"/>
      <c r="BB3" s="7391" t="s">
        <v>1747</v>
      </c>
      <c r="BC3" s="7388" t="s">
        <v>76</v>
      </c>
      <c r="BE3" s="7390" t="s">
        <v>714</v>
      </c>
      <c r="BF3" s="7390"/>
      <c r="BG3" s="7390"/>
      <c r="BH3" s="7391" t="s">
        <v>715</v>
      </c>
      <c r="BI3" s="7388" t="s">
        <v>76</v>
      </c>
      <c r="BK3" s="7390" t="s">
        <v>630</v>
      </c>
      <c r="BL3" s="7390"/>
      <c r="BM3" s="7390"/>
      <c r="BN3" s="7391" t="s">
        <v>631</v>
      </c>
      <c r="BO3" s="7388" t="s">
        <v>76</v>
      </c>
      <c r="BQ3" s="7390" t="s">
        <v>459</v>
      </c>
      <c r="BR3" s="7390"/>
      <c r="BS3" s="7390"/>
      <c r="BT3" s="7391" t="s">
        <v>458</v>
      </c>
      <c r="BU3" s="7388" t="s">
        <v>76</v>
      </c>
      <c r="BW3" s="7390" t="s">
        <v>548</v>
      </c>
      <c r="BX3" s="7390"/>
      <c r="BY3" s="7390"/>
      <c r="BZ3" s="7391" t="s">
        <v>421</v>
      </c>
      <c r="CA3" s="7388" t="s">
        <v>76</v>
      </c>
      <c r="CC3" s="7390" t="s">
        <v>647</v>
      </c>
      <c r="CD3" s="7390"/>
      <c r="CE3" s="7390"/>
      <c r="CF3" s="7391" t="s">
        <v>317</v>
      </c>
      <c r="CG3" s="7388" t="s">
        <v>76</v>
      </c>
    </row>
    <row r="4" spans="1:85" ht="24.75" customHeight="1" thickBot="1">
      <c r="A4" s="7347"/>
      <c r="C4" s="6479" t="s">
        <v>2300</v>
      </c>
      <c r="D4" s="6479" t="s">
        <v>318</v>
      </c>
      <c r="E4" s="6479" t="s">
        <v>15</v>
      </c>
      <c r="F4" s="7392"/>
      <c r="G4" s="7389"/>
      <c r="I4" s="6174" t="s">
        <v>2300</v>
      </c>
      <c r="J4" s="6174" t="s">
        <v>318</v>
      </c>
      <c r="K4" s="6174" t="s">
        <v>15</v>
      </c>
      <c r="L4" s="7392"/>
      <c r="M4" s="7389"/>
      <c r="O4" s="5332" t="s">
        <v>2300</v>
      </c>
      <c r="P4" s="5332" t="s">
        <v>318</v>
      </c>
      <c r="Q4" s="5332" t="s">
        <v>15</v>
      </c>
      <c r="R4" s="7392"/>
      <c r="S4" s="7389"/>
      <c r="U4" s="4165" t="s">
        <v>2300</v>
      </c>
      <c r="V4" s="4165" t="s">
        <v>318</v>
      </c>
      <c r="W4" s="4165" t="s">
        <v>15</v>
      </c>
      <c r="X4" s="7392"/>
      <c r="Y4" s="7389"/>
      <c r="AA4" s="3026" t="s">
        <v>2300</v>
      </c>
      <c r="AB4" s="3026" t="s">
        <v>318</v>
      </c>
      <c r="AC4" s="3026" t="s">
        <v>15</v>
      </c>
      <c r="AD4" s="7392"/>
      <c r="AE4" s="7389"/>
      <c r="AF4" s="81"/>
      <c r="AG4" s="1753" t="s">
        <v>2300</v>
      </c>
      <c r="AH4" s="1753" t="s">
        <v>318</v>
      </c>
      <c r="AI4" s="1753" t="s">
        <v>15</v>
      </c>
      <c r="AJ4" s="7392"/>
      <c r="AK4" s="7389"/>
      <c r="AM4" s="2113" t="s">
        <v>2300</v>
      </c>
      <c r="AN4" s="2113" t="s">
        <v>318</v>
      </c>
      <c r="AO4" s="2113" t="s">
        <v>15</v>
      </c>
      <c r="AP4" s="7392"/>
      <c r="AQ4" s="7389"/>
      <c r="AS4" s="2113" t="s">
        <v>2300</v>
      </c>
      <c r="AT4" s="2113" t="s">
        <v>318</v>
      </c>
      <c r="AU4" s="2113" t="s">
        <v>15</v>
      </c>
      <c r="AV4" s="7392"/>
      <c r="AW4" s="7389"/>
      <c r="AY4" s="2113" t="s">
        <v>2300</v>
      </c>
      <c r="AZ4" s="2113" t="s">
        <v>318</v>
      </c>
      <c r="BA4" s="2113" t="s">
        <v>15</v>
      </c>
      <c r="BB4" s="7392"/>
      <c r="BC4" s="7389"/>
      <c r="BE4" s="2113" t="s">
        <v>2300</v>
      </c>
      <c r="BF4" s="2113" t="s">
        <v>318</v>
      </c>
      <c r="BG4" s="2113" t="s">
        <v>15</v>
      </c>
      <c r="BH4" s="7392"/>
      <c r="BI4" s="7389"/>
      <c r="BK4" s="2113" t="s">
        <v>2300</v>
      </c>
      <c r="BL4" s="2113" t="s">
        <v>318</v>
      </c>
      <c r="BM4" s="2113" t="s">
        <v>15</v>
      </c>
      <c r="BN4" s="7392"/>
      <c r="BO4" s="7389"/>
      <c r="BQ4" s="2113" t="s">
        <v>2300</v>
      </c>
      <c r="BR4" s="2113" t="s">
        <v>318</v>
      </c>
      <c r="BS4" s="2113" t="s">
        <v>15</v>
      </c>
      <c r="BT4" s="7392"/>
      <c r="BU4" s="7389"/>
      <c r="BW4" s="2113" t="s">
        <v>2300</v>
      </c>
      <c r="BX4" s="2113" t="s">
        <v>318</v>
      </c>
      <c r="BY4" s="2113" t="s">
        <v>15</v>
      </c>
      <c r="BZ4" s="7392"/>
      <c r="CA4" s="7389"/>
      <c r="CC4" s="2113" t="s">
        <v>2300</v>
      </c>
      <c r="CD4" s="2113" t="s">
        <v>318</v>
      </c>
      <c r="CE4" s="2113" t="s">
        <v>15</v>
      </c>
      <c r="CF4" s="7392"/>
      <c r="CG4" s="7389"/>
    </row>
    <row r="5" spans="1:85">
      <c r="A5" s="2136"/>
      <c r="AF5" s="81"/>
      <c r="AM5" s="2112"/>
      <c r="AN5" s="2112"/>
      <c r="AO5" s="2112"/>
      <c r="AP5" s="2112"/>
      <c r="AQ5" s="2112"/>
      <c r="AS5" s="2112"/>
      <c r="AT5" s="2112"/>
      <c r="AU5" s="2112"/>
      <c r="AV5" s="2112"/>
      <c r="AW5" s="2112"/>
      <c r="AY5" s="2112"/>
      <c r="AZ5" s="2112"/>
      <c r="BA5" s="2112"/>
      <c r="BB5" s="2112"/>
      <c r="BC5" s="2112"/>
      <c r="BE5" s="2112"/>
      <c r="BF5" s="2112"/>
      <c r="BG5" s="2112"/>
      <c r="BH5" s="2112"/>
      <c r="BI5" s="2112"/>
      <c r="BK5" s="2112"/>
      <c r="BL5" s="2112"/>
      <c r="BM5" s="2112"/>
      <c r="BN5" s="2112"/>
      <c r="BO5" s="2112"/>
      <c r="BQ5" s="2112"/>
      <c r="BR5" s="2112"/>
      <c r="BS5" s="2112"/>
      <c r="BT5" s="2112"/>
      <c r="BU5" s="2112"/>
      <c r="BW5" s="2112"/>
      <c r="BX5" s="2112"/>
      <c r="BY5" s="2112"/>
      <c r="BZ5" s="2112"/>
      <c r="CA5" s="2112"/>
      <c r="CC5" s="2112"/>
      <c r="CD5" s="2112"/>
      <c r="CE5" s="2112"/>
      <c r="CF5" s="2112"/>
      <c r="CG5" s="2112"/>
    </row>
    <row r="6" spans="1:85">
      <c r="A6" s="1942" t="s">
        <v>4</v>
      </c>
      <c r="C6" s="1784">
        <v>0</v>
      </c>
      <c r="D6" s="1782">
        <v>3131738</v>
      </c>
      <c r="E6" s="1782">
        <f>SUM(C6:D6)</f>
        <v>3131738</v>
      </c>
      <c r="F6" s="1945">
        <v>34836954</v>
      </c>
      <c r="G6" s="1949">
        <f t="shared" ref="G6:G11" si="0">+E6/F6</f>
        <v>8.9897009939502753E-2</v>
      </c>
      <c r="I6" s="1784">
        <v>0</v>
      </c>
      <c r="J6" s="1782">
        <v>3276536</v>
      </c>
      <c r="K6" s="1782">
        <f>+I6+J6</f>
        <v>3276536</v>
      </c>
      <c r="L6" s="1945">
        <v>32749519</v>
      </c>
      <c r="M6" s="1949">
        <f t="shared" ref="M6:M11" si="1">+K6/L6</f>
        <v>0.10004837017606275</v>
      </c>
      <c r="O6" s="1784">
        <v>0</v>
      </c>
      <c r="P6" s="1782">
        <v>1796116</v>
      </c>
      <c r="Q6" s="1782">
        <f>+O6+P6</f>
        <v>1796116</v>
      </c>
      <c r="R6" s="1945">
        <v>28489476</v>
      </c>
      <c r="S6" s="1949">
        <f t="shared" ref="S6:S11" si="2">+Q6/R6</f>
        <v>6.3044894191806131E-2</v>
      </c>
      <c r="U6" s="1784">
        <v>0</v>
      </c>
      <c r="V6" s="1782">
        <v>6503007</v>
      </c>
      <c r="W6" s="1782">
        <v>6503007</v>
      </c>
      <c r="X6" s="1945">
        <v>25566367</v>
      </c>
      <c r="Y6" s="1949">
        <f t="shared" ref="Y6:Y11" si="3">+W6/X6</f>
        <v>0.25435788354285926</v>
      </c>
      <c r="AA6" s="1784">
        <v>0</v>
      </c>
      <c r="AB6" s="1782">
        <v>964478</v>
      </c>
      <c r="AC6" s="1782">
        <v>964478</v>
      </c>
      <c r="AD6" s="1945">
        <v>33134812</v>
      </c>
      <c r="AE6" s="1949">
        <f t="shared" ref="AE6:AE11" si="4">+AC6/AD6</f>
        <v>2.910769495236611E-2</v>
      </c>
      <c r="AF6" s="81"/>
      <c r="AG6" s="1784">
        <v>0</v>
      </c>
      <c r="AH6" s="1782">
        <v>849231</v>
      </c>
      <c r="AI6" s="1782">
        <v>849231</v>
      </c>
      <c r="AJ6" s="1945">
        <v>33138159</v>
      </c>
      <c r="AK6" s="1949">
        <f t="shared" ref="AK6:AK11" si="5">+AI6/AJ6</f>
        <v>2.562698187307267E-2</v>
      </c>
      <c r="AM6" s="1784">
        <v>0</v>
      </c>
      <c r="AN6" s="1782">
        <v>500899</v>
      </c>
      <c r="AO6" s="1782">
        <f>SUM(AM6:AN6)</f>
        <v>500899</v>
      </c>
      <c r="AP6" s="1945">
        <v>31697031</v>
      </c>
      <c r="AQ6" s="1949">
        <f t="shared" ref="AQ6:AQ11" si="6">+AO6/AP6</f>
        <v>1.5802710354796322E-2</v>
      </c>
      <c r="AS6" s="1784">
        <v>1001000</v>
      </c>
      <c r="AT6" s="1782">
        <f>5663500-AS6</f>
        <v>4662500</v>
      </c>
      <c r="AU6" s="1782">
        <f>SUM(AS6:AT6)</f>
        <v>5663500</v>
      </c>
      <c r="AV6" s="1945">
        <v>38450430.039999999</v>
      </c>
      <c r="AW6" s="1949">
        <f t="shared" ref="AW6:AW11" si="7">+AU6/AV6</f>
        <v>0.14729354116737467</v>
      </c>
      <c r="AY6" s="1784">
        <v>844970.71</v>
      </c>
      <c r="AZ6" s="1782">
        <v>3710393.2</v>
      </c>
      <c r="BA6" s="1782">
        <f>SUM(AY6:AZ6)</f>
        <v>4555363.91</v>
      </c>
      <c r="BB6" s="1945">
        <v>35543810.870000005</v>
      </c>
      <c r="BC6" s="1949">
        <f t="shared" ref="BC6:BC11" si="8">+BA6/BB6</f>
        <v>0.12816194433008471</v>
      </c>
      <c r="BE6" s="1784">
        <v>496211.23</v>
      </c>
      <c r="BF6" s="1782">
        <f>443410+3026291</f>
        <v>3469701</v>
      </c>
      <c r="BG6" s="1782">
        <f>SUM(BE6:BF6)</f>
        <v>3965912.23</v>
      </c>
      <c r="BH6" s="1945">
        <v>37150502.970000006</v>
      </c>
      <c r="BI6" s="1949">
        <f t="shared" ref="BI6:BI11" si="9">+BG6/BH6</f>
        <v>0.10675258510504089</v>
      </c>
      <c r="BK6" s="1784">
        <v>941049.04</v>
      </c>
      <c r="BL6" s="1782">
        <v>2684615.3</v>
      </c>
      <c r="BM6" s="1782">
        <f>SUM(BK6:BL6)</f>
        <v>3625664.34</v>
      </c>
      <c r="BN6" s="1945">
        <v>36092182</v>
      </c>
      <c r="BO6" s="1949">
        <f t="shared" ref="BO6:BO11" si="10">+BM6/BN6</f>
        <v>0.10045567042746266</v>
      </c>
      <c r="BQ6" s="1784">
        <v>466972</v>
      </c>
      <c r="BR6" s="1782">
        <v>3574990</v>
      </c>
      <c r="BS6" s="1782">
        <f>SUM(BQ6:BR6)</f>
        <v>4041962</v>
      </c>
      <c r="BT6" s="1945">
        <v>35771043</v>
      </c>
      <c r="BU6" s="1949">
        <f t="shared" ref="BU6:BU11" si="11">+BS6/BT6</f>
        <v>0.11299536331663575</v>
      </c>
      <c r="BW6" s="1784">
        <v>4595428.1500000004</v>
      </c>
      <c r="BX6" s="1782">
        <v>3917091.59</v>
      </c>
      <c r="BY6" s="1782">
        <f>SUM(BW6:BX6)</f>
        <v>8512519.7400000002</v>
      </c>
      <c r="BZ6" s="1945">
        <v>45371399.960000001</v>
      </c>
      <c r="CA6" s="1949">
        <f t="shared" ref="CA6:CA11" si="12">+BY6/BZ6</f>
        <v>0.1876186264365822</v>
      </c>
      <c r="CC6" s="1784">
        <v>3389.4450000000002</v>
      </c>
      <c r="CD6" s="1782">
        <v>0</v>
      </c>
      <c r="CE6" s="1782">
        <f>+CC6+CD6</f>
        <v>3389.4450000000002</v>
      </c>
      <c r="CF6" s="1945">
        <v>42459.078999999998</v>
      </c>
      <c r="CG6" s="1949">
        <f t="shared" ref="CG6:CG11" si="13">+CE6/CF6</f>
        <v>7.9828509704602882E-2</v>
      </c>
    </row>
    <row r="7" spans="1:85">
      <c r="A7" s="1874" t="s">
        <v>16</v>
      </c>
      <c r="C7" s="1785">
        <v>712130</v>
      </c>
      <c r="D7" s="1783">
        <v>62695</v>
      </c>
      <c r="E7" s="1783">
        <f t="shared" ref="E7:E10" si="14">SUM(C7:D7)</f>
        <v>774825</v>
      </c>
      <c r="F7" s="1946">
        <v>22765512</v>
      </c>
      <c r="G7" s="1950">
        <f t="shared" si="0"/>
        <v>3.4035035100462491E-2</v>
      </c>
      <c r="I7" s="1785">
        <v>790917</v>
      </c>
      <c r="J7" s="1783">
        <v>1325340</v>
      </c>
      <c r="K7" s="1783">
        <f>+I7+J7</f>
        <v>2116257</v>
      </c>
      <c r="L7" s="1946">
        <v>19986213</v>
      </c>
      <c r="M7" s="1950">
        <f t="shared" si="1"/>
        <v>0.1058858424054622</v>
      </c>
      <c r="O7" s="1785">
        <v>0</v>
      </c>
      <c r="P7" s="1783">
        <v>589659</v>
      </c>
      <c r="Q7" s="1783">
        <f>+O7+P7</f>
        <v>589659</v>
      </c>
      <c r="R7" s="1946">
        <v>16339529</v>
      </c>
      <c r="S7" s="1950">
        <f t="shared" si="2"/>
        <v>3.6087882337367254E-2</v>
      </c>
      <c r="U7" s="1785">
        <v>0</v>
      </c>
      <c r="V7" s="1783">
        <v>431248</v>
      </c>
      <c r="W7" s="1783">
        <v>431248</v>
      </c>
      <c r="X7" s="1946">
        <v>14944463</v>
      </c>
      <c r="Y7" s="1950">
        <f t="shared" si="3"/>
        <v>2.8856707664905723E-2</v>
      </c>
      <c r="AA7" s="1785">
        <v>0</v>
      </c>
      <c r="AB7" s="1783">
        <v>860193</v>
      </c>
      <c r="AC7" s="1783">
        <v>860193</v>
      </c>
      <c r="AD7" s="1946">
        <v>19534178</v>
      </c>
      <c r="AE7" s="1950">
        <f t="shared" si="4"/>
        <v>4.403528011263131E-2</v>
      </c>
      <c r="AF7" s="81"/>
      <c r="AG7" s="1785">
        <v>0</v>
      </c>
      <c r="AH7" s="1783">
        <v>273566</v>
      </c>
      <c r="AI7" s="1783">
        <v>273566</v>
      </c>
      <c r="AJ7" s="1946">
        <v>19820196</v>
      </c>
      <c r="AK7" s="1950">
        <f t="shared" si="5"/>
        <v>1.3802386212527868E-2</v>
      </c>
      <c r="AM7" s="1785">
        <v>0</v>
      </c>
      <c r="AN7" s="1783">
        <v>239881</v>
      </c>
      <c r="AO7" s="1783">
        <f>SUM(AM7:AN7)</f>
        <v>239881</v>
      </c>
      <c r="AP7" s="1946">
        <v>20637723</v>
      </c>
      <c r="AQ7" s="1950">
        <f t="shared" si="6"/>
        <v>1.162342376627499E-2</v>
      </c>
      <c r="AS7" s="1785">
        <v>59355</v>
      </c>
      <c r="AT7" s="1783">
        <f>347635-AS7</f>
        <v>288280</v>
      </c>
      <c r="AU7" s="1783">
        <f>SUM(AS7:AT7)</f>
        <v>347635</v>
      </c>
      <c r="AV7" s="1946">
        <v>23150899.690000001</v>
      </c>
      <c r="AW7" s="1950">
        <f t="shared" si="7"/>
        <v>1.5016047093416437E-2</v>
      </c>
      <c r="AY7" s="1785">
        <v>201168.5</v>
      </c>
      <c r="AZ7" s="1783">
        <v>421404.2</v>
      </c>
      <c r="BA7" s="1783">
        <f>SUM(AY7:AZ7)</f>
        <v>622572.69999999995</v>
      </c>
      <c r="BB7" s="1946">
        <v>23626185.829999991</v>
      </c>
      <c r="BC7" s="1950">
        <f t="shared" si="8"/>
        <v>2.6350960941375116E-2</v>
      </c>
      <c r="BE7" s="1785">
        <v>108612.98</v>
      </c>
      <c r="BF7" s="1783">
        <f>46782+287331</f>
        <v>334113</v>
      </c>
      <c r="BG7" s="1783">
        <f>SUM(BE7:BF7)</f>
        <v>442725.98</v>
      </c>
      <c r="BH7" s="1946">
        <v>25466266.91</v>
      </c>
      <c r="BI7" s="1950">
        <f t="shared" si="9"/>
        <v>1.7384800904059951E-2</v>
      </c>
      <c r="BK7" s="1785">
        <v>85434.559999999998</v>
      </c>
      <c r="BL7" s="1783">
        <v>551429.96</v>
      </c>
      <c r="BM7" s="1783">
        <f>SUM(BK7:BL7)</f>
        <v>636864.52</v>
      </c>
      <c r="BN7" s="1946">
        <v>23955700</v>
      </c>
      <c r="BO7" s="1950">
        <f t="shared" si="10"/>
        <v>2.6585093318082963E-2</v>
      </c>
      <c r="BQ7" s="1785">
        <v>299160</v>
      </c>
      <c r="BR7" s="1783">
        <v>426447</v>
      </c>
      <c r="BS7" s="1783">
        <f>SUM(BQ7:BR7)</f>
        <v>725607</v>
      </c>
      <c r="BT7" s="1946">
        <v>26090573</v>
      </c>
      <c r="BU7" s="1950">
        <f t="shared" si="11"/>
        <v>2.7811079503696604E-2</v>
      </c>
      <c r="BW7" s="1785">
        <v>1070425.6499999999</v>
      </c>
      <c r="BX7" s="1783">
        <v>432127.54</v>
      </c>
      <c r="BY7" s="1783">
        <f>SUM(BW7:BX7)</f>
        <v>1502553.19</v>
      </c>
      <c r="BZ7" s="1946">
        <v>37181375.359999999</v>
      </c>
      <c r="CA7" s="1950">
        <f t="shared" si="12"/>
        <v>4.0411447275736277E-2</v>
      </c>
      <c r="CC7" s="1785">
        <v>905.68700000000001</v>
      </c>
      <c r="CD7" s="1783">
        <v>5.0129999999999999</v>
      </c>
      <c r="CE7" s="1783">
        <f>+CC7+CD7</f>
        <v>910.7</v>
      </c>
      <c r="CF7" s="1946">
        <v>28403.235000000001</v>
      </c>
      <c r="CG7" s="1950">
        <f t="shared" si="13"/>
        <v>3.2063249133417376E-2</v>
      </c>
    </row>
    <row r="8" spans="1:85">
      <c r="A8" s="1874" t="s">
        <v>21</v>
      </c>
      <c r="C8" s="1785">
        <v>1675087</v>
      </c>
      <c r="D8" s="1783">
        <v>400767</v>
      </c>
      <c r="E8" s="1783">
        <f t="shared" si="14"/>
        <v>2075854</v>
      </c>
      <c r="F8" s="1946">
        <v>16559799</v>
      </c>
      <c r="G8" s="1950">
        <f t="shared" si="0"/>
        <v>0.12535502393477119</v>
      </c>
      <c r="I8" s="1785">
        <v>0</v>
      </c>
      <c r="J8" s="1783">
        <v>1218473</v>
      </c>
      <c r="K8" s="1783">
        <f>+I8+J8</f>
        <v>1218473</v>
      </c>
      <c r="L8" s="1946">
        <v>13643617</v>
      </c>
      <c r="M8" s="1950">
        <f t="shared" si="1"/>
        <v>8.9307182985274361E-2</v>
      </c>
      <c r="O8" s="1785">
        <v>0</v>
      </c>
      <c r="P8" s="1783">
        <v>1287697</v>
      </c>
      <c r="Q8" s="1783">
        <f>+O8+P8</f>
        <v>1287697</v>
      </c>
      <c r="R8" s="1946">
        <v>11099361</v>
      </c>
      <c r="S8" s="1950">
        <f t="shared" si="2"/>
        <v>0.11601541746412249</v>
      </c>
      <c r="U8" s="1785">
        <v>0</v>
      </c>
      <c r="V8" s="1783">
        <v>604653</v>
      </c>
      <c r="W8" s="1783">
        <v>604653</v>
      </c>
      <c r="X8" s="1946">
        <v>11877563</v>
      </c>
      <c r="Y8" s="1950">
        <f t="shared" si="3"/>
        <v>5.0907159995699454E-2</v>
      </c>
      <c r="AA8" s="1785">
        <v>0</v>
      </c>
      <c r="AB8" s="1783">
        <v>1680272</v>
      </c>
      <c r="AC8" s="1783">
        <v>1680272</v>
      </c>
      <c r="AD8" s="1946">
        <v>14682607</v>
      </c>
      <c r="AE8" s="1950">
        <f t="shared" si="4"/>
        <v>0.11443962233682342</v>
      </c>
      <c r="AF8" s="81"/>
      <c r="AG8" s="1785">
        <v>0</v>
      </c>
      <c r="AH8" s="1783">
        <v>895101</v>
      </c>
      <c r="AI8" s="1783">
        <v>895101</v>
      </c>
      <c r="AJ8" s="1946">
        <v>15338599</v>
      </c>
      <c r="AK8" s="1950">
        <f t="shared" si="5"/>
        <v>5.8356111923911692E-2</v>
      </c>
      <c r="AM8" s="1785">
        <v>0</v>
      </c>
      <c r="AN8" s="1783">
        <v>1030674</v>
      </c>
      <c r="AO8" s="1783">
        <f>SUM(AM8:AN8)</f>
        <v>1030674</v>
      </c>
      <c r="AP8" s="1946">
        <v>13906313</v>
      </c>
      <c r="AQ8" s="1950">
        <f t="shared" si="6"/>
        <v>7.4115547377655022E-2</v>
      </c>
      <c r="AS8" s="1785">
        <v>1446085</v>
      </c>
      <c r="AT8" s="1783">
        <f>2379220-AS8</f>
        <v>933135</v>
      </c>
      <c r="AU8" s="1783">
        <f>SUM(AS8:AT8)</f>
        <v>2379220</v>
      </c>
      <c r="AV8" s="1946">
        <v>16257607.659999996</v>
      </c>
      <c r="AW8" s="1950">
        <f t="shared" si="7"/>
        <v>0.14634502503426758</v>
      </c>
      <c r="AY8" s="1785">
        <v>1454166.25</v>
      </c>
      <c r="AZ8" s="1783">
        <v>664780.79999999993</v>
      </c>
      <c r="BA8" s="1783">
        <f>SUM(AY8:AZ8)</f>
        <v>2118947.0499999998</v>
      </c>
      <c r="BB8" s="1946">
        <v>18558757.010000005</v>
      </c>
      <c r="BC8" s="1950">
        <f t="shared" si="8"/>
        <v>0.11417505217931614</v>
      </c>
      <c r="BE8" s="1785">
        <v>385124.56</v>
      </c>
      <c r="BF8" s="1783">
        <f>235173+832772</f>
        <v>1067945</v>
      </c>
      <c r="BG8" s="1783">
        <f>SUM(BE8:BF8)</f>
        <v>1453069.56</v>
      </c>
      <c r="BH8" s="1946">
        <v>18444824.289999999</v>
      </c>
      <c r="BI8" s="1950">
        <f t="shared" si="9"/>
        <v>7.8779257376162301E-2</v>
      </c>
      <c r="BK8" s="1785">
        <v>413413.85</v>
      </c>
      <c r="BL8" s="1783">
        <v>712049.03999999992</v>
      </c>
      <c r="BM8" s="1783">
        <f>SUM(BK8:BL8)</f>
        <v>1125462.8899999999</v>
      </c>
      <c r="BN8" s="1946">
        <v>20111961</v>
      </c>
      <c r="BO8" s="1950">
        <f t="shared" si="10"/>
        <v>5.5959878303264404E-2</v>
      </c>
      <c r="BQ8" s="1785">
        <v>1800524</v>
      </c>
      <c r="BR8" s="1783">
        <v>955734</v>
      </c>
      <c r="BS8" s="1783">
        <f>SUM(BQ8:BR8)</f>
        <v>2756258</v>
      </c>
      <c r="BT8" s="1946">
        <v>22020782</v>
      </c>
      <c r="BU8" s="1950">
        <f t="shared" si="11"/>
        <v>0.1251662179844476</v>
      </c>
      <c r="BW8" s="1785">
        <v>7245904.6699999999</v>
      </c>
      <c r="BX8" s="1783">
        <v>661886.98</v>
      </c>
      <c r="BY8" s="1783">
        <f>SUM(BW8:BX8)</f>
        <v>7907791.6500000004</v>
      </c>
      <c r="BZ8" s="1946">
        <v>31158618.260000002</v>
      </c>
      <c r="CA8" s="1950">
        <f t="shared" si="12"/>
        <v>0.25379147380715722</v>
      </c>
      <c r="CC8" s="1785">
        <v>1272.3240000000001</v>
      </c>
      <c r="CD8" s="1783">
        <v>25.736000000000001</v>
      </c>
      <c r="CE8" s="1783">
        <f>+CC8+CD8</f>
        <v>1298.0600000000002</v>
      </c>
      <c r="CF8" s="1946">
        <v>24270.187999999998</v>
      </c>
      <c r="CG8" s="1950">
        <f t="shared" si="13"/>
        <v>5.3483722499388972E-2</v>
      </c>
    </row>
    <row r="9" spans="1:85">
      <c r="A9" s="1874" t="s">
        <v>85</v>
      </c>
      <c r="C9" s="1785">
        <v>456522</v>
      </c>
      <c r="D9" s="1783">
        <v>10729929</v>
      </c>
      <c r="E9" s="1783">
        <f t="shared" si="14"/>
        <v>11186451</v>
      </c>
      <c r="F9" s="1946">
        <v>107835746</v>
      </c>
      <c r="G9" s="1950">
        <f t="shared" si="0"/>
        <v>0.10373601903769461</v>
      </c>
      <c r="I9" s="1785">
        <v>538112</v>
      </c>
      <c r="J9" s="1783">
        <v>8780098</v>
      </c>
      <c r="K9" s="1783">
        <f>+I9+J9</f>
        <v>9318210</v>
      </c>
      <c r="L9" s="1946">
        <v>97581456</v>
      </c>
      <c r="M9" s="1950">
        <f t="shared" si="1"/>
        <v>9.5491606519992903E-2</v>
      </c>
      <c r="O9" s="1785">
        <v>0</v>
      </c>
      <c r="P9" s="1783">
        <v>21580496</v>
      </c>
      <c r="Q9" s="1783">
        <f>+O9+P9</f>
        <v>21580496</v>
      </c>
      <c r="R9" s="1946">
        <v>80815791</v>
      </c>
      <c r="S9" s="1950">
        <f t="shared" si="2"/>
        <v>0.26703315939826661</v>
      </c>
      <c r="U9" s="1785">
        <v>0</v>
      </c>
      <c r="V9" s="1783">
        <v>21782459</v>
      </c>
      <c r="W9" s="1783">
        <v>21782459</v>
      </c>
      <c r="X9" s="1946">
        <v>88071941</v>
      </c>
      <c r="Y9" s="1950">
        <f t="shared" si="3"/>
        <v>0.2473257515693903</v>
      </c>
      <c r="AA9" s="1785">
        <v>0</v>
      </c>
      <c r="AB9" s="1783">
        <v>15091376</v>
      </c>
      <c r="AC9" s="1783">
        <v>15091376</v>
      </c>
      <c r="AD9" s="1946">
        <v>96054607</v>
      </c>
      <c r="AE9" s="1950">
        <f t="shared" si="4"/>
        <v>0.15711246416322333</v>
      </c>
      <c r="AF9" s="81"/>
      <c r="AG9" s="1785">
        <v>0</v>
      </c>
      <c r="AH9" s="1783">
        <v>10221643</v>
      </c>
      <c r="AI9" s="1783">
        <v>10221643</v>
      </c>
      <c r="AJ9" s="1946">
        <v>96634413</v>
      </c>
      <c r="AK9" s="1950">
        <f t="shared" si="5"/>
        <v>0.10577642769972639</v>
      </c>
      <c r="AM9" s="1785">
        <v>2560400</v>
      </c>
      <c r="AN9" s="1783">
        <v>7539618</v>
      </c>
      <c r="AO9" s="1783">
        <f>SUM(AM9:AN9)</f>
        <v>10100018</v>
      </c>
      <c r="AP9" s="1946">
        <v>86767899</v>
      </c>
      <c r="AQ9" s="1950">
        <f t="shared" si="6"/>
        <v>0.11640270326241275</v>
      </c>
      <c r="AS9" s="1785">
        <v>2130912</v>
      </c>
      <c r="AT9" s="1783">
        <f>23564309-AS9</f>
        <v>21433397</v>
      </c>
      <c r="AU9" s="1783">
        <f>SUM(AS9:AT9)</f>
        <v>23564309</v>
      </c>
      <c r="AV9" s="1946">
        <v>85439785.270000026</v>
      </c>
      <c r="AW9" s="1950">
        <f t="shared" si="7"/>
        <v>0.27580018987095933</v>
      </c>
      <c r="AY9" s="1785">
        <v>5618754.9800000004</v>
      </c>
      <c r="AZ9" s="1783">
        <v>18140608.150000002</v>
      </c>
      <c r="BA9" s="1783">
        <f>SUM(AY9:AZ9)</f>
        <v>23759363.130000003</v>
      </c>
      <c r="BB9" s="1946">
        <v>128224396.61</v>
      </c>
      <c r="BC9" s="1950">
        <f t="shared" si="8"/>
        <v>0.18529518374155524</v>
      </c>
      <c r="BE9" s="1785">
        <v>2665192.27</v>
      </c>
      <c r="BF9" s="1783">
        <f>5639080+7011200</f>
        <v>12650280</v>
      </c>
      <c r="BG9" s="1783">
        <f>SUM(BE9:BF9)</f>
        <v>15315472.27</v>
      </c>
      <c r="BH9" s="1946">
        <v>88658018.520000026</v>
      </c>
      <c r="BI9" s="1950">
        <f t="shared" si="9"/>
        <v>0.1727477392983359</v>
      </c>
      <c r="BK9" s="1785">
        <v>697347.92</v>
      </c>
      <c r="BL9" s="1783">
        <v>12530737.630000001</v>
      </c>
      <c r="BM9" s="1783">
        <f>SUM(BK9:BL9)</f>
        <v>13228085.550000001</v>
      </c>
      <c r="BN9" s="1946">
        <v>79044096</v>
      </c>
      <c r="BO9" s="1950">
        <f t="shared" si="10"/>
        <v>0.16735070953306874</v>
      </c>
      <c r="BQ9" s="1785">
        <v>1405762</v>
      </c>
      <c r="BR9" s="1783">
        <v>12264913</v>
      </c>
      <c r="BS9" s="1783">
        <f>SUM(BQ9:BR9)</f>
        <v>13670675</v>
      </c>
      <c r="BT9" s="1946">
        <v>83099806</v>
      </c>
      <c r="BU9" s="1950">
        <f t="shared" si="11"/>
        <v>0.16450910848095121</v>
      </c>
      <c r="BW9" s="1785">
        <v>8413406.75</v>
      </c>
      <c r="BX9" s="1783">
        <v>10150534.209999999</v>
      </c>
      <c r="BY9" s="1783">
        <f>SUM(BW9:BX9)</f>
        <v>18563940.960000001</v>
      </c>
      <c r="BZ9" s="1946">
        <v>126742961.92</v>
      </c>
      <c r="CA9" s="1950">
        <f t="shared" si="12"/>
        <v>0.14646920569615168</v>
      </c>
      <c r="CC9" s="1785">
        <v>4575.0749999999998</v>
      </c>
      <c r="CD9" s="1783">
        <v>9962.7250000000004</v>
      </c>
      <c r="CE9" s="1783">
        <f>+CC9+CD9</f>
        <v>14537.8</v>
      </c>
      <c r="CF9" s="1946">
        <v>140759.179</v>
      </c>
      <c r="CG9" s="1950">
        <f t="shared" si="13"/>
        <v>0.10328136398124345</v>
      </c>
    </row>
    <row r="10" spans="1:85">
      <c r="A10" s="1874" t="s">
        <v>86</v>
      </c>
      <c r="C10" s="1785">
        <v>0</v>
      </c>
      <c r="D10" s="1783">
        <v>46071</v>
      </c>
      <c r="E10" s="1783">
        <f t="shared" si="14"/>
        <v>46071</v>
      </c>
      <c r="F10" s="1946">
        <v>16076843</v>
      </c>
      <c r="G10" s="1950">
        <f t="shared" si="0"/>
        <v>2.8656745606086965E-3</v>
      </c>
      <c r="I10" s="1785">
        <v>0</v>
      </c>
      <c r="J10" s="1783">
        <v>1202687</v>
      </c>
      <c r="K10" s="1783">
        <f>+I10+J10</f>
        <v>1202687</v>
      </c>
      <c r="L10" s="1946">
        <v>23342215</v>
      </c>
      <c r="M10" s="1950">
        <f t="shared" si="1"/>
        <v>5.1524116284594246E-2</v>
      </c>
      <c r="O10" s="1785">
        <v>2389607</v>
      </c>
      <c r="P10" s="1783">
        <v>0</v>
      </c>
      <c r="Q10" s="1783">
        <f>+O10+P10</f>
        <v>2389607</v>
      </c>
      <c r="R10" s="1946">
        <v>22905027</v>
      </c>
      <c r="S10" s="1950">
        <f t="shared" si="2"/>
        <v>0.10432674888355294</v>
      </c>
      <c r="U10" s="1785">
        <v>0</v>
      </c>
      <c r="V10" s="1783">
        <v>311505</v>
      </c>
      <c r="W10" s="1783">
        <v>311505</v>
      </c>
      <c r="X10" s="1946">
        <v>10723411</v>
      </c>
      <c r="Y10" s="1950">
        <f t="shared" si="3"/>
        <v>2.9049059110016394E-2</v>
      </c>
      <c r="AA10" s="1785">
        <v>0</v>
      </c>
      <c r="AB10" s="1783">
        <v>722326</v>
      </c>
      <c r="AC10" s="1783">
        <v>722326</v>
      </c>
      <c r="AD10" s="1946">
        <v>18718043</v>
      </c>
      <c r="AE10" s="1950">
        <f t="shared" si="4"/>
        <v>3.8589824801663293E-2</v>
      </c>
      <c r="AF10" s="81"/>
      <c r="AG10" s="1785">
        <v>0</v>
      </c>
      <c r="AH10" s="1783">
        <v>51519</v>
      </c>
      <c r="AI10" s="1783">
        <v>51519</v>
      </c>
      <c r="AJ10" s="1946">
        <v>8499052</v>
      </c>
      <c r="AK10" s="1950">
        <f t="shared" si="5"/>
        <v>6.0617348852554376E-3</v>
      </c>
      <c r="AM10" s="1785">
        <v>0</v>
      </c>
      <c r="AN10" s="1783">
        <v>110804</v>
      </c>
      <c r="AO10" s="1783">
        <f>SUM(AM10:AN10)</f>
        <v>110804</v>
      </c>
      <c r="AP10" s="1946">
        <v>7747367</v>
      </c>
      <c r="AQ10" s="1950">
        <f t="shared" si="6"/>
        <v>1.4302149362486636E-2</v>
      </c>
      <c r="AS10" s="1785">
        <v>113349</v>
      </c>
      <c r="AT10" s="1783">
        <f>331819-AS10</f>
        <v>218470</v>
      </c>
      <c r="AU10" s="1783">
        <f>SUM(AS10:AT10)</f>
        <v>331819</v>
      </c>
      <c r="AV10" s="1946">
        <v>10139111.500000004</v>
      </c>
      <c r="AW10" s="1950">
        <f t="shared" si="7"/>
        <v>3.272663487328252E-2</v>
      </c>
      <c r="AY10" s="1785">
        <v>66398.399999999994</v>
      </c>
      <c r="AZ10" s="1783">
        <v>2355562.0100000002</v>
      </c>
      <c r="BA10" s="1783">
        <f>SUM(AY10:AZ10)</f>
        <v>2421960.41</v>
      </c>
      <c r="BB10" s="1946">
        <v>15878988.789999999</v>
      </c>
      <c r="BC10" s="1950">
        <f t="shared" si="8"/>
        <v>0.15252611120459139</v>
      </c>
      <c r="BE10" s="1785">
        <v>235356.66</v>
      </c>
      <c r="BF10" s="1783">
        <v>149063.67999999999</v>
      </c>
      <c r="BG10" s="1783">
        <f>SUM(BE10:BF10)</f>
        <v>384420.33999999997</v>
      </c>
      <c r="BH10" s="1946">
        <v>9335316.9799999986</v>
      </c>
      <c r="BI10" s="1950">
        <f t="shared" si="9"/>
        <v>4.117914162139142E-2</v>
      </c>
      <c r="BK10" s="1785">
        <v>241219.22</v>
      </c>
      <c r="BL10" s="1783">
        <v>188743.94</v>
      </c>
      <c r="BM10" s="1783">
        <f>SUM(BK10:BL10)</f>
        <v>429963.16000000003</v>
      </c>
      <c r="BN10" s="1946">
        <v>10990731</v>
      </c>
      <c r="BO10" s="1950">
        <f t="shared" si="10"/>
        <v>3.9120524376404085E-2</v>
      </c>
      <c r="BQ10" s="1785">
        <v>336245</v>
      </c>
      <c r="BR10" s="1783">
        <v>359705</v>
      </c>
      <c r="BS10" s="1783">
        <f>SUM(BQ10:BR10)</f>
        <v>695950</v>
      </c>
      <c r="BT10" s="1946">
        <v>12497667</v>
      </c>
      <c r="BU10" s="1950">
        <f t="shared" si="11"/>
        <v>5.5686393308447088E-2</v>
      </c>
      <c r="BW10" s="1785">
        <v>200196.27</v>
      </c>
      <c r="BX10" s="1783">
        <v>249587.27</v>
      </c>
      <c r="BY10" s="1783">
        <f>SUM(BW10:BX10)</f>
        <v>449783.54</v>
      </c>
      <c r="BZ10" s="1946">
        <v>22491557.960000001</v>
      </c>
      <c r="CA10" s="1950">
        <f t="shared" si="12"/>
        <v>1.9997882796732678E-2</v>
      </c>
      <c r="CC10" s="1785">
        <v>103.22799999999999</v>
      </c>
      <c r="CD10" s="1783">
        <v>0</v>
      </c>
      <c r="CE10" s="1783">
        <f>+CC10+CD10</f>
        <v>103.22799999999999</v>
      </c>
      <c r="CF10" s="1946">
        <v>26597.09</v>
      </c>
      <c r="CG10" s="1950">
        <f t="shared" si="13"/>
        <v>3.88117647456921E-3</v>
      </c>
    </row>
    <row r="11" spans="1:85">
      <c r="A11" s="1943" t="s">
        <v>3</v>
      </c>
      <c r="C11" s="1787">
        <f>SUM(C6:C10)</f>
        <v>2843739</v>
      </c>
      <c r="D11" s="1788">
        <f>SUM(D6:D10)</f>
        <v>14371200</v>
      </c>
      <c r="E11" s="1788">
        <f>SUM(E6:E10)</f>
        <v>17214939</v>
      </c>
      <c r="F11" s="1947">
        <f>SUM(F6:F10)</f>
        <v>198074854</v>
      </c>
      <c r="G11" s="1952">
        <f t="shared" si="0"/>
        <v>8.6911279510522826E-2</v>
      </c>
      <c r="I11" s="1787">
        <f>SUM(I6:I10)</f>
        <v>1329029</v>
      </c>
      <c r="J11" s="1788">
        <f>SUM(J6:J10)</f>
        <v>15803134</v>
      </c>
      <c r="K11" s="1788">
        <f>SUM(K6:K10)</f>
        <v>17132163</v>
      </c>
      <c r="L11" s="1947">
        <f>SUM(L6:L10)</f>
        <v>187303020</v>
      </c>
      <c r="M11" s="1952">
        <f t="shared" si="1"/>
        <v>9.14676282315149E-2</v>
      </c>
      <c r="O11" s="1787">
        <f>SUM(O6:O10)</f>
        <v>2389607</v>
      </c>
      <c r="P11" s="1788">
        <f>SUM(P6:P10)</f>
        <v>25253968</v>
      </c>
      <c r="Q11" s="1788">
        <f>SUM(Q6:Q10)</f>
        <v>27643575</v>
      </c>
      <c r="R11" s="1947">
        <f>SUM(R6:R10)</f>
        <v>159649184</v>
      </c>
      <c r="S11" s="1952">
        <f t="shared" si="2"/>
        <v>0.17315199681822363</v>
      </c>
      <c r="U11" s="1787">
        <v>0</v>
      </c>
      <c r="V11" s="1788">
        <v>29632872</v>
      </c>
      <c r="W11" s="1788">
        <v>29632872</v>
      </c>
      <c r="X11" s="1947">
        <v>151183745</v>
      </c>
      <c r="Y11" s="1952">
        <f t="shared" si="3"/>
        <v>0.19600567508100822</v>
      </c>
      <c r="AA11" s="1787">
        <v>0</v>
      </c>
      <c r="AB11" s="1788">
        <v>19318645</v>
      </c>
      <c r="AC11" s="1788">
        <v>19318645</v>
      </c>
      <c r="AD11" s="1947">
        <v>182124247</v>
      </c>
      <c r="AE11" s="1952">
        <f t="shared" si="4"/>
        <v>0.10607398695243472</v>
      </c>
      <c r="AF11" s="81"/>
      <c r="AG11" s="1787">
        <v>0</v>
      </c>
      <c r="AH11" s="1788">
        <v>12291060</v>
      </c>
      <c r="AI11" s="1788">
        <v>12291060</v>
      </c>
      <c r="AJ11" s="1947">
        <v>173430419</v>
      </c>
      <c r="AK11" s="1952">
        <f t="shared" si="5"/>
        <v>7.0870266420794387E-2</v>
      </c>
      <c r="AM11" s="1787">
        <f>SUM(AM6:AM10)</f>
        <v>2560400</v>
      </c>
      <c r="AN11" s="1788">
        <f>SUM(AN6:AN10)</f>
        <v>9421876</v>
      </c>
      <c r="AO11" s="1788">
        <f>SUM(AO6:AO10)</f>
        <v>11982276</v>
      </c>
      <c r="AP11" s="1947">
        <f>SUM(AP6:AP10)</f>
        <v>160756333</v>
      </c>
      <c r="AQ11" s="1952">
        <f t="shared" si="6"/>
        <v>7.4536883097476483E-2</v>
      </c>
      <c r="AS11" s="1787">
        <f>SUM(AS6:AS10)</f>
        <v>4750701</v>
      </c>
      <c r="AT11" s="1788">
        <f>SUM(AT6:AT10)</f>
        <v>27535782</v>
      </c>
      <c r="AU11" s="1788">
        <f>SUM(AU6:AU10)</f>
        <v>32286483</v>
      </c>
      <c r="AV11" s="1947">
        <f>SUM(AV6:AV10)</f>
        <v>173437834.16000003</v>
      </c>
      <c r="AW11" s="1952">
        <f t="shared" si="7"/>
        <v>0.18615593971390951</v>
      </c>
      <c r="AY11" s="1787">
        <f>SUM(AY6:AY10)</f>
        <v>8185458.8400000008</v>
      </c>
      <c r="AZ11" s="1788">
        <f>SUM(AZ6:AZ10)</f>
        <v>25292748.360000003</v>
      </c>
      <c r="BA11" s="1788">
        <f>SUM(BA6:BA10)</f>
        <v>33478207.200000003</v>
      </c>
      <c r="BB11" s="1947">
        <f>SUM(BB6:BB10)</f>
        <v>221832139.10999998</v>
      </c>
      <c r="BC11" s="1952">
        <f t="shared" si="8"/>
        <v>0.15091684791174084</v>
      </c>
      <c r="BE11" s="1787">
        <f>SUM(BE6:BE10)</f>
        <v>3890497.7</v>
      </c>
      <c r="BF11" s="1788">
        <f>SUM(BF6:BF10)</f>
        <v>17671102.68</v>
      </c>
      <c r="BG11" s="1788">
        <f>SUM(BG6:BG10)</f>
        <v>21561600.379999999</v>
      </c>
      <c r="BH11" s="1947">
        <f>SUM(BH6:BH10)</f>
        <v>179054929.67000005</v>
      </c>
      <c r="BI11" s="1952">
        <f t="shared" si="9"/>
        <v>0.12041891513256985</v>
      </c>
      <c r="BK11" s="1787">
        <f>SUM(BK6:BK10)</f>
        <v>2378464.5900000003</v>
      </c>
      <c r="BL11" s="1788">
        <f>SUM(BL6:BL10)</f>
        <v>16667575.869999999</v>
      </c>
      <c r="BM11" s="1788">
        <f>SUM(BM6:BM10)</f>
        <v>19046040.460000001</v>
      </c>
      <c r="BN11" s="1947">
        <f>SUM(BN6:BN10)</f>
        <v>170194670</v>
      </c>
      <c r="BO11" s="1952">
        <f t="shared" si="10"/>
        <v>0.11190738499625165</v>
      </c>
      <c r="BQ11" s="1787">
        <f>SUM(BQ6:BQ10)</f>
        <v>4308663</v>
      </c>
      <c r="BR11" s="1788">
        <f>SUM(BR6:BR10)</f>
        <v>17581789</v>
      </c>
      <c r="BS11" s="1788">
        <f>SUM(BS6:BS10)</f>
        <v>21890452</v>
      </c>
      <c r="BT11" s="1947">
        <f>SUM(BT6:BT10)</f>
        <v>179479871</v>
      </c>
      <c r="BU11" s="1952">
        <f t="shared" si="11"/>
        <v>0.12196605601527316</v>
      </c>
      <c r="BW11" s="1787">
        <f>SUM(BW6:BW10)</f>
        <v>21525361.489999998</v>
      </c>
      <c r="BX11" s="1788">
        <f>SUM(BX6:BX10)</f>
        <v>15411227.589999998</v>
      </c>
      <c r="BY11" s="1788">
        <f>SUM(BY6:BY10)</f>
        <v>36936589.079999998</v>
      </c>
      <c r="BZ11" s="1947">
        <f>SUM(BZ6:BZ10)</f>
        <v>262945913.46000001</v>
      </c>
      <c r="CA11" s="1952">
        <f t="shared" si="12"/>
        <v>0.14047219290829133</v>
      </c>
      <c r="CC11" s="1787">
        <f>SUM(CC6:CC10)</f>
        <v>10245.758999999998</v>
      </c>
      <c r="CD11" s="1788">
        <f>SUM(CD6:CD10)</f>
        <v>9993.4740000000002</v>
      </c>
      <c r="CE11" s="1788">
        <f>SUM(CE6:CE10)</f>
        <v>20239.233</v>
      </c>
      <c r="CF11" s="1947">
        <f>SUM(CF6:CF10)</f>
        <v>262488.77100000001</v>
      </c>
      <c r="CG11" s="1952">
        <f t="shared" si="13"/>
        <v>7.7105138337517684E-2</v>
      </c>
    </row>
    <row r="12" spans="1:85">
      <c r="A12" s="2136"/>
      <c r="G12" s="1953"/>
      <c r="M12" s="1953"/>
      <c r="S12" s="1953"/>
      <c r="Y12" s="1953"/>
      <c r="AE12" s="1953"/>
      <c r="AF12" s="81"/>
      <c r="AK12" s="1953"/>
      <c r="AM12" s="2112"/>
      <c r="AN12" s="2112"/>
      <c r="AO12" s="2112"/>
      <c r="AP12" s="2112"/>
      <c r="AQ12" s="1953"/>
      <c r="AS12" s="2112"/>
      <c r="AT12" s="2112"/>
      <c r="AU12" s="2112"/>
      <c r="AV12" s="2112"/>
      <c r="AW12" s="1953"/>
      <c r="AY12" s="2112"/>
      <c r="AZ12" s="2112"/>
      <c r="BA12" s="2112"/>
      <c r="BB12" s="2112"/>
      <c r="BC12" s="1953"/>
      <c r="BE12" s="2112"/>
      <c r="BF12" s="2112"/>
      <c r="BG12" s="2112"/>
      <c r="BH12" s="2112"/>
      <c r="BI12" s="1953"/>
      <c r="BK12" s="2112"/>
      <c r="BL12" s="2112"/>
      <c r="BM12" s="2112"/>
      <c r="BN12" s="2112"/>
      <c r="BO12" s="1953"/>
      <c r="BQ12" s="2112"/>
      <c r="BR12" s="2112"/>
      <c r="BS12" s="2112"/>
      <c r="BT12" s="2112"/>
      <c r="BU12" s="1953"/>
      <c r="BW12" s="2112"/>
      <c r="BX12" s="2112"/>
      <c r="BY12" s="2112"/>
      <c r="BZ12" s="2112"/>
      <c r="CA12" s="1953"/>
      <c r="CC12" s="2112"/>
      <c r="CD12" s="2112"/>
      <c r="CE12" s="2112"/>
      <c r="CF12" s="2112"/>
      <c r="CG12" s="1953"/>
    </row>
    <row r="13" spans="1:85">
      <c r="A13" s="1942" t="s">
        <v>16</v>
      </c>
      <c r="C13" s="1784">
        <v>0</v>
      </c>
      <c r="D13" s="1782">
        <v>0</v>
      </c>
      <c r="E13" s="1782">
        <f>SUM(C13:D13)</f>
        <v>0</v>
      </c>
      <c r="F13" s="1945">
        <v>6559088</v>
      </c>
      <c r="G13" s="1949">
        <f>+E13/F13</f>
        <v>0</v>
      </c>
      <c r="I13" s="1784">
        <v>0</v>
      </c>
      <c r="J13" s="1782">
        <v>0</v>
      </c>
      <c r="K13" s="1782">
        <f>+I13+J13</f>
        <v>0</v>
      </c>
      <c r="L13" s="1945">
        <v>6212347</v>
      </c>
      <c r="M13" s="1949">
        <f>+K13/L13</f>
        <v>0</v>
      </c>
      <c r="O13" s="1784">
        <v>0</v>
      </c>
      <c r="P13" s="1782">
        <v>0</v>
      </c>
      <c r="Q13" s="1782">
        <f>+O13+P13</f>
        <v>0</v>
      </c>
      <c r="R13" s="1945">
        <v>5973992</v>
      </c>
      <c r="S13" s="1949">
        <f t="shared" ref="S13:S18" si="15">+Q13/R13</f>
        <v>0</v>
      </c>
      <c r="U13" s="1784">
        <v>194826</v>
      </c>
      <c r="V13" s="1782">
        <v>8761</v>
      </c>
      <c r="W13" s="1782">
        <v>203587</v>
      </c>
      <c r="X13" s="1945">
        <v>6500882</v>
      </c>
      <c r="Y13" s="1949">
        <f t="shared" ref="Y13:Y18" si="16">+W13/X13</f>
        <v>3.1316827470487849E-2</v>
      </c>
      <c r="AA13" s="1784">
        <v>0</v>
      </c>
      <c r="AB13" s="1782">
        <v>0</v>
      </c>
      <c r="AC13" s="1782">
        <v>0</v>
      </c>
      <c r="AD13" s="1945">
        <v>6219571</v>
      </c>
      <c r="AE13" s="1949">
        <f t="shared" ref="AE13:AE18" si="17">+AC13/AD13</f>
        <v>0</v>
      </c>
      <c r="AF13" s="81"/>
      <c r="AG13" s="1784">
        <v>0</v>
      </c>
      <c r="AH13" s="1782">
        <v>0</v>
      </c>
      <c r="AI13" s="1782">
        <v>0</v>
      </c>
      <c r="AJ13" s="1945">
        <v>7129799</v>
      </c>
      <c r="AK13" s="1949">
        <f t="shared" ref="AK13:AK18" si="18">+AI13/AJ13</f>
        <v>0</v>
      </c>
      <c r="AM13" s="1784">
        <v>0</v>
      </c>
      <c r="AN13" s="1782">
        <v>0</v>
      </c>
      <c r="AO13" s="1782">
        <f>SUM(AM13:AN13)</f>
        <v>0</v>
      </c>
      <c r="AP13" s="1945">
        <v>4741403</v>
      </c>
      <c r="AQ13" s="1949">
        <f t="shared" ref="AQ13:AQ18" si="19">+AO13/AP13</f>
        <v>0</v>
      </c>
      <c r="AS13" s="1784">
        <v>0</v>
      </c>
      <c r="AT13" s="1782">
        <v>17039</v>
      </c>
      <c r="AU13" s="1782">
        <f>SUM(AS13:AT13)</f>
        <v>17039</v>
      </c>
      <c r="AV13" s="1945">
        <v>4741403</v>
      </c>
      <c r="AW13" s="1949">
        <f t="shared" ref="AW13:AW18" si="20">+AU13/AV13</f>
        <v>3.5936620447576382E-3</v>
      </c>
      <c r="AY13" s="1784">
        <v>10168.620000000001</v>
      </c>
      <c r="AZ13" s="1782">
        <v>4856.16</v>
      </c>
      <c r="BA13" s="1782">
        <f>SUM(AY13:AZ13)</f>
        <v>15024.78</v>
      </c>
      <c r="BB13" s="1945">
        <v>5369773.7700000014</v>
      </c>
      <c r="BC13" s="1949">
        <f>+BA13/BB13</f>
        <v>2.7980284912449854E-3</v>
      </c>
      <c r="BE13" s="1784">
        <v>0</v>
      </c>
      <c r="BF13" s="1782">
        <v>1610.28</v>
      </c>
      <c r="BG13" s="1782">
        <f>SUM(BE13:BF13)</f>
        <v>1610.28</v>
      </c>
      <c r="BH13" s="1945">
        <v>4098987.95</v>
      </c>
      <c r="BI13" s="1949">
        <f>+BG13/BH13</f>
        <v>3.928481907344958E-4</v>
      </c>
      <c r="BK13" s="1784">
        <v>0</v>
      </c>
      <c r="BL13" s="1782">
        <v>6455.02</v>
      </c>
      <c r="BM13" s="1782">
        <f>SUM(BK13:BL13)</f>
        <v>6455.02</v>
      </c>
      <c r="BN13" s="1945">
        <v>3630772</v>
      </c>
      <c r="BO13" s="1949">
        <f t="shared" ref="BO13:BO18" si="21">+BM13/BN13</f>
        <v>1.7778643219678902E-3</v>
      </c>
      <c r="BQ13" s="1784"/>
      <c r="BR13" s="1782">
        <v>380724</v>
      </c>
      <c r="BS13" s="1782">
        <f>SUM(BQ13:BR13)</f>
        <v>380724</v>
      </c>
      <c r="BT13" s="1945">
        <v>3950426</v>
      </c>
      <c r="BU13" s="1949">
        <f t="shared" ref="BU13:BU18" si="22">+BS13/BT13</f>
        <v>9.6375428877796973E-2</v>
      </c>
      <c r="BW13" s="1784">
        <v>0</v>
      </c>
      <c r="BX13" s="1782">
        <v>0</v>
      </c>
      <c r="BY13" s="1782">
        <f>SUM(BW13:BX13)</f>
        <v>0</v>
      </c>
      <c r="BZ13" s="1945">
        <v>4328615.1699999897</v>
      </c>
      <c r="CA13" s="1949">
        <f t="shared" ref="CA13:CA18" si="23">+BY13/BZ13</f>
        <v>0</v>
      </c>
      <c r="CC13" s="1784">
        <v>0</v>
      </c>
      <c r="CD13" s="1782">
        <v>0</v>
      </c>
      <c r="CE13" s="1782">
        <f>+CC13+CD13</f>
        <v>0</v>
      </c>
      <c r="CF13" s="1945">
        <v>4511.2169999999996</v>
      </c>
      <c r="CG13" s="1949">
        <f t="shared" ref="CG13:CG18" si="24">+CE13/CF13</f>
        <v>0</v>
      </c>
    </row>
    <row r="14" spans="1:85">
      <c r="A14" s="1874" t="s">
        <v>61</v>
      </c>
      <c r="C14" s="1785">
        <v>0</v>
      </c>
      <c r="D14" s="1783">
        <v>5800</v>
      </c>
      <c r="E14" s="1783">
        <f t="shared" ref="E14:E17" si="25">SUM(C14:D14)</f>
        <v>5800</v>
      </c>
      <c r="F14" s="1946">
        <v>6438969</v>
      </c>
      <c r="G14" s="1950">
        <f t="shared" ref="G14:G17" si="26">+E14/F14</f>
        <v>9.0076532438655937E-4</v>
      </c>
      <c r="I14" s="1785">
        <v>0</v>
      </c>
      <c r="J14" s="1783">
        <v>0</v>
      </c>
      <c r="K14" s="1783">
        <f>+I14+J14</f>
        <v>0</v>
      </c>
      <c r="L14" s="1946">
        <v>6514486</v>
      </c>
      <c r="M14" s="1950">
        <f t="shared" ref="M14:M17" si="27">+K14/L14</f>
        <v>0</v>
      </c>
      <c r="O14" s="1785">
        <v>0</v>
      </c>
      <c r="P14" s="1783">
        <v>0</v>
      </c>
      <c r="Q14" s="1783">
        <f>+O14+P14</f>
        <v>0</v>
      </c>
      <c r="R14" s="1946">
        <v>5172690</v>
      </c>
      <c r="S14" s="1950">
        <f t="shared" si="15"/>
        <v>0</v>
      </c>
      <c r="U14" s="1785">
        <v>0</v>
      </c>
      <c r="V14" s="1783">
        <v>5452</v>
      </c>
      <c r="W14" s="1783">
        <v>5452</v>
      </c>
      <c r="X14" s="1946">
        <v>5745517</v>
      </c>
      <c r="Y14" s="1950">
        <f t="shared" si="16"/>
        <v>9.4891373570037303E-4</v>
      </c>
      <c r="AA14" s="1785">
        <v>0</v>
      </c>
      <c r="AB14" s="1783">
        <v>0</v>
      </c>
      <c r="AC14" s="1783">
        <v>0</v>
      </c>
      <c r="AD14" s="1946">
        <v>5378350</v>
      </c>
      <c r="AE14" s="1950">
        <f t="shared" si="17"/>
        <v>0</v>
      </c>
      <c r="AF14" s="81"/>
      <c r="AG14" s="1785">
        <v>0</v>
      </c>
      <c r="AH14" s="1783">
        <v>0</v>
      </c>
      <c r="AI14" s="1783">
        <v>0</v>
      </c>
      <c r="AJ14" s="1946">
        <v>4779988</v>
      </c>
      <c r="AK14" s="1950">
        <f t="shared" si="18"/>
        <v>0</v>
      </c>
      <c r="AM14" s="1785">
        <v>0</v>
      </c>
      <c r="AN14" s="1783">
        <v>0</v>
      </c>
      <c r="AO14" s="1783">
        <f>SUM(AM14:AN14)</f>
        <v>0</v>
      </c>
      <c r="AP14" s="1946">
        <v>4623711</v>
      </c>
      <c r="AQ14" s="1950">
        <f t="shared" si="19"/>
        <v>0</v>
      </c>
      <c r="AS14" s="1785">
        <v>19430</v>
      </c>
      <c r="AT14" s="1783">
        <f>190588-AS14</f>
        <v>171158</v>
      </c>
      <c r="AU14" s="1783">
        <f>SUM(AS14:AT14)</f>
        <v>190588</v>
      </c>
      <c r="AV14" s="1946">
        <v>4623711</v>
      </c>
      <c r="AW14" s="1950">
        <f t="shared" si="20"/>
        <v>4.121970425919786E-2</v>
      </c>
      <c r="AY14" s="1785">
        <v>69299.56</v>
      </c>
      <c r="AZ14" s="1783">
        <v>74511.11</v>
      </c>
      <c r="BA14" s="1783">
        <f>SUM(AY14:AZ14)</f>
        <v>143810.66999999998</v>
      </c>
      <c r="BB14" s="1946">
        <v>5420218.3200000012</v>
      </c>
      <c r="BC14" s="1950">
        <v>0</v>
      </c>
      <c r="BE14" s="1785">
        <v>59016</v>
      </c>
      <c r="BF14" s="1783">
        <v>87750.51</v>
      </c>
      <c r="BG14" s="1783">
        <f>SUM(BE14:BF14)</f>
        <v>146766.51</v>
      </c>
      <c r="BH14" s="1946">
        <v>3635870.35</v>
      </c>
      <c r="BI14" s="1950">
        <v>0</v>
      </c>
      <c r="BK14" s="1785">
        <v>0</v>
      </c>
      <c r="BL14" s="1783">
        <v>44377.69</v>
      </c>
      <c r="BM14" s="1783">
        <f>SUM(BK14:BL14)</f>
        <v>44377.69</v>
      </c>
      <c r="BN14" s="1946">
        <v>3588387</v>
      </c>
      <c r="BO14" s="1950">
        <v>0</v>
      </c>
      <c r="BQ14" s="1785">
        <v>2500</v>
      </c>
      <c r="BR14" s="1783">
        <v>372675</v>
      </c>
      <c r="BS14" s="1783">
        <f>SUM(BQ14:BR14)</f>
        <v>375175</v>
      </c>
      <c r="BT14" s="1946">
        <v>3501061</v>
      </c>
      <c r="BU14" s="1950">
        <f t="shared" si="22"/>
        <v>0.10716037224144338</v>
      </c>
      <c r="BW14" s="1785">
        <v>0</v>
      </c>
      <c r="BX14" s="1783">
        <v>33421.32</v>
      </c>
      <c r="BY14" s="1783">
        <f>SUM(BW14:BX14)</f>
        <v>33421.32</v>
      </c>
      <c r="BZ14" s="1946">
        <v>3717978.05</v>
      </c>
      <c r="CA14" s="1950">
        <f t="shared" si="23"/>
        <v>8.9891117027977082E-3</v>
      </c>
      <c r="CC14" s="1785">
        <v>0</v>
      </c>
      <c r="CD14" s="1783">
        <v>0</v>
      </c>
      <c r="CE14" s="1783">
        <f>+CC14+CD14</f>
        <v>0</v>
      </c>
      <c r="CF14" s="1946">
        <v>3833.855</v>
      </c>
      <c r="CG14" s="1950">
        <f t="shared" si="24"/>
        <v>0</v>
      </c>
    </row>
    <row r="15" spans="1:85">
      <c r="A15" s="1874" t="s">
        <v>64</v>
      </c>
      <c r="C15" s="1785">
        <v>0</v>
      </c>
      <c r="D15" s="1783">
        <v>21715</v>
      </c>
      <c r="E15" s="1783">
        <f t="shared" si="25"/>
        <v>21715</v>
      </c>
      <c r="F15" s="1946">
        <v>10675673</v>
      </c>
      <c r="G15" s="1950">
        <f t="shared" si="26"/>
        <v>2.0340638009425727E-3</v>
      </c>
      <c r="I15" s="1785">
        <v>0</v>
      </c>
      <c r="J15" s="1783">
        <v>37050</v>
      </c>
      <c r="K15" s="1783">
        <f>+I15+J15</f>
        <v>37050</v>
      </c>
      <c r="L15" s="1946">
        <v>6715555</v>
      </c>
      <c r="M15" s="1950">
        <f t="shared" si="27"/>
        <v>5.5170421506487554E-3</v>
      </c>
      <c r="O15" s="1785">
        <v>0</v>
      </c>
      <c r="P15" s="1783">
        <v>4437</v>
      </c>
      <c r="Q15" s="1783">
        <f>+O15+P15</f>
        <v>4437</v>
      </c>
      <c r="R15" s="1946">
        <v>6268869</v>
      </c>
      <c r="S15" s="1950">
        <f t="shared" si="15"/>
        <v>7.077831742855051E-4</v>
      </c>
      <c r="U15" s="1785">
        <v>0</v>
      </c>
      <c r="V15" s="1783">
        <v>263275</v>
      </c>
      <c r="W15" s="1783">
        <v>263275</v>
      </c>
      <c r="X15" s="1946">
        <v>5868208</v>
      </c>
      <c r="Y15" s="1950">
        <f t="shared" si="16"/>
        <v>4.4864633291798794E-2</v>
      </c>
      <c r="AA15" s="1785"/>
      <c r="AB15" s="1783">
        <v>565</v>
      </c>
      <c r="AC15" s="1783">
        <v>565</v>
      </c>
      <c r="AD15" s="1946">
        <v>5723024</v>
      </c>
      <c r="AE15" s="1950">
        <f t="shared" si="17"/>
        <v>9.8724031211471421E-5</v>
      </c>
      <c r="AF15" s="81"/>
      <c r="AG15" s="1785">
        <v>0</v>
      </c>
      <c r="AH15" s="1783">
        <v>0</v>
      </c>
      <c r="AI15" s="1783">
        <v>0</v>
      </c>
      <c r="AJ15" s="1946">
        <v>5614081</v>
      </c>
      <c r="AK15" s="1950">
        <f t="shared" si="18"/>
        <v>0</v>
      </c>
      <c r="AM15" s="1785">
        <v>0</v>
      </c>
      <c r="AN15" s="1783">
        <v>8083</v>
      </c>
      <c r="AO15" s="1783">
        <f>SUM(AM15:AN15)</f>
        <v>8083</v>
      </c>
      <c r="AP15" s="1946">
        <v>6109936</v>
      </c>
      <c r="AQ15" s="1950">
        <f t="shared" si="19"/>
        <v>1.3229271141301643E-3</v>
      </c>
      <c r="AS15" s="1785">
        <v>23230</v>
      </c>
      <c r="AT15" s="1783">
        <f>531287-AS15</f>
        <v>508057</v>
      </c>
      <c r="AU15" s="1783">
        <f>SUM(AS15:AT15)</f>
        <v>531287</v>
      </c>
      <c r="AV15" s="1946">
        <v>6109936</v>
      </c>
      <c r="AW15" s="1950">
        <f t="shared" si="20"/>
        <v>8.6954593305068995E-2</v>
      </c>
      <c r="AY15" s="1785">
        <v>99858.6</v>
      </c>
      <c r="AZ15" s="1783">
        <v>548981.41999999993</v>
      </c>
      <c r="BA15" s="1783">
        <f>SUM(AY15:AZ15)</f>
        <v>648840.0199999999</v>
      </c>
      <c r="BB15" s="1946">
        <v>4418942.5200000005</v>
      </c>
      <c r="BC15" s="1950">
        <f>+BA15/BB15</f>
        <v>0.14683151388898352</v>
      </c>
      <c r="BE15" s="1785">
        <v>0</v>
      </c>
      <c r="BF15" s="1783">
        <v>300310.33</v>
      </c>
      <c r="BG15" s="1783">
        <f>SUM(BE15:BF15)</f>
        <v>300310.33</v>
      </c>
      <c r="BH15" s="1946">
        <v>3682705.1599999992</v>
      </c>
      <c r="BI15" s="1950">
        <f>+BG15/BH15</f>
        <v>8.1546123556630337E-2</v>
      </c>
      <c r="BK15" s="1785">
        <v>0</v>
      </c>
      <c r="BL15" s="1783">
        <v>241326.46000000002</v>
      </c>
      <c r="BM15" s="1783">
        <f>SUM(BK15:BL15)</f>
        <v>241326.46000000002</v>
      </c>
      <c r="BN15" s="1946">
        <v>3553331</v>
      </c>
      <c r="BO15" s="1950">
        <f>+BM15/BN15</f>
        <v>6.7915558668753359E-2</v>
      </c>
      <c r="BQ15" s="1785">
        <v>3656</v>
      </c>
      <c r="BR15" s="1783">
        <v>15200</v>
      </c>
      <c r="BS15" s="1783">
        <f>SUM(BQ15:BR15)</f>
        <v>18856</v>
      </c>
      <c r="BT15" s="1946">
        <v>3747160</v>
      </c>
      <c r="BU15" s="1950">
        <f t="shared" si="22"/>
        <v>5.032077626789355E-3</v>
      </c>
      <c r="BW15" s="1785">
        <v>1010</v>
      </c>
      <c r="BX15" s="1783">
        <v>277605.90999999997</v>
      </c>
      <c r="BY15" s="1783">
        <f>SUM(BW15:BX15)</f>
        <v>278615.90999999997</v>
      </c>
      <c r="BZ15" s="1946">
        <v>5489561.3600000199</v>
      </c>
      <c r="CA15" s="1950">
        <f t="shared" si="23"/>
        <v>5.0753765506685034E-2</v>
      </c>
      <c r="CC15" s="1785">
        <v>0</v>
      </c>
      <c r="CD15" s="1783">
        <v>0</v>
      </c>
      <c r="CE15" s="1783">
        <f>+CC15+CD15</f>
        <v>0</v>
      </c>
      <c r="CF15" s="1946">
        <v>3406.6129999999998</v>
      </c>
      <c r="CG15" s="1950">
        <f t="shared" si="24"/>
        <v>0</v>
      </c>
    </row>
    <row r="16" spans="1:85">
      <c r="A16" s="1874" t="s">
        <v>85</v>
      </c>
      <c r="C16" s="1785">
        <v>2787358</v>
      </c>
      <c r="D16" s="1783">
        <v>3782181</v>
      </c>
      <c r="E16" s="1783">
        <f t="shared" si="25"/>
        <v>6569539</v>
      </c>
      <c r="F16" s="1946">
        <v>80032221</v>
      </c>
      <c r="G16" s="1950">
        <f t="shared" si="26"/>
        <v>8.2086176266431485E-2</v>
      </c>
      <c r="I16" s="1785">
        <v>1167444</v>
      </c>
      <c r="J16" s="1783">
        <v>3797082</v>
      </c>
      <c r="K16" s="1783">
        <f>+I16+J16</f>
        <v>4964526</v>
      </c>
      <c r="L16" s="1946">
        <v>61240338</v>
      </c>
      <c r="M16" s="1950">
        <f t="shared" si="27"/>
        <v>8.1066273670795219E-2</v>
      </c>
      <c r="O16" s="1785">
        <v>4520311</v>
      </c>
      <c r="P16" s="1783">
        <v>2321910</v>
      </c>
      <c r="Q16" s="1783">
        <f>+O16+P16</f>
        <v>6842221</v>
      </c>
      <c r="R16" s="1946">
        <v>51547695</v>
      </c>
      <c r="S16" s="1950">
        <f t="shared" si="15"/>
        <v>0.13273573144250195</v>
      </c>
      <c r="U16" s="1785">
        <v>5074803</v>
      </c>
      <c r="V16" s="1783">
        <v>4863413</v>
      </c>
      <c r="W16" s="1783">
        <v>9938216</v>
      </c>
      <c r="X16" s="1946">
        <v>43598900</v>
      </c>
      <c r="Y16" s="1950">
        <f t="shared" si="16"/>
        <v>0.22794648488838021</v>
      </c>
      <c r="AA16" s="1785">
        <v>2120428</v>
      </c>
      <c r="AB16" s="1783">
        <v>2972534</v>
      </c>
      <c r="AC16" s="1783">
        <v>5092962</v>
      </c>
      <c r="AD16" s="1946">
        <v>52975244</v>
      </c>
      <c r="AE16" s="1950">
        <f t="shared" si="17"/>
        <v>9.6138528403946572E-2</v>
      </c>
      <c r="AF16" s="81"/>
      <c r="AG16" s="1785">
        <v>0</v>
      </c>
      <c r="AH16" s="1783">
        <v>5161210</v>
      </c>
      <c r="AI16" s="1783">
        <v>5161210</v>
      </c>
      <c r="AJ16" s="1946">
        <v>53845098</v>
      </c>
      <c r="AK16" s="1950">
        <f t="shared" si="18"/>
        <v>9.5852922396018295E-2</v>
      </c>
      <c r="AM16" s="1785">
        <v>0</v>
      </c>
      <c r="AN16" s="1783">
        <v>3833289</v>
      </c>
      <c r="AO16" s="1783">
        <f>SUM(AM16:AN16)</f>
        <v>3833289</v>
      </c>
      <c r="AP16" s="1946">
        <v>47719757</v>
      </c>
      <c r="AQ16" s="1950">
        <f t="shared" si="19"/>
        <v>8.0329181055972268E-2</v>
      </c>
      <c r="AS16" s="1785">
        <v>6939978</v>
      </c>
      <c r="AT16" s="1783">
        <f>14630501-AS16</f>
        <v>7690523</v>
      </c>
      <c r="AU16" s="1783">
        <f>SUM(AS16:AT16)</f>
        <v>14630501</v>
      </c>
      <c r="AV16" s="1946">
        <v>47719757</v>
      </c>
      <c r="AW16" s="1950">
        <f t="shared" si="20"/>
        <v>0.30659211026577526</v>
      </c>
      <c r="AY16" s="1785">
        <v>13329349.83</v>
      </c>
      <c r="AZ16" s="1783">
        <v>5851613.7200000007</v>
      </c>
      <c r="BA16" s="1783">
        <f>SUM(AY16:AZ16)</f>
        <v>19180963.550000001</v>
      </c>
      <c r="BB16" s="1946">
        <v>73618269.919999987</v>
      </c>
      <c r="BC16" s="1950">
        <f>+BA16/BB16</f>
        <v>0.26054624172564367</v>
      </c>
      <c r="BE16" s="1785">
        <v>10160494.9</v>
      </c>
      <c r="BF16" s="1783">
        <v>3504537.3</v>
      </c>
      <c r="BG16" s="1783">
        <f>SUM(BE16:BF16)</f>
        <v>13665032.199999999</v>
      </c>
      <c r="BH16" s="1946">
        <v>72783581.910000011</v>
      </c>
      <c r="BI16" s="1950">
        <f>+BG16/BH16</f>
        <v>0.1877488279829013</v>
      </c>
      <c r="BK16" s="1785">
        <v>469440.69</v>
      </c>
      <c r="BL16" s="1783">
        <v>4359789.1400000006</v>
      </c>
      <c r="BM16" s="1783">
        <f>SUM(BK16:BL16)</f>
        <v>4829229.830000001</v>
      </c>
      <c r="BN16" s="1946">
        <v>94412332</v>
      </c>
      <c r="BO16" s="1950">
        <f t="shared" si="21"/>
        <v>5.1150413592156593E-2</v>
      </c>
      <c r="BQ16" s="1785">
        <v>449015</v>
      </c>
      <c r="BR16" s="1783">
        <v>5212533</v>
      </c>
      <c r="BS16" s="1783">
        <f>SUM(BQ16:BR16)</f>
        <v>5661548</v>
      </c>
      <c r="BT16" s="1946">
        <v>670527353</v>
      </c>
      <c r="BU16" s="1950">
        <f t="shared" si="22"/>
        <v>8.4434258716959455E-3</v>
      </c>
      <c r="BW16" s="1785">
        <v>7792108.2599999998</v>
      </c>
      <c r="BX16" s="1783">
        <v>2653671.58</v>
      </c>
      <c r="BY16" s="1783">
        <f>SUM(BW16:BX16)</f>
        <v>10445779.84</v>
      </c>
      <c r="BZ16" s="1946">
        <v>127420005.12</v>
      </c>
      <c r="CA16" s="1950">
        <f t="shared" si="23"/>
        <v>8.1979119606552409E-2</v>
      </c>
      <c r="CC16" s="1785">
        <v>8150.7280000000001</v>
      </c>
      <c r="CD16" s="1783">
        <v>359.47800000000001</v>
      </c>
      <c r="CE16" s="1783">
        <f>+CC16+CD16</f>
        <v>8510.2060000000001</v>
      </c>
      <c r="CF16" s="1946">
        <v>72636.747000000003</v>
      </c>
      <c r="CG16" s="1950">
        <f t="shared" si="24"/>
        <v>0.11716116637216696</v>
      </c>
    </row>
    <row r="17" spans="1:85">
      <c r="A17" s="1874" t="s">
        <v>86</v>
      </c>
      <c r="C17" s="1785">
        <v>0</v>
      </c>
      <c r="D17" s="1783">
        <v>0</v>
      </c>
      <c r="E17" s="1783">
        <f t="shared" si="25"/>
        <v>0</v>
      </c>
      <c r="F17" s="1946">
        <v>20614055</v>
      </c>
      <c r="G17" s="1951">
        <f t="shared" si="26"/>
        <v>0</v>
      </c>
      <c r="I17" s="1785">
        <v>0</v>
      </c>
      <c r="J17" s="1783">
        <v>0</v>
      </c>
      <c r="K17" s="1783">
        <f>+I17+J17</f>
        <v>0</v>
      </c>
      <c r="L17" s="1946">
        <v>20054519</v>
      </c>
      <c r="M17" s="1951">
        <f t="shared" si="27"/>
        <v>0</v>
      </c>
      <c r="O17" s="1785">
        <v>0</v>
      </c>
      <c r="P17" s="1783">
        <v>0</v>
      </c>
      <c r="Q17" s="1783">
        <f>+O17+P17</f>
        <v>0</v>
      </c>
      <c r="R17" s="1946">
        <v>18916631</v>
      </c>
      <c r="S17" s="1951">
        <f t="shared" si="15"/>
        <v>0</v>
      </c>
      <c r="U17" s="1785">
        <v>0</v>
      </c>
      <c r="V17" s="1783">
        <v>100358</v>
      </c>
      <c r="W17" s="1783">
        <v>100358</v>
      </c>
      <c r="X17" s="1946">
        <v>18148484</v>
      </c>
      <c r="Y17" s="1951">
        <f t="shared" si="16"/>
        <v>5.5298282765656901E-3</v>
      </c>
      <c r="AA17" s="1785">
        <v>0</v>
      </c>
      <c r="AB17" s="1783">
        <v>0</v>
      </c>
      <c r="AC17" s="1783">
        <v>0</v>
      </c>
      <c r="AD17" s="1946">
        <v>15710478</v>
      </c>
      <c r="AE17" s="1951">
        <f t="shared" si="17"/>
        <v>0</v>
      </c>
      <c r="AF17" s="81"/>
      <c r="AG17" s="1785">
        <v>0</v>
      </c>
      <c r="AH17" s="1783">
        <v>0</v>
      </c>
      <c r="AI17" s="1783">
        <v>0</v>
      </c>
      <c r="AJ17" s="1946">
        <v>17394009</v>
      </c>
      <c r="AK17" s="1951">
        <f t="shared" si="18"/>
        <v>0</v>
      </c>
      <c r="AM17" s="1785">
        <v>0</v>
      </c>
      <c r="AN17" s="1783">
        <v>22922</v>
      </c>
      <c r="AO17" s="1783">
        <f>SUM(AM17:AN17)</f>
        <v>22922</v>
      </c>
      <c r="AP17" s="1946">
        <v>13410049</v>
      </c>
      <c r="AQ17" s="1951">
        <f t="shared" si="19"/>
        <v>1.7093151561191164E-3</v>
      </c>
      <c r="AS17" s="1785">
        <v>0</v>
      </c>
      <c r="AT17" s="1783">
        <v>121153</v>
      </c>
      <c r="AU17" s="1783">
        <f>SUM(AS17:AT17)</f>
        <v>121153</v>
      </c>
      <c r="AV17" s="1946">
        <v>13410049</v>
      </c>
      <c r="AW17" s="1951">
        <f t="shared" si="20"/>
        <v>9.0344934608367206E-3</v>
      </c>
      <c r="AY17" s="1785">
        <v>0</v>
      </c>
      <c r="AZ17" s="1783">
        <v>38285.800000000003</v>
      </c>
      <c r="BA17" s="1783">
        <f>SUM(AY17:AZ17)</f>
        <v>38285.800000000003</v>
      </c>
      <c r="BB17" s="1946">
        <v>18049278.059999995</v>
      </c>
      <c r="BC17" s="1951">
        <f>+BA17/BB17</f>
        <v>2.1211817931292933E-3</v>
      </c>
      <c r="BE17" s="1785">
        <v>0</v>
      </c>
      <c r="BF17" s="1783">
        <v>81256.960000000006</v>
      </c>
      <c r="BG17" s="1783">
        <f>SUM(BE17:BF17)</f>
        <v>81256.960000000006</v>
      </c>
      <c r="BH17" s="1946">
        <v>10614985.689999999</v>
      </c>
      <c r="BI17" s="1951">
        <f>+BG17/BH17</f>
        <v>7.654928831091058E-3</v>
      </c>
      <c r="BK17" s="1785">
        <v>0</v>
      </c>
      <c r="BL17" s="1783">
        <v>0</v>
      </c>
      <c r="BM17" s="1783">
        <f>SUM(BK17:BL17)</f>
        <v>0</v>
      </c>
      <c r="BN17" s="1946">
        <v>9148111</v>
      </c>
      <c r="BO17" s="1951">
        <f t="shared" si="21"/>
        <v>0</v>
      </c>
      <c r="BQ17" s="1785"/>
      <c r="BR17" s="1783">
        <v>1400</v>
      </c>
      <c r="BS17" s="1783">
        <f>SUM(BQ17:BR17)</f>
        <v>1400</v>
      </c>
      <c r="BT17" s="1946">
        <v>7718622</v>
      </c>
      <c r="BU17" s="1951">
        <f t="shared" si="22"/>
        <v>1.8137952603456938E-4</v>
      </c>
      <c r="BW17" s="1785">
        <v>0</v>
      </c>
      <c r="BX17" s="1783">
        <v>6728.11</v>
      </c>
      <c r="BY17" s="1783">
        <f>SUM(BW17:BX17)</f>
        <v>6728.11</v>
      </c>
      <c r="BZ17" s="1946">
        <v>70651988.769999996</v>
      </c>
      <c r="CA17" s="1951">
        <f t="shared" si="23"/>
        <v>9.5228883392124226E-5</v>
      </c>
      <c r="CC17" s="1785">
        <v>0</v>
      </c>
      <c r="CD17" s="1783">
        <v>0</v>
      </c>
      <c r="CE17" s="1783">
        <f>+CC17+CD17</f>
        <v>0</v>
      </c>
      <c r="CF17" s="1946">
        <v>63720.667000000001</v>
      </c>
      <c r="CG17" s="1951">
        <f t="shared" si="24"/>
        <v>0</v>
      </c>
    </row>
    <row r="18" spans="1:85">
      <c r="A18" s="1943" t="s">
        <v>59</v>
      </c>
      <c r="C18" s="1787">
        <f>SUM(C13:C17)</f>
        <v>2787358</v>
      </c>
      <c r="D18" s="1788">
        <f>SUM(D13:D17)</f>
        <v>3809696</v>
      </c>
      <c r="E18" s="1788">
        <f>SUM(E13:E17)</f>
        <v>6597054</v>
      </c>
      <c r="F18" s="1947">
        <f>SUM(F13:F17)</f>
        <v>124320006</v>
      </c>
      <c r="G18" s="1952">
        <f>+E18/F18</f>
        <v>5.306510361654905E-2</v>
      </c>
      <c r="I18" s="1787">
        <f>SUM(I13:I17)</f>
        <v>1167444</v>
      </c>
      <c r="J18" s="1788">
        <f t="shared" ref="J18:L18" si="28">SUM(J13:J17)</f>
        <v>3834132</v>
      </c>
      <c r="K18" s="1788">
        <f t="shared" si="28"/>
        <v>5001576</v>
      </c>
      <c r="L18" s="1947">
        <f t="shared" si="28"/>
        <v>100737245</v>
      </c>
      <c r="M18" s="1952">
        <f>+K18/L18</f>
        <v>4.9649719922358407E-2</v>
      </c>
      <c r="O18" s="1787">
        <f>SUM(O13:O17)</f>
        <v>4520311</v>
      </c>
      <c r="P18" s="1788">
        <f>SUM(P13:P17)</f>
        <v>2326347</v>
      </c>
      <c r="Q18" s="1788">
        <f>SUM(Q13:Q17)</f>
        <v>6846658</v>
      </c>
      <c r="R18" s="1947">
        <f>SUM(R13:R17)</f>
        <v>87879877</v>
      </c>
      <c r="S18" s="1952">
        <f t="shared" si="15"/>
        <v>7.7909280642256704E-2</v>
      </c>
      <c r="U18" s="1787">
        <v>5269629</v>
      </c>
      <c r="V18" s="1788">
        <v>5241259</v>
      </c>
      <c r="W18" s="1788">
        <v>10510888</v>
      </c>
      <c r="X18" s="1947">
        <v>79861991</v>
      </c>
      <c r="Y18" s="1952">
        <f t="shared" si="16"/>
        <v>0.13161314748589226</v>
      </c>
      <c r="AA18" s="1787">
        <v>2120428</v>
      </c>
      <c r="AB18" s="1788">
        <v>2973099</v>
      </c>
      <c r="AC18" s="1788">
        <v>5093527</v>
      </c>
      <c r="AD18" s="1947">
        <v>86006667</v>
      </c>
      <c r="AE18" s="1952">
        <f t="shared" si="17"/>
        <v>5.9222467021074074E-2</v>
      </c>
      <c r="AF18" s="81"/>
      <c r="AG18" s="1787">
        <v>0</v>
      </c>
      <c r="AH18" s="1788">
        <v>5161210</v>
      </c>
      <c r="AI18" s="1788">
        <v>5161210</v>
      </c>
      <c r="AJ18" s="1947">
        <v>88762975</v>
      </c>
      <c r="AK18" s="1952">
        <f t="shared" si="18"/>
        <v>5.8145978095033433E-2</v>
      </c>
      <c r="AM18" s="1787">
        <f>SUM(AM13:AM17)</f>
        <v>0</v>
      </c>
      <c r="AN18" s="1788">
        <f>SUM(AN13:AN17)</f>
        <v>3864294</v>
      </c>
      <c r="AO18" s="1788">
        <f>SUM(AO13:AO17)</f>
        <v>3864294</v>
      </c>
      <c r="AP18" s="1947">
        <f>SUM(AP13:AP17)</f>
        <v>76604856</v>
      </c>
      <c r="AQ18" s="1952">
        <f t="shared" si="19"/>
        <v>5.0444504458046366E-2</v>
      </c>
      <c r="AS18" s="1787">
        <f>SUM(AS13:AS17)</f>
        <v>6982638</v>
      </c>
      <c r="AT18" s="1788">
        <f>SUM(AT13:AT17)</f>
        <v>8507930</v>
      </c>
      <c r="AU18" s="1788">
        <f>SUM(AU13:AU17)</f>
        <v>15490568</v>
      </c>
      <c r="AV18" s="1947">
        <f>SUM(AV13:AV17)</f>
        <v>76604856</v>
      </c>
      <c r="AW18" s="1952">
        <f t="shared" si="20"/>
        <v>0.20221391709162667</v>
      </c>
      <c r="AY18" s="1787">
        <f>SUM(AY13:AY17)</f>
        <v>13508676.609999999</v>
      </c>
      <c r="AZ18" s="1788">
        <f>SUM(AZ13:AZ17)</f>
        <v>6518248.21</v>
      </c>
      <c r="BA18" s="1788">
        <f>SUM(BA13:BA17)</f>
        <v>20026924.82</v>
      </c>
      <c r="BB18" s="1947">
        <f>SUM(BB13:BB17)</f>
        <v>106876482.58999997</v>
      </c>
      <c r="BC18" s="1952">
        <f>+BA18/BB18</f>
        <v>0.18738383164074904</v>
      </c>
      <c r="BE18" s="1787">
        <f>SUM(BE13:BE17)</f>
        <v>10219510.9</v>
      </c>
      <c r="BF18" s="1788">
        <f>SUM(BF13:BF17)</f>
        <v>3975465.38</v>
      </c>
      <c r="BG18" s="1788">
        <f>SUM(BG13:BG17)</f>
        <v>14194976.279999999</v>
      </c>
      <c r="BH18" s="1947">
        <f>SUM(BH13:BH17)</f>
        <v>94816131.060000002</v>
      </c>
      <c r="BI18" s="1952">
        <f>+BG18/BH18</f>
        <v>0.14971056213016501</v>
      </c>
      <c r="BK18" s="1787">
        <f>SUM(BK13:BK17)</f>
        <v>469440.69</v>
      </c>
      <c r="BL18" s="1788">
        <f>SUM(BL13:BL17)</f>
        <v>4651948.3100000005</v>
      </c>
      <c r="BM18" s="1788">
        <f>SUM(BM13:BM17)</f>
        <v>5121389.0000000009</v>
      </c>
      <c r="BN18" s="1947">
        <f>SUM(BN13:BN17)</f>
        <v>114332933</v>
      </c>
      <c r="BO18" s="1952">
        <f t="shared" si="21"/>
        <v>4.4793646638978474E-2</v>
      </c>
      <c r="BQ18" s="1787">
        <f>SUM(BQ13:BQ17)</f>
        <v>455171</v>
      </c>
      <c r="BR18" s="1788">
        <f>SUM(BR13:BR17)</f>
        <v>5982532</v>
      </c>
      <c r="BS18" s="1788">
        <f>SUM(BS13:BS17)</f>
        <v>6437703</v>
      </c>
      <c r="BT18" s="1947">
        <f>SUM(BT13:BT17)</f>
        <v>689444622</v>
      </c>
      <c r="BU18" s="1952">
        <f t="shared" si="22"/>
        <v>9.337520077138263E-3</v>
      </c>
      <c r="BW18" s="1787">
        <f>SUM(BW13:BW17)</f>
        <v>7793118.2599999998</v>
      </c>
      <c r="BX18" s="1788">
        <f>SUM(BX13:BX17)</f>
        <v>2971426.92</v>
      </c>
      <c r="BY18" s="1788">
        <f>SUM(BY13:BY17)</f>
        <v>10764545.18</v>
      </c>
      <c r="BZ18" s="1947">
        <f>SUM(BZ13:BZ17)</f>
        <v>211608148.47000003</v>
      </c>
      <c r="CA18" s="1952">
        <f t="shared" si="23"/>
        <v>5.0870182730822881E-2</v>
      </c>
      <c r="CC18" s="1787">
        <f>SUM(CC13:CC17)</f>
        <v>8150.7280000000001</v>
      </c>
      <c r="CD18" s="1788">
        <f>SUM(CD13:CD17)</f>
        <v>359.47800000000001</v>
      </c>
      <c r="CE18" s="1788">
        <f>SUM(CE13:CE17)</f>
        <v>8510.2060000000001</v>
      </c>
      <c r="CF18" s="1947">
        <f>SUM(CF13:CF17)</f>
        <v>148109.09899999999</v>
      </c>
      <c r="CG18" s="1952">
        <f t="shared" si="24"/>
        <v>5.745903565317078E-2</v>
      </c>
    </row>
    <row r="19" spans="1:85">
      <c r="A19" s="2136"/>
      <c r="G19" s="1954"/>
      <c r="M19" s="1954"/>
      <c r="S19" s="1954"/>
      <c r="Y19" s="1954"/>
      <c r="AE19" s="1954"/>
      <c r="AF19" s="81"/>
      <c r="AK19" s="1954"/>
      <c r="AM19" s="2112"/>
      <c r="AN19" s="2112"/>
      <c r="AO19" s="2112"/>
      <c r="AP19" s="2112"/>
      <c r="AQ19" s="1954"/>
      <c r="AS19" s="2112"/>
      <c r="AT19" s="2112"/>
      <c r="AU19" s="2112"/>
      <c r="AV19" s="2112"/>
      <c r="AW19" s="1954"/>
      <c r="AY19" s="2112"/>
      <c r="AZ19" s="2112"/>
      <c r="BA19" s="2112"/>
      <c r="BB19" s="2112"/>
      <c r="BC19" s="1954"/>
      <c r="BE19" s="2112"/>
      <c r="BF19" s="2112"/>
      <c r="BG19" s="2112"/>
      <c r="BH19" s="2112"/>
      <c r="BI19" s="1954"/>
      <c r="BK19" s="2112"/>
      <c r="BL19" s="2112"/>
      <c r="BM19" s="2112"/>
      <c r="BN19" s="2112"/>
      <c r="BO19" s="1954"/>
      <c r="BQ19" s="2112"/>
      <c r="BR19" s="2112"/>
      <c r="BS19" s="2112"/>
      <c r="BT19" s="2112"/>
      <c r="BU19" s="1954"/>
      <c r="BW19" s="2112"/>
      <c r="BX19" s="2112"/>
      <c r="BY19" s="2112"/>
      <c r="BZ19" s="2112"/>
      <c r="CA19" s="1954"/>
      <c r="CC19" s="2112"/>
      <c r="CD19" s="2112"/>
      <c r="CE19" s="2112"/>
      <c r="CF19" s="2112"/>
      <c r="CG19" s="1954"/>
    </row>
    <row r="20" spans="1:85">
      <c r="A20" s="1942" t="s">
        <v>4</v>
      </c>
      <c r="C20" s="1784">
        <v>0</v>
      </c>
      <c r="D20" s="1782">
        <v>0</v>
      </c>
      <c r="E20" s="1782">
        <f>SUM(C20:D20)</f>
        <v>0</v>
      </c>
      <c r="F20" s="1945">
        <v>25117514</v>
      </c>
      <c r="G20" s="1949">
        <f t="shared" ref="G20:G25" si="29">+E20/F20</f>
        <v>0</v>
      </c>
      <c r="I20" s="1784">
        <v>0</v>
      </c>
      <c r="J20" s="1782">
        <v>56344</v>
      </c>
      <c r="K20" s="1782">
        <f>+I20+J20</f>
        <v>56344</v>
      </c>
      <c r="L20" s="1945">
        <v>24330976</v>
      </c>
      <c r="M20" s="1949">
        <f t="shared" ref="M20:M25" si="30">+K20/L20</f>
        <v>2.3157311897393676E-3</v>
      </c>
      <c r="O20" s="1784">
        <v>0</v>
      </c>
      <c r="P20" s="1782">
        <v>849736</v>
      </c>
      <c r="Q20" s="1782">
        <f>+O20+P20</f>
        <v>849736</v>
      </c>
      <c r="R20" s="1945">
        <v>19659323</v>
      </c>
      <c r="S20" s="1949">
        <f t="shared" ref="S20:S25" si="31">+Q20/R20</f>
        <v>4.3223055036025401E-2</v>
      </c>
      <c r="U20" s="1784">
        <v>0</v>
      </c>
      <c r="V20" s="1782">
        <v>5287480</v>
      </c>
      <c r="W20" s="1782">
        <v>5287480</v>
      </c>
      <c r="X20" s="1945">
        <v>22747298</v>
      </c>
      <c r="Y20" s="1949">
        <f t="shared" ref="Y20:Y25" si="32">+W20/X20</f>
        <v>0.23244431052866146</v>
      </c>
      <c r="AA20" s="1784">
        <v>0</v>
      </c>
      <c r="AB20" s="1782">
        <v>0</v>
      </c>
      <c r="AC20" s="1782">
        <v>0</v>
      </c>
      <c r="AD20" s="1945">
        <v>26409148</v>
      </c>
      <c r="AE20" s="1949">
        <f t="shared" ref="AE20:AE25" si="33">+AC20/AD20</f>
        <v>0</v>
      </c>
      <c r="AF20" s="81"/>
      <c r="AG20" s="1784">
        <v>1602624</v>
      </c>
      <c r="AH20" s="1782">
        <v>18653</v>
      </c>
      <c r="AI20" s="1782">
        <v>1621277</v>
      </c>
      <c r="AJ20" s="1945">
        <v>25198571</v>
      </c>
      <c r="AK20" s="1949">
        <f t="shared" ref="AK20:AK25" si="34">+AI20/AJ20</f>
        <v>6.4340037377516368E-2</v>
      </c>
      <c r="AM20" s="1784">
        <v>1290583</v>
      </c>
      <c r="AN20" s="1782">
        <v>4350</v>
      </c>
      <c r="AO20" s="1782">
        <f>SUM(AM20:AN20)</f>
        <v>1294933</v>
      </c>
      <c r="AP20" s="1945">
        <v>26625568</v>
      </c>
      <c r="AQ20" s="1949">
        <f t="shared" ref="AQ20:AQ25" si="35">+AO20/AP20</f>
        <v>4.8634943675192208E-2</v>
      </c>
      <c r="AS20" s="1784">
        <v>100305</v>
      </c>
      <c r="AT20" s="1782">
        <f>5738665-AS20</f>
        <v>5638360</v>
      </c>
      <c r="AU20" s="1782">
        <f>SUM(AS20:AT20)</f>
        <v>5738665</v>
      </c>
      <c r="AV20" s="1945">
        <v>27984135.899999999</v>
      </c>
      <c r="AW20" s="1949">
        <f t="shared" ref="AW20:AW31" si="36">+AU20/AV20</f>
        <v>0.2050685081185587</v>
      </c>
      <c r="AY20" s="1784">
        <v>437771.25</v>
      </c>
      <c r="AZ20" s="1782">
        <v>5553427.3099999996</v>
      </c>
      <c r="BA20" s="1782">
        <f>SUM(AY20:AZ20)</f>
        <v>5991198.5599999996</v>
      </c>
      <c r="BB20" s="1945">
        <v>26535730.349999998</v>
      </c>
      <c r="BC20" s="1949">
        <f t="shared" ref="BC20:BC25" si="37">+BA20/BB20</f>
        <v>0.22577854390957058</v>
      </c>
      <c r="BE20" s="1784">
        <v>924102.75</v>
      </c>
      <c r="BF20" s="1782">
        <v>1842597.89</v>
      </c>
      <c r="BG20" s="1782">
        <f>SUM(BE20:BF20)</f>
        <v>2766700.6399999997</v>
      </c>
      <c r="BH20" s="1945">
        <v>23375900.210000001</v>
      </c>
      <c r="BI20" s="1949">
        <f t="shared" ref="BI20:BI25" si="38">+BG20/BH20</f>
        <v>0.11835696658289249</v>
      </c>
      <c r="BK20" s="1784">
        <v>3158442</v>
      </c>
      <c r="BL20" s="1782">
        <v>5207207.72</v>
      </c>
      <c r="BM20" s="1782">
        <f>SUM(BK20:BL20)</f>
        <v>8365649.7199999997</v>
      </c>
      <c r="BN20" s="1945">
        <v>30895115</v>
      </c>
      <c r="BO20" s="1949">
        <f t="shared" ref="BO20:BO25" si="39">+BM20/BN20</f>
        <v>0.27077580776119459</v>
      </c>
      <c r="BQ20" s="1784">
        <v>78245</v>
      </c>
      <c r="BR20" s="1782">
        <v>3021309</v>
      </c>
      <c r="BS20" s="1782">
        <f>SUM(BQ20:BR20)</f>
        <v>3099554</v>
      </c>
      <c r="BT20" s="1945">
        <v>24122480</v>
      </c>
      <c r="BU20" s="1949">
        <f t="shared" ref="BU20:BU25" si="40">+BS20/BT20</f>
        <v>0.12849234407075891</v>
      </c>
      <c r="BW20" s="1784">
        <v>978990.94</v>
      </c>
      <c r="BX20" s="1782">
        <v>2096252.77</v>
      </c>
      <c r="BY20" s="1782">
        <f>SUM(BW20:BX20)</f>
        <v>3075243.71</v>
      </c>
      <c r="BZ20" s="1945">
        <v>36910907.969999999</v>
      </c>
      <c r="CA20" s="1949">
        <f t="shared" ref="CA20:CA25" si="41">+BY20/BZ20</f>
        <v>8.331530918988661E-2</v>
      </c>
      <c r="CC20" s="1784">
        <v>1247.5170000000001</v>
      </c>
      <c r="CD20" s="1782">
        <v>210.43600000000001</v>
      </c>
      <c r="CE20" s="1782">
        <f>+CC20+CD20</f>
        <v>1457.953</v>
      </c>
      <c r="CF20" s="1945">
        <v>31868.187000000002</v>
      </c>
      <c r="CG20" s="1949">
        <f t="shared" ref="CG20:CG25" si="42">+CE20/CF20</f>
        <v>4.5749480508571132E-2</v>
      </c>
    </row>
    <row r="21" spans="1:85">
      <c r="A21" s="1874" t="s">
        <v>16</v>
      </c>
      <c r="C21" s="1785">
        <v>0</v>
      </c>
      <c r="D21" s="1783">
        <v>12876</v>
      </c>
      <c r="E21" s="1783">
        <f t="shared" ref="E21:E24" si="43">SUM(C21:D21)</f>
        <v>12876</v>
      </c>
      <c r="F21" s="1946">
        <v>21728191</v>
      </c>
      <c r="G21" s="1950">
        <f t="shared" si="29"/>
        <v>5.9259420169861354E-4</v>
      </c>
      <c r="I21" s="1785">
        <v>0</v>
      </c>
      <c r="J21" s="1783">
        <v>438244</v>
      </c>
      <c r="K21" s="1783">
        <f>+I21+J21</f>
        <v>438244</v>
      </c>
      <c r="L21" s="1946">
        <v>26039340</v>
      </c>
      <c r="M21" s="1950">
        <f t="shared" si="30"/>
        <v>1.6830073266065882E-2</v>
      </c>
      <c r="O21" s="1785">
        <v>213672</v>
      </c>
      <c r="P21" s="1783">
        <v>1257179</v>
      </c>
      <c r="Q21" s="1783">
        <f>+O21+P21</f>
        <v>1470851</v>
      </c>
      <c r="R21" s="1946">
        <v>28391390</v>
      </c>
      <c r="S21" s="1950">
        <f t="shared" si="31"/>
        <v>5.1806234213964165E-2</v>
      </c>
      <c r="U21" s="1785">
        <v>0</v>
      </c>
      <c r="V21" s="1783">
        <v>288550</v>
      </c>
      <c r="W21" s="1783">
        <v>288550</v>
      </c>
      <c r="X21" s="1946">
        <v>22032372</v>
      </c>
      <c r="Y21" s="1950">
        <f t="shared" si="32"/>
        <v>1.3096637983418218E-2</v>
      </c>
      <c r="AA21" s="1785">
        <v>0</v>
      </c>
      <c r="AB21" s="1783">
        <v>677191</v>
      </c>
      <c r="AC21" s="1783">
        <v>677191</v>
      </c>
      <c r="AD21" s="1946">
        <v>22186445</v>
      </c>
      <c r="AE21" s="1950">
        <f t="shared" si="33"/>
        <v>3.0522735841636638E-2</v>
      </c>
      <c r="AF21" s="81"/>
      <c r="AG21" s="1785">
        <v>0</v>
      </c>
      <c r="AH21" s="1783">
        <v>1643560</v>
      </c>
      <c r="AI21" s="1783">
        <v>1643560</v>
      </c>
      <c r="AJ21" s="1946">
        <v>23857759</v>
      </c>
      <c r="AK21" s="1950">
        <f t="shared" si="34"/>
        <v>6.8889957350981704E-2</v>
      </c>
      <c r="AM21" s="1785">
        <v>0</v>
      </c>
      <c r="AN21" s="1783">
        <v>421253</v>
      </c>
      <c r="AO21" s="1783">
        <f>SUM(AM21:AN21)</f>
        <v>421253</v>
      </c>
      <c r="AP21" s="1946">
        <v>21183641</v>
      </c>
      <c r="AQ21" s="1950">
        <f t="shared" si="35"/>
        <v>1.9885769401020343E-2</v>
      </c>
      <c r="AS21" s="1785">
        <v>3602</v>
      </c>
      <c r="AT21" s="1783">
        <f>173221-AS21</f>
        <v>169619</v>
      </c>
      <c r="AU21" s="1783">
        <f>SUM(AS21:AT21)</f>
        <v>173221</v>
      </c>
      <c r="AV21" s="1946">
        <v>24160469.959999997</v>
      </c>
      <c r="AW21" s="1950">
        <f t="shared" si="36"/>
        <v>7.1696039144430622E-3</v>
      </c>
      <c r="AY21" s="1785">
        <v>123796.11</v>
      </c>
      <c r="AZ21" s="1783">
        <v>602093.49</v>
      </c>
      <c r="BA21" s="1783">
        <f>SUM(AY21:AZ21)</f>
        <v>725889.6</v>
      </c>
      <c r="BB21" s="1946">
        <v>22582499.739999998</v>
      </c>
      <c r="BC21" s="1950">
        <f t="shared" si="37"/>
        <v>3.2143899406948472E-2</v>
      </c>
      <c r="BE21" s="1785">
        <v>213990.66</v>
      </c>
      <c r="BF21" s="1783">
        <v>138474</v>
      </c>
      <c r="BG21" s="1783">
        <f>SUM(BE21:BF21)</f>
        <v>352464.66000000003</v>
      </c>
      <c r="BH21" s="1946">
        <v>25985918.109999996</v>
      </c>
      <c r="BI21" s="1950">
        <f t="shared" si="38"/>
        <v>1.3563679316928321E-2</v>
      </c>
      <c r="BK21" s="1785">
        <v>431826.99</v>
      </c>
      <c r="BL21" s="1783">
        <v>463255.86</v>
      </c>
      <c r="BM21" s="1783">
        <f>SUM(BK21:BL21)</f>
        <v>895082.85</v>
      </c>
      <c r="BN21" s="1946">
        <v>28057306</v>
      </c>
      <c r="BO21" s="1950">
        <f t="shared" si="39"/>
        <v>3.1901952739154645E-2</v>
      </c>
      <c r="BQ21" s="1785">
        <v>113414</v>
      </c>
      <c r="BR21" s="1783">
        <v>162411</v>
      </c>
      <c r="BS21" s="1783">
        <f>SUM(BQ21:BR21)</f>
        <v>275825</v>
      </c>
      <c r="BT21" s="1946">
        <v>22154265</v>
      </c>
      <c r="BU21" s="1950">
        <f t="shared" si="40"/>
        <v>1.2450198641209718E-2</v>
      </c>
      <c r="BW21" s="1785">
        <v>182730.29</v>
      </c>
      <c r="BX21" s="1783">
        <v>504039.89</v>
      </c>
      <c r="BY21" s="1783">
        <f>SUM(BW21:BX21)</f>
        <v>686770.18</v>
      </c>
      <c r="BZ21" s="1946">
        <v>22781238.199999999</v>
      </c>
      <c r="CA21" s="1950">
        <f t="shared" si="41"/>
        <v>3.0146306094986534E-2</v>
      </c>
      <c r="CC21" s="1785">
        <v>474.68099999999998</v>
      </c>
      <c r="CD21" s="1783">
        <v>2.0819999999999999</v>
      </c>
      <c r="CE21" s="1783">
        <f>+CC21+CD21</f>
        <v>476.76299999999998</v>
      </c>
      <c r="CF21" s="1946">
        <v>20467.61</v>
      </c>
      <c r="CG21" s="1950">
        <f t="shared" si="42"/>
        <v>2.3293535493396637E-2</v>
      </c>
    </row>
    <row r="22" spans="1:85">
      <c r="A22" s="1874" t="s">
        <v>41</v>
      </c>
      <c r="C22" s="1785">
        <v>0</v>
      </c>
      <c r="D22" s="1783">
        <v>0</v>
      </c>
      <c r="E22" s="1783">
        <f t="shared" si="43"/>
        <v>0</v>
      </c>
      <c r="F22" s="1946">
        <v>22632674</v>
      </c>
      <c r="G22" s="1950">
        <f t="shared" si="29"/>
        <v>0</v>
      </c>
      <c r="I22" s="1785">
        <v>0</v>
      </c>
      <c r="J22" s="1783">
        <v>0</v>
      </c>
      <c r="K22" s="1783">
        <f>+I22+J22</f>
        <v>0</v>
      </c>
      <c r="L22" s="1946">
        <v>19946916</v>
      </c>
      <c r="M22" s="1950">
        <f t="shared" si="30"/>
        <v>0</v>
      </c>
      <c r="O22" s="1785">
        <v>1112659</v>
      </c>
      <c r="P22" s="1783">
        <v>0</v>
      </c>
      <c r="Q22" s="1783">
        <f>+O22+P22</f>
        <v>1112659</v>
      </c>
      <c r="R22" s="1946">
        <v>17912436</v>
      </c>
      <c r="S22" s="1950">
        <f t="shared" si="31"/>
        <v>6.2116565273422332E-2</v>
      </c>
      <c r="U22" s="1785">
        <v>25370</v>
      </c>
      <c r="V22" s="1783">
        <v>3357925</v>
      </c>
      <c r="W22" s="1783">
        <v>3383295</v>
      </c>
      <c r="X22" s="1946">
        <v>19956280</v>
      </c>
      <c r="Y22" s="1950">
        <f t="shared" si="32"/>
        <v>0.16953535428446584</v>
      </c>
      <c r="AA22" s="1785">
        <v>130717</v>
      </c>
      <c r="AB22" s="1783">
        <v>26260</v>
      </c>
      <c r="AC22" s="1783">
        <v>156977</v>
      </c>
      <c r="AD22" s="1946">
        <v>21604235</v>
      </c>
      <c r="AE22" s="1950">
        <f t="shared" si="33"/>
        <v>7.2660290910555271E-3</v>
      </c>
      <c r="AF22" s="81"/>
      <c r="AG22" s="1785">
        <v>0</v>
      </c>
      <c r="AH22" s="1783">
        <v>0</v>
      </c>
      <c r="AI22" s="1783">
        <v>0</v>
      </c>
      <c r="AJ22" s="1946">
        <v>19921064</v>
      </c>
      <c r="AK22" s="1950">
        <f t="shared" si="34"/>
        <v>0</v>
      </c>
      <c r="AM22" s="1785">
        <v>0</v>
      </c>
      <c r="AN22" s="1783">
        <f>2820+472036</f>
        <v>474856</v>
      </c>
      <c r="AO22" s="1783">
        <f>SUM(AM22:AN22)</f>
        <v>474856</v>
      </c>
      <c r="AP22" s="1946">
        <v>16865009</v>
      </c>
      <c r="AQ22" s="1950">
        <f t="shared" si="35"/>
        <v>2.8156285004057809E-2</v>
      </c>
      <c r="AS22" s="1785">
        <v>21649</v>
      </c>
      <c r="AT22" s="1783">
        <f>2309168-AS22</f>
        <v>2287519</v>
      </c>
      <c r="AU22" s="1783">
        <f>SUM(AS22:AT22)</f>
        <v>2309168</v>
      </c>
      <c r="AV22" s="1946">
        <v>18811688.110000003</v>
      </c>
      <c r="AW22" s="1950">
        <f t="shared" si="36"/>
        <v>0.12275176935197442</v>
      </c>
      <c r="AY22" s="1785">
        <v>862665.61</v>
      </c>
      <c r="AZ22" s="1783">
        <v>2342903.11</v>
      </c>
      <c r="BA22" s="1783">
        <f>SUM(AY22:AZ22)</f>
        <v>3205568.7199999997</v>
      </c>
      <c r="BB22" s="1946">
        <v>19516228.950000003</v>
      </c>
      <c r="BC22" s="1950">
        <f t="shared" si="37"/>
        <v>0.16425144059400879</v>
      </c>
      <c r="BE22" s="1785">
        <v>1271751.3799999999</v>
      </c>
      <c r="BF22" s="1783">
        <f>1463246+1490396</f>
        <v>2953642</v>
      </c>
      <c r="BG22" s="1783">
        <f>SUM(BE22:BF22)</f>
        <v>4225393.38</v>
      </c>
      <c r="BH22" s="1946">
        <v>21572732.940000001</v>
      </c>
      <c r="BI22" s="1950">
        <f t="shared" si="38"/>
        <v>0.19586731972031726</v>
      </c>
      <c r="BK22" s="1785">
        <v>3588757.86</v>
      </c>
      <c r="BL22" s="1783">
        <v>1994998.2199999997</v>
      </c>
      <c r="BM22" s="1783">
        <f>SUM(BK22:BL22)</f>
        <v>5583756.0800000001</v>
      </c>
      <c r="BN22" s="1946">
        <v>22959650</v>
      </c>
      <c r="BO22" s="1950">
        <f t="shared" si="39"/>
        <v>0.24319865851613592</v>
      </c>
      <c r="BQ22" s="1785">
        <v>656381</v>
      </c>
      <c r="BR22" s="1783">
        <v>745702</v>
      </c>
      <c r="BS22" s="1783">
        <f>SUM(BQ22:BR22)</f>
        <v>1402083</v>
      </c>
      <c r="BT22" s="1946">
        <v>17002858</v>
      </c>
      <c r="BU22" s="1950">
        <f t="shared" si="40"/>
        <v>8.2461607336837134E-2</v>
      </c>
      <c r="BW22" s="1785">
        <v>378037.05</v>
      </c>
      <c r="BX22" s="1783">
        <v>853218.65</v>
      </c>
      <c r="BY22" s="1783">
        <f>SUM(BW22:BX22)</f>
        <v>1231255.7</v>
      </c>
      <c r="BZ22" s="1946">
        <v>25082755.579999901</v>
      </c>
      <c r="CA22" s="1950">
        <f t="shared" si="41"/>
        <v>4.9087736635354352E-2</v>
      </c>
      <c r="CC22" s="1785">
        <v>56.750999999999998</v>
      </c>
      <c r="CD22" s="1783">
        <v>0</v>
      </c>
      <c r="CE22" s="1783">
        <f>+CC22+CD22</f>
        <v>56.750999999999998</v>
      </c>
      <c r="CF22" s="1946">
        <v>19824.717000000001</v>
      </c>
      <c r="CG22" s="1950">
        <f t="shared" si="42"/>
        <v>2.8626385940339022E-3</v>
      </c>
    </row>
    <row r="23" spans="1:85">
      <c r="A23" s="1874" t="s">
        <v>85</v>
      </c>
      <c r="C23" s="1785">
        <v>2781307</v>
      </c>
      <c r="D23" s="1783">
        <v>6241885</v>
      </c>
      <c r="E23" s="1783">
        <f t="shared" si="43"/>
        <v>9023192</v>
      </c>
      <c r="F23" s="1946">
        <v>107837299</v>
      </c>
      <c r="G23" s="1950">
        <f t="shared" si="29"/>
        <v>8.367412837370862E-2</v>
      </c>
      <c r="I23" s="1785">
        <v>4648293</v>
      </c>
      <c r="J23" s="1783">
        <v>7688295</v>
      </c>
      <c r="K23" s="1783">
        <f>+I23+J23</f>
        <v>12336588</v>
      </c>
      <c r="L23" s="1946">
        <v>129840481</v>
      </c>
      <c r="M23" s="1950">
        <f t="shared" si="30"/>
        <v>9.5013418811965122E-2</v>
      </c>
      <c r="O23" s="1785">
        <v>438423</v>
      </c>
      <c r="P23" s="1783">
        <v>15459305</v>
      </c>
      <c r="Q23" s="1783">
        <f>+O23+P23</f>
        <v>15897728</v>
      </c>
      <c r="R23" s="1946">
        <v>116102163</v>
      </c>
      <c r="S23" s="1950">
        <f t="shared" si="31"/>
        <v>0.13692878400551417</v>
      </c>
      <c r="U23" s="1785">
        <v>5663069</v>
      </c>
      <c r="V23" s="1783">
        <v>11043801</v>
      </c>
      <c r="W23" s="1783">
        <v>16706870</v>
      </c>
      <c r="X23" s="1946">
        <v>80942254</v>
      </c>
      <c r="Y23" s="1950">
        <f t="shared" si="32"/>
        <v>0.20640480310815165</v>
      </c>
      <c r="AA23" s="1785">
        <v>17431037</v>
      </c>
      <c r="AB23" s="1783">
        <v>7494879</v>
      </c>
      <c r="AC23" s="1783">
        <v>24925916</v>
      </c>
      <c r="AD23" s="1946">
        <v>108968224</v>
      </c>
      <c r="AE23" s="1950">
        <f t="shared" si="33"/>
        <v>0.22874481279973877</v>
      </c>
      <c r="AF23" s="81"/>
      <c r="AG23" s="1785">
        <v>14347349</v>
      </c>
      <c r="AH23" s="1783">
        <v>9408094</v>
      </c>
      <c r="AI23" s="1783">
        <v>23755443</v>
      </c>
      <c r="AJ23" s="1946">
        <v>114450122</v>
      </c>
      <c r="AK23" s="1950">
        <f t="shared" si="34"/>
        <v>0.20756153497153984</v>
      </c>
      <c r="AM23" s="1785">
        <v>6735863</v>
      </c>
      <c r="AN23" s="1783">
        <f>387757+9209539</f>
        <v>9597296</v>
      </c>
      <c r="AO23" s="1783">
        <f>SUM(AM23:AN23)</f>
        <v>16333159</v>
      </c>
      <c r="AP23" s="1946">
        <v>106923909</v>
      </c>
      <c r="AQ23" s="1950">
        <f t="shared" si="35"/>
        <v>0.15275497456794251</v>
      </c>
      <c r="AS23" s="1785">
        <v>1317571</v>
      </c>
      <c r="AT23" s="1783">
        <f>13427054-AS23</f>
        <v>12109483</v>
      </c>
      <c r="AU23" s="1783">
        <f>SUM(AS23:AT23)</f>
        <v>13427054</v>
      </c>
      <c r="AV23" s="1946">
        <v>94371458.430000022</v>
      </c>
      <c r="AW23" s="1950">
        <f t="shared" si="36"/>
        <v>0.14227875910129661</v>
      </c>
      <c r="AY23" s="1785">
        <v>671763.61</v>
      </c>
      <c r="AZ23" s="1783">
        <v>10473010.830000002</v>
      </c>
      <c r="BA23" s="1783">
        <f>SUM(AY23:AZ23)</f>
        <v>11144774.440000001</v>
      </c>
      <c r="BB23" s="1946">
        <v>85112196.610000014</v>
      </c>
      <c r="BC23" s="1950">
        <f t="shared" si="37"/>
        <v>0.13094215498945985</v>
      </c>
      <c r="BE23" s="1785">
        <v>358123.63</v>
      </c>
      <c r="BF23" s="1783">
        <v>10167233.470000001</v>
      </c>
      <c r="BG23" s="1783">
        <f>SUM(BE23:BF23)</f>
        <v>10525357.100000001</v>
      </c>
      <c r="BH23" s="1946">
        <v>99216396.299999982</v>
      </c>
      <c r="BI23" s="1950">
        <f t="shared" si="38"/>
        <v>0.10608485585562437</v>
      </c>
      <c r="BK23" s="1785">
        <v>3476931.57</v>
      </c>
      <c r="BL23" s="1783">
        <v>15862669.989999998</v>
      </c>
      <c r="BM23" s="1783">
        <f>SUM(BK23:BL23)</f>
        <v>19339601.559999999</v>
      </c>
      <c r="BN23" s="1946">
        <v>96467524</v>
      </c>
      <c r="BO23" s="1950">
        <f t="shared" si="39"/>
        <v>0.20047784744635924</v>
      </c>
      <c r="BQ23" s="1785">
        <v>7182614</v>
      </c>
      <c r="BR23" s="1783">
        <v>14597257</v>
      </c>
      <c r="BS23" s="1783">
        <f>SUM(BQ23:BR23)</f>
        <v>21779871</v>
      </c>
      <c r="BT23" s="1946">
        <v>104776905</v>
      </c>
      <c r="BU23" s="1950">
        <f t="shared" si="40"/>
        <v>0.20786900510183995</v>
      </c>
      <c r="BW23" s="1785">
        <v>3668732.4</v>
      </c>
      <c r="BX23" s="1783">
        <v>15049715.870000001</v>
      </c>
      <c r="BY23" s="1783">
        <f>SUM(BW23:BX23)</f>
        <v>18718448.27</v>
      </c>
      <c r="BZ23" s="1946">
        <v>231812410.46000001</v>
      </c>
      <c r="CA23" s="1950">
        <f t="shared" si="41"/>
        <v>8.0748257752273914E-2</v>
      </c>
      <c r="CC23" s="1785">
        <v>4050.3</v>
      </c>
      <c r="CD23" s="1783">
        <v>4018.2579999999998</v>
      </c>
      <c r="CE23" s="1783">
        <f>+CC23+CD23</f>
        <v>8068.558</v>
      </c>
      <c r="CF23" s="1946">
        <v>245882.73300000001</v>
      </c>
      <c r="CG23" s="1950">
        <f t="shared" si="42"/>
        <v>3.2814658847963918E-2</v>
      </c>
    </row>
    <row r="24" spans="1:85">
      <c r="A24" s="1874" t="s">
        <v>86</v>
      </c>
      <c r="C24" s="1785">
        <v>0</v>
      </c>
      <c r="D24" s="1783">
        <v>0</v>
      </c>
      <c r="E24" s="1783">
        <f t="shared" si="43"/>
        <v>0</v>
      </c>
      <c r="F24" s="1946">
        <v>12642268</v>
      </c>
      <c r="G24" s="1950">
        <f t="shared" si="29"/>
        <v>0</v>
      </c>
      <c r="I24" s="1785">
        <v>0</v>
      </c>
      <c r="J24" s="1783">
        <v>12503</v>
      </c>
      <c r="K24" s="1783">
        <f>+I24+J24</f>
        <v>12503</v>
      </c>
      <c r="L24" s="1946">
        <v>10511108</v>
      </c>
      <c r="M24" s="1950">
        <f t="shared" si="30"/>
        <v>1.1895035233202818E-3</v>
      </c>
      <c r="O24" s="1785">
        <v>0</v>
      </c>
      <c r="P24" s="1783">
        <v>0</v>
      </c>
      <c r="Q24" s="1783">
        <f>+O24+P24</f>
        <v>0</v>
      </c>
      <c r="R24" s="1946">
        <v>5578605</v>
      </c>
      <c r="S24" s="1950">
        <f t="shared" si="31"/>
        <v>0</v>
      </c>
      <c r="U24" s="1785">
        <v>0</v>
      </c>
      <c r="V24" s="1783">
        <v>4164216</v>
      </c>
      <c r="W24" s="1783">
        <v>4164216</v>
      </c>
      <c r="X24" s="1946">
        <v>7844316</v>
      </c>
      <c r="Y24" s="1950">
        <f t="shared" si="32"/>
        <v>0.53085775738764218</v>
      </c>
      <c r="AA24" s="1785">
        <v>71884</v>
      </c>
      <c r="AB24" s="1783">
        <v>35144</v>
      </c>
      <c r="AC24" s="1783">
        <v>107028</v>
      </c>
      <c r="AD24" s="1946">
        <v>14483667</v>
      </c>
      <c r="AE24" s="1950">
        <f t="shared" si="33"/>
        <v>7.3895650873497714E-3</v>
      </c>
      <c r="AF24" s="81"/>
      <c r="AG24" s="1785">
        <v>0</v>
      </c>
      <c r="AH24" s="1783">
        <v>9940</v>
      </c>
      <c r="AI24" s="1783">
        <v>9940</v>
      </c>
      <c r="AJ24" s="1946">
        <v>8833902</v>
      </c>
      <c r="AK24" s="1950">
        <f t="shared" si="34"/>
        <v>1.1252105807829881E-3</v>
      </c>
      <c r="AM24" s="1785">
        <v>0</v>
      </c>
      <c r="AN24" s="1783">
        <v>0</v>
      </c>
      <c r="AO24" s="1783">
        <f>SUM(AM24:AN24)</f>
        <v>0</v>
      </c>
      <c r="AP24" s="1946">
        <v>7315924</v>
      </c>
      <c r="AQ24" s="1950">
        <f t="shared" si="35"/>
        <v>0</v>
      </c>
      <c r="AS24" s="1785">
        <v>0</v>
      </c>
      <c r="AT24" s="1783">
        <v>24119</v>
      </c>
      <c r="AU24" s="1783">
        <f>SUM(AS24:AT24)</f>
        <v>24119</v>
      </c>
      <c r="AV24" s="1946">
        <v>10671364.540000001</v>
      </c>
      <c r="AW24" s="1950">
        <f t="shared" si="36"/>
        <v>2.2601608172594578E-3</v>
      </c>
      <c r="AY24" s="1785">
        <v>1540307.33</v>
      </c>
      <c r="AZ24" s="1783">
        <v>2761751.2900000005</v>
      </c>
      <c r="BA24" s="1783">
        <f>SUM(AY24:AZ24)</f>
        <v>4302058.620000001</v>
      </c>
      <c r="BB24" s="1946">
        <v>18764593.199999996</v>
      </c>
      <c r="BC24" s="1950">
        <f t="shared" si="37"/>
        <v>0.22926468877566725</v>
      </c>
      <c r="BE24" s="1785">
        <v>12913.75</v>
      </c>
      <c r="BF24" s="1783">
        <v>4834.5200000000004</v>
      </c>
      <c r="BG24" s="1783">
        <f>SUM(BE24:BF24)</f>
        <v>17748.27</v>
      </c>
      <c r="BH24" s="1946">
        <v>9664062</v>
      </c>
      <c r="BI24" s="1950">
        <f t="shared" si="38"/>
        <v>1.8365227789308471E-3</v>
      </c>
      <c r="BK24" s="1785">
        <v>0</v>
      </c>
      <c r="BL24" s="1783">
        <v>104635.12</v>
      </c>
      <c r="BM24" s="1783">
        <f>SUM(BK24:BL24)</f>
        <v>104635.12</v>
      </c>
      <c r="BN24" s="1946">
        <v>17057145</v>
      </c>
      <c r="BO24" s="1950">
        <f t="shared" si="39"/>
        <v>6.1343864990301717E-3</v>
      </c>
      <c r="BQ24" s="1785">
        <v>55206</v>
      </c>
      <c r="BR24" s="1783">
        <v>60890</v>
      </c>
      <c r="BS24" s="1783">
        <f>SUM(BQ24:BR24)</f>
        <v>116096</v>
      </c>
      <c r="BT24" s="1946">
        <v>18896047</v>
      </c>
      <c r="BU24" s="1950">
        <f t="shared" si="40"/>
        <v>6.1439305268451124E-3</v>
      </c>
      <c r="BW24" s="1785">
        <v>1231014.83</v>
      </c>
      <c r="BX24" s="1783">
        <v>292561.81</v>
      </c>
      <c r="BY24" s="1783">
        <f>SUM(BW24:BX24)</f>
        <v>1523576.6400000001</v>
      </c>
      <c r="BZ24" s="1946">
        <v>43411862</v>
      </c>
      <c r="CA24" s="1950">
        <f t="shared" si="41"/>
        <v>3.5095860205213041E-2</v>
      </c>
      <c r="CC24" s="1785">
        <v>186.36699999999999</v>
      </c>
      <c r="CD24" s="1783">
        <v>1.38</v>
      </c>
      <c r="CE24" s="1783">
        <f>+CC24+CD24</f>
        <v>187.74699999999999</v>
      </c>
      <c r="CF24" s="1946">
        <v>20053.233</v>
      </c>
      <c r="CG24" s="1950">
        <f t="shared" si="42"/>
        <v>9.3624304868945556E-3</v>
      </c>
    </row>
    <row r="25" spans="1:85">
      <c r="A25" s="1943" t="s">
        <v>25</v>
      </c>
      <c r="C25" s="1787">
        <f>SUM(C20:C24)</f>
        <v>2781307</v>
      </c>
      <c r="D25" s="1788">
        <f>SUM(D20:D24)</f>
        <v>6254761</v>
      </c>
      <c r="E25" s="1788">
        <f>SUM(E20:E24)</f>
        <v>9036068</v>
      </c>
      <c r="F25" s="1947">
        <f>SUM(F20:F24)</f>
        <v>189957946</v>
      </c>
      <c r="G25" s="1952">
        <f t="shared" si="29"/>
        <v>4.7568781355426956E-2</v>
      </c>
      <c r="I25" s="1787">
        <f>SUM(I20:I24)</f>
        <v>4648293</v>
      </c>
      <c r="J25" s="1788">
        <f t="shared" ref="J25:L25" si="44">SUM(J20:J24)</f>
        <v>8195386</v>
      </c>
      <c r="K25" s="1788">
        <f t="shared" si="44"/>
        <v>12843679</v>
      </c>
      <c r="L25" s="1947">
        <f t="shared" si="44"/>
        <v>210668821</v>
      </c>
      <c r="M25" s="1952">
        <f t="shared" si="30"/>
        <v>6.0966207239561095E-2</v>
      </c>
      <c r="O25" s="1787">
        <f>SUM(O20:O24)</f>
        <v>1764754</v>
      </c>
      <c r="P25" s="1788">
        <f>SUM(P20:P24)</f>
        <v>17566220</v>
      </c>
      <c r="Q25" s="1788">
        <f>SUM(Q20:Q24)</f>
        <v>19330974</v>
      </c>
      <c r="R25" s="1947">
        <f>SUM(R20:R24)</f>
        <v>187643917</v>
      </c>
      <c r="S25" s="1952">
        <f t="shared" si="31"/>
        <v>0.10301945466209811</v>
      </c>
      <c r="U25" s="1787">
        <v>5688439</v>
      </c>
      <c r="V25" s="1788">
        <v>24141972</v>
      </c>
      <c r="W25" s="1788">
        <v>29830411</v>
      </c>
      <c r="X25" s="1947">
        <v>153522520</v>
      </c>
      <c r="Y25" s="1952">
        <f t="shared" si="32"/>
        <v>0.19430641836780688</v>
      </c>
      <c r="AA25" s="1787">
        <v>17633638</v>
      </c>
      <c r="AB25" s="1788">
        <v>8233474</v>
      </c>
      <c r="AC25" s="1788">
        <v>25867112</v>
      </c>
      <c r="AD25" s="1947">
        <v>193651719</v>
      </c>
      <c r="AE25" s="1952">
        <f t="shared" si="33"/>
        <v>0.13357543188139734</v>
      </c>
      <c r="AF25" s="81"/>
      <c r="AG25" s="1787">
        <v>15949973</v>
      </c>
      <c r="AH25" s="1788">
        <v>11080247</v>
      </c>
      <c r="AI25" s="1788">
        <v>27030220</v>
      </c>
      <c r="AJ25" s="1947">
        <v>192261418</v>
      </c>
      <c r="AK25" s="1952">
        <f t="shared" si="34"/>
        <v>0.14059097389992203</v>
      </c>
      <c r="AM25" s="1787">
        <f>SUM(AM20:AM24)</f>
        <v>8026446</v>
      </c>
      <c r="AN25" s="1788">
        <f>SUM(AN20:AN24)</f>
        <v>10497755</v>
      </c>
      <c r="AO25" s="1788">
        <f>SUM(AO20:AO24)</f>
        <v>18524201</v>
      </c>
      <c r="AP25" s="1947">
        <f>SUM(AP20:AP24)</f>
        <v>178914051</v>
      </c>
      <c r="AQ25" s="1952">
        <f t="shared" si="35"/>
        <v>0.10353687089674136</v>
      </c>
      <c r="AS25" s="1787">
        <f>SUM(AS20:AS24)</f>
        <v>1443127</v>
      </c>
      <c r="AT25" s="1788">
        <f>SUM(AT20:AT24)</f>
        <v>20229100</v>
      </c>
      <c r="AU25" s="1788">
        <f>SUM(AU20:AU24)</f>
        <v>21672227</v>
      </c>
      <c r="AV25" s="1947">
        <f>SUM(AV20:AV24)</f>
        <v>175999116.94000003</v>
      </c>
      <c r="AW25" s="1952">
        <f t="shared" si="36"/>
        <v>0.12313827124137386</v>
      </c>
      <c r="AY25" s="1787">
        <f>SUM(AY20:AY24)</f>
        <v>3636303.91</v>
      </c>
      <c r="AZ25" s="1788">
        <f>SUM(AZ20:AZ24)</f>
        <v>21733186.030000001</v>
      </c>
      <c r="BA25" s="1788">
        <f>SUM(BA20:BA24)</f>
        <v>25369489.940000001</v>
      </c>
      <c r="BB25" s="1947">
        <f>SUM(BB20:BB24)</f>
        <v>172511248.84999999</v>
      </c>
      <c r="BC25" s="1952">
        <f t="shared" si="37"/>
        <v>0.14705991701479704</v>
      </c>
      <c r="BE25" s="1787">
        <f>SUM(BE20:BE24)</f>
        <v>2780882.17</v>
      </c>
      <c r="BF25" s="1788">
        <f>SUM(BF20:BF24)</f>
        <v>15106781.879999999</v>
      </c>
      <c r="BG25" s="1788">
        <f>SUM(BG20:BG24)</f>
        <v>17887664.050000001</v>
      </c>
      <c r="BH25" s="1947">
        <f>SUM(BH20:BH24)</f>
        <v>179815009.55999997</v>
      </c>
      <c r="BI25" s="1952">
        <f t="shared" si="38"/>
        <v>9.9478147534904832E-2</v>
      </c>
      <c r="BK25" s="1787">
        <f>SUM(BK20:BK24)</f>
        <v>10655958.42</v>
      </c>
      <c r="BL25" s="1788">
        <f>SUM(BL20:BL24)</f>
        <v>23632766.91</v>
      </c>
      <c r="BM25" s="1788">
        <f>SUM(BM20:BM24)</f>
        <v>34288725.329999998</v>
      </c>
      <c r="BN25" s="1947">
        <f>SUM(BN20:BN24)</f>
        <v>195436740</v>
      </c>
      <c r="BO25" s="1952">
        <f t="shared" si="39"/>
        <v>0.17544667051855245</v>
      </c>
      <c r="BQ25" s="1787">
        <f>SUM(BQ20:BQ24)</f>
        <v>8085860</v>
      </c>
      <c r="BR25" s="1788">
        <f>SUM(BR20:BR24)</f>
        <v>18587569</v>
      </c>
      <c r="BS25" s="1788">
        <f>SUM(BS20:BS24)</f>
        <v>26673429</v>
      </c>
      <c r="BT25" s="1947">
        <f>SUM(BT20:BT24)</f>
        <v>186952555</v>
      </c>
      <c r="BU25" s="1952">
        <f t="shared" si="40"/>
        <v>0.14267485673036134</v>
      </c>
      <c r="BW25" s="1787">
        <f>SUM(BW20:BW24)</f>
        <v>6439505.5099999998</v>
      </c>
      <c r="BX25" s="1788">
        <f>SUM(BX20:BX24)</f>
        <v>18795788.989999998</v>
      </c>
      <c r="BY25" s="1788">
        <f>SUM(BY20:BY24)</f>
        <v>25235294.5</v>
      </c>
      <c r="BZ25" s="1947">
        <f>SUM(BZ20:BZ24)</f>
        <v>359999174.20999992</v>
      </c>
      <c r="CA25" s="1952">
        <f t="shared" si="41"/>
        <v>7.00982010733152E-2</v>
      </c>
      <c r="CC25" s="1787">
        <f>SUM(CC20:CC24)</f>
        <v>6015.616</v>
      </c>
      <c r="CD25" s="1788">
        <f>SUM(CD20:CD24)</f>
        <v>4232.1559999999999</v>
      </c>
      <c r="CE25" s="1788">
        <f>SUM(CE20:CE24)</f>
        <v>10247.771999999999</v>
      </c>
      <c r="CF25" s="1947">
        <f>SUM(CF20:CF24)</f>
        <v>338096.48000000004</v>
      </c>
      <c r="CG25" s="1952">
        <f t="shared" si="42"/>
        <v>3.0310200212673014E-2</v>
      </c>
    </row>
    <row r="26" spans="1:85">
      <c r="A26" s="2136"/>
      <c r="G26" s="1954"/>
      <c r="M26" s="1954"/>
      <c r="S26" s="1954"/>
      <c r="Y26" s="1954"/>
      <c r="AE26" s="1954"/>
      <c r="AF26" s="81"/>
      <c r="AK26" s="1954"/>
      <c r="AM26" s="2112"/>
      <c r="AN26" s="2112"/>
      <c r="AO26" s="2112"/>
      <c r="AP26" s="2112"/>
      <c r="AQ26" s="1954"/>
      <c r="AS26" s="2112"/>
      <c r="AT26" s="2112"/>
      <c r="AU26" s="2112"/>
      <c r="AV26" s="2112"/>
      <c r="AW26" s="1954"/>
      <c r="AY26" s="2112"/>
      <c r="AZ26" s="2112"/>
      <c r="BA26" s="2112"/>
      <c r="BB26" s="2112"/>
      <c r="BC26" s="1954"/>
      <c r="BE26" s="2112"/>
      <c r="BF26" s="2112"/>
      <c r="BG26" s="2112"/>
      <c r="BH26" s="2112"/>
      <c r="BI26" s="1954"/>
      <c r="BK26" s="2112"/>
      <c r="BL26" s="2112"/>
      <c r="BM26" s="2112"/>
      <c r="BN26" s="2112"/>
      <c r="BO26" s="1954"/>
      <c r="BQ26" s="2112"/>
      <c r="BR26" s="2112"/>
      <c r="BS26" s="2112"/>
      <c r="BT26" s="2112"/>
      <c r="BU26" s="1954"/>
      <c r="BW26" s="2112"/>
      <c r="BX26" s="2112"/>
      <c r="BY26" s="2112"/>
      <c r="BZ26" s="2112"/>
      <c r="CA26" s="1954"/>
      <c r="CC26" s="2112"/>
      <c r="CD26" s="2112"/>
      <c r="CE26" s="2112"/>
      <c r="CF26" s="2112"/>
      <c r="CG26" s="1954"/>
    </row>
    <row r="27" spans="1:85">
      <c r="A27" s="1942" t="s">
        <v>4</v>
      </c>
      <c r="C27" s="1784">
        <v>0</v>
      </c>
      <c r="D27" s="1782">
        <v>0</v>
      </c>
      <c r="E27" s="1782">
        <f>SUM(C27:D27)</f>
        <v>0</v>
      </c>
      <c r="F27" s="1945">
        <v>5340711</v>
      </c>
      <c r="G27" s="1949">
        <f t="shared" ref="G27:G38" si="45">+E27/F27</f>
        <v>0</v>
      </c>
      <c r="I27" s="1784">
        <v>0</v>
      </c>
      <c r="J27" s="1782">
        <v>0</v>
      </c>
      <c r="K27" s="1782">
        <f>+I27+J27</f>
        <v>0</v>
      </c>
      <c r="L27" s="1945">
        <v>5218041</v>
      </c>
      <c r="M27" s="1949">
        <f t="shared" ref="M27:M32" si="46">+K27/L27</f>
        <v>0</v>
      </c>
      <c r="O27" s="1784">
        <v>0</v>
      </c>
      <c r="P27" s="1782">
        <v>0</v>
      </c>
      <c r="Q27" s="1782">
        <f>+O27+P27</f>
        <v>0</v>
      </c>
      <c r="R27" s="1945">
        <v>5159018</v>
      </c>
      <c r="S27" s="1949">
        <f t="shared" ref="S27:S32" si="47">+Q27/R27</f>
        <v>0</v>
      </c>
      <c r="U27" s="1784">
        <v>0</v>
      </c>
      <c r="V27" s="1782">
        <v>272324</v>
      </c>
      <c r="W27" s="1782">
        <v>272324</v>
      </c>
      <c r="X27" s="1945">
        <v>6487955</v>
      </c>
      <c r="Y27" s="1949">
        <f t="shared" ref="Y27:Y32" si="48">+W27/X27</f>
        <v>4.1973780644286217E-2</v>
      </c>
      <c r="AA27" s="1784">
        <v>0</v>
      </c>
      <c r="AB27" s="1782">
        <v>2922</v>
      </c>
      <c r="AC27" s="1782">
        <v>2922</v>
      </c>
      <c r="AD27" s="1945">
        <v>3140241</v>
      </c>
      <c r="AE27" s="1949">
        <f t="shared" ref="AE27:AE32" si="49">+AC27/AD27</f>
        <v>9.3050183091043012E-4</v>
      </c>
      <c r="AF27" s="81"/>
      <c r="AG27" s="1784">
        <v>0</v>
      </c>
      <c r="AH27" s="1782">
        <v>7864</v>
      </c>
      <c r="AI27" s="1782">
        <v>7864</v>
      </c>
      <c r="AJ27" s="1945">
        <v>5213601</v>
      </c>
      <c r="AK27" s="1949">
        <f t="shared" ref="AK27:AK32" si="50">+AI27/AJ27</f>
        <v>1.5083624542806403E-3</v>
      </c>
      <c r="AM27" s="1784">
        <v>0</v>
      </c>
      <c r="AN27" s="1782">
        <v>0</v>
      </c>
      <c r="AO27" s="1782">
        <f>SUM(AM27:AN27)</f>
        <v>0</v>
      </c>
      <c r="AP27" s="1945">
        <v>3841489</v>
      </c>
      <c r="AQ27" s="1949">
        <f t="shared" ref="AQ27:AQ32" si="51">+AO27/AP27</f>
        <v>0</v>
      </c>
      <c r="AS27" s="1784">
        <v>0</v>
      </c>
      <c r="AT27" s="1782">
        <v>21940</v>
      </c>
      <c r="AU27" s="1782">
        <f>+AS27+AT27</f>
        <v>21940</v>
      </c>
      <c r="AV27" s="1945">
        <v>5061886.75</v>
      </c>
      <c r="AW27" s="1949">
        <f t="shared" si="36"/>
        <v>4.334352205726452E-3</v>
      </c>
      <c r="AY27" s="1784">
        <v>63195.93</v>
      </c>
      <c r="AZ27" s="1782">
        <v>6055.01</v>
      </c>
      <c r="BA27" s="1782">
        <f>+AY27+AZ27</f>
        <v>69250.94</v>
      </c>
      <c r="BB27" s="1945">
        <v>4156615.81</v>
      </c>
      <c r="BC27" s="1949">
        <v>0</v>
      </c>
      <c r="BE27" s="1784">
        <v>0</v>
      </c>
      <c r="BF27" s="1782">
        <v>2850</v>
      </c>
      <c r="BG27" s="1782">
        <f>+BE27+BF27</f>
        <v>2850</v>
      </c>
      <c r="BH27" s="1945">
        <v>4488570.4000000004</v>
      </c>
      <c r="BI27" s="1949">
        <v>0</v>
      </c>
      <c r="BK27" s="1784">
        <v>0</v>
      </c>
      <c r="BL27" s="1782">
        <v>2155.17</v>
      </c>
      <c r="BM27" s="1782">
        <f>+BK27+BL27</f>
        <v>2155.17</v>
      </c>
      <c r="BN27" s="1945">
        <v>2979946</v>
      </c>
      <c r="BO27" s="1949">
        <v>0</v>
      </c>
      <c r="BQ27" s="1784"/>
      <c r="BR27" s="1782">
        <v>1600</v>
      </c>
      <c r="BS27" s="1782">
        <f>+BQ27+BR27</f>
        <v>1600</v>
      </c>
      <c r="BT27" s="1945">
        <v>2489732</v>
      </c>
      <c r="BU27" s="1949">
        <v>0</v>
      </c>
      <c r="BW27" s="1784">
        <v>0</v>
      </c>
      <c r="BX27" s="1782">
        <v>0</v>
      </c>
      <c r="BY27" s="1782">
        <f>+BW27+BX27</f>
        <v>0</v>
      </c>
      <c r="BZ27" s="1945">
        <v>3136372.86</v>
      </c>
      <c r="CA27" s="1949">
        <v>0</v>
      </c>
      <c r="CC27" s="1784">
        <v>0</v>
      </c>
      <c r="CD27" s="1782">
        <v>0</v>
      </c>
      <c r="CE27" s="1782">
        <f>+CC27+CD27</f>
        <v>0</v>
      </c>
      <c r="CF27" s="1945">
        <v>2335.6149999999998</v>
      </c>
      <c r="CG27" s="1949">
        <v>0</v>
      </c>
    </row>
    <row r="28" spans="1:85">
      <c r="A28" s="1874" t="s">
        <v>16</v>
      </c>
      <c r="C28" s="1785">
        <v>0</v>
      </c>
      <c r="D28" s="1783">
        <v>0</v>
      </c>
      <c r="E28" s="1783">
        <f t="shared" ref="E28:E31" si="52">SUM(C28:D28)</f>
        <v>0</v>
      </c>
      <c r="F28" s="1946">
        <v>4344475</v>
      </c>
      <c r="G28" s="1950">
        <f t="shared" si="45"/>
        <v>0</v>
      </c>
      <c r="I28" s="1785">
        <v>0</v>
      </c>
      <c r="J28" s="1783">
        <v>0</v>
      </c>
      <c r="K28" s="1783">
        <f>+I28+J28</f>
        <v>0</v>
      </c>
      <c r="L28" s="1946">
        <v>3985363</v>
      </c>
      <c r="M28" s="1950">
        <f t="shared" si="46"/>
        <v>0</v>
      </c>
      <c r="O28" s="1785">
        <v>0</v>
      </c>
      <c r="P28" s="1783">
        <v>18048</v>
      </c>
      <c r="Q28" s="1783">
        <f>+O28+P28</f>
        <v>18048</v>
      </c>
      <c r="R28" s="1946">
        <v>4733471</v>
      </c>
      <c r="S28" s="1950">
        <f t="shared" si="47"/>
        <v>3.8128468517077637E-3</v>
      </c>
      <c r="U28" s="1785">
        <v>0</v>
      </c>
      <c r="V28" s="1783">
        <v>3221</v>
      </c>
      <c r="W28" s="1783">
        <v>3221</v>
      </c>
      <c r="X28" s="1946">
        <v>3868738</v>
      </c>
      <c r="Y28" s="1950">
        <f t="shared" si="48"/>
        <v>8.3257124157800298E-4</v>
      </c>
      <c r="AA28" s="1785">
        <v>0</v>
      </c>
      <c r="AB28" s="1783">
        <v>0</v>
      </c>
      <c r="AC28" s="1783">
        <v>0</v>
      </c>
      <c r="AD28" s="1946">
        <v>4336272</v>
      </c>
      <c r="AE28" s="1950">
        <f t="shared" si="49"/>
        <v>0</v>
      </c>
      <c r="AF28" s="81"/>
      <c r="AG28" s="1785">
        <v>0</v>
      </c>
      <c r="AH28" s="1783">
        <v>0</v>
      </c>
      <c r="AI28" s="1783">
        <v>0</v>
      </c>
      <c r="AJ28" s="1946">
        <v>4649649</v>
      </c>
      <c r="AK28" s="1950">
        <f t="shared" si="50"/>
        <v>0</v>
      </c>
      <c r="AM28" s="1785">
        <v>0</v>
      </c>
      <c r="AN28" s="1783">
        <v>0</v>
      </c>
      <c r="AO28" s="1783">
        <f>SUM(AM28:AN28)</f>
        <v>0</v>
      </c>
      <c r="AP28" s="1946">
        <v>3994606</v>
      </c>
      <c r="AQ28" s="1950">
        <f t="shared" si="51"/>
        <v>0</v>
      </c>
      <c r="AS28" s="1785">
        <v>0</v>
      </c>
      <c r="AT28" s="1783">
        <v>0</v>
      </c>
      <c r="AU28" s="1783">
        <f>+AS28+AT28</f>
        <v>0</v>
      </c>
      <c r="AV28" s="1946">
        <v>5458344.5800000001</v>
      </c>
      <c r="AW28" s="1950">
        <f t="shared" si="36"/>
        <v>0</v>
      </c>
      <c r="AY28" s="1785">
        <v>0</v>
      </c>
      <c r="AZ28" s="1783">
        <v>0</v>
      </c>
      <c r="BA28" s="1783">
        <f>+AY28+AZ28</f>
        <v>0</v>
      </c>
      <c r="BB28" s="1946">
        <v>4939159.4700000007</v>
      </c>
      <c r="BC28" s="1950">
        <v>0</v>
      </c>
      <c r="BE28" s="1785">
        <v>0</v>
      </c>
      <c r="BF28" s="1783">
        <v>0</v>
      </c>
      <c r="BG28" s="1783">
        <f>+BE28+BF28</f>
        <v>0</v>
      </c>
      <c r="BH28" s="1946">
        <v>3441881.3600000003</v>
      </c>
      <c r="BI28" s="1950">
        <v>0</v>
      </c>
      <c r="BK28" s="1785">
        <v>0</v>
      </c>
      <c r="BL28" s="1783">
        <v>0</v>
      </c>
      <c r="BM28" s="1783">
        <f>+BK28+BL28</f>
        <v>0</v>
      </c>
      <c r="BN28" s="1946">
        <v>3912518</v>
      </c>
      <c r="BO28" s="1950">
        <v>0</v>
      </c>
      <c r="BQ28" s="1785"/>
      <c r="BR28" s="1783">
        <v>2860</v>
      </c>
      <c r="BS28" s="1783">
        <f>+BQ28+BR28</f>
        <v>2860</v>
      </c>
      <c r="BT28" s="1946">
        <v>2553445</v>
      </c>
      <c r="BU28" s="1950">
        <v>0</v>
      </c>
      <c r="BW28" s="1785">
        <v>0</v>
      </c>
      <c r="BX28" s="1783">
        <v>0</v>
      </c>
      <c r="BY28" s="1783">
        <f>+BW28+BX28</f>
        <v>0</v>
      </c>
      <c r="BZ28" s="1946">
        <v>3758670.02</v>
      </c>
      <c r="CA28" s="1950">
        <v>0</v>
      </c>
      <c r="CC28" s="1785">
        <v>0</v>
      </c>
      <c r="CD28" s="1783">
        <v>0</v>
      </c>
      <c r="CE28" s="1783">
        <f>+CC28+CD28</f>
        <v>0</v>
      </c>
      <c r="CF28" s="1946">
        <v>4608.7749999999996</v>
      </c>
      <c r="CG28" s="1950">
        <v>0</v>
      </c>
    </row>
    <row r="29" spans="1:85">
      <c r="A29" s="1874" t="s">
        <v>41</v>
      </c>
      <c r="C29" s="1785">
        <v>0</v>
      </c>
      <c r="D29" s="1783">
        <v>0</v>
      </c>
      <c r="E29" s="1783">
        <f t="shared" si="52"/>
        <v>0</v>
      </c>
      <c r="F29" s="1946">
        <v>5325307</v>
      </c>
      <c r="G29" s="1950">
        <f t="shared" si="45"/>
        <v>0</v>
      </c>
      <c r="I29" s="1785">
        <v>0</v>
      </c>
      <c r="J29" s="1783">
        <v>0</v>
      </c>
      <c r="K29" s="1783">
        <f>+I29+J29</f>
        <v>0</v>
      </c>
      <c r="L29" s="1946">
        <v>4971399</v>
      </c>
      <c r="M29" s="1950">
        <f t="shared" si="46"/>
        <v>0</v>
      </c>
      <c r="O29" s="1785">
        <v>0</v>
      </c>
      <c r="P29" s="1783">
        <v>0</v>
      </c>
      <c r="Q29" s="1783">
        <f>+O29+P29</f>
        <v>0</v>
      </c>
      <c r="R29" s="1946">
        <v>3981060</v>
      </c>
      <c r="S29" s="1950">
        <f t="shared" si="47"/>
        <v>0</v>
      </c>
      <c r="U29" s="1785">
        <v>0</v>
      </c>
      <c r="V29" s="1783">
        <v>126079</v>
      </c>
      <c r="W29" s="1783">
        <v>126079</v>
      </c>
      <c r="X29" s="1946">
        <v>4359057</v>
      </c>
      <c r="Y29" s="1950">
        <f t="shared" si="48"/>
        <v>2.8923457527625814E-2</v>
      </c>
      <c r="AA29" s="1785">
        <v>0</v>
      </c>
      <c r="AB29" s="1783">
        <v>0</v>
      </c>
      <c r="AC29" s="1783">
        <v>0</v>
      </c>
      <c r="AD29" s="1946">
        <v>4715204</v>
      </c>
      <c r="AE29" s="1950">
        <f t="shared" si="49"/>
        <v>0</v>
      </c>
      <c r="AF29" s="81"/>
      <c r="AG29" s="1785">
        <v>0</v>
      </c>
      <c r="AH29" s="1783">
        <v>0</v>
      </c>
      <c r="AI29" s="1783">
        <v>0</v>
      </c>
      <c r="AJ29" s="1946">
        <v>5380010</v>
      </c>
      <c r="AK29" s="1950">
        <f t="shared" si="50"/>
        <v>0</v>
      </c>
      <c r="AM29" s="1785">
        <v>0</v>
      </c>
      <c r="AN29" s="1783">
        <v>0</v>
      </c>
      <c r="AO29" s="1783">
        <f>SUM(AM29:AN29)</f>
        <v>0</v>
      </c>
      <c r="AP29" s="1946">
        <v>5690843</v>
      </c>
      <c r="AQ29" s="1950">
        <f t="shared" si="51"/>
        <v>0</v>
      </c>
      <c r="AS29" s="1785">
        <v>0</v>
      </c>
      <c r="AT29" s="1783">
        <v>19418</v>
      </c>
      <c r="AU29" s="1783">
        <f>+AS29+AT29</f>
        <v>19418</v>
      </c>
      <c r="AV29" s="1946">
        <v>4949213.95</v>
      </c>
      <c r="AW29" s="1950">
        <f t="shared" si="36"/>
        <v>3.9234513189715711E-3</v>
      </c>
      <c r="AY29" s="1785">
        <v>0</v>
      </c>
      <c r="AZ29" s="1783">
        <v>31784</v>
      </c>
      <c r="BA29" s="1783">
        <f>+AY29+AZ29</f>
        <v>31784</v>
      </c>
      <c r="BB29" s="1946">
        <v>4138517.05</v>
      </c>
      <c r="BC29" s="1950">
        <v>0</v>
      </c>
      <c r="BE29" s="1785">
        <v>0</v>
      </c>
      <c r="BF29" s="1783">
        <v>12910.58</v>
      </c>
      <c r="BG29" s="1783">
        <f>+BE29+BF29</f>
        <v>12910.58</v>
      </c>
      <c r="BH29" s="1946">
        <v>4780957.41</v>
      </c>
      <c r="BI29" s="1950">
        <v>0</v>
      </c>
      <c r="BK29" s="1785">
        <v>0</v>
      </c>
      <c r="BL29" s="1783">
        <v>7452.66</v>
      </c>
      <c r="BM29" s="1783">
        <f>+BK29+BL29</f>
        <v>7452.66</v>
      </c>
      <c r="BN29" s="1946">
        <v>3564219</v>
      </c>
      <c r="BO29" s="1950">
        <v>0</v>
      </c>
      <c r="BQ29" s="1785"/>
      <c r="BR29" s="1783">
        <v>2300</v>
      </c>
      <c r="BS29" s="1783">
        <f>+BQ29+BR29</f>
        <v>2300</v>
      </c>
      <c r="BT29" s="1946">
        <v>2913175</v>
      </c>
      <c r="BU29" s="1950">
        <v>0</v>
      </c>
      <c r="BW29" s="1785">
        <v>0</v>
      </c>
      <c r="BX29" s="1783">
        <v>0</v>
      </c>
      <c r="BY29" s="1783">
        <f>+BW29+BX29</f>
        <v>0</v>
      </c>
      <c r="BZ29" s="1946">
        <v>4800208.3600000003</v>
      </c>
      <c r="CA29" s="1950">
        <v>0</v>
      </c>
      <c r="CC29" s="1785">
        <v>0</v>
      </c>
      <c r="CD29" s="1783">
        <v>0</v>
      </c>
      <c r="CE29" s="1783">
        <f>+CC29+CD29</f>
        <v>0</v>
      </c>
      <c r="CF29" s="1946">
        <v>5232.0860000000002</v>
      </c>
      <c r="CG29" s="1950">
        <v>0</v>
      </c>
    </row>
    <row r="30" spans="1:85">
      <c r="A30" s="1874" t="s">
        <v>85</v>
      </c>
      <c r="C30" s="1785">
        <v>18454966</v>
      </c>
      <c r="D30" s="1783">
        <v>5878043</v>
      </c>
      <c r="E30" s="1783">
        <f t="shared" si="52"/>
        <v>24333009</v>
      </c>
      <c r="F30" s="1946">
        <v>45351197</v>
      </c>
      <c r="G30" s="1950">
        <f t="shared" si="45"/>
        <v>0.53654612468111917</v>
      </c>
      <c r="I30" s="1785">
        <v>0</v>
      </c>
      <c r="J30" s="1783">
        <v>3186175</v>
      </c>
      <c r="K30" s="1783">
        <f>+I30+J30</f>
        <v>3186175</v>
      </c>
      <c r="L30" s="1946">
        <v>21289305</v>
      </c>
      <c r="M30" s="1950">
        <f t="shared" si="46"/>
        <v>0.14966082734969507</v>
      </c>
      <c r="O30" s="1785">
        <v>0</v>
      </c>
      <c r="P30" s="1783">
        <v>3521808</v>
      </c>
      <c r="Q30" s="1783">
        <f>+O30+P30</f>
        <v>3521808</v>
      </c>
      <c r="R30" s="1946">
        <v>21376704</v>
      </c>
      <c r="S30" s="1950">
        <f t="shared" si="47"/>
        <v>0.16474981362889246</v>
      </c>
      <c r="U30" s="1785">
        <v>0</v>
      </c>
      <c r="V30" s="1783">
        <v>6294250</v>
      </c>
      <c r="W30" s="1783">
        <v>6294250</v>
      </c>
      <c r="X30" s="1946">
        <v>23424791</v>
      </c>
      <c r="Y30" s="1950">
        <f t="shared" si="48"/>
        <v>0.26870036962122734</v>
      </c>
      <c r="AA30" s="1785">
        <v>0</v>
      </c>
      <c r="AB30" s="1783">
        <v>3735123</v>
      </c>
      <c r="AC30" s="1783">
        <v>3735123</v>
      </c>
      <c r="AD30" s="1946">
        <v>22880956</v>
      </c>
      <c r="AE30" s="1950">
        <f t="shared" si="49"/>
        <v>0.1632415621095552</v>
      </c>
      <c r="AF30" s="81"/>
      <c r="AG30" s="1785">
        <v>0</v>
      </c>
      <c r="AH30" s="1783">
        <v>1415834</v>
      </c>
      <c r="AI30" s="1783">
        <v>1415834</v>
      </c>
      <c r="AJ30" s="1946">
        <v>21090601</v>
      </c>
      <c r="AK30" s="1950">
        <f t="shared" si="50"/>
        <v>6.7131040978870155E-2</v>
      </c>
      <c r="AM30" s="1785">
        <v>0</v>
      </c>
      <c r="AN30" s="1783">
        <v>960463</v>
      </c>
      <c r="AO30" s="1783">
        <f>SUM(AM30:AN30)</f>
        <v>960463</v>
      </c>
      <c r="AP30" s="1946">
        <v>18765109</v>
      </c>
      <c r="AQ30" s="1950">
        <f t="shared" si="51"/>
        <v>5.1183449027660859E-2</v>
      </c>
      <c r="AS30" s="1785">
        <v>1768238</v>
      </c>
      <c r="AT30" s="1783">
        <f>3510236-AS30</f>
        <v>1741998</v>
      </c>
      <c r="AU30" s="1783">
        <f>+AS30+AT30</f>
        <v>3510236</v>
      </c>
      <c r="AV30" s="1946">
        <v>19196986.920000002</v>
      </c>
      <c r="AW30" s="1950">
        <f t="shared" si="36"/>
        <v>0.18285348709296301</v>
      </c>
      <c r="AY30" s="1785">
        <v>1989230.48</v>
      </c>
      <c r="AZ30" s="1783">
        <v>1427117.9800000002</v>
      </c>
      <c r="BA30" s="1783">
        <f>+AY30+AZ30</f>
        <v>3416348.46</v>
      </c>
      <c r="BB30" s="1946">
        <v>20633226.120000005</v>
      </c>
      <c r="BC30" s="1950">
        <f>+BA30/BB30</f>
        <v>0.16557509912075732</v>
      </c>
      <c r="BE30" s="1785">
        <v>385129</v>
      </c>
      <c r="BF30" s="1783">
        <f>215831+965704</f>
        <v>1181535</v>
      </c>
      <c r="BG30" s="1783">
        <f>+BE30+BF30</f>
        <v>1566664</v>
      </c>
      <c r="BH30" s="1946">
        <v>21348161.84</v>
      </c>
      <c r="BI30" s="1950">
        <f>+BG30/BH30</f>
        <v>7.3386365146649091E-2</v>
      </c>
      <c r="BK30" s="1785">
        <v>267543.06</v>
      </c>
      <c r="BL30" s="1783">
        <v>846789.98</v>
      </c>
      <c r="BM30" s="1783">
        <f>+BK30+BL30</f>
        <v>1114333.04</v>
      </c>
      <c r="BN30" s="1946">
        <v>20444172</v>
      </c>
      <c r="BO30" s="1950">
        <f>+BM30/BN30</f>
        <v>5.4506146788434379E-2</v>
      </c>
      <c r="BQ30" s="1785">
        <v>619225</v>
      </c>
      <c r="BR30" s="1783">
        <v>944155</v>
      </c>
      <c r="BS30" s="1783">
        <f>+BQ30+BR30</f>
        <v>1563380</v>
      </c>
      <c r="BT30" s="1946">
        <v>19064928</v>
      </c>
      <c r="BU30" s="1950">
        <f>+BS30/BT30</f>
        <v>8.2002932295364553E-2</v>
      </c>
      <c r="BW30" s="1785">
        <v>491471.12</v>
      </c>
      <c r="BX30" s="1783">
        <v>35657.11</v>
      </c>
      <c r="BY30" s="1783">
        <f>+BW30+BX30</f>
        <v>527128.23</v>
      </c>
      <c r="BZ30" s="1946">
        <v>20081923.68</v>
      </c>
      <c r="CA30" s="1950">
        <f>+BY30/BZ30</f>
        <v>2.6248891211800483E-2</v>
      </c>
      <c r="CC30" s="1785">
        <v>266.20400000000001</v>
      </c>
      <c r="CD30" s="1783">
        <v>16.149999999999999</v>
      </c>
      <c r="CE30" s="1783">
        <f>+CC30+CD30</f>
        <v>282.35399999999998</v>
      </c>
      <c r="CF30" s="1946">
        <v>14247.491</v>
      </c>
      <c r="CG30" s="1950">
        <f>+CE30/CF30</f>
        <v>1.9817805113896896E-2</v>
      </c>
    </row>
    <row r="31" spans="1:85">
      <c r="A31" s="1874" t="s">
        <v>86</v>
      </c>
      <c r="C31" s="1785">
        <v>0</v>
      </c>
      <c r="D31" s="1783">
        <v>0</v>
      </c>
      <c r="E31" s="1783">
        <f t="shared" si="52"/>
        <v>0</v>
      </c>
      <c r="F31" s="1946">
        <v>17560610</v>
      </c>
      <c r="G31" s="1950">
        <f t="shared" si="45"/>
        <v>0</v>
      </c>
      <c r="I31" s="1785">
        <v>0</v>
      </c>
      <c r="J31" s="1783">
        <v>660324</v>
      </c>
      <c r="K31" s="1783">
        <f>+I31+J31</f>
        <v>660324</v>
      </c>
      <c r="L31" s="1946">
        <v>7902446</v>
      </c>
      <c r="M31" s="1950">
        <f t="shared" si="46"/>
        <v>8.3559444759255558E-2</v>
      </c>
      <c r="O31" s="1785">
        <v>0</v>
      </c>
      <c r="P31" s="1783">
        <v>0</v>
      </c>
      <c r="Q31" s="1783">
        <f>+O31+P31</f>
        <v>0</v>
      </c>
      <c r="R31" s="1946">
        <v>5221970</v>
      </c>
      <c r="S31" s="1950">
        <f t="shared" si="47"/>
        <v>0</v>
      </c>
      <c r="U31" s="1785">
        <v>0</v>
      </c>
      <c r="V31" s="1783">
        <v>91296</v>
      </c>
      <c r="W31" s="1783">
        <v>91296</v>
      </c>
      <c r="X31" s="1946">
        <v>3064158</v>
      </c>
      <c r="Y31" s="1950">
        <f t="shared" si="48"/>
        <v>2.9794808231168236E-2</v>
      </c>
      <c r="AA31" s="1785">
        <v>0</v>
      </c>
      <c r="AB31" s="1783">
        <v>0</v>
      </c>
      <c r="AC31" s="1783">
        <v>0</v>
      </c>
      <c r="AD31" s="1946">
        <v>4207998</v>
      </c>
      <c r="AE31" s="1950">
        <f t="shared" si="49"/>
        <v>0</v>
      </c>
      <c r="AF31" s="81"/>
      <c r="AG31" s="1785">
        <v>0</v>
      </c>
      <c r="AH31" s="1783">
        <v>0</v>
      </c>
      <c r="AI31" s="1783">
        <v>0</v>
      </c>
      <c r="AJ31" s="1946">
        <v>4069001</v>
      </c>
      <c r="AK31" s="1950">
        <f t="shared" si="50"/>
        <v>0</v>
      </c>
      <c r="AM31" s="1785">
        <v>0</v>
      </c>
      <c r="AN31" s="1783">
        <v>0</v>
      </c>
      <c r="AO31" s="1783">
        <f>SUM(AM31:AN31)</f>
        <v>0</v>
      </c>
      <c r="AP31" s="1946">
        <v>16912481</v>
      </c>
      <c r="AQ31" s="1950">
        <f t="shared" si="51"/>
        <v>0</v>
      </c>
      <c r="AS31" s="1785">
        <v>0</v>
      </c>
      <c r="AT31" s="1783">
        <v>37194</v>
      </c>
      <c r="AU31" s="1783">
        <f>+AS31+AT31</f>
        <v>37194</v>
      </c>
      <c r="AV31" s="1946">
        <v>3012217.26</v>
      </c>
      <c r="AW31" s="1950">
        <f t="shared" si="36"/>
        <v>1.234771491881034E-2</v>
      </c>
      <c r="AY31" s="1785">
        <v>0</v>
      </c>
      <c r="AZ31" s="1783">
        <v>67066.42</v>
      </c>
      <c r="BA31" s="1783">
        <f>+AY31+AZ31</f>
        <v>67066.42</v>
      </c>
      <c r="BB31" s="1946">
        <v>13940856.409999998</v>
      </c>
      <c r="BC31" s="1950">
        <v>0</v>
      </c>
      <c r="BE31" s="1785">
        <v>0</v>
      </c>
      <c r="BF31" s="1783">
        <v>12510.8</v>
      </c>
      <c r="BG31" s="1783">
        <f>+BE31+BF31</f>
        <v>12510.8</v>
      </c>
      <c r="BH31" s="1946">
        <v>2564707.16</v>
      </c>
      <c r="BI31" s="1950">
        <v>0</v>
      </c>
      <c r="BK31" s="1785"/>
      <c r="BL31" s="1783">
        <v>27979.85</v>
      </c>
      <c r="BM31" s="1783">
        <f>+BK31+BL31</f>
        <v>27979.85</v>
      </c>
      <c r="BN31" s="1946">
        <v>99531449</v>
      </c>
      <c r="BO31" s="1950">
        <v>0</v>
      </c>
      <c r="BQ31" s="1785"/>
      <c r="BR31" s="1783">
        <v>25380</v>
      </c>
      <c r="BS31" s="1783">
        <f>+BQ31+BR31</f>
        <v>25380</v>
      </c>
      <c r="BT31" s="1946">
        <v>39157824</v>
      </c>
      <c r="BU31" s="1950">
        <v>0</v>
      </c>
      <c r="BW31" s="1785">
        <v>0</v>
      </c>
      <c r="BX31" s="1783">
        <v>12858.65</v>
      </c>
      <c r="BY31" s="1783">
        <f>+BW31+BX31</f>
        <v>12858.65</v>
      </c>
      <c r="BZ31" s="1946">
        <v>374097533.61000001</v>
      </c>
      <c r="CA31" s="1950">
        <v>0</v>
      </c>
      <c r="CC31" s="1785">
        <v>0</v>
      </c>
      <c r="CD31" s="1783">
        <v>0</v>
      </c>
      <c r="CE31" s="1783">
        <f>+CC31+CD31</f>
        <v>0</v>
      </c>
      <c r="CF31" s="1946">
        <v>63335.339</v>
      </c>
      <c r="CG31" s="1950">
        <v>0</v>
      </c>
    </row>
    <row r="32" spans="1:85">
      <c r="A32" s="1943" t="s">
        <v>240</v>
      </c>
      <c r="C32" s="1787">
        <f>SUM(C27:C31)</f>
        <v>18454966</v>
      </c>
      <c r="D32" s="1788">
        <f>SUM(D27:D31)</f>
        <v>5878043</v>
      </c>
      <c r="E32" s="1788">
        <f>SUM(E27:E31)</f>
        <v>24333009</v>
      </c>
      <c r="F32" s="1947">
        <f>SUM(F27:F31)</f>
        <v>77922300</v>
      </c>
      <c r="G32" s="1952">
        <f t="shared" si="45"/>
        <v>0.31227272552273228</v>
      </c>
      <c r="I32" s="1787">
        <f>SUM(I27:I31)</f>
        <v>0</v>
      </c>
      <c r="J32" s="1788">
        <f t="shared" ref="J32:L32" si="53">SUM(J27:J31)</f>
        <v>3846499</v>
      </c>
      <c r="K32" s="1788">
        <f t="shared" si="53"/>
        <v>3846499</v>
      </c>
      <c r="L32" s="1947">
        <f t="shared" si="53"/>
        <v>43366554</v>
      </c>
      <c r="M32" s="1952">
        <f t="shared" si="46"/>
        <v>8.8697363410521396E-2</v>
      </c>
      <c r="O32" s="1787">
        <f>SUM(O27:O31)</f>
        <v>0</v>
      </c>
      <c r="P32" s="1788">
        <f>SUM(P27:P31)</f>
        <v>3539856</v>
      </c>
      <c r="Q32" s="1788">
        <f>SUM(Q27:Q31)</f>
        <v>3539856</v>
      </c>
      <c r="R32" s="1947">
        <f>SUM(R27:R31)</f>
        <v>40472223</v>
      </c>
      <c r="S32" s="1952">
        <f t="shared" si="47"/>
        <v>8.7463839087860332E-2</v>
      </c>
      <c r="U32" s="1787">
        <v>0</v>
      </c>
      <c r="V32" s="1788">
        <v>6787170</v>
      </c>
      <c r="W32" s="1788">
        <v>6787170</v>
      </c>
      <c r="X32" s="1947">
        <v>41204699</v>
      </c>
      <c r="Y32" s="1952">
        <f t="shared" si="48"/>
        <v>0.16471834923487733</v>
      </c>
      <c r="AA32" s="1787">
        <v>0</v>
      </c>
      <c r="AB32" s="1788">
        <v>3738045</v>
      </c>
      <c r="AC32" s="1788">
        <v>3738045</v>
      </c>
      <c r="AD32" s="1947">
        <v>39280671</v>
      </c>
      <c r="AE32" s="1952">
        <f t="shared" si="49"/>
        <v>9.5162452800258937E-2</v>
      </c>
      <c r="AF32" s="81"/>
      <c r="AG32" s="1787">
        <v>0</v>
      </c>
      <c r="AH32" s="1788">
        <v>1423698</v>
      </c>
      <c r="AI32" s="1788">
        <v>1423698</v>
      </c>
      <c r="AJ32" s="1947">
        <v>40402862</v>
      </c>
      <c r="AK32" s="1952">
        <f t="shared" si="50"/>
        <v>3.5237553220858461E-2</v>
      </c>
      <c r="AM32" s="1787">
        <f>SUM(AM27:AM31)</f>
        <v>0</v>
      </c>
      <c r="AN32" s="1788">
        <f>SUM(AN27:AN31)</f>
        <v>960463</v>
      </c>
      <c r="AO32" s="1788">
        <f>SUM(AO27:AO31)</f>
        <v>960463</v>
      </c>
      <c r="AP32" s="1947">
        <f>SUM(AP27:AP31)</f>
        <v>49204528</v>
      </c>
      <c r="AQ32" s="1952">
        <f t="shared" si="51"/>
        <v>1.9519809233816854E-2</v>
      </c>
      <c r="AS32" s="1787">
        <f>SUM(AS27:AS31)</f>
        <v>1768238</v>
      </c>
      <c r="AT32" s="1788">
        <f>SUM(AT27:AT31)</f>
        <v>1820550</v>
      </c>
      <c r="AU32" s="1788">
        <f>SUM(AU27:AU31)</f>
        <v>3588788</v>
      </c>
      <c r="AV32" s="1947">
        <f>SUM(AV27:AV31)</f>
        <v>37678649.460000001</v>
      </c>
      <c r="AW32" s="1952">
        <f>+AU32/AV32</f>
        <v>9.5247256773624278E-2</v>
      </c>
      <c r="AY32" s="1787">
        <f>SUM(AY27:AY31)</f>
        <v>2052426.41</v>
      </c>
      <c r="AZ32" s="1788">
        <f>SUM(AZ27:AZ31)</f>
        <v>1532023.4100000001</v>
      </c>
      <c r="BA32" s="1788">
        <f>SUM(BA27:BA31)</f>
        <v>3584449.82</v>
      </c>
      <c r="BB32" s="1947">
        <f>SUM(BB27:BB31)</f>
        <v>47808374.859999999</v>
      </c>
      <c r="BC32" s="1952">
        <f>+BA32/BB32</f>
        <v>7.4975353805615638E-2</v>
      </c>
      <c r="BE32" s="1787">
        <f>SUM(BE27:BE31)</f>
        <v>385129</v>
      </c>
      <c r="BF32" s="1788">
        <f>SUM(BF27:BF31)</f>
        <v>1209806.3800000001</v>
      </c>
      <c r="BG32" s="1788">
        <f>SUM(BG27:BG31)</f>
        <v>1594935.3800000001</v>
      </c>
      <c r="BH32" s="1947">
        <f>SUM(BH27:BH31)</f>
        <v>36624278.170000002</v>
      </c>
      <c r="BI32" s="1952">
        <f>+BG32/BH32</f>
        <v>4.3548581970591776E-2</v>
      </c>
      <c r="BK32" s="1787">
        <f>SUM(BK27:BK31)</f>
        <v>267543.06</v>
      </c>
      <c r="BL32" s="1788">
        <f>SUM(BL27:BL31)</f>
        <v>884377.65999999992</v>
      </c>
      <c r="BM32" s="1788">
        <f>SUM(BM27:BM31)</f>
        <v>1151920.7200000002</v>
      </c>
      <c r="BN32" s="1947">
        <f>SUM(BN27:BN31)</f>
        <v>130432304</v>
      </c>
      <c r="BO32" s="1952">
        <f>+BM32/BN32</f>
        <v>8.8315600098576828E-3</v>
      </c>
      <c r="BQ32" s="1787">
        <f>SUM(BQ27:BQ31)</f>
        <v>619225</v>
      </c>
      <c r="BR32" s="1788">
        <f>SUM(BR27:BR31)</f>
        <v>976295</v>
      </c>
      <c r="BS32" s="1788">
        <f>SUM(BS27:BS31)</f>
        <v>1595520</v>
      </c>
      <c r="BT32" s="1947">
        <f>SUM(BT27:BT31)</f>
        <v>66179104</v>
      </c>
      <c r="BU32" s="1952">
        <f>+BS32/BT32</f>
        <v>2.4109120607012147E-2</v>
      </c>
      <c r="BW32" s="1787">
        <f>SUM(BW27:BW31)</f>
        <v>491471.12</v>
      </c>
      <c r="BX32" s="1788">
        <f>SUM(BX27:BX31)</f>
        <v>48515.76</v>
      </c>
      <c r="BY32" s="1788">
        <f>SUM(BY27:BY31)</f>
        <v>539986.88</v>
      </c>
      <c r="BZ32" s="1947">
        <f>SUM(BZ27:BZ31)</f>
        <v>405874708.53000003</v>
      </c>
      <c r="CA32" s="1952">
        <f>+BY32/BZ32</f>
        <v>1.330427515318036E-3</v>
      </c>
      <c r="CC32" s="1787">
        <f>SUM(CC27:CC31)</f>
        <v>266.20400000000001</v>
      </c>
      <c r="CD32" s="1788">
        <f>SUM(CD27:CD31)</f>
        <v>16.149999999999999</v>
      </c>
      <c r="CE32" s="1788">
        <f>SUM(CE27:CE31)</f>
        <v>282.35399999999998</v>
      </c>
      <c r="CF32" s="1947">
        <f>SUM(CF27:CF31)</f>
        <v>89759.305999999997</v>
      </c>
      <c r="CG32" s="1952">
        <f>+CE32/CF32</f>
        <v>3.145679401754733E-3</v>
      </c>
    </row>
    <row r="33" spans="1:85">
      <c r="A33" s="2136"/>
      <c r="G33" s="1954"/>
      <c r="M33" s="1954"/>
      <c r="S33" s="1954"/>
      <c r="Y33" s="1954"/>
      <c r="AE33" s="1954"/>
      <c r="AF33" s="81"/>
      <c r="AK33" s="1954"/>
      <c r="AM33" s="2112"/>
      <c r="AN33" s="2112"/>
      <c r="AO33" s="2112"/>
      <c r="AP33" s="2112"/>
      <c r="AQ33" s="1954"/>
      <c r="AS33" s="2112"/>
      <c r="AT33" s="2112"/>
      <c r="AU33" s="2112"/>
      <c r="AV33" s="2112"/>
      <c r="AW33" s="1954"/>
      <c r="AY33" s="2112"/>
      <c r="AZ33" s="2112"/>
      <c r="BA33" s="2112"/>
      <c r="BB33" s="2112"/>
      <c r="BC33" s="1954"/>
      <c r="BE33" s="2112"/>
      <c r="BF33" s="2112"/>
      <c r="BG33" s="2112"/>
      <c r="BH33" s="2112"/>
      <c r="BI33" s="1954"/>
      <c r="BK33" s="2112"/>
      <c r="BL33" s="2112"/>
      <c r="BM33" s="2112"/>
      <c r="BN33" s="2112"/>
      <c r="BO33" s="1954"/>
      <c r="BQ33" s="2112"/>
      <c r="BR33" s="2112"/>
      <c r="BS33" s="2112"/>
      <c r="BT33" s="2112"/>
      <c r="BU33" s="1954"/>
      <c r="BW33" s="2112"/>
      <c r="BX33" s="2112"/>
      <c r="BY33" s="2112"/>
      <c r="BZ33" s="2112"/>
      <c r="CA33" s="1954"/>
      <c r="CC33" s="2112"/>
      <c r="CD33" s="2112"/>
      <c r="CE33" s="2112"/>
      <c r="CF33" s="2112"/>
      <c r="CG33" s="1954"/>
    </row>
    <row r="34" spans="1:85">
      <c r="A34" s="1942" t="s">
        <v>16</v>
      </c>
      <c r="C34" s="1784">
        <v>0</v>
      </c>
      <c r="D34" s="1782">
        <v>20125</v>
      </c>
      <c r="E34" s="1782">
        <f>SUM(C34:D34)</f>
        <v>20125</v>
      </c>
      <c r="F34" s="1945">
        <v>16895094</v>
      </c>
      <c r="G34" s="1950">
        <f t="shared" si="45"/>
        <v>1.1911741953019024E-3</v>
      </c>
      <c r="I34" s="1784">
        <v>0</v>
      </c>
      <c r="J34" s="1782">
        <v>1618</v>
      </c>
      <c r="K34" s="1782">
        <f>+I34+J34</f>
        <v>1618</v>
      </c>
      <c r="L34" s="1945">
        <v>19222731</v>
      </c>
      <c r="M34" s="1949">
        <f>+K34/L34</f>
        <v>8.4171182544249306E-5</v>
      </c>
      <c r="O34" s="1784">
        <v>0</v>
      </c>
      <c r="P34" s="1782">
        <v>0</v>
      </c>
      <c r="Q34" s="1782">
        <f>+O34+P34</f>
        <v>0</v>
      </c>
      <c r="R34" s="1945">
        <v>16311711</v>
      </c>
      <c r="S34" s="1949">
        <f>+Q34/R34</f>
        <v>0</v>
      </c>
      <c r="U34" s="1784">
        <v>0</v>
      </c>
      <c r="V34" s="1782">
        <v>135803</v>
      </c>
      <c r="W34" s="1782">
        <v>135803</v>
      </c>
      <c r="X34" s="1945">
        <v>15087465</v>
      </c>
      <c r="Y34" s="1949">
        <f t="shared" ref="Y34:Y39" si="54">+W34/X34</f>
        <v>9.0010482211557736E-3</v>
      </c>
      <c r="AA34" s="1784">
        <v>0</v>
      </c>
      <c r="AB34" s="1782">
        <v>0</v>
      </c>
      <c r="AC34" s="1782">
        <v>0</v>
      </c>
      <c r="AD34" s="1945">
        <v>19224846</v>
      </c>
      <c r="AE34" s="1949">
        <f t="shared" ref="AE34:AE39" si="55">+AC34/AD34</f>
        <v>0</v>
      </c>
      <c r="AF34" s="81"/>
      <c r="AG34" s="1784">
        <v>0</v>
      </c>
      <c r="AH34" s="1782">
        <v>1875</v>
      </c>
      <c r="AI34" s="1782">
        <v>1875</v>
      </c>
      <c r="AJ34" s="1945">
        <v>19049515</v>
      </c>
      <c r="AK34" s="1949">
        <f t="shared" ref="AK34:AK39" si="56">+AI34/AJ34</f>
        <v>9.8427702752537272E-5</v>
      </c>
      <c r="AM34" s="1784">
        <v>0</v>
      </c>
      <c r="AN34" s="1782">
        <v>1073</v>
      </c>
      <c r="AO34" s="1782">
        <f>SUM(AM34:AN34)</f>
        <v>1073</v>
      </c>
      <c r="AP34" s="1945">
        <v>18879687</v>
      </c>
      <c r="AQ34" s="1949">
        <f t="shared" ref="AQ34:AQ39" si="57">+AO34/AP34</f>
        <v>5.6833569327711842E-5</v>
      </c>
      <c r="AS34" s="1784">
        <v>44798</v>
      </c>
      <c r="AT34" s="1782">
        <f>168837-AS34</f>
        <v>124039</v>
      </c>
      <c r="AU34" s="1782">
        <f>+AS34+AT34</f>
        <v>168837</v>
      </c>
      <c r="AV34" s="1945">
        <v>19478020.060000006</v>
      </c>
      <c r="AW34" s="1949">
        <f t="shared" ref="AW34:AW39" si="58">+AU34/AV34</f>
        <v>8.6680781455155745E-3</v>
      </c>
      <c r="AY34" s="1784">
        <v>23200.35</v>
      </c>
      <c r="AZ34" s="1782">
        <v>21576</v>
      </c>
      <c r="BA34" s="1782">
        <f>+AY34+AZ34</f>
        <v>44776.35</v>
      </c>
      <c r="BB34" s="1945">
        <v>17616448.400000006</v>
      </c>
      <c r="BC34" s="1949">
        <f t="shared" ref="BC34:BC39" si="59">+BA34/BB34</f>
        <v>2.5417353704507194E-3</v>
      </c>
      <c r="BE34" s="1784">
        <v>4314.5200000000004</v>
      </c>
      <c r="BF34" s="1782">
        <v>23619.84</v>
      </c>
      <c r="BG34" s="1782">
        <f>+BE34+BF34</f>
        <v>27934.36</v>
      </c>
      <c r="BH34" s="1945">
        <v>21311032.98</v>
      </c>
      <c r="BI34" s="1949">
        <f t="shared" ref="BI34:BI39" si="60">+BG34/BH34</f>
        <v>1.3107933353683919E-3</v>
      </c>
      <c r="BK34" s="1784">
        <v>60623.89</v>
      </c>
      <c r="BL34" s="1782">
        <v>31499.81</v>
      </c>
      <c r="BM34" s="1782">
        <f>+BK34+BL34</f>
        <v>92123.7</v>
      </c>
      <c r="BN34" s="1945">
        <v>24160163</v>
      </c>
      <c r="BO34" s="1949">
        <f t="shared" ref="BO34:BO39" si="61">+BM34/BN34</f>
        <v>3.8130413275771356E-3</v>
      </c>
      <c r="BQ34" s="1784">
        <v>74862</v>
      </c>
      <c r="BR34" s="1782">
        <v>57603</v>
      </c>
      <c r="BS34" s="1782">
        <f>+BQ34+BR34</f>
        <v>132465</v>
      </c>
      <c r="BT34" s="1945">
        <v>21506416</v>
      </c>
      <c r="BU34" s="1949">
        <f t="shared" ref="BU34:BU39" si="62">+BS34/BT34</f>
        <v>6.1593247336050785E-3</v>
      </c>
      <c r="BW34" s="1784">
        <v>621988.28</v>
      </c>
      <c r="BX34" s="1782">
        <v>93707.93</v>
      </c>
      <c r="BY34" s="1782">
        <f>+BW34+BX34</f>
        <v>715696.21</v>
      </c>
      <c r="BZ34" s="1945">
        <v>33605041.789999999</v>
      </c>
      <c r="CA34" s="1949">
        <f t="shared" ref="CA34:CA39" si="63">+BY34/BZ34</f>
        <v>2.1297286712881662E-2</v>
      </c>
      <c r="CC34" s="1784">
        <v>528.23199999999997</v>
      </c>
      <c r="CD34" s="1782">
        <v>26.835999999999999</v>
      </c>
      <c r="CE34" s="1782">
        <f>+CC34+CD34</f>
        <v>555.06799999999998</v>
      </c>
      <c r="CF34" s="1945">
        <v>22352.589</v>
      </c>
      <c r="CG34" s="1949">
        <f t="shared" ref="CG34:CG39" si="64">+CE34/CF34</f>
        <v>2.4832380714377201E-2</v>
      </c>
    </row>
    <row r="35" spans="1:85">
      <c r="A35" s="1874" t="s">
        <v>41</v>
      </c>
      <c r="C35" s="1785">
        <v>0</v>
      </c>
      <c r="D35" s="1783">
        <v>0</v>
      </c>
      <c r="E35" s="1783">
        <f t="shared" ref="E35:E38" si="65">SUM(C35:D35)</f>
        <v>0</v>
      </c>
      <c r="F35" s="1946">
        <v>25439180</v>
      </c>
      <c r="G35" s="1950">
        <f t="shared" si="45"/>
        <v>0</v>
      </c>
      <c r="I35" s="1785">
        <v>0</v>
      </c>
      <c r="J35" s="1783">
        <v>11851</v>
      </c>
      <c r="K35" s="1783">
        <f>+I35+J35</f>
        <v>11851</v>
      </c>
      <c r="L35" s="1946">
        <v>28138084</v>
      </c>
      <c r="M35" s="1950">
        <f>+J35/L35</f>
        <v>4.211729554862371E-4</v>
      </c>
      <c r="O35" s="1785">
        <v>0</v>
      </c>
      <c r="P35" s="1783">
        <v>55705</v>
      </c>
      <c r="Q35" s="1783">
        <f>+O35+P35</f>
        <v>55705</v>
      </c>
      <c r="R35" s="1946">
        <v>23055008</v>
      </c>
      <c r="S35" s="1950">
        <f>+P35/R35</f>
        <v>2.4161778646964688E-3</v>
      </c>
      <c r="U35" s="1785">
        <v>0</v>
      </c>
      <c r="V35" s="1783">
        <v>126156</v>
      </c>
      <c r="W35" s="1783">
        <v>126156</v>
      </c>
      <c r="X35" s="1946">
        <v>22256067</v>
      </c>
      <c r="Y35" s="1950">
        <f t="shared" si="54"/>
        <v>5.6683869616316303E-3</v>
      </c>
      <c r="AA35" s="1785">
        <v>0</v>
      </c>
      <c r="AB35" s="1783">
        <v>6264</v>
      </c>
      <c r="AC35" s="1783">
        <v>6264</v>
      </c>
      <c r="AD35" s="1946">
        <v>29370469</v>
      </c>
      <c r="AE35" s="1950">
        <f t="shared" si="55"/>
        <v>2.1327545024902393E-4</v>
      </c>
      <c r="AF35" s="81"/>
      <c r="AG35" s="1785">
        <v>86762</v>
      </c>
      <c r="AH35" s="1783">
        <v>37377</v>
      </c>
      <c r="AI35" s="1783">
        <v>124139</v>
      </c>
      <c r="AJ35" s="1946">
        <v>26985430</v>
      </c>
      <c r="AK35" s="1950">
        <f t="shared" si="56"/>
        <v>4.6002231574594141E-3</v>
      </c>
      <c r="AM35" s="1785">
        <v>0</v>
      </c>
      <c r="AN35" s="1783">
        <v>51159</v>
      </c>
      <c r="AO35" s="1783">
        <f>SUM(AM35:AN35)</f>
        <v>51159</v>
      </c>
      <c r="AP35" s="1946">
        <v>21962210</v>
      </c>
      <c r="AQ35" s="1950">
        <f t="shared" si="57"/>
        <v>2.3294103826527477E-3</v>
      </c>
      <c r="AS35" s="1785">
        <v>53759</v>
      </c>
      <c r="AT35" s="1783">
        <f>406351-AS35</f>
        <v>352592</v>
      </c>
      <c r="AU35" s="1783">
        <f>+AS35+AT35</f>
        <v>406351</v>
      </c>
      <c r="AV35" s="1946">
        <v>32642382.870000001</v>
      </c>
      <c r="AW35" s="1950">
        <f t="shared" si="58"/>
        <v>1.2448570363821604E-2</v>
      </c>
      <c r="AY35" s="1785">
        <v>89316.69</v>
      </c>
      <c r="AZ35" s="1783">
        <v>359347.30000000005</v>
      </c>
      <c r="BA35" s="1783">
        <f>+AY35+AZ35</f>
        <v>448663.99000000005</v>
      </c>
      <c r="BB35" s="1946">
        <v>26656157.239999998</v>
      </c>
      <c r="BC35" s="1950">
        <f t="shared" si="59"/>
        <v>1.6831532991062145E-2</v>
      </c>
      <c r="BE35" s="1785">
        <v>410763.73</v>
      </c>
      <c r="BF35" s="1783">
        <v>241672.24</v>
      </c>
      <c r="BG35" s="1783">
        <f>+BE35+BF35</f>
        <v>652435.97</v>
      </c>
      <c r="BH35" s="1946">
        <v>23886675.709999997</v>
      </c>
      <c r="BI35" s="1950">
        <f t="shared" si="60"/>
        <v>2.7313803641871439E-2</v>
      </c>
      <c r="BK35" s="1785">
        <v>197296.09</v>
      </c>
      <c r="BL35" s="1783">
        <v>297030.87</v>
      </c>
      <c r="BM35" s="1783">
        <f>+BK35+BL35</f>
        <v>494326.95999999996</v>
      </c>
      <c r="BN35" s="1946">
        <v>25310759</v>
      </c>
      <c r="BO35" s="1950">
        <f t="shared" si="61"/>
        <v>1.953030962050565E-2</v>
      </c>
      <c r="BQ35" s="1785">
        <v>477675</v>
      </c>
      <c r="BR35" s="1783">
        <v>109987</v>
      </c>
      <c r="BS35" s="1783">
        <f>+BQ35+BR35</f>
        <v>587662</v>
      </c>
      <c r="BT35" s="1946">
        <v>23583589</v>
      </c>
      <c r="BU35" s="1950">
        <f t="shared" si="62"/>
        <v>2.4918259896744299E-2</v>
      </c>
      <c r="BW35" s="1785">
        <v>548827.1</v>
      </c>
      <c r="BX35" s="1783">
        <v>482532.49</v>
      </c>
      <c r="BY35" s="1783">
        <f>+BW35+BX35</f>
        <v>1031359.59</v>
      </c>
      <c r="BZ35" s="1946">
        <v>47855210.240000099</v>
      </c>
      <c r="CA35" s="1950">
        <f t="shared" si="63"/>
        <v>2.1551667724947765E-2</v>
      </c>
      <c r="CC35" s="1785">
        <v>868.64</v>
      </c>
      <c r="CD35" s="1783">
        <v>7.7990000000000004</v>
      </c>
      <c r="CE35" s="1783">
        <f>+CC35+CD35</f>
        <v>876.43899999999996</v>
      </c>
      <c r="CF35" s="1946">
        <v>37177.546999999999</v>
      </c>
      <c r="CG35" s="1950">
        <f t="shared" si="64"/>
        <v>2.3574417107185688E-2</v>
      </c>
    </row>
    <row r="36" spans="1:85">
      <c r="A36" s="1874" t="s">
        <v>21</v>
      </c>
      <c r="C36" s="1785">
        <v>0</v>
      </c>
      <c r="D36" s="1783">
        <v>0</v>
      </c>
      <c r="E36" s="1783">
        <f t="shared" si="65"/>
        <v>0</v>
      </c>
      <c r="F36" s="1946">
        <v>7076591</v>
      </c>
      <c r="G36" s="1950">
        <f t="shared" si="45"/>
        <v>0</v>
      </c>
      <c r="I36" s="1785">
        <v>0</v>
      </c>
      <c r="J36" s="1783">
        <v>114507</v>
      </c>
      <c r="K36" s="1783">
        <f>+I36+J36</f>
        <v>114507</v>
      </c>
      <c r="L36" s="1946">
        <v>7766356</v>
      </c>
      <c r="M36" s="1950">
        <f>+J36/L36</f>
        <v>1.47439803171526E-2</v>
      </c>
      <c r="O36" s="1785">
        <v>0</v>
      </c>
      <c r="P36" s="1783">
        <v>0</v>
      </c>
      <c r="Q36" s="1783">
        <f>+O36+P36</f>
        <v>0</v>
      </c>
      <c r="R36" s="1946">
        <v>8832117</v>
      </c>
      <c r="S36" s="1950">
        <f>+P36/R36</f>
        <v>0</v>
      </c>
      <c r="U36" s="1785">
        <v>0</v>
      </c>
      <c r="V36" s="1783">
        <v>114805</v>
      </c>
      <c r="W36" s="1783">
        <v>114805</v>
      </c>
      <c r="X36" s="1946">
        <v>8057122</v>
      </c>
      <c r="Y36" s="1950">
        <f t="shared" si="54"/>
        <v>1.4248884403140476E-2</v>
      </c>
      <c r="AA36" s="1785">
        <v>0</v>
      </c>
      <c r="AB36" s="1783">
        <v>15000</v>
      </c>
      <c r="AC36" s="1783">
        <v>15000</v>
      </c>
      <c r="AD36" s="1946">
        <v>8594916</v>
      </c>
      <c r="AE36" s="1950">
        <f t="shared" si="55"/>
        <v>1.7452177543096407E-3</v>
      </c>
      <c r="AF36" s="81"/>
      <c r="AG36" s="1785">
        <v>0</v>
      </c>
      <c r="AH36" s="1783">
        <v>0</v>
      </c>
      <c r="AI36" s="1783">
        <v>0</v>
      </c>
      <c r="AJ36" s="1946">
        <v>8320422</v>
      </c>
      <c r="AK36" s="1950">
        <f t="shared" si="56"/>
        <v>0</v>
      </c>
      <c r="AM36" s="1785">
        <v>0</v>
      </c>
      <c r="AN36" s="1783">
        <v>0</v>
      </c>
      <c r="AO36" s="1783">
        <f>SUM(AM36:AN36)</f>
        <v>0</v>
      </c>
      <c r="AP36" s="1946">
        <v>8079415</v>
      </c>
      <c r="AQ36" s="1950">
        <f t="shared" si="57"/>
        <v>0</v>
      </c>
      <c r="AS36" s="1785">
        <v>69634</v>
      </c>
      <c r="AT36" s="1783">
        <f>214555-AS36</f>
        <v>144921</v>
      </c>
      <c r="AU36" s="1783">
        <f>+AS36+AT36</f>
        <v>214555</v>
      </c>
      <c r="AV36" s="1946">
        <v>9686179.9199999999</v>
      </c>
      <c r="AW36" s="1950">
        <f t="shared" si="58"/>
        <v>2.2150631288294302E-2</v>
      </c>
      <c r="AY36" s="1785">
        <v>44769.56</v>
      </c>
      <c r="AZ36" s="1783">
        <v>58301.97</v>
      </c>
      <c r="BA36" s="1783">
        <f>+AY36+AZ36</f>
        <v>103071.53</v>
      </c>
      <c r="BB36" s="1946">
        <v>8236932.9500000011</v>
      </c>
      <c r="BC36" s="1950">
        <f t="shared" si="59"/>
        <v>1.251333847509345E-2</v>
      </c>
      <c r="BE36" s="1785">
        <v>78188.160000000003</v>
      </c>
      <c r="BF36" s="1783">
        <v>56365.91</v>
      </c>
      <c r="BG36" s="1783">
        <f>+BE36+BF36</f>
        <v>134554.07</v>
      </c>
      <c r="BH36" s="1946">
        <v>8340963</v>
      </c>
      <c r="BI36" s="1950">
        <f t="shared" si="60"/>
        <v>1.6131718843495652E-2</v>
      </c>
      <c r="BK36" s="1785">
        <v>273422.06</v>
      </c>
      <c r="BL36" s="1783">
        <v>54399.479999999996</v>
      </c>
      <c r="BM36" s="1783">
        <f>+BK36+BL36</f>
        <v>327821.53999999998</v>
      </c>
      <c r="BN36" s="1946">
        <v>11732581</v>
      </c>
      <c r="BO36" s="1950">
        <f t="shared" si="61"/>
        <v>2.7941127361490195E-2</v>
      </c>
      <c r="BQ36" s="1785">
        <v>124230</v>
      </c>
      <c r="BR36" s="1783">
        <v>103651</v>
      </c>
      <c r="BS36" s="1783">
        <f>+BQ36+BR36</f>
        <v>227881</v>
      </c>
      <c r="BT36" s="1946">
        <v>8278046</v>
      </c>
      <c r="BU36" s="1950">
        <f t="shared" si="62"/>
        <v>2.7528356329500948E-2</v>
      </c>
      <c r="BW36" s="1785">
        <v>595850.96</v>
      </c>
      <c r="BX36" s="1783">
        <v>156453.99</v>
      </c>
      <c r="BY36" s="1783">
        <f>+BW36+BX36</f>
        <v>752304.95</v>
      </c>
      <c r="BZ36" s="1946">
        <v>14017052.529999999</v>
      </c>
      <c r="CA36" s="1950">
        <f t="shared" si="63"/>
        <v>5.3670694918912458E-2</v>
      </c>
      <c r="CC36" s="1785">
        <v>140.614</v>
      </c>
      <c r="CD36" s="1783">
        <v>116.163</v>
      </c>
      <c r="CE36" s="1783">
        <f>+CC36+CD36</f>
        <v>256.77699999999999</v>
      </c>
      <c r="CF36" s="1946">
        <v>10637.235000000001</v>
      </c>
      <c r="CG36" s="1950">
        <f t="shared" si="64"/>
        <v>2.4139449772426762E-2</v>
      </c>
    </row>
    <row r="37" spans="1:85">
      <c r="A37" s="1874" t="s">
        <v>85</v>
      </c>
      <c r="C37" s="1785">
        <v>8351133</v>
      </c>
      <c r="D37" s="1783">
        <v>11648299</v>
      </c>
      <c r="E37" s="1783">
        <f t="shared" si="65"/>
        <v>19999432</v>
      </c>
      <c r="F37" s="1946">
        <v>134370440</v>
      </c>
      <c r="G37" s="1950">
        <f t="shared" si="45"/>
        <v>0.14883803312692881</v>
      </c>
      <c r="I37" s="1785">
        <v>8801291</v>
      </c>
      <c r="J37" s="1783">
        <v>11832379</v>
      </c>
      <c r="K37" s="1783">
        <f>+I37+J37</f>
        <v>20633670</v>
      </c>
      <c r="L37" s="1946">
        <v>126770839</v>
      </c>
      <c r="M37" s="1950">
        <f>+J37/L37</f>
        <v>9.3336757043944465E-2</v>
      </c>
      <c r="O37" s="1785">
        <v>9761119</v>
      </c>
      <c r="P37" s="1783">
        <v>15139999</v>
      </c>
      <c r="Q37" s="1783">
        <f>+O37+P37</f>
        <v>24901118</v>
      </c>
      <c r="R37" s="1946">
        <v>113082084</v>
      </c>
      <c r="S37" s="1950">
        <f>+P37/R37</f>
        <v>0.13388503699666518</v>
      </c>
      <c r="U37" s="1785">
        <v>12107354</v>
      </c>
      <c r="V37" s="1783">
        <v>23775747</v>
      </c>
      <c r="W37" s="1783">
        <v>35883101</v>
      </c>
      <c r="X37" s="1946">
        <v>112251486</v>
      </c>
      <c r="Y37" s="1950">
        <f t="shared" si="54"/>
        <v>0.31966704654582478</v>
      </c>
      <c r="AA37" s="1785">
        <v>9337582</v>
      </c>
      <c r="AB37" s="1783">
        <v>3735123</v>
      </c>
      <c r="AC37" s="1783">
        <v>13072705</v>
      </c>
      <c r="AD37" s="1946">
        <v>94038705</v>
      </c>
      <c r="AE37" s="1950">
        <f t="shared" si="55"/>
        <v>0.13901408999624143</v>
      </c>
      <c r="AF37" s="81"/>
      <c r="AG37" s="1785">
        <v>7945298</v>
      </c>
      <c r="AH37" s="1783">
        <v>5374360</v>
      </c>
      <c r="AI37" s="1783">
        <v>13319658</v>
      </c>
      <c r="AJ37" s="1946">
        <v>116676708</v>
      </c>
      <c r="AK37" s="1950">
        <f t="shared" si="56"/>
        <v>0.1141586716690704</v>
      </c>
      <c r="AM37" s="1785">
        <v>466079</v>
      </c>
      <c r="AN37" s="1783">
        <v>1005828</v>
      </c>
      <c r="AO37" s="1783">
        <f>SUM(AM37:AN37)</f>
        <v>1471907</v>
      </c>
      <c r="AP37" s="1946">
        <v>98266177</v>
      </c>
      <c r="AQ37" s="1950">
        <f t="shared" si="57"/>
        <v>1.4978775453938744E-2</v>
      </c>
      <c r="AS37" s="1785">
        <v>4509037</v>
      </c>
      <c r="AT37" s="1783">
        <f>24014549-AS37</f>
        <v>19505512</v>
      </c>
      <c r="AU37" s="1783">
        <f>+AS37+AT37</f>
        <v>24014549</v>
      </c>
      <c r="AV37" s="1946">
        <v>97869214.650000021</v>
      </c>
      <c r="AW37" s="1950">
        <f t="shared" si="58"/>
        <v>0.24537388070274041</v>
      </c>
      <c r="AY37" s="1785">
        <v>11981416.470000001</v>
      </c>
      <c r="AZ37" s="1783">
        <v>17561928.890000001</v>
      </c>
      <c r="BA37" s="1783">
        <f>+AY37+AZ37</f>
        <v>29543345.359999999</v>
      </c>
      <c r="BB37" s="1946">
        <v>131602000.14</v>
      </c>
      <c r="BC37" s="1950">
        <f t="shared" si="59"/>
        <v>0.22449009383270305</v>
      </c>
      <c r="BE37" s="1785">
        <v>10685050.039999999</v>
      </c>
      <c r="BF37" s="1783">
        <v>13581453.59</v>
      </c>
      <c r="BG37" s="1783">
        <f>+BE37+BF37</f>
        <v>24266503.629999999</v>
      </c>
      <c r="BH37" s="1946">
        <v>105214778.08000003</v>
      </c>
      <c r="BI37" s="1950">
        <f t="shared" si="60"/>
        <v>0.23063778751259609</v>
      </c>
      <c r="BK37" s="1785">
        <v>15595473.17</v>
      </c>
      <c r="BL37" s="1783">
        <v>18820799.030000001</v>
      </c>
      <c r="BM37" s="1783">
        <f>+BK37+BL37</f>
        <v>34416272.200000003</v>
      </c>
      <c r="BN37" s="1946">
        <v>115802283</v>
      </c>
      <c r="BO37" s="1950">
        <f t="shared" si="61"/>
        <v>0.29719856386596455</v>
      </c>
      <c r="BQ37" s="1785">
        <v>11218682</v>
      </c>
      <c r="BR37" s="1783">
        <v>13447756</v>
      </c>
      <c r="BS37" s="1783">
        <f>+BQ37+BR37</f>
        <v>24666438</v>
      </c>
      <c r="BT37" s="1946">
        <v>99227621</v>
      </c>
      <c r="BU37" s="1950">
        <f t="shared" si="62"/>
        <v>0.24858439365385976</v>
      </c>
      <c r="BW37" s="1785">
        <v>10144594.289999999</v>
      </c>
      <c r="BX37" s="1783">
        <v>13542936.530000001</v>
      </c>
      <c r="BY37" s="1783">
        <f>+BW37+BX37</f>
        <v>23687530.82</v>
      </c>
      <c r="BZ37" s="1946">
        <v>173213750.22999999</v>
      </c>
      <c r="CA37" s="1950">
        <f t="shared" si="63"/>
        <v>0.13675317801587214</v>
      </c>
      <c r="CC37" s="1785">
        <v>8489.8950000000004</v>
      </c>
      <c r="CD37" s="1783">
        <v>3576.5770000000002</v>
      </c>
      <c r="CE37" s="1783">
        <f>+CC37+CD37</f>
        <v>12066.472000000002</v>
      </c>
      <c r="CF37" s="1946">
        <v>181075.38399999999</v>
      </c>
      <c r="CG37" s="1950">
        <f t="shared" si="64"/>
        <v>6.6637837421347129E-2</v>
      </c>
    </row>
    <row r="38" spans="1:85">
      <c r="A38" s="1874" t="s">
        <v>86</v>
      </c>
      <c r="C38" s="1785">
        <v>0</v>
      </c>
      <c r="D38" s="1783">
        <v>85906</v>
      </c>
      <c r="E38" s="1783">
        <f t="shared" si="65"/>
        <v>85906</v>
      </c>
      <c r="F38" s="1946">
        <v>17555073</v>
      </c>
      <c r="G38" s="1950">
        <f t="shared" si="45"/>
        <v>4.8935142565342789E-3</v>
      </c>
      <c r="I38" s="1785">
        <v>0</v>
      </c>
      <c r="J38" s="1783">
        <v>22156</v>
      </c>
      <c r="K38" s="1783">
        <f>+I38+J38</f>
        <v>22156</v>
      </c>
      <c r="L38" s="1946">
        <v>17823846</v>
      </c>
      <c r="M38" s="1950">
        <f>+K38/L38</f>
        <v>1.2430538280009825E-3</v>
      </c>
      <c r="O38" s="1785">
        <v>0</v>
      </c>
      <c r="P38" s="1783">
        <v>0</v>
      </c>
      <c r="Q38" s="1783">
        <f>+O38+P38</f>
        <v>0</v>
      </c>
      <c r="R38" s="1946">
        <v>11959117</v>
      </c>
      <c r="S38" s="1950">
        <f>+Q38/R38</f>
        <v>0</v>
      </c>
      <c r="U38" s="1785">
        <v>0</v>
      </c>
      <c r="V38" s="1783">
        <v>51875</v>
      </c>
      <c r="W38" s="1783">
        <v>51875</v>
      </c>
      <c r="X38" s="1946">
        <v>10178034</v>
      </c>
      <c r="Y38" s="1950">
        <f t="shared" si="54"/>
        <v>5.0967603370159695E-3</v>
      </c>
      <c r="AA38" s="1785">
        <v>0</v>
      </c>
      <c r="AB38" s="1783">
        <v>0</v>
      </c>
      <c r="AC38" s="1783">
        <v>0</v>
      </c>
      <c r="AD38" s="1946">
        <v>16843688</v>
      </c>
      <c r="AE38" s="1950">
        <f t="shared" si="55"/>
        <v>0</v>
      </c>
      <c r="AF38" s="81"/>
      <c r="AG38" s="1785">
        <v>0</v>
      </c>
      <c r="AH38" s="1783">
        <v>0</v>
      </c>
      <c r="AI38" s="1783">
        <v>0</v>
      </c>
      <c r="AJ38" s="1946">
        <v>13280830</v>
      </c>
      <c r="AK38" s="1950">
        <f t="shared" si="56"/>
        <v>0</v>
      </c>
      <c r="AM38" s="1785">
        <v>0</v>
      </c>
      <c r="AN38" s="1783">
        <v>0</v>
      </c>
      <c r="AO38" s="1783">
        <f>SUM(AM38:AN38)</f>
        <v>0</v>
      </c>
      <c r="AP38" s="1946">
        <v>13070100</v>
      </c>
      <c r="AQ38" s="1950">
        <f t="shared" si="57"/>
        <v>0</v>
      </c>
      <c r="AS38" s="1785">
        <v>104112</v>
      </c>
      <c r="AT38" s="1783">
        <f>140505-AS38</f>
        <v>36393</v>
      </c>
      <c r="AU38" s="1783">
        <f>+AS38+AT38</f>
        <v>140505</v>
      </c>
      <c r="AV38" s="1946">
        <v>16325811.890000002</v>
      </c>
      <c r="AW38" s="1950">
        <f t="shared" si="58"/>
        <v>8.6063101147247131E-3</v>
      </c>
      <c r="AY38" s="1785">
        <v>479198.82</v>
      </c>
      <c r="AZ38" s="1783">
        <v>547104.64</v>
      </c>
      <c r="BA38" s="1783">
        <f>+AY38+AZ38</f>
        <v>1026303.46</v>
      </c>
      <c r="BB38" s="1946">
        <v>26148678.91</v>
      </c>
      <c r="BC38" s="1950">
        <f t="shared" si="59"/>
        <v>3.9248769069075692E-2</v>
      </c>
      <c r="BE38" s="1785">
        <v>46590.85</v>
      </c>
      <c r="BF38" s="1783">
        <v>46813.71</v>
      </c>
      <c r="BG38" s="1783">
        <f>+BE38+BF38</f>
        <v>93404.56</v>
      </c>
      <c r="BH38" s="1946">
        <v>19804409.309999999</v>
      </c>
      <c r="BI38" s="1950">
        <f t="shared" si="60"/>
        <v>4.7163517244029332E-3</v>
      </c>
      <c r="BK38" s="1785">
        <v>150677</v>
      </c>
      <c r="BL38" s="1783">
        <v>58899.740000000005</v>
      </c>
      <c r="BM38" s="1783">
        <f>+BK38+BL38</f>
        <v>209576.74</v>
      </c>
      <c r="BN38" s="1946">
        <v>21174142</v>
      </c>
      <c r="BO38" s="1950">
        <f t="shared" si="61"/>
        <v>9.8977677584291251E-3</v>
      </c>
      <c r="BQ38" s="1785">
        <v>331645</v>
      </c>
      <c r="BR38" s="1783">
        <v>1691974</v>
      </c>
      <c r="BS38" s="1783">
        <f>+BQ38+BR38</f>
        <v>2023619</v>
      </c>
      <c r="BT38" s="1946">
        <v>31881056</v>
      </c>
      <c r="BU38" s="1950">
        <f t="shared" si="62"/>
        <v>6.3474026707270925E-2</v>
      </c>
      <c r="BW38" s="1785">
        <v>664888.64</v>
      </c>
      <c r="BX38" s="1783">
        <v>170580.55</v>
      </c>
      <c r="BY38" s="1783">
        <f>+BW38+BX38</f>
        <v>835469.19</v>
      </c>
      <c r="BZ38" s="1946">
        <v>34200820.68</v>
      </c>
      <c r="CA38" s="1950">
        <f t="shared" si="63"/>
        <v>2.4428337489824235E-2</v>
      </c>
      <c r="CC38" s="1785">
        <v>181.001</v>
      </c>
      <c r="CD38" s="1783">
        <v>0</v>
      </c>
      <c r="CE38" s="1783">
        <f>+CC38+CD38</f>
        <v>181.001</v>
      </c>
      <c r="CF38" s="1946">
        <v>27559.028999999999</v>
      </c>
      <c r="CG38" s="1950">
        <f t="shared" si="64"/>
        <v>6.5677567957855123E-3</v>
      </c>
    </row>
    <row r="39" spans="1:85">
      <c r="A39" s="1943" t="s">
        <v>48</v>
      </c>
      <c r="C39" s="1787">
        <f>SUM(C34:C38)</f>
        <v>8351133</v>
      </c>
      <c r="D39" s="1788">
        <f>SUM(D34:D38)</f>
        <v>11754330</v>
      </c>
      <c r="E39" s="1788">
        <f>SUM(E34:E38)</f>
        <v>20105463</v>
      </c>
      <c r="F39" s="1947">
        <f>SUM(F34:F38)</f>
        <v>201336378</v>
      </c>
      <c r="G39" s="1956">
        <f>+E39/F39</f>
        <v>9.9860061056626342E-2</v>
      </c>
      <c r="I39" s="1787">
        <f>SUM(I34:I38)</f>
        <v>8801291</v>
      </c>
      <c r="J39" s="1788">
        <f t="shared" ref="J39:L39" si="66">SUM(J34:J38)</f>
        <v>11982511</v>
      </c>
      <c r="K39" s="1788">
        <f t="shared" si="66"/>
        <v>20783802</v>
      </c>
      <c r="L39" s="1947">
        <f t="shared" si="66"/>
        <v>199721856</v>
      </c>
      <c r="M39" s="1956">
        <f>+K39/L39</f>
        <v>0.10406373351547464</v>
      </c>
      <c r="O39" s="1787">
        <f>SUM(O34:O38)</f>
        <v>9761119</v>
      </c>
      <c r="P39" s="1788">
        <f t="shared" ref="P39:R39" si="67">SUM(P34:P38)</f>
        <v>15195704</v>
      </c>
      <c r="Q39" s="1788">
        <f t="shared" si="67"/>
        <v>24956823</v>
      </c>
      <c r="R39" s="1947">
        <f t="shared" si="67"/>
        <v>173240037</v>
      </c>
      <c r="S39" s="1956">
        <f>+Q39/R39</f>
        <v>0.14405921074699379</v>
      </c>
      <c r="U39" s="1787">
        <v>12107354</v>
      </c>
      <c r="V39" s="1788">
        <v>24204386</v>
      </c>
      <c r="W39" s="1788">
        <v>36311740</v>
      </c>
      <c r="X39" s="1947">
        <v>167830174</v>
      </c>
      <c r="Y39" s="1956">
        <f t="shared" si="54"/>
        <v>0.21636002117235487</v>
      </c>
      <c r="AA39" s="1787">
        <v>9337582</v>
      </c>
      <c r="AB39" s="1788">
        <v>3756387</v>
      </c>
      <c r="AC39" s="1788">
        <v>13093969</v>
      </c>
      <c r="AD39" s="1947">
        <v>168072624</v>
      </c>
      <c r="AE39" s="1956">
        <f t="shared" si="55"/>
        <v>7.7906613750493958E-2</v>
      </c>
      <c r="AF39" s="81"/>
      <c r="AG39" s="1787">
        <v>8032060</v>
      </c>
      <c r="AH39" s="1788">
        <v>5413612</v>
      </c>
      <c r="AI39" s="1788">
        <v>13445672</v>
      </c>
      <c r="AJ39" s="1947">
        <v>184312905</v>
      </c>
      <c r="AK39" s="1956">
        <f t="shared" si="56"/>
        <v>7.2950247298201931E-2</v>
      </c>
      <c r="AM39" s="1787">
        <f>SUM(AM34:AM38)</f>
        <v>466079</v>
      </c>
      <c r="AN39" s="1788">
        <f>SUM(AN34:AN38)</f>
        <v>1058060</v>
      </c>
      <c r="AO39" s="1788">
        <f>SUM(AO34:AO38)</f>
        <v>1524139</v>
      </c>
      <c r="AP39" s="1947">
        <f>SUM(AP34:AP38)</f>
        <v>160257589</v>
      </c>
      <c r="AQ39" s="1956">
        <f t="shared" si="57"/>
        <v>9.5105574064264752E-3</v>
      </c>
      <c r="AS39" s="1787">
        <f>SUM(AS34:AS38)</f>
        <v>4781340</v>
      </c>
      <c r="AT39" s="1788">
        <f>SUM(AT34:AT38)</f>
        <v>20163457</v>
      </c>
      <c r="AU39" s="1788">
        <f>SUM(AU34:AU38)</f>
        <v>24944797</v>
      </c>
      <c r="AV39" s="1947">
        <f>SUM(AV34:AV38)</f>
        <v>176001609.39000005</v>
      </c>
      <c r="AW39" s="1956">
        <f t="shared" si="58"/>
        <v>0.14173050511558163</v>
      </c>
      <c r="AY39" s="1787">
        <f>SUM(AY34:AY38)</f>
        <v>12617901.890000001</v>
      </c>
      <c r="AZ39" s="1788">
        <f>SUM(AZ34:AZ38)</f>
        <v>18548258.800000001</v>
      </c>
      <c r="BA39" s="1788">
        <f>SUM(BA34:BA38)</f>
        <v>31166160.690000001</v>
      </c>
      <c r="BB39" s="1947">
        <f>SUM(BB34:BB38)</f>
        <v>210260217.64000002</v>
      </c>
      <c r="BC39" s="1956">
        <f t="shared" si="59"/>
        <v>0.14822661671244716</v>
      </c>
      <c r="BE39" s="1787">
        <f>SUM(BE34:BE38)</f>
        <v>11224907.299999999</v>
      </c>
      <c r="BF39" s="1788">
        <f>SUM(BF34:BF38)</f>
        <v>13949925.290000001</v>
      </c>
      <c r="BG39" s="1788">
        <f>SUM(BG34:BG38)</f>
        <v>25174832.589999996</v>
      </c>
      <c r="BH39" s="1947">
        <f>SUM(BH34:BH38)</f>
        <v>178557859.08000004</v>
      </c>
      <c r="BI39" s="1956">
        <f t="shared" si="60"/>
        <v>0.14098977619753386</v>
      </c>
      <c r="BK39" s="1787">
        <f>SUM(BK34:BK38)</f>
        <v>16277492.210000001</v>
      </c>
      <c r="BL39" s="1788">
        <f>SUM(BL34:BL38)</f>
        <v>19262628.93</v>
      </c>
      <c r="BM39" s="1788">
        <f>SUM(BM34:BM38)</f>
        <v>35540121.140000008</v>
      </c>
      <c r="BN39" s="1947">
        <f>SUM(BN34:BN38)</f>
        <v>198179928</v>
      </c>
      <c r="BO39" s="1956">
        <f t="shared" si="61"/>
        <v>0.17933259689144709</v>
      </c>
      <c r="BQ39" s="1787">
        <f>SUM(BQ34:BQ38)</f>
        <v>12227094</v>
      </c>
      <c r="BR39" s="1788">
        <f>SUM(BR34:BR38)</f>
        <v>15410971</v>
      </c>
      <c r="BS39" s="1788">
        <f>SUM(BS34:BS38)</f>
        <v>27638065</v>
      </c>
      <c r="BT39" s="1947">
        <f>SUM(BT34:BT38)</f>
        <v>184476728</v>
      </c>
      <c r="BU39" s="1956">
        <f t="shared" si="62"/>
        <v>0.14981870775591813</v>
      </c>
      <c r="BW39" s="1787">
        <f>SUM(BW34:BW38)</f>
        <v>12576149.27</v>
      </c>
      <c r="BX39" s="1788">
        <f>SUM(BX34:BX38)</f>
        <v>14446211.490000002</v>
      </c>
      <c r="BY39" s="1788">
        <f>SUM(BY34:BY38)</f>
        <v>27022360.760000002</v>
      </c>
      <c r="BZ39" s="1947">
        <f>SUM(BZ34:BZ38)</f>
        <v>302891875.47000009</v>
      </c>
      <c r="CA39" s="1956">
        <f t="shared" si="63"/>
        <v>8.921454468882388E-2</v>
      </c>
      <c r="CC39" s="1787">
        <f>SUM(CC34:CC38)</f>
        <v>10208.382000000001</v>
      </c>
      <c r="CD39" s="1788">
        <f>SUM(CD34:CD38)</f>
        <v>3727.375</v>
      </c>
      <c r="CE39" s="1788">
        <f>SUM(CE34:CE38)</f>
        <v>13935.757000000001</v>
      </c>
      <c r="CF39" s="1947">
        <f>SUM(CF34:CF38)</f>
        <v>278801.78399999999</v>
      </c>
      <c r="CG39" s="1956">
        <f t="shared" si="64"/>
        <v>4.9984461361983257E-2</v>
      </c>
    </row>
    <row r="40" spans="1:85">
      <c r="A40" s="2136"/>
      <c r="G40" s="1955"/>
      <c r="M40" s="1955"/>
      <c r="S40" s="1955"/>
      <c r="Y40" s="1955"/>
      <c r="AE40" s="1955"/>
      <c r="AF40" s="81"/>
      <c r="AK40" s="1955"/>
      <c r="AM40" s="2112"/>
      <c r="AN40" s="2112"/>
      <c r="AO40" s="2112"/>
      <c r="AP40" s="2112"/>
      <c r="AQ40" s="1955"/>
      <c r="AS40" s="2112"/>
      <c r="AT40" s="2112"/>
      <c r="AU40" s="2112"/>
      <c r="AV40" s="2112"/>
      <c r="AW40" s="1955"/>
      <c r="AY40" s="2112"/>
      <c r="AZ40" s="2112"/>
      <c r="BA40" s="2112"/>
      <c r="BB40" s="2112"/>
      <c r="BC40" s="1955"/>
      <c r="BE40" s="2112"/>
      <c r="BF40" s="2112"/>
      <c r="BG40" s="2112"/>
      <c r="BH40" s="2112"/>
      <c r="BI40" s="1955"/>
      <c r="BK40" s="2112"/>
      <c r="BL40" s="2112"/>
      <c r="BM40" s="2112"/>
      <c r="BN40" s="2112"/>
      <c r="BO40" s="1955"/>
      <c r="BQ40" s="2112"/>
      <c r="BR40" s="2112"/>
      <c r="BS40" s="2112"/>
      <c r="BT40" s="2112"/>
      <c r="BU40" s="1955"/>
      <c r="BW40" s="2112"/>
      <c r="BX40" s="2112"/>
      <c r="BY40" s="2112"/>
      <c r="BZ40" s="2112"/>
      <c r="CA40" s="1955"/>
      <c r="CC40" s="2112"/>
      <c r="CD40" s="2112"/>
      <c r="CE40" s="2112"/>
      <c r="CF40" s="2112"/>
      <c r="CG40" s="1955"/>
    </row>
    <row r="41" spans="1:85">
      <c r="A41" s="5641" t="s">
        <v>87</v>
      </c>
      <c r="C41" s="1789">
        <v>28197378</v>
      </c>
      <c r="D41" s="1790">
        <v>43442714</v>
      </c>
      <c r="E41" s="1790">
        <f>+C41+D41</f>
        <v>71640092</v>
      </c>
      <c r="F41" s="1948">
        <v>787684275</v>
      </c>
      <c r="G41" s="1956">
        <f>+E41/F41</f>
        <v>9.0950263035275147E-2</v>
      </c>
      <c r="I41" s="1789">
        <v>15373135</v>
      </c>
      <c r="J41" s="1790">
        <v>8638363</v>
      </c>
      <c r="K41" s="1790">
        <f>+I41+J41</f>
        <v>24011498</v>
      </c>
      <c r="L41" s="1948">
        <v>790652149</v>
      </c>
      <c r="M41" s="1956">
        <f>+K41/L41</f>
        <v>3.0369231311606792E-2</v>
      </c>
      <c r="O41" s="1789">
        <v>15677773</v>
      </c>
      <c r="P41" s="1790">
        <v>6986326</v>
      </c>
      <c r="Q41" s="1790">
        <f>+O41+P41</f>
        <v>22664099</v>
      </c>
      <c r="R41" s="1948">
        <v>549520896</v>
      </c>
      <c r="S41" s="1956">
        <f>+Q41/R41</f>
        <v>4.1243379760394043E-2</v>
      </c>
      <c r="U41" s="1789">
        <v>34701329</v>
      </c>
      <c r="V41" s="1790">
        <v>16901729</v>
      </c>
      <c r="W41" s="1790">
        <v>51603058</v>
      </c>
      <c r="X41" s="1948">
        <v>718397927</v>
      </c>
      <c r="Y41" s="1956">
        <f>+W41/X41</f>
        <v>7.1830744578415248E-2</v>
      </c>
      <c r="AA41" s="1789">
        <v>21214678</v>
      </c>
      <c r="AB41" s="1790">
        <v>362728</v>
      </c>
      <c r="AC41" s="1790">
        <v>21577406</v>
      </c>
      <c r="AD41" s="1948">
        <v>430780357</v>
      </c>
      <c r="AE41" s="1956">
        <f>+AC41/AD41</f>
        <v>5.0089113046535683E-2</v>
      </c>
      <c r="AF41" s="81"/>
      <c r="AG41" s="1789">
        <v>15321452</v>
      </c>
      <c r="AH41" s="1790">
        <v>45733605</v>
      </c>
      <c r="AI41" s="1790">
        <v>61055057</v>
      </c>
      <c r="AJ41" s="1948">
        <v>707699250</v>
      </c>
      <c r="AK41" s="1956">
        <f>+AI41/AJ41</f>
        <v>8.627260379320735E-2</v>
      </c>
      <c r="AM41" s="1789">
        <v>112536098</v>
      </c>
      <c r="AN41" s="1790">
        <v>21046347</v>
      </c>
      <c r="AO41" s="1790">
        <f>+AM41+AN41</f>
        <v>133582445</v>
      </c>
      <c r="AP41" s="1948">
        <v>556909198</v>
      </c>
      <c r="AQ41" s="1956">
        <f>+AO41/AP41</f>
        <v>0.23986395893572582</v>
      </c>
      <c r="AS41" s="1789">
        <v>109222</v>
      </c>
      <c r="AT41" s="1790">
        <f>19653887-AS41</f>
        <v>19544665</v>
      </c>
      <c r="AU41" s="1790">
        <f>+AS41+AT41</f>
        <v>19653887</v>
      </c>
      <c r="AV41" s="1948">
        <v>325469341.47000009</v>
      </c>
      <c r="AW41" s="1956">
        <f>+AU41/AV41</f>
        <v>6.038629294922878E-2</v>
      </c>
      <c r="AY41" s="1789">
        <v>589916.41</v>
      </c>
      <c r="AZ41" s="1790">
        <v>19184756.859999996</v>
      </c>
      <c r="BA41" s="1790">
        <f>+AY41+AZ41</f>
        <v>19774673.269999996</v>
      </c>
      <c r="BB41" s="1948">
        <v>323078400</v>
      </c>
      <c r="BC41" s="1956">
        <f>+BA41/BB41</f>
        <v>6.1207042222568876E-2</v>
      </c>
      <c r="BE41" s="1789">
        <v>-570666</v>
      </c>
      <c r="BF41" s="1790">
        <f>7979206+11642627</f>
        <v>19621833</v>
      </c>
      <c r="BG41" s="1790">
        <f>+BE41+BF41</f>
        <v>19051167</v>
      </c>
      <c r="BH41" s="1948">
        <v>265915195.31999999</v>
      </c>
      <c r="BI41" s="1956">
        <f>+BG41/BH41</f>
        <v>7.1643769650222483E-2</v>
      </c>
      <c r="BK41" s="1789">
        <v>620275.91</v>
      </c>
      <c r="BL41" s="1790">
        <v>19616829.849999998</v>
      </c>
      <c r="BM41" s="1790">
        <f>+BK41+BL41</f>
        <v>20237105.759999998</v>
      </c>
      <c r="BN41" s="1948">
        <v>220803552</v>
      </c>
      <c r="BO41" s="1956">
        <f>+BM41/BN41</f>
        <v>9.1652084292557029E-2</v>
      </c>
      <c r="BQ41" s="1789">
        <v>1816143</v>
      </c>
      <c r="BR41" s="1790">
        <v>18216090</v>
      </c>
      <c r="BS41" s="1790">
        <f>+BQ41+BR41</f>
        <v>20032233</v>
      </c>
      <c r="BT41" s="1948">
        <v>206655328</v>
      </c>
      <c r="BU41" s="1956">
        <f>+BS41/BT41</f>
        <v>9.6935477995515315E-2</v>
      </c>
      <c r="BW41" s="1789">
        <v>7239593</v>
      </c>
      <c r="BX41" s="1790">
        <v>12146263.699999999</v>
      </c>
      <c r="BY41" s="1790">
        <f>+BW41+BX41</f>
        <v>19385856.699999999</v>
      </c>
      <c r="BZ41" s="1948">
        <v>254566565.63</v>
      </c>
      <c r="CA41" s="1956">
        <f>+BY41/BZ41</f>
        <v>7.6152406943244821E-2</v>
      </c>
      <c r="CC41" s="1789">
        <v>12853.49</v>
      </c>
      <c r="CD41" s="1790">
        <v>14326.8</v>
      </c>
      <c r="CE41" s="1790">
        <f>+CC41+CD41</f>
        <v>27180.29</v>
      </c>
      <c r="CF41" s="1948">
        <v>283877.58199999999</v>
      </c>
      <c r="CG41" s="1956">
        <f>+CE41/CF41</f>
        <v>9.5746517948007606E-2</v>
      </c>
    </row>
    <row r="42" spans="1:85">
      <c r="A42" s="2137"/>
      <c r="G42" s="1955"/>
      <c r="M42" s="1955"/>
      <c r="S42" s="1955"/>
      <c r="Y42" s="1955"/>
      <c r="AE42" s="1955"/>
      <c r="AF42" s="81"/>
      <c r="AK42" s="1955"/>
      <c r="AM42" s="2112"/>
      <c r="AN42" s="2112"/>
      <c r="AO42" s="2112"/>
      <c r="AP42" s="2112"/>
      <c r="AQ42" s="1955"/>
      <c r="AS42" s="2112"/>
      <c r="AT42" s="2112"/>
      <c r="AU42" s="2112"/>
      <c r="AV42" s="2112"/>
      <c r="AW42" s="1955"/>
      <c r="AY42" s="2112"/>
      <c r="AZ42" s="2112"/>
      <c r="BA42" s="2112"/>
      <c r="BB42" s="2112"/>
      <c r="BC42" s="1955"/>
      <c r="BE42" s="2112"/>
      <c r="BF42" s="2112"/>
      <c r="BG42" s="2112"/>
      <c r="BH42" s="2112"/>
      <c r="BI42" s="1955"/>
      <c r="BK42" s="2112"/>
      <c r="BL42" s="2112"/>
      <c r="BM42" s="2112"/>
      <c r="BN42" s="2112"/>
      <c r="BO42" s="1955"/>
      <c r="BQ42" s="2112"/>
      <c r="BR42" s="2112"/>
      <c r="BS42" s="2112"/>
      <c r="BT42" s="2112"/>
      <c r="BU42" s="1955"/>
      <c r="BW42" s="2112"/>
      <c r="BX42" s="2112"/>
      <c r="BY42" s="2112"/>
      <c r="BZ42" s="2112"/>
      <c r="CA42" s="1955"/>
      <c r="CC42" s="2112"/>
      <c r="CD42" s="2112"/>
      <c r="CE42" s="2112"/>
      <c r="CF42" s="2112"/>
      <c r="CG42" s="1955"/>
    </row>
    <row r="43" spans="1:85">
      <c r="A43" s="5642" t="s">
        <v>67</v>
      </c>
      <c r="C43" s="1786">
        <f>+C11+C18+C25+C32+C39+C41</f>
        <v>63415881</v>
      </c>
      <c r="D43" s="1786">
        <f>+D11+D18+D25+D32+D39+D41</f>
        <v>85510744</v>
      </c>
      <c r="E43" s="1786">
        <f>+E11+E18+E25+E32+E39+E41</f>
        <v>148926625</v>
      </c>
      <c r="F43" s="1786">
        <f>+F11+F18+F25+F32+F39+F41</f>
        <v>1579295759</v>
      </c>
      <c r="G43" s="1957">
        <f>+E43/F43</f>
        <v>9.4299388921489535E-2</v>
      </c>
      <c r="I43" s="1786">
        <f>+I11+I18+I25+I32+I39+I41</f>
        <v>31319192</v>
      </c>
      <c r="J43" s="1786">
        <f t="shared" ref="J43:L43" si="68">+J11+J18+J25+J32+J39+J41</f>
        <v>52300025</v>
      </c>
      <c r="K43" s="1786">
        <f t="shared" si="68"/>
        <v>83619217</v>
      </c>
      <c r="L43" s="1786">
        <f t="shared" si="68"/>
        <v>1532449645</v>
      </c>
      <c r="M43" s="1957">
        <f>+K43/L43</f>
        <v>5.4565719188769818E-2</v>
      </c>
      <c r="O43" s="1786">
        <f>+O11+O18+O25+O32+O39+O41</f>
        <v>34113564</v>
      </c>
      <c r="P43" s="1786">
        <f t="shared" ref="P43:R43" si="69">+P11+P18+P25+P32+P39+P41</f>
        <v>70868421</v>
      </c>
      <c r="Q43" s="1786">
        <f t="shared" si="69"/>
        <v>104981985</v>
      </c>
      <c r="R43" s="1786">
        <f t="shared" si="69"/>
        <v>1198406134</v>
      </c>
      <c r="S43" s="1957">
        <f>+Q43/R43</f>
        <v>8.760134149980911E-2</v>
      </c>
      <c r="U43" s="1786">
        <v>57766751</v>
      </c>
      <c r="V43" s="1786">
        <v>106909388</v>
      </c>
      <c r="W43" s="1786">
        <v>164676139</v>
      </c>
      <c r="X43" s="1786">
        <v>1312001056</v>
      </c>
      <c r="Y43" s="1957">
        <f>+W43/X43</f>
        <v>0.12551524882309242</v>
      </c>
      <c r="AA43" s="1786">
        <v>50306326</v>
      </c>
      <c r="AB43" s="1786">
        <v>38382378</v>
      </c>
      <c r="AC43" s="1786">
        <v>88688704</v>
      </c>
      <c r="AD43" s="1786">
        <v>1099916285</v>
      </c>
      <c r="AE43" s="1957">
        <f>+AC43/AD43</f>
        <v>8.0632231024745676E-2</v>
      </c>
      <c r="AF43" s="81"/>
      <c r="AG43" s="1786">
        <f>SUM(AG11,AG18,AG25,AG32,AG39,AG41)</f>
        <v>39303485</v>
      </c>
      <c r="AH43" s="1786">
        <f>SUM(AH11,AH18,AH25,AH32,AH39,AH41)</f>
        <v>81103432</v>
      </c>
      <c r="AI43" s="1786">
        <f>SUM(AI11,AI18,AI25,AI32,AI39,AI41)</f>
        <v>120406917</v>
      </c>
      <c r="AJ43" s="1786">
        <f>SUM(AJ11,AJ18,AJ25,AJ32,AJ39,AJ41)</f>
        <v>1386869829</v>
      </c>
      <c r="AK43" s="1957">
        <f>+AI43/AJ43</f>
        <v>8.6819191305660737E-2</v>
      </c>
      <c r="AM43" s="1786">
        <f>+AM11+AM18+AM25+AM32+AM39+AM41</f>
        <v>123589023</v>
      </c>
      <c r="AN43" s="1786">
        <f>+AN11+AN18+AN25+AN32+AN39+AN41</f>
        <v>46848795</v>
      </c>
      <c r="AO43" s="1786">
        <f>+AO11+AO18+AO25+AO32+AO39+AO41</f>
        <v>170437818</v>
      </c>
      <c r="AP43" s="1786">
        <f>+AP11+AP18+AP25+AP32+AP39+AP41</f>
        <v>1182646555</v>
      </c>
      <c r="AQ43" s="1957">
        <f>+AO43/AP43</f>
        <v>0.14411560011689206</v>
      </c>
      <c r="AS43" s="1786">
        <f>+AS11+AS18+AS25+AS32+AS39+AS41</f>
        <v>19835266</v>
      </c>
      <c r="AT43" s="1786">
        <f>+AT11+AT18+AT25+AT32+AT39+AT41</f>
        <v>97801484</v>
      </c>
      <c r="AU43" s="1786">
        <f>+AU11+AU18+AU25+AU32+AU39+AU41</f>
        <v>117636750</v>
      </c>
      <c r="AV43" s="1786">
        <f>+AV11+AV18+AV25+AV32+AV39+AV41</f>
        <v>965191407.42000008</v>
      </c>
      <c r="AW43" s="1957">
        <f>+AU43/AV43</f>
        <v>0.12187919317935943</v>
      </c>
      <c r="AY43" s="1786">
        <f>+AY11+AY18+AY25+AY32+AY39+AY41</f>
        <v>40590684.069999993</v>
      </c>
      <c r="AZ43" s="1786">
        <f>+AZ11+AZ18+AZ25+AZ32+AZ39+AZ41</f>
        <v>92809221.670000002</v>
      </c>
      <c r="BA43" s="1786">
        <f>+BA11+BA18+BA25+BA32+BA39+BA41</f>
        <v>133399905.73999999</v>
      </c>
      <c r="BB43" s="1786">
        <f>+BB11+BB18+BB25+BB32+BB39+BB41</f>
        <v>1082366863.05</v>
      </c>
      <c r="BC43" s="1957">
        <f>+BA43/BB43</f>
        <v>0.12324832761795072</v>
      </c>
      <c r="BE43" s="1786">
        <f>+BE11+BE18+BE25+BE32+BE39+BE41</f>
        <v>27930261.07</v>
      </c>
      <c r="BF43" s="1786">
        <f>+BF11+BF18+BF25+BF32+BF39+BF41</f>
        <v>71534914.609999999</v>
      </c>
      <c r="BG43" s="1786">
        <f>+BG11+BG18+BG25+BG32+BG39+BG41</f>
        <v>99465175.679999992</v>
      </c>
      <c r="BH43" s="1786">
        <f>+BH11+BH18+BH25+BH32+BH39+BH41</f>
        <v>934783402.8599999</v>
      </c>
      <c r="BI43" s="1957">
        <f>+BG43/BH43</f>
        <v>0.10640451614318684</v>
      </c>
      <c r="BK43" s="329">
        <f>+BK11+BK18+BK25+BK32+BK39+BK41</f>
        <v>30669174.879999999</v>
      </c>
      <c r="BL43" s="329">
        <f>+BL11+BL18+BL25+BL32+BL39+BL41</f>
        <v>84716127.530000001</v>
      </c>
      <c r="BM43" s="329">
        <f>+BM11+BM18+BM25+BM32+BM39+BM41</f>
        <v>115385302.41</v>
      </c>
      <c r="BN43" s="329">
        <f>+BN11+BN18+BN25+BN32+BN39+BN41</f>
        <v>1029380127</v>
      </c>
      <c r="BO43" s="330">
        <f>+BM43/BN43</f>
        <v>0.11209202449465978</v>
      </c>
      <c r="BQ43" s="1786">
        <f>+BQ11+BQ18+BQ25+BQ32+BQ39+BQ41</f>
        <v>27512156</v>
      </c>
      <c r="BR43" s="1786">
        <f>+BR11+BR18+BR25+BR32+BR39+BR41</f>
        <v>76755246</v>
      </c>
      <c r="BS43" s="1786">
        <f>+BS11+BS18+BS25+BS32+BS39+BS41</f>
        <v>104267402</v>
      </c>
      <c r="BT43" s="1786">
        <f>+BT11+BT18+BT25+BT32+BT39+BT41</f>
        <v>1513188208</v>
      </c>
      <c r="BU43" s="1957">
        <f>+BS43/BT43</f>
        <v>6.8905772228962547E-2</v>
      </c>
      <c r="BW43" s="1786">
        <f>+BW11+BW18+BW25+BW32+BW39+BW41</f>
        <v>56065198.649999991</v>
      </c>
      <c r="BX43" s="1786">
        <f>+BX11+BX18+BX25+BX32+BX39+BX41</f>
        <v>63819434.450000003</v>
      </c>
      <c r="BY43" s="1786">
        <f>+BY11+BY18+BY25+BY32+BY39+BY41</f>
        <v>119884633.09999999</v>
      </c>
      <c r="BZ43" s="1786">
        <f>+BZ11+BZ18+BZ25+BZ32+BZ39+BZ41</f>
        <v>1797886385.77</v>
      </c>
      <c r="CA43" s="1957">
        <f>+BY43/BZ43</f>
        <v>6.6680872634037838E-2</v>
      </c>
      <c r="CC43" s="1786">
        <f>+CC11+CC18+CC25+CC32+CC39+CC41</f>
        <v>47740.178999999996</v>
      </c>
      <c r="CD43" s="1786">
        <f>+CD11+CD18+CD25+CD32+CD39+CD41</f>
        <v>32655.433000000001</v>
      </c>
      <c r="CE43" s="1786">
        <f>+CE11+CE18+CE25+CE32+CE39+CE41</f>
        <v>80395.611999999994</v>
      </c>
      <c r="CF43" s="1786">
        <f>+CF11+CF18+CF25+CF32+CF39+CF41</f>
        <v>1401133.0219999999</v>
      </c>
      <c r="CG43" s="1957">
        <f>+CE43/CF43</f>
        <v>5.7379000235996153E-2</v>
      </c>
    </row>
    <row r="44" spans="1:85">
      <c r="AF44" s="81"/>
    </row>
    <row r="45" spans="1:85">
      <c r="AF45" s="81"/>
      <c r="BE45" s="37" t="s">
        <v>723</v>
      </c>
      <c r="BQ45" s="37" t="s">
        <v>550</v>
      </c>
      <c r="BW45" s="37" t="s">
        <v>424</v>
      </c>
      <c r="CC45" s="39" t="s">
        <v>299</v>
      </c>
    </row>
    <row r="48" spans="1:85">
      <c r="BR48" s="116"/>
    </row>
    <row r="51" spans="70:70">
      <c r="BR51" s="116"/>
    </row>
    <row r="52" spans="70:70">
      <c r="BR52" s="35"/>
    </row>
  </sheetData>
  <mergeCells count="43">
    <mergeCell ref="A3:A4"/>
    <mergeCell ref="C3:E3"/>
    <mergeCell ref="F3:F4"/>
    <mergeCell ref="G3:G4"/>
    <mergeCell ref="I3:K3"/>
    <mergeCell ref="AM3:AO3"/>
    <mergeCell ref="AA3:AC3"/>
    <mergeCell ref="AD3:AD4"/>
    <mergeCell ref="AE3:AE4"/>
    <mergeCell ref="L3:L4"/>
    <mergeCell ref="AJ3:AJ4"/>
    <mergeCell ref="AK3:AK4"/>
    <mergeCell ref="AG3:AI3"/>
    <mergeCell ref="X3:X4"/>
    <mergeCell ref="Y3:Y4"/>
    <mergeCell ref="M3:M4"/>
    <mergeCell ref="O3:Q3"/>
    <mergeCell ref="R3:R4"/>
    <mergeCell ref="S3:S4"/>
    <mergeCell ref="U3:W3"/>
    <mergeCell ref="BN3:BN4"/>
    <mergeCell ref="BO3:BO4"/>
    <mergeCell ref="BK3:BM3"/>
    <mergeCell ref="BE3:BG3"/>
    <mergeCell ref="BH3:BH4"/>
    <mergeCell ref="BI3:BI4"/>
    <mergeCell ref="AY3:BA3"/>
    <mergeCell ref="AW3:AW4"/>
    <mergeCell ref="AP3:AP4"/>
    <mergeCell ref="AQ3:AQ4"/>
    <mergeCell ref="BC3:BC4"/>
    <mergeCell ref="AV3:AV4"/>
    <mergeCell ref="BB3:BB4"/>
    <mergeCell ref="AS3:AU3"/>
    <mergeCell ref="CG3:CG4"/>
    <mergeCell ref="BU3:BU4"/>
    <mergeCell ref="BW3:BY3"/>
    <mergeCell ref="CF3:CF4"/>
    <mergeCell ref="BQ3:BS3"/>
    <mergeCell ref="BT3:BT4"/>
    <mergeCell ref="CA3:CA4"/>
    <mergeCell ref="CC3:CE3"/>
    <mergeCell ref="BZ3:BZ4"/>
  </mergeCells>
  <printOptions horizontalCentered="1" verticalCentered="1"/>
  <pageMargins left="0.70866141732283472" right="0.70866141732283472" top="0.74803149606299213" bottom="0.74803149606299213" header="0.31496062992125984" footer="0.31496062992125984"/>
  <pageSetup scale="60" firstPageNumber="56" orientation="landscape" useFirstPageNumber="1" r:id="rId1"/>
  <headerFooter scaleWithDoc="0" alignWithMargins="0">
    <oddFooter>&amp;R&amp;P</oddFooter>
  </headerFooter>
  <colBreaks count="3" manualBreakCount="3">
    <brk id="14" max="42" man="1"/>
    <brk id="38" max="42" man="1"/>
    <brk id="43" max="42"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E151"/>
  <sheetViews>
    <sheetView zoomScaleNormal="100" workbookViewId="0">
      <pane ySplit="6" topLeftCell="A103" activePane="bottomLeft" state="frozen"/>
      <selection pane="bottomLeft" activeCell="D117" sqref="D117"/>
    </sheetView>
  </sheetViews>
  <sheetFormatPr baseColWidth="10" defaultColWidth="11.44140625" defaultRowHeight="14.4"/>
  <cols>
    <col min="1" max="1" width="5.5546875" style="1" customWidth="1"/>
    <col min="2" max="2" width="3.5546875" style="1" bestFit="1" customWidth="1"/>
    <col min="3" max="3" width="6.5546875" style="1" customWidth="1"/>
    <col min="4" max="4" width="10.44140625" style="1" bestFit="1" customWidth="1"/>
    <col min="5" max="5" width="8.33203125" style="1" bestFit="1" customWidth="1"/>
    <col min="6" max="6" width="8" style="1" bestFit="1" customWidth="1"/>
    <col min="7" max="7" width="6" style="1" bestFit="1" customWidth="1"/>
    <col min="8" max="8" width="11.33203125" style="1" bestFit="1" customWidth="1"/>
    <col min="9" max="9" width="7.5546875" style="1" bestFit="1" customWidth="1"/>
    <col min="10" max="10" width="11" style="1" bestFit="1" customWidth="1"/>
    <col min="11" max="11" width="7.44140625" style="1" bestFit="1" customWidth="1"/>
    <col min="12" max="12" width="8.88671875" style="1" bestFit="1" customWidth="1"/>
    <col min="13" max="13" width="7.44140625" style="1" bestFit="1" customWidth="1"/>
    <col min="14" max="14" width="10" style="1" bestFit="1" customWidth="1"/>
    <col min="15" max="15" width="9" style="1" bestFit="1" customWidth="1"/>
    <col min="16" max="16" width="6.6640625" style="1" bestFit="1" customWidth="1"/>
    <col min="17" max="17" width="10.6640625" style="1" bestFit="1" customWidth="1"/>
    <col min="18" max="18" width="11.44140625" style="1"/>
    <col min="19" max="20" width="4" style="1" customWidth="1"/>
    <col min="21" max="21" width="6.33203125" style="1" customWidth="1"/>
    <col min="22" max="22" width="11.44140625" style="1"/>
    <col min="23" max="23" width="8.33203125" style="1" bestFit="1" customWidth="1"/>
    <col min="24" max="24" width="9.33203125" style="1" customWidth="1"/>
    <col min="25" max="25" width="11.44140625" style="1"/>
    <col min="26" max="26" width="11.33203125" style="1" bestFit="1" customWidth="1"/>
    <col min="27" max="27" width="8.6640625" style="1" customWidth="1"/>
    <col min="28" max="28" width="12.88671875" style="1" customWidth="1"/>
    <col min="29" max="29" width="9.33203125" style="1" bestFit="1" customWidth="1"/>
    <col min="30" max="30" width="7.44140625" style="1" bestFit="1" customWidth="1"/>
    <col min="31" max="31" width="8.109375" style="1" customWidth="1"/>
    <col min="32" max="32" width="8.88671875" style="1" bestFit="1" customWidth="1"/>
    <col min="33" max="33" width="10" style="1" bestFit="1" customWidth="1"/>
    <col min="34" max="34" width="11.109375" style="1" bestFit="1" customWidth="1"/>
    <col min="35" max="35" width="9" style="1" bestFit="1" customWidth="1"/>
    <col min="36" max="36" width="10.6640625" style="1" customWidth="1"/>
    <col min="37" max="37" width="5" style="1" customWidth="1"/>
    <col min="38" max="38" width="3.5546875" style="1" bestFit="1" customWidth="1"/>
    <col min="39" max="39" width="4" style="1" bestFit="1" customWidth="1"/>
    <col min="40" max="40" width="7.88671875" style="1" customWidth="1"/>
    <col min="41" max="41" width="8.33203125" style="1" bestFit="1" customWidth="1"/>
    <col min="42" max="43" width="8" style="1" bestFit="1" customWidth="1"/>
    <col min="44" max="44" width="9.6640625" style="1" customWidth="1"/>
    <col min="45" max="45" width="7.5546875" style="1" bestFit="1" customWidth="1"/>
    <col min="46" max="46" width="11" style="1" bestFit="1" customWidth="1"/>
    <col min="47" max="47" width="9.33203125" style="1" bestFit="1" customWidth="1"/>
    <col min="48" max="49" width="7.44140625" style="1" bestFit="1" customWidth="1"/>
    <col min="50" max="50" width="8.88671875" style="1" bestFit="1" customWidth="1"/>
    <col min="51" max="51" width="10" style="1" bestFit="1" customWidth="1"/>
    <col min="52" max="52" width="11.109375" style="1" bestFit="1" customWidth="1"/>
    <col min="53" max="53" width="9" style="1" bestFit="1" customWidth="1"/>
    <col min="54" max="54" width="6.6640625" style="1" bestFit="1" customWidth="1"/>
    <col min="55" max="56" width="11.44140625" style="1"/>
    <col min="57" max="57" width="6.33203125" style="1" customWidth="1"/>
    <col min="58" max="59" width="3.33203125" style="1" bestFit="1" customWidth="1"/>
    <col min="60" max="60" width="29.109375" style="1" bestFit="1" customWidth="1"/>
    <col min="61" max="61" width="5.6640625" style="1" customWidth="1"/>
    <col min="62" max="62" width="12.88671875" style="1" bestFit="1" customWidth="1"/>
    <col min="63" max="63" width="7.88671875" style="1" bestFit="1" customWidth="1"/>
    <col min="64" max="64" width="4.88671875" style="1" bestFit="1" customWidth="1"/>
    <col min="65" max="65" width="10.6640625" style="1" bestFit="1" customWidth="1"/>
    <col min="66" max="66" width="13.109375" style="1" bestFit="1" customWidth="1"/>
    <col min="67" max="67" width="13.6640625" style="1" bestFit="1" customWidth="1"/>
    <col min="68" max="68" width="17.109375" style="1" bestFit="1" customWidth="1"/>
    <col min="69" max="69" width="13.33203125" style="1" bestFit="1" customWidth="1"/>
    <col min="70" max="70" width="14.5546875" style="1" bestFit="1" customWidth="1"/>
    <col min="71" max="71" width="7" style="1" bestFit="1" customWidth="1"/>
    <col min="72" max="72" width="9.6640625" style="1" bestFit="1" customWidth="1"/>
    <col min="73" max="73" width="12.33203125" style="1" customWidth="1"/>
    <col min="74" max="74" width="8.88671875" style="1" bestFit="1" customWidth="1"/>
    <col min="75" max="75" width="6.44140625" style="1" bestFit="1" customWidth="1"/>
    <col min="76" max="76" width="11.44140625" style="179"/>
    <col min="77" max="77" width="11.44140625" style="1"/>
    <col min="78" max="78" width="9.6640625" style="1" bestFit="1" customWidth="1"/>
    <col min="79" max="79" width="6.33203125" style="1" bestFit="1" customWidth="1"/>
    <col min="80" max="80" width="29.109375" style="1" bestFit="1" customWidth="1"/>
    <col min="81" max="81" width="7" style="1" customWidth="1"/>
    <col min="82" max="82" width="8.33203125" style="1" customWidth="1"/>
    <col min="83" max="83" width="9.109375" style="1" customWidth="1"/>
    <col min="84" max="84" width="7.88671875" style="1" customWidth="1"/>
    <col min="85" max="88" width="7" style="1" customWidth="1"/>
    <col min="89" max="89" width="7.6640625" style="1" customWidth="1"/>
    <col min="90" max="90" width="7" style="1" customWidth="1"/>
    <col min="91" max="91" width="7.6640625" style="1" customWidth="1"/>
    <col min="92" max="92" width="7" style="1" customWidth="1"/>
    <col min="93" max="93" width="8" style="1" customWidth="1"/>
    <col min="94" max="94" width="8.5546875" style="1" customWidth="1"/>
    <col min="95" max="97" width="7" style="1" customWidth="1"/>
    <col min="98" max="98" width="7" style="97" customWidth="1"/>
    <col min="99" max="99" width="7.33203125" style="1" customWidth="1"/>
    <col min="100" max="100" width="10.33203125" style="97" customWidth="1"/>
    <col min="101" max="101" width="7.5546875" style="97" customWidth="1"/>
    <col min="102" max="102" width="28.33203125" style="42" bestFit="1" customWidth="1"/>
    <col min="103" max="103" width="5.5546875" style="42" customWidth="1"/>
    <col min="104" max="104" width="9.6640625" style="42" bestFit="1" customWidth="1"/>
    <col min="105" max="105" width="8.44140625" style="42" bestFit="1" customWidth="1"/>
    <col min="106" max="106" width="10.44140625" style="42" bestFit="1" customWidth="1"/>
    <col min="107" max="107" width="6.33203125" style="42" bestFit="1" customWidth="1"/>
    <col min="108" max="108" width="6.6640625" style="42" bestFit="1" customWidth="1"/>
    <col min="109" max="109" width="10.44140625" style="42" bestFit="1" customWidth="1"/>
    <col min="110" max="110" width="9.44140625" style="42" bestFit="1" customWidth="1"/>
    <col min="111" max="111" width="7.33203125" style="42" bestFit="1" customWidth="1"/>
    <col min="112" max="112" width="8.33203125" style="42" bestFit="1" customWidth="1"/>
    <col min="113" max="113" width="7.33203125" style="42" bestFit="1" customWidth="1"/>
    <col min="114" max="114" width="10.6640625" style="42" bestFit="1" customWidth="1"/>
    <col min="115" max="115" width="7.5546875" style="42" bestFit="1" customWidth="1"/>
    <col min="116" max="116" width="8.44140625" style="42" bestFit="1" customWidth="1"/>
    <col min="117" max="117" width="5.33203125" style="42" bestFit="1" customWidth="1"/>
    <col min="118" max="118" width="11.5546875" style="42" bestFit="1" customWidth="1"/>
    <col min="119" max="119" width="11.44140625" style="1"/>
    <col min="120" max="120" width="11.33203125" style="39" customWidth="1"/>
    <col min="121" max="121" width="6.33203125" style="39" bestFit="1" customWidth="1"/>
    <col min="122" max="122" width="28.33203125" style="39" bestFit="1" customWidth="1"/>
    <col min="123" max="123" width="5.33203125" style="39" bestFit="1" customWidth="1"/>
    <col min="124" max="124" width="10" style="39" bestFit="1" customWidth="1"/>
    <col min="125" max="125" width="9" style="39" bestFit="1" customWidth="1"/>
    <col min="126" max="126" width="10.6640625" style="39" bestFit="1" customWidth="1"/>
    <col min="127" max="127" width="6.5546875" style="39" bestFit="1" customWidth="1"/>
    <col min="128" max="128" width="7.33203125" style="39" bestFit="1" customWidth="1"/>
    <col min="129" max="129" width="10.6640625" style="39" bestFit="1" customWidth="1"/>
    <col min="130" max="130" width="10" style="39" bestFit="1" customWidth="1"/>
    <col min="131" max="131" width="7.44140625" style="39" bestFit="1" customWidth="1"/>
    <col min="132" max="132" width="8.44140625" style="39" bestFit="1" customWidth="1"/>
    <col min="133" max="133" width="7.44140625" style="39" bestFit="1" customWidth="1"/>
    <col min="134" max="134" width="8.6640625" style="39" bestFit="1" customWidth="1"/>
    <col min="135" max="135" width="8.33203125" style="39" bestFit="1" customWidth="1"/>
    <col min="136" max="136" width="8.6640625" style="39" bestFit="1" customWidth="1"/>
    <col min="137" max="137" width="5.44140625" style="39" bestFit="1" customWidth="1"/>
    <col min="138" max="138" width="10.44140625" style="39" bestFit="1" customWidth="1"/>
    <col min="139" max="139" width="7.6640625" style="1" customWidth="1"/>
    <col min="140" max="140" width="11" style="42" bestFit="1" customWidth="1"/>
    <col min="141" max="141" width="6.6640625" style="42" bestFit="1" customWidth="1"/>
    <col min="142" max="142" width="33.44140625" style="42" bestFit="1" customWidth="1"/>
    <col min="143" max="143" width="5.44140625" style="42" bestFit="1" customWidth="1"/>
    <col min="144" max="144" width="10.44140625" style="42" bestFit="1" customWidth="1"/>
    <col min="145" max="145" width="9" style="42" bestFit="1" customWidth="1"/>
    <col min="146" max="146" width="8" style="42" bestFit="1" customWidth="1"/>
    <col min="147" max="147" width="6.6640625" style="42" bestFit="1" customWidth="1"/>
    <col min="148" max="148" width="7.44140625" style="42" bestFit="1" customWidth="1"/>
    <col min="149" max="149" width="11.44140625" style="42"/>
    <col min="150" max="150" width="10.33203125" style="42" bestFit="1" customWidth="1"/>
    <col min="151" max="151" width="7.6640625" style="42" bestFit="1" customWidth="1"/>
    <col min="152" max="152" width="8.6640625" style="42" bestFit="1" customWidth="1"/>
    <col min="153" max="153" width="7.5546875" style="42" bestFit="1" customWidth="1"/>
    <col min="154" max="154" width="9" style="42" bestFit="1" customWidth="1"/>
    <col min="155" max="155" width="8" style="42" bestFit="1" customWidth="1"/>
    <col min="156" max="156" width="8.6640625" style="42" bestFit="1" customWidth="1"/>
    <col min="157" max="157" width="5.33203125" style="42" bestFit="1" customWidth="1"/>
    <col min="158" max="158" width="13.33203125" style="42" customWidth="1"/>
    <col min="159" max="159" width="11.44140625" style="1"/>
    <col min="160" max="160" width="13.33203125" style="1" customWidth="1"/>
    <col min="161" max="161" width="8.33203125" style="1" bestFit="1" customWidth="1"/>
    <col min="162" max="162" width="31.6640625" style="1" bestFit="1" customWidth="1"/>
    <col min="163" max="163" width="5.44140625" style="1" bestFit="1" customWidth="1"/>
    <col min="164" max="164" width="8" style="1" bestFit="1" customWidth="1"/>
    <col min="165" max="165" width="9" style="1" bestFit="1" customWidth="1"/>
    <col min="166" max="166" width="8" style="1" bestFit="1" customWidth="1"/>
    <col min="167" max="167" width="6.6640625" style="1" bestFit="1" customWidth="1"/>
    <col min="168" max="168" width="7.44140625" style="1" bestFit="1" customWidth="1"/>
    <col min="169" max="169" width="10.5546875" style="1" bestFit="1" customWidth="1"/>
    <col min="170" max="170" width="10.33203125" style="1" bestFit="1" customWidth="1"/>
    <col min="171" max="171" width="7.6640625" style="1" bestFit="1" customWidth="1"/>
    <col min="172" max="172" width="8.6640625" style="1" bestFit="1" customWidth="1"/>
    <col min="173" max="173" width="7.5546875" style="1" bestFit="1" customWidth="1"/>
    <col min="174" max="174" width="9" style="1" bestFit="1" customWidth="1"/>
    <col min="175" max="175" width="8" style="1" bestFit="1" customWidth="1"/>
    <col min="176" max="176" width="8.6640625" style="1" bestFit="1" customWidth="1"/>
    <col min="177" max="177" width="5.33203125" style="1" bestFit="1" customWidth="1"/>
    <col min="178" max="178" width="9.33203125" style="1" bestFit="1" customWidth="1"/>
    <col min="179" max="179" width="11.44140625" style="1"/>
    <col min="180" max="180" width="11.6640625" style="1" customWidth="1"/>
    <col min="181" max="181" width="8.6640625" style="1" customWidth="1"/>
    <col min="182" max="182" width="31.6640625" style="1" bestFit="1" customWidth="1"/>
    <col min="183" max="183" width="5.44140625" style="1" bestFit="1" customWidth="1"/>
    <col min="184" max="184" width="8" style="1" bestFit="1" customWidth="1"/>
    <col min="185" max="185" width="9" style="1" bestFit="1" customWidth="1"/>
    <col min="186" max="186" width="8" style="1" bestFit="1" customWidth="1"/>
    <col min="187" max="187" width="6.6640625" style="1" bestFit="1" customWidth="1"/>
    <col min="188" max="188" width="7.44140625" style="1" bestFit="1" customWidth="1"/>
    <col min="189" max="189" width="11.44140625" style="1" bestFit="1" customWidth="1"/>
    <col min="190" max="190" width="10.33203125" style="1" bestFit="1" customWidth="1"/>
    <col min="191" max="191" width="7.6640625" style="1" bestFit="1" customWidth="1"/>
    <col min="192" max="192" width="8.33203125" style="1" bestFit="1" customWidth="1"/>
    <col min="193" max="193" width="7.5546875" style="1" bestFit="1" customWidth="1"/>
    <col min="194" max="194" width="8.5546875" style="1" bestFit="1" customWidth="1"/>
    <col min="195" max="195" width="8" style="1" bestFit="1" customWidth="1"/>
    <col min="196" max="196" width="8.44140625" style="1" bestFit="1" customWidth="1"/>
    <col min="197" max="197" width="5.33203125" style="1" bestFit="1" customWidth="1"/>
    <col min="198" max="198" width="18.6640625" style="1" customWidth="1"/>
    <col min="199" max="199" width="8.6640625" style="1" customWidth="1"/>
    <col min="200" max="200" width="10.6640625" style="1" customWidth="1"/>
    <col min="201" max="201" width="8.6640625" style="1" customWidth="1"/>
    <col min="202" max="202" width="31.6640625" style="1" bestFit="1" customWidth="1"/>
    <col min="203" max="219" width="8.6640625" style="1" customWidth="1"/>
    <col min="220" max="220" width="11.33203125" style="97" customWidth="1"/>
    <col min="221" max="221" width="6.6640625" style="97" bestFit="1" customWidth="1"/>
    <col min="222" max="222" width="31.6640625" style="42" bestFit="1" customWidth="1"/>
    <col min="223" max="223" width="5.44140625" style="42" bestFit="1" customWidth="1"/>
    <col min="224" max="224" width="8" style="42" bestFit="1" customWidth="1"/>
    <col min="225" max="225" width="9" style="42" bestFit="1" customWidth="1"/>
    <col min="226" max="226" width="8" style="42" bestFit="1" customWidth="1"/>
    <col min="227" max="227" width="6.6640625" style="42" bestFit="1" customWidth="1"/>
    <col min="228" max="228" width="7.44140625" style="42" bestFit="1" customWidth="1"/>
    <col min="229" max="229" width="11.44140625" style="42" bestFit="1" customWidth="1"/>
    <col min="230" max="230" width="7.44140625" style="42" bestFit="1" customWidth="1"/>
    <col min="231" max="232" width="7.6640625" style="42" bestFit="1" customWidth="1"/>
    <col min="233" max="233" width="7.5546875" style="42" bestFit="1" customWidth="1"/>
    <col min="234" max="234" width="8" style="42" bestFit="1" customWidth="1"/>
    <col min="235" max="235" width="12.5546875" style="42" customWidth="1"/>
    <col min="236" max="236" width="5.6640625" style="42" customWidth="1"/>
    <col min="237" max="237" width="11.33203125" style="42" customWidth="1"/>
    <col min="238" max="238" width="7" style="1" customWidth="1"/>
    <col min="239" max="239" width="12.6640625" style="1" customWidth="1"/>
    <col min="240" max="240" width="7.33203125" style="1" bestFit="1" customWidth="1"/>
    <col min="241" max="241" width="31.6640625" style="1" bestFit="1" customWidth="1"/>
    <col min="242" max="242" width="6" style="1" bestFit="1" customWidth="1"/>
    <col min="243" max="243" width="11.6640625" style="1" bestFit="1" customWidth="1"/>
    <col min="244" max="244" width="9" style="1" bestFit="1" customWidth="1"/>
    <col min="245" max="245" width="8.44140625" style="1" bestFit="1" customWidth="1"/>
    <col min="246" max="246" width="7.44140625" style="1" bestFit="1" customWidth="1"/>
    <col min="247" max="247" width="8.6640625" style="1" bestFit="1" customWidth="1"/>
    <col min="248" max="248" width="11.44140625" style="1" bestFit="1" customWidth="1"/>
    <col min="249" max="249" width="10.33203125" style="1" bestFit="1" customWidth="1"/>
    <col min="250" max="252" width="8.6640625" style="1" bestFit="1" customWidth="1"/>
    <col min="253" max="253" width="8" style="1" bestFit="1" customWidth="1"/>
    <col min="254" max="254" width="12.6640625" style="1" bestFit="1" customWidth="1"/>
    <col min="255" max="255" width="5.33203125" style="1" bestFit="1" customWidth="1"/>
    <col min="256" max="256" width="8.33203125" style="1" bestFit="1" customWidth="1"/>
    <col min="257" max="257" width="12.6640625" style="1" customWidth="1"/>
    <col min="258" max="258" width="10.5546875" style="1" customWidth="1"/>
    <col min="259" max="259" width="6.6640625" style="1" bestFit="1" customWidth="1"/>
    <col min="260" max="260" width="28.6640625" style="1" bestFit="1" customWidth="1"/>
    <col min="261" max="261" width="5.44140625" style="1" bestFit="1" customWidth="1"/>
    <col min="262" max="262" width="8.6640625" style="1" customWidth="1"/>
    <col min="263" max="263" width="9" style="1" bestFit="1" customWidth="1"/>
    <col min="264" max="264" width="8" style="1" bestFit="1" customWidth="1"/>
    <col min="265" max="265" width="6.6640625" style="1" bestFit="1" customWidth="1"/>
    <col min="266" max="266" width="7.44140625" style="1" bestFit="1" customWidth="1"/>
    <col min="267" max="267" width="11.5546875" style="1" customWidth="1"/>
    <col min="268" max="268" width="7.6640625" style="1" bestFit="1" customWidth="1"/>
    <col min="269" max="269" width="8.6640625" style="1" bestFit="1" customWidth="1"/>
    <col min="270" max="270" width="7.5546875" style="1" bestFit="1" customWidth="1"/>
    <col min="271" max="271" width="11.5546875" style="1" bestFit="1" customWidth="1"/>
    <col min="272" max="272" width="8" style="1" bestFit="1" customWidth="1"/>
    <col min="273" max="273" width="12.6640625" style="1" bestFit="1" customWidth="1"/>
    <col min="274" max="274" width="9.6640625" style="1" bestFit="1" customWidth="1"/>
    <col min="275" max="277" width="10.5546875" style="1" customWidth="1"/>
    <col min="278" max="278" width="12.44140625" style="157" bestFit="1" customWidth="1"/>
    <col min="279" max="279" width="8.33203125" style="157" bestFit="1" customWidth="1"/>
    <col min="280" max="280" width="35.44140625" style="1" bestFit="1" customWidth="1"/>
    <col min="281" max="281" width="6.5546875" style="1" bestFit="1" customWidth="1"/>
    <col min="282" max="282" width="9.6640625" style="1" bestFit="1" customWidth="1"/>
    <col min="283" max="283" width="11.44140625" style="1"/>
    <col min="284" max="284" width="9.6640625" style="1" bestFit="1" customWidth="1"/>
    <col min="285" max="285" width="8.33203125" style="1" bestFit="1" customWidth="1"/>
    <col min="286" max="286" width="9" style="1" bestFit="1" customWidth="1"/>
    <col min="287" max="287" width="13.6640625" style="1" bestFit="1" customWidth="1"/>
    <col min="288" max="288" width="9.44140625" style="1" bestFit="1" customWidth="1"/>
    <col min="289" max="289" width="10.6640625" style="1" bestFit="1" customWidth="1"/>
    <col min="290" max="290" width="9.5546875" style="1" bestFit="1" customWidth="1"/>
    <col min="291" max="291" width="14.33203125" style="1" bestFit="1" customWidth="1"/>
    <col min="292" max="292" width="10.33203125" style="1" bestFit="1" customWidth="1"/>
    <col min="293" max="293" width="15.6640625" style="1" bestFit="1" customWidth="1"/>
    <col min="294" max="294" width="11.5546875" style="1" bestFit="1" customWidth="1"/>
    <col min="295" max="295" width="7.6640625" style="1" customWidth="1"/>
    <col min="296" max="297" width="11.44140625" style="1"/>
    <col min="298" max="298" width="12.33203125" style="1" bestFit="1" customWidth="1"/>
    <col min="299" max="299" width="11.44140625" style="1"/>
    <col min="300" max="300" width="30.44140625" style="1" bestFit="1" customWidth="1"/>
    <col min="301" max="302" width="11.44140625" style="1"/>
    <col min="303" max="303" width="12.33203125" style="1" bestFit="1" customWidth="1"/>
    <col min="304" max="306" width="11.44140625" style="1"/>
    <col min="307" max="307" width="14.33203125" style="1" bestFit="1" customWidth="1"/>
    <col min="308" max="311" width="11.44140625" style="1"/>
    <col min="312" max="312" width="16.33203125" style="1" bestFit="1" customWidth="1"/>
    <col min="313" max="16384" width="11.44140625" style="1"/>
  </cols>
  <sheetData>
    <row r="1" spans="1:317" ht="15.6">
      <c r="CV1" s="966" t="s">
        <v>2522</v>
      </c>
    </row>
    <row r="2" spans="1:317" ht="15.6">
      <c r="A2" s="966" t="s">
        <v>2522</v>
      </c>
      <c r="S2" s="966" t="s">
        <v>2522</v>
      </c>
      <c r="AK2" s="966" t="s">
        <v>2522</v>
      </c>
      <c r="BE2" s="966" t="s">
        <v>2522</v>
      </c>
      <c r="BF2" s="97"/>
      <c r="BG2" s="42"/>
      <c r="BH2" s="42"/>
      <c r="BI2" s="42"/>
      <c r="BJ2" s="42"/>
      <c r="BK2" s="42"/>
      <c r="BL2" s="42"/>
      <c r="BM2" s="42"/>
      <c r="BN2" s="42"/>
      <c r="BO2" s="42"/>
      <c r="BP2" s="42"/>
      <c r="BQ2" s="42"/>
      <c r="BR2" s="42"/>
      <c r="BZ2" s="6275" t="s">
        <v>2682</v>
      </c>
      <c r="CA2" s="4230"/>
      <c r="CB2" s="4230"/>
      <c r="CC2" s="4230"/>
      <c r="CD2" s="4230"/>
      <c r="CE2" s="4230"/>
      <c r="CF2" s="4230"/>
      <c r="CG2" s="4230"/>
      <c r="CH2" s="4230"/>
      <c r="CI2" s="4230"/>
      <c r="CJ2" s="4230"/>
      <c r="CK2" s="4230"/>
      <c r="CL2" s="4230"/>
      <c r="CM2" s="4230"/>
      <c r="CN2" s="4230"/>
      <c r="CO2" s="4230"/>
      <c r="CP2" s="4230"/>
      <c r="CQ2" s="4230"/>
      <c r="CR2" s="4230"/>
      <c r="CS2" s="4230"/>
      <c r="CT2" s="4231"/>
      <c r="CV2" s="966" t="s">
        <v>2558</v>
      </c>
      <c r="CY2" s="1324" t="s">
        <v>2559</v>
      </c>
      <c r="DP2" s="6276" t="s">
        <v>2522</v>
      </c>
      <c r="DQ2" s="4258"/>
      <c r="DR2" s="4258"/>
      <c r="DS2" s="4258"/>
      <c r="DT2" s="4258"/>
      <c r="DU2" s="4258"/>
      <c r="DV2" s="4258"/>
      <c r="DW2" s="4258"/>
      <c r="DX2" s="4258"/>
      <c r="DY2" s="4258"/>
      <c r="DZ2" s="4258"/>
      <c r="EA2" s="4258"/>
      <c r="EB2" s="4258"/>
      <c r="EC2" s="4258"/>
      <c r="ED2" s="4258"/>
      <c r="EE2" s="4258"/>
      <c r="EF2" s="4258"/>
      <c r="EG2" s="4258"/>
      <c r="EH2" s="4258"/>
      <c r="EJ2" s="938" t="s">
        <v>2251</v>
      </c>
      <c r="FD2" s="938" t="s">
        <v>2251</v>
      </c>
      <c r="FX2" s="6277" t="s">
        <v>1659</v>
      </c>
      <c r="GR2" s="6277" t="s">
        <v>1652</v>
      </c>
      <c r="HL2" s="966" t="s">
        <v>1297</v>
      </c>
      <c r="IE2" s="351" t="s">
        <v>1065</v>
      </c>
      <c r="IX2" s="352" t="s">
        <v>1066</v>
      </c>
      <c r="JS2" s="352"/>
      <c r="JT2" s="352"/>
      <c r="JU2" s="352"/>
      <c r="JV2" s="352"/>
      <c r="JW2" s="352"/>
      <c r="JX2" s="352"/>
      <c r="JY2" s="352"/>
      <c r="JZ2" s="352"/>
      <c r="KA2" s="352"/>
      <c r="KB2" s="352"/>
      <c r="KC2" s="352"/>
      <c r="KD2" s="352"/>
      <c r="KE2" s="352"/>
      <c r="KF2" s="352"/>
      <c r="KG2" s="352"/>
      <c r="KH2" s="352"/>
      <c r="KI2" s="352"/>
      <c r="KJ2" s="352"/>
    </row>
    <row r="3" spans="1:317" ht="15.6">
      <c r="A3" s="966" t="s">
        <v>3266</v>
      </c>
      <c r="S3" s="966" t="s">
        <v>3038</v>
      </c>
      <c r="AK3" s="966" t="s">
        <v>2807</v>
      </c>
      <c r="BE3" s="966" t="s">
        <v>2695</v>
      </c>
      <c r="BF3" s="97"/>
      <c r="BG3" s="42"/>
      <c r="BH3" s="42"/>
      <c r="BI3" s="1324" t="s">
        <v>2697</v>
      </c>
      <c r="BJ3" s="42"/>
      <c r="BK3" s="42"/>
      <c r="BL3" s="42"/>
      <c r="BM3" s="42"/>
      <c r="BN3" s="42"/>
      <c r="BO3" s="42"/>
      <c r="BP3" s="42"/>
      <c r="BQ3" s="42"/>
      <c r="BR3" s="42"/>
      <c r="BZ3" s="6275" t="s">
        <v>2683</v>
      </c>
      <c r="CA3" s="4230"/>
      <c r="CB3" s="4230"/>
      <c r="CC3" s="4230"/>
      <c r="CD3" s="4230"/>
      <c r="CE3" s="4230"/>
      <c r="CF3" s="4230"/>
      <c r="CG3" s="4230"/>
      <c r="CH3" s="4230"/>
      <c r="CI3" s="4230"/>
      <c r="CJ3" s="4230"/>
      <c r="CK3" s="4230"/>
      <c r="CL3" s="4230"/>
      <c r="CM3" s="4230"/>
      <c r="CN3" s="4230"/>
      <c r="CO3" s="4230"/>
      <c r="CP3" s="4230"/>
      <c r="CQ3" s="4230"/>
      <c r="CR3" s="4230"/>
      <c r="CS3" s="4230"/>
      <c r="CT3" s="4231"/>
      <c r="CV3" s="3813" t="s">
        <v>2570</v>
      </c>
      <c r="DP3" s="6276" t="s">
        <v>2523</v>
      </c>
      <c r="DQ3" s="4258"/>
      <c r="DR3" s="4258"/>
      <c r="DS3" s="4258"/>
      <c r="DT3" s="4258"/>
      <c r="DU3" s="4258"/>
      <c r="DV3" s="4258"/>
      <c r="DW3" s="4258"/>
      <c r="DX3" s="4258"/>
      <c r="DY3" s="4258"/>
      <c r="DZ3" s="4258"/>
      <c r="EA3" s="4258"/>
      <c r="EB3" s="4258"/>
      <c r="EC3" s="4258"/>
      <c r="ED3" s="4258"/>
      <c r="EE3" s="4258"/>
      <c r="EF3" s="4258"/>
      <c r="EG3" s="4258"/>
      <c r="EH3" s="4258"/>
      <c r="EJ3" s="6278" t="s">
        <v>2405</v>
      </c>
      <c r="EM3" s="1" t="s">
        <v>2430</v>
      </c>
      <c r="FD3" s="6279" t="s">
        <v>2253</v>
      </c>
      <c r="FG3" s="1" t="s">
        <v>2429</v>
      </c>
      <c r="FX3" s="1324" t="s">
        <v>1660</v>
      </c>
      <c r="GR3" s="1324" t="s">
        <v>1653</v>
      </c>
      <c r="GS3" s="6280"/>
      <c r="GT3" s="6280"/>
      <c r="GU3" s="6280"/>
      <c r="GV3" s="6280"/>
      <c r="GW3" s="6280"/>
      <c r="GX3" s="6280"/>
      <c r="GY3" s="6280"/>
      <c r="GZ3" s="6280"/>
      <c r="HA3" s="6280"/>
      <c r="HB3" s="6280"/>
      <c r="HC3" s="6280"/>
      <c r="HD3" s="6280"/>
      <c r="HE3" s="6280"/>
      <c r="HF3" s="6280"/>
      <c r="HG3" s="6280"/>
      <c r="HH3" s="6280"/>
      <c r="HI3" s="6280"/>
      <c r="HL3" s="1323" t="s">
        <v>1067</v>
      </c>
      <c r="HM3" s="967"/>
      <c r="HN3" s="968"/>
      <c r="HO3" s="968"/>
      <c r="HP3" s="968"/>
      <c r="HQ3" s="968"/>
      <c r="HR3" s="968"/>
      <c r="HS3" s="968"/>
      <c r="HT3" s="968"/>
      <c r="HU3" s="968"/>
      <c r="HV3" s="968"/>
      <c r="HW3" s="968"/>
      <c r="HX3" s="968"/>
      <c r="HY3" s="968"/>
      <c r="HZ3" s="968"/>
      <c r="IA3" s="968"/>
      <c r="IB3" s="968"/>
      <c r="IE3" s="1324" t="s">
        <v>1068</v>
      </c>
      <c r="IX3" s="179" t="s">
        <v>1298</v>
      </c>
      <c r="JR3" s="179" t="s">
        <v>1299</v>
      </c>
      <c r="JS3" s="179"/>
      <c r="JT3" s="179"/>
      <c r="JU3" s="179"/>
      <c r="JV3" s="179"/>
      <c r="JW3" s="179"/>
      <c r="JX3" s="179"/>
      <c r="JY3" s="179"/>
      <c r="JZ3" s="179"/>
      <c r="KA3" s="179"/>
      <c r="KB3" s="179"/>
      <c r="KC3" s="179"/>
      <c r="KD3" s="179"/>
      <c r="KE3" s="179"/>
      <c r="KF3" s="179"/>
      <c r="KG3" s="179"/>
      <c r="KH3" s="179"/>
      <c r="KI3" s="179"/>
      <c r="KJ3" s="179"/>
      <c r="KL3" s="96" t="s">
        <v>1300</v>
      </c>
      <c r="KM3" s="96"/>
      <c r="KN3" s="96"/>
      <c r="KO3" s="96"/>
      <c r="KP3" s="96"/>
      <c r="KQ3" s="96"/>
      <c r="KR3" s="96"/>
      <c r="KS3" s="96"/>
      <c r="KT3" s="96"/>
      <c r="KU3" s="96"/>
      <c r="KV3" s="96"/>
      <c r="KW3" s="96"/>
      <c r="KX3" s="96"/>
      <c r="KY3" s="96"/>
      <c r="KZ3" s="96"/>
      <c r="LA3" s="96"/>
      <c r="LB3" s="96"/>
      <c r="LC3" s="96"/>
    </row>
    <row r="4" spans="1:317">
      <c r="A4" s="3813" t="s">
        <v>3267</v>
      </c>
      <c r="S4" s="3813" t="s">
        <v>2808</v>
      </c>
      <c r="AH4" s="5827" t="s">
        <v>3030</v>
      </c>
      <c r="AI4" s="5827"/>
      <c r="AK4" s="3813" t="s">
        <v>2808</v>
      </c>
      <c r="BB4" s="6969" t="s">
        <v>2810</v>
      </c>
      <c r="BC4" s="6969"/>
      <c r="BE4" s="3813" t="s">
        <v>2696</v>
      </c>
      <c r="BF4" s="97"/>
      <c r="BG4" s="42"/>
      <c r="BH4" s="42"/>
      <c r="BI4" s="42"/>
      <c r="BJ4" s="42"/>
      <c r="BK4" s="42"/>
      <c r="BL4" s="42"/>
      <c r="BM4" s="42"/>
      <c r="BN4" s="42"/>
      <c r="BO4" s="42"/>
      <c r="BP4" s="42"/>
      <c r="BQ4" s="42"/>
      <c r="BR4" s="42"/>
      <c r="BZ4" s="6281" t="s">
        <v>2684</v>
      </c>
      <c r="CA4" s="4230"/>
      <c r="CB4" s="4230"/>
      <c r="CC4" s="4230"/>
      <c r="CD4" s="4230"/>
      <c r="CE4" s="4230"/>
      <c r="CF4" s="4230"/>
      <c r="CG4" s="4230"/>
      <c r="CH4" s="4230"/>
      <c r="CI4" s="4230"/>
      <c r="CJ4" s="4230"/>
      <c r="CK4" s="4230"/>
      <c r="CL4" s="4230"/>
      <c r="CM4" s="4230"/>
      <c r="CN4" s="4230"/>
      <c r="CO4" s="4230"/>
      <c r="CP4" s="4230"/>
      <c r="CQ4" s="4230"/>
      <c r="CR4" s="4230"/>
      <c r="CS4" s="4230"/>
      <c r="CT4" s="4231"/>
      <c r="DP4" s="6281" t="s">
        <v>2524</v>
      </c>
      <c r="DQ4" s="4258"/>
      <c r="DR4" s="4258"/>
      <c r="DS4" s="4258"/>
      <c r="DT4" s="4258"/>
      <c r="DU4" s="4258"/>
      <c r="DV4" s="4258"/>
      <c r="DW4" s="4258"/>
      <c r="DX4" s="4258"/>
      <c r="DY4" s="4258"/>
      <c r="DZ4" s="4258"/>
      <c r="EA4" s="4258"/>
      <c r="EB4" s="4258"/>
      <c r="EC4" s="4258"/>
      <c r="ED4" s="4258"/>
      <c r="EE4" s="4258"/>
      <c r="EF4" s="4258"/>
      <c r="EG4" s="4258"/>
      <c r="EH4" s="4258"/>
      <c r="EJ4" s="42" t="s">
        <v>2431</v>
      </c>
      <c r="FD4" s="42" t="s">
        <v>2428</v>
      </c>
      <c r="FX4" s="42" t="s">
        <v>1694</v>
      </c>
      <c r="GR4" s="42" t="s">
        <v>1654</v>
      </c>
      <c r="GS4" s="6282"/>
      <c r="GT4" s="6282"/>
      <c r="GU4" s="6282"/>
      <c r="GV4" s="6282"/>
      <c r="GW4" s="6282"/>
      <c r="GX4" s="6282"/>
      <c r="GY4" s="6282"/>
      <c r="GZ4" s="6282"/>
      <c r="HA4" s="6282"/>
      <c r="HB4" s="6282"/>
      <c r="HC4" s="6282"/>
      <c r="HD4" s="6282"/>
      <c r="HE4" s="6282"/>
      <c r="HF4" s="6282"/>
      <c r="HG4" s="6282"/>
      <c r="HH4" s="6282"/>
      <c r="HI4" s="6282"/>
      <c r="HM4" s="969"/>
      <c r="HN4" s="970"/>
      <c r="HO4" s="970"/>
      <c r="HP4" s="970"/>
      <c r="HQ4" s="970"/>
      <c r="HR4" s="970"/>
      <c r="HS4" s="970"/>
      <c r="HT4" s="970"/>
      <c r="HU4" s="970"/>
      <c r="HV4" s="970"/>
      <c r="HW4" s="970"/>
      <c r="HX4" s="970"/>
      <c r="HY4" s="970"/>
      <c r="HZ4" s="970"/>
      <c r="IA4" s="970"/>
      <c r="IB4" s="970"/>
      <c r="IE4" s="1" t="s">
        <v>1069</v>
      </c>
      <c r="KJ4" s="353"/>
    </row>
    <row r="5" spans="1:317" ht="15.6">
      <c r="BZ5" s="4230"/>
      <c r="CA5" s="4230"/>
      <c r="CB5" s="6283"/>
      <c r="CC5" s="6966" t="s">
        <v>1070</v>
      </c>
      <c r="CD5" s="6966"/>
      <c r="CE5" s="6966"/>
      <c r="CF5" s="6966"/>
      <c r="CG5" s="6966"/>
      <c r="CH5" s="6966"/>
      <c r="CI5" s="6966"/>
      <c r="CJ5" s="6966"/>
      <c r="CK5" s="6966"/>
      <c r="CL5" s="6966"/>
      <c r="CM5" s="6966"/>
      <c r="CN5" s="6966"/>
      <c r="CO5" s="6966"/>
      <c r="CP5" s="6966"/>
      <c r="CQ5" s="6283"/>
      <c r="CR5" s="6283"/>
      <c r="CS5" s="4230"/>
      <c r="CT5" s="4231"/>
      <c r="CY5" s="3799"/>
      <c r="CZ5" s="3799"/>
      <c r="DA5" s="3799"/>
      <c r="DB5" s="3799"/>
      <c r="DC5" s="3799"/>
      <c r="DD5" s="3799"/>
      <c r="DE5" s="3799"/>
      <c r="DF5" s="3799"/>
      <c r="DG5" s="3799"/>
      <c r="DH5" s="3799"/>
      <c r="DI5" s="3799"/>
      <c r="DJ5" s="3799"/>
      <c r="DK5" s="3799"/>
      <c r="DL5" s="3799"/>
      <c r="DP5" s="4277"/>
      <c r="DQ5" s="4277"/>
      <c r="DR5" s="4277"/>
      <c r="DS5" s="6967" t="s">
        <v>1070</v>
      </c>
      <c r="DT5" s="6967"/>
      <c r="DU5" s="6967"/>
      <c r="DV5" s="6967"/>
      <c r="DW5" s="6967"/>
      <c r="DX5" s="6967"/>
      <c r="DY5" s="6967"/>
      <c r="DZ5" s="6967"/>
      <c r="EA5" s="6967"/>
      <c r="EB5" s="6967"/>
      <c r="EC5" s="6967"/>
      <c r="ED5" s="6967"/>
      <c r="EE5" s="6967"/>
      <c r="EF5" s="6967"/>
      <c r="EG5" s="6967"/>
      <c r="EH5" s="4277"/>
      <c r="EM5" s="6968" t="s">
        <v>1070</v>
      </c>
      <c r="EN5" s="6968"/>
      <c r="EO5" s="6968"/>
      <c r="EP5" s="6968"/>
      <c r="EQ5" s="6968"/>
      <c r="ER5" s="6968"/>
      <c r="ES5" s="6968"/>
      <c r="ET5" s="6968"/>
      <c r="EU5" s="6968"/>
      <c r="EV5" s="6968"/>
      <c r="EW5" s="6968"/>
      <c r="EX5" s="6968"/>
      <c r="EY5" s="6968"/>
      <c r="EZ5" s="6968"/>
      <c r="FD5" s="179"/>
      <c r="FE5" s="179"/>
      <c r="FF5" s="179"/>
      <c r="FG5" s="6951" t="s">
        <v>1070</v>
      </c>
      <c r="FH5" s="6951"/>
      <c r="FI5" s="6951"/>
      <c r="FJ5" s="6951"/>
      <c r="FK5" s="6951"/>
      <c r="FL5" s="6951"/>
      <c r="FM5" s="6951"/>
      <c r="FN5" s="6951"/>
      <c r="FO5" s="6951"/>
      <c r="FP5" s="6951"/>
      <c r="FQ5" s="6951"/>
      <c r="FR5" s="6951"/>
      <c r="FS5" s="6951"/>
      <c r="FT5" s="6951"/>
      <c r="FU5" s="6951"/>
      <c r="FV5" s="179"/>
      <c r="GA5" s="6952" t="s">
        <v>1070</v>
      </c>
      <c r="GB5" s="6953"/>
      <c r="GC5" s="6953"/>
      <c r="GD5" s="6953"/>
      <c r="GE5" s="6953"/>
      <c r="GF5" s="6953"/>
      <c r="GG5" s="6953"/>
      <c r="GH5" s="6953"/>
      <c r="GI5" s="6953"/>
      <c r="GJ5" s="6953"/>
      <c r="GK5" s="6953"/>
      <c r="GL5" s="6953"/>
      <c r="GM5" s="6953"/>
      <c r="GN5" s="6953"/>
      <c r="GO5" s="6284"/>
      <c r="GR5" s="179"/>
      <c r="GS5" s="1179"/>
      <c r="GT5" s="1179"/>
      <c r="GU5" s="6952" t="s">
        <v>1070</v>
      </c>
      <c r="GV5" s="6953"/>
      <c r="GW5" s="6953"/>
      <c r="GX5" s="6953"/>
      <c r="GY5" s="6953"/>
      <c r="GZ5" s="6953"/>
      <c r="HA5" s="6953"/>
      <c r="HB5" s="6953"/>
      <c r="HC5" s="6953"/>
      <c r="HD5" s="6953"/>
      <c r="HE5" s="6953"/>
      <c r="HF5" s="6953"/>
      <c r="HG5" s="6953"/>
      <c r="HH5" s="6953"/>
      <c r="HI5" s="6284"/>
      <c r="HL5" s="135"/>
      <c r="HM5" s="971"/>
      <c r="HN5" s="972"/>
      <c r="HO5" s="6971" t="s">
        <v>1070</v>
      </c>
      <c r="HP5" s="6971"/>
      <c r="HQ5" s="6971"/>
      <c r="HR5" s="6971"/>
      <c r="HS5" s="6971"/>
      <c r="HT5" s="6971"/>
      <c r="HU5" s="6971"/>
      <c r="HV5" s="6971"/>
      <c r="HW5" s="6971"/>
      <c r="HX5" s="6971"/>
      <c r="HY5" s="6971"/>
      <c r="HZ5" s="6971"/>
      <c r="IA5" s="6971"/>
      <c r="IB5" s="893"/>
      <c r="IE5" s="42"/>
      <c r="IF5" s="42"/>
      <c r="IG5" s="42"/>
      <c r="IH5" s="6957" t="s">
        <v>1301</v>
      </c>
      <c r="II5" s="6958"/>
      <c r="IJ5" s="6958"/>
      <c r="IK5" s="6958"/>
      <c r="IL5" s="6958"/>
      <c r="IM5" s="6958"/>
      <c r="IN5" s="6958"/>
      <c r="IO5" s="6958"/>
      <c r="IP5" s="6958"/>
      <c r="IQ5" s="6958"/>
      <c r="IR5" s="6958"/>
      <c r="IS5" s="6958"/>
      <c r="IT5" s="6958"/>
      <c r="IU5" s="6958"/>
      <c r="IV5" s="6959"/>
      <c r="IX5" s="179"/>
      <c r="IY5" s="973"/>
      <c r="IZ5" s="973"/>
      <c r="JA5" s="6963" t="s">
        <v>1302</v>
      </c>
      <c r="JB5" s="6964"/>
      <c r="JC5" s="6964"/>
      <c r="JD5" s="6964"/>
      <c r="JE5" s="6964"/>
      <c r="JF5" s="6964"/>
      <c r="JG5" s="6964"/>
      <c r="JH5" s="6964"/>
      <c r="JI5" s="6964"/>
      <c r="JJ5" s="6964"/>
      <c r="JK5" s="6964"/>
      <c r="JL5" s="6964"/>
      <c r="JM5" s="6964"/>
      <c r="JN5" s="6964"/>
      <c r="JO5" s="6965"/>
      <c r="JT5" s="1" t="s">
        <v>315</v>
      </c>
      <c r="JU5" s="6954" t="s">
        <v>1303</v>
      </c>
      <c r="JV5" s="6955"/>
      <c r="JW5" s="6955"/>
      <c r="JX5" s="6955"/>
      <c r="JY5" s="6955"/>
      <c r="JZ5" s="6955"/>
      <c r="KA5" s="6955"/>
      <c r="KB5" s="6955"/>
      <c r="KC5" s="6955"/>
      <c r="KD5" s="6955"/>
      <c r="KE5" s="6955"/>
      <c r="KF5" s="6955"/>
      <c r="KG5" s="6955"/>
      <c r="KH5" s="6955"/>
      <c r="KI5" s="6956"/>
      <c r="KJ5" s="353"/>
      <c r="KO5" s="6948" t="s">
        <v>1070</v>
      </c>
      <c r="KP5" s="6949"/>
      <c r="KQ5" s="6949"/>
      <c r="KR5" s="6949"/>
      <c r="KS5" s="6949"/>
      <c r="KT5" s="6949"/>
      <c r="KU5" s="6949"/>
      <c r="KV5" s="6949"/>
      <c r="KW5" s="6949"/>
      <c r="KX5" s="6949"/>
      <c r="KY5" s="6949"/>
      <c r="KZ5" s="6949"/>
      <c r="LA5" s="6950"/>
    </row>
    <row r="6" spans="1:317" s="2110" customFormat="1" ht="52.5" customHeight="1" thickBot="1">
      <c r="A6" s="4244" t="s">
        <v>2698</v>
      </c>
      <c r="B6" s="4244" t="s">
        <v>2699</v>
      </c>
      <c r="C6" s="4244" t="s">
        <v>2700</v>
      </c>
      <c r="D6" s="4821" t="s">
        <v>3268</v>
      </c>
      <c r="E6" s="4819" t="s">
        <v>2701</v>
      </c>
      <c r="F6" s="4819" t="s">
        <v>1082</v>
      </c>
      <c r="G6" s="4819" t="s">
        <v>2702</v>
      </c>
      <c r="H6" s="4819" t="s">
        <v>2703</v>
      </c>
      <c r="I6" s="4819" t="s">
        <v>2704</v>
      </c>
      <c r="J6" s="4819" t="s">
        <v>2705</v>
      </c>
      <c r="K6" s="4820" t="s">
        <v>2707</v>
      </c>
      <c r="L6" s="4819" t="s">
        <v>2708</v>
      </c>
      <c r="M6" s="4820" t="s">
        <v>1076</v>
      </c>
      <c r="N6" s="4819" t="s">
        <v>2709</v>
      </c>
      <c r="O6" s="4819" t="s">
        <v>1073</v>
      </c>
      <c r="P6" s="4820" t="s">
        <v>1075</v>
      </c>
      <c r="Q6" s="4250" t="s">
        <v>3269</v>
      </c>
      <c r="S6" s="4244" t="s">
        <v>2698</v>
      </c>
      <c r="T6" s="4244" t="s">
        <v>2699</v>
      </c>
      <c r="U6" s="4244" t="s">
        <v>2700</v>
      </c>
      <c r="V6" s="4821" t="s">
        <v>2811</v>
      </c>
      <c r="W6" s="4819" t="s">
        <v>2701</v>
      </c>
      <c r="X6" s="4819" t="s">
        <v>1082</v>
      </c>
      <c r="Y6" s="4819" t="s">
        <v>2805</v>
      </c>
      <c r="Z6" s="4819" t="s">
        <v>2703</v>
      </c>
      <c r="AA6" s="4819" t="s">
        <v>2704</v>
      </c>
      <c r="AB6" s="4819" t="s">
        <v>2705</v>
      </c>
      <c r="AC6" s="4820" t="s">
        <v>2707</v>
      </c>
      <c r="AD6" s="4819" t="s">
        <v>2708</v>
      </c>
      <c r="AE6" s="4820" t="s">
        <v>1076</v>
      </c>
      <c r="AF6" s="4819" t="s">
        <v>2709</v>
      </c>
      <c r="AG6" s="4819" t="s">
        <v>1073</v>
      </c>
      <c r="AH6" s="4820" t="s">
        <v>1075</v>
      </c>
      <c r="AI6" s="1486" t="s">
        <v>2809</v>
      </c>
      <c r="AK6" s="4244" t="s">
        <v>2698</v>
      </c>
      <c r="AL6" s="4244" t="s">
        <v>2699</v>
      </c>
      <c r="AM6" s="4244" t="s">
        <v>2700</v>
      </c>
      <c r="AN6" s="4821" t="s">
        <v>2811</v>
      </c>
      <c r="AO6" s="4819" t="s">
        <v>2701</v>
      </c>
      <c r="AP6" s="4819" t="s">
        <v>1082</v>
      </c>
      <c r="AQ6" s="4819" t="s">
        <v>2805</v>
      </c>
      <c r="AR6" s="4819" t="s">
        <v>2703</v>
      </c>
      <c r="AS6" s="4819" t="s">
        <v>2704</v>
      </c>
      <c r="AT6" s="4819" t="s">
        <v>2705</v>
      </c>
      <c r="AU6" s="4249" t="s">
        <v>2706</v>
      </c>
      <c r="AV6" s="4820" t="s">
        <v>2707</v>
      </c>
      <c r="AW6" s="4820" t="s">
        <v>1076</v>
      </c>
      <c r="AX6" s="4819" t="s">
        <v>2806</v>
      </c>
      <c r="AY6" s="4819" t="s">
        <v>2709</v>
      </c>
      <c r="AZ6" s="4249" t="s">
        <v>2710</v>
      </c>
      <c r="BA6" s="4819" t="s">
        <v>1073</v>
      </c>
      <c r="BB6" s="4820" t="s">
        <v>1075</v>
      </c>
      <c r="BC6" s="4250" t="s">
        <v>2809</v>
      </c>
      <c r="BE6" s="4244" t="s">
        <v>2698</v>
      </c>
      <c r="BF6" s="4244" t="s">
        <v>2699</v>
      </c>
      <c r="BG6" s="4244" t="s">
        <v>2700</v>
      </c>
      <c r="BH6" s="4244"/>
      <c r="BI6" s="4249" t="s">
        <v>15</v>
      </c>
      <c r="BJ6" s="4244" t="s">
        <v>2701</v>
      </c>
      <c r="BK6" s="4244" t="s">
        <v>1082</v>
      </c>
      <c r="BL6" s="4244" t="s">
        <v>2702</v>
      </c>
      <c r="BM6" s="4244" t="s">
        <v>2703</v>
      </c>
      <c r="BN6" s="4244" t="s">
        <v>2704</v>
      </c>
      <c r="BO6" s="4244" t="s">
        <v>2705</v>
      </c>
      <c r="BP6" s="4249" t="s">
        <v>2706</v>
      </c>
      <c r="BQ6" s="4248" t="s">
        <v>2707</v>
      </c>
      <c r="BR6" s="4244" t="s">
        <v>2708</v>
      </c>
      <c r="BS6" s="4248" t="s">
        <v>1076</v>
      </c>
      <c r="BT6" s="4244" t="s">
        <v>2709</v>
      </c>
      <c r="BU6" s="4249" t="s">
        <v>2710</v>
      </c>
      <c r="BV6" s="4244" t="s">
        <v>1073</v>
      </c>
      <c r="BW6" s="4248" t="s">
        <v>1075</v>
      </c>
      <c r="BX6" s="4250" t="s">
        <v>2711</v>
      </c>
      <c r="BZ6" s="4242" t="s">
        <v>0</v>
      </c>
      <c r="CA6" s="4242" t="s">
        <v>1</v>
      </c>
      <c r="CB6" s="4242" t="s">
        <v>2</v>
      </c>
      <c r="CC6" s="4234" t="s">
        <v>1071</v>
      </c>
      <c r="CD6" s="4234" t="s">
        <v>1072</v>
      </c>
      <c r="CE6" s="4234" t="s">
        <v>1073</v>
      </c>
      <c r="CF6" s="4234" t="s">
        <v>1074</v>
      </c>
      <c r="CG6" s="4234" t="s">
        <v>1075</v>
      </c>
      <c r="CH6" s="4234" t="s">
        <v>1076</v>
      </c>
      <c r="CI6" s="4234" t="s">
        <v>1077</v>
      </c>
      <c r="CJ6" s="4234" t="s">
        <v>1078</v>
      </c>
      <c r="CK6" s="4234" t="s">
        <v>1079</v>
      </c>
      <c r="CL6" s="4234" t="s">
        <v>1080</v>
      </c>
      <c r="CM6" s="4234" t="s">
        <v>1081</v>
      </c>
      <c r="CN6" s="4234" t="s">
        <v>1084</v>
      </c>
      <c r="CO6" s="4234" t="s">
        <v>1082</v>
      </c>
      <c r="CP6" s="4234" t="s">
        <v>1655</v>
      </c>
      <c r="CQ6" s="4234" t="s">
        <v>15</v>
      </c>
      <c r="CR6" s="4234" t="s">
        <v>66</v>
      </c>
      <c r="CS6" s="4288"/>
      <c r="CT6" s="4235" t="s">
        <v>2686</v>
      </c>
      <c r="CV6" s="398" t="s">
        <v>0</v>
      </c>
      <c r="CW6" s="398" t="s">
        <v>1</v>
      </c>
      <c r="CX6" s="398" t="s">
        <v>2560</v>
      </c>
      <c r="CY6" s="1469" t="s">
        <v>1071</v>
      </c>
      <c r="CZ6" s="1469" t="s">
        <v>1072</v>
      </c>
      <c r="DA6" s="1469" t="s">
        <v>1073</v>
      </c>
      <c r="DB6" s="1469" t="s">
        <v>1074</v>
      </c>
      <c r="DC6" s="1469" t="s">
        <v>1075</v>
      </c>
      <c r="DD6" s="1469" t="s">
        <v>1076</v>
      </c>
      <c r="DE6" s="1469" t="s">
        <v>1077</v>
      </c>
      <c r="DF6" s="1469" t="s">
        <v>1078</v>
      </c>
      <c r="DG6" s="1469" t="s">
        <v>1079</v>
      </c>
      <c r="DH6" s="1469" t="s">
        <v>1080</v>
      </c>
      <c r="DI6" s="1469" t="s">
        <v>1081</v>
      </c>
      <c r="DJ6" s="1469" t="s">
        <v>1084</v>
      </c>
      <c r="DK6" s="1469" t="s">
        <v>1082</v>
      </c>
      <c r="DL6" s="1469" t="s">
        <v>1655</v>
      </c>
      <c r="DM6" s="398" t="s">
        <v>15</v>
      </c>
      <c r="DN6" s="3798" t="s">
        <v>2561</v>
      </c>
      <c r="DP6" s="4218" t="s">
        <v>0</v>
      </c>
      <c r="DQ6" s="4218" t="s">
        <v>1</v>
      </c>
      <c r="DR6" s="4218" t="s">
        <v>2</v>
      </c>
      <c r="DS6" s="4218" t="s">
        <v>1071</v>
      </c>
      <c r="DT6" s="4220" t="s">
        <v>1072</v>
      </c>
      <c r="DU6" s="4218" t="s">
        <v>1073</v>
      </c>
      <c r="DV6" s="4220" t="s">
        <v>1074</v>
      </c>
      <c r="DW6" s="4218" t="s">
        <v>1075</v>
      </c>
      <c r="DX6" s="4218" t="s">
        <v>1076</v>
      </c>
      <c r="DY6" s="4220" t="s">
        <v>1077</v>
      </c>
      <c r="DZ6" s="4218" t="s">
        <v>1078</v>
      </c>
      <c r="EA6" s="4220" t="s">
        <v>1079</v>
      </c>
      <c r="EB6" s="4220" t="s">
        <v>1080</v>
      </c>
      <c r="EC6" s="4220" t="s">
        <v>1081</v>
      </c>
      <c r="ED6" s="4220" t="s">
        <v>1084</v>
      </c>
      <c r="EE6" s="4218" t="s">
        <v>1082</v>
      </c>
      <c r="EF6" s="4220" t="s">
        <v>1655</v>
      </c>
      <c r="EG6" s="4218" t="s">
        <v>15</v>
      </c>
      <c r="EH6" s="4220" t="s">
        <v>2525</v>
      </c>
      <c r="EJ6" s="398" t="s">
        <v>0</v>
      </c>
      <c r="EK6" s="398" t="s">
        <v>1</v>
      </c>
      <c r="EL6" s="398" t="s">
        <v>2</v>
      </c>
      <c r="EM6" s="398" t="s">
        <v>1071</v>
      </c>
      <c r="EN6" s="1469" t="s">
        <v>1072</v>
      </c>
      <c r="EO6" s="398" t="s">
        <v>1073</v>
      </c>
      <c r="EP6" s="1469" t="s">
        <v>1074</v>
      </c>
      <c r="EQ6" s="398" t="s">
        <v>1075</v>
      </c>
      <c r="ER6" s="398" t="s">
        <v>1076</v>
      </c>
      <c r="ES6" s="1469" t="s">
        <v>1077</v>
      </c>
      <c r="ET6" s="398" t="s">
        <v>1078</v>
      </c>
      <c r="EU6" s="1469" t="s">
        <v>1079</v>
      </c>
      <c r="EV6" s="1469" t="s">
        <v>1080</v>
      </c>
      <c r="EW6" s="1469" t="s">
        <v>1081</v>
      </c>
      <c r="EX6" s="1469" t="s">
        <v>1084</v>
      </c>
      <c r="EY6" s="398" t="s">
        <v>1082</v>
      </c>
      <c r="EZ6" s="1469" t="s">
        <v>1655</v>
      </c>
      <c r="FA6" s="398" t="s">
        <v>15</v>
      </c>
      <c r="FB6" s="1469" t="s">
        <v>2407</v>
      </c>
      <c r="FD6" s="398" t="s">
        <v>0</v>
      </c>
      <c r="FE6" s="398" t="s">
        <v>1</v>
      </c>
      <c r="FF6" s="398" t="s">
        <v>2</v>
      </c>
      <c r="FG6" s="398" t="s">
        <v>1071</v>
      </c>
      <c r="FH6" s="1469" t="s">
        <v>1072</v>
      </c>
      <c r="FI6" s="398" t="s">
        <v>1073</v>
      </c>
      <c r="FJ6" s="1469" t="s">
        <v>1074</v>
      </c>
      <c r="FK6" s="398" t="s">
        <v>1075</v>
      </c>
      <c r="FL6" s="398" t="s">
        <v>1076</v>
      </c>
      <c r="FM6" s="1469" t="s">
        <v>1077</v>
      </c>
      <c r="FN6" s="398" t="s">
        <v>1078</v>
      </c>
      <c r="FO6" s="1469" t="s">
        <v>1079</v>
      </c>
      <c r="FP6" s="1469" t="s">
        <v>1080</v>
      </c>
      <c r="FQ6" s="1469" t="s">
        <v>1081</v>
      </c>
      <c r="FR6" s="1469" t="s">
        <v>1084</v>
      </c>
      <c r="FS6" s="398" t="s">
        <v>1082</v>
      </c>
      <c r="FT6" s="1469" t="s">
        <v>1655</v>
      </c>
      <c r="FU6" s="398" t="s">
        <v>15</v>
      </c>
      <c r="FV6" s="1469" t="s">
        <v>2252</v>
      </c>
      <c r="FX6" s="398" t="s">
        <v>0</v>
      </c>
      <c r="FY6" s="398" t="s">
        <v>1</v>
      </c>
      <c r="FZ6" s="398" t="s">
        <v>2</v>
      </c>
      <c r="GA6" s="398" t="s">
        <v>1071</v>
      </c>
      <c r="GB6" s="1469" t="s">
        <v>1072</v>
      </c>
      <c r="GC6" s="398" t="s">
        <v>1073</v>
      </c>
      <c r="GD6" s="1469" t="s">
        <v>1074</v>
      </c>
      <c r="GE6" s="1472" t="s">
        <v>1075</v>
      </c>
      <c r="GF6" s="1472" t="s">
        <v>1076</v>
      </c>
      <c r="GG6" s="1469" t="s">
        <v>1077</v>
      </c>
      <c r="GH6" s="398" t="s">
        <v>1078</v>
      </c>
      <c r="GI6" s="1469" t="s">
        <v>1079</v>
      </c>
      <c r="GJ6" s="1469" t="s">
        <v>1080</v>
      </c>
      <c r="GK6" s="1473" t="s">
        <v>1081</v>
      </c>
      <c r="GL6" s="1469" t="s">
        <v>1084</v>
      </c>
      <c r="GM6" s="398" t="s">
        <v>1082</v>
      </c>
      <c r="GN6" s="1469" t="s">
        <v>1655</v>
      </c>
      <c r="GO6" s="1471" t="s">
        <v>15</v>
      </c>
      <c r="GP6" s="1469" t="s">
        <v>1720</v>
      </c>
      <c r="GR6" s="6265" t="s">
        <v>0</v>
      </c>
      <c r="GS6" s="6265" t="s">
        <v>1</v>
      </c>
      <c r="GT6" s="6265" t="s">
        <v>2</v>
      </c>
      <c r="GU6" s="6265" t="s">
        <v>1071</v>
      </c>
      <c r="GV6" s="6266" t="s">
        <v>1072</v>
      </c>
      <c r="GW6" s="6266" t="s">
        <v>1073</v>
      </c>
      <c r="GX6" s="6266" t="s">
        <v>1074</v>
      </c>
      <c r="GY6" s="6266" t="s">
        <v>1075</v>
      </c>
      <c r="GZ6" s="6266" t="s">
        <v>1076</v>
      </c>
      <c r="HA6" s="6266" t="s">
        <v>1077</v>
      </c>
      <c r="HB6" s="6266" t="s">
        <v>1078</v>
      </c>
      <c r="HC6" s="6266" t="s">
        <v>1079</v>
      </c>
      <c r="HD6" s="6266" t="s">
        <v>1080</v>
      </c>
      <c r="HE6" s="6266" t="s">
        <v>1081</v>
      </c>
      <c r="HF6" s="6266" t="s">
        <v>1084</v>
      </c>
      <c r="HG6" s="6266" t="s">
        <v>1082</v>
      </c>
      <c r="HH6" s="6266" t="s">
        <v>1655</v>
      </c>
      <c r="HI6" s="6267" t="s">
        <v>15</v>
      </c>
      <c r="HJ6" s="1190" t="s">
        <v>1656</v>
      </c>
      <c r="HL6" s="6268" t="s">
        <v>0</v>
      </c>
      <c r="HM6" s="6268" t="s">
        <v>1</v>
      </c>
      <c r="HN6" s="6268" t="s">
        <v>2</v>
      </c>
      <c r="HO6" s="6268" t="s">
        <v>1071</v>
      </c>
      <c r="HP6" s="6269" t="s">
        <v>1072</v>
      </c>
      <c r="HQ6" s="6268" t="s">
        <v>1073</v>
      </c>
      <c r="HR6" s="6269" t="s">
        <v>1074</v>
      </c>
      <c r="HS6" s="6268" t="s">
        <v>1075</v>
      </c>
      <c r="HT6" s="6268" t="s">
        <v>1076</v>
      </c>
      <c r="HU6" s="6269" t="s">
        <v>1077</v>
      </c>
      <c r="HV6" s="6269" t="s">
        <v>1078</v>
      </c>
      <c r="HW6" s="6269" t="s">
        <v>1079</v>
      </c>
      <c r="HX6" s="6269" t="s">
        <v>1080</v>
      </c>
      <c r="HY6" s="6269" t="s">
        <v>1081</v>
      </c>
      <c r="HZ6" s="6268" t="s">
        <v>1082</v>
      </c>
      <c r="IA6" s="6269" t="s">
        <v>1083</v>
      </c>
      <c r="IB6" s="6268" t="s">
        <v>15</v>
      </c>
      <c r="IC6" s="418" t="s">
        <v>1304</v>
      </c>
      <c r="IE6" s="525" t="s">
        <v>0</v>
      </c>
      <c r="IF6" s="525" t="s">
        <v>1</v>
      </c>
      <c r="IG6" s="525" t="s">
        <v>2</v>
      </c>
      <c r="IH6" s="6270" t="s">
        <v>1071</v>
      </c>
      <c r="II6" s="6270" t="s">
        <v>1072</v>
      </c>
      <c r="IJ6" s="6270" t="s">
        <v>1073</v>
      </c>
      <c r="IK6" s="6270" t="s">
        <v>1074</v>
      </c>
      <c r="IL6" s="6270" t="s">
        <v>1075</v>
      </c>
      <c r="IM6" s="6270" t="s">
        <v>1076</v>
      </c>
      <c r="IN6" s="6270" t="s">
        <v>1077</v>
      </c>
      <c r="IO6" s="6270" t="s">
        <v>1078</v>
      </c>
      <c r="IP6" s="6270" t="s">
        <v>1079</v>
      </c>
      <c r="IQ6" s="6270" t="s">
        <v>1080</v>
      </c>
      <c r="IR6" s="6270" t="s">
        <v>1081</v>
      </c>
      <c r="IS6" s="6270" t="s">
        <v>1082</v>
      </c>
      <c r="IT6" s="6270" t="s">
        <v>1083</v>
      </c>
      <c r="IU6" s="6270" t="s">
        <v>15</v>
      </c>
      <c r="IV6" s="6271" t="s">
        <v>66</v>
      </c>
      <c r="IX6" s="597" t="s">
        <v>0</v>
      </c>
      <c r="IY6" s="597" t="s">
        <v>1</v>
      </c>
      <c r="IZ6" s="597" t="s">
        <v>2</v>
      </c>
      <c r="JA6" s="597" t="s">
        <v>1071</v>
      </c>
      <c r="JB6" s="6272" t="s">
        <v>1072</v>
      </c>
      <c r="JC6" s="6272" t="s">
        <v>1073</v>
      </c>
      <c r="JD6" s="6272" t="s">
        <v>1074</v>
      </c>
      <c r="JE6" s="6272" t="s">
        <v>1075</v>
      </c>
      <c r="JF6" s="6272" t="s">
        <v>1076</v>
      </c>
      <c r="JG6" s="6272" t="s">
        <v>1077</v>
      </c>
      <c r="JH6" s="6272" t="s">
        <v>1079</v>
      </c>
      <c r="JI6" s="6272" t="s">
        <v>1080</v>
      </c>
      <c r="JJ6" s="6272" t="s">
        <v>1081</v>
      </c>
      <c r="JK6" s="6272" t="s">
        <v>1084</v>
      </c>
      <c r="JL6" s="6272" t="s">
        <v>1082</v>
      </c>
      <c r="JM6" s="6272" t="s">
        <v>1083</v>
      </c>
      <c r="JN6" s="6272" t="s">
        <v>1085</v>
      </c>
      <c r="JO6" s="597" t="s">
        <v>71</v>
      </c>
      <c r="JP6" s="6273" t="s">
        <v>66</v>
      </c>
      <c r="JR6" s="398" t="s">
        <v>0</v>
      </c>
      <c r="JS6" s="398" t="s">
        <v>1</v>
      </c>
      <c r="JT6" s="398" t="s">
        <v>2</v>
      </c>
      <c r="JU6" s="1469" t="s">
        <v>1071</v>
      </c>
      <c r="JV6" s="1469" t="s">
        <v>1072</v>
      </c>
      <c r="JW6" s="1469" t="s">
        <v>1073</v>
      </c>
      <c r="JX6" s="1469" t="s">
        <v>1074</v>
      </c>
      <c r="JY6" s="1469" t="s">
        <v>1075</v>
      </c>
      <c r="JZ6" s="1469" t="s">
        <v>1076</v>
      </c>
      <c r="KA6" s="1469" t="s">
        <v>1077</v>
      </c>
      <c r="KB6" s="1469" t="s">
        <v>1079</v>
      </c>
      <c r="KC6" s="1469" t="s">
        <v>1080</v>
      </c>
      <c r="KD6" s="1469" t="s">
        <v>1081</v>
      </c>
      <c r="KE6" s="1469" t="s">
        <v>1084</v>
      </c>
      <c r="KF6" s="1469" t="s">
        <v>1082</v>
      </c>
      <c r="KG6" s="1469" t="s">
        <v>1083</v>
      </c>
      <c r="KH6" s="1469" t="s">
        <v>1085</v>
      </c>
      <c r="KI6" s="1469" t="s">
        <v>71</v>
      </c>
      <c r="KJ6" s="599" t="s">
        <v>66</v>
      </c>
      <c r="KK6" s="95"/>
      <c r="KL6" s="6274" t="s">
        <v>0</v>
      </c>
      <c r="KM6" s="6274" t="s">
        <v>1</v>
      </c>
      <c r="KN6" s="6274" t="s">
        <v>2</v>
      </c>
      <c r="KO6" s="6274" t="s">
        <v>1071</v>
      </c>
      <c r="KP6" s="6274" t="s">
        <v>1072</v>
      </c>
      <c r="KQ6" s="6274" t="s">
        <v>1073</v>
      </c>
      <c r="KR6" s="6274" t="s">
        <v>1074</v>
      </c>
      <c r="KS6" s="6274" t="s">
        <v>1075</v>
      </c>
      <c r="KT6" s="6274" t="s">
        <v>1076</v>
      </c>
      <c r="KU6" s="6274" t="s">
        <v>1077</v>
      </c>
      <c r="KV6" s="6274" t="s">
        <v>1079</v>
      </c>
      <c r="KW6" s="6274" t="s">
        <v>1080</v>
      </c>
      <c r="KX6" s="6274" t="s">
        <v>1081</v>
      </c>
      <c r="KY6" s="6274" t="s">
        <v>1082</v>
      </c>
      <c r="KZ6" s="6274" t="s">
        <v>1083</v>
      </c>
      <c r="LA6" s="6274" t="s">
        <v>15</v>
      </c>
      <c r="LB6" s="6274" t="s">
        <v>1086</v>
      </c>
      <c r="LC6" s="6274" t="s">
        <v>66</v>
      </c>
      <c r="LD6" s="95"/>
      <c r="LE6" s="95"/>
    </row>
    <row r="7" spans="1:317">
      <c r="A7" s="6291">
        <v>1</v>
      </c>
      <c r="B7" s="6291">
        <v>1</v>
      </c>
      <c r="C7" s="6291">
        <v>1</v>
      </c>
      <c r="D7" s="6292">
        <v>695</v>
      </c>
      <c r="E7" s="6291">
        <v>34</v>
      </c>
      <c r="F7" s="6291">
        <v>165</v>
      </c>
      <c r="G7" s="6291">
        <v>163</v>
      </c>
      <c r="H7" s="6291">
        <v>28</v>
      </c>
      <c r="I7" s="6293"/>
      <c r="J7" s="6291">
        <v>3</v>
      </c>
      <c r="K7" s="6291">
        <v>35</v>
      </c>
      <c r="L7" s="6293"/>
      <c r="M7" s="6291">
        <v>40</v>
      </c>
      <c r="N7" s="6291">
        <v>59</v>
      </c>
      <c r="O7" s="6293"/>
      <c r="P7" s="6291">
        <v>168</v>
      </c>
      <c r="Q7" s="6294">
        <f>+(K7+M7+P7)/(D7)</f>
        <v>0.34964028776978417</v>
      </c>
      <c r="S7" s="6295">
        <v>1</v>
      </c>
      <c r="T7" s="6295">
        <v>1</v>
      </c>
      <c r="U7" s="6295">
        <v>1</v>
      </c>
      <c r="V7" s="6295">
        <v>748</v>
      </c>
      <c r="W7" s="6295">
        <v>34</v>
      </c>
      <c r="X7" s="6295">
        <v>152</v>
      </c>
      <c r="Y7" s="6295">
        <v>184</v>
      </c>
      <c r="Z7" s="6295">
        <v>30</v>
      </c>
      <c r="AA7" s="6296"/>
      <c r="AB7" s="6295">
        <v>6</v>
      </c>
      <c r="AC7" s="6295">
        <v>36</v>
      </c>
      <c r="AD7" s="6296"/>
      <c r="AE7" s="6295">
        <v>19</v>
      </c>
      <c r="AF7" s="6295">
        <v>107</v>
      </c>
      <c r="AG7" s="6296"/>
      <c r="AH7" s="6295">
        <v>180</v>
      </c>
      <c r="AI7" s="6294">
        <f>+(AC7+AE7+AH7)/(V7)</f>
        <v>0.31417112299465239</v>
      </c>
      <c r="AK7" s="6297">
        <v>1</v>
      </c>
      <c r="AL7" s="6297">
        <v>1</v>
      </c>
      <c r="AM7" s="6297">
        <v>1</v>
      </c>
      <c r="AN7" s="6298">
        <v>792</v>
      </c>
      <c r="AO7" s="6297">
        <v>28</v>
      </c>
      <c r="AP7" s="6297">
        <v>152</v>
      </c>
      <c r="AQ7" s="6297">
        <v>212</v>
      </c>
      <c r="AR7" s="6297">
        <v>30</v>
      </c>
      <c r="AS7" s="6299"/>
      <c r="AT7" s="6297">
        <v>6</v>
      </c>
      <c r="AU7" s="6299"/>
      <c r="AV7" s="6297">
        <v>22</v>
      </c>
      <c r="AW7" s="6297">
        <v>27</v>
      </c>
      <c r="AX7" s="6299"/>
      <c r="AY7" s="6297">
        <v>103</v>
      </c>
      <c r="AZ7" s="6297">
        <v>43</v>
      </c>
      <c r="BA7" s="6299"/>
      <c r="BB7" s="6297">
        <v>169</v>
      </c>
      <c r="BC7" s="6300">
        <f>+(AV7+AW7+BB7)/(AN7-AU7-AZ7)</f>
        <v>0.29105473965287049</v>
      </c>
      <c r="BE7" s="6301">
        <v>1</v>
      </c>
      <c r="BF7" s="6301">
        <v>1</v>
      </c>
      <c r="BG7" s="6301">
        <v>1</v>
      </c>
      <c r="BH7" s="4405" t="s">
        <v>5</v>
      </c>
      <c r="BI7" s="6302">
        <v>909</v>
      </c>
      <c r="BJ7" s="6301">
        <v>25</v>
      </c>
      <c r="BK7" s="6301">
        <v>229</v>
      </c>
      <c r="BL7" s="6301">
        <v>181</v>
      </c>
      <c r="BM7" s="6301">
        <v>35</v>
      </c>
      <c r="BN7" s="6303"/>
      <c r="BO7" s="6301">
        <v>6</v>
      </c>
      <c r="BP7" s="6303"/>
      <c r="BQ7" s="6301">
        <v>25</v>
      </c>
      <c r="BR7" s="6303"/>
      <c r="BS7" s="6301">
        <v>44</v>
      </c>
      <c r="BT7" s="6301">
        <v>93</v>
      </c>
      <c r="BU7" s="6301">
        <v>43</v>
      </c>
      <c r="BV7" s="6303"/>
      <c r="BW7" s="6301">
        <v>228</v>
      </c>
      <c r="BX7" s="6300">
        <f>+(BQ7+BS7+BW7)/(BI7-BP7-BU7)</f>
        <v>0.34295612009237875</v>
      </c>
      <c r="BZ7" s="4388" t="s">
        <v>3</v>
      </c>
      <c r="CA7" s="4388" t="s">
        <v>4</v>
      </c>
      <c r="CB7" s="4388" t="s">
        <v>5</v>
      </c>
      <c r="CC7" s="4231">
        <v>177</v>
      </c>
      <c r="CD7" s="4231">
        <v>91</v>
      </c>
      <c r="CE7" s="4231"/>
      <c r="CF7" s="4231">
        <v>35</v>
      </c>
      <c r="CG7" s="4231">
        <v>223</v>
      </c>
      <c r="CH7" s="4231">
        <v>36</v>
      </c>
      <c r="CI7" s="4231">
        <v>6</v>
      </c>
      <c r="CJ7" s="4231"/>
      <c r="CK7" s="4231"/>
      <c r="CL7" s="4231">
        <v>36</v>
      </c>
      <c r="CM7" s="4231">
        <v>33</v>
      </c>
      <c r="CN7" s="4231">
        <v>43</v>
      </c>
      <c r="CO7" s="4231">
        <v>229</v>
      </c>
      <c r="CP7" s="4231">
        <v>0</v>
      </c>
      <c r="CQ7" s="4231">
        <v>909</v>
      </c>
      <c r="CR7" s="6304">
        <f>+(CM7+CH7+CG7)/(CQ7-CP7-CN7)</f>
        <v>0.33718244803695152</v>
      </c>
      <c r="CS7" s="4238">
        <f>CQ7-CT7</f>
        <v>0</v>
      </c>
      <c r="CT7" s="6305">
        <v>909</v>
      </c>
      <c r="CV7" s="97" t="s">
        <v>3</v>
      </c>
      <c r="CW7" s="97" t="s">
        <v>4</v>
      </c>
      <c r="CX7" s="42" t="s">
        <v>5</v>
      </c>
      <c r="CY7" s="42">
        <v>104</v>
      </c>
      <c r="CZ7" s="42">
        <v>67</v>
      </c>
      <c r="DB7" s="42">
        <v>46</v>
      </c>
      <c r="DC7" s="42">
        <v>344</v>
      </c>
      <c r="DD7" s="42">
        <v>37</v>
      </c>
      <c r="DE7" s="42">
        <v>139</v>
      </c>
      <c r="DF7" s="42">
        <v>7</v>
      </c>
      <c r="DH7" s="42">
        <v>31</v>
      </c>
      <c r="DI7" s="42">
        <v>33</v>
      </c>
      <c r="DJ7" s="42">
        <v>48</v>
      </c>
      <c r="DK7" s="42">
        <v>186</v>
      </c>
      <c r="DL7" s="42">
        <v>0</v>
      </c>
      <c r="DM7" s="893">
        <v>1042</v>
      </c>
      <c r="DN7" s="6306">
        <f>+(DC7+DD7+DI7)/(DM7-DL7-DJ7)</f>
        <v>0.4164989939637827</v>
      </c>
      <c r="DP7" s="4263" t="s">
        <v>3</v>
      </c>
      <c r="DQ7" s="4263" t="s">
        <v>4</v>
      </c>
      <c r="DR7" s="4258" t="s">
        <v>5</v>
      </c>
      <c r="DS7" s="4263">
        <v>170</v>
      </c>
      <c r="DT7" s="4263">
        <v>71</v>
      </c>
      <c r="DU7" s="4263"/>
      <c r="DV7" s="4263">
        <v>41</v>
      </c>
      <c r="DW7" s="4263">
        <v>243</v>
      </c>
      <c r="DX7" s="4263">
        <v>52</v>
      </c>
      <c r="DY7" s="4263">
        <v>75</v>
      </c>
      <c r="DZ7" s="4263"/>
      <c r="EA7" s="4263"/>
      <c r="EB7" s="4263">
        <v>35</v>
      </c>
      <c r="EC7" s="4263">
        <v>42</v>
      </c>
      <c r="ED7" s="4263">
        <v>47</v>
      </c>
      <c r="EE7" s="4263">
        <v>198</v>
      </c>
      <c r="EF7" s="4263">
        <v>0</v>
      </c>
      <c r="EG7" s="4263">
        <v>974</v>
      </c>
      <c r="EH7" s="6307">
        <f>+(EC7+DX7+DW7)/(EG7-EF7-ED7)</f>
        <v>0.36353829557713052</v>
      </c>
      <c r="EJ7" s="42" t="s">
        <v>3</v>
      </c>
      <c r="EK7" s="42" t="s">
        <v>4</v>
      </c>
      <c r="EL7" s="42" t="s">
        <v>5</v>
      </c>
      <c r="EM7" s="97">
        <v>182</v>
      </c>
      <c r="EN7" s="97">
        <v>81</v>
      </c>
      <c r="EO7" s="97"/>
      <c r="EP7" s="97">
        <v>2</v>
      </c>
      <c r="EQ7" s="97">
        <v>294</v>
      </c>
      <c r="ER7" s="97">
        <v>27</v>
      </c>
      <c r="ES7" s="97">
        <v>72</v>
      </c>
      <c r="ET7" s="97"/>
      <c r="EU7" s="97"/>
      <c r="EV7" s="97">
        <v>36</v>
      </c>
      <c r="EW7" s="97">
        <v>37</v>
      </c>
      <c r="EX7" s="97">
        <v>47</v>
      </c>
      <c r="EY7" s="97">
        <v>221</v>
      </c>
      <c r="EZ7" s="97"/>
      <c r="FA7" s="97">
        <v>999</v>
      </c>
      <c r="FB7" s="5723">
        <f>+(EW7+ER7+EQ7)/(FA7-EZ7-EX7)</f>
        <v>0.37605042016806722</v>
      </c>
      <c r="FD7" s="42" t="s">
        <v>3</v>
      </c>
      <c r="FE7" s="42" t="s">
        <v>4</v>
      </c>
      <c r="FF7" s="42" t="s">
        <v>5</v>
      </c>
      <c r="FG7" s="97">
        <v>187</v>
      </c>
      <c r="FH7" s="97">
        <v>96</v>
      </c>
      <c r="FI7" s="97"/>
      <c r="FJ7" s="97">
        <v>50</v>
      </c>
      <c r="FK7" s="97">
        <v>248</v>
      </c>
      <c r="FL7" s="97">
        <v>45</v>
      </c>
      <c r="FM7" s="97">
        <v>62</v>
      </c>
      <c r="FN7" s="97"/>
      <c r="FO7" s="97"/>
      <c r="FP7" s="97">
        <v>44</v>
      </c>
      <c r="FQ7" s="97">
        <v>49</v>
      </c>
      <c r="FR7" s="97">
        <v>34</v>
      </c>
      <c r="FS7" s="97">
        <v>219</v>
      </c>
      <c r="FT7" s="97">
        <v>0</v>
      </c>
      <c r="FU7" s="97">
        <v>1034</v>
      </c>
      <c r="FV7" s="6308">
        <f t="shared" ref="FV7:FV70" si="0">+(FQ7+FL7+FK7)/(FU7-FT7-FR7)</f>
        <v>0.34200000000000003</v>
      </c>
      <c r="FX7" s="42" t="s">
        <v>3</v>
      </c>
      <c r="FY7" s="42" t="s">
        <v>4</v>
      </c>
      <c r="FZ7" s="42" t="s">
        <v>5</v>
      </c>
      <c r="GA7" s="97">
        <v>217</v>
      </c>
      <c r="GB7" s="97">
        <v>100</v>
      </c>
      <c r="GC7" s="97"/>
      <c r="GD7" s="97">
        <v>46</v>
      </c>
      <c r="GE7" s="97">
        <v>212</v>
      </c>
      <c r="GF7" s="97">
        <v>25</v>
      </c>
      <c r="GG7" s="97">
        <v>56</v>
      </c>
      <c r="GH7" s="97">
        <v>27</v>
      </c>
      <c r="GI7" s="97"/>
      <c r="GJ7" s="97">
        <v>58</v>
      </c>
      <c r="GK7" s="97">
        <v>20</v>
      </c>
      <c r="GL7" s="6309">
        <v>22</v>
      </c>
      <c r="GM7" s="97">
        <v>220</v>
      </c>
      <c r="GN7" s="6309">
        <v>0</v>
      </c>
      <c r="GO7" s="6309">
        <v>1003</v>
      </c>
      <c r="GP7" s="6308">
        <f>+(GE7+GF7+GK7)/(GO7-GN7-GL7)</f>
        <v>0.26197757390417942</v>
      </c>
      <c r="GR7" s="6280" t="s">
        <v>3</v>
      </c>
      <c r="GS7" s="6280" t="s">
        <v>4</v>
      </c>
      <c r="GT7" s="6310" t="s">
        <v>5</v>
      </c>
      <c r="GU7" s="6311">
        <v>289</v>
      </c>
      <c r="GV7" s="6311">
        <v>102</v>
      </c>
      <c r="GW7" s="6312"/>
      <c r="GX7" s="6311">
        <v>46</v>
      </c>
      <c r="GY7" s="6311">
        <v>186</v>
      </c>
      <c r="GZ7" s="6311">
        <v>14</v>
      </c>
      <c r="HA7" s="6311">
        <v>26</v>
      </c>
      <c r="HB7" s="6312"/>
      <c r="HC7" s="6312"/>
      <c r="HD7" s="6311">
        <v>23</v>
      </c>
      <c r="HE7" s="6311">
        <v>33</v>
      </c>
      <c r="HF7" s="6311">
        <v>16</v>
      </c>
      <c r="HG7" s="6311">
        <v>230</v>
      </c>
      <c r="HH7" s="6311">
        <v>0</v>
      </c>
      <c r="HI7" s="6311">
        <v>965</v>
      </c>
      <c r="HJ7" s="467">
        <f>+(GY7+GZ7+HE7)/(HI7-HH7-HF7)</f>
        <v>0.24552160168598525</v>
      </c>
      <c r="HL7" s="967" t="s">
        <v>3</v>
      </c>
      <c r="HM7" s="967" t="s">
        <v>4</v>
      </c>
      <c r="HN7" s="977" t="s">
        <v>5</v>
      </c>
      <c r="HO7" s="978">
        <v>262</v>
      </c>
      <c r="HP7" s="978">
        <v>95</v>
      </c>
      <c r="HQ7" s="967"/>
      <c r="HR7" s="978">
        <v>54</v>
      </c>
      <c r="HS7" s="978">
        <v>162</v>
      </c>
      <c r="HT7" s="978">
        <v>13</v>
      </c>
      <c r="HU7" s="978">
        <v>44</v>
      </c>
      <c r="HV7" s="967"/>
      <c r="HW7" s="978">
        <v>0</v>
      </c>
      <c r="HX7" s="978">
        <v>38</v>
      </c>
      <c r="HY7" s="978">
        <v>22</v>
      </c>
      <c r="HZ7" s="978">
        <v>195</v>
      </c>
      <c r="IA7" s="978">
        <v>0</v>
      </c>
      <c r="IB7" s="978">
        <v>885</v>
      </c>
      <c r="IC7" s="467">
        <f>+(HS7+HT7+HY7)/IB7</f>
        <v>0.22259887005649717</v>
      </c>
      <c r="IE7" s="577" t="s">
        <v>3</v>
      </c>
      <c r="IF7" s="577" t="s">
        <v>4</v>
      </c>
      <c r="IG7" s="979" t="s">
        <v>5</v>
      </c>
      <c r="IH7" s="980">
        <v>208</v>
      </c>
      <c r="II7" s="980">
        <v>92</v>
      </c>
      <c r="IJ7" s="980">
        <v>0</v>
      </c>
      <c r="IK7" s="980">
        <v>53</v>
      </c>
      <c r="IL7" s="980">
        <v>134</v>
      </c>
      <c r="IM7" s="980">
        <v>24</v>
      </c>
      <c r="IN7" s="980">
        <v>38</v>
      </c>
      <c r="IO7" s="577"/>
      <c r="IP7" s="980">
        <v>0</v>
      </c>
      <c r="IQ7" s="980">
        <v>14</v>
      </c>
      <c r="IR7" s="980">
        <v>16</v>
      </c>
      <c r="IS7" s="980">
        <v>165</v>
      </c>
      <c r="IT7" s="980">
        <v>0</v>
      </c>
      <c r="IU7" s="980">
        <v>744</v>
      </c>
      <c r="IV7" s="467">
        <f>+(IR7+IM7+IL7)/IU7</f>
        <v>0.23387096774193547</v>
      </c>
      <c r="IX7" s="742" t="s">
        <v>3</v>
      </c>
      <c r="IY7" s="742" t="s">
        <v>4</v>
      </c>
      <c r="IZ7" s="981" t="s">
        <v>5</v>
      </c>
      <c r="JA7" s="982">
        <v>180</v>
      </c>
      <c r="JB7" s="982">
        <v>58</v>
      </c>
      <c r="JC7" s="982">
        <v>0</v>
      </c>
      <c r="JD7" s="982">
        <v>43</v>
      </c>
      <c r="JE7" s="982">
        <v>104</v>
      </c>
      <c r="JF7" s="982">
        <v>12</v>
      </c>
      <c r="JG7" s="982">
        <v>34</v>
      </c>
      <c r="JH7" s="982">
        <v>0</v>
      </c>
      <c r="JI7" s="982">
        <v>16</v>
      </c>
      <c r="JJ7" s="982">
        <v>21</v>
      </c>
      <c r="JK7" s="982">
        <v>165</v>
      </c>
      <c r="JL7" s="982">
        <v>170</v>
      </c>
      <c r="JM7" s="982">
        <v>0</v>
      </c>
      <c r="JN7" s="982">
        <v>2</v>
      </c>
      <c r="JO7" s="982">
        <v>805</v>
      </c>
      <c r="JP7" s="983">
        <f>+(JJ7+JF7+JE7)/(JO7-JN7-JK7)</f>
        <v>0.21473354231974923</v>
      </c>
      <c r="JR7" s="97" t="s">
        <v>3</v>
      </c>
      <c r="JS7" s="97" t="s">
        <v>4</v>
      </c>
      <c r="JT7" s="42" t="s">
        <v>5</v>
      </c>
      <c r="JU7" s="42">
        <v>134</v>
      </c>
      <c r="JV7" s="42">
        <v>44</v>
      </c>
      <c r="JW7" s="42"/>
      <c r="JX7" s="42">
        <v>33</v>
      </c>
      <c r="JY7" s="42">
        <v>83</v>
      </c>
      <c r="JZ7" s="42">
        <v>14</v>
      </c>
      <c r="KA7" s="42">
        <v>37</v>
      </c>
      <c r="KB7" s="42">
        <v>0</v>
      </c>
      <c r="KC7" s="42">
        <v>13</v>
      </c>
      <c r="KD7" s="42">
        <v>11</v>
      </c>
      <c r="KE7" s="42">
        <v>125</v>
      </c>
      <c r="KF7" s="42">
        <v>158</v>
      </c>
      <c r="KG7" s="42">
        <v>0</v>
      </c>
      <c r="KH7" s="42">
        <v>1</v>
      </c>
      <c r="KI7" s="42">
        <v>653</v>
      </c>
      <c r="KJ7" s="984">
        <f t="shared" ref="KJ7:KJ70" si="1">+(KD7+JZ7+JY7)/(KI7-KH7-KE7)</f>
        <v>0.2049335863377609</v>
      </c>
      <c r="KK7" s="42"/>
      <c r="KL7" s="354" t="s">
        <v>3</v>
      </c>
      <c r="KM7" s="354" t="s">
        <v>4</v>
      </c>
      <c r="KN7" s="354" t="s">
        <v>5</v>
      </c>
      <c r="KO7" s="985">
        <v>103</v>
      </c>
      <c r="KP7" s="985">
        <v>46</v>
      </c>
      <c r="KQ7" s="985" t="s">
        <v>315</v>
      </c>
      <c r="KR7" s="985">
        <v>38</v>
      </c>
      <c r="KS7" s="985">
        <v>69</v>
      </c>
      <c r="KT7" s="985">
        <v>9</v>
      </c>
      <c r="KU7" s="985">
        <v>45</v>
      </c>
      <c r="KV7" s="985" t="s">
        <v>315</v>
      </c>
      <c r="KW7" s="985">
        <v>28</v>
      </c>
      <c r="KX7" s="985">
        <v>8</v>
      </c>
      <c r="KY7" s="985">
        <v>145</v>
      </c>
      <c r="KZ7" s="985" t="s">
        <v>315</v>
      </c>
      <c r="LA7" s="985">
        <v>491</v>
      </c>
      <c r="LB7" s="985">
        <f t="shared" ref="LB7:LB70" si="2">+KX7+KT7+KS7</f>
        <v>86</v>
      </c>
      <c r="LC7" s="986">
        <f t="shared" ref="LC7:LC70" si="3">+LB7/LA7</f>
        <v>0.17515274949083504</v>
      </c>
      <c r="LD7" s="42"/>
      <c r="LE7" s="42"/>
    </row>
    <row r="8" spans="1:317">
      <c r="A8" s="6291">
        <v>1</v>
      </c>
      <c r="B8" s="6291">
        <v>1</v>
      </c>
      <c r="C8" s="6291">
        <v>2</v>
      </c>
      <c r="D8" s="6292">
        <v>766</v>
      </c>
      <c r="E8" s="6291">
        <v>18</v>
      </c>
      <c r="F8" s="6291">
        <v>213</v>
      </c>
      <c r="G8" s="6291">
        <v>189</v>
      </c>
      <c r="H8" s="6291">
        <v>29</v>
      </c>
      <c r="I8" s="6293"/>
      <c r="J8" s="6291">
        <v>7</v>
      </c>
      <c r="K8" s="6291">
        <v>36</v>
      </c>
      <c r="L8" s="6293"/>
      <c r="M8" s="6291">
        <v>19</v>
      </c>
      <c r="N8" s="6291">
        <v>60</v>
      </c>
      <c r="O8" s="6293"/>
      <c r="P8" s="6291">
        <v>195</v>
      </c>
      <c r="Q8" s="6294">
        <f t="shared" ref="Q8:Q71" si="4">+(K8+M8+P8)/(D8)</f>
        <v>0.32637075718015668</v>
      </c>
      <c r="S8" s="6295">
        <v>1</v>
      </c>
      <c r="T8" s="6295">
        <v>1</v>
      </c>
      <c r="U8" s="6295">
        <v>2</v>
      </c>
      <c r="V8" s="6295">
        <v>802</v>
      </c>
      <c r="W8" s="6295">
        <v>28</v>
      </c>
      <c r="X8" s="6295">
        <v>168</v>
      </c>
      <c r="Y8" s="6295">
        <v>177</v>
      </c>
      <c r="Z8" s="6295">
        <v>35</v>
      </c>
      <c r="AA8" s="6296"/>
      <c r="AB8" s="6295">
        <v>8</v>
      </c>
      <c r="AC8" s="6295">
        <v>39</v>
      </c>
      <c r="AD8" s="6296"/>
      <c r="AE8" s="6295">
        <v>25</v>
      </c>
      <c r="AF8" s="6295">
        <v>131</v>
      </c>
      <c r="AG8" s="6296"/>
      <c r="AH8" s="6295">
        <v>191</v>
      </c>
      <c r="AI8" s="6294">
        <f t="shared" ref="AI8:AI84" si="5">+(AC8+AE8+AH8)/(V8)</f>
        <v>0.31795511221945139</v>
      </c>
      <c r="AJ8" s="6295"/>
      <c r="AK8" s="6297">
        <v>1</v>
      </c>
      <c r="AL8" s="6297">
        <v>1</v>
      </c>
      <c r="AM8" s="6297">
        <v>2</v>
      </c>
      <c r="AN8" s="6298">
        <v>870</v>
      </c>
      <c r="AO8" s="6297">
        <v>15</v>
      </c>
      <c r="AP8" s="6297">
        <v>168</v>
      </c>
      <c r="AQ8" s="6297">
        <v>208</v>
      </c>
      <c r="AR8" s="6297">
        <v>33</v>
      </c>
      <c r="AS8" s="6299"/>
      <c r="AT8" s="6297">
        <v>8</v>
      </c>
      <c r="AU8" s="6299"/>
      <c r="AV8" s="6297">
        <v>26</v>
      </c>
      <c r="AW8" s="6297">
        <v>36</v>
      </c>
      <c r="AX8" s="6299"/>
      <c r="AY8" s="6297">
        <v>132</v>
      </c>
      <c r="AZ8" s="6297">
        <v>66</v>
      </c>
      <c r="BA8" s="6299"/>
      <c r="BB8" s="6297">
        <v>178</v>
      </c>
      <c r="BC8" s="6300">
        <f t="shared" ref="BC8:BC71" si="6">+(AV8+AW8+BB8)/(AN8-AU8-AZ8)</f>
        <v>0.29850746268656714</v>
      </c>
      <c r="BE8" s="6313">
        <v>1</v>
      </c>
      <c r="BF8" s="6313">
        <v>1</v>
      </c>
      <c r="BG8" s="6313">
        <v>2</v>
      </c>
      <c r="BH8" s="4405" t="s">
        <v>6</v>
      </c>
      <c r="BI8" s="6314">
        <v>999</v>
      </c>
      <c r="BJ8" s="6313">
        <v>19</v>
      </c>
      <c r="BK8" s="6313">
        <v>266</v>
      </c>
      <c r="BL8" s="6313">
        <v>180</v>
      </c>
      <c r="BM8" s="6313">
        <v>40</v>
      </c>
      <c r="BN8" s="6303"/>
      <c r="BO8" s="6313">
        <v>11</v>
      </c>
      <c r="BP8" s="6303"/>
      <c r="BQ8" s="6313">
        <v>35</v>
      </c>
      <c r="BR8" s="6303"/>
      <c r="BS8" s="6313">
        <v>59</v>
      </c>
      <c r="BT8" s="6313">
        <v>122</v>
      </c>
      <c r="BU8" s="6313">
        <v>67</v>
      </c>
      <c r="BV8" s="6303"/>
      <c r="BW8" s="6313">
        <v>200</v>
      </c>
      <c r="BX8" s="6300">
        <f>+(BQ8+BS8+BW8)/(BI8-BP8-BU8)</f>
        <v>0.31545064377682402</v>
      </c>
      <c r="BZ8" s="4388"/>
      <c r="CA8" s="4388"/>
      <c r="CB8" s="4388" t="s">
        <v>6</v>
      </c>
      <c r="CC8" s="4231">
        <v>203</v>
      </c>
      <c r="CD8" s="4231">
        <v>112</v>
      </c>
      <c r="CE8" s="4231"/>
      <c r="CF8" s="4231">
        <v>39</v>
      </c>
      <c r="CG8" s="4231">
        <v>199</v>
      </c>
      <c r="CH8" s="4231">
        <v>36</v>
      </c>
      <c r="CI8" s="4231">
        <v>11</v>
      </c>
      <c r="CJ8" s="4231"/>
      <c r="CK8" s="4231"/>
      <c r="CL8" s="4231">
        <v>23</v>
      </c>
      <c r="CM8" s="4231">
        <v>43</v>
      </c>
      <c r="CN8" s="4231">
        <v>67</v>
      </c>
      <c r="CO8" s="4231">
        <v>266</v>
      </c>
      <c r="CP8" s="4231">
        <v>0</v>
      </c>
      <c r="CQ8" s="4231">
        <v>999</v>
      </c>
      <c r="CR8" s="6304">
        <f t="shared" ref="CR8:CR71" si="7">+(CM8+CH8+CG8)/(CQ8-CP8-CN8)</f>
        <v>0.29828326180257508</v>
      </c>
      <c r="CS8" s="4238">
        <f t="shared" ref="CS8:CS71" si="8">CQ8-CT8</f>
        <v>1</v>
      </c>
      <c r="CT8" s="6305">
        <v>998</v>
      </c>
      <c r="CX8" s="42" t="s">
        <v>6</v>
      </c>
      <c r="CY8" s="42">
        <v>116</v>
      </c>
      <c r="CZ8" s="42">
        <v>78</v>
      </c>
      <c r="DB8" s="42">
        <v>41</v>
      </c>
      <c r="DC8" s="42">
        <v>301</v>
      </c>
      <c r="DD8" s="42">
        <v>35</v>
      </c>
      <c r="DE8" s="42">
        <v>208</v>
      </c>
      <c r="DF8" s="42">
        <v>7</v>
      </c>
      <c r="DH8" s="42">
        <v>41</v>
      </c>
      <c r="DI8" s="42">
        <v>29</v>
      </c>
      <c r="DJ8" s="42">
        <v>78</v>
      </c>
      <c r="DK8" s="42">
        <v>234</v>
      </c>
      <c r="DL8" s="42">
        <v>1</v>
      </c>
      <c r="DM8" s="893">
        <v>1169</v>
      </c>
      <c r="DN8" s="6306">
        <f>+(DC8+DD8+DI8)/(DM8-DL8-DJ8)</f>
        <v>0.33486238532110091</v>
      </c>
      <c r="DP8" s="4263"/>
      <c r="DQ8" s="4263"/>
      <c r="DR8" s="4258" t="s">
        <v>6</v>
      </c>
      <c r="DS8" s="4263">
        <v>178</v>
      </c>
      <c r="DT8" s="4263">
        <v>110</v>
      </c>
      <c r="DU8" s="4263"/>
      <c r="DV8" s="4263">
        <v>37</v>
      </c>
      <c r="DW8" s="4263">
        <v>213</v>
      </c>
      <c r="DX8" s="4263">
        <v>47</v>
      </c>
      <c r="DY8" s="4263">
        <v>111</v>
      </c>
      <c r="DZ8" s="4263"/>
      <c r="EA8" s="4263"/>
      <c r="EB8" s="4263">
        <v>28</v>
      </c>
      <c r="EC8" s="4263">
        <v>29</v>
      </c>
      <c r="ED8" s="4263">
        <v>75</v>
      </c>
      <c r="EE8" s="4263">
        <v>236</v>
      </c>
      <c r="EF8" s="4263">
        <v>0</v>
      </c>
      <c r="EG8" s="4263">
        <v>1064</v>
      </c>
      <c r="EH8" s="6307">
        <f t="shared" ref="EH8:EH71" si="9">+(EC8+DX8+DW8)/(EG8-EF8-ED8)</f>
        <v>0.29221435793731043</v>
      </c>
      <c r="EL8" s="42" t="s">
        <v>6</v>
      </c>
      <c r="EM8" s="97">
        <v>189</v>
      </c>
      <c r="EN8" s="97">
        <v>101</v>
      </c>
      <c r="EO8" s="97"/>
      <c r="EP8" s="97">
        <v>1</v>
      </c>
      <c r="EQ8" s="97">
        <v>252</v>
      </c>
      <c r="ER8" s="97">
        <v>33</v>
      </c>
      <c r="ES8" s="97">
        <v>108</v>
      </c>
      <c r="ET8" s="97"/>
      <c r="EU8" s="97"/>
      <c r="EV8" s="97">
        <v>58</v>
      </c>
      <c r="EW8" s="97">
        <v>36</v>
      </c>
      <c r="EX8" s="97">
        <v>75</v>
      </c>
      <c r="EY8" s="97">
        <v>273</v>
      </c>
      <c r="EZ8" s="97"/>
      <c r="FA8" s="97">
        <v>1126</v>
      </c>
      <c r="FB8" s="6315">
        <f t="shared" ref="FB8:FB71" si="10">+(EW8+ER8+EQ8)/(FA8-EZ8-EX8)</f>
        <v>0.30542340627973358</v>
      </c>
      <c r="FD8" s="42"/>
      <c r="FE8" s="42"/>
      <c r="FF8" s="42" t="s">
        <v>6</v>
      </c>
      <c r="FG8" s="97">
        <v>220</v>
      </c>
      <c r="FH8" s="97">
        <v>150</v>
      </c>
      <c r="FI8" s="97"/>
      <c r="FJ8" s="97">
        <v>43</v>
      </c>
      <c r="FK8" s="97">
        <v>187</v>
      </c>
      <c r="FL8" s="97">
        <v>58</v>
      </c>
      <c r="FM8" s="97">
        <v>91</v>
      </c>
      <c r="FN8" s="97"/>
      <c r="FO8" s="97"/>
      <c r="FP8" s="97">
        <v>48</v>
      </c>
      <c r="FQ8" s="97">
        <v>45</v>
      </c>
      <c r="FR8" s="97">
        <v>52</v>
      </c>
      <c r="FS8" s="97">
        <v>274</v>
      </c>
      <c r="FT8" s="97">
        <v>2</v>
      </c>
      <c r="FU8" s="97">
        <v>1170</v>
      </c>
      <c r="FV8" s="6308">
        <f t="shared" si="0"/>
        <v>0.25985663082437277</v>
      </c>
      <c r="FX8" s="42"/>
      <c r="FY8" s="42"/>
      <c r="FZ8" s="42" t="s">
        <v>6</v>
      </c>
      <c r="GA8" s="97">
        <v>253</v>
      </c>
      <c r="GB8" s="97">
        <v>152</v>
      </c>
      <c r="GC8" s="97"/>
      <c r="GD8" s="97">
        <v>43</v>
      </c>
      <c r="GE8" s="97">
        <v>176</v>
      </c>
      <c r="GF8" s="97">
        <v>30</v>
      </c>
      <c r="GG8" s="97">
        <v>71</v>
      </c>
      <c r="GH8" s="97">
        <v>24</v>
      </c>
      <c r="GI8" s="97"/>
      <c r="GJ8" s="97">
        <v>49</v>
      </c>
      <c r="GK8" s="97">
        <v>28</v>
      </c>
      <c r="GL8" s="97">
        <v>32</v>
      </c>
      <c r="GM8" s="97">
        <v>285</v>
      </c>
      <c r="GN8" s="97">
        <v>3</v>
      </c>
      <c r="GO8" s="97">
        <v>1146</v>
      </c>
      <c r="GP8" s="6308">
        <f t="shared" ref="GP8:GP71" si="11">+(GE8+GF8+GK8)/(GO8-GN8-GL8)</f>
        <v>0.21062106210621062</v>
      </c>
      <c r="GR8" s="6280"/>
      <c r="GS8" s="6280"/>
      <c r="GT8" s="6310" t="s">
        <v>6</v>
      </c>
      <c r="GU8" s="6311">
        <v>311</v>
      </c>
      <c r="GV8" s="6311">
        <v>124</v>
      </c>
      <c r="GW8" s="6312"/>
      <c r="GX8" s="6311">
        <v>49</v>
      </c>
      <c r="GY8" s="6311">
        <v>137</v>
      </c>
      <c r="GZ8" s="6311">
        <v>25</v>
      </c>
      <c r="HA8" s="6311">
        <v>61</v>
      </c>
      <c r="HB8" s="6312"/>
      <c r="HC8" s="6312"/>
      <c r="HD8" s="6311">
        <v>48</v>
      </c>
      <c r="HE8" s="6311">
        <v>34</v>
      </c>
      <c r="HF8" s="6311">
        <v>20</v>
      </c>
      <c r="HG8" s="6311">
        <v>306</v>
      </c>
      <c r="HH8" s="6311">
        <v>3</v>
      </c>
      <c r="HI8" s="6311">
        <v>1118</v>
      </c>
      <c r="HJ8" s="467">
        <f t="shared" ref="HJ8:HJ71" si="12">+(GY8+GZ8+HE8)/(HI8-HH8-HF8)</f>
        <v>0.17899543378995433</v>
      </c>
      <c r="HL8" s="967"/>
      <c r="HM8" s="967"/>
      <c r="HN8" s="977" t="s">
        <v>6</v>
      </c>
      <c r="HO8" s="978">
        <v>322</v>
      </c>
      <c r="HP8" s="978">
        <v>111</v>
      </c>
      <c r="HQ8" s="967"/>
      <c r="HR8" s="978">
        <v>51</v>
      </c>
      <c r="HS8" s="978">
        <v>130</v>
      </c>
      <c r="HT8" s="978">
        <v>13</v>
      </c>
      <c r="HU8" s="978">
        <v>66</v>
      </c>
      <c r="HV8" s="967"/>
      <c r="HW8" s="978">
        <v>0</v>
      </c>
      <c r="HX8" s="978">
        <v>37</v>
      </c>
      <c r="HY8" s="978">
        <v>18</v>
      </c>
      <c r="HZ8" s="978">
        <v>310</v>
      </c>
      <c r="IA8" s="978">
        <v>0</v>
      </c>
      <c r="IB8" s="978">
        <v>1058</v>
      </c>
      <c r="IC8" s="467">
        <f t="shared" ref="IC8:IC71" si="13">+(HS8+HT8+HY8)/IB8</f>
        <v>0.15217391304347827</v>
      </c>
      <c r="IE8" s="577"/>
      <c r="IF8" s="577"/>
      <c r="IG8" s="979" t="s">
        <v>6</v>
      </c>
      <c r="IH8" s="980">
        <v>259</v>
      </c>
      <c r="II8" s="980">
        <v>97</v>
      </c>
      <c r="IJ8" s="980">
        <v>0</v>
      </c>
      <c r="IK8" s="980">
        <v>52</v>
      </c>
      <c r="IL8" s="980">
        <v>106</v>
      </c>
      <c r="IM8" s="980">
        <v>22</v>
      </c>
      <c r="IN8" s="980">
        <v>60</v>
      </c>
      <c r="IO8" s="577"/>
      <c r="IP8" s="980">
        <v>0</v>
      </c>
      <c r="IQ8" s="980">
        <v>17</v>
      </c>
      <c r="IR8" s="980">
        <v>18</v>
      </c>
      <c r="IS8" s="980">
        <v>276</v>
      </c>
      <c r="IT8" s="980">
        <v>0</v>
      </c>
      <c r="IU8" s="980">
        <v>907</v>
      </c>
      <c r="IV8" s="467">
        <f t="shared" ref="IV8:IV71" si="14">+(IR8+IM8+IL8)/IU8</f>
        <v>0.16097023153252479</v>
      </c>
      <c r="IX8" s="742"/>
      <c r="IY8" s="742"/>
      <c r="IZ8" s="981" t="s">
        <v>6</v>
      </c>
      <c r="JA8" s="982">
        <v>233</v>
      </c>
      <c r="JB8" s="982">
        <v>63</v>
      </c>
      <c r="JC8" s="982">
        <v>0</v>
      </c>
      <c r="JD8" s="982">
        <v>59</v>
      </c>
      <c r="JE8" s="982">
        <v>88</v>
      </c>
      <c r="JF8" s="982">
        <v>10</v>
      </c>
      <c r="JG8" s="982">
        <v>73</v>
      </c>
      <c r="JH8" s="982">
        <v>0</v>
      </c>
      <c r="JI8" s="982">
        <v>10</v>
      </c>
      <c r="JJ8" s="982">
        <v>9</v>
      </c>
      <c r="JK8" s="982">
        <v>361</v>
      </c>
      <c r="JL8" s="982">
        <v>282</v>
      </c>
      <c r="JM8" s="982">
        <v>0</v>
      </c>
      <c r="JN8" s="982">
        <v>6</v>
      </c>
      <c r="JO8" s="982">
        <v>1194</v>
      </c>
      <c r="JP8" s="983">
        <f t="shared" ref="JP8:JP71" si="15">+(JJ8+JF8+JE8)/(JO8-JN8-JK8)</f>
        <v>0.1293833131801693</v>
      </c>
      <c r="JR8" s="97"/>
      <c r="JS8" s="97"/>
      <c r="JT8" s="42" t="s">
        <v>6</v>
      </c>
      <c r="JU8" s="42">
        <v>166</v>
      </c>
      <c r="JV8" s="42">
        <v>51</v>
      </c>
      <c r="JW8" s="42"/>
      <c r="JX8" s="42">
        <v>60</v>
      </c>
      <c r="JY8" s="42">
        <v>79</v>
      </c>
      <c r="JZ8" s="42">
        <v>15</v>
      </c>
      <c r="KA8" s="42">
        <v>83</v>
      </c>
      <c r="KB8" s="42">
        <v>0</v>
      </c>
      <c r="KC8" s="42">
        <v>5</v>
      </c>
      <c r="KD8" s="42">
        <v>12</v>
      </c>
      <c r="KE8" s="42">
        <v>321</v>
      </c>
      <c r="KF8" s="42">
        <v>277</v>
      </c>
      <c r="KG8" s="42">
        <v>0</v>
      </c>
      <c r="KH8" s="42">
        <v>3</v>
      </c>
      <c r="KI8" s="42">
        <v>1072</v>
      </c>
      <c r="KJ8" s="984">
        <f t="shared" si="1"/>
        <v>0.14171122994652408</v>
      </c>
      <c r="KK8" s="42"/>
      <c r="KL8" s="354"/>
      <c r="KM8" s="354"/>
      <c r="KN8" s="354" t="s">
        <v>6</v>
      </c>
      <c r="KO8" s="985">
        <v>130</v>
      </c>
      <c r="KP8" s="985">
        <v>45</v>
      </c>
      <c r="KQ8" s="985" t="s">
        <v>315</v>
      </c>
      <c r="KR8" s="985">
        <v>67</v>
      </c>
      <c r="KS8" s="985">
        <v>75</v>
      </c>
      <c r="KT8" s="985">
        <v>13</v>
      </c>
      <c r="KU8" s="985">
        <v>103</v>
      </c>
      <c r="KV8" s="985" t="s">
        <v>315</v>
      </c>
      <c r="KW8" s="985">
        <v>34</v>
      </c>
      <c r="KX8" s="985">
        <v>11</v>
      </c>
      <c r="KY8" s="985">
        <v>280</v>
      </c>
      <c r="KZ8" s="985" t="s">
        <v>315</v>
      </c>
      <c r="LA8" s="985">
        <v>758</v>
      </c>
      <c r="LB8" s="985">
        <f t="shared" si="2"/>
        <v>99</v>
      </c>
      <c r="LC8" s="986">
        <f t="shared" si="3"/>
        <v>0.13060686015831136</v>
      </c>
      <c r="LD8" s="42"/>
      <c r="LE8" s="42"/>
    </row>
    <row r="9" spans="1:317">
      <c r="A9" s="6291">
        <v>1</v>
      </c>
      <c r="B9" s="6291">
        <v>1</v>
      </c>
      <c r="C9" s="6291">
        <v>3</v>
      </c>
      <c r="D9" s="6292">
        <v>514</v>
      </c>
      <c r="E9" s="6291">
        <v>11</v>
      </c>
      <c r="F9" s="6291">
        <v>209</v>
      </c>
      <c r="G9" s="6291">
        <v>118</v>
      </c>
      <c r="H9" s="6291">
        <v>31</v>
      </c>
      <c r="I9" s="6293"/>
      <c r="J9" s="6291">
        <v>7</v>
      </c>
      <c r="K9" s="6291">
        <v>3</v>
      </c>
      <c r="L9" s="6293"/>
      <c r="M9" s="6291">
        <v>16</v>
      </c>
      <c r="N9" s="6291">
        <v>44</v>
      </c>
      <c r="O9" s="6293"/>
      <c r="P9" s="6291">
        <v>75</v>
      </c>
      <c r="Q9" s="6294">
        <f t="shared" si="4"/>
        <v>0.1828793774319066</v>
      </c>
      <c r="S9" s="6295">
        <v>1</v>
      </c>
      <c r="T9" s="6295">
        <v>1</v>
      </c>
      <c r="U9" s="6295">
        <v>3</v>
      </c>
      <c r="V9" s="6295">
        <v>586</v>
      </c>
      <c r="W9" s="6295">
        <v>18</v>
      </c>
      <c r="X9" s="6295">
        <v>160</v>
      </c>
      <c r="Y9" s="6295">
        <v>112</v>
      </c>
      <c r="Z9" s="6295">
        <v>41</v>
      </c>
      <c r="AA9" s="6296"/>
      <c r="AB9" s="6295">
        <v>8</v>
      </c>
      <c r="AC9" s="6295">
        <v>17</v>
      </c>
      <c r="AD9" s="6296"/>
      <c r="AE9" s="6295">
        <v>18</v>
      </c>
      <c r="AF9" s="6295">
        <v>140</v>
      </c>
      <c r="AG9" s="6296"/>
      <c r="AH9" s="6295">
        <v>72</v>
      </c>
      <c r="AI9" s="6294">
        <f t="shared" si="5"/>
        <v>0.1825938566552901</v>
      </c>
      <c r="AJ9" s="6295"/>
      <c r="AK9" s="6297">
        <v>1</v>
      </c>
      <c r="AL9" s="6297">
        <v>1</v>
      </c>
      <c r="AM9" s="6297">
        <v>3</v>
      </c>
      <c r="AN9" s="6298">
        <v>606</v>
      </c>
      <c r="AO9" s="6297">
        <v>9</v>
      </c>
      <c r="AP9" s="6297">
        <v>160</v>
      </c>
      <c r="AQ9" s="6297">
        <v>126</v>
      </c>
      <c r="AR9" s="6297">
        <v>41</v>
      </c>
      <c r="AS9" s="6299"/>
      <c r="AT9" s="6297">
        <v>8</v>
      </c>
      <c r="AU9" s="6297">
        <v>1</v>
      </c>
      <c r="AV9" s="6297">
        <v>12</v>
      </c>
      <c r="AW9" s="6297">
        <v>18</v>
      </c>
      <c r="AX9" s="6299"/>
      <c r="AY9" s="6297">
        <v>143</v>
      </c>
      <c r="AZ9" s="6297">
        <v>19</v>
      </c>
      <c r="BA9" s="6299"/>
      <c r="BB9" s="6297">
        <v>69</v>
      </c>
      <c r="BC9" s="6300">
        <f t="shared" si="6"/>
        <v>0.16894197952218429</v>
      </c>
      <c r="BE9" s="6313">
        <v>1</v>
      </c>
      <c r="BF9" s="6313">
        <v>1</v>
      </c>
      <c r="BG9" s="6313">
        <v>3</v>
      </c>
      <c r="BH9" s="4405" t="s">
        <v>7</v>
      </c>
      <c r="BI9" s="6314">
        <v>617</v>
      </c>
      <c r="BJ9" s="6313">
        <v>22</v>
      </c>
      <c r="BK9" s="6313">
        <v>180</v>
      </c>
      <c r="BL9" s="6313">
        <v>117</v>
      </c>
      <c r="BM9" s="6313">
        <v>38</v>
      </c>
      <c r="BN9" s="6303"/>
      <c r="BO9" s="6313">
        <v>9</v>
      </c>
      <c r="BP9" s="6313">
        <v>1</v>
      </c>
      <c r="BQ9" s="6313">
        <v>8</v>
      </c>
      <c r="BR9" s="6303"/>
      <c r="BS9" s="6313">
        <v>22</v>
      </c>
      <c r="BT9" s="6313">
        <v>123</v>
      </c>
      <c r="BU9" s="6313">
        <v>20</v>
      </c>
      <c r="BV9" s="6303"/>
      <c r="BW9" s="6313">
        <v>77</v>
      </c>
      <c r="BX9" s="6300">
        <f t="shared" ref="BX9:BX72" si="16">+(BQ9+BS9+BW9)/(BI9-BP9-BU9)</f>
        <v>0.17953020134228187</v>
      </c>
      <c r="BZ9" s="4388"/>
      <c r="CA9" s="4388"/>
      <c r="CB9" s="4388" t="s">
        <v>7</v>
      </c>
      <c r="CC9" s="4231">
        <v>130</v>
      </c>
      <c r="CD9" s="4231">
        <v>113</v>
      </c>
      <c r="CE9" s="4231"/>
      <c r="CF9" s="4231">
        <v>38</v>
      </c>
      <c r="CG9" s="4231">
        <v>77</v>
      </c>
      <c r="CH9" s="4231">
        <v>20</v>
      </c>
      <c r="CI9" s="4231">
        <v>9</v>
      </c>
      <c r="CJ9" s="4231"/>
      <c r="CK9" s="4231"/>
      <c r="CL9" s="4231">
        <v>18</v>
      </c>
      <c r="CM9" s="4231">
        <v>11</v>
      </c>
      <c r="CN9" s="4231">
        <v>20</v>
      </c>
      <c r="CO9" s="4231">
        <v>182</v>
      </c>
      <c r="CP9" s="4231">
        <v>1</v>
      </c>
      <c r="CQ9" s="4231">
        <v>619</v>
      </c>
      <c r="CR9" s="6304">
        <f t="shared" si="7"/>
        <v>0.1806020066889632</v>
      </c>
      <c r="CS9" s="4238">
        <f t="shared" si="8"/>
        <v>2</v>
      </c>
      <c r="CT9" s="6305">
        <v>617</v>
      </c>
      <c r="CU9" s="6316"/>
      <c r="CX9" s="42" t="s">
        <v>7</v>
      </c>
      <c r="CY9" s="42">
        <v>85</v>
      </c>
      <c r="CZ9" s="42">
        <v>83</v>
      </c>
      <c r="DB9" s="42">
        <v>35</v>
      </c>
      <c r="DC9" s="42">
        <v>107</v>
      </c>
      <c r="DD9" s="42">
        <v>17</v>
      </c>
      <c r="DE9" s="42">
        <v>139</v>
      </c>
      <c r="DF9" s="42">
        <v>0</v>
      </c>
      <c r="DH9" s="42">
        <v>27</v>
      </c>
      <c r="DI9" s="42">
        <v>11</v>
      </c>
      <c r="DJ9" s="42">
        <v>23</v>
      </c>
      <c r="DK9" s="42">
        <v>152</v>
      </c>
      <c r="DL9" s="42">
        <v>2</v>
      </c>
      <c r="DM9" s="893">
        <v>681</v>
      </c>
      <c r="DN9" s="6306">
        <f t="shared" ref="DN9:DN71" si="17">+(DC9+DD9+DI9)/(DM9-DL9-DJ9)</f>
        <v>0.20579268292682926</v>
      </c>
      <c r="DP9" s="4263"/>
      <c r="DQ9" s="4263"/>
      <c r="DR9" s="4258" t="s">
        <v>7</v>
      </c>
      <c r="DS9" s="4263">
        <v>125</v>
      </c>
      <c r="DT9" s="4263">
        <v>90</v>
      </c>
      <c r="DU9" s="4263"/>
      <c r="DV9" s="4263">
        <v>35</v>
      </c>
      <c r="DW9" s="4263">
        <v>78</v>
      </c>
      <c r="DX9" s="4263">
        <v>27</v>
      </c>
      <c r="DY9" s="4263">
        <v>76</v>
      </c>
      <c r="DZ9" s="4263"/>
      <c r="EA9" s="4263"/>
      <c r="EB9" s="4263">
        <v>38</v>
      </c>
      <c r="EC9" s="4263">
        <v>11</v>
      </c>
      <c r="ED9" s="4263">
        <v>23</v>
      </c>
      <c r="EE9" s="4263">
        <v>160</v>
      </c>
      <c r="EF9" s="4263">
        <v>1</v>
      </c>
      <c r="EG9" s="4263">
        <v>664</v>
      </c>
      <c r="EH9" s="6307">
        <f t="shared" si="9"/>
        <v>0.18124999999999999</v>
      </c>
      <c r="EL9" s="42" t="s">
        <v>7</v>
      </c>
      <c r="EM9" s="97">
        <v>131</v>
      </c>
      <c r="EN9" s="97">
        <v>86</v>
      </c>
      <c r="EO9" s="97"/>
      <c r="EP9" s="97">
        <v>1</v>
      </c>
      <c r="EQ9" s="97">
        <v>83</v>
      </c>
      <c r="ER9" s="97">
        <v>14</v>
      </c>
      <c r="ES9" s="97">
        <v>68</v>
      </c>
      <c r="ET9" s="97"/>
      <c r="EU9" s="97"/>
      <c r="EV9" s="97">
        <v>43</v>
      </c>
      <c r="EW9" s="97">
        <v>13</v>
      </c>
      <c r="EX9" s="97">
        <v>23</v>
      </c>
      <c r="EY9" s="97">
        <v>182</v>
      </c>
      <c r="EZ9" s="97"/>
      <c r="FA9" s="97">
        <v>644</v>
      </c>
      <c r="FB9" s="6315">
        <f t="shared" si="10"/>
        <v>0.17713365539452497</v>
      </c>
      <c r="FD9" s="42"/>
      <c r="FE9" s="42"/>
      <c r="FF9" s="42" t="s">
        <v>7</v>
      </c>
      <c r="FG9" s="97">
        <v>144</v>
      </c>
      <c r="FH9" s="97">
        <v>85</v>
      </c>
      <c r="FI9" s="97"/>
      <c r="FJ9" s="97">
        <v>34</v>
      </c>
      <c r="FK9" s="97">
        <v>62</v>
      </c>
      <c r="FL9" s="97">
        <v>19</v>
      </c>
      <c r="FM9" s="97">
        <v>53</v>
      </c>
      <c r="FN9" s="97"/>
      <c r="FO9" s="97"/>
      <c r="FP9" s="97">
        <v>37</v>
      </c>
      <c r="FQ9" s="97">
        <v>18</v>
      </c>
      <c r="FR9" s="97">
        <v>17</v>
      </c>
      <c r="FS9" s="97">
        <v>192</v>
      </c>
      <c r="FT9" s="97">
        <v>2</v>
      </c>
      <c r="FU9" s="97">
        <v>663</v>
      </c>
      <c r="FV9" s="6308">
        <f t="shared" si="0"/>
        <v>0.15372670807453417</v>
      </c>
      <c r="FX9" s="42"/>
      <c r="FY9" s="42"/>
      <c r="FZ9" s="42" t="s">
        <v>7</v>
      </c>
      <c r="GA9" s="97">
        <v>143</v>
      </c>
      <c r="GB9" s="97">
        <v>82</v>
      </c>
      <c r="GC9" s="97"/>
      <c r="GD9" s="97">
        <v>33</v>
      </c>
      <c r="GE9" s="97">
        <v>52</v>
      </c>
      <c r="GF9" s="97">
        <v>10</v>
      </c>
      <c r="GG9" s="97">
        <v>48</v>
      </c>
      <c r="GH9" s="97">
        <v>8</v>
      </c>
      <c r="GI9" s="97"/>
      <c r="GJ9" s="97">
        <v>38</v>
      </c>
      <c r="GK9" s="97">
        <v>8</v>
      </c>
      <c r="GL9" s="97">
        <v>8</v>
      </c>
      <c r="GM9" s="97">
        <v>184</v>
      </c>
      <c r="GN9" s="97">
        <v>1</v>
      </c>
      <c r="GO9" s="97">
        <v>615</v>
      </c>
      <c r="GP9" s="6308">
        <f t="shared" si="11"/>
        <v>0.11551155115511551</v>
      </c>
      <c r="GR9" s="6280"/>
      <c r="GS9" s="6280"/>
      <c r="GT9" s="6310" t="s">
        <v>7</v>
      </c>
      <c r="GU9" s="6311">
        <v>149</v>
      </c>
      <c r="GV9" s="6311">
        <v>76</v>
      </c>
      <c r="GW9" s="6312"/>
      <c r="GX9" s="6311">
        <v>31</v>
      </c>
      <c r="GY9" s="6311">
        <v>46</v>
      </c>
      <c r="GZ9" s="6311">
        <v>4</v>
      </c>
      <c r="HA9" s="6311">
        <v>25</v>
      </c>
      <c r="HB9" s="6312"/>
      <c r="HC9" s="6312"/>
      <c r="HD9" s="6311">
        <v>32</v>
      </c>
      <c r="HE9" s="6311">
        <v>7</v>
      </c>
      <c r="HF9" s="6311">
        <v>6</v>
      </c>
      <c r="HG9" s="6311">
        <v>190</v>
      </c>
      <c r="HH9" s="6311">
        <v>1</v>
      </c>
      <c r="HI9" s="6311">
        <v>567</v>
      </c>
      <c r="HJ9" s="467">
        <f t="shared" si="12"/>
        <v>0.10178571428571428</v>
      </c>
      <c r="HL9" s="967"/>
      <c r="HM9" s="967"/>
      <c r="HN9" s="977" t="s">
        <v>7</v>
      </c>
      <c r="HO9" s="978">
        <v>124</v>
      </c>
      <c r="HP9" s="978">
        <v>63</v>
      </c>
      <c r="HQ9" s="967"/>
      <c r="HR9" s="978">
        <v>37</v>
      </c>
      <c r="HS9" s="978">
        <v>42</v>
      </c>
      <c r="HT9" s="978">
        <v>5</v>
      </c>
      <c r="HU9" s="978">
        <v>61</v>
      </c>
      <c r="HV9" s="967"/>
      <c r="HW9" s="978">
        <v>0</v>
      </c>
      <c r="HX9" s="978">
        <v>17</v>
      </c>
      <c r="HY9" s="978">
        <v>5</v>
      </c>
      <c r="HZ9" s="978">
        <v>170</v>
      </c>
      <c r="IA9" s="978">
        <v>0</v>
      </c>
      <c r="IB9" s="978">
        <v>524</v>
      </c>
      <c r="IC9" s="467">
        <f t="shared" si="13"/>
        <v>9.9236641221374045E-2</v>
      </c>
      <c r="IE9" s="577"/>
      <c r="IF9" s="577"/>
      <c r="IG9" s="979" t="s">
        <v>7</v>
      </c>
      <c r="IH9" s="980">
        <v>112</v>
      </c>
      <c r="II9" s="980">
        <v>66</v>
      </c>
      <c r="IJ9" s="980">
        <v>0</v>
      </c>
      <c r="IK9" s="980">
        <v>42</v>
      </c>
      <c r="IL9" s="980">
        <v>34</v>
      </c>
      <c r="IM9" s="980">
        <v>9</v>
      </c>
      <c r="IN9" s="980">
        <v>37</v>
      </c>
      <c r="IO9" s="577"/>
      <c r="IP9" s="980">
        <v>0</v>
      </c>
      <c r="IQ9" s="980">
        <v>15</v>
      </c>
      <c r="IR9" s="980">
        <v>5</v>
      </c>
      <c r="IS9" s="980">
        <v>188</v>
      </c>
      <c r="IT9" s="980">
        <v>0</v>
      </c>
      <c r="IU9" s="980">
        <v>508</v>
      </c>
      <c r="IV9" s="467">
        <f t="shared" si="14"/>
        <v>9.4488188976377951E-2</v>
      </c>
      <c r="IX9" s="742"/>
      <c r="IY9" s="742"/>
      <c r="IZ9" s="981" t="s">
        <v>7</v>
      </c>
      <c r="JA9" s="982">
        <v>96</v>
      </c>
      <c r="JB9" s="982">
        <v>39</v>
      </c>
      <c r="JC9" s="982">
        <v>0</v>
      </c>
      <c r="JD9" s="982">
        <v>45</v>
      </c>
      <c r="JE9" s="982">
        <v>26</v>
      </c>
      <c r="JF9" s="982">
        <v>11</v>
      </c>
      <c r="JG9" s="982">
        <v>40</v>
      </c>
      <c r="JH9" s="982">
        <v>0</v>
      </c>
      <c r="JI9" s="982">
        <v>14</v>
      </c>
      <c r="JJ9" s="982">
        <v>2</v>
      </c>
      <c r="JK9" s="982">
        <v>101</v>
      </c>
      <c r="JL9" s="982">
        <v>196</v>
      </c>
      <c r="JM9" s="982">
        <v>0</v>
      </c>
      <c r="JN9" s="982">
        <v>3</v>
      </c>
      <c r="JO9" s="982">
        <v>573</v>
      </c>
      <c r="JP9" s="983">
        <f t="shared" si="15"/>
        <v>8.3155650319829424E-2</v>
      </c>
      <c r="JR9" s="97"/>
      <c r="JS9" s="97"/>
      <c r="JT9" s="42" t="s">
        <v>7</v>
      </c>
      <c r="JU9" s="42">
        <v>92</v>
      </c>
      <c r="JV9" s="42">
        <v>41</v>
      </c>
      <c r="JW9" s="42"/>
      <c r="JX9" s="42">
        <v>50</v>
      </c>
      <c r="JY9" s="42">
        <v>25</v>
      </c>
      <c r="JZ9" s="42">
        <v>9</v>
      </c>
      <c r="KA9" s="42">
        <v>36</v>
      </c>
      <c r="KB9" s="42">
        <v>0</v>
      </c>
      <c r="KC9" s="42">
        <v>5</v>
      </c>
      <c r="KD9" s="42">
        <v>4</v>
      </c>
      <c r="KE9" s="42">
        <v>96</v>
      </c>
      <c r="KF9" s="42">
        <v>174</v>
      </c>
      <c r="KG9" s="42">
        <v>0</v>
      </c>
      <c r="KH9" s="42">
        <v>2</v>
      </c>
      <c r="KI9" s="42">
        <v>534</v>
      </c>
      <c r="KJ9" s="984">
        <f t="shared" si="1"/>
        <v>8.7155963302752298E-2</v>
      </c>
      <c r="KK9" s="42"/>
      <c r="KL9" s="354"/>
      <c r="KM9" s="354"/>
      <c r="KN9" s="354" t="s">
        <v>7</v>
      </c>
      <c r="KO9" s="985">
        <v>65</v>
      </c>
      <c r="KP9" s="985">
        <v>30</v>
      </c>
      <c r="KQ9" s="985" t="s">
        <v>315</v>
      </c>
      <c r="KR9" s="985">
        <v>51</v>
      </c>
      <c r="KS9" s="985">
        <v>19</v>
      </c>
      <c r="KT9" s="985">
        <v>9</v>
      </c>
      <c r="KU9" s="985">
        <v>53</v>
      </c>
      <c r="KV9" s="985" t="s">
        <v>315</v>
      </c>
      <c r="KW9" s="985">
        <v>28</v>
      </c>
      <c r="KX9" s="985">
        <v>1</v>
      </c>
      <c r="KY9" s="985">
        <v>172</v>
      </c>
      <c r="KZ9" s="985" t="s">
        <v>315</v>
      </c>
      <c r="LA9" s="985">
        <v>428</v>
      </c>
      <c r="LB9" s="985">
        <f t="shared" si="2"/>
        <v>29</v>
      </c>
      <c r="LC9" s="986">
        <f t="shared" si="3"/>
        <v>6.7757009345794386E-2</v>
      </c>
      <c r="LD9" s="42"/>
      <c r="LE9" s="42"/>
    </row>
    <row r="10" spans="1:317">
      <c r="A10" s="6291">
        <v>1</v>
      </c>
      <c r="B10" s="6291">
        <v>1</v>
      </c>
      <c r="C10" s="6291">
        <v>4</v>
      </c>
      <c r="D10" s="6292">
        <v>699</v>
      </c>
      <c r="E10" s="6291">
        <v>18</v>
      </c>
      <c r="F10" s="6291">
        <v>201</v>
      </c>
      <c r="G10" s="6291">
        <v>206</v>
      </c>
      <c r="H10" s="6291">
        <v>50</v>
      </c>
      <c r="I10" s="6293"/>
      <c r="J10" s="6291">
        <v>10</v>
      </c>
      <c r="K10" s="6291">
        <v>17</v>
      </c>
      <c r="L10" s="6293"/>
      <c r="M10" s="6291">
        <v>17</v>
      </c>
      <c r="N10" s="6291">
        <v>49</v>
      </c>
      <c r="O10" s="6293"/>
      <c r="P10" s="6291">
        <v>131</v>
      </c>
      <c r="Q10" s="6294">
        <f t="shared" si="4"/>
        <v>0.23605150214592274</v>
      </c>
      <c r="S10" s="6295">
        <v>1</v>
      </c>
      <c r="T10" s="6295">
        <v>1</v>
      </c>
      <c r="U10" s="6295">
        <v>4</v>
      </c>
      <c r="V10" s="6295">
        <v>702</v>
      </c>
      <c r="W10" s="6295">
        <v>16</v>
      </c>
      <c r="X10" s="6295">
        <v>159</v>
      </c>
      <c r="Y10" s="6295">
        <v>191</v>
      </c>
      <c r="Z10" s="6295">
        <v>60</v>
      </c>
      <c r="AA10" s="6296"/>
      <c r="AB10" s="6295">
        <v>11</v>
      </c>
      <c r="AC10" s="6295">
        <v>24</v>
      </c>
      <c r="AD10" s="6296"/>
      <c r="AE10" s="6295">
        <v>15</v>
      </c>
      <c r="AF10" s="6295">
        <v>113</v>
      </c>
      <c r="AG10" s="6296"/>
      <c r="AH10" s="6295">
        <v>113</v>
      </c>
      <c r="AI10" s="6294">
        <f t="shared" si="5"/>
        <v>0.21652421652421652</v>
      </c>
      <c r="AJ10" s="6295"/>
      <c r="AK10" s="6297">
        <v>1</v>
      </c>
      <c r="AL10" s="6297">
        <v>1</v>
      </c>
      <c r="AM10" s="6297">
        <v>4</v>
      </c>
      <c r="AN10" s="6298">
        <v>748</v>
      </c>
      <c r="AO10" s="6297">
        <v>17</v>
      </c>
      <c r="AP10" s="6297">
        <v>159</v>
      </c>
      <c r="AQ10" s="6297">
        <v>202</v>
      </c>
      <c r="AR10" s="6297">
        <v>59</v>
      </c>
      <c r="AS10" s="6299"/>
      <c r="AT10" s="6297">
        <v>11</v>
      </c>
      <c r="AU10" s="6299"/>
      <c r="AV10" s="6297">
        <v>14</v>
      </c>
      <c r="AW10" s="6297">
        <v>21</v>
      </c>
      <c r="AX10" s="6299"/>
      <c r="AY10" s="6297">
        <v>115</v>
      </c>
      <c r="AZ10" s="6297">
        <v>46</v>
      </c>
      <c r="BA10" s="6299"/>
      <c r="BB10" s="6297">
        <v>104</v>
      </c>
      <c r="BC10" s="6300">
        <f t="shared" si="6"/>
        <v>0.19800569800569801</v>
      </c>
      <c r="BE10" s="6313">
        <v>1</v>
      </c>
      <c r="BF10" s="6313">
        <v>1</v>
      </c>
      <c r="BG10" s="6313">
        <v>4</v>
      </c>
      <c r="BH10" s="4405" t="s">
        <v>8</v>
      </c>
      <c r="BI10" s="6314">
        <v>739</v>
      </c>
      <c r="BJ10" s="6313">
        <v>15</v>
      </c>
      <c r="BK10" s="6313">
        <v>194</v>
      </c>
      <c r="BL10" s="6313">
        <v>169</v>
      </c>
      <c r="BM10" s="6313">
        <v>59</v>
      </c>
      <c r="BN10" s="6303"/>
      <c r="BO10" s="6313">
        <v>12</v>
      </c>
      <c r="BP10" s="6313">
        <v>1</v>
      </c>
      <c r="BQ10" s="6313">
        <v>18</v>
      </c>
      <c r="BR10" s="6303"/>
      <c r="BS10" s="6313">
        <v>43</v>
      </c>
      <c r="BT10" s="6313">
        <v>100</v>
      </c>
      <c r="BU10" s="6313">
        <v>47</v>
      </c>
      <c r="BV10" s="6303"/>
      <c r="BW10" s="6313">
        <v>81</v>
      </c>
      <c r="BX10" s="6300">
        <f t="shared" si="16"/>
        <v>0.20549927641099855</v>
      </c>
      <c r="BZ10" s="4388"/>
      <c r="CA10" s="4388"/>
      <c r="CB10" s="4388" t="s">
        <v>8</v>
      </c>
      <c r="CC10" s="4231">
        <v>181</v>
      </c>
      <c r="CD10" s="4231">
        <v>96</v>
      </c>
      <c r="CE10" s="4231"/>
      <c r="CF10" s="4231">
        <v>58</v>
      </c>
      <c r="CG10" s="4231">
        <v>81</v>
      </c>
      <c r="CH10" s="4231">
        <v>29</v>
      </c>
      <c r="CI10" s="4231">
        <v>12</v>
      </c>
      <c r="CJ10" s="4231"/>
      <c r="CK10" s="4231"/>
      <c r="CL10" s="4231">
        <v>16</v>
      </c>
      <c r="CM10" s="4231">
        <v>23</v>
      </c>
      <c r="CN10" s="4231">
        <v>47</v>
      </c>
      <c r="CO10" s="4231">
        <v>195</v>
      </c>
      <c r="CP10" s="4231">
        <v>1</v>
      </c>
      <c r="CQ10" s="4231">
        <v>739</v>
      </c>
      <c r="CR10" s="6304">
        <f t="shared" si="7"/>
        <v>0.19247467438494936</v>
      </c>
      <c r="CS10" s="4238">
        <f t="shared" si="8"/>
        <v>0</v>
      </c>
      <c r="CT10" s="6305">
        <v>739</v>
      </c>
      <c r="CU10" s="6316"/>
      <c r="CX10" s="42" t="s">
        <v>8</v>
      </c>
      <c r="CY10" s="42">
        <v>95</v>
      </c>
      <c r="CZ10" s="42">
        <v>65</v>
      </c>
      <c r="DB10" s="42">
        <v>58</v>
      </c>
      <c r="DC10" s="42">
        <v>112</v>
      </c>
      <c r="DD10" s="42">
        <v>21</v>
      </c>
      <c r="DE10" s="42">
        <v>86</v>
      </c>
      <c r="DF10" s="42">
        <v>4</v>
      </c>
      <c r="DH10" s="42">
        <v>22</v>
      </c>
      <c r="DI10" s="42">
        <v>20</v>
      </c>
      <c r="DJ10" s="42">
        <v>52</v>
      </c>
      <c r="DK10" s="42">
        <v>165</v>
      </c>
      <c r="DL10" s="42">
        <v>1</v>
      </c>
      <c r="DM10" s="893">
        <v>701</v>
      </c>
      <c r="DN10" s="6306">
        <f t="shared" si="17"/>
        <v>0.2361111111111111</v>
      </c>
      <c r="DP10" s="4263"/>
      <c r="DQ10" s="4263"/>
      <c r="DR10" s="4258" t="s">
        <v>8</v>
      </c>
      <c r="DS10" s="4263">
        <v>157</v>
      </c>
      <c r="DT10" s="4263">
        <v>87</v>
      </c>
      <c r="DU10" s="4263"/>
      <c r="DV10" s="4263">
        <v>60</v>
      </c>
      <c r="DW10" s="4263">
        <v>83</v>
      </c>
      <c r="DX10" s="4263">
        <v>22</v>
      </c>
      <c r="DY10" s="4263">
        <v>46</v>
      </c>
      <c r="DZ10" s="4263"/>
      <c r="EA10" s="4263"/>
      <c r="EB10" s="4263">
        <v>25</v>
      </c>
      <c r="EC10" s="4263">
        <v>12</v>
      </c>
      <c r="ED10" s="4263">
        <v>51</v>
      </c>
      <c r="EE10" s="4263">
        <v>174</v>
      </c>
      <c r="EF10" s="4263">
        <v>1</v>
      </c>
      <c r="EG10" s="4263">
        <v>718</v>
      </c>
      <c r="EH10" s="6307">
        <f t="shared" si="9"/>
        <v>0.17567567567567569</v>
      </c>
      <c r="EL10" s="42" t="s">
        <v>8</v>
      </c>
      <c r="EM10" s="97">
        <v>163</v>
      </c>
      <c r="EN10" s="97">
        <v>68</v>
      </c>
      <c r="EO10" s="97"/>
      <c r="EP10" s="97">
        <v>2</v>
      </c>
      <c r="EQ10" s="97">
        <v>87</v>
      </c>
      <c r="ER10" s="97">
        <v>14</v>
      </c>
      <c r="ES10" s="97">
        <v>52</v>
      </c>
      <c r="ET10" s="97"/>
      <c r="EU10" s="97"/>
      <c r="EV10" s="97">
        <v>28</v>
      </c>
      <c r="EW10" s="97">
        <v>12</v>
      </c>
      <c r="EX10" s="97">
        <v>51</v>
      </c>
      <c r="EY10" s="97">
        <v>170</v>
      </c>
      <c r="EZ10" s="97"/>
      <c r="FA10" s="97">
        <v>647</v>
      </c>
      <c r="FB10" s="6315">
        <f t="shared" si="10"/>
        <v>0.18959731543624161</v>
      </c>
      <c r="FD10" s="42"/>
      <c r="FE10" s="42"/>
      <c r="FF10" s="42" t="s">
        <v>8</v>
      </c>
      <c r="FG10" s="97">
        <v>150</v>
      </c>
      <c r="FH10" s="97">
        <v>82</v>
      </c>
      <c r="FI10" s="97"/>
      <c r="FJ10" s="97">
        <v>46</v>
      </c>
      <c r="FK10" s="97">
        <v>66</v>
      </c>
      <c r="FL10" s="97">
        <v>16</v>
      </c>
      <c r="FM10" s="97">
        <v>34</v>
      </c>
      <c r="FN10" s="97"/>
      <c r="FO10" s="97"/>
      <c r="FP10" s="97">
        <v>30</v>
      </c>
      <c r="FQ10" s="97">
        <v>9</v>
      </c>
      <c r="FR10" s="97">
        <v>38</v>
      </c>
      <c r="FS10" s="97">
        <v>147</v>
      </c>
      <c r="FT10" s="97">
        <v>1</v>
      </c>
      <c r="FU10" s="97">
        <v>619</v>
      </c>
      <c r="FV10" s="6308">
        <f t="shared" si="0"/>
        <v>0.15689655172413794</v>
      </c>
      <c r="FX10" s="42"/>
      <c r="FY10" s="42"/>
      <c r="FZ10" s="42" t="s">
        <v>8</v>
      </c>
      <c r="GA10" s="97">
        <v>131</v>
      </c>
      <c r="GB10" s="97">
        <v>82</v>
      </c>
      <c r="GC10" s="97"/>
      <c r="GD10" s="97">
        <v>42</v>
      </c>
      <c r="GE10" s="97">
        <v>66</v>
      </c>
      <c r="GF10" s="97">
        <v>11</v>
      </c>
      <c r="GG10" s="97">
        <v>25</v>
      </c>
      <c r="GH10" s="97">
        <v>3</v>
      </c>
      <c r="GI10" s="97"/>
      <c r="GJ10" s="97">
        <v>16</v>
      </c>
      <c r="GK10" s="97">
        <v>5</v>
      </c>
      <c r="GL10" s="97">
        <v>21</v>
      </c>
      <c r="GM10" s="97">
        <v>124</v>
      </c>
      <c r="GN10" s="97">
        <v>1</v>
      </c>
      <c r="GO10" s="97">
        <v>527</v>
      </c>
      <c r="GP10" s="6308">
        <f t="shared" si="11"/>
        <v>0.16237623762376238</v>
      </c>
      <c r="GR10" s="6280"/>
      <c r="GS10" s="6280"/>
      <c r="GT10" s="6310" t="s">
        <v>8</v>
      </c>
      <c r="GU10" s="6311">
        <v>128</v>
      </c>
      <c r="GV10" s="6311">
        <v>65</v>
      </c>
      <c r="GW10" s="6312"/>
      <c r="GX10" s="6311">
        <v>41</v>
      </c>
      <c r="GY10" s="6311">
        <v>73</v>
      </c>
      <c r="GZ10" s="6311">
        <v>9</v>
      </c>
      <c r="HA10" s="6311">
        <v>36</v>
      </c>
      <c r="HB10" s="6312"/>
      <c r="HC10" s="6312"/>
      <c r="HD10" s="6311">
        <v>17</v>
      </c>
      <c r="HE10" s="6311">
        <v>6</v>
      </c>
      <c r="HF10" s="6311">
        <v>12</v>
      </c>
      <c r="HG10" s="6311">
        <v>113</v>
      </c>
      <c r="HH10" s="6311">
        <v>1</v>
      </c>
      <c r="HI10" s="6311">
        <v>501</v>
      </c>
      <c r="HJ10" s="467">
        <f t="shared" si="12"/>
        <v>0.18032786885245902</v>
      </c>
      <c r="HL10" s="967"/>
      <c r="HM10" s="967"/>
      <c r="HN10" s="977" t="s">
        <v>8</v>
      </c>
      <c r="HO10" s="978">
        <v>99</v>
      </c>
      <c r="HP10" s="978">
        <v>49</v>
      </c>
      <c r="HQ10" s="967"/>
      <c r="HR10" s="978">
        <v>37</v>
      </c>
      <c r="HS10" s="978">
        <v>75</v>
      </c>
      <c r="HT10" s="978">
        <v>10</v>
      </c>
      <c r="HU10" s="978">
        <v>23</v>
      </c>
      <c r="HV10" s="967"/>
      <c r="HW10" s="978">
        <v>0</v>
      </c>
      <c r="HX10" s="978">
        <v>24</v>
      </c>
      <c r="HY10" s="978">
        <v>6</v>
      </c>
      <c r="HZ10" s="978">
        <v>106</v>
      </c>
      <c r="IA10" s="978">
        <v>0</v>
      </c>
      <c r="IB10" s="978">
        <v>429</v>
      </c>
      <c r="IC10" s="467">
        <f t="shared" si="13"/>
        <v>0.21212121212121213</v>
      </c>
      <c r="IE10" s="577"/>
      <c r="IF10" s="577"/>
      <c r="IG10" s="979" t="s">
        <v>8</v>
      </c>
      <c r="IH10" s="980">
        <v>111</v>
      </c>
      <c r="II10" s="980">
        <v>29</v>
      </c>
      <c r="IJ10" s="980">
        <v>0</v>
      </c>
      <c r="IK10" s="980">
        <v>37</v>
      </c>
      <c r="IL10" s="980">
        <v>64</v>
      </c>
      <c r="IM10" s="980">
        <v>6</v>
      </c>
      <c r="IN10" s="980">
        <v>21</v>
      </c>
      <c r="IO10" s="577"/>
      <c r="IP10" s="980">
        <v>0</v>
      </c>
      <c r="IQ10" s="980">
        <v>7</v>
      </c>
      <c r="IR10" s="980">
        <v>8</v>
      </c>
      <c r="IS10" s="980">
        <v>97</v>
      </c>
      <c r="IT10" s="980">
        <v>0</v>
      </c>
      <c r="IU10" s="980">
        <v>380</v>
      </c>
      <c r="IV10" s="467">
        <f t="shared" si="14"/>
        <v>0.20526315789473684</v>
      </c>
      <c r="IX10" s="742"/>
      <c r="IY10" s="742"/>
      <c r="IZ10" s="981" t="s">
        <v>8</v>
      </c>
      <c r="JA10" s="982">
        <v>91</v>
      </c>
      <c r="JB10" s="982">
        <v>23</v>
      </c>
      <c r="JC10" s="982">
        <v>0</v>
      </c>
      <c r="JD10" s="982">
        <v>37</v>
      </c>
      <c r="JE10" s="982">
        <v>64</v>
      </c>
      <c r="JF10" s="982">
        <v>4</v>
      </c>
      <c r="JG10" s="982">
        <v>25</v>
      </c>
      <c r="JH10" s="982">
        <v>0</v>
      </c>
      <c r="JI10" s="982">
        <v>8</v>
      </c>
      <c r="JJ10" s="982">
        <v>7</v>
      </c>
      <c r="JK10" s="982">
        <v>83</v>
      </c>
      <c r="JL10" s="982">
        <v>97</v>
      </c>
      <c r="JM10" s="982">
        <v>0</v>
      </c>
      <c r="JN10" s="982">
        <v>1</v>
      </c>
      <c r="JO10" s="982">
        <v>440</v>
      </c>
      <c r="JP10" s="983">
        <f t="shared" si="15"/>
        <v>0.21067415730337077</v>
      </c>
      <c r="JR10" s="97"/>
      <c r="JS10" s="97"/>
      <c r="JT10" s="42" t="s">
        <v>8</v>
      </c>
      <c r="JU10" s="42">
        <v>80</v>
      </c>
      <c r="JV10" s="42">
        <v>27</v>
      </c>
      <c r="JW10" s="42"/>
      <c r="JX10" s="42">
        <v>36</v>
      </c>
      <c r="JY10" s="42">
        <v>63</v>
      </c>
      <c r="JZ10" s="42">
        <v>6</v>
      </c>
      <c r="KA10" s="42">
        <v>32</v>
      </c>
      <c r="KB10" s="42">
        <v>0</v>
      </c>
      <c r="KC10" s="42">
        <v>5</v>
      </c>
      <c r="KD10" s="42">
        <v>3</v>
      </c>
      <c r="KE10" s="42">
        <v>74</v>
      </c>
      <c r="KF10" s="42">
        <v>90</v>
      </c>
      <c r="KG10" s="42">
        <v>0</v>
      </c>
      <c r="KH10" s="42">
        <v>1</v>
      </c>
      <c r="KI10" s="42">
        <v>417</v>
      </c>
      <c r="KJ10" s="984">
        <f t="shared" si="1"/>
        <v>0.21052631578947367</v>
      </c>
      <c r="KK10" s="42"/>
      <c r="KL10" s="354"/>
      <c r="KM10" s="354"/>
      <c r="KN10" s="354" t="s">
        <v>8</v>
      </c>
      <c r="KO10" s="985">
        <v>68</v>
      </c>
      <c r="KP10" s="985">
        <v>19</v>
      </c>
      <c r="KQ10" s="985" t="s">
        <v>315</v>
      </c>
      <c r="KR10" s="985">
        <v>40</v>
      </c>
      <c r="KS10" s="985">
        <v>64</v>
      </c>
      <c r="KT10" s="985">
        <v>7</v>
      </c>
      <c r="KU10" s="985">
        <v>38</v>
      </c>
      <c r="KV10" s="985" t="s">
        <v>315</v>
      </c>
      <c r="KW10" s="985">
        <v>17</v>
      </c>
      <c r="KX10" s="985">
        <v>4</v>
      </c>
      <c r="KY10" s="985">
        <v>102</v>
      </c>
      <c r="KZ10" s="985" t="s">
        <v>315</v>
      </c>
      <c r="LA10" s="985">
        <v>359</v>
      </c>
      <c r="LB10" s="985">
        <f t="shared" si="2"/>
        <v>75</v>
      </c>
      <c r="LC10" s="986">
        <f t="shared" si="3"/>
        <v>0.20891364902506965</v>
      </c>
      <c r="LD10" s="42"/>
      <c r="LE10" s="42"/>
    </row>
    <row r="11" spans="1:317">
      <c r="A11" s="6291">
        <v>1</v>
      </c>
      <c r="B11" s="6291">
        <v>1</v>
      </c>
      <c r="C11" s="6291">
        <v>5</v>
      </c>
      <c r="D11" s="6292">
        <v>770</v>
      </c>
      <c r="E11" s="6291">
        <v>21</v>
      </c>
      <c r="F11" s="6291">
        <v>208</v>
      </c>
      <c r="G11" s="6291">
        <v>180</v>
      </c>
      <c r="H11" s="6291">
        <v>37</v>
      </c>
      <c r="I11" s="6291">
        <v>1</v>
      </c>
      <c r="J11" s="6291">
        <v>3</v>
      </c>
      <c r="K11" s="6291">
        <v>33</v>
      </c>
      <c r="L11" s="6293"/>
      <c r="M11" s="6291">
        <v>33</v>
      </c>
      <c r="N11" s="6291">
        <v>64</v>
      </c>
      <c r="O11" s="6293"/>
      <c r="P11" s="6291">
        <v>190</v>
      </c>
      <c r="Q11" s="6294">
        <f t="shared" si="4"/>
        <v>0.33246753246753247</v>
      </c>
      <c r="S11" s="6295">
        <v>1</v>
      </c>
      <c r="T11" s="6295">
        <v>1</v>
      </c>
      <c r="U11" s="6295">
        <v>5</v>
      </c>
      <c r="V11" s="6295">
        <v>796</v>
      </c>
      <c r="W11" s="6295">
        <v>20</v>
      </c>
      <c r="X11" s="6295">
        <v>173</v>
      </c>
      <c r="Y11" s="6295">
        <v>163</v>
      </c>
      <c r="Z11" s="6295">
        <v>43</v>
      </c>
      <c r="AA11" s="6296"/>
      <c r="AB11" s="6295">
        <v>5</v>
      </c>
      <c r="AC11" s="6295">
        <v>52</v>
      </c>
      <c r="AD11" s="6296"/>
      <c r="AE11" s="6295">
        <v>39</v>
      </c>
      <c r="AF11" s="6295">
        <v>113</v>
      </c>
      <c r="AG11" s="6296"/>
      <c r="AH11" s="6295">
        <v>188</v>
      </c>
      <c r="AI11" s="6294">
        <f t="shared" si="5"/>
        <v>0.35050251256281406</v>
      </c>
      <c r="AJ11" s="6295"/>
      <c r="AK11" s="6297">
        <v>1</v>
      </c>
      <c r="AL11" s="6297">
        <v>1</v>
      </c>
      <c r="AM11" s="6297">
        <v>5</v>
      </c>
      <c r="AN11" s="6298">
        <v>860</v>
      </c>
      <c r="AO11" s="6297">
        <v>19</v>
      </c>
      <c r="AP11" s="6297">
        <v>174</v>
      </c>
      <c r="AQ11" s="6297">
        <v>190</v>
      </c>
      <c r="AR11" s="6297">
        <v>42</v>
      </c>
      <c r="AS11" s="6299"/>
      <c r="AT11" s="6297">
        <v>5</v>
      </c>
      <c r="AU11" s="6297">
        <v>1</v>
      </c>
      <c r="AV11" s="6297">
        <v>44</v>
      </c>
      <c r="AW11" s="6297">
        <v>37</v>
      </c>
      <c r="AX11" s="6299"/>
      <c r="AY11" s="6297">
        <v>103</v>
      </c>
      <c r="AZ11" s="6297">
        <v>63</v>
      </c>
      <c r="BA11" s="6299"/>
      <c r="BB11" s="6297">
        <v>182</v>
      </c>
      <c r="BC11" s="6300">
        <f t="shared" si="6"/>
        <v>0.33040201005025127</v>
      </c>
      <c r="BE11" s="6313">
        <v>1</v>
      </c>
      <c r="BF11" s="6313">
        <v>1</v>
      </c>
      <c r="BG11" s="6313">
        <v>5</v>
      </c>
      <c r="BH11" s="4405" t="s">
        <v>9</v>
      </c>
      <c r="BI11" s="6314">
        <v>938</v>
      </c>
      <c r="BJ11" s="6313">
        <v>20</v>
      </c>
      <c r="BK11" s="6313">
        <v>244</v>
      </c>
      <c r="BL11" s="6313">
        <v>149</v>
      </c>
      <c r="BM11" s="6313">
        <v>43</v>
      </c>
      <c r="BN11" s="6303"/>
      <c r="BO11" s="6313">
        <v>7</v>
      </c>
      <c r="BP11" s="6313">
        <v>1</v>
      </c>
      <c r="BQ11" s="6313">
        <v>39</v>
      </c>
      <c r="BR11" s="6303"/>
      <c r="BS11" s="6313">
        <v>64</v>
      </c>
      <c r="BT11" s="6313">
        <v>98</v>
      </c>
      <c r="BU11" s="6313">
        <v>63</v>
      </c>
      <c r="BV11" s="6303"/>
      <c r="BW11" s="6313">
        <v>210</v>
      </c>
      <c r="BX11" s="6300">
        <f t="shared" si="16"/>
        <v>0.35812356979405036</v>
      </c>
      <c r="BZ11" s="4388"/>
      <c r="CA11" s="4388"/>
      <c r="CB11" s="4388" t="s">
        <v>9</v>
      </c>
      <c r="CC11" s="4231">
        <v>171</v>
      </c>
      <c r="CD11" s="4231">
        <v>92</v>
      </c>
      <c r="CE11" s="4231"/>
      <c r="CF11" s="4231">
        <v>43</v>
      </c>
      <c r="CG11" s="4231">
        <v>206</v>
      </c>
      <c r="CH11" s="4231">
        <v>55</v>
      </c>
      <c r="CI11" s="4231">
        <v>7</v>
      </c>
      <c r="CJ11" s="4231"/>
      <c r="CK11" s="4231"/>
      <c r="CL11" s="4231">
        <v>19</v>
      </c>
      <c r="CM11" s="4231">
        <v>39</v>
      </c>
      <c r="CN11" s="4231">
        <v>63</v>
      </c>
      <c r="CO11" s="4231">
        <v>247</v>
      </c>
      <c r="CP11" s="4231">
        <v>1</v>
      </c>
      <c r="CQ11" s="4231">
        <v>943</v>
      </c>
      <c r="CR11" s="6304">
        <f t="shared" si="7"/>
        <v>0.34129692832764508</v>
      </c>
      <c r="CS11" s="4238">
        <f t="shared" si="8"/>
        <v>4</v>
      </c>
      <c r="CT11" s="6305">
        <v>939</v>
      </c>
      <c r="CU11" s="6316"/>
      <c r="CX11" s="42" t="s">
        <v>9</v>
      </c>
      <c r="CY11" s="42">
        <v>88</v>
      </c>
      <c r="CZ11" s="42">
        <v>72</v>
      </c>
      <c r="DB11" s="42">
        <v>43</v>
      </c>
      <c r="DC11" s="42">
        <v>317</v>
      </c>
      <c r="DD11" s="42">
        <v>71</v>
      </c>
      <c r="DE11" s="42">
        <v>194</v>
      </c>
      <c r="DF11" s="42">
        <v>6</v>
      </c>
      <c r="DH11" s="42">
        <v>21</v>
      </c>
      <c r="DI11" s="42">
        <v>43</v>
      </c>
      <c r="DJ11" s="42">
        <v>66</v>
      </c>
      <c r="DK11" s="42">
        <v>206</v>
      </c>
      <c r="DL11" s="42">
        <v>2</v>
      </c>
      <c r="DM11" s="893">
        <v>1129</v>
      </c>
      <c r="DN11" s="6306">
        <f t="shared" si="17"/>
        <v>0.4062205466540999</v>
      </c>
      <c r="DP11" s="4263"/>
      <c r="DQ11" s="4263"/>
      <c r="DR11" s="4258" t="s">
        <v>9</v>
      </c>
      <c r="DS11" s="4263">
        <v>139</v>
      </c>
      <c r="DT11" s="4263">
        <v>79</v>
      </c>
      <c r="DU11" s="4263"/>
      <c r="DV11" s="4263">
        <v>40</v>
      </c>
      <c r="DW11" s="4263">
        <v>215</v>
      </c>
      <c r="DX11" s="4263">
        <v>74</v>
      </c>
      <c r="DY11" s="4263">
        <v>91</v>
      </c>
      <c r="DZ11" s="4263"/>
      <c r="EA11" s="4263"/>
      <c r="EB11" s="4263">
        <v>30</v>
      </c>
      <c r="EC11" s="4263">
        <v>43</v>
      </c>
      <c r="ED11" s="4263">
        <v>65</v>
      </c>
      <c r="EE11" s="4263">
        <v>213</v>
      </c>
      <c r="EF11" s="4263">
        <v>1</v>
      </c>
      <c r="EG11" s="4263">
        <v>990</v>
      </c>
      <c r="EH11" s="6307">
        <f t="shared" si="9"/>
        <v>0.3593073593073593</v>
      </c>
      <c r="EL11" s="42" t="s">
        <v>9</v>
      </c>
      <c r="EM11" s="97">
        <v>170</v>
      </c>
      <c r="EN11" s="97">
        <v>87</v>
      </c>
      <c r="EO11" s="97"/>
      <c r="EP11" s="97">
        <v>1</v>
      </c>
      <c r="EQ11" s="97">
        <v>281</v>
      </c>
      <c r="ER11" s="97">
        <v>37</v>
      </c>
      <c r="ES11" s="97">
        <v>112</v>
      </c>
      <c r="ET11" s="97"/>
      <c r="EU11" s="97"/>
      <c r="EV11" s="97">
        <v>41</v>
      </c>
      <c r="EW11" s="97">
        <v>50</v>
      </c>
      <c r="EX11" s="97">
        <v>65</v>
      </c>
      <c r="EY11" s="97">
        <v>241</v>
      </c>
      <c r="EZ11" s="97"/>
      <c r="FA11" s="97">
        <v>1085</v>
      </c>
      <c r="FB11" s="6315">
        <f t="shared" si="10"/>
        <v>0.36078431372549019</v>
      </c>
      <c r="FD11" s="42"/>
      <c r="FE11" s="42"/>
      <c r="FF11" s="42" t="s">
        <v>9</v>
      </c>
      <c r="FG11" s="97">
        <v>187</v>
      </c>
      <c r="FH11" s="97">
        <v>111</v>
      </c>
      <c r="FI11" s="97"/>
      <c r="FJ11" s="97">
        <v>60</v>
      </c>
      <c r="FK11" s="97">
        <v>263</v>
      </c>
      <c r="FL11" s="97">
        <v>54</v>
      </c>
      <c r="FM11" s="97">
        <v>136</v>
      </c>
      <c r="FN11" s="97"/>
      <c r="FO11" s="97"/>
      <c r="FP11" s="97">
        <v>41</v>
      </c>
      <c r="FQ11" s="97">
        <v>68</v>
      </c>
      <c r="FR11" s="97">
        <v>49</v>
      </c>
      <c r="FS11" s="97">
        <v>269</v>
      </c>
      <c r="FT11" s="97">
        <v>2</v>
      </c>
      <c r="FU11" s="97">
        <v>1240</v>
      </c>
      <c r="FV11" s="6308">
        <f t="shared" si="0"/>
        <v>0.32380151387720774</v>
      </c>
      <c r="FX11" s="42"/>
      <c r="FY11" s="42"/>
      <c r="FZ11" s="42" t="s">
        <v>9</v>
      </c>
      <c r="GA11" s="97">
        <v>217</v>
      </c>
      <c r="GB11" s="97">
        <v>146</v>
      </c>
      <c r="GC11" s="97"/>
      <c r="GD11" s="97">
        <v>66</v>
      </c>
      <c r="GE11" s="97">
        <v>273</v>
      </c>
      <c r="GF11" s="97">
        <v>47</v>
      </c>
      <c r="GG11" s="97">
        <v>126</v>
      </c>
      <c r="GH11" s="97">
        <v>18</v>
      </c>
      <c r="GI11" s="97"/>
      <c r="GJ11" s="97">
        <v>43</v>
      </c>
      <c r="GK11" s="97">
        <v>55</v>
      </c>
      <c r="GL11" s="97">
        <v>19</v>
      </c>
      <c r="GM11" s="97">
        <v>318</v>
      </c>
      <c r="GN11" s="97">
        <v>2</v>
      </c>
      <c r="GO11" s="97">
        <v>1330</v>
      </c>
      <c r="GP11" s="6308">
        <f t="shared" si="11"/>
        <v>0.28647822765469827</v>
      </c>
      <c r="GR11" s="6280"/>
      <c r="GS11" s="6280"/>
      <c r="GT11" s="6310" t="s">
        <v>9</v>
      </c>
      <c r="GU11" s="6311">
        <v>305</v>
      </c>
      <c r="GV11" s="6311">
        <v>122</v>
      </c>
      <c r="GW11" s="6312"/>
      <c r="GX11" s="6311">
        <v>70</v>
      </c>
      <c r="GY11" s="6311">
        <v>288</v>
      </c>
      <c r="GZ11" s="6311">
        <v>31</v>
      </c>
      <c r="HA11" s="6311">
        <v>106</v>
      </c>
      <c r="HB11" s="6312"/>
      <c r="HC11" s="6312"/>
      <c r="HD11" s="6311">
        <v>50</v>
      </c>
      <c r="HE11" s="6311">
        <v>53</v>
      </c>
      <c r="HF11" s="6311">
        <v>9</v>
      </c>
      <c r="HG11" s="6311">
        <v>380</v>
      </c>
      <c r="HH11" s="6311">
        <v>2</v>
      </c>
      <c r="HI11" s="6311">
        <v>1416</v>
      </c>
      <c r="HJ11" s="467">
        <f t="shared" si="12"/>
        <v>0.26476868327402137</v>
      </c>
      <c r="HL11" s="967"/>
      <c r="HM11" s="967"/>
      <c r="HN11" s="977" t="s">
        <v>9</v>
      </c>
      <c r="HO11" s="978">
        <v>300</v>
      </c>
      <c r="HP11" s="978">
        <v>155</v>
      </c>
      <c r="HQ11" s="967"/>
      <c r="HR11" s="978">
        <v>89</v>
      </c>
      <c r="HS11" s="978">
        <v>330</v>
      </c>
      <c r="HT11" s="978">
        <v>32</v>
      </c>
      <c r="HU11" s="978">
        <v>136</v>
      </c>
      <c r="HV11" s="967"/>
      <c r="HW11" s="978">
        <v>0</v>
      </c>
      <c r="HX11" s="978">
        <v>52</v>
      </c>
      <c r="HY11" s="978">
        <v>45</v>
      </c>
      <c r="HZ11" s="978">
        <v>399</v>
      </c>
      <c r="IA11" s="978">
        <v>0</v>
      </c>
      <c r="IB11" s="978">
        <v>1538</v>
      </c>
      <c r="IC11" s="467">
        <f t="shared" si="13"/>
        <v>0.26462938881664499</v>
      </c>
      <c r="IE11" s="577"/>
      <c r="IF11" s="577"/>
      <c r="IG11" s="979" t="s">
        <v>9</v>
      </c>
      <c r="IH11" s="980">
        <v>305</v>
      </c>
      <c r="II11" s="980">
        <v>168</v>
      </c>
      <c r="IJ11" s="980">
        <v>1</v>
      </c>
      <c r="IK11" s="980">
        <v>106</v>
      </c>
      <c r="IL11" s="980">
        <v>292</v>
      </c>
      <c r="IM11" s="980">
        <v>66</v>
      </c>
      <c r="IN11" s="980">
        <v>110</v>
      </c>
      <c r="IO11" s="577"/>
      <c r="IP11" s="980">
        <v>0</v>
      </c>
      <c r="IQ11" s="980">
        <v>32</v>
      </c>
      <c r="IR11" s="980">
        <v>40</v>
      </c>
      <c r="IS11" s="980">
        <v>426</v>
      </c>
      <c r="IT11" s="980">
        <v>0</v>
      </c>
      <c r="IU11" s="980">
        <v>1546</v>
      </c>
      <c r="IV11" s="467">
        <f t="shared" si="14"/>
        <v>0.25743855109961189</v>
      </c>
      <c r="IX11" s="742"/>
      <c r="IY11" s="742"/>
      <c r="IZ11" s="981" t="s">
        <v>9</v>
      </c>
      <c r="JA11" s="982">
        <v>343</v>
      </c>
      <c r="JB11" s="982">
        <v>128</v>
      </c>
      <c r="JC11" s="982">
        <v>0</v>
      </c>
      <c r="JD11" s="982">
        <v>135</v>
      </c>
      <c r="JE11" s="982">
        <v>272</v>
      </c>
      <c r="JF11" s="982">
        <v>33</v>
      </c>
      <c r="JG11" s="982">
        <v>106</v>
      </c>
      <c r="JH11" s="982">
        <v>0</v>
      </c>
      <c r="JI11" s="982">
        <v>45</v>
      </c>
      <c r="JJ11" s="982">
        <v>40</v>
      </c>
      <c r="JK11" s="982">
        <v>475</v>
      </c>
      <c r="JL11" s="982">
        <v>488</v>
      </c>
      <c r="JM11" s="982">
        <v>0</v>
      </c>
      <c r="JN11" s="982">
        <v>3</v>
      </c>
      <c r="JO11" s="982">
        <v>2068</v>
      </c>
      <c r="JP11" s="983">
        <f t="shared" si="15"/>
        <v>0.21698113207547171</v>
      </c>
      <c r="JR11" s="97"/>
      <c r="JS11" s="97"/>
      <c r="JT11" s="42" t="s">
        <v>9</v>
      </c>
      <c r="JU11" s="42">
        <v>328</v>
      </c>
      <c r="JV11" s="42">
        <v>117</v>
      </c>
      <c r="JW11" s="42"/>
      <c r="JX11" s="42">
        <v>143</v>
      </c>
      <c r="JY11" s="42">
        <v>282</v>
      </c>
      <c r="JZ11" s="42">
        <v>39</v>
      </c>
      <c r="KA11" s="42">
        <v>125</v>
      </c>
      <c r="KB11" s="42">
        <v>0</v>
      </c>
      <c r="KC11" s="42">
        <v>27</v>
      </c>
      <c r="KD11" s="42">
        <v>29</v>
      </c>
      <c r="KE11" s="42">
        <v>424</v>
      </c>
      <c r="KF11" s="42">
        <v>504</v>
      </c>
      <c r="KG11" s="42">
        <v>0</v>
      </c>
      <c r="KH11" s="42">
        <v>3</v>
      </c>
      <c r="KI11" s="42">
        <v>2021</v>
      </c>
      <c r="KJ11" s="984">
        <f t="shared" si="1"/>
        <v>0.21957340025094102</v>
      </c>
      <c r="KK11" s="42"/>
      <c r="KL11" s="354"/>
      <c r="KM11" s="354"/>
      <c r="KN11" s="354" t="s">
        <v>9</v>
      </c>
      <c r="KO11" s="985">
        <v>258</v>
      </c>
      <c r="KP11" s="985">
        <v>130</v>
      </c>
      <c r="KQ11" s="985" t="s">
        <v>315</v>
      </c>
      <c r="KR11" s="985">
        <v>148</v>
      </c>
      <c r="KS11" s="985">
        <v>272</v>
      </c>
      <c r="KT11" s="985">
        <v>34</v>
      </c>
      <c r="KU11" s="985">
        <v>155</v>
      </c>
      <c r="KV11" s="985" t="s">
        <v>315</v>
      </c>
      <c r="KW11" s="985">
        <v>79</v>
      </c>
      <c r="KX11" s="985">
        <v>39</v>
      </c>
      <c r="KY11" s="985">
        <v>481</v>
      </c>
      <c r="KZ11" s="985" t="s">
        <v>315</v>
      </c>
      <c r="LA11" s="985">
        <v>1596</v>
      </c>
      <c r="LB11" s="985">
        <f t="shared" si="2"/>
        <v>345</v>
      </c>
      <c r="LC11" s="986">
        <f t="shared" si="3"/>
        <v>0.21616541353383459</v>
      </c>
      <c r="LD11" s="42"/>
      <c r="LE11" s="42"/>
    </row>
    <row r="12" spans="1:317">
      <c r="A12" s="6291">
        <v>1</v>
      </c>
      <c r="B12" s="6291">
        <v>1</v>
      </c>
      <c r="C12" s="6291">
        <v>6</v>
      </c>
      <c r="D12" s="6292">
        <v>724</v>
      </c>
      <c r="E12" s="6291">
        <v>22</v>
      </c>
      <c r="F12" s="6291">
        <v>205</v>
      </c>
      <c r="G12" s="6291">
        <v>212</v>
      </c>
      <c r="H12" s="6291">
        <v>30</v>
      </c>
      <c r="I12" s="6293"/>
      <c r="J12" s="6291">
        <v>4</v>
      </c>
      <c r="K12" s="6291">
        <v>34</v>
      </c>
      <c r="L12" s="6293"/>
      <c r="M12" s="6291">
        <v>28</v>
      </c>
      <c r="N12" s="6291">
        <v>58</v>
      </c>
      <c r="O12" s="6293"/>
      <c r="P12" s="6291">
        <v>131</v>
      </c>
      <c r="Q12" s="6294">
        <f t="shared" si="4"/>
        <v>0.26657458563535913</v>
      </c>
      <c r="S12" s="6295">
        <v>1</v>
      </c>
      <c r="T12" s="6295">
        <v>1</v>
      </c>
      <c r="U12" s="6295">
        <v>6</v>
      </c>
      <c r="V12" s="6295">
        <v>758</v>
      </c>
      <c r="W12" s="6295">
        <v>23</v>
      </c>
      <c r="X12" s="6295">
        <v>166</v>
      </c>
      <c r="Y12" s="6295">
        <v>201</v>
      </c>
      <c r="Z12" s="6295">
        <v>36</v>
      </c>
      <c r="AA12" s="6296"/>
      <c r="AB12" s="6295">
        <v>8</v>
      </c>
      <c r="AC12" s="6295">
        <v>30</v>
      </c>
      <c r="AD12" s="6296"/>
      <c r="AE12" s="6295">
        <v>32</v>
      </c>
      <c r="AF12" s="6295">
        <v>125</v>
      </c>
      <c r="AG12" s="6296"/>
      <c r="AH12" s="6295">
        <v>137</v>
      </c>
      <c r="AI12" s="6294">
        <f t="shared" si="5"/>
        <v>0.26253298153034299</v>
      </c>
      <c r="AJ12" s="6295"/>
      <c r="AK12" s="6297">
        <v>1</v>
      </c>
      <c r="AL12" s="6297">
        <v>1</v>
      </c>
      <c r="AM12" s="6297">
        <v>6</v>
      </c>
      <c r="AN12" s="6298">
        <v>827</v>
      </c>
      <c r="AO12" s="6297">
        <v>18</v>
      </c>
      <c r="AP12" s="6297">
        <v>166</v>
      </c>
      <c r="AQ12" s="6297">
        <v>222</v>
      </c>
      <c r="AR12" s="6297">
        <v>35</v>
      </c>
      <c r="AS12" s="6299"/>
      <c r="AT12" s="6297">
        <v>8</v>
      </c>
      <c r="AU12" s="6299"/>
      <c r="AV12" s="6297">
        <v>23</v>
      </c>
      <c r="AW12" s="6297">
        <v>30</v>
      </c>
      <c r="AX12" s="6299"/>
      <c r="AY12" s="6297">
        <v>123</v>
      </c>
      <c r="AZ12" s="6297">
        <v>70</v>
      </c>
      <c r="BA12" s="6299"/>
      <c r="BB12" s="6297">
        <v>132</v>
      </c>
      <c r="BC12" s="6300">
        <f t="shared" si="6"/>
        <v>0.24438573315719947</v>
      </c>
      <c r="BE12" s="6313">
        <v>1</v>
      </c>
      <c r="BF12" s="6313">
        <v>1</v>
      </c>
      <c r="BG12" s="6313">
        <v>6</v>
      </c>
      <c r="BH12" s="4405" t="s">
        <v>10</v>
      </c>
      <c r="BI12" s="6314">
        <v>917</v>
      </c>
      <c r="BJ12" s="6313">
        <v>18</v>
      </c>
      <c r="BK12" s="6313">
        <v>245</v>
      </c>
      <c r="BL12" s="6313">
        <v>205</v>
      </c>
      <c r="BM12" s="6313">
        <v>46</v>
      </c>
      <c r="BN12" s="6303"/>
      <c r="BO12" s="6313">
        <v>10</v>
      </c>
      <c r="BP12" s="6303"/>
      <c r="BQ12" s="6313">
        <v>29</v>
      </c>
      <c r="BR12" s="6303"/>
      <c r="BS12" s="6313">
        <v>54</v>
      </c>
      <c r="BT12" s="6313">
        <v>98</v>
      </c>
      <c r="BU12" s="6313">
        <v>71</v>
      </c>
      <c r="BV12" s="6303"/>
      <c r="BW12" s="6313">
        <v>141</v>
      </c>
      <c r="BX12" s="6300">
        <f t="shared" si="16"/>
        <v>0.26477541371158392</v>
      </c>
      <c r="BZ12" s="4388"/>
      <c r="CA12" s="4388"/>
      <c r="CB12" s="4388" t="s">
        <v>10</v>
      </c>
      <c r="CC12" s="4231">
        <v>211</v>
      </c>
      <c r="CD12" s="4231">
        <v>97</v>
      </c>
      <c r="CE12" s="4231"/>
      <c r="CF12" s="4231">
        <v>45</v>
      </c>
      <c r="CG12" s="4231">
        <v>137</v>
      </c>
      <c r="CH12" s="4231">
        <v>49</v>
      </c>
      <c r="CI12" s="4231">
        <v>10</v>
      </c>
      <c r="CJ12" s="4231"/>
      <c r="CK12" s="4231"/>
      <c r="CL12" s="4231">
        <v>22</v>
      </c>
      <c r="CM12" s="4231">
        <v>29</v>
      </c>
      <c r="CN12" s="4231">
        <v>71</v>
      </c>
      <c r="CO12" s="4231">
        <v>247</v>
      </c>
      <c r="CP12" s="4231">
        <v>0</v>
      </c>
      <c r="CQ12" s="4231">
        <v>918</v>
      </c>
      <c r="CR12" s="6304">
        <f t="shared" si="7"/>
        <v>0.25383707201889022</v>
      </c>
      <c r="CS12" s="4238">
        <f t="shared" si="8"/>
        <v>1</v>
      </c>
      <c r="CT12" s="6305">
        <v>917</v>
      </c>
      <c r="CU12" s="6316"/>
      <c r="CX12" s="42" t="s">
        <v>10</v>
      </c>
      <c r="CY12" s="42">
        <v>105</v>
      </c>
      <c r="CZ12" s="42">
        <v>81</v>
      </c>
      <c r="DB12" s="42">
        <v>49</v>
      </c>
      <c r="DC12" s="42">
        <v>188</v>
      </c>
      <c r="DD12" s="42">
        <v>53</v>
      </c>
      <c r="DE12" s="42">
        <v>210</v>
      </c>
      <c r="DF12" s="42">
        <v>6</v>
      </c>
      <c r="DH12" s="42">
        <v>29</v>
      </c>
      <c r="DI12" s="42">
        <v>30</v>
      </c>
      <c r="DJ12" s="42">
        <v>81</v>
      </c>
      <c r="DK12" s="42">
        <v>203</v>
      </c>
      <c r="DL12" s="42">
        <v>0</v>
      </c>
      <c r="DM12" s="893">
        <v>1035</v>
      </c>
      <c r="DN12" s="6306">
        <f t="shared" si="17"/>
        <v>0.28406708595387842</v>
      </c>
      <c r="DP12" s="4263"/>
      <c r="DQ12" s="4263"/>
      <c r="DR12" s="4258" t="s">
        <v>10</v>
      </c>
      <c r="DS12" s="4263">
        <v>173</v>
      </c>
      <c r="DT12" s="4263">
        <v>86</v>
      </c>
      <c r="DU12" s="4263"/>
      <c r="DV12" s="4263">
        <v>49</v>
      </c>
      <c r="DW12" s="4263">
        <v>134</v>
      </c>
      <c r="DX12" s="4263">
        <v>51</v>
      </c>
      <c r="DY12" s="4263">
        <v>100</v>
      </c>
      <c r="DZ12" s="4263"/>
      <c r="EA12" s="4263"/>
      <c r="EB12" s="4263">
        <v>30</v>
      </c>
      <c r="EC12" s="4263">
        <v>36</v>
      </c>
      <c r="ED12" s="4263">
        <v>75</v>
      </c>
      <c r="EE12" s="4263">
        <v>210</v>
      </c>
      <c r="EF12" s="4263">
        <v>0</v>
      </c>
      <c r="EG12" s="4263">
        <v>944</v>
      </c>
      <c r="EH12" s="6307">
        <f t="shared" si="9"/>
        <v>0.25431530494821636</v>
      </c>
      <c r="EL12" s="42" t="s">
        <v>10</v>
      </c>
      <c r="EM12" s="97">
        <v>182</v>
      </c>
      <c r="EN12" s="97">
        <v>87</v>
      </c>
      <c r="EO12" s="97"/>
      <c r="EP12" s="97">
        <v>1</v>
      </c>
      <c r="EQ12" s="97">
        <v>155</v>
      </c>
      <c r="ER12" s="97">
        <v>29</v>
      </c>
      <c r="ES12" s="97">
        <v>120</v>
      </c>
      <c r="ET12" s="97"/>
      <c r="EU12" s="97"/>
      <c r="EV12" s="97">
        <v>45</v>
      </c>
      <c r="EW12" s="97">
        <v>37</v>
      </c>
      <c r="EX12" s="97">
        <v>75</v>
      </c>
      <c r="EY12" s="97">
        <v>253</v>
      </c>
      <c r="EZ12" s="97"/>
      <c r="FA12" s="97">
        <v>984</v>
      </c>
      <c r="FB12" s="6315">
        <f t="shared" si="10"/>
        <v>0.24312431243124313</v>
      </c>
      <c r="FD12" s="42"/>
      <c r="FE12" s="42"/>
      <c r="FF12" s="42" t="s">
        <v>10</v>
      </c>
      <c r="FG12" s="97">
        <v>215</v>
      </c>
      <c r="FH12" s="97">
        <v>130</v>
      </c>
      <c r="FI12" s="97"/>
      <c r="FJ12" s="97">
        <v>55</v>
      </c>
      <c r="FK12" s="97">
        <v>140</v>
      </c>
      <c r="FL12" s="97">
        <v>32</v>
      </c>
      <c r="FM12" s="97">
        <v>95</v>
      </c>
      <c r="FN12" s="97"/>
      <c r="FO12" s="97"/>
      <c r="FP12" s="97">
        <v>29</v>
      </c>
      <c r="FQ12" s="97">
        <v>38</v>
      </c>
      <c r="FR12" s="97">
        <v>56</v>
      </c>
      <c r="FS12" s="97">
        <v>272</v>
      </c>
      <c r="FT12" s="97">
        <v>0</v>
      </c>
      <c r="FU12" s="97">
        <v>1062</v>
      </c>
      <c r="FV12" s="6308">
        <f t="shared" si="0"/>
        <v>0.20874751491053678</v>
      </c>
      <c r="FX12" s="42"/>
      <c r="FY12" s="42"/>
      <c r="FZ12" s="42" t="s">
        <v>10</v>
      </c>
      <c r="GA12" s="97">
        <v>207</v>
      </c>
      <c r="GB12" s="97">
        <v>154</v>
      </c>
      <c r="GC12" s="97"/>
      <c r="GD12" s="97">
        <v>62</v>
      </c>
      <c r="GE12" s="97">
        <v>140</v>
      </c>
      <c r="GF12" s="97">
        <v>18</v>
      </c>
      <c r="GG12" s="97">
        <v>120</v>
      </c>
      <c r="GH12" s="97">
        <v>13</v>
      </c>
      <c r="GI12" s="97"/>
      <c r="GJ12" s="97">
        <v>41</v>
      </c>
      <c r="GK12" s="97">
        <v>25</v>
      </c>
      <c r="GL12" s="97">
        <v>29</v>
      </c>
      <c r="GM12" s="97">
        <v>286</v>
      </c>
      <c r="GN12" s="97">
        <v>0</v>
      </c>
      <c r="GO12" s="97">
        <v>1095</v>
      </c>
      <c r="GP12" s="6308">
        <f t="shared" si="11"/>
        <v>0.17166979362101314</v>
      </c>
      <c r="GR12" s="6280"/>
      <c r="GS12" s="6280"/>
      <c r="GT12" s="6310" t="s">
        <v>10</v>
      </c>
      <c r="GU12" s="6311">
        <v>263</v>
      </c>
      <c r="GV12" s="6311">
        <v>139</v>
      </c>
      <c r="GW12" s="6312"/>
      <c r="GX12" s="6311">
        <v>63</v>
      </c>
      <c r="GY12" s="6311">
        <v>136</v>
      </c>
      <c r="GZ12" s="6311">
        <v>22</v>
      </c>
      <c r="HA12" s="6311">
        <v>85</v>
      </c>
      <c r="HB12" s="6312"/>
      <c r="HC12" s="6312"/>
      <c r="HD12" s="6311">
        <v>49</v>
      </c>
      <c r="HE12" s="6311">
        <v>21</v>
      </c>
      <c r="HF12" s="6311">
        <v>20</v>
      </c>
      <c r="HG12" s="6311">
        <v>340</v>
      </c>
      <c r="HH12" s="6311">
        <v>0</v>
      </c>
      <c r="HI12" s="6311">
        <v>1138</v>
      </c>
      <c r="HJ12" s="467">
        <f t="shared" si="12"/>
        <v>0.16010733452593917</v>
      </c>
      <c r="HL12" s="967"/>
      <c r="HM12" s="967"/>
      <c r="HN12" s="977" t="s">
        <v>10</v>
      </c>
      <c r="HO12" s="978">
        <v>265</v>
      </c>
      <c r="HP12" s="978">
        <v>133</v>
      </c>
      <c r="HQ12" s="967"/>
      <c r="HR12" s="978">
        <v>75</v>
      </c>
      <c r="HS12" s="978">
        <v>127</v>
      </c>
      <c r="HT12" s="978">
        <v>20</v>
      </c>
      <c r="HU12" s="978">
        <v>110</v>
      </c>
      <c r="HV12" s="967"/>
      <c r="HW12" s="978">
        <v>0</v>
      </c>
      <c r="HX12" s="978">
        <v>41</v>
      </c>
      <c r="HY12" s="978">
        <v>19</v>
      </c>
      <c r="HZ12" s="978">
        <v>350</v>
      </c>
      <c r="IA12" s="978">
        <v>0</v>
      </c>
      <c r="IB12" s="978">
        <v>1140</v>
      </c>
      <c r="IC12" s="467">
        <f t="shared" si="13"/>
        <v>0.14561403508771931</v>
      </c>
      <c r="IE12" s="577"/>
      <c r="IF12" s="577"/>
      <c r="IG12" s="979" t="s">
        <v>10</v>
      </c>
      <c r="IH12" s="980">
        <v>228</v>
      </c>
      <c r="II12" s="980">
        <v>125</v>
      </c>
      <c r="IJ12" s="980">
        <v>0</v>
      </c>
      <c r="IK12" s="980">
        <v>81</v>
      </c>
      <c r="IL12" s="980">
        <v>133</v>
      </c>
      <c r="IM12" s="980">
        <v>26</v>
      </c>
      <c r="IN12" s="980">
        <v>78</v>
      </c>
      <c r="IO12" s="577"/>
      <c r="IP12" s="980">
        <v>0</v>
      </c>
      <c r="IQ12" s="980">
        <v>24</v>
      </c>
      <c r="IR12" s="980">
        <v>13</v>
      </c>
      <c r="IS12" s="980">
        <v>358</v>
      </c>
      <c r="IT12" s="980">
        <v>0</v>
      </c>
      <c r="IU12" s="980">
        <v>1066</v>
      </c>
      <c r="IV12" s="467">
        <f t="shared" si="14"/>
        <v>0.16135084427767354</v>
      </c>
      <c r="IX12" s="742"/>
      <c r="IY12" s="742"/>
      <c r="IZ12" s="981" t="s">
        <v>10</v>
      </c>
      <c r="JA12" s="982">
        <v>239</v>
      </c>
      <c r="JB12" s="982">
        <v>91</v>
      </c>
      <c r="JC12" s="982">
        <v>0</v>
      </c>
      <c r="JD12" s="982">
        <v>84</v>
      </c>
      <c r="JE12" s="982">
        <v>124</v>
      </c>
      <c r="JF12" s="982">
        <v>17</v>
      </c>
      <c r="JG12" s="982">
        <v>97</v>
      </c>
      <c r="JH12" s="982">
        <v>0</v>
      </c>
      <c r="JI12" s="982">
        <v>24</v>
      </c>
      <c r="JJ12" s="982">
        <v>18</v>
      </c>
      <c r="JK12" s="982">
        <v>458</v>
      </c>
      <c r="JL12" s="982">
        <v>380</v>
      </c>
      <c r="JM12" s="982">
        <v>0</v>
      </c>
      <c r="JN12" s="982">
        <v>3</v>
      </c>
      <c r="JO12" s="982">
        <v>1535</v>
      </c>
      <c r="JP12" s="983">
        <f t="shared" si="15"/>
        <v>0.14804469273743018</v>
      </c>
      <c r="JR12" s="97"/>
      <c r="JS12" s="97"/>
      <c r="JT12" s="42" t="s">
        <v>10</v>
      </c>
      <c r="JU12" s="42">
        <v>224</v>
      </c>
      <c r="JV12" s="42">
        <v>87</v>
      </c>
      <c r="JW12" s="42"/>
      <c r="JX12" s="42">
        <v>93</v>
      </c>
      <c r="JY12" s="42">
        <v>120</v>
      </c>
      <c r="JZ12" s="42">
        <v>19</v>
      </c>
      <c r="KA12" s="42">
        <v>119</v>
      </c>
      <c r="KB12" s="42">
        <v>0</v>
      </c>
      <c r="KC12" s="42">
        <v>16</v>
      </c>
      <c r="KD12" s="42">
        <v>10</v>
      </c>
      <c r="KE12" s="42">
        <v>422</v>
      </c>
      <c r="KF12" s="42">
        <v>383</v>
      </c>
      <c r="KG12" s="42">
        <v>0</v>
      </c>
      <c r="KH12" s="42">
        <v>3</v>
      </c>
      <c r="KI12" s="42">
        <v>1496</v>
      </c>
      <c r="KJ12" s="984">
        <f t="shared" si="1"/>
        <v>0.13912231559290383</v>
      </c>
      <c r="KK12" s="42"/>
      <c r="KL12" s="354"/>
      <c r="KM12" s="354"/>
      <c r="KN12" s="354" t="s">
        <v>10</v>
      </c>
      <c r="KO12" s="985">
        <v>204</v>
      </c>
      <c r="KP12" s="985">
        <v>82</v>
      </c>
      <c r="KQ12" s="985" t="s">
        <v>315</v>
      </c>
      <c r="KR12" s="985">
        <v>103</v>
      </c>
      <c r="KS12" s="985">
        <v>119</v>
      </c>
      <c r="KT12" s="985">
        <v>18</v>
      </c>
      <c r="KU12" s="985">
        <v>112</v>
      </c>
      <c r="KV12" s="985" t="s">
        <v>315</v>
      </c>
      <c r="KW12" s="985">
        <v>19</v>
      </c>
      <c r="KX12" s="985">
        <v>9</v>
      </c>
      <c r="KY12" s="985">
        <v>420</v>
      </c>
      <c r="KZ12" s="985" t="s">
        <v>315</v>
      </c>
      <c r="LA12" s="985">
        <v>1086</v>
      </c>
      <c r="LB12" s="985">
        <f t="shared" si="2"/>
        <v>146</v>
      </c>
      <c r="LC12" s="986">
        <f t="shared" si="3"/>
        <v>0.13443830570902393</v>
      </c>
      <c r="LD12" s="42"/>
      <c r="LE12" s="42"/>
    </row>
    <row r="13" spans="1:317">
      <c r="A13" s="6291">
        <v>1</v>
      </c>
      <c r="B13" s="6291">
        <v>1</v>
      </c>
      <c r="C13" s="6291">
        <v>7</v>
      </c>
      <c r="D13" s="6292">
        <v>544</v>
      </c>
      <c r="E13" s="6291">
        <v>32</v>
      </c>
      <c r="F13" s="6291">
        <v>168</v>
      </c>
      <c r="G13" s="6291">
        <v>143</v>
      </c>
      <c r="H13" s="6291">
        <v>29</v>
      </c>
      <c r="I13" s="6293"/>
      <c r="J13" s="6291">
        <v>3</v>
      </c>
      <c r="K13" s="6291">
        <v>17</v>
      </c>
      <c r="L13" s="6293"/>
      <c r="M13" s="6291">
        <v>20</v>
      </c>
      <c r="N13" s="6291">
        <v>59</v>
      </c>
      <c r="O13" s="6293"/>
      <c r="P13" s="6291">
        <v>73</v>
      </c>
      <c r="Q13" s="6294">
        <f t="shared" si="4"/>
        <v>0.20220588235294118</v>
      </c>
      <c r="S13" s="6295">
        <v>1</v>
      </c>
      <c r="T13" s="6295">
        <v>1</v>
      </c>
      <c r="U13" s="6295">
        <v>7</v>
      </c>
      <c r="V13" s="6295">
        <v>566</v>
      </c>
      <c r="W13" s="6295">
        <v>43</v>
      </c>
      <c r="X13" s="6295">
        <v>132</v>
      </c>
      <c r="Y13" s="6295">
        <v>166</v>
      </c>
      <c r="Z13" s="6295">
        <v>33</v>
      </c>
      <c r="AA13" s="6296"/>
      <c r="AB13" s="6295">
        <v>3</v>
      </c>
      <c r="AC13" s="6295">
        <v>14</v>
      </c>
      <c r="AD13" s="6296"/>
      <c r="AE13" s="6295">
        <v>5</v>
      </c>
      <c r="AF13" s="6295">
        <v>105</v>
      </c>
      <c r="AG13" s="6296"/>
      <c r="AH13" s="6295">
        <v>65</v>
      </c>
      <c r="AI13" s="6294">
        <f t="shared" si="5"/>
        <v>0.14840989399293286</v>
      </c>
      <c r="AJ13" s="6295"/>
      <c r="AK13" s="6297">
        <v>1</v>
      </c>
      <c r="AL13" s="6297">
        <v>1</v>
      </c>
      <c r="AM13" s="6297">
        <v>7</v>
      </c>
      <c r="AN13" s="6298">
        <v>589</v>
      </c>
      <c r="AO13" s="6297">
        <v>31</v>
      </c>
      <c r="AP13" s="6297">
        <v>132</v>
      </c>
      <c r="AQ13" s="6297">
        <v>189</v>
      </c>
      <c r="AR13" s="6297">
        <v>33</v>
      </c>
      <c r="AS13" s="6299"/>
      <c r="AT13" s="6297">
        <v>3</v>
      </c>
      <c r="AU13" s="6299"/>
      <c r="AV13" s="6297">
        <v>5</v>
      </c>
      <c r="AW13" s="6297">
        <v>5</v>
      </c>
      <c r="AX13" s="6299"/>
      <c r="AY13" s="6297">
        <v>104</v>
      </c>
      <c r="AZ13" s="6297">
        <v>23</v>
      </c>
      <c r="BA13" s="6299"/>
      <c r="BB13" s="6297">
        <v>64</v>
      </c>
      <c r="BC13" s="6300">
        <f t="shared" si="6"/>
        <v>0.13074204946996468</v>
      </c>
      <c r="BE13" s="6313">
        <v>1</v>
      </c>
      <c r="BF13" s="6313">
        <v>1</v>
      </c>
      <c r="BG13" s="6313">
        <v>7</v>
      </c>
      <c r="BH13" s="4405" t="s">
        <v>11</v>
      </c>
      <c r="BI13" s="6314">
        <v>581</v>
      </c>
      <c r="BJ13" s="6313">
        <v>37</v>
      </c>
      <c r="BK13" s="6313">
        <v>148</v>
      </c>
      <c r="BL13" s="6313">
        <v>156</v>
      </c>
      <c r="BM13" s="6313">
        <v>34</v>
      </c>
      <c r="BN13" s="6303"/>
      <c r="BO13" s="6313">
        <v>3</v>
      </c>
      <c r="BP13" s="6303"/>
      <c r="BQ13" s="6313">
        <v>5</v>
      </c>
      <c r="BR13" s="6303"/>
      <c r="BS13" s="6313">
        <v>18</v>
      </c>
      <c r="BT13" s="6313">
        <v>96</v>
      </c>
      <c r="BU13" s="6313">
        <v>24</v>
      </c>
      <c r="BV13" s="6303"/>
      <c r="BW13" s="6313">
        <v>60</v>
      </c>
      <c r="BX13" s="6300">
        <f t="shared" si="16"/>
        <v>0.1490125673249551</v>
      </c>
      <c r="BZ13" s="4388"/>
      <c r="CA13" s="4388"/>
      <c r="CB13" s="4388" t="s">
        <v>11</v>
      </c>
      <c r="CC13" s="4231">
        <v>169</v>
      </c>
      <c r="CD13" s="4231">
        <v>91</v>
      </c>
      <c r="CE13" s="4231"/>
      <c r="CF13" s="4231">
        <v>34</v>
      </c>
      <c r="CG13" s="4231">
        <v>57</v>
      </c>
      <c r="CH13" s="4231">
        <v>17</v>
      </c>
      <c r="CI13" s="4231">
        <v>3</v>
      </c>
      <c r="CJ13" s="4231"/>
      <c r="CK13" s="4231"/>
      <c r="CL13" s="4231">
        <v>29</v>
      </c>
      <c r="CM13" s="4231">
        <v>9</v>
      </c>
      <c r="CN13" s="4231">
        <v>24</v>
      </c>
      <c r="CO13" s="4231">
        <v>149</v>
      </c>
      <c r="CP13" s="4231">
        <v>0</v>
      </c>
      <c r="CQ13" s="4231">
        <v>582</v>
      </c>
      <c r="CR13" s="6304">
        <f t="shared" si="7"/>
        <v>0.14874551971326164</v>
      </c>
      <c r="CS13" s="4238">
        <f t="shared" si="8"/>
        <v>2</v>
      </c>
      <c r="CT13" s="6305">
        <v>580</v>
      </c>
      <c r="CU13" s="6316"/>
      <c r="CX13" s="42" t="s">
        <v>11</v>
      </c>
      <c r="CY13" s="42">
        <v>78</v>
      </c>
      <c r="CZ13" s="42">
        <v>64</v>
      </c>
      <c r="DB13" s="42">
        <v>36</v>
      </c>
      <c r="DC13" s="42">
        <v>74</v>
      </c>
      <c r="DD13" s="42">
        <v>22</v>
      </c>
      <c r="DE13" s="42">
        <v>55</v>
      </c>
      <c r="DF13" s="42">
        <v>4</v>
      </c>
      <c r="DH13" s="42">
        <v>45</v>
      </c>
      <c r="DI13" s="42">
        <v>10</v>
      </c>
      <c r="DJ13" s="42">
        <v>27</v>
      </c>
      <c r="DK13" s="42">
        <v>127</v>
      </c>
      <c r="DL13" s="42">
        <v>1</v>
      </c>
      <c r="DM13" s="893">
        <v>543</v>
      </c>
      <c r="DN13" s="6306">
        <f t="shared" si="17"/>
        <v>0.2058252427184466</v>
      </c>
      <c r="DP13" s="4263"/>
      <c r="DQ13" s="4263"/>
      <c r="DR13" s="4258" t="s">
        <v>11</v>
      </c>
      <c r="DS13" s="4263">
        <v>162</v>
      </c>
      <c r="DT13" s="4263">
        <v>62</v>
      </c>
      <c r="DU13" s="4263"/>
      <c r="DV13" s="4263">
        <v>39</v>
      </c>
      <c r="DW13" s="4263">
        <v>45</v>
      </c>
      <c r="DX13" s="4263">
        <v>29</v>
      </c>
      <c r="DY13" s="4263">
        <v>38</v>
      </c>
      <c r="DZ13" s="4263"/>
      <c r="EA13" s="4263"/>
      <c r="EB13" s="4263">
        <v>34</v>
      </c>
      <c r="EC13" s="4263">
        <v>14</v>
      </c>
      <c r="ED13" s="4263">
        <v>25</v>
      </c>
      <c r="EE13" s="4263">
        <v>133</v>
      </c>
      <c r="EF13" s="4263">
        <v>0</v>
      </c>
      <c r="EG13" s="4263">
        <v>581</v>
      </c>
      <c r="EH13" s="6307">
        <f t="shared" si="9"/>
        <v>0.15827338129496402</v>
      </c>
      <c r="EL13" s="42" t="s">
        <v>11</v>
      </c>
      <c r="EM13" s="97">
        <v>160</v>
      </c>
      <c r="EN13" s="97">
        <v>64</v>
      </c>
      <c r="EO13" s="97"/>
      <c r="EP13" s="97">
        <v>0</v>
      </c>
      <c r="EQ13" s="97">
        <v>52</v>
      </c>
      <c r="ER13" s="97">
        <v>10</v>
      </c>
      <c r="ES13" s="97">
        <v>20</v>
      </c>
      <c r="ET13" s="97"/>
      <c r="EU13" s="97"/>
      <c r="EV13" s="97">
        <v>30</v>
      </c>
      <c r="EW13" s="97">
        <v>13</v>
      </c>
      <c r="EX13" s="97">
        <v>25</v>
      </c>
      <c r="EY13" s="97">
        <v>135</v>
      </c>
      <c r="EZ13" s="97"/>
      <c r="FA13" s="97">
        <v>509</v>
      </c>
      <c r="FB13" s="6315">
        <f t="shared" si="10"/>
        <v>0.15495867768595042</v>
      </c>
      <c r="FD13" s="42"/>
      <c r="FE13" s="42"/>
      <c r="FF13" s="42" t="s">
        <v>11</v>
      </c>
      <c r="FG13" s="97">
        <v>132</v>
      </c>
      <c r="FH13" s="97">
        <v>70</v>
      </c>
      <c r="FI13" s="97"/>
      <c r="FJ13" s="97">
        <v>34</v>
      </c>
      <c r="FK13" s="97">
        <v>48</v>
      </c>
      <c r="FL13" s="97">
        <v>11</v>
      </c>
      <c r="FM13" s="97">
        <v>14</v>
      </c>
      <c r="FN13" s="97"/>
      <c r="FO13" s="97"/>
      <c r="FP13" s="97">
        <v>27</v>
      </c>
      <c r="FQ13" s="97">
        <v>9</v>
      </c>
      <c r="FR13" s="97">
        <v>21</v>
      </c>
      <c r="FS13" s="97">
        <v>104</v>
      </c>
      <c r="FT13" s="97">
        <v>1</v>
      </c>
      <c r="FU13" s="97">
        <v>471</v>
      </c>
      <c r="FV13" s="6308">
        <f t="shared" si="0"/>
        <v>0.15144766146993319</v>
      </c>
      <c r="FX13" s="42"/>
      <c r="FY13" s="42"/>
      <c r="FZ13" s="42" t="s">
        <v>11</v>
      </c>
      <c r="GA13" s="97">
        <v>111</v>
      </c>
      <c r="GB13" s="97">
        <v>66</v>
      </c>
      <c r="GC13" s="97"/>
      <c r="GD13" s="97">
        <v>31</v>
      </c>
      <c r="GE13" s="97">
        <v>45</v>
      </c>
      <c r="GF13" s="97">
        <v>6</v>
      </c>
      <c r="GG13" s="97">
        <v>13</v>
      </c>
      <c r="GH13" s="97">
        <v>2</v>
      </c>
      <c r="GI13" s="97"/>
      <c r="GJ13" s="97">
        <v>15</v>
      </c>
      <c r="GK13" s="97">
        <v>3</v>
      </c>
      <c r="GL13" s="97">
        <v>12</v>
      </c>
      <c r="GM13" s="97">
        <v>87</v>
      </c>
      <c r="GN13" s="97">
        <v>1</v>
      </c>
      <c r="GO13" s="97">
        <v>392</v>
      </c>
      <c r="GP13" s="6308">
        <f t="shared" si="11"/>
        <v>0.14248021108179421</v>
      </c>
      <c r="GR13" s="6280"/>
      <c r="GS13" s="6280"/>
      <c r="GT13" s="6310" t="s">
        <v>11</v>
      </c>
      <c r="GU13" s="6311">
        <v>96</v>
      </c>
      <c r="GV13" s="6311">
        <v>43</v>
      </c>
      <c r="GW13" s="6312"/>
      <c r="GX13" s="6311">
        <v>27</v>
      </c>
      <c r="GY13" s="6311">
        <v>39</v>
      </c>
      <c r="GZ13" s="6311">
        <v>7</v>
      </c>
      <c r="HA13" s="6311">
        <v>13</v>
      </c>
      <c r="HB13" s="6312"/>
      <c r="HC13" s="6312"/>
      <c r="HD13" s="6311">
        <v>10</v>
      </c>
      <c r="HE13" s="6311">
        <v>7</v>
      </c>
      <c r="HF13" s="6311">
        <v>7</v>
      </c>
      <c r="HG13" s="6311">
        <v>81</v>
      </c>
      <c r="HH13" s="6311">
        <v>1</v>
      </c>
      <c r="HI13" s="6311">
        <v>331</v>
      </c>
      <c r="HJ13" s="467">
        <f t="shared" si="12"/>
        <v>0.16408668730650156</v>
      </c>
      <c r="HL13" s="967"/>
      <c r="HM13" s="967"/>
      <c r="HN13" s="977" t="s">
        <v>11</v>
      </c>
      <c r="HO13" s="978">
        <v>75</v>
      </c>
      <c r="HP13" s="978">
        <v>27</v>
      </c>
      <c r="HQ13" s="967"/>
      <c r="HR13" s="978">
        <v>27</v>
      </c>
      <c r="HS13" s="978">
        <v>31</v>
      </c>
      <c r="HT13" s="978">
        <v>3</v>
      </c>
      <c r="HU13" s="978">
        <v>11</v>
      </c>
      <c r="HV13" s="967"/>
      <c r="HW13" s="978">
        <v>1</v>
      </c>
      <c r="HX13" s="978">
        <v>12</v>
      </c>
      <c r="HY13" s="978">
        <v>9</v>
      </c>
      <c r="HZ13" s="978">
        <v>64</v>
      </c>
      <c r="IA13" s="978">
        <v>0</v>
      </c>
      <c r="IB13" s="978">
        <v>260</v>
      </c>
      <c r="IC13" s="467">
        <f t="shared" si="13"/>
        <v>0.16538461538461538</v>
      </c>
      <c r="IE13" s="577"/>
      <c r="IF13" s="577"/>
      <c r="IG13" s="979" t="s">
        <v>11</v>
      </c>
      <c r="IH13" s="980">
        <v>75</v>
      </c>
      <c r="II13" s="980">
        <v>26</v>
      </c>
      <c r="IJ13" s="980">
        <v>0</v>
      </c>
      <c r="IK13" s="980">
        <v>25</v>
      </c>
      <c r="IL13" s="980">
        <v>22</v>
      </c>
      <c r="IM13" s="980">
        <v>3</v>
      </c>
      <c r="IN13" s="980">
        <v>9</v>
      </c>
      <c r="IO13" s="577"/>
      <c r="IP13" s="980">
        <v>1</v>
      </c>
      <c r="IQ13" s="980">
        <v>5</v>
      </c>
      <c r="IR13" s="980">
        <v>4</v>
      </c>
      <c r="IS13" s="980">
        <v>51</v>
      </c>
      <c r="IT13" s="980">
        <v>0</v>
      </c>
      <c r="IU13" s="980">
        <v>221</v>
      </c>
      <c r="IV13" s="467">
        <f t="shared" si="14"/>
        <v>0.13122171945701358</v>
      </c>
      <c r="IX13" s="742"/>
      <c r="IY13" s="742"/>
      <c r="IZ13" s="981" t="s">
        <v>11</v>
      </c>
      <c r="JA13" s="982">
        <v>56</v>
      </c>
      <c r="JB13" s="982">
        <v>14</v>
      </c>
      <c r="JC13" s="982">
        <v>0</v>
      </c>
      <c r="JD13" s="982">
        <v>21</v>
      </c>
      <c r="JE13" s="982">
        <v>18</v>
      </c>
      <c r="JF13" s="982">
        <v>3</v>
      </c>
      <c r="JG13" s="982">
        <v>13</v>
      </c>
      <c r="JH13" s="982">
        <v>1</v>
      </c>
      <c r="JI13" s="982">
        <v>1</v>
      </c>
      <c r="JJ13" s="982">
        <v>1</v>
      </c>
      <c r="JK13" s="982">
        <v>44</v>
      </c>
      <c r="JL13" s="982">
        <v>48</v>
      </c>
      <c r="JM13" s="982">
        <v>0</v>
      </c>
      <c r="JN13" s="982">
        <v>1</v>
      </c>
      <c r="JO13" s="982">
        <v>221</v>
      </c>
      <c r="JP13" s="983">
        <f t="shared" si="15"/>
        <v>0.125</v>
      </c>
      <c r="JR13" s="97"/>
      <c r="JS13" s="97"/>
      <c r="JT13" s="42" t="s">
        <v>11</v>
      </c>
      <c r="JU13" s="42">
        <v>43</v>
      </c>
      <c r="JV13" s="42">
        <v>9</v>
      </c>
      <c r="JW13" s="42"/>
      <c r="JX13" s="42">
        <v>24</v>
      </c>
      <c r="JY13" s="42">
        <v>16</v>
      </c>
      <c r="JZ13" s="42">
        <v>4</v>
      </c>
      <c r="KA13" s="42">
        <v>16</v>
      </c>
      <c r="KB13" s="42">
        <v>1</v>
      </c>
      <c r="KC13" s="42">
        <v>3</v>
      </c>
      <c r="KD13" s="42">
        <v>1</v>
      </c>
      <c r="KE13" s="42">
        <v>38</v>
      </c>
      <c r="KF13" s="42">
        <v>47</v>
      </c>
      <c r="KG13" s="42">
        <v>0</v>
      </c>
      <c r="KH13" s="42">
        <v>0</v>
      </c>
      <c r="KI13" s="42">
        <v>202</v>
      </c>
      <c r="KJ13" s="984">
        <f t="shared" si="1"/>
        <v>0.12804878048780488</v>
      </c>
      <c r="KK13" s="42"/>
      <c r="KL13" s="354"/>
      <c r="KM13" s="354"/>
      <c r="KN13" s="354" t="s">
        <v>11</v>
      </c>
      <c r="KO13" s="985">
        <v>37</v>
      </c>
      <c r="KP13" s="985">
        <v>6</v>
      </c>
      <c r="KQ13" s="985" t="s">
        <v>315</v>
      </c>
      <c r="KR13" s="985">
        <v>22</v>
      </c>
      <c r="KS13" s="985">
        <v>18</v>
      </c>
      <c r="KT13" s="985">
        <v>1</v>
      </c>
      <c r="KU13" s="985">
        <v>13</v>
      </c>
      <c r="KV13" s="985">
        <v>1</v>
      </c>
      <c r="KW13" s="985">
        <v>4</v>
      </c>
      <c r="KX13" s="985">
        <v>2</v>
      </c>
      <c r="KY13" s="985">
        <v>51</v>
      </c>
      <c r="KZ13" s="985" t="s">
        <v>315</v>
      </c>
      <c r="LA13" s="985">
        <v>155</v>
      </c>
      <c r="LB13" s="985">
        <f t="shared" si="2"/>
        <v>21</v>
      </c>
      <c r="LC13" s="986">
        <f t="shared" si="3"/>
        <v>0.13548387096774195</v>
      </c>
      <c r="LD13" s="42"/>
      <c r="LE13" s="42"/>
    </row>
    <row r="14" spans="1:317">
      <c r="A14" s="6291">
        <v>1</v>
      </c>
      <c r="B14" s="6291">
        <v>1</v>
      </c>
      <c r="C14" s="6291">
        <v>8</v>
      </c>
      <c r="D14" s="6292">
        <v>768</v>
      </c>
      <c r="E14" s="6291">
        <v>22</v>
      </c>
      <c r="F14" s="6291">
        <v>187</v>
      </c>
      <c r="G14" s="6291">
        <v>201</v>
      </c>
      <c r="H14" s="6291">
        <v>32</v>
      </c>
      <c r="I14" s="6293"/>
      <c r="J14" s="6293"/>
      <c r="K14" s="6291">
        <v>35</v>
      </c>
      <c r="L14" s="6293"/>
      <c r="M14" s="6291">
        <v>46</v>
      </c>
      <c r="N14" s="6291">
        <v>65</v>
      </c>
      <c r="O14" s="6293"/>
      <c r="P14" s="6291">
        <v>180</v>
      </c>
      <c r="Q14" s="6294">
        <f t="shared" si="4"/>
        <v>0.33984375</v>
      </c>
      <c r="S14" s="6295">
        <v>1</v>
      </c>
      <c r="T14" s="6295">
        <v>1</v>
      </c>
      <c r="U14" s="6295">
        <v>8</v>
      </c>
      <c r="V14" s="6295">
        <v>766</v>
      </c>
      <c r="W14" s="6295">
        <v>32</v>
      </c>
      <c r="X14" s="6295">
        <v>145</v>
      </c>
      <c r="Y14" s="6295">
        <v>228</v>
      </c>
      <c r="Z14" s="6295">
        <v>31</v>
      </c>
      <c r="AA14" s="6296"/>
      <c r="AB14" s="6295">
        <v>3</v>
      </c>
      <c r="AC14" s="6295">
        <v>35</v>
      </c>
      <c r="AD14" s="6296"/>
      <c r="AE14" s="6295">
        <v>26</v>
      </c>
      <c r="AF14" s="6295">
        <v>116</v>
      </c>
      <c r="AG14" s="6296"/>
      <c r="AH14" s="6295">
        <v>150</v>
      </c>
      <c r="AI14" s="6294">
        <f t="shared" si="5"/>
        <v>0.27545691906005221</v>
      </c>
      <c r="AJ14" s="6295"/>
      <c r="AK14" s="6297">
        <v>1</v>
      </c>
      <c r="AL14" s="6297">
        <v>1</v>
      </c>
      <c r="AM14" s="6297">
        <v>8</v>
      </c>
      <c r="AN14" s="6298">
        <v>834</v>
      </c>
      <c r="AO14" s="6297">
        <v>31</v>
      </c>
      <c r="AP14" s="6297">
        <v>145</v>
      </c>
      <c r="AQ14" s="6297">
        <v>249</v>
      </c>
      <c r="AR14" s="6297">
        <v>31</v>
      </c>
      <c r="AS14" s="6299"/>
      <c r="AT14" s="6297">
        <v>3</v>
      </c>
      <c r="AU14" s="6297">
        <v>1</v>
      </c>
      <c r="AV14" s="6297">
        <v>33</v>
      </c>
      <c r="AW14" s="6297">
        <v>25</v>
      </c>
      <c r="AX14" s="6299"/>
      <c r="AY14" s="6297">
        <v>107</v>
      </c>
      <c r="AZ14" s="6297">
        <v>67</v>
      </c>
      <c r="BA14" s="6299"/>
      <c r="BB14" s="6297">
        <v>142</v>
      </c>
      <c r="BC14" s="6300">
        <f t="shared" si="6"/>
        <v>0.26109660574412535</v>
      </c>
      <c r="BE14" s="6313">
        <v>1</v>
      </c>
      <c r="BF14" s="6313">
        <v>1</v>
      </c>
      <c r="BG14" s="6313">
        <v>8</v>
      </c>
      <c r="BH14" s="4405" t="s">
        <v>12</v>
      </c>
      <c r="BI14" s="6314">
        <v>903</v>
      </c>
      <c r="BJ14" s="6313">
        <v>29</v>
      </c>
      <c r="BK14" s="6313">
        <v>210</v>
      </c>
      <c r="BL14" s="6313">
        <v>210</v>
      </c>
      <c r="BM14" s="6313">
        <v>38</v>
      </c>
      <c r="BN14" s="6303"/>
      <c r="BO14" s="6313">
        <v>6</v>
      </c>
      <c r="BP14" s="6313">
        <v>1</v>
      </c>
      <c r="BQ14" s="6313">
        <v>24</v>
      </c>
      <c r="BR14" s="6303"/>
      <c r="BS14" s="6313">
        <v>38</v>
      </c>
      <c r="BT14" s="6313">
        <v>104</v>
      </c>
      <c r="BU14" s="6313">
        <v>68</v>
      </c>
      <c r="BV14" s="6303"/>
      <c r="BW14" s="6313">
        <v>175</v>
      </c>
      <c r="BX14" s="6300">
        <f t="shared" si="16"/>
        <v>0.28417266187050361</v>
      </c>
      <c r="BZ14" s="4388"/>
      <c r="CA14" s="4388"/>
      <c r="CB14" s="4388" t="s">
        <v>12</v>
      </c>
      <c r="CC14" s="4231">
        <v>223</v>
      </c>
      <c r="CD14" s="4231">
        <v>97</v>
      </c>
      <c r="CE14" s="4231"/>
      <c r="CF14" s="4231">
        <v>37</v>
      </c>
      <c r="CG14" s="4231">
        <v>173</v>
      </c>
      <c r="CH14" s="4231">
        <v>30</v>
      </c>
      <c r="CI14" s="4231">
        <v>6</v>
      </c>
      <c r="CJ14" s="4231"/>
      <c r="CK14" s="4231"/>
      <c r="CL14" s="4231">
        <v>32</v>
      </c>
      <c r="CM14" s="4231">
        <v>27</v>
      </c>
      <c r="CN14" s="4231">
        <v>68</v>
      </c>
      <c r="CO14" s="4231">
        <v>210</v>
      </c>
      <c r="CP14" s="4231">
        <v>1</v>
      </c>
      <c r="CQ14" s="4231">
        <v>904</v>
      </c>
      <c r="CR14" s="6304">
        <f t="shared" si="7"/>
        <v>0.27544910179640719</v>
      </c>
      <c r="CS14" s="4238">
        <f t="shared" si="8"/>
        <v>1</v>
      </c>
      <c r="CT14" s="6305">
        <v>903</v>
      </c>
      <c r="CU14" s="6316"/>
      <c r="CX14" s="42" t="s">
        <v>12</v>
      </c>
      <c r="CY14" s="42">
        <v>118</v>
      </c>
      <c r="CZ14" s="42">
        <v>71</v>
      </c>
      <c r="DB14" s="42">
        <v>50</v>
      </c>
      <c r="DC14" s="42">
        <v>272</v>
      </c>
      <c r="DD14" s="42">
        <v>33</v>
      </c>
      <c r="DE14" s="42">
        <v>168</v>
      </c>
      <c r="DF14" s="42">
        <v>7</v>
      </c>
      <c r="DH14" s="42">
        <v>29</v>
      </c>
      <c r="DI14" s="42">
        <v>27</v>
      </c>
      <c r="DJ14" s="42">
        <v>78</v>
      </c>
      <c r="DK14" s="42">
        <v>174</v>
      </c>
      <c r="DL14" s="42">
        <v>2</v>
      </c>
      <c r="DM14" s="893">
        <v>1029</v>
      </c>
      <c r="DN14" s="6306">
        <f t="shared" si="17"/>
        <v>0.34984193888303478</v>
      </c>
      <c r="DP14" s="4263"/>
      <c r="DQ14" s="4263"/>
      <c r="DR14" s="4258" t="s">
        <v>12</v>
      </c>
      <c r="DS14" s="4263">
        <v>187</v>
      </c>
      <c r="DT14" s="4263">
        <v>81</v>
      </c>
      <c r="DU14" s="4263"/>
      <c r="DV14" s="4263">
        <v>39</v>
      </c>
      <c r="DW14" s="4263">
        <v>194</v>
      </c>
      <c r="DX14" s="4263">
        <v>46</v>
      </c>
      <c r="DY14" s="4263">
        <v>83</v>
      </c>
      <c r="DZ14" s="4263"/>
      <c r="EA14" s="4263"/>
      <c r="EB14" s="4263">
        <v>27</v>
      </c>
      <c r="EC14" s="4263">
        <v>25</v>
      </c>
      <c r="ED14" s="4263">
        <v>75</v>
      </c>
      <c r="EE14" s="4263">
        <v>177</v>
      </c>
      <c r="EF14" s="4263">
        <v>1</v>
      </c>
      <c r="EG14" s="4263">
        <v>935</v>
      </c>
      <c r="EH14" s="6307">
        <f t="shared" si="9"/>
        <v>0.30849825378346912</v>
      </c>
      <c r="EL14" s="42" t="s">
        <v>12</v>
      </c>
      <c r="EM14" s="97">
        <v>195</v>
      </c>
      <c r="EN14" s="97">
        <v>79</v>
      </c>
      <c r="EO14" s="97"/>
      <c r="EP14" s="97">
        <v>1</v>
      </c>
      <c r="EQ14" s="97">
        <v>235</v>
      </c>
      <c r="ER14" s="97">
        <v>23</v>
      </c>
      <c r="ES14" s="97">
        <v>91</v>
      </c>
      <c r="ET14" s="97"/>
      <c r="EU14" s="97"/>
      <c r="EV14" s="97">
        <v>31</v>
      </c>
      <c r="EW14" s="97">
        <v>31</v>
      </c>
      <c r="EX14" s="97">
        <v>75</v>
      </c>
      <c r="EY14" s="97">
        <v>215</v>
      </c>
      <c r="EZ14" s="97"/>
      <c r="FA14" s="97">
        <v>976</v>
      </c>
      <c r="FB14" s="6315">
        <f t="shared" si="10"/>
        <v>0.32075471698113206</v>
      </c>
      <c r="FD14" s="42"/>
      <c r="FE14" s="42"/>
      <c r="FF14" s="42" t="s">
        <v>12</v>
      </c>
      <c r="FG14" s="97">
        <v>205</v>
      </c>
      <c r="FH14" s="97">
        <v>113</v>
      </c>
      <c r="FI14" s="97"/>
      <c r="FJ14" s="97">
        <v>55</v>
      </c>
      <c r="FK14" s="97">
        <v>213</v>
      </c>
      <c r="FL14" s="97">
        <v>37</v>
      </c>
      <c r="FM14" s="97">
        <v>92</v>
      </c>
      <c r="FN14" s="97"/>
      <c r="FO14" s="97"/>
      <c r="FP14" s="97">
        <v>32</v>
      </c>
      <c r="FQ14" s="97">
        <v>40</v>
      </c>
      <c r="FR14" s="97">
        <v>51</v>
      </c>
      <c r="FS14" s="97">
        <v>222</v>
      </c>
      <c r="FT14" s="97">
        <v>2</v>
      </c>
      <c r="FU14" s="97">
        <v>1062</v>
      </c>
      <c r="FV14" s="6308">
        <f t="shared" si="0"/>
        <v>0.28741328047571851</v>
      </c>
      <c r="FX14" s="42"/>
      <c r="FY14" s="42"/>
      <c r="FZ14" s="42" t="s">
        <v>12</v>
      </c>
      <c r="GA14" s="97">
        <v>216</v>
      </c>
      <c r="GB14" s="97">
        <v>129</v>
      </c>
      <c r="GC14" s="97"/>
      <c r="GD14" s="97">
        <v>52</v>
      </c>
      <c r="GE14" s="97">
        <v>220</v>
      </c>
      <c r="GF14" s="97">
        <v>26</v>
      </c>
      <c r="GG14" s="97">
        <v>74</v>
      </c>
      <c r="GH14" s="97">
        <v>9</v>
      </c>
      <c r="GI14" s="97"/>
      <c r="GJ14" s="97">
        <v>36</v>
      </c>
      <c r="GK14" s="97">
        <v>32</v>
      </c>
      <c r="GL14" s="97">
        <v>31</v>
      </c>
      <c r="GM14" s="97">
        <v>238</v>
      </c>
      <c r="GN14" s="97">
        <v>2</v>
      </c>
      <c r="GO14" s="97">
        <v>1065</v>
      </c>
      <c r="GP14" s="6308">
        <f t="shared" si="11"/>
        <v>0.26937984496124029</v>
      </c>
      <c r="GR14" s="6280"/>
      <c r="GS14" s="6280"/>
      <c r="GT14" s="6310" t="s">
        <v>12</v>
      </c>
      <c r="GU14" s="6311">
        <v>243</v>
      </c>
      <c r="GV14" s="6311">
        <v>119</v>
      </c>
      <c r="GW14" s="6312"/>
      <c r="GX14" s="6311">
        <v>51</v>
      </c>
      <c r="GY14" s="6311">
        <v>197</v>
      </c>
      <c r="GZ14" s="6311">
        <v>21</v>
      </c>
      <c r="HA14" s="6311">
        <v>72</v>
      </c>
      <c r="HB14" s="6312"/>
      <c r="HC14" s="6312"/>
      <c r="HD14" s="6311">
        <v>45</v>
      </c>
      <c r="HE14" s="6311">
        <v>43</v>
      </c>
      <c r="HF14" s="6311">
        <v>19</v>
      </c>
      <c r="HG14" s="6311">
        <v>257</v>
      </c>
      <c r="HH14" s="6311">
        <v>1</v>
      </c>
      <c r="HI14" s="6311">
        <v>1068</v>
      </c>
      <c r="HJ14" s="467">
        <f t="shared" si="12"/>
        <v>0.24904580152671757</v>
      </c>
      <c r="HL14" s="967"/>
      <c r="HM14" s="967"/>
      <c r="HN14" s="977" t="s">
        <v>12</v>
      </c>
      <c r="HO14" s="978">
        <v>270</v>
      </c>
      <c r="HP14" s="978">
        <v>100</v>
      </c>
      <c r="HQ14" s="967"/>
      <c r="HR14" s="978">
        <v>59</v>
      </c>
      <c r="HS14" s="978">
        <v>197</v>
      </c>
      <c r="HT14" s="978">
        <v>17</v>
      </c>
      <c r="HU14" s="978">
        <v>79</v>
      </c>
      <c r="HV14" s="967"/>
      <c r="HW14" s="978">
        <v>0</v>
      </c>
      <c r="HX14" s="978">
        <v>35</v>
      </c>
      <c r="HY14" s="978">
        <v>31</v>
      </c>
      <c r="HZ14" s="978">
        <v>277</v>
      </c>
      <c r="IA14" s="978">
        <v>0</v>
      </c>
      <c r="IB14" s="978">
        <v>1065</v>
      </c>
      <c r="IC14" s="467">
        <f t="shared" si="13"/>
        <v>0.2300469483568075</v>
      </c>
      <c r="IE14" s="577"/>
      <c r="IF14" s="577"/>
      <c r="IG14" s="979" t="s">
        <v>12</v>
      </c>
      <c r="IH14" s="980">
        <v>266</v>
      </c>
      <c r="II14" s="980">
        <v>89</v>
      </c>
      <c r="IJ14" s="980">
        <v>0</v>
      </c>
      <c r="IK14" s="980">
        <v>70</v>
      </c>
      <c r="IL14" s="980">
        <v>167</v>
      </c>
      <c r="IM14" s="980">
        <v>22</v>
      </c>
      <c r="IN14" s="980">
        <v>74</v>
      </c>
      <c r="IO14" s="577"/>
      <c r="IP14" s="980">
        <v>0</v>
      </c>
      <c r="IQ14" s="980">
        <v>20</v>
      </c>
      <c r="IR14" s="980">
        <v>16</v>
      </c>
      <c r="IS14" s="980">
        <v>285</v>
      </c>
      <c r="IT14" s="980">
        <v>0</v>
      </c>
      <c r="IU14" s="980">
        <v>1009</v>
      </c>
      <c r="IV14" s="467">
        <f t="shared" si="14"/>
        <v>0.20317145688800792</v>
      </c>
      <c r="IX14" s="742"/>
      <c r="IY14" s="742"/>
      <c r="IZ14" s="981" t="s">
        <v>12</v>
      </c>
      <c r="JA14" s="982">
        <v>237</v>
      </c>
      <c r="JB14" s="982">
        <v>63</v>
      </c>
      <c r="JC14" s="982">
        <v>0</v>
      </c>
      <c r="JD14" s="982">
        <v>74</v>
      </c>
      <c r="JE14" s="982">
        <v>168</v>
      </c>
      <c r="JF14" s="982">
        <v>22</v>
      </c>
      <c r="JG14" s="982">
        <v>70</v>
      </c>
      <c r="JH14" s="982">
        <v>0</v>
      </c>
      <c r="JI14" s="982">
        <v>18</v>
      </c>
      <c r="JJ14" s="982">
        <v>7</v>
      </c>
      <c r="JK14" s="982">
        <v>320</v>
      </c>
      <c r="JL14" s="982">
        <v>313</v>
      </c>
      <c r="JM14" s="982">
        <v>0</v>
      </c>
      <c r="JN14" s="982">
        <v>2</v>
      </c>
      <c r="JO14" s="982">
        <v>1294</v>
      </c>
      <c r="JP14" s="983">
        <f t="shared" si="15"/>
        <v>0.20267489711934156</v>
      </c>
      <c r="JR14" s="97"/>
      <c r="JS14" s="97"/>
      <c r="JT14" s="42" t="s">
        <v>12</v>
      </c>
      <c r="JU14" s="42">
        <v>196</v>
      </c>
      <c r="JV14" s="42">
        <v>64</v>
      </c>
      <c r="JW14" s="42"/>
      <c r="JX14" s="42">
        <v>66</v>
      </c>
      <c r="JY14" s="42">
        <v>150</v>
      </c>
      <c r="JZ14" s="42">
        <v>28</v>
      </c>
      <c r="KA14" s="42">
        <v>90</v>
      </c>
      <c r="KB14" s="42">
        <v>0</v>
      </c>
      <c r="KC14" s="42">
        <v>12</v>
      </c>
      <c r="KD14" s="42">
        <v>4</v>
      </c>
      <c r="KE14" s="42">
        <v>283</v>
      </c>
      <c r="KF14" s="42">
        <v>309</v>
      </c>
      <c r="KG14" s="42">
        <v>0</v>
      </c>
      <c r="KH14" s="42">
        <v>1</v>
      </c>
      <c r="KI14" s="42">
        <v>1203</v>
      </c>
      <c r="KJ14" s="984">
        <f t="shared" si="1"/>
        <v>0.19804134929270947</v>
      </c>
      <c r="KK14" s="42"/>
      <c r="KL14" s="354"/>
      <c r="KM14" s="354"/>
      <c r="KN14" s="354" t="s">
        <v>12</v>
      </c>
      <c r="KO14" s="985">
        <v>158</v>
      </c>
      <c r="KP14" s="985">
        <v>60</v>
      </c>
      <c r="KQ14" s="985" t="s">
        <v>315</v>
      </c>
      <c r="KR14" s="985">
        <v>84</v>
      </c>
      <c r="KS14" s="985">
        <v>138</v>
      </c>
      <c r="KT14" s="985">
        <v>29</v>
      </c>
      <c r="KU14" s="985">
        <v>106</v>
      </c>
      <c r="KV14" s="985" t="s">
        <v>315</v>
      </c>
      <c r="KW14" s="985">
        <v>26</v>
      </c>
      <c r="KX14" s="985">
        <v>16</v>
      </c>
      <c r="KY14" s="985">
        <v>314</v>
      </c>
      <c r="KZ14" s="985" t="s">
        <v>315</v>
      </c>
      <c r="LA14" s="985">
        <v>931</v>
      </c>
      <c r="LB14" s="985">
        <f t="shared" si="2"/>
        <v>183</v>
      </c>
      <c r="LC14" s="986">
        <f t="shared" si="3"/>
        <v>0.19656283566058003</v>
      </c>
      <c r="LD14" s="42"/>
      <c r="LE14" s="42"/>
    </row>
    <row r="15" spans="1:317">
      <c r="A15" s="6291">
        <v>1</v>
      </c>
      <c r="B15" s="6291">
        <v>1</v>
      </c>
      <c r="C15" s="6291">
        <v>9</v>
      </c>
      <c r="D15" s="6292">
        <v>690</v>
      </c>
      <c r="E15" s="6291">
        <v>37</v>
      </c>
      <c r="F15" s="6291">
        <v>248</v>
      </c>
      <c r="G15" s="6291">
        <v>172</v>
      </c>
      <c r="H15" s="6291">
        <v>30</v>
      </c>
      <c r="I15" s="6293"/>
      <c r="J15" s="6291">
        <v>9</v>
      </c>
      <c r="K15" s="6291">
        <v>11</v>
      </c>
      <c r="L15" s="6293"/>
      <c r="M15" s="6291">
        <v>20</v>
      </c>
      <c r="N15" s="6291">
        <v>73</v>
      </c>
      <c r="O15" s="6293"/>
      <c r="P15" s="6291">
        <v>90</v>
      </c>
      <c r="Q15" s="6294">
        <f t="shared" si="4"/>
        <v>0.17536231884057971</v>
      </c>
      <c r="S15" s="6295">
        <v>1</v>
      </c>
      <c r="T15" s="6295">
        <v>1</v>
      </c>
      <c r="U15" s="6295">
        <v>9</v>
      </c>
      <c r="V15" s="6295">
        <v>752</v>
      </c>
      <c r="W15" s="6295">
        <v>23</v>
      </c>
      <c r="X15" s="6295">
        <v>210</v>
      </c>
      <c r="Y15" s="6295">
        <v>173</v>
      </c>
      <c r="Z15" s="6295">
        <v>35</v>
      </c>
      <c r="AA15" s="6296"/>
      <c r="AB15" s="6295">
        <v>15</v>
      </c>
      <c r="AC15" s="6295">
        <v>18</v>
      </c>
      <c r="AD15" s="6296"/>
      <c r="AE15" s="6295">
        <v>16</v>
      </c>
      <c r="AF15" s="6295">
        <v>157</v>
      </c>
      <c r="AG15" s="6296"/>
      <c r="AH15" s="6295">
        <v>105</v>
      </c>
      <c r="AI15" s="6294">
        <f t="shared" si="5"/>
        <v>0.1848404255319149</v>
      </c>
      <c r="AJ15" s="6295"/>
      <c r="AK15" s="6297">
        <v>1</v>
      </c>
      <c r="AL15" s="6297">
        <v>1</v>
      </c>
      <c r="AM15" s="6297">
        <v>9</v>
      </c>
      <c r="AN15" s="6298">
        <v>798</v>
      </c>
      <c r="AO15" s="6297">
        <v>29</v>
      </c>
      <c r="AP15" s="6297">
        <v>210</v>
      </c>
      <c r="AQ15" s="6297">
        <v>189</v>
      </c>
      <c r="AR15" s="6297">
        <v>33</v>
      </c>
      <c r="AS15" s="6299"/>
      <c r="AT15" s="6297">
        <v>15</v>
      </c>
      <c r="AU15" s="6299"/>
      <c r="AV15" s="6297">
        <v>12</v>
      </c>
      <c r="AW15" s="6297">
        <v>17</v>
      </c>
      <c r="AX15" s="6299"/>
      <c r="AY15" s="6297">
        <v>144</v>
      </c>
      <c r="AZ15" s="6297">
        <v>46</v>
      </c>
      <c r="BA15" s="6299"/>
      <c r="BB15" s="6297">
        <v>103</v>
      </c>
      <c r="BC15" s="6300">
        <f t="shared" si="6"/>
        <v>0.17553191489361702</v>
      </c>
      <c r="BE15" s="6313">
        <v>1</v>
      </c>
      <c r="BF15" s="6313">
        <v>1</v>
      </c>
      <c r="BG15" s="6313">
        <v>9</v>
      </c>
      <c r="BH15" s="4405" t="s">
        <v>13</v>
      </c>
      <c r="BI15" s="6314">
        <v>935</v>
      </c>
      <c r="BJ15" s="6313">
        <v>24</v>
      </c>
      <c r="BK15" s="6313">
        <v>304</v>
      </c>
      <c r="BL15" s="6313">
        <v>177</v>
      </c>
      <c r="BM15" s="6313">
        <v>39</v>
      </c>
      <c r="BN15" s="6303"/>
      <c r="BO15" s="6313">
        <v>20</v>
      </c>
      <c r="BP15" s="6303"/>
      <c r="BQ15" s="6313">
        <v>23</v>
      </c>
      <c r="BR15" s="6303"/>
      <c r="BS15" s="6313">
        <v>39</v>
      </c>
      <c r="BT15" s="6313">
        <v>150</v>
      </c>
      <c r="BU15" s="6313">
        <v>48</v>
      </c>
      <c r="BV15" s="6303"/>
      <c r="BW15" s="6313">
        <v>111</v>
      </c>
      <c r="BX15" s="6300">
        <f t="shared" si="16"/>
        <v>0.19503945885005636</v>
      </c>
      <c r="BZ15" s="4388"/>
      <c r="CA15" s="4388"/>
      <c r="CB15" s="4388" t="s">
        <v>13</v>
      </c>
      <c r="CC15" s="4231">
        <v>197</v>
      </c>
      <c r="CD15" s="4231">
        <v>142</v>
      </c>
      <c r="CE15" s="4231"/>
      <c r="CF15" s="4231">
        <v>38</v>
      </c>
      <c r="CG15" s="4231">
        <v>106</v>
      </c>
      <c r="CH15" s="4231">
        <v>36</v>
      </c>
      <c r="CI15" s="4231">
        <v>20</v>
      </c>
      <c r="CJ15" s="4231"/>
      <c r="CK15" s="4231"/>
      <c r="CL15" s="4231">
        <v>27</v>
      </c>
      <c r="CM15" s="4231">
        <v>18</v>
      </c>
      <c r="CN15" s="4231">
        <v>48</v>
      </c>
      <c r="CO15" s="4231">
        <v>308</v>
      </c>
      <c r="CP15" s="4231">
        <v>0</v>
      </c>
      <c r="CQ15" s="4231">
        <v>940</v>
      </c>
      <c r="CR15" s="6304">
        <f t="shared" si="7"/>
        <v>0.17937219730941703</v>
      </c>
      <c r="CS15" s="4238">
        <f t="shared" si="8"/>
        <v>5</v>
      </c>
      <c r="CT15" s="6305">
        <v>935</v>
      </c>
      <c r="CU15" s="6316"/>
      <c r="CX15" s="42" t="s">
        <v>13</v>
      </c>
      <c r="CY15" s="42">
        <v>124</v>
      </c>
      <c r="CZ15" s="42">
        <v>109</v>
      </c>
      <c r="DB15" s="42">
        <v>48</v>
      </c>
      <c r="DC15" s="42">
        <v>192</v>
      </c>
      <c r="DD15" s="42">
        <v>36</v>
      </c>
      <c r="DE15" s="42">
        <v>225</v>
      </c>
      <c r="DF15" s="42">
        <v>10</v>
      </c>
      <c r="DH15" s="42">
        <v>42</v>
      </c>
      <c r="DI15" s="42">
        <v>28</v>
      </c>
      <c r="DJ15" s="42">
        <v>66</v>
      </c>
      <c r="DK15" s="42">
        <v>257</v>
      </c>
      <c r="DL15" s="42">
        <v>0</v>
      </c>
      <c r="DM15" s="893">
        <v>1137</v>
      </c>
      <c r="DN15" s="6306">
        <f t="shared" si="17"/>
        <v>0.23902894491129786</v>
      </c>
      <c r="DP15" s="4263"/>
      <c r="DQ15" s="4263"/>
      <c r="DR15" s="4258" t="s">
        <v>13</v>
      </c>
      <c r="DS15" s="4263">
        <v>170</v>
      </c>
      <c r="DT15" s="4263">
        <v>118</v>
      </c>
      <c r="DU15" s="4263"/>
      <c r="DV15" s="4263">
        <v>45</v>
      </c>
      <c r="DW15" s="4263">
        <v>125</v>
      </c>
      <c r="DX15" s="4263">
        <v>24</v>
      </c>
      <c r="DY15" s="4263">
        <v>128</v>
      </c>
      <c r="DZ15" s="4263"/>
      <c r="EA15" s="4263"/>
      <c r="EB15" s="4263">
        <v>62</v>
      </c>
      <c r="EC15" s="4263">
        <v>30</v>
      </c>
      <c r="ED15" s="4263">
        <v>58</v>
      </c>
      <c r="EE15" s="4263">
        <v>263</v>
      </c>
      <c r="EF15" s="4263">
        <v>0</v>
      </c>
      <c r="EG15" s="4263">
        <v>1023</v>
      </c>
      <c r="EH15" s="6307">
        <f t="shared" si="9"/>
        <v>0.18549222797927462</v>
      </c>
      <c r="EL15" s="42" t="s">
        <v>13</v>
      </c>
      <c r="EM15" s="97">
        <v>220</v>
      </c>
      <c r="EN15" s="97">
        <v>133</v>
      </c>
      <c r="EO15" s="97"/>
      <c r="EP15" s="97">
        <v>5</v>
      </c>
      <c r="EQ15" s="97">
        <v>164</v>
      </c>
      <c r="ER15" s="97">
        <v>19</v>
      </c>
      <c r="ES15" s="97">
        <v>117</v>
      </c>
      <c r="ET15" s="97"/>
      <c r="EU15" s="97"/>
      <c r="EV15" s="97">
        <v>60</v>
      </c>
      <c r="EW15" s="97">
        <v>25</v>
      </c>
      <c r="EX15" s="97">
        <v>58</v>
      </c>
      <c r="EY15" s="97">
        <v>287</v>
      </c>
      <c r="EZ15" s="97"/>
      <c r="FA15" s="97">
        <v>1088</v>
      </c>
      <c r="FB15" s="6315">
        <f t="shared" si="10"/>
        <v>0.20194174757281552</v>
      </c>
      <c r="FD15" s="42"/>
      <c r="FE15" s="42"/>
      <c r="FF15" s="42" t="s">
        <v>13</v>
      </c>
      <c r="FG15" s="97">
        <v>257</v>
      </c>
      <c r="FH15" s="97">
        <v>155</v>
      </c>
      <c r="FI15" s="97"/>
      <c r="FJ15" s="97">
        <v>52</v>
      </c>
      <c r="FK15" s="97">
        <v>155</v>
      </c>
      <c r="FL15" s="97">
        <v>29</v>
      </c>
      <c r="FM15" s="97">
        <v>176</v>
      </c>
      <c r="FN15" s="97"/>
      <c r="FO15" s="97"/>
      <c r="FP15" s="97">
        <v>67</v>
      </c>
      <c r="FQ15" s="97">
        <v>38</v>
      </c>
      <c r="FR15" s="97">
        <v>51</v>
      </c>
      <c r="FS15" s="97">
        <v>280</v>
      </c>
      <c r="FT15" s="97">
        <v>0</v>
      </c>
      <c r="FU15" s="97">
        <v>1260</v>
      </c>
      <c r="FV15" s="6308">
        <f t="shared" si="0"/>
        <v>0.18362282878411912</v>
      </c>
      <c r="FX15" s="42"/>
      <c r="FY15" s="42"/>
      <c r="FZ15" s="42" t="s">
        <v>13</v>
      </c>
      <c r="GA15" s="97">
        <v>285</v>
      </c>
      <c r="GB15" s="97">
        <v>179</v>
      </c>
      <c r="GC15" s="97"/>
      <c r="GD15" s="97">
        <v>73</v>
      </c>
      <c r="GE15" s="97">
        <v>171</v>
      </c>
      <c r="GF15" s="97">
        <v>29</v>
      </c>
      <c r="GG15" s="97">
        <v>167</v>
      </c>
      <c r="GH15" s="97">
        <v>8</v>
      </c>
      <c r="GI15" s="97"/>
      <c r="GJ15" s="97">
        <v>75</v>
      </c>
      <c r="GK15" s="97">
        <v>23</v>
      </c>
      <c r="GL15" s="97">
        <v>38</v>
      </c>
      <c r="GM15" s="97">
        <v>347</v>
      </c>
      <c r="GN15" s="97">
        <v>2</v>
      </c>
      <c r="GO15" s="97">
        <v>1397</v>
      </c>
      <c r="GP15" s="6308">
        <f t="shared" si="11"/>
        <v>0.1643330876934414</v>
      </c>
      <c r="GR15" s="6280"/>
      <c r="GS15" s="6280"/>
      <c r="GT15" s="6310" t="s">
        <v>13</v>
      </c>
      <c r="GU15" s="6311">
        <v>354</v>
      </c>
      <c r="GV15" s="6311">
        <v>168</v>
      </c>
      <c r="GW15" s="6312"/>
      <c r="GX15" s="6311">
        <v>95</v>
      </c>
      <c r="GY15" s="6311">
        <v>166</v>
      </c>
      <c r="GZ15" s="6311">
        <v>30</v>
      </c>
      <c r="HA15" s="6311">
        <v>158</v>
      </c>
      <c r="HB15" s="6312"/>
      <c r="HC15" s="6312"/>
      <c r="HD15" s="6311">
        <v>78</v>
      </c>
      <c r="HE15" s="6311">
        <v>33</v>
      </c>
      <c r="HF15" s="6311">
        <v>24</v>
      </c>
      <c r="HG15" s="6311">
        <v>420</v>
      </c>
      <c r="HH15" s="6311">
        <v>2</v>
      </c>
      <c r="HI15" s="6311">
        <v>1528</v>
      </c>
      <c r="HJ15" s="467">
        <f t="shared" si="12"/>
        <v>0.15246338215712382</v>
      </c>
      <c r="HL15" s="967"/>
      <c r="HM15" s="967"/>
      <c r="HN15" s="977" t="s">
        <v>13</v>
      </c>
      <c r="HO15" s="978">
        <v>373</v>
      </c>
      <c r="HP15" s="978">
        <v>184</v>
      </c>
      <c r="HQ15" s="967"/>
      <c r="HR15" s="978">
        <v>130</v>
      </c>
      <c r="HS15" s="978">
        <v>194</v>
      </c>
      <c r="HT15" s="978">
        <v>38</v>
      </c>
      <c r="HU15" s="978">
        <v>188</v>
      </c>
      <c r="HV15" s="967"/>
      <c r="HW15" s="978">
        <v>0</v>
      </c>
      <c r="HX15" s="978">
        <v>53</v>
      </c>
      <c r="HY15" s="978">
        <v>22</v>
      </c>
      <c r="HZ15" s="978">
        <v>480</v>
      </c>
      <c r="IA15" s="978">
        <v>18</v>
      </c>
      <c r="IB15" s="978">
        <v>1680</v>
      </c>
      <c r="IC15" s="467">
        <f t="shared" si="13"/>
        <v>0.15119047619047618</v>
      </c>
      <c r="IE15" s="577"/>
      <c r="IF15" s="577"/>
      <c r="IG15" s="979" t="s">
        <v>13</v>
      </c>
      <c r="IH15" s="980">
        <v>354</v>
      </c>
      <c r="II15" s="980">
        <v>180</v>
      </c>
      <c r="IJ15" s="980">
        <v>0</v>
      </c>
      <c r="IK15" s="980">
        <v>148</v>
      </c>
      <c r="IL15" s="980">
        <v>192</v>
      </c>
      <c r="IM15" s="980">
        <v>44</v>
      </c>
      <c r="IN15" s="980">
        <v>130</v>
      </c>
      <c r="IO15" s="577"/>
      <c r="IP15" s="980">
        <v>0</v>
      </c>
      <c r="IQ15" s="980">
        <v>41</v>
      </c>
      <c r="IR15" s="980">
        <v>20</v>
      </c>
      <c r="IS15" s="980">
        <v>536</v>
      </c>
      <c r="IT15" s="980">
        <v>18</v>
      </c>
      <c r="IU15" s="980">
        <v>1663</v>
      </c>
      <c r="IV15" s="467">
        <f t="shared" si="14"/>
        <v>0.15393866506313891</v>
      </c>
      <c r="IX15" s="742"/>
      <c r="IY15" s="742"/>
      <c r="IZ15" s="981" t="s">
        <v>13</v>
      </c>
      <c r="JA15" s="982">
        <v>364</v>
      </c>
      <c r="JB15" s="982">
        <v>137</v>
      </c>
      <c r="JC15" s="982">
        <v>0</v>
      </c>
      <c r="JD15" s="982">
        <v>171</v>
      </c>
      <c r="JE15" s="982">
        <v>193</v>
      </c>
      <c r="JF15" s="982">
        <v>46</v>
      </c>
      <c r="JG15" s="982">
        <v>147</v>
      </c>
      <c r="JH15" s="982">
        <v>0</v>
      </c>
      <c r="JI15" s="982">
        <v>39</v>
      </c>
      <c r="JJ15" s="982">
        <v>19</v>
      </c>
      <c r="JK15" s="982">
        <v>457</v>
      </c>
      <c r="JL15" s="982">
        <v>606</v>
      </c>
      <c r="JM15" s="982">
        <v>18</v>
      </c>
      <c r="JN15" s="982">
        <v>6</v>
      </c>
      <c r="JO15" s="982">
        <v>2203</v>
      </c>
      <c r="JP15" s="983">
        <f t="shared" si="15"/>
        <v>0.14827586206896551</v>
      </c>
      <c r="JR15" s="97"/>
      <c r="JS15" s="97"/>
      <c r="JT15" s="42" t="s">
        <v>13</v>
      </c>
      <c r="JU15" s="42">
        <v>387</v>
      </c>
      <c r="JV15" s="42">
        <v>127</v>
      </c>
      <c r="JW15" s="42"/>
      <c r="JX15" s="42">
        <v>200</v>
      </c>
      <c r="JY15" s="42">
        <v>200</v>
      </c>
      <c r="JZ15" s="42">
        <v>39</v>
      </c>
      <c r="KA15" s="42">
        <v>176</v>
      </c>
      <c r="KB15" s="42">
        <v>0</v>
      </c>
      <c r="KC15" s="42">
        <v>32</v>
      </c>
      <c r="KD15" s="42">
        <v>26</v>
      </c>
      <c r="KE15" s="42">
        <v>437</v>
      </c>
      <c r="KF15" s="42">
        <v>642</v>
      </c>
      <c r="KG15" s="42">
        <v>18</v>
      </c>
      <c r="KH15" s="42">
        <v>5</v>
      </c>
      <c r="KI15" s="42">
        <v>2289</v>
      </c>
      <c r="KJ15" s="984">
        <f t="shared" si="1"/>
        <v>0.14347590687601516</v>
      </c>
      <c r="KK15" s="42"/>
      <c r="KL15" s="354"/>
      <c r="KM15" s="354"/>
      <c r="KN15" s="354" t="s">
        <v>13</v>
      </c>
      <c r="KO15" s="985">
        <v>334</v>
      </c>
      <c r="KP15" s="985">
        <v>149</v>
      </c>
      <c r="KQ15" s="985" t="s">
        <v>315</v>
      </c>
      <c r="KR15" s="985">
        <v>200</v>
      </c>
      <c r="KS15" s="985">
        <v>233</v>
      </c>
      <c r="KT15" s="985">
        <v>30</v>
      </c>
      <c r="KU15" s="985">
        <v>177</v>
      </c>
      <c r="KV15" s="985" t="s">
        <v>315</v>
      </c>
      <c r="KW15" s="985">
        <v>94</v>
      </c>
      <c r="KX15" s="985">
        <v>21</v>
      </c>
      <c r="KY15" s="985">
        <v>652</v>
      </c>
      <c r="KZ15" s="985">
        <v>18</v>
      </c>
      <c r="LA15" s="985">
        <v>1908</v>
      </c>
      <c r="LB15" s="985">
        <f t="shared" si="2"/>
        <v>284</v>
      </c>
      <c r="LC15" s="986">
        <f t="shared" si="3"/>
        <v>0.1488469601677149</v>
      </c>
      <c r="LD15" s="42"/>
      <c r="LE15" s="42"/>
    </row>
    <row r="16" spans="1:317">
      <c r="A16" s="6291">
        <v>1</v>
      </c>
      <c r="B16" s="6291">
        <v>1</v>
      </c>
      <c r="C16" s="6291">
        <v>122</v>
      </c>
      <c r="D16" s="6292">
        <v>832</v>
      </c>
      <c r="E16" s="6291">
        <v>41</v>
      </c>
      <c r="F16" s="6291">
        <v>248</v>
      </c>
      <c r="G16" s="6291">
        <v>231</v>
      </c>
      <c r="H16" s="6291">
        <v>29</v>
      </c>
      <c r="I16" s="6293"/>
      <c r="J16" s="6291">
        <v>7</v>
      </c>
      <c r="K16" s="6291">
        <v>25</v>
      </c>
      <c r="L16" s="6293"/>
      <c r="M16" s="6291">
        <v>30</v>
      </c>
      <c r="N16" s="6291">
        <v>83</v>
      </c>
      <c r="O16" s="6293"/>
      <c r="P16" s="6291">
        <v>138</v>
      </c>
      <c r="Q16" s="6294">
        <f t="shared" si="4"/>
        <v>0.23197115384615385</v>
      </c>
      <c r="S16" s="6295">
        <v>1</v>
      </c>
      <c r="T16" s="6295">
        <v>1</v>
      </c>
      <c r="U16" s="6295">
        <v>122</v>
      </c>
      <c r="V16" s="6295">
        <v>834</v>
      </c>
      <c r="W16" s="6295">
        <v>33</v>
      </c>
      <c r="X16" s="6295">
        <v>200</v>
      </c>
      <c r="Y16" s="6295">
        <v>221</v>
      </c>
      <c r="Z16" s="6295">
        <v>30</v>
      </c>
      <c r="AA16" s="6296"/>
      <c r="AB16" s="6295">
        <v>11</v>
      </c>
      <c r="AC16" s="6295">
        <v>42</v>
      </c>
      <c r="AD16" s="6296"/>
      <c r="AE16" s="6295">
        <v>23</v>
      </c>
      <c r="AF16" s="6295">
        <v>144</v>
      </c>
      <c r="AG16" s="6296"/>
      <c r="AH16" s="6295">
        <v>130</v>
      </c>
      <c r="AI16" s="6294">
        <f t="shared" si="5"/>
        <v>0.23381294964028776</v>
      </c>
      <c r="AJ16" s="6295"/>
      <c r="AK16" s="6297">
        <v>1</v>
      </c>
      <c r="AL16" s="6297">
        <v>1</v>
      </c>
      <c r="AM16" s="6297">
        <v>122</v>
      </c>
      <c r="AN16" s="6298">
        <v>887</v>
      </c>
      <c r="AO16" s="6297">
        <v>29</v>
      </c>
      <c r="AP16" s="6297">
        <v>200</v>
      </c>
      <c r="AQ16" s="6297">
        <v>253</v>
      </c>
      <c r="AR16" s="6297">
        <v>30</v>
      </c>
      <c r="AS16" s="6299"/>
      <c r="AT16" s="6297">
        <v>11</v>
      </c>
      <c r="AU16" s="6297">
        <v>2</v>
      </c>
      <c r="AV16" s="6297">
        <v>26</v>
      </c>
      <c r="AW16" s="6297">
        <v>27</v>
      </c>
      <c r="AX16" s="6299"/>
      <c r="AY16" s="6297">
        <v>135</v>
      </c>
      <c r="AZ16" s="6297">
        <v>50</v>
      </c>
      <c r="BA16" s="6299"/>
      <c r="BB16" s="6297">
        <v>124</v>
      </c>
      <c r="BC16" s="6300">
        <f t="shared" si="6"/>
        <v>0.21197604790419161</v>
      </c>
      <c r="BE16" s="6313">
        <v>1</v>
      </c>
      <c r="BF16" s="6313">
        <v>1</v>
      </c>
      <c r="BG16" s="6313">
        <v>122</v>
      </c>
      <c r="BH16" s="4405" t="s">
        <v>14</v>
      </c>
      <c r="BI16" s="6314">
        <v>991</v>
      </c>
      <c r="BJ16" s="6313">
        <v>37</v>
      </c>
      <c r="BK16" s="6313">
        <v>290</v>
      </c>
      <c r="BL16" s="6313">
        <v>196</v>
      </c>
      <c r="BM16" s="6313">
        <v>39</v>
      </c>
      <c r="BN16" s="6303"/>
      <c r="BO16" s="6313">
        <v>11</v>
      </c>
      <c r="BP16" s="6313">
        <v>2</v>
      </c>
      <c r="BQ16" s="6313">
        <v>33</v>
      </c>
      <c r="BR16" s="6303"/>
      <c r="BS16" s="6313">
        <v>44</v>
      </c>
      <c r="BT16" s="6313">
        <v>146</v>
      </c>
      <c r="BU16" s="6313">
        <v>52</v>
      </c>
      <c r="BV16" s="6303"/>
      <c r="BW16" s="6313">
        <v>141</v>
      </c>
      <c r="BX16" s="6300">
        <f t="shared" si="16"/>
        <v>0.23265741728922093</v>
      </c>
      <c r="BZ16" s="4388"/>
      <c r="CA16" s="4388"/>
      <c r="CB16" s="4388" t="s">
        <v>14</v>
      </c>
      <c r="CC16" s="4231">
        <v>212</v>
      </c>
      <c r="CD16" s="4231">
        <v>136</v>
      </c>
      <c r="CE16" s="4231"/>
      <c r="CF16" s="4231">
        <v>39</v>
      </c>
      <c r="CG16" s="4231">
        <v>137</v>
      </c>
      <c r="CH16" s="4231">
        <v>32</v>
      </c>
      <c r="CI16" s="4231">
        <v>11</v>
      </c>
      <c r="CJ16" s="4231"/>
      <c r="CK16" s="4231"/>
      <c r="CL16" s="4231">
        <v>41</v>
      </c>
      <c r="CM16" s="4231">
        <v>40</v>
      </c>
      <c r="CN16" s="4231">
        <v>52</v>
      </c>
      <c r="CO16" s="4231">
        <v>290</v>
      </c>
      <c r="CP16" s="4231">
        <v>2</v>
      </c>
      <c r="CQ16" s="4231">
        <v>992</v>
      </c>
      <c r="CR16" s="6304">
        <f t="shared" si="7"/>
        <v>0.22281449893390193</v>
      </c>
      <c r="CS16" s="4238">
        <f t="shared" si="8"/>
        <v>2</v>
      </c>
      <c r="CT16" s="6305">
        <v>990</v>
      </c>
      <c r="CU16" s="6316"/>
      <c r="CX16" s="42" t="s">
        <v>14</v>
      </c>
      <c r="CY16" s="42">
        <v>100</v>
      </c>
      <c r="CZ16" s="42">
        <v>111</v>
      </c>
      <c r="DB16" s="42">
        <v>45</v>
      </c>
      <c r="DC16" s="42">
        <v>261</v>
      </c>
      <c r="DD16" s="42">
        <v>29</v>
      </c>
      <c r="DE16" s="42">
        <v>338</v>
      </c>
      <c r="DF16" s="42">
        <v>8</v>
      </c>
      <c r="DH16" s="42">
        <v>36</v>
      </c>
      <c r="DI16" s="42">
        <v>35</v>
      </c>
      <c r="DJ16" s="42">
        <v>67</v>
      </c>
      <c r="DK16" s="42">
        <v>244</v>
      </c>
      <c r="DL16" s="42">
        <v>3</v>
      </c>
      <c r="DM16" s="893">
        <v>1277</v>
      </c>
      <c r="DN16" s="6306">
        <f t="shared" si="17"/>
        <v>0.26926263463131733</v>
      </c>
      <c r="DP16" s="4263"/>
      <c r="DQ16" s="4263"/>
      <c r="DR16" s="4258" t="s">
        <v>14</v>
      </c>
      <c r="DS16" s="4263">
        <v>171</v>
      </c>
      <c r="DT16" s="4263">
        <v>108</v>
      </c>
      <c r="DU16" s="4263"/>
      <c r="DV16" s="4263">
        <v>39</v>
      </c>
      <c r="DW16" s="4263">
        <v>181</v>
      </c>
      <c r="DX16" s="4263">
        <v>31</v>
      </c>
      <c r="DY16" s="4263">
        <v>145</v>
      </c>
      <c r="DZ16" s="4263"/>
      <c r="EA16" s="4263"/>
      <c r="EB16" s="4263">
        <v>47</v>
      </c>
      <c r="EC16" s="4263">
        <v>30</v>
      </c>
      <c r="ED16" s="4263">
        <v>63</v>
      </c>
      <c r="EE16" s="4263">
        <v>250</v>
      </c>
      <c r="EF16" s="4263">
        <v>2</v>
      </c>
      <c r="EG16" s="4263">
        <v>1067</v>
      </c>
      <c r="EH16" s="6307">
        <f t="shared" si="9"/>
        <v>0.24151696606786427</v>
      </c>
      <c r="EL16" s="42" t="s">
        <v>14</v>
      </c>
      <c r="EM16" s="97">
        <v>173</v>
      </c>
      <c r="EN16" s="97">
        <v>117</v>
      </c>
      <c r="EO16" s="97"/>
      <c r="EP16" s="97">
        <v>0</v>
      </c>
      <c r="EQ16" s="97">
        <v>232</v>
      </c>
      <c r="ER16" s="97">
        <v>22</v>
      </c>
      <c r="ES16" s="97">
        <v>208</v>
      </c>
      <c r="ET16" s="97"/>
      <c r="EU16" s="97"/>
      <c r="EV16" s="97">
        <v>56</v>
      </c>
      <c r="EW16" s="97">
        <v>42</v>
      </c>
      <c r="EX16" s="97">
        <v>63</v>
      </c>
      <c r="EY16" s="97">
        <v>311</v>
      </c>
      <c r="EZ16" s="97"/>
      <c r="FA16" s="97">
        <v>1224</v>
      </c>
      <c r="FB16" s="6315">
        <f t="shared" si="10"/>
        <v>0.2549526270456503</v>
      </c>
      <c r="FD16" s="42"/>
      <c r="FE16" s="42"/>
      <c r="FF16" s="42" t="s">
        <v>14</v>
      </c>
      <c r="FG16" s="97">
        <v>219</v>
      </c>
      <c r="FH16" s="97">
        <v>176</v>
      </c>
      <c r="FI16" s="97"/>
      <c r="FJ16" s="97">
        <v>52</v>
      </c>
      <c r="FK16" s="97">
        <v>221</v>
      </c>
      <c r="FL16" s="97">
        <v>47</v>
      </c>
      <c r="FM16" s="97">
        <v>178</v>
      </c>
      <c r="FN16" s="97"/>
      <c r="FO16" s="97"/>
      <c r="FP16" s="97">
        <v>63</v>
      </c>
      <c r="FQ16" s="97">
        <v>46</v>
      </c>
      <c r="FR16" s="97">
        <v>51</v>
      </c>
      <c r="FS16" s="97">
        <v>365</v>
      </c>
      <c r="FT16" s="97">
        <v>2</v>
      </c>
      <c r="FU16" s="97">
        <v>1420</v>
      </c>
      <c r="FV16" s="6308">
        <f t="shared" si="0"/>
        <v>0.22970007315288954</v>
      </c>
      <c r="FX16" s="42"/>
      <c r="FY16" s="42"/>
      <c r="FZ16" s="42" t="s">
        <v>14</v>
      </c>
      <c r="GA16" s="97">
        <v>267</v>
      </c>
      <c r="GB16" s="97">
        <v>202</v>
      </c>
      <c r="GC16" s="97"/>
      <c r="GD16" s="97">
        <v>71</v>
      </c>
      <c r="GE16" s="97">
        <v>250</v>
      </c>
      <c r="GF16" s="97">
        <v>33</v>
      </c>
      <c r="GG16" s="97">
        <v>247</v>
      </c>
      <c r="GH16" s="97">
        <v>18</v>
      </c>
      <c r="GI16" s="97"/>
      <c r="GJ16" s="97">
        <v>72</v>
      </c>
      <c r="GK16" s="97">
        <v>38</v>
      </c>
      <c r="GL16" s="97">
        <v>30</v>
      </c>
      <c r="GM16" s="97">
        <v>436</v>
      </c>
      <c r="GN16" s="97">
        <v>5</v>
      </c>
      <c r="GO16" s="97">
        <v>1669</v>
      </c>
      <c r="GP16" s="6308">
        <f t="shared" si="11"/>
        <v>0.19645042839657284</v>
      </c>
      <c r="GR16" s="6280"/>
      <c r="GS16" s="6280"/>
      <c r="GT16" s="6310" t="s">
        <v>14</v>
      </c>
      <c r="GU16" s="6311">
        <v>386</v>
      </c>
      <c r="GV16" s="6311">
        <v>200</v>
      </c>
      <c r="GW16" s="6312"/>
      <c r="GX16" s="6311">
        <v>91</v>
      </c>
      <c r="GY16" s="6311">
        <v>271</v>
      </c>
      <c r="GZ16" s="6311">
        <v>33</v>
      </c>
      <c r="HA16" s="6311">
        <v>203</v>
      </c>
      <c r="HB16" s="6312"/>
      <c r="HC16" s="6312"/>
      <c r="HD16" s="6311">
        <v>89</v>
      </c>
      <c r="HE16" s="6311">
        <v>40</v>
      </c>
      <c r="HF16" s="6311">
        <v>24</v>
      </c>
      <c r="HG16" s="6311">
        <v>564</v>
      </c>
      <c r="HH16" s="6311">
        <v>5</v>
      </c>
      <c r="HI16" s="6311">
        <v>1906</v>
      </c>
      <c r="HJ16" s="467">
        <f t="shared" si="12"/>
        <v>0.18327117741076185</v>
      </c>
      <c r="HL16" s="967"/>
      <c r="HM16" s="967"/>
      <c r="HN16" s="977" t="s">
        <v>14</v>
      </c>
      <c r="HO16" s="978">
        <v>430</v>
      </c>
      <c r="HP16" s="978">
        <v>238</v>
      </c>
      <c r="HQ16" s="967"/>
      <c r="HR16" s="978">
        <v>127</v>
      </c>
      <c r="HS16" s="978">
        <v>279</v>
      </c>
      <c r="HT16" s="978">
        <v>44</v>
      </c>
      <c r="HU16" s="978">
        <v>247</v>
      </c>
      <c r="HV16" s="967"/>
      <c r="HW16" s="978">
        <v>0</v>
      </c>
      <c r="HX16" s="978">
        <v>92</v>
      </c>
      <c r="HY16" s="978">
        <v>60</v>
      </c>
      <c r="HZ16" s="978">
        <v>642</v>
      </c>
      <c r="IA16" s="978">
        <v>0</v>
      </c>
      <c r="IB16" s="978">
        <v>2159</v>
      </c>
      <c r="IC16" s="467">
        <f t="shared" si="13"/>
        <v>0.17739694302918019</v>
      </c>
      <c r="IE16" s="577"/>
      <c r="IF16" s="577"/>
      <c r="IG16" s="979" t="s">
        <v>14</v>
      </c>
      <c r="IH16" s="980">
        <v>524</v>
      </c>
      <c r="II16" s="980">
        <v>247</v>
      </c>
      <c r="IJ16" s="980">
        <v>0</v>
      </c>
      <c r="IK16" s="980">
        <v>133</v>
      </c>
      <c r="IL16" s="980">
        <v>211</v>
      </c>
      <c r="IM16" s="980">
        <v>42</v>
      </c>
      <c r="IN16" s="980">
        <v>86</v>
      </c>
      <c r="IO16" s="577"/>
      <c r="IP16" s="980">
        <v>0</v>
      </c>
      <c r="IQ16" s="980">
        <v>67</v>
      </c>
      <c r="IR16" s="980">
        <v>32</v>
      </c>
      <c r="IS16" s="980">
        <v>693</v>
      </c>
      <c r="IT16" s="980">
        <v>0</v>
      </c>
      <c r="IU16" s="980">
        <v>2035</v>
      </c>
      <c r="IV16" s="467">
        <f t="shared" si="14"/>
        <v>0.14004914004914004</v>
      </c>
      <c r="IX16" s="742"/>
      <c r="IY16" s="742"/>
      <c r="IZ16" s="981" t="s">
        <v>14</v>
      </c>
      <c r="JA16" s="982">
        <v>473</v>
      </c>
      <c r="JB16" s="982">
        <v>219</v>
      </c>
      <c r="JC16" s="982">
        <v>0</v>
      </c>
      <c r="JD16" s="982">
        <v>126</v>
      </c>
      <c r="JE16" s="982">
        <v>155</v>
      </c>
      <c r="JF16" s="982">
        <v>27</v>
      </c>
      <c r="JG16" s="982">
        <v>31</v>
      </c>
      <c r="JH16" s="982">
        <v>0</v>
      </c>
      <c r="JI16" s="982">
        <v>78</v>
      </c>
      <c r="JJ16" s="982">
        <v>34</v>
      </c>
      <c r="JK16" s="982">
        <v>456</v>
      </c>
      <c r="JL16" s="982">
        <v>680</v>
      </c>
      <c r="JM16" s="982">
        <v>0</v>
      </c>
      <c r="JN16" s="982">
        <v>8</v>
      </c>
      <c r="JO16" s="982">
        <v>2287</v>
      </c>
      <c r="JP16" s="983">
        <f t="shared" si="15"/>
        <v>0.11848601206801974</v>
      </c>
      <c r="JR16" s="97"/>
      <c r="JS16" s="97"/>
      <c r="JT16" s="42" t="s">
        <v>14</v>
      </c>
      <c r="JU16" s="42">
        <v>464</v>
      </c>
      <c r="JV16" s="42">
        <v>199</v>
      </c>
      <c r="JW16" s="42"/>
      <c r="JX16" s="42">
        <v>108</v>
      </c>
      <c r="JY16" s="42">
        <v>96</v>
      </c>
      <c r="JZ16" s="42">
        <v>35</v>
      </c>
      <c r="KA16" s="42">
        <v>26</v>
      </c>
      <c r="KB16" s="42">
        <v>0</v>
      </c>
      <c r="KC16" s="42">
        <v>47</v>
      </c>
      <c r="KD16" s="42">
        <v>32</v>
      </c>
      <c r="KE16" s="42">
        <v>375</v>
      </c>
      <c r="KF16" s="42">
        <v>530</v>
      </c>
      <c r="KG16" s="42">
        <v>0</v>
      </c>
      <c r="KH16" s="42">
        <v>6</v>
      </c>
      <c r="KI16" s="42">
        <v>1918</v>
      </c>
      <c r="KJ16" s="984">
        <f t="shared" si="1"/>
        <v>0.10605074821080027</v>
      </c>
      <c r="KK16" s="42"/>
      <c r="KL16" s="354"/>
      <c r="KM16" s="354"/>
      <c r="KN16" s="354" t="s">
        <v>14</v>
      </c>
      <c r="KO16" s="985">
        <v>437</v>
      </c>
      <c r="KP16" s="985">
        <v>166</v>
      </c>
      <c r="KQ16" s="985" t="s">
        <v>315</v>
      </c>
      <c r="KR16" s="985">
        <v>85</v>
      </c>
      <c r="KS16" s="985">
        <v>58</v>
      </c>
      <c r="KT16" s="985">
        <v>21</v>
      </c>
      <c r="KU16" s="985">
        <v>21</v>
      </c>
      <c r="KV16" s="985" t="s">
        <v>315</v>
      </c>
      <c r="KW16" s="985">
        <v>65</v>
      </c>
      <c r="KX16" s="985">
        <v>20</v>
      </c>
      <c r="KY16" s="985">
        <v>397</v>
      </c>
      <c r="KZ16" s="985" t="s">
        <v>315</v>
      </c>
      <c r="LA16" s="985">
        <v>1270</v>
      </c>
      <c r="LB16" s="985">
        <f t="shared" si="2"/>
        <v>99</v>
      </c>
      <c r="LC16" s="986">
        <f t="shared" si="3"/>
        <v>7.7952755905511817E-2</v>
      </c>
      <c r="LD16" s="42"/>
      <c r="LE16" s="42"/>
    </row>
    <row r="17" spans="1:317">
      <c r="A17" s="6291">
        <v>1</v>
      </c>
      <c r="B17" s="6291">
        <v>2</v>
      </c>
      <c r="C17" s="6291">
        <v>11</v>
      </c>
      <c r="D17" s="6292">
        <v>1918</v>
      </c>
      <c r="E17" s="6291">
        <v>23</v>
      </c>
      <c r="F17" s="6291">
        <v>400</v>
      </c>
      <c r="G17" s="6291">
        <v>248</v>
      </c>
      <c r="H17" s="6291">
        <v>47</v>
      </c>
      <c r="I17" s="6293"/>
      <c r="J17" s="6291">
        <v>6</v>
      </c>
      <c r="K17" s="6291">
        <v>189</v>
      </c>
      <c r="L17" s="6291">
        <v>2</v>
      </c>
      <c r="M17" s="6291">
        <v>187</v>
      </c>
      <c r="N17" s="6291">
        <v>104</v>
      </c>
      <c r="O17" s="6293"/>
      <c r="P17" s="6291">
        <v>712</v>
      </c>
      <c r="Q17" s="6294">
        <f t="shared" si="4"/>
        <v>0.56725755995828986</v>
      </c>
      <c r="S17" s="6317"/>
      <c r="T17" s="6317"/>
      <c r="U17" s="6317"/>
      <c r="V17" s="6317">
        <f>SUM(V7:V16)</f>
        <v>7310</v>
      </c>
      <c r="W17" s="6317">
        <f t="shared" ref="W17:AH17" si="18">SUM(W7:W16)</f>
        <v>270</v>
      </c>
      <c r="X17" s="6317">
        <f t="shared" si="18"/>
        <v>1665</v>
      </c>
      <c r="Y17" s="6317">
        <f t="shared" si="18"/>
        <v>1816</v>
      </c>
      <c r="Z17" s="6317">
        <f t="shared" si="18"/>
        <v>374</v>
      </c>
      <c r="AA17" s="6317">
        <f t="shared" si="18"/>
        <v>0</v>
      </c>
      <c r="AB17" s="6317">
        <f t="shared" si="18"/>
        <v>78</v>
      </c>
      <c r="AC17" s="6317">
        <f t="shared" si="18"/>
        <v>307</v>
      </c>
      <c r="AD17" s="6317">
        <f t="shared" si="18"/>
        <v>0</v>
      </c>
      <c r="AE17" s="6317">
        <f t="shared" si="18"/>
        <v>218</v>
      </c>
      <c r="AF17" s="6317">
        <f t="shared" si="18"/>
        <v>1251</v>
      </c>
      <c r="AG17" s="6317">
        <f t="shared" si="18"/>
        <v>0</v>
      </c>
      <c r="AH17" s="6317">
        <f t="shared" si="18"/>
        <v>1331</v>
      </c>
      <c r="AI17" s="6294">
        <f t="shared" si="5"/>
        <v>0.25389876880984952</v>
      </c>
      <c r="AJ17" s="6295"/>
      <c r="AK17" s="6297"/>
      <c r="AL17" s="6297"/>
      <c r="AM17" s="6297"/>
      <c r="AN17" s="6298">
        <f>SUM(AN7:AN16)</f>
        <v>7811</v>
      </c>
      <c r="AO17" s="6298">
        <f t="shared" ref="AO17:BB17" si="19">SUM(AO7:AO16)</f>
        <v>226</v>
      </c>
      <c r="AP17" s="6298">
        <f t="shared" si="19"/>
        <v>1666</v>
      </c>
      <c r="AQ17" s="6298">
        <f t="shared" si="19"/>
        <v>2040</v>
      </c>
      <c r="AR17" s="6298">
        <f t="shared" si="19"/>
        <v>367</v>
      </c>
      <c r="AS17" s="6298">
        <f t="shared" si="19"/>
        <v>0</v>
      </c>
      <c r="AT17" s="6298">
        <f t="shared" si="19"/>
        <v>78</v>
      </c>
      <c r="AU17" s="6298">
        <f t="shared" si="19"/>
        <v>5</v>
      </c>
      <c r="AV17" s="6298">
        <f t="shared" si="19"/>
        <v>217</v>
      </c>
      <c r="AW17" s="6298">
        <f t="shared" si="19"/>
        <v>243</v>
      </c>
      <c r="AX17" s="6298">
        <f t="shared" si="19"/>
        <v>0</v>
      </c>
      <c r="AY17" s="6298">
        <f t="shared" si="19"/>
        <v>1209</v>
      </c>
      <c r="AZ17" s="6298">
        <f t="shared" si="19"/>
        <v>493</v>
      </c>
      <c r="BA17" s="6298">
        <f t="shared" si="19"/>
        <v>0</v>
      </c>
      <c r="BB17" s="6298">
        <f t="shared" si="19"/>
        <v>1267</v>
      </c>
      <c r="BC17" s="6318">
        <f t="shared" si="6"/>
        <v>0.23615479283467797</v>
      </c>
      <c r="BE17" s="6313"/>
      <c r="BF17" s="6313"/>
      <c r="BG17" s="6313"/>
      <c r="BH17" s="6319" t="s">
        <v>482</v>
      </c>
      <c r="BI17" s="6314">
        <f>SUM(BI7:BI16)</f>
        <v>8529</v>
      </c>
      <c r="BJ17" s="6314">
        <f t="shared" ref="BJ17:BW17" si="20">SUM(BJ7:BJ16)</f>
        <v>246</v>
      </c>
      <c r="BK17" s="6314">
        <f t="shared" si="20"/>
        <v>2310</v>
      </c>
      <c r="BL17" s="6314">
        <f t="shared" si="20"/>
        <v>1740</v>
      </c>
      <c r="BM17" s="6314">
        <f t="shared" si="20"/>
        <v>411</v>
      </c>
      <c r="BN17" s="6314">
        <f t="shared" si="20"/>
        <v>0</v>
      </c>
      <c r="BO17" s="6314">
        <f t="shared" si="20"/>
        <v>95</v>
      </c>
      <c r="BP17" s="6314">
        <f t="shared" si="20"/>
        <v>6</v>
      </c>
      <c r="BQ17" s="6314">
        <f t="shared" si="20"/>
        <v>239</v>
      </c>
      <c r="BR17" s="6314">
        <f t="shared" si="20"/>
        <v>0</v>
      </c>
      <c r="BS17" s="6314">
        <f t="shared" si="20"/>
        <v>425</v>
      </c>
      <c r="BT17" s="6314">
        <f t="shared" si="20"/>
        <v>1130</v>
      </c>
      <c r="BU17" s="6314">
        <f t="shared" si="20"/>
        <v>503</v>
      </c>
      <c r="BV17" s="6314">
        <f t="shared" si="20"/>
        <v>0</v>
      </c>
      <c r="BW17" s="6314">
        <f t="shared" si="20"/>
        <v>1424</v>
      </c>
      <c r="BX17" s="6300">
        <f t="shared" si="16"/>
        <v>0.26034912718204489</v>
      </c>
      <c r="BZ17" s="4388"/>
      <c r="CA17" s="4388"/>
      <c r="CB17" s="6276" t="s">
        <v>482</v>
      </c>
      <c r="CC17" s="6320">
        <v>1874</v>
      </c>
      <c r="CD17" s="6320">
        <v>1067</v>
      </c>
      <c r="CE17" s="6320"/>
      <c r="CF17" s="6320">
        <v>406</v>
      </c>
      <c r="CG17" s="6320">
        <v>1396</v>
      </c>
      <c r="CH17" s="6320">
        <v>340</v>
      </c>
      <c r="CI17" s="6320">
        <v>95</v>
      </c>
      <c r="CJ17" s="6320"/>
      <c r="CK17" s="6320"/>
      <c r="CL17" s="6320">
        <v>263</v>
      </c>
      <c r="CM17" s="6320">
        <v>272</v>
      </c>
      <c r="CN17" s="6320">
        <v>503</v>
      </c>
      <c r="CO17" s="6320">
        <v>2323</v>
      </c>
      <c r="CP17" s="6320">
        <v>6</v>
      </c>
      <c r="CQ17" s="6320">
        <v>8545</v>
      </c>
      <c r="CR17" s="6304">
        <f t="shared" si="7"/>
        <v>0.24987555998008959</v>
      </c>
      <c r="CS17" s="4238"/>
      <c r="CT17" s="6305"/>
      <c r="CU17" s="6316"/>
      <c r="CX17" s="42" t="s">
        <v>15</v>
      </c>
      <c r="CY17" s="42">
        <v>1013</v>
      </c>
      <c r="CZ17" s="42">
        <v>801</v>
      </c>
      <c r="DB17" s="42">
        <v>451</v>
      </c>
      <c r="DC17" s="42">
        <v>2168</v>
      </c>
      <c r="DD17" s="42">
        <v>354</v>
      </c>
      <c r="DE17" s="42">
        <v>1762</v>
      </c>
      <c r="DF17" s="42">
        <v>59</v>
      </c>
      <c r="DH17" s="42">
        <v>323</v>
      </c>
      <c r="DI17" s="42">
        <v>266</v>
      </c>
      <c r="DJ17" s="42">
        <v>586</v>
      </c>
      <c r="DK17" s="42">
        <v>1948</v>
      </c>
      <c r="DL17" s="42">
        <v>12</v>
      </c>
      <c r="DM17" s="893">
        <v>9743</v>
      </c>
      <c r="DN17" s="6306">
        <f t="shared" si="17"/>
        <v>0.30486604702022962</v>
      </c>
      <c r="DP17" s="4263"/>
      <c r="DQ17" s="4263"/>
      <c r="DR17" s="4257" t="s">
        <v>482</v>
      </c>
      <c r="DS17" s="4266">
        <v>1632</v>
      </c>
      <c r="DT17" s="4266">
        <v>892</v>
      </c>
      <c r="DU17" s="4266"/>
      <c r="DV17" s="4266">
        <v>424</v>
      </c>
      <c r="DW17" s="4266">
        <v>1511</v>
      </c>
      <c r="DX17" s="4266">
        <v>403</v>
      </c>
      <c r="DY17" s="4266">
        <v>893</v>
      </c>
      <c r="DZ17" s="4266"/>
      <c r="EA17" s="4266"/>
      <c r="EB17" s="4266">
        <v>356</v>
      </c>
      <c r="EC17" s="4266">
        <v>272</v>
      </c>
      <c r="ED17" s="4266">
        <v>557</v>
      </c>
      <c r="EE17" s="4266">
        <v>2014</v>
      </c>
      <c r="EF17" s="4266">
        <v>6</v>
      </c>
      <c r="EG17" s="4266">
        <v>8960</v>
      </c>
      <c r="EH17" s="6321">
        <f t="shared" si="9"/>
        <v>0.26033107062045968</v>
      </c>
      <c r="EL17" s="893" t="s">
        <v>482</v>
      </c>
      <c r="EM17" s="135">
        <v>1765</v>
      </c>
      <c r="EN17" s="135">
        <v>903</v>
      </c>
      <c r="EO17" s="135"/>
      <c r="EP17" s="135">
        <v>14</v>
      </c>
      <c r="EQ17" s="135">
        <v>1835</v>
      </c>
      <c r="ER17" s="135">
        <v>228</v>
      </c>
      <c r="ES17" s="135">
        <v>968</v>
      </c>
      <c r="ET17" s="135"/>
      <c r="EU17" s="135"/>
      <c r="EV17" s="135">
        <v>428</v>
      </c>
      <c r="EW17" s="135">
        <v>296</v>
      </c>
      <c r="EX17" s="135">
        <v>557</v>
      </c>
      <c r="EY17" s="135">
        <v>2288</v>
      </c>
      <c r="EZ17" s="135"/>
      <c r="FA17" s="135">
        <v>9282</v>
      </c>
      <c r="FB17" s="6315">
        <f t="shared" si="10"/>
        <v>0.27037249283667619</v>
      </c>
      <c r="FD17" s="42"/>
      <c r="FE17" s="42"/>
      <c r="FF17" s="893" t="s">
        <v>482</v>
      </c>
      <c r="FG17" s="135">
        <v>1916</v>
      </c>
      <c r="FH17" s="135">
        <v>1168</v>
      </c>
      <c r="FI17" s="135"/>
      <c r="FJ17" s="135">
        <v>481</v>
      </c>
      <c r="FK17" s="135">
        <v>1603</v>
      </c>
      <c r="FL17" s="135">
        <v>348</v>
      </c>
      <c r="FM17" s="135">
        <v>931</v>
      </c>
      <c r="FN17" s="135"/>
      <c r="FO17" s="135"/>
      <c r="FP17" s="135">
        <v>418</v>
      </c>
      <c r="FQ17" s="135">
        <v>360</v>
      </c>
      <c r="FR17" s="135">
        <v>420</v>
      </c>
      <c r="FS17" s="135">
        <v>2344</v>
      </c>
      <c r="FT17" s="135">
        <v>12</v>
      </c>
      <c r="FU17" s="135">
        <v>10001</v>
      </c>
      <c r="FV17" s="5723">
        <f t="shared" si="0"/>
        <v>0.24150903960706449</v>
      </c>
      <c r="FW17" s="5717"/>
      <c r="FX17" s="42"/>
      <c r="FY17" s="42"/>
      <c r="FZ17" s="893" t="s">
        <v>482</v>
      </c>
      <c r="GA17" s="135">
        <v>2047</v>
      </c>
      <c r="GB17" s="135">
        <v>1292</v>
      </c>
      <c r="GC17" s="135"/>
      <c r="GD17" s="135">
        <v>519</v>
      </c>
      <c r="GE17" s="135">
        <v>1605</v>
      </c>
      <c r="GF17" s="135">
        <v>235</v>
      </c>
      <c r="GG17" s="135">
        <v>947</v>
      </c>
      <c r="GH17" s="135">
        <v>130</v>
      </c>
      <c r="GI17" s="135"/>
      <c r="GJ17" s="135">
        <v>443</v>
      </c>
      <c r="GK17" s="135">
        <v>237</v>
      </c>
      <c r="GL17" s="135">
        <v>242</v>
      </c>
      <c r="GM17" s="135">
        <v>2525</v>
      </c>
      <c r="GN17" s="135">
        <v>17</v>
      </c>
      <c r="GO17" s="135">
        <v>10239</v>
      </c>
      <c r="GP17" s="5723">
        <f t="shared" si="11"/>
        <v>0.20811623246492986</v>
      </c>
      <c r="GR17" s="6280"/>
      <c r="GS17" s="6280"/>
      <c r="GT17" s="1179" t="s">
        <v>482</v>
      </c>
      <c r="GU17" s="1180">
        <v>2524</v>
      </c>
      <c r="GV17" s="1180">
        <v>1158</v>
      </c>
      <c r="GW17" s="1181"/>
      <c r="GX17" s="1180">
        <v>564</v>
      </c>
      <c r="GY17" s="1180">
        <v>1539</v>
      </c>
      <c r="GZ17" s="1180">
        <v>196</v>
      </c>
      <c r="HA17" s="1180">
        <v>785</v>
      </c>
      <c r="HB17" s="1181"/>
      <c r="HC17" s="1181"/>
      <c r="HD17" s="1180">
        <v>441</v>
      </c>
      <c r="HE17" s="1180">
        <v>277</v>
      </c>
      <c r="HF17" s="1180">
        <v>157</v>
      </c>
      <c r="HG17" s="1180">
        <v>2881</v>
      </c>
      <c r="HH17" s="1180">
        <v>16</v>
      </c>
      <c r="HI17" s="1180">
        <v>10538</v>
      </c>
      <c r="HJ17" s="456">
        <f t="shared" si="12"/>
        <v>0.19411480945489629</v>
      </c>
      <c r="HL17" s="967"/>
      <c r="HM17" s="967"/>
      <c r="HN17" s="987" t="s">
        <v>482</v>
      </c>
      <c r="HO17" s="988">
        <v>2520</v>
      </c>
      <c r="HP17" s="988">
        <v>1155</v>
      </c>
      <c r="HQ17" s="989"/>
      <c r="HR17" s="988">
        <v>686</v>
      </c>
      <c r="HS17" s="988">
        <v>1567</v>
      </c>
      <c r="HT17" s="988">
        <v>195</v>
      </c>
      <c r="HU17" s="988">
        <v>965</v>
      </c>
      <c r="HV17" s="989"/>
      <c r="HW17" s="988">
        <v>1</v>
      </c>
      <c r="HX17" s="988">
        <v>401</v>
      </c>
      <c r="HY17" s="988">
        <v>237</v>
      </c>
      <c r="HZ17" s="988">
        <v>2993</v>
      </c>
      <c r="IA17" s="988">
        <v>18</v>
      </c>
      <c r="IB17" s="988">
        <v>10738</v>
      </c>
      <c r="IC17" s="990">
        <f t="shared" si="13"/>
        <v>0.18616129633078785</v>
      </c>
      <c r="IE17" s="577"/>
      <c r="IF17" s="577"/>
      <c r="IG17" s="738" t="s">
        <v>482</v>
      </c>
      <c r="IH17" s="991">
        <v>2442</v>
      </c>
      <c r="II17" s="991">
        <v>1119</v>
      </c>
      <c r="IJ17" s="991">
        <v>1</v>
      </c>
      <c r="IK17" s="991">
        <v>747</v>
      </c>
      <c r="IL17" s="991">
        <v>1355</v>
      </c>
      <c r="IM17" s="991">
        <v>264</v>
      </c>
      <c r="IN17" s="991">
        <v>643</v>
      </c>
      <c r="IO17" s="6261"/>
      <c r="IP17" s="991">
        <v>1</v>
      </c>
      <c r="IQ17" s="991">
        <v>242</v>
      </c>
      <c r="IR17" s="991">
        <v>172</v>
      </c>
      <c r="IS17" s="991">
        <v>3075</v>
      </c>
      <c r="IT17" s="991">
        <v>18</v>
      </c>
      <c r="IU17" s="991">
        <v>10079</v>
      </c>
      <c r="IV17" s="456">
        <f t="shared" si="14"/>
        <v>0.17769620001984324</v>
      </c>
      <c r="IX17" s="742"/>
      <c r="IY17" s="742"/>
      <c r="IZ17" s="973" t="s">
        <v>482</v>
      </c>
      <c r="JA17" s="992">
        <v>2312</v>
      </c>
      <c r="JB17" s="992">
        <v>835</v>
      </c>
      <c r="JC17" s="992">
        <v>0</v>
      </c>
      <c r="JD17" s="992">
        <v>795</v>
      </c>
      <c r="JE17" s="992">
        <v>1212</v>
      </c>
      <c r="JF17" s="992">
        <v>185</v>
      </c>
      <c r="JG17" s="992">
        <v>636</v>
      </c>
      <c r="JH17" s="992">
        <v>1</v>
      </c>
      <c r="JI17" s="992">
        <v>253</v>
      </c>
      <c r="JJ17" s="992">
        <v>158</v>
      </c>
      <c r="JK17" s="992">
        <v>2920</v>
      </c>
      <c r="JL17" s="992">
        <v>3260</v>
      </c>
      <c r="JM17" s="992">
        <v>18</v>
      </c>
      <c r="JN17" s="992">
        <v>35</v>
      </c>
      <c r="JO17" s="992">
        <v>12620</v>
      </c>
      <c r="JP17" s="993">
        <f t="shared" si="15"/>
        <v>0.16088980858768753</v>
      </c>
      <c r="JR17" s="97"/>
      <c r="JS17" s="97"/>
      <c r="JT17" s="42" t="s">
        <v>15</v>
      </c>
      <c r="JU17" s="42">
        <v>2114</v>
      </c>
      <c r="JV17" s="42">
        <v>766</v>
      </c>
      <c r="JW17" s="42"/>
      <c r="JX17" s="42">
        <v>813</v>
      </c>
      <c r="JY17" s="42">
        <v>1114</v>
      </c>
      <c r="JZ17" s="42">
        <v>208</v>
      </c>
      <c r="KA17" s="42">
        <v>740</v>
      </c>
      <c r="KB17" s="42">
        <v>1</v>
      </c>
      <c r="KC17" s="42">
        <v>165</v>
      </c>
      <c r="KD17" s="42">
        <v>132</v>
      </c>
      <c r="KE17" s="42">
        <v>2595</v>
      </c>
      <c r="KF17" s="42">
        <v>3114</v>
      </c>
      <c r="KG17" s="42">
        <v>18</v>
      </c>
      <c r="KH17" s="42">
        <v>25</v>
      </c>
      <c r="KI17" s="42">
        <v>11805</v>
      </c>
      <c r="KJ17" s="984">
        <f t="shared" si="1"/>
        <v>0.15830157866086009</v>
      </c>
      <c r="KK17" s="42"/>
      <c r="KL17" s="354"/>
      <c r="KM17" s="354"/>
      <c r="KN17" s="994" t="s">
        <v>15</v>
      </c>
      <c r="KO17" s="995">
        <v>1794</v>
      </c>
      <c r="KP17" s="995">
        <v>733</v>
      </c>
      <c r="KQ17" s="995" t="s">
        <v>315</v>
      </c>
      <c r="KR17" s="995">
        <v>838</v>
      </c>
      <c r="KS17" s="995">
        <v>1065</v>
      </c>
      <c r="KT17" s="995">
        <v>171</v>
      </c>
      <c r="KU17" s="995">
        <v>823</v>
      </c>
      <c r="KV17" s="995">
        <v>1</v>
      </c>
      <c r="KW17" s="995">
        <v>394</v>
      </c>
      <c r="KX17" s="995">
        <v>131</v>
      </c>
      <c r="KY17" s="995">
        <v>3014</v>
      </c>
      <c r="KZ17" s="995">
        <v>18</v>
      </c>
      <c r="LA17" s="995">
        <v>8982</v>
      </c>
      <c r="LB17" s="995">
        <f t="shared" si="2"/>
        <v>1367</v>
      </c>
      <c r="LC17" s="996">
        <f t="shared" si="3"/>
        <v>0.15219327543976843</v>
      </c>
      <c r="LD17" s="42"/>
      <c r="LE17" s="42"/>
    </row>
    <row r="18" spans="1:317">
      <c r="A18" s="6291">
        <v>1</v>
      </c>
      <c r="B18" s="6291">
        <v>2</v>
      </c>
      <c r="C18" s="6291">
        <v>12</v>
      </c>
      <c r="D18" s="6292">
        <v>3009</v>
      </c>
      <c r="E18" s="6291">
        <v>61</v>
      </c>
      <c r="F18" s="6291">
        <v>527</v>
      </c>
      <c r="G18" s="6291">
        <v>440</v>
      </c>
      <c r="H18" s="6291">
        <v>68</v>
      </c>
      <c r="I18" s="6293"/>
      <c r="J18" s="6291">
        <v>12</v>
      </c>
      <c r="K18" s="6291">
        <v>451</v>
      </c>
      <c r="L18" s="6293"/>
      <c r="M18" s="6291">
        <v>307</v>
      </c>
      <c r="N18" s="6291">
        <v>192</v>
      </c>
      <c r="O18" s="6293"/>
      <c r="P18" s="6291">
        <v>951</v>
      </c>
      <c r="Q18" s="6294">
        <f t="shared" si="4"/>
        <v>0.56796277833167164</v>
      </c>
      <c r="S18" s="6295">
        <v>1</v>
      </c>
      <c r="T18" s="6295">
        <v>2</v>
      </c>
      <c r="U18" s="6295">
        <v>11</v>
      </c>
      <c r="V18" s="6295">
        <v>1899</v>
      </c>
      <c r="W18" s="6295">
        <v>32</v>
      </c>
      <c r="X18" s="6295">
        <v>272</v>
      </c>
      <c r="Y18" s="6295">
        <v>215</v>
      </c>
      <c r="Z18" s="6295">
        <v>50</v>
      </c>
      <c r="AA18" s="6296"/>
      <c r="AB18" s="6295">
        <v>8</v>
      </c>
      <c r="AC18" s="6295">
        <v>225</v>
      </c>
      <c r="AD18" s="6296"/>
      <c r="AE18" s="6295">
        <v>209</v>
      </c>
      <c r="AF18" s="6295">
        <v>222</v>
      </c>
      <c r="AG18" s="6296"/>
      <c r="AH18" s="6295">
        <v>666</v>
      </c>
      <c r="AI18" s="6294">
        <f t="shared" si="5"/>
        <v>0.57925223802001058</v>
      </c>
      <c r="AJ18" s="6295"/>
      <c r="AK18" s="6297">
        <v>1</v>
      </c>
      <c r="AL18" s="6297">
        <v>2</v>
      </c>
      <c r="AM18" s="6297">
        <v>11</v>
      </c>
      <c r="AN18" s="6298">
        <v>1900</v>
      </c>
      <c r="AO18" s="6297">
        <v>22</v>
      </c>
      <c r="AP18" s="6297">
        <v>272</v>
      </c>
      <c r="AQ18" s="6297">
        <v>264</v>
      </c>
      <c r="AR18" s="6297">
        <v>50</v>
      </c>
      <c r="AS18" s="6299"/>
      <c r="AT18" s="6297">
        <v>8</v>
      </c>
      <c r="AU18" s="6297">
        <v>1</v>
      </c>
      <c r="AV18" s="6297">
        <v>195</v>
      </c>
      <c r="AW18" s="6297">
        <v>228</v>
      </c>
      <c r="AX18" s="6299"/>
      <c r="AY18" s="6297">
        <v>226</v>
      </c>
      <c r="AZ18" s="6299"/>
      <c r="BA18" s="6299"/>
      <c r="BB18" s="6297">
        <v>634</v>
      </c>
      <c r="BC18" s="6300">
        <f t="shared" si="6"/>
        <v>0.55660874144286465</v>
      </c>
      <c r="BE18" s="6313">
        <v>1</v>
      </c>
      <c r="BF18" s="6313">
        <v>2</v>
      </c>
      <c r="BG18" s="6313">
        <v>11</v>
      </c>
      <c r="BH18" s="4405" t="s">
        <v>17</v>
      </c>
      <c r="BI18" s="6314">
        <v>1873</v>
      </c>
      <c r="BJ18" s="6313">
        <v>21</v>
      </c>
      <c r="BK18" s="6313">
        <v>330</v>
      </c>
      <c r="BL18" s="6313">
        <v>191</v>
      </c>
      <c r="BM18" s="6313">
        <v>49</v>
      </c>
      <c r="BN18" s="6303"/>
      <c r="BO18" s="6313">
        <v>9</v>
      </c>
      <c r="BP18" s="6303"/>
      <c r="BQ18" s="6313">
        <v>207</v>
      </c>
      <c r="BR18" s="6303"/>
      <c r="BS18" s="6313">
        <v>276</v>
      </c>
      <c r="BT18" s="6313">
        <v>172</v>
      </c>
      <c r="BU18" s="6303"/>
      <c r="BV18" s="6303"/>
      <c r="BW18" s="6313">
        <v>618</v>
      </c>
      <c r="BX18" s="6300">
        <f t="shared" si="16"/>
        <v>0.58782701548318206</v>
      </c>
      <c r="BZ18" s="4388"/>
      <c r="CA18" s="4388" t="s">
        <v>16</v>
      </c>
      <c r="CB18" s="4388" t="s">
        <v>17</v>
      </c>
      <c r="CC18" s="4231">
        <v>240</v>
      </c>
      <c r="CD18" s="4231">
        <v>174</v>
      </c>
      <c r="CE18" s="4231"/>
      <c r="CF18" s="4231">
        <v>47</v>
      </c>
      <c r="CG18" s="4231">
        <v>608</v>
      </c>
      <c r="CH18" s="4231">
        <v>210</v>
      </c>
      <c r="CI18" s="4231">
        <v>9</v>
      </c>
      <c r="CJ18" s="4231"/>
      <c r="CK18" s="4231"/>
      <c r="CL18" s="4231">
        <v>18</v>
      </c>
      <c r="CM18" s="4231">
        <v>241</v>
      </c>
      <c r="CN18" s="4231"/>
      <c r="CO18" s="4231">
        <v>339</v>
      </c>
      <c r="CP18" s="4231">
        <v>0</v>
      </c>
      <c r="CQ18" s="4231">
        <v>1886</v>
      </c>
      <c r="CR18" s="6304">
        <f t="shared" si="7"/>
        <v>0.56150583244962882</v>
      </c>
      <c r="CS18" s="4238">
        <f t="shared" si="8"/>
        <v>13</v>
      </c>
      <c r="CT18" s="6305">
        <v>1873</v>
      </c>
      <c r="CU18" s="6316"/>
      <c r="CW18" s="97" t="s">
        <v>16</v>
      </c>
      <c r="CX18" s="42" t="s">
        <v>17</v>
      </c>
      <c r="CY18" s="42">
        <v>67</v>
      </c>
      <c r="CZ18" s="42">
        <v>101</v>
      </c>
      <c r="DA18" s="42">
        <v>0</v>
      </c>
      <c r="DB18" s="42">
        <v>44</v>
      </c>
      <c r="DC18" s="42">
        <v>855</v>
      </c>
      <c r="DD18" s="42">
        <v>203</v>
      </c>
      <c r="DE18" s="42">
        <v>159</v>
      </c>
      <c r="DF18" s="42">
        <v>0</v>
      </c>
      <c r="DH18" s="42">
        <v>20</v>
      </c>
      <c r="DI18" s="42">
        <v>161</v>
      </c>
      <c r="DK18" s="42">
        <v>273</v>
      </c>
      <c r="DL18" s="42">
        <v>1</v>
      </c>
      <c r="DM18" s="893">
        <v>1884</v>
      </c>
      <c r="DN18" s="6306">
        <f t="shared" si="17"/>
        <v>0.64737121614445037</v>
      </c>
      <c r="DP18" s="4263"/>
      <c r="DQ18" s="4263" t="s">
        <v>16</v>
      </c>
      <c r="DR18" s="4258" t="s">
        <v>17</v>
      </c>
      <c r="DS18" s="4263">
        <v>216</v>
      </c>
      <c r="DT18" s="4263">
        <v>138</v>
      </c>
      <c r="DU18" s="4263">
        <v>0</v>
      </c>
      <c r="DV18" s="4263">
        <v>46</v>
      </c>
      <c r="DW18" s="4263">
        <v>623</v>
      </c>
      <c r="DX18" s="4263">
        <v>237</v>
      </c>
      <c r="DY18" s="4263">
        <v>94</v>
      </c>
      <c r="DZ18" s="4263"/>
      <c r="EA18" s="4263"/>
      <c r="EB18" s="4263">
        <v>38</v>
      </c>
      <c r="EC18" s="4263">
        <v>189</v>
      </c>
      <c r="ED18" s="4263"/>
      <c r="EE18" s="4263">
        <v>296</v>
      </c>
      <c r="EF18" s="4263">
        <v>1</v>
      </c>
      <c r="EG18" s="4263">
        <v>1878</v>
      </c>
      <c r="EH18" s="6307">
        <f t="shared" si="9"/>
        <v>0.55887053809270115</v>
      </c>
      <c r="EK18" s="42" t="s">
        <v>16</v>
      </c>
      <c r="EL18" s="42" t="s">
        <v>17</v>
      </c>
      <c r="EM18" s="97">
        <v>183</v>
      </c>
      <c r="EN18" s="97">
        <v>124</v>
      </c>
      <c r="EO18" s="97"/>
      <c r="EP18" s="97">
        <v>3</v>
      </c>
      <c r="EQ18" s="97">
        <v>708</v>
      </c>
      <c r="ER18" s="97">
        <v>202</v>
      </c>
      <c r="ES18" s="97">
        <v>79</v>
      </c>
      <c r="ET18" s="97"/>
      <c r="EU18" s="97"/>
      <c r="EV18" s="97">
        <v>27</v>
      </c>
      <c r="EW18" s="97">
        <v>224</v>
      </c>
      <c r="EX18" s="97"/>
      <c r="EY18" s="97">
        <v>296</v>
      </c>
      <c r="EZ18" s="97">
        <v>1</v>
      </c>
      <c r="FA18" s="97">
        <v>1847</v>
      </c>
      <c r="FB18" s="6315">
        <f t="shared" si="10"/>
        <v>0.61430119176598053</v>
      </c>
      <c r="FD18" s="42"/>
      <c r="FE18" s="42" t="s">
        <v>16</v>
      </c>
      <c r="FF18" s="42" t="s">
        <v>17</v>
      </c>
      <c r="FG18" s="97">
        <v>202</v>
      </c>
      <c r="FH18" s="97">
        <v>122</v>
      </c>
      <c r="FI18" s="97"/>
      <c r="FJ18" s="97">
        <v>40</v>
      </c>
      <c r="FK18" s="97">
        <v>586</v>
      </c>
      <c r="FL18" s="97">
        <v>285</v>
      </c>
      <c r="FM18" s="97">
        <v>90</v>
      </c>
      <c r="FN18" s="97"/>
      <c r="FO18" s="97"/>
      <c r="FP18" s="97">
        <v>23</v>
      </c>
      <c r="FQ18" s="97">
        <v>224</v>
      </c>
      <c r="FR18" s="97"/>
      <c r="FS18" s="97">
        <v>286</v>
      </c>
      <c r="FT18" s="97">
        <v>3</v>
      </c>
      <c r="FU18" s="97">
        <v>1861</v>
      </c>
      <c r="FV18" s="6308">
        <f t="shared" si="0"/>
        <v>0.58934337997847153</v>
      </c>
      <c r="FW18" s="6322"/>
      <c r="FX18" s="42"/>
      <c r="FY18" s="42" t="s">
        <v>16</v>
      </c>
      <c r="FZ18" s="42" t="s">
        <v>17</v>
      </c>
      <c r="GA18" s="97">
        <v>57</v>
      </c>
      <c r="GB18" s="97">
        <v>243</v>
      </c>
      <c r="GC18" s="97"/>
      <c r="GD18" s="97">
        <v>39</v>
      </c>
      <c r="GE18" s="97">
        <v>416</v>
      </c>
      <c r="GF18" s="97">
        <v>327</v>
      </c>
      <c r="GG18" s="97">
        <v>101</v>
      </c>
      <c r="GH18" s="97">
        <v>1</v>
      </c>
      <c r="GI18" s="97"/>
      <c r="GJ18" s="97">
        <v>27</v>
      </c>
      <c r="GK18" s="97">
        <v>299</v>
      </c>
      <c r="GL18" s="97"/>
      <c r="GM18" s="97">
        <v>294</v>
      </c>
      <c r="GN18" s="97">
        <v>3</v>
      </c>
      <c r="GO18" s="97">
        <v>1807</v>
      </c>
      <c r="GP18" s="6308">
        <f t="shared" si="11"/>
        <v>0.57760532150776056</v>
      </c>
      <c r="GR18" s="6280"/>
      <c r="GS18" s="6280" t="s">
        <v>16</v>
      </c>
      <c r="GT18" s="6310" t="s">
        <v>17</v>
      </c>
      <c r="GU18" s="6311">
        <v>179</v>
      </c>
      <c r="GV18" s="6311">
        <v>94</v>
      </c>
      <c r="GW18" s="6311">
        <v>1</v>
      </c>
      <c r="GX18" s="6311">
        <v>41</v>
      </c>
      <c r="GY18" s="6311">
        <v>424</v>
      </c>
      <c r="GZ18" s="6311">
        <v>279</v>
      </c>
      <c r="HA18" s="6311">
        <v>114</v>
      </c>
      <c r="HB18" s="6312"/>
      <c r="HC18" s="6312"/>
      <c r="HD18" s="6311">
        <v>23</v>
      </c>
      <c r="HE18" s="6311">
        <v>305</v>
      </c>
      <c r="HF18" s="6312"/>
      <c r="HG18" s="6311">
        <v>310</v>
      </c>
      <c r="HH18" s="6311">
        <v>3</v>
      </c>
      <c r="HI18" s="6311">
        <v>1773</v>
      </c>
      <c r="HJ18" s="467">
        <f t="shared" si="12"/>
        <v>0.56949152542372883</v>
      </c>
      <c r="HL18" s="967"/>
      <c r="HM18" s="967" t="s">
        <v>16</v>
      </c>
      <c r="HN18" s="977" t="s">
        <v>17</v>
      </c>
      <c r="HO18" s="978">
        <v>203</v>
      </c>
      <c r="HP18" s="978">
        <v>103</v>
      </c>
      <c r="HQ18" s="967"/>
      <c r="HR18" s="978">
        <v>52</v>
      </c>
      <c r="HS18" s="978">
        <v>388</v>
      </c>
      <c r="HT18" s="978">
        <v>321</v>
      </c>
      <c r="HU18" s="978">
        <v>122</v>
      </c>
      <c r="HV18" s="967"/>
      <c r="HW18" s="967"/>
      <c r="HX18" s="978">
        <v>27</v>
      </c>
      <c r="HY18" s="978">
        <v>286</v>
      </c>
      <c r="HZ18" s="978">
        <v>419</v>
      </c>
      <c r="IA18" s="967"/>
      <c r="IB18" s="978">
        <v>1921</v>
      </c>
      <c r="IC18" s="467">
        <f t="shared" si="13"/>
        <v>0.5179593961478397</v>
      </c>
      <c r="IE18" s="577"/>
      <c r="IF18" s="577" t="s">
        <v>16</v>
      </c>
      <c r="IG18" s="979" t="s">
        <v>17</v>
      </c>
      <c r="IH18" s="980">
        <v>224</v>
      </c>
      <c r="II18" s="980">
        <v>112</v>
      </c>
      <c r="IJ18" s="577"/>
      <c r="IK18" s="980">
        <v>55</v>
      </c>
      <c r="IL18" s="980">
        <v>376</v>
      </c>
      <c r="IM18" s="980">
        <v>312</v>
      </c>
      <c r="IN18" s="980">
        <v>135</v>
      </c>
      <c r="IO18" s="980">
        <v>0</v>
      </c>
      <c r="IP18" s="577"/>
      <c r="IQ18" s="980">
        <v>13</v>
      </c>
      <c r="IR18" s="980">
        <v>273</v>
      </c>
      <c r="IS18" s="980">
        <v>428</v>
      </c>
      <c r="IT18" s="577"/>
      <c r="IU18" s="980">
        <v>1928</v>
      </c>
      <c r="IV18" s="467">
        <f t="shared" si="14"/>
        <v>0.49844398340248963</v>
      </c>
      <c r="IX18" s="742"/>
      <c r="IY18" s="742" t="s">
        <v>16</v>
      </c>
      <c r="IZ18" s="981" t="s">
        <v>17</v>
      </c>
      <c r="JA18" s="982">
        <v>240</v>
      </c>
      <c r="JB18" s="982">
        <v>82</v>
      </c>
      <c r="JC18" s="982">
        <v>0</v>
      </c>
      <c r="JD18" s="982">
        <v>59</v>
      </c>
      <c r="JE18" s="982">
        <v>365</v>
      </c>
      <c r="JF18" s="982">
        <v>272</v>
      </c>
      <c r="JG18" s="982">
        <v>141</v>
      </c>
      <c r="JH18" s="982">
        <v>0</v>
      </c>
      <c r="JI18" s="982">
        <v>14</v>
      </c>
      <c r="JJ18" s="982">
        <v>263</v>
      </c>
      <c r="JK18" s="982">
        <v>424</v>
      </c>
      <c r="JL18" s="982">
        <v>474</v>
      </c>
      <c r="JM18" s="982">
        <v>0</v>
      </c>
      <c r="JN18" s="982">
        <v>10</v>
      </c>
      <c r="JO18" s="982">
        <v>2344</v>
      </c>
      <c r="JP18" s="983">
        <f t="shared" si="15"/>
        <v>0.47120418848167539</v>
      </c>
      <c r="JR18" s="97"/>
      <c r="JS18" s="97" t="s">
        <v>16</v>
      </c>
      <c r="JT18" s="42" t="s">
        <v>17</v>
      </c>
      <c r="JU18" s="42">
        <v>225</v>
      </c>
      <c r="JV18" s="42">
        <v>80</v>
      </c>
      <c r="JW18" s="42"/>
      <c r="JX18" s="42">
        <v>60</v>
      </c>
      <c r="JY18" s="42">
        <v>381</v>
      </c>
      <c r="JZ18" s="42">
        <v>256</v>
      </c>
      <c r="KA18" s="42">
        <v>123</v>
      </c>
      <c r="KB18" s="42"/>
      <c r="KC18" s="42">
        <v>7</v>
      </c>
      <c r="KD18" s="42">
        <v>242</v>
      </c>
      <c r="KE18" s="42">
        <v>409</v>
      </c>
      <c r="KF18" s="42">
        <v>488</v>
      </c>
      <c r="KG18" s="42"/>
      <c r="KH18" s="42">
        <v>8</v>
      </c>
      <c r="KI18" s="42">
        <v>2279</v>
      </c>
      <c r="KJ18" s="984">
        <f t="shared" si="1"/>
        <v>0.47207303974221265</v>
      </c>
      <c r="KK18" s="42"/>
      <c r="KL18" s="354"/>
      <c r="KM18" s="354" t="s">
        <v>16</v>
      </c>
      <c r="KN18" s="354" t="s">
        <v>17</v>
      </c>
      <c r="KO18" s="985">
        <v>189</v>
      </c>
      <c r="KP18" s="985">
        <v>95</v>
      </c>
      <c r="KQ18" s="985" t="s">
        <v>315</v>
      </c>
      <c r="KR18" s="985">
        <v>51</v>
      </c>
      <c r="KS18" s="985">
        <v>421</v>
      </c>
      <c r="KT18" s="985">
        <v>255</v>
      </c>
      <c r="KU18" s="985">
        <v>139</v>
      </c>
      <c r="KV18" s="985" t="s">
        <v>315</v>
      </c>
      <c r="KW18" s="985">
        <v>35</v>
      </c>
      <c r="KX18" s="985">
        <v>256</v>
      </c>
      <c r="KY18" s="985">
        <v>449</v>
      </c>
      <c r="KZ18" s="985" t="s">
        <v>315</v>
      </c>
      <c r="LA18" s="985">
        <v>1890</v>
      </c>
      <c r="LB18" s="985">
        <f t="shared" si="2"/>
        <v>932</v>
      </c>
      <c r="LC18" s="986">
        <f t="shared" si="3"/>
        <v>0.49312169312169313</v>
      </c>
      <c r="LD18" s="42"/>
      <c r="LE18" s="42"/>
    </row>
    <row r="19" spans="1:317">
      <c r="A19" s="6291">
        <v>1</v>
      </c>
      <c r="B19" s="6291">
        <v>2</v>
      </c>
      <c r="C19" s="6291">
        <v>13</v>
      </c>
      <c r="D19" s="6292">
        <v>1593</v>
      </c>
      <c r="E19" s="6291">
        <v>93</v>
      </c>
      <c r="F19" s="6291">
        <v>456</v>
      </c>
      <c r="G19" s="6291">
        <v>398</v>
      </c>
      <c r="H19" s="6291">
        <v>73</v>
      </c>
      <c r="I19" s="6293"/>
      <c r="J19" s="6291">
        <v>13</v>
      </c>
      <c r="K19" s="6291">
        <v>33</v>
      </c>
      <c r="L19" s="6291">
        <v>1</v>
      </c>
      <c r="M19" s="6291">
        <v>38</v>
      </c>
      <c r="N19" s="6291">
        <v>253</v>
      </c>
      <c r="O19" s="6293"/>
      <c r="P19" s="6291">
        <v>235</v>
      </c>
      <c r="Q19" s="6294">
        <f t="shared" si="4"/>
        <v>0.19209039548022599</v>
      </c>
      <c r="S19" s="6295">
        <v>1</v>
      </c>
      <c r="T19" s="6295">
        <v>2</v>
      </c>
      <c r="U19" s="6295">
        <v>12</v>
      </c>
      <c r="V19" s="6295">
        <v>3050</v>
      </c>
      <c r="W19" s="6295">
        <v>56</v>
      </c>
      <c r="X19" s="6295">
        <v>351</v>
      </c>
      <c r="Y19" s="6295">
        <v>393</v>
      </c>
      <c r="Z19" s="6295">
        <v>69</v>
      </c>
      <c r="AA19" s="6296"/>
      <c r="AB19" s="6295">
        <v>13</v>
      </c>
      <c r="AC19" s="6295">
        <v>501</v>
      </c>
      <c r="AD19" s="6296"/>
      <c r="AE19" s="6295">
        <v>304</v>
      </c>
      <c r="AF19" s="6295">
        <v>354</v>
      </c>
      <c r="AG19" s="6296"/>
      <c r="AH19" s="6295">
        <v>1009</v>
      </c>
      <c r="AI19" s="6294">
        <f t="shared" si="5"/>
        <v>0.59475409836065574</v>
      </c>
      <c r="AJ19" s="6295"/>
      <c r="AK19" s="6297">
        <v>1</v>
      </c>
      <c r="AL19" s="6297">
        <v>2</v>
      </c>
      <c r="AM19" s="6297">
        <v>12</v>
      </c>
      <c r="AN19" s="6298">
        <v>3053</v>
      </c>
      <c r="AO19" s="6297">
        <v>49</v>
      </c>
      <c r="AP19" s="6297">
        <v>352</v>
      </c>
      <c r="AQ19" s="6297">
        <v>474</v>
      </c>
      <c r="AR19" s="6297">
        <v>68</v>
      </c>
      <c r="AS19" s="6299"/>
      <c r="AT19" s="6297">
        <v>13</v>
      </c>
      <c r="AU19" s="6297">
        <v>4</v>
      </c>
      <c r="AV19" s="6297">
        <v>450</v>
      </c>
      <c r="AW19" s="6297">
        <v>307</v>
      </c>
      <c r="AX19" s="6299"/>
      <c r="AY19" s="6297">
        <v>351</v>
      </c>
      <c r="AZ19" s="6299"/>
      <c r="BA19" s="6299"/>
      <c r="BB19" s="6297">
        <v>985</v>
      </c>
      <c r="BC19" s="6300">
        <f t="shared" si="6"/>
        <v>0.57133486388979993</v>
      </c>
      <c r="BE19" s="6313">
        <v>1</v>
      </c>
      <c r="BF19" s="6313">
        <v>2</v>
      </c>
      <c r="BG19" s="6313">
        <v>12</v>
      </c>
      <c r="BH19" s="4405" t="s">
        <v>18</v>
      </c>
      <c r="BI19" s="6314">
        <v>3031</v>
      </c>
      <c r="BJ19" s="6313">
        <v>47</v>
      </c>
      <c r="BK19" s="6313">
        <v>431</v>
      </c>
      <c r="BL19" s="6313">
        <v>388</v>
      </c>
      <c r="BM19" s="6313">
        <v>67</v>
      </c>
      <c r="BN19" s="6303"/>
      <c r="BO19" s="6313">
        <v>16</v>
      </c>
      <c r="BP19" s="6313">
        <v>3</v>
      </c>
      <c r="BQ19" s="6313">
        <v>388</v>
      </c>
      <c r="BR19" s="6303"/>
      <c r="BS19" s="6313">
        <v>275</v>
      </c>
      <c r="BT19" s="6313">
        <v>289</v>
      </c>
      <c r="BU19" s="6303"/>
      <c r="BV19" s="6303"/>
      <c r="BW19" s="6313">
        <v>1127</v>
      </c>
      <c r="BX19" s="6300">
        <f t="shared" si="16"/>
        <v>0.59114927344782031</v>
      </c>
      <c r="BZ19" s="4388"/>
      <c r="CA19" s="4388"/>
      <c r="CB19" s="4388" t="s">
        <v>18</v>
      </c>
      <c r="CC19" s="4231">
        <v>484</v>
      </c>
      <c r="CD19" s="4231">
        <v>266</v>
      </c>
      <c r="CE19" s="4231"/>
      <c r="CF19" s="4231">
        <v>67</v>
      </c>
      <c r="CG19" s="4231">
        <v>1133</v>
      </c>
      <c r="CH19" s="4231">
        <v>183</v>
      </c>
      <c r="CI19" s="4231">
        <v>16</v>
      </c>
      <c r="CJ19" s="4231"/>
      <c r="CK19" s="4231"/>
      <c r="CL19" s="4231">
        <v>87</v>
      </c>
      <c r="CM19" s="4231">
        <v>400</v>
      </c>
      <c r="CN19" s="4231"/>
      <c r="CO19" s="4231">
        <v>458</v>
      </c>
      <c r="CP19" s="4231">
        <v>3</v>
      </c>
      <c r="CQ19" s="4231">
        <v>3097</v>
      </c>
      <c r="CR19" s="6304">
        <f t="shared" si="7"/>
        <v>0.55462184873949583</v>
      </c>
      <c r="CS19" s="4238">
        <f t="shared" si="8"/>
        <v>66</v>
      </c>
      <c r="CT19" s="6305">
        <v>3031</v>
      </c>
      <c r="CU19" s="6316"/>
      <c r="CX19" s="42" t="s">
        <v>18</v>
      </c>
      <c r="CY19" s="42">
        <v>170</v>
      </c>
      <c r="CZ19" s="42">
        <v>167</v>
      </c>
      <c r="DA19" s="42">
        <v>1</v>
      </c>
      <c r="DB19" s="42">
        <v>66</v>
      </c>
      <c r="DC19" s="42">
        <v>1600</v>
      </c>
      <c r="DD19" s="42">
        <v>140</v>
      </c>
      <c r="DE19" s="42">
        <v>258</v>
      </c>
      <c r="DF19" s="42">
        <v>10</v>
      </c>
      <c r="DH19" s="42">
        <v>73</v>
      </c>
      <c r="DI19" s="42">
        <v>147</v>
      </c>
      <c r="DK19" s="42">
        <v>367</v>
      </c>
      <c r="DL19" s="42">
        <v>3</v>
      </c>
      <c r="DM19" s="893">
        <v>3002</v>
      </c>
      <c r="DN19" s="6306">
        <f t="shared" si="17"/>
        <v>0.62920973657885959</v>
      </c>
      <c r="DP19" s="4263"/>
      <c r="DQ19" s="4263"/>
      <c r="DR19" s="4258" t="s">
        <v>18</v>
      </c>
      <c r="DS19" s="4263">
        <v>431</v>
      </c>
      <c r="DT19" s="4263">
        <v>256</v>
      </c>
      <c r="DU19" s="4263">
        <v>1</v>
      </c>
      <c r="DV19" s="4263">
        <v>67</v>
      </c>
      <c r="DW19" s="4263">
        <v>1253</v>
      </c>
      <c r="DX19" s="4263">
        <v>206</v>
      </c>
      <c r="DY19" s="4263">
        <v>138</v>
      </c>
      <c r="DZ19" s="4263"/>
      <c r="EA19" s="4263"/>
      <c r="EB19" s="4263">
        <v>90</v>
      </c>
      <c r="EC19" s="4263">
        <v>222</v>
      </c>
      <c r="ED19" s="4263"/>
      <c r="EE19" s="4263">
        <v>388</v>
      </c>
      <c r="EF19" s="4263">
        <v>3</v>
      </c>
      <c r="EG19" s="4263">
        <v>3055</v>
      </c>
      <c r="EH19" s="6307">
        <f t="shared" si="9"/>
        <v>0.55078636959370908</v>
      </c>
      <c r="EL19" s="42" t="s">
        <v>18</v>
      </c>
      <c r="EM19" s="97">
        <v>327</v>
      </c>
      <c r="EN19" s="97">
        <v>214</v>
      </c>
      <c r="EO19" s="97"/>
      <c r="EP19" s="97">
        <v>1</v>
      </c>
      <c r="EQ19" s="97">
        <v>1308</v>
      </c>
      <c r="ER19" s="97">
        <v>260</v>
      </c>
      <c r="ES19" s="97">
        <v>144</v>
      </c>
      <c r="ET19" s="97"/>
      <c r="EU19" s="97"/>
      <c r="EV19" s="97">
        <v>95</v>
      </c>
      <c r="EW19" s="97">
        <v>180</v>
      </c>
      <c r="EX19" s="97"/>
      <c r="EY19" s="97">
        <v>408</v>
      </c>
      <c r="EZ19" s="97">
        <v>0</v>
      </c>
      <c r="FA19" s="97">
        <v>2937</v>
      </c>
      <c r="FB19" s="6315">
        <f t="shared" si="10"/>
        <v>0.59516513449097719</v>
      </c>
      <c r="FD19" s="42"/>
      <c r="FE19" s="42"/>
      <c r="FF19" s="42" t="s">
        <v>18</v>
      </c>
      <c r="FG19" s="97">
        <v>330</v>
      </c>
      <c r="FH19" s="97">
        <v>256</v>
      </c>
      <c r="FI19" s="97"/>
      <c r="FJ19" s="97">
        <v>59</v>
      </c>
      <c r="FK19" s="97">
        <v>704</v>
      </c>
      <c r="FL19" s="97">
        <v>463</v>
      </c>
      <c r="FM19" s="97">
        <v>110</v>
      </c>
      <c r="FN19" s="97"/>
      <c r="FO19" s="97"/>
      <c r="FP19" s="97">
        <v>93</v>
      </c>
      <c r="FQ19" s="97">
        <v>446</v>
      </c>
      <c r="FR19" s="97"/>
      <c r="FS19" s="97">
        <v>385</v>
      </c>
      <c r="FT19" s="97">
        <v>3</v>
      </c>
      <c r="FU19" s="97">
        <v>2849</v>
      </c>
      <c r="FV19" s="6308">
        <f t="shared" si="0"/>
        <v>0.56676036542515806</v>
      </c>
      <c r="FW19" s="6322"/>
      <c r="FX19" s="42"/>
      <c r="FY19" s="42"/>
      <c r="FZ19" s="42" t="s">
        <v>18</v>
      </c>
      <c r="GA19" s="97">
        <v>120</v>
      </c>
      <c r="GB19" s="97">
        <v>489</v>
      </c>
      <c r="GC19" s="97"/>
      <c r="GD19" s="97">
        <v>58</v>
      </c>
      <c r="GE19" s="97">
        <v>660</v>
      </c>
      <c r="GF19" s="97">
        <v>421</v>
      </c>
      <c r="GG19" s="97">
        <v>125</v>
      </c>
      <c r="GH19" s="97">
        <v>10</v>
      </c>
      <c r="GI19" s="97"/>
      <c r="GJ19" s="97">
        <v>78</v>
      </c>
      <c r="GK19" s="97">
        <v>405</v>
      </c>
      <c r="GL19" s="97"/>
      <c r="GM19" s="97">
        <v>333</v>
      </c>
      <c r="GN19" s="97">
        <v>3</v>
      </c>
      <c r="GO19" s="97">
        <v>2702</v>
      </c>
      <c r="GP19" s="6308">
        <f t="shared" si="11"/>
        <v>0.5505742867728789</v>
      </c>
      <c r="GR19" s="6280"/>
      <c r="GS19" s="6280"/>
      <c r="GT19" s="6310" t="s">
        <v>18</v>
      </c>
      <c r="GU19" s="6311">
        <v>346</v>
      </c>
      <c r="GV19" s="6311">
        <v>183</v>
      </c>
      <c r="GW19" s="6311">
        <v>0</v>
      </c>
      <c r="GX19" s="6311">
        <v>62</v>
      </c>
      <c r="GY19" s="6311">
        <v>601</v>
      </c>
      <c r="GZ19" s="6311">
        <v>415</v>
      </c>
      <c r="HA19" s="6311">
        <v>124</v>
      </c>
      <c r="HB19" s="6312"/>
      <c r="HC19" s="6312"/>
      <c r="HD19" s="6311">
        <v>92</v>
      </c>
      <c r="HE19" s="6311">
        <v>390</v>
      </c>
      <c r="HF19" s="6312"/>
      <c r="HG19" s="6311">
        <v>366</v>
      </c>
      <c r="HH19" s="6311">
        <v>3</v>
      </c>
      <c r="HI19" s="6311">
        <v>2582</v>
      </c>
      <c r="HJ19" s="467">
        <f t="shared" si="12"/>
        <v>0.54517254749903066</v>
      </c>
      <c r="HL19" s="967"/>
      <c r="HM19" s="967"/>
      <c r="HN19" s="977" t="s">
        <v>18</v>
      </c>
      <c r="HO19" s="978">
        <v>328</v>
      </c>
      <c r="HP19" s="978">
        <v>205</v>
      </c>
      <c r="HQ19" s="967"/>
      <c r="HR19" s="978">
        <v>88</v>
      </c>
      <c r="HS19" s="978">
        <v>612</v>
      </c>
      <c r="HT19" s="978">
        <v>384</v>
      </c>
      <c r="HU19" s="978">
        <v>139</v>
      </c>
      <c r="HV19" s="967"/>
      <c r="HW19" s="967"/>
      <c r="HX19" s="978">
        <v>68</v>
      </c>
      <c r="HY19" s="978">
        <v>366</v>
      </c>
      <c r="HZ19" s="978">
        <v>473</v>
      </c>
      <c r="IA19" s="967"/>
      <c r="IB19" s="978">
        <v>2663</v>
      </c>
      <c r="IC19" s="467">
        <f t="shared" si="13"/>
        <v>0.51145324821629745</v>
      </c>
      <c r="IE19" s="577"/>
      <c r="IF19" s="577"/>
      <c r="IG19" s="979" t="s">
        <v>18</v>
      </c>
      <c r="IH19" s="980">
        <v>321</v>
      </c>
      <c r="II19" s="980">
        <v>182</v>
      </c>
      <c r="IJ19" s="577"/>
      <c r="IK19" s="980">
        <v>101</v>
      </c>
      <c r="IL19" s="980">
        <v>607</v>
      </c>
      <c r="IM19" s="980">
        <v>379</v>
      </c>
      <c r="IN19" s="980">
        <v>162</v>
      </c>
      <c r="IO19" s="980">
        <v>1</v>
      </c>
      <c r="IP19" s="577"/>
      <c r="IQ19" s="980">
        <v>50</v>
      </c>
      <c r="IR19" s="980">
        <v>363</v>
      </c>
      <c r="IS19" s="980">
        <v>471</v>
      </c>
      <c r="IT19" s="577"/>
      <c r="IU19" s="980">
        <v>2637</v>
      </c>
      <c r="IV19" s="467">
        <f t="shared" si="14"/>
        <v>0.51156617368221469</v>
      </c>
      <c r="IX19" s="742"/>
      <c r="IY19" s="742"/>
      <c r="IZ19" s="981" t="s">
        <v>18</v>
      </c>
      <c r="JA19" s="982">
        <v>367</v>
      </c>
      <c r="JB19" s="982">
        <v>139</v>
      </c>
      <c r="JC19" s="982">
        <v>0</v>
      </c>
      <c r="JD19" s="982">
        <v>102</v>
      </c>
      <c r="JE19" s="982">
        <v>595</v>
      </c>
      <c r="JF19" s="982">
        <v>281</v>
      </c>
      <c r="JG19" s="982">
        <v>212</v>
      </c>
      <c r="JH19" s="982">
        <v>0</v>
      </c>
      <c r="JI19" s="982">
        <v>41</v>
      </c>
      <c r="JJ19" s="982">
        <v>350</v>
      </c>
      <c r="JK19" s="982">
        <v>546</v>
      </c>
      <c r="JL19" s="982">
        <v>527</v>
      </c>
      <c r="JM19" s="982">
        <v>0</v>
      </c>
      <c r="JN19" s="982">
        <v>14</v>
      </c>
      <c r="JO19" s="982">
        <v>3174</v>
      </c>
      <c r="JP19" s="983">
        <f t="shared" si="15"/>
        <v>0.46901300688599845</v>
      </c>
      <c r="JR19" s="97"/>
      <c r="JS19" s="97"/>
      <c r="JT19" s="42" t="s">
        <v>18</v>
      </c>
      <c r="JU19" s="42">
        <v>306</v>
      </c>
      <c r="JV19" s="42">
        <v>139</v>
      </c>
      <c r="JW19" s="42"/>
      <c r="JX19" s="42">
        <v>101</v>
      </c>
      <c r="JY19" s="42">
        <v>610</v>
      </c>
      <c r="JZ19" s="42">
        <v>300</v>
      </c>
      <c r="KA19" s="42">
        <v>215</v>
      </c>
      <c r="KB19" s="42"/>
      <c r="KC19" s="42">
        <v>34</v>
      </c>
      <c r="KD19" s="42">
        <v>301</v>
      </c>
      <c r="KE19" s="42">
        <v>552</v>
      </c>
      <c r="KF19" s="42">
        <v>559</v>
      </c>
      <c r="KG19" s="42"/>
      <c r="KH19" s="42">
        <v>10</v>
      </c>
      <c r="KI19" s="42">
        <v>3127</v>
      </c>
      <c r="KJ19" s="984">
        <f t="shared" si="1"/>
        <v>0.47212475633528267</v>
      </c>
      <c r="KK19" s="42"/>
      <c r="KL19" s="354"/>
      <c r="KM19" s="354"/>
      <c r="KN19" s="354" t="s">
        <v>18</v>
      </c>
      <c r="KO19" s="985">
        <v>277</v>
      </c>
      <c r="KP19" s="985">
        <v>133</v>
      </c>
      <c r="KQ19" s="985" t="s">
        <v>315</v>
      </c>
      <c r="KR19" s="985">
        <v>99</v>
      </c>
      <c r="KS19" s="985">
        <v>629</v>
      </c>
      <c r="KT19" s="985">
        <v>313</v>
      </c>
      <c r="KU19" s="985">
        <v>219</v>
      </c>
      <c r="KV19" s="985" t="s">
        <v>315</v>
      </c>
      <c r="KW19" s="985">
        <v>57</v>
      </c>
      <c r="KX19" s="985">
        <v>334</v>
      </c>
      <c r="KY19" s="985">
        <v>606</v>
      </c>
      <c r="KZ19" s="985" t="s">
        <v>315</v>
      </c>
      <c r="LA19" s="985">
        <v>2667</v>
      </c>
      <c r="LB19" s="985">
        <f t="shared" si="2"/>
        <v>1276</v>
      </c>
      <c r="LC19" s="986">
        <f t="shared" si="3"/>
        <v>0.47844019497562806</v>
      </c>
      <c r="LD19" s="42"/>
      <c r="LE19" s="42"/>
    </row>
    <row r="20" spans="1:317">
      <c r="A20" s="6291">
        <v>1</v>
      </c>
      <c r="B20" s="6291">
        <v>2</v>
      </c>
      <c r="C20" s="6291">
        <v>14</v>
      </c>
      <c r="D20" s="6292">
        <v>1390</v>
      </c>
      <c r="E20" s="6291">
        <v>90</v>
      </c>
      <c r="F20" s="6291">
        <v>353</v>
      </c>
      <c r="G20" s="6291">
        <v>275</v>
      </c>
      <c r="H20" s="6291">
        <v>52</v>
      </c>
      <c r="I20" s="6291">
        <v>1</v>
      </c>
      <c r="J20" s="6291">
        <v>7</v>
      </c>
      <c r="K20" s="6291">
        <v>70</v>
      </c>
      <c r="L20" s="6291">
        <v>1</v>
      </c>
      <c r="M20" s="6291">
        <v>52</v>
      </c>
      <c r="N20" s="6291">
        <v>199</v>
      </c>
      <c r="O20" s="6293"/>
      <c r="P20" s="6291">
        <v>290</v>
      </c>
      <c r="Q20" s="6294">
        <f t="shared" si="4"/>
        <v>0.29640287769784174</v>
      </c>
      <c r="S20" s="6295">
        <v>1</v>
      </c>
      <c r="T20" s="6295">
        <v>2</v>
      </c>
      <c r="U20" s="6295">
        <v>13</v>
      </c>
      <c r="V20" s="6295">
        <v>1501</v>
      </c>
      <c r="W20" s="6295">
        <v>84</v>
      </c>
      <c r="X20" s="6295">
        <v>268</v>
      </c>
      <c r="Y20" s="6295">
        <v>395</v>
      </c>
      <c r="Z20" s="6295">
        <v>69</v>
      </c>
      <c r="AA20" s="6296"/>
      <c r="AB20" s="6295">
        <v>14</v>
      </c>
      <c r="AC20" s="6295">
        <v>33</v>
      </c>
      <c r="AD20" s="6296"/>
      <c r="AE20" s="6295">
        <v>30</v>
      </c>
      <c r="AF20" s="6295">
        <v>373</v>
      </c>
      <c r="AG20" s="6296"/>
      <c r="AH20" s="6295">
        <v>235</v>
      </c>
      <c r="AI20" s="6294">
        <f t="shared" si="5"/>
        <v>0.19853431045969352</v>
      </c>
      <c r="AJ20" s="6295"/>
      <c r="AK20" s="6297">
        <v>1</v>
      </c>
      <c r="AL20" s="6297">
        <v>2</v>
      </c>
      <c r="AM20" s="6297">
        <v>13</v>
      </c>
      <c r="AN20" s="6298">
        <v>1502</v>
      </c>
      <c r="AO20" s="6297">
        <v>74</v>
      </c>
      <c r="AP20" s="6297">
        <v>268</v>
      </c>
      <c r="AQ20" s="6297">
        <v>422</v>
      </c>
      <c r="AR20" s="6297">
        <v>67</v>
      </c>
      <c r="AS20" s="6299"/>
      <c r="AT20" s="6297">
        <v>14</v>
      </c>
      <c r="AU20" s="6297">
        <v>3</v>
      </c>
      <c r="AV20" s="6297">
        <v>23</v>
      </c>
      <c r="AW20" s="6297">
        <v>34</v>
      </c>
      <c r="AX20" s="6299"/>
      <c r="AY20" s="6297">
        <v>372</v>
      </c>
      <c r="AZ20" s="6299"/>
      <c r="BA20" s="6299"/>
      <c r="BB20" s="6297">
        <v>225</v>
      </c>
      <c r="BC20" s="6300">
        <f t="shared" si="6"/>
        <v>0.18812541694462975</v>
      </c>
      <c r="BE20" s="6313">
        <v>1</v>
      </c>
      <c r="BF20" s="6313">
        <v>2</v>
      </c>
      <c r="BG20" s="6313">
        <v>13</v>
      </c>
      <c r="BH20" s="4405" t="s">
        <v>19</v>
      </c>
      <c r="BI20" s="6314">
        <v>1404</v>
      </c>
      <c r="BJ20" s="6313">
        <v>54</v>
      </c>
      <c r="BK20" s="6313">
        <v>319</v>
      </c>
      <c r="BL20" s="6313">
        <v>345</v>
      </c>
      <c r="BM20" s="6313">
        <v>69</v>
      </c>
      <c r="BN20" s="6303"/>
      <c r="BO20" s="6313">
        <v>12</v>
      </c>
      <c r="BP20" s="6313">
        <v>3</v>
      </c>
      <c r="BQ20" s="6313">
        <v>45</v>
      </c>
      <c r="BR20" s="6303"/>
      <c r="BS20" s="6313">
        <v>59</v>
      </c>
      <c r="BT20" s="6313">
        <v>263</v>
      </c>
      <c r="BU20" s="6303"/>
      <c r="BV20" s="6303"/>
      <c r="BW20" s="6313">
        <v>235</v>
      </c>
      <c r="BX20" s="6300">
        <f t="shared" si="16"/>
        <v>0.24197002141327623</v>
      </c>
      <c r="BZ20" s="4388"/>
      <c r="CA20" s="4388"/>
      <c r="CB20" s="4388" t="s">
        <v>19</v>
      </c>
      <c r="CC20" s="4231">
        <v>365</v>
      </c>
      <c r="CD20" s="4231">
        <v>243</v>
      </c>
      <c r="CE20" s="4231"/>
      <c r="CF20" s="4231">
        <v>67</v>
      </c>
      <c r="CG20" s="4231">
        <v>233</v>
      </c>
      <c r="CH20" s="4231">
        <v>39</v>
      </c>
      <c r="CI20" s="4231">
        <v>12</v>
      </c>
      <c r="CJ20" s="4231"/>
      <c r="CK20" s="4231"/>
      <c r="CL20" s="4231">
        <v>79</v>
      </c>
      <c r="CM20" s="4231">
        <v>44</v>
      </c>
      <c r="CN20" s="4231"/>
      <c r="CO20" s="4231">
        <v>329</v>
      </c>
      <c r="CP20" s="4231">
        <v>3</v>
      </c>
      <c r="CQ20" s="4231">
        <v>1414</v>
      </c>
      <c r="CR20" s="6304">
        <f t="shared" si="7"/>
        <v>0.22395464209780297</v>
      </c>
      <c r="CS20" s="4238">
        <f t="shared" si="8"/>
        <v>10</v>
      </c>
      <c r="CT20" s="6305">
        <v>1404</v>
      </c>
      <c r="CU20" s="6316"/>
      <c r="CX20" s="42" t="s">
        <v>19</v>
      </c>
      <c r="CY20" s="42">
        <v>183</v>
      </c>
      <c r="CZ20" s="42">
        <v>146</v>
      </c>
      <c r="DA20" s="42">
        <v>0</v>
      </c>
      <c r="DB20" s="42">
        <v>83</v>
      </c>
      <c r="DC20" s="42">
        <v>362</v>
      </c>
      <c r="DD20" s="42">
        <v>34</v>
      </c>
      <c r="DE20" s="42">
        <v>168</v>
      </c>
      <c r="DF20" s="42">
        <v>2</v>
      </c>
      <c r="DH20" s="42">
        <v>74</v>
      </c>
      <c r="DI20" s="42">
        <v>30</v>
      </c>
      <c r="DK20" s="42">
        <v>253</v>
      </c>
      <c r="DL20" s="42">
        <v>1</v>
      </c>
      <c r="DM20" s="893">
        <v>1336</v>
      </c>
      <c r="DN20" s="6306">
        <f t="shared" si="17"/>
        <v>0.31910112359550563</v>
      </c>
      <c r="DP20" s="4263"/>
      <c r="DQ20" s="4263"/>
      <c r="DR20" s="4258" t="s">
        <v>19</v>
      </c>
      <c r="DS20" s="4263">
        <v>288</v>
      </c>
      <c r="DT20" s="4263">
        <v>191</v>
      </c>
      <c r="DU20" s="4263">
        <v>0</v>
      </c>
      <c r="DV20" s="4263">
        <v>71</v>
      </c>
      <c r="DW20" s="4263">
        <v>254</v>
      </c>
      <c r="DX20" s="4263">
        <v>50</v>
      </c>
      <c r="DY20" s="4263">
        <v>107</v>
      </c>
      <c r="DZ20" s="4263"/>
      <c r="EA20" s="4263"/>
      <c r="EB20" s="4263">
        <v>91</v>
      </c>
      <c r="EC20" s="4263">
        <v>25</v>
      </c>
      <c r="ED20" s="4263"/>
      <c r="EE20" s="4263">
        <v>270</v>
      </c>
      <c r="EF20" s="4263">
        <v>2</v>
      </c>
      <c r="EG20" s="4263">
        <v>1349</v>
      </c>
      <c r="EH20" s="6307">
        <f t="shared" si="9"/>
        <v>0.24424647364513735</v>
      </c>
      <c r="EL20" s="42" t="s">
        <v>19</v>
      </c>
      <c r="EM20" s="97">
        <v>286</v>
      </c>
      <c r="EN20" s="97">
        <v>169</v>
      </c>
      <c r="EO20" s="97"/>
      <c r="EP20" s="97">
        <v>1</v>
      </c>
      <c r="EQ20" s="97">
        <v>308</v>
      </c>
      <c r="ER20" s="97">
        <v>29</v>
      </c>
      <c r="ES20" s="97">
        <v>74</v>
      </c>
      <c r="ET20" s="97"/>
      <c r="EU20" s="97"/>
      <c r="EV20" s="97">
        <v>72</v>
      </c>
      <c r="EW20" s="97">
        <v>25</v>
      </c>
      <c r="EX20" s="97"/>
      <c r="EY20" s="97">
        <v>292</v>
      </c>
      <c r="EZ20" s="97">
        <v>0</v>
      </c>
      <c r="FA20" s="97">
        <v>1256</v>
      </c>
      <c r="FB20" s="6315">
        <f t="shared" si="10"/>
        <v>0.28821656050955413</v>
      </c>
      <c r="FD20" s="42"/>
      <c r="FE20" s="42"/>
      <c r="FF20" s="42" t="s">
        <v>19</v>
      </c>
      <c r="FG20" s="97">
        <v>249</v>
      </c>
      <c r="FH20" s="97">
        <v>197</v>
      </c>
      <c r="FI20" s="97"/>
      <c r="FJ20" s="97">
        <v>72</v>
      </c>
      <c r="FK20" s="97">
        <v>273</v>
      </c>
      <c r="FL20" s="97">
        <v>53</v>
      </c>
      <c r="FM20" s="97">
        <v>89</v>
      </c>
      <c r="FN20" s="97"/>
      <c r="FO20" s="97"/>
      <c r="FP20" s="97">
        <v>83</v>
      </c>
      <c r="FQ20" s="97">
        <v>32</v>
      </c>
      <c r="FR20" s="97"/>
      <c r="FS20" s="97">
        <v>252</v>
      </c>
      <c r="FT20" s="97">
        <v>1</v>
      </c>
      <c r="FU20" s="97">
        <v>1301</v>
      </c>
      <c r="FV20" s="6308">
        <f t="shared" si="0"/>
        <v>0.27538461538461539</v>
      </c>
      <c r="FW20" s="6322"/>
      <c r="FX20" s="42"/>
      <c r="FY20" s="42"/>
      <c r="FZ20" s="42" t="s">
        <v>19</v>
      </c>
      <c r="GA20" s="97">
        <v>103</v>
      </c>
      <c r="GB20" s="97">
        <v>339</v>
      </c>
      <c r="GC20" s="97"/>
      <c r="GD20" s="97">
        <v>76</v>
      </c>
      <c r="GE20" s="97">
        <v>281</v>
      </c>
      <c r="GF20" s="97">
        <v>20</v>
      </c>
      <c r="GG20" s="97">
        <v>93</v>
      </c>
      <c r="GH20" s="97">
        <v>0</v>
      </c>
      <c r="GI20" s="97"/>
      <c r="GJ20" s="97">
        <v>60</v>
      </c>
      <c r="GK20" s="97">
        <v>30</v>
      </c>
      <c r="GL20" s="97"/>
      <c r="GM20" s="97">
        <v>243</v>
      </c>
      <c r="GN20" s="97">
        <v>1</v>
      </c>
      <c r="GO20" s="97">
        <v>1246</v>
      </c>
      <c r="GP20" s="6308">
        <f t="shared" si="11"/>
        <v>0.26586345381526105</v>
      </c>
      <c r="GR20" s="6280"/>
      <c r="GS20" s="6280"/>
      <c r="GT20" s="6310" t="s">
        <v>19</v>
      </c>
      <c r="GU20" s="6311">
        <v>217</v>
      </c>
      <c r="GV20" s="6311">
        <v>157</v>
      </c>
      <c r="GW20" s="6311">
        <v>0</v>
      </c>
      <c r="GX20" s="6311">
        <v>73</v>
      </c>
      <c r="GY20" s="6311">
        <v>270</v>
      </c>
      <c r="GZ20" s="6311">
        <v>10</v>
      </c>
      <c r="HA20" s="6311">
        <v>89</v>
      </c>
      <c r="HB20" s="6312"/>
      <c r="HC20" s="6312"/>
      <c r="HD20" s="6311">
        <v>84</v>
      </c>
      <c r="HE20" s="6311">
        <v>41</v>
      </c>
      <c r="HF20" s="6312"/>
      <c r="HG20" s="6311">
        <v>259</v>
      </c>
      <c r="HH20" s="6311">
        <v>0</v>
      </c>
      <c r="HI20" s="6311">
        <v>1200</v>
      </c>
      <c r="HJ20" s="467">
        <f t="shared" si="12"/>
        <v>0.26750000000000002</v>
      </c>
      <c r="HL20" s="967"/>
      <c r="HM20" s="967"/>
      <c r="HN20" s="977" t="s">
        <v>19</v>
      </c>
      <c r="HO20" s="978">
        <v>243</v>
      </c>
      <c r="HP20" s="978">
        <v>143</v>
      </c>
      <c r="HQ20" s="967"/>
      <c r="HR20" s="978">
        <v>96</v>
      </c>
      <c r="HS20" s="978">
        <v>280</v>
      </c>
      <c r="HT20" s="978">
        <v>21</v>
      </c>
      <c r="HU20" s="978">
        <v>107</v>
      </c>
      <c r="HV20" s="967"/>
      <c r="HW20" s="967"/>
      <c r="HX20" s="978">
        <v>56</v>
      </c>
      <c r="HY20" s="978">
        <v>14</v>
      </c>
      <c r="HZ20" s="978">
        <v>358</v>
      </c>
      <c r="IA20" s="967"/>
      <c r="IB20" s="978">
        <v>1318</v>
      </c>
      <c r="IC20" s="467">
        <f t="shared" si="13"/>
        <v>0.23899848254931716</v>
      </c>
      <c r="IE20" s="577"/>
      <c r="IF20" s="577"/>
      <c r="IG20" s="979" t="s">
        <v>19</v>
      </c>
      <c r="IH20" s="980">
        <v>211</v>
      </c>
      <c r="II20" s="980">
        <v>164</v>
      </c>
      <c r="IJ20" s="577"/>
      <c r="IK20" s="980">
        <v>104</v>
      </c>
      <c r="IL20" s="980">
        <v>284</v>
      </c>
      <c r="IM20" s="980">
        <v>28</v>
      </c>
      <c r="IN20" s="980">
        <v>81</v>
      </c>
      <c r="IO20" s="980">
        <v>8</v>
      </c>
      <c r="IP20" s="577"/>
      <c r="IQ20" s="980">
        <v>32</v>
      </c>
      <c r="IR20" s="980">
        <v>16</v>
      </c>
      <c r="IS20" s="980">
        <v>353</v>
      </c>
      <c r="IT20" s="577"/>
      <c r="IU20" s="980">
        <v>1281</v>
      </c>
      <c r="IV20" s="467">
        <f t="shared" si="14"/>
        <v>0.25604996096799376</v>
      </c>
      <c r="IX20" s="742"/>
      <c r="IY20" s="742"/>
      <c r="IZ20" s="981" t="s">
        <v>19</v>
      </c>
      <c r="JA20" s="982">
        <v>215</v>
      </c>
      <c r="JB20" s="982">
        <v>109</v>
      </c>
      <c r="JC20" s="982">
        <v>0</v>
      </c>
      <c r="JD20" s="982">
        <v>109</v>
      </c>
      <c r="JE20" s="982">
        <v>247</v>
      </c>
      <c r="JF20" s="982">
        <v>34</v>
      </c>
      <c r="JG20" s="982">
        <v>109</v>
      </c>
      <c r="JH20" s="982">
        <v>0</v>
      </c>
      <c r="JI20" s="982">
        <v>53</v>
      </c>
      <c r="JJ20" s="982">
        <v>19</v>
      </c>
      <c r="JK20" s="982">
        <v>327</v>
      </c>
      <c r="JL20" s="982">
        <v>354</v>
      </c>
      <c r="JM20" s="982">
        <v>0</v>
      </c>
      <c r="JN20" s="982">
        <v>6</v>
      </c>
      <c r="JO20" s="982">
        <v>1582</v>
      </c>
      <c r="JP20" s="983">
        <f t="shared" si="15"/>
        <v>0.24019215372297839</v>
      </c>
      <c r="JR20" s="97"/>
      <c r="JS20" s="97"/>
      <c r="JT20" s="42" t="s">
        <v>19</v>
      </c>
      <c r="JU20" s="42">
        <v>197</v>
      </c>
      <c r="JV20" s="42">
        <v>123</v>
      </c>
      <c r="JW20" s="42"/>
      <c r="JX20" s="42">
        <v>103</v>
      </c>
      <c r="JY20" s="42">
        <v>262</v>
      </c>
      <c r="JZ20" s="42">
        <v>26</v>
      </c>
      <c r="KA20" s="42">
        <v>123</v>
      </c>
      <c r="KB20" s="42"/>
      <c r="KC20" s="42">
        <v>35</v>
      </c>
      <c r="KD20" s="42">
        <v>14</v>
      </c>
      <c r="KE20" s="42">
        <v>299</v>
      </c>
      <c r="KF20" s="42">
        <v>347</v>
      </c>
      <c r="KG20" s="42"/>
      <c r="KH20" s="42">
        <v>2</v>
      </c>
      <c r="KI20" s="42">
        <v>1531</v>
      </c>
      <c r="KJ20" s="984">
        <f t="shared" si="1"/>
        <v>0.24552845528455283</v>
      </c>
      <c r="KK20" s="42"/>
      <c r="KL20" s="354"/>
      <c r="KM20" s="354"/>
      <c r="KN20" s="354" t="s">
        <v>19</v>
      </c>
      <c r="KO20" s="985">
        <v>173</v>
      </c>
      <c r="KP20" s="985">
        <v>96</v>
      </c>
      <c r="KQ20" s="985" t="s">
        <v>315</v>
      </c>
      <c r="KR20" s="985">
        <v>110</v>
      </c>
      <c r="KS20" s="985">
        <v>260</v>
      </c>
      <c r="KT20" s="985">
        <v>20</v>
      </c>
      <c r="KU20" s="985">
        <v>130</v>
      </c>
      <c r="KV20" s="985" t="s">
        <v>315</v>
      </c>
      <c r="KW20" s="985">
        <v>59</v>
      </c>
      <c r="KX20" s="985">
        <v>25</v>
      </c>
      <c r="KY20" s="985">
        <v>366</v>
      </c>
      <c r="KZ20" s="985" t="s">
        <v>315</v>
      </c>
      <c r="LA20" s="985">
        <v>1239</v>
      </c>
      <c r="LB20" s="985">
        <f t="shared" si="2"/>
        <v>305</v>
      </c>
      <c r="LC20" s="986">
        <f t="shared" si="3"/>
        <v>0.24616626311541565</v>
      </c>
      <c r="LD20" s="42"/>
      <c r="LE20" s="42"/>
    </row>
    <row r="21" spans="1:317">
      <c r="A21" s="6291">
        <v>1</v>
      </c>
      <c r="B21" s="6291">
        <v>4</v>
      </c>
      <c r="C21" s="6291">
        <v>17</v>
      </c>
      <c r="D21" s="6292">
        <v>1408</v>
      </c>
      <c r="E21" s="6291">
        <v>32</v>
      </c>
      <c r="F21" s="6291">
        <v>229</v>
      </c>
      <c r="G21" s="6291">
        <v>341</v>
      </c>
      <c r="H21" s="6291">
        <v>44</v>
      </c>
      <c r="I21" s="6293"/>
      <c r="J21" s="6291">
        <v>26</v>
      </c>
      <c r="K21" s="6291">
        <v>141</v>
      </c>
      <c r="L21" s="6293"/>
      <c r="M21" s="6291">
        <v>95</v>
      </c>
      <c r="N21" s="6291">
        <v>118</v>
      </c>
      <c r="O21" s="6293"/>
      <c r="P21" s="6291">
        <v>382</v>
      </c>
      <c r="Q21" s="6294">
        <f t="shared" si="4"/>
        <v>0.43892045454545453</v>
      </c>
      <c r="S21" s="6295">
        <v>1</v>
      </c>
      <c r="T21" s="6295">
        <v>2</v>
      </c>
      <c r="U21" s="6295">
        <v>14</v>
      </c>
      <c r="V21" s="6295">
        <v>1371</v>
      </c>
      <c r="W21" s="6295">
        <v>110</v>
      </c>
      <c r="X21" s="6295">
        <v>221</v>
      </c>
      <c r="Y21" s="6295">
        <v>241</v>
      </c>
      <c r="Z21" s="6295">
        <v>51</v>
      </c>
      <c r="AA21" s="6295">
        <v>1</v>
      </c>
      <c r="AB21" s="6295">
        <v>6</v>
      </c>
      <c r="AC21" s="6295">
        <v>69</v>
      </c>
      <c r="AD21" s="6296"/>
      <c r="AE21" s="6295">
        <v>49</v>
      </c>
      <c r="AF21" s="6295">
        <v>334</v>
      </c>
      <c r="AG21" s="6296"/>
      <c r="AH21" s="6295">
        <v>289</v>
      </c>
      <c r="AI21" s="6294">
        <f t="shared" si="5"/>
        <v>0.29686360320933625</v>
      </c>
      <c r="AJ21" s="6295"/>
      <c r="AK21" s="6297">
        <v>1</v>
      </c>
      <c r="AL21" s="6297">
        <v>2</v>
      </c>
      <c r="AM21" s="6297">
        <v>14</v>
      </c>
      <c r="AN21" s="6298">
        <v>1372</v>
      </c>
      <c r="AO21" s="6297">
        <v>124</v>
      </c>
      <c r="AP21" s="6297">
        <v>221</v>
      </c>
      <c r="AQ21" s="6297">
        <v>251</v>
      </c>
      <c r="AR21" s="6297">
        <v>50</v>
      </c>
      <c r="AS21" s="6297">
        <v>1</v>
      </c>
      <c r="AT21" s="6297">
        <v>6</v>
      </c>
      <c r="AU21" s="6299"/>
      <c r="AV21" s="6297">
        <v>56</v>
      </c>
      <c r="AW21" s="6297">
        <v>53</v>
      </c>
      <c r="AX21" s="6299"/>
      <c r="AY21" s="6297">
        <v>335</v>
      </c>
      <c r="AZ21" s="6299"/>
      <c r="BA21" s="6299"/>
      <c r="BB21" s="6297">
        <v>275</v>
      </c>
      <c r="BC21" s="6300">
        <f t="shared" si="6"/>
        <v>0.27988338192419826</v>
      </c>
      <c r="BE21" s="6313">
        <v>1</v>
      </c>
      <c r="BF21" s="6313">
        <v>2</v>
      </c>
      <c r="BG21" s="6313">
        <v>14</v>
      </c>
      <c r="BH21" s="4405" t="s">
        <v>20</v>
      </c>
      <c r="BI21" s="6314">
        <v>1351</v>
      </c>
      <c r="BJ21" s="6313">
        <v>119</v>
      </c>
      <c r="BK21" s="6313">
        <v>273</v>
      </c>
      <c r="BL21" s="6313">
        <v>231</v>
      </c>
      <c r="BM21" s="6313">
        <v>42</v>
      </c>
      <c r="BN21" s="6303"/>
      <c r="BO21" s="6313">
        <v>7</v>
      </c>
      <c r="BP21" s="6303"/>
      <c r="BQ21" s="6313">
        <v>44</v>
      </c>
      <c r="BR21" s="6303"/>
      <c r="BS21" s="6313">
        <v>79</v>
      </c>
      <c r="BT21" s="6313">
        <v>284</v>
      </c>
      <c r="BU21" s="6303"/>
      <c r="BV21" s="6303"/>
      <c r="BW21" s="6313">
        <v>272</v>
      </c>
      <c r="BX21" s="6300">
        <f t="shared" si="16"/>
        <v>0.2923760177646188</v>
      </c>
      <c r="BZ21" s="4388"/>
      <c r="CA21" s="4388"/>
      <c r="CB21" s="4388" t="s">
        <v>20</v>
      </c>
      <c r="CC21" s="4231">
        <v>244</v>
      </c>
      <c r="CD21" s="4231">
        <v>269</v>
      </c>
      <c r="CE21" s="4231"/>
      <c r="CF21" s="4231">
        <v>42</v>
      </c>
      <c r="CG21" s="4231">
        <v>266</v>
      </c>
      <c r="CH21" s="4231">
        <v>58</v>
      </c>
      <c r="CI21" s="4231">
        <v>7</v>
      </c>
      <c r="CJ21" s="4231"/>
      <c r="CK21" s="4231"/>
      <c r="CL21" s="4231">
        <v>136</v>
      </c>
      <c r="CM21" s="4231">
        <v>59</v>
      </c>
      <c r="CN21" s="4231"/>
      <c r="CO21" s="4231">
        <v>277</v>
      </c>
      <c r="CP21" s="4231">
        <v>0</v>
      </c>
      <c r="CQ21" s="4231">
        <v>1358</v>
      </c>
      <c r="CR21" s="6304">
        <f t="shared" si="7"/>
        <v>0.28203240058910162</v>
      </c>
      <c r="CS21" s="4238">
        <f t="shared" si="8"/>
        <v>7</v>
      </c>
      <c r="CT21" s="6305">
        <v>1351</v>
      </c>
      <c r="CU21" s="6316"/>
      <c r="CX21" s="42" t="s">
        <v>20</v>
      </c>
      <c r="CY21" s="42">
        <v>106</v>
      </c>
      <c r="CZ21" s="42">
        <v>211</v>
      </c>
      <c r="DA21" s="42">
        <v>1</v>
      </c>
      <c r="DB21" s="42">
        <v>48</v>
      </c>
      <c r="DC21" s="42">
        <v>405</v>
      </c>
      <c r="DD21" s="42">
        <v>53</v>
      </c>
      <c r="DE21" s="42">
        <v>169</v>
      </c>
      <c r="DF21" s="42">
        <v>2</v>
      </c>
      <c r="DH21" s="42">
        <v>131</v>
      </c>
      <c r="DI21" s="42">
        <v>33</v>
      </c>
      <c r="DK21" s="42">
        <v>214</v>
      </c>
      <c r="DL21" s="42">
        <v>1</v>
      </c>
      <c r="DM21" s="893">
        <v>1374</v>
      </c>
      <c r="DN21" s="6306">
        <f t="shared" si="17"/>
        <v>0.35761107064821557</v>
      </c>
      <c r="DP21" s="4263"/>
      <c r="DQ21" s="4263"/>
      <c r="DR21" s="4258" t="s">
        <v>20</v>
      </c>
      <c r="DS21" s="4263">
        <v>203</v>
      </c>
      <c r="DT21" s="4263">
        <v>227</v>
      </c>
      <c r="DU21" s="4263">
        <v>1</v>
      </c>
      <c r="DV21" s="4263">
        <v>46</v>
      </c>
      <c r="DW21" s="4263">
        <v>269</v>
      </c>
      <c r="DX21" s="4263">
        <v>70</v>
      </c>
      <c r="DY21" s="4263">
        <v>80</v>
      </c>
      <c r="DZ21" s="4263"/>
      <c r="EA21" s="4263"/>
      <c r="EB21" s="4263">
        <v>173</v>
      </c>
      <c r="EC21" s="4263">
        <v>55</v>
      </c>
      <c r="ED21" s="4263"/>
      <c r="EE21" s="4263">
        <v>224</v>
      </c>
      <c r="EF21" s="4263">
        <v>0</v>
      </c>
      <c r="EG21" s="4263">
        <v>1348</v>
      </c>
      <c r="EH21" s="6307">
        <f t="shared" si="9"/>
        <v>0.29228486646884272</v>
      </c>
      <c r="EL21" s="42" t="s">
        <v>20</v>
      </c>
      <c r="EM21" s="97">
        <v>216</v>
      </c>
      <c r="EN21" s="97">
        <v>213</v>
      </c>
      <c r="EO21" s="97"/>
      <c r="EP21" s="97">
        <v>4</v>
      </c>
      <c r="EQ21" s="97">
        <v>329</v>
      </c>
      <c r="ER21" s="97">
        <v>46</v>
      </c>
      <c r="ES21" s="97">
        <v>102</v>
      </c>
      <c r="ET21" s="97"/>
      <c r="EU21" s="97"/>
      <c r="EV21" s="97">
        <v>140</v>
      </c>
      <c r="EW21" s="97">
        <v>51</v>
      </c>
      <c r="EX21" s="97"/>
      <c r="EY21" s="97">
        <v>229</v>
      </c>
      <c r="EZ21" s="97">
        <v>0</v>
      </c>
      <c r="FA21" s="97">
        <v>1330</v>
      </c>
      <c r="FB21" s="6315">
        <f t="shared" si="10"/>
        <v>0.32030075187969925</v>
      </c>
      <c r="FD21" s="42"/>
      <c r="FE21" s="42"/>
      <c r="FF21" s="42" t="s">
        <v>20</v>
      </c>
      <c r="FG21" s="97">
        <v>195</v>
      </c>
      <c r="FH21" s="97">
        <v>230</v>
      </c>
      <c r="FI21" s="97"/>
      <c r="FJ21" s="97">
        <v>49</v>
      </c>
      <c r="FK21" s="97">
        <v>291</v>
      </c>
      <c r="FL21" s="97">
        <v>70</v>
      </c>
      <c r="FM21" s="97">
        <v>89</v>
      </c>
      <c r="FN21" s="97"/>
      <c r="FO21" s="97"/>
      <c r="FP21" s="97">
        <v>142</v>
      </c>
      <c r="FQ21" s="97">
        <v>52</v>
      </c>
      <c r="FR21" s="97"/>
      <c r="FS21" s="97">
        <v>235</v>
      </c>
      <c r="FT21" s="97">
        <v>1</v>
      </c>
      <c r="FU21" s="97">
        <v>1354</v>
      </c>
      <c r="FV21" s="6308">
        <f t="shared" si="0"/>
        <v>0.30524759793052475</v>
      </c>
      <c r="FW21" s="6322"/>
      <c r="FX21" s="42"/>
      <c r="FY21" s="42"/>
      <c r="FZ21" s="42" t="s">
        <v>20</v>
      </c>
      <c r="GA21" s="97">
        <v>95</v>
      </c>
      <c r="GB21" s="97">
        <v>345</v>
      </c>
      <c r="GC21" s="97"/>
      <c r="GD21" s="97">
        <v>55</v>
      </c>
      <c r="GE21" s="97">
        <v>280</v>
      </c>
      <c r="GF21" s="97">
        <v>51</v>
      </c>
      <c r="GG21" s="97">
        <v>84</v>
      </c>
      <c r="GH21" s="97">
        <v>12</v>
      </c>
      <c r="GI21" s="97"/>
      <c r="GJ21" s="97">
        <v>115</v>
      </c>
      <c r="GK21" s="97">
        <v>41</v>
      </c>
      <c r="GL21" s="97"/>
      <c r="GM21" s="97">
        <v>233</v>
      </c>
      <c r="GN21" s="97">
        <v>1</v>
      </c>
      <c r="GO21" s="97">
        <v>1312</v>
      </c>
      <c r="GP21" s="6308">
        <f t="shared" si="11"/>
        <v>0.28375286041189929</v>
      </c>
      <c r="GR21" s="6280"/>
      <c r="GS21" s="6280"/>
      <c r="GT21" s="6310" t="s">
        <v>20</v>
      </c>
      <c r="GU21" s="6311">
        <v>198</v>
      </c>
      <c r="GV21" s="6311">
        <v>164</v>
      </c>
      <c r="GW21" s="6311">
        <v>0</v>
      </c>
      <c r="GX21" s="6311">
        <v>54</v>
      </c>
      <c r="GY21" s="6311">
        <v>257</v>
      </c>
      <c r="GZ21" s="6311">
        <v>46</v>
      </c>
      <c r="HA21" s="6311">
        <v>97</v>
      </c>
      <c r="HB21" s="6312"/>
      <c r="HC21" s="6312"/>
      <c r="HD21" s="6311">
        <v>127</v>
      </c>
      <c r="HE21" s="6311">
        <v>66</v>
      </c>
      <c r="HF21" s="6312"/>
      <c r="HG21" s="6311">
        <v>248</v>
      </c>
      <c r="HH21" s="6311">
        <v>1</v>
      </c>
      <c r="HI21" s="6311">
        <v>1258</v>
      </c>
      <c r="HJ21" s="467">
        <f t="shared" si="12"/>
        <v>0.2935560859188544</v>
      </c>
      <c r="HL21" s="967"/>
      <c r="HM21" s="967"/>
      <c r="HN21" s="977" t="s">
        <v>20</v>
      </c>
      <c r="HO21" s="978">
        <v>216</v>
      </c>
      <c r="HP21" s="978">
        <v>185</v>
      </c>
      <c r="HQ21" s="967"/>
      <c r="HR21" s="978">
        <v>84</v>
      </c>
      <c r="HS21" s="978">
        <v>251</v>
      </c>
      <c r="HT21" s="978">
        <v>49</v>
      </c>
      <c r="HU21" s="978">
        <v>128</v>
      </c>
      <c r="HV21" s="967"/>
      <c r="HW21" s="967"/>
      <c r="HX21" s="978">
        <v>94</v>
      </c>
      <c r="HY21" s="978">
        <v>46</v>
      </c>
      <c r="HZ21" s="978">
        <v>305</v>
      </c>
      <c r="IA21" s="967"/>
      <c r="IB21" s="978">
        <v>1358</v>
      </c>
      <c r="IC21" s="467">
        <f t="shared" si="13"/>
        <v>0.25478645066273931</v>
      </c>
      <c r="IE21" s="577"/>
      <c r="IF21" s="577"/>
      <c r="IG21" s="979" t="s">
        <v>20</v>
      </c>
      <c r="IH21" s="980">
        <v>213</v>
      </c>
      <c r="II21" s="980">
        <v>209</v>
      </c>
      <c r="IJ21" s="577"/>
      <c r="IK21" s="980">
        <v>92</v>
      </c>
      <c r="IL21" s="980">
        <v>249</v>
      </c>
      <c r="IM21" s="980">
        <v>49</v>
      </c>
      <c r="IN21" s="980">
        <v>121</v>
      </c>
      <c r="IO21" s="980">
        <v>0</v>
      </c>
      <c r="IP21" s="577"/>
      <c r="IQ21" s="980">
        <v>79</v>
      </c>
      <c r="IR21" s="980">
        <v>31</v>
      </c>
      <c r="IS21" s="980">
        <v>323</v>
      </c>
      <c r="IT21" s="577"/>
      <c r="IU21" s="980">
        <v>1366</v>
      </c>
      <c r="IV21" s="467">
        <f t="shared" si="14"/>
        <v>0.24084919472913616</v>
      </c>
      <c r="IX21" s="742"/>
      <c r="IY21" s="742"/>
      <c r="IZ21" s="981" t="s">
        <v>20</v>
      </c>
      <c r="JA21" s="982">
        <v>225</v>
      </c>
      <c r="JB21" s="982">
        <v>140</v>
      </c>
      <c r="JC21" s="982">
        <v>0</v>
      </c>
      <c r="JD21" s="982">
        <v>90</v>
      </c>
      <c r="JE21" s="982">
        <v>222</v>
      </c>
      <c r="JF21" s="982">
        <v>40</v>
      </c>
      <c r="JG21" s="982">
        <v>118</v>
      </c>
      <c r="JH21" s="982">
        <v>0</v>
      </c>
      <c r="JI21" s="982">
        <v>89</v>
      </c>
      <c r="JJ21" s="982">
        <v>29</v>
      </c>
      <c r="JK21" s="982">
        <v>234</v>
      </c>
      <c r="JL21" s="982">
        <v>390</v>
      </c>
      <c r="JM21" s="982">
        <v>0</v>
      </c>
      <c r="JN21" s="982">
        <v>5</v>
      </c>
      <c r="JO21" s="982">
        <v>1582</v>
      </c>
      <c r="JP21" s="983">
        <f t="shared" si="15"/>
        <v>0.21667907669396871</v>
      </c>
      <c r="JR21" s="97"/>
      <c r="JS21" s="97"/>
      <c r="JT21" s="42" t="s">
        <v>20</v>
      </c>
      <c r="JU21" s="42">
        <v>166</v>
      </c>
      <c r="JV21" s="42">
        <v>143</v>
      </c>
      <c r="JW21" s="42"/>
      <c r="JX21" s="42">
        <v>97</v>
      </c>
      <c r="JY21" s="42">
        <v>210</v>
      </c>
      <c r="JZ21" s="42">
        <v>58</v>
      </c>
      <c r="KA21" s="42">
        <v>143</v>
      </c>
      <c r="KB21" s="42"/>
      <c r="KC21" s="42">
        <v>76</v>
      </c>
      <c r="KD21" s="42">
        <v>24</v>
      </c>
      <c r="KE21" s="42">
        <v>227</v>
      </c>
      <c r="KF21" s="42">
        <v>385</v>
      </c>
      <c r="KG21" s="42"/>
      <c r="KH21" s="42">
        <v>5</v>
      </c>
      <c r="KI21" s="42">
        <v>1534</v>
      </c>
      <c r="KJ21" s="984">
        <f t="shared" si="1"/>
        <v>0.22427035330261136</v>
      </c>
      <c r="KK21" s="42"/>
      <c r="KL21" s="354"/>
      <c r="KM21" s="354"/>
      <c r="KN21" s="354" t="s">
        <v>20</v>
      </c>
      <c r="KO21" s="985">
        <v>151</v>
      </c>
      <c r="KP21" s="985">
        <v>129</v>
      </c>
      <c r="KQ21" s="985" t="s">
        <v>315</v>
      </c>
      <c r="KR21" s="985">
        <v>100</v>
      </c>
      <c r="KS21" s="985">
        <v>215</v>
      </c>
      <c r="KT21" s="985">
        <v>37</v>
      </c>
      <c r="KU21" s="985">
        <v>135</v>
      </c>
      <c r="KV21" s="985" t="s">
        <v>315</v>
      </c>
      <c r="KW21" s="985">
        <v>111</v>
      </c>
      <c r="KX21" s="985">
        <v>33</v>
      </c>
      <c r="KY21" s="985">
        <v>417</v>
      </c>
      <c r="KZ21" s="985" t="s">
        <v>315</v>
      </c>
      <c r="LA21" s="985">
        <v>1328</v>
      </c>
      <c r="LB21" s="985">
        <f t="shared" si="2"/>
        <v>285</v>
      </c>
      <c r="LC21" s="986">
        <f t="shared" si="3"/>
        <v>0.21460843373493976</v>
      </c>
      <c r="LD21" s="42"/>
      <c r="LE21" s="42"/>
    </row>
    <row r="22" spans="1:317">
      <c r="A22" s="6291">
        <v>1</v>
      </c>
      <c r="B22" s="6291">
        <v>4</v>
      </c>
      <c r="C22" s="6291">
        <v>18</v>
      </c>
      <c r="D22" s="6292">
        <v>1637</v>
      </c>
      <c r="E22" s="6291">
        <v>17</v>
      </c>
      <c r="F22" s="6291">
        <v>278</v>
      </c>
      <c r="G22" s="6291">
        <v>191</v>
      </c>
      <c r="H22" s="6291">
        <v>39</v>
      </c>
      <c r="I22" s="6293"/>
      <c r="J22" s="6291">
        <v>25</v>
      </c>
      <c r="K22" s="6291">
        <v>307</v>
      </c>
      <c r="L22" s="6293"/>
      <c r="M22" s="6291">
        <v>176</v>
      </c>
      <c r="N22" s="6291">
        <v>93</v>
      </c>
      <c r="O22" s="6293"/>
      <c r="P22" s="6291">
        <v>511</v>
      </c>
      <c r="Q22" s="6294">
        <f t="shared" si="4"/>
        <v>0.6072083078802688</v>
      </c>
      <c r="S22" s="6317"/>
      <c r="T22" s="6317"/>
      <c r="U22" s="6317"/>
      <c r="V22" s="6317">
        <f>SUM(V18:V21)</f>
        <v>7821</v>
      </c>
      <c r="W22" s="6317">
        <f t="shared" ref="W22:AH22" si="21">SUM(W18:W21)</f>
        <v>282</v>
      </c>
      <c r="X22" s="6317">
        <f t="shared" si="21"/>
        <v>1112</v>
      </c>
      <c r="Y22" s="6317">
        <f t="shared" si="21"/>
        <v>1244</v>
      </c>
      <c r="Z22" s="6317">
        <f t="shared" si="21"/>
        <v>239</v>
      </c>
      <c r="AA22" s="6317">
        <f t="shared" si="21"/>
        <v>1</v>
      </c>
      <c r="AB22" s="6317">
        <f t="shared" si="21"/>
        <v>41</v>
      </c>
      <c r="AC22" s="6317">
        <f t="shared" si="21"/>
        <v>828</v>
      </c>
      <c r="AD22" s="6317">
        <f t="shared" si="21"/>
        <v>0</v>
      </c>
      <c r="AE22" s="6317">
        <f t="shared" si="21"/>
        <v>592</v>
      </c>
      <c r="AF22" s="6317">
        <f t="shared" si="21"/>
        <v>1283</v>
      </c>
      <c r="AG22" s="6317">
        <f t="shared" si="21"/>
        <v>0</v>
      </c>
      <c r="AH22" s="6317">
        <f t="shared" si="21"/>
        <v>2199</v>
      </c>
      <c r="AI22" s="6294">
        <f t="shared" si="5"/>
        <v>0.46272855133614627</v>
      </c>
      <c r="AJ22" s="6295"/>
      <c r="AK22" s="6297"/>
      <c r="AL22" s="6297"/>
      <c r="AM22" s="6297"/>
      <c r="AN22" s="6298">
        <f>SUM(AN18:AN21)</f>
        <v>7827</v>
      </c>
      <c r="AO22" s="6298">
        <f t="shared" ref="AO22:BB22" si="22">SUM(AO18:AO21)</f>
        <v>269</v>
      </c>
      <c r="AP22" s="6298">
        <f t="shared" si="22"/>
        <v>1113</v>
      </c>
      <c r="AQ22" s="6298">
        <f t="shared" si="22"/>
        <v>1411</v>
      </c>
      <c r="AR22" s="6298">
        <f t="shared" si="22"/>
        <v>235</v>
      </c>
      <c r="AS22" s="6298">
        <f t="shared" si="22"/>
        <v>1</v>
      </c>
      <c r="AT22" s="6298">
        <f t="shared" si="22"/>
        <v>41</v>
      </c>
      <c r="AU22" s="6298">
        <f t="shared" si="22"/>
        <v>8</v>
      </c>
      <c r="AV22" s="6298">
        <f t="shared" si="22"/>
        <v>724</v>
      </c>
      <c r="AW22" s="6298">
        <f t="shared" si="22"/>
        <v>622</v>
      </c>
      <c r="AX22" s="6298">
        <f t="shared" si="22"/>
        <v>0</v>
      </c>
      <c r="AY22" s="6298">
        <f t="shared" si="22"/>
        <v>1284</v>
      </c>
      <c r="AZ22" s="6298">
        <f t="shared" si="22"/>
        <v>0</v>
      </c>
      <c r="BA22" s="6298">
        <f t="shared" si="22"/>
        <v>0</v>
      </c>
      <c r="BB22" s="6298">
        <f t="shared" si="22"/>
        <v>2119</v>
      </c>
      <c r="BC22" s="6318">
        <f t="shared" si="6"/>
        <v>0.44315129811996418</v>
      </c>
      <c r="BE22" s="6313"/>
      <c r="BF22" s="6313"/>
      <c r="BG22" s="6313"/>
      <c r="BH22" s="6319" t="s">
        <v>483</v>
      </c>
      <c r="BI22" s="6314">
        <f>SUM(BI18:BI21)</f>
        <v>7659</v>
      </c>
      <c r="BJ22" s="6314">
        <f t="shared" ref="BJ22:BW22" si="23">SUM(BJ18:BJ21)</f>
        <v>241</v>
      </c>
      <c r="BK22" s="6314">
        <f t="shared" si="23"/>
        <v>1353</v>
      </c>
      <c r="BL22" s="6314">
        <f t="shared" si="23"/>
        <v>1155</v>
      </c>
      <c r="BM22" s="6314">
        <f t="shared" si="23"/>
        <v>227</v>
      </c>
      <c r="BN22" s="6314">
        <f t="shared" si="23"/>
        <v>0</v>
      </c>
      <c r="BO22" s="6314">
        <f t="shared" si="23"/>
        <v>44</v>
      </c>
      <c r="BP22" s="6314">
        <f t="shared" si="23"/>
        <v>6</v>
      </c>
      <c r="BQ22" s="6314">
        <f t="shared" si="23"/>
        <v>684</v>
      </c>
      <c r="BR22" s="6314">
        <f t="shared" si="23"/>
        <v>0</v>
      </c>
      <c r="BS22" s="6314">
        <f t="shared" si="23"/>
        <v>689</v>
      </c>
      <c r="BT22" s="6314">
        <f t="shared" si="23"/>
        <v>1008</v>
      </c>
      <c r="BU22" s="6314">
        <f t="shared" si="23"/>
        <v>0</v>
      </c>
      <c r="BV22" s="6314">
        <f t="shared" si="23"/>
        <v>0</v>
      </c>
      <c r="BW22" s="6314">
        <f t="shared" si="23"/>
        <v>2252</v>
      </c>
      <c r="BX22" s="6300">
        <f t="shared" si="16"/>
        <v>0.47367045603031493</v>
      </c>
      <c r="BZ22" s="4388"/>
      <c r="CA22" s="4388"/>
      <c r="CB22" s="6276" t="s">
        <v>483</v>
      </c>
      <c r="CC22" s="6320">
        <v>1333</v>
      </c>
      <c r="CD22" s="6320">
        <v>952</v>
      </c>
      <c r="CE22" s="6320"/>
      <c r="CF22" s="6320">
        <v>223</v>
      </c>
      <c r="CG22" s="6320">
        <v>2240</v>
      </c>
      <c r="CH22" s="6320">
        <v>490</v>
      </c>
      <c r="CI22" s="6320">
        <v>44</v>
      </c>
      <c r="CJ22" s="6320"/>
      <c r="CK22" s="6320"/>
      <c r="CL22" s="6320">
        <v>320</v>
      </c>
      <c r="CM22" s="6320">
        <v>744</v>
      </c>
      <c r="CN22" s="6320"/>
      <c r="CO22" s="6320">
        <v>1403</v>
      </c>
      <c r="CP22" s="6320">
        <v>6</v>
      </c>
      <c r="CQ22" s="6320">
        <v>7755</v>
      </c>
      <c r="CR22" s="6304">
        <f t="shared" si="7"/>
        <v>0.44831591173054586</v>
      </c>
      <c r="CS22" s="4238"/>
      <c r="CT22" s="6305"/>
      <c r="CU22" s="6316"/>
      <c r="CX22" s="42" t="s">
        <v>15</v>
      </c>
      <c r="CY22" s="42">
        <v>526</v>
      </c>
      <c r="CZ22" s="42">
        <v>625</v>
      </c>
      <c r="DA22" s="42">
        <v>2</v>
      </c>
      <c r="DB22" s="42">
        <v>241</v>
      </c>
      <c r="DC22" s="42">
        <v>3222</v>
      </c>
      <c r="DD22" s="42">
        <v>430</v>
      </c>
      <c r="DE22" s="42">
        <v>754</v>
      </c>
      <c r="DF22" s="42">
        <v>14</v>
      </c>
      <c r="DH22" s="42">
        <v>298</v>
      </c>
      <c r="DI22" s="42">
        <v>371</v>
      </c>
      <c r="DK22" s="42">
        <v>1107</v>
      </c>
      <c r="DL22" s="42">
        <v>6</v>
      </c>
      <c r="DM22" s="893">
        <v>7596</v>
      </c>
      <c r="DN22" s="6306">
        <f t="shared" si="17"/>
        <v>0.53003952569169965</v>
      </c>
      <c r="DP22" s="4263"/>
      <c r="DQ22" s="4263"/>
      <c r="DR22" s="4257" t="s">
        <v>483</v>
      </c>
      <c r="DS22" s="4266">
        <v>1138</v>
      </c>
      <c r="DT22" s="4266">
        <v>812</v>
      </c>
      <c r="DU22" s="4266">
        <v>2</v>
      </c>
      <c r="DV22" s="4266">
        <v>230</v>
      </c>
      <c r="DW22" s="4266">
        <v>2399</v>
      </c>
      <c r="DX22" s="4266">
        <v>563</v>
      </c>
      <c r="DY22" s="4266">
        <v>419</v>
      </c>
      <c r="DZ22" s="4266"/>
      <c r="EA22" s="4266"/>
      <c r="EB22" s="4266">
        <v>392</v>
      </c>
      <c r="EC22" s="4266">
        <v>491</v>
      </c>
      <c r="ED22" s="4266"/>
      <c r="EE22" s="4266">
        <v>1178</v>
      </c>
      <c r="EF22" s="4266">
        <v>6</v>
      </c>
      <c r="EG22" s="4266">
        <v>7630</v>
      </c>
      <c r="EH22" s="6321">
        <f t="shared" si="9"/>
        <v>0.45291185729275968</v>
      </c>
      <c r="EL22" s="893" t="s">
        <v>483</v>
      </c>
      <c r="EM22" s="135">
        <v>1012</v>
      </c>
      <c r="EN22" s="135">
        <v>720</v>
      </c>
      <c r="EO22" s="135"/>
      <c r="EP22" s="135">
        <v>9</v>
      </c>
      <c r="EQ22" s="135">
        <v>2653</v>
      </c>
      <c r="ER22" s="135">
        <v>537</v>
      </c>
      <c r="ES22" s="135">
        <v>399</v>
      </c>
      <c r="ET22" s="135"/>
      <c r="EU22" s="135"/>
      <c r="EV22" s="135">
        <v>334</v>
      </c>
      <c r="EW22" s="135">
        <v>480</v>
      </c>
      <c r="EX22" s="135"/>
      <c r="EY22" s="135">
        <v>1225</v>
      </c>
      <c r="EZ22" s="135">
        <v>1</v>
      </c>
      <c r="FA22" s="135">
        <v>7370</v>
      </c>
      <c r="FB22" s="6315">
        <f t="shared" si="10"/>
        <v>0.49803229746234223</v>
      </c>
      <c r="FD22" s="42"/>
      <c r="FE22" s="42"/>
      <c r="FF22" s="893" t="s">
        <v>483</v>
      </c>
      <c r="FG22" s="135">
        <v>976</v>
      </c>
      <c r="FH22" s="135">
        <v>805</v>
      </c>
      <c r="FI22" s="135"/>
      <c r="FJ22" s="135">
        <v>220</v>
      </c>
      <c r="FK22" s="135">
        <v>1854</v>
      </c>
      <c r="FL22" s="135">
        <v>871</v>
      </c>
      <c r="FM22" s="135">
        <v>378</v>
      </c>
      <c r="FN22" s="135"/>
      <c r="FO22" s="135"/>
      <c r="FP22" s="135">
        <v>341</v>
      </c>
      <c r="FQ22" s="135">
        <v>754</v>
      </c>
      <c r="FR22" s="135"/>
      <c r="FS22" s="135">
        <v>1158</v>
      </c>
      <c r="FT22" s="135">
        <v>8</v>
      </c>
      <c r="FU22" s="135">
        <v>7365</v>
      </c>
      <c r="FV22" s="5723">
        <f t="shared" si="0"/>
        <v>0.47288296860133205</v>
      </c>
      <c r="FW22" s="5717"/>
      <c r="FX22" s="42"/>
      <c r="FY22" s="42"/>
      <c r="FZ22" s="893" t="s">
        <v>483</v>
      </c>
      <c r="GA22" s="135">
        <v>375</v>
      </c>
      <c r="GB22" s="135">
        <v>1416</v>
      </c>
      <c r="GC22" s="135"/>
      <c r="GD22" s="135">
        <v>228</v>
      </c>
      <c r="GE22" s="135">
        <v>1637</v>
      </c>
      <c r="GF22" s="135">
        <v>819</v>
      </c>
      <c r="GG22" s="135">
        <v>403</v>
      </c>
      <c r="GH22" s="135">
        <v>23</v>
      </c>
      <c r="GI22" s="135"/>
      <c r="GJ22" s="135">
        <v>280</v>
      </c>
      <c r="GK22" s="135">
        <v>775</v>
      </c>
      <c r="GL22" s="135"/>
      <c r="GM22" s="135">
        <v>1103</v>
      </c>
      <c r="GN22" s="135">
        <v>8</v>
      </c>
      <c r="GO22" s="135">
        <v>7067</v>
      </c>
      <c r="GP22" s="5723">
        <f t="shared" si="11"/>
        <v>0.45771355716107098</v>
      </c>
      <c r="GR22" s="6280"/>
      <c r="GS22" s="6280"/>
      <c r="GT22" s="1179" t="s">
        <v>483</v>
      </c>
      <c r="GU22" s="1180">
        <v>940</v>
      </c>
      <c r="GV22" s="1180">
        <v>598</v>
      </c>
      <c r="GW22" s="1180">
        <v>1</v>
      </c>
      <c r="GX22" s="1180">
        <v>230</v>
      </c>
      <c r="GY22" s="1180">
        <v>1552</v>
      </c>
      <c r="GZ22" s="1180">
        <v>750</v>
      </c>
      <c r="HA22" s="1180">
        <v>424</v>
      </c>
      <c r="HB22" s="1181"/>
      <c r="HC22" s="1181"/>
      <c r="HD22" s="1180">
        <v>326</v>
      </c>
      <c r="HE22" s="1180">
        <v>802</v>
      </c>
      <c r="HF22" s="1181"/>
      <c r="HG22" s="1180">
        <v>1183</v>
      </c>
      <c r="HH22" s="1180">
        <v>7</v>
      </c>
      <c r="HI22" s="1180">
        <v>6813</v>
      </c>
      <c r="HJ22" s="456">
        <f t="shared" si="12"/>
        <v>0.4560681751395827</v>
      </c>
      <c r="HL22" s="967"/>
      <c r="HM22" s="967"/>
      <c r="HN22" s="987" t="s">
        <v>483</v>
      </c>
      <c r="HO22" s="988">
        <v>990</v>
      </c>
      <c r="HP22" s="988">
        <v>636</v>
      </c>
      <c r="HQ22" s="989"/>
      <c r="HR22" s="988">
        <v>320</v>
      </c>
      <c r="HS22" s="988">
        <v>1531</v>
      </c>
      <c r="HT22" s="988">
        <v>775</v>
      </c>
      <c r="HU22" s="988">
        <v>496</v>
      </c>
      <c r="HV22" s="989"/>
      <c r="HW22" s="988"/>
      <c r="HX22" s="988">
        <v>245</v>
      </c>
      <c r="HY22" s="988">
        <v>712</v>
      </c>
      <c r="HZ22" s="988">
        <v>1555</v>
      </c>
      <c r="IA22" s="988"/>
      <c r="IB22" s="988">
        <v>7260</v>
      </c>
      <c r="IC22" s="990">
        <f t="shared" si="13"/>
        <v>0.41570247933884297</v>
      </c>
      <c r="IE22" s="577"/>
      <c r="IF22" s="577"/>
      <c r="IG22" s="738" t="s">
        <v>483</v>
      </c>
      <c r="IH22" s="991">
        <v>969</v>
      </c>
      <c r="II22" s="991">
        <v>667</v>
      </c>
      <c r="IJ22" s="6261"/>
      <c r="IK22" s="991">
        <v>352</v>
      </c>
      <c r="IL22" s="991">
        <v>1516</v>
      </c>
      <c r="IM22" s="991">
        <v>768</v>
      </c>
      <c r="IN22" s="991">
        <v>499</v>
      </c>
      <c r="IO22" s="991">
        <v>9</v>
      </c>
      <c r="IP22" s="6261"/>
      <c r="IQ22" s="991">
        <v>174</v>
      </c>
      <c r="IR22" s="991">
        <v>683</v>
      </c>
      <c r="IS22" s="991">
        <v>1575</v>
      </c>
      <c r="IT22" s="6261"/>
      <c r="IU22" s="991">
        <v>7212</v>
      </c>
      <c r="IV22" s="456">
        <f t="shared" si="14"/>
        <v>0.41139767054908488</v>
      </c>
      <c r="IX22" s="742"/>
      <c r="IY22" s="742"/>
      <c r="IZ22" s="973" t="s">
        <v>483</v>
      </c>
      <c r="JA22" s="992">
        <v>1047</v>
      </c>
      <c r="JB22" s="992">
        <v>470</v>
      </c>
      <c r="JC22" s="992">
        <v>0</v>
      </c>
      <c r="JD22" s="992">
        <v>360</v>
      </c>
      <c r="JE22" s="992">
        <v>1429</v>
      </c>
      <c r="JF22" s="992">
        <v>627</v>
      </c>
      <c r="JG22" s="992">
        <v>580</v>
      </c>
      <c r="JH22" s="992">
        <v>0</v>
      </c>
      <c r="JI22" s="992">
        <v>197</v>
      </c>
      <c r="JJ22" s="992">
        <v>661</v>
      </c>
      <c r="JK22" s="992">
        <v>1531</v>
      </c>
      <c r="JL22" s="992">
        <v>1745</v>
      </c>
      <c r="JM22" s="992">
        <v>0</v>
      </c>
      <c r="JN22" s="992">
        <v>35</v>
      </c>
      <c r="JO22" s="992">
        <v>8682</v>
      </c>
      <c r="JP22" s="993">
        <f t="shared" si="15"/>
        <v>0.38181562675660485</v>
      </c>
      <c r="JR22" s="97"/>
      <c r="JS22" s="97"/>
      <c r="JT22" s="42" t="s">
        <v>15</v>
      </c>
      <c r="JU22" s="42">
        <v>894</v>
      </c>
      <c r="JV22" s="42">
        <v>485</v>
      </c>
      <c r="JW22" s="42"/>
      <c r="JX22" s="42">
        <v>361</v>
      </c>
      <c r="JY22" s="42">
        <v>1463</v>
      </c>
      <c r="JZ22" s="42">
        <v>640</v>
      </c>
      <c r="KA22" s="42">
        <v>604</v>
      </c>
      <c r="KB22" s="42"/>
      <c r="KC22" s="42">
        <v>152</v>
      </c>
      <c r="KD22" s="42">
        <v>581</v>
      </c>
      <c r="KE22" s="42">
        <v>1487</v>
      </c>
      <c r="KF22" s="42">
        <v>1779</v>
      </c>
      <c r="KG22" s="42"/>
      <c r="KH22" s="42">
        <v>25</v>
      </c>
      <c r="KI22" s="42">
        <v>8471</v>
      </c>
      <c r="KJ22" s="984">
        <f t="shared" si="1"/>
        <v>0.38568759879293002</v>
      </c>
      <c r="KK22" s="42"/>
      <c r="KL22" s="354"/>
      <c r="KM22" s="354"/>
      <c r="KN22" s="994" t="s">
        <v>15</v>
      </c>
      <c r="KO22" s="995">
        <v>790</v>
      </c>
      <c r="KP22" s="995">
        <v>453</v>
      </c>
      <c r="KQ22" s="995" t="s">
        <v>315</v>
      </c>
      <c r="KR22" s="995">
        <v>360</v>
      </c>
      <c r="KS22" s="995">
        <v>1525</v>
      </c>
      <c r="KT22" s="995">
        <v>625</v>
      </c>
      <c r="KU22" s="995">
        <v>623</v>
      </c>
      <c r="KV22" s="995" t="s">
        <v>315</v>
      </c>
      <c r="KW22" s="995">
        <v>262</v>
      </c>
      <c r="KX22" s="995">
        <v>648</v>
      </c>
      <c r="KY22" s="995">
        <v>1838</v>
      </c>
      <c r="KZ22" s="995" t="s">
        <v>315</v>
      </c>
      <c r="LA22" s="995">
        <v>7124</v>
      </c>
      <c r="LB22" s="995">
        <f t="shared" si="2"/>
        <v>2798</v>
      </c>
      <c r="LC22" s="996">
        <f t="shared" si="3"/>
        <v>0.39275687815833799</v>
      </c>
      <c r="LD22" s="42"/>
      <c r="LE22" s="42"/>
    </row>
    <row r="23" spans="1:317">
      <c r="A23" s="6291">
        <v>1</v>
      </c>
      <c r="B23" s="6291">
        <v>4</v>
      </c>
      <c r="C23" s="6291">
        <v>19</v>
      </c>
      <c r="D23" s="6292">
        <v>1160</v>
      </c>
      <c r="E23" s="6291">
        <v>20</v>
      </c>
      <c r="F23" s="6291">
        <v>197</v>
      </c>
      <c r="G23" s="6291">
        <v>164</v>
      </c>
      <c r="H23" s="6291">
        <v>36</v>
      </c>
      <c r="I23" s="6293"/>
      <c r="J23" s="6291">
        <v>7</v>
      </c>
      <c r="K23" s="6291">
        <v>228</v>
      </c>
      <c r="L23" s="6293"/>
      <c r="M23" s="6291">
        <v>96</v>
      </c>
      <c r="N23" s="6291">
        <v>80</v>
      </c>
      <c r="O23" s="6293"/>
      <c r="P23" s="6291">
        <v>332</v>
      </c>
      <c r="Q23" s="6294">
        <f t="shared" si="4"/>
        <v>0.56551724137931036</v>
      </c>
      <c r="S23" s="6295">
        <v>1</v>
      </c>
      <c r="T23" s="6295">
        <v>4</v>
      </c>
      <c r="U23" s="6295">
        <v>17</v>
      </c>
      <c r="V23" s="6295">
        <v>1321</v>
      </c>
      <c r="W23" s="6295">
        <v>30</v>
      </c>
      <c r="X23" s="6295">
        <v>153</v>
      </c>
      <c r="Y23" s="6295">
        <v>287</v>
      </c>
      <c r="Z23" s="6295">
        <v>44</v>
      </c>
      <c r="AA23" s="6296"/>
      <c r="AB23" s="6295">
        <v>38</v>
      </c>
      <c r="AC23" s="6295">
        <v>154</v>
      </c>
      <c r="AD23" s="6296"/>
      <c r="AE23" s="6295">
        <v>95</v>
      </c>
      <c r="AF23" s="6295">
        <v>184</v>
      </c>
      <c r="AG23" s="6296"/>
      <c r="AH23" s="6295">
        <v>336</v>
      </c>
      <c r="AI23" s="6294">
        <f t="shared" si="5"/>
        <v>0.44284632853898559</v>
      </c>
      <c r="AJ23" s="6295"/>
      <c r="AK23" s="6297">
        <v>1</v>
      </c>
      <c r="AL23" s="6297">
        <v>4</v>
      </c>
      <c r="AM23" s="6297">
        <v>17</v>
      </c>
      <c r="AN23" s="6298">
        <v>1324</v>
      </c>
      <c r="AO23" s="6297">
        <v>34</v>
      </c>
      <c r="AP23" s="6297">
        <v>153</v>
      </c>
      <c r="AQ23" s="6297">
        <v>312</v>
      </c>
      <c r="AR23" s="6297">
        <v>43</v>
      </c>
      <c r="AS23" s="6299"/>
      <c r="AT23" s="6297">
        <v>38</v>
      </c>
      <c r="AU23" s="6297">
        <v>1</v>
      </c>
      <c r="AV23" s="6297">
        <v>156</v>
      </c>
      <c r="AW23" s="6297">
        <v>92</v>
      </c>
      <c r="AX23" s="6299"/>
      <c r="AY23" s="6297">
        <v>176</v>
      </c>
      <c r="AZ23" s="6299"/>
      <c r="BA23" s="6299"/>
      <c r="BB23" s="6297">
        <v>319</v>
      </c>
      <c r="BC23" s="6300">
        <f t="shared" si="6"/>
        <v>0.42857142857142855</v>
      </c>
      <c r="BE23" s="6313">
        <v>1</v>
      </c>
      <c r="BF23" s="6313">
        <v>4</v>
      </c>
      <c r="BG23" s="6313">
        <v>17</v>
      </c>
      <c r="BH23" s="4405" t="s">
        <v>22</v>
      </c>
      <c r="BI23" s="6314">
        <v>1248</v>
      </c>
      <c r="BJ23" s="6313">
        <v>30</v>
      </c>
      <c r="BK23" s="6313">
        <v>190</v>
      </c>
      <c r="BL23" s="6313">
        <v>218</v>
      </c>
      <c r="BM23" s="6313">
        <v>41</v>
      </c>
      <c r="BN23" s="6303"/>
      <c r="BO23" s="6313">
        <v>47</v>
      </c>
      <c r="BP23" s="6313">
        <v>1</v>
      </c>
      <c r="BQ23" s="6313">
        <v>167</v>
      </c>
      <c r="BR23" s="6303"/>
      <c r="BS23" s="6313">
        <v>91</v>
      </c>
      <c r="BT23" s="6313">
        <v>112</v>
      </c>
      <c r="BU23" s="6303"/>
      <c r="BV23" s="6303"/>
      <c r="BW23" s="6313">
        <v>351</v>
      </c>
      <c r="BX23" s="6300">
        <f t="shared" si="16"/>
        <v>0.48837209302325579</v>
      </c>
      <c r="BZ23" s="4388"/>
      <c r="CA23" s="4388" t="s">
        <v>21</v>
      </c>
      <c r="CB23" s="4388" t="s">
        <v>22</v>
      </c>
      <c r="CC23" s="4231">
        <v>239</v>
      </c>
      <c r="CD23" s="4231">
        <v>109</v>
      </c>
      <c r="CE23" s="4231"/>
      <c r="CF23" s="4231">
        <v>41</v>
      </c>
      <c r="CG23" s="4231">
        <v>338</v>
      </c>
      <c r="CH23" s="4231">
        <v>59</v>
      </c>
      <c r="CI23" s="4231">
        <v>46</v>
      </c>
      <c r="CJ23" s="4231"/>
      <c r="CK23" s="4231"/>
      <c r="CL23" s="4231">
        <v>37</v>
      </c>
      <c r="CM23" s="4231">
        <v>190</v>
      </c>
      <c r="CN23" s="4231"/>
      <c r="CO23" s="4231">
        <v>193</v>
      </c>
      <c r="CP23" s="4231">
        <v>1</v>
      </c>
      <c r="CQ23" s="4231">
        <v>1253</v>
      </c>
      <c r="CR23" s="6304">
        <f t="shared" si="7"/>
        <v>0.46884984025559107</v>
      </c>
      <c r="CS23" s="4238">
        <f t="shared" si="8"/>
        <v>5</v>
      </c>
      <c r="CT23" s="6305">
        <v>1248</v>
      </c>
      <c r="CU23" s="6316"/>
      <c r="CW23" s="97" t="s">
        <v>21</v>
      </c>
      <c r="CX23" s="42" t="s">
        <v>22</v>
      </c>
      <c r="CY23" s="42">
        <v>137</v>
      </c>
      <c r="CZ23" s="42">
        <v>83</v>
      </c>
      <c r="DB23" s="42">
        <v>53</v>
      </c>
      <c r="DC23" s="42">
        <v>523</v>
      </c>
      <c r="DD23" s="42">
        <v>57</v>
      </c>
      <c r="DE23" s="42">
        <v>201</v>
      </c>
      <c r="DF23" s="42">
        <v>1</v>
      </c>
      <c r="DH23" s="42">
        <v>39</v>
      </c>
      <c r="DI23" s="42">
        <v>121</v>
      </c>
      <c r="DK23" s="42">
        <v>156</v>
      </c>
      <c r="DL23" s="42">
        <v>2</v>
      </c>
      <c r="DM23" s="893">
        <v>1373</v>
      </c>
      <c r="DN23" s="6306">
        <f t="shared" si="17"/>
        <v>0.51130561633843907</v>
      </c>
      <c r="DP23" s="4263"/>
      <c r="DQ23" s="4263" t="s">
        <v>21</v>
      </c>
      <c r="DR23" s="4258" t="s">
        <v>22</v>
      </c>
      <c r="DS23" s="4263">
        <v>252</v>
      </c>
      <c r="DT23" s="4263">
        <v>92</v>
      </c>
      <c r="DU23" s="4263"/>
      <c r="DV23" s="4263">
        <v>46</v>
      </c>
      <c r="DW23" s="4263">
        <v>370</v>
      </c>
      <c r="DX23" s="4263">
        <v>77</v>
      </c>
      <c r="DY23" s="4263">
        <v>119</v>
      </c>
      <c r="DZ23" s="4263"/>
      <c r="EA23" s="4263"/>
      <c r="EB23" s="4263">
        <v>31</v>
      </c>
      <c r="EC23" s="4263">
        <v>147</v>
      </c>
      <c r="ED23" s="4263"/>
      <c r="EE23" s="4263">
        <v>170</v>
      </c>
      <c r="EF23" s="4263">
        <v>1</v>
      </c>
      <c r="EG23" s="4263">
        <v>1305</v>
      </c>
      <c r="EH23" s="6307">
        <f t="shared" si="9"/>
        <v>0.45552147239263802</v>
      </c>
      <c r="EK23" s="42" t="s">
        <v>21</v>
      </c>
      <c r="EL23" s="42" t="s">
        <v>22</v>
      </c>
      <c r="EM23" s="97">
        <v>245</v>
      </c>
      <c r="EN23" s="97">
        <v>102</v>
      </c>
      <c r="EO23" s="97">
        <v>1</v>
      </c>
      <c r="EP23" s="97">
        <v>0</v>
      </c>
      <c r="EQ23" s="97">
        <v>431</v>
      </c>
      <c r="ER23" s="97">
        <v>67</v>
      </c>
      <c r="ES23" s="97">
        <v>138</v>
      </c>
      <c r="ET23" s="97"/>
      <c r="EU23" s="97"/>
      <c r="EV23" s="97">
        <v>40</v>
      </c>
      <c r="EW23" s="97">
        <v>124</v>
      </c>
      <c r="EX23" s="97"/>
      <c r="EY23" s="97">
        <v>173</v>
      </c>
      <c r="EZ23" s="97"/>
      <c r="FA23" s="97">
        <v>1321</v>
      </c>
      <c r="FB23" s="6315">
        <f t="shared" si="10"/>
        <v>0.4708554125662377</v>
      </c>
      <c r="FD23" s="42"/>
      <c r="FE23" s="42" t="s">
        <v>21</v>
      </c>
      <c r="FF23" s="42" t="s">
        <v>22</v>
      </c>
      <c r="FG23" s="97">
        <v>220</v>
      </c>
      <c r="FH23" s="97">
        <v>145</v>
      </c>
      <c r="FI23" s="97"/>
      <c r="FJ23" s="97">
        <v>51</v>
      </c>
      <c r="FK23" s="97">
        <v>376</v>
      </c>
      <c r="FL23" s="97">
        <v>89</v>
      </c>
      <c r="FM23" s="97">
        <v>154</v>
      </c>
      <c r="FN23" s="97"/>
      <c r="FO23" s="97"/>
      <c r="FP23" s="97">
        <v>39</v>
      </c>
      <c r="FQ23" s="97">
        <v>171</v>
      </c>
      <c r="FR23" s="97"/>
      <c r="FS23" s="97">
        <v>175</v>
      </c>
      <c r="FT23" s="97">
        <v>3</v>
      </c>
      <c r="FU23" s="97">
        <v>1423</v>
      </c>
      <c r="FV23" s="6308">
        <f t="shared" si="0"/>
        <v>0.44788732394366199</v>
      </c>
      <c r="FW23" s="6322"/>
      <c r="FX23" s="42"/>
      <c r="FY23" s="42" t="s">
        <v>21</v>
      </c>
      <c r="FZ23" s="42" t="s">
        <v>22</v>
      </c>
      <c r="GA23" s="97">
        <v>272</v>
      </c>
      <c r="GB23" s="97">
        <v>152</v>
      </c>
      <c r="GC23" s="97"/>
      <c r="GD23" s="97">
        <v>56</v>
      </c>
      <c r="GE23" s="97">
        <v>386</v>
      </c>
      <c r="GF23" s="97">
        <v>72</v>
      </c>
      <c r="GG23" s="97">
        <v>155</v>
      </c>
      <c r="GH23" s="97">
        <v>7</v>
      </c>
      <c r="GI23" s="97"/>
      <c r="GJ23" s="97">
        <v>37</v>
      </c>
      <c r="GK23" s="97">
        <v>137</v>
      </c>
      <c r="GL23" s="97"/>
      <c r="GM23" s="97">
        <v>188</v>
      </c>
      <c r="GN23" s="97">
        <v>3</v>
      </c>
      <c r="GO23" s="97">
        <v>1465</v>
      </c>
      <c r="GP23" s="6308">
        <f t="shared" si="11"/>
        <v>0.40697674418604651</v>
      </c>
      <c r="GR23" s="6280"/>
      <c r="GS23" s="6280" t="s">
        <v>21</v>
      </c>
      <c r="GT23" s="6310" t="s">
        <v>22</v>
      </c>
      <c r="GU23" s="6311">
        <v>303</v>
      </c>
      <c r="GV23" s="6311">
        <v>128</v>
      </c>
      <c r="GW23" s="6312"/>
      <c r="GX23" s="6311">
        <v>64</v>
      </c>
      <c r="GY23" s="6311">
        <v>410</v>
      </c>
      <c r="GZ23" s="6311">
        <v>58</v>
      </c>
      <c r="HA23" s="6311">
        <v>137</v>
      </c>
      <c r="HB23" s="6312"/>
      <c r="HC23" s="6312"/>
      <c r="HD23" s="6311">
        <v>43</v>
      </c>
      <c r="HE23" s="6311">
        <v>136</v>
      </c>
      <c r="HF23" s="6312"/>
      <c r="HG23" s="6311">
        <v>212</v>
      </c>
      <c r="HH23" s="6311">
        <v>4</v>
      </c>
      <c r="HI23" s="6311">
        <v>1495</v>
      </c>
      <c r="HJ23" s="467">
        <f t="shared" si="12"/>
        <v>0.40509725016767273</v>
      </c>
      <c r="HL23" s="967"/>
      <c r="HM23" s="967" t="s">
        <v>21</v>
      </c>
      <c r="HN23" s="977" t="s">
        <v>22</v>
      </c>
      <c r="HO23" s="978">
        <v>324</v>
      </c>
      <c r="HP23" s="978">
        <v>133</v>
      </c>
      <c r="HQ23" s="978">
        <v>1</v>
      </c>
      <c r="HR23" s="978">
        <v>91</v>
      </c>
      <c r="HS23" s="978">
        <v>452</v>
      </c>
      <c r="HT23" s="978">
        <v>63</v>
      </c>
      <c r="HU23" s="978">
        <v>151</v>
      </c>
      <c r="HV23" s="967"/>
      <c r="HW23" s="967"/>
      <c r="HX23" s="978">
        <v>33</v>
      </c>
      <c r="HY23" s="978">
        <v>115</v>
      </c>
      <c r="HZ23" s="978">
        <v>303</v>
      </c>
      <c r="IA23" s="967"/>
      <c r="IB23" s="978">
        <v>1666</v>
      </c>
      <c r="IC23" s="467">
        <f t="shared" si="13"/>
        <v>0.37815126050420167</v>
      </c>
      <c r="IE23" s="577"/>
      <c r="IF23" s="577" t="s">
        <v>21</v>
      </c>
      <c r="IG23" s="979" t="s">
        <v>22</v>
      </c>
      <c r="IH23" s="980">
        <v>324</v>
      </c>
      <c r="II23" s="980">
        <v>144</v>
      </c>
      <c r="IJ23" s="577"/>
      <c r="IK23" s="980">
        <v>95</v>
      </c>
      <c r="IL23" s="980">
        <v>469</v>
      </c>
      <c r="IM23" s="980">
        <v>102</v>
      </c>
      <c r="IN23" s="980">
        <v>151</v>
      </c>
      <c r="IO23" s="577"/>
      <c r="IP23" s="577"/>
      <c r="IQ23" s="980">
        <v>33</v>
      </c>
      <c r="IR23" s="980">
        <v>86</v>
      </c>
      <c r="IS23" s="980">
        <v>314</v>
      </c>
      <c r="IT23" s="577"/>
      <c r="IU23" s="980">
        <v>1718</v>
      </c>
      <c r="IV23" s="467">
        <f t="shared" si="14"/>
        <v>0.38242142025611175</v>
      </c>
      <c r="IX23" s="742"/>
      <c r="IY23" s="742" t="s">
        <v>21</v>
      </c>
      <c r="IZ23" s="981" t="s">
        <v>22</v>
      </c>
      <c r="JA23" s="982">
        <v>357</v>
      </c>
      <c r="JB23" s="982">
        <v>114</v>
      </c>
      <c r="JC23" s="982">
        <v>0</v>
      </c>
      <c r="JD23" s="982">
        <v>97</v>
      </c>
      <c r="JE23" s="982">
        <v>452</v>
      </c>
      <c r="JF23" s="982">
        <v>86</v>
      </c>
      <c r="JG23" s="982">
        <v>137</v>
      </c>
      <c r="JH23" s="982">
        <v>0</v>
      </c>
      <c r="JI23" s="982">
        <v>19</v>
      </c>
      <c r="JJ23" s="982">
        <v>84</v>
      </c>
      <c r="JK23" s="982">
        <v>408</v>
      </c>
      <c r="JL23" s="982">
        <v>371</v>
      </c>
      <c r="JM23" s="982">
        <v>0</v>
      </c>
      <c r="JN23" s="982">
        <v>11</v>
      </c>
      <c r="JO23" s="982">
        <v>2136</v>
      </c>
      <c r="JP23" s="983">
        <f t="shared" si="15"/>
        <v>0.36225975538730343</v>
      </c>
      <c r="JR23" s="97"/>
      <c r="JS23" s="97" t="s">
        <v>21</v>
      </c>
      <c r="JT23" s="42" t="s">
        <v>22</v>
      </c>
      <c r="JU23" s="42">
        <v>304</v>
      </c>
      <c r="JV23" s="42">
        <v>119</v>
      </c>
      <c r="JW23" s="42"/>
      <c r="JX23" s="42">
        <v>92</v>
      </c>
      <c r="JY23" s="42">
        <v>479</v>
      </c>
      <c r="JZ23" s="42">
        <v>90</v>
      </c>
      <c r="KA23" s="42">
        <v>140</v>
      </c>
      <c r="KB23" s="42"/>
      <c r="KC23" s="42">
        <v>13</v>
      </c>
      <c r="KD23" s="42">
        <v>81</v>
      </c>
      <c r="KE23" s="42">
        <v>405</v>
      </c>
      <c r="KF23" s="42">
        <v>374</v>
      </c>
      <c r="KG23" s="42"/>
      <c r="KH23" s="42">
        <v>5</v>
      </c>
      <c r="KI23" s="42">
        <v>2102</v>
      </c>
      <c r="KJ23" s="984">
        <f t="shared" si="1"/>
        <v>0.38416075650118203</v>
      </c>
      <c r="KK23" s="42"/>
      <c r="KL23" s="354"/>
      <c r="KM23" s="354" t="s">
        <v>21</v>
      </c>
      <c r="KN23" s="354" t="s">
        <v>22</v>
      </c>
      <c r="KO23" s="985">
        <v>279</v>
      </c>
      <c r="KP23" s="985">
        <v>109</v>
      </c>
      <c r="KQ23" s="985" t="s">
        <v>315</v>
      </c>
      <c r="KR23" s="985">
        <v>90</v>
      </c>
      <c r="KS23" s="985">
        <v>495</v>
      </c>
      <c r="KT23" s="985">
        <v>78</v>
      </c>
      <c r="KU23" s="985">
        <v>132</v>
      </c>
      <c r="KV23" s="985" t="s">
        <v>315</v>
      </c>
      <c r="KW23" s="985">
        <v>15</v>
      </c>
      <c r="KX23" s="985">
        <v>100</v>
      </c>
      <c r="KY23" s="985">
        <v>377</v>
      </c>
      <c r="KZ23" s="985" t="s">
        <v>315</v>
      </c>
      <c r="LA23" s="985">
        <v>1675</v>
      </c>
      <c r="LB23" s="985">
        <f t="shared" si="2"/>
        <v>673</v>
      </c>
      <c r="LC23" s="986">
        <f t="shared" si="3"/>
        <v>0.40179104477611938</v>
      </c>
      <c r="LD23" s="42"/>
      <c r="LE23" s="42"/>
    </row>
    <row r="24" spans="1:317">
      <c r="A24" s="6291">
        <v>2</v>
      </c>
      <c r="B24" s="6291">
        <v>1</v>
      </c>
      <c r="C24" s="6291">
        <v>22</v>
      </c>
      <c r="D24" s="6292">
        <v>728</v>
      </c>
      <c r="E24" s="6291">
        <v>12</v>
      </c>
      <c r="F24" s="6291">
        <v>174</v>
      </c>
      <c r="G24" s="6291">
        <v>189</v>
      </c>
      <c r="H24" s="6291">
        <v>87</v>
      </c>
      <c r="I24" s="6293"/>
      <c r="J24" s="6291">
        <v>17</v>
      </c>
      <c r="K24" s="6291">
        <v>25</v>
      </c>
      <c r="L24" s="6293"/>
      <c r="M24" s="6291">
        <v>27</v>
      </c>
      <c r="N24" s="6291">
        <v>46</v>
      </c>
      <c r="O24" s="6293"/>
      <c r="P24" s="6291">
        <v>151</v>
      </c>
      <c r="Q24" s="6294">
        <f t="shared" si="4"/>
        <v>0.27884615384615385</v>
      </c>
      <c r="S24" s="6295">
        <v>1</v>
      </c>
      <c r="T24" s="6295">
        <v>4</v>
      </c>
      <c r="U24" s="6295">
        <v>18</v>
      </c>
      <c r="V24" s="6295">
        <v>1605</v>
      </c>
      <c r="W24" s="6295">
        <v>24</v>
      </c>
      <c r="X24" s="6295">
        <v>177</v>
      </c>
      <c r="Y24" s="6295">
        <v>201</v>
      </c>
      <c r="Z24" s="6295">
        <v>34</v>
      </c>
      <c r="AA24" s="6296"/>
      <c r="AB24" s="6295">
        <v>28</v>
      </c>
      <c r="AC24" s="6295">
        <v>334</v>
      </c>
      <c r="AD24" s="6296"/>
      <c r="AE24" s="6295">
        <v>179</v>
      </c>
      <c r="AF24" s="6295">
        <v>195</v>
      </c>
      <c r="AG24" s="6296"/>
      <c r="AH24" s="6295">
        <v>433</v>
      </c>
      <c r="AI24" s="6294">
        <f t="shared" si="5"/>
        <v>0.58940809968847352</v>
      </c>
      <c r="AJ24" s="6295"/>
      <c r="AK24" s="6297">
        <v>1</v>
      </c>
      <c r="AL24" s="6297">
        <v>4</v>
      </c>
      <c r="AM24" s="6297">
        <v>18</v>
      </c>
      <c r="AN24" s="6298">
        <v>1606</v>
      </c>
      <c r="AO24" s="6297">
        <v>15</v>
      </c>
      <c r="AP24" s="6297">
        <v>177</v>
      </c>
      <c r="AQ24" s="6297">
        <v>229</v>
      </c>
      <c r="AR24" s="6297">
        <v>34</v>
      </c>
      <c r="AS24" s="6299"/>
      <c r="AT24" s="6297">
        <v>28</v>
      </c>
      <c r="AU24" s="6297">
        <v>1</v>
      </c>
      <c r="AV24" s="6297">
        <v>324</v>
      </c>
      <c r="AW24" s="6297">
        <v>198</v>
      </c>
      <c r="AX24" s="6299"/>
      <c r="AY24" s="6297">
        <v>196</v>
      </c>
      <c r="AZ24" s="6299"/>
      <c r="BA24" s="6299"/>
      <c r="BB24" s="6297">
        <v>404</v>
      </c>
      <c r="BC24" s="6300">
        <f t="shared" si="6"/>
        <v>0.57694704049844237</v>
      </c>
      <c r="BE24" s="6313">
        <v>1</v>
      </c>
      <c r="BF24" s="6313">
        <v>4</v>
      </c>
      <c r="BG24" s="6313">
        <v>18</v>
      </c>
      <c r="BH24" s="4405" t="s">
        <v>23</v>
      </c>
      <c r="BI24" s="6314">
        <v>1548</v>
      </c>
      <c r="BJ24" s="6313">
        <v>17</v>
      </c>
      <c r="BK24" s="6313">
        <v>208</v>
      </c>
      <c r="BL24" s="6313">
        <v>223</v>
      </c>
      <c r="BM24" s="6313">
        <v>38</v>
      </c>
      <c r="BN24" s="6303"/>
      <c r="BO24" s="6313">
        <v>31</v>
      </c>
      <c r="BP24" s="6313">
        <v>1</v>
      </c>
      <c r="BQ24" s="6313">
        <v>321</v>
      </c>
      <c r="BR24" s="6303"/>
      <c r="BS24" s="6313">
        <v>177</v>
      </c>
      <c r="BT24" s="6313">
        <v>142</v>
      </c>
      <c r="BU24" s="6303"/>
      <c r="BV24" s="6303"/>
      <c r="BW24" s="6313">
        <v>390</v>
      </c>
      <c r="BX24" s="6300">
        <f t="shared" si="16"/>
        <v>0.57401422107304456</v>
      </c>
      <c r="BZ24" s="4388"/>
      <c r="CA24" s="4388"/>
      <c r="CB24" s="4388" t="s">
        <v>23</v>
      </c>
      <c r="CC24" s="4231">
        <v>240</v>
      </c>
      <c r="CD24" s="4231">
        <v>141</v>
      </c>
      <c r="CE24" s="4231"/>
      <c r="CF24" s="4231">
        <v>38</v>
      </c>
      <c r="CG24" s="4231">
        <v>380</v>
      </c>
      <c r="CH24" s="4231">
        <v>135</v>
      </c>
      <c r="CI24" s="4231">
        <v>31</v>
      </c>
      <c r="CJ24" s="4231"/>
      <c r="CK24" s="4231"/>
      <c r="CL24" s="4231">
        <v>21</v>
      </c>
      <c r="CM24" s="4231">
        <v>355</v>
      </c>
      <c r="CN24" s="4231"/>
      <c r="CO24" s="4231">
        <v>209</v>
      </c>
      <c r="CP24" s="4231">
        <v>1</v>
      </c>
      <c r="CQ24" s="4231">
        <v>1551</v>
      </c>
      <c r="CR24" s="6304">
        <f t="shared" si="7"/>
        <v>0.56129032258064515</v>
      </c>
      <c r="CS24" s="4238">
        <f t="shared" si="8"/>
        <v>3</v>
      </c>
      <c r="CT24" s="6305">
        <v>1548</v>
      </c>
      <c r="CU24" s="6316"/>
      <c r="CX24" s="42" t="s">
        <v>23</v>
      </c>
      <c r="CY24" s="42">
        <v>115</v>
      </c>
      <c r="CZ24" s="42">
        <v>95</v>
      </c>
      <c r="DB24" s="42">
        <v>30</v>
      </c>
      <c r="DC24" s="42">
        <v>500</v>
      </c>
      <c r="DD24" s="42">
        <v>135</v>
      </c>
      <c r="DE24" s="42">
        <v>126</v>
      </c>
      <c r="DF24" s="42">
        <v>0</v>
      </c>
      <c r="DH24" s="42">
        <v>15</v>
      </c>
      <c r="DI24" s="42">
        <v>198</v>
      </c>
      <c r="DK24" s="42">
        <v>155</v>
      </c>
      <c r="DL24" s="42">
        <v>1</v>
      </c>
      <c r="DM24" s="893">
        <v>1370</v>
      </c>
      <c r="DN24" s="6306">
        <f t="shared" si="17"/>
        <v>0.60847333820306793</v>
      </c>
      <c r="DP24" s="4263"/>
      <c r="DQ24" s="4263"/>
      <c r="DR24" s="4258" t="s">
        <v>23</v>
      </c>
      <c r="DS24" s="4263">
        <v>222</v>
      </c>
      <c r="DT24" s="4263">
        <v>119</v>
      </c>
      <c r="DU24" s="4263"/>
      <c r="DV24" s="4263">
        <v>32</v>
      </c>
      <c r="DW24" s="4263">
        <v>385</v>
      </c>
      <c r="DX24" s="4263">
        <v>153</v>
      </c>
      <c r="DY24" s="4263">
        <v>77</v>
      </c>
      <c r="DZ24" s="4263"/>
      <c r="EA24" s="4263"/>
      <c r="EB24" s="4263">
        <v>37</v>
      </c>
      <c r="EC24" s="4263">
        <v>253</v>
      </c>
      <c r="ED24" s="4263"/>
      <c r="EE24" s="4263">
        <v>169</v>
      </c>
      <c r="EF24" s="4263">
        <v>1</v>
      </c>
      <c r="EG24" s="4263">
        <v>1448</v>
      </c>
      <c r="EH24" s="6307">
        <f t="shared" si="9"/>
        <v>0.54664823773324123</v>
      </c>
      <c r="EL24" s="42" t="s">
        <v>23</v>
      </c>
      <c r="EM24" s="97">
        <v>212</v>
      </c>
      <c r="EN24" s="97">
        <v>97</v>
      </c>
      <c r="EO24" s="97">
        <v>0</v>
      </c>
      <c r="EP24" s="97">
        <v>2</v>
      </c>
      <c r="EQ24" s="97">
        <v>419</v>
      </c>
      <c r="ER24" s="97">
        <v>120</v>
      </c>
      <c r="ES24" s="97">
        <v>82</v>
      </c>
      <c r="ET24" s="97"/>
      <c r="EU24" s="97"/>
      <c r="EV24" s="97">
        <v>26</v>
      </c>
      <c r="EW24" s="97">
        <v>216</v>
      </c>
      <c r="EX24" s="97"/>
      <c r="EY24" s="97">
        <v>170</v>
      </c>
      <c r="EZ24" s="97"/>
      <c r="FA24" s="97">
        <v>1344</v>
      </c>
      <c r="FB24" s="6315">
        <f t="shared" si="10"/>
        <v>0.56175595238095233</v>
      </c>
      <c r="FD24" s="42"/>
      <c r="FE24" s="42"/>
      <c r="FF24" s="42" t="s">
        <v>23</v>
      </c>
      <c r="FG24" s="97">
        <v>187</v>
      </c>
      <c r="FH24" s="97">
        <v>118</v>
      </c>
      <c r="FI24" s="97"/>
      <c r="FJ24" s="97">
        <v>23</v>
      </c>
      <c r="FK24" s="97">
        <v>379</v>
      </c>
      <c r="FL24" s="97">
        <v>130</v>
      </c>
      <c r="FM24" s="97">
        <v>71</v>
      </c>
      <c r="FN24" s="97"/>
      <c r="FO24" s="97"/>
      <c r="FP24" s="97">
        <v>25</v>
      </c>
      <c r="FQ24" s="97">
        <v>210</v>
      </c>
      <c r="FR24" s="97"/>
      <c r="FS24" s="97">
        <v>151</v>
      </c>
      <c r="FT24" s="97">
        <v>1</v>
      </c>
      <c r="FU24" s="97">
        <v>1295</v>
      </c>
      <c r="FV24" s="6308">
        <f t="shared" si="0"/>
        <v>0.55564142194744981</v>
      </c>
      <c r="FW24" s="6322"/>
      <c r="FX24" s="42"/>
      <c r="FY24" s="42"/>
      <c r="FZ24" s="42" t="s">
        <v>23</v>
      </c>
      <c r="GA24" s="97">
        <v>193</v>
      </c>
      <c r="GB24" s="97">
        <v>114</v>
      </c>
      <c r="GC24" s="97"/>
      <c r="GD24" s="97">
        <v>19</v>
      </c>
      <c r="GE24" s="97">
        <v>385</v>
      </c>
      <c r="GF24" s="97">
        <v>89</v>
      </c>
      <c r="GG24" s="97">
        <v>70</v>
      </c>
      <c r="GH24" s="97">
        <v>15</v>
      </c>
      <c r="GI24" s="97"/>
      <c r="GJ24" s="97">
        <v>18</v>
      </c>
      <c r="GK24" s="97">
        <v>164</v>
      </c>
      <c r="GL24" s="97"/>
      <c r="GM24" s="97">
        <v>131</v>
      </c>
      <c r="GN24" s="97">
        <v>0</v>
      </c>
      <c r="GO24" s="97">
        <v>1198</v>
      </c>
      <c r="GP24" s="6308">
        <f t="shared" si="11"/>
        <v>0.53255425709515858</v>
      </c>
      <c r="GR24" s="6280"/>
      <c r="GS24" s="6280"/>
      <c r="GT24" s="6310" t="s">
        <v>23</v>
      </c>
      <c r="GU24" s="6311">
        <v>200</v>
      </c>
      <c r="GV24" s="6311">
        <v>101</v>
      </c>
      <c r="GW24" s="6312"/>
      <c r="GX24" s="6311">
        <v>20</v>
      </c>
      <c r="GY24" s="6311">
        <v>419</v>
      </c>
      <c r="GZ24" s="6311">
        <v>82</v>
      </c>
      <c r="HA24" s="6311">
        <v>78</v>
      </c>
      <c r="HB24" s="6312"/>
      <c r="HC24" s="6312"/>
      <c r="HD24" s="6311">
        <v>25</v>
      </c>
      <c r="HE24" s="6311">
        <v>143</v>
      </c>
      <c r="HF24" s="6312"/>
      <c r="HG24" s="6311">
        <v>133</v>
      </c>
      <c r="HH24" s="6311">
        <v>1</v>
      </c>
      <c r="HI24" s="6311">
        <v>1202</v>
      </c>
      <c r="HJ24" s="467">
        <f t="shared" si="12"/>
        <v>0.53621981681931719</v>
      </c>
      <c r="HL24" s="967"/>
      <c r="HM24" s="967"/>
      <c r="HN24" s="977" t="s">
        <v>23</v>
      </c>
      <c r="HO24" s="978">
        <v>162</v>
      </c>
      <c r="HP24" s="978">
        <v>99</v>
      </c>
      <c r="HQ24" s="978">
        <v>0</v>
      </c>
      <c r="HR24" s="978">
        <v>35</v>
      </c>
      <c r="HS24" s="978">
        <v>457</v>
      </c>
      <c r="HT24" s="978">
        <v>88</v>
      </c>
      <c r="HU24" s="978">
        <v>95</v>
      </c>
      <c r="HV24" s="967"/>
      <c r="HW24" s="967"/>
      <c r="HX24" s="978">
        <v>22</v>
      </c>
      <c r="HY24" s="978">
        <v>138</v>
      </c>
      <c r="HZ24" s="978">
        <v>186</v>
      </c>
      <c r="IA24" s="967"/>
      <c r="IB24" s="978">
        <v>1282</v>
      </c>
      <c r="IC24" s="467">
        <f t="shared" si="13"/>
        <v>0.53276131045241815</v>
      </c>
      <c r="IE24" s="577"/>
      <c r="IF24" s="577"/>
      <c r="IG24" s="979" t="s">
        <v>23</v>
      </c>
      <c r="IH24" s="980">
        <v>194</v>
      </c>
      <c r="II24" s="980">
        <v>92</v>
      </c>
      <c r="IJ24" s="577"/>
      <c r="IK24" s="980">
        <v>44</v>
      </c>
      <c r="IL24" s="980">
        <v>483</v>
      </c>
      <c r="IM24" s="980">
        <v>106</v>
      </c>
      <c r="IN24" s="980">
        <v>109</v>
      </c>
      <c r="IO24" s="577"/>
      <c r="IP24" s="577"/>
      <c r="IQ24" s="980">
        <v>29</v>
      </c>
      <c r="IR24" s="980">
        <v>136</v>
      </c>
      <c r="IS24" s="980">
        <v>187</v>
      </c>
      <c r="IT24" s="577"/>
      <c r="IU24" s="980">
        <v>1380</v>
      </c>
      <c r="IV24" s="467">
        <f t="shared" si="14"/>
        <v>0.52536231884057971</v>
      </c>
      <c r="IX24" s="742"/>
      <c r="IY24" s="742"/>
      <c r="IZ24" s="981" t="s">
        <v>23</v>
      </c>
      <c r="JA24" s="982">
        <v>187</v>
      </c>
      <c r="JB24" s="982">
        <v>86</v>
      </c>
      <c r="JC24" s="982">
        <v>0</v>
      </c>
      <c r="JD24" s="982">
        <v>50</v>
      </c>
      <c r="JE24" s="982">
        <v>506</v>
      </c>
      <c r="JF24" s="982">
        <v>126</v>
      </c>
      <c r="JG24" s="982">
        <v>103</v>
      </c>
      <c r="JH24" s="982">
        <v>0</v>
      </c>
      <c r="JI24" s="982">
        <v>12</v>
      </c>
      <c r="JJ24" s="982">
        <v>133</v>
      </c>
      <c r="JK24" s="982">
        <v>148</v>
      </c>
      <c r="JL24" s="982">
        <v>250</v>
      </c>
      <c r="JM24" s="982">
        <v>0</v>
      </c>
      <c r="JN24" s="982">
        <v>5</v>
      </c>
      <c r="JO24" s="982">
        <v>1606</v>
      </c>
      <c r="JP24" s="983">
        <f t="shared" si="15"/>
        <v>0.52649690295939433</v>
      </c>
      <c r="JR24" s="97"/>
      <c r="JS24" s="97"/>
      <c r="JT24" s="42" t="s">
        <v>23</v>
      </c>
      <c r="JU24" s="42">
        <v>167</v>
      </c>
      <c r="JV24" s="42">
        <v>84</v>
      </c>
      <c r="JW24" s="42"/>
      <c r="JX24" s="42">
        <v>50</v>
      </c>
      <c r="JY24" s="42">
        <v>532</v>
      </c>
      <c r="JZ24" s="42">
        <v>137</v>
      </c>
      <c r="KA24" s="42">
        <v>95</v>
      </c>
      <c r="KB24" s="42"/>
      <c r="KC24" s="42">
        <v>15</v>
      </c>
      <c r="KD24" s="42">
        <v>133</v>
      </c>
      <c r="KE24" s="42">
        <v>148</v>
      </c>
      <c r="KF24" s="42">
        <v>291</v>
      </c>
      <c r="KG24" s="42"/>
      <c r="KH24" s="42">
        <v>4</v>
      </c>
      <c r="KI24" s="42">
        <v>1656</v>
      </c>
      <c r="KJ24" s="984">
        <f t="shared" si="1"/>
        <v>0.5332446808510638</v>
      </c>
      <c r="KK24" s="42"/>
      <c r="KL24" s="354"/>
      <c r="KM24" s="354"/>
      <c r="KN24" s="354" t="s">
        <v>23</v>
      </c>
      <c r="KO24" s="985">
        <v>156</v>
      </c>
      <c r="KP24" s="985">
        <v>75</v>
      </c>
      <c r="KQ24" s="985" t="s">
        <v>315</v>
      </c>
      <c r="KR24" s="985">
        <v>57</v>
      </c>
      <c r="KS24" s="985">
        <v>492</v>
      </c>
      <c r="KT24" s="985">
        <v>143</v>
      </c>
      <c r="KU24" s="985">
        <v>85</v>
      </c>
      <c r="KV24" s="985" t="s">
        <v>315</v>
      </c>
      <c r="KW24" s="985">
        <v>14</v>
      </c>
      <c r="KX24" s="985">
        <v>164</v>
      </c>
      <c r="KY24" s="985">
        <v>320</v>
      </c>
      <c r="KZ24" s="985" t="s">
        <v>315</v>
      </c>
      <c r="LA24" s="985">
        <v>1506</v>
      </c>
      <c r="LB24" s="985">
        <f t="shared" si="2"/>
        <v>799</v>
      </c>
      <c r="LC24" s="986">
        <f t="shared" si="3"/>
        <v>0.53054448871181936</v>
      </c>
      <c r="LD24" s="42"/>
      <c r="LE24" s="42"/>
    </row>
    <row r="25" spans="1:317">
      <c r="A25" s="6291">
        <v>2</v>
      </c>
      <c r="B25" s="6291">
        <v>1</v>
      </c>
      <c r="C25" s="6291">
        <v>23</v>
      </c>
      <c r="D25" s="6292">
        <v>154</v>
      </c>
      <c r="E25" s="6291">
        <v>6</v>
      </c>
      <c r="F25" s="6291">
        <v>41</v>
      </c>
      <c r="G25" s="6291">
        <v>40</v>
      </c>
      <c r="H25" s="6291">
        <v>15</v>
      </c>
      <c r="I25" s="6293"/>
      <c r="J25" s="6291">
        <v>3</v>
      </c>
      <c r="K25" s="6291">
        <v>7</v>
      </c>
      <c r="L25" s="6293"/>
      <c r="M25" s="6291">
        <v>7</v>
      </c>
      <c r="N25" s="6291">
        <v>12</v>
      </c>
      <c r="O25" s="6293"/>
      <c r="P25" s="6291">
        <v>23</v>
      </c>
      <c r="Q25" s="6294">
        <f t="shared" si="4"/>
        <v>0.24025974025974026</v>
      </c>
      <c r="S25" s="6295">
        <v>1</v>
      </c>
      <c r="T25" s="6295">
        <v>4</v>
      </c>
      <c r="U25" s="6295">
        <v>19</v>
      </c>
      <c r="V25" s="6295">
        <v>1127</v>
      </c>
      <c r="W25" s="6295">
        <v>14</v>
      </c>
      <c r="X25" s="6295">
        <v>124</v>
      </c>
      <c r="Y25" s="6295">
        <v>148</v>
      </c>
      <c r="Z25" s="6295">
        <v>34</v>
      </c>
      <c r="AA25" s="6296"/>
      <c r="AB25" s="6295">
        <v>10</v>
      </c>
      <c r="AC25" s="6295">
        <v>249</v>
      </c>
      <c r="AD25" s="6296"/>
      <c r="AE25" s="6295">
        <v>95</v>
      </c>
      <c r="AF25" s="6295">
        <v>158</v>
      </c>
      <c r="AG25" s="6296"/>
      <c r="AH25" s="6295">
        <v>295</v>
      </c>
      <c r="AI25" s="6294">
        <f t="shared" si="5"/>
        <v>0.5669920141969832</v>
      </c>
      <c r="AJ25" s="6295"/>
      <c r="AK25" s="6297">
        <v>1</v>
      </c>
      <c r="AL25" s="6297">
        <v>4</v>
      </c>
      <c r="AM25" s="6297">
        <v>19</v>
      </c>
      <c r="AN25" s="6298">
        <v>1128</v>
      </c>
      <c r="AO25" s="6297">
        <v>25</v>
      </c>
      <c r="AP25" s="6297">
        <v>124</v>
      </c>
      <c r="AQ25" s="6297">
        <v>175</v>
      </c>
      <c r="AR25" s="6297">
        <v>34</v>
      </c>
      <c r="AS25" s="6299"/>
      <c r="AT25" s="6297">
        <v>10</v>
      </c>
      <c r="AU25" s="6297">
        <v>3</v>
      </c>
      <c r="AV25" s="6297">
        <v>233</v>
      </c>
      <c r="AW25" s="6297">
        <v>102</v>
      </c>
      <c r="AX25" s="6299"/>
      <c r="AY25" s="6297">
        <v>148</v>
      </c>
      <c r="AZ25" s="6299"/>
      <c r="BA25" s="6299"/>
      <c r="BB25" s="6297">
        <v>274</v>
      </c>
      <c r="BC25" s="6300">
        <f t="shared" si="6"/>
        <v>0.54133333333333333</v>
      </c>
      <c r="BE25" s="6313">
        <v>1</v>
      </c>
      <c r="BF25" s="6313">
        <v>4</v>
      </c>
      <c r="BG25" s="6313">
        <v>19</v>
      </c>
      <c r="BH25" s="4405" t="s">
        <v>24</v>
      </c>
      <c r="BI25" s="6314">
        <v>1097</v>
      </c>
      <c r="BJ25" s="6313">
        <v>16</v>
      </c>
      <c r="BK25" s="6313">
        <v>152</v>
      </c>
      <c r="BL25" s="6313">
        <v>160</v>
      </c>
      <c r="BM25" s="6313">
        <v>36</v>
      </c>
      <c r="BN25" s="6303"/>
      <c r="BO25" s="6313">
        <v>12</v>
      </c>
      <c r="BP25" s="6313">
        <v>1</v>
      </c>
      <c r="BQ25" s="6313">
        <v>224</v>
      </c>
      <c r="BR25" s="6303"/>
      <c r="BS25" s="6313">
        <v>89</v>
      </c>
      <c r="BT25" s="6313">
        <v>129</v>
      </c>
      <c r="BU25" s="6303"/>
      <c r="BV25" s="6303"/>
      <c r="BW25" s="6313">
        <v>278</v>
      </c>
      <c r="BX25" s="6300">
        <f t="shared" si="16"/>
        <v>0.53923357664233573</v>
      </c>
      <c r="BZ25" s="4388"/>
      <c r="CA25" s="4388"/>
      <c r="CB25" s="4388" t="s">
        <v>24</v>
      </c>
      <c r="CC25" s="4231">
        <v>186</v>
      </c>
      <c r="CD25" s="4231">
        <v>125</v>
      </c>
      <c r="CE25" s="4231"/>
      <c r="CF25" s="4231">
        <v>35</v>
      </c>
      <c r="CG25" s="4231">
        <v>272</v>
      </c>
      <c r="CH25" s="4231">
        <v>65</v>
      </c>
      <c r="CI25" s="4231">
        <v>11</v>
      </c>
      <c r="CJ25" s="4231"/>
      <c r="CK25" s="4231"/>
      <c r="CL25" s="4231">
        <v>24</v>
      </c>
      <c r="CM25" s="4231">
        <v>229</v>
      </c>
      <c r="CN25" s="4231"/>
      <c r="CO25" s="4231">
        <v>158</v>
      </c>
      <c r="CP25" s="4231">
        <v>1</v>
      </c>
      <c r="CQ25" s="4231">
        <v>1106</v>
      </c>
      <c r="CR25" s="6304">
        <f t="shared" si="7"/>
        <v>0.5122171945701357</v>
      </c>
      <c r="CS25" s="4238">
        <f t="shared" si="8"/>
        <v>9</v>
      </c>
      <c r="CT25" s="6305">
        <v>1097</v>
      </c>
      <c r="CU25" s="6316"/>
      <c r="CX25" s="42" t="s">
        <v>24</v>
      </c>
      <c r="CY25" s="42">
        <v>52</v>
      </c>
      <c r="CZ25" s="42">
        <v>88</v>
      </c>
      <c r="DB25" s="42">
        <v>30</v>
      </c>
      <c r="DC25" s="42">
        <v>382</v>
      </c>
      <c r="DD25" s="42">
        <v>73</v>
      </c>
      <c r="DE25" s="42">
        <v>100</v>
      </c>
      <c r="DF25" s="42">
        <v>1</v>
      </c>
      <c r="DH25" s="42">
        <v>17</v>
      </c>
      <c r="DI25" s="42">
        <v>149</v>
      </c>
      <c r="DK25" s="42">
        <v>123</v>
      </c>
      <c r="DL25" s="42">
        <v>1</v>
      </c>
      <c r="DM25" s="893">
        <v>1016</v>
      </c>
      <c r="DN25" s="6306">
        <f t="shared" si="17"/>
        <v>0.59507389162561575</v>
      </c>
      <c r="DP25" s="4263"/>
      <c r="DQ25" s="4263"/>
      <c r="DR25" s="4258" t="s">
        <v>24</v>
      </c>
      <c r="DS25" s="4263">
        <v>167</v>
      </c>
      <c r="DT25" s="4263">
        <v>113</v>
      </c>
      <c r="DU25" s="4263"/>
      <c r="DV25" s="4263">
        <v>35</v>
      </c>
      <c r="DW25" s="4263">
        <v>269</v>
      </c>
      <c r="DX25" s="4263">
        <v>113</v>
      </c>
      <c r="DY25" s="4263">
        <v>62</v>
      </c>
      <c r="DZ25" s="4263"/>
      <c r="EA25" s="4263"/>
      <c r="EB25" s="4263">
        <v>16</v>
      </c>
      <c r="EC25" s="4263">
        <v>165</v>
      </c>
      <c r="ED25" s="4263"/>
      <c r="EE25" s="4263">
        <v>129</v>
      </c>
      <c r="EF25" s="4263">
        <v>0</v>
      </c>
      <c r="EG25" s="4263">
        <v>1069</v>
      </c>
      <c r="EH25" s="6307">
        <f t="shared" si="9"/>
        <v>0.51169317118802615</v>
      </c>
      <c r="EL25" s="42" t="s">
        <v>24</v>
      </c>
      <c r="EM25" s="97">
        <v>146</v>
      </c>
      <c r="EN25" s="97">
        <v>93</v>
      </c>
      <c r="EO25" s="97">
        <v>0</v>
      </c>
      <c r="EP25" s="97">
        <v>1</v>
      </c>
      <c r="EQ25" s="97">
        <v>302</v>
      </c>
      <c r="ER25" s="97">
        <v>77</v>
      </c>
      <c r="ES25" s="97">
        <v>50</v>
      </c>
      <c r="ET25" s="97"/>
      <c r="EU25" s="97"/>
      <c r="EV25" s="97">
        <v>23</v>
      </c>
      <c r="EW25" s="97">
        <v>163</v>
      </c>
      <c r="EX25" s="97"/>
      <c r="EY25" s="97">
        <v>132</v>
      </c>
      <c r="EZ25" s="97"/>
      <c r="FA25" s="97">
        <v>987</v>
      </c>
      <c r="FB25" s="6315">
        <f t="shared" si="10"/>
        <v>0.54913880445795338</v>
      </c>
      <c r="FD25" s="42"/>
      <c r="FE25" s="42"/>
      <c r="FF25" s="42" t="s">
        <v>24</v>
      </c>
      <c r="FG25" s="97">
        <v>155</v>
      </c>
      <c r="FH25" s="97">
        <v>120</v>
      </c>
      <c r="FI25" s="97"/>
      <c r="FJ25" s="97">
        <v>24</v>
      </c>
      <c r="FK25" s="97">
        <v>268</v>
      </c>
      <c r="FL25" s="97">
        <v>78</v>
      </c>
      <c r="FM25" s="97">
        <v>53</v>
      </c>
      <c r="FN25" s="97"/>
      <c r="FO25" s="97"/>
      <c r="FP25" s="97">
        <v>20</v>
      </c>
      <c r="FQ25" s="97">
        <v>159</v>
      </c>
      <c r="FR25" s="97"/>
      <c r="FS25" s="97">
        <v>103</v>
      </c>
      <c r="FT25" s="97">
        <v>1</v>
      </c>
      <c r="FU25" s="97">
        <v>981</v>
      </c>
      <c r="FV25" s="6308">
        <f t="shared" si="0"/>
        <v>0.51530612244897955</v>
      </c>
      <c r="FW25" s="6322"/>
      <c r="FX25" s="42"/>
      <c r="FY25" s="42"/>
      <c r="FZ25" s="42" t="s">
        <v>24</v>
      </c>
      <c r="GA25" s="97">
        <v>176</v>
      </c>
      <c r="GB25" s="97">
        <v>101</v>
      </c>
      <c r="GC25" s="97"/>
      <c r="GD25" s="97">
        <v>22</v>
      </c>
      <c r="GE25" s="97">
        <v>261</v>
      </c>
      <c r="GF25" s="97">
        <v>67</v>
      </c>
      <c r="GG25" s="97">
        <v>55</v>
      </c>
      <c r="GH25" s="97">
        <v>0</v>
      </c>
      <c r="GI25" s="97"/>
      <c r="GJ25" s="97">
        <v>16</v>
      </c>
      <c r="GK25" s="97">
        <v>133</v>
      </c>
      <c r="GL25" s="97"/>
      <c r="GM25" s="97">
        <v>102</v>
      </c>
      <c r="GN25" s="97">
        <v>1</v>
      </c>
      <c r="GO25" s="97">
        <v>934</v>
      </c>
      <c r="GP25" s="6308">
        <f t="shared" si="11"/>
        <v>0.49410503751339763</v>
      </c>
      <c r="GR25" s="6280"/>
      <c r="GS25" s="6280"/>
      <c r="GT25" s="6310" t="s">
        <v>24</v>
      </c>
      <c r="GU25" s="6311">
        <v>169</v>
      </c>
      <c r="GV25" s="6311">
        <v>81</v>
      </c>
      <c r="GW25" s="6312"/>
      <c r="GX25" s="6311">
        <v>26</v>
      </c>
      <c r="GY25" s="6311">
        <v>266</v>
      </c>
      <c r="GZ25" s="6311">
        <v>68</v>
      </c>
      <c r="HA25" s="6311">
        <v>60</v>
      </c>
      <c r="HB25" s="6312"/>
      <c r="HC25" s="6312"/>
      <c r="HD25" s="6311">
        <v>27</v>
      </c>
      <c r="HE25" s="6311">
        <v>114</v>
      </c>
      <c r="HF25" s="6312"/>
      <c r="HG25" s="6311">
        <v>112</v>
      </c>
      <c r="HH25" s="6311">
        <v>1</v>
      </c>
      <c r="HI25" s="6311">
        <v>924</v>
      </c>
      <c r="HJ25" s="467">
        <f t="shared" si="12"/>
        <v>0.48537378114842905</v>
      </c>
      <c r="HL25" s="967"/>
      <c r="HM25" s="967"/>
      <c r="HN25" s="977" t="s">
        <v>24</v>
      </c>
      <c r="HO25" s="978">
        <v>162</v>
      </c>
      <c r="HP25" s="978">
        <v>99</v>
      </c>
      <c r="HQ25" s="978">
        <v>1</v>
      </c>
      <c r="HR25" s="978">
        <v>31</v>
      </c>
      <c r="HS25" s="978">
        <v>295</v>
      </c>
      <c r="HT25" s="978">
        <v>55</v>
      </c>
      <c r="HU25" s="978">
        <v>68</v>
      </c>
      <c r="HV25" s="967"/>
      <c r="HW25" s="967"/>
      <c r="HX25" s="978">
        <v>23</v>
      </c>
      <c r="HY25" s="978">
        <v>91</v>
      </c>
      <c r="HZ25" s="978">
        <v>131</v>
      </c>
      <c r="IA25" s="967"/>
      <c r="IB25" s="978">
        <v>956</v>
      </c>
      <c r="IC25" s="467">
        <f t="shared" si="13"/>
        <v>0.46129707112970714</v>
      </c>
      <c r="IE25" s="577"/>
      <c r="IF25" s="577"/>
      <c r="IG25" s="979" t="s">
        <v>24</v>
      </c>
      <c r="IH25" s="980">
        <v>177</v>
      </c>
      <c r="II25" s="980">
        <v>88</v>
      </c>
      <c r="IJ25" s="577"/>
      <c r="IK25" s="980">
        <v>41</v>
      </c>
      <c r="IL25" s="980">
        <v>282</v>
      </c>
      <c r="IM25" s="980">
        <v>65</v>
      </c>
      <c r="IN25" s="980">
        <v>73</v>
      </c>
      <c r="IO25" s="577"/>
      <c r="IP25" s="577"/>
      <c r="IQ25" s="980">
        <v>21</v>
      </c>
      <c r="IR25" s="980">
        <v>76</v>
      </c>
      <c r="IS25" s="980">
        <v>139</v>
      </c>
      <c r="IT25" s="577"/>
      <c r="IU25" s="980">
        <v>962</v>
      </c>
      <c r="IV25" s="467">
        <f t="shared" si="14"/>
        <v>0.43970893970893971</v>
      </c>
      <c r="IX25" s="742"/>
      <c r="IY25" s="742"/>
      <c r="IZ25" s="981" t="s">
        <v>24</v>
      </c>
      <c r="JA25" s="982">
        <v>182</v>
      </c>
      <c r="JB25" s="982">
        <v>64</v>
      </c>
      <c r="JC25" s="982">
        <v>0</v>
      </c>
      <c r="JD25" s="982">
        <v>45</v>
      </c>
      <c r="JE25" s="982">
        <v>259</v>
      </c>
      <c r="JF25" s="982">
        <v>56</v>
      </c>
      <c r="JG25" s="982">
        <v>66</v>
      </c>
      <c r="JH25" s="982">
        <v>0</v>
      </c>
      <c r="JI25" s="982">
        <v>8</v>
      </c>
      <c r="JJ25" s="982">
        <v>73</v>
      </c>
      <c r="JK25" s="982">
        <v>90</v>
      </c>
      <c r="JL25" s="982">
        <v>167</v>
      </c>
      <c r="JM25" s="982">
        <v>0</v>
      </c>
      <c r="JN25" s="982">
        <v>4</v>
      </c>
      <c r="JO25" s="982">
        <v>1014</v>
      </c>
      <c r="JP25" s="983">
        <f t="shared" si="15"/>
        <v>0.42173913043478262</v>
      </c>
      <c r="JR25" s="97"/>
      <c r="JS25" s="97"/>
      <c r="JT25" s="42" t="s">
        <v>24</v>
      </c>
      <c r="JU25" s="42">
        <v>161</v>
      </c>
      <c r="JV25" s="42">
        <v>80</v>
      </c>
      <c r="JW25" s="42"/>
      <c r="JX25" s="42">
        <v>46</v>
      </c>
      <c r="JY25" s="42">
        <v>264</v>
      </c>
      <c r="JZ25" s="42">
        <v>61</v>
      </c>
      <c r="KA25" s="42">
        <v>79</v>
      </c>
      <c r="KB25" s="42"/>
      <c r="KC25" s="42">
        <v>10</v>
      </c>
      <c r="KD25" s="42">
        <v>68</v>
      </c>
      <c r="KE25" s="42">
        <v>89</v>
      </c>
      <c r="KF25" s="42">
        <v>174</v>
      </c>
      <c r="KG25" s="42"/>
      <c r="KH25" s="42">
        <v>2</v>
      </c>
      <c r="KI25" s="42">
        <v>1034</v>
      </c>
      <c r="KJ25" s="984">
        <f t="shared" si="1"/>
        <v>0.41675503711558853</v>
      </c>
      <c r="KK25" s="42"/>
      <c r="KL25" s="354"/>
      <c r="KM25" s="354"/>
      <c r="KN25" s="354" t="s">
        <v>24</v>
      </c>
      <c r="KO25" s="985">
        <v>160</v>
      </c>
      <c r="KP25" s="985">
        <v>74</v>
      </c>
      <c r="KQ25" s="985" t="s">
        <v>315</v>
      </c>
      <c r="KR25" s="985">
        <v>51</v>
      </c>
      <c r="KS25" s="985">
        <v>245</v>
      </c>
      <c r="KT25" s="985">
        <v>61</v>
      </c>
      <c r="KU25" s="985">
        <v>86</v>
      </c>
      <c r="KV25" s="985" t="s">
        <v>315</v>
      </c>
      <c r="KW25" s="985">
        <v>21</v>
      </c>
      <c r="KX25" s="985">
        <v>83</v>
      </c>
      <c r="KY25" s="985">
        <v>194</v>
      </c>
      <c r="KZ25" s="985" t="s">
        <v>315</v>
      </c>
      <c r="LA25" s="985">
        <v>975</v>
      </c>
      <c r="LB25" s="985">
        <f t="shared" si="2"/>
        <v>389</v>
      </c>
      <c r="LC25" s="986">
        <f t="shared" si="3"/>
        <v>0.39897435897435896</v>
      </c>
      <c r="LD25" s="42"/>
      <c r="LE25" s="42"/>
    </row>
    <row r="26" spans="1:317">
      <c r="A26" s="6291">
        <v>2</v>
      </c>
      <c r="B26" s="6291">
        <v>1</v>
      </c>
      <c r="C26" s="6291">
        <v>24</v>
      </c>
      <c r="D26" s="6292">
        <v>598</v>
      </c>
      <c r="E26" s="6291">
        <v>13</v>
      </c>
      <c r="F26" s="6291">
        <v>153</v>
      </c>
      <c r="G26" s="6291">
        <v>133</v>
      </c>
      <c r="H26" s="6291">
        <v>41</v>
      </c>
      <c r="I26" s="6293"/>
      <c r="J26" s="6291">
        <v>13</v>
      </c>
      <c r="K26" s="6291">
        <v>30</v>
      </c>
      <c r="L26" s="6293"/>
      <c r="M26" s="6291">
        <v>13</v>
      </c>
      <c r="N26" s="6291">
        <v>34</v>
      </c>
      <c r="O26" s="6293"/>
      <c r="P26" s="6291">
        <v>168</v>
      </c>
      <c r="Q26" s="6294">
        <f t="shared" si="4"/>
        <v>0.35284280936454848</v>
      </c>
      <c r="S26" s="6317"/>
      <c r="T26" s="6317"/>
      <c r="U26" s="6317"/>
      <c r="V26" s="6317">
        <f>SUM(V23:V25)</f>
        <v>4053</v>
      </c>
      <c r="W26" s="6317">
        <f t="shared" ref="W26:AH26" si="24">SUM(W23:W25)</f>
        <v>68</v>
      </c>
      <c r="X26" s="6317">
        <f t="shared" si="24"/>
        <v>454</v>
      </c>
      <c r="Y26" s="6317">
        <f t="shared" si="24"/>
        <v>636</v>
      </c>
      <c r="Z26" s="6317">
        <f t="shared" si="24"/>
        <v>112</v>
      </c>
      <c r="AA26" s="6317">
        <f t="shared" si="24"/>
        <v>0</v>
      </c>
      <c r="AB26" s="6317">
        <f t="shared" si="24"/>
        <v>76</v>
      </c>
      <c r="AC26" s="6317">
        <f t="shared" si="24"/>
        <v>737</v>
      </c>
      <c r="AD26" s="6317">
        <f t="shared" si="24"/>
        <v>0</v>
      </c>
      <c r="AE26" s="6317">
        <f t="shared" si="24"/>
        <v>369</v>
      </c>
      <c r="AF26" s="6317">
        <f t="shared" si="24"/>
        <v>537</v>
      </c>
      <c r="AG26" s="6317">
        <f t="shared" si="24"/>
        <v>0</v>
      </c>
      <c r="AH26" s="6317">
        <f t="shared" si="24"/>
        <v>1064</v>
      </c>
      <c r="AI26" s="6294">
        <f t="shared" si="5"/>
        <v>0.53540587219343694</v>
      </c>
      <c r="AJ26" s="6295"/>
      <c r="AK26" s="6297"/>
      <c r="AL26" s="6297"/>
      <c r="AM26" s="6297"/>
      <c r="AN26" s="6298">
        <f>SUM(AN23:AN25)</f>
        <v>4058</v>
      </c>
      <c r="AO26" s="6298">
        <f t="shared" ref="AO26:BB26" si="25">SUM(AO23:AO25)</f>
        <v>74</v>
      </c>
      <c r="AP26" s="6298">
        <f t="shared" si="25"/>
        <v>454</v>
      </c>
      <c r="AQ26" s="6298">
        <f t="shared" si="25"/>
        <v>716</v>
      </c>
      <c r="AR26" s="6298">
        <f t="shared" si="25"/>
        <v>111</v>
      </c>
      <c r="AS26" s="6298">
        <f t="shared" si="25"/>
        <v>0</v>
      </c>
      <c r="AT26" s="6298">
        <f t="shared" si="25"/>
        <v>76</v>
      </c>
      <c r="AU26" s="6298">
        <f t="shared" si="25"/>
        <v>5</v>
      </c>
      <c r="AV26" s="6298">
        <f t="shared" si="25"/>
        <v>713</v>
      </c>
      <c r="AW26" s="6298">
        <f t="shared" si="25"/>
        <v>392</v>
      </c>
      <c r="AX26" s="6298">
        <f t="shared" si="25"/>
        <v>0</v>
      </c>
      <c r="AY26" s="6298">
        <f t="shared" si="25"/>
        <v>520</v>
      </c>
      <c r="AZ26" s="6298">
        <f t="shared" si="25"/>
        <v>0</v>
      </c>
      <c r="BA26" s="6298">
        <f t="shared" si="25"/>
        <v>0</v>
      </c>
      <c r="BB26" s="6298">
        <f t="shared" si="25"/>
        <v>997</v>
      </c>
      <c r="BC26" s="6323">
        <f t="shared" si="6"/>
        <v>0.51862817665926475</v>
      </c>
      <c r="BE26" s="6313"/>
      <c r="BF26" s="6313"/>
      <c r="BG26" s="6313"/>
      <c r="BH26" s="6319" t="s">
        <v>484</v>
      </c>
      <c r="BI26" s="6314">
        <f>SUM(BI23:BI25)</f>
        <v>3893</v>
      </c>
      <c r="BJ26" s="6314">
        <f t="shared" ref="BJ26:BW26" si="26">SUM(BJ23:BJ25)</f>
        <v>63</v>
      </c>
      <c r="BK26" s="6314">
        <f t="shared" si="26"/>
        <v>550</v>
      </c>
      <c r="BL26" s="6314">
        <f t="shared" si="26"/>
        <v>601</v>
      </c>
      <c r="BM26" s="6314">
        <f t="shared" si="26"/>
        <v>115</v>
      </c>
      <c r="BN26" s="6314">
        <f t="shared" si="26"/>
        <v>0</v>
      </c>
      <c r="BO26" s="6314">
        <f t="shared" si="26"/>
        <v>90</v>
      </c>
      <c r="BP26" s="6314">
        <f t="shared" si="26"/>
        <v>3</v>
      </c>
      <c r="BQ26" s="6314">
        <f t="shared" si="26"/>
        <v>712</v>
      </c>
      <c r="BR26" s="6314">
        <f t="shared" si="26"/>
        <v>0</v>
      </c>
      <c r="BS26" s="6314">
        <f t="shared" si="26"/>
        <v>357</v>
      </c>
      <c r="BT26" s="6314">
        <f t="shared" si="26"/>
        <v>383</v>
      </c>
      <c r="BU26" s="6314">
        <f t="shared" si="26"/>
        <v>0</v>
      </c>
      <c r="BV26" s="6314">
        <f t="shared" si="26"/>
        <v>0</v>
      </c>
      <c r="BW26" s="6314">
        <f t="shared" si="26"/>
        <v>1019</v>
      </c>
      <c r="BX26" s="6300">
        <f t="shared" si="16"/>
        <v>0.53676092544987142</v>
      </c>
      <c r="BZ26" s="4388"/>
      <c r="CA26" s="4388"/>
      <c r="CB26" s="6276" t="s">
        <v>484</v>
      </c>
      <c r="CC26" s="6320">
        <v>665</v>
      </c>
      <c r="CD26" s="6320">
        <v>375</v>
      </c>
      <c r="CE26" s="6320"/>
      <c r="CF26" s="6320">
        <v>114</v>
      </c>
      <c r="CG26" s="6320">
        <v>990</v>
      </c>
      <c r="CH26" s="6320">
        <v>259</v>
      </c>
      <c r="CI26" s="6320">
        <v>88</v>
      </c>
      <c r="CJ26" s="6320"/>
      <c r="CK26" s="6320"/>
      <c r="CL26" s="6320">
        <v>82</v>
      </c>
      <c r="CM26" s="6320">
        <v>774</v>
      </c>
      <c r="CN26" s="6320"/>
      <c r="CO26" s="6320">
        <v>560</v>
      </c>
      <c r="CP26" s="6320">
        <v>3</v>
      </c>
      <c r="CQ26" s="6320">
        <v>3910</v>
      </c>
      <c r="CR26" s="6304">
        <f t="shared" si="7"/>
        <v>0.51778858459175836</v>
      </c>
      <c r="CS26" s="4238"/>
      <c r="CT26" s="6305"/>
      <c r="CU26" s="6316"/>
      <c r="CX26" s="42" t="s">
        <v>15</v>
      </c>
      <c r="CY26" s="42">
        <v>304</v>
      </c>
      <c r="CZ26" s="42">
        <v>266</v>
      </c>
      <c r="DB26" s="42">
        <v>113</v>
      </c>
      <c r="DC26" s="42">
        <v>1405</v>
      </c>
      <c r="DD26" s="42">
        <v>265</v>
      </c>
      <c r="DE26" s="42">
        <v>427</v>
      </c>
      <c r="DF26" s="42">
        <v>2</v>
      </c>
      <c r="DH26" s="42">
        <v>71</v>
      </c>
      <c r="DI26" s="42">
        <v>468</v>
      </c>
      <c r="DK26" s="42">
        <v>434</v>
      </c>
      <c r="DL26" s="42">
        <v>4</v>
      </c>
      <c r="DM26" s="893">
        <v>3759</v>
      </c>
      <c r="DN26" s="6306">
        <f t="shared" si="17"/>
        <v>0.56937416777629823</v>
      </c>
      <c r="DP26" s="4263"/>
      <c r="DQ26" s="4263"/>
      <c r="DR26" s="4257" t="s">
        <v>484</v>
      </c>
      <c r="DS26" s="4266">
        <v>641</v>
      </c>
      <c r="DT26" s="4266">
        <v>324</v>
      </c>
      <c r="DU26" s="4266"/>
      <c r="DV26" s="4266">
        <v>113</v>
      </c>
      <c r="DW26" s="4266">
        <v>1024</v>
      </c>
      <c r="DX26" s="4266">
        <v>343</v>
      </c>
      <c r="DY26" s="4266">
        <v>258</v>
      </c>
      <c r="DZ26" s="4266"/>
      <c r="EA26" s="4266"/>
      <c r="EB26" s="4266">
        <v>84</v>
      </c>
      <c r="EC26" s="4266">
        <v>565</v>
      </c>
      <c r="ED26" s="4266"/>
      <c r="EE26" s="4266">
        <v>468</v>
      </c>
      <c r="EF26" s="4266">
        <v>2</v>
      </c>
      <c r="EG26" s="4266">
        <v>3822</v>
      </c>
      <c r="EH26" s="6321">
        <f t="shared" si="9"/>
        <v>0.50575916230366491</v>
      </c>
      <c r="EL26" s="893" t="s">
        <v>484</v>
      </c>
      <c r="EM26" s="135">
        <v>603</v>
      </c>
      <c r="EN26" s="135">
        <v>292</v>
      </c>
      <c r="EO26" s="135">
        <v>1</v>
      </c>
      <c r="EP26" s="135">
        <v>3</v>
      </c>
      <c r="EQ26" s="135">
        <v>1152</v>
      </c>
      <c r="ER26" s="135">
        <v>264</v>
      </c>
      <c r="ES26" s="135">
        <v>270</v>
      </c>
      <c r="ET26" s="135"/>
      <c r="EU26" s="135"/>
      <c r="EV26" s="135">
        <v>89</v>
      </c>
      <c r="EW26" s="135">
        <v>503</v>
      </c>
      <c r="EX26" s="135"/>
      <c r="EY26" s="135">
        <v>475</v>
      </c>
      <c r="EZ26" s="135"/>
      <c r="FA26" s="135">
        <v>3652</v>
      </c>
      <c r="FB26" s="6315">
        <f t="shared" si="10"/>
        <v>0.52546549835706458</v>
      </c>
      <c r="FD26" s="42"/>
      <c r="FE26" s="42"/>
      <c r="FF26" s="893" t="s">
        <v>484</v>
      </c>
      <c r="FG26" s="135">
        <v>562</v>
      </c>
      <c r="FH26" s="135">
        <v>383</v>
      </c>
      <c r="FI26" s="135"/>
      <c r="FJ26" s="135">
        <v>98</v>
      </c>
      <c r="FK26" s="135">
        <v>1023</v>
      </c>
      <c r="FL26" s="135">
        <v>297</v>
      </c>
      <c r="FM26" s="135">
        <v>278</v>
      </c>
      <c r="FN26" s="135"/>
      <c r="FO26" s="135"/>
      <c r="FP26" s="135">
        <v>84</v>
      </c>
      <c r="FQ26" s="135">
        <v>540</v>
      </c>
      <c r="FR26" s="135"/>
      <c r="FS26" s="135">
        <v>429</v>
      </c>
      <c r="FT26" s="135">
        <v>5</v>
      </c>
      <c r="FU26" s="135">
        <v>3699</v>
      </c>
      <c r="FV26" s="5723">
        <f t="shared" si="0"/>
        <v>0.50351922035733621</v>
      </c>
      <c r="FW26" s="5717"/>
      <c r="FX26" s="42"/>
      <c r="FY26" s="42"/>
      <c r="FZ26" s="893" t="s">
        <v>484</v>
      </c>
      <c r="GA26" s="135">
        <v>641</v>
      </c>
      <c r="GB26" s="135">
        <v>367</v>
      </c>
      <c r="GC26" s="135"/>
      <c r="GD26" s="135">
        <v>97</v>
      </c>
      <c r="GE26" s="135">
        <v>1032</v>
      </c>
      <c r="GF26" s="135">
        <v>228</v>
      </c>
      <c r="GG26" s="135">
        <v>280</v>
      </c>
      <c r="GH26" s="135">
        <v>22</v>
      </c>
      <c r="GI26" s="135"/>
      <c r="GJ26" s="135">
        <v>71</v>
      </c>
      <c r="GK26" s="135">
        <v>434</v>
      </c>
      <c r="GL26" s="135"/>
      <c r="GM26" s="135">
        <v>421</v>
      </c>
      <c r="GN26" s="135">
        <v>4</v>
      </c>
      <c r="GO26" s="135">
        <v>3597</v>
      </c>
      <c r="GP26" s="5723">
        <f t="shared" si="11"/>
        <v>0.4714723072641247</v>
      </c>
      <c r="GR26" s="6280"/>
      <c r="GS26" s="6280"/>
      <c r="GT26" s="1179" t="s">
        <v>484</v>
      </c>
      <c r="GU26" s="1180">
        <v>672</v>
      </c>
      <c r="GV26" s="1180">
        <v>310</v>
      </c>
      <c r="GW26" s="1181"/>
      <c r="GX26" s="1180">
        <v>110</v>
      </c>
      <c r="GY26" s="1180">
        <v>1095</v>
      </c>
      <c r="GZ26" s="1180">
        <v>208</v>
      </c>
      <c r="HA26" s="1180">
        <v>275</v>
      </c>
      <c r="HB26" s="1181"/>
      <c r="HC26" s="1181"/>
      <c r="HD26" s="1180">
        <v>95</v>
      </c>
      <c r="HE26" s="1180">
        <v>393</v>
      </c>
      <c r="HF26" s="1181"/>
      <c r="HG26" s="1180">
        <v>457</v>
      </c>
      <c r="HH26" s="1180">
        <v>6</v>
      </c>
      <c r="HI26" s="1180">
        <v>3621</v>
      </c>
      <c r="HJ26" s="456">
        <f t="shared" si="12"/>
        <v>0.46915629322268326</v>
      </c>
      <c r="HL26" s="967"/>
      <c r="HM26" s="967"/>
      <c r="HN26" s="987" t="s">
        <v>484</v>
      </c>
      <c r="HO26" s="988">
        <v>648</v>
      </c>
      <c r="HP26" s="988">
        <v>331</v>
      </c>
      <c r="HQ26" s="988">
        <v>2</v>
      </c>
      <c r="HR26" s="988">
        <v>157</v>
      </c>
      <c r="HS26" s="988">
        <v>1204</v>
      </c>
      <c r="HT26" s="988">
        <v>206</v>
      </c>
      <c r="HU26" s="988">
        <v>314</v>
      </c>
      <c r="HV26" s="989"/>
      <c r="HW26" s="989"/>
      <c r="HX26" s="988">
        <v>78</v>
      </c>
      <c r="HY26" s="988">
        <v>344</v>
      </c>
      <c r="HZ26" s="988">
        <v>620</v>
      </c>
      <c r="IA26" s="988"/>
      <c r="IB26" s="988">
        <v>3904</v>
      </c>
      <c r="IC26" s="990">
        <f t="shared" si="13"/>
        <v>0.44928278688524592</v>
      </c>
      <c r="IE26" s="577"/>
      <c r="IF26" s="577"/>
      <c r="IG26" s="738" t="s">
        <v>726</v>
      </c>
      <c r="IH26" s="991">
        <v>695</v>
      </c>
      <c r="II26" s="991">
        <v>324</v>
      </c>
      <c r="IJ26" s="6261"/>
      <c r="IK26" s="991">
        <v>180</v>
      </c>
      <c r="IL26" s="991">
        <v>1234</v>
      </c>
      <c r="IM26" s="991">
        <v>273</v>
      </c>
      <c r="IN26" s="991">
        <v>333</v>
      </c>
      <c r="IO26" s="6261"/>
      <c r="IP26" s="6261"/>
      <c r="IQ26" s="991">
        <v>83</v>
      </c>
      <c r="IR26" s="991">
        <v>298</v>
      </c>
      <c r="IS26" s="991">
        <v>640</v>
      </c>
      <c r="IT26" s="6261"/>
      <c r="IU26" s="991">
        <v>4060</v>
      </c>
      <c r="IV26" s="456">
        <f t="shared" si="14"/>
        <v>0.44458128078817732</v>
      </c>
      <c r="IX26" s="997"/>
      <c r="IY26" s="997"/>
      <c r="IZ26" s="998" t="s">
        <v>484</v>
      </c>
      <c r="JA26" s="999">
        <v>726</v>
      </c>
      <c r="JB26" s="999">
        <v>264</v>
      </c>
      <c r="JC26" s="999">
        <v>0</v>
      </c>
      <c r="JD26" s="999">
        <v>192</v>
      </c>
      <c r="JE26" s="999">
        <v>1217</v>
      </c>
      <c r="JF26" s="999">
        <v>268</v>
      </c>
      <c r="JG26" s="999">
        <v>306</v>
      </c>
      <c r="JH26" s="999">
        <v>0</v>
      </c>
      <c r="JI26" s="999">
        <v>39</v>
      </c>
      <c r="JJ26" s="999">
        <v>290</v>
      </c>
      <c r="JK26" s="999">
        <v>646</v>
      </c>
      <c r="JL26" s="999">
        <v>788</v>
      </c>
      <c r="JM26" s="999">
        <v>0</v>
      </c>
      <c r="JN26" s="999">
        <v>20</v>
      </c>
      <c r="JO26" s="999">
        <v>4756</v>
      </c>
      <c r="JP26" s="1000">
        <f t="shared" si="15"/>
        <v>0.43398533007334961</v>
      </c>
      <c r="JR26" s="97"/>
      <c r="JS26" s="97"/>
      <c r="JT26" s="42" t="s">
        <v>15</v>
      </c>
      <c r="JU26" s="42">
        <v>632</v>
      </c>
      <c r="JV26" s="42">
        <v>283</v>
      </c>
      <c r="JW26" s="42"/>
      <c r="JX26" s="42">
        <v>188</v>
      </c>
      <c r="JY26" s="42">
        <v>1275</v>
      </c>
      <c r="JZ26" s="42">
        <v>288</v>
      </c>
      <c r="KA26" s="42">
        <v>314</v>
      </c>
      <c r="KB26" s="42"/>
      <c r="KC26" s="42">
        <v>38</v>
      </c>
      <c r="KD26" s="42">
        <v>282</v>
      </c>
      <c r="KE26" s="42">
        <v>642</v>
      </c>
      <c r="KF26" s="42">
        <v>839</v>
      </c>
      <c r="KG26" s="42"/>
      <c r="KH26" s="42">
        <v>11</v>
      </c>
      <c r="KI26" s="42">
        <v>4792</v>
      </c>
      <c r="KJ26" s="984">
        <f t="shared" si="1"/>
        <v>0.44575984537327856</v>
      </c>
      <c r="KK26" s="42"/>
      <c r="KL26" s="354"/>
      <c r="KM26" s="354"/>
      <c r="KN26" s="994" t="s">
        <v>15</v>
      </c>
      <c r="KO26" s="995">
        <v>595</v>
      </c>
      <c r="KP26" s="995">
        <v>258</v>
      </c>
      <c r="KQ26" s="995" t="s">
        <v>315</v>
      </c>
      <c r="KR26" s="995">
        <v>198</v>
      </c>
      <c r="KS26" s="995">
        <v>1232</v>
      </c>
      <c r="KT26" s="995">
        <v>282</v>
      </c>
      <c r="KU26" s="995">
        <v>303</v>
      </c>
      <c r="KV26" s="995" t="s">
        <v>315</v>
      </c>
      <c r="KW26" s="995">
        <v>50</v>
      </c>
      <c r="KX26" s="995">
        <v>347</v>
      </c>
      <c r="KY26" s="995">
        <v>891</v>
      </c>
      <c r="KZ26" s="995" t="s">
        <v>315</v>
      </c>
      <c r="LA26" s="995">
        <v>4156</v>
      </c>
      <c r="LB26" s="995">
        <f t="shared" si="2"/>
        <v>1861</v>
      </c>
      <c r="LC26" s="996">
        <f t="shared" si="3"/>
        <v>0.44778633301251203</v>
      </c>
      <c r="LD26" s="42"/>
      <c r="LE26" s="42"/>
    </row>
    <row r="27" spans="1:317">
      <c r="A27" s="6291">
        <v>2</v>
      </c>
      <c r="B27" s="6291">
        <v>1</v>
      </c>
      <c r="C27" s="6291">
        <v>25</v>
      </c>
      <c r="D27" s="6292">
        <v>617</v>
      </c>
      <c r="E27" s="6291">
        <v>12</v>
      </c>
      <c r="F27" s="6291">
        <v>189</v>
      </c>
      <c r="G27" s="6291">
        <v>104</v>
      </c>
      <c r="H27" s="6291">
        <v>76</v>
      </c>
      <c r="I27" s="6293"/>
      <c r="J27" s="6291">
        <v>29</v>
      </c>
      <c r="K27" s="6291">
        <v>21</v>
      </c>
      <c r="L27" s="6293"/>
      <c r="M27" s="6291">
        <v>8</v>
      </c>
      <c r="N27" s="6291">
        <v>48</v>
      </c>
      <c r="O27" s="6293"/>
      <c r="P27" s="6291">
        <v>130</v>
      </c>
      <c r="Q27" s="6294">
        <f t="shared" si="4"/>
        <v>0.25769854132901132</v>
      </c>
      <c r="S27" s="6324"/>
      <c r="T27" s="6324"/>
      <c r="U27" s="6324"/>
      <c r="V27" s="6325">
        <f>SUM(V26,V22,V17)</f>
        <v>19184</v>
      </c>
      <c r="W27" s="6325">
        <f t="shared" ref="W27:AH27" si="27">SUM(W26,W22,W17)</f>
        <v>620</v>
      </c>
      <c r="X27" s="6325">
        <f t="shared" si="27"/>
        <v>3231</v>
      </c>
      <c r="Y27" s="6325">
        <f t="shared" si="27"/>
        <v>3696</v>
      </c>
      <c r="Z27" s="6325">
        <f t="shared" si="27"/>
        <v>725</v>
      </c>
      <c r="AA27" s="6325">
        <f t="shared" si="27"/>
        <v>1</v>
      </c>
      <c r="AB27" s="6325">
        <f t="shared" si="27"/>
        <v>195</v>
      </c>
      <c r="AC27" s="6325">
        <f t="shared" si="27"/>
        <v>1872</v>
      </c>
      <c r="AD27" s="6325">
        <f t="shared" si="27"/>
        <v>0</v>
      </c>
      <c r="AE27" s="6325">
        <f t="shared" si="27"/>
        <v>1179</v>
      </c>
      <c r="AF27" s="6325">
        <f t="shared" si="27"/>
        <v>3071</v>
      </c>
      <c r="AG27" s="6325">
        <f t="shared" si="27"/>
        <v>0</v>
      </c>
      <c r="AH27" s="6325">
        <f t="shared" si="27"/>
        <v>4594</v>
      </c>
      <c r="AI27" s="6326">
        <f t="shared" si="5"/>
        <v>0.39850917431192662</v>
      </c>
      <c r="AJ27" s="6295"/>
      <c r="AK27" s="6297"/>
      <c r="AL27" s="6297"/>
      <c r="AM27" s="6297"/>
      <c r="AN27" s="6327">
        <f>SUM(AN26,AN22,AN17)</f>
        <v>19696</v>
      </c>
      <c r="AO27" s="6327">
        <f t="shared" ref="AO27:BB27" si="28">SUM(AO26,AO22,AO17)</f>
        <v>569</v>
      </c>
      <c r="AP27" s="6327">
        <f t="shared" si="28"/>
        <v>3233</v>
      </c>
      <c r="AQ27" s="6327">
        <f t="shared" si="28"/>
        <v>4167</v>
      </c>
      <c r="AR27" s="6327">
        <f t="shared" si="28"/>
        <v>713</v>
      </c>
      <c r="AS27" s="6327">
        <f t="shared" si="28"/>
        <v>1</v>
      </c>
      <c r="AT27" s="6327">
        <f t="shared" si="28"/>
        <v>195</v>
      </c>
      <c r="AU27" s="6327">
        <f t="shared" si="28"/>
        <v>18</v>
      </c>
      <c r="AV27" s="6327">
        <f t="shared" si="28"/>
        <v>1654</v>
      </c>
      <c r="AW27" s="6327">
        <f t="shared" si="28"/>
        <v>1257</v>
      </c>
      <c r="AX27" s="6327">
        <f t="shared" si="28"/>
        <v>0</v>
      </c>
      <c r="AY27" s="6327">
        <f t="shared" si="28"/>
        <v>3013</v>
      </c>
      <c r="AZ27" s="6327">
        <f t="shared" si="28"/>
        <v>493</v>
      </c>
      <c r="BA27" s="6327">
        <f t="shared" si="28"/>
        <v>0</v>
      </c>
      <c r="BB27" s="6327">
        <f t="shared" si="28"/>
        <v>4383</v>
      </c>
      <c r="BC27" s="6328">
        <f t="shared" si="6"/>
        <v>0.38019285900443056</v>
      </c>
      <c r="BE27" s="6313"/>
      <c r="BF27" s="6313"/>
      <c r="BG27" s="6313"/>
      <c r="BH27" s="6329" t="s">
        <v>105</v>
      </c>
      <c r="BI27" s="6330">
        <f>SUM(BI26,BI22,BI17)</f>
        <v>20081</v>
      </c>
      <c r="BJ27" s="6330">
        <f t="shared" ref="BJ27:BW27" si="29">SUM(BJ26,BJ22,BJ17)</f>
        <v>550</v>
      </c>
      <c r="BK27" s="6330">
        <f t="shared" si="29"/>
        <v>4213</v>
      </c>
      <c r="BL27" s="6330">
        <f t="shared" si="29"/>
        <v>3496</v>
      </c>
      <c r="BM27" s="6330">
        <f t="shared" si="29"/>
        <v>753</v>
      </c>
      <c r="BN27" s="6330">
        <f t="shared" si="29"/>
        <v>0</v>
      </c>
      <c r="BO27" s="6330">
        <f t="shared" si="29"/>
        <v>229</v>
      </c>
      <c r="BP27" s="6330">
        <f t="shared" si="29"/>
        <v>15</v>
      </c>
      <c r="BQ27" s="6330">
        <f t="shared" si="29"/>
        <v>1635</v>
      </c>
      <c r="BR27" s="6330">
        <f t="shared" si="29"/>
        <v>0</v>
      </c>
      <c r="BS27" s="6330">
        <f t="shared" si="29"/>
        <v>1471</v>
      </c>
      <c r="BT27" s="6330">
        <f t="shared" si="29"/>
        <v>2521</v>
      </c>
      <c r="BU27" s="6330">
        <f t="shared" si="29"/>
        <v>503</v>
      </c>
      <c r="BV27" s="6330">
        <f t="shared" si="29"/>
        <v>0</v>
      </c>
      <c r="BW27" s="6330">
        <f t="shared" si="29"/>
        <v>4695</v>
      </c>
      <c r="BX27" s="6331">
        <f t="shared" si="16"/>
        <v>0.39876297091448143</v>
      </c>
      <c r="BZ27" s="4388"/>
      <c r="CA27" s="4388"/>
      <c r="CB27" s="6276" t="s">
        <v>105</v>
      </c>
      <c r="CC27" s="6320">
        <v>3872</v>
      </c>
      <c r="CD27" s="6320">
        <v>2394</v>
      </c>
      <c r="CE27" s="6320"/>
      <c r="CF27" s="6320">
        <v>743</v>
      </c>
      <c r="CG27" s="6320">
        <v>4626</v>
      </c>
      <c r="CH27" s="6320">
        <v>1089</v>
      </c>
      <c r="CI27" s="6320">
        <v>227</v>
      </c>
      <c r="CJ27" s="6320"/>
      <c r="CK27" s="6320"/>
      <c r="CL27" s="6320">
        <v>665</v>
      </c>
      <c r="CM27" s="6320">
        <v>1790</v>
      </c>
      <c r="CN27" s="6320">
        <v>503</v>
      </c>
      <c r="CO27" s="6320">
        <v>4286</v>
      </c>
      <c r="CP27" s="6320">
        <v>15</v>
      </c>
      <c r="CQ27" s="6320">
        <v>20210</v>
      </c>
      <c r="CR27" s="6304">
        <f t="shared" si="7"/>
        <v>0.38111923623806621</v>
      </c>
      <c r="CS27" s="4238"/>
      <c r="CT27" s="6305"/>
      <c r="CU27" s="6316"/>
      <c r="CV27" s="3800"/>
      <c r="CW27" s="3800"/>
      <c r="CX27" s="6332" t="s">
        <v>15</v>
      </c>
      <c r="CY27" s="6332">
        <v>1843</v>
      </c>
      <c r="CZ27" s="6332">
        <v>1692</v>
      </c>
      <c r="DA27" s="6332">
        <v>2</v>
      </c>
      <c r="DB27" s="6332">
        <v>805</v>
      </c>
      <c r="DC27" s="6332">
        <v>6795</v>
      </c>
      <c r="DD27" s="6332">
        <v>1049</v>
      </c>
      <c r="DE27" s="6332">
        <v>2943</v>
      </c>
      <c r="DF27" s="6332">
        <v>75</v>
      </c>
      <c r="DG27" s="6332"/>
      <c r="DH27" s="6332">
        <v>692</v>
      </c>
      <c r="DI27" s="6332">
        <v>1105</v>
      </c>
      <c r="DJ27" s="6332">
        <v>586</v>
      </c>
      <c r="DK27" s="6332">
        <v>3489</v>
      </c>
      <c r="DL27" s="6332">
        <v>22</v>
      </c>
      <c r="DM27" s="3707">
        <v>21098</v>
      </c>
      <c r="DN27" s="6333">
        <f t="shared" si="17"/>
        <v>0.43674963396778915</v>
      </c>
      <c r="DP27" s="4263"/>
      <c r="DQ27" s="4263"/>
      <c r="DR27" s="4268" t="s">
        <v>105</v>
      </c>
      <c r="DS27" s="4269">
        <v>3411</v>
      </c>
      <c r="DT27" s="4269">
        <v>2028</v>
      </c>
      <c r="DU27" s="4269">
        <v>2</v>
      </c>
      <c r="DV27" s="4269">
        <v>767</v>
      </c>
      <c r="DW27" s="4269">
        <v>4934</v>
      </c>
      <c r="DX27" s="4269">
        <v>1309</v>
      </c>
      <c r="DY27" s="4269">
        <v>1570</v>
      </c>
      <c r="DZ27" s="4269"/>
      <c r="EA27" s="4269"/>
      <c r="EB27" s="4269">
        <v>832</v>
      </c>
      <c r="EC27" s="4269">
        <v>1328</v>
      </c>
      <c r="ED27" s="4269">
        <v>557</v>
      </c>
      <c r="EE27" s="4269">
        <v>3660</v>
      </c>
      <c r="EF27" s="4269">
        <v>14</v>
      </c>
      <c r="EG27" s="4269">
        <v>20412</v>
      </c>
      <c r="EH27" s="6334">
        <f t="shared" si="9"/>
        <v>0.3815835895368177</v>
      </c>
      <c r="EL27" s="893" t="s">
        <v>105</v>
      </c>
      <c r="EM27" s="135">
        <v>3380</v>
      </c>
      <c r="EN27" s="135">
        <v>1915</v>
      </c>
      <c r="EO27" s="135">
        <v>1</v>
      </c>
      <c r="EP27" s="135">
        <v>26</v>
      </c>
      <c r="EQ27" s="135">
        <v>5640</v>
      </c>
      <c r="ER27" s="135">
        <v>1029</v>
      </c>
      <c r="ES27" s="135">
        <v>1637</v>
      </c>
      <c r="ET27" s="135"/>
      <c r="EU27" s="135"/>
      <c r="EV27" s="135">
        <v>851</v>
      </c>
      <c r="EW27" s="135">
        <v>1279</v>
      </c>
      <c r="EX27" s="135">
        <v>557</v>
      </c>
      <c r="EY27" s="135">
        <v>3988</v>
      </c>
      <c r="EZ27" s="135">
        <v>1</v>
      </c>
      <c r="FA27" s="135">
        <v>20304</v>
      </c>
      <c r="FB27" s="6315">
        <f t="shared" si="10"/>
        <v>0.40251190114453561</v>
      </c>
      <c r="FD27" s="42"/>
      <c r="FE27" s="42"/>
      <c r="FF27" s="893" t="s">
        <v>105</v>
      </c>
      <c r="FG27" s="135">
        <v>3454</v>
      </c>
      <c r="FH27" s="135">
        <v>2356</v>
      </c>
      <c r="FI27" s="135"/>
      <c r="FJ27" s="135">
        <v>799</v>
      </c>
      <c r="FK27" s="135">
        <v>4480</v>
      </c>
      <c r="FL27" s="135">
        <v>1516</v>
      </c>
      <c r="FM27" s="135">
        <v>1587</v>
      </c>
      <c r="FN27" s="135"/>
      <c r="FO27" s="135"/>
      <c r="FP27" s="135">
        <v>843</v>
      </c>
      <c r="FQ27" s="135">
        <v>1654</v>
      </c>
      <c r="FR27" s="135">
        <v>420</v>
      </c>
      <c r="FS27" s="135">
        <v>3931</v>
      </c>
      <c r="FT27" s="135">
        <v>25</v>
      </c>
      <c r="FU27" s="135">
        <v>21065</v>
      </c>
      <c r="FV27" s="5723">
        <f t="shared" si="0"/>
        <v>0.37099903006789525</v>
      </c>
      <c r="FW27" s="5717"/>
      <c r="FX27" s="42"/>
      <c r="FY27" s="42"/>
      <c r="FZ27" s="893" t="s">
        <v>105</v>
      </c>
      <c r="GA27" s="135">
        <v>3063</v>
      </c>
      <c r="GB27" s="135">
        <v>3075</v>
      </c>
      <c r="GC27" s="135"/>
      <c r="GD27" s="135">
        <v>844</v>
      </c>
      <c r="GE27" s="135">
        <v>4274</v>
      </c>
      <c r="GF27" s="135">
        <v>1282</v>
      </c>
      <c r="GG27" s="135">
        <v>1630</v>
      </c>
      <c r="GH27" s="135">
        <v>175</v>
      </c>
      <c r="GI27" s="135"/>
      <c r="GJ27" s="135">
        <v>794</v>
      </c>
      <c r="GK27" s="135">
        <v>1446</v>
      </c>
      <c r="GL27" s="135">
        <v>242</v>
      </c>
      <c r="GM27" s="135">
        <v>4049</v>
      </c>
      <c r="GN27" s="135">
        <v>29</v>
      </c>
      <c r="GO27" s="135">
        <v>20903</v>
      </c>
      <c r="GP27" s="5723">
        <f t="shared" si="11"/>
        <v>0.33937572702597907</v>
      </c>
      <c r="GR27" s="6280"/>
      <c r="GS27" s="6280"/>
      <c r="GT27" s="1179" t="s">
        <v>105</v>
      </c>
      <c r="GU27" s="1180">
        <v>4136</v>
      </c>
      <c r="GV27" s="1180">
        <v>2066</v>
      </c>
      <c r="GW27" s="1180">
        <v>1</v>
      </c>
      <c r="GX27" s="1180">
        <v>904</v>
      </c>
      <c r="GY27" s="1180">
        <v>4186</v>
      </c>
      <c r="GZ27" s="1180">
        <v>1154</v>
      </c>
      <c r="HA27" s="1180">
        <v>1484</v>
      </c>
      <c r="HB27" s="1181"/>
      <c r="HC27" s="1181"/>
      <c r="HD27" s="1180">
        <v>862</v>
      </c>
      <c r="HE27" s="1180">
        <v>1472</v>
      </c>
      <c r="HF27" s="1180">
        <v>157</v>
      </c>
      <c r="HG27" s="1180">
        <v>4521</v>
      </c>
      <c r="HH27" s="1180">
        <v>29</v>
      </c>
      <c r="HI27" s="1180">
        <v>20972</v>
      </c>
      <c r="HJ27" s="456">
        <f t="shared" si="12"/>
        <v>0.32772058116039643</v>
      </c>
      <c r="HL27" s="967"/>
      <c r="HM27" s="967"/>
      <c r="HN27" s="1001" t="s">
        <v>105</v>
      </c>
      <c r="HO27" s="1002">
        <v>4158</v>
      </c>
      <c r="HP27" s="1002">
        <v>2122</v>
      </c>
      <c r="HQ27" s="1002">
        <v>2</v>
      </c>
      <c r="HR27" s="1002">
        <v>1163</v>
      </c>
      <c r="HS27" s="1002">
        <v>4302</v>
      </c>
      <c r="HT27" s="1002">
        <v>1176</v>
      </c>
      <c r="HU27" s="1002">
        <v>1775</v>
      </c>
      <c r="HV27" s="6262"/>
      <c r="HW27" s="1002">
        <v>1</v>
      </c>
      <c r="HX27" s="1002">
        <v>724</v>
      </c>
      <c r="HY27" s="1002">
        <v>1293</v>
      </c>
      <c r="HZ27" s="1002">
        <v>5168</v>
      </c>
      <c r="IA27" s="1002">
        <v>18</v>
      </c>
      <c r="IB27" s="1002">
        <v>21902</v>
      </c>
      <c r="IC27" s="1003">
        <f t="shared" si="13"/>
        <v>0.30914984932882844</v>
      </c>
      <c r="IE27" s="577"/>
      <c r="IF27" s="577"/>
      <c r="IG27" s="738" t="s">
        <v>105</v>
      </c>
      <c r="IH27" s="991">
        <v>4106</v>
      </c>
      <c r="II27" s="991">
        <v>2110</v>
      </c>
      <c r="IJ27" s="991">
        <v>1</v>
      </c>
      <c r="IK27" s="991">
        <v>1279</v>
      </c>
      <c r="IL27" s="991">
        <v>4105</v>
      </c>
      <c r="IM27" s="991">
        <v>1305</v>
      </c>
      <c r="IN27" s="991">
        <v>1475</v>
      </c>
      <c r="IO27" s="991">
        <v>9</v>
      </c>
      <c r="IP27" s="991">
        <v>1</v>
      </c>
      <c r="IQ27" s="991">
        <v>499</v>
      </c>
      <c r="IR27" s="991">
        <v>1153</v>
      </c>
      <c r="IS27" s="991">
        <v>5290</v>
      </c>
      <c r="IT27" s="991">
        <v>18</v>
      </c>
      <c r="IU27" s="991">
        <v>21351</v>
      </c>
      <c r="IV27" s="456">
        <f t="shared" si="14"/>
        <v>0.30738607091002762</v>
      </c>
      <c r="IX27" s="742" t="s">
        <v>25</v>
      </c>
      <c r="IY27" s="742" t="s">
        <v>4</v>
      </c>
      <c r="IZ27" s="981" t="s">
        <v>26</v>
      </c>
      <c r="JA27" s="982">
        <v>124</v>
      </c>
      <c r="JB27" s="982">
        <v>39</v>
      </c>
      <c r="JC27" s="982">
        <v>0</v>
      </c>
      <c r="JD27" s="982">
        <v>121</v>
      </c>
      <c r="JE27" s="982">
        <v>128</v>
      </c>
      <c r="JF27" s="982">
        <v>18</v>
      </c>
      <c r="JG27" s="982">
        <v>41</v>
      </c>
      <c r="JH27" s="982">
        <v>0</v>
      </c>
      <c r="JI27" s="982">
        <v>26</v>
      </c>
      <c r="JJ27" s="982">
        <v>8</v>
      </c>
      <c r="JK27" s="982">
        <v>137</v>
      </c>
      <c r="JL27" s="982">
        <v>188</v>
      </c>
      <c r="JM27" s="982">
        <v>0</v>
      </c>
      <c r="JN27" s="982">
        <v>0</v>
      </c>
      <c r="JO27" s="982">
        <v>830</v>
      </c>
      <c r="JP27" s="983">
        <f t="shared" si="15"/>
        <v>0.22222222222222221</v>
      </c>
      <c r="JR27" s="97" t="s">
        <v>25</v>
      </c>
      <c r="JS27" s="97" t="s">
        <v>4</v>
      </c>
      <c r="JT27" s="42" t="s">
        <v>26</v>
      </c>
      <c r="JU27" s="42">
        <v>113</v>
      </c>
      <c r="JV27" s="42">
        <v>54</v>
      </c>
      <c r="JW27" s="42"/>
      <c r="JX27" s="42">
        <v>116</v>
      </c>
      <c r="JY27" s="42">
        <v>127</v>
      </c>
      <c r="JZ27" s="42">
        <v>17</v>
      </c>
      <c r="KA27" s="42">
        <v>40</v>
      </c>
      <c r="KB27" s="42"/>
      <c r="KC27" s="42">
        <v>24</v>
      </c>
      <c r="KD27" s="42">
        <v>15</v>
      </c>
      <c r="KE27" s="42">
        <v>131</v>
      </c>
      <c r="KF27" s="42">
        <v>173</v>
      </c>
      <c r="KG27" s="42"/>
      <c r="KH27" s="42">
        <v>0</v>
      </c>
      <c r="KI27" s="42">
        <v>810</v>
      </c>
      <c r="KJ27" s="984">
        <f t="shared" si="1"/>
        <v>0.2341678939617084</v>
      </c>
      <c r="KK27" s="42"/>
      <c r="KL27" s="354" t="s">
        <v>25</v>
      </c>
      <c r="KM27" s="354" t="s">
        <v>4</v>
      </c>
      <c r="KN27" s="354" t="s">
        <v>26</v>
      </c>
      <c r="KO27" s="985">
        <v>126</v>
      </c>
      <c r="KP27" s="985">
        <v>47</v>
      </c>
      <c r="KQ27" s="985" t="s">
        <v>315</v>
      </c>
      <c r="KR27" s="985">
        <v>109</v>
      </c>
      <c r="KS27" s="985">
        <v>125</v>
      </c>
      <c r="KT27" s="985">
        <v>21</v>
      </c>
      <c r="KU27" s="985">
        <v>57</v>
      </c>
      <c r="KV27" s="985" t="s">
        <v>315</v>
      </c>
      <c r="KW27" s="985">
        <v>26</v>
      </c>
      <c r="KX27" s="985">
        <v>20</v>
      </c>
      <c r="KY27" s="985">
        <v>181</v>
      </c>
      <c r="KZ27" s="985" t="s">
        <v>315</v>
      </c>
      <c r="LA27" s="985">
        <v>712</v>
      </c>
      <c r="LB27" s="985">
        <f t="shared" si="2"/>
        <v>166</v>
      </c>
      <c r="LC27" s="986">
        <f t="shared" si="3"/>
        <v>0.23314606741573032</v>
      </c>
      <c r="LD27" s="42"/>
      <c r="LE27" s="42"/>
    </row>
    <row r="28" spans="1:317">
      <c r="A28" s="6291">
        <v>2</v>
      </c>
      <c r="B28" s="6291">
        <v>1</v>
      </c>
      <c r="C28" s="6291">
        <v>26</v>
      </c>
      <c r="D28" s="6292">
        <v>678</v>
      </c>
      <c r="E28" s="6291">
        <v>10</v>
      </c>
      <c r="F28" s="6291">
        <v>193</v>
      </c>
      <c r="G28" s="6291">
        <v>143</v>
      </c>
      <c r="H28" s="6291">
        <v>74</v>
      </c>
      <c r="I28" s="6293"/>
      <c r="J28" s="6291">
        <v>22</v>
      </c>
      <c r="K28" s="6291">
        <v>10</v>
      </c>
      <c r="L28" s="6293"/>
      <c r="M28" s="6291">
        <v>15</v>
      </c>
      <c r="N28" s="6291">
        <v>64</v>
      </c>
      <c r="O28" s="6293"/>
      <c r="P28" s="6291">
        <v>147</v>
      </c>
      <c r="Q28" s="6294">
        <f t="shared" si="4"/>
        <v>0.25368731563421831</v>
      </c>
      <c r="S28" s="6335">
        <v>2</v>
      </c>
      <c r="T28" s="6335">
        <v>1</v>
      </c>
      <c r="U28" s="6335">
        <v>22</v>
      </c>
      <c r="V28" s="6335">
        <v>724</v>
      </c>
      <c r="W28" s="6335">
        <v>14</v>
      </c>
      <c r="X28" s="6335">
        <v>113</v>
      </c>
      <c r="Y28" s="6335">
        <v>191</v>
      </c>
      <c r="Z28" s="6335">
        <v>89</v>
      </c>
      <c r="AA28" s="6296"/>
      <c r="AB28" s="6335">
        <v>20</v>
      </c>
      <c r="AC28" s="6335">
        <v>43</v>
      </c>
      <c r="AD28" s="6296"/>
      <c r="AE28" s="6335">
        <v>23</v>
      </c>
      <c r="AF28" s="6335">
        <v>105</v>
      </c>
      <c r="AG28" s="6296"/>
      <c r="AH28" s="6335">
        <v>126</v>
      </c>
      <c r="AI28" s="6294">
        <f t="shared" si="5"/>
        <v>0.26519337016574585</v>
      </c>
      <c r="AJ28" s="6295"/>
      <c r="AK28" s="6297">
        <v>2</v>
      </c>
      <c r="AL28" s="6297">
        <v>1</v>
      </c>
      <c r="AM28" s="6297">
        <v>22</v>
      </c>
      <c r="AN28" s="6336">
        <v>817</v>
      </c>
      <c r="AO28" s="6297">
        <v>14</v>
      </c>
      <c r="AP28" s="6297">
        <v>113</v>
      </c>
      <c r="AQ28" s="6297">
        <v>218</v>
      </c>
      <c r="AR28" s="6297">
        <v>89</v>
      </c>
      <c r="AS28" s="6299"/>
      <c r="AT28" s="6297">
        <v>20</v>
      </c>
      <c r="AU28" s="6297">
        <v>4</v>
      </c>
      <c r="AV28" s="6297">
        <v>27</v>
      </c>
      <c r="AW28" s="6297">
        <v>18</v>
      </c>
      <c r="AX28" s="6299"/>
      <c r="AY28" s="6297">
        <v>99</v>
      </c>
      <c r="AZ28" s="6297">
        <v>89</v>
      </c>
      <c r="BA28" s="6299"/>
      <c r="BB28" s="6297">
        <v>126</v>
      </c>
      <c r="BC28" s="6300">
        <f t="shared" si="6"/>
        <v>0.23618784530386741</v>
      </c>
      <c r="BE28" s="6313">
        <v>2</v>
      </c>
      <c r="BF28" s="6313">
        <v>1</v>
      </c>
      <c r="BG28" s="6313">
        <v>22</v>
      </c>
      <c r="BH28" s="4405" t="s">
        <v>26</v>
      </c>
      <c r="BI28" s="6337">
        <v>809</v>
      </c>
      <c r="BJ28" s="6338">
        <v>14</v>
      </c>
      <c r="BK28" s="6338">
        <v>142</v>
      </c>
      <c r="BL28" s="6338">
        <v>208</v>
      </c>
      <c r="BM28" s="6338">
        <v>88</v>
      </c>
      <c r="BN28" s="6303"/>
      <c r="BO28" s="6338">
        <v>24</v>
      </c>
      <c r="BP28" s="6338">
        <v>3</v>
      </c>
      <c r="BQ28" s="6338">
        <v>22</v>
      </c>
      <c r="BR28" s="6303"/>
      <c r="BS28" s="6338">
        <v>52</v>
      </c>
      <c r="BT28" s="6338">
        <v>92</v>
      </c>
      <c r="BU28" s="6338">
        <v>70</v>
      </c>
      <c r="BV28" s="6303"/>
      <c r="BW28" s="6338">
        <v>94</v>
      </c>
      <c r="BX28" s="6300">
        <f t="shared" si="16"/>
        <v>0.22826086956521738</v>
      </c>
      <c r="BZ28" s="4388" t="s">
        <v>25</v>
      </c>
      <c r="CA28" s="4388" t="s">
        <v>4</v>
      </c>
      <c r="CB28" s="4388" t="s">
        <v>26</v>
      </c>
      <c r="CC28" s="4231">
        <v>208</v>
      </c>
      <c r="CD28" s="4231">
        <v>81</v>
      </c>
      <c r="CE28" s="4231">
        <v>0</v>
      </c>
      <c r="CF28" s="4231">
        <v>87</v>
      </c>
      <c r="CG28" s="4231">
        <v>88</v>
      </c>
      <c r="CH28" s="4231">
        <v>45</v>
      </c>
      <c r="CI28" s="4231">
        <v>24</v>
      </c>
      <c r="CJ28" s="4231"/>
      <c r="CK28" s="4231">
        <v>0</v>
      </c>
      <c r="CL28" s="4231">
        <v>32</v>
      </c>
      <c r="CM28" s="4231">
        <v>28</v>
      </c>
      <c r="CN28" s="4231">
        <v>70</v>
      </c>
      <c r="CO28" s="4231">
        <v>142</v>
      </c>
      <c r="CP28" s="4231">
        <v>3</v>
      </c>
      <c r="CQ28" s="4231">
        <v>808</v>
      </c>
      <c r="CR28" s="6304">
        <f t="shared" si="7"/>
        <v>0.21904761904761905</v>
      </c>
      <c r="CS28" s="4238">
        <f t="shared" si="8"/>
        <v>0</v>
      </c>
      <c r="CT28" s="6305">
        <v>808</v>
      </c>
      <c r="CU28" s="6316"/>
      <c r="CV28" s="97" t="s">
        <v>25</v>
      </c>
      <c r="CW28" s="97" t="s">
        <v>4</v>
      </c>
      <c r="CX28" s="42" t="s">
        <v>26</v>
      </c>
      <c r="CY28" s="42">
        <v>98</v>
      </c>
      <c r="CZ28" s="42">
        <v>60</v>
      </c>
      <c r="DA28" s="42">
        <v>0</v>
      </c>
      <c r="DB28" s="42">
        <v>80</v>
      </c>
      <c r="DC28" s="42">
        <v>145</v>
      </c>
      <c r="DD28" s="42">
        <v>20</v>
      </c>
      <c r="DE28" s="42">
        <v>115</v>
      </c>
      <c r="DG28" s="42">
        <v>0</v>
      </c>
      <c r="DH28" s="42">
        <v>38</v>
      </c>
      <c r="DI28" s="42">
        <v>33</v>
      </c>
      <c r="DJ28" s="42">
        <v>47</v>
      </c>
      <c r="DK28" s="42">
        <v>115</v>
      </c>
      <c r="DL28" s="42">
        <v>4</v>
      </c>
      <c r="DM28" s="893">
        <v>755</v>
      </c>
      <c r="DN28" s="6306">
        <f t="shared" si="17"/>
        <v>0.28125</v>
      </c>
      <c r="DP28" s="4263" t="s">
        <v>25</v>
      </c>
      <c r="DQ28" s="4263" t="s">
        <v>4</v>
      </c>
      <c r="DR28" s="4258" t="s">
        <v>26</v>
      </c>
      <c r="DS28" s="4263">
        <v>193</v>
      </c>
      <c r="DT28" s="4263">
        <v>72</v>
      </c>
      <c r="DU28" s="4263">
        <v>0</v>
      </c>
      <c r="DV28" s="4263">
        <v>89</v>
      </c>
      <c r="DW28" s="4263">
        <v>94</v>
      </c>
      <c r="DX28" s="4263">
        <v>34</v>
      </c>
      <c r="DY28" s="4263">
        <v>34</v>
      </c>
      <c r="DZ28" s="4263"/>
      <c r="EA28" s="4263">
        <v>0</v>
      </c>
      <c r="EB28" s="4263">
        <v>29</v>
      </c>
      <c r="EC28" s="4263">
        <v>24</v>
      </c>
      <c r="ED28" s="4263">
        <v>53</v>
      </c>
      <c r="EE28" s="4263">
        <v>159</v>
      </c>
      <c r="EF28" s="4263">
        <v>3</v>
      </c>
      <c r="EG28" s="4263">
        <v>784</v>
      </c>
      <c r="EH28" s="6307">
        <f t="shared" si="9"/>
        <v>0.2087912087912088</v>
      </c>
      <c r="EJ28" s="42" t="s">
        <v>25</v>
      </c>
      <c r="EK28" s="42" t="s">
        <v>4</v>
      </c>
      <c r="EL28" s="42" t="s">
        <v>26</v>
      </c>
      <c r="EM28" s="97">
        <v>166</v>
      </c>
      <c r="EN28" s="97">
        <v>61</v>
      </c>
      <c r="EO28" s="97"/>
      <c r="EP28" s="97">
        <v>8</v>
      </c>
      <c r="EQ28" s="97">
        <v>94</v>
      </c>
      <c r="ER28" s="97">
        <v>22</v>
      </c>
      <c r="ES28" s="97">
        <v>72</v>
      </c>
      <c r="ET28" s="97"/>
      <c r="EU28" s="97"/>
      <c r="EV28" s="97">
        <v>45</v>
      </c>
      <c r="EW28" s="97">
        <v>28</v>
      </c>
      <c r="EX28" s="97">
        <v>47</v>
      </c>
      <c r="EY28" s="97">
        <v>137</v>
      </c>
      <c r="EZ28" s="97">
        <v>0</v>
      </c>
      <c r="FA28" s="97">
        <v>680</v>
      </c>
      <c r="FB28" s="6315">
        <f>+(EW28+ER28+EQ28)/(FA28-EZ28-EX28)</f>
        <v>0.22748815165876776</v>
      </c>
      <c r="FD28" s="42" t="s">
        <v>25</v>
      </c>
      <c r="FE28" s="42" t="s">
        <v>4</v>
      </c>
      <c r="FF28" s="42" t="s">
        <v>26</v>
      </c>
      <c r="FG28" s="97">
        <v>172</v>
      </c>
      <c r="FH28" s="97">
        <v>59</v>
      </c>
      <c r="FI28" s="97"/>
      <c r="FJ28" s="97">
        <v>79</v>
      </c>
      <c r="FK28" s="97">
        <v>67</v>
      </c>
      <c r="FL28" s="97">
        <v>18</v>
      </c>
      <c r="FM28" s="97">
        <v>58</v>
      </c>
      <c r="FN28" s="97"/>
      <c r="FO28" s="97">
        <v>0</v>
      </c>
      <c r="FP28" s="97">
        <v>52</v>
      </c>
      <c r="FQ28" s="97">
        <v>24</v>
      </c>
      <c r="FR28" s="97">
        <v>19</v>
      </c>
      <c r="FS28" s="97">
        <v>143</v>
      </c>
      <c r="FT28" s="97">
        <v>4</v>
      </c>
      <c r="FU28" s="97">
        <v>695</v>
      </c>
      <c r="FV28" s="6308">
        <f t="shared" si="0"/>
        <v>0.16220238095238096</v>
      </c>
      <c r="FW28" s="6322"/>
      <c r="FX28" s="42" t="s">
        <v>25</v>
      </c>
      <c r="FY28" s="42" t="s">
        <v>4</v>
      </c>
      <c r="FZ28" s="42" t="s">
        <v>26</v>
      </c>
      <c r="GA28" s="97">
        <v>157</v>
      </c>
      <c r="GB28" s="97">
        <v>61</v>
      </c>
      <c r="GC28" s="97"/>
      <c r="GD28" s="97">
        <v>74</v>
      </c>
      <c r="GE28" s="97">
        <v>80</v>
      </c>
      <c r="GF28" s="97">
        <v>14</v>
      </c>
      <c r="GG28" s="97">
        <v>58</v>
      </c>
      <c r="GH28" s="97">
        <v>0</v>
      </c>
      <c r="GI28" s="97">
        <v>0</v>
      </c>
      <c r="GJ28" s="97">
        <v>42</v>
      </c>
      <c r="GK28" s="97">
        <v>16</v>
      </c>
      <c r="GL28" s="97">
        <v>8</v>
      </c>
      <c r="GM28" s="97">
        <v>141</v>
      </c>
      <c r="GN28" s="97">
        <v>4</v>
      </c>
      <c r="GO28" s="97">
        <v>655</v>
      </c>
      <c r="GP28" s="6308">
        <f t="shared" si="11"/>
        <v>0.17107309486780714</v>
      </c>
      <c r="GR28" s="6280" t="s">
        <v>25</v>
      </c>
      <c r="GS28" s="6280" t="s">
        <v>4</v>
      </c>
      <c r="GT28" s="6310" t="s">
        <v>26</v>
      </c>
      <c r="GU28" s="6311">
        <v>162</v>
      </c>
      <c r="GV28" s="6311">
        <v>59</v>
      </c>
      <c r="GW28" s="6312"/>
      <c r="GX28" s="6311">
        <v>72</v>
      </c>
      <c r="GY28" s="6311">
        <v>111</v>
      </c>
      <c r="GZ28" s="6311">
        <v>8</v>
      </c>
      <c r="HA28" s="6311">
        <v>56</v>
      </c>
      <c r="HB28" s="6312"/>
      <c r="HC28" s="6311">
        <v>0</v>
      </c>
      <c r="HD28" s="6311">
        <v>23</v>
      </c>
      <c r="HE28" s="6311">
        <v>16</v>
      </c>
      <c r="HF28" s="6311">
        <v>2</v>
      </c>
      <c r="HG28" s="6311">
        <v>138</v>
      </c>
      <c r="HH28" s="6311">
        <v>2</v>
      </c>
      <c r="HI28" s="6311">
        <v>649</v>
      </c>
      <c r="HJ28" s="467">
        <f t="shared" si="12"/>
        <v>0.20930232558139536</v>
      </c>
      <c r="HL28" s="967" t="s">
        <v>25</v>
      </c>
      <c r="HM28" s="967" t="s">
        <v>4</v>
      </c>
      <c r="HN28" s="977" t="s">
        <v>26</v>
      </c>
      <c r="HO28" s="978">
        <v>126</v>
      </c>
      <c r="HP28" s="978">
        <v>58</v>
      </c>
      <c r="HQ28" s="967"/>
      <c r="HR28" s="978">
        <v>104</v>
      </c>
      <c r="HS28" s="978">
        <v>125</v>
      </c>
      <c r="HT28" s="978">
        <v>11</v>
      </c>
      <c r="HU28" s="978">
        <v>53</v>
      </c>
      <c r="HV28" s="967"/>
      <c r="HW28" s="978">
        <v>0</v>
      </c>
      <c r="HX28" s="978">
        <v>35</v>
      </c>
      <c r="HY28" s="978">
        <v>15</v>
      </c>
      <c r="HZ28" s="978">
        <v>175</v>
      </c>
      <c r="IA28" s="967"/>
      <c r="IB28" s="978">
        <v>702</v>
      </c>
      <c r="IC28" s="467">
        <f t="shared" si="13"/>
        <v>0.21509971509971509</v>
      </c>
      <c r="IE28" s="577" t="s">
        <v>25</v>
      </c>
      <c r="IF28" s="577" t="s">
        <v>4</v>
      </c>
      <c r="IG28" s="979" t="s">
        <v>26</v>
      </c>
      <c r="IH28" s="980">
        <v>125</v>
      </c>
      <c r="II28" s="980">
        <v>70</v>
      </c>
      <c r="IJ28" s="980">
        <v>0</v>
      </c>
      <c r="IK28" s="980">
        <v>117</v>
      </c>
      <c r="IL28" s="980">
        <v>121</v>
      </c>
      <c r="IM28" s="980">
        <v>17</v>
      </c>
      <c r="IN28" s="980">
        <v>53</v>
      </c>
      <c r="IO28" s="577"/>
      <c r="IP28" s="577"/>
      <c r="IQ28" s="980">
        <v>18</v>
      </c>
      <c r="IR28" s="980">
        <v>9</v>
      </c>
      <c r="IS28" s="980">
        <v>177</v>
      </c>
      <c r="IT28" s="577"/>
      <c r="IU28" s="980">
        <v>707</v>
      </c>
      <c r="IV28" s="467">
        <f t="shared" si="14"/>
        <v>0.20792079207920791</v>
      </c>
      <c r="IX28" s="742"/>
      <c r="IY28" s="742"/>
      <c r="IZ28" s="981" t="s">
        <v>27</v>
      </c>
      <c r="JA28" s="982">
        <v>25</v>
      </c>
      <c r="JB28" s="982">
        <v>10</v>
      </c>
      <c r="JC28" s="982">
        <v>0</v>
      </c>
      <c r="JD28" s="982">
        <v>20</v>
      </c>
      <c r="JE28" s="982">
        <v>19</v>
      </c>
      <c r="JF28" s="982">
        <v>2</v>
      </c>
      <c r="JG28" s="982">
        <v>8</v>
      </c>
      <c r="JH28" s="982">
        <v>0</v>
      </c>
      <c r="JI28" s="982">
        <v>0</v>
      </c>
      <c r="JJ28" s="982">
        <v>4</v>
      </c>
      <c r="JK28" s="982">
        <v>24</v>
      </c>
      <c r="JL28" s="982">
        <v>31</v>
      </c>
      <c r="JM28" s="982">
        <v>0</v>
      </c>
      <c r="JN28" s="982">
        <v>0</v>
      </c>
      <c r="JO28" s="982">
        <v>143</v>
      </c>
      <c r="JP28" s="983">
        <f t="shared" si="15"/>
        <v>0.21008403361344538</v>
      </c>
      <c r="JR28" s="97"/>
      <c r="JS28" s="97"/>
      <c r="JT28" s="42" t="s">
        <v>27</v>
      </c>
      <c r="JU28" s="42">
        <v>16</v>
      </c>
      <c r="JV28" s="42">
        <v>7</v>
      </c>
      <c r="JW28" s="42"/>
      <c r="JX28" s="42">
        <v>19</v>
      </c>
      <c r="JY28" s="42">
        <v>13</v>
      </c>
      <c r="JZ28" s="42">
        <v>3</v>
      </c>
      <c r="KA28" s="42">
        <v>6</v>
      </c>
      <c r="KB28" s="42"/>
      <c r="KC28" s="42">
        <v>3</v>
      </c>
      <c r="KD28" s="42">
        <v>6</v>
      </c>
      <c r="KE28" s="42">
        <v>19</v>
      </c>
      <c r="KF28" s="42">
        <v>33</v>
      </c>
      <c r="KG28" s="42"/>
      <c r="KH28" s="42">
        <v>0</v>
      </c>
      <c r="KI28" s="42">
        <v>125</v>
      </c>
      <c r="KJ28" s="984">
        <f t="shared" si="1"/>
        <v>0.20754716981132076</v>
      </c>
      <c r="KK28" s="42"/>
      <c r="KL28" s="354"/>
      <c r="KM28" s="354"/>
      <c r="KN28" s="354" t="s">
        <v>27</v>
      </c>
      <c r="KO28" s="985">
        <v>11</v>
      </c>
      <c r="KP28" s="985">
        <v>8</v>
      </c>
      <c r="KQ28" s="985" t="s">
        <v>315</v>
      </c>
      <c r="KR28" s="985">
        <v>15</v>
      </c>
      <c r="KS28" s="985">
        <v>12</v>
      </c>
      <c r="KT28" s="985">
        <v>4</v>
      </c>
      <c r="KU28" s="985">
        <v>11</v>
      </c>
      <c r="KV28" s="985" t="s">
        <v>315</v>
      </c>
      <c r="KW28" s="985">
        <v>1</v>
      </c>
      <c r="KX28" s="985">
        <v>6</v>
      </c>
      <c r="KY28" s="985">
        <v>31</v>
      </c>
      <c r="KZ28" s="985" t="s">
        <v>315</v>
      </c>
      <c r="LA28" s="985">
        <v>99</v>
      </c>
      <c r="LB28" s="985">
        <f t="shared" si="2"/>
        <v>22</v>
      </c>
      <c r="LC28" s="986">
        <f t="shared" si="3"/>
        <v>0.22222222222222221</v>
      </c>
      <c r="LD28" s="42"/>
      <c r="LE28" s="42"/>
    </row>
    <row r="29" spans="1:317">
      <c r="A29" s="6291">
        <v>2</v>
      </c>
      <c r="B29" s="6291">
        <v>1</v>
      </c>
      <c r="C29" s="6291">
        <v>27</v>
      </c>
      <c r="D29" s="6292">
        <v>504</v>
      </c>
      <c r="E29" s="6291">
        <v>7</v>
      </c>
      <c r="F29" s="6291">
        <v>176</v>
      </c>
      <c r="G29" s="6291">
        <v>113</v>
      </c>
      <c r="H29" s="6291">
        <v>45</v>
      </c>
      <c r="I29" s="6293"/>
      <c r="J29" s="6291">
        <v>7</v>
      </c>
      <c r="K29" s="6291">
        <v>14</v>
      </c>
      <c r="L29" s="6293"/>
      <c r="M29" s="6291">
        <v>7</v>
      </c>
      <c r="N29" s="6291">
        <v>44</v>
      </c>
      <c r="O29" s="6293"/>
      <c r="P29" s="6291">
        <v>91</v>
      </c>
      <c r="Q29" s="6294">
        <f t="shared" si="4"/>
        <v>0.22222222222222221</v>
      </c>
      <c r="S29" s="6295">
        <v>2</v>
      </c>
      <c r="T29" s="6295">
        <v>1</v>
      </c>
      <c r="U29" s="6295">
        <v>23</v>
      </c>
      <c r="V29" s="6295">
        <v>162</v>
      </c>
      <c r="W29" s="6295">
        <v>9</v>
      </c>
      <c r="X29" s="6295">
        <v>33</v>
      </c>
      <c r="Y29" s="6295">
        <v>39</v>
      </c>
      <c r="Z29" s="6295">
        <v>19</v>
      </c>
      <c r="AA29" s="6296"/>
      <c r="AB29" s="6295">
        <v>3</v>
      </c>
      <c r="AC29" s="6295">
        <v>8</v>
      </c>
      <c r="AD29" s="6295">
        <v>1</v>
      </c>
      <c r="AE29" s="6295">
        <v>7</v>
      </c>
      <c r="AF29" s="6295">
        <v>28</v>
      </c>
      <c r="AG29" s="6296"/>
      <c r="AH29" s="6295">
        <v>15</v>
      </c>
      <c r="AI29" s="6294">
        <f t="shared" si="5"/>
        <v>0.18518518518518517</v>
      </c>
      <c r="AJ29" s="6295"/>
      <c r="AK29" s="6297">
        <v>2</v>
      </c>
      <c r="AL29" s="6297">
        <v>1</v>
      </c>
      <c r="AM29" s="6297">
        <v>23</v>
      </c>
      <c r="AN29" s="6298">
        <v>164</v>
      </c>
      <c r="AO29" s="6297">
        <v>5</v>
      </c>
      <c r="AP29" s="6297">
        <v>33</v>
      </c>
      <c r="AQ29" s="6297">
        <v>44</v>
      </c>
      <c r="AR29" s="6297">
        <v>19</v>
      </c>
      <c r="AS29" s="6299"/>
      <c r="AT29" s="6297">
        <v>3</v>
      </c>
      <c r="AU29" s="6299"/>
      <c r="AV29" s="6297">
        <v>6</v>
      </c>
      <c r="AW29" s="6297">
        <v>6</v>
      </c>
      <c r="AX29" s="6299"/>
      <c r="AY29" s="6297">
        <v>31</v>
      </c>
      <c r="AZ29" s="6297">
        <v>2</v>
      </c>
      <c r="BA29" s="6299"/>
      <c r="BB29" s="6297">
        <v>15</v>
      </c>
      <c r="BC29" s="6300">
        <f t="shared" si="6"/>
        <v>0.16666666666666666</v>
      </c>
      <c r="BE29" s="6313">
        <v>2</v>
      </c>
      <c r="BF29" s="6313">
        <v>1</v>
      </c>
      <c r="BG29" s="6313">
        <v>23</v>
      </c>
      <c r="BH29" s="4405" t="s">
        <v>27</v>
      </c>
      <c r="BI29" s="6314">
        <v>168</v>
      </c>
      <c r="BJ29" s="6313">
        <v>6</v>
      </c>
      <c r="BK29" s="6313">
        <v>41</v>
      </c>
      <c r="BL29" s="6313">
        <v>51</v>
      </c>
      <c r="BM29" s="6313">
        <v>19</v>
      </c>
      <c r="BN29" s="6313">
        <v>1</v>
      </c>
      <c r="BO29" s="6313">
        <v>3</v>
      </c>
      <c r="BP29" s="6303"/>
      <c r="BQ29" s="6313">
        <v>4</v>
      </c>
      <c r="BR29" s="6303"/>
      <c r="BS29" s="6313">
        <v>9</v>
      </c>
      <c r="BT29" s="6313">
        <v>21</v>
      </c>
      <c r="BU29" s="6313">
        <v>2</v>
      </c>
      <c r="BV29" s="6303"/>
      <c r="BW29" s="6313">
        <v>11</v>
      </c>
      <c r="BX29" s="6300">
        <f t="shared" si="16"/>
        <v>0.14457831325301204</v>
      </c>
      <c r="BZ29" s="4388"/>
      <c r="CA29" s="4388"/>
      <c r="CB29" s="4388" t="s">
        <v>27</v>
      </c>
      <c r="CC29" s="4231">
        <v>51</v>
      </c>
      <c r="CD29" s="4231">
        <v>19</v>
      </c>
      <c r="CE29" s="4231">
        <v>1</v>
      </c>
      <c r="CF29" s="4231">
        <v>19</v>
      </c>
      <c r="CG29" s="4231">
        <v>10</v>
      </c>
      <c r="CH29" s="4231">
        <v>7</v>
      </c>
      <c r="CI29" s="4231">
        <v>3</v>
      </c>
      <c r="CJ29" s="4231"/>
      <c r="CK29" s="4231">
        <v>1</v>
      </c>
      <c r="CL29" s="4231">
        <v>9</v>
      </c>
      <c r="CM29" s="4231">
        <v>5</v>
      </c>
      <c r="CN29" s="4231">
        <v>2</v>
      </c>
      <c r="CO29" s="4231">
        <v>41</v>
      </c>
      <c r="CP29" s="4231">
        <v>0</v>
      </c>
      <c r="CQ29" s="4231">
        <v>168</v>
      </c>
      <c r="CR29" s="6304">
        <f t="shared" si="7"/>
        <v>0.13253012048192772</v>
      </c>
      <c r="CS29" s="4238">
        <f t="shared" si="8"/>
        <v>0</v>
      </c>
      <c r="CT29" s="6305">
        <v>168</v>
      </c>
      <c r="CU29" s="6316"/>
      <c r="CX29" s="42" t="s">
        <v>27</v>
      </c>
      <c r="CY29" s="42">
        <v>35</v>
      </c>
      <c r="CZ29" s="42">
        <v>15</v>
      </c>
      <c r="DA29" s="42">
        <v>0</v>
      </c>
      <c r="DB29" s="42">
        <v>22</v>
      </c>
      <c r="DC29" s="42">
        <v>30</v>
      </c>
      <c r="DD29" s="42">
        <v>2</v>
      </c>
      <c r="DE29" s="42">
        <v>17</v>
      </c>
      <c r="DG29" s="42">
        <v>1</v>
      </c>
      <c r="DH29" s="42">
        <v>11</v>
      </c>
      <c r="DI29" s="42">
        <v>5</v>
      </c>
      <c r="DJ29" s="42">
        <v>0</v>
      </c>
      <c r="DK29" s="42">
        <v>34</v>
      </c>
      <c r="DL29" s="42">
        <v>0</v>
      </c>
      <c r="DM29" s="893">
        <v>172</v>
      </c>
      <c r="DN29" s="6306">
        <f t="shared" si="17"/>
        <v>0.21511627906976744</v>
      </c>
      <c r="DP29" s="4263"/>
      <c r="DQ29" s="4263"/>
      <c r="DR29" s="4258" t="s">
        <v>27</v>
      </c>
      <c r="DS29" s="4263">
        <v>53</v>
      </c>
      <c r="DT29" s="4263">
        <v>23</v>
      </c>
      <c r="DU29" s="4263">
        <v>0</v>
      </c>
      <c r="DV29" s="4263">
        <v>20</v>
      </c>
      <c r="DW29" s="4263">
        <v>15</v>
      </c>
      <c r="DX29" s="4263">
        <v>1</v>
      </c>
      <c r="DY29" s="4263">
        <v>4</v>
      </c>
      <c r="DZ29" s="4263"/>
      <c r="EA29" s="4263">
        <v>1</v>
      </c>
      <c r="EB29" s="4263">
        <v>9</v>
      </c>
      <c r="EC29" s="4263">
        <v>3</v>
      </c>
      <c r="ED29" s="4263">
        <v>1</v>
      </c>
      <c r="EE29" s="4263">
        <v>37</v>
      </c>
      <c r="EF29" s="4263">
        <v>0</v>
      </c>
      <c r="EG29" s="4263">
        <v>167</v>
      </c>
      <c r="EH29" s="6307">
        <f t="shared" si="9"/>
        <v>0.1144578313253012</v>
      </c>
      <c r="EL29" s="42" t="s">
        <v>27</v>
      </c>
      <c r="EM29" s="97">
        <v>50</v>
      </c>
      <c r="EN29" s="97">
        <v>15</v>
      </c>
      <c r="EO29" s="97"/>
      <c r="EP29" s="97">
        <v>2</v>
      </c>
      <c r="EQ29" s="97">
        <v>29</v>
      </c>
      <c r="ER29" s="97">
        <v>0</v>
      </c>
      <c r="ES29" s="97">
        <v>15</v>
      </c>
      <c r="ET29" s="97"/>
      <c r="EU29" s="97"/>
      <c r="EV29" s="97">
        <v>6</v>
      </c>
      <c r="EW29" s="97">
        <v>1</v>
      </c>
      <c r="EX29" s="97">
        <v>0</v>
      </c>
      <c r="EY29" s="97">
        <v>34</v>
      </c>
      <c r="EZ29" s="97">
        <v>0</v>
      </c>
      <c r="FA29" s="97">
        <v>152</v>
      </c>
      <c r="FB29" s="6315">
        <f t="shared" si="10"/>
        <v>0.19736842105263158</v>
      </c>
      <c r="FD29" s="42"/>
      <c r="FE29" s="42"/>
      <c r="FF29" s="42" t="s">
        <v>27</v>
      </c>
      <c r="FG29" s="97">
        <v>41</v>
      </c>
      <c r="FH29" s="97">
        <v>15</v>
      </c>
      <c r="FI29" s="97"/>
      <c r="FJ29" s="97">
        <v>23</v>
      </c>
      <c r="FK29" s="97">
        <v>30</v>
      </c>
      <c r="FL29" s="97">
        <v>8</v>
      </c>
      <c r="FM29" s="97">
        <v>8</v>
      </c>
      <c r="FN29" s="97"/>
      <c r="FO29" s="97">
        <v>1</v>
      </c>
      <c r="FP29" s="97">
        <v>5</v>
      </c>
      <c r="FQ29" s="97">
        <v>3</v>
      </c>
      <c r="FR29" s="97">
        <v>0</v>
      </c>
      <c r="FS29" s="97">
        <v>31</v>
      </c>
      <c r="FT29" s="97">
        <v>0</v>
      </c>
      <c r="FU29" s="97">
        <v>165</v>
      </c>
      <c r="FV29" s="6308">
        <f t="shared" si="0"/>
        <v>0.24848484848484848</v>
      </c>
      <c r="FW29" s="6322"/>
      <c r="FX29" s="42"/>
      <c r="FY29" s="42"/>
      <c r="FZ29" s="42" t="s">
        <v>27</v>
      </c>
      <c r="GA29" s="97">
        <v>37</v>
      </c>
      <c r="GB29" s="97">
        <v>19</v>
      </c>
      <c r="GC29" s="97"/>
      <c r="GD29" s="97">
        <v>22</v>
      </c>
      <c r="GE29" s="97">
        <v>27</v>
      </c>
      <c r="GF29" s="97">
        <v>5</v>
      </c>
      <c r="GG29" s="97">
        <v>6</v>
      </c>
      <c r="GH29" s="97">
        <v>0</v>
      </c>
      <c r="GI29" s="97">
        <v>1</v>
      </c>
      <c r="GJ29" s="97">
        <v>3</v>
      </c>
      <c r="GK29" s="97">
        <v>5</v>
      </c>
      <c r="GL29" s="97">
        <v>0</v>
      </c>
      <c r="GM29" s="97">
        <v>27</v>
      </c>
      <c r="GN29" s="97">
        <v>0</v>
      </c>
      <c r="GO29" s="97">
        <v>152</v>
      </c>
      <c r="GP29" s="6308">
        <f t="shared" si="11"/>
        <v>0.24342105263157895</v>
      </c>
      <c r="GR29" s="6280"/>
      <c r="GS29" s="6280"/>
      <c r="GT29" s="6280" t="s">
        <v>15</v>
      </c>
      <c r="GU29" s="6311">
        <v>27</v>
      </c>
      <c r="GV29" s="6311">
        <v>11</v>
      </c>
      <c r="GW29" s="6312"/>
      <c r="GX29" s="6311">
        <v>18</v>
      </c>
      <c r="GY29" s="6311">
        <v>27</v>
      </c>
      <c r="GZ29" s="6311">
        <v>4</v>
      </c>
      <c r="HA29" s="6311">
        <v>8</v>
      </c>
      <c r="HB29" s="6312"/>
      <c r="HC29" s="6311">
        <v>1</v>
      </c>
      <c r="HD29" s="6311">
        <v>3</v>
      </c>
      <c r="HE29" s="6311">
        <v>3</v>
      </c>
      <c r="HF29" s="6311">
        <v>0</v>
      </c>
      <c r="HG29" s="6311">
        <v>25</v>
      </c>
      <c r="HH29" s="6311">
        <v>0</v>
      </c>
      <c r="HI29" s="6311">
        <v>127</v>
      </c>
      <c r="HJ29" s="467">
        <f t="shared" si="12"/>
        <v>0.26771653543307089</v>
      </c>
      <c r="HL29" s="967"/>
      <c r="HM29" s="967"/>
      <c r="HN29" s="977" t="s">
        <v>27</v>
      </c>
      <c r="HO29" s="978">
        <v>26</v>
      </c>
      <c r="HP29" s="978">
        <v>6</v>
      </c>
      <c r="HQ29" s="967"/>
      <c r="HR29" s="978">
        <v>22</v>
      </c>
      <c r="HS29" s="978">
        <v>15</v>
      </c>
      <c r="HT29" s="978">
        <v>6</v>
      </c>
      <c r="HU29" s="978">
        <v>3</v>
      </c>
      <c r="HV29" s="967"/>
      <c r="HW29" s="978">
        <v>1</v>
      </c>
      <c r="HX29" s="978">
        <v>6</v>
      </c>
      <c r="HY29" s="978">
        <v>10</v>
      </c>
      <c r="HZ29" s="978">
        <v>33</v>
      </c>
      <c r="IA29" s="967"/>
      <c r="IB29" s="978">
        <v>128</v>
      </c>
      <c r="IC29" s="467">
        <f t="shared" si="13"/>
        <v>0.2421875</v>
      </c>
      <c r="IE29" s="577"/>
      <c r="IF29" s="577"/>
      <c r="IG29" s="979" t="s">
        <v>27</v>
      </c>
      <c r="IH29" s="980">
        <v>33</v>
      </c>
      <c r="II29" s="980">
        <v>10</v>
      </c>
      <c r="IJ29" s="980">
        <v>0</v>
      </c>
      <c r="IK29" s="980">
        <v>21</v>
      </c>
      <c r="IL29" s="980">
        <v>19</v>
      </c>
      <c r="IM29" s="980">
        <v>0</v>
      </c>
      <c r="IN29" s="980">
        <v>9</v>
      </c>
      <c r="IO29" s="577"/>
      <c r="IP29" s="577"/>
      <c r="IQ29" s="980">
        <v>1</v>
      </c>
      <c r="IR29" s="980">
        <v>4</v>
      </c>
      <c r="IS29" s="980">
        <v>29</v>
      </c>
      <c r="IT29" s="577"/>
      <c r="IU29" s="980">
        <v>126</v>
      </c>
      <c r="IV29" s="467">
        <f t="shared" si="14"/>
        <v>0.18253968253968253</v>
      </c>
      <c r="IX29" s="742"/>
      <c r="IY29" s="742"/>
      <c r="IZ29" s="981" t="s">
        <v>12</v>
      </c>
      <c r="JA29" s="982">
        <v>61</v>
      </c>
      <c r="JB29" s="982">
        <v>19</v>
      </c>
      <c r="JC29" s="982">
        <v>0</v>
      </c>
      <c r="JD29" s="982">
        <v>76</v>
      </c>
      <c r="JE29" s="982">
        <v>72</v>
      </c>
      <c r="JF29" s="982">
        <v>13</v>
      </c>
      <c r="JG29" s="982">
        <v>30</v>
      </c>
      <c r="JH29" s="982">
        <v>0</v>
      </c>
      <c r="JI29" s="982">
        <v>5</v>
      </c>
      <c r="JJ29" s="982">
        <v>11</v>
      </c>
      <c r="JK29" s="982">
        <v>133</v>
      </c>
      <c r="JL29" s="982">
        <v>129</v>
      </c>
      <c r="JM29" s="982">
        <v>0</v>
      </c>
      <c r="JN29" s="982">
        <v>4</v>
      </c>
      <c r="JO29" s="982">
        <v>553</v>
      </c>
      <c r="JP29" s="983">
        <f t="shared" si="15"/>
        <v>0.23076923076923078</v>
      </c>
      <c r="JR29" s="97"/>
      <c r="JS29" s="97"/>
      <c r="JT29" s="42" t="s">
        <v>12</v>
      </c>
      <c r="JU29" s="42">
        <v>57</v>
      </c>
      <c r="JV29" s="42">
        <v>12</v>
      </c>
      <c r="JW29" s="42"/>
      <c r="JX29" s="42">
        <v>74</v>
      </c>
      <c r="JY29" s="42">
        <v>73</v>
      </c>
      <c r="JZ29" s="42">
        <v>13</v>
      </c>
      <c r="KA29" s="42">
        <v>33</v>
      </c>
      <c r="KB29" s="42"/>
      <c r="KC29" s="42">
        <v>5</v>
      </c>
      <c r="KD29" s="42">
        <v>7</v>
      </c>
      <c r="KE29" s="42">
        <v>122</v>
      </c>
      <c r="KF29" s="42">
        <v>129</v>
      </c>
      <c r="KG29" s="42"/>
      <c r="KH29" s="42">
        <v>1</v>
      </c>
      <c r="KI29" s="42">
        <v>526</v>
      </c>
      <c r="KJ29" s="984">
        <f t="shared" si="1"/>
        <v>0.23076923076923078</v>
      </c>
      <c r="KK29" s="42"/>
      <c r="KL29" s="354"/>
      <c r="KM29" s="354"/>
      <c r="KN29" s="354" t="s">
        <v>12</v>
      </c>
      <c r="KO29" s="985">
        <v>50</v>
      </c>
      <c r="KP29" s="985">
        <v>14</v>
      </c>
      <c r="KQ29" s="985" t="s">
        <v>315</v>
      </c>
      <c r="KR29" s="985">
        <v>74</v>
      </c>
      <c r="KS29" s="985">
        <v>70</v>
      </c>
      <c r="KT29" s="985">
        <v>7</v>
      </c>
      <c r="KU29" s="985">
        <v>46</v>
      </c>
      <c r="KV29" s="985" t="s">
        <v>315</v>
      </c>
      <c r="KW29" s="985">
        <v>16</v>
      </c>
      <c r="KX29" s="985">
        <v>15</v>
      </c>
      <c r="KY29" s="985">
        <v>129</v>
      </c>
      <c r="KZ29" s="985" t="s">
        <v>315</v>
      </c>
      <c r="LA29" s="985">
        <v>421</v>
      </c>
      <c r="LB29" s="985">
        <f t="shared" si="2"/>
        <v>92</v>
      </c>
      <c r="LC29" s="986">
        <f t="shared" si="3"/>
        <v>0.21852731591448932</v>
      </c>
      <c r="LD29" s="42"/>
      <c r="LE29" s="42"/>
    </row>
    <row r="30" spans="1:317">
      <c r="A30" s="6291">
        <v>2</v>
      </c>
      <c r="B30" s="6291">
        <v>1</v>
      </c>
      <c r="C30" s="6291">
        <v>28</v>
      </c>
      <c r="D30" s="6292">
        <v>529</v>
      </c>
      <c r="E30" s="6291">
        <v>3</v>
      </c>
      <c r="F30" s="6291">
        <v>175</v>
      </c>
      <c r="G30" s="6291">
        <v>120</v>
      </c>
      <c r="H30" s="6291">
        <v>74</v>
      </c>
      <c r="I30" s="6293"/>
      <c r="J30" s="6291">
        <v>17</v>
      </c>
      <c r="K30" s="6291">
        <v>13</v>
      </c>
      <c r="L30" s="6293"/>
      <c r="M30" s="6291">
        <v>9</v>
      </c>
      <c r="N30" s="6291">
        <v>43</v>
      </c>
      <c r="O30" s="6293"/>
      <c r="P30" s="6291">
        <v>75</v>
      </c>
      <c r="Q30" s="6294">
        <f t="shared" si="4"/>
        <v>0.1833648393194707</v>
      </c>
      <c r="S30" s="6295">
        <v>2</v>
      </c>
      <c r="T30" s="6295">
        <v>1</v>
      </c>
      <c r="U30" s="6295">
        <v>24</v>
      </c>
      <c r="V30" s="6295">
        <v>631</v>
      </c>
      <c r="W30" s="6295">
        <v>15</v>
      </c>
      <c r="X30" s="6295">
        <v>121</v>
      </c>
      <c r="Y30" s="6295">
        <v>130</v>
      </c>
      <c r="Z30" s="6295">
        <v>44</v>
      </c>
      <c r="AA30" s="6296"/>
      <c r="AB30" s="6295">
        <v>18</v>
      </c>
      <c r="AC30" s="6295">
        <v>36</v>
      </c>
      <c r="AD30" s="6296"/>
      <c r="AE30" s="6295">
        <v>33</v>
      </c>
      <c r="AF30" s="6295">
        <v>88</v>
      </c>
      <c r="AG30" s="6296"/>
      <c r="AH30" s="6295">
        <v>146</v>
      </c>
      <c r="AI30" s="6294">
        <f t="shared" si="5"/>
        <v>0.34072900158478603</v>
      </c>
      <c r="AJ30" s="6295"/>
      <c r="AK30" s="6297">
        <v>2</v>
      </c>
      <c r="AL30" s="6297">
        <v>1</v>
      </c>
      <c r="AM30" s="6297">
        <v>24</v>
      </c>
      <c r="AN30" s="6298">
        <v>674</v>
      </c>
      <c r="AO30" s="6297">
        <v>18</v>
      </c>
      <c r="AP30" s="6297">
        <v>121</v>
      </c>
      <c r="AQ30" s="6297">
        <v>144</v>
      </c>
      <c r="AR30" s="6297">
        <v>44</v>
      </c>
      <c r="AS30" s="6299"/>
      <c r="AT30" s="6297">
        <v>18</v>
      </c>
      <c r="AU30" s="6299"/>
      <c r="AV30" s="6297">
        <v>34</v>
      </c>
      <c r="AW30" s="6297">
        <v>24</v>
      </c>
      <c r="AX30" s="6299"/>
      <c r="AY30" s="6297">
        <v>88</v>
      </c>
      <c r="AZ30" s="6297">
        <v>42</v>
      </c>
      <c r="BA30" s="6299"/>
      <c r="BB30" s="6297">
        <v>141</v>
      </c>
      <c r="BC30" s="6300">
        <f t="shared" si="6"/>
        <v>0.314873417721519</v>
      </c>
      <c r="BE30" s="6313">
        <v>2</v>
      </c>
      <c r="BF30" s="6313">
        <v>1</v>
      </c>
      <c r="BG30" s="6313">
        <v>24</v>
      </c>
      <c r="BH30" s="4405" t="s">
        <v>12</v>
      </c>
      <c r="BI30" s="6314">
        <v>726</v>
      </c>
      <c r="BJ30" s="6313">
        <v>13</v>
      </c>
      <c r="BK30" s="6313">
        <v>148</v>
      </c>
      <c r="BL30" s="6313">
        <v>164</v>
      </c>
      <c r="BM30" s="6313">
        <v>61</v>
      </c>
      <c r="BN30" s="6303"/>
      <c r="BO30" s="6313">
        <v>19</v>
      </c>
      <c r="BP30" s="6303"/>
      <c r="BQ30" s="6313">
        <v>29</v>
      </c>
      <c r="BR30" s="6303"/>
      <c r="BS30" s="6313">
        <v>42</v>
      </c>
      <c r="BT30" s="6313">
        <v>77</v>
      </c>
      <c r="BU30" s="6313">
        <v>36</v>
      </c>
      <c r="BV30" s="6303"/>
      <c r="BW30" s="6313">
        <v>137</v>
      </c>
      <c r="BX30" s="6300">
        <f t="shared" si="16"/>
        <v>0.30144927536231886</v>
      </c>
      <c r="BZ30" s="4388"/>
      <c r="CA30" s="4388"/>
      <c r="CB30" s="4388" t="s">
        <v>12</v>
      </c>
      <c r="CC30" s="4231">
        <v>167</v>
      </c>
      <c r="CD30" s="4231">
        <v>74</v>
      </c>
      <c r="CE30" s="4231">
        <v>0</v>
      </c>
      <c r="CF30" s="4231">
        <v>61</v>
      </c>
      <c r="CG30" s="4231">
        <v>135</v>
      </c>
      <c r="CH30" s="4231">
        <v>31</v>
      </c>
      <c r="CI30" s="4231">
        <v>19</v>
      </c>
      <c r="CJ30" s="4231"/>
      <c r="CK30" s="4231">
        <v>0</v>
      </c>
      <c r="CL30" s="4231">
        <v>26</v>
      </c>
      <c r="CM30" s="4231">
        <v>29</v>
      </c>
      <c r="CN30" s="4231">
        <v>36</v>
      </c>
      <c r="CO30" s="4231">
        <v>149</v>
      </c>
      <c r="CP30" s="4231">
        <v>0</v>
      </c>
      <c r="CQ30" s="4231">
        <v>727</v>
      </c>
      <c r="CR30" s="6304">
        <f t="shared" si="7"/>
        <v>0.28219971056439941</v>
      </c>
      <c r="CS30" s="4238">
        <f t="shared" si="8"/>
        <v>1</v>
      </c>
      <c r="CT30" s="6305">
        <v>726</v>
      </c>
      <c r="CU30" s="6316"/>
      <c r="CX30" s="42" t="s">
        <v>12</v>
      </c>
      <c r="CY30" s="42">
        <v>77</v>
      </c>
      <c r="CZ30" s="42">
        <v>64</v>
      </c>
      <c r="DA30" s="42">
        <v>0</v>
      </c>
      <c r="DB30" s="42">
        <v>67</v>
      </c>
      <c r="DC30" s="42">
        <v>159</v>
      </c>
      <c r="DD30" s="42">
        <v>30</v>
      </c>
      <c r="DE30" s="42">
        <v>82</v>
      </c>
      <c r="DG30" s="42">
        <v>0</v>
      </c>
      <c r="DH30" s="42">
        <v>25</v>
      </c>
      <c r="DI30" s="42">
        <v>21</v>
      </c>
      <c r="DJ30" s="42">
        <v>19</v>
      </c>
      <c r="DK30" s="42">
        <v>120</v>
      </c>
      <c r="DL30" s="42">
        <v>0</v>
      </c>
      <c r="DM30" s="893">
        <v>664</v>
      </c>
      <c r="DN30" s="6306">
        <f t="shared" si="17"/>
        <v>0.32558139534883723</v>
      </c>
      <c r="DP30" s="4263"/>
      <c r="DQ30" s="4263"/>
      <c r="DR30" s="4258" t="s">
        <v>12</v>
      </c>
      <c r="DS30" s="4263">
        <v>143</v>
      </c>
      <c r="DT30" s="4263">
        <v>79</v>
      </c>
      <c r="DU30" s="4263">
        <v>0</v>
      </c>
      <c r="DV30" s="4263">
        <v>58</v>
      </c>
      <c r="DW30" s="4263">
        <v>105</v>
      </c>
      <c r="DX30" s="4263">
        <v>47</v>
      </c>
      <c r="DY30" s="4263">
        <v>29</v>
      </c>
      <c r="DZ30" s="4263"/>
      <c r="EA30" s="4263">
        <v>0</v>
      </c>
      <c r="EB30" s="4263">
        <v>32</v>
      </c>
      <c r="EC30" s="4263">
        <v>22</v>
      </c>
      <c r="ED30" s="4263">
        <v>25</v>
      </c>
      <c r="EE30" s="4263">
        <v>144</v>
      </c>
      <c r="EF30" s="4263">
        <v>0</v>
      </c>
      <c r="EG30" s="4263">
        <v>684</v>
      </c>
      <c r="EH30" s="6307">
        <f t="shared" si="9"/>
        <v>0.26403641881638845</v>
      </c>
      <c r="EL30" s="42" t="s">
        <v>12</v>
      </c>
      <c r="EM30" s="97">
        <v>159</v>
      </c>
      <c r="EN30" s="97">
        <v>70</v>
      </c>
      <c r="EO30" s="97"/>
      <c r="EP30" s="97">
        <v>3</v>
      </c>
      <c r="EQ30" s="97">
        <v>116</v>
      </c>
      <c r="ER30" s="97">
        <v>15</v>
      </c>
      <c r="ES30" s="97">
        <v>55</v>
      </c>
      <c r="ET30" s="97"/>
      <c r="EU30" s="97"/>
      <c r="EV30" s="97">
        <v>33</v>
      </c>
      <c r="EW30" s="97">
        <v>21</v>
      </c>
      <c r="EX30" s="97">
        <v>19</v>
      </c>
      <c r="EY30" s="97">
        <v>116</v>
      </c>
      <c r="EZ30" s="97">
        <v>0</v>
      </c>
      <c r="FA30" s="97">
        <v>607</v>
      </c>
      <c r="FB30" s="6315">
        <f t="shared" si="10"/>
        <v>0.25850340136054423</v>
      </c>
      <c r="FD30" s="42"/>
      <c r="FE30" s="42"/>
      <c r="FF30" s="42" t="s">
        <v>12</v>
      </c>
      <c r="FG30" s="97">
        <v>156</v>
      </c>
      <c r="FH30" s="97">
        <v>61</v>
      </c>
      <c r="FI30" s="97"/>
      <c r="FJ30" s="97">
        <v>71</v>
      </c>
      <c r="FK30" s="97">
        <v>93</v>
      </c>
      <c r="FL30" s="97">
        <v>14</v>
      </c>
      <c r="FM30" s="97">
        <v>27</v>
      </c>
      <c r="FN30" s="97"/>
      <c r="FO30" s="97">
        <v>0</v>
      </c>
      <c r="FP30" s="97">
        <v>43</v>
      </c>
      <c r="FQ30" s="97">
        <v>17</v>
      </c>
      <c r="FR30" s="97">
        <v>11</v>
      </c>
      <c r="FS30" s="97">
        <v>118</v>
      </c>
      <c r="FT30" s="97">
        <v>0</v>
      </c>
      <c r="FU30" s="97">
        <v>611</v>
      </c>
      <c r="FV30" s="6308">
        <f t="shared" si="0"/>
        <v>0.20666666666666667</v>
      </c>
      <c r="FW30" s="6322"/>
      <c r="FX30" s="42"/>
      <c r="FY30" s="42"/>
      <c r="FZ30" s="42" t="s">
        <v>12</v>
      </c>
      <c r="GA30" s="97">
        <v>133</v>
      </c>
      <c r="GB30" s="97">
        <v>55</v>
      </c>
      <c r="GC30" s="97"/>
      <c r="GD30" s="97">
        <v>70</v>
      </c>
      <c r="GE30" s="97">
        <v>76</v>
      </c>
      <c r="GF30" s="97">
        <v>21</v>
      </c>
      <c r="GG30" s="97">
        <v>35</v>
      </c>
      <c r="GH30" s="97">
        <v>0</v>
      </c>
      <c r="GI30" s="97">
        <v>0</v>
      </c>
      <c r="GJ30" s="97">
        <v>33</v>
      </c>
      <c r="GK30" s="97">
        <v>15</v>
      </c>
      <c r="GL30" s="97">
        <v>1</v>
      </c>
      <c r="GM30" s="97">
        <v>90</v>
      </c>
      <c r="GN30" s="97">
        <v>0</v>
      </c>
      <c r="GO30" s="97">
        <v>529</v>
      </c>
      <c r="GP30" s="6308">
        <f t="shared" si="11"/>
        <v>0.21212121212121213</v>
      </c>
      <c r="GR30" s="6280"/>
      <c r="GS30" s="6280"/>
      <c r="GT30" s="6310" t="s">
        <v>12</v>
      </c>
      <c r="GU30" s="6311">
        <v>126</v>
      </c>
      <c r="GV30" s="6311">
        <v>34</v>
      </c>
      <c r="GW30" s="6312"/>
      <c r="GX30" s="6311">
        <v>69</v>
      </c>
      <c r="GY30" s="6311">
        <v>88</v>
      </c>
      <c r="GZ30" s="6311">
        <v>5</v>
      </c>
      <c r="HA30" s="6311">
        <v>28</v>
      </c>
      <c r="HB30" s="6312"/>
      <c r="HC30" s="6311">
        <v>0</v>
      </c>
      <c r="HD30" s="6311">
        <v>31</v>
      </c>
      <c r="HE30" s="6311">
        <v>7</v>
      </c>
      <c r="HF30" s="6311">
        <v>0</v>
      </c>
      <c r="HG30" s="6311">
        <v>101</v>
      </c>
      <c r="HH30" s="6311">
        <v>0</v>
      </c>
      <c r="HI30" s="6311">
        <v>489</v>
      </c>
      <c r="HJ30" s="467">
        <f t="shared" si="12"/>
        <v>0.20449897750511248</v>
      </c>
      <c r="HL30" s="967"/>
      <c r="HM30" s="967"/>
      <c r="HN30" s="977" t="s">
        <v>12</v>
      </c>
      <c r="HO30" s="978">
        <v>102</v>
      </c>
      <c r="HP30" s="978">
        <v>37</v>
      </c>
      <c r="HQ30" s="967"/>
      <c r="HR30" s="978">
        <v>86</v>
      </c>
      <c r="HS30" s="978">
        <v>89</v>
      </c>
      <c r="HT30" s="978">
        <v>7</v>
      </c>
      <c r="HU30" s="978">
        <v>29</v>
      </c>
      <c r="HV30" s="967"/>
      <c r="HW30" s="978">
        <v>0</v>
      </c>
      <c r="HX30" s="978">
        <v>23</v>
      </c>
      <c r="HY30" s="978">
        <v>4</v>
      </c>
      <c r="HZ30" s="978">
        <v>121</v>
      </c>
      <c r="IA30" s="967"/>
      <c r="IB30" s="978">
        <v>498</v>
      </c>
      <c r="IC30" s="467">
        <f t="shared" si="13"/>
        <v>0.20080321285140562</v>
      </c>
      <c r="IE30" s="577"/>
      <c r="IF30" s="577"/>
      <c r="IG30" s="979" t="s">
        <v>12</v>
      </c>
      <c r="IH30" s="980">
        <v>64</v>
      </c>
      <c r="II30" s="980">
        <v>22</v>
      </c>
      <c r="IJ30" s="980">
        <v>0</v>
      </c>
      <c r="IK30" s="980">
        <v>81</v>
      </c>
      <c r="IL30" s="980">
        <v>83</v>
      </c>
      <c r="IM30" s="980">
        <v>15</v>
      </c>
      <c r="IN30" s="980">
        <v>21</v>
      </c>
      <c r="IO30" s="577"/>
      <c r="IP30" s="577"/>
      <c r="IQ30" s="980">
        <v>8</v>
      </c>
      <c r="IR30" s="980">
        <v>6</v>
      </c>
      <c r="IS30" s="980">
        <v>129</v>
      </c>
      <c r="IT30" s="577"/>
      <c r="IU30" s="980">
        <v>429</v>
      </c>
      <c r="IV30" s="467">
        <f t="shared" si="14"/>
        <v>0.24242424242424243</v>
      </c>
      <c r="IX30" s="742"/>
      <c r="IY30" s="742"/>
      <c r="IZ30" s="981" t="s">
        <v>28</v>
      </c>
      <c r="JA30" s="982">
        <v>52</v>
      </c>
      <c r="JB30" s="982">
        <v>21</v>
      </c>
      <c r="JC30" s="982">
        <v>0</v>
      </c>
      <c r="JD30" s="982">
        <v>69</v>
      </c>
      <c r="JE30" s="982">
        <v>47</v>
      </c>
      <c r="JF30" s="982">
        <v>16</v>
      </c>
      <c r="JG30" s="982">
        <v>29</v>
      </c>
      <c r="JH30" s="982">
        <v>0</v>
      </c>
      <c r="JI30" s="982">
        <v>7</v>
      </c>
      <c r="JJ30" s="982">
        <v>12</v>
      </c>
      <c r="JK30" s="982">
        <v>54</v>
      </c>
      <c r="JL30" s="982">
        <v>104</v>
      </c>
      <c r="JM30" s="982">
        <v>0</v>
      </c>
      <c r="JN30" s="982">
        <v>2</v>
      </c>
      <c r="JO30" s="982">
        <v>413</v>
      </c>
      <c r="JP30" s="983">
        <f t="shared" si="15"/>
        <v>0.21008403361344538</v>
      </c>
      <c r="JR30" s="97"/>
      <c r="JS30" s="97"/>
      <c r="JT30" s="42" t="s">
        <v>28</v>
      </c>
      <c r="JU30" s="42">
        <v>50</v>
      </c>
      <c r="JV30" s="42">
        <v>17</v>
      </c>
      <c r="JW30" s="42"/>
      <c r="JX30" s="42">
        <v>59</v>
      </c>
      <c r="JY30" s="42">
        <v>39</v>
      </c>
      <c r="JZ30" s="42">
        <v>14</v>
      </c>
      <c r="KA30" s="42">
        <v>19</v>
      </c>
      <c r="KB30" s="42"/>
      <c r="KC30" s="42">
        <v>5</v>
      </c>
      <c r="KD30" s="42">
        <v>13</v>
      </c>
      <c r="KE30" s="42">
        <v>55</v>
      </c>
      <c r="KF30" s="42">
        <v>99</v>
      </c>
      <c r="KG30" s="42"/>
      <c r="KH30" s="42">
        <v>1</v>
      </c>
      <c r="KI30" s="42">
        <v>371</v>
      </c>
      <c r="KJ30" s="984">
        <f t="shared" si="1"/>
        <v>0.20952380952380953</v>
      </c>
      <c r="KK30" s="42"/>
      <c r="KL30" s="354"/>
      <c r="KM30" s="354"/>
      <c r="KN30" s="354" t="s">
        <v>28</v>
      </c>
      <c r="KO30" s="985">
        <v>48</v>
      </c>
      <c r="KP30" s="985">
        <v>14</v>
      </c>
      <c r="KQ30" s="985" t="s">
        <v>315</v>
      </c>
      <c r="KR30" s="985">
        <v>61</v>
      </c>
      <c r="KS30" s="985">
        <v>43</v>
      </c>
      <c r="KT30" s="985">
        <v>9</v>
      </c>
      <c r="KU30" s="985">
        <v>38</v>
      </c>
      <c r="KV30" s="985" t="s">
        <v>315</v>
      </c>
      <c r="KW30" s="985">
        <v>8</v>
      </c>
      <c r="KX30" s="985">
        <v>13</v>
      </c>
      <c r="KY30" s="985">
        <v>86</v>
      </c>
      <c r="KZ30" s="985" t="s">
        <v>315</v>
      </c>
      <c r="LA30" s="985">
        <v>320</v>
      </c>
      <c r="LB30" s="985">
        <f t="shared" si="2"/>
        <v>65</v>
      </c>
      <c r="LC30" s="986">
        <f t="shared" si="3"/>
        <v>0.203125</v>
      </c>
      <c r="LD30" s="42"/>
      <c r="LE30" s="42"/>
    </row>
    <row r="31" spans="1:317">
      <c r="A31" s="6291">
        <v>2</v>
      </c>
      <c r="B31" s="6291">
        <v>1</v>
      </c>
      <c r="C31" s="6291">
        <v>29</v>
      </c>
      <c r="D31" s="6292">
        <v>442</v>
      </c>
      <c r="E31" s="6291">
        <v>7</v>
      </c>
      <c r="F31" s="6291">
        <v>92</v>
      </c>
      <c r="G31" s="6291">
        <v>140</v>
      </c>
      <c r="H31" s="6291">
        <v>44</v>
      </c>
      <c r="I31" s="6293"/>
      <c r="J31" s="6291">
        <v>9</v>
      </c>
      <c r="K31" s="6291">
        <v>12</v>
      </c>
      <c r="L31" s="6293"/>
      <c r="M31" s="6291">
        <v>12</v>
      </c>
      <c r="N31" s="6291">
        <v>38</v>
      </c>
      <c r="O31" s="6293"/>
      <c r="P31" s="6291">
        <v>88</v>
      </c>
      <c r="Q31" s="6294">
        <f t="shared" si="4"/>
        <v>0.25339366515837103</v>
      </c>
      <c r="S31" s="6295">
        <v>2</v>
      </c>
      <c r="T31" s="6295">
        <v>1</v>
      </c>
      <c r="U31" s="6295">
        <v>25</v>
      </c>
      <c r="V31" s="6295">
        <v>662</v>
      </c>
      <c r="W31" s="6295">
        <v>23</v>
      </c>
      <c r="X31" s="6295">
        <v>158</v>
      </c>
      <c r="Y31" s="6295">
        <v>115</v>
      </c>
      <c r="Z31" s="6295">
        <v>84</v>
      </c>
      <c r="AA31" s="6296"/>
      <c r="AB31" s="6295">
        <v>32</v>
      </c>
      <c r="AC31" s="6295">
        <v>19</v>
      </c>
      <c r="AD31" s="6296"/>
      <c r="AE31" s="6295">
        <v>21</v>
      </c>
      <c r="AF31" s="6295">
        <v>95</v>
      </c>
      <c r="AG31" s="6296"/>
      <c r="AH31" s="6295">
        <v>115</v>
      </c>
      <c r="AI31" s="6294">
        <f t="shared" si="5"/>
        <v>0.23413897280966767</v>
      </c>
      <c r="AJ31" s="6295"/>
      <c r="AK31" s="6297">
        <v>2</v>
      </c>
      <c r="AL31" s="6297">
        <v>1</v>
      </c>
      <c r="AM31" s="6297">
        <v>25</v>
      </c>
      <c r="AN31" s="6298">
        <v>697</v>
      </c>
      <c r="AO31" s="6297">
        <v>26</v>
      </c>
      <c r="AP31" s="6297">
        <v>158</v>
      </c>
      <c r="AQ31" s="6297">
        <v>120</v>
      </c>
      <c r="AR31" s="6297">
        <v>84</v>
      </c>
      <c r="AS31" s="6299"/>
      <c r="AT31" s="6297">
        <v>32</v>
      </c>
      <c r="AU31" s="6297">
        <v>1</v>
      </c>
      <c r="AV31" s="6297">
        <v>16</v>
      </c>
      <c r="AW31" s="6297">
        <v>22</v>
      </c>
      <c r="AX31" s="6299"/>
      <c r="AY31" s="6297">
        <v>95</v>
      </c>
      <c r="AZ31" s="6297">
        <v>33</v>
      </c>
      <c r="BA31" s="6299"/>
      <c r="BB31" s="6297">
        <v>110</v>
      </c>
      <c r="BC31" s="6300">
        <f t="shared" si="6"/>
        <v>0.22322775263951736</v>
      </c>
      <c r="BE31" s="6313">
        <v>2</v>
      </c>
      <c r="BF31" s="6313">
        <v>1</v>
      </c>
      <c r="BG31" s="6313">
        <v>25</v>
      </c>
      <c r="BH31" s="4405" t="s">
        <v>28</v>
      </c>
      <c r="BI31" s="6314">
        <v>715</v>
      </c>
      <c r="BJ31" s="6313">
        <v>18</v>
      </c>
      <c r="BK31" s="6313">
        <v>189</v>
      </c>
      <c r="BL31" s="6313">
        <v>126</v>
      </c>
      <c r="BM31" s="6313">
        <v>92</v>
      </c>
      <c r="BN31" s="6303"/>
      <c r="BO31" s="6313">
        <v>32</v>
      </c>
      <c r="BP31" s="6313">
        <v>1</v>
      </c>
      <c r="BQ31" s="6313">
        <v>24</v>
      </c>
      <c r="BR31" s="6303"/>
      <c r="BS31" s="6313">
        <v>29</v>
      </c>
      <c r="BT31" s="6313">
        <v>82</v>
      </c>
      <c r="BU31" s="6313">
        <v>25</v>
      </c>
      <c r="BV31" s="6303"/>
      <c r="BW31" s="6313">
        <v>97</v>
      </c>
      <c r="BX31" s="6300">
        <f t="shared" si="16"/>
        <v>0.21770682148040638</v>
      </c>
      <c r="BZ31" s="4388"/>
      <c r="CA31" s="4388"/>
      <c r="CB31" s="4388" t="s">
        <v>28</v>
      </c>
      <c r="CC31" s="4231">
        <v>133</v>
      </c>
      <c r="CD31" s="4231">
        <v>76</v>
      </c>
      <c r="CE31" s="4231">
        <v>0</v>
      </c>
      <c r="CF31" s="4231">
        <v>91</v>
      </c>
      <c r="CG31" s="4231">
        <v>94</v>
      </c>
      <c r="CH31" s="4231">
        <v>26</v>
      </c>
      <c r="CI31" s="4231">
        <v>32</v>
      </c>
      <c r="CJ31" s="4231"/>
      <c r="CK31" s="4231">
        <v>0</v>
      </c>
      <c r="CL31" s="4231">
        <v>27</v>
      </c>
      <c r="CM31" s="4231">
        <v>22</v>
      </c>
      <c r="CN31" s="4231">
        <v>25</v>
      </c>
      <c r="CO31" s="4231">
        <v>189</v>
      </c>
      <c r="CP31" s="4231">
        <v>1</v>
      </c>
      <c r="CQ31" s="4231">
        <v>716</v>
      </c>
      <c r="CR31" s="6304">
        <f t="shared" si="7"/>
        <v>0.20579710144927535</v>
      </c>
      <c r="CS31" s="4238">
        <f t="shared" si="8"/>
        <v>0</v>
      </c>
      <c r="CT31" s="6305">
        <v>716</v>
      </c>
      <c r="CU31" s="6316"/>
      <c r="CX31" s="42" t="s">
        <v>28</v>
      </c>
      <c r="CY31" s="42">
        <v>72</v>
      </c>
      <c r="CZ31" s="42">
        <v>54</v>
      </c>
      <c r="DA31" s="42">
        <v>1</v>
      </c>
      <c r="DB31" s="42">
        <v>90</v>
      </c>
      <c r="DC31" s="42">
        <v>117</v>
      </c>
      <c r="DD31" s="42">
        <v>19</v>
      </c>
      <c r="DE31" s="42">
        <v>90</v>
      </c>
      <c r="DG31" s="42">
        <v>0</v>
      </c>
      <c r="DH31" s="42">
        <v>26</v>
      </c>
      <c r="DI31" s="42">
        <v>14</v>
      </c>
      <c r="DJ31" s="42">
        <v>19</v>
      </c>
      <c r="DK31" s="42">
        <v>147</v>
      </c>
      <c r="DL31" s="42">
        <v>0</v>
      </c>
      <c r="DM31" s="893">
        <v>649</v>
      </c>
      <c r="DN31" s="6306">
        <f t="shared" si="17"/>
        <v>0.23809523809523808</v>
      </c>
      <c r="DP31" s="4263"/>
      <c r="DQ31" s="4263"/>
      <c r="DR31" s="4258" t="s">
        <v>28</v>
      </c>
      <c r="DS31" s="4263">
        <v>124</v>
      </c>
      <c r="DT31" s="4263">
        <v>79</v>
      </c>
      <c r="DU31" s="4263">
        <v>1</v>
      </c>
      <c r="DV31" s="4263">
        <v>86</v>
      </c>
      <c r="DW31" s="4263">
        <v>83</v>
      </c>
      <c r="DX31" s="4263">
        <v>28</v>
      </c>
      <c r="DY31" s="4263">
        <v>42</v>
      </c>
      <c r="DZ31" s="4263"/>
      <c r="EA31" s="4263">
        <v>0</v>
      </c>
      <c r="EB31" s="4263">
        <v>30</v>
      </c>
      <c r="EC31" s="4263">
        <v>15</v>
      </c>
      <c r="ED31" s="4263">
        <v>20</v>
      </c>
      <c r="EE31" s="4263">
        <v>172</v>
      </c>
      <c r="EF31" s="4263">
        <v>0</v>
      </c>
      <c r="EG31" s="4263">
        <v>680</v>
      </c>
      <c r="EH31" s="6307">
        <f t="shared" si="9"/>
        <v>0.19090909090909092</v>
      </c>
      <c r="EL31" s="42" t="s">
        <v>28</v>
      </c>
      <c r="EM31" s="97">
        <v>118</v>
      </c>
      <c r="EN31" s="97">
        <v>60</v>
      </c>
      <c r="EO31" s="97"/>
      <c r="EP31" s="97">
        <v>2</v>
      </c>
      <c r="EQ31" s="97">
        <v>86</v>
      </c>
      <c r="ER31" s="97">
        <v>16</v>
      </c>
      <c r="ES31" s="97">
        <v>57</v>
      </c>
      <c r="ET31" s="97"/>
      <c r="EU31" s="97"/>
      <c r="EV31" s="97">
        <v>36</v>
      </c>
      <c r="EW31" s="97">
        <v>18</v>
      </c>
      <c r="EX31" s="97">
        <v>19</v>
      </c>
      <c r="EY31" s="97">
        <v>149</v>
      </c>
      <c r="EZ31" s="97">
        <v>0</v>
      </c>
      <c r="FA31" s="97">
        <v>561</v>
      </c>
      <c r="FB31" s="6315">
        <f t="shared" si="10"/>
        <v>0.22140221402214022</v>
      </c>
      <c r="FD31" s="42"/>
      <c r="FE31" s="42"/>
      <c r="FF31" s="42" t="s">
        <v>28</v>
      </c>
      <c r="FG31" s="97">
        <v>124</v>
      </c>
      <c r="FH31" s="97">
        <v>61</v>
      </c>
      <c r="FI31" s="97"/>
      <c r="FJ31" s="97">
        <v>82</v>
      </c>
      <c r="FK31" s="97">
        <v>66</v>
      </c>
      <c r="FL31" s="97">
        <v>12</v>
      </c>
      <c r="FM31" s="97">
        <v>45</v>
      </c>
      <c r="FN31" s="97"/>
      <c r="FO31" s="97">
        <v>0</v>
      </c>
      <c r="FP31" s="97">
        <v>20</v>
      </c>
      <c r="FQ31" s="97">
        <v>15</v>
      </c>
      <c r="FR31" s="97">
        <v>15</v>
      </c>
      <c r="FS31" s="97">
        <v>139</v>
      </c>
      <c r="FT31" s="97">
        <v>0</v>
      </c>
      <c r="FU31" s="97">
        <v>579</v>
      </c>
      <c r="FV31" s="6308">
        <f t="shared" si="0"/>
        <v>0.16489361702127658</v>
      </c>
      <c r="FW31" s="6322"/>
      <c r="FX31" s="42"/>
      <c r="FY31" s="42"/>
      <c r="FZ31" s="42" t="s">
        <v>28</v>
      </c>
      <c r="GA31" s="97">
        <v>106</v>
      </c>
      <c r="GB31" s="97">
        <v>44</v>
      </c>
      <c r="GC31" s="97"/>
      <c r="GD31" s="97">
        <v>69</v>
      </c>
      <c r="GE31" s="97">
        <v>56</v>
      </c>
      <c r="GF31" s="97">
        <v>15</v>
      </c>
      <c r="GG31" s="97">
        <v>22</v>
      </c>
      <c r="GH31" s="97">
        <v>0</v>
      </c>
      <c r="GI31" s="97">
        <v>0</v>
      </c>
      <c r="GJ31" s="97">
        <v>16</v>
      </c>
      <c r="GK31" s="97">
        <v>15</v>
      </c>
      <c r="GL31" s="97">
        <v>6</v>
      </c>
      <c r="GM31" s="97">
        <v>127</v>
      </c>
      <c r="GN31" s="97">
        <v>0</v>
      </c>
      <c r="GO31" s="97">
        <v>476</v>
      </c>
      <c r="GP31" s="6308">
        <f t="shared" si="11"/>
        <v>0.18297872340425531</v>
      </c>
      <c r="GR31" s="6280"/>
      <c r="GS31" s="6280"/>
      <c r="GT31" s="6310" t="s">
        <v>28</v>
      </c>
      <c r="GU31" s="6311">
        <v>91</v>
      </c>
      <c r="GV31" s="6311">
        <v>36</v>
      </c>
      <c r="GW31" s="6312"/>
      <c r="GX31" s="6311">
        <v>65</v>
      </c>
      <c r="GY31" s="6311">
        <v>62</v>
      </c>
      <c r="GZ31" s="6311">
        <v>7</v>
      </c>
      <c r="HA31" s="6311">
        <v>33</v>
      </c>
      <c r="HB31" s="6312"/>
      <c r="HC31" s="6311">
        <v>0</v>
      </c>
      <c r="HD31" s="6311">
        <v>19</v>
      </c>
      <c r="HE31" s="6311">
        <v>16</v>
      </c>
      <c r="HF31" s="6311">
        <v>1</v>
      </c>
      <c r="HG31" s="6311">
        <v>110</v>
      </c>
      <c r="HH31" s="6311">
        <v>0</v>
      </c>
      <c r="HI31" s="6311">
        <v>440</v>
      </c>
      <c r="HJ31" s="467">
        <f t="shared" si="12"/>
        <v>0.19362186788154898</v>
      </c>
      <c r="HL31" s="967"/>
      <c r="HM31" s="967"/>
      <c r="HN31" s="977" t="s">
        <v>28</v>
      </c>
      <c r="HO31" s="978">
        <v>71</v>
      </c>
      <c r="HP31" s="978">
        <v>25</v>
      </c>
      <c r="HQ31" s="967"/>
      <c r="HR31" s="978">
        <v>73</v>
      </c>
      <c r="HS31" s="978">
        <v>59</v>
      </c>
      <c r="HT31" s="978">
        <v>11</v>
      </c>
      <c r="HU31" s="978">
        <v>26</v>
      </c>
      <c r="HV31" s="967"/>
      <c r="HW31" s="978">
        <v>0</v>
      </c>
      <c r="HX31" s="978">
        <v>15</v>
      </c>
      <c r="HY31" s="978">
        <v>8</v>
      </c>
      <c r="HZ31" s="978">
        <v>128</v>
      </c>
      <c r="IA31" s="967"/>
      <c r="IB31" s="978">
        <v>416</v>
      </c>
      <c r="IC31" s="467">
        <f t="shared" si="13"/>
        <v>0.1875</v>
      </c>
      <c r="IE31" s="577"/>
      <c r="IF31" s="577"/>
      <c r="IG31" s="979" t="s">
        <v>28</v>
      </c>
      <c r="IH31" s="980">
        <v>61</v>
      </c>
      <c r="II31" s="980">
        <v>25</v>
      </c>
      <c r="IJ31" s="980">
        <v>0</v>
      </c>
      <c r="IK31" s="980">
        <v>70</v>
      </c>
      <c r="IL31" s="980">
        <v>54</v>
      </c>
      <c r="IM31" s="980">
        <v>12</v>
      </c>
      <c r="IN31" s="980">
        <v>30</v>
      </c>
      <c r="IO31" s="577"/>
      <c r="IP31" s="577"/>
      <c r="IQ31" s="980">
        <v>5</v>
      </c>
      <c r="IR31" s="980">
        <v>14</v>
      </c>
      <c r="IS31" s="980">
        <v>108</v>
      </c>
      <c r="IT31" s="577"/>
      <c r="IU31" s="980">
        <v>379</v>
      </c>
      <c r="IV31" s="467">
        <f t="shared" si="14"/>
        <v>0.21108179419525067</v>
      </c>
      <c r="IX31" s="742"/>
      <c r="IY31" s="742"/>
      <c r="IZ31" s="981" t="s">
        <v>29</v>
      </c>
      <c r="JA31" s="982">
        <v>51</v>
      </c>
      <c r="JB31" s="982">
        <v>9</v>
      </c>
      <c r="JC31" s="982">
        <v>0</v>
      </c>
      <c r="JD31" s="982">
        <v>73</v>
      </c>
      <c r="JE31" s="982">
        <v>39</v>
      </c>
      <c r="JF31" s="982">
        <v>2</v>
      </c>
      <c r="JG31" s="982">
        <v>29</v>
      </c>
      <c r="JH31" s="982">
        <v>0</v>
      </c>
      <c r="JI31" s="982">
        <v>3</v>
      </c>
      <c r="JJ31" s="982">
        <v>4</v>
      </c>
      <c r="JK31" s="982">
        <v>77</v>
      </c>
      <c r="JL31" s="982">
        <v>77</v>
      </c>
      <c r="JM31" s="982">
        <v>0</v>
      </c>
      <c r="JN31" s="982">
        <v>1</v>
      </c>
      <c r="JO31" s="982">
        <v>365</v>
      </c>
      <c r="JP31" s="983">
        <f t="shared" si="15"/>
        <v>0.156794425087108</v>
      </c>
      <c r="JR31" s="97"/>
      <c r="JS31" s="97"/>
      <c r="JT31" s="42" t="s">
        <v>29</v>
      </c>
      <c r="JU31" s="42">
        <v>40</v>
      </c>
      <c r="JV31" s="42">
        <v>12</v>
      </c>
      <c r="JW31" s="42"/>
      <c r="JX31" s="42">
        <v>67</v>
      </c>
      <c r="JY31" s="42">
        <v>35</v>
      </c>
      <c r="JZ31" s="42">
        <v>3</v>
      </c>
      <c r="KA31" s="42">
        <v>23</v>
      </c>
      <c r="KB31" s="42"/>
      <c r="KC31" s="42">
        <v>4</v>
      </c>
      <c r="KD31" s="42">
        <v>4</v>
      </c>
      <c r="KE31" s="42">
        <v>71</v>
      </c>
      <c r="KF31" s="42">
        <v>82</v>
      </c>
      <c r="KG31" s="42"/>
      <c r="KH31" s="42">
        <v>1</v>
      </c>
      <c r="KI31" s="42">
        <v>342</v>
      </c>
      <c r="KJ31" s="984">
        <f t="shared" si="1"/>
        <v>0.15555555555555556</v>
      </c>
      <c r="KK31" s="42"/>
      <c r="KL31" s="354"/>
      <c r="KM31" s="354"/>
      <c r="KN31" s="354" t="s">
        <v>29</v>
      </c>
      <c r="KO31" s="985">
        <v>37</v>
      </c>
      <c r="KP31" s="985">
        <v>15</v>
      </c>
      <c r="KQ31" s="985" t="s">
        <v>315</v>
      </c>
      <c r="KR31" s="985">
        <v>63</v>
      </c>
      <c r="KS31" s="985">
        <v>34</v>
      </c>
      <c r="KT31" s="985">
        <v>4</v>
      </c>
      <c r="KU31" s="985">
        <v>43</v>
      </c>
      <c r="KV31" s="985" t="s">
        <v>315</v>
      </c>
      <c r="KW31" s="985">
        <v>6</v>
      </c>
      <c r="KX31" s="985">
        <v>4</v>
      </c>
      <c r="KY31" s="985">
        <v>79</v>
      </c>
      <c r="KZ31" s="985" t="s">
        <v>315</v>
      </c>
      <c r="LA31" s="985">
        <v>285</v>
      </c>
      <c r="LB31" s="985">
        <f t="shared" si="2"/>
        <v>42</v>
      </c>
      <c r="LC31" s="986">
        <f t="shared" si="3"/>
        <v>0.14736842105263157</v>
      </c>
      <c r="LD31" s="42"/>
      <c r="LE31" s="42"/>
    </row>
    <row r="32" spans="1:317">
      <c r="A32" s="6291">
        <v>2</v>
      </c>
      <c r="B32" s="6291">
        <v>1</v>
      </c>
      <c r="C32" s="6291">
        <v>30</v>
      </c>
      <c r="D32" s="6292">
        <v>607</v>
      </c>
      <c r="E32" s="6291">
        <v>15</v>
      </c>
      <c r="F32" s="6291">
        <v>195</v>
      </c>
      <c r="G32" s="6291">
        <v>138</v>
      </c>
      <c r="H32" s="6291">
        <v>45</v>
      </c>
      <c r="I32" s="6293"/>
      <c r="J32" s="6291">
        <v>8</v>
      </c>
      <c r="K32" s="6291">
        <v>22</v>
      </c>
      <c r="L32" s="6293"/>
      <c r="M32" s="6291">
        <v>9</v>
      </c>
      <c r="N32" s="6291">
        <v>44</v>
      </c>
      <c r="O32" s="6293"/>
      <c r="P32" s="6291">
        <v>131</v>
      </c>
      <c r="Q32" s="6294">
        <f t="shared" si="4"/>
        <v>0.26688632619439867</v>
      </c>
      <c r="S32" s="6295">
        <v>2</v>
      </c>
      <c r="T32" s="6295">
        <v>1</v>
      </c>
      <c r="U32" s="6295">
        <v>26</v>
      </c>
      <c r="V32" s="6295">
        <v>710</v>
      </c>
      <c r="W32" s="6295">
        <v>9</v>
      </c>
      <c r="X32" s="6295">
        <v>157</v>
      </c>
      <c r="Y32" s="6295">
        <v>149</v>
      </c>
      <c r="Z32" s="6295">
        <v>82</v>
      </c>
      <c r="AA32" s="6296"/>
      <c r="AB32" s="6295">
        <v>26</v>
      </c>
      <c r="AC32" s="6295">
        <v>22</v>
      </c>
      <c r="AD32" s="6296"/>
      <c r="AE32" s="6295">
        <v>34</v>
      </c>
      <c r="AF32" s="6295">
        <v>112</v>
      </c>
      <c r="AG32" s="6296"/>
      <c r="AH32" s="6295">
        <v>119</v>
      </c>
      <c r="AI32" s="6294">
        <f t="shared" si="5"/>
        <v>0.24647887323943662</v>
      </c>
      <c r="AJ32" s="6295"/>
      <c r="AK32" s="6297">
        <v>2</v>
      </c>
      <c r="AL32" s="6297">
        <v>1</v>
      </c>
      <c r="AM32" s="6297">
        <v>26</v>
      </c>
      <c r="AN32" s="6298">
        <v>771</v>
      </c>
      <c r="AO32" s="6297">
        <v>20</v>
      </c>
      <c r="AP32" s="6297">
        <v>157</v>
      </c>
      <c r="AQ32" s="6297">
        <v>167</v>
      </c>
      <c r="AR32" s="6297">
        <v>81</v>
      </c>
      <c r="AS32" s="6299"/>
      <c r="AT32" s="6297">
        <v>26</v>
      </c>
      <c r="AU32" s="6297">
        <v>2</v>
      </c>
      <c r="AV32" s="6297">
        <v>15</v>
      </c>
      <c r="AW32" s="6297">
        <v>25</v>
      </c>
      <c r="AX32" s="6299"/>
      <c r="AY32" s="6297">
        <v>101</v>
      </c>
      <c r="AZ32" s="6297">
        <v>59</v>
      </c>
      <c r="BA32" s="6299"/>
      <c r="BB32" s="6297">
        <v>118</v>
      </c>
      <c r="BC32" s="6300">
        <f t="shared" si="6"/>
        <v>0.22253521126760564</v>
      </c>
      <c r="BE32" s="6313">
        <v>2</v>
      </c>
      <c r="BF32" s="6313">
        <v>1</v>
      </c>
      <c r="BG32" s="6313">
        <v>26</v>
      </c>
      <c r="BH32" s="4405" t="s">
        <v>29</v>
      </c>
      <c r="BI32" s="6314">
        <v>751</v>
      </c>
      <c r="BJ32" s="6313">
        <v>18</v>
      </c>
      <c r="BK32" s="6313">
        <v>179</v>
      </c>
      <c r="BL32" s="6313">
        <v>157</v>
      </c>
      <c r="BM32" s="6313">
        <v>95</v>
      </c>
      <c r="BN32" s="6303"/>
      <c r="BO32" s="6313">
        <v>28</v>
      </c>
      <c r="BP32" s="6303"/>
      <c r="BQ32" s="6313">
        <v>7</v>
      </c>
      <c r="BR32" s="6303"/>
      <c r="BS32" s="6313">
        <v>40</v>
      </c>
      <c r="BT32" s="6313">
        <v>85</v>
      </c>
      <c r="BU32" s="6313">
        <v>44</v>
      </c>
      <c r="BV32" s="6303"/>
      <c r="BW32" s="6313">
        <v>98</v>
      </c>
      <c r="BX32" s="6300">
        <f t="shared" si="16"/>
        <v>0.2050919377652051</v>
      </c>
      <c r="BZ32" s="4388"/>
      <c r="CA32" s="4388"/>
      <c r="CB32" s="4388" t="s">
        <v>29</v>
      </c>
      <c r="CC32" s="4231">
        <v>174</v>
      </c>
      <c r="CD32" s="4231">
        <v>81</v>
      </c>
      <c r="CE32" s="4231">
        <v>0</v>
      </c>
      <c r="CF32" s="4231">
        <v>94</v>
      </c>
      <c r="CG32" s="4231">
        <v>97</v>
      </c>
      <c r="CH32" s="4231">
        <v>25</v>
      </c>
      <c r="CI32" s="4231">
        <v>28</v>
      </c>
      <c r="CJ32" s="4231"/>
      <c r="CK32" s="4231">
        <v>0</v>
      </c>
      <c r="CL32" s="4231">
        <v>20</v>
      </c>
      <c r="CM32" s="4231">
        <v>10</v>
      </c>
      <c r="CN32" s="4231">
        <v>44</v>
      </c>
      <c r="CO32" s="4231">
        <v>179</v>
      </c>
      <c r="CP32" s="4231">
        <v>0</v>
      </c>
      <c r="CQ32" s="4231">
        <v>752</v>
      </c>
      <c r="CR32" s="6304">
        <f t="shared" si="7"/>
        <v>0.1864406779661017</v>
      </c>
      <c r="CS32" s="4238">
        <f t="shared" si="8"/>
        <v>0</v>
      </c>
      <c r="CT32" s="6305">
        <v>752</v>
      </c>
      <c r="CU32" s="6316"/>
      <c r="CX32" s="42" t="s">
        <v>29</v>
      </c>
      <c r="CY32" s="42">
        <v>87</v>
      </c>
      <c r="CZ32" s="42">
        <v>46</v>
      </c>
      <c r="DA32" s="42">
        <v>0</v>
      </c>
      <c r="DB32" s="42">
        <v>86</v>
      </c>
      <c r="DC32" s="42">
        <v>121</v>
      </c>
      <c r="DD32" s="42">
        <v>13</v>
      </c>
      <c r="DE32" s="42">
        <v>56</v>
      </c>
      <c r="DG32" s="42">
        <v>0</v>
      </c>
      <c r="DH32" s="42">
        <v>24</v>
      </c>
      <c r="DI32" s="42">
        <v>7</v>
      </c>
      <c r="DJ32" s="42">
        <v>24</v>
      </c>
      <c r="DK32" s="42">
        <v>147</v>
      </c>
      <c r="DL32" s="42">
        <v>0</v>
      </c>
      <c r="DM32" s="893">
        <v>611</v>
      </c>
      <c r="DN32" s="6306">
        <f t="shared" si="17"/>
        <v>0.24020442930153321</v>
      </c>
      <c r="DP32" s="4263"/>
      <c r="DQ32" s="4263"/>
      <c r="DR32" s="4258" t="s">
        <v>29</v>
      </c>
      <c r="DS32" s="4263">
        <v>152</v>
      </c>
      <c r="DT32" s="4263">
        <v>68</v>
      </c>
      <c r="DU32" s="4263">
        <v>0</v>
      </c>
      <c r="DV32" s="4263">
        <v>92</v>
      </c>
      <c r="DW32" s="4263">
        <v>97</v>
      </c>
      <c r="DX32" s="4263">
        <v>16</v>
      </c>
      <c r="DY32" s="4263">
        <v>31</v>
      </c>
      <c r="DZ32" s="4263"/>
      <c r="EA32" s="4263">
        <v>0</v>
      </c>
      <c r="EB32" s="4263">
        <v>20</v>
      </c>
      <c r="EC32" s="4263">
        <v>7</v>
      </c>
      <c r="ED32" s="4263">
        <v>28</v>
      </c>
      <c r="EE32" s="4263">
        <v>173</v>
      </c>
      <c r="EF32" s="4263">
        <v>0</v>
      </c>
      <c r="EG32" s="4263">
        <v>684</v>
      </c>
      <c r="EH32" s="6307">
        <f t="shared" si="9"/>
        <v>0.18292682926829268</v>
      </c>
      <c r="EL32" s="42" t="s">
        <v>29</v>
      </c>
      <c r="EM32" s="97">
        <v>141</v>
      </c>
      <c r="EN32" s="97">
        <v>32</v>
      </c>
      <c r="EO32" s="97"/>
      <c r="EP32" s="97">
        <v>3</v>
      </c>
      <c r="EQ32" s="97">
        <v>98</v>
      </c>
      <c r="ER32" s="97">
        <v>10</v>
      </c>
      <c r="ES32" s="97">
        <v>34</v>
      </c>
      <c r="ET32" s="97"/>
      <c r="EU32" s="97"/>
      <c r="EV32" s="97">
        <v>27</v>
      </c>
      <c r="EW32" s="97">
        <v>8</v>
      </c>
      <c r="EX32" s="97">
        <v>24</v>
      </c>
      <c r="EY32" s="97">
        <v>155</v>
      </c>
      <c r="EZ32" s="97">
        <v>0</v>
      </c>
      <c r="FA32" s="97">
        <v>532</v>
      </c>
      <c r="FB32" s="6315">
        <f t="shared" si="10"/>
        <v>0.2283464566929134</v>
      </c>
      <c r="FD32" s="42"/>
      <c r="FE32" s="42"/>
      <c r="FF32" s="42" t="s">
        <v>29</v>
      </c>
      <c r="FG32" s="97">
        <v>139</v>
      </c>
      <c r="FH32" s="97">
        <v>53</v>
      </c>
      <c r="FI32" s="97"/>
      <c r="FJ32" s="97">
        <v>68</v>
      </c>
      <c r="FK32" s="97">
        <v>82</v>
      </c>
      <c r="FL32" s="97">
        <v>9</v>
      </c>
      <c r="FM32" s="97">
        <v>29</v>
      </c>
      <c r="FN32" s="97"/>
      <c r="FO32" s="97">
        <v>0</v>
      </c>
      <c r="FP32" s="97">
        <v>11</v>
      </c>
      <c r="FQ32" s="97">
        <v>8</v>
      </c>
      <c r="FR32" s="97">
        <v>16</v>
      </c>
      <c r="FS32" s="97">
        <v>121</v>
      </c>
      <c r="FT32" s="97">
        <v>0</v>
      </c>
      <c r="FU32" s="97">
        <v>536</v>
      </c>
      <c r="FV32" s="6308">
        <f t="shared" si="0"/>
        <v>0.19038461538461537</v>
      </c>
      <c r="FW32" s="6322"/>
      <c r="FX32" s="42"/>
      <c r="FY32" s="42"/>
      <c r="FZ32" s="42" t="s">
        <v>29</v>
      </c>
      <c r="GA32" s="97">
        <v>116</v>
      </c>
      <c r="GB32" s="97">
        <v>64</v>
      </c>
      <c r="GC32" s="97"/>
      <c r="GD32" s="97">
        <v>61</v>
      </c>
      <c r="GE32" s="97">
        <v>64</v>
      </c>
      <c r="GF32" s="97">
        <v>6</v>
      </c>
      <c r="GG32" s="97">
        <v>30</v>
      </c>
      <c r="GH32" s="97">
        <v>3</v>
      </c>
      <c r="GI32" s="97">
        <v>0</v>
      </c>
      <c r="GJ32" s="97">
        <v>16</v>
      </c>
      <c r="GK32" s="97">
        <v>11</v>
      </c>
      <c r="GL32" s="97">
        <v>5</v>
      </c>
      <c r="GM32" s="97">
        <v>93</v>
      </c>
      <c r="GN32" s="97">
        <v>0</v>
      </c>
      <c r="GO32" s="97">
        <v>469</v>
      </c>
      <c r="GP32" s="6308">
        <f t="shared" si="11"/>
        <v>0.17456896551724138</v>
      </c>
      <c r="GR32" s="6280"/>
      <c r="GS32" s="6280"/>
      <c r="GT32" s="6310" t="s">
        <v>29</v>
      </c>
      <c r="GU32" s="6311">
        <v>101</v>
      </c>
      <c r="GV32" s="6311">
        <v>41</v>
      </c>
      <c r="GW32" s="6312"/>
      <c r="GX32" s="6311">
        <v>54</v>
      </c>
      <c r="GY32" s="6311">
        <v>49</v>
      </c>
      <c r="GZ32" s="6311">
        <v>2</v>
      </c>
      <c r="HA32" s="6311">
        <v>22</v>
      </c>
      <c r="HB32" s="6312"/>
      <c r="HC32" s="6311">
        <v>0</v>
      </c>
      <c r="HD32" s="6311">
        <v>10</v>
      </c>
      <c r="HE32" s="6311">
        <v>11</v>
      </c>
      <c r="HF32" s="6311">
        <v>0</v>
      </c>
      <c r="HG32" s="6311">
        <v>88</v>
      </c>
      <c r="HH32" s="6311">
        <v>0</v>
      </c>
      <c r="HI32" s="6311">
        <v>378</v>
      </c>
      <c r="HJ32" s="467">
        <f t="shared" si="12"/>
        <v>0.16402116402116401</v>
      </c>
      <c r="HL32" s="967"/>
      <c r="HM32" s="967"/>
      <c r="HN32" s="977" t="s">
        <v>29</v>
      </c>
      <c r="HO32" s="978">
        <v>76</v>
      </c>
      <c r="HP32" s="978">
        <v>24</v>
      </c>
      <c r="HQ32" s="967"/>
      <c r="HR32" s="978">
        <v>65</v>
      </c>
      <c r="HS32" s="978">
        <v>37</v>
      </c>
      <c r="HT32" s="978">
        <v>0</v>
      </c>
      <c r="HU32" s="978">
        <v>17</v>
      </c>
      <c r="HV32" s="967"/>
      <c r="HW32" s="978">
        <v>0</v>
      </c>
      <c r="HX32" s="978">
        <v>10</v>
      </c>
      <c r="HY32" s="978">
        <v>11</v>
      </c>
      <c r="HZ32" s="978">
        <v>100</v>
      </c>
      <c r="IA32" s="967"/>
      <c r="IB32" s="978">
        <v>340</v>
      </c>
      <c r="IC32" s="467">
        <f t="shared" si="13"/>
        <v>0.14117647058823529</v>
      </c>
      <c r="IE32" s="577"/>
      <c r="IF32" s="577"/>
      <c r="IG32" s="979" t="s">
        <v>29</v>
      </c>
      <c r="IH32" s="980">
        <v>64</v>
      </c>
      <c r="II32" s="980">
        <v>17</v>
      </c>
      <c r="IJ32" s="980">
        <v>0</v>
      </c>
      <c r="IK32" s="980">
        <v>54</v>
      </c>
      <c r="IL32" s="980">
        <v>30</v>
      </c>
      <c r="IM32" s="980">
        <v>4</v>
      </c>
      <c r="IN32" s="980">
        <v>19</v>
      </c>
      <c r="IO32" s="577"/>
      <c r="IP32" s="577"/>
      <c r="IQ32" s="980">
        <v>3</v>
      </c>
      <c r="IR32" s="980">
        <v>4</v>
      </c>
      <c r="IS32" s="980">
        <v>83</v>
      </c>
      <c r="IT32" s="577"/>
      <c r="IU32" s="980">
        <v>278</v>
      </c>
      <c r="IV32" s="467">
        <f t="shared" si="14"/>
        <v>0.1366906474820144</v>
      </c>
      <c r="IX32" s="742"/>
      <c r="IY32" s="742"/>
      <c r="IZ32" s="981" t="s">
        <v>13</v>
      </c>
      <c r="JA32" s="982">
        <v>129</v>
      </c>
      <c r="JB32" s="982">
        <v>46</v>
      </c>
      <c r="JC32" s="982">
        <v>0</v>
      </c>
      <c r="JD32" s="982">
        <v>130</v>
      </c>
      <c r="JE32" s="982">
        <v>110</v>
      </c>
      <c r="JF32" s="982">
        <v>34</v>
      </c>
      <c r="JG32" s="982">
        <v>83</v>
      </c>
      <c r="JH32" s="982">
        <v>0</v>
      </c>
      <c r="JI32" s="982">
        <v>9</v>
      </c>
      <c r="JJ32" s="982">
        <v>22</v>
      </c>
      <c r="JK32" s="982">
        <v>247</v>
      </c>
      <c r="JL32" s="982">
        <v>246</v>
      </c>
      <c r="JM32" s="982">
        <v>0</v>
      </c>
      <c r="JN32" s="982">
        <v>2</v>
      </c>
      <c r="JO32" s="982">
        <v>1058</v>
      </c>
      <c r="JP32" s="983">
        <f t="shared" si="15"/>
        <v>0.20519159456118666</v>
      </c>
      <c r="JR32" s="97"/>
      <c r="JS32" s="97"/>
      <c r="JT32" s="42" t="s">
        <v>13</v>
      </c>
      <c r="JU32" s="42">
        <v>125</v>
      </c>
      <c r="JV32" s="42">
        <v>48</v>
      </c>
      <c r="JW32" s="42"/>
      <c r="JX32" s="42">
        <v>128</v>
      </c>
      <c r="JY32" s="42">
        <v>115</v>
      </c>
      <c r="JZ32" s="42">
        <v>29</v>
      </c>
      <c r="KA32" s="42">
        <v>94</v>
      </c>
      <c r="KB32" s="42"/>
      <c r="KC32" s="42">
        <v>9</v>
      </c>
      <c r="KD32" s="42">
        <v>15</v>
      </c>
      <c r="KE32" s="42">
        <v>235</v>
      </c>
      <c r="KF32" s="42">
        <v>265</v>
      </c>
      <c r="KG32" s="42"/>
      <c r="KH32" s="42">
        <v>2</v>
      </c>
      <c r="KI32" s="42">
        <v>1065</v>
      </c>
      <c r="KJ32" s="984">
        <f t="shared" si="1"/>
        <v>0.19202898550724637</v>
      </c>
      <c r="KK32" s="42"/>
      <c r="KL32" s="354"/>
      <c r="KM32" s="354"/>
      <c r="KN32" s="354" t="s">
        <v>13</v>
      </c>
      <c r="KO32" s="985">
        <v>117</v>
      </c>
      <c r="KP32" s="985">
        <v>42</v>
      </c>
      <c r="KQ32" s="985" t="s">
        <v>315</v>
      </c>
      <c r="KR32" s="985">
        <v>131</v>
      </c>
      <c r="KS32" s="985">
        <v>123</v>
      </c>
      <c r="KT32" s="985">
        <v>27</v>
      </c>
      <c r="KU32" s="985">
        <v>107</v>
      </c>
      <c r="KV32" s="985" t="s">
        <v>315</v>
      </c>
      <c r="KW32" s="985">
        <v>19</v>
      </c>
      <c r="KX32" s="985">
        <v>26</v>
      </c>
      <c r="KY32" s="985">
        <v>293</v>
      </c>
      <c r="KZ32" s="985" t="s">
        <v>315</v>
      </c>
      <c r="LA32" s="985">
        <v>885</v>
      </c>
      <c r="LB32" s="985">
        <f t="shared" si="2"/>
        <v>176</v>
      </c>
      <c r="LC32" s="986">
        <f t="shared" si="3"/>
        <v>0.19887005649717515</v>
      </c>
      <c r="LD32" s="42"/>
      <c r="LE32" s="42"/>
    </row>
    <row r="33" spans="1:317">
      <c r="A33" s="6291">
        <v>2</v>
      </c>
      <c r="B33" s="6291">
        <v>1</v>
      </c>
      <c r="C33" s="6291">
        <v>174</v>
      </c>
      <c r="D33" s="6292">
        <v>58</v>
      </c>
      <c r="E33" s="6291">
        <v>1</v>
      </c>
      <c r="F33" s="6291">
        <v>19</v>
      </c>
      <c r="G33" s="6291">
        <v>25</v>
      </c>
      <c r="H33" s="6291">
        <v>6</v>
      </c>
      <c r="I33" s="6293"/>
      <c r="J33" s="6291">
        <v>1</v>
      </c>
      <c r="K33" s="6293"/>
      <c r="L33" s="6293"/>
      <c r="M33" s="6293"/>
      <c r="N33" s="6291">
        <v>6</v>
      </c>
      <c r="O33" s="6293"/>
      <c r="P33" s="6293"/>
      <c r="Q33" s="6294">
        <f t="shared" si="4"/>
        <v>0</v>
      </c>
      <c r="S33" s="6295">
        <v>2</v>
      </c>
      <c r="T33" s="6295">
        <v>1</v>
      </c>
      <c r="U33" s="6295">
        <v>27</v>
      </c>
      <c r="V33" s="6295">
        <v>535</v>
      </c>
      <c r="W33" s="6295">
        <v>11</v>
      </c>
      <c r="X33" s="6295">
        <v>133</v>
      </c>
      <c r="Y33" s="6295">
        <v>119</v>
      </c>
      <c r="Z33" s="6295">
        <v>50</v>
      </c>
      <c r="AA33" s="6296"/>
      <c r="AB33" s="6295">
        <v>8</v>
      </c>
      <c r="AC33" s="6295">
        <v>18</v>
      </c>
      <c r="AD33" s="6296"/>
      <c r="AE33" s="6295">
        <v>12</v>
      </c>
      <c r="AF33" s="6295">
        <v>97</v>
      </c>
      <c r="AG33" s="6296"/>
      <c r="AH33" s="6295">
        <v>87</v>
      </c>
      <c r="AI33" s="6294">
        <f t="shared" si="5"/>
        <v>0.21869158878504674</v>
      </c>
      <c r="AJ33" s="6295"/>
      <c r="AK33" s="6297">
        <v>2</v>
      </c>
      <c r="AL33" s="6297">
        <v>1</v>
      </c>
      <c r="AM33" s="6297">
        <v>27</v>
      </c>
      <c r="AN33" s="6298">
        <v>584</v>
      </c>
      <c r="AO33" s="6297">
        <v>19</v>
      </c>
      <c r="AP33" s="6297">
        <v>133</v>
      </c>
      <c r="AQ33" s="6297">
        <v>125</v>
      </c>
      <c r="AR33" s="6297">
        <v>50</v>
      </c>
      <c r="AS33" s="6299"/>
      <c r="AT33" s="6297">
        <v>8</v>
      </c>
      <c r="AU33" s="6297">
        <v>2</v>
      </c>
      <c r="AV33" s="6297">
        <v>13</v>
      </c>
      <c r="AW33" s="6297">
        <v>12</v>
      </c>
      <c r="AX33" s="6299"/>
      <c r="AY33" s="6297">
        <v>91</v>
      </c>
      <c r="AZ33" s="6297">
        <v>47</v>
      </c>
      <c r="BA33" s="6299"/>
      <c r="BB33" s="6297">
        <v>84</v>
      </c>
      <c r="BC33" s="6300">
        <f t="shared" si="6"/>
        <v>0.20373831775700935</v>
      </c>
      <c r="BE33" s="6313">
        <v>2</v>
      </c>
      <c r="BF33" s="6313">
        <v>1</v>
      </c>
      <c r="BG33" s="6313">
        <v>27</v>
      </c>
      <c r="BH33" s="4405" t="s">
        <v>13</v>
      </c>
      <c r="BI33" s="6314">
        <v>607</v>
      </c>
      <c r="BJ33" s="6313">
        <v>13</v>
      </c>
      <c r="BK33" s="6313">
        <v>159</v>
      </c>
      <c r="BL33" s="6313">
        <v>111</v>
      </c>
      <c r="BM33" s="6313">
        <v>53</v>
      </c>
      <c r="BN33" s="6303"/>
      <c r="BO33" s="6313">
        <v>9</v>
      </c>
      <c r="BP33" s="6303"/>
      <c r="BQ33" s="6313">
        <v>20</v>
      </c>
      <c r="BR33" s="6303"/>
      <c r="BS33" s="6313">
        <v>34</v>
      </c>
      <c r="BT33" s="6313">
        <v>87</v>
      </c>
      <c r="BU33" s="6313">
        <v>34</v>
      </c>
      <c r="BV33" s="6303"/>
      <c r="BW33" s="6313">
        <v>87</v>
      </c>
      <c r="BX33" s="6300">
        <f t="shared" si="16"/>
        <v>0.24607329842931938</v>
      </c>
      <c r="BZ33" s="4388"/>
      <c r="CA33" s="4388"/>
      <c r="CB33" s="4388" t="s">
        <v>13</v>
      </c>
      <c r="CC33" s="4231">
        <v>130</v>
      </c>
      <c r="CD33" s="4231">
        <v>75</v>
      </c>
      <c r="CE33" s="4231">
        <v>0</v>
      </c>
      <c r="CF33" s="4231">
        <v>51</v>
      </c>
      <c r="CG33" s="4231">
        <v>80</v>
      </c>
      <c r="CH33" s="4231">
        <v>34</v>
      </c>
      <c r="CI33" s="4231">
        <v>9</v>
      </c>
      <c r="CJ33" s="4231"/>
      <c r="CK33" s="4231">
        <v>0</v>
      </c>
      <c r="CL33" s="4231">
        <v>15</v>
      </c>
      <c r="CM33" s="4231">
        <v>19</v>
      </c>
      <c r="CN33" s="4231">
        <v>34</v>
      </c>
      <c r="CO33" s="4231">
        <v>160</v>
      </c>
      <c r="CP33" s="4231">
        <v>0</v>
      </c>
      <c r="CQ33" s="4231">
        <v>607</v>
      </c>
      <c r="CR33" s="6304">
        <f t="shared" si="7"/>
        <v>0.23211169284467714</v>
      </c>
      <c r="CS33" s="4238">
        <f t="shared" si="8"/>
        <v>0</v>
      </c>
      <c r="CT33" s="6305">
        <v>607</v>
      </c>
      <c r="CU33" s="6316"/>
      <c r="CX33" s="42" t="s">
        <v>13</v>
      </c>
      <c r="CY33" s="42">
        <v>74</v>
      </c>
      <c r="CZ33" s="42">
        <v>65</v>
      </c>
      <c r="DA33" s="42">
        <v>0</v>
      </c>
      <c r="DB33" s="42">
        <v>69</v>
      </c>
      <c r="DC33" s="42">
        <v>125</v>
      </c>
      <c r="DD33" s="42">
        <v>19</v>
      </c>
      <c r="DE33" s="42">
        <v>103</v>
      </c>
      <c r="DG33" s="42">
        <v>0</v>
      </c>
      <c r="DH33" s="42">
        <v>22</v>
      </c>
      <c r="DI33" s="42">
        <v>15</v>
      </c>
      <c r="DJ33" s="42">
        <v>20</v>
      </c>
      <c r="DK33" s="42">
        <v>126</v>
      </c>
      <c r="DL33" s="42">
        <v>0</v>
      </c>
      <c r="DM33" s="893">
        <v>638</v>
      </c>
      <c r="DN33" s="6306">
        <f t="shared" si="17"/>
        <v>0.25728155339805825</v>
      </c>
      <c r="DP33" s="4263"/>
      <c r="DQ33" s="4263"/>
      <c r="DR33" s="4258" t="s">
        <v>13</v>
      </c>
      <c r="DS33" s="4263">
        <v>121</v>
      </c>
      <c r="DT33" s="4263">
        <v>75</v>
      </c>
      <c r="DU33" s="4263">
        <v>0</v>
      </c>
      <c r="DV33" s="4263">
        <v>64</v>
      </c>
      <c r="DW33" s="4263">
        <v>78</v>
      </c>
      <c r="DX33" s="4263">
        <v>26</v>
      </c>
      <c r="DY33" s="4263">
        <v>33</v>
      </c>
      <c r="DZ33" s="4263"/>
      <c r="EA33" s="4263">
        <v>0</v>
      </c>
      <c r="EB33" s="4263">
        <v>14</v>
      </c>
      <c r="EC33" s="4263">
        <v>18</v>
      </c>
      <c r="ED33" s="4263">
        <v>23</v>
      </c>
      <c r="EE33" s="4263">
        <v>154</v>
      </c>
      <c r="EF33" s="4263">
        <v>0</v>
      </c>
      <c r="EG33" s="4263">
        <v>606</v>
      </c>
      <c r="EH33" s="6307">
        <f t="shared" si="9"/>
        <v>0.20926243567753003</v>
      </c>
      <c r="EL33" s="42" t="s">
        <v>13</v>
      </c>
      <c r="EM33" s="97">
        <v>137</v>
      </c>
      <c r="EN33" s="97">
        <v>66</v>
      </c>
      <c r="EO33" s="97"/>
      <c r="EP33" s="97">
        <v>7</v>
      </c>
      <c r="EQ33" s="97">
        <v>94</v>
      </c>
      <c r="ER33" s="97">
        <v>13</v>
      </c>
      <c r="ES33" s="97">
        <v>57</v>
      </c>
      <c r="ET33" s="97"/>
      <c r="EU33" s="97"/>
      <c r="EV33" s="97">
        <v>23</v>
      </c>
      <c r="EW33" s="97">
        <v>19</v>
      </c>
      <c r="EX33" s="97">
        <v>20</v>
      </c>
      <c r="EY33" s="97">
        <v>144</v>
      </c>
      <c r="EZ33" s="97">
        <v>0</v>
      </c>
      <c r="FA33" s="97">
        <v>580</v>
      </c>
      <c r="FB33" s="6315">
        <f t="shared" si="10"/>
        <v>0.22500000000000001</v>
      </c>
      <c r="FD33" s="42"/>
      <c r="FE33" s="42"/>
      <c r="FF33" s="42" t="s">
        <v>13</v>
      </c>
      <c r="FG33" s="97">
        <v>141</v>
      </c>
      <c r="FH33" s="97">
        <v>77</v>
      </c>
      <c r="FI33" s="97"/>
      <c r="FJ33" s="97">
        <v>77</v>
      </c>
      <c r="FK33" s="97">
        <v>96</v>
      </c>
      <c r="FL33" s="97">
        <v>24</v>
      </c>
      <c r="FM33" s="97">
        <v>50</v>
      </c>
      <c r="FN33" s="97"/>
      <c r="FO33" s="97">
        <v>0</v>
      </c>
      <c r="FP33" s="97">
        <v>21</v>
      </c>
      <c r="FQ33" s="97">
        <v>10</v>
      </c>
      <c r="FR33" s="97">
        <v>14</v>
      </c>
      <c r="FS33" s="97">
        <v>139</v>
      </c>
      <c r="FT33" s="97">
        <v>0</v>
      </c>
      <c r="FU33" s="97">
        <v>649</v>
      </c>
      <c r="FV33" s="6308">
        <f t="shared" si="0"/>
        <v>0.20472440944881889</v>
      </c>
      <c r="FW33" s="6322"/>
      <c r="FX33" s="42"/>
      <c r="FY33" s="42"/>
      <c r="FZ33" s="42" t="s">
        <v>13</v>
      </c>
      <c r="GA33" s="97">
        <v>126</v>
      </c>
      <c r="GB33" s="97">
        <v>67</v>
      </c>
      <c r="GC33" s="97"/>
      <c r="GD33" s="97">
        <v>79</v>
      </c>
      <c r="GE33" s="97">
        <v>107</v>
      </c>
      <c r="GF33" s="97">
        <v>19</v>
      </c>
      <c r="GG33" s="97">
        <v>55</v>
      </c>
      <c r="GH33" s="97">
        <v>0</v>
      </c>
      <c r="GI33" s="97">
        <v>0</v>
      </c>
      <c r="GJ33" s="97">
        <v>25</v>
      </c>
      <c r="GK33" s="97">
        <v>21</v>
      </c>
      <c r="GL33" s="97">
        <v>1</v>
      </c>
      <c r="GM33" s="97">
        <v>141</v>
      </c>
      <c r="GN33" s="97">
        <v>0</v>
      </c>
      <c r="GO33" s="97">
        <v>641</v>
      </c>
      <c r="GP33" s="6308">
        <f t="shared" si="11"/>
        <v>0.22968749999999999</v>
      </c>
      <c r="GR33" s="6280"/>
      <c r="GS33" s="6280"/>
      <c r="GT33" s="6310" t="s">
        <v>13</v>
      </c>
      <c r="GU33" s="6311">
        <v>132</v>
      </c>
      <c r="GV33" s="6311">
        <v>54</v>
      </c>
      <c r="GW33" s="6312"/>
      <c r="GX33" s="6311">
        <v>84</v>
      </c>
      <c r="GY33" s="6311">
        <v>114</v>
      </c>
      <c r="GZ33" s="6311">
        <v>19</v>
      </c>
      <c r="HA33" s="6311">
        <v>60</v>
      </c>
      <c r="HB33" s="6312"/>
      <c r="HC33" s="6311">
        <v>0</v>
      </c>
      <c r="HD33" s="6311">
        <v>17</v>
      </c>
      <c r="HE33" s="6311">
        <v>15</v>
      </c>
      <c r="HF33" s="6311">
        <v>0</v>
      </c>
      <c r="HG33" s="6311">
        <v>153</v>
      </c>
      <c r="HH33" s="6311">
        <v>1</v>
      </c>
      <c r="HI33" s="6311">
        <v>649</v>
      </c>
      <c r="HJ33" s="467">
        <f t="shared" si="12"/>
        <v>0.22839506172839505</v>
      </c>
      <c r="HL33" s="967"/>
      <c r="HM33" s="967"/>
      <c r="HN33" s="977" t="s">
        <v>13</v>
      </c>
      <c r="HO33" s="978">
        <v>129</v>
      </c>
      <c r="HP33" s="978">
        <v>55</v>
      </c>
      <c r="HQ33" s="967"/>
      <c r="HR33" s="978">
        <v>118</v>
      </c>
      <c r="HS33" s="978">
        <v>102</v>
      </c>
      <c r="HT33" s="978">
        <v>26</v>
      </c>
      <c r="HU33" s="978">
        <v>76</v>
      </c>
      <c r="HV33" s="967"/>
      <c r="HW33" s="978">
        <v>0</v>
      </c>
      <c r="HX33" s="978">
        <v>25</v>
      </c>
      <c r="HY33" s="978">
        <v>23</v>
      </c>
      <c r="HZ33" s="978">
        <v>205</v>
      </c>
      <c r="IA33" s="967"/>
      <c r="IB33" s="978">
        <v>759</v>
      </c>
      <c r="IC33" s="467">
        <f t="shared" si="13"/>
        <v>0.19894598155467721</v>
      </c>
      <c r="IE33" s="577"/>
      <c r="IF33" s="577"/>
      <c r="IG33" s="979" t="s">
        <v>13</v>
      </c>
      <c r="IH33" s="980">
        <v>125</v>
      </c>
      <c r="II33" s="980">
        <v>70</v>
      </c>
      <c r="IJ33" s="980">
        <v>1</v>
      </c>
      <c r="IK33" s="980">
        <v>126</v>
      </c>
      <c r="IL33" s="980">
        <v>104</v>
      </c>
      <c r="IM33" s="980">
        <v>30</v>
      </c>
      <c r="IN33" s="980">
        <v>73</v>
      </c>
      <c r="IO33" s="577"/>
      <c r="IP33" s="577"/>
      <c r="IQ33" s="980">
        <v>6</v>
      </c>
      <c r="IR33" s="980">
        <v>12</v>
      </c>
      <c r="IS33" s="980">
        <v>227</v>
      </c>
      <c r="IT33" s="577"/>
      <c r="IU33" s="980">
        <v>774</v>
      </c>
      <c r="IV33" s="467">
        <f t="shared" si="14"/>
        <v>0.18863049095607234</v>
      </c>
      <c r="IX33" s="742"/>
      <c r="IY33" s="742"/>
      <c r="IZ33" s="981" t="s">
        <v>30</v>
      </c>
      <c r="JA33" s="982">
        <v>99</v>
      </c>
      <c r="JB33" s="982">
        <v>36</v>
      </c>
      <c r="JC33" s="982">
        <v>0</v>
      </c>
      <c r="JD33" s="982">
        <v>95</v>
      </c>
      <c r="JE33" s="982">
        <v>51</v>
      </c>
      <c r="JF33" s="982">
        <v>4</v>
      </c>
      <c r="JG33" s="982">
        <v>63</v>
      </c>
      <c r="JH33" s="982">
        <v>0</v>
      </c>
      <c r="JI33" s="982">
        <v>9</v>
      </c>
      <c r="JJ33" s="982">
        <v>6</v>
      </c>
      <c r="JK33" s="982">
        <v>153</v>
      </c>
      <c r="JL33" s="982">
        <v>196</v>
      </c>
      <c r="JM33" s="982">
        <v>0</v>
      </c>
      <c r="JN33" s="982">
        <v>3</v>
      </c>
      <c r="JO33" s="982">
        <v>715</v>
      </c>
      <c r="JP33" s="983">
        <f t="shared" si="15"/>
        <v>0.10912343470483005</v>
      </c>
      <c r="JR33" s="97"/>
      <c r="JS33" s="97"/>
      <c r="JT33" s="42" t="s">
        <v>30</v>
      </c>
      <c r="JU33" s="42">
        <v>86</v>
      </c>
      <c r="JV33" s="42">
        <v>39</v>
      </c>
      <c r="JW33" s="42"/>
      <c r="JX33" s="42">
        <v>80</v>
      </c>
      <c r="JY33" s="42">
        <v>45</v>
      </c>
      <c r="JZ33" s="42">
        <v>4</v>
      </c>
      <c r="KA33" s="42">
        <v>54</v>
      </c>
      <c r="KB33" s="42"/>
      <c r="KC33" s="42">
        <v>7</v>
      </c>
      <c r="KD33" s="42">
        <v>5</v>
      </c>
      <c r="KE33" s="42">
        <v>140</v>
      </c>
      <c r="KF33" s="42">
        <v>207</v>
      </c>
      <c r="KG33" s="42"/>
      <c r="KH33" s="42">
        <v>3</v>
      </c>
      <c r="KI33" s="42">
        <v>670</v>
      </c>
      <c r="KJ33" s="984">
        <f t="shared" si="1"/>
        <v>0.10246679316888045</v>
      </c>
      <c r="KK33" s="42"/>
      <c r="KL33" s="354"/>
      <c r="KM33" s="354"/>
      <c r="KN33" s="354" t="s">
        <v>30</v>
      </c>
      <c r="KO33" s="985">
        <v>80</v>
      </c>
      <c r="KP33" s="985">
        <v>36</v>
      </c>
      <c r="KQ33" s="985" t="s">
        <v>315</v>
      </c>
      <c r="KR33" s="985">
        <v>89</v>
      </c>
      <c r="KS33" s="985">
        <v>42</v>
      </c>
      <c r="KT33" s="985">
        <v>1</v>
      </c>
      <c r="KU33" s="985">
        <v>67</v>
      </c>
      <c r="KV33" s="985" t="s">
        <v>315</v>
      </c>
      <c r="KW33" s="985">
        <v>18</v>
      </c>
      <c r="KX33" s="985">
        <v>8</v>
      </c>
      <c r="KY33" s="985">
        <v>230</v>
      </c>
      <c r="KZ33" s="985" t="s">
        <v>315</v>
      </c>
      <c r="LA33" s="985">
        <v>571</v>
      </c>
      <c r="LB33" s="985">
        <f t="shared" si="2"/>
        <v>51</v>
      </c>
      <c r="LC33" s="986">
        <f t="shared" si="3"/>
        <v>8.9316987740805598E-2</v>
      </c>
      <c r="LD33" s="42"/>
      <c r="LE33" s="42"/>
    </row>
    <row r="34" spans="1:317">
      <c r="A34" s="6291">
        <v>2</v>
      </c>
      <c r="B34" s="6291">
        <v>2</v>
      </c>
      <c r="C34" s="6291">
        <v>37</v>
      </c>
      <c r="D34" s="6292">
        <v>1391</v>
      </c>
      <c r="E34" s="6291">
        <v>41</v>
      </c>
      <c r="F34" s="6291">
        <v>270</v>
      </c>
      <c r="G34" s="6291">
        <v>183</v>
      </c>
      <c r="H34" s="6291">
        <v>30</v>
      </c>
      <c r="I34" s="6291">
        <v>1</v>
      </c>
      <c r="J34" s="6291">
        <v>4</v>
      </c>
      <c r="K34" s="6291">
        <v>70</v>
      </c>
      <c r="L34" s="6293"/>
      <c r="M34" s="6291">
        <v>87</v>
      </c>
      <c r="N34" s="6291">
        <v>80</v>
      </c>
      <c r="O34" s="6293"/>
      <c r="P34" s="6291">
        <v>625</v>
      </c>
      <c r="Q34" s="6294">
        <f t="shared" si="4"/>
        <v>0.56218547807332853</v>
      </c>
      <c r="S34" s="6295">
        <v>2</v>
      </c>
      <c r="T34" s="6295">
        <v>1</v>
      </c>
      <c r="U34" s="6295">
        <v>28</v>
      </c>
      <c r="V34" s="6295">
        <v>499</v>
      </c>
      <c r="W34" s="6295">
        <v>7</v>
      </c>
      <c r="X34" s="6295">
        <v>113</v>
      </c>
      <c r="Y34" s="6295">
        <v>111</v>
      </c>
      <c r="Z34" s="6295">
        <v>65</v>
      </c>
      <c r="AA34" s="6296"/>
      <c r="AB34" s="6295">
        <v>16</v>
      </c>
      <c r="AC34" s="6295">
        <v>10</v>
      </c>
      <c r="AD34" s="6296"/>
      <c r="AE34" s="6295">
        <v>8</v>
      </c>
      <c r="AF34" s="6295">
        <v>93</v>
      </c>
      <c r="AG34" s="6296"/>
      <c r="AH34" s="6295">
        <v>76</v>
      </c>
      <c r="AI34" s="6294">
        <f t="shared" si="5"/>
        <v>0.18837675350701402</v>
      </c>
      <c r="AJ34" s="6296"/>
      <c r="AK34" s="6297">
        <v>2</v>
      </c>
      <c r="AL34" s="6297">
        <v>1</v>
      </c>
      <c r="AM34" s="6297">
        <v>28</v>
      </c>
      <c r="AN34" s="6298">
        <v>547</v>
      </c>
      <c r="AO34" s="6297">
        <v>15</v>
      </c>
      <c r="AP34" s="6297">
        <v>114</v>
      </c>
      <c r="AQ34" s="6297">
        <v>114</v>
      </c>
      <c r="AR34" s="6297">
        <v>63</v>
      </c>
      <c r="AS34" s="6299"/>
      <c r="AT34" s="6297">
        <v>16</v>
      </c>
      <c r="AU34" s="6299"/>
      <c r="AV34" s="6297">
        <v>7</v>
      </c>
      <c r="AW34" s="6297">
        <v>7</v>
      </c>
      <c r="AX34" s="6299"/>
      <c r="AY34" s="6297">
        <v>90</v>
      </c>
      <c r="AZ34" s="6297">
        <v>47</v>
      </c>
      <c r="BA34" s="6299"/>
      <c r="BB34" s="6297">
        <v>74</v>
      </c>
      <c r="BC34" s="6300">
        <f t="shared" si="6"/>
        <v>0.17599999999999999</v>
      </c>
      <c r="BE34" s="6313">
        <v>2</v>
      </c>
      <c r="BF34" s="6313">
        <v>1</v>
      </c>
      <c r="BG34" s="6313">
        <v>28</v>
      </c>
      <c r="BH34" s="4405" t="s">
        <v>30</v>
      </c>
      <c r="BI34" s="6314">
        <v>520</v>
      </c>
      <c r="BJ34" s="6313">
        <v>9</v>
      </c>
      <c r="BK34" s="6313">
        <v>132</v>
      </c>
      <c r="BL34" s="6313">
        <v>99</v>
      </c>
      <c r="BM34" s="6313">
        <v>66</v>
      </c>
      <c r="BN34" s="6303"/>
      <c r="BO34" s="6313">
        <v>15</v>
      </c>
      <c r="BP34" s="6303"/>
      <c r="BQ34" s="6313">
        <v>11</v>
      </c>
      <c r="BR34" s="6303"/>
      <c r="BS34" s="6313">
        <v>25</v>
      </c>
      <c r="BT34" s="6313">
        <v>69</v>
      </c>
      <c r="BU34" s="6313">
        <v>31</v>
      </c>
      <c r="BV34" s="6303"/>
      <c r="BW34" s="6313">
        <v>63</v>
      </c>
      <c r="BX34" s="6300">
        <f t="shared" si="16"/>
        <v>0.20245398773006135</v>
      </c>
      <c r="BZ34" s="4388"/>
      <c r="CA34" s="4388"/>
      <c r="CB34" s="4388" t="s">
        <v>30</v>
      </c>
      <c r="CC34" s="4231">
        <v>108</v>
      </c>
      <c r="CD34" s="4231">
        <v>66</v>
      </c>
      <c r="CE34" s="4231">
        <v>0</v>
      </c>
      <c r="CF34" s="4231">
        <v>66</v>
      </c>
      <c r="CG34" s="4231">
        <v>62</v>
      </c>
      <c r="CH34" s="4231">
        <v>21</v>
      </c>
      <c r="CI34" s="4231">
        <v>15</v>
      </c>
      <c r="CJ34" s="4231"/>
      <c r="CK34" s="4231">
        <v>0</v>
      </c>
      <c r="CL34" s="4231">
        <v>12</v>
      </c>
      <c r="CM34" s="4231">
        <v>8</v>
      </c>
      <c r="CN34" s="4231">
        <v>31</v>
      </c>
      <c r="CO34" s="4231">
        <v>133</v>
      </c>
      <c r="CP34" s="4231">
        <v>0</v>
      </c>
      <c r="CQ34" s="4231">
        <v>522</v>
      </c>
      <c r="CR34" s="6304">
        <f t="shared" si="7"/>
        <v>0.18533604887983707</v>
      </c>
      <c r="CS34" s="4238">
        <f t="shared" si="8"/>
        <v>1</v>
      </c>
      <c r="CT34" s="6305">
        <v>521</v>
      </c>
      <c r="CU34" s="6316"/>
      <c r="CX34" s="42" t="s">
        <v>30</v>
      </c>
      <c r="CY34" s="42">
        <v>68</v>
      </c>
      <c r="CZ34" s="42">
        <v>36</v>
      </c>
      <c r="DA34" s="42">
        <v>0</v>
      </c>
      <c r="DB34" s="42">
        <v>60</v>
      </c>
      <c r="DC34" s="42">
        <v>101</v>
      </c>
      <c r="DD34" s="42">
        <v>4</v>
      </c>
      <c r="DE34" s="42">
        <v>61</v>
      </c>
      <c r="DG34" s="42">
        <v>0</v>
      </c>
      <c r="DH34" s="42">
        <v>16</v>
      </c>
      <c r="DI34" s="42">
        <v>8</v>
      </c>
      <c r="DJ34" s="42">
        <v>16</v>
      </c>
      <c r="DK34" s="42">
        <v>89</v>
      </c>
      <c r="DL34" s="42">
        <v>1</v>
      </c>
      <c r="DM34" s="893">
        <v>460</v>
      </c>
      <c r="DN34" s="6306">
        <f t="shared" si="17"/>
        <v>0.25507900677200901</v>
      </c>
      <c r="DP34" s="4263"/>
      <c r="DQ34" s="4263"/>
      <c r="DR34" s="4258" t="s">
        <v>30</v>
      </c>
      <c r="DS34" s="4263">
        <v>102</v>
      </c>
      <c r="DT34" s="4263">
        <v>68</v>
      </c>
      <c r="DU34" s="4263">
        <v>0</v>
      </c>
      <c r="DV34" s="4263">
        <v>62</v>
      </c>
      <c r="DW34" s="4263">
        <v>70</v>
      </c>
      <c r="DX34" s="4263">
        <v>10</v>
      </c>
      <c r="DY34" s="4263">
        <v>16</v>
      </c>
      <c r="DZ34" s="4263"/>
      <c r="EA34" s="4263">
        <v>0</v>
      </c>
      <c r="EB34" s="4263">
        <v>18</v>
      </c>
      <c r="EC34" s="4263">
        <v>2</v>
      </c>
      <c r="ED34" s="4263">
        <v>18</v>
      </c>
      <c r="EE34" s="4263">
        <v>116</v>
      </c>
      <c r="EF34" s="4263">
        <v>0</v>
      </c>
      <c r="EG34" s="4263">
        <v>482</v>
      </c>
      <c r="EH34" s="6307">
        <f t="shared" si="9"/>
        <v>0.17672413793103448</v>
      </c>
      <c r="EL34" s="42" t="s">
        <v>30</v>
      </c>
      <c r="EM34" s="97">
        <v>108</v>
      </c>
      <c r="EN34" s="97">
        <v>40</v>
      </c>
      <c r="EO34" s="97"/>
      <c r="EP34" s="97">
        <v>4</v>
      </c>
      <c r="EQ34" s="97">
        <v>86</v>
      </c>
      <c r="ER34" s="97">
        <v>3</v>
      </c>
      <c r="ES34" s="97">
        <v>37</v>
      </c>
      <c r="ET34" s="97"/>
      <c r="EU34" s="97"/>
      <c r="EV34" s="97">
        <v>16</v>
      </c>
      <c r="EW34" s="97">
        <v>5</v>
      </c>
      <c r="EX34" s="97">
        <v>16</v>
      </c>
      <c r="EY34" s="97">
        <v>92</v>
      </c>
      <c r="EZ34" s="97">
        <v>0</v>
      </c>
      <c r="FA34" s="97">
        <v>407</v>
      </c>
      <c r="FB34" s="6315">
        <f t="shared" si="10"/>
        <v>0.24040920716112532</v>
      </c>
      <c r="FD34" s="42"/>
      <c r="FE34" s="42"/>
      <c r="FF34" s="42" t="s">
        <v>30</v>
      </c>
      <c r="FG34" s="97">
        <v>107</v>
      </c>
      <c r="FH34" s="97">
        <v>31</v>
      </c>
      <c r="FI34" s="97"/>
      <c r="FJ34" s="97">
        <v>53</v>
      </c>
      <c r="FK34" s="97">
        <v>72</v>
      </c>
      <c r="FL34" s="97">
        <v>4</v>
      </c>
      <c r="FM34" s="97">
        <v>30</v>
      </c>
      <c r="FN34" s="97"/>
      <c r="FO34" s="97">
        <v>0</v>
      </c>
      <c r="FP34" s="97">
        <v>17</v>
      </c>
      <c r="FQ34" s="97">
        <v>10</v>
      </c>
      <c r="FR34" s="97">
        <v>7</v>
      </c>
      <c r="FS34" s="97">
        <v>95</v>
      </c>
      <c r="FT34" s="97">
        <v>1</v>
      </c>
      <c r="FU34" s="97">
        <v>427</v>
      </c>
      <c r="FV34" s="6308">
        <f t="shared" si="0"/>
        <v>0.2052505966587112</v>
      </c>
      <c r="FW34" s="6322"/>
      <c r="FX34" s="42"/>
      <c r="FY34" s="42"/>
      <c r="FZ34" s="42" t="s">
        <v>30</v>
      </c>
      <c r="GA34" s="97">
        <v>90</v>
      </c>
      <c r="GB34" s="97">
        <v>37</v>
      </c>
      <c r="GC34" s="97"/>
      <c r="GD34" s="97">
        <v>59</v>
      </c>
      <c r="GE34" s="97">
        <v>75</v>
      </c>
      <c r="GF34" s="97">
        <v>5</v>
      </c>
      <c r="GG34" s="97">
        <v>37</v>
      </c>
      <c r="GH34" s="97">
        <v>0</v>
      </c>
      <c r="GI34" s="97">
        <v>0</v>
      </c>
      <c r="GJ34" s="97">
        <v>13</v>
      </c>
      <c r="GK34" s="97">
        <v>9</v>
      </c>
      <c r="GL34" s="97">
        <v>0</v>
      </c>
      <c r="GM34" s="97">
        <v>85</v>
      </c>
      <c r="GN34" s="97">
        <v>1</v>
      </c>
      <c r="GO34" s="97">
        <v>411</v>
      </c>
      <c r="GP34" s="6308">
        <f t="shared" si="11"/>
        <v>0.21707317073170732</v>
      </c>
      <c r="GR34" s="6280"/>
      <c r="GS34" s="6280"/>
      <c r="GT34" s="6310" t="s">
        <v>30</v>
      </c>
      <c r="GU34" s="6311">
        <v>88</v>
      </c>
      <c r="GV34" s="6311">
        <v>29</v>
      </c>
      <c r="GW34" s="6312"/>
      <c r="GX34" s="6311">
        <v>60</v>
      </c>
      <c r="GY34" s="6311">
        <v>81</v>
      </c>
      <c r="GZ34" s="6311">
        <v>5</v>
      </c>
      <c r="HA34" s="6311">
        <v>25</v>
      </c>
      <c r="HB34" s="6312"/>
      <c r="HC34" s="6311">
        <v>0</v>
      </c>
      <c r="HD34" s="6311">
        <v>11</v>
      </c>
      <c r="HE34" s="6311">
        <v>4</v>
      </c>
      <c r="HF34" s="6311">
        <v>0</v>
      </c>
      <c r="HG34" s="6311">
        <v>100</v>
      </c>
      <c r="HH34" s="6311">
        <v>1</v>
      </c>
      <c r="HI34" s="6311">
        <v>404</v>
      </c>
      <c r="HJ34" s="467">
        <f t="shared" si="12"/>
        <v>0.22332506203473945</v>
      </c>
      <c r="HL34" s="967"/>
      <c r="HM34" s="967"/>
      <c r="HN34" s="977" t="s">
        <v>30</v>
      </c>
      <c r="HO34" s="978">
        <v>80</v>
      </c>
      <c r="HP34" s="978">
        <v>38</v>
      </c>
      <c r="HQ34" s="967"/>
      <c r="HR34" s="978">
        <v>94</v>
      </c>
      <c r="HS34" s="978">
        <v>78</v>
      </c>
      <c r="HT34" s="978">
        <v>8</v>
      </c>
      <c r="HU34" s="978">
        <v>55</v>
      </c>
      <c r="HV34" s="967"/>
      <c r="HW34" s="978">
        <v>0</v>
      </c>
      <c r="HX34" s="978">
        <v>9</v>
      </c>
      <c r="HY34" s="978">
        <v>8</v>
      </c>
      <c r="HZ34" s="978">
        <v>158</v>
      </c>
      <c r="IA34" s="967"/>
      <c r="IB34" s="978">
        <v>528</v>
      </c>
      <c r="IC34" s="467">
        <f t="shared" si="13"/>
        <v>0.17803030303030304</v>
      </c>
      <c r="IE34" s="577"/>
      <c r="IF34" s="577"/>
      <c r="IG34" s="979" t="s">
        <v>30</v>
      </c>
      <c r="IH34" s="980">
        <v>95</v>
      </c>
      <c r="II34" s="980">
        <v>43</v>
      </c>
      <c r="IJ34" s="980">
        <v>0</v>
      </c>
      <c r="IK34" s="980">
        <v>98</v>
      </c>
      <c r="IL34" s="980">
        <v>62</v>
      </c>
      <c r="IM34" s="980">
        <v>11</v>
      </c>
      <c r="IN34" s="980">
        <v>59</v>
      </c>
      <c r="IO34" s="577"/>
      <c r="IP34" s="577"/>
      <c r="IQ34" s="980">
        <v>5</v>
      </c>
      <c r="IR34" s="980">
        <v>7</v>
      </c>
      <c r="IS34" s="980">
        <v>171</v>
      </c>
      <c r="IT34" s="577"/>
      <c r="IU34" s="980">
        <v>551</v>
      </c>
      <c r="IV34" s="467">
        <f t="shared" si="14"/>
        <v>0.14519056261343014</v>
      </c>
      <c r="IX34" s="742"/>
      <c r="IY34" s="742"/>
      <c r="IZ34" s="981" t="s">
        <v>31</v>
      </c>
      <c r="JA34" s="982">
        <v>31</v>
      </c>
      <c r="JB34" s="982">
        <v>8</v>
      </c>
      <c r="JC34" s="982">
        <v>0</v>
      </c>
      <c r="JD34" s="982">
        <v>24</v>
      </c>
      <c r="JE34" s="982">
        <v>28</v>
      </c>
      <c r="JF34" s="982">
        <v>8</v>
      </c>
      <c r="JG34" s="982">
        <v>15</v>
      </c>
      <c r="JH34" s="982">
        <v>0</v>
      </c>
      <c r="JI34" s="982">
        <v>0</v>
      </c>
      <c r="JJ34" s="982">
        <v>4</v>
      </c>
      <c r="JK34" s="982">
        <v>37</v>
      </c>
      <c r="JL34" s="982">
        <v>48</v>
      </c>
      <c r="JM34" s="982">
        <v>0</v>
      </c>
      <c r="JN34" s="982">
        <v>0</v>
      </c>
      <c r="JO34" s="982">
        <v>203</v>
      </c>
      <c r="JP34" s="983">
        <f t="shared" si="15"/>
        <v>0.24096385542168675</v>
      </c>
      <c r="JR34" s="97"/>
      <c r="JS34" s="97"/>
      <c r="JT34" s="42" t="s">
        <v>31</v>
      </c>
      <c r="JU34" s="42">
        <v>25</v>
      </c>
      <c r="JV34" s="42">
        <v>8</v>
      </c>
      <c r="JW34" s="42"/>
      <c r="JX34" s="42">
        <v>14</v>
      </c>
      <c r="JY34" s="42">
        <v>22</v>
      </c>
      <c r="JZ34" s="42">
        <v>3</v>
      </c>
      <c r="KA34" s="42">
        <v>10</v>
      </c>
      <c r="KB34" s="42"/>
      <c r="KC34" s="42">
        <v>0</v>
      </c>
      <c r="KD34" s="42">
        <v>6</v>
      </c>
      <c r="KE34" s="42">
        <v>29</v>
      </c>
      <c r="KF34" s="42">
        <v>41</v>
      </c>
      <c r="KG34" s="42"/>
      <c r="KH34" s="42">
        <v>0</v>
      </c>
      <c r="KI34" s="42">
        <v>158</v>
      </c>
      <c r="KJ34" s="984">
        <f t="shared" si="1"/>
        <v>0.24031007751937986</v>
      </c>
      <c r="KK34" s="42"/>
      <c r="KL34" s="354"/>
      <c r="KM34" s="354"/>
      <c r="KN34" s="354" t="s">
        <v>31</v>
      </c>
      <c r="KO34" s="985">
        <v>20</v>
      </c>
      <c r="KP34" s="985">
        <v>7</v>
      </c>
      <c r="KQ34" s="985" t="s">
        <v>315</v>
      </c>
      <c r="KR34" s="985">
        <v>10</v>
      </c>
      <c r="KS34" s="985">
        <v>23</v>
      </c>
      <c r="KT34" s="985">
        <v>0</v>
      </c>
      <c r="KU34" s="985">
        <v>18</v>
      </c>
      <c r="KV34" s="985" t="s">
        <v>315</v>
      </c>
      <c r="KW34" s="985">
        <v>1</v>
      </c>
      <c r="KX34" s="985">
        <v>3</v>
      </c>
      <c r="KY34" s="985">
        <v>38</v>
      </c>
      <c r="KZ34" s="985" t="s">
        <v>315</v>
      </c>
      <c r="LA34" s="985">
        <v>120</v>
      </c>
      <c r="LB34" s="985">
        <f t="shared" si="2"/>
        <v>26</v>
      </c>
      <c r="LC34" s="986">
        <f t="shared" si="3"/>
        <v>0.21666666666666667</v>
      </c>
      <c r="LD34" s="42"/>
      <c r="LE34" s="42"/>
    </row>
    <row r="35" spans="1:317">
      <c r="A35" s="6291">
        <v>2</v>
      </c>
      <c r="B35" s="6291">
        <v>2</v>
      </c>
      <c r="C35" s="6291">
        <v>38</v>
      </c>
      <c r="D35" s="6292">
        <v>409</v>
      </c>
      <c r="E35" s="6291">
        <v>39</v>
      </c>
      <c r="F35" s="6291">
        <v>104</v>
      </c>
      <c r="G35" s="6291">
        <v>63</v>
      </c>
      <c r="H35" s="6291">
        <v>20</v>
      </c>
      <c r="I35" s="6293"/>
      <c r="J35" s="6291">
        <v>2</v>
      </c>
      <c r="K35" s="6291">
        <v>6</v>
      </c>
      <c r="L35" s="6293"/>
      <c r="M35" s="6291">
        <v>8</v>
      </c>
      <c r="N35" s="6291">
        <v>78</v>
      </c>
      <c r="O35" s="6293"/>
      <c r="P35" s="6291">
        <v>89</v>
      </c>
      <c r="Q35" s="6294">
        <f t="shared" si="4"/>
        <v>0.25183374083129584</v>
      </c>
      <c r="S35" s="6295">
        <v>2</v>
      </c>
      <c r="T35" s="6295">
        <v>1</v>
      </c>
      <c r="U35" s="6295">
        <v>29</v>
      </c>
      <c r="V35" s="6295">
        <v>435</v>
      </c>
      <c r="W35" s="6295">
        <v>8</v>
      </c>
      <c r="X35" s="6295">
        <v>69</v>
      </c>
      <c r="Y35" s="6295">
        <v>143</v>
      </c>
      <c r="Z35" s="6295">
        <v>48</v>
      </c>
      <c r="AA35" s="6296"/>
      <c r="AB35" s="6295">
        <v>9</v>
      </c>
      <c r="AC35" s="6295">
        <v>14</v>
      </c>
      <c r="AD35" s="6296"/>
      <c r="AE35" s="6295">
        <v>26</v>
      </c>
      <c r="AF35" s="6295">
        <v>53</v>
      </c>
      <c r="AG35" s="6296"/>
      <c r="AH35" s="6295">
        <v>65</v>
      </c>
      <c r="AI35" s="6294">
        <f t="shared" si="5"/>
        <v>0.2413793103448276</v>
      </c>
      <c r="AJ35" s="6295"/>
      <c r="AK35" s="6297">
        <v>2</v>
      </c>
      <c r="AL35" s="6297">
        <v>1</v>
      </c>
      <c r="AM35" s="6297">
        <v>29</v>
      </c>
      <c r="AN35" s="6298">
        <v>449</v>
      </c>
      <c r="AO35" s="6297">
        <v>7</v>
      </c>
      <c r="AP35" s="6297">
        <v>69</v>
      </c>
      <c r="AQ35" s="6297">
        <v>161</v>
      </c>
      <c r="AR35" s="6297">
        <v>47</v>
      </c>
      <c r="AS35" s="6299"/>
      <c r="AT35" s="6297">
        <v>9</v>
      </c>
      <c r="AU35" s="6297">
        <v>1</v>
      </c>
      <c r="AV35" s="6297">
        <v>7</v>
      </c>
      <c r="AW35" s="6297">
        <v>19</v>
      </c>
      <c r="AX35" s="6299"/>
      <c r="AY35" s="6297">
        <v>50</v>
      </c>
      <c r="AZ35" s="6297">
        <v>14</v>
      </c>
      <c r="BA35" s="6299"/>
      <c r="BB35" s="6297">
        <v>65</v>
      </c>
      <c r="BC35" s="6300">
        <f t="shared" si="6"/>
        <v>0.20967741935483872</v>
      </c>
      <c r="BE35" s="6313">
        <v>2</v>
      </c>
      <c r="BF35" s="6313">
        <v>1</v>
      </c>
      <c r="BG35" s="6313">
        <v>29</v>
      </c>
      <c r="BH35" s="4405" t="s">
        <v>31</v>
      </c>
      <c r="BI35" s="6314">
        <v>433</v>
      </c>
      <c r="BJ35" s="6313">
        <v>4</v>
      </c>
      <c r="BK35" s="6313">
        <v>80</v>
      </c>
      <c r="BL35" s="6313">
        <v>139</v>
      </c>
      <c r="BM35" s="6313">
        <v>53</v>
      </c>
      <c r="BN35" s="6303"/>
      <c r="BO35" s="6313">
        <v>9</v>
      </c>
      <c r="BP35" s="6313">
        <v>1</v>
      </c>
      <c r="BQ35" s="6313">
        <v>5</v>
      </c>
      <c r="BR35" s="6303"/>
      <c r="BS35" s="6313">
        <v>29</v>
      </c>
      <c r="BT35" s="6313">
        <v>44</v>
      </c>
      <c r="BU35" s="6313">
        <v>12</v>
      </c>
      <c r="BV35" s="6303"/>
      <c r="BW35" s="6313">
        <v>57</v>
      </c>
      <c r="BX35" s="6300">
        <f t="shared" si="16"/>
        <v>0.21666666666666667</v>
      </c>
      <c r="BZ35" s="4388"/>
      <c r="CA35" s="4388"/>
      <c r="CB35" s="4388" t="s">
        <v>31</v>
      </c>
      <c r="CC35" s="4231">
        <v>137</v>
      </c>
      <c r="CD35" s="4231">
        <v>43</v>
      </c>
      <c r="CE35" s="4231">
        <v>0</v>
      </c>
      <c r="CF35" s="4231">
        <v>52</v>
      </c>
      <c r="CG35" s="4231">
        <v>54</v>
      </c>
      <c r="CH35" s="4231">
        <v>22</v>
      </c>
      <c r="CI35" s="4231">
        <v>9</v>
      </c>
      <c r="CJ35" s="4231"/>
      <c r="CK35" s="4231">
        <v>0</v>
      </c>
      <c r="CL35" s="4231">
        <v>14</v>
      </c>
      <c r="CM35" s="4231">
        <v>12</v>
      </c>
      <c r="CN35" s="4231">
        <v>12</v>
      </c>
      <c r="CO35" s="4231">
        <v>80</v>
      </c>
      <c r="CP35" s="4231">
        <v>1</v>
      </c>
      <c r="CQ35" s="4231">
        <v>436</v>
      </c>
      <c r="CR35" s="6304">
        <f t="shared" si="7"/>
        <v>0.20803782505910165</v>
      </c>
      <c r="CS35" s="4238">
        <f t="shared" si="8"/>
        <v>3</v>
      </c>
      <c r="CT35" s="6305">
        <v>433</v>
      </c>
      <c r="CU35" s="6316"/>
      <c r="CX35" s="42" t="s">
        <v>31</v>
      </c>
      <c r="CY35" s="42">
        <v>59</v>
      </c>
      <c r="CZ35" s="42">
        <v>29</v>
      </c>
      <c r="DA35" s="42">
        <v>0</v>
      </c>
      <c r="DB35" s="42">
        <v>47</v>
      </c>
      <c r="DC35" s="42">
        <v>75</v>
      </c>
      <c r="DD35" s="42">
        <v>18</v>
      </c>
      <c r="DE35" s="42">
        <v>25</v>
      </c>
      <c r="DG35" s="42">
        <v>0</v>
      </c>
      <c r="DH35" s="42">
        <v>21</v>
      </c>
      <c r="DI35" s="42">
        <v>12</v>
      </c>
      <c r="DJ35" s="42">
        <v>9</v>
      </c>
      <c r="DK35" s="42">
        <v>65</v>
      </c>
      <c r="DL35" s="42">
        <v>1</v>
      </c>
      <c r="DM35" s="893">
        <v>361</v>
      </c>
      <c r="DN35" s="6306">
        <f t="shared" si="17"/>
        <v>0.29914529914529914</v>
      </c>
      <c r="DP35" s="4263"/>
      <c r="DQ35" s="4263"/>
      <c r="DR35" s="4258" t="s">
        <v>31</v>
      </c>
      <c r="DS35" s="4263">
        <v>113</v>
      </c>
      <c r="DT35" s="4263">
        <v>32</v>
      </c>
      <c r="DU35" s="4263">
        <v>0</v>
      </c>
      <c r="DV35" s="4263">
        <v>50</v>
      </c>
      <c r="DW35" s="4263">
        <v>48</v>
      </c>
      <c r="DX35" s="4263">
        <v>19</v>
      </c>
      <c r="DY35" s="4263">
        <v>9</v>
      </c>
      <c r="DZ35" s="4263"/>
      <c r="EA35" s="4263">
        <v>0</v>
      </c>
      <c r="EB35" s="4263">
        <v>18</v>
      </c>
      <c r="EC35" s="4263">
        <v>13</v>
      </c>
      <c r="ED35" s="4263">
        <v>11</v>
      </c>
      <c r="EE35" s="4263">
        <v>71</v>
      </c>
      <c r="EF35" s="4263">
        <v>1</v>
      </c>
      <c r="EG35" s="4263">
        <v>385</v>
      </c>
      <c r="EH35" s="6307">
        <f t="shared" si="9"/>
        <v>0.21447721179624665</v>
      </c>
      <c r="EL35" s="42" t="s">
        <v>31</v>
      </c>
      <c r="EM35" s="97">
        <v>103</v>
      </c>
      <c r="EN35" s="97">
        <v>26</v>
      </c>
      <c r="EO35" s="97"/>
      <c r="EP35" s="97">
        <v>4</v>
      </c>
      <c r="EQ35" s="97">
        <v>62</v>
      </c>
      <c r="ER35" s="97">
        <v>6</v>
      </c>
      <c r="ES35" s="97">
        <v>18</v>
      </c>
      <c r="ET35" s="97"/>
      <c r="EU35" s="97"/>
      <c r="EV35" s="97">
        <v>9</v>
      </c>
      <c r="EW35" s="97">
        <v>16</v>
      </c>
      <c r="EX35" s="97">
        <v>9</v>
      </c>
      <c r="EY35" s="97">
        <v>64</v>
      </c>
      <c r="EZ35" s="97">
        <v>1</v>
      </c>
      <c r="FA35" s="97">
        <v>318</v>
      </c>
      <c r="FB35" s="6315">
        <f t="shared" si="10"/>
        <v>0.27272727272727271</v>
      </c>
      <c r="FD35" s="42"/>
      <c r="FE35" s="42"/>
      <c r="FF35" s="42" t="s">
        <v>31</v>
      </c>
      <c r="FG35" s="97">
        <v>96</v>
      </c>
      <c r="FH35" s="97">
        <v>33</v>
      </c>
      <c r="FI35" s="97"/>
      <c r="FJ35" s="97">
        <v>46</v>
      </c>
      <c r="FK35" s="97">
        <v>58</v>
      </c>
      <c r="FL35" s="97">
        <v>6</v>
      </c>
      <c r="FM35" s="97">
        <v>19</v>
      </c>
      <c r="FN35" s="97"/>
      <c r="FO35" s="97">
        <v>0</v>
      </c>
      <c r="FP35" s="97">
        <v>7</v>
      </c>
      <c r="FQ35" s="97">
        <v>8</v>
      </c>
      <c r="FR35" s="97">
        <v>4</v>
      </c>
      <c r="FS35" s="97">
        <v>53</v>
      </c>
      <c r="FT35" s="97">
        <v>0</v>
      </c>
      <c r="FU35" s="97">
        <v>330</v>
      </c>
      <c r="FV35" s="6308">
        <f t="shared" si="0"/>
        <v>0.22085889570552147</v>
      </c>
      <c r="FW35" s="6322"/>
      <c r="FX35" s="42"/>
      <c r="FY35" s="42"/>
      <c r="FZ35" s="42" t="s">
        <v>31</v>
      </c>
      <c r="GA35" s="97">
        <v>74</v>
      </c>
      <c r="GB35" s="97">
        <v>24</v>
      </c>
      <c r="GC35" s="97"/>
      <c r="GD35" s="97">
        <v>39</v>
      </c>
      <c r="GE35" s="97">
        <v>49</v>
      </c>
      <c r="GF35" s="97">
        <v>7</v>
      </c>
      <c r="GG35" s="97">
        <v>10</v>
      </c>
      <c r="GH35" s="97">
        <v>0</v>
      </c>
      <c r="GI35" s="97">
        <v>0</v>
      </c>
      <c r="GJ35" s="97">
        <v>8</v>
      </c>
      <c r="GK35" s="97">
        <v>6</v>
      </c>
      <c r="GL35" s="97">
        <v>1</v>
      </c>
      <c r="GM35" s="97">
        <v>47</v>
      </c>
      <c r="GN35" s="97">
        <v>0</v>
      </c>
      <c r="GO35" s="97">
        <v>265</v>
      </c>
      <c r="GP35" s="6308">
        <f t="shared" si="11"/>
        <v>0.23484848484848486</v>
      </c>
      <c r="GR35" s="6280"/>
      <c r="GS35" s="6280"/>
      <c r="GT35" s="6310" t="s">
        <v>31</v>
      </c>
      <c r="GU35" s="6311">
        <v>62</v>
      </c>
      <c r="GV35" s="6311">
        <v>14</v>
      </c>
      <c r="GW35" s="6312"/>
      <c r="GX35" s="6311">
        <v>33</v>
      </c>
      <c r="GY35" s="6311">
        <v>44</v>
      </c>
      <c r="GZ35" s="6311">
        <v>3</v>
      </c>
      <c r="HA35" s="6311">
        <v>15</v>
      </c>
      <c r="HB35" s="6312"/>
      <c r="HC35" s="6311">
        <v>0</v>
      </c>
      <c r="HD35" s="6311">
        <v>6</v>
      </c>
      <c r="HE35" s="6311">
        <v>7</v>
      </c>
      <c r="HF35" s="6311">
        <v>0</v>
      </c>
      <c r="HG35" s="6311">
        <v>39</v>
      </c>
      <c r="HH35" s="6311">
        <v>0</v>
      </c>
      <c r="HI35" s="6311">
        <v>223</v>
      </c>
      <c r="HJ35" s="467">
        <f t="shared" si="12"/>
        <v>0.24215246636771301</v>
      </c>
      <c r="HL35" s="967"/>
      <c r="HM35" s="967"/>
      <c r="HN35" s="977" t="s">
        <v>31</v>
      </c>
      <c r="HO35" s="978">
        <v>46</v>
      </c>
      <c r="HP35" s="978">
        <v>10</v>
      </c>
      <c r="HQ35" s="967"/>
      <c r="HR35" s="978">
        <v>38</v>
      </c>
      <c r="HS35" s="978">
        <v>41</v>
      </c>
      <c r="HT35" s="978">
        <v>5</v>
      </c>
      <c r="HU35" s="978">
        <v>12</v>
      </c>
      <c r="HV35" s="967"/>
      <c r="HW35" s="978">
        <v>0</v>
      </c>
      <c r="HX35" s="978">
        <v>5</v>
      </c>
      <c r="HY35" s="978">
        <v>5</v>
      </c>
      <c r="HZ35" s="978">
        <v>47</v>
      </c>
      <c r="IA35" s="967"/>
      <c r="IB35" s="978">
        <v>209</v>
      </c>
      <c r="IC35" s="467">
        <f t="shared" si="13"/>
        <v>0.24401913875598086</v>
      </c>
      <c r="IE35" s="577"/>
      <c r="IF35" s="577"/>
      <c r="IG35" s="979" t="s">
        <v>31</v>
      </c>
      <c r="IH35" s="980">
        <v>36</v>
      </c>
      <c r="II35" s="980">
        <v>4</v>
      </c>
      <c r="IJ35" s="980">
        <v>0</v>
      </c>
      <c r="IK35" s="980">
        <v>32</v>
      </c>
      <c r="IL35" s="980">
        <v>35</v>
      </c>
      <c r="IM35" s="980">
        <v>6</v>
      </c>
      <c r="IN35" s="980">
        <v>14</v>
      </c>
      <c r="IO35" s="577"/>
      <c r="IP35" s="577"/>
      <c r="IQ35" s="980">
        <v>0</v>
      </c>
      <c r="IR35" s="980">
        <v>5</v>
      </c>
      <c r="IS35" s="980">
        <v>46</v>
      </c>
      <c r="IT35" s="577"/>
      <c r="IU35" s="980">
        <v>178</v>
      </c>
      <c r="IV35" s="467">
        <f t="shared" si="14"/>
        <v>0.25842696629213485</v>
      </c>
      <c r="IX35" s="742"/>
      <c r="IY35" s="742"/>
      <c r="IZ35" s="981" t="s">
        <v>32</v>
      </c>
      <c r="JA35" s="982">
        <v>156</v>
      </c>
      <c r="JB35" s="982">
        <v>72</v>
      </c>
      <c r="JC35" s="982">
        <v>0</v>
      </c>
      <c r="JD35" s="982">
        <v>155</v>
      </c>
      <c r="JE35" s="982">
        <v>141</v>
      </c>
      <c r="JF35" s="982">
        <v>21</v>
      </c>
      <c r="JG35" s="982">
        <v>112</v>
      </c>
      <c r="JH35" s="982">
        <v>0</v>
      </c>
      <c r="JI35" s="982">
        <v>14</v>
      </c>
      <c r="JJ35" s="982">
        <v>35</v>
      </c>
      <c r="JK35" s="982">
        <v>175</v>
      </c>
      <c r="JL35" s="982">
        <v>381</v>
      </c>
      <c r="JM35" s="982">
        <v>0</v>
      </c>
      <c r="JN35" s="982">
        <v>1</v>
      </c>
      <c r="JO35" s="982">
        <v>1263</v>
      </c>
      <c r="JP35" s="983">
        <f t="shared" si="15"/>
        <v>0.18123275068997241</v>
      </c>
      <c r="JR35" s="97"/>
      <c r="JS35" s="97"/>
      <c r="JT35" s="42" t="s">
        <v>32</v>
      </c>
      <c r="JU35" s="42">
        <v>155</v>
      </c>
      <c r="JV35" s="42">
        <v>72</v>
      </c>
      <c r="JW35" s="42"/>
      <c r="JX35" s="42">
        <v>160</v>
      </c>
      <c r="JY35" s="42">
        <v>134</v>
      </c>
      <c r="JZ35" s="42">
        <v>32</v>
      </c>
      <c r="KA35" s="42">
        <v>108</v>
      </c>
      <c r="KB35" s="42"/>
      <c r="KC35" s="42">
        <v>19</v>
      </c>
      <c r="KD35" s="42">
        <v>31</v>
      </c>
      <c r="KE35" s="42">
        <v>167</v>
      </c>
      <c r="KF35" s="42">
        <v>401</v>
      </c>
      <c r="KG35" s="42"/>
      <c r="KH35" s="42">
        <v>2</v>
      </c>
      <c r="KI35" s="42">
        <v>1281</v>
      </c>
      <c r="KJ35" s="984">
        <f t="shared" si="1"/>
        <v>0.17715827338129497</v>
      </c>
      <c r="KK35" s="42"/>
      <c r="KL35" s="354"/>
      <c r="KM35" s="354"/>
      <c r="KN35" s="354" t="s">
        <v>32</v>
      </c>
      <c r="KO35" s="985">
        <v>148</v>
      </c>
      <c r="KP35" s="985">
        <v>65</v>
      </c>
      <c r="KQ35" s="985" t="s">
        <v>315</v>
      </c>
      <c r="KR35" s="985">
        <v>157</v>
      </c>
      <c r="KS35" s="985">
        <v>122</v>
      </c>
      <c r="KT35" s="985">
        <v>44</v>
      </c>
      <c r="KU35" s="985">
        <v>125</v>
      </c>
      <c r="KV35" s="985" t="s">
        <v>315</v>
      </c>
      <c r="KW35" s="985">
        <v>32</v>
      </c>
      <c r="KX35" s="985">
        <v>31</v>
      </c>
      <c r="KY35" s="985">
        <v>421</v>
      </c>
      <c r="KZ35" s="985" t="s">
        <v>315</v>
      </c>
      <c r="LA35" s="985">
        <v>1145</v>
      </c>
      <c r="LB35" s="985">
        <f t="shared" si="2"/>
        <v>197</v>
      </c>
      <c r="LC35" s="986">
        <f t="shared" si="3"/>
        <v>0.1720524017467249</v>
      </c>
      <c r="LD35" s="42"/>
      <c r="LE35" s="42"/>
    </row>
    <row r="36" spans="1:317">
      <c r="A36" s="6291">
        <v>2</v>
      </c>
      <c r="B36" s="6291">
        <v>2</v>
      </c>
      <c r="C36" s="6291">
        <v>39</v>
      </c>
      <c r="D36" s="6292">
        <v>437</v>
      </c>
      <c r="E36" s="6291">
        <v>34</v>
      </c>
      <c r="F36" s="6291">
        <v>111</v>
      </c>
      <c r="G36" s="6291">
        <v>89</v>
      </c>
      <c r="H36" s="6291">
        <v>14</v>
      </c>
      <c r="I36" s="6293"/>
      <c r="J36" s="6291">
        <v>4</v>
      </c>
      <c r="K36" s="6291">
        <v>13</v>
      </c>
      <c r="L36" s="6293"/>
      <c r="M36" s="6291">
        <v>17</v>
      </c>
      <c r="N36" s="6291">
        <v>43</v>
      </c>
      <c r="O36" s="6293"/>
      <c r="P36" s="6291">
        <v>112</v>
      </c>
      <c r="Q36" s="6294">
        <f t="shared" si="4"/>
        <v>0.32494279176201374</v>
      </c>
      <c r="S36" s="6295">
        <v>2</v>
      </c>
      <c r="T36" s="6295">
        <v>1</v>
      </c>
      <c r="U36" s="6295">
        <v>30</v>
      </c>
      <c r="V36" s="6295">
        <v>652</v>
      </c>
      <c r="W36" s="6295">
        <v>12</v>
      </c>
      <c r="X36" s="6295">
        <v>158</v>
      </c>
      <c r="Y36" s="6295">
        <v>132</v>
      </c>
      <c r="Z36" s="6295">
        <v>48</v>
      </c>
      <c r="AA36" s="6296"/>
      <c r="AB36" s="6295">
        <v>12</v>
      </c>
      <c r="AC36" s="6295">
        <v>33</v>
      </c>
      <c r="AD36" s="6296"/>
      <c r="AE36" s="6295">
        <v>30</v>
      </c>
      <c r="AF36" s="6295">
        <v>104</v>
      </c>
      <c r="AG36" s="6296"/>
      <c r="AH36" s="6295">
        <v>123</v>
      </c>
      <c r="AI36" s="6294">
        <f t="shared" si="5"/>
        <v>0.28527607361963192</v>
      </c>
      <c r="AJ36" s="6295"/>
      <c r="AK36" s="6297">
        <v>2</v>
      </c>
      <c r="AL36" s="6297">
        <v>1</v>
      </c>
      <c r="AM36" s="6297">
        <v>30</v>
      </c>
      <c r="AN36" s="6298">
        <v>679</v>
      </c>
      <c r="AO36" s="6297">
        <v>16</v>
      </c>
      <c r="AP36" s="6297">
        <v>158</v>
      </c>
      <c r="AQ36" s="6297">
        <v>143</v>
      </c>
      <c r="AR36" s="6297">
        <v>47</v>
      </c>
      <c r="AS36" s="6299"/>
      <c r="AT36" s="6297">
        <v>12</v>
      </c>
      <c r="AU36" s="6299"/>
      <c r="AV36" s="6297">
        <v>19</v>
      </c>
      <c r="AW36" s="6297">
        <v>29</v>
      </c>
      <c r="AX36" s="6299"/>
      <c r="AY36" s="6297">
        <v>106</v>
      </c>
      <c r="AZ36" s="6297">
        <v>27</v>
      </c>
      <c r="BA36" s="6299"/>
      <c r="BB36" s="6297">
        <v>122</v>
      </c>
      <c r="BC36" s="6300">
        <f t="shared" si="6"/>
        <v>0.2607361963190184</v>
      </c>
      <c r="BE36" s="6313">
        <v>2</v>
      </c>
      <c r="BF36" s="6313">
        <v>1</v>
      </c>
      <c r="BG36" s="6313">
        <v>30</v>
      </c>
      <c r="BH36" s="4405" t="s">
        <v>32</v>
      </c>
      <c r="BI36" s="6314">
        <v>724</v>
      </c>
      <c r="BJ36" s="6313">
        <v>14</v>
      </c>
      <c r="BK36" s="6313">
        <v>203</v>
      </c>
      <c r="BL36" s="6313">
        <v>146</v>
      </c>
      <c r="BM36" s="6313">
        <v>57</v>
      </c>
      <c r="BN36" s="6303"/>
      <c r="BO36" s="6313">
        <v>13</v>
      </c>
      <c r="BP36" s="6303"/>
      <c r="BQ36" s="6313">
        <v>27</v>
      </c>
      <c r="BR36" s="6303"/>
      <c r="BS36" s="6313">
        <v>37</v>
      </c>
      <c r="BT36" s="6313">
        <v>86</v>
      </c>
      <c r="BU36" s="6313">
        <v>17</v>
      </c>
      <c r="BV36" s="6303"/>
      <c r="BW36" s="6313">
        <v>124</v>
      </c>
      <c r="BX36" s="6300">
        <f t="shared" si="16"/>
        <v>0.26591230551626593</v>
      </c>
      <c r="BZ36" s="4388"/>
      <c r="CA36" s="4388"/>
      <c r="CB36" s="4388" t="s">
        <v>32</v>
      </c>
      <c r="CC36" s="4231">
        <v>150</v>
      </c>
      <c r="CD36" s="4231">
        <v>81</v>
      </c>
      <c r="CE36" s="4231">
        <v>0</v>
      </c>
      <c r="CF36" s="4231">
        <v>57</v>
      </c>
      <c r="CG36" s="4231">
        <v>117</v>
      </c>
      <c r="CH36" s="4231">
        <v>33</v>
      </c>
      <c r="CI36" s="4231">
        <v>13</v>
      </c>
      <c r="CJ36" s="4231"/>
      <c r="CK36" s="4231">
        <v>0</v>
      </c>
      <c r="CL36" s="4231">
        <v>24</v>
      </c>
      <c r="CM36" s="4231">
        <v>28</v>
      </c>
      <c r="CN36" s="4231">
        <v>17</v>
      </c>
      <c r="CO36" s="4231">
        <v>204</v>
      </c>
      <c r="CP36" s="4231">
        <v>0</v>
      </c>
      <c r="CQ36" s="4231">
        <v>724</v>
      </c>
      <c r="CR36" s="6304">
        <f t="shared" si="7"/>
        <v>0.25176803394625175</v>
      </c>
      <c r="CS36" s="4238">
        <f t="shared" si="8"/>
        <v>1</v>
      </c>
      <c r="CT36" s="6305">
        <v>723</v>
      </c>
      <c r="CU36" s="6316"/>
      <c r="CX36" s="42" t="s">
        <v>32</v>
      </c>
      <c r="CY36" s="42">
        <v>87</v>
      </c>
      <c r="CZ36" s="42">
        <v>62</v>
      </c>
      <c r="DA36" s="42">
        <v>0</v>
      </c>
      <c r="DB36" s="42">
        <v>68</v>
      </c>
      <c r="DC36" s="42">
        <v>167</v>
      </c>
      <c r="DD36" s="42">
        <v>31</v>
      </c>
      <c r="DE36" s="42">
        <v>116</v>
      </c>
      <c r="DG36" s="42">
        <v>0</v>
      </c>
      <c r="DH36" s="42">
        <v>28</v>
      </c>
      <c r="DI36" s="42">
        <v>26</v>
      </c>
      <c r="DJ36" s="42">
        <v>10</v>
      </c>
      <c r="DK36" s="42">
        <v>179</v>
      </c>
      <c r="DL36" s="42">
        <v>0</v>
      </c>
      <c r="DM36" s="893">
        <v>774</v>
      </c>
      <c r="DN36" s="6306">
        <f t="shared" si="17"/>
        <v>0.29319371727748689</v>
      </c>
      <c r="DP36" s="4263"/>
      <c r="DQ36" s="4263"/>
      <c r="DR36" s="4258" t="s">
        <v>32</v>
      </c>
      <c r="DS36" s="4263">
        <v>133</v>
      </c>
      <c r="DT36" s="4263">
        <v>85</v>
      </c>
      <c r="DU36" s="4263">
        <v>0</v>
      </c>
      <c r="DV36" s="4263">
        <v>63</v>
      </c>
      <c r="DW36" s="4263">
        <v>113</v>
      </c>
      <c r="DX36" s="4263">
        <v>40</v>
      </c>
      <c r="DY36" s="4263">
        <v>31</v>
      </c>
      <c r="DZ36" s="4263"/>
      <c r="EA36" s="4263">
        <v>0</v>
      </c>
      <c r="EB36" s="4263">
        <v>24</v>
      </c>
      <c r="EC36" s="4263">
        <v>26</v>
      </c>
      <c r="ED36" s="4263">
        <v>12</v>
      </c>
      <c r="EE36" s="4263">
        <v>205</v>
      </c>
      <c r="EF36" s="4263">
        <v>0</v>
      </c>
      <c r="EG36" s="4263">
        <v>732</v>
      </c>
      <c r="EH36" s="6307">
        <f t="shared" si="9"/>
        <v>0.24861111111111112</v>
      </c>
      <c r="EL36" s="42" t="s">
        <v>32</v>
      </c>
      <c r="EM36" s="97">
        <v>165</v>
      </c>
      <c r="EN36" s="97">
        <v>73</v>
      </c>
      <c r="EO36" s="97"/>
      <c r="EP36" s="97">
        <v>3</v>
      </c>
      <c r="EQ36" s="97">
        <v>127</v>
      </c>
      <c r="ER36" s="97">
        <v>21</v>
      </c>
      <c r="ES36" s="97">
        <v>77</v>
      </c>
      <c r="ET36" s="97"/>
      <c r="EU36" s="97"/>
      <c r="EV36" s="97">
        <v>15</v>
      </c>
      <c r="EW36" s="97">
        <v>31</v>
      </c>
      <c r="EX36" s="97">
        <v>10</v>
      </c>
      <c r="EY36" s="97">
        <v>189</v>
      </c>
      <c r="EZ36" s="97">
        <v>0</v>
      </c>
      <c r="FA36" s="97">
        <v>711</v>
      </c>
      <c r="FB36" s="6315">
        <f t="shared" si="10"/>
        <v>0.25534950071326679</v>
      </c>
      <c r="FD36" s="42"/>
      <c r="FE36" s="42"/>
      <c r="FF36" s="42" t="s">
        <v>32</v>
      </c>
      <c r="FG36" s="97">
        <v>199</v>
      </c>
      <c r="FH36" s="97">
        <v>77</v>
      </c>
      <c r="FI36" s="97"/>
      <c r="FJ36" s="97">
        <v>67</v>
      </c>
      <c r="FK36" s="97">
        <v>94</v>
      </c>
      <c r="FL36" s="97">
        <v>24</v>
      </c>
      <c r="FM36" s="97">
        <v>67</v>
      </c>
      <c r="FN36" s="97"/>
      <c r="FO36" s="97">
        <v>0</v>
      </c>
      <c r="FP36" s="97">
        <v>23</v>
      </c>
      <c r="FQ36" s="97">
        <v>43</v>
      </c>
      <c r="FR36" s="97">
        <v>7</v>
      </c>
      <c r="FS36" s="97">
        <v>191</v>
      </c>
      <c r="FT36" s="97">
        <v>0</v>
      </c>
      <c r="FU36" s="97">
        <v>792</v>
      </c>
      <c r="FV36" s="6308">
        <f t="shared" si="0"/>
        <v>0.2050955414012739</v>
      </c>
      <c r="FW36" s="6322"/>
      <c r="FX36" s="42"/>
      <c r="FY36" s="42"/>
      <c r="FZ36" s="42" t="s">
        <v>32</v>
      </c>
      <c r="GA36" s="97">
        <v>176</v>
      </c>
      <c r="GB36" s="97">
        <v>93</v>
      </c>
      <c r="GC36" s="97"/>
      <c r="GD36" s="97">
        <v>79</v>
      </c>
      <c r="GE36" s="97">
        <v>88</v>
      </c>
      <c r="GF36" s="97">
        <v>23</v>
      </c>
      <c r="GG36" s="97">
        <v>72</v>
      </c>
      <c r="GH36" s="97">
        <v>0</v>
      </c>
      <c r="GI36" s="97">
        <v>0</v>
      </c>
      <c r="GJ36" s="97">
        <v>22</v>
      </c>
      <c r="GK36" s="97">
        <v>35</v>
      </c>
      <c r="GL36" s="97">
        <v>0</v>
      </c>
      <c r="GM36" s="97">
        <v>200</v>
      </c>
      <c r="GN36" s="97">
        <v>0</v>
      </c>
      <c r="GO36" s="97">
        <v>788</v>
      </c>
      <c r="GP36" s="6308">
        <f t="shared" si="11"/>
        <v>0.18527918781725888</v>
      </c>
      <c r="GR36" s="6280"/>
      <c r="GS36" s="6280"/>
      <c r="GT36" s="6310" t="s">
        <v>32</v>
      </c>
      <c r="GU36" s="6311">
        <v>191</v>
      </c>
      <c r="GV36" s="6311">
        <v>77</v>
      </c>
      <c r="GW36" s="6312"/>
      <c r="GX36" s="6311">
        <v>90</v>
      </c>
      <c r="GY36" s="6311">
        <v>116</v>
      </c>
      <c r="GZ36" s="6311">
        <v>18</v>
      </c>
      <c r="HA36" s="6311">
        <v>67</v>
      </c>
      <c r="HB36" s="6312"/>
      <c r="HC36" s="6311">
        <v>0</v>
      </c>
      <c r="HD36" s="6311">
        <v>25</v>
      </c>
      <c r="HE36" s="6311">
        <v>21</v>
      </c>
      <c r="HF36" s="6311">
        <v>0</v>
      </c>
      <c r="HG36" s="6311">
        <v>210</v>
      </c>
      <c r="HH36" s="6311">
        <v>0</v>
      </c>
      <c r="HI36" s="6311">
        <v>815</v>
      </c>
      <c r="HJ36" s="467">
        <f t="shared" si="12"/>
        <v>0.19018404907975461</v>
      </c>
      <c r="HL36" s="967"/>
      <c r="HM36" s="967"/>
      <c r="HN36" s="977" t="s">
        <v>32</v>
      </c>
      <c r="HO36" s="978">
        <v>167</v>
      </c>
      <c r="HP36" s="978">
        <v>61</v>
      </c>
      <c r="HQ36" s="967"/>
      <c r="HR36" s="978">
        <v>146</v>
      </c>
      <c r="HS36" s="978">
        <v>131</v>
      </c>
      <c r="HT36" s="978">
        <v>18</v>
      </c>
      <c r="HU36" s="978">
        <v>98</v>
      </c>
      <c r="HV36" s="967"/>
      <c r="HW36" s="978">
        <v>0</v>
      </c>
      <c r="HX36" s="978">
        <v>27</v>
      </c>
      <c r="HY36" s="978">
        <v>33</v>
      </c>
      <c r="HZ36" s="978">
        <v>333</v>
      </c>
      <c r="IA36" s="967"/>
      <c r="IB36" s="978">
        <v>1014</v>
      </c>
      <c r="IC36" s="467">
        <f t="shared" si="13"/>
        <v>0.17948717948717949</v>
      </c>
      <c r="IE36" s="577"/>
      <c r="IF36" s="577"/>
      <c r="IG36" s="979" t="s">
        <v>32</v>
      </c>
      <c r="IH36" s="980">
        <v>164</v>
      </c>
      <c r="II36" s="980">
        <v>63</v>
      </c>
      <c r="IJ36" s="980">
        <v>0</v>
      </c>
      <c r="IK36" s="980">
        <v>154</v>
      </c>
      <c r="IL36" s="980">
        <v>135</v>
      </c>
      <c r="IM36" s="980">
        <v>22</v>
      </c>
      <c r="IN36" s="980">
        <v>86</v>
      </c>
      <c r="IO36" s="577"/>
      <c r="IP36" s="577"/>
      <c r="IQ36" s="980">
        <v>13</v>
      </c>
      <c r="IR36" s="980">
        <v>38</v>
      </c>
      <c r="IS36" s="980">
        <v>366</v>
      </c>
      <c r="IT36" s="577"/>
      <c r="IU36" s="980">
        <v>1041</v>
      </c>
      <c r="IV36" s="467">
        <f t="shared" si="14"/>
        <v>0.18731988472622479</v>
      </c>
      <c r="IX36" s="742"/>
      <c r="IY36" s="742"/>
      <c r="IZ36" s="973" t="s">
        <v>482</v>
      </c>
      <c r="JA36" s="992">
        <v>728</v>
      </c>
      <c r="JB36" s="992">
        <v>260</v>
      </c>
      <c r="JC36" s="992">
        <v>0</v>
      </c>
      <c r="JD36" s="992">
        <v>763</v>
      </c>
      <c r="JE36" s="992">
        <v>635</v>
      </c>
      <c r="JF36" s="992">
        <v>118</v>
      </c>
      <c r="JG36" s="992">
        <v>410</v>
      </c>
      <c r="JH36" s="992">
        <v>0</v>
      </c>
      <c r="JI36" s="992">
        <v>73</v>
      </c>
      <c r="JJ36" s="992">
        <v>106</v>
      </c>
      <c r="JK36" s="992">
        <v>1037</v>
      </c>
      <c r="JL36" s="992">
        <v>1400</v>
      </c>
      <c r="JM36" s="992">
        <v>0</v>
      </c>
      <c r="JN36" s="992">
        <v>13</v>
      </c>
      <c r="JO36" s="992">
        <v>5543</v>
      </c>
      <c r="JP36" s="993">
        <f t="shared" si="15"/>
        <v>0.19118628978410862</v>
      </c>
      <c r="JR36" s="97"/>
      <c r="JS36" s="97"/>
      <c r="JT36" s="42" t="s">
        <v>15</v>
      </c>
      <c r="JU36" s="42">
        <v>667</v>
      </c>
      <c r="JV36" s="42">
        <v>269</v>
      </c>
      <c r="JW36" s="42"/>
      <c r="JX36" s="42">
        <v>717</v>
      </c>
      <c r="JY36" s="42">
        <v>603</v>
      </c>
      <c r="JZ36" s="42">
        <v>118</v>
      </c>
      <c r="KA36" s="42">
        <v>387</v>
      </c>
      <c r="KB36" s="42"/>
      <c r="KC36" s="42">
        <v>76</v>
      </c>
      <c r="KD36" s="42">
        <v>102</v>
      </c>
      <c r="KE36" s="42">
        <v>969</v>
      </c>
      <c r="KF36" s="42">
        <v>1430</v>
      </c>
      <c r="KG36" s="42"/>
      <c r="KH36" s="42">
        <v>10</v>
      </c>
      <c r="KI36" s="42">
        <v>5348</v>
      </c>
      <c r="KJ36" s="984">
        <f t="shared" si="1"/>
        <v>0.18837262531471732</v>
      </c>
      <c r="KK36" s="42"/>
      <c r="KL36" s="354"/>
      <c r="KM36" s="354"/>
      <c r="KN36" s="994" t="s">
        <v>15</v>
      </c>
      <c r="KO36" s="995">
        <v>637</v>
      </c>
      <c r="KP36" s="995">
        <v>248</v>
      </c>
      <c r="KQ36" s="995" t="s">
        <v>315</v>
      </c>
      <c r="KR36" s="995">
        <v>709</v>
      </c>
      <c r="KS36" s="995">
        <v>594</v>
      </c>
      <c r="KT36" s="995">
        <v>117</v>
      </c>
      <c r="KU36" s="995">
        <v>512</v>
      </c>
      <c r="KV36" s="995" t="s">
        <v>315</v>
      </c>
      <c r="KW36" s="995">
        <v>127</v>
      </c>
      <c r="KX36" s="995">
        <v>126</v>
      </c>
      <c r="KY36" s="995">
        <v>1488</v>
      </c>
      <c r="KZ36" s="995" t="s">
        <v>315</v>
      </c>
      <c r="LA36" s="995">
        <v>4558</v>
      </c>
      <c r="LB36" s="995">
        <f t="shared" si="2"/>
        <v>837</v>
      </c>
      <c r="LC36" s="996">
        <f t="shared" si="3"/>
        <v>0.18363317244405442</v>
      </c>
      <c r="LD36" s="42"/>
      <c r="LE36" s="42"/>
    </row>
    <row r="37" spans="1:317">
      <c r="A37" s="6291">
        <v>2</v>
      </c>
      <c r="B37" s="6291">
        <v>2</v>
      </c>
      <c r="C37" s="6291">
        <v>40</v>
      </c>
      <c r="D37" s="6292">
        <v>520</v>
      </c>
      <c r="E37" s="6291">
        <v>43</v>
      </c>
      <c r="F37" s="6291">
        <v>129</v>
      </c>
      <c r="G37" s="6291">
        <v>128</v>
      </c>
      <c r="H37" s="6291">
        <v>31</v>
      </c>
      <c r="I37" s="6291">
        <v>2</v>
      </c>
      <c r="J37" s="6291">
        <v>5</v>
      </c>
      <c r="K37" s="6291">
        <v>3</v>
      </c>
      <c r="L37" s="6293"/>
      <c r="M37" s="6291">
        <v>9</v>
      </c>
      <c r="N37" s="6291">
        <v>71</v>
      </c>
      <c r="O37" s="6293"/>
      <c r="P37" s="6291">
        <v>99</v>
      </c>
      <c r="Q37" s="6294">
        <f t="shared" si="4"/>
        <v>0.21346153846153845</v>
      </c>
      <c r="S37" s="6295">
        <v>2</v>
      </c>
      <c r="T37" s="6295">
        <v>1</v>
      </c>
      <c r="U37" s="6295">
        <v>174</v>
      </c>
      <c r="V37" s="6295">
        <v>41</v>
      </c>
      <c r="W37" s="6295">
        <v>3</v>
      </c>
      <c r="X37" s="6295">
        <v>1</v>
      </c>
      <c r="Y37" s="6295">
        <v>18</v>
      </c>
      <c r="Z37" s="6295">
        <v>3</v>
      </c>
      <c r="AA37" s="6296"/>
      <c r="AB37" s="6295">
        <v>1</v>
      </c>
      <c r="AC37" s="6296"/>
      <c r="AD37" s="6296"/>
      <c r="AE37" s="6296"/>
      <c r="AF37" s="6295">
        <v>15</v>
      </c>
      <c r="AG37" s="6296"/>
      <c r="AH37" s="6296"/>
      <c r="AI37" s="6294">
        <f t="shared" si="5"/>
        <v>0</v>
      </c>
      <c r="AJ37" s="6295"/>
      <c r="AK37" s="6297">
        <v>2</v>
      </c>
      <c r="AL37" s="6297">
        <v>1</v>
      </c>
      <c r="AM37" s="6297">
        <v>174</v>
      </c>
      <c r="AN37" s="6298">
        <v>44</v>
      </c>
      <c r="AO37" s="6297">
        <v>2</v>
      </c>
      <c r="AP37" s="6297">
        <v>1</v>
      </c>
      <c r="AQ37" s="6297">
        <v>20</v>
      </c>
      <c r="AR37" s="6297">
        <v>3</v>
      </c>
      <c r="AS37" s="6299"/>
      <c r="AT37" s="6297">
        <v>1</v>
      </c>
      <c r="AU37" s="6299"/>
      <c r="AV37" s="6299"/>
      <c r="AW37" s="6299"/>
      <c r="AX37" s="6299"/>
      <c r="AY37" s="6297">
        <v>14</v>
      </c>
      <c r="AZ37" s="6297">
        <v>3</v>
      </c>
      <c r="BA37" s="6299"/>
      <c r="BB37" s="6299"/>
      <c r="BC37" s="6300">
        <f t="shared" si="6"/>
        <v>0</v>
      </c>
      <c r="BE37" s="6313">
        <v>2</v>
      </c>
      <c r="BF37" s="6313">
        <v>1</v>
      </c>
      <c r="BG37" s="6313">
        <v>174</v>
      </c>
      <c r="BH37" s="4405" t="s">
        <v>2659</v>
      </c>
      <c r="BI37" s="6314">
        <v>27</v>
      </c>
      <c r="BJ37" s="6313">
        <v>2</v>
      </c>
      <c r="BK37" s="6313">
        <v>1</v>
      </c>
      <c r="BL37" s="6313">
        <v>7</v>
      </c>
      <c r="BM37" s="6313">
        <v>2</v>
      </c>
      <c r="BN37" s="6303"/>
      <c r="BO37" s="6313">
        <v>1</v>
      </c>
      <c r="BP37" s="6303"/>
      <c r="BQ37" s="6303"/>
      <c r="BR37" s="6303"/>
      <c r="BS37" s="6303"/>
      <c r="BT37" s="6313">
        <v>11</v>
      </c>
      <c r="BU37" s="6313">
        <v>3</v>
      </c>
      <c r="BV37" s="6303"/>
      <c r="BW37" s="6303"/>
      <c r="BX37" s="6300">
        <f t="shared" si="16"/>
        <v>0</v>
      </c>
      <c r="BZ37" s="4388"/>
      <c r="CA37" s="4388"/>
      <c r="CB37" s="4388" t="s">
        <v>2659</v>
      </c>
      <c r="CC37" s="4231">
        <v>8</v>
      </c>
      <c r="CD37" s="4231">
        <v>9</v>
      </c>
      <c r="CE37" s="4231">
        <v>0</v>
      </c>
      <c r="CF37" s="4231">
        <v>2</v>
      </c>
      <c r="CG37" s="4231">
        <v>0</v>
      </c>
      <c r="CH37" s="4231">
        <v>0</v>
      </c>
      <c r="CI37" s="4231">
        <v>1</v>
      </c>
      <c r="CJ37" s="4231"/>
      <c r="CK37" s="4231">
        <v>0</v>
      </c>
      <c r="CL37" s="4231">
        <v>3</v>
      </c>
      <c r="CM37" s="4231">
        <v>0</v>
      </c>
      <c r="CN37" s="4231">
        <v>3</v>
      </c>
      <c r="CO37" s="4231">
        <v>1</v>
      </c>
      <c r="CP37" s="4231">
        <v>0</v>
      </c>
      <c r="CQ37" s="4231">
        <v>27</v>
      </c>
      <c r="CR37" s="6304">
        <f t="shared" si="7"/>
        <v>0</v>
      </c>
      <c r="CS37" s="4238">
        <f t="shared" si="8"/>
        <v>0</v>
      </c>
      <c r="CT37" s="6305">
        <v>27</v>
      </c>
      <c r="CU37" s="6316"/>
      <c r="CX37" s="42" t="s">
        <v>15</v>
      </c>
      <c r="CY37" s="42">
        <v>657</v>
      </c>
      <c r="CZ37" s="42">
        <v>431</v>
      </c>
      <c r="DA37" s="42">
        <v>1</v>
      </c>
      <c r="DB37" s="42">
        <v>589</v>
      </c>
      <c r="DC37" s="42">
        <v>1040</v>
      </c>
      <c r="DD37" s="42">
        <v>156</v>
      </c>
      <c r="DE37" s="42">
        <v>665</v>
      </c>
      <c r="DG37" s="42">
        <v>1</v>
      </c>
      <c r="DH37" s="42">
        <v>211</v>
      </c>
      <c r="DI37" s="42">
        <v>141</v>
      </c>
      <c r="DJ37" s="42">
        <v>164</v>
      </c>
      <c r="DK37" s="42">
        <v>1022</v>
      </c>
      <c r="DL37" s="42">
        <v>6</v>
      </c>
      <c r="DM37" s="893">
        <v>5084</v>
      </c>
      <c r="DN37" s="6306">
        <f t="shared" si="17"/>
        <v>0.27207977207977208</v>
      </c>
      <c r="DP37" s="4263"/>
      <c r="DQ37" s="4263"/>
      <c r="DR37" s="4257" t="s">
        <v>482</v>
      </c>
      <c r="DS37" s="4266">
        <v>1134</v>
      </c>
      <c r="DT37" s="4266">
        <v>581</v>
      </c>
      <c r="DU37" s="4266">
        <v>1</v>
      </c>
      <c r="DV37" s="4266">
        <v>584</v>
      </c>
      <c r="DW37" s="4266">
        <v>703</v>
      </c>
      <c r="DX37" s="4266">
        <v>221</v>
      </c>
      <c r="DY37" s="4266">
        <v>229</v>
      </c>
      <c r="DZ37" s="4266"/>
      <c r="EA37" s="4266">
        <v>1</v>
      </c>
      <c r="EB37" s="4266">
        <v>194</v>
      </c>
      <c r="EC37" s="4266">
        <v>130</v>
      </c>
      <c r="ED37" s="4266">
        <v>191</v>
      </c>
      <c r="EE37" s="4266">
        <v>1231</v>
      </c>
      <c r="EF37" s="4266">
        <v>4</v>
      </c>
      <c r="EG37" s="4266">
        <v>5204</v>
      </c>
      <c r="EH37" s="6321">
        <f t="shared" si="9"/>
        <v>0.21042124176482332</v>
      </c>
      <c r="EL37" s="893" t="s">
        <v>482</v>
      </c>
      <c r="EM37" s="135">
        <v>1147</v>
      </c>
      <c r="EN37" s="135">
        <v>443</v>
      </c>
      <c r="EO37" s="135"/>
      <c r="EP37" s="135">
        <v>36</v>
      </c>
      <c r="EQ37" s="135">
        <v>792</v>
      </c>
      <c r="ER37" s="135">
        <v>106</v>
      </c>
      <c r="ES37" s="135">
        <v>422</v>
      </c>
      <c r="ET37" s="135"/>
      <c r="EU37" s="135"/>
      <c r="EV37" s="135">
        <v>210</v>
      </c>
      <c r="EW37" s="135">
        <v>147</v>
      </c>
      <c r="EX37" s="135">
        <v>164</v>
      </c>
      <c r="EY37" s="135">
        <v>1080</v>
      </c>
      <c r="EZ37" s="135">
        <v>1</v>
      </c>
      <c r="FA37" s="135">
        <v>4548</v>
      </c>
      <c r="FB37" s="6315">
        <f t="shared" si="10"/>
        <v>0.23842117271275381</v>
      </c>
      <c r="FD37" s="42"/>
      <c r="FE37" s="42"/>
      <c r="FF37" s="893" t="s">
        <v>482</v>
      </c>
      <c r="FG37" s="135">
        <v>1175</v>
      </c>
      <c r="FH37" s="135">
        <v>467</v>
      </c>
      <c r="FI37" s="135"/>
      <c r="FJ37" s="135">
        <v>566</v>
      </c>
      <c r="FK37" s="135">
        <v>658</v>
      </c>
      <c r="FL37" s="135">
        <v>119</v>
      </c>
      <c r="FM37" s="135">
        <v>333</v>
      </c>
      <c r="FN37" s="135"/>
      <c r="FO37" s="135">
        <v>1</v>
      </c>
      <c r="FP37" s="135">
        <v>199</v>
      </c>
      <c r="FQ37" s="135">
        <v>138</v>
      </c>
      <c r="FR37" s="135">
        <v>93</v>
      </c>
      <c r="FS37" s="135">
        <v>1030</v>
      </c>
      <c r="FT37" s="135">
        <v>5</v>
      </c>
      <c r="FU37" s="135">
        <v>4784</v>
      </c>
      <c r="FV37" s="5723">
        <f t="shared" si="0"/>
        <v>0.19526248399487836</v>
      </c>
      <c r="FW37" s="5717"/>
      <c r="FX37" s="42"/>
      <c r="FY37" s="42"/>
      <c r="FZ37" s="893" t="s">
        <v>482</v>
      </c>
      <c r="GA37" s="135">
        <v>1015</v>
      </c>
      <c r="GB37" s="135">
        <v>464</v>
      </c>
      <c r="GC37" s="135"/>
      <c r="GD37" s="135">
        <v>552</v>
      </c>
      <c r="GE37" s="135">
        <v>622</v>
      </c>
      <c r="GF37" s="135">
        <v>115</v>
      </c>
      <c r="GG37" s="135">
        <v>325</v>
      </c>
      <c r="GH37" s="135">
        <v>3</v>
      </c>
      <c r="GI37" s="135">
        <v>1</v>
      </c>
      <c r="GJ37" s="135">
        <v>178</v>
      </c>
      <c r="GK37" s="135">
        <v>133</v>
      </c>
      <c r="GL37" s="135">
        <v>22</v>
      </c>
      <c r="GM37" s="135">
        <v>951</v>
      </c>
      <c r="GN37" s="135">
        <v>5</v>
      </c>
      <c r="GO37" s="135">
        <v>4386</v>
      </c>
      <c r="GP37" s="5723">
        <f t="shared" si="11"/>
        <v>0.19958706125258086</v>
      </c>
      <c r="GR37" s="6280"/>
      <c r="GS37" s="6280"/>
      <c r="GT37" s="1179" t="s">
        <v>482</v>
      </c>
      <c r="GU37" s="1180">
        <v>980</v>
      </c>
      <c r="GV37" s="1180">
        <v>355</v>
      </c>
      <c r="GW37" s="1181"/>
      <c r="GX37" s="1180">
        <v>545</v>
      </c>
      <c r="GY37" s="1180">
        <v>692</v>
      </c>
      <c r="GZ37" s="1180">
        <v>71</v>
      </c>
      <c r="HA37" s="1180">
        <v>314</v>
      </c>
      <c r="HB37" s="1181"/>
      <c r="HC37" s="1180">
        <v>1</v>
      </c>
      <c r="HD37" s="1180">
        <v>145</v>
      </c>
      <c r="HE37" s="1180">
        <v>100</v>
      </c>
      <c r="HF37" s="1180">
        <v>3</v>
      </c>
      <c r="HG37" s="1180">
        <v>964</v>
      </c>
      <c r="HH37" s="1180">
        <v>4</v>
      </c>
      <c r="HI37" s="1180">
        <v>4174</v>
      </c>
      <c r="HJ37" s="456">
        <f t="shared" si="12"/>
        <v>0.20710343172546197</v>
      </c>
      <c r="HL37" s="967"/>
      <c r="HM37" s="967"/>
      <c r="HN37" s="987" t="s">
        <v>482</v>
      </c>
      <c r="HO37" s="988">
        <v>823</v>
      </c>
      <c r="HP37" s="988">
        <v>314</v>
      </c>
      <c r="HQ37" s="989"/>
      <c r="HR37" s="988">
        <v>746</v>
      </c>
      <c r="HS37" s="988">
        <v>677</v>
      </c>
      <c r="HT37" s="988">
        <v>92</v>
      </c>
      <c r="HU37" s="988">
        <v>369</v>
      </c>
      <c r="HV37" s="989"/>
      <c r="HW37" s="988">
        <v>1</v>
      </c>
      <c r="HX37" s="988">
        <v>155</v>
      </c>
      <c r="HY37" s="988">
        <v>117</v>
      </c>
      <c r="HZ37" s="988">
        <v>1300</v>
      </c>
      <c r="IA37" s="988"/>
      <c r="IB37" s="988">
        <v>4594</v>
      </c>
      <c r="IC37" s="990">
        <f t="shared" si="13"/>
        <v>0.19286025250326513</v>
      </c>
      <c r="IE37" s="577"/>
      <c r="IF37" s="577"/>
      <c r="IG37" s="738" t="s">
        <v>482</v>
      </c>
      <c r="IH37" s="991">
        <v>767</v>
      </c>
      <c r="II37" s="991">
        <v>324</v>
      </c>
      <c r="IJ37" s="991">
        <v>1</v>
      </c>
      <c r="IK37" s="991">
        <v>753</v>
      </c>
      <c r="IL37" s="991">
        <v>643</v>
      </c>
      <c r="IM37" s="991">
        <v>117</v>
      </c>
      <c r="IN37" s="991">
        <v>364</v>
      </c>
      <c r="IO37" s="6261"/>
      <c r="IP37" s="6261"/>
      <c r="IQ37" s="991">
        <v>59</v>
      </c>
      <c r="IR37" s="991">
        <v>99</v>
      </c>
      <c r="IS37" s="991">
        <v>1336</v>
      </c>
      <c r="IT37" s="6261"/>
      <c r="IU37" s="991">
        <v>4463</v>
      </c>
      <c r="IV37" s="456">
        <f t="shared" si="14"/>
        <v>0.19247143177235043</v>
      </c>
      <c r="IX37" s="742"/>
      <c r="IY37" s="742" t="s">
        <v>16</v>
      </c>
      <c r="IZ37" s="981" t="s">
        <v>17</v>
      </c>
      <c r="JA37" s="982">
        <v>271</v>
      </c>
      <c r="JB37" s="982">
        <v>122</v>
      </c>
      <c r="JC37" s="982">
        <v>0</v>
      </c>
      <c r="JD37" s="982">
        <v>53</v>
      </c>
      <c r="JE37" s="982">
        <v>590</v>
      </c>
      <c r="JF37" s="982">
        <v>84</v>
      </c>
      <c r="JG37" s="982">
        <v>107</v>
      </c>
      <c r="JH37" s="982">
        <v>0</v>
      </c>
      <c r="JI37" s="982">
        <v>24</v>
      </c>
      <c r="JJ37" s="982">
        <v>75</v>
      </c>
      <c r="JK37" s="982">
        <v>270</v>
      </c>
      <c r="JL37" s="982">
        <v>357</v>
      </c>
      <c r="JM37" s="982">
        <v>0</v>
      </c>
      <c r="JN37" s="982">
        <v>7</v>
      </c>
      <c r="JO37" s="982">
        <v>1960</v>
      </c>
      <c r="JP37" s="983">
        <f t="shared" si="15"/>
        <v>0.44503862150920975</v>
      </c>
      <c r="JR37" s="97"/>
      <c r="JS37" s="97" t="s">
        <v>16</v>
      </c>
      <c r="JT37" s="42" t="s">
        <v>17</v>
      </c>
      <c r="JU37" s="42">
        <v>244</v>
      </c>
      <c r="JV37" s="42">
        <v>114</v>
      </c>
      <c r="JW37" s="42"/>
      <c r="JX37" s="42">
        <v>50</v>
      </c>
      <c r="JY37" s="42">
        <v>606</v>
      </c>
      <c r="JZ37" s="42">
        <v>87</v>
      </c>
      <c r="KA37" s="42">
        <v>80</v>
      </c>
      <c r="KB37" s="42">
        <v>0</v>
      </c>
      <c r="KC37" s="42">
        <v>17</v>
      </c>
      <c r="KD37" s="42">
        <v>63</v>
      </c>
      <c r="KE37" s="42">
        <v>245</v>
      </c>
      <c r="KF37" s="42">
        <v>379</v>
      </c>
      <c r="KG37" s="42"/>
      <c r="KH37" s="42">
        <v>10</v>
      </c>
      <c r="KI37" s="42">
        <v>1895</v>
      </c>
      <c r="KJ37" s="984">
        <f t="shared" si="1"/>
        <v>0.46097560975609758</v>
      </c>
      <c r="KK37" s="42"/>
      <c r="KL37" s="354"/>
      <c r="KM37" s="354" t="s">
        <v>16</v>
      </c>
      <c r="KN37" s="354" t="s">
        <v>17</v>
      </c>
      <c r="KO37" s="985">
        <v>185</v>
      </c>
      <c r="KP37" s="985">
        <v>102</v>
      </c>
      <c r="KQ37" s="985" t="s">
        <v>315</v>
      </c>
      <c r="KR37" s="985">
        <v>46</v>
      </c>
      <c r="KS37" s="985">
        <v>574</v>
      </c>
      <c r="KT37" s="985">
        <v>82</v>
      </c>
      <c r="KU37" s="985">
        <v>94</v>
      </c>
      <c r="KV37" s="985" t="s">
        <v>315</v>
      </c>
      <c r="KW37" s="985">
        <v>24</v>
      </c>
      <c r="KX37" s="985">
        <v>91</v>
      </c>
      <c r="KY37" s="985">
        <v>368</v>
      </c>
      <c r="KZ37" s="985" t="s">
        <v>315</v>
      </c>
      <c r="LA37" s="985">
        <v>1566</v>
      </c>
      <c r="LB37" s="985">
        <f t="shared" si="2"/>
        <v>747</v>
      </c>
      <c r="LC37" s="986">
        <f t="shared" si="3"/>
        <v>0.47701149425287354</v>
      </c>
      <c r="LD37" s="42"/>
      <c r="LE37" s="42"/>
    </row>
    <row r="38" spans="1:317">
      <c r="A38" s="6291">
        <v>2</v>
      </c>
      <c r="B38" s="6291">
        <v>2</v>
      </c>
      <c r="C38" s="6291">
        <v>41</v>
      </c>
      <c r="D38" s="6292">
        <v>803</v>
      </c>
      <c r="E38" s="6291">
        <v>26</v>
      </c>
      <c r="F38" s="6291">
        <v>217</v>
      </c>
      <c r="G38" s="6291">
        <v>171</v>
      </c>
      <c r="H38" s="6291">
        <v>27</v>
      </c>
      <c r="I38" s="6293"/>
      <c r="J38" s="6291">
        <v>11</v>
      </c>
      <c r="K38" s="6291">
        <v>43</v>
      </c>
      <c r="L38" s="6293"/>
      <c r="M38" s="6291">
        <v>23</v>
      </c>
      <c r="N38" s="6291">
        <v>76</v>
      </c>
      <c r="O38" s="6293"/>
      <c r="P38" s="6291">
        <v>209</v>
      </c>
      <c r="Q38" s="6294">
        <f t="shared" si="4"/>
        <v>0.34246575342465752</v>
      </c>
      <c r="S38" s="6295"/>
      <c r="T38" s="6295"/>
      <c r="U38" s="6317"/>
      <c r="V38" s="6317">
        <f>SUM(V28:V37)</f>
        <v>5051</v>
      </c>
      <c r="W38" s="6317">
        <f t="shared" ref="W38:AH38" si="30">SUM(W28:W37)</f>
        <v>111</v>
      </c>
      <c r="X38" s="6317">
        <f t="shared" si="30"/>
        <v>1056</v>
      </c>
      <c r="Y38" s="6317">
        <f t="shared" si="30"/>
        <v>1147</v>
      </c>
      <c r="Z38" s="6317">
        <f t="shared" si="30"/>
        <v>532</v>
      </c>
      <c r="AA38" s="6317">
        <f t="shared" si="30"/>
        <v>0</v>
      </c>
      <c r="AB38" s="6317">
        <f t="shared" si="30"/>
        <v>145</v>
      </c>
      <c r="AC38" s="6317">
        <f t="shared" si="30"/>
        <v>203</v>
      </c>
      <c r="AD38" s="6317">
        <f t="shared" si="30"/>
        <v>1</v>
      </c>
      <c r="AE38" s="6317">
        <f t="shared" si="30"/>
        <v>194</v>
      </c>
      <c r="AF38" s="6317">
        <f t="shared" si="30"/>
        <v>790</v>
      </c>
      <c r="AG38" s="6317">
        <f t="shared" si="30"/>
        <v>0</v>
      </c>
      <c r="AH38" s="6317">
        <f t="shared" si="30"/>
        <v>872</v>
      </c>
      <c r="AI38" s="6294">
        <f t="shared" si="5"/>
        <v>0.25123737873688379</v>
      </c>
      <c r="AJ38" s="6295"/>
      <c r="AK38" s="6297"/>
      <c r="AL38" s="6297"/>
      <c r="AM38" s="6297"/>
      <c r="AN38" s="6298">
        <f>SUM(AN28:AN37)</f>
        <v>5426</v>
      </c>
      <c r="AO38" s="6298">
        <f t="shared" ref="AO38:BB38" si="31">SUM(AO28:AO37)</f>
        <v>142</v>
      </c>
      <c r="AP38" s="6298">
        <f t="shared" si="31"/>
        <v>1057</v>
      </c>
      <c r="AQ38" s="6298">
        <f t="shared" si="31"/>
        <v>1256</v>
      </c>
      <c r="AR38" s="6298">
        <f t="shared" si="31"/>
        <v>527</v>
      </c>
      <c r="AS38" s="6298">
        <f t="shared" si="31"/>
        <v>0</v>
      </c>
      <c r="AT38" s="6298">
        <f t="shared" si="31"/>
        <v>145</v>
      </c>
      <c r="AU38" s="6298">
        <f t="shared" si="31"/>
        <v>10</v>
      </c>
      <c r="AV38" s="6298">
        <f t="shared" si="31"/>
        <v>144</v>
      </c>
      <c r="AW38" s="6298">
        <f t="shared" si="31"/>
        <v>162</v>
      </c>
      <c r="AX38" s="6298">
        <f t="shared" si="31"/>
        <v>0</v>
      </c>
      <c r="AY38" s="6298">
        <f t="shared" si="31"/>
        <v>765</v>
      </c>
      <c r="AZ38" s="6298">
        <f t="shared" si="31"/>
        <v>363</v>
      </c>
      <c r="BA38" s="6298">
        <f t="shared" si="31"/>
        <v>0</v>
      </c>
      <c r="BB38" s="6298">
        <f t="shared" si="31"/>
        <v>855</v>
      </c>
      <c r="BC38" s="6318">
        <f t="shared" si="6"/>
        <v>0.22976449633880863</v>
      </c>
      <c r="BE38" s="6313"/>
      <c r="BF38" s="6313"/>
      <c r="BG38" s="6313"/>
      <c r="BH38" s="6319" t="s">
        <v>482</v>
      </c>
      <c r="BI38" s="6314">
        <f>SUM(BI28:BI37)</f>
        <v>5480</v>
      </c>
      <c r="BJ38" s="6314">
        <f t="shared" ref="BJ38:BW38" si="32">SUM(BJ28:BJ37)</f>
        <v>111</v>
      </c>
      <c r="BK38" s="6314">
        <f t="shared" si="32"/>
        <v>1274</v>
      </c>
      <c r="BL38" s="6314">
        <f t="shared" si="32"/>
        <v>1208</v>
      </c>
      <c r="BM38" s="6314">
        <f t="shared" si="32"/>
        <v>586</v>
      </c>
      <c r="BN38" s="6314">
        <f t="shared" si="32"/>
        <v>1</v>
      </c>
      <c r="BO38" s="6314">
        <f t="shared" si="32"/>
        <v>153</v>
      </c>
      <c r="BP38" s="6314">
        <f t="shared" si="32"/>
        <v>5</v>
      </c>
      <c r="BQ38" s="6314">
        <f t="shared" si="32"/>
        <v>149</v>
      </c>
      <c r="BR38" s="6314">
        <f t="shared" si="32"/>
        <v>0</v>
      </c>
      <c r="BS38" s="6314">
        <f t="shared" si="32"/>
        <v>297</v>
      </c>
      <c r="BT38" s="6314">
        <f t="shared" si="32"/>
        <v>654</v>
      </c>
      <c r="BU38" s="6314">
        <f t="shared" si="32"/>
        <v>274</v>
      </c>
      <c r="BV38" s="6314">
        <f t="shared" si="32"/>
        <v>0</v>
      </c>
      <c r="BW38" s="6314">
        <f t="shared" si="32"/>
        <v>768</v>
      </c>
      <c r="BX38" s="6300">
        <f t="shared" si="16"/>
        <v>0.23341665064410691</v>
      </c>
      <c r="BZ38" s="4388"/>
      <c r="CA38" s="4388"/>
      <c r="CB38" s="6276" t="s">
        <v>482</v>
      </c>
      <c r="CC38" s="6320">
        <v>1266</v>
      </c>
      <c r="CD38" s="6320">
        <v>605</v>
      </c>
      <c r="CE38" s="6320">
        <v>1</v>
      </c>
      <c r="CF38" s="6320">
        <v>580</v>
      </c>
      <c r="CG38" s="6320">
        <v>737</v>
      </c>
      <c r="CH38" s="6320">
        <v>244</v>
      </c>
      <c r="CI38" s="6320">
        <v>153</v>
      </c>
      <c r="CJ38" s="6320"/>
      <c r="CK38" s="6320">
        <v>1</v>
      </c>
      <c r="CL38" s="6320">
        <v>182</v>
      </c>
      <c r="CM38" s="6320">
        <v>161</v>
      </c>
      <c r="CN38" s="6320">
        <v>274</v>
      </c>
      <c r="CO38" s="6320">
        <v>1278</v>
      </c>
      <c r="CP38" s="6320">
        <v>5</v>
      </c>
      <c r="CQ38" s="6320">
        <v>5487</v>
      </c>
      <c r="CR38" s="6304">
        <f t="shared" si="7"/>
        <v>0.21927803379416283</v>
      </c>
      <c r="CS38" s="4238"/>
      <c r="CT38" s="6305"/>
      <c r="CU38" s="6316"/>
      <c r="CW38" s="97" t="s">
        <v>16</v>
      </c>
      <c r="CX38" s="42" t="s">
        <v>17</v>
      </c>
      <c r="CY38" s="42">
        <v>75</v>
      </c>
      <c r="CZ38" s="42">
        <v>114</v>
      </c>
      <c r="DB38" s="42">
        <v>29</v>
      </c>
      <c r="DC38" s="42">
        <v>777</v>
      </c>
      <c r="DD38" s="42">
        <v>71</v>
      </c>
      <c r="DE38" s="42">
        <v>145</v>
      </c>
      <c r="DF38" s="42">
        <v>0</v>
      </c>
      <c r="DG38" s="42">
        <v>1</v>
      </c>
      <c r="DH38" s="42">
        <v>41</v>
      </c>
      <c r="DI38" s="42">
        <v>58</v>
      </c>
      <c r="DK38" s="42">
        <v>209</v>
      </c>
      <c r="DL38" s="42">
        <v>0</v>
      </c>
      <c r="DM38" s="893">
        <v>1520</v>
      </c>
      <c r="DN38" s="6306">
        <f t="shared" si="17"/>
        <v>0.59605263157894739</v>
      </c>
      <c r="DP38" s="4263"/>
      <c r="DQ38" s="4263" t="s">
        <v>16</v>
      </c>
      <c r="DR38" s="4258" t="s">
        <v>17</v>
      </c>
      <c r="DS38" s="4263">
        <v>179</v>
      </c>
      <c r="DT38" s="4263">
        <v>159</v>
      </c>
      <c r="DU38" s="4263"/>
      <c r="DV38" s="4263">
        <v>25</v>
      </c>
      <c r="DW38" s="4263">
        <v>553</v>
      </c>
      <c r="DX38" s="4263">
        <v>122</v>
      </c>
      <c r="DY38" s="4263">
        <v>59</v>
      </c>
      <c r="DZ38" s="4263">
        <v>0</v>
      </c>
      <c r="EA38" s="4263">
        <v>1</v>
      </c>
      <c r="EB38" s="4263">
        <v>47</v>
      </c>
      <c r="EC38" s="4263">
        <v>78</v>
      </c>
      <c r="ED38" s="4263"/>
      <c r="EE38" s="4263">
        <v>226</v>
      </c>
      <c r="EF38" s="4263">
        <v>0</v>
      </c>
      <c r="EG38" s="4263">
        <v>1449</v>
      </c>
      <c r="EH38" s="6307">
        <f t="shared" si="9"/>
        <v>0.51966873706004135</v>
      </c>
      <c r="EK38" s="42" t="s">
        <v>16</v>
      </c>
      <c r="EL38" s="42" t="s">
        <v>17</v>
      </c>
      <c r="EM38" s="97">
        <v>144</v>
      </c>
      <c r="EN38" s="97">
        <v>158</v>
      </c>
      <c r="EO38" s="97"/>
      <c r="EP38" s="97">
        <v>1</v>
      </c>
      <c r="EQ38" s="97">
        <v>655</v>
      </c>
      <c r="ER38" s="97">
        <v>83</v>
      </c>
      <c r="ES38" s="97">
        <v>77</v>
      </c>
      <c r="ET38" s="97"/>
      <c r="EU38" s="97">
        <v>0</v>
      </c>
      <c r="EV38" s="97">
        <v>54</v>
      </c>
      <c r="EW38" s="97">
        <v>93</v>
      </c>
      <c r="EX38" s="97"/>
      <c r="EY38" s="97">
        <v>225</v>
      </c>
      <c r="EZ38" s="97">
        <v>0</v>
      </c>
      <c r="FA38" s="97">
        <v>1490</v>
      </c>
      <c r="FB38" s="6315">
        <f t="shared" si="10"/>
        <v>0.55771812080536909</v>
      </c>
      <c r="FD38" s="42"/>
      <c r="FE38" s="42" t="s">
        <v>16</v>
      </c>
      <c r="FF38" s="42" t="s">
        <v>17</v>
      </c>
      <c r="FG38" s="97">
        <v>147</v>
      </c>
      <c r="FH38" s="97">
        <v>168</v>
      </c>
      <c r="FI38" s="97">
        <v>0</v>
      </c>
      <c r="FJ38" s="97">
        <v>28</v>
      </c>
      <c r="FK38" s="97">
        <v>652</v>
      </c>
      <c r="FL38" s="97">
        <v>93</v>
      </c>
      <c r="FM38" s="97">
        <v>118</v>
      </c>
      <c r="FN38" s="97"/>
      <c r="FO38" s="97">
        <v>0</v>
      </c>
      <c r="FP38" s="97">
        <v>58</v>
      </c>
      <c r="FQ38" s="97">
        <v>99</v>
      </c>
      <c r="FR38" s="97"/>
      <c r="FS38" s="97">
        <v>217</v>
      </c>
      <c r="FT38" s="97">
        <v>1</v>
      </c>
      <c r="FU38" s="97">
        <v>1581</v>
      </c>
      <c r="FV38" s="6308">
        <f t="shared" si="0"/>
        <v>0.53417721518987338</v>
      </c>
      <c r="FW38" s="6322"/>
      <c r="FX38" s="42"/>
      <c r="FY38" s="42" t="s">
        <v>16</v>
      </c>
      <c r="FZ38" s="42" t="s">
        <v>17</v>
      </c>
      <c r="GA38" s="97">
        <v>154</v>
      </c>
      <c r="GB38" s="97">
        <v>172</v>
      </c>
      <c r="GC38" s="97"/>
      <c r="GD38" s="97">
        <v>28</v>
      </c>
      <c r="GE38" s="97">
        <v>689</v>
      </c>
      <c r="GF38" s="97">
        <v>73</v>
      </c>
      <c r="GG38" s="97">
        <v>83</v>
      </c>
      <c r="GH38" s="97">
        <v>1</v>
      </c>
      <c r="GI38" s="97">
        <v>0</v>
      </c>
      <c r="GJ38" s="97">
        <v>63</v>
      </c>
      <c r="GK38" s="97">
        <v>84</v>
      </c>
      <c r="GL38" s="97"/>
      <c r="GM38" s="97">
        <v>237</v>
      </c>
      <c r="GN38" s="97">
        <v>1</v>
      </c>
      <c r="GO38" s="97">
        <v>1585</v>
      </c>
      <c r="GP38" s="6308">
        <f t="shared" si="11"/>
        <v>0.53409090909090906</v>
      </c>
      <c r="GR38" s="6280"/>
      <c r="GS38" s="6280" t="s">
        <v>16</v>
      </c>
      <c r="GT38" s="6310" t="s">
        <v>17</v>
      </c>
      <c r="GU38" s="6311">
        <v>150</v>
      </c>
      <c r="GV38" s="6311">
        <v>139</v>
      </c>
      <c r="GW38" s="6312"/>
      <c r="GX38" s="6311">
        <v>27</v>
      </c>
      <c r="GY38" s="6311">
        <v>694</v>
      </c>
      <c r="GZ38" s="6311">
        <v>88</v>
      </c>
      <c r="HA38" s="6311">
        <v>84</v>
      </c>
      <c r="HB38" s="6312"/>
      <c r="HC38" s="6311">
        <v>0</v>
      </c>
      <c r="HD38" s="6311">
        <v>66</v>
      </c>
      <c r="HE38" s="6311">
        <v>79</v>
      </c>
      <c r="HF38" s="6312"/>
      <c r="HG38" s="6311">
        <v>260</v>
      </c>
      <c r="HH38" s="6311">
        <v>1</v>
      </c>
      <c r="HI38" s="6311">
        <v>1588</v>
      </c>
      <c r="HJ38" s="467">
        <f t="shared" si="12"/>
        <v>0.5425330812854442</v>
      </c>
      <c r="HL38" s="967"/>
      <c r="HM38" s="967" t="s">
        <v>16</v>
      </c>
      <c r="HN38" s="977" t="s">
        <v>17</v>
      </c>
      <c r="HO38" s="978">
        <v>174</v>
      </c>
      <c r="HP38" s="978">
        <v>129</v>
      </c>
      <c r="HQ38" s="967"/>
      <c r="HR38" s="978">
        <v>44</v>
      </c>
      <c r="HS38" s="978">
        <v>698</v>
      </c>
      <c r="HT38" s="978">
        <v>70</v>
      </c>
      <c r="HU38" s="978">
        <v>95</v>
      </c>
      <c r="HV38" s="967"/>
      <c r="HW38" s="978">
        <v>0</v>
      </c>
      <c r="HX38" s="978">
        <v>67</v>
      </c>
      <c r="HY38" s="978">
        <v>93</v>
      </c>
      <c r="HZ38" s="978">
        <v>350</v>
      </c>
      <c r="IA38" s="967"/>
      <c r="IB38" s="978">
        <v>1720</v>
      </c>
      <c r="IC38" s="467">
        <f t="shared" si="13"/>
        <v>0.50058139534883717</v>
      </c>
      <c r="IE38" s="577"/>
      <c r="IF38" s="577" t="s">
        <v>16</v>
      </c>
      <c r="IG38" s="979" t="s">
        <v>17</v>
      </c>
      <c r="IH38" s="980">
        <v>213</v>
      </c>
      <c r="II38" s="980">
        <v>143</v>
      </c>
      <c r="IJ38" s="980">
        <v>0</v>
      </c>
      <c r="IK38" s="980">
        <v>52</v>
      </c>
      <c r="IL38" s="980">
        <v>630</v>
      </c>
      <c r="IM38" s="980">
        <v>104</v>
      </c>
      <c r="IN38" s="980">
        <v>95</v>
      </c>
      <c r="IO38" s="577"/>
      <c r="IP38" s="980">
        <v>0</v>
      </c>
      <c r="IQ38" s="980">
        <v>41</v>
      </c>
      <c r="IR38" s="980">
        <v>93</v>
      </c>
      <c r="IS38" s="980">
        <v>338</v>
      </c>
      <c r="IT38" s="577"/>
      <c r="IU38" s="980">
        <v>1709</v>
      </c>
      <c r="IV38" s="467">
        <f t="shared" si="14"/>
        <v>0.48390871854885897</v>
      </c>
      <c r="IX38" s="742"/>
      <c r="IY38" s="742"/>
      <c r="IZ38" s="981" t="s">
        <v>33</v>
      </c>
      <c r="JA38" s="982">
        <v>55</v>
      </c>
      <c r="JB38" s="982">
        <v>59</v>
      </c>
      <c r="JC38" s="982">
        <v>0</v>
      </c>
      <c r="JD38" s="982">
        <v>24</v>
      </c>
      <c r="JE38" s="982">
        <v>89</v>
      </c>
      <c r="JF38" s="982">
        <v>12</v>
      </c>
      <c r="JG38" s="982">
        <v>30</v>
      </c>
      <c r="JH38" s="982">
        <v>0</v>
      </c>
      <c r="JI38" s="982">
        <v>40</v>
      </c>
      <c r="JJ38" s="982">
        <v>15</v>
      </c>
      <c r="JK38" s="982">
        <v>56</v>
      </c>
      <c r="JL38" s="982">
        <v>103</v>
      </c>
      <c r="JM38" s="982">
        <v>0</v>
      </c>
      <c r="JN38" s="982">
        <v>0</v>
      </c>
      <c r="JO38" s="982">
        <v>483</v>
      </c>
      <c r="JP38" s="983">
        <f t="shared" si="15"/>
        <v>0.27166276346604218</v>
      </c>
      <c r="JR38" s="97"/>
      <c r="JS38" s="97"/>
      <c r="JT38" s="42" t="s">
        <v>33</v>
      </c>
      <c r="JU38" s="42">
        <v>62</v>
      </c>
      <c r="JV38" s="42">
        <v>54</v>
      </c>
      <c r="JW38" s="42"/>
      <c r="JX38" s="42">
        <v>22</v>
      </c>
      <c r="JY38" s="42">
        <v>84</v>
      </c>
      <c r="JZ38" s="42">
        <v>8</v>
      </c>
      <c r="KA38" s="42">
        <v>23</v>
      </c>
      <c r="KB38" s="42">
        <v>0</v>
      </c>
      <c r="KC38" s="42">
        <v>38</v>
      </c>
      <c r="KD38" s="42">
        <v>5</v>
      </c>
      <c r="KE38" s="42">
        <v>57</v>
      </c>
      <c r="KF38" s="42">
        <v>114</v>
      </c>
      <c r="KG38" s="42"/>
      <c r="KH38" s="42">
        <v>0</v>
      </c>
      <c r="KI38" s="42">
        <v>467</v>
      </c>
      <c r="KJ38" s="984">
        <f t="shared" si="1"/>
        <v>0.23658536585365852</v>
      </c>
      <c r="KK38" s="42"/>
      <c r="KL38" s="354"/>
      <c r="KM38" s="354"/>
      <c r="KN38" s="354" t="s">
        <v>33</v>
      </c>
      <c r="KO38" s="985">
        <v>38</v>
      </c>
      <c r="KP38" s="985">
        <v>64</v>
      </c>
      <c r="KQ38" s="985" t="s">
        <v>315</v>
      </c>
      <c r="KR38" s="985">
        <v>29</v>
      </c>
      <c r="KS38" s="985">
        <v>67</v>
      </c>
      <c r="KT38" s="985">
        <v>9</v>
      </c>
      <c r="KU38" s="985">
        <v>25</v>
      </c>
      <c r="KV38" s="985" t="s">
        <v>315</v>
      </c>
      <c r="KW38" s="985">
        <v>26</v>
      </c>
      <c r="KX38" s="985">
        <v>10</v>
      </c>
      <c r="KY38" s="985">
        <v>112</v>
      </c>
      <c r="KZ38" s="985" t="s">
        <v>315</v>
      </c>
      <c r="LA38" s="985">
        <v>380</v>
      </c>
      <c r="LB38" s="985">
        <f t="shared" si="2"/>
        <v>86</v>
      </c>
      <c r="LC38" s="986">
        <f t="shared" si="3"/>
        <v>0.22631578947368422</v>
      </c>
      <c r="LD38" s="42"/>
      <c r="LE38" s="42"/>
    </row>
    <row r="39" spans="1:317">
      <c r="A39" s="6291">
        <v>2</v>
      </c>
      <c r="B39" s="6291">
        <v>2</v>
      </c>
      <c r="C39" s="6291">
        <v>42</v>
      </c>
      <c r="D39" s="6292">
        <v>584</v>
      </c>
      <c r="E39" s="6291">
        <v>29</v>
      </c>
      <c r="F39" s="6291">
        <v>140</v>
      </c>
      <c r="G39" s="6291">
        <v>113</v>
      </c>
      <c r="H39" s="6291">
        <v>22</v>
      </c>
      <c r="I39" s="6293"/>
      <c r="J39" s="6291">
        <v>7</v>
      </c>
      <c r="K39" s="6291">
        <v>26</v>
      </c>
      <c r="L39" s="6293"/>
      <c r="M39" s="6291">
        <v>21</v>
      </c>
      <c r="N39" s="6291">
        <v>90</v>
      </c>
      <c r="O39" s="6293"/>
      <c r="P39" s="6291">
        <v>136</v>
      </c>
      <c r="Q39" s="6294">
        <f t="shared" si="4"/>
        <v>0.31335616438356162</v>
      </c>
      <c r="S39" s="6295">
        <v>2</v>
      </c>
      <c r="T39" s="6295">
        <v>2</v>
      </c>
      <c r="U39" s="6295">
        <v>37</v>
      </c>
      <c r="V39" s="6295">
        <v>1405</v>
      </c>
      <c r="W39" s="6295">
        <v>29</v>
      </c>
      <c r="X39" s="6295">
        <v>193</v>
      </c>
      <c r="Y39" s="6295">
        <v>175</v>
      </c>
      <c r="Z39" s="6295">
        <v>28</v>
      </c>
      <c r="AA39" s="6295">
        <v>1</v>
      </c>
      <c r="AB39" s="6295">
        <v>6</v>
      </c>
      <c r="AC39" s="6295">
        <v>118</v>
      </c>
      <c r="AD39" s="6295">
        <v>1</v>
      </c>
      <c r="AE39" s="6295">
        <v>109</v>
      </c>
      <c r="AF39" s="6295">
        <v>168</v>
      </c>
      <c r="AG39" s="6296"/>
      <c r="AH39" s="6295">
        <v>577</v>
      </c>
      <c r="AI39" s="6294">
        <f t="shared" si="5"/>
        <v>0.57224199288256228</v>
      </c>
      <c r="AJ39" s="6295"/>
      <c r="AK39" s="6297">
        <v>2</v>
      </c>
      <c r="AL39" s="6297">
        <v>2</v>
      </c>
      <c r="AM39" s="6297">
        <v>37</v>
      </c>
      <c r="AN39" s="6298">
        <v>1405</v>
      </c>
      <c r="AO39" s="6297">
        <v>34</v>
      </c>
      <c r="AP39" s="6297">
        <v>193</v>
      </c>
      <c r="AQ39" s="6297">
        <v>221</v>
      </c>
      <c r="AR39" s="6297">
        <v>28</v>
      </c>
      <c r="AS39" s="6297">
        <v>1</v>
      </c>
      <c r="AT39" s="6297">
        <v>6</v>
      </c>
      <c r="AU39" s="6299"/>
      <c r="AV39" s="6297">
        <v>79</v>
      </c>
      <c r="AW39" s="6297">
        <v>111</v>
      </c>
      <c r="AX39" s="6299"/>
      <c r="AY39" s="6297">
        <v>172</v>
      </c>
      <c r="AZ39" s="6299"/>
      <c r="BA39" s="6299"/>
      <c r="BB39" s="6297">
        <v>560</v>
      </c>
      <c r="BC39" s="6300">
        <f t="shared" si="6"/>
        <v>0.53380782918149461</v>
      </c>
      <c r="BE39" s="6313">
        <v>2</v>
      </c>
      <c r="BF39" s="6313">
        <v>2</v>
      </c>
      <c r="BG39" s="6313">
        <v>37</v>
      </c>
      <c r="BH39" s="4405" t="s">
        <v>17</v>
      </c>
      <c r="BI39" s="6314">
        <v>1431</v>
      </c>
      <c r="BJ39" s="6313">
        <v>37</v>
      </c>
      <c r="BK39" s="6313">
        <v>249</v>
      </c>
      <c r="BL39" s="6313">
        <v>154</v>
      </c>
      <c r="BM39" s="6313">
        <v>28</v>
      </c>
      <c r="BN39" s="6313">
        <v>1</v>
      </c>
      <c r="BO39" s="6313">
        <v>8</v>
      </c>
      <c r="BP39" s="6303"/>
      <c r="BQ39" s="6313">
        <v>117</v>
      </c>
      <c r="BR39" s="6303"/>
      <c r="BS39" s="6313">
        <v>144</v>
      </c>
      <c r="BT39" s="6313">
        <v>154</v>
      </c>
      <c r="BU39" s="6303"/>
      <c r="BV39" s="6303"/>
      <c r="BW39" s="6313">
        <v>539</v>
      </c>
      <c r="BX39" s="6300">
        <f t="shared" si="16"/>
        <v>0.55904961565338929</v>
      </c>
      <c r="BZ39" s="4388"/>
      <c r="CA39" s="4388" t="s">
        <v>16</v>
      </c>
      <c r="CB39" s="4388" t="s">
        <v>17</v>
      </c>
      <c r="CC39" s="4231">
        <v>192</v>
      </c>
      <c r="CD39" s="4231">
        <v>145</v>
      </c>
      <c r="CE39" s="4231">
        <v>0</v>
      </c>
      <c r="CF39" s="4231">
        <v>28</v>
      </c>
      <c r="CG39" s="4231">
        <v>524</v>
      </c>
      <c r="CH39" s="4231">
        <v>112</v>
      </c>
      <c r="CI39" s="4231">
        <v>8</v>
      </c>
      <c r="CJ39" s="4231"/>
      <c r="CK39" s="4231">
        <v>1</v>
      </c>
      <c r="CL39" s="4231">
        <v>49</v>
      </c>
      <c r="CM39" s="4231">
        <v>125</v>
      </c>
      <c r="CN39" s="4231"/>
      <c r="CO39" s="4231">
        <v>259</v>
      </c>
      <c r="CP39" s="4231">
        <v>0</v>
      </c>
      <c r="CQ39" s="4231">
        <v>1443</v>
      </c>
      <c r="CR39" s="6304">
        <f t="shared" si="7"/>
        <v>0.52737352737352738</v>
      </c>
      <c r="CS39" s="4238">
        <f t="shared" si="8"/>
        <v>13</v>
      </c>
      <c r="CT39" s="6305">
        <v>1430</v>
      </c>
      <c r="CU39" s="6316"/>
      <c r="CX39" s="42" t="s">
        <v>33</v>
      </c>
      <c r="CY39" s="42">
        <v>28</v>
      </c>
      <c r="CZ39" s="42">
        <v>69</v>
      </c>
      <c r="DB39" s="42">
        <v>14</v>
      </c>
      <c r="DC39" s="42">
        <v>142</v>
      </c>
      <c r="DD39" s="42">
        <v>15</v>
      </c>
      <c r="DE39" s="42">
        <v>57</v>
      </c>
      <c r="DF39" s="42">
        <v>0</v>
      </c>
      <c r="DG39" s="42">
        <v>0</v>
      </c>
      <c r="DH39" s="42">
        <v>41</v>
      </c>
      <c r="DI39" s="42">
        <v>4</v>
      </c>
      <c r="DK39" s="42">
        <v>66</v>
      </c>
      <c r="DL39" s="42">
        <v>0</v>
      </c>
      <c r="DM39" s="893">
        <v>436</v>
      </c>
      <c r="DN39" s="6306">
        <f t="shared" si="17"/>
        <v>0.36926605504587157</v>
      </c>
      <c r="DP39" s="4263"/>
      <c r="DQ39" s="4263"/>
      <c r="DR39" s="4258" t="s">
        <v>33</v>
      </c>
      <c r="DS39" s="4263">
        <v>46</v>
      </c>
      <c r="DT39" s="4263">
        <v>87</v>
      </c>
      <c r="DU39" s="4263"/>
      <c r="DV39" s="4263">
        <v>16</v>
      </c>
      <c r="DW39" s="4263">
        <v>99</v>
      </c>
      <c r="DX39" s="4263">
        <v>16</v>
      </c>
      <c r="DY39" s="4263">
        <v>6</v>
      </c>
      <c r="DZ39" s="4263">
        <v>0</v>
      </c>
      <c r="EA39" s="4263">
        <v>0</v>
      </c>
      <c r="EB39" s="4263">
        <v>56</v>
      </c>
      <c r="EC39" s="4263">
        <v>8</v>
      </c>
      <c r="ED39" s="4263"/>
      <c r="EE39" s="4263">
        <v>96</v>
      </c>
      <c r="EF39" s="4263">
        <v>0</v>
      </c>
      <c r="EG39" s="4263">
        <v>430</v>
      </c>
      <c r="EH39" s="6307">
        <f t="shared" si="9"/>
        <v>0.28604651162790695</v>
      </c>
      <c r="EL39" s="42" t="s">
        <v>33</v>
      </c>
      <c r="EM39" s="97">
        <v>57</v>
      </c>
      <c r="EN39" s="97">
        <v>70</v>
      </c>
      <c r="EO39" s="97"/>
      <c r="EP39" s="97">
        <v>1</v>
      </c>
      <c r="EQ39" s="97">
        <v>130</v>
      </c>
      <c r="ER39" s="97">
        <v>6</v>
      </c>
      <c r="ES39" s="97">
        <v>27</v>
      </c>
      <c r="ET39" s="97"/>
      <c r="EU39" s="97">
        <v>0</v>
      </c>
      <c r="EV39" s="97">
        <v>45</v>
      </c>
      <c r="EW39" s="97">
        <v>5</v>
      </c>
      <c r="EX39" s="97"/>
      <c r="EY39" s="97">
        <v>82</v>
      </c>
      <c r="EZ39" s="97">
        <v>0</v>
      </c>
      <c r="FA39" s="97">
        <v>423</v>
      </c>
      <c r="FB39" s="6315">
        <f t="shared" si="10"/>
        <v>0.33333333333333331</v>
      </c>
      <c r="FD39" s="42"/>
      <c r="FE39" s="42"/>
      <c r="FF39" s="42" t="s">
        <v>33</v>
      </c>
      <c r="FG39" s="97">
        <v>45</v>
      </c>
      <c r="FH39" s="97">
        <v>78</v>
      </c>
      <c r="FI39" s="97">
        <v>0</v>
      </c>
      <c r="FJ39" s="97">
        <v>12</v>
      </c>
      <c r="FK39" s="97">
        <v>136</v>
      </c>
      <c r="FL39" s="97">
        <v>4</v>
      </c>
      <c r="FM39" s="97">
        <v>41</v>
      </c>
      <c r="FN39" s="97"/>
      <c r="FO39" s="97">
        <v>0</v>
      </c>
      <c r="FP39" s="97">
        <v>55</v>
      </c>
      <c r="FQ39" s="97">
        <v>12</v>
      </c>
      <c r="FR39" s="97"/>
      <c r="FS39" s="97">
        <v>70</v>
      </c>
      <c r="FT39" s="97">
        <v>0</v>
      </c>
      <c r="FU39" s="97">
        <v>453</v>
      </c>
      <c r="FV39" s="6308">
        <f t="shared" si="0"/>
        <v>0.33554083885209712</v>
      </c>
      <c r="FW39" s="6322"/>
      <c r="FX39" s="42"/>
      <c r="FY39" s="42"/>
      <c r="FZ39" s="42" t="s">
        <v>33</v>
      </c>
      <c r="GA39" s="97">
        <v>41</v>
      </c>
      <c r="GB39" s="97">
        <v>86</v>
      </c>
      <c r="GC39" s="97"/>
      <c r="GD39" s="97">
        <v>14</v>
      </c>
      <c r="GE39" s="97">
        <v>123</v>
      </c>
      <c r="GF39" s="97">
        <v>14</v>
      </c>
      <c r="GG39" s="97">
        <v>29</v>
      </c>
      <c r="GH39" s="97">
        <v>0</v>
      </c>
      <c r="GI39" s="97">
        <v>0</v>
      </c>
      <c r="GJ39" s="97">
        <v>55</v>
      </c>
      <c r="GK39" s="97">
        <v>9</v>
      </c>
      <c r="GL39" s="97"/>
      <c r="GM39" s="97">
        <v>60</v>
      </c>
      <c r="GN39" s="97">
        <v>0</v>
      </c>
      <c r="GO39" s="97">
        <v>431</v>
      </c>
      <c r="GP39" s="6308">
        <f t="shared" si="11"/>
        <v>0.33874709976798145</v>
      </c>
      <c r="GR39" s="6280"/>
      <c r="GS39" s="6280"/>
      <c r="GT39" s="6310" t="s">
        <v>33</v>
      </c>
      <c r="GU39" s="6311">
        <v>56</v>
      </c>
      <c r="GV39" s="6311">
        <v>72</v>
      </c>
      <c r="GW39" s="6312"/>
      <c r="GX39" s="6311">
        <v>17</v>
      </c>
      <c r="GY39" s="6311">
        <v>123</v>
      </c>
      <c r="GZ39" s="6311">
        <v>4</v>
      </c>
      <c r="HA39" s="6311">
        <v>39</v>
      </c>
      <c r="HB39" s="6312"/>
      <c r="HC39" s="6311">
        <v>0</v>
      </c>
      <c r="HD39" s="6311">
        <v>54</v>
      </c>
      <c r="HE39" s="6311">
        <v>9</v>
      </c>
      <c r="HF39" s="6312"/>
      <c r="HG39" s="6311">
        <v>65</v>
      </c>
      <c r="HH39" s="6311">
        <v>0</v>
      </c>
      <c r="HI39" s="6311">
        <v>439</v>
      </c>
      <c r="HJ39" s="467">
        <f t="shared" si="12"/>
        <v>0.30979498861047838</v>
      </c>
      <c r="HL39" s="967"/>
      <c r="HM39" s="967"/>
      <c r="HN39" s="977" t="s">
        <v>33</v>
      </c>
      <c r="HO39" s="978">
        <v>52</v>
      </c>
      <c r="HP39" s="978">
        <v>69</v>
      </c>
      <c r="HQ39" s="967"/>
      <c r="HR39" s="978">
        <v>23</v>
      </c>
      <c r="HS39" s="978">
        <v>119</v>
      </c>
      <c r="HT39" s="978">
        <v>4</v>
      </c>
      <c r="HU39" s="978">
        <v>36</v>
      </c>
      <c r="HV39" s="967"/>
      <c r="HW39" s="978">
        <v>0</v>
      </c>
      <c r="HX39" s="978">
        <v>62</v>
      </c>
      <c r="HY39" s="978">
        <v>9</v>
      </c>
      <c r="HZ39" s="978">
        <v>95</v>
      </c>
      <c r="IA39" s="967"/>
      <c r="IB39" s="978">
        <v>469</v>
      </c>
      <c r="IC39" s="467">
        <f t="shared" si="13"/>
        <v>0.28144989339019189</v>
      </c>
      <c r="IE39" s="577"/>
      <c r="IF39" s="577"/>
      <c r="IG39" s="979" t="s">
        <v>33</v>
      </c>
      <c r="IH39" s="980">
        <v>54</v>
      </c>
      <c r="II39" s="980">
        <v>72</v>
      </c>
      <c r="IJ39" s="980">
        <v>0</v>
      </c>
      <c r="IK39" s="980">
        <v>26</v>
      </c>
      <c r="IL39" s="980">
        <v>106</v>
      </c>
      <c r="IM39" s="980">
        <v>15</v>
      </c>
      <c r="IN39" s="980">
        <v>20</v>
      </c>
      <c r="IO39" s="577"/>
      <c r="IP39" s="980">
        <v>0</v>
      </c>
      <c r="IQ39" s="980">
        <v>53</v>
      </c>
      <c r="IR39" s="980">
        <v>6</v>
      </c>
      <c r="IS39" s="980">
        <v>95</v>
      </c>
      <c r="IT39" s="577"/>
      <c r="IU39" s="980">
        <v>447</v>
      </c>
      <c r="IV39" s="467">
        <f t="shared" si="14"/>
        <v>0.28411633109619688</v>
      </c>
      <c r="IX39" s="742"/>
      <c r="IY39" s="742"/>
      <c r="IZ39" s="981" t="s">
        <v>34</v>
      </c>
      <c r="JA39" s="982">
        <v>76</v>
      </c>
      <c r="JB39" s="982">
        <v>46</v>
      </c>
      <c r="JC39" s="982">
        <v>0</v>
      </c>
      <c r="JD39" s="982">
        <v>37</v>
      </c>
      <c r="JE39" s="982">
        <v>105</v>
      </c>
      <c r="JF39" s="982">
        <v>14</v>
      </c>
      <c r="JG39" s="982">
        <v>36</v>
      </c>
      <c r="JH39" s="982">
        <v>0</v>
      </c>
      <c r="JI39" s="982">
        <v>26</v>
      </c>
      <c r="JJ39" s="982">
        <v>10</v>
      </c>
      <c r="JK39" s="982">
        <v>86</v>
      </c>
      <c r="JL39" s="982">
        <v>111</v>
      </c>
      <c r="JM39" s="982">
        <v>0</v>
      </c>
      <c r="JN39" s="982">
        <v>2</v>
      </c>
      <c r="JO39" s="982">
        <v>549</v>
      </c>
      <c r="JP39" s="983">
        <f t="shared" si="15"/>
        <v>0.27982646420824298</v>
      </c>
      <c r="JR39" s="97"/>
      <c r="JS39" s="97"/>
      <c r="JT39" s="42" t="s">
        <v>34</v>
      </c>
      <c r="JU39" s="42">
        <v>80</v>
      </c>
      <c r="JV39" s="42">
        <v>52</v>
      </c>
      <c r="JW39" s="42"/>
      <c r="JX39" s="42">
        <v>34</v>
      </c>
      <c r="JY39" s="42">
        <v>101</v>
      </c>
      <c r="JZ39" s="42">
        <v>11</v>
      </c>
      <c r="KA39" s="42">
        <v>35</v>
      </c>
      <c r="KB39" s="42">
        <v>0</v>
      </c>
      <c r="KC39" s="42">
        <v>26</v>
      </c>
      <c r="KD39" s="42">
        <v>10</v>
      </c>
      <c r="KE39" s="42">
        <v>81</v>
      </c>
      <c r="KF39" s="42">
        <v>106</v>
      </c>
      <c r="KG39" s="42"/>
      <c r="KH39" s="42">
        <v>1</v>
      </c>
      <c r="KI39" s="42">
        <v>537</v>
      </c>
      <c r="KJ39" s="984">
        <f t="shared" si="1"/>
        <v>0.26813186813186812</v>
      </c>
      <c r="KK39" s="42"/>
      <c r="KL39" s="354"/>
      <c r="KM39" s="354"/>
      <c r="KN39" s="354" t="s">
        <v>34</v>
      </c>
      <c r="KO39" s="985">
        <v>61</v>
      </c>
      <c r="KP39" s="985">
        <v>49</v>
      </c>
      <c r="KQ39" s="985" t="s">
        <v>315</v>
      </c>
      <c r="KR39" s="985">
        <v>28</v>
      </c>
      <c r="KS39" s="985">
        <v>89</v>
      </c>
      <c r="KT39" s="985">
        <v>10</v>
      </c>
      <c r="KU39" s="985">
        <v>45</v>
      </c>
      <c r="KV39" s="985" t="s">
        <v>315</v>
      </c>
      <c r="KW39" s="985">
        <v>40</v>
      </c>
      <c r="KX39" s="985">
        <v>10</v>
      </c>
      <c r="KY39" s="985">
        <v>110</v>
      </c>
      <c r="KZ39" s="985" t="s">
        <v>315</v>
      </c>
      <c r="LA39" s="985">
        <v>442</v>
      </c>
      <c r="LB39" s="985">
        <f t="shared" si="2"/>
        <v>109</v>
      </c>
      <c r="LC39" s="986">
        <f t="shared" si="3"/>
        <v>0.24660633484162897</v>
      </c>
      <c r="LD39" s="42"/>
      <c r="LE39" s="42"/>
    </row>
    <row r="40" spans="1:317">
      <c r="A40" s="6291">
        <v>2</v>
      </c>
      <c r="B40" s="6291">
        <v>2</v>
      </c>
      <c r="C40" s="6291">
        <v>43</v>
      </c>
      <c r="D40" s="6292">
        <v>559</v>
      </c>
      <c r="E40" s="6291">
        <v>54</v>
      </c>
      <c r="F40" s="6291">
        <v>122</v>
      </c>
      <c r="G40" s="6291">
        <v>129</v>
      </c>
      <c r="H40" s="6291">
        <v>25</v>
      </c>
      <c r="I40" s="6293"/>
      <c r="J40" s="6291">
        <v>4</v>
      </c>
      <c r="K40" s="6291">
        <v>12</v>
      </c>
      <c r="L40" s="6293"/>
      <c r="M40" s="6291">
        <v>12</v>
      </c>
      <c r="N40" s="6291">
        <v>92</v>
      </c>
      <c r="O40" s="6293"/>
      <c r="P40" s="6291">
        <v>109</v>
      </c>
      <c r="Q40" s="6294">
        <f t="shared" si="4"/>
        <v>0.23792486583184258</v>
      </c>
      <c r="S40" s="6295">
        <v>2</v>
      </c>
      <c r="T40" s="6295">
        <v>2</v>
      </c>
      <c r="U40" s="6295">
        <v>38</v>
      </c>
      <c r="V40" s="6295">
        <v>395</v>
      </c>
      <c r="W40" s="6295">
        <v>44</v>
      </c>
      <c r="X40" s="6295">
        <v>67</v>
      </c>
      <c r="Y40" s="6295">
        <v>58</v>
      </c>
      <c r="Z40" s="6295">
        <v>19</v>
      </c>
      <c r="AA40" s="6296"/>
      <c r="AB40" s="6295">
        <v>2</v>
      </c>
      <c r="AC40" s="6295">
        <v>4</v>
      </c>
      <c r="AD40" s="6296"/>
      <c r="AE40" s="6295">
        <v>12</v>
      </c>
      <c r="AF40" s="6295">
        <v>102</v>
      </c>
      <c r="AG40" s="6296"/>
      <c r="AH40" s="6295">
        <v>87</v>
      </c>
      <c r="AI40" s="6294">
        <f t="shared" si="5"/>
        <v>0.26075949367088608</v>
      </c>
      <c r="AJ40" s="6295"/>
      <c r="AK40" s="6297">
        <v>2</v>
      </c>
      <c r="AL40" s="6297">
        <v>2</v>
      </c>
      <c r="AM40" s="6297">
        <v>38</v>
      </c>
      <c r="AN40" s="6298">
        <v>395</v>
      </c>
      <c r="AO40" s="6297">
        <v>44</v>
      </c>
      <c r="AP40" s="6297">
        <v>67</v>
      </c>
      <c r="AQ40" s="6297">
        <v>63</v>
      </c>
      <c r="AR40" s="6297">
        <v>18</v>
      </c>
      <c r="AS40" s="6299"/>
      <c r="AT40" s="6297">
        <v>2</v>
      </c>
      <c r="AU40" s="6299"/>
      <c r="AV40" s="6297">
        <v>1</v>
      </c>
      <c r="AW40" s="6297">
        <v>12</v>
      </c>
      <c r="AX40" s="6299"/>
      <c r="AY40" s="6297">
        <v>103</v>
      </c>
      <c r="AZ40" s="6299"/>
      <c r="BA40" s="6299"/>
      <c r="BB40" s="6297">
        <v>85</v>
      </c>
      <c r="BC40" s="6300">
        <f t="shared" si="6"/>
        <v>0.2481012658227848</v>
      </c>
      <c r="BE40" s="6313">
        <v>2</v>
      </c>
      <c r="BF40" s="6313">
        <v>2</v>
      </c>
      <c r="BG40" s="6313">
        <v>38</v>
      </c>
      <c r="BH40" s="4405" t="s">
        <v>33</v>
      </c>
      <c r="BI40" s="6314">
        <v>408</v>
      </c>
      <c r="BJ40" s="6313">
        <v>42</v>
      </c>
      <c r="BK40" s="6313">
        <v>87</v>
      </c>
      <c r="BL40" s="6313">
        <v>51</v>
      </c>
      <c r="BM40" s="6313">
        <v>19</v>
      </c>
      <c r="BN40" s="6303"/>
      <c r="BO40" s="6313">
        <v>5</v>
      </c>
      <c r="BP40" s="6303"/>
      <c r="BQ40" s="6313">
        <v>5</v>
      </c>
      <c r="BR40" s="6303"/>
      <c r="BS40" s="6313">
        <v>27</v>
      </c>
      <c r="BT40" s="6313">
        <v>83</v>
      </c>
      <c r="BU40" s="6303"/>
      <c r="BV40" s="6303"/>
      <c r="BW40" s="6313">
        <v>89</v>
      </c>
      <c r="BX40" s="6300">
        <f t="shared" si="16"/>
        <v>0.29656862745098039</v>
      </c>
      <c r="BZ40" s="4388"/>
      <c r="CA40" s="4388"/>
      <c r="CB40" s="4388" t="s">
        <v>33</v>
      </c>
      <c r="CC40" s="4231">
        <v>66</v>
      </c>
      <c r="CD40" s="4231">
        <v>75</v>
      </c>
      <c r="CE40" s="4231">
        <v>0</v>
      </c>
      <c r="CF40" s="4231">
        <v>19</v>
      </c>
      <c r="CG40" s="4231">
        <v>89</v>
      </c>
      <c r="CH40" s="4231">
        <v>20</v>
      </c>
      <c r="CI40" s="4231">
        <v>5</v>
      </c>
      <c r="CJ40" s="4231"/>
      <c r="CK40" s="4231">
        <v>0</v>
      </c>
      <c r="CL40" s="4231">
        <v>47</v>
      </c>
      <c r="CM40" s="4231">
        <v>9</v>
      </c>
      <c r="CN40" s="4231"/>
      <c r="CO40" s="4231">
        <v>92</v>
      </c>
      <c r="CP40" s="4231">
        <v>0</v>
      </c>
      <c r="CQ40" s="4231">
        <v>422</v>
      </c>
      <c r="CR40" s="6304">
        <f t="shared" si="7"/>
        <v>0.27962085308056872</v>
      </c>
      <c r="CS40" s="4238">
        <f t="shared" si="8"/>
        <v>14</v>
      </c>
      <c r="CT40" s="6305">
        <v>408</v>
      </c>
      <c r="CU40" s="6316"/>
      <c r="CX40" s="42" t="s">
        <v>34</v>
      </c>
      <c r="CY40" s="42">
        <v>40</v>
      </c>
      <c r="CZ40" s="42">
        <v>67</v>
      </c>
      <c r="DB40" s="42">
        <v>17</v>
      </c>
      <c r="DC40" s="42">
        <v>128</v>
      </c>
      <c r="DD40" s="42">
        <v>12</v>
      </c>
      <c r="DE40" s="42">
        <v>57</v>
      </c>
      <c r="DF40" s="42">
        <v>0</v>
      </c>
      <c r="DG40" s="42">
        <v>0</v>
      </c>
      <c r="DH40" s="42">
        <v>37</v>
      </c>
      <c r="DI40" s="42">
        <v>7</v>
      </c>
      <c r="DK40" s="42">
        <v>81</v>
      </c>
      <c r="DL40" s="42">
        <v>0</v>
      </c>
      <c r="DM40" s="893">
        <v>446</v>
      </c>
      <c r="DN40" s="6306">
        <f t="shared" si="17"/>
        <v>0.32959641255605382</v>
      </c>
      <c r="DP40" s="4263"/>
      <c r="DQ40" s="4263"/>
      <c r="DR40" s="4258" t="s">
        <v>34</v>
      </c>
      <c r="DS40" s="4263">
        <v>72</v>
      </c>
      <c r="DT40" s="4263">
        <v>94</v>
      </c>
      <c r="DU40" s="4263"/>
      <c r="DV40" s="4263">
        <v>17</v>
      </c>
      <c r="DW40" s="4263">
        <v>79</v>
      </c>
      <c r="DX40" s="4263">
        <v>21</v>
      </c>
      <c r="DY40" s="4263">
        <v>6</v>
      </c>
      <c r="DZ40" s="4263">
        <v>0</v>
      </c>
      <c r="EA40" s="4263">
        <v>0</v>
      </c>
      <c r="EB40" s="4263">
        <v>45</v>
      </c>
      <c r="EC40" s="4263">
        <v>15</v>
      </c>
      <c r="ED40" s="4263"/>
      <c r="EE40" s="4263">
        <v>95</v>
      </c>
      <c r="EF40" s="4263">
        <v>0</v>
      </c>
      <c r="EG40" s="4263">
        <v>444</v>
      </c>
      <c r="EH40" s="6307">
        <f t="shared" si="9"/>
        <v>0.25900900900900903</v>
      </c>
      <c r="EL40" s="42" t="s">
        <v>34</v>
      </c>
      <c r="EM40" s="97">
        <v>77</v>
      </c>
      <c r="EN40" s="97">
        <v>73</v>
      </c>
      <c r="EO40" s="97"/>
      <c r="EP40" s="97">
        <v>1</v>
      </c>
      <c r="EQ40" s="97">
        <v>109</v>
      </c>
      <c r="ER40" s="97">
        <v>9</v>
      </c>
      <c r="ES40" s="97">
        <v>33</v>
      </c>
      <c r="ET40" s="97"/>
      <c r="EU40" s="97">
        <v>0</v>
      </c>
      <c r="EV40" s="97">
        <v>37</v>
      </c>
      <c r="EW40" s="97">
        <v>8</v>
      </c>
      <c r="EX40" s="97"/>
      <c r="EY40" s="97">
        <v>83</v>
      </c>
      <c r="EZ40" s="97">
        <v>0</v>
      </c>
      <c r="FA40" s="97">
        <v>430</v>
      </c>
      <c r="FB40" s="6315">
        <f t="shared" si="10"/>
        <v>0.2930232558139535</v>
      </c>
      <c r="FD40" s="42"/>
      <c r="FE40" s="42"/>
      <c r="FF40" s="42" t="s">
        <v>34</v>
      </c>
      <c r="FG40" s="97">
        <v>91</v>
      </c>
      <c r="FH40" s="97">
        <v>69</v>
      </c>
      <c r="FI40" s="97">
        <v>2</v>
      </c>
      <c r="FJ40" s="97">
        <v>16</v>
      </c>
      <c r="FK40" s="97">
        <v>98</v>
      </c>
      <c r="FL40" s="97">
        <v>15</v>
      </c>
      <c r="FM40" s="97">
        <v>44</v>
      </c>
      <c r="FN40" s="97"/>
      <c r="FO40" s="97">
        <v>0</v>
      </c>
      <c r="FP40" s="97">
        <v>39</v>
      </c>
      <c r="FQ40" s="97">
        <v>11</v>
      </c>
      <c r="FR40" s="97"/>
      <c r="FS40" s="97">
        <v>76</v>
      </c>
      <c r="FT40" s="97">
        <v>0</v>
      </c>
      <c r="FU40" s="97">
        <v>461</v>
      </c>
      <c r="FV40" s="6308">
        <f t="shared" si="0"/>
        <v>0.26898047722342733</v>
      </c>
      <c r="FW40" s="6322"/>
      <c r="FX40" s="42"/>
      <c r="FY40" s="42"/>
      <c r="FZ40" s="42" t="s">
        <v>34</v>
      </c>
      <c r="GA40" s="97">
        <v>98</v>
      </c>
      <c r="GB40" s="97">
        <v>56</v>
      </c>
      <c r="GC40" s="97"/>
      <c r="GD40" s="97">
        <v>16</v>
      </c>
      <c r="GE40" s="97">
        <v>121</v>
      </c>
      <c r="GF40" s="97">
        <v>4</v>
      </c>
      <c r="GG40" s="97">
        <v>21</v>
      </c>
      <c r="GH40" s="97">
        <v>0</v>
      </c>
      <c r="GI40" s="97">
        <v>0</v>
      </c>
      <c r="GJ40" s="97">
        <v>39</v>
      </c>
      <c r="GK40" s="97">
        <v>10</v>
      </c>
      <c r="GL40" s="97"/>
      <c r="GM40" s="97">
        <v>85</v>
      </c>
      <c r="GN40" s="97">
        <v>0</v>
      </c>
      <c r="GO40" s="97">
        <v>450</v>
      </c>
      <c r="GP40" s="6308">
        <f t="shared" si="11"/>
        <v>0.3</v>
      </c>
      <c r="GR40" s="6280"/>
      <c r="GS40" s="6280"/>
      <c r="GT40" s="6310" t="s">
        <v>34</v>
      </c>
      <c r="GU40" s="6311">
        <v>80</v>
      </c>
      <c r="GV40" s="6311">
        <v>47</v>
      </c>
      <c r="GW40" s="6312"/>
      <c r="GX40" s="6311">
        <v>21</v>
      </c>
      <c r="GY40" s="6311">
        <v>129</v>
      </c>
      <c r="GZ40" s="6311">
        <v>5</v>
      </c>
      <c r="HA40" s="6311">
        <v>29</v>
      </c>
      <c r="HB40" s="6312"/>
      <c r="HC40" s="6311">
        <v>0</v>
      </c>
      <c r="HD40" s="6311">
        <v>37</v>
      </c>
      <c r="HE40" s="6311">
        <v>12</v>
      </c>
      <c r="HF40" s="6312"/>
      <c r="HG40" s="6311">
        <v>84</v>
      </c>
      <c r="HH40" s="6311">
        <v>0</v>
      </c>
      <c r="HI40" s="6311">
        <v>444</v>
      </c>
      <c r="HJ40" s="467">
        <f t="shared" si="12"/>
        <v>0.32882882882882886</v>
      </c>
      <c r="HL40" s="967"/>
      <c r="HM40" s="967"/>
      <c r="HN40" s="977" t="s">
        <v>34</v>
      </c>
      <c r="HO40" s="978">
        <v>76</v>
      </c>
      <c r="HP40" s="978">
        <v>43</v>
      </c>
      <c r="HQ40" s="967"/>
      <c r="HR40" s="978">
        <v>34</v>
      </c>
      <c r="HS40" s="978">
        <v>136</v>
      </c>
      <c r="HT40" s="978">
        <v>3</v>
      </c>
      <c r="HU40" s="978">
        <v>30</v>
      </c>
      <c r="HV40" s="967"/>
      <c r="HW40" s="978">
        <v>0</v>
      </c>
      <c r="HX40" s="978">
        <v>41</v>
      </c>
      <c r="HY40" s="978">
        <v>15</v>
      </c>
      <c r="HZ40" s="978">
        <v>99</v>
      </c>
      <c r="IA40" s="967"/>
      <c r="IB40" s="978">
        <v>477</v>
      </c>
      <c r="IC40" s="467">
        <f t="shared" si="13"/>
        <v>0.32285115303983231</v>
      </c>
      <c r="IE40" s="577"/>
      <c r="IF40" s="577"/>
      <c r="IG40" s="979" t="s">
        <v>34</v>
      </c>
      <c r="IH40" s="980">
        <v>65</v>
      </c>
      <c r="II40" s="980">
        <v>52</v>
      </c>
      <c r="IJ40" s="980">
        <v>0</v>
      </c>
      <c r="IK40" s="980">
        <v>38</v>
      </c>
      <c r="IL40" s="980">
        <v>119</v>
      </c>
      <c r="IM40" s="980">
        <v>16</v>
      </c>
      <c r="IN40" s="980">
        <v>44</v>
      </c>
      <c r="IO40" s="577"/>
      <c r="IP40" s="980">
        <v>0</v>
      </c>
      <c r="IQ40" s="980">
        <v>29</v>
      </c>
      <c r="IR40" s="980">
        <v>15</v>
      </c>
      <c r="IS40" s="980">
        <v>93</v>
      </c>
      <c r="IT40" s="577"/>
      <c r="IU40" s="980">
        <v>471</v>
      </c>
      <c r="IV40" s="467">
        <f t="shared" si="14"/>
        <v>0.31847133757961782</v>
      </c>
      <c r="IX40" s="742"/>
      <c r="IY40" s="742"/>
      <c r="IZ40" s="981" t="s">
        <v>35</v>
      </c>
      <c r="JA40" s="982">
        <v>97</v>
      </c>
      <c r="JB40" s="982">
        <v>38</v>
      </c>
      <c r="JC40" s="982">
        <v>0</v>
      </c>
      <c r="JD40" s="982">
        <v>29</v>
      </c>
      <c r="JE40" s="982">
        <v>119</v>
      </c>
      <c r="JF40" s="982">
        <v>7</v>
      </c>
      <c r="JG40" s="982">
        <v>35</v>
      </c>
      <c r="JH40" s="982">
        <v>1</v>
      </c>
      <c r="JI40" s="982">
        <v>32</v>
      </c>
      <c r="JJ40" s="982">
        <v>7</v>
      </c>
      <c r="JK40" s="982">
        <v>52</v>
      </c>
      <c r="JL40" s="982">
        <v>114</v>
      </c>
      <c r="JM40" s="982">
        <v>0</v>
      </c>
      <c r="JN40" s="982">
        <v>4</v>
      </c>
      <c r="JO40" s="982">
        <v>535</v>
      </c>
      <c r="JP40" s="983">
        <f t="shared" si="15"/>
        <v>0.27766179540709812</v>
      </c>
      <c r="JR40" s="97"/>
      <c r="JS40" s="97"/>
      <c r="JT40" s="42" t="s">
        <v>35</v>
      </c>
      <c r="JU40" s="42">
        <v>86</v>
      </c>
      <c r="JV40" s="42">
        <v>45</v>
      </c>
      <c r="JW40" s="42"/>
      <c r="JX40" s="42">
        <v>29</v>
      </c>
      <c r="JY40" s="42">
        <v>118</v>
      </c>
      <c r="JZ40" s="42">
        <v>12</v>
      </c>
      <c r="KA40" s="42">
        <v>26</v>
      </c>
      <c r="KB40" s="42">
        <v>1</v>
      </c>
      <c r="KC40" s="42">
        <v>23</v>
      </c>
      <c r="KD40" s="42">
        <v>9</v>
      </c>
      <c r="KE40" s="42">
        <v>43</v>
      </c>
      <c r="KF40" s="42">
        <v>118</v>
      </c>
      <c r="KG40" s="42"/>
      <c r="KH40" s="42">
        <v>4</v>
      </c>
      <c r="KI40" s="42">
        <v>514</v>
      </c>
      <c r="KJ40" s="984">
        <f t="shared" si="1"/>
        <v>0.29764453961456105</v>
      </c>
      <c r="KK40" s="42"/>
      <c r="KL40" s="354"/>
      <c r="KM40" s="354"/>
      <c r="KN40" s="354" t="s">
        <v>35</v>
      </c>
      <c r="KO40" s="985">
        <v>59</v>
      </c>
      <c r="KP40" s="985">
        <v>55</v>
      </c>
      <c r="KQ40" s="985" t="s">
        <v>315</v>
      </c>
      <c r="KR40" s="985">
        <v>30</v>
      </c>
      <c r="KS40" s="985">
        <v>99</v>
      </c>
      <c r="KT40" s="985">
        <v>15</v>
      </c>
      <c r="KU40" s="985">
        <v>40</v>
      </c>
      <c r="KV40" s="985" t="s">
        <v>315</v>
      </c>
      <c r="KW40" s="985">
        <v>35</v>
      </c>
      <c r="KX40" s="985">
        <v>11</v>
      </c>
      <c r="KY40" s="985">
        <v>110</v>
      </c>
      <c r="KZ40" s="985" t="s">
        <v>315</v>
      </c>
      <c r="LA40" s="985">
        <v>454</v>
      </c>
      <c r="LB40" s="985">
        <f t="shared" si="2"/>
        <v>125</v>
      </c>
      <c r="LC40" s="986">
        <f t="shared" si="3"/>
        <v>0.2753303964757709</v>
      </c>
      <c r="LD40" s="42"/>
      <c r="LE40" s="42"/>
    </row>
    <row r="41" spans="1:317">
      <c r="A41" s="6291">
        <v>2</v>
      </c>
      <c r="B41" s="6291">
        <v>2</v>
      </c>
      <c r="C41" s="6291">
        <v>44</v>
      </c>
      <c r="D41" s="6292">
        <v>352</v>
      </c>
      <c r="E41" s="6291">
        <v>12</v>
      </c>
      <c r="F41" s="6291">
        <v>111</v>
      </c>
      <c r="G41" s="6291">
        <v>60</v>
      </c>
      <c r="H41" s="6291">
        <v>18</v>
      </c>
      <c r="I41" s="6293"/>
      <c r="J41" s="6291">
        <v>5</v>
      </c>
      <c r="K41" s="6291">
        <v>14</v>
      </c>
      <c r="L41" s="6293"/>
      <c r="M41" s="6291">
        <v>7</v>
      </c>
      <c r="N41" s="6291">
        <v>33</v>
      </c>
      <c r="O41" s="6293"/>
      <c r="P41" s="6291">
        <v>92</v>
      </c>
      <c r="Q41" s="6294">
        <f t="shared" si="4"/>
        <v>0.32102272727272729</v>
      </c>
      <c r="S41" s="6295">
        <v>2</v>
      </c>
      <c r="T41" s="6295">
        <v>2</v>
      </c>
      <c r="U41" s="6295">
        <v>39</v>
      </c>
      <c r="V41" s="6295">
        <v>437</v>
      </c>
      <c r="W41" s="6295">
        <v>21</v>
      </c>
      <c r="X41" s="6295">
        <v>75</v>
      </c>
      <c r="Y41" s="6295">
        <v>93</v>
      </c>
      <c r="Z41" s="6295">
        <v>16</v>
      </c>
      <c r="AA41" s="6296"/>
      <c r="AB41" s="6295">
        <v>5</v>
      </c>
      <c r="AC41" s="6295">
        <v>13</v>
      </c>
      <c r="AD41" s="6296"/>
      <c r="AE41" s="6295">
        <v>14</v>
      </c>
      <c r="AF41" s="6295">
        <v>105</v>
      </c>
      <c r="AG41" s="6296"/>
      <c r="AH41" s="6295">
        <v>95</v>
      </c>
      <c r="AI41" s="6294">
        <f t="shared" si="5"/>
        <v>0.2791762013729977</v>
      </c>
      <c r="AJ41" s="6295"/>
      <c r="AK41" s="6297">
        <v>2</v>
      </c>
      <c r="AL41" s="6297">
        <v>2</v>
      </c>
      <c r="AM41" s="6297">
        <v>39</v>
      </c>
      <c r="AN41" s="6298">
        <v>437</v>
      </c>
      <c r="AO41" s="6297">
        <v>20</v>
      </c>
      <c r="AP41" s="6297">
        <v>75</v>
      </c>
      <c r="AQ41" s="6297">
        <v>103</v>
      </c>
      <c r="AR41" s="6297">
        <v>16</v>
      </c>
      <c r="AS41" s="6299"/>
      <c r="AT41" s="6297">
        <v>5</v>
      </c>
      <c r="AU41" s="6299"/>
      <c r="AV41" s="6297">
        <v>9</v>
      </c>
      <c r="AW41" s="6297">
        <v>13</v>
      </c>
      <c r="AX41" s="6299"/>
      <c r="AY41" s="6297">
        <v>102</v>
      </c>
      <c r="AZ41" s="6299"/>
      <c r="BA41" s="6299"/>
      <c r="BB41" s="6297">
        <v>94</v>
      </c>
      <c r="BC41" s="6300">
        <f t="shared" si="6"/>
        <v>0.26544622425629288</v>
      </c>
      <c r="BE41" s="6313">
        <v>2</v>
      </c>
      <c r="BF41" s="6313">
        <v>2</v>
      </c>
      <c r="BG41" s="6313">
        <v>39</v>
      </c>
      <c r="BH41" s="4405" t="s">
        <v>34</v>
      </c>
      <c r="BI41" s="6314">
        <v>433</v>
      </c>
      <c r="BJ41" s="6313">
        <v>24</v>
      </c>
      <c r="BK41" s="6313">
        <v>94</v>
      </c>
      <c r="BL41" s="6313">
        <v>69</v>
      </c>
      <c r="BM41" s="6313">
        <v>15</v>
      </c>
      <c r="BN41" s="6303"/>
      <c r="BO41" s="6313">
        <v>5</v>
      </c>
      <c r="BP41" s="6303"/>
      <c r="BQ41" s="6313">
        <v>13</v>
      </c>
      <c r="BR41" s="6303"/>
      <c r="BS41" s="6313">
        <v>30</v>
      </c>
      <c r="BT41" s="6313">
        <v>100</v>
      </c>
      <c r="BU41" s="6303"/>
      <c r="BV41" s="6313">
        <v>2</v>
      </c>
      <c r="BW41" s="6313">
        <v>81</v>
      </c>
      <c r="BX41" s="6300">
        <f t="shared" si="16"/>
        <v>0.2863741339491917</v>
      </c>
      <c r="BZ41" s="4388"/>
      <c r="CA41" s="4388"/>
      <c r="CB41" s="4388" t="s">
        <v>34</v>
      </c>
      <c r="CC41" s="4231">
        <v>74</v>
      </c>
      <c r="CD41" s="4231">
        <v>97</v>
      </c>
      <c r="CE41" s="4231">
        <v>1</v>
      </c>
      <c r="CF41" s="4231">
        <v>15</v>
      </c>
      <c r="CG41" s="4231">
        <v>79</v>
      </c>
      <c r="CH41" s="4231">
        <v>21</v>
      </c>
      <c r="CI41" s="4231">
        <v>6</v>
      </c>
      <c r="CJ41" s="4231"/>
      <c r="CK41" s="4231">
        <v>0</v>
      </c>
      <c r="CL41" s="4231">
        <v>36</v>
      </c>
      <c r="CM41" s="4231">
        <v>19</v>
      </c>
      <c r="CN41" s="4231"/>
      <c r="CO41" s="4231">
        <v>98</v>
      </c>
      <c r="CP41" s="4231">
        <v>0</v>
      </c>
      <c r="CQ41" s="4231">
        <v>446</v>
      </c>
      <c r="CR41" s="6304">
        <f t="shared" si="7"/>
        <v>0.26681614349775784</v>
      </c>
      <c r="CS41" s="4238">
        <f t="shared" si="8"/>
        <v>13</v>
      </c>
      <c r="CT41" s="6305">
        <v>433</v>
      </c>
      <c r="CU41" s="6316"/>
      <c r="CX41" s="42" t="s">
        <v>35</v>
      </c>
      <c r="CY41" s="42">
        <v>46</v>
      </c>
      <c r="CZ41" s="42">
        <v>68</v>
      </c>
      <c r="DB41" s="42">
        <v>32</v>
      </c>
      <c r="DC41" s="42">
        <v>154</v>
      </c>
      <c r="DD41" s="42">
        <v>10</v>
      </c>
      <c r="DE41" s="42">
        <v>84</v>
      </c>
      <c r="DF41" s="42">
        <v>0</v>
      </c>
      <c r="DG41" s="42">
        <v>1</v>
      </c>
      <c r="DH41" s="42">
        <v>51</v>
      </c>
      <c r="DI41" s="42">
        <v>11</v>
      </c>
      <c r="DK41" s="42">
        <v>69</v>
      </c>
      <c r="DL41" s="42">
        <v>0</v>
      </c>
      <c r="DM41" s="893">
        <v>526</v>
      </c>
      <c r="DN41" s="6306">
        <f t="shared" si="17"/>
        <v>0.33269961977186313</v>
      </c>
      <c r="DP41" s="4263"/>
      <c r="DQ41" s="4263"/>
      <c r="DR41" s="4258" t="s">
        <v>35</v>
      </c>
      <c r="DS41" s="4263">
        <v>83</v>
      </c>
      <c r="DT41" s="4263">
        <v>101</v>
      </c>
      <c r="DU41" s="4263"/>
      <c r="DV41" s="4263">
        <v>30</v>
      </c>
      <c r="DW41" s="4263">
        <v>105</v>
      </c>
      <c r="DX41" s="4263">
        <v>24</v>
      </c>
      <c r="DY41" s="4263">
        <v>9</v>
      </c>
      <c r="DZ41" s="4263">
        <v>0</v>
      </c>
      <c r="EA41" s="4263">
        <v>2</v>
      </c>
      <c r="EB41" s="4263">
        <v>52</v>
      </c>
      <c r="EC41" s="4263">
        <v>14</v>
      </c>
      <c r="ED41" s="4263"/>
      <c r="EE41" s="4263">
        <v>95</v>
      </c>
      <c r="EF41" s="4263">
        <v>0</v>
      </c>
      <c r="EG41" s="4263">
        <v>515</v>
      </c>
      <c r="EH41" s="6307">
        <f t="shared" si="9"/>
        <v>0.27766990291262134</v>
      </c>
      <c r="EL41" s="42" t="s">
        <v>35</v>
      </c>
      <c r="EM41" s="97">
        <v>101</v>
      </c>
      <c r="EN41" s="97">
        <v>70</v>
      </c>
      <c r="EO41" s="97"/>
      <c r="EP41" s="97">
        <v>5</v>
      </c>
      <c r="EQ41" s="97">
        <v>125</v>
      </c>
      <c r="ER41" s="97">
        <v>12</v>
      </c>
      <c r="ES41" s="97">
        <v>49</v>
      </c>
      <c r="ET41" s="97"/>
      <c r="EU41" s="97">
        <v>1</v>
      </c>
      <c r="EV41" s="97">
        <v>43</v>
      </c>
      <c r="EW41" s="97">
        <v>9</v>
      </c>
      <c r="EX41" s="97"/>
      <c r="EY41" s="97">
        <v>83</v>
      </c>
      <c r="EZ41" s="97">
        <v>0</v>
      </c>
      <c r="FA41" s="97">
        <v>498</v>
      </c>
      <c r="FB41" s="6315">
        <f t="shared" si="10"/>
        <v>0.29317269076305219</v>
      </c>
      <c r="FD41" s="42"/>
      <c r="FE41" s="42"/>
      <c r="FF41" s="42" t="s">
        <v>35</v>
      </c>
      <c r="FG41" s="97">
        <v>111</v>
      </c>
      <c r="FH41" s="97">
        <v>64</v>
      </c>
      <c r="FI41" s="97">
        <v>0</v>
      </c>
      <c r="FJ41" s="97">
        <v>24</v>
      </c>
      <c r="FK41" s="97">
        <v>131</v>
      </c>
      <c r="FL41" s="97">
        <v>10</v>
      </c>
      <c r="FM41" s="97">
        <v>38</v>
      </c>
      <c r="FN41" s="97"/>
      <c r="FO41" s="97">
        <v>1</v>
      </c>
      <c r="FP41" s="97">
        <v>45</v>
      </c>
      <c r="FQ41" s="97">
        <v>13</v>
      </c>
      <c r="FR41" s="97"/>
      <c r="FS41" s="97">
        <v>85</v>
      </c>
      <c r="FT41" s="97">
        <v>1</v>
      </c>
      <c r="FU41" s="97">
        <v>523</v>
      </c>
      <c r="FV41" s="6308">
        <f t="shared" si="0"/>
        <v>0.2950191570881226</v>
      </c>
      <c r="FW41" s="6322"/>
      <c r="FX41" s="42"/>
      <c r="FY41" s="42"/>
      <c r="FZ41" s="42" t="s">
        <v>35</v>
      </c>
      <c r="GA41" s="97">
        <v>99</v>
      </c>
      <c r="GB41" s="97">
        <v>67</v>
      </c>
      <c r="GC41" s="97"/>
      <c r="GD41" s="97">
        <v>20</v>
      </c>
      <c r="GE41" s="97">
        <v>142</v>
      </c>
      <c r="GF41" s="97">
        <v>11</v>
      </c>
      <c r="GG41" s="97">
        <v>30</v>
      </c>
      <c r="GH41" s="97">
        <v>0</v>
      </c>
      <c r="GI41" s="97">
        <v>1</v>
      </c>
      <c r="GJ41" s="97">
        <v>38</v>
      </c>
      <c r="GK41" s="97">
        <v>13</v>
      </c>
      <c r="GL41" s="97"/>
      <c r="GM41" s="97">
        <v>73</v>
      </c>
      <c r="GN41" s="97">
        <v>2</v>
      </c>
      <c r="GO41" s="97">
        <v>496</v>
      </c>
      <c r="GP41" s="6308">
        <f t="shared" si="11"/>
        <v>0.33603238866396762</v>
      </c>
      <c r="GR41" s="6280"/>
      <c r="GS41" s="6280"/>
      <c r="GT41" s="6310" t="s">
        <v>35</v>
      </c>
      <c r="GU41" s="6311">
        <v>88</v>
      </c>
      <c r="GV41" s="6311">
        <v>76</v>
      </c>
      <c r="GW41" s="6312"/>
      <c r="GX41" s="6311">
        <v>17</v>
      </c>
      <c r="GY41" s="6311">
        <v>141</v>
      </c>
      <c r="GZ41" s="6311">
        <v>3</v>
      </c>
      <c r="HA41" s="6311">
        <v>42</v>
      </c>
      <c r="HB41" s="6312"/>
      <c r="HC41" s="6311">
        <v>1</v>
      </c>
      <c r="HD41" s="6311">
        <v>35</v>
      </c>
      <c r="HE41" s="6311">
        <v>17</v>
      </c>
      <c r="HF41" s="6312"/>
      <c r="HG41" s="6311">
        <v>75</v>
      </c>
      <c r="HH41" s="6311">
        <v>2</v>
      </c>
      <c r="HI41" s="6311">
        <v>497</v>
      </c>
      <c r="HJ41" s="467">
        <f t="shared" si="12"/>
        <v>0.32525252525252524</v>
      </c>
      <c r="HL41" s="967"/>
      <c r="HM41" s="967"/>
      <c r="HN41" s="977" t="s">
        <v>35</v>
      </c>
      <c r="HO41" s="978">
        <v>78</v>
      </c>
      <c r="HP41" s="978">
        <v>60</v>
      </c>
      <c r="HQ41" s="967"/>
      <c r="HR41" s="978">
        <v>25</v>
      </c>
      <c r="HS41" s="978">
        <v>150</v>
      </c>
      <c r="HT41" s="978">
        <v>6</v>
      </c>
      <c r="HU41" s="978">
        <v>45</v>
      </c>
      <c r="HV41" s="967"/>
      <c r="HW41" s="978">
        <v>1</v>
      </c>
      <c r="HX41" s="978">
        <v>55</v>
      </c>
      <c r="HY41" s="978">
        <v>4</v>
      </c>
      <c r="HZ41" s="978">
        <v>103</v>
      </c>
      <c r="IA41" s="967"/>
      <c r="IB41" s="978">
        <v>527</v>
      </c>
      <c r="IC41" s="467">
        <f t="shared" si="13"/>
        <v>0.30360531309297911</v>
      </c>
      <c r="IE41" s="577"/>
      <c r="IF41" s="577"/>
      <c r="IG41" s="979" t="s">
        <v>35</v>
      </c>
      <c r="IH41" s="980">
        <v>96</v>
      </c>
      <c r="II41" s="980">
        <v>59</v>
      </c>
      <c r="IJ41" s="980">
        <v>0</v>
      </c>
      <c r="IK41" s="980">
        <v>24</v>
      </c>
      <c r="IL41" s="980">
        <v>136</v>
      </c>
      <c r="IM41" s="980">
        <v>8</v>
      </c>
      <c r="IN41" s="980">
        <v>30</v>
      </c>
      <c r="IO41" s="577"/>
      <c r="IP41" s="980">
        <v>1</v>
      </c>
      <c r="IQ41" s="980">
        <v>34</v>
      </c>
      <c r="IR41" s="980">
        <v>7</v>
      </c>
      <c r="IS41" s="980">
        <v>101</v>
      </c>
      <c r="IT41" s="577"/>
      <c r="IU41" s="980">
        <v>496</v>
      </c>
      <c r="IV41" s="467">
        <f t="shared" si="14"/>
        <v>0.30443548387096775</v>
      </c>
      <c r="IX41" s="742"/>
      <c r="IY41" s="742"/>
      <c r="IZ41" s="981" t="s">
        <v>19</v>
      </c>
      <c r="JA41" s="982">
        <v>114</v>
      </c>
      <c r="JB41" s="982">
        <v>58</v>
      </c>
      <c r="JC41" s="982">
        <v>0</v>
      </c>
      <c r="JD41" s="982">
        <v>35</v>
      </c>
      <c r="JE41" s="982">
        <v>175</v>
      </c>
      <c r="JF41" s="982">
        <v>31</v>
      </c>
      <c r="JG41" s="982">
        <v>41</v>
      </c>
      <c r="JH41" s="982">
        <v>0</v>
      </c>
      <c r="JI41" s="982">
        <v>14</v>
      </c>
      <c r="JJ41" s="982">
        <v>18</v>
      </c>
      <c r="JK41" s="982">
        <v>147</v>
      </c>
      <c r="JL41" s="982">
        <v>151</v>
      </c>
      <c r="JM41" s="982">
        <v>0</v>
      </c>
      <c r="JN41" s="982">
        <v>6</v>
      </c>
      <c r="JO41" s="982">
        <v>790</v>
      </c>
      <c r="JP41" s="983">
        <f t="shared" si="15"/>
        <v>0.35164835164835168</v>
      </c>
      <c r="JR41" s="97"/>
      <c r="JS41" s="97"/>
      <c r="JT41" s="42" t="s">
        <v>19</v>
      </c>
      <c r="JU41" s="42">
        <v>92</v>
      </c>
      <c r="JV41" s="42">
        <v>44</v>
      </c>
      <c r="JW41" s="42"/>
      <c r="JX41" s="42">
        <v>38</v>
      </c>
      <c r="JY41" s="42">
        <v>175</v>
      </c>
      <c r="JZ41" s="42">
        <v>28</v>
      </c>
      <c r="KA41" s="42">
        <v>42</v>
      </c>
      <c r="KB41" s="42">
        <v>0</v>
      </c>
      <c r="KC41" s="42">
        <v>9</v>
      </c>
      <c r="KD41" s="42">
        <v>17</v>
      </c>
      <c r="KE41" s="42">
        <v>129</v>
      </c>
      <c r="KF41" s="42">
        <v>147</v>
      </c>
      <c r="KG41" s="42"/>
      <c r="KH41" s="42">
        <v>2</v>
      </c>
      <c r="KI41" s="42">
        <v>723</v>
      </c>
      <c r="KJ41" s="984">
        <f t="shared" si="1"/>
        <v>0.3716216216216216</v>
      </c>
      <c r="KK41" s="42"/>
      <c r="KL41" s="354"/>
      <c r="KM41" s="354"/>
      <c r="KN41" s="354" t="s">
        <v>19</v>
      </c>
      <c r="KO41" s="985">
        <v>60</v>
      </c>
      <c r="KP41" s="985">
        <v>49</v>
      </c>
      <c r="KQ41" s="985" t="s">
        <v>315</v>
      </c>
      <c r="KR41" s="985">
        <v>39</v>
      </c>
      <c r="KS41" s="985">
        <v>158</v>
      </c>
      <c r="KT41" s="985">
        <v>29</v>
      </c>
      <c r="KU41" s="985">
        <v>56</v>
      </c>
      <c r="KV41" s="985" t="s">
        <v>315</v>
      </c>
      <c r="KW41" s="985">
        <v>15</v>
      </c>
      <c r="KX41" s="985">
        <v>29</v>
      </c>
      <c r="KY41" s="985">
        <v>141</v>
      </c>
      <c r="KZ41" s="985" t="s">
        <v>315</v>
      </c>
      <c r="LA41" s="985">
        <v>576</v>
      </c>
      <c r="LB41" s="985">
        <f t="shared" si="2"/>
        <v>216</v>
      </c>
      <c r="LC41" s="986">
        <f t="shared" si="3"/>
        <v>0.375</v>
      </c>
      <c r="LD41" s="42"/>
      <c r="LE41" s="42"/>
    </row>
    <row r="42" spans="1:317">
      <c r="A42" s="6291">
        <v>2</v>
      </c>
      <c r="B42" s="6291">
        <v>2</v>
      </c>
      <c r="C42" s="6291">
        <v>45</v>
      </c>
      <c r="D42" s="6292">
        <v>690</v>
      </c>
      <c r="E42" s="6291">
        <v>41</v>
      </c>
      <c r="F42" s="6291">
        <v>130</v>
      </c>
      <c r="G42" s="6291">
        <v>142</v>
      </c>
      <c r="H42" s="6291">
        <v>18</v>
      </c>
      <c r="I42" s="6293"/>
      <c r="J42" s="6291">
        <v>4</v>
      </c>
      <c r="K42" s="6291">
        <v>20</v>
      </c>
      <c r="L42" s="6293"/>
      <c r="M42" s="6291">
        <v>21</v>
      </c>
      <c r="N42" s="6291">
        <v>97</v>
      </c>
      <c r="O42" s="6293"/>
      <c r="P42" s="6291">
        <v>217</v>
      </c>
      <c r="Q42" s="6294">
        <f t="shared" si="4"/>
        <v>0.37391304347826088</v>
      </c>
      <c r="S42" s="6295">
        <v>2</v>
      </c>
      <c r="T42" s="6295">
        <v>2</v>
      </c>
      <c r="U42" s="6295">
        <v>40</v>
      </c>
      <c r="V42" s="6295">
        <v>506</v>
      </c>
      <c r="W42" s="6295">
        <v>27</v>
      </c>
      <c r="X42" s="6295">
        <v>64</v>
      </c>
      <c r="Y42" s="6295">
        <v>126</v>
      </c>
      <c r="Z42" s="6295">
        <v>33</v>
      </c>
      <c r="AA42" s="6295">
        <v>2</v>
      </c>
      <c r="AB42" s="6295">
        <v>6</v>
      </c>
      <c r="AC42" s="6295">
        <v>7</v>
      </c>
      <c r="AD42" s="6296"/>
      <c r="AE42" s="6295">
        <v>18</v>
      </c>
      <c r="AF42" s="6295">
        <v>124</v>
      </c>
      <c r="AG42" s="6296"/>
      <c r="AH42" s="6295">
        <v>99</v>
      </c>
      <c r="AI42" s="6294">
        <f t="shared" si="5"/>
        <v>0.24505928853754941</v>
      </c>
      <c r="AJ42" s="6295"/>
      <c r="AK42" s="6297">
        <v>2</v>
      </c>
      <c r="AL42" s="6297">
        <v>2</v>
      </c>
      <c r="AM42" s="6297">
        <v>40</v>
      </c>
      <c r="AN42" s="6298">
        <v>506</v>
      </c>
      <c r="AO42" s="6297">
        <v>31</v>
      </c>
      <c r="AP42" s="6297">
        <v>64</v>
      </c>
      <c r="AQ42" s="6297">
        <v>125</v>
      </c>
      <c r="AR42" s="6297">
        <v>33</v>
      </c>
      <c r="AS42" s="6297">
        <v>2</v>
      </c>
      <c r="AT42" s="6297">
        <v>6</v>
      </c>
      <c r="AU42" s="6299"/>
      <c r="AV42" s="6297">
        <v>10</v>
      </c>
      <c r="AW42" s="6297">
        <v>16</v>
      </c>
      <c r="AX42" s="6299"/>
      <c r="AY42" s="6297">
        <v>123</v>
      </c>
      <c r="AZ42" s="6299"/>
      <c r="BA42" s="6299"/>
      <c r="BB42" s="6297">
        <v>96</v>
      </c>
      <c r="BC42" s="6300">
        <f t="shared" si="6"/>
        <v>0.24110671936758893</v>
      </c>
      <c r="BE42" s="6313">
        <v>2</v>
      </c>
      <c r="BF42" s="6313">
        <v>2</v>
      </c>
      <c r="BG42" s="6313">
        <v>40</v>
      </c>
      <c r="BH42" s="4405" t="s">
        <v>35</v>
      </c>
      <c r="BI42" s="6314">
        <v>504</v>
      </c>
      <c r="BJ42" s="6313">
        <v>24</v>
      </c>
      <c r="BK42" s="6313">
        <v>85</v>
      </c>
      <c r="BL42" s="6313">
        <v>106</v>
      </c>
      <c r="BM42" s="6313">
        <v>31</v>
      </c>
      <c r="BN42" s="6313">
        <v>2</v>
      </c>
      <c r="BO42" s="6313">
        <v>7</v>
      </c>
      <c r="BP42" s="6303"/>
      <c r="BQ42" s="6313">
        <v>10</v>
      </c>
      <c r="BR42" s="6303"/>
      <c r="BS42" s="6313">
        <v>28</v>
      </c>
      <c r="BT42" s="6313">
        <v>111</v>
      </c>
      <c r="BU42" s="6303"/>
      <c r="BV42" s="6303"/>
      <c r="BW42" s="6313">
        <v>100</v>
      </c>
      <c r="BX42" s="6300">
        <f t="shared" si="16"/>
        <v>0.27380952380952384</v>
      </c>
      <c r="BZ42" s="4388"/>
      <c r="CA42" s="4388"/>
      <c r="CB42" s="4388" t="s">
        <v>35</v>
      </c>
      <c r="CC42" s="4231">
        <v>106</v>
      </c>
      <c r="CD42" s="4231">
        <v>104</v>
      </c>
      <c r="CE42" s="4231">
        <v>0</v>
      </c>
      <c r="CF42" s="4231">
        <v>31</v>
      </c>
      <c r="CG42" s="4231">
        <v>98</v>
      </c>
      <c r="CH42" s="4231">
        <v>21</v>
      </c>
      <c r="CI42" s="4231">
        <v>7</v>
      </c>
      <c r="CJ42" s="4231"/>
      <c r="CK42" s="4231">
        <v>2</v>
      </c>
      <c r="CL42" s="4231">
        <v>41</v>
      </c>
      <c r="CM42" s="4231">
        <v>12</v>
      </c>
      <c r="CN42" s="4231"/>
      <c r="CO42" s="4231">
        <v>88</v>
      </c>
      <c r="CP42" s="4231">
        <v>0</v>
      </c>
      <c r="CQ42" s="4231">
        <v>510</v>
      </c>
      <c r="CR42" s="6304">
        <f t="shared" si="7"/>
        <v>0.25686274509803919</v>
      </c>
      <c r="CS42" s="4238">
        <f t="shared" si="8"/>
        <v>6</v>
      </c>
      <c r="CT42" s="6305">
        <v>504</v>
      </c>
      <c r="CU42" s="6316"/>
      <c r="CX42" s="42" t="s">
        <v>19</v>
      </c>
      <c r="CY42" s="42">
        <v>76</v>
      </c>
      <c r="CZ42" s="42">
        <v>62</v>
      </c>
      <c r="DB42" s="42">
        <v>43</v>
      </c>
      <c r="DC42" s="42">
        <v>245</v>
      </c>
      <c r="DD42" s="42">
        <v>32</v>
      </c>
      <c r="DE42" s="42">
        <v>99</v>
      </c>
      <c r="DF42" s="42">
        <v>0</v>
      </c>
      <c r="DG42" s="42">
        <v>0</v>
      </c>
      <c r="DH42" s="42">
        <v>37</v>
      </c>
      <c r="DI42" s="42">
        <v>23</v>
      </c>
      <c r="DK42" s="42">
        <v>154</v>
      </c>
      <c r="DL42" s="42">
        <v>4</v>
      </c>
      <c r="DM42" s="893">
        <v>775</v>
      </c>
      <c r="DN42" s="6306">
        <f t="shared" si="17"/>
        <v>0.38910505836575876</v>
      </c>
      <c r="DP42" s="4263"/>
      <c r="DQ42" s="4263"/>
      <c r="DR42" s="4258" t="s">
        <v>19</v>
      </c>
      <c r="DS42" s="4263">
        <v>155</v>
      </c>
      <c r="DT42" s="4263">
        <v>103</v>
      </c>
      <c r="DU42" s="4263"/>
      <c r="DV42" s="4263">
        <v>39</v>
      </c>
      <c r="DW42" s="4263">
        <v>178</v>
      </c>
      <c r="DX42" s="4263">
        <v>36</v>
      </c>
      <c r="DY42" s="4263">
        <v>13</v>
      </c>
      <c r="DZ42" s="4263">
        <v>0</v>
      </c>
      <c r="EA42" s="4263">
        <v>0</v>
      </c>
      <c r="EB42" s="4263">
        <v>37</v>
      </c>
      <c r="EC42" s="4263">
        <v>24</v>
      </c>
      <c r="ED42" s="4263"/>
      <c r="EE42" s="4263">
        <v>184</v>
      </c>
      <c r="EF42" s="4263">
        <v>3</v>
      </c>
      <c r="EG42" s="4263">
        <v>772</v>
      </c>
      <c r="EH42" s="6307">
        <f t="shared" si="9"/>
        <v>0.30949284785435632</v>
      </c>
      <c r="EL42" s="42" t="s">
        <v>19</v>
      </c>
      <c r="EM42" s="97">
        <v>134</v>
      </c>
      <c r="EN42" s="97">
        <v>98</v>
      </c>
      <c r="EO42" s="97"/>
      <c r="EP42" s="97">
        <v>3</v>
      </c>
      <c r="EQ42" s="97">
        <v>211</v>
      </c>
      <c r="ER42" s="97">
        <v>32</v>
      </c>
      <c r="ES42" s="97">
        <v>57</v>
      </c>
      <c r="ET42" s="97"/>
      <c r="EU42" s="97">
        <v>0</v>
      </c>
      <c r="EV42" s="97">
        <v>26</v>
      </c>
      <c r="EW42" s="97">
        <v>18</v>
      </c>
      <c r="EX42" s="97"/>
      <c r="EY42" s="97">
        <v>153</v>
      </c>
      <c r="EZ42" s="97">
        <v>2</v>
      </c>
      <c r="FA42" s="97">
        <v>734</v>
      </c>
      <c r="FB42" s="6315">
        <f t="shared" si="10"/>
        <v>0.35655737704918034</v>
      </c>
      <c r="FD42" s="42"/>
      <c r="FE42" s="42"/>
      <c r="FF42" s="42" t="s">
        <v>19</v>
      </c>
      <c r="FG42" s="97">
        <v>113</v>
      </c>
      <c r="FH42" s="97">
        <v>110</v>
      </c>
      <c r="FI42" s="97">
        <v>0</v>
      </c>
      <c r="FJ42" s="97">
        <v>39</v>
      </c>
      <c r="FK42" s="97">
        <v>205</v>
      </c>
      <c r="FL42" s="97">
        <v>43</v>
      </c>
      <c r="FM42" s="97">
        <v>44</v>
      </c>
      <c r="FN42" s="97"/>
      <c r="FO42" s="97">
        <v>0</v>
      </c>
      <c r="FP42" s="97">
        <v>20</v>
      </c>
      <c r="FQ42" s="97">
        <v>30</v>
      </c>
      <c r="FR42" s="97"/>
      <c r="FS42" s="97">
        <v>131</v>
      </c>
      <c r="FT42" s="97">
        <v>3</v>
      </c>
      <c r="FU42" s="97">
        <v>738</v>
      </c>
      <c r="FV42" s="6308">
        <f t="shared" si="0"/>
        <v>0.37823129251700682</v>
      </c>
      <c r="FW42" s="6322"/>
      <c r="FX42" s="42"/>
      <c r="FY42" s="42"/>
      <c r="FZ42" s="42" t="s">
        <v>19</v>
      </c>
      <c r="GA42" s="97">
        <v>118</v>
      </c>
      <c r="GB42" s="97">
        <v>101</v>
      </c>
      <c r="GC42" s="97"/>
      <c r="GD42" s="97">
        <v>40</v>
      </c>
      <c r="GE42" s="97">
        <v>209</v>
      </c>
      <c r="GF42" s="97">
        <v>20</v>
      </c>
      <c r="GG42" s="97">
        <v>42</v>
      </c>
      <c r="GH42" s="97">
        <v>0</v>
      </c>
      <c r="GI42" s="97">
        <v>0</v>
      </c>
      <c r="GJ42" s="97">
        <v>26</v>
      </c>
      <c r="GK42" s="97">
        <v>30</v>
      </c>
      <c r="GL42" s="97"/>
      <c r="GM42" s="97">
        <v>119</v>
      </c>
      <c r="GN42" s="97">
        <v>2</v>
      </c>
      <c r="GO42" s="97">
        <v>707</v>
      </c>
      <c r="GP42" s="6308">
        <f t="shared" si="11"/>
        <v>0.36737588652482267</v>
      </c>
      <c r="GR42" s="6280"/>
      <c r="GS42" s="6280"/>
      <c r="GT42" s="6310" t="s">
        <v>19</v>
      </c>
      <c r="GU42" s="6311">
        <v>116</v>
      </c>
      <c r="GV42" s="6311">
        <v>74</v>
      </c>
      <c r="GW42" s="6312"/>
      <c r="GX42" s="6311">
        <v>35</v>
      </c>
      <c r="GY42" s="6311">
        <v>209</v>
      </c>
      <c r="GZ42" s="6311">
        <v>13</v>
      </c>
      <c r="HA42" s="6311">
        <v>51</v>
      </c>
      <c r="HB42" s="6312"/>
      <c r="HC42" s="6311">
        <v>0</v>
      </c>
      <c r="HD42" s="6311">
        <v>35</v>
      </c>
      <c r="HE42" s="6311">
        <v>43</v>
      </c>
      <c r="HF42" s="6312"/>
      <c r="HG42" s="6311">
        <v>113</v>
      </c>
      <c r="HH42" s="6311">
        <v>2</v>
      </c>
      <c r="HI42" s="6311">
        <v>691</v>
      </c>
      <c r="HJ42" s="467">
        <f t="shared" si="12"/>
        <v>0.38461538461538464</v>
      </c>
      <c r="HL42" s="967"/>
      <c r="HM42" s="967"/>
      <c r="HN42" s="977" t="s">
        <v>19</v>
      </c>
      <c r="HO42" s="978">
        <v>118</v>
      </c>
      <c r="HP42" s="978">
        <v>71</v>
      </c>
      <c r="HQ42" s="967"/>
      <c r="HR42" s="978">
        <v>37</v>
      </c>
      <c r="HS42" s="978">
        <v>209</v>
      </c>
      <c r="HT42" s="978">
        <v>20</v>
      </c>
      <c r="HU42" s="978">
        <v>40</v>
      </c>
      <c r="HV42" s="967"/>
      <c r="HW42" s="978">
        <v>0</v>
      </c>
      <c r="HX42" s="978">
        <v>37</v>
      </c>
      <c r="HY42" s="978">
        <v>17</v>
      </c>
      <c r="HZ42" s="978">
        <v>167</v>
      </c>
      <c r="IA42" s="967"/>
      <c r="IB42" s="978">
        <v>716</v>
      </c>
      <c r="IC42" s="467">
        <f t="shared" si="13"/>
        <v>0.34357541899441341</v>
      </c>
      <c r="IE42" s="577"/>
      <c r="IF42" s="577"/>
      <c r="IG42" s="979" t="s">
        <v>19</v>
      </c>
      <c r="IH42" s="980">
        <v>115</v>
      </c>
      <c r="II42" s="980">
        <v>76</v>
      </c>
      <c r="IJ42" s="980">
        <v>1</v>
      </c>
      <c r="IK42" s="980">
        <v>37</v>
      </c>
      <c r="IL42" s="980">
        <v>189</v>
      </c>
      <c r="IM42" s="980">
        <v>37</v>
      </c>
      <c r="IN42" s="980">
        <v>40</v>
      </c>
      <c r="IO42" s="577"/>
      <c r="IP42" s="980">
        <v>0</v>
      </c>
      <c r="IQ42" s="980">
        <v>15</v>
      </c>
      <c r="IR42" s="980">
        <v>15</v>
      </c>
      <c r="IS42" s="980">
        <v>148</v>
      </c>
      <c r="IT42" s="577"/>
      <c r="IU42" s="980">
        <v>673</v>
      </c>
      <c r="IV42" s="467">
        <f t="shared" si="14"/>
        <v>0.35809806835066865</v>
      </c>
      <c r="IX42" s="742"/>
      <c r="IY42" s="742"/>
      <c r="IZ42" s="981" t="s">
        <v>20</v>
      </c>
      <c r="JA42" s="982">
        <v>116</v>
      </c>
      <c r="JB42" s="982">
        <v>57</v>
      </c>
      <c r="JC42" s="982">
        <v>0</v>
      </c>
      <c r="JD42" s="982">
        <v>34</v>
      </c>
      <c r="JE42" s="982">
        <v>141</v>
      </c>
      <c r="JF42" s="982">
        <v>12</v>
      </c>
      <c r="JG42" s="982">
        <v>46</v>
      </c>
      <c r="JH42" s="982">
        <v>1</v>
      </c>
      <c r="JI42" s="982">
        <v>24</v>
      </c>
      <c r="JJ42" s="982">
        <v>14</v>
      </c>
      <c r="JK42" s="982">
        <v>76</v>
      </c>
      <c r="JL42" s="982">
        <v>119</v>
      </c>
      <c r="JM42" s="982">
        <v>0</v>
      </c>
      <c r="JN42" s="982">
        <v>2</v>
      </c>
      <c r="JO42" s="982">
        <v>642</v>
      </c>
      <c r="JP42" s="983">
        <f t="shared" si="15"/>
        <v>0.29609929078014185</v>
      </c>
      <c r="JR42" s="97"/>
      <c r="JS42" s="97"/>
      <c r="JT42" s="42" t="s">
        <v>20</v>
      </c>
      <c r="JU42" s="42">
        <v>94</v>
      </c>
      <c r="JV42" s="42">
        <v>70</v>
      </c>
      <c r="JW42" s="42"/>
      <c r="JX42" s="42">
        <v>34</v>
      </c>
      <c r="JY42" s="42">
        <v>138</v>
      </c>
      <c r="JZ42" s="42">
        <v>20</v>
      </c>
      <c r="KA42" s="42">
        <v>48</v>
      </c>
      <c r="KB42" s="42">
        <v>1</v>
      </c>
      <c r="KC42" s="42">
        <v>15</v>
      </c>
      <c r="KD42" s="42">
        <v>20</v>
      </c>
      <c r="KE42" s="42">
        <v>69</v>
      </c>
      <c r="KF42" s="42">
        <v>121</v>
      </c>
      <c r="KG42" s="42"/>
      <c r="KH42" s="42">
        <v>4</v>
      </c>
      <c r="KI42" s="42">
        <v>634</v>
      </c>
      <c r="KJ42" s="984">
        <f t="shared" si="1"/>
        <v>0.3172905525846702</v>
      </c>
      <c r="KK42" s="42"/>
      <c r="KL42" s="354"/>
      <c r="KM42" s="354"/>
      <c r="KN42" s="354" t="s">
        <v>20</v>
      </c>
      <c r="KO42" s="985">
        <v>69</v>
      </c>
      <c r="KP42" s="985">
        <v>75</v>
      </c>
      <c r="KQ42" s="985" t="s">
        <v>315</v>
      </c>
      <c r="KR42" s="985">
        <v>32</v>
      </c>
      <c r="KS42" s="985">
        <v>139</v>
      </c>
      <c r="KT42" s="985">
        <v>12</v>
      </c>
      <c r="KU42" s="985">
        <v>47</v>
      </c>
      <c r="KV42" s="985" t="s">
        <v>315</v>
      </c>
      <c r="KW42" s="985">
        <v>38</v>
      </c>
      <c r="KX42" s="985">
        <v>22</v>
      </c>
      <c r="KY42" s="985">
        <v>128</v>
      </c>
      <c r="KZ42" s="985" t="s">
        <v>315</v>
      </c>
      <c r="LA42" s="985">
        <v>562</v>
      </c>
      <c r="LB42" s="985">
        <f t="shared" si="2"/>
        <v>173</v>
      </c>
      <c r="LC42" s="986">
        <f t="shared" si="3"/>
        <v>0.30782918149466193</v>
      </c>
      <c r="LD42" s="42"/>
      <c r="LE42" s="42"/>
    </row>
    <row r="43" spans="1:317">
      <c r="A43" s="6291">
        <v>2</v>
      </c>
      <c r="B43" s="6291">
        <v>2</v>
      </c>
      <c r="C43" s="6291">
        <v>46</v>
      </c>
      <c r="D43" s="6292">
        <v>1212</v>
      </c>
      <c r="E43" s="6291">
        <v>20</v>
      </c>
      <c r="F43" s="6291">
        <v>247</v>
      </c>
      <c r="G43" s="6291">
        <v>217</v>
      </c>
      <c r="H43" s="6291">
        <v>30</v>
      </c>
      <c r="I43" s="6293"/>
      <c r="J43" s="6291">
        <v>9</v>
      </c>
      <c r="K43" s="6291">
        <v>80</v>
      </c>
      <c r="L43" s="6293"/>
      <c r="M43" s="6291">
        <v>65</v>
      </c>
      <c r="N43" s="6291">
        <v>105</v>
      </c>
      <c r="O43" s="6293"/>
      <c r="P43" s="6291">
        <v>439</v>
      </c>
      <c r="Q43" s="6294">
        <f t="shared" si="4"/>
        <v>0.48184818481848185</v>
      </c>
      <c r="S43" s="6295">
        <v>2</v>
      </c>
      <c r="T43" s="6295">
        <v>2</v>
      </c>
      <c r="U43" s="6295">
        <v>41</v>
      </c>
      <c r="V43" s="6295">
        <v>787</v>
      </c>
      <c r="W43" s="6295">
        <v>9</v>
      </c>
      <c r="X43" s="6295">
        <v>144</v>
      </c>
      <c r="Y43" s="6295">
        <v>173</v>
      </c>
      <c r="Z43" s="6295">
        <v>35</v>
      </c>
      <c r="AA43" s="6296"/>
      <c r="AB43" s="6295">
        <v>12</v>
      </c>
      <c r="AC43" s="6295">
        <v>48</v>
      </c>
      <c r="AD43" s="6296"/>
      <c r="AE43" s="6295">
        <v>46</v>
      </c>
      <c r="AF43" s="6295">
        <v>136</v>
      </c>
      <c r="AG43" s="6296"/>
      <c r="AH43" s="6295">
        <v>184</v>
      </c>
      <c r="AI43" s="6294">
        <f t="shared" si="5"/>
        <v>0.35324015247776364</v>
      </c>
      <c r="AJ43" s="6295"/>
      <c r="AK43" s="6297">
        <v>2</v>
      </c>
      <c r="AL43" s="6297">
        <v>2</v>
      </c>
      <c r="AM43" s="6297">
        <v>41</v>
      </c>
      <c r="AN43" s="6298">
        <v>790</v>
      </c>
      <c r="AO43" s="6297">
        <v>27</v>
      </c>
      <c r="AP43" s="6297">
        <v>145</v>
      </c>
      <c r="AQ43" s="6297">
        <v>179</v>
      </c>
      <c r="AR43" s="6297">
        <v>35</v>
      </c>
      <c r="AS43" s="6299"/>
      <c r="AT43" s="6297">
        <v>12</v>
      </c>
      <c r="AU43" s="6297">
        <v>3</v>
      </c>
      <c r="AV43" s="6297">
        <v>43</v>
      </c>
      <c r="AW43" s="6297">
        <v>40</v>
      </c>
      <c r="AX43" s="6299"/>
      <c r="AY43" s="6297">
        <v>125</v>
      </c>
      <c r="AZ43" s="6299"/>
      <c r="BA43" s="6297">
        <v>1</v>
      </c>
      <c r="BB43" s="6297">
        <v>180</v>
      </c>
      <c r="BC43" s="6300">
        <f t="shared" si="6"/>
        <v>0.33418043202033038</v>
      </c>
      <c r="BE43" s="6313">
        <v>2</v>
      </c>
      <c r="BF43" s="6313">
        <v>2</v>
      </c>
      <c r="BG43" s="6313">
        <v>41</v>
      </c>
      <c r="BH43" s="4405" t="s">
        <v>19</v>
      </c>
      <c r="BI43" s="6314">
        <v>781</v>
      </c>
      <c r="BJ43" s="6313">
        <v>15</v>
      </c>
      <c r="BK43" s="6313">
        <v>182</v>
      </c>
      <c r="BL43" s="6313">
        <v>149</v>
      </c>
      <c r="BM43" s="6313">
        <v>41</v>
      </c>
      <c r="BN43" s="6303"/>
      <c r="BO43" s="6313">
        <v>12</v>
      </c>
      <c r="BP43" s="6313">
        <v>3</v>
      </c>
      <c r="BQ43" s="6313">
        <v>50</v>
      </c>
      <c r="BR43" s="6303"/>
      <c r="BS43" s="6313">
        <v>65</v>
      </c>
      <c r="BT43" s="6313">
        <v>104</v>
      </c>
      <c r="BU43" s="6303"/>
      <c r="BV43" s="6303"/>
      <c r="BW43" s="6313">
        <v>160</v>
      </c>
      <c r="BX43" s="6300">
        <f t="shared" si="16"/>
        <v>0.35347043701799485</v>
      </c>
      <c r="BZ43" s="4388"/>
      <c r="CA43" s="4388"/>
      <c r="CB43" s="4388" t="s">
        <v>19</v>
      </c>
      <c r="CC43" s="4231">
        <v>164</v>
      </c>
      <c r="CD43" s="4231">
        <v>99</v>
      </c>
      <c r="CE43" s="4231">
        <v>0</v>
      </c>
      <c r="CF43" s="4231">
        <v>39</v>
      </c>
      <c r="CG43" s="4231">
        <v>155</v>
      </c>
      <c r="CH43" s="4231">
        <v>50</v>
      </c>
      <c r="CI43" s="4231">
        <v>13</v>
      </c>
      <c r="CJ43" s="4231"/>
      <c r="CK43" s="4231">
        <v>0</v>
      </c>
      <c r="CL43" s="4231">
        <v>33</v>
      </c>
      <c r="CM43" s="4231">
        <v>44</v>
      </c>
      <c r="CN43" s="4231"/>
      <c r="CO43" s="4231">
        <v>188</v>
      </c>
      <c r="CP43" s="4231">
        <v>3</v>
      </c>
      <c r="CQ43" s="4231">
        <v>788</v>
      </c>
      <c r="CR43" s="6304">
        <f t="shared" si="7"/>
        <v>0.31719745222929935</v>
      </c>
      <c r="CS43" s="4238">
        <f t="shared" si="8"/>
        <v>8</v>
      </c>
      <c r="CT43" s="6305">
        <v>780</v>
      </c>
      <c r="CU43" s="6316"/>
      <c r="CX43" s="42" t="s">
        <v>20</v>
      </c>
      <c r="CY43" s="42">
        <v>58</v>
      </c>
      <c r="CZ43" s="42">
        <v>85</v>
      </c>
      <c r="DB43" s="42">
        <v>13</v>
      </c>
      <c r="DC43" s="42">
        <v>214</v>
      </c>
      <c r="DD43" s="42">
        <v>14</v>
      </c>
      <c r="DE43" s="42">
        <v>76</v>
      </c>
      <c r="DF43" s="42">
        <v>0</v>
      </c>
      <c r="DG43" s="42">
        <v>0</v>
      </c>
      <c r="DH43" s="42">
        <v>62</v>
      </c>
      <c r="DI43" s="42">
        <v>10</v>
      </c>
      <c r="DK43" s="42">
        <v>92</v>
      </c>
      <c r="DL43" s="42">
        <v>3</v>
      </c>
      <c r="DM43" s="893">
        <v>627</v>
      </c>
      <c r="DN43" s="6306">
        <f t="shared" si="17"/>
        <v>0.38141025641025639</v>
      </c>
      <c r="DP43" s="4263"/>
      <c r="DQ43" s="4263"/>
      <c r="DR43" s="4258" t="s">
        <v>20</v>
      </c>
      <c r="DS43" s="4263">
        <v>126</v>
      </c>
      <c r="DT43" s="4263">
        <v>117</v>
      </c>
      <c r="DU43" s="4263"/>
      <c r="DV43" s="4263">
        <v>15</v>
      </c>
      <c r="DW43" s="4263">
        <v>151</v>
      </c>
      <c r="DX43" s="4263">
        <v>33</v>
      </c>
      <c r="DY43" s="4263">
        <v>7</v>
      </c>
      <c r="DZ43" s="4263">
        <v>1</v>
      </c>
      <c r="EA43" s="4263">
        <v>0</v>
      </c>
      <c r="EB43" s="4263">
        <v>48</v>
      </c>
      <c r="EC43" s="4263">
        <v>14</v>
      </c>
      <c r="ED43" s="4263"/>
      <c r="EE43" s="4263">
        <v>111</v>
      </c>
      <c r="EF43" s="4263">
        <v>3</v>
      </c>
      <c r="EG43" s="4263">
        <v>626</v>
      </c>
      <c r="EH43" s="6307">
        <f t="shared" si="9"/>
        <v>0.31781701444622795</v>
      </c>
      <c r="EL43" s="42" t="s">
        <v>20</v>
      </c>
      <c r="EM43" s="97">
        <v>118</v>
      </c>
      <c r="EN43" s="97">
        <v>92</v>
      </c>
      <c r="EO43" s="97"/>
      <c r="EP43" s="97">
        <v>4</v>
      </c>
      <c r="EQ43" s="97">
        <v>173</v>
      </c>
      <c r="ER43" s="97">
        <v>23</v>
      </c>
      <c r="ES43" s="97">
        <v>47</v>
      </c>
      <c r="ET43" s="97"/>
      <c r="EU43" s="97">
        <v>0</v>
      </c>
      <c r="EV43" s="97">
        <v>43</v>
      </c>
      <c r="EW43" s="97">
        <v>21</v>
      </c>
      <c r="EX43" s="97"/>
      <c r="EY43" s="97">
        <v>94</v>
      </c>
      <c r="EZ43" s="97">
        <v>0</v>
      </c>
      <c r="FA43" s="97">
        <v>615</v>
      </c>
      <c r="FB43" s="6315">
        <f t="shared" si="10"/>
        <v>0.35284552845528455</v>
      </c>
      <c r="FD43" s="42"/>
      <c r="FE43" s="42"/>
      <c r="FF43" s="42" t="s">
        <v>20</v>
      </c>
      <c r="FG43" s="97">
        <v>110</v>
      </c>
      <c r="FH43" s="97">
        <v>109</v>
      </c>
      <c r="FI43" s="97">
        <v>0</v>
      </c>
      <c r="FJ43" s="97">
        <v>13</v>
      </c>
      <c r="FK43" s="97">
        <v>163</v>
      </c>
      <c r="FL43" s="97">
        <v>26</v>
      </c>
      <c r="FM43" s="97">
        <v>35</v>
      </c>
      <c r="FN43" s="97"/>
      <c r="FO43" s="97">
        <v>0</v>
      </c>
      <c r="FP43" s="97">
        <v>47</v>
      </c>
      <c r="FQ43" s="97">
        <v>27</v>
      </c>
      <c r="FR43" s="97"/>
      <c r="FS43" s="97">
        <v>87</v>
      </c>
      <c r="FT43" s="97">
        <v>2</v>
      </c>
      <c r="FU43" s="97">
        <v>619</v>
      </c>
      <c r="FV43" s="6308">
        <f t="shared" si="0"/>
        <v>0.35008103727714751</v>
      </c>
      <c r="FW43" s="6322"/>
      <c r="FX43" s="42"/>
      <c r="FY43" s="42"/>
      <c r="FZ43" s="42" t="s">
        <v>20</v>
      </c>
      <c r="GA43" s="97">
        <v>103</v>
      </c>
      <c r="GB43" s="97">
        <v>111</v>
      </c>
      <c r="GC43" s="97"/>
      <c r="GD43" s="97">
        <v>13</v>
      </c>
      <c r="GE43" s="97">
        <v>163</v>
      </c>
      <c r="GF43" s="97">
        <v>15</v>
      </c>
      <c r="GG43" s="97">
        <v>48</v>
      </c>
      <c r="GH43" s="97">
        <v>0</v>
      </c>
      <c r="GI43" s="97">
        <v>0</v>
      </c>
      <c r="GJ43" s="97">
        <v>48</v>
      </c>
      <c r="GK43" s="97">
        <v>26</v>
      </c>
      <c r="GL43" s="97"/>
      <c r="GM43" s="97">
        <v>68</v>
      </c>
      <c r="GN43" s="97">
        <v>2</v>
      </c>
      <c r="GO43" s="97">
        <v>597</v>
      </c>
      <c r="GP43" s="6308">
        <f t="shared" si="11"/>
        <v>0.34285714285714286</v>
      </c>
      <c r="GR43" s="6280"/>
      <c r="GS43" s="6280"/>
      <c r="GT43" s="6310" t="s">
        <v>20</v>
      </c>
      <c r="GU43" s="6311">
        <v>119</v>
      </c>
      <c r="GV43" s="6311">
        <v>88</v>
      </c>
      <c r="GW43" s="6312"/>
      <c r="GX43" s="6311">
        <v>13</v>
      </c>
      <c r="GY43" s="6311">
        <v>158</v>
      </c>
      <c r="GZ43" s="6311">
        <v>21</v>
      </c>
      <c r="HA43" s="6311">
        <v>41</v>
      </c>
      <c r="HB43" s="6312"/>
      <c r="HC43" s="6311">
        <v>1</v>
      </c>
      <c r="HD43" s="6311">
        <v>44</v>
      </c>
      <c r="HE43" s="6311">
        <v>23</v>
      </c>
      <c r="HF43" s="6312"/>
      <c r="HG43" s="6311">
        <v>83</v>
      </c>
      <c r="HH43" s="6311">
        <v>0</v>
      </c>
      <c r="HI43" s="6311">
        <v>591</v>
      </c>
      <c r="HJ43" s="467">
        <f t="shared" si="12"/>
        <v>0.34179357021996615</v>
      </c>
      <c r="HL43" s="967"/>
      <c r="HM43" s="967"/>
      <c r="HN43" s="977" t="s">
        <v>20</v>
      </c>
      <c r="HO43" s="978">
        <v>107</v>
      </c>
      <c r="HP43" s="978">
        <v>81</v>
      </c>
      <c r="HQ43" s="967"/>
      <c r="HR43" s="978">
        <v>27</v>
      </c>
      <c r="HS43" s="978">
        <v>149</v>
      </c>
      <c r="HT43" s="978">
        <v>16</v>
      </c>
      <c r="HU43" s="978">
        <v>45</v>
      </c>
      <c r="HV43" s="967"/>
      <c r="HW43" s="978">
        <v>1</v>
      </c>
      <c r="HX43" s="978">
        <v>43</v>
      </c>
      <c r="HY43" s="978">
        <v>38</v>
      </c>
      <c r="HZ43" s="978">
        <v>102</v>
      </c>
      <c r="IA43" s="967"/>
      <c r="IB43" s="978">
        <v>609</v>
      </c>
      <c r="IC43" s="467">
        <f t="shared" si="13"/>
        <v>0.33333333333333331</v>
      </c>
      <c r="IE43" s="577"/>
      <c r="IF43" s="577"/>
      <c r="IG43" s="979" t="s">
        <v>20</v>
      </c>
      <c r="IH43" s="980">
        <v>110</v>
      </c>
      <c r="II43" s="980">
        <v>74</v>
      </c>
      <c r="IJ43" s="980">
        <v>0</v>
      </c>
      <c r="IK43" s="980">
        <v>28</v>
      </c>
      <c r="IL43" s="980">
        <v>141</v>
      </c>
      <c r="IM43" s="980">
        <v>23</v>
      </c>
      <c r="IN43" s="980">
        <v>37</v>
      </c>
      <c r="IO43" s="577"/>
      <c r="IP43" s="980">
        <v>1</v>
      </c>
      <c r="IQ43" s="980">
        <v>30</v>
      </c>
      <c r="IR43" s="980">
        <v>13</v>
      </c>
      <c r="IS43" s="980">
        <v>109</v>
      </c>
      <c r="IT43" s="577"/>
      <c r="IU43" s="980">
        <v>566</v>
      </c>
      <c r="IV43" s="467">
        <f t="shared" si="14"/>
        <v>0.3127208480565371</v>
      </c>
      <c r="IX43" s="742"/>
      <c r="IY43" s="742"/>
      <c r="IZ43" s="981" t="s">
        <v>36</v>
      </c>
      <c r="JA43" s="982">
        <v>90</v>
      </c>
      <c r="JB43" s="982">
        <v>64</v>
      </c>
      <c r="JC43" s="982">
        <v>0</v>
      </c>
      <c r="JD43" s="982">
        <v>50</v>
      </c>
      <c r="JE43" s="982">
        <v>115</v>
      </c>
      <c r="JF43" s="982">
        <v>6</v>
      </c>
      <c r="JG43" s="982">
        <v>47</v>
      </c>
      <c r="JH43" s="982">
        <v>1</v>
      </c>
      <c r="JI43" s="982">
        <v>34</v>
      </c>
      <c r="JJ43" s="982">
        <v>9</v>
      </c>
      <c r="JK43" s="982">
        <v>98</v>
      </c>
      <c r="JL43" s="982">
        <v>159</v>
      </c>
      <c r="JM43" s="982">
        <v>0</v>
      </c>
      <c r="JN43" s="982">
        <v>2</v>
      </c>
      <c r="JO43" s="982">
        <v>675</v>
      </c>
      <c r="JP43" s="983">
        <f t="shared" si="15"/>
        <v>0.22608695652173913</v>
      </c>
      <c r="JR43" s="97"/>
      <c r="JS43" s="97"/>
      <c r="JT43" s="42" t="s">
        <v>36</v>
      </c>
      <c r="JU43" s="42">
        <v>89</v>
      </c>
      <c r="JV43" s="42">
        <v>65</v>
      </c>
      <c r="JW43" s="42"/>
      <c r="JX43" s="42">
        <v>44</v>
      </c>
      <c r="JY43" s="42">
        <v>117</v>
      </c>
      <c r="JZ43" s="42">
        <v>6</v>
      </c>
      <c r="KA43" s="42">
        <v>47</v>
      </c>
      <c r="KB43" s="42">
        <v>1</v>
      </c>
      <c r="KC43" s="42">
        <v>39</v>
      </c>
      <c r="KD43" s="42">
        <v>4</v>
      </c>
      <c r="KE43" s="42">
        <v>89</v>
      </c>
      <c r="KF43" s="42">
        <v>158</v>
      </c>
      <c r="KG43" s="42"/>
      <c r="KH43" s="42">
        <v>2</v>
      </c>
      <c r="KI43" s="42">
        <v>661</v>
      </c>
      <c r="KJ43" s="984">
        <f t="shared" si="1"/>
        <v>0.22280701754385965</v>
      </c>
      <c r="KK43" s="42"/>
      <c r="KL43" s="354"/>
      <c r="KM43" s="354"/>
      <c r="KN43" s="354" t="s">
        <v>36</v>
      </c>
      <c r="KO43" s="985">
        <v>71</v>
      </c>
      <c r="KP43" s="985">
        <v>76</v>
      </c>
      <c r="KQ43" s="985" t="s">
        <v>315</v>
      </c>
      <c r="KR43" s="985">
        <v>41</v>
      </c>
      <c r="KS43" s="985">
        <v>124</v>
      </c>
      <c r="KT43" s="985">
        <v>6</v>
      </c>
      <c r="KU43" s="985">
        <v>44</v>
      </c>
      <c r="KV43" s="985" t="s">
        <v>315</v>
      </c>
      <c r="KW43" s="985">
        <v>45</v>
      </c>
      <c r="KX43" s="985">
        <v>5</v>
      </c>
      <c r="KY43" s="985">
        <v>154</v>
      </c>
      <c r="KZ43" s="985" t="s">
        <v>315</v>
      </c>
      <c r="LA43" s="985">
        <v>566</v>
      </c>
      <c r="LB43" s="985">
        <f t="shared" si="2"/>
        <v>135</v>
      </c>
      <c r="LC43" s="986">
        <f t="shared" si="3"/>
        <v>0.23851590106007067</v>
      </c>
      <c r="LD43" s="42"/>
      <c r="LE43" s="42"/>
    </row>
    <row r="44" spans="1:317">
      <c r="A44" s="6291">
        <v>2</v>
      </c>
      <c r="B44" s="6291">
        <v>2</v>
      </c>
      <c r="C44" s="6291">
        <v>121</v>
      </c>
      <c r="D44" s="6292">
        <v>273</v>
      </c>
      <c r="E44" s="6291">
        <v>20</v>
      </c>
      <c r="F44" s="6291">
        <v>73</v>
      </c>
      <c r="G44" s="6291">
        <v>69</v>
      </c>
      <c r="H44" s="6291">
        <v>15</v>
      </c>
      <c r="I44" s="6293"/>
      <c r="J44" s="6293"/>
      <c r="K44" s="6291">
        <v>3</v>
      </c>
      <c r="L44" s="6293"/>
      <c r="M44" s="6291">
        <v>7</v>
      </c>
      <c r="N44" s="6291">
        <v>43</v>
      </c>
      <c r="O44" s="6293"/>
      <c r="P44" s="6291">
        <v>43</v>
      </c>
      <c r="Q44" s="6294">
        <f t="shared" si="4"/>
        <v>0.19413919413919414</v>
      </c>
      <c r="S44" s="6295">
        <v>2</v>
      </c>
      <c r="T44" s="6295">
        <v>2</v>
      </c>
      <c r="U44" s="6295">
        <v>42</v>
      </c>
      <c r="V44" s="6295">
        <v>589</v>
      </c>
      <c r="W44" s="6295">
        <v>31</v>
      </c>
      <c r="X44" s="6295">
        <v>68</v>
      </c>
      <c r="Y44" s="6295">
        <v>113</v>
      </c>
      <c r="Z44" s="6295">
        <v>20</v>
      </c>
      <c r="AA44" s="6296"/>
      <c r="AB44" s="6295">
        <v>7</v>
      </c>
      <c r="AC44" s="6295">
        <v>25</v>
      </c>
      <c r="AD44" s="6296"/>
      <c r="AE44" s="6295">
        <v>30</v>
      </c>
      <c r="AF44" s="6295">
        <v>150</v>
      </c>
      <c r="AG44" s="6296"/>
      <c r="AH44" s="6295">
        <v>145</v>
      </c>
      <c r="AI44" s="6294">
        <f t="shared" si="5"/>
        <v>0.3395585738539898</v>
      </c>
      <c r="AJ44" s="6295"/>
      <c r="AK44" s="6297">
        <v>2</v>
      </c>
      <c r="AL44" s="6297">
        <v>2</v>
      </c>
      <c r="AM44" s="6297">
        <v>42</v>
      </c>
      <c r="AN44" s="6298">
        <v>592</v>
      </c>
      <c r="AO44" s="6297">
        <v>36</v>
      </c>
      <c r="AP44" s="6297">
        <v>68</v>
      </c>
      <c r="AQ44" s="6297">
        <v>134</v>
      </c>
      <c r="AR44" s="6297">
        <v>20</v>
      </c>
      <c r="AS44" s="6299"/>
      <c r="AT44" s="6297">
        <v>7</v>
      </c>
      <c r="AU44" s="6297">
        <v>3</v>
      </c>
      <c r="AV44" s="6297">
        <v>20</v>
      </c>
      <c r="AW44" s="6297">
        <v>25</v>
      </c>
      <c r="AX44" s="6299"/>
      <c r="AY44" s="6297">
        <v>139</v>
      </c>
      <c r="AZ44" s="6299"/>
      <c r="BA44" s="6299"/>
      <c r="BB44" s="6297">
        <v>140</v>
      </c>
      <c r="BC44" s="6300">
        <f t="shared" si="6"/>
        <v>0.3140916808149406</v>
      </c>
      <c r="BE44" s="6313">
        <v>2</v>
      </c>
      <c r="BF44" s="6313">
        <v>2</v>
      </c>
      <c r="BG44" s="6313">
        <v>42</v>
      </c>
      <c r="BH44" s="4405" t="s">
        <v>20</v>
      </c>
      <c r="BI44" s="6314">
        <v>623</v>
      </c>
      <c r="BJ44" s="6313">
        <v>37</v>
      </c>
      <c r="BK44" s="6313">
        <v>105</v>
      </c>
      <c r="BL44" s="6313">
        <v>110</v>
      </c>
      <c r="BM44" s="6313">
        <v>19</v>
      </c>
      <c r="BN44" s="6303"/>
      <c r="BO44" s="6313">
        <v>8</v>
      </c>
      <c r="BP44" s="6313">
        <v>3</v>
      </c>
      <c r="BQ44" s="6313">
        <v>28</v>
      </c>
      <c r="BR44" s="6303"/>
      <c r="BS44" s="6313">
        <v>30</v>
      </c>
      <c r="BT44" s="6313">
        <v>145</v>
      </c>
      <c r="BU44" s="6303"/>
      <c r="BV44" s="6303"/>
      <c r="BW44" s="6313">
        <v>138</v>
      </c>
      <c r="BX44" s="6300">
        <f t="shared" si="16"/>
        <v>0.31612903225806449</v>
      </c>
      <c r="BZ44" s="4388"/>
      <c r="CA44" s="4388"/>
      <c r="CB44" s="4388" t="s">
        <v>20</v>
      </c>
      <c r="CC44" s="4231">
        <v>125</v>
      </c>
      <c r="CD44" s="4231">
        <v>132</v>
      </c>
      <c r="CE44" s="4231">
        <v>0</v>
      </c>
      <c r="CF44" s="4231">
        <v>18</v>
      </c>
      <c r="CG44" s="4231">
        <v>135</v>
      </c>
      <c r="CH44" s="4231">
        <v>26</v>
      </c>
      <c r="CI44" s="4231">
        <v>8</v>
      </c>
      <c r="CJ44" s="4231"/>
      <c r="CK44" s="4231">
        <v>0</v>
      </c>
      <c r="CL44" s="4231">
        <v>51</v>
      </c>
      <c r="CM44" s="4231">
        <v>22</v>
      </c>
      <c r="CN44" s="4231"/>
      <c r="CO44" s="4231">
        <v>108</v>
      </c>
      <c r="CP44" s="4231">
        <v>3</v>
      </c>
      <c r="CQ44" s="4231">
        <v>628</v>
      </c>
      <c r="CR44" s="6304">
        <f t="shared" si="7"/>
        <v>0.2928</v>
      </c>
      <c r="CS44" s="4238">
        <f t="shared" si="8"/>
        <v>5</v>
      </c>
      <c r="CT44" s="6305">
        <v>623</v>
      </c>
      <c r="CU44" s="6316"/>
      <c r="CX44" s="42" t="s">
        <v>36</v>
      </c>
      <c r="CY44" s="42">
        <v>50</v>
      </c>
      <c r="CZ44" s="42">
        <v>69</v>
      </c>
      <c r="DB44" s="42">
        <v>23</v>
      </c>
      <c r="DC44" s="42">
        <v>159</v>
      </c>
      <c r="DD44" s="42">
        <v>8</v>
      </c>
      <c r="DE44" s="42">
        <v>74</v>
      </c>
      <c r="DF44" s="42">
        <v>0</v>
      </c>
      <c r="DG44" s="42">
        <v>1</v>
      </c>
      <c r="DH44" s="42">
        <v>63</v>
      </c>
      <c r="DI44" s="42">
        <v>11</v>
      </c>
      <c r="DK44" s="42">
        <v>81</v>
      </c>
      <c r="DL44" s="42">
        <v>0</v>
      </c>
      <c r="DM44" s="893">
        <v>539</v>
      </c>
      <c r="DN44" s="6306">
        <f t="shared" si="17"/>
        <v>0.33024118738404451</v>
      </c>
      <c r="DP44" s="4263"/>
      <c r="DQ44" s="4263"/>
      <c r="DR44" s="4258" t="s">
        <v>36</v>
      </c>
      <c r="DS44" s="4263">
        <v>102</v>
      </c>
      <c r="DT44" s="4263">
        <v>104</v>
      </c>
      <c r="DU44" s="4263"/>
      <c r="DV44" s="4263">
        <v>25</v>
      </c>
      <c r="DW44" s="4263">
        <v>117</v>
      </c>
      <c r="DX44" s="4263">
        <v>14</v>
      </c>
      <c r="DY44" s="4263">
        <v>9</v>
      </c>
      <c r="DZ44" s="4263">
        <v>0</v>
      </c>
      <c r="EA44" s="4263">
        <v>1</v>
      </c>
      <c r="EB44" s="4263">
        <v>44</v>
      </c>
      <c r="EC44" s="4263">
        <v>8</v>
      </c>
      <c r="ED44" s="4263"/>
      <c r="EE44" s="4263">
        <v>116</v>
      </c>
      <c r="EF44" s="4263">
        <v>1</v>
      </c>
      <c r="EG44" s="4263">
        <v>541</v>
      </c>
      <c r="EH44" s="6307">
        <f t="shared" si="9"/>
        <v>0.25740740740740742</v>
      </c>
      <c r="EL44" s="42" t="s">
        <v>36</v>
      </c>
      <c r="EM44" s="97">
        <v>101</v>
      </c>
      <c r="EN44" s="97">
        <v>72</v>
      </c>
      <c r="EO44" s="97"/>
      <c r="EP44" s="97">
        <v>1</v>
      </c>
      <c r="EQ44" s="97">
        <v>140</v>
      </c>
      <c r="ER44" s="97">
        <v>9</v>
      </c>
      <c r="ES44" s="97">
        <v>38</v>
      </c>
      <c r="ET44" s="97"/>
      <c r="EU44" s="97">
        <v>0</v>
      </c>
      <c r="EV44" s="97">
        <v>55</v>
      </c>
      <c r="EW44" s="97">
        <v>8</v>
      </c>
      <c r="EX44" s="97"/>
      <c r="EY44" s="97">
        <v>93</v>
      </c>
      <c r="EZ44" s="97">
        <v>0</v>
      </c>
      <c r="FA44" s="97">
        <v>517</v>
      </c>
      <c r="FB44" s="6315">
        <f t="shared" si="10"/>
        <v>0.30367504835589942</v>
      </c>
      <c r="FD44" s="42"/>
      <c r="FE44" s="42"/>
      <c r="FF44" s="42" t="s">
        <v>36</v>
      </c>
      <c r="FG44" s="97">
        <v>97</v>
      </c>
      <c r="FH44" s="97">
        <v>83</v>
      </c>
      <c r="FI44" s="97">
        <v>0</v>
      </c>
      <c r="FJ44" s="97">
        <v>23</v>
      </c>
      <c r="FK44" s="97">
        <v>127</v>
      </c>
      <c r="FL44" s="97">
        <v>12</v>
      </c>
      <c r="FM44" s="97">
        <v>45</v>
      </c>
      <c r="FN44" s="97"/>
      <c r="FO44" s="97">
        <v>1</v>
      </c>
      <c r="FP44" s="97">
        <v>45</v>
      </c>
      <c r="FQ44" s="97">
        <v>12</v>
      </c>
      <c r="FR44" s="97"/>
      <c r="FS44" s="97">
        <v>84</v>
      </c>
      <c r="FT44" s="97">
        <v>0</v>
      </c>
      <c r="FU44" s="97">
        <v>529</v>
      </c>
      <c r="FV44" s="6308">
        <f t="shared" si="0"/>
        <v>0.28544423440453687</v>
      </c>
      <c r="FW44" s="6322"/>
      <c r="FX44" s="42"/>
      <c r="FY44" s="42"/>
      <c r="FZ44" s="42" t="s">
        <v>36</v>
      </c>
      <c r="GA44" s="97">
        <v>85</v>
      </c>
      <c r="GB44" s="97">
        <v>71</v>
      </c>
      <c r="GC44" s="97"/>
      <c r="GD44" s="97">
        <v>22</v>
      </c>
      <c r="GE44" s="97">
        <v>124</v>
      </c>
      <c r="GF44" s="97">
        <v>1</v>
      </c>
      <c r="GG44" s="97">
        <v>49</v>
      </c>
      <c r="GH44" s="97">
        <v>0</v>
      </c>
      <c r="GI44" s="97">
        <v>1</v>
      </c>
      <c r="GJ44" s="97">
        <v>61</v>
      </c>
      <c r="GK44" s="97">
        <v>17</v>
      </c>
      <c r="GL44" s="97"/>
      <c r="GM44" s="97">
        <v>79</v>
      </c>
      <c r="GN44" s="97">
        <v>0</v>
      </c>
      <c r="GO44" s="97">
        <v>510</v>
      </c>
      <c r="GP44" s="6308">
        <f t="shared" si="11"/>
        <v>0.27843137254901962</v>
      </c>
      <c r="GR44" s="6280"/>
      <c r="GS44" s="6280"/>
      <c r="GT44" s="6310" t="s">
        <v>36</v>
      </c>
      <c r="GU44" s="6311">
        <v>84</v>
      </c>
      <c r="GV44" s="6311">
        <v>66</v>
      </c>
      <c r="GW44" s="6312"/>
      <c r="GX44" s="6311">
        <v>22</v>
      </c>
      <c r="GY44" s="6311">
        <v>120</v>
      </c>
      <c r="GZ44" s="6311">
        <v>8</v>
      </c>
      <c r="HA44" s="6311">
        <v>55</v>
      </c>
      <c r="HB44" s="6312"/>
      <c r="HC44" s="6311">
        <v>2</v>
      </c>
      <c r="HD44" s="6311">
        <v>45</v>
      </c>
      <c r="HE44" s="6311">
        <v>14</v>
      </c>
      <c r="HF44" s="6312"/>
      <c r="HG44" s="6311">
        <v>91</v>
      </c>
      <c r="HH44" s="6311">
        <v>0</v>
      </c>
      <c r="HI44" s="6311">
        <v>507</v>
      </c>
      <c r="HJ44" s="467">
        <f t="shared" si="12"/>
        <v>0.28007889546351084</v>
      </c>
      <c r="HL44" s="967"/>
      <c r="HM44" s="967"/>
      <c r="HN44" s="977" t="s">
        <v>36</v>
      </c>
      <c r="HO44" s="978">
        <v>85</v>
      </c>
      <c r="HP44" s="978">
        <v>75</v>
      </c>
      <c r="HQ44" s="967"/>
      <c r="HR44" s="978">
        <v>37</v>
      </c>
      <c r="HS44" s="978">
        <v>120</v>
      </c>
      <c r="HT44" s="978">
        <v>4</v>
      </c>
      <c r="HU44" s="978">
        <v>54</v>
      </c>
      <c r="HV44" s="967"/>
      <c r="HW44" s="978">
        <v>2</v>
      </c>
      <c r="HX44" s="978">
        <v>49</v>
      </c>
      <c r="HY44" s="978">
        <v>16</v>
      </c>
      <c r="HZ44" s="978">
        <v>149</v>
      </c>
      <c r="IA44" s="967"/>
      <c r="IB44" s="978">
        <v>591</v>
      </c>
      <c r="IC44" s="467">
        <f t="shared" si="13"/>
        <v>0.23688663282571912</v>
      </c>
      <c r="IE44" s="577"/>
      <c r="IF44" s="577"/>
      <c r="IG44" s="979" t="s">
        <v>36</v>
      </c>
      <c r="IH44" s="980">
        <v>104</v>
      </c>
      <c r="II44" s="980">
        <v>68</v>
      </c>
      <c r="IJ44" s="980">
        <v>0</v>
      </c>
      <c r="IK44" s="980">
        <v>45</v>
      </c>
      <c r="IL44" s="980">
        <v>120</v>
      </c>
      <c r="IM44" s="980">
        <v>14</v>
      </c>
      <c r="IN44" s="980">
        <v>48</v>
      </c>
      <c r="IO44" s="577"/>
      <c r="IP44" s="980">
        <v>2</v>
      </c>
      <c r="IQ44" s="980">
        <v>33</v>
      </c>
      <c r="IR44" s="980">
        <v>3</v>
      </c>
      <c r="IS44" s="980">
        <v>149</v>
      </c>
      <c r="IT44" s="577"/>
      <c r="IU44" s="980">
        <v>586</v>
      </c>
      <c r="IV44" s="467">
        <f t="shared" si="14"/>
        <v>0.23378839590443687</v>
      </c>
      <c r="IX44" s="742"/>
      <c r="IY44" s="742"/>
      <c r="IZ44" s="981" t="s">
        <v>37</v>
      </c>
      <c r="JA44" s="982">
        <v>38</v>
      </c>
      <c r="JB44" s="982">
        <v>22</v>
      </c>
      <c r="JC44" s="982">
        <v>0</v>
      </c>
      <c r="JD44" s="982">
        <v>18</v>
      </c>
      <c r="JE44" s="982">
        <v>54</v>
      </c>
      <c r="JF44" s="982">
        <v>9</v>
      </c>
      <c r="JG44" s="982">
        <v>27</v>
      </c>
      <c r="JH44" s="982">
        <v>0</v>
      </c>
      <c r="JI44" s="982">
        <v>5</v>
      </c>
      <c r="JJ44" s="982">
        <v>9</v>
      </c>
      <c r="JK44" s="982">
        <v>48</v>
      </c>
      <c r="JL44" s="982">
        <v>76</v>
      </c>
      <c r="JM44" s="982">
        <v>0</v>
      </c>
      <c r="JN44" s="982">
        <v>0</v>
      </c>
      <c r="JO44" s="982">
        <v>306</v>
      </c>
      <c r="JP44" s="983">
        <f t="shared" si="15"/>
        <v>0.27906976744186046</v>
      </c>
      <c r="JR44" s="97"/>
      <c r="JS44" s="97"/>
      <c r="JT44" s="42" t="s">
        <v>37</v>
      </c>
      <c r="JU44" s="42">
        <v>31</v>
      </c>
      <c r="JV44" s="42">
        <v>16</v>
      </c>
      <c r="JW44" s="42"/>
      <c r="JX44" s="42">
        <v>18</v>
      </c>
      <c r="JY44" s="42">
        <v>53</v>
      </c>
      <c r="JZ44" s="42">
        <v>7</v>
      </c>
      <c r="KA44" s="42">
        <v>19</v>
      </c>
      <c r="KB44" s="42">
        <v>0</v>
      </c>
      <c r="KC44" s="42">
        <v>4</v>
      </c>
      <c r="KD44" s="42">
        <v>5</v>
      </c>
      <c r="KE44" s="42">
        <v>43</v>
      </c>
      <c r="KF44" s="42">
        <v>83</v>
      </c>
      <c r="KG44" s="42"/>
      <c r="KH44" s="42">
        <v>0</v>
      </c>
      <c r="KI44" s="42">
        <v>279</v>
      </c>
      <c r="KJ44" s="984">
        <f t="shared" si="1"/>
        <v>0.27542372881355931</v>
      </c>
      <c r="KK44" s="42"/>
      <c r="KL44" s="354"/>
      <c r="KM44" s="354"/>
      <c r="KN44" s="354" t="s">
        <v>37</v>
      </c>
      <c r="KO44" s="985">
        <v>19</v>
      </c>
      <c r="KP44" s="985">
        <v>24</v>
      </c>
      <c r="KQ44" s="985" t="s">
        <v>315</v>
      </c>
      <c r="KR44" s="985">
        <v>15</v>
      </c>
      <c r="KS44" s="985">
        <v>58</v>
      </c>
      <c r="KT44" s="985">
        <v>8</v>
      </c>
      <c r="KU44" s="985">
        <v>19</v>
      </c>
      <c r="KV44" s="985" t="s">
        <v>315</v>
      </c>
      <c r="KW44" s="985">
        <v>9</v>
      </c>
      <c r="KX44" s="985">
        <v>2</v>
      </c>
      <c r="KY44" s="985">
        <v>79</v>
      </c>
      <c r="KZ44" s="985" t="s">
        <v>315</v>
      </c>
      <c r="LA44" s="985">
        <v>233</v>
      </c>
      <c r="LB44" s="985">
        <f t="shared" si="2"/>
        <v>68</v>
      </c>
      <c r="LC44" s="986">
        <f t="shared" si="3"/>
        <v>0.29184549356223177</v>
      </c>
      <c r="LD44" s="42"/>
      <c r="LE44" s="42"/>
    </row>
    <row r="45" spans="1:317">
      <c r="A45" s="6291">
        <v>2</v>
      </c>
      <c r="B45" s="6291">
        <v>3</v>
      </c>
      <c r="C45" s="6291">
        <v>52</v>
      </c>
      <c r="D45" s="6292">
        <v>832</v>
      </c>
      <c r="E45" s="6291">
        <v>17</v>
      </c>
      <c r="F45" s="6291">
        <v>153</v>
      </c>
      <c r="G45" s="6291">
        <v>136</v>
      </c>
      <c r="H45" s="6291">
        <v>38</v>
      </c>
      <c r="I45" s="6293"/>
      <c r="J45" s="6291">
        <v>8</v>
      </c>
      <c r="K45" s="6291">
        <v>95</v>
      </c>
      <c r="L45" s="6293"/>
      <c r="M45" s="6291">
        <v>42</v>
      </c>
      <c r="N45" s="6291">
        <v>56</v>
      </c>
      <c r="O45" s="6293"/>
      <c r="P45" s="6291">
        <v>287</v>
      </c>
      <c r="Q45" s="6294">
        <f t="shared" si="4"/>
        <v>0.50961538461538458</v>
      </c>
      <c r="S45" s="6295">
        <v>2</v>
      </c>
      <c r="T45" s="6295">
        <v>2</v>
      </c>
      <c r="U45" s="6295">
        <v>43</v>
      </c>
      <c r="V45" s="6295">
        <v>549</v>
      </c>
      <c r="W45" s="6295">
        <v>51</v>
      </c>
      <c r="X45" s="6295">
        <v>84</v>
      </c>
      <c r="Y45" s="6295">
        <v>122</v>
      </c>
      <c r="Z45" s="6295">
        <v>27</v>
      </c>
      <c r="AA45" s="6296"/>
      <c r="AB45" s="6295">
        <v>5</v>
      </c>
      <c r="AC45" s="6295">
        <v>14</v>
      </c>
      <c r="AD45" s="6296"/>
      <c r="AE45" s="6295">
        <v>16</v>
      </c>
      <c r="AF45" s="6295">
        <v>126</v>
      </c>
      <c r="AG45" s="6295">
        <v>1</v>
      </c>
      <c r="AH45" s="6295">
        <v>103</v>
      </c>
      <c r="AI45" s="6294">
        <f t="shared" si="5"/>
        <v>0.24225865209471767</v>
      </c>
      <c r="AJ45" s="6295"/>
      <c r="AK45" s="6297">
        <v>2</v>
      </c>
      <c r="AL45" s="6297">
        <v>2</v>
      </c>
      <c r="AM45" s="6297">
        <v>43</v>
      </c>
      <c r="AN45" s="6298">
        <v>550</v>
      </c>
      <c r="AO45" s="6297">
        <v>47</v>
      </c>
      <c r="AP45" s="6297">
        <v>85</v>
      </c>
      <c r="AQ45" s="6297">
        <v>136</v>
      </c>
      <c r="AR45" s="6297">
        <v>27</v>
      </c>
      <c r="AS45" s="6299"/>
      <c r="AT45" s="6297">
        <v>5</v>
      </c>
      <c r="AU45" s="6297">
        <v>1</v>
      </c>
      <c r="AV45" s="6297">
        <v>12</v>
      </c>
      <c r="AW45" s="6297">
        <v>13</v>
      </c>
      <c r="AX45" s="6299"/>
      <c r="AY45" s="6297">
        <v>121</v>
      </c>
      <c r="AZ45" s="6299"/>
      <c r="BA45" s="6297">
        <v>1</v>
      </c>
      <c r="BB45" s="6297">
        <v>102</v>
      </c>
      <c r="BC45" s="6300">
        <f t="shared" si="6"/>
        <v>0.23132969034608378</v>
      </c>
      <c r="BE45" s="6313">
        <v>2</v>
      </c>
      <c r="BF45" s="6313">
        <v>2</v>
      </c>
      <c r="BG45" s="6313">
        <v>43</v>
      </c>
      <c r="BH45" s="4405" t="s">
        <v>36</v>
      </c>
      <c r="BI45" s="6314">
        <v>532</v>
      </c>
      <c r="BJ45" s="6313">
        <v>49</v>
      </c>
      <c r="BK45" s="6313">
        <v>101</v>
      </c>
      <c r="BL45" s="6313">
        <v>121</v>
      </c>
      <c r="BM45" s="6313">
        <v>23</v>
      </c>
      <c r="BN45" s="6303"/>
      <c r="BO45" s="6313">
        <v>8</v>
      </c>
      <c r="BP45" s="6313">
        <v>1</v>
      </c>
      <c r="BQ45" s="6313">
        <v>13</v>
      </c>
      <c r="BR45" s="6303"/>
      <c r="BS45" s="6313">
        <v>16</v>
      </c>
      <c r="BT45" s="6313">
        <v>100</v>
      </c>
      <c r="BU45" s="6303"/>
      <c r="BV45" s="6303"/>
      <c r="BW45" s="6313">
        <v>100</v>
      </c>
      <c r="BX45" s="6300">
        <f t="shared" si="16"/>
        <v>0.24293785310734464</v>
      </c>
      <c r="BZ45" s="4388"/>
      <c r="CA45" s="4388"/>
      <c r="CB45" s="4388" t="s">
        <v>36</v>
      </c>
      <c r="CC45" s="4231">
        <v>127</v>
      </c>
      <c r="CD45" s="4231">
        <v>93</v>
      </c>
      <c r="CE45" s="4231">
        <v>0</v>
      </c>
      <c r="CF45" s="4231">
        <v>23</v>
      </c>
      <c r="CG45" s="4231">
        <v>98</v>
      </c>
      <c r="CH45" s="4231">
        <v>13</v>
      </c>
      <c r="CI45" s="4231">
        <v>8</v>
      </c>
      <c r="CJ45" s="4231"/>
      <c r="CK45" s="4231">
        <v>0</v>
      </c>
      <c r="CL45" s="4231">
        <v>57</v>
      </c>
      <c r="CM45" s="4231">
        <v>14</v>
      </c>
      <c r="CN45" s="4231"/>
      <c r="CO45" s="4231">
        <v>106</v>
      </c>
      <c r="CP45" s="4231">
        <v>1</v>
      </c>
      <c r="CQ45" s="4231">
        <v>540</v>
      </c>
      <c r="CR45" s="6304">
        <f t="shared" si="7"/>
        <v>0.23191094619666047</v>
      </c>
      <c r="CS45" s="4238">
        <f t="shared" si="8"/>
        <v>8</v>
      </c>
      <c r="CT45" s="6305">
        <v>532</v>
      </c>
      <c r="CU45" s="6316"/>
      <c r="CX45" s="42" t="s">
        <v>37</v>
      </c>
      <c r="CY45" s="42">
        <v>24</v>
      </c>
      <c r="CZ45" s="42">
        <v>33</v>
      </c>
      <c r="DB45" s="42">
        <v>19</v>
      </c>
      <c r="DC45" s="42">
        <v>107</v>
      </c>
      <c r="DD45" s="42">
        <v>8</v>
      </c>
      <c r="DE45" s="42">
        <v>46</v>
      </c>
      <c r="DF45" s="42">
        <v>0</v>
      </c>
      <c r="DG45" s="42">
        <v>0</v>
      </c>
      <c r="DH45" s="42">
        <v>14</v>
      </c>
      <c r="DI45" s="42">
        <v>9</v>
      </c>
      <c r="DK45" s="42">
        <v>85</v>
      </c>
      <c r="DL45" s="42">
        <v>1</v>
      </c>
      <c r="DM45" s="893">
        <v>346</v>
      </c>
      <c r="DN45" s="6306">
        <f t="shared" si="17"/>
        <v>0.35942028985507246</v>
      </c>
      <c r="DP45" s="4263"/>
      <c r="DQ45" s="4263"/>
      <c r="DR45" s="4258" t="s">
        <v>37</v>
      </c>
      <c r="DS45" s="4263">
        <v>51</v>
      </c>
      <c r="DT45" s="4263">
        <v>57</v>
      </c>
      <c r="DU45" s="4263"/>
      <c r="DV45" s="4263">
        <v>17</v>
      </c>
      <c r="DW45" s="4263">
        <v>81</v>
      </c>
      <c r="DX45" s="4263">
        <v>14</v>
      </c>
      <c r="DY45" s="4263">
        <v>8</v>
      </c>
      <c r="DZ45" s="4263">
        <v>0</v>
      </c>
      <c r="EA45" s="4263">
        <v>0</v>
      </c>
      <c r="EB45" s="4263">
        <v>7</v>
      </c>
      <c r="EC45" s="4263">
        <v>10</v>
      </c>
      <c r="ED45" s="4263"/>
      <c r="EE45" s="4263">
        <v>97</v>
      </c>
      <c r="EF45" s="4263">
        <v>1</v>
      </c>
      <c r="EG45" s="4263">
        <v>343</v>
      </c>
      <c r="EH45" s="6307">
        <f t="shared" si="9"/>
        <v>0.30701754385964913</v>
      </c>
      <c r="EL45" s="42" t="s">
        <v>37</v>
      </c>
      <c r="EM45" s="97">
        <v>44</v>
      </c>
      <c r="EN45" s="97">
        <v>38</v>
      </c>
      <c r="EO45" s="97"/>
      <c r="EP45" s="97">
        <v>1</v>
      </c>
      <c r="EQ45" s="97">
        <v>91</v>
      </c>
      <c r="ER45" s="97">
        <v>8</v>
      </c>
      <c r="ES45" s="97">
        <v>32</v>
      </c>
      <c r="ET45" s="97"/>
      <c r="EU45" s="97">
        <v>0</v>
      </c>
      <c r="EV45" s="97">
        <v>15</v>
      </c>
      <c r="EW45" s="97">
        <v>13</v>
      </c>
      <c r="EX45" s="97"/>
      <c r="EY45" s="97">
        <v>86</v>
      </c>
      <c r="EZ45" s="97">
        <v>0</v>
      </c>
      <c r="FA45" s="97">
        <v>328</v>
      </c>
      <c r="FB45" s="6315">
        <f t="shared" si="10"/>
        <v>0.34146341463414637</v>
      </c>
      <c r="FD45" s="42"/>
      <c r="FE45" s="42"/>
      <c r="FF45" s="42" t="s">
        <v>37</v>
      </c>
      <c r="FG45" s="97">
        <v>40</v>
      </c>
      <c r="FH45" s="97">
        <v>47</v>
      </c>
      <c r="FI45" s="97">
        <v>0</v>
      </c>
      <c r="FJ45" s="97">
        <v>17</v>
      </c>
      <c r="FK45" s="97">
        <v>75</v>
      </c>
      <c r="FL45" s="97">
        <v>7</v>
      </c>
      <c r="FM45" s="97">
        <v>22</v>
      </c>
      <c r="FN45" s="97"/>
      <c r="FO45" s="97">
        <v>0</v>
      </c>
      <c r="FP45" s="97">
        <v>12</v>
      </c>
      <c r="FQ45" s="97">
        <v>19</v>
      </c>
      <c r="FR45" s="97"/>
      <c r="FS45" s="97">
        <v>80</v>
      </c>
      <c r="FT45" s="97">
        <v>1</v>
      </c>
      <c r="FU45" s="97">
        <v>320</v>
      </c>
      <c r="FV45" s="6308">
        <f t="shared" si="0"/>
        <v>0.31661442006269591</v>
      </c>
      <c r="FW45" s="6322"/>
      <c r="FX45" s="42"/>
      <c r="FY45" s="42"/>
      <c r="FZ45" s="42" t="s">
        <v>37</v>
      </c>
      <c r="GA45" s="97">
        <v>45</v>
      </c>
      <c r="GB45" s="97">
        <v>49</v>
      </c>
      <c r="GC45" s="97"/>
      <c r="GD45" s="97">
        <v>16</v>
      </c>
      <c r="GE45" s="97">
        <v>71</v>
      </c>
      <c r="GF45" s="97">
        <v>9</v>
      </c>
      <c r="GG45" s="97">
        <v>27</v>
      </c>
      <c r="GH45" s="97">
        <v>0</v>
      </c>
      <c r="GI45" s="97">
        <v>0</v>
      </c>
      <c r="GJ45" s="97">
        <v>15</v>
      </c>
      <c r="GK45" s="97">
        <v>10</v>
      </c>
      <c r="GL45" s="97"/>
      <c r="GM45" s="97">
        <v>61</v>
      </c>
      <c r="GN45" s="97">
        <v>0</v>
      </c>
      <c r="GO45" s="97">
        <v>303</v>
      </c>
      <c r="GP45" s="6308">
        <f t="shared" si="11"/>
        <v>0.29702970297029702</v>
      </c>
      <c r="GR45" s="6280"/>
      <c r="GS45" s="6280"/>
      <c r="GT45" s="6310" t="s">
        <v>37</v>
      </c>
      <c r="GU45" s="6311">
        <v>47</v>
      </c>
      <c r="GV45" s="6311">
        <v>41</v>
      </c>
      <c r="GW45" s="6312"/>
      <c r="GX45" s="6311">
        <v>14</v>
      </c>
      <c r="GY45" s="6311">
        <v>63</v>
      </c>
      <c r="GZ45" s="6311">
        <v>3</v>
      </c>
      <c r="HA45" s="6311">
        <v>21</v>
      </c>
      <c r="HB45" s="6312"/>
      <c r="HC45" s="6311">
        <v>0</v>
      </c>
      <c r="HD45" s="6311">
        <v>12</v>
      </c>
      <c r="HE45" s="6311">
        <v>17</v>
      </c>
      <c r="HF45" s="6312"/>
      <c r="HG45" s="6311">
        <v>64</v>
      </c>
      <c r="HH45" s="6311">
        <v>0</v>
      </c>
      <c r="HI45" s="6311">
        <v>282</v>
      </c>
      <c r="HJ45" s="467">
        <f t="shared" si="12"/>
        <v>0.29432624113475175</v>
      </c>
      <c r="HL45" s="967"/>
      <c r="HM45" s="967"/>
      <c r="HN45" s="977" t="s">
        <v>37</v>
      </c>
      <c r="HO45" s="978">
        <v>49</v>
      </c>
      <c r="HP45" s="978">
        <v>34</v>
      </c>
      <c r="HQ45" s="967"/>
      <c r="HR45" s="978">
        <v>20</v>
      </c>
      <c r="HS45" s="978">
        <v>64</v>
      </c>
      <c r="HT45" s="978">
        <v>5</v>
      </c>
      <c r="HU45" s="978">
        <v>28</v>
      </c>
      <c r="HV45" s="967"/>
      <c r="HW45" s="978">
        <v>0</v>
      </c>
      <c r="HX45" s="978">
        <v>14</v>
      </c>
      <c r="HY45" s="978">
        <v>7</v>
      </c>
      <c r="HZ45" s="978">
        <v>78</v>
      </c>
      <c r="IA45" s="967"/>
      <c r="IB45" s="978">
        <v>299</v>
      </c>
      <c r="IC45" s="467">
        <f t="shared" si="13"/>
        <v>0.25418060200668896</v>
      </c>
      <c r="IE45" s="577"/>
      <c r="IF45" s="577"/>
      <c r="IG45" s="979" t="s">
        <v>37</v>
      </c>
      <c r="IH45" s="980">
        <v>39</v>
      </c>
      <c r="II45" s="980">
        <v>33</v>
      </c>
      <c r="IJ45" s="980">
        <v>0</v>
      </c>
      <c r="IK45" s="980">
        <v>20</v>
      </c>
      <c r="IL45" s="980">
        <v>55</v>
      </c>
      <c r="IM45" s="980">
        <v>9</v>
      </c>
      <c r="IN45" s="980">
        <v>17</v>
      </c>
      <c r="IO45" s="577"/>
      <c r="IP45" s="980">
        <v>0</v>
      </c>
      <c r="IQ45" s="980">
        <v>6</v>
      </c>
      <c r="IR45" s="980">
        <v>11</v>
      </c>
      <c r="IS45" s="980">
        <v>77</v>
      </c>
      <c r="IT45" s="577"/>
      <c r="IU45" s="980">
        <v>267</v>
      </c>
      <c r="IV45" s="467">
        <f t="shared" si="14"/>
        <v>0.2808988764044944</v>
      </c>
      <c r="IX45" s="742"/>
      <c r="IY45" s="742"/>
      <c r="IZ45" s="981" t="s">
        <v>38</v>
      </c>
      <c r="JA45" s="982">
        <v>144</v>
      </c>
      <c r="JB45" s="982">
        <v>80</v>
      </c>
      <c r="JC45" s="982">
        <v>0</v>
      </c>
      <c r="JD45" s="982">
        <v>39</v>
      </c>
      <c r="JE45" s="982">
        <v>154</v>
      </c>
      <c r="JF45" s="982">
        <v>19</v>
      </c>
      <c r="JG45" s="982">
        <v>45</v>
      </c>
      <c r="JH45" s="982">
        <v>1</v>
      </c>
      <c r="JI45" s="982">
        <v>46</v>
      </c>
      <c r="JJ45" s="982">
        <v>14</v>
      </c>
      <c r="JK45" s="982">
        <v>134</v>
      </c>
      <c r="JL45" s="982">
        <v>148</v>
      </c>
      <c r="JM45" s="982">
        <v>0</v>
      </c>
      <c r="JN45" s="982">
        <v>2</v>
      </c>
      <c r="JO45" s="982">
        <v>826</v>
      </c>
      <c r="JP45" s="983">
        <f t="shared" si="15"/>
        <v>0.27101449275362322</v>
      </c>
      <c r="JR45" s="97"/>
      <c r="JS45" s="97"/>
      <c r="JT45" s="42" t="s">
        <v>38</v>
      </c>
      <c r="JU45" s="42">
        <v>114</v>
      </c>
      <c r="JV45" s="42">
        <v>100</v>
      </c>
      <c r="JW45" s="42"/>
      <c r="JX45" s="42">
        <v>38</v>
      </c>
      <c r="JY45" s="42">
        <v>150</v>
      </c>
      <c r="JZ45" s="42">
        <v>15</v>
      </c>
      <c r="KA45" s="42">
        <v>44</v>
      </c>
      <c r="KB45" s="42">
        <v>1</v>
      </c>
      <c r="KC45" s="42">
        <v>52</v>
      </c>
      <c r="KD45" s="42">
        <v>4</v>
      </c>
      <c r="KE45" s="42">
        <v>126</v>
      </c>
      <c r="KF45" s="42">
        <v>150</v>
      </c>
      <c r="KG45" s="42"/>
      <c r="KH45" s="42">
        <v>1</v>
      </c>
      <c r="KI45" s="42">
        <v>795</v>
      </c>
      <c r="KJ45" s="984">
        <f t="shared" si="1"/>
        <v>0.25299401197604793</v>
      </c>
      <c r="KK45" s="42"/>
      <c r="KL45" s="354"/>
      <c r="KM45" s="354"/>
      <c r="KN45" s="354" t="s">
        <v>38</v>
      </c>
      <c r="KO45" s="985">
        <v>97</v>
      </c>
      <c r="KP45" s="985">
        <v>93</v>
      </c>
      <c r="KQ45" s="985" t="s">
        <v>315</v>
      </c>
      <c r="KR45" s="985">
        <v>32</v>
      </c>
      <c r="KS45" s="985">
        <v>162</v>
      </c>
      <c r="KT45" s="985">
        <v>16</v>
      </c>
      <c r="KU45" s="985">
        <v>73</v>
      </c>
      <c r="KV45" s="985" t="s">
        <v>315</v>
      </c>
      <c r="KW45" s="985">
        <v>47</v>
      </c>
      <c r="KX45" s="985">
        <v>7</v>
      </c>
      <c r="KY45" s="985">
        <v>143</v>
      </c>
      <c r="KZ45" s="985" t="s">
        <v>315</v>
      </c>
      <c r="LA45" s="985">
        <v>670</v>
      </c>
      <c r="LB45" s="985">
        <f t="shared" si="2"/>
        <v>185</v>
      </c>
      <c r="LC45" s="986">
        <f t="shared" si="3"/>
        <v>0.27611940298507465</v>
      </c>
      <c r="LD45" s="42"/>
      <c r="LE45" s="42"/>
    </row>
    <row r="46" spans="1:317">
      <c r="A46" s="6291">
        <v>2</v>
      </c>
      <c r="B46" s="6291">
        <v>3</v>
      </c>
      <c r="C46" s="6291">
        <v>53</v>
      </c>
      <c r="D46" s="6292">
        <v>757</v>
      </c>
      <c r="E46" s="6291">
        <v>17</v>
      </c>
      <c r="F46" s="6291">
        <v>146</v>
      </c>
      <c r="G46" s="6291">
        <v>185</v>
      </c>
      <c r="H46" s="6291">
        <v>26</v>
      </c>
      <c r="I46" s="6293"/>
      <c r="J46" s="6291">
        <v>3</v>
      </c>
      <c r="K46" s="6291">
        <v>40</v>
      </c>
      <c r="L46" s="6293"/>
      <c r="M46" s="6291">
        <v>28</v>
      </c>
      <c r="N46" s="6291">
        <v>56</v>
      </c>
      <c r="O46" s="6293"/>
      <c r="P46" s="6291">
        <v>256</v>
      </c>
      <c r="Q46" s="6294">
        <f t="shared" si="4"/>
        <v>0.42800528401585203</v>
      </c>
      <c r="S46" s="6295">
        <v>2</v>
      </c>
      <c r="T46" s="6295">
        <v>2</v>
      </c>
      <c r="U46" s="6295">
        <v>44</v>
      </c>
      <c r="V46" s="6295">
        <v>349</v>
      </c>
      <c r="W46" s="6295">
        <v>13</v>
      </c>
      <c r="X46" s="6295">
        <v>79</v>
      </c>
      <c r="Y46" s="6295">
        <v>54</v>
      </c>
      <c r="Z46" s="6295">
        <v>18</v>
      </c>
      <c r="AA46" s="6296"/>
      <c r="AB46" s="6295">
        <v>7</v>
      </c>
      <c r="AC46" s="6295">
        <v>23</v>
      </c>
      <c r="AD46" s="6296"/>
      <c r="AE46" s="6295">
        <v>16</v>
      </c>
      <c r="AF46" s="6295">
        <v>67</v>
      </c>
      <c r="AG46" s="6296"/>
      <c r="AH46" s="6295">
        <v>72</v>
      </c>
      <c r="AI46" s="6294">
        <f t="shared" si="5"/>
        <v>0.31805157593123207</v>
      </c>
      <c r="AJ46" s="6295"/>
      <c r="AK46" s="6297">
        <v>2</v>
      </c>
      <c r="AL46" s="6297">
        <v>2</v>
      </c>
      <c r="AM46" s="6297">
        <v>44</v>
      </c>
      <c r="AN46" s="6298">
        <v>350</v>
      </c>
      <c r="AO46" s="6297">
        <v>15</v>
      </c>
      <c r="AP46" s="6297">
        <v>79</v>
      </c>
      <c r="AQ46" s="6297">
        <v>69</v>
      </c>
      <c r="AR46" s="6297">
        <v>18</v>
      </c>
      <c r="AS46" s="6299"/>
      <c r="AT46" s="6297">
        <v>7</v>
      </c>
      <c r="AU46" s="6297">
        <v>1</v>
      </c>
      <c r="AV46" s="6297">
        <v>14</v>
      </c>
      <c r="AW46" s="6297">
        <v>18</v>
      </c>
      <c r="AX46" s="6299"/>
      <c r="AY46" s="6297">
        <v>60</v>
      </c>
      <c r="AZ46" s="6299"/>
      <c r="BA46" s="6299"/>
      <c r="BB46" s="6297">
        <v>69</v>
      </c>
      <c r="BC46" s="6300">
        <f t="shared" si="6"/>
        <v>0.28939828080229224</v>
      </c>
      <c r="BE46" s="6313">
        <v>2</v>
      </c>
      <c r="BF46" s="6313">
        <v>2</v>
      </c>
      <c r="BG46" s="6313">
        <v>44</v>
      </c>
      <c r="BH46" s="4405" t="s">
        <v>37</v>
      </c>
      <c r="BI46" s="6314">
        <v>343</v>
      </c>
      <c r="BJ46" s="6313">
        <v>15</v>
      </c>
      <c r="BK46" s="6313">
        <v>102</v>
      </c>
      <c r="BL46" s="6313">
        <v>40</v>
      </c>
      <c r="BM46" s="6313">
        <v>16</v>
      </c>
      <c r="BN46" s="6303"/>
      <c r="BO46" s="6313">
        <v>5</v>
      </c>
      <c r="BP46" s="6313">
        <v>1</v>
      </c>
      <c r="BQ46" s="6313">
        <v>25</v>
      </c>
      <c r="BR46" s="6303"/>
      <c r="BS46" s="6313">
        <v>10</v>
      </c>
      <c r="BT46" s="6313">
        <v>48</v>
      </c>
      <c r="BU46" s="6303"/>
      <c r="BV46" s="6303"/>
      <c r="BW46" s="6313">
        <v>81</v>
      </c>
      <c r="BX46" s="6300">
        <f t="shared" si="16"/>
        <v>0.33918128654970758</v>
      </c>
      <c r="BZ46" s="4388"/>
      <c r="CA46" s="4388"/>
      <c r="CB46" s="4388" t="s">
        <v>37</v>
      </c>
      <c r="CC46" s="4231">
        <v>56</v>
      </c>
      <c r="CD46" s="4231">
        <v>50</v>
      </c>
      <c r="CE46" s="4231">
        <v>0</v>
      </c>
      <c r="CF46" s="4231">
        <v>16</v>
      </c>
      <c r="CG46" s="4231">
        <v>81</v>
      </c>
      <c r="CH46" s="4231">
        <v>5</v>
      </c>
      <c r="CI46" s="4231">
        <v>5</v>
      </c>
      <c r="CJ46" s="4231"/>
      <c r="CK46" s="4231">
        <v>0</v>
      </c>
      <c r="CL46" s="4231">
        <v>10</v>
      </c>
      <c r="CM46" s="4231">
        <v>20</v>
      </c>
      <c r="CN46" s="4231"/>
      <c r="CO46" s="4231">
        <v>106</v>
      </c>
      <c r="CP46" s="4231">
        <v>1</v>
      </c>
      <c r="CQ46" s="4231">
        <v>350</v>
      </c>
      <c r="CR46" s="6304">
        <f t="shared" si="7"/>
        <v>0.30372492836676218</v>
      </c>
      <c r="CS46" s="4238">
        <f t="shared" si="8"/>
        <v>7</v>
      </c>
      <c r="CT46" s="6305">
        <v>343</v>
      </c>
      <c r="CU46" s="6316"/>
      <c r="CX46" s="42" t="s">
        <v>38</v>
      </c>
      <c r="CY46" s="42">
        <v>49</v>
      </c>
      <c r="CZ46" s="42">
        <v>94</v>
      </c>
      <c r="DB46" s="42">
        <v>15</v>
      </c>
      <c r="DC46" s="42">
        <v>270</v>
      </c>
      <c r="DD46" s="42">
        <v>19</v>
      </c>
      <c r="DE46" s="42">
        <v>94</v>
      </c>
      <c r="DF46" s="42">
        <v>2</v>
      </c>
      <c r="DG46" s="42">
        <v>0</v>
      </c>
      <c r="DH46" s="42">
        <v>52</v>
      </c>
      <c r="DI46" s="42">
        <v>17</v>
      </c>
      <c r="DK46" s="42">
        <v>86</v>
      </c>
      <c r="DL46" s="42">
        <v>0</v>
      </c>
      <c r="DM46" s="893">
        <v>698</v>
      </c>
      <c r="DN46" s="6306">
        <f t="shared" si="17"/>
        <v>0.43839541547277938</v>
      </c>
      <c r="DP46" s="4263"/>
      <c r="DQ46" s="4263"/>
      <c r="DR46" s="4258" t="s">
        <v>38</v>
      </c>
      <c r="DS46" s="4263">
        <v>112</v>
      </c>
      <c r="DT46" s="4263">
        <v>136</v>
      </c>
      <c r="DU46" s="4263"/>
      <c r="DV46" s="4263">
        <v>13</v>
      </c>
      <c r="DW46" s="4263">
        <v>202</v>
      </c>
      <c r="DX46" s="4263">
        <v>30</v>
      </c>
      <c r="DY46" s="4263">
        <v>6</v>
      </c>
      <c r="DZ46" s="4263">
        <v>0</v>
      </c>
      <c r="EA46" s="4263">
        <v>0</v>
      </c>
      <c r="EB46" s="4263">
        <v>39</v>
      </c>
      <c r="EC46" s="4263">
        <v>32</v>
      </c>
      <c r="ED46" s="4263"/>
      <c r="EE46" s="4263">
        <v>123</v>
      </c>
      <c r="EF46" s="4263">
        <v>0</v>
      </c>
      <c r="EG46" s="4263">
        <v>693</v>
      </c>
      <c r="EH46" s="6307">
        <f t="shared" si="9"/>
        <v>0.38095238095238093</v>
      </c>
      <c r="EL46" s="42" t="s">
        <v>38</v>
      </c>
      <c r="EM46" s="97">
        <v>104</v>
      </c>
      <c r="EN46" s="97">
        <v>91</v>
      </c>
      <c r="EO46" s="97"/>
      <c r="EP46" s="97">
        <v>0</v>
      </c>
      <c r="EQ46" s="97">
        <v>230</v>
      </c>
      <c r="ER46" s="97">
        <v>16</v>
      </c>
      <c r="ES46" s="97">
        <v>50</v>
      </c>
      <c r="ET46" s="97"/>
      <c r="EU46" s="97">
        <v>0</v>
      </c>
      <c r="EV46" s="97">
        <v>64</v>
      </c>
      <c r="EW46" s="97">
        <v>28</v>
      </c>
      <c r="EX46" s="97"/>
      <c r="EY46" s="97">
        <v>100</v>
      </c>
      <c r="EZ46" s="97">
        <v>0</v>
      </c>
      <c r="FA46" s="97">
        <v>683</v>
      </c>
      <c r="FB46" s="6315">
        <f t="shared" si="10"/>
        <v>0.40117130307467058</v>
      </c>
      <c r="FD46" s="42"/>
      <c r="FE46" s="42"/>
      <c r="FF46" s="42" t="s">
        <v>38</v>
      </c>
      <c r="FG46" s="97">
        <v>112</v>
      </c>
      <c r="FH46" s="97">
        <v>113</v>
      </c>
      <c r="FI46" s="97">
        <v>0</v>
      </c>
      <c r="FJ46" s="97">
        <v>21</v>
      </c>
      <c r="FK46" s="97">
        <v>223</v>
      </c>
      <c r="FL46" s="97">
        <v>23</v>
      </c>
      <c r="FM46" s="97">
        <v>68</v>
      </c>
      <c r="FN46" s="97"/>
      <c r="FO46" s="97">
        <v>0</v>
      </c>
      <c r="FP46" s="97">
        <v>62</v>
      </c>
      <c r="FQ46" s="97">
        <v>34</v>
      </c>
      <c r="FR46" s="97"/>
      <c r="FS46" s="97">
        <v>78</v>
      </c>
      <c r="FT46" s="97">
        <v>0</v>
      </c>
      <c r="FU46" s="97">
        <v>734</v>
      </c>
      <c r="FV46" s="6308">
        <f t="shared" si="0"/>
        <v>0.38147138964577659</v>
      </c>
      <c r="FW46" s="6322"/>
      <c r="FX46" s="42"/>
      <c r="FY46" s="42"/>
      <c r="FZ46" s="42" t="s">
        <v>38</v>
      </c>
      <c r="GA46" s="97">
        <v>113</v>
      </c>
      <c r="GB46" s="97">
        <v>124</v>
      </c>
      <c r="GC46" s="97"/>
      <c r="GD46" s="97">
        <v>25</v>
      </c>
      <c r="GE46" s="97">
        <v>227</v>
      </c>
      <c r="GF46" s="97">
        <v>11</v>
      </c>
      <c r="GG46" s="97">
        <v>44</v>
      </c>
      <c r="GH46" s="97">
        <v>11</v>
      </c>
      <c r="GI46" s="97">
        <v>0</v>
      </c>
      <c r="GJ46" s="97">
        <v>59</v>
      </c>
      <c r="GK46" s="97">
        <v>24</v>
      </c>
      <c r="GL46" s="97"/>
      <c r="GM46" s="97">
        <v>83</v>
      </c>
      <c r="GN46" s="97">
        <v>0</v>
      </c>
      <c r="GO46" s="97">
        <v>721</v>
      </c>
      <c r="GP46" s="6308">
        <f t="shared" si="11"/>
        <v>0.36338418862690708</v>
      </c>
      <c r="GR46" s="6280"/>
      <c r="GS46" s="6280"/>
      <c r="GT46" s="6310" t="s">
        <v>38</v>
      </c>
      <c r="GU46" s="6311">
        <v>121</v>
      </c>
      <c r="GV46" s="6311">
        <v>110</v>
      </c>
      <c r="GW46" s="6312"/>
      <c r="GX46" s="6311">
        <v>22</v>
      </c>
      <c r="GY46" s="6311">
        <v>227</v>
      </c>
      <c r="GZ46" s="6311">
        <v>9</v>
      </c>
      <c r="HA46" s="6311">
        <v>37</v>
      </c>
      <c r="HB46" s="6312"/>
      <c r="HC46" s="6311">
        <v>0</v>
      </c>
      <c r="HD46" s="6311">
        <v>46</v>
      </c>
      <c r="HE46" s="6311">
        <v>31</v>
      </c>
      <c r="HF46" s="6312"/>
      <c r="HG46" s="6311">
        <v>102</v>
      </c>
      <c r="HH46" s="6311">
        <v>0</v>
      </c>
      <c r="HI46" s="6311">
        <v>705</v>
      </c>
      <c r="HJ46" s="467">
        <f t="shared" si="12"/>
        <v>0.37872340425531914</v>
      </c>
      <c r="HL46" s="967"/>
      <c r="HM46" s="967"/>
      <c r="HN46" s="977" t="s">
        <v>38</v>
      </c>
      <c r="HO46" s="978">
        <v>116</v>
      </c>
      <c r="HP46" s="978">
        <v>106</v>
      </c>
      <c r="HQ46" s="967"/>
      <c r="HR46" s="978">
        <v>31</v>
      </c>
      <c r="HS46" s="978">
        <v>217</v>
      </c>
      <c r="HT46" s="978">
        <v>11</v>
      </c>
      <c r="HU46" s="978">
        <v>39</v>
      </c>
      <c r="HV46" s="967"/>
      <c r="HW46" s="978">
        <v>0</v>
      </c>
      <c r="HX46" s="978">
        <v>58</v>
      </c>
      <c r="HY46" s="978">
        <v>28</v>
      </c>
      <c r="HZ46" s="978">
        <v>136</v>
      </c>
      <c r="IA46" s="967"/>
      <c r="IB46" s="978">
        <v>742</v>
      </c>
      <c r="IC46" s="467">
        <f t="shared" si="13"/>
        <v>0.34501347708894881</v>
      </c>
      <c r="IE46" s="577"/>
      <c r="IF46" s="577"/>
      <c r="IG46" s="979" t="s">
        <v>38</v>
      </c>
      <c r="IH46" s="980">
        <v>125</v>
      </c>
      <c r="II46" s="980">
        <v>103</v>
      </c>
      <c r="IJ46" s="980">
        <v>0</v>
      </c>
      <c r="IK46" s="980">
        <v>36</v>
      </c>
      <c r="IL46" s="980">
        <v>198</v>
      </c>
      <c r="IM46" s="980">
        <v>30</v>
      </c>
      <c r="IN46" s="980">
        <v>42</v>
      </c>
      <c r="IO46" s="577"/>
      <c r="IP46" s="980">
        <v>1</v>
      </c>
      <c r="IQ46" s="980">
        <v>44</v>
      </c>
      <c r="IR46" s="980">
        <v>14</v>
      </c>
      <c r="IS46" s="980">
        <v>129</v>
      </c>
      <c r="IT46" s="577"/>
      <c r="IU46" s="980">
        <v>722</v>
      </c>
      <c r="IV46" s="467">
        <f t="shared" si="14"/>
        <v>0.33518005540166207</v>
      </c>
      <c r="IX46" s="742"/>
      <c r="IY46" s="742"/>
      <c r="IZ46" s="981" t="s">
        <v>39</v>
      </c>
      <c r="JA46" s="982">
        <v>173</v>
      </c>
      <c r="JB46" s="982">
        <v>116</v>
      </c>
      <c r="JC46" s="982">
        <v>0</v>
      </c>
      <c r="JD46" s="982">
        <v>66</v>
      </c>
      <c r="JE46" s="982">
        <v>473</v>
      </c>
      <c r="JF46" s="982">
        <v>61</v>
      </c>
      <c r="JG46" s="982">
        <v>78</v>
      </c>
      <c r="JH46" s="982">
        <v>0</v>
      </c>
      <c r="JI46" s="982">
        <v>31</v>
      </c>
      <c r="JJ46" s="982">
        <v>59</v>
      </c>
      <c r="JK46" s="982">
        <v>178</v>
      </c>
      <c r="JL46" s="982">
        <v>313</v>
      </c>
      <c r="JM46" s="982">
        <v>0</v>
      </c>
      <c r="JN46" s="982">
        <v>5</v>
      </c>
      <c r="JO46" s="982">
        <v>1553</v>
      </c>
      <c r="JP46" s="983">
        <f t="shared" si="15"/>
        <v>0.43284671532846714</v>
      </c>
      <c r="JR46" s="97"/>
      <c r="JS46" s="97"/>
      <c r="JT46" s="42" t="s">
        <v>39</v>
      </c>
      <c r="JU46" s="42">
        <v>180</v>
      </c>
      <c r="JV46" s="42">
        <v>110</v>
      </c>
      <c r="JW46" s="42"/>
      <c r="JX46" s="42">
        <v>73</v>
      </c>
      <c r="JY46" s="42">
        <v>413</v>
      </c>
      <c r="JZ46" s="42">
        <v>47</v>
      </c>
      <c r="KA46" s="42">
        <v>88</v>
      </c>
      <c r="KB46" s="42">
        <v>0</v>
      </c>
      <c r="KC46" s="42">
        <v>41</v>
      </c>
      <c r="KD46" s="42">
        <v>58</v>
      </c>
      <c r="KE46" s="42">
        <v>177</v>
      </c>
      <c r="KF46" s="42">
        <v>317</v>
      </c>
      <c r="KG46" s="42"/>
      <c r="KH46" s="42">
        <v>4</v>
      </c>
      <c r="KI46" s="42">
        <v>1508</v>
      </c>
      <c r="KJ46" s="984">
        <f t="shared" si="1"/>
        <v>0.39035418236623964</v>
      </c>
      <c r="KK46" s="42"/>
      <c r="KL46" s="354"/>
      <c r="KM46" s="354"/>
      <c r="KN46" s="354" t="s">
        <v>39</v>
      </c>
      <c r="KO46" s="985">
        <v>139</v>
      </c>
      <c r="KP46" s="985">
        <v>112</v>
      </c>
      <c r="KQ46" s="985" t="s">
        <v>315</v>
      </c>
      <c r="KR46" s="985">
        <v>70</v>
      </c>
      <c r="KS46" s="985">
        <v>398</v>
      </c>
      <c r="KT46" s="985">
        <v>56</v>
      </c>
      <c r="KU46" s="985">
        <v>92</v>
      </c>
      <c r="KV46" s="985" t="s">
        <v>315</v>
      </c>
      <c r="KW46" s="985">
        <v>42</v>
      </c>
      <c r="KX46" s="985">
        <v>49</v>
      </c>
      <c r="KY46" s="985">
        <v>308</v>
      </c>
      <c r="KZ46" s="985" t="s">
        <v>315</v>
      </c>
      <c r="LA46" s="985">
        <v>1266</v>
      </c>
      <c r="LB46" s="985">
        <f t="shared" si="2"/>
        <v>503</v>
      </c>
      <c r="LC46" s="986">
        <f t="shared" si="3"/>
        <v>0.39731437598736175</v>
      </c>
      <c r="LD46" s="42"/>
      <c r="LE46" s="42"/>
    </row>
    <row r="47" spans="1:317">
      <c r="A47" s="6291">
        <v>2</v>
      </c>
      <c r="B47" s="6291">
        <v>3</v>
      </c>
      <c r="C47" s="6291">
        <v>54</v>
      </c>
      <c r="D47" s="6292">
        <v>518</v>
      </c>
      <c r="E47" s="6291">
        <v>17</v>
      </c>
      <c r="F47" s="6291">
        <v>102</v>
      </c>
      <c r="G47" s="6291">
        <v>104</v>
      </c>
      <c r="H47" s="6291">
        <v>14</v>
      </c>
      <c r="I47" s="6293"/>
      <c r="J47" s="6291">
        <v>5</v>
      </c>
      <c r="K47" s="6291">
        <v>34</v>
      </c>
      <c r="L47" s="6293"/>
      <c r="M47" s="6291">
        <v>28</v>
      </c>
      <c r="N47" s="6291">
        <v>26</v>
      </c>
      <c r="O47" s="6293"/>
      <c r="P47" s="6291">
        <v>188</v>
      </c>
      <c r="Q47" s="6294">
        <f t="shared" si="4"/>
        <v>0.4826254826254826</v>
      </c>
      <c r="S47" s="6295">
        <v>2</v>
      </c>
      <c r="T47" s="6295">
        <v>2</v>
      </c>
      <c r="U47" s="6295">
        <v>45</v>
      </c>
      <c r="V47" s="6295">
        <v>687</v>
      </c>
      <c r="W47" s="6295">
        <v>40</v>
      </c>
      <c r="X47" s="6295">
        <v>76</v>
      </c>
      <c r="Y47" s="6295">
        <v>153</v>
      </c>
      <c r="Z47" s="6295">
        <v>17</v>
      </c>
      <c r="AA47" s="6296"/>
      <c r="AB47" s="6295">
        <v>4</v>
      </c>
      <c r="AC47" s="6295">
        <v>33</v>
      </c>
      <c r="AD47" s="6296"/>
      <c r="AE47" s="6295">
        <v>29</v>
      </c>
      <c r="AF47" s="6295">
        <v>138</v>
      </c>
      <c r="AG47" s="6296"/>
      <c r="AH47" s="6295">
        <v>197</v>
      </c>
      <c r="AI47" s="6294">
        <f t="shared" si="5"/>
        <v>0.37700145560407566</v>
      </c>
      <c r="AJ47" s="6295"/>
      <c r="AK47" s="6297">
        <v>2</v>
      </c>
      <c r="AL47" s="6297">
        <v>2</v>
      </c>
      <c r="AM47" s="6297">
        <v>45</v>
      </c>
      <c r="AN47" s="6298">
        <v>687</v>
      </c>
      <c r="AO47" s="6297">
        <v>42</v>
      </c>
      <c r="AP47" s="6297">
        <v>76</v>
      </c>
      <c r="AQ47" s="6297">
        <v>172</v>
      </c>
      <c r="AR47" s="6297">
        <v>17</v>
      </c>
      <c r="AS47" s="6299"/>
      <c r="AT47" s="6297">
        <v>4</v>
      </c>
      <c r="AU47" s="6299"/>
      <c r="AV47" s="6297">
        <v>25</v>
      </c>
      <c r="AW47" s="6297">
        <v>34</v>
      </c>
      <c r="AX47" s="6299"/>
      <c r="AY47" s="6297">
        <v>129</v>
      </c>
      <c r="AZ47" s="6299"/>
      <c r="BA47" s="6299"/>
      <c r="BB47" s="6297">
        <v>188</v>
      </c>
      <c r="BC47" s="6300">
        <f t="shared" si="6"/>
        <v>0.35953420669577874</v>
      </c>
      <c r="BE47" s="6313">
        <v>2</v>
      </c>
      <c r="BF47" s="6313">
        <v>2</v>
      </c>
      <c r="BG47" s="6313">
        <v>45</v>
      </c>
      <c r="BH47" s="4405" t="s">
        <v>38</v>
      </c>
      <c r="BI47" s="6314">
        <v>688</v>
      </c>
      <c r="BJ47" s="6313">
        <v>34</v>
      </c>
      <c r="BK47" s="6313">
        <v>101</v>
      </c>
      <c r="BL47" s="6313">
        <v>145</v>
      </c>
      <c r="BM47" s="6313">
        <v>17</v>
      </c>
      <c r="BN47" s="6303"/>
      <c r="BO47" s="6313">
        <v>4</v>
      </c>
      <c r="BP47" s="6303"/>
      <c r="BQ47" s="6313">
        <v>25</v>
      </c>
      <c r="BR47" s="6303"/>
      <c r="BS47" s="6313">
        <v>44</v>
      </c>
      <c r="BT47" s="6313">
        <v>127</v>
      </c>
      <c r="BU47" s="6303"/>
      <c r="BV47" s="6303"/>
      <c r="BW47" s="6313">
        <v>191</v>
      </c>
      <c r="BX47" s="6300">
        <f t="shared" si="16"/>
        <v>0.37790697674418605</v>
      </c>
      <c r="BZ47" s="4388"/>
      <c r="CA47" s="4388"/>
      <c r="CB47" s="4388" t="s">
        <v>38</v>
      </c>
      <c r="CC47" s="4231">
        <v>149</v>
      </c>
      <c r="CD47" s="4231">
        <v>132</v>
      </c>
      <c r="CE47" s="4231">
        <v>0</v>
      </c>
      <c r="CF47" s="4231">
        <v>17</v>
      </c>
      <c r="CG47" s="4231">
        <v>188</v>
      </c>
      <c r="CH47" s="4231">
        <v>29</v>
      </c>
      <c r="CI47" s="4231">
        <v>4</v>
      </c>
      <c r="CJ47" s="4231"/>
      <c r="CK47" s="4231">
        <v>0</v>
      </c>
      <c r="CL47" s="4231">
        <v>37</v>
      </c>
      <c r="CM47" s="4231">
        <v>33</v>
      </c>
      <c r="CN47" s="4231"/>
      <c r="CO47" s="4231">
        <v>106</v>
      </c>
      <c r="CP47" s="4231">
        <v>0</v>
      </c>
      <c r="CQ47" s="4231">
        <v>695</v>
      </c>
      <c r="CR47" s="6304">
        <f t="shared" si="7"/>
        <v>0.35971223021582732</v>
      </c>
      <c r="CS47" s="4238">
        <f t="shared" si="8"/>
        <v>7</v>
      </c>
      <c r="CT47" s="6305">
        <v>688</v>
      </c>
      <c r="CU47" s="6316"/>
      <c r="CX47" s="42" t="s">
        <v>39</v>
      </c>
      <c r="CY47" s="42">
        <v>83</v>
      </c>
      <c r="CZ47" s="42">
        <v>83</v>
      </c>
      <c r="DB47" s="42">
        <v>29</v>
      </c>
      <c r="DC47" s="42">
        <v>586</v>
      </c>
      <c r="DD47" s="42">
        <v>63</v>
      </c>
      <c r="DE47" s="42">
        <v>134</v>
      </c>
      <c r="DF47" s="42">
        <v>0</v>
      </c>
      <c r="DG47" s="42">
        <v>0</v>
      </c>
      <c r="DH47" s="42">
        <v>42</v>
      </c>
      <c r="DI47" s="42">
        <v>48</v>
      </c>
      <c r="DK47" s="42">
        <v>186</v>
      </c>
      <c r="DL47" s="42">
        <v>0</v>
      </c>
      <c r="DM47" s="893">
        <v>1254</v>
      </c>
      <c r="DN47" s="6306">
        <f t="shared" si="17"/>
        <v>0.55582137161084533</v>
      </c>
      <c r="DP47" s="4263"/>
      <c r="DQ47" s="4263"/>
      <c r="DR47" s="4258" t="s">
        <v>39</v>
      </c>
      <c r="DS47" s="4263">
        <v>154</v>
      </c>
      <c r="DT47" s="4263">
        <v>137</v>
      </c>
      <c r="DU47" s="4263"/>
      <c r="DV47" s="4263">
        <v>23</v>
      </c>
      <c r="DW47" s="4263">
        <v>411</v>
      </c>
      <c r="DX47" s="4263">
        <v>103</v>
      </c>
      <c r="DY47" s="4263">
        <v>27</v>
      </c>
      <c r="DZ47" s="4263">
        <v>1</v>
      </c>
      <c r="EA47" s="4263">
        <v>0</v>
      </c>
      <c r="EB47" s="4263">
        <v>44</v>
      </c>
      <c r="EC47" s="4263">
        <v>92</v>
      </c>
      <c r="ED47" s="4263"/>
      <c r="EE47" s="4263">
        <v>227</v>
      </c>
      <c r="EF47" s="4263">
        <v>0</v>
      </c>
      <c r="EG47" s="4263">
        <v>1219</v>
      </c>
      <c r="EH47" s="6307">
        <f t="shared" si="9"/>
        <v>0.49712879409351929</v>
      </c>
      <c r="EL47" s="42" t="s">
        <v>39</v>
      </c>
      <c r="EM47" s="97">
        <v>170</v>
      </c>
      <c r="EN47" s="97">
        <v>97</v>
      </c>
      <c r="EO47" s="97"/>
      <c r="EP47" s="97">
        <v>1</v>
      </c>
      <c r="EQ47" s="97">
        <v>504</v>
      </c>
      <c r="ER47" s="97">
        <v>56</v>
      </c>
      <c r="ES47" s="97">
        <v>76</v>
      </c>
      <c r="ET47" s="97"/>
      <c r="EU47" s="97">
        <v>0</v>
      </c>
      <c r="EV47" s="97">
        <v>42</v>
      </c>
      <c r="EW47" s="97">
        <v>70</v>
      </c>
      <c r="EX47" s="97"/>
      <c r="EY47" s="97">
        <v>208</v>
      </c>
      <c r="EZ47" s="97">
        <v>0</v>
      </c>
      <c r="FA47" s="97">
        <v>1224</v>
      </c>
      <c r="FB47" s="6315">
        <f t="shared" si="10"/>
        <v>0.51470588235294112</v>
      </c>
      <c r="FD47" s="42"/>
      <c r="FE47" s="42"/>
      <c r="FF47" s="42" t="s">
        <v>39</v>
      </c>
      <c r="FG47" s="97">
        <v>143</v>
      </c>
      <c r="FH47" s="97">
        <v>125</v>
      </c>
      <c r="FI47" s="97">
        <v>0</v>
      </c>
      <c r="FJ47" s="97">
        <v>25</v>
      </c>
      <c r="FK47" s="97">
        <v>502</v>
      </c>
      <c r="FL47" s="97">
        <v>82</v>
      </c>
      <c r="FM47" s="97">
        <v>88</v>
      </c>
      <c r="FN47" s="97"/>
      <c r="FO47" s="97">
        <v>0</v>
      </c>
      <c r="FP47" s="97">
        <v>42</v>
      </c>
      <c r="FQ47" s="97">
        <v>94</v>
      </c>
      <c r="FR47" s="97"/>
      <c r="FS47" s="97">
        <v>207</v>
      </c>
      <c r="FT47" s="97">
        <v>0</v>
      </c>
      <c r="FU47" s="97">
        <v>1308</v>
      </c>
      <c r="FV47" s="6308">
        <f t="shared" si="0"/>
        <v>0.51834862385321101</v>
      </c>
      <c r="FW47" s="6322"/>
      <c r="FX47" s="42"/>
      <c r="FY47" s="42"/>
      <c r="FZ47" s="42" t="s">
        <v>39</v>
      </c>
      <c r="GA47" s="97">
        <v>135</v>
      </c>
      <c r="GB47" s="97">
        <v>138</v>
      </c>
      <c r="GC47" s="97"/>
      <c r="GD47" s="97">
        <v>27</v>
      </c>
      <c r="GE47" s="97">
        <v>489</v>
      </c>
      <c r="GF47" s="97">
        <v>83</v>
      </c>
      <c r="GG47" s="97">
        <v>75</v>
      </c>
      <c r="GH47" s="97">
        <v>0</v>
      </c>
      <c r="GI47" s="97">
        <v>0</v>
      </c>
      <c r="GJ47" s="97">
        <v>42</v>
      </c>
      <c r="GK47" s="97">
        <v>93</v>
      </c>
      <c r="GL47" s="97"/>
      <c r="GM47" s="97">
        <v>221</v>
      </c>
      <c r="GN47" s="97">
        <v>0</v>
      </c>
      <c r="GO47" s="97">
        <v>1303</v>
      </c>
      <c r="GP47" s="6308">
        <f t="shared" si="11"/>
        <v>0.51036070606293171</v>
      </c>
      <c r="GR47" s="6280"/>
      <c r="GS47" s="6280"/>
      <c r="GT47" s="6310" t="s">
        <v>39</v>
      </c>
      <c r="GU47" s="6311">
        <v>166</v>
      </c>
      <c r="GV47" s="6311">
        <v>111</v>
      </c>
      <c r="GW47" s="6312"/>
      <c r="GX47" s="6311">
        <v>24</v>
      </c>
      <c r="GY47" s="6311">
        <v>524</v>
      </c>
      <c r="GZ47" s="6311">
        <v>47</v>
      </c>
      <c r="HA47" s="6311">
        <v>72</v>
      </c>
      <c r="HB47" s="6312"/>
      <c r="HC47" s="6311">
        <v>0</v>
      </c>
      <c r="HD47" s="6311">
        <v>56</v>
      </c>
      <c r="HE47" s="6311">
        <v>61</v>
      </c>
      <c r="HF47" s="6312"/>
      <c r="HG47" s="6311">
        <v>241</v>
      </c>
      <c r="HH47" s="6311">
        <v>1</v>
      </c>
      <c r="HI47" s="6311">
        <v>1303</v>
      </c>
      <c r="HJ47" s="467">
        <f t="shared" si="12"/>
        <v>0.48540706605222733</v>
      </c>
      <c r="HL47" s="967"/>
      <c r="HM47" s="967"/>
      <c r="HN47" s="977" t="s">
        <v>39</v>
      </c>
      <c r="HO47" s="978">
        <v>149</v>
      </c>
      <c r="HP47" s="978">
        <v>116</v>
      </c>
      <c r="HQ47" s="967"/>
      <c r="HR47" s="978">
        <v>37</v>
      </c>
      <c r="HS47" s="978">
        <v>537</v>
      </c>
      <c r="HT47" s="978">
        <v>65</v>
      </c>
      <c r="HU47" s="978">
        <v>89</v>
      </c>
      <c r="HV47" s="967"/>
      <c r="HW47" s="978">
        <v>0</v>
      </c>
      <c r="HX47" s="978">
        <v>48</v>
      </c>
      <c r="HY47" s="978">
        <v>58</v>
      </c>
      <c r="HZ47" s="978">
        <v>298</v>
      </c>
      <c r="IA47" s="967"/>
      <c r="IB47" s="978">
        <v>1397</v>
      </c>
      <c r="IC47" s="467">
        <f t="shared" si="13"/>
        <v>0.47244094488188976</v>
      </c>
      <c r="IE47" s="577"/>
      <c r="IF47" s="577"/>
      <c r="IG47" s="979" t="s">
        <v>39</v>
      </c>
      <c r="IH47" s="980">
        <v>151</v>
      </c>
      <c r="II47" s="980">
        <v>150</v>
      </c>
      <c r="IJ47" s="980">
        <v>0</v>
      </c>
      <c r="IK47" s="980">
        <v>53</v>
      </c>
      <c r="IL47" s="980">
        <v>489</v>
      </c>
      <c r="IM47" s="980">
        <v>66</v>
      </c>
      <c r="IN47" s="980">
        <v>78</v>
      </c>
      <c r="IO47" s="577"/>
      <c r="IP47" s="980">
        <v>0</v>
      </c>
      <c r="IQ47" s="980">
        <v>42</v>
      </c>
      <c r="IR47" s="980">
        <v>66</v>
      </c>
      <c r="IS47" s="980">
        <v>281</v>
      </c>
      <c r="IT47" s="577"/>
      <c r="IU47" s="980">
        <v>1376</v>
      </c>
      <c r="IV47" s="467">
        <f t="shared" si="14"/>
        <v>0.45130813953488375</v>
      </c>
      <c r="IX47" s="742"/>
      <c r="IY47" s="742"/>
      <c r="IZ47" s="981" t="s">
        <v>40</v>
      </c>
      <c r="JA47" s="982">
        <v>56</v>
      </c>
      <c r="JB47" s="982">
        <v>22</v>
      </c>
      <c r="JC47" s="982">
        <v>0</v>
      </c>
      <c r="JD47" s="982">
        <v>10</v>
      </c>
      <c r="JE47" s="982">
        <v>34</v>
      </c>
      <c r="JF47" s="982">
        <v>2</v>
      </c>
      <c r="JG47" s="982">
        <v>25</v>
      </c>
      <c r="JH47" s="982">
        <v>0</v>
      </c>
      <c r="JI47" s="982">
        <v>17</v>
      </c>
      <c r="JJ47" s="982">
        <v>2</v>
      </c>
      <c r="JK47" s="982">
        <v>46</v>
      </c>
      <c r="JL47" s="982">
        <v>73</v>
      </c>
      <c r="JM47" s="982">
        <v>0</v>
      </c>
      <c r="JN47" s="982">
        <v>2</v>
      </c>
      <c r="JO47" s="982">
        <v>289</v>
      </c>
      <c r="JP47" s="983">
        <f t="shared" si="15"/>
        <v>0.15767634854771784</v>
      </c>
      <c r="JR47" s="97"/>
      <c r="JS47" s="97"/>
      <c r="JT47" s="42" t="s">
        <v>40</v>
      </c>
      <c r="JU47" s="42">
        <v>38</v>
      </c>
      <c r="JV47" s="42">
        <v>30</v>
      </c>
      <c r="JW47" s="42"/>
      <c r="JX47" s="42">
        <v>10</v>
      </c>
      <c r="JY47" s="42">
        <v>31</v>
      </c>
      <c r="JZ47" s="42">
        <v>0</v>
      </c>
      <c r="KA47" s="42">
        <v>2</v>
      </c>
      <c r="KB47" s="42">
        <v>0</v>
      </c>
      <c r="KC47" s="42">
        <v>14</v>
      </c>
      <c r="KD47" s="42">
        <v>0</v>
      </c>
      <c r="KE47" s="42">
        <v>38</v>
      </c>
      <c r="KF47" s="42">
        <v>81</v>
      </c>
      <c r="KG47" s="42"/>
      <c r="KH47" s="42">
        <v>2</v>
      </c>
      <c r="KI47" s="42">
        <v>246</v>
      </c>
      <c r="KJ47" s="984">
        <f t="shared" si="1"/>
        <v>0.15048543689320387</v>
      </c>
      <c r="KK47" s="42"/>
      <c r="KL47" s="354"/>
      <c r="KM47" s="354"/>
      <c r="KN47" s="354" t="s">
        <v>40</v>
      </c>
      <c r="KO47" s="985">
        <v>19</v>
      </c>
      <c r="KP47" s="985">
        <v>29</v>
      </c>
      <c r="KQ47" s="985" t="s">
        <v>315</v>
      </c>
      <c r="KR47" s="985">
        <v>9</v>
      </c>
      <c r="KS47" s="985">
        <v>25</v>
      </c>
      <c r="KT47" s="985">
        <v>0</v>
      </c>
      <c r="KU47" s="985" t="s">
        <v>315</v>
      </c>
      <c r="KV47" s="985" t="s">
        <v>315</v>
      </c>
      <c r="KW47" s="985">
        <v>29</v>
      </c>
      <c r="KX47" s="985">
        <v>2</v>
      </c>
      <c r="KY47" s="985">
        <v>62</v>
      </c>
      <c r="KZ47" s="985" t="s">
        <v>315</v>
      </c>
      <c r="LA47" s="985">
        <v>175</v>
      </c>
      <c r="LB47" s="985">
        <f t="shared" si="2"/>
        <v>27</v>
      </c>
      <c r="LC47" s="986">
        <f t="shared" si="3"/>
        <v>0.15428571428571428</v>
      </c>
      <c r="LD47" s="42"/>
      <c r="LE47" s="42"/>
    </row>
    <row r="48" spans="1:317">
      <c r="A48" s="6291">
        <v>2</v>
      </c>
      <c r="B48" s="6291">
        <v>3</v>
      </c>
      <c r="C48" s="6291">
        <v>55</v>
      </c>
      <c r="D48" s="6292">
        <v>365</v>
      </c>
      <c r="E48" s="6291">
        <v>3</v>
      </c>
      <c r="F48" s="6291">
        <v>81</v>
      </c>
      <c r="G48" s="6291">
        <v>29</v>
      </c>
      <c r="H48" s="6291">
        <v>10</v>
      </c>
      <c r="I48" s="6293"/>
      <c r="J48" s="6293"/>
      <c r="K48" s="6291">
        <v>38</v>
      </c>
      <c r="L48" s="6293"/>
      <c r="M48" s="6291">
        <v>30</v>
      </c>
      <c r="N48" s="6291">
        <v>19</v>
      </c>
      <c r="O48" s="6293"/>
      <c r="P48" s="6291">
        <v>155</v>
      </c>
      <c r="Q48" s="6294">
        <f t="shared" si="4"/>
        <v>0.61095890410958908</v>
      </c>
      <c r="S48" s="6295">
        <v>2</v>
      </c>
      <c r="T48" s="6295">
        <v>2</v>
      </c>
      <c r="U48" s="6295">
        <v>46</v>
      </c>
      <c r="V48" s="6295">
        <v>1195</v>
      </c>
      <c r="W48" s="6295">
        <v>26</v>
      </c>
      <c r="X48" s="6295">
        <v>169</v>
      </c>
      <c r="Y48" s="6295">
        <v>175</v>
      </c>
      <c r="Z48" s="6295">
        <v>28</v>
      </c>
      <c r="AA48" s="6296"/>
      <c r="AB48" s="6295">
        <v>8</v>
      </c>
      <c r="AC48" s="6295">
        <v>106</v>
      </c>
      <c r="AD48" s="6296"/>
      <c r="AE48" s="6295">
        <v>92</v>
      </c>
      <c r="AF48" s="6295">
        <v>186</v>
      </c>
      <c r="AG48" s="6296"/>
      <c r="AH48" s="6295">
        <v>405</v>
      </c>
      <c r="AI48" s="6294">
        <f t="shared" si="5"/>
        <v>0.50460251046025106</v>
      </c>
      <c r="AJ48" s="6295"/>
      <c r="AK48" s="6297">
        <v>2</v>
      </c>
      <c r="AL48" s="6297">
        <v>2</v>
      </c>
      <c r="AM48" s="6297">
        <v>46</v>
      </c>
      <c r="AN48" s="6298">
        <v>1195</v>
      </c>
      <c r="AO48" s="6297">
        <v>35</v>
      </c>
      <c r="AP48" s="6297">
        <v>169</v>
      </c>
      <c r="AQ48" s="6297">
        <v>175</v>
      </c>
      <c r="AR48" s="6297">
        <v>27</v>
      </c>
      <c r="AS48" s="6299"/>
      <c r="AT48" s="6297">
        <v>8</v>
      </c>
      <c r="AU48" s="6297">
        <v>1</v>
      </c>
      <c r="AV48" s="6297">
        <v>109</v>
      </c>
      <c r="AW48" s="6297">
        <v>99</v>
      </c>
      <c r="AX48" s="6299"/>
      <c r="AY48" s="6297">
        <v>186</v>
      </c>
      <c r="AZ48" s="6299"/>
      <c r="BA48" s="6299"/>
      <c r="BB48" s="6297">
        <v>386</v>
      </c>
      <c r="BC48" s="6300">
        <f t="shared" si="6"/>
        <v>0.49748743718592964</v>
      </c>
      <c r="BE48" s="6313">
        <v>2</v>
      </c>
      <c r="BF48" s="6313">
        <v>2</v>
      </c>
      <c r="BG48" s="6313">
        <v>46</v>
      </c>
      <c r="BH48" s="4405" t="s">
        <v>39</v>
      </c>
      <c r="BI48" s="6314">
        <v>1202</v>
      </c>
      <c r="BJ48" s="6313">
        <v>30</v>
      </c>
      <c r="BK48" s="6313">
        <v>218</v>
      </c>
      <c r="BL48" s="6313">
        <v>202</v>
      </c>
      <c r="BM48" s="6313">
        <v>24</v>
      </c>
      <c r="BN48" s="6303"/>
      <c r="BO48" s="6313">
        <v>7</v>
      </c>
      <c r="BP48" s="6303"/>
      <c r="BQ48" s="6313">
        <v>98</v>
      </c>
      <c r="BR48" s="6303"/>
      <c r="BS48" s="6313">
        <v>90</v>
      </c>
      <c r="BT48" s="6313">
        <v>134</v>
      </c>
      <c r="BU48" s="6303"/>
      <c r="BV48" s="6303"/>
      <c r="BW48" s="6313">
        <v>399</v>
      </c>
      <c r="BX48" s="6300">
        <f t="shared" si="16"/>
        <v>0.48835274542429286</v>
      </c>
      <c r="BZ48" s="4388"/>
      <c r="CA48" s="4388"/>
      <c r="CB48" s="4388" t="s">
        <v>39</v>
      </c>
      <c r="CC48" s="4231">
        <v>187</v>
      </c>
      <c r="CD48" s="4231">
        <v>128</v>
      </c>
      <c r="CE48" s="4231">
        <v>0</v>
      </c>
      <c r="CF48" s="4231">
        <v>23</v>
      </c>
      <c r="CG48" s="4231">
        <v>390</v>
      </c>
      <c r="CH48" s="4231">
        <v>86</v>
      </c>
      <c r="CI48" s="4231">
        <v>7</v>
      </c>
      <c r="CJ48" s="4231"/>
      <c r="CK48" s="4231">
        <v>0</v>
      </c>
      <c r="CL48" s="4231">
        <v>63</v>
      </c>
      <c r="CM48" s="4231">
        <v>110</v>
      </c>
      <c r="CN48" s="4231"/>
      <c r="CO48" s="4231">
        <v>227</v>
      </c>
      <c r="CP48" s="4231">
        <v>0</v>
      </c>
      <c r="CQ48" s="4231">
        <v>1221</v>
      </c>
      <c r="CR48" s="6304">
        <f t="shared" si="7"/>
        <v>0.47993447993447991</v>
      </c>
      <c r="CS48" s="4238">
        <f t="shared" si="8"/>
        <v>19</v>
      </c>
      <c r="CT48" s="6305">
        <v>1202</v>
      </c>
      <c r="CU48" s="6316"/>
      <c r="CX48" s="42" t="s">
        <v>40</v>
      </c>
      <c r="CY48" s="42">
        <v>27</v>
      </c>
      <c r="CZ48" s="42">
        <v>43</v>
      </c>
      <c r="DB48" s="42">
        <v>7</v>
      </c>
      <c r="DC48" s="42">
        <v>51</v>
      </c>
      <c r="DD48" s="42">
        <v>1</v>
      </c>
      <c r="DE48" s="42">
        <v>36</v>
      </c>
      <c r="DF48" s="42">
        <v>0</v>
      </c>
      <c r="DG48" s="42">
        <v>0</v>
      </c>
      <c r="DH48" s="42">
        <v>37</v>
      </c>
      <c r="DI48" s="42">
        <v>6</v>
      </c>
      <c r="DK48" s="42">
        <v>48</v>
      </c>
      <c r="DL48" s="42">
        <v>0</v>
      </c>
      <c r="DM48" s="893">
        <v>256</v>
      </c>
      <c r="DN48" s="6306">
        <f t="shared" si="17"/>
        <v>0.2265625</v>
      </c>
      <c r="DP48" s="4263"/>
      <c r="DQ48" s="4263"/>
      <c r="DR48" s="4258" t="s">
        <v>40</v>
      </c>
      <c r="DS48" s="4263">
        <v>50</v>
      </c>
      <c r="DT48" s="4263">
        <v>61</v>
      </c>
      <c r="DU48" s="4263"/>
      <c r="DV48" s="4263">
        <v>8</v>
      </c>
      <c r="DW48" s="4263">
        <v>36</v>
      </c>
      <c r="DX48" s="4263">
        <v>8</v>
      </c>
      <c r="DY48" s="4263">
        <v>1</v>
      </c>
      <c r="DZ48" s="4263">
        <v>0</v>
      </c>
      <c r="EA48" s="4263">
        <v>0</v>
      </c>
      <c r="EB48" s="4263">
        <v>41</v>
      </c>
      <c r="EC48" s="4263">
        <v>2</v>
      </c>
      <c r="ED48" s="4263"/>
      <c r="EE48" s="4263">
        <v>51</v>
      </c>
      <c r="EF48" s="4263">
        <v>0</v>
      </c>
      <c r="EG48" s="4263">
        <v>258</v>
      </c>
      <c r="EH48" s="6307">
        <f t="shared" si="9"/>
        <v>0.17829457364341086</v>
      </c>
      <c r="EL48" s="42" t="s">
        <v>40</v>
      </c>
      <c r="EM48" s="97">
        <v>48</v>
      </c>
      <c r="EN48" s="97">
        <v>53</v>
      </c>
      <c r="EO48" s="97"/>
      <c r="EP48" s="97">
        <v>1</v>
      </c>
      <c r="EQ48" s="97">
        <v>39</v>
      </c>
      <c r="ER48" s="97">
        <v>4</v>
      </c>
      <c r="ES48" s="97">
        <v>23</v>
      </c>
      <c r="ET48" s="97"/>
      <c r="EU48" s="97">
        <v>0</v>
      </c>
      <c r="EV48" s="97">
        <v>38</v>
      </c>
      <c r="EW48" s="97">
        <v>6</v>
      </c>
      <c r="EX48" s="97"/>
      <c r="EY48" s="97">
        <v>40</v>
      </c>
      <c r="EZ48" s="97">
        <v>0</v>
      </c>
      <c r="FA48" s="97">
        <v>252</v>
      </c>
      <c r="FB48" s="6315">
        <f t="shared" si="10"/>
        <v>0.19444444444444445</v>
      </c>
      <c r="FD48" s="42"/>
      <c r="FE48" s="42"/>
      <c r="FF48" s="42" t="s">
        <v>40</v>
      </c>
      <c r="FG48" s="97">
        <v>56</v>
      </c>
      <c r="FH48" s="97">
        <v>64</v>
      </c>
      <c r="FI48" s="97">
        <v>0</v>
      </c>
      <c r="FJ48" s="97">
        <v>4</v>
      </c>
      <c r="FK48" s="97">
        <v>32</v>
      </c>
      <c r="FL48" s="97">
        <v>7</v>
      </c>
      <c r="FM48" s="97">
        <v>23</v>
      </c>
      <c r="FN48" s="97"/>
      <c r="FO48" s="97">
        <v>0</v>
      </c>
      <c r="FP48" s="97">
        <v>35</v>
      </c>
      <c r="FQ48" s="97">
        <v>1</v>
      </c>
      <c r="FR48" s="97"/>
      <c r="FS48" s="97">
        <v>28</v>
      </c>
      <c r="FT48" s="97">
        <v>0</v>
      </c>
      <c r="FU48" s="97">
        <v>250</v>
      </c>
      <c r="FV48" s="6308">
        <f t="shared" si="0"/>
        <v>0.16</v>
      </c>
      <c r="FW48" s="6322"/>
      <c r="FX48" s="42"/>
      <c r="FY48" s="42"/>
      <c r="FZ48" s="42" t="s">
        <v>40</v>
      </c>
      <c r="GA48" s="97">
        <v>70</v>
      </c>
      <c r="GB48" s="97">
        <v>53</v>
      </c>
      <c r="GC48" s="97"/>
      <c r="GD48" s="97">
        <v>5</v>
      </c>
      <c r="GE48" s="97">
        <v>27</v>
      </c>
      <c r="GF48" s="97">
        <v>1</v>
      </c>
      <c r="GG48" s="97">
        <v>17</v>
      </c>
      <c r="GH48" s="97">
        <v>0</v>
      </c>
      <c r="GI48" s="97">
        <v>0</v>
      </c>
      <c r="GJ48" s="97">
        <v>29</v>
      </c>
      <c r="GK48" s="97">
        <v>6</v>
      </c>
      <c r="GL48" s="97"/>
      <c r="GM48" s="97">
        <v>31</v>
      </c>
      <c r="GN48" s="97">
        <v>1</v>
      </c>
      <c r="GO48" s="97">
        <v>240</v>
      </c>
      <c r="GP48" s="6308">
        <f t="shared" si="11"/>
        <v>0.14225941422594143</v>
      </c>
      <c r="GR48" s="6280"/>
      <c r="GS48" s="6280"/>
      <c r="GT48" s="6310" t="s">
        <v>40</v>
      </c>
      <c r="GU48" s="6311">
        <v>69</v>
      </c>
      <c r="GV48" s="6311">
        <v>34</v>
      </c>
      <c r="GW48" s="6312"/>
      <c r="GX48" s="6311">
        <v>6</v>
      </c>
      <c r="GY48" s="6311">
        <v>22</v>
      </c>
      <c r="GZ48" s="6311">
        <v>1</v>
      </c>
      <c r="HA48" s="6311">
        <v>20</v>
      </c>
      <c r="HB48" s="6312"/>
      <c r="HC48" s="6311">
        <v>0</v>
      </c>
      <c r="HD48" s="6311">
        <v>34</v>
      </c>
      <c r="HE48" s="6311">
        <v>8</v>
      </c>
      <c r="HF48" s="6312"/>
      <c r="HG48" s="6311">
        <v>34</v>
      </c>
      <c r="HH48" s="6311">
        <v>1</v>
      </c>
      <c r="HI48" s="6311">
        <v>229</v>
      </c>
      <c r="HJ48" s="467">
        <f t="shared" si="12"/>
        <v>0.13596491228070176</v>
      </c>
      <c r="HL48" s="967"/>
      <c r="HM48" s="967"/>
      <c r="HN48" s="977" t="s">
        <v>40</v>
      </c>
      <c r="HO48" s="978">
        <v>51</v>
      </c>
      <c r="HP48" s="978">
        <v>35</v>
      </c>
      <c r="HQ48" s="967"/>
      <c r="HR48" s="978">
        <v>15</v>
      </c>
      <c r="HS48" s="978">
        <v>27</v>
      </c>
      <c r="HT48" s="978">
        <v>0</v>
      </c>
      <c r="HU48" s="978">
        <v>21</v>
      </c>
      <c r="HV48" s="967"/>
      <c r="HW48" s="978">
        <v>0</v>
      </c>
      <c r="HX48" s="978">
        <v>40</v>
      </c>
      <c r="HY48" s="978">
        <v>5</v>
      </c>
      <c r="HZ48" s="978">
        <v>54</v>
      </c>
      <c r="IA48" s="967"/>
      <c r="IB48" s="978">
        <v>248</v>
      </c>
      <c r="IC48" s="467">
        <f t="shared" si="13"/>
        <v>0.12903225806451613</v>
      </c>
      <c r="IE48" s="577"/>
      <c r="IF48" s="577"/>
      <c r="IG48" s="979" t="s">
        <v>40</v>
      </c>
      <c r="IH48" s="980">
        <v>68</v>
      </c>
      <c r="II48" s="980">
        <v>24</v>
      </c>
      <c r="IJ48" s="980">
        <v>0</v>
      </c>
      <c r="IK48" s="980">
        <v>16</v>
      </c>
      <c r="IL48" s="980">
        <v>29</v>
      </c>
      <c r="IM48" s="980">
        <v>1</v>
      </c>
      <c r="IN48" s="980">
        <v>22</v>
      </c>
      <c r="IO48" s="577"/>
      <c r="IP48" s="980">
        <v>0</v>
      </c>
      <c r="IQ48" s="980">
        <v>18</v>
      </c>
      <c r="IR48" s="980">
        <v>5</v>
      </c>
      <c r="IS48" s="980">
        <v>60</v>
      </c>
      <c r="IT48" s="577"/>
      <c r="IU48" s="980">
        <v>243</v>
      </c>
      <c r="IV48" s="467">
        <f t="shared" si="14"/>
        <v>0.1440329218106996</v>
      </c>
      <c r="IX48" s="742"/>
      <c r="IY48" s="742"/>
      <c r="IZ48" s="973" t="s">
        <v>483</v>
      </c>
      <c r="JA48" s="992">
        <v>1230</v>
      </c>
      <c r="JB48" s="992">
        <v>684</v>
      </c>
      <c r="JC48" s="992">
        <v>0</v>
      </c>
      <c r="JD48" s="992">
        <v>395</v>
      </c>
      <c r="JE48" s="992">
        <v>2049</v>
      </c>
      <c r="JF48" s="992">
        <v>257</v>
      </c>
      <c r="JG48" s="992">
        <v>517</v>
      </c>
      <c r="JH48" s="992">
        <v>4</v>
      </c>
      <c r="JI48" s="992">
        <v>293</v>
      </c>
      <c r="JJ48" s="992">
        <v>232</v>
      </c>
      <c r="JK48" s="992">
        <v>1191</v>
      </c>
      <c r="JL48" s="992">
        <v>1724</v>
      </c>
      <c r="JM48" s="992">
        <v>0</v>
      </c>
      <c r="JN48" s="992">
        <v>32</v>
      </c>
      <c r="JO48" s="992">
        <v>8608</v>
      </c>
      <c r="JP48" s="993">
        <f t="shared" si="15"/>
        <v>0.34366960054163848</v>
      </c>
      <c r="JR48" s="97"/>
      <c r="JS48" s="97"/>
      <c r="JT48" s="42" t="s">
        <v>15</v>
      </c>
      <c r="JU48" s="42">
        <v>1110</v>
      </c>
      <c r="JV48" s="42">
        <v>700</v>
      </c>
      <c r="JW48" s="42"/>
      <c r="JX48" s="42">
        <v>390</v>
      </c>
      <c r="JY48" s="42">
        <v>1986</v>
      </c>
      <c r="JZ48" s="42">
        <v>241</v>
      </c>
      <c r="KA48" s="42">
        <v>454</v>
      </c>
      <c r="KB48" s="42">
        <v>4</v>
      </c>
      <c r="KC48" s="42">
        <v>278</v>
      </c>
      <c r="KD48" s="42">
        <v>195</v>
      </c>
      <c r="KE48" s="42">
        <v>1097</v>
      </c>
      <c r="KF48" s="42">
        <v>1774</v>
      </c>
      <c r="KG48" s="42"/>
      <c r="KH48" s="42">
        <v>30</v>
      </c>
      <c r="KI48" s="42">
        <v>8259</v>
      </c>
      <c r="KJ48" s="984">
        <f t="shared" si="1"/>
        <v>0.33959618620302862</v>
      </c>
      <c r="KK48" s="42"/>
      <c r="KL48" s="354"/>
      <c r="KM48" s="354"/>
      <c r="KN48" s="994" t="s">
        <v>15</v>
      </c>
      <c r="KO48" s="995">
        <v>817</v>
      </c>
      <c r="KP48" s="995">
        <v>728</v>
      </c>
      <c r="KQ48" s="995" t="s">
        <v>315</v>
      </c>
      <c r="KR48" s="995">
        <v>371</v>
      </c>
      <c r="KS48" s="995">
        <v>1893</v>
      </c>
      <c r="KT48" s="995">
        <v>243</v>
      </c>
      <c r="KU48" s="995">
        <v>535</v>
      </c>
      <c r="KV48" s="995" t="s">
        <v>315</v>
      </c>
      <c r="KW48" s="995">
        <v>350</v>
      </c>
      <c r="KX48" s="995">
        <v>238</v>
      </c>
      <c r="KY48" s="995">
        <v>1715</v>
      </c>
      <c r="KZ48" s="995" t="s">
        <v>315</v>
      </c>
      <c r="LA48" s="995">
        <v>6890</v>
      </c>
      <c r="LB48" s="995">
        <f t="shared" si="2"/>
        <v>2374</v>
      </c>
      <c r="LC48" s="996">
        <f t="shared" si="3"/>
        <v>0.34455732946298984</v>
      </c>
      <c r="LD48" s="42"/>
      <c r="LE48" s="42"/>
    </row>
    <row r="49" spans="1:317">
      <c r="A49" s="6291">
        <v>2</v>
      </c>
      <c r="B49" s="6291">
        <v>3</v>
      </c>
      <c r="C49" s="6291">
        <v>56</v>
      </c>
      <c r="D49" s="6292">
        <v>1125</v>
      </c>
      <c r="E49" s="6291">
        <v>25</v>
      </c>
      <c r="F49" s="6291">
        <v>236</v>
      </c>
      <c r="G49" s="6291">
        <v>246</v>
      </c>
      <c r="H49" s="6291">
        <v>44</v>
      </c>
      <c r="I49" s="6293"/>
      <c r="J49" s="6291">
        <v>9</v>
      </c>
      <c r="K49" s="6291">
        <v>99</v>
      </c>
      <c r="L49" s="6293"/>
      <c r="M49" s="6291">
        <v>47</v>
      </c>
      <c r="N49" s="6291">
        <v>70</v>
      </c>
      <c r="O49" s="6293"/>
      <c r="P49" s="6291">
        <v>349</v>
      </c>
      <c r="Q49" s="6294">
        <f t="shared" si="4"/>
        <v>0.44</v>
      </c>
      <c r="S49" s="6295">
        <v>2</v>
      </c>
      <c r="T49" s="6295">
        <v>2</v>
      </c>
      <c r="U49" s="6295">
        <v>121</v>
      </c>
      <c r="V49" s="6295">
        <v>267</v>
      </c>
      <c r="W49" s="6295">
        <v>27</v>
      </c>
      <c r="X49" s="6295">
        <v>48</v>
      </c>
      <c r="Y49" s="6295">
        <v>59</v>
      </c>
      <c r="Z49" s="6295">
        <v>12</v>
      </c>
      <c r="AA49" s="6296"/>
      <c r="AB49" s="6296"/>
      <c r="AC49" s="6295">
        <v>5</v>
      </c>
      <c r="AD49" s="6296"/>
      <c r="AE49" s="6295">
        <v>9</v>
      </c>
      <c r="AF49" s="6295">
        <v>66</v>
      </c>
      <c r="AG49" s="6296"/>
      <c r="AH49" s="6295">
        <v>41</v>
      </c>
      <c r="AI49" s="6294">
        <f t="shared" si="5"/>
        <v>0.20599250936329588</v>
      </c>
      <c r="AJ49" s="6295"/>
      <c r="AK49" s="6297">
        <v>2</v>
      </c>
      <c r="AL49" s="6297">
        <v>2</v>
      </c>
      <c r="AM49" s="6297">
        <v>121</v>
      </c>
      <c r="AN49" s="6298">
        <v>267</v>
      </c>
      <c r="AO49" s="6297">
        <v>27</v>
      </c>
      <c r="AP49" s="6297">
        <v>49</v>
      </c>
      <c r="AQ49" s="6297">
        <v>69</v>
      </c>
      <c r="AR49" s="6297">
        <v>12</v>
      </c>
      <c r="AS49" s="6299"/>
      <c r="AT49" s="6299"/>
      <c r="AU49" s="6299"/>
      <c r="AV49" s="6297">
        <v>4</v>
      </c>
      <c r="AW49" s="6297">
        <v>8</v>
      </c>
      <c r="AX49" s="6299"/>
      <c r="AY49" s="6297">
        <v>57</v>
      </c>
      <c r="AZ49" s="6299"/>
      <c r="BA49" s="6299"/>
      <c r="BB49" s="6297">
        <v>41</v>
      </c>
      <c r="BC49" s="6300">
        <f t="shared" si="6"/>
        <v>0.19850187265917604</v>
      </c>
      <c r="BE49" s="6313">
        <v>2</v>
      </c>
      <c r="BF49" s="6313">
        <v>2</v>
      </c>
      <c r="BG49" s="6313">
        <v>121</v>
      </c>
      <c r="BH49" s="4405" t="s">
        <v>40</v>
      </c>
      <c r="BI49" s="6314">
        <v>263</v>
      </c>
      <c r="BJ49" s="6313">
        <v>22</v>
      </c>
      <c r="BK49" s="6313">
        <v>55</v>
      </c>
      <c r="BL49" s="6313">
        <v>62</v>
      </c>
      <c r="BM49" s="6313">
        <v>9</v>
      </c>
      <c r="BN49" s="6303"/>
      <c r="BO49" s="6303"/>
      <c r="BP49" s="6303"/>
      <c r="BQ49" s="6313">
        <v>7</v>
      </c>
      <c r="BR49" s="6303"/>
      <c r="BS49" s="6313">
        <v>18</v>
      </c>
      <c r="BT49" s="6313">
        <v>54</v>
      </c>
      <c r="BU49" s="6303"/>
      <c r="BV49" s="6303"/>
      <c r="BW49" s="6313">
        <v>36</v>
      </c>
      <c r="BX49" s="6300">
        <f t="shared" si="16"/>
        <v>0.23193916349809887</v>
      </c>
      <c r="BZ49" s="4388"/>
      <c r="CA49" s="4388"/>
      <c r="CB49" s="4388" t="s">
        <v>40</v>
      </c>
      <c r="CC49" s="4231">
        <v>66</v>
      </c>
      <c r="CD49" s="4231">
        <v>52</v>
      </c>
      <c r="CE49" s="4231">
        <v>0</v>
      </c>
      <c r="CF49" s="4231">
        <v>8</v>
      </c>
      <c r="CG49" s="4231">
        <v>36</v>
      </c>
      <c r="CH49" s="4231">
        <v>12</v>
      </c>
      <c r="CI49" s="4231">
        <v>0</v>
      </c>
      <c r="CJ49" s="4231"/>
      <c r="CK49" s="4231">
        <v>0</v>
      </c>
      <c r="CL49" s="4231">
        <v>30</v>
      </c>
      <c r="CM49" s="4231">
        <v>3</v>
      </c>
      <c r="CN49" s="4231"/>
      <c r="CO49" s="4231">
        <v>57</v>
      </c>
      <c r="CP49" s="4231">
        <v>0</v>
      </c>
      <c r="CQ49" s="4231">
        <v>264</v>
      </c>
      <c r="CR49" s="6304">
        <f t="shared" si="7"/>
        <v>0.19318181818181818</v>
      </c>
      <c r="CS49" s="4238">
        <f t="shared" si="8"/>
        <v>1</v>
      </c>
      <c r="CT49" s="6305">
        <v>263</v>
      </c>
      <c r="CU49" s="6316"/>
      <c r="CX49" s="42" t="s">
        <v>15</v>
      </c>
      <c r="CY49" s="42">
        <v>556</v>
      </c>
      <c r="CZ49" s="42">
        <v>787</v>
      </c>
      <c r="DB49" s="42">
        <v>241</v>
      </c>
      <c r="DC49" s="42">
        <v>2833</v>
      </c>
      <c r="DD49" s="42">
        <v>253</v>
      </c>
      <c r="DE49" s="42">
        <v>902</v>
      </c>
      <c r="DF49" s="42">
        <v>2</v>
      </c>
      <c r="DG49" s="42">
        <v>3</v>
      </c>
      <c r="DH49" s="42">
        <v>477</v>
      </c>
      <c r="DI49" s="42">
        <v>204</v>
      </c>
      <c r="DK49" s="42">
        <v>1157</v>
      </c>
      <c r="DL49" s="42">
        <v>8</v>
      </c>
      <c r="DM49" s="893">
        <v>7423</v>
      </c>
      <c r="DN49" s="6306">
        <f t="shared" si="17"/>
        <v>0.44369521240728255</v>
      </c>
      <c r="DP49" s="4263"/>
      <c r="DQ49" s="4263"/>
      <c r="DR49" s="4257" t="s">
        <v>483</v>
      </c>
      <c r="DS49" s="4266">
        <v>1130</v>
      </c>
      <c r="DT49" s="4266">
        <v>1156</v>
      </c>
      <c r="DU49" s="4266"/>
      <c r="DV49" s="4266">
        <v>228</v>
      </c>
      <c r="DW49" s="4266">
        <v>2012</v>
      </c>
      <c r="DX49" s="4266">
        <v>421</v>
      </c>
      <c r="DY49" s="4266">
        <v>151</v>
      </c>
      <c r="DZ49" s="4266">
        <v>2</v>
      </c>
      <c r="EA49" s="4266">
        <v>4</v>
      </c>
      <c r="EB49" s="4266">
        <v>460</v>
      </c>
      <c r="EC49" s="4266">
        <v>297</v>
      </c>
      <c r="ED49" s="4266"/>
      <c r="EE49" s="4266">
        <v>1421</v>
      </c>
      <c r="EF49" s="4266">
        <v>8</v>
      </c>
      <c r="EG49" s="4266">
        <v>7290</v>
      </c>
      <c r="EH49" s="6321">
        <f t="shared" si="9"/>
        <v>0.37489700631694589</v>
      </c>
      <c r="EL49" s="893" t="s">
        <v>483</v>
      </c>
      <c r="EM49" s="135">
        <v>1098</v>
      </c>
      <c r="EN49" s="135">
        <v>912</v>
      </c>
      <c r="EO49" s="135"/>
      <c r="EP49" s="135">
        <v>19</v>
      </c>
      <c r="EQ49" s="135">
        <v>2407</v>
      </c>
      <c r="ER49" s="135">
        <v>258</v>
      </c>
      <c r="ES49" s="135">
        <v>509</v>
      </c>
      <c r="ET49" s="135"/>
      <c r="EU49" s="135">
        <v>1</v>
      </c>
      <c r="EV49" s="135">
        <v>462</v>
      </c>
      <c r="EW49" s="135">
        <v>279</v>
      </c>
      <c r="EX49" s="135"/>
      <c r="EY49" s="135">
        <v>1247</v>
      </c>
      <c r="EZ49" s="135">
        <v>2</v>
      </c>
      <c r="FA49" s="135">
        <v>7194</v>
      </c>
      <c r="FB49" s="6315">
        <f t="shared" si="10"/>
        <v>0.40934371523915464</v>
      </c>
      <c r="FD49" s="42"/>
      <c r="FE49" s="42"/>
      <c r="FF49" s="893" t="s">
        <v>483</v>
      </c>
      <c r="FG49" s="135">
        <v>1065</v>
      </c>
      <c r="FH49" s="135">
        <v>1030</v>
      </c>
      <c r="FI49" s="135">
        <v>2</v>
      </c>
      <c r="FJ49" s="135">
        <v>222</v>
      </c>
      <c r="FK49" s="135">
        <v>2344</v>
      </c>
      <c r="FL49" s="135">
        <v>322</v>
      </c>
      <c r="FM49" s="135">
        <v>566</v>
      </c>
      <c r="FN49" s="135"/>
      <c r="FO49" s="135">
        <v>2</v>
      </c>
      <c r="FP49" s="135">
        <v>460</v>
      </c>
      <c r="FQ49" s="135">
        <v>352</v>
      </c>
      <c r="FR49" s="135"/>
      <c r="FS49" s="135">
        <v>1143</v>
      </c>
      <c r="FT49" s="135">
        <v>8</v>
      </c>
      <c r="FU49" s="135">
        <v>7516</v>
      </c>
      <c r="FV49" s="5723">
        <f t="shared" si="0"/>
        <v>0.40197123068726692</v>
      </c>
      <c r="FW49" s="5717"/>
      <c r="FX49" s="42"/>
      <c r="FY49" s="42"/>
      <c r="FZ49" s="893" t="s">
        <v>483</v>
      </c>
      <c r="GA49" s="135">
        <v>1061</v>
      </c>
      <c r="GB49" s="135">
        <v>1028</v>
      </c>
      <c r="GC49" s="135"/>
      <c r="GD49" s="135">
        <v>226</v>
      </c>
      <c r="GE49" s="135">
        <v>2385</v>
      </c>
      <c r="GF49" s="135">
        <v>242</v>
      </c>
      <c r="GG49" s="135">
        <v>465</v>
      </c>
      <c r="GH49" s="135">
        <v>12</v>
      </c>
      <c r="GI49" s="135">
        <v>2</v>
      </c>
      <c r="GJ49" s="135">
        <v>475</v>
      </c>
      <c r="GK49" s="135">
        <v>322</v>
      </c>
      <c r="GL49" s="135"/>
      <c r="GM49" s="135">
        <v>1117</v>
      </c>
      <c r="GN49" s="135">
        <v>8</v>
      </c>
      <c r="GO49" s="135">
        <v>7343</v>
      </c>
      <c r="GP49" s="5723">
        <f t="shared" si="11"/>
        <v>0.4020449897750511</v>
      </c>
      <c r="GR49" s="6280"/>
      <c r="GS49" s="6280"/>
      <c r="GT49" s="1179" t="s">
        <v>483</v>
      </c>
      <c r="GU49" s="1180">
        <v>1096</v>
      </c>
      <c r="GV49" s="1180">
        <v>858</v>
      </c>
      <c r="GW49" s="1181"/>
      <c r="GX49" s="1180">
        <v>218</v>
      </c>
      <c r="GY49" s="1180">
        <v>2410</v>
      </c>
      <c r="GZ49" s="1180">
        <v>202</v>
      </c>
      <c r="HA49" s="1180">
        <v>491</v>
      </c>
      <c r="HB49" s="1181"/>
      <c r="HC49" s="1180">
        <v>4</v>
      </c>
      <c r="HD49" s="1180">
        <v>464</v>
      </c>
      <c r="HE49" s="1180">
        <v>314</v>
      </c>
      <c r="HF49" s="1181"/>
      <c r="HG49" s="1180">
        <v>1212</v>
      </c>
      <c r="HH49" s="1180">
        <v>7</v>
      </c>
      <c r="HI49" s="1180">
        <v>7276</v>
      </c>
      <c r="HJ49" s="456">
        <f t="shared" si="12"/>
        <v>0.40253129728986103</v>
      </c>
      <c r="HL49" s="967"/>
      <c r="HM49" s="967"/>
      <c r="HN49" s="987" t="s">
        <v>483</v>
      </c>
      <c r="HO49" s="988">
        <v>1055</v>
      </c>
      <c r="HP49" s="988">
        <v>819</v>
      </c>
      <c r="HQ49" s="989"/>
      <c r="HR49" s="988">
        <v>330</v>
      </c>
      <c r="HS49" s="988">
        <v>2426</v>
      </c>
      <c r="HT49" s="988">
        <v>204</v>
      </c>
      <c r="HU49" s="988">
        <v>522</v>
      </c>
      <c r="HV49" s="989"/>
      <c r="HW49" s="988">
        <v>4</v>
      </c>
      <c r="HX49" s="988">
        <v>514</v>
      </c>
      <c r="HY49" s="988">
        <v>290</v>
      </c>
      <c r="HZ49" s="988">
        <v>1631</v>
      </c>
      <c r="IA49" s="988"/>
      <c r="IB49" s="988">
        <v>7795</v>
      </c>
      <c r="IC49" s="990">
        <f t="shared" si="13"/>
        <v>0.37459910198845414</v>
      </c>
      <c r="IE49" s="577"/>
      <c r="IF49" s="577"/>
      <c r="IG49" s="738" t="s">
        <v>483</v>
      </c>
      <c r="IH49" s="991">
        <v>1140</v>
      </c>
      <c r="II49" s="991">
        <v>854</v>
      </c>
      <c r="IJ49" s="991">
        <v>1</v>
      </c>
      <c r="IK49" s="991">
        <v>375</v>
      </c>
      <c r="IL49" s="991">
        <v>2212</v>
      </c>
      <c r="IM49" s="991">
        <v>323</v>
      </c>
      <c r="IN49" s="991">
        <v>473</v>
      </c>
      <c r="IO49" s="6261"/>
      <c r="IP49" s="991">
        <v>5</v>
      </c>
      <c r="IQ49" s="991">
        <v>345</v>
      </c>
      <c r="IR49" s="991">
        <v>248</v>
      </c>
      <c r="IS49" s="991">
        <v>1580</v>
      </c>
      <c r="IT49" s="6261"/>
      <c r="IU49" s="991">
        <v>7556</v>
      </c>
      <c r="IV49" s="456">
        <f t="shared" si="14"/>
        <v>0.36831656961355214</v>
      </c>
      <c r="IX49" s="742"/>
      <c r="IY49" s="742" t="s">
        <v>41</v>
      </c>
      <c r="IZ49" s="981" t="s">
        <v>42</v>
      </c>
      <c r="JA49" s="982">
        <v>191</v>
      </c>
      <c r="JB49" s="982">
        <v>47</v>
      </c>
      <c r="JC49" s="982">
        <v>0</v>
      </c>
      <c r="JD49" s="982">
        <v>65</v>
      </c>
      <c r="JE49" s="982">
        <v>207</v>
      </c>
      <c r="JF49" s="982">
        <v>22</v>
      </c>
      <c r="JG49" s="982">
        <v>45</v>
      </c>
      <c r="JH49" s="982">
        <v>0</v>
      </c>
      <c r="JI49" s="982">
        <v>18</v>
      </c>
      <c r="JJ49" s="982">
        <v>36</v>
      </c>
      <c r="JK49" s="982">
        <v>165</v>
      </c>
      <c r="JL49" s="982">
        <v>165</v>
      </c>
      <c r="JM49" s="982">
        <v>0</v>
      </c>
      <c r="JN49" s="982">
        <v>2</v>
      </c>
      <c r="JO49" s="982">
        <v>963</v>
      </c>
      <c r="JP49" s="983">
        <f t="shared" si="15"/>
        <v>0.33291457286432163</v>
      </c>
      <c r="JR49" s="97"/>
      <c r="JS49" s="97" t="s">
        <v>41</v>
      </c>
      <c r="JT49" s="42" t="s">
        <v>42</v>
      </c>
      <c r="JU49" s="42">
        <v>165</v>
      </c>
      <c r="JV49" s="42">
        <v>47</v>
      </c>
      <c r="JW49" s="42"/>
      <c r="JX49" s="42">
        <v>57</v>
      </c>
      <c r="JY49" s="42">
        <v>210</v>
      </c>
      <c r="JZ49" s="42">
        <v>17</v>
      </c>
      <c r="KA49" s="42">
        <v>71</v>
      </c>
      <c r="KB49" s="42"/>
      <c r="KC49" s="42">
        <v>22</v>
      </c>
      <c r="KD49" s="42">
        <v>22</v>
      </c>
      <c r="KE49" s="42">
        <v>159</v>
      </c>
      <c r="KF49" s="42">
        <v>158</v>
      </c>
      <c r="KG49" s="42"/>
      <c r="KH49" s="42">
        <v>3</v>
      </c>
      <c r="KI49" s="42">
        <v>931</v>
      </c>
      <c r="KJ49" s="984">
        <f t="shared" si="1"/>
        <v>0.32379713914174252</v>
      </c>
      <c r="KK49" s="42"/>
      <c r="KL49" s="354"/>
      <c r="KM49" s="354" t="s">
        <v>41</v>
      </c>
      <c r="KN49" s="354" t="s">
        <v>42</v>
      </c>
      <c r="KO49" s="985">
        <v>136</v>
      </c>
      <c r="KP49" s="985">
        <v>43</v>
      </c>
      <c r="KQ49" s="985" t="s">
        <v>315</v>
      </c>
      <c r="KR49" s="985">
        <v>50</v>
      </c>
      <c r="KS49" s="985">
        <v>198</v>
      </c>
      <c r="KT49" s="985">
        <v>19</v>
      </c>
      <c r="KU49" s="985">
        <v>42</v>
      </c>
      <c r="KV49" s="985" t="s">
        <v>315</v>
      </c>
      <c r="KW49" s="985">
        <v>18</v>
      </c>
      <c r="KX49" s="985">
        <v>32</v>
      </c>
      <c r="KY49" s="985">
        <v>175</v>
      </c>
      <c r="KZ49" s="985" t="s">
        <v>315</v>
      </c>
      <c r="LA49" s="985">
        <v>713</v>
      </c>
      <c r="LB49" s="985">
        <f t="shared" si="2"/>
        <v>249</v>
      </c>
      <c r="LC49" s="986">
        <f t="shared" si="3"/>
        <v>0.34922861150070128</v>
      </c>
      <c r="LD49" s="42"/>
      <c r="LE49" s="42"/>
    </row>
    <row r="50" spans="1:317">
      <c r="A50" s="6291">
        <v>2</v>
      </c>
      <c r="B50" s="6291">
        <v>3</v>
      </c>
      <c r="C50" s="6291">
        <v>57</v>
      </c>
      <c r="D50" s="6292">
        <v>1034</v>
      </c>
      <c r="E50" s="6291">
        <v>25</v>
      </c>
      <c r="F50" s="6291">
        <v>271</v>
      </c>
      <c r="G50" s="6291">
        <v>221</v>
      </c>
      <c r="H50" s="6291">
        <v>58</v>
      </c>
      <c r="I50" s="6293"/>
      <c r="J50" s="6291">
        <v>5</v>
      </c>
      <c r="K50" s="6291">
        <v>103</v>
      </c>
      <c r="L50" s="6293"/>
      <c r="M50" s="6291">
        <v>66</v>
      </c>
      <c r="N50" s="6291">
        <v>68</v>
      </c>
      <c r="O50" s="6293"/>
      <c r="P50" s="6291">
        <v>217</v>
      </c>
      <c r="Q50" s="6294">
        <f t="shared" si="4"/>
        <v>0.37330754352030948</v>
      </c>
      <c r="S50" s="6295"/>
      <c r="T50" s="6295"/>
      <c r="U50" s="6317"/>
      <c r="V50" s="6317">
        <f>SUM(V39:V49)</f>
        <v>7166</v>
      </c>
      <c r="W50" s="6317">
        <f t="shared" ref="W50:AH50" si="33">SUM(W39:W49)</f>
        <v>318</v>
      </c>
      <c r="X50" s="6317">
        <f t="shared" si="33"/>
        <v>1067</v>
      </c>
      <c r="Y50" s="6317">
        <f t="shared" si="33"/>
        <v>1301</v>
      </c>
      <c r="Z50" s="6317">
        <f t="shared" si="33"/>
        <v>253</v>
      </c>
      <c r="AA50" s="6317">
        <f t="shared" si="33"/>
        <v>3</v>
      </c>
      <c r="AB50" s="6317">
        <f t="shared" si="33"/>
        <v>62</v>
      </c>
      <c r="AC50" s="6317">
        <f t="shared" si="33"/>
        <v>396</v>
      </c>
      <c r="AD50" s="6317">
        <f t="shared" si="33"/>
        <v>1</v>
      </c>
      <c r="AE50" s="6317">
        <f t="shared" si="33"/>
        <v>391</v>
      </c>
      <c r="AF50" s="6317">
        <f t="shared" si="33"/>
        <v>1368</v>
      </c>
      <c r="AG50" s="6317">
        <f t="shared" si="33"/>
        <v>1</v>
      </c>
      <c r="AH50" s="6317">
        <f t="shared" si="33"/>
        <v>2005</v>
      </c>
      <c r="AI50" s="6294">
        <f t="shared" si="5"/>
        <v>0.38961763885012557</v>
      </c>
      <c r="AJ50" s="6295"/>
      <c r="AK50" s="6297"/>
      <c r="AL50" s="6297"/>
      <c r="AM50" s="6297"/>
      <c r="AN50" s="6298">
        <f>SUM(AN39:AN49)</f>
        <v>7174</v>
      </c>
      <c r="AO50" s="6298">
        <f t="shared" ref="AO50:BB50" si="34">SUM(AO39:AO49)</f>
        <v>358</v>
      </c>
      <c r="AP50" s="6298">
        <f t="shared" si="34"/>
        <v>1070</v>
      </c>
      <c r="AQ50" s="6298">
        <f t="shared" si="34"/>
        <v>1446</v>
      </c>
      <c r="AR50" s="6298">
        <f t="shared" si="34"/>
        <v>251</v>
      </c>
      <c r="AS50" s="6298">
        <f t="shared" si="34"/>
        <v>3</v>
      </c>
      <c r="AT50" s="6298">
        <f t="shared" si="34"/>
        <v>62</v>
      </c>
      <c r="AU50" s="6298">
        <f t="shared" si="34"/>
        <v>9</v>
      </c>
      <c r="AV50" s="6298">
        <f t="shared" si="34"/>
        <v>326</v>
      </c>
      <c r="AW50" s="6298">
        <f t="shared" si="34"/>
        <v>389</v>
      </c>
      <c r="AX50" s="6298">
        <f t="shared" si="34"/>
        <v>0</v>
      </c>
      <c r="AY50" s="6298">
        <f t="shared" si="34"/>
        <v>1317</v>
      </c>
      <c r="AZ50" s="6298">
        <f t="shared" si="34"/>
        <v>0</v>
      </c>
      <c r="BA50" s="6298">
        <f t="shared" si="34"/>
        <v>2</v>
      </c>
      <c r="BB50" s="6298">
        <f t="shared" si="34"/>
        <v>1941</v>
      </c>
      <c r="BC50" s="6318">
        <f t="shared" si="6"/>
        <v>0.37069085833914867</v>
      </c>
      <c r="BE50" s="6313"/>
      <c r="BF50" s="6313"/>
      <c r="BG50" s="6313"/>
      <c r="BH50" s="6319" t="s">
        <v>483</v>
      </c>
      <c r="BI50" s="6314">
        <f>SUM(BI39:BI49)</f>
        <v>7208</v>
      </c>
      <c r="BJ50" s="6314">
        <f t="shared" ref="BJ50:BW50" si="35">SUM(BJ39:BJ49)</f>
        <v>329</v>
      </c>
      <c r="BK50" s="6314">
        <f t="shared" si="35"/>
        <v>1379</v>
      </c>
      <c r="BL50" s="6314">
        <f t="shared" si="35"/>
        <v>1209</v>
      </c>
      <c r="BM50" s="6314">
        <f t="shared" si="35"/>
        <v>242</v>
      </c>
      <c r="BN50" s="6314">
        <f t="shared" si="35"/>
        <v>3</v>
      </c>
      <c r="BO50" s="6314">
        <f t="shared" si="35"/>
        <v>69</v>
      </c>
      <c r="BP50" s="6314">
        <f t="shared" si="35"/>
        <v>8</v>
      </c>
      <c r="BQ50" s="6314">
        <f t="shared" si="35"/>
        <v>391</v>
      </c>
      <c r="BR50" s="6314">
        <f t="shared" si="35"/>
        <v>0</v>
      </c>
      <c r="BS50" s="6314">
        <f t="shared" si="35"/>
        <v>502</v>
      </c>
      <c r="BT50" s="6314">
        <f t="shared" si="35"/>
        <v>1160</v>
      </c>
      <c r="BU50" s="6314">
        <f t="shared" si="35"/>
        <v>0</v>
      </c>
      <c r="BV50" s="6314">
        <f t="shared" si="35"/>
        <v>2</v>
      </c>
      <c r="BW50" s="6314">
        <f t="shared" si="35"/>
        <v>1914</v>
      </c>
      <c r="BX50" s="6300">
        <f t="shared" si="16"/>
        <v>0.3898611111111111</v>
      </c>
      <c r="BZ50" s="4388"/>
      <c r="CA50" s="4388"/>
      <c r="CB50" s="6276" t="s">
        <v>483</v>
      </c>
      <c r="CC50" s="6320">
        <v>1312</v>
      </c>
      <c r="CD50" s="6320">
        <v>1107</v>
      </c>
      <c r="CE50" s="6320">
        <v>1</v>
      </c>
      <c r="CF50" s="6320">
        <v>237</v>
      </c>
      <c r="CG50" s="6320">
        <v>1873</v>
      </c>
      <c r="CH50" s="6320">
        <v>395</v>
      </c>
      <c r="CI50" s="6320">
        <v>71</v>
      </c>
      <c r="CJ50" s="6320"/>
      <c r="CK50" s="6320">
        <v>3</v>
      </c>
      <c r="CL50" s="6320">
        <v>454</v>
      </c>
      <c r="CM50" s="6320">
        <v>411</v>
      </c>
      <c r="CN50" s="6320"/>
      <c r="CO50" s="6320">
        <v>1435</v>
      </c>
      <c r="CP50" s="6320">
        <v>8</v>
      </c>
      <c r="CQ50" s="6320">
        <v>7307</v>
      </c>
      <c r="CR50" s="6304">
        <f t="shared" si="7"/>
        <v>0.36703658035347309</v>
      </c>
      <c r="CS50" s="4238"/>
      <c r="CT50" s="6305"/>
      <c r="CU50" s="6316"/>
      <c r="CW50" s="97" t="s">
        <v>41</v>
      </c>
      <c r="CX50" s="42" t="s">
        <v>42</v>
      </c>
      <c r="CY50" s="42">
        <v>115</v>
      </c>
      <c r="CZ50" s="42">
        <v>60</v>
      </c>
      <c r="DB50" s="42">
        <v>43</v>
      </c>
      <c r="DC50" s="42">
        <v>420</v>
      </c>
      <c r="DD50" s="42">
        <v>64</v>
      </c>
      <c r="DE50" s="42">
        <v>83</v>
      </c>
      <c r="DH50" s="42">
        <v>18</v>
      </c>
      <c r="DI50" s="42">
        <v>65</v>
      </c>
      <c r="DK50" s="42">
        <v>112</v>
      </c>
      <c r="DL50" s="42">
        <v>0</v>
      </c>
      <c r="DM50" s="893">
        <v>980</v>
      </c>
      <c r="DN50" s="6306">
        <f t="shared" si="17"/>
        <v>0.56020408163265301</v>
      </c>
      <c r="DP50" s="4263"/>
      <c r="DQ50" s="4263" t="s">
        <v>41</v>
      </c>
      <c r="DR50" s="4258" t="s">
        <v>42</v>
      </c>
      <c r="DS50" s="4263">
        <v>206</v>
      </c>
      <c r="DT50" s="4263">
        <v>85</v>
      </c>
      <c r="DU50" s="4263">
        <v>0</v>
      </c>
      <c r="DV50" s="4263">
        <v>35</v>
      </c>
      <c r="DW50" s="4263">
        <v>302</v>
      </c>
      <c r="DX50" s="4263">
        <v>80</v>
      </c>
      <c r="DY50" s="4263">
        <v>31</v>
      </c>
      <c r="DZ50" s="4263"/>
      <c r="EA50" s="4263"/>
      <c r="EB50" s="4263">
        <v>15</v>
      </c>
      <c r="EC50" s="4263">
        <v>81</v>
      </c>
      <c r="ED50" s="4263"/>
      <c r="EE50" s="4263">
        <v>131</v>
      </c>
      <c r="EF50" s="4263">
        <v>0</v>
      </c>
      <c r="EG50" s="4263">
        <v>966</v>
      </c>
      <c r="EH50" s="6307">
        <f t="shared" si="9"/>
        <v>0.47929606625258797</v>
      </c>
      <c r="EK50" s="42" t="s">
        <v>41</v>
      </c>
      <c r="EL50" s="42" t="s">
        <v>42</v>
      </c>
      <c r="EM50" s="97">
        <v>209</v>
      </c>
      <c r="EN50" s="97">
        <v>62</v>
      </c>
      <c r="EO50" s="97">
        <v>0</v>
      </c>
      <c r="EP50" s="97">
        <v>4</v>
      </c>
      <c r="EQ50" s="97">
        <v>337</v>
      </c>
      <c r="ER50" s="97">
        <v>62</v>
      </c>
      <c r="ES50" s="97">
        <v>45</v>
      </c>
      <c r="ET50" s="97"/>
      <c r="EU50" s="97"/>
      <c r="EV50" s="97">
        <v>24</v>
      </c>
      <c r="EW50" s="97">
        <v>71</v>
      </c>
      <c r="EX50" s="97"/>
      <c r="EY50" s="97">
        <v>129</v>
      </c>
      <c r="EZ50" s="97">
        <v>0</v>
      </c>
      <c r="FA50" s="97">
        <v>943</v>
      </c>
      <c r="FB50" s="6315">
        <f t="shared" si="10"/>
        <v>0.49840933191940617</v>
      </c>
      <c r="FD50" s="42"/>
      <c r="FE50" s="42" t="s">
        <v>41</v>
      </c>
      <c r="FF50" s="42" t="s">
        <v>42</v>
      </c>
      <c r="FG50" s="97">
        <v>213</v>
      </c>
      <c r="FH50" s="97">
        <v>81</v>
      </c>
      <c r="FI50" s="97"/>
      <c r="FJ50" s="97">
        <v>43</v>
      </c>
      <c r="FK50" s="97">
        <v>314</v>
      </c>
      <c r="FL50" s="97">
        <v>65</v>
      </c>
      <c r="FM50" s="97">
        <v>41</v>
      </c>
      <c r="FN50" s="97"/>
      <c r="FO50" s="97">
        <v>0</v>
      </c>
      <c r="FP50" s="97">
        <v>19</v>
      </c>
      <c r="FQ50" s="97">
        <v>86</v>
      </c>
      <c r="FR50" s="97"/>
      <c r="FS50" s="97">
        <v>124</v>
      </c>
      <c r="FT50" s="97">
        <v>0</v>
      </c>
      <c r="FU50" s="97">
        <v>986</v>
      </c>
      <c r="FV50" s="6308">
        <f t="shared" si="0"/>
        <v>0.47160243407707908</v>
      </c>
      <c r="FW50" s="6322"/>
      <c r="FX50" s="42"/>
      <c r="FY50" s="42" t="s">
        <v>41</v>
      </c>
      <c r="FZ50" s="42" t="s">
        <v>42</v>
      </c>
      <c r="GA50" s="97">
        <v>224</v>
      </c>
      <c r="GB50" s="97">
        <v>74</v>
      </c>
      <c r="GC50" s="97"/>
      <c r="GD50" s="97">
        <v>40</v>
      </c>
      <c r="GE50" s="97">
        <v>301</v>
      </c>
      <c r="GF50" s="97">
        <v>50</v>
      </c>
      <c r="GG50" s="97">
        <v>57</v>
      </c>
      <c r="GH50" s="97"/>
      <c r="GI50" s="97">
        <v>0</v>
      </c>
      <c r="GJ50" s="97">
        <v>19</v>
      </c>
      <c r="GK50" s="97">
        <v>93</v>
      </c>
      <c r="GL50" s="97"/>
      <c r="GM50" s="97">
        <v>113</v>
      </c>
      <c r="GN50" s="97">
        <v>0</v>
      </c>
      <c r="GO50" s="97">
        <v>971</v>
      </c>
      <c r="GP50" s="6308">
        <f t="shared" si="11"/>
        <v>0.45726055612770339</v>
      </c>
      <c r="GR50" s="6280"/>
      <c r="GS50" s="6280" t="s">
        <v>41</v>
      </c>
      <c r="GT50" s="6310" t="s">
        <v>42</v>
      </c>
      <c r="GU50" s="6311">
        <v>234</v>
      </c>
      <c r="GV50" s="6311">
        <v>66</v>
      </c>
      <c r="GW50" s="6312"/>
      <c r="GX50" s="6311">
        <v>45</v>
      </c>
      <c r="GY50" s="6311">
        <v>304</v>
      </c>
      <c r="GZ50" s="6311">
        <v>28</v>
      </c>
      <c r="HA50" s="6311">
        <v>37</v>
      </c>
      <c r="HB50" s="6312"/>
      <c r="HC50" s="6311">
        <v>0</v>
      </c>
      <c r="HD50" s="6311">
        <v>29</v>
      </c>
      <c r="HE50" s="6311">
        <v>76</v>
      </c>
      <c r="HF50" s="6312"/>
      <c r="HG50" s="6311">
        <v>138</v>
      </c>
      <c r="HH50" s="6311">
        <v>1</v>
      </c>
      <c r="HI50" s="6311">
        <v>958</v>
      </c>
      <c r="HJ50" s="467">
        <f t="shared" si="12"/>
        <v>0.42633228840125392</v>
      </c>
      <c r="HL50" s="967"/>
      <c r="HM50" s="967" t="s">
        <v>41</v>
      </c>
      <c r="HN50" s="977" t="s">
        <v>42</v>
      </c>
      <c r="HO50" s="978">
        <v>211</v>
      </c>
      <c r="HP50" s="978">
        <v>62</v>
      </c>
      <c r="HQ50" s="978">
        <v>0</v>
      </c>
      <c r="HR50" s="978">
        <v>67</v>
      </c>
      <c r="HS50" s="978">
        <v>286</v>
      </c>
      <c r="HT50" s="978">
        <v>15</v>
      </c>
      <c r="HU50" s="978">
        <v>41</v>
      </c>
      <c r="HV50" s="967"/>
      <c r="HW50" s="978">
        <v>0</v>
      </c>
      <c r="HX50" s="978">
        <v>36</v>
      </c>
      <c r="HY50" s="978">
        <v>58</v>
      </c>
      <c r="HZ50" s="978">
        <v>170</v>
      </c>
      <c r="IA50" s="967"/>
      <c r="IB50" s="978">
        <v>946</v>
      </c>
      <c r="IC50" s="467">
        <f t="shared" si="13"/>
        <v>0.379492600422833</v>
      </c>
      <c r="IE50" s="577"/>
      <c r="IF50" s="577" t="s">
        <v>41</v>
      </c>
      <c r="IG50" s="979" t="s">
        <v>42</v>
      </c>
      <c r="IH50" s="980">
        <v>226</v>
      </c>
      <c r="II50" s="980">
        <v>49</v>
      </c>
      <c r="IJ50" s="577"/>
      <c r="IK50" s="980">
        <v>67</v>
      </c>
      <c r="IL50" s="980">
        <v>225</v>
      </c>
      <c r="IM50" s="980">
        <v>32</v>
      </c>
      <c r="IN50" s="980">
        <v>45</v>
      </c>
      <c r="IO50" s="577"/>
      <c r="IP50" s="577"/>
      <c r="IQ50" s="980">
        <v>11</v>
      </c>
      <c r="IR50" s="980">
        <v>50</v>
      </c>
      <c r="IS50" s="980">
        <v>161</v>
      </c>
      <c r="IT50" s="577"/>
      <c r="IU50" s="980">
        <v>866</v>
      </c>
      <c r="IV50" s="467">
        <f t="shared" si="14"/>
        <v>0.35450346420323325</v>
      </c>
      <c r="IX50" s="742"/>
      <c r="IY50" s="742"/>
      <c r="IZ50" s="981" t="s">
        <v>43</v>
      </c>
      <c r="JA50" s="982">
        <v>162</v>
      </c>
      <c r="JB50" s="982">
        <v>38</v>
      </c>
      <c r="JC50" s="982">
        <v>0</v>
      </c>
      <c r="JD50" s="982">
        <v>61</v>
      </c>
      <c r="JE50" s="982">
        <v>216</v>
      </c>
      <c r="JF50" s="982">
        <v>10</v>
      </c>
      <c r="JG50" s="982">
        <v>52</v>
      </c>
      <c r="JH50" s="982">
        <v>0</v>
      </c>
      <c r="JI50" s="982">
        <v>7</v>
      </c>
      <c r="JJ50" s="982">
        <v>19</v>
      </c>
      <c r="JK50" s="982">
        <v>119</v>
      </c>
      <c r="JL50" s="982">
        <v>153</v>
      </c>
      <c r="JM50" s="982">
        <v>0</v>
      </c>
      <c r="JN50" s="982">
        <v>3</v>
      </c>
      <c r="JO50" s="982">
        <v>840</v>
      </c>
      <c r="JP50" s="983">
        <f t="shared" si="15"/>
        <v>0.34122562674094709</v>
      </c>
      <c r="JR50" s="97"/>
      <c r="JS50" s="97"/>
      <c r="JT50" s="42" t="s">
        <v>43</v>
      </c>
      <c r="JU50" s="42">
        <v>136</v>
      </c>
      <c r="JV50" s="42">
        <v>48</v>
      </c>
      <c r="JW50" s="42"/>
      <c r="JX50" s="42">
        <v>60</v>
      </c>
      <c r="JY50" s="42">
        <v>206</v>
      </c>
      <c r="JZ50" s="42">
        <v>19</v>
      </c>
      <c r="KA50" s="42">
        <v>35</v>
      </c>
      <c r="KB50" s="42"/>
      <c r="KC50" s="42">
        <v>13</v>
      </c>
      <c r="KD50" s="42">
        <v>16</v>
      </c>
      <c r="KE50" s="42">
        <v>115</v>
      </c>
      <c r="KF50" s="42">
        <v>157</v>
      </c>
      <c r="KG50" s="42"/>
      <c r="KH50" s="42">
        <v>2</v>
      </c>
      <c r="KI50" s="42">
        <v>807</v>
      </c>
      <c r="KJ50" s="984">
        <f t="shared" si="1"/>
        <v>0.3492753623188406</v>
      </c>
      <c r="KK50" s="42"/>
      <c r="KL50" s="354"/>
      <c r="KM50" s="354"/>
      <c r="KN50" s="354" t="s">
        <v>43</v>
      </c>
      <c r="KO50" s="985">
        <v>119</v>
      </c>
      <c r="KP50" s="985">
        <v>58</v>
      </c>
      <c r="KQ50" s="985" t="s">
        <v>315</v>
      </c>
      <c r="KR50" s="985">
        <v>63</v>
      </c>
      <c r="KS50" s="985">
        <v>190</v>
      </c>
      <c r="KT50" s="985">
        <v>10</v>
      </c>
      <c r="KU50" s="985">
        <v>47</v>
      </c>
      <c r="KV50" s="985" t="s">
        <v>315</v>
      </c>
      <c r="KW50" s="985">
        <v>29</v>
      </c>
      <c r="KX50" s="985">
        <v>21</v>
      </c>
      <c r="KY50" s="985">
        <v>152</v>
      </c>
      <c r="KZ50" s="985" t="s">
        <v>315</v>
      </c>
      <c r="LA50" s="985">
        <v>689</v>
      </c>
      <c r="LB50" s="985">
        <f t="shared" si="2"/>
        <v>221</v>
      </c>
      <c r="LC50" s="986">
        <f t="shared" si="3"/>
        <v>0.32075471698113206</v>
      </c>
      <c r="LD50" s="42"/>
      <c r="LE50" s="42"/>
    </row>
    <row r="51" spans="1:317">
      <c r="A51" s="6291">
        <v>3</v>
      </c>
      <c r="B51" s="6291">
        <v>2</v>
      </c>
      <c r="C51" s="6291">
        <v>63</v>
      </c>
      <c r="D51" s="6292">
        <v>1383</v>
      </c>
      <c r="E51" s="6291">
        <v>4</v>
      </c>
      <c r="F51" s="6291">
        <v>349</v>
      </c>
      <c r="G51" s="6291">
        <v>126</v>
      </c>
      <c r="H51" s="6291">
        <v>31</v>
      </c>
      <c r="I51" s="6293"/>
      <c r="J51" s="6291">
        <v>17</v>
      </c>
      <c r="K51" s="6291">
        <v>159</v>
      </c>
      <c r="L51" s="6293"/>
      <c r="M51" s="6291">
        <v>146</v>
      </c>
      <c r="N51" s="6291">
        <v>35</v>
      </c>
      <c r="O51" s="6293"/>
      <c r="P51" s="6291">
        <v>516</v>
      </c>
      <c r="Q51" s="6294">
        <f t="shared" si="4"/>
        <v>0.59363702096890814</v>
      </c>
      <c r="S51" s="6295">
        <v>2</v>
      </c>
      <c r="T51" s="6295">
        <v>3</v>
      </c>
      <c r="U51" s="6295">
        <v>52</v>
      </c>
      <c r="V51" s="6295">
        <v>898</v>
      </c>
      <c r="W51" s="6295">
        <v>17</v>
      </c>
      <c r="X51" s="6295">
        <v>118</v>
      </c>
      <c r="Y51" s="6295">
        <v>172</v>
      </c>
      <c r="Z51" s="6295">
        <v>36</v>
      </c>
      <c r="AA51" s="6296"/>
      <c r="AB51" s="6295">
        <v>8</v>
      </c>
      <c r="AC51" s="6295">
        <v>110</v>
      </c>
      <c r="AD51" s="6296"/>
      <c r="AE51" s="6295">
        <v>58</v>
      </c>
      <c r="AF51" s="6295">
        <v>89</v>
      </c>
      <c r="AG51" s="6296"/>
      <c r="AH51" s="6295">
        <v>290</v>
      </c>
      <c r="AI51" s="6294">
        <f t="shared" si="5"/>
        <v>0.51002227171492209</v>
      </c>
      <c r="AJ51" s="6295"/>
      <c r="AK51" s="6297">
        <v>2</v>
      </c>
      <c r="AL51" s="6297">
        <v>3</v>
      </c>
      <c r="AM51" s="6297">
        <v>52</v>
      </c>
      <c r="AN51" s="6298">
        <v>898</v>
      </c>
      <c r="AO51" s="6297">
        <v>19</v>
      </c>
      <c r="AP51" s="6297">
        <v>118</v>
      </c>
      <c r="AQ51" s="6297">
        <v>190</v>
      </c>
      <c r="AR51" s="6297">
        <v>36</v>
      </c>
      <c r="AS51" s="6299"/>
      <c r="AT51" s="6297">
        <v>8</v>
      </c>
      <c r="AU51" s="6299"/>
      <c r="AV51" s="6297">
        <v>98</v>
      </c>
      <c r="AW51" s="6297">
        <v>57</v>
      </c>
      <c r="AX51" s="6299"/>
      <c r="AY51" s="6297">
        <v>95</v>
      </c>
      <c r="AZ51" s="6299"/>
      <c r="BA51" s="6299"/>
      <c r="BB51" s="6297">
        <v>277</v>
      </c>
      <c r="BC51" s="6300">
        <f t="shared" si="6"/>
        <v>0.48106904231625836</v>
      </c>
      <c r="BE51" s="6313">
        <v>2</v>
      </c>
      <c r="BF51" s="6313">
        <v>3</v>
      </c>
      <c r="BG51" s="6313">
        <v>52</v>
      </c>
      <c r="BH51" s="4405" t="s">
        <v>42</v>
      </c>
      <c r="BI51" s="6314">
        <v>940</v>
      </c>
      <c r="BJ51" s="6313">
        <v>11</v>
      </c>
      <c r="BK51" s="6313">
        <v>142</v>
      </c>
      <c r="BL51" s="6313">
        <v>186</v>
      </c>
      <c r="BM51" s="6313">
        <v>36</v>
      </c>
      <c r="BN51" s="6303"/>
      <c r="BO51" s="6313">
        <v>9</v>
      </c>
      <c r="BP51" s="6303"/>
      <c r="BQ51" s="6313">
        <v>101</v>
      </c>
      <c r="BR51" s="6303"/>
      <c r="BS51" s="6313">
        <v>76</v>
      </c>
      <c r="BT51" s="6313">
        <v>96</v>
      </c>
      <c r="BU51" s="6303"/>
      <c r="BV51" s="6303"/>
      <c r="BW51" s="6313">
        <v>283</v>
      </c>
      <c r="BX51" s="6300">
        <f t="shared" si="16"/>
        <v>0.48936170212765956</v>
      </c>
      <c r="BZ51" s="4388"/>
      <c r="CA51" s="4388" t="s">
        <v>41</v>
      </c>
      <c r="CB51" s="4388" t="s">
        <v>42</v>
      </c>
      <c r="CC51" s="4231">
        <v>218</v>
      </c>
      <c r="CD51" s="4231">
        <v>87</v>
      </c>
      <c r="CE51" s="4231"/>
      <c r="CF51" s="4231">
        <v>36</v>
      </c>
      <c r="CG51" s="4231">
        <v>269</v>
      </c>
      <c r="CH51" s="4231">
        <v>74</v>
      </c>
      <c r="CI51" s="4231">
        <v>9</v>
      </c>
      <c r="CJ51" s="4231"/>
      <c r="CK51" s="4231"/>
      <c r="CL51" s="4231">
        <v>19</v>
      </c>
      <c r="CM51" s="4231">
        <v>88</v>
      </c>
      <c r="CN51" s="4231"/>
      <c r="CO51" s="4231">
        <v>144</v>
      </c>
      <c r="CP51" s="4231">
        <v>0</v>
      </c>
      <c r="CQ51" s="4231">
        <v>944</v>
      </c>
      <c r="CR51" s="6304">
        <f t="shared" si="7"/>
        <v>0.4565677966101695</v>
      </c>
      <c r="CS51" s="4238">
        <f t="shared" si="8"/>
        <v>4</v>
      </c>
      <c r="CT51" s="6305">
        <v>940</v>
      </c>
      <c r="CU51" s="6316"/>
      <c r="CX51" s="42" t="s">
        <v>43</v>
      </c>
      <c r="CY51" s="42">
        <v>110</v>
      </c>
      <c r="CZ51" s="42">
        <v>69</v>
      </c>
      <c r="DB51" s="42">
        <v>29</v>
      </c>
      <c r="DC51" s="42">
        <v>277</v>
      </c>
      <c r="DD51" s="42">
        <v>33</v>
      </c>
      <c r="DE51" s="42">
        <v>78</v>
      </c>
      <c r="DH51" s="42">
        <v>27</v>
      </c>
      <c r="DI51" s="42">
        <v>28</v>
      </c>
      <c r="DK51" s="42">
        <v>104</v>
      </c>
      <c r="DL51" s="42">
        <v>0</v>
      </c>
      <c r="DM51" s="893">
        <v>755</v>
      </c>
      <c r="DN51" s="6306">
        <f t="shared" si="17"/>
        <v>0.44768211920529799</v>
      </c>
      <c r="DP51" s="4263"/>
      <c r="DQ51" s="4263"/>
      <c r="DR51" s="4258" t="s">
        <v>43</v>
      </c>
      <c r="DS51" s="4263">
        <v>186</v>
      </c>
      <c r="DT51" s="4263">
        <v>81</v>
      </c>
      <c r="DU51" s="4263">
        <v>0</v>
      </c>
      <c r="DV51" s="4263">
        <v>28</v>
      </c>
      <c r="DW51" s="4263">
        <v>204</v>
      </c>
      <c r="DX51" s="4263">
        <v>40</v>
      </c>
      <c r="DY51" s="4263">
        <v>21</v>
      </c>
      <c r="DZ51" s="4263"/>
      <c r="EA51" s="4263"/>
      <c r="EB51" s="4263">
        <v>40</v>
      </c>
      <c r="EC51" s="4263">
        <v>42</v>
      </c>
      <c r="ED51" s="4263"/>
      <c r="EE51" s="4263">
        <v>119</v>
      </c>
      <c r="EF51" s="4263">
        <v>0</v>
      </c>
      <c r="EG51" s="4263">
        <v>761</v>
      </c>
      <c r="EH51" s="6307">
        <f t="shared" si="9"/>
        <v>0.37582128777923784</v>
      </c>
      <c r="EL51" s="42" t="s">
        <v>43</v>
      </c>
      <c r="EM51" s="97">
        <v>189</v>
      </c>
      <c r="EN51" s="97">
        <v>69</v>
      </c>
      <c r="EO51" s="97">
        <v>0</v>
      </c>
      <c r="EP51" s="97">
        <v>0</v>
      </c>
      <c r="EQ51" s="97">
        <v>224</v>
      </c>
      <c r="ER51" s="97">
        <v>26</v>
      </c>
      <c r="ES51" s="97">
        <v>48</v>
      </c>
      <c r="ET51" s="97"/>
      <c r="EU51" s="97"/>
      <c r="EV51" s="97">
        <v>22</v>
      </c>
      <c r="EW51" s="97">
        <v>40</v>
      </c>
      <c r="EX51" s="97"/>
      <c r="EY51" s="97">
        <v>107</v>
      </c>
      <c r="EZ51" s="97">
        <v>0</v>
      </c>
      <c r="FA51" s="97">
        <v>725</v>
      </c>
      <c r="FB51" s="6315">
        <f t="shared" si="10"/>
        <v>0.4</v>
      </c>
      <c r="FD51" s="42"/>
      <c r="FE51" s="42"/>
      <c r="FF51" s="42" t="s">
        <v>43</v>
      </c>
      <c r="FG51" s="97">
        <v>190</v>
      </c>
      <c r="FH51" s="97">
        <v>74</v>
      </c>
      <c r="FI51" s="97"/>
      <c r="FJ51" s="97">
        <v>33</v>
      </c>
      <c r="FK51" s="97">
        <v>201</v>
      </c>
      <c r="FL51" s="97">
        <v>28</v>
      </c>
      <c r="FM51" s="97">
        <v>35</v>
      </c>
      <c r="FN51" s="97"/>
      <c r="FO51" s="97">
        <v>0</v>
      </c>
      <c r="FP51" s="97">
        <v>15</v>
      </c>
      <c r="FQ51" s="97">
        <v>34</v>
      </c>
      <c r="FR51" s="97"/>
      <c r="FS51" s="97">
        <v>114</v>
      </c>
      <c r="FT51" s="97">
        <v>0</v>
      </c>
      <c r="FU51" s="97">
        <v>724</v>
      </c>
      <c r="FV51" s="6308">
        <f t="shared" si="0"/>
        <v>0.36325966850828728</v>
      </c>
      <c r="FW51" s="6322"/>
      <c r="FX51" s="42"/>
      <c r="FY51" s="42"/>
      <c r="FZ51" s="42" t="s">
        <v>43</v>
      </c>
      <c r="GA51" s="97">
        <v>165</v>
      </c>
      <c r="GB51" s="97">
        <v>74</v>
      </c>
      <c r="GC51" s="97"/>
      <c r="GD51" s="97">
        <v>35</v>
      </c>
      <c r="GE51" s="97">
        <v>209</v>
      </c>
      <c r="GF51" s="97">
        <v>15</v>
      </c>
      <c r="GG51" s="97">
        <v>26</v>
      </c>
      <c r="GH51" s="97"/>
      <c r="GI51" s="97">
        <v>0</v>
      </c>
      <c r="GJ51" s="97">
        <v>18</v>
      </c>
      <c r="GK51" s="97">
        <v>34</v>
      </c>
      <c r="GL51" s="97"/>
      <c r="GM51" s="97">
        <v>107</v>
      </c>
      <c r="GN51" s="97">
        <v>0</v>
      </c>
      <c r="GO51" s="97">
        <v>683</v>
      </c>
      <c r="GP51" s="6308">
        <f t="shared" si="11"/>
        <v>0.37774524158125916</v>
      </c>
      <c r="GR51" s="6280"/>
      <c r="GS51" s="6280"/>
      <c r="GT51" s="6310" t="s">
        <v>43</v>
      </c>
      <c r="GU51" s="6311">
        <v>157</v>
      </c>
      <c r="GV51" s="6311">
        <v>68</v>
      </c>
      <c r="GW51" s="6312"/>
      <c r="GX51" s="6311">
        <v>36</v>
      </c>
      <c r="GY51" s="6311">
        <v>203</v>
      </c>
      <c r="GZ51" s="6311">
        <v>12</v>
      </c>
      <c r="HA51" s="6311">
        <v>25</v>
      </c>
      <c r="HB51" s="6312"/>
      <c r="HC51" s="6311">
        <v>0</v>
      </c>
      <c r="HD51" s="6311">
        <v>18</v>
      </c>
      <c r="HE51" s="6311">
        <v>33</v>
      </c>
      <c r="HF51" s="6312"/>
      <c r="HG51" s="6311">
        <v>102</v>
      </c>
      <c r="HH51" s="6311">
        <v>0</v>
      </c>
      <c r="HI51" s="6311">
        <v>654</v>
      </c>
      <c r="HJ51" s="467">
        <f t="shared" si="12"/>
        <v>0.37920489296636084</v>
      </c>
      <c r="HL51" s="967"/>
      <c r="HM51" s="967"/>
      <c r="HN51" s="977" t="s">
        <v>43</v>
      </c>
      <c r="HO51" s="978">
        <v>158</v>
      </c>
      <c r="HP51" s="978">
        <v>37</v>
      </c>
      <c r="HQ51" s="978">
        <v>0</v>
      </c>
      <c r="HR51" s="978">
        <v>54</v>
      </c>
      <c r="HS51" s="978">
        <v>208</v>
      </c>
      <c r="HT51" s="978">
        <v>8</v>
      </c>
      <c r="HU51" s="978">
        <v>51</v>
      </c>
      <c r="HV51" s="967"/>
      <c r="HW51" s="978">
        <v>0</v>
      </c>
      <c r="HX51" s="978">
        <v>19</v>
      </c>
      <c r="HY51" s="978">
        <v>29</v>
      </c>
      <c r="HZ51" s="978">
        <v>116</v>
      </c>
      <c r="IA51" s="967"/>
      <c r="IB51" s="978">
        <v>680</v>
      </c>
      <c r="IC51" s="467">
        <f t="shared" si="13"/>
        <v>0.36029411764705882</v>
      </c>
      <c r="IE51" s="577"/>
      <c r="IF51" s="577"/>
      <c r="IG51" s="979" t="s">
        <v>43</v>
      </c>
      <c r="IH51" s="980">
        <v>169</v>
      </c>
      <c r="II51" s="980">
        <v>44</v>
      </c>
      <c r="IJ51" s="577"/>
      <c r="IK51" s="980">
        <v>63</v>
      </c>
      <c r="IL51" s="980">
        <v>208</v>
      </c>
      <c r="IM51" s="980">
        <v>14</v>
      </c>
      <c r="IN51" s="980">
        <v>45</v>
      </c>
      <c r="IO51" s="577"/>
      <c r="IP51" s="577"/>
      <c r="IQ51" s="980">
        <v>11</v>
      </c>
      <c r="IR51" s="980">
        <v>19</v>
      </c>
      <c r="IS51" s="980">
        <v>133</v>
      </c>
      <c r="IT51" s="577"/>
      <c r="IU51" s="980">
        <v>706</v>
      </c>
      <c r="IV51" s="467">
        <f t="shared" si="14"/>
        <v>0.34135977337110479</v>
      </c>
      <c r="IX51" s="742"/>
      <c r="IY51" s="742"/>
      <c r="IZ51" s="981" t="s">
        <v>44</v>
      </c>
      <c r="JA51" s="982">
        <v>78</v>
      </c>
      <c r="JB51" s="982">
        <v>20</v>
      </c>
      <c r="JC51" s="982">
        <v>0</v>
      </c>
      <c r="JD51" s="982">
        <v>31</v>
      </c>
      <c r="JE51" s="982">
        <v>77</v>
      </c>
      <c r="JF51" s="982">
        <v>6</v>
      </c>
      <c r="JG51" s="982">
        <v>19</v>
      </c>
      <c r="JH51" s="982">
        <v>0</v>
      </c>
      <c r="JI51" s="982">
        <v>3</v>
      </c>
      <c r="JJ51" s="982">
        <v>23</v>
      </c>
      <c r="JK51" s="982">
        <v>38</v>
      </c>
      <c r="JL51" s="982">
        <v>64</v>
      </c>
      <c r="JM51" s="982">
        <v>0</v>
      </c>
      <c r="JN51" s="982">
        <v>2</v>
      </c>
      <c r="JO51" s="982">
        <v>361</v>
      </c>
      <c r="JP51" s="983">
        <f t="shared" si="15"/>
        <v>0.33021806853582553</v>
      </c>
      <c r="JR51" s="97"/>
      <c r="JS51" s="97"/>
      <c r="JT51" s="42" t="s">
        <v>44</v>
      </c>
      <c r="JU51" s="42">
        <v>65</v>
      </c>
      <c r="JV51" s="42">
        <v>25</v>
      </c>
      <c r="JW51" s="42"/>
      <c r="JX51" s="42">
        <v>26</v>
      </c>
      <c r="JY51" s="42">
        <v>80</v>
      </c>
      <c r="JZ51" s="42">
        <v>11</v>
      </c>
      <c r="KA51" s="42">
        <v>22</v>
      </c>
      <c r="KB51" s="42"/>
      <c r="KC51" s="42">
        <v>9</v>
      </c>
      <c r="KD51" s="42">
        <v>9</v>
      </c>
      <c r="KE51" s="42">
        <v>35</v>
      </c>
      <c r="KF51" s="42">
        <v>58</v>
      </c>
      <c r="KG51" s="42"/>
      <c r="KH51" s="42">
        <v>1</v>
      </c>
      <c r="KI51" s="42">
        <v>341</v>
      </c>
      <c r="KJ51" s="984">
        <f t="shared" si="1"/>
        <v>0.32786885245901637</v>
      </c>
      <c r="KK51" s="42"/>
      <c r="KL51" s="354"/>
      <c r="KM51" s="354"/>
      <c r="KN51" s="354" t="s">
        <v>44</v>
      </c>
      <c r="KO51" s="985">
        <v>62</v>
      </c>
      <c r="KP51" s="985">
        <v>21</v>
      </c>
      <c r="KQ51" s="985" t="s">
        <v>315</v>
      </c>
      <c r="KR51" s="985">
        <v>23</v>
      </c>
      <c r="KS51" s="985">
        <v>74</v>
      </c>
      <c r="KT51" s="985">
        <v>7</v>
      </c>
      <c r="KU51" s="985">
        <v>13</v>
      </c>
      <c r="KV51" s="985" t="s">
        <v>315</v>
      </c>
      <c r="KW51" s="985">
        <v>13</v>
      </c>
      <c r="KX51" s="985">
        <v>22</v>
      </c>
      <c r="KY51" s="985">
        <v>58</v>
      </c>
      <c r="KZ51" s="985" t="s">
        <v>315</v>
      </c>
      <c r="LA51" s="985">
        <v>293</v>
      </c>
      <c r="LB51" s="985">
        <f t="shared" si="2"/>
        <v>103</v>
      </c>
      <c r="LC51" s="986">
        <f t="shared" si="3"/>
        <v>0.35153583617747441</v>
      </c>
      <c r="LD51" s="42"/>
      <c r="LE51" s="42"/>
    </row>
    <row r="52" spans="1:317">
      <c r="A52" s="6291">
        <v>3</v>
      </c>
      <c r="B52" s="6291">
        <v>2</v>
      </c>
      <c r="C52" s="6291">
        <v>64</v>
      </c>
      <c r="D52" s="6292">
        <v>1573</v>
      </c>
      <c r="E52" s="6291">
        <v>8</v>
      </c>
      <c r="F52" s="6291">
        <v>231</v>
      </c>
      <c r="G52" s="6291">
        <v>86</v>
      </c>
      <c r="H52" s="6291">
        <v>31</v>
      </c>
      <c r="I52" s="6291">
        <v>1</v>
      </c>
      <c r="J52" s="6291">
        <v>15</v>
      </c>
      <c r="K52" s="6291">
        <v>330</v>
      </c>
      <c r="L52" s="6293"/>
      <c r="M52" s="6291">
        <v>181</v>
      </c>
      <c r="N52" s="6291">
        <v>54</v>
      </c>
      <c r="O52" s="6293"/>
      <c r="P52" s="6291">
        <v>636</v>
      </c>
      <c r="Q52" s="6294">
        <f t="shared" si="4"/>
        <v>0.72917991099809276</v>
      </c>
      <c r="S52" s="6295">
        <v>2</v>
      </c>
      <c r="T52" s="6295">
        <v>3</v>
      </c>
      <c r="U52" s="6295">
        <v>53</v>
      </c>
      <c r="V52" s="6295">
        <v>804</v>
      </c>
      <c r="W52" s="6295">
        <v>22</v>
      </c>
      <c r="X52" s="6295">
        <v>108</v>
      </c>
      <c r="Y52" s="6295">
        <v>211</v>
      </c>
      <c r="Z52" s="6295">
        <v>27</v>
      </c>
      <c r="AA52" s="6296"/>
      <c r="AB52" s="6295">
        <v>4</v>
      </c>
      <c r="AC52" s="6295">
        <v>51</v>
      </c>
      <c r="AD52" s="6296"/>
      <c r="AE52" s="6295">
        <v>35</v>
      </c>
      <c r="AF52" s="6295">
        <v>106</v>
      </c>
      <c r="AG52" s="6296"/>
      <c r="AH52" s="6295">
        <v>240</v>
      </c>
      <c r="AI52" s="6294">
        <f t="shared" si="5"/>
        <v>0.40547263681592038</v>
      </c>
      <c r="AJ52" s="6295"/>
      <c r="AK52" s="6297">
        <v>2</v>
      </c>
      <c r="AL52" s="6297">
        <v>3</v>
      </c>
      <c r="AM52" s="6297">
        <v>53</v>
      </c>
      <c r="AN52" s="6298">
        <v>804</v>
      </c>
      <c r="AO52" s="6297">
        <v>25</v>
      </c>
      <c r="AP52" s="6297">
        <v>108</v>
      </c>
      <c r="AQ52" s="6297">
        <v>229</v>
      </c>
      <c r="AR52" s="6297">
        <v>26</v>
      </c>
      <c r="AS52" s="6299"/>
      <c r="AT52" s="6297">
        <v>4</v>
      </c>
      <c r="AU52" s="6297">
        <v>1</v>
      </c>
      <c r="AV52" s="6297">
        <v>40</v>
      </c>
      <c r="AW52" s="6297">
        <v>30</v>
      </c>
      <c r="AX52" s="6299"/>
      <c r="AY52" s="6297">
        <v>105</v>
      </c>
      <c r="AZ52" s="6299"/>
      <c r="BA52" s="6299"/>
      <c r="BB52" s="6297">
        <v>236</v>
      </c>
      <c r="BC52" s="6300">
        <f t="shared" si="6"/>
        <v>0.38107098381070986</v>
      </c>
      <c r="BE52" s="6313">
        <v>2</v>
      </c>
      <c r="BF52" s="6313">
        <v>3</v>
      </c>
      <c r="BG52" s="6313">
        <v>53</v>
      </c>
      <c r="BH52" s="4405" t="s">
        <v>43</v>
      </c>
      <c r="BI52" s="6314">
        <v>781</v>
      </c>
      <c r="BJ52" s="6313">
        <v>14</v>
      </c>
      <c r="BK52" s="6313">
        <v>132</v>
      </c>
      <c r="BL52" s="6313">
        <v>191</v>
      </c>
      <c r="BM52" s="6313">
        <v>28</v>
      </c>
      <c r="BN52" s="6303"/>
      <c r="BO52" s="6313">
        <v>3</v>
      </c>
      <c r="BP52" s="6303"/>
      <c r="BQ52" s="6313">
        <v>46</v>
      </c>
      <c r="BR52" s="6303"/>
      <c r="BS52" s="6313">
        <v>72</v>
      </c>
      <c r="BT52" s="6313">
        <v>90</v>
      </c>
      <c r="BU52" s="6303"/>
      <c r="BV52" s="6303"/>
      <c r="BW52" s="6313">
        <v>205</v>
      </c>
      <c r="BX52" s="6300">
        <f t="shared" si="16"/>
        <v>0.41357234314980795</v>
      </c>
      <c r="BZ52" s="4388"/>
      <c r="CA52" s="4388"/>
      <c r="CB52" s="4388" t="s">
        <v>43</v>
      </c>
      <c r="CC52" s="4231">
        <v>209</v>
      </c>
      <c r="CD52" s="4231">
        <v>85</v>
      </c>
      <c r="CE52" s="4231"/>
      <c r="CF52" s="4231">
        <v>28</v>
      </c>
      <c r="CG52" s="4231">
        <v>198</v>
      </c>
      <c r="CH52" s="4231">
        <v>54</v>
      </c>
      <c r="CI52" s="4231">
        <v>3</v>
      </c>
      <c r="CJ52" s="4231"/>
      <c r="CK52" s="4231"/>
      <c r="CL52" s="4231">
        <v>26</v>
      </c>
      <c r="CM52" s="4231">
        <v>47</v>
      </c>
      <c r="CN52" s="4231"/>
      <c r="CO52" s="4231">
        <v>133</v>
      </c>
      <c r="CP52" s="4231">
        <v>0</v>
      </c>
      <c r="CQ52" s="4231">
        <v>783</v>
      </c>
      <c r="CR52" s="6304">
        <f t="shared" si="7"/>
        <v>0.38186462324393361</v>
      </c>
      <c r="CS52" s="4238">
        <f t="shared" si="8"/>
        <v>2</v>
      </c>
      <c r="CT52" s="6305">
        <v>781</v>
      </c>
      <c r="CU52" s="6316"/>
      <c r="CX52" s="42" t="s">
        <v>44</v>
      </c>
      <c r="CY52" s="42">
        <v>82</v>
      </c>
      <c r="CZ52" s="42">
        <v>60</v>
      </c>
      <c r="DB52" s="42">
        <v>20</v>
      </c>
      <c r="DC52" s="42">
        <v>206</v>
      </c>
      <c r="DD52" s="42">
        <v>35</v>
      </c>
      <c r="DE52" s="42">
        <v>58</v>
      </c>
      <c r="DH52" s="42">
        <v>18</v>
      </c>
      <c r="DI52" s="42">
        <v>42</v>
      </c>
      <c r="DK52" s="42">
        <v>86</v>
      </c>
      <c r="DL52" s="42">
        <v>1</v>
      </c>
      <c r="DM52" s="893">
        <v>608</v>
      </c>
      <c r="DN52" s="6306">
        <f t="shared" si="17"/>
        <v>0.46622734761120266</v>
      </c>
      <c r="DP52" s="4263"/>
      <c r="DQ52" s="4263"/>
      <c r="DR52" s="4258" t="s">
        <v>44</v>
      </c>
      <c r="DS52" s="4263">
        <v>148</v>
      </c>
      <c r="DT52" s="4263">
        <v>77</v>
      </c>
      <c r="DU52" s="4263">
        <v>0</v>
      </c>
      <c r="DV52" s="4263">
        <v>14</v>
      </c>
      <c r="DW52" s="4263">
        <v>166</v>
      </c>
      <c r="DX52" s="4263">
        <v>43</v>
      </c>
      <c r="DY52" s="4263">
        <v>17</v>
      </c>
      <c r="DZ52" s="4263"/>
      <c r="EA52" s="4263"/>
      <c r="EB52" s="4263">
        <v>20</v>
      </c>
      <c r="EC52" s="4263">
        <v>44</v>
      </c>
      <c r="ED52" s="4263"/>
      <c r="EE52" s="4263">
        <v>98</v>
      </c>
      <c r="EF52" s="4263">
        <v>0</v>
      </c>
      <c r="EG52" s="4263">
        <v>627</v>
      </c>
      <c r="EH52" s="6307">
        <f t="shared" si="9"/>
        <v>0.40350877192982454</v>
      </c>
      <c r="EL52" s="42" t="s">
        <v>44</v>
      </c>
      <c r="EM52" s="97">
        <v>152</v>
      </c>
      <c r="EN52" s="97">
        <v>47</v>
      </c>
      <c r="EO52" s="97">
        <v>0</v>
      </c>
      <c r="EP52" s="97">
        <v>1</v>
      </c>
      <c r="EQ52" s="97">
        <v>159</v>
      </c>
      <c r="ER52" s="97">
        <v>27</v>
      </c>
      <c r="ES52" s="97">
        <v>32</v>
      </c>
      <c r="ET52" s="97"/>
      <c r="EU52" s="97"/>
      <c r="EV52" s="97">
        <v>24</v>
      </c>
      <c r="EW52" s="97">
        <v>53</v>
      </c>
      <c r="EX52" s="97"/>
      <c r="EY52" s="97">
        <v>89</v>
      </c>
      <c r="EZ52" s="97">
        <v>0</v>
      </c>
      <c r="FA52" s="97">
        <v>584</v>
      </c>
      <c r="FB52" s="6315">
        <f t="shared" si="10"/>
        <v>0.40924657534246578</v>
      </c>
      <c r="FD52" s="42"/>
      <c r="FE52" s="42"/>
      <c r="FF52" s="42" t="s">
        <v>44</v>
      </c>
      <c r="FG52" s="97">
        <v>158</v>
      </c>
      <c r="FH52" s="97">
        <v>51</v>
      </c>
      <c r="FI52" s="97"/>
      <c r="FJ52" s="97">
        <v>18</v>
      </c>
      <c r="FK52" s="97">
        <v>99</v>
      </c>
      <c r="FL52" s="97">
        <v>31</v>
      </c>
      <c r="FM52" s="97">
        <v>25</v>
      </c>
      <c r="FN52" s="97"/>
      <c r="FO52" s="97">
        <v>0</v>
      </c>
      <c r="FP52" s="97">
        <v>19</v>
      </c>
      <c r="FQ52" s="97">
        <v>74</v>
      </c>
      <c r="FR52" s="97"/>
      <c r="FS52" s="97">
        <v>88</v>
      </c>
      <c r="FT52" s="97">
        <v>1</v>
      </c>
      <c r="FU52" s="97">
        <v>564</v>
      </c>
      <c r="FV52" s="6308">
        <f t="shared" si="0"/>
        <v>0.36234458259325042</v>
      </c>
      <c r="FW52" s="6322"/>
      <c r="FX52" s="42"/>
      <c r="FY52" s="42"/>
      <c r="FZ52" s="42" t="s">
        <v>44</v>
      </c>
      <c r="GA52" s="97">
        <v>171</v>
      </c>
      <c r="GB52" s="97">
        <v>49</v>
      </c>
      <c r="GC52" s="97"/>
      <c r="GD52" s="97">
        <v>28</v>
      </c>
      <c r="GE52" s="97">
        <v>90</v>
      </c>
      <c r="GF52" s="97">
        <v>17</v>
      </c>
      <c r="GG52" s="97">
        <v>25</v>
      </c>
      <c r="GH52" s="97"/>
      <c r="GI52" s="97">
        <v>0</v>
      </c>
      <c r="GJ52" s="97">
        <v>19</v>
      </c>
      <c r="GK52" s="97">
        <v>44</v>
      </c>
      <c r="GL52" s="97"/>
      <c r="GM52" s="97">
        <v>79</v>
      </c>
      <c r="GN52" s="97">
        <v>1</v>
      </c>
      <c r="GO52" s="97">
        <v>523</v>
      </c>
      <c r="GP52" s="6308">
        <f t="shared" si="11"/>
        <v>0.28927203065134099</v>
      </c>
      <c r="GR52" s="6280"/>
      <c r="GS52" s="6280"/>
      <c r="GT52" s="6310" t="s">
        <v>44</v>
      </c>
      <c r="GU52" s="6311">
        <v>146</v>
      </c>
      <c r="GV52" s="6311">
        <v>53</v>
      </c>
      <c r="GW52" s="6312"/>
      <c r="GX52" s="6311">
        <v>28</v>
      </c>
      <c r="GY52" s="6311">
        <v>94</v>
      </c>
      <c r="GZ52" s="6311">
        <v>13</v>
      </c>
      <c r="HA52" s="6311">
        <v>18</v>
      </c>
      <c r="HB52" s="6312"/>
      <c r="HC52" s="6311">
        <v>0</v>
      </c>
      <c r="HD52" s="6311">
        <v>18</v>
      </c>
      <c r="HE52" s="6311">
        <v>29</v>
      </c>
      <c r="HF52" s="6312"/>
      <c r="HG52" s="6311">
        <v>76</v>
      </c>
      <c r="HH52" s="6311">
        <v>1</v>
      </c>
      <c r="HI52" s="6311">
        <v>476</v>
      </c>
      <c r="HJ52" s="467">
        <f t="shared" si="12"/>
        <v>0.28631578947368419</v>
      </c>
      <c r="HL52" s="967"/>
      <c r="HM52" s="967"/>
      <c r="HN52" s="977" t="s">
        <v>44</v>
      </c>
      <c r="HO52" s="978">
        <v>133</v>
      </c>
      <c r="HP52" s="978">
        <v>42</v>
      </c>
      <c r="HQ52" s="978">
        <v>0</v>
      </c>
      <c r="HR52" s="978">
        <v>31</v>
      </c>
      <c r="HS52" s="978">
        <v>84</v>
      </c>
      <c r="HT52" s="978">
        <v>11</v>
      </c>
      <c r="HU52" s="978">
        <v>18</v>
      </c>
      <c r="HV52" s="967"/>
      <c r="HW52" s="978">
        <v>0</v>
      </c>
      <c r="HX52" s="978">
        <v>12</v>
      </c>
      <c r="HY52" s="978">
        <v>18</v>
      </c>
      <c r="HZ52" s="978">
        <v>78</v>
      </c>
      <c r="IA52" s="967"/>
      <c r="IB52" s="978">
        <v>427</v>
      </c>
      <c r="IC52" s="467">
        <f t="shared" si="13"/>
        <v>0.26463700234192039</v>
      </c>
      <c r="IE52" s="577"/>
      <c r="IF52" s="577"/>
      <c r="IG52" s="979" t="s">
        <v>44</v>
      </c>
      <c r="IH52" s="980">
        <v>103</v>
      </c>
      <c r="II52" s="980">
        <v>26</v>
      </c>
      <c r="IJ52" s="577"/>
      <c r="IK52" s="980">
        <v>32</v>
      </c>
      <c r="IL52" s="980">
        <v>84</v>
      </c>
      <c r="IM52" s="980">
        <v>21</v>
      </c>
      <c r="IN52" s="980">
        <v>15</v>
      </c>
      <c r="IO52" s="577"/>
      <c r="IP52" s="577"/>
      <c r="IQ52" s="980">
        <v>5</v>
      </c>
      <c r="IR52" s="980">
        <v>17</v>
      </c>
      <c r="IS52" s="980">
        <v>65</v>
      </c>
      <c r="IT52" s="577"/>
      <c r="IU52" s="980">
        <v>368</v>
      </c>
      <c r="IV52" s="467">
        <f t="shared" si="14"/>
        <v>0.33152173913043476</v>
      </c>
      <c r="IX52" s="742"/>
      <c r="IY52" s="742"/>
      <c r="IZ52" s="981" t="s">
        <v>45</v>
      </c>
      <c r="JA52" s="982">
        <v>35</v>
      </c>
      <c r="JB52" s="982">
        <v>8</v>
      </c>
      <c r="JC52" s="982">
        <v>0</v>
      </c>
      <c r="JD52" s="982">
        <v>15</v>
      </c>
      <c r="JE52" s="982">
        <v>26</v>
      </c>
      <c r="JF52" s="982">
        <v>5</v>
      </c>
      <c r="JG52" s="982">
        <v>10</v>
      </c>
      <c r="JH52" s="982">
        <v>0</v>
      </c>
      <c r="JI52" s="982">
        <v>0</v>
      </c>
      <c r="JJ52" s="982">
        <v>12</v>
      </c>
      <c r="JK52" s="982">
        <v>15</v>
      </c>
      <c r="JL52" s="982">
        <v>40</v>
      </c>
      <c r="JM52" s="982">
        <v>0</v>
      </c>
      <c r="JN52" s="982">
        <v>1</v>
      </c>
      <c r="JO52" s="982">
        <v>167</v>
      </c>
      <c r="JP52" s="983">
        <f t="shared" si="15"/>
        <v>0.28476821192052981</v>
      </c>
      <c r="JR52" s="97"/>
      <c r="JS52" s="97"/>
      <c r="JT52" s="42" t="s">
        <v>45</v>
      </c>
      <c r="JU52" s="42">
        <v>28</v>
      </c>
      <c r="JV52" s="42">
        <v>16</v>
      </c>
      <c r="JW52" s="42"/>
      <c r="JX52" s="42">
        <v>11</v>
      </c>
      <c r="JY52" s="42">
        <v>23</v>
      </c>
      <c r="JZ52" s="42">
        <v>5</v>
      </c>
      <c r="KA52" s="42">
        <v>9</v>
      </c>
      <c r="KB52" s="42"/>
      <c r="KC52" s="42">
        <v>1</v>
      </c>
      <c r="KD52" s="42">
        <v>6</v>
      </c>
      <c r="KE52" s="42">
        <v>13</v>
      </c>
      <c r="KF52" s="42">
        <v>38</v>
      </c>
      <c r="KG52" s="42"/>
      <c r="KH52" s="42">
        <v>2</v>
      </c>
      <c r="KI52" s="42">
        <v>152</v>
      </c>
      <c r="KJ52" s="984">
        <f t="shared" si="1"/>
        <v>0.24817518248175183</v>
      </c>
      <c r="KK52" s="42"/>
      <c r="KL52" s="354"/>
      <c r="KM52" s="354"/>
      <c r="KN52" s="354" t="s">
        <v>45</v>
      </c>
      <c r="KO52" s="985">
        <v>20</v>
      </c>
      <c r="KP52" s="985">
        <v>15</v>
      </c>
      <c r="KQ52" s="985" t="s">
        <v>315</v>
      </c>
      <c r="KR52" s="985">
        <v>10</v>
      </c>
      <c r="KS52" s="985">
        <v>19</v>
      </c>
      <c r="KT52" s="985">
        <v>6</v>
      </c>
      <c r="KU52" s="985">
        <v>5</v>
      </c>
      <c r="KV52" s="985" t="s">
        <v>315</v>
      </c>
      <c r="KW52" s="985">
        <v>6</v>
      </c>
      <c r="KX52" s="985">
        <v>7</v>
      </c>
      <c r="KY52" s="985">
        <v>36</v>
      </c>
      <c r="KZ52" s="985" t="s">
        <v>315</v>
      </c>
      <c r="LA52" s="985">
        <v>124</v>
      </c>
      <c r="LB52" s="985">
        <f t="shared" si="2"/>
        <v>32</v>
      </c>
      <c r="LC52" s="986">
        <f t="shared" si="3"/>
        <v>0.25806451612903225</v>
      </c>
      <c r="LD52" s="42"/>
      <c r="LE52" s="42"/>
    </row>
    <row r="53" spans="1:317">
      <c r="A53" s="6291">
        <v>3</v>
      </c>
      <c r="B53" s="6291">
        <v>2</v>
      </c>
      <c r="C53" s="6291">
        <v>65</v>
      </c>
      <c r="D53" s="6292">
        <v>1308</v>
      </c>
      <c r="E53" s="6291">
        <v>16</v>
      </c>
      <c r="F53" s="6291">
        <v>391</v>
      </c>
      <c r="G53" s="6291">
        <v>135</v>
      </c>
      <c r="H53" s="6291">
        <v>64</v>
      </c>
      <c r="I53" s="6291">
        <v>1</v>
      </c>
      <c r="J53" s="6291">
        <v>27</v>
      </c>
      <c r="K53" s="6291">
        <v>170</v>
      </c>
      <c r="L53" s="6293"/>
      <c r="M53" s="6291">
        <v>119</v>
      </c>
      <c r="N53" s="6291">
        <v>71</v>
      </c>
      <c r="O53" s="6293"/>
      <c r="P53" s="6291">
        <v>314</v>
      </c>
      <c r="Q53" s="6294">
        <f t="shared" si="4"/>
        <v>0.46100917431192662</v>
      </c>
      <c r="S53" s="6295">
        <v>2</v>
      </c>
      <c r="T53" s="6295">
        <v>3</v>
      </c>
      <c r="U53" s="6295">
        <v>54</v>
      </c>
      <c r="V53" s="6295">
        <v>570</v>
      </c>
      <c r="W53" s="6295">
        <v>9</v>
      </c>
      <c r="X53" s="6295">
        <v>71</v>
      </c>
      <c r="Y53" s="6295">
        <v>116</v>
      </c>
      <c r="Z53" s="6295">
        <v>16</v>
      </c>
      <c r="AA53" s="6296"/>
      <c r="AB53" s="6295">
        <v>5</v>
      </c>
      <c r="AC53" s="6295">
        <v>61</v>
      </c>
      <c r="AD53" s="6296"/>
      <c r="AE53" s="6295">
        <v>49</v>
      </c>
      <c r="AF53" s="6295">
        <v>80</v>
      </c>
      <c r="AG53" s="6296"/>
      <c r="AH53" s="6295">
        <v>163</v>
      </c>
      <c r="AI53" s="6294">
        <f t="shared" si="5"/>
        <v>0.47894736842105262</v>
      </c>
      <c r="AJ53" s="6295"/>
      <c r="AK53" s="6297">
        <v>2</v>
      </c>
      <c r="AL53" s="6297">
        <v>3</v>
      </c>
      <c r="AM53" s="6297">
        <v>54</v>
      </c>
      <c r="AN53" s="6298">
        <v>570</v>
      </c>
      <c r="AO53" s="6297">
        <v>6</v>
      </c>
      <c r="AP53" s="6297">
        <v>71</v>
      </c>
      <c r="AQ53" s="6297">
        <v>135</v>
      </c>
      <c r="AR53" s="6297">
        <v>16</v>
      </c>
      <c r="AS53" s="6299"/>
      <c r="AT53" s="6297">
        <v>5</v>
      </c>
      <c r="AU53" s="6299"/>
      <c r="AV53" s="6297">
        <v>60</v>
      </c>
      <c r="AW53" s="6297">
        <v>46</v>
      </c>
      <c r="AX53" s="6299"/>
      <c r="AY53" s="6297">
        <v>76</v>
      </c>
      <c r="AZ53" s="6299"/>
      <c r="BA53" s="6299"/>
      <c r="BB53" s="6297">
        <v>155</v>
      </c>
      <c r="BC53" s="6300">
        <f t="shared" si="6"/>
        <v>0.45789473684210524</v>
      </c>
      <c r="BE53" s="6313">
        <v>2</v>
      </c>
      <c r="BF53" s="6313">
        <v>3</v>
      </c>
      <c r="BG53" s="6313">
        <v>54</v>
      </c>
      <c r="BH53" s="4405" t="s">
        <v>44</v>
      </c>
      <c r="BI53" s="6314">
        <v>614</v>
      </c>
      <c r="BJ53" s="6313">
        <v>13</v>
      </c>
      <c r="BK53" s="6313">
        <v>96</v>
      </c>
      <c r="BL53" s="6313">
        <v>139</v>
      </c>
      <c r="BM53" s="6313">
        <v>16</v>
      </c>
      <c r="BN53" s="6303"/>
      <c r="BO53" s="6313">
        <v>8</v>
      </c>
      <c r="BP53" s="6303"/>
      <c r="BQ53" s="6313">
        <v>61</v>
      </c>
      <c r="BR53" s="6303"/>
      <c r="BS53" s="6313">
        <v>47</v>
      </c>
      <c r="BT53" s="6313">
        <v>74</v>
      </c>
      <c r="BU53" s="6303"/>
      <c r="BV53" s="6303"/>
      <c r="BW53" s="6313">
        <v>160</v>
      </c>
      <c r="BX53" s="6300">
        <f t="shared" si="16"/>
        <v>0.43648208469055377</v>
      </c>
      <c r="BZ53" s="4388"/>
      <c r="CA53" s="4388"/>
      <c r="CB53" s="4388" t="s">
        <v>44</v>
      </c>
      <c r="CC53" s="4231">
        <v>168</v>
      </c>
      <c r="CD53" s="4231">
        <v>63</v>
      </c>
      <c r="CE53" s="4231"/>
      <c r="CF53" s="4231">
        <v>16</v>
      </c>
      <c r="CG53" s="4231">
        <v>152</v>
      </c>
      <c r="CH53" s="4231">
        <v>36</v>
      </c>
      <c r="CI53" s="4231">
        <v>8</v>
      </c>
      <c r="CJ53" s="4231"/>
      <c r="CK53" s="4231"/>
      <c r="CL53" s="4231">
        <v>15</v>
      </c>
      <c r="CM53" s="4231">
        <v>61</v>
      </c>
      <c r="CN53" s="4231"/>
      <c r="CO53" s="4231">
        <v>97</v>
      </c>
      <c r="CP53" s="4231">
        <v>0</v>
      </c>
      <c r="CQ53" s="4231">
        <v>616</v>
      </c>
      <c r="CR53" s="6304">
        <f t="shared" si="7"/>
        <v>0.4042207792207792</v>
      </c>
      <c r="CS53" s="4238">
        <f t="shared" si="8"/>
        <v>2</v>
      </c>
      <c r="CT53" s="6305">
        <v>614</v>
      </c>
      <c r="CU53" s="6316"/>
      <c r="CX53" s="42" t="s">
        <v>45</v>
      </c>
      <c r="CY53" s="42">
        <v>39</v>
      </c>
      <c r="CZ53" s="42">
        <v>45</v>
      </c>
      <c r="DB53" s="42">
        <v>23</v>
      </c>
      <c r="DC53" s="42">
        <v>120</v>
      </c>
      <c r="DD53" s="42">
        <v>41</v>
      </c>
      <c r="DE53" s="42">
        <v>26</v>
      </c>
      <c r="DH53" s="42">
        <v>10</v>
      </c>
      <c r="DI53" s="42">
        <v>44</v>
      </c>
      <c r="DK53" s="42">
        <v>65</v>
      </c>
      <c r="DL53" s="42">
        <v>0</v>
      </c>
      <c r="DM53" s="893">
        <v>413</v>
      </c>
      <c r="DN53" s="6306">
        <f t="shared" si="17"/>
        <v>0.49636803874092011</v>
      </c>
      <c r="DP53" s="4263"/>
      <c r="DQ53" s="4263"/>
      <c r="DR53" s="4258" t="s">
        <v>45</v>
      </c>
      <c r="DS53" s="4263">
        <v>76</v>
      </c>
      <c r="DT53" s="4263">
        <v>46</v>
      </c>
      <c r="DU53" s="4263">
        <v>1</v>
      </c>
      <c r="DV53" s="4263">
        <v>21</v>
      </c>
      <c r="DW53" s="4263">
        <v>84</v>
      </c>
      <c r="DX53" s="4263">
        <v>52</v>
      </c>
      <c r="DY53" s="4263">
        <v>4</v>
      </c>
      <c r="DZ53" s="4263"/>
      <c r="EA53" s="4263"/>
      <c r="EB53" s="4263">
        <v>12</v>
      </c>
      <c r="EC53" s="4263">
        <v>51</v>
      </c>
      <c r="ED53" s="4263"/>
      <c r="EE53" s="4263">
        <v>75</v>
      </c>
      <c r="EF53" s="4263">
        <v>0</v>
      </c>
      <c r="EG53" s="4263">
        <v>422</v>
      </c>
      <c r="EH53" s="6307">
        <f t="shared" si="9"/>
        <v>0.44312796208530808</v>
      </c>
      <c r="EL53" s="42" t="s">
        <v>45</v>
      </c>
      <c r="EM53" s="97">
        <v>97</v>
      </c>
      <c r="EN53" s="97">
        <v>35</v>
      </c>
      <c r="EO53" s="97">
        <v>0</v>
      </c>
      <c r="EP53" s="97">
        <v>4</v>
      </c>
      <c r="EQ53" s="97">
        <v>78</v>
      </c>
      <c r="ER53" s="97">
        <v>35</v>
      </c>
      <c r="ES53" s="97">
        <v>14</v>
      </c>
      <c r="ET53" s="97"/>
      <c r="EU53" s="97"/>
      <c r="EV53" s="97">
        <v>17</v>
      </c>
      <c r="EW53" s="97">
        <v>45</v>
      </c>
      <c r="EX53" s="97"/>
      <c r="EY53" s="97">
        <v>68</v>
      </c>
      <c r="EZ53" s="97">
        <v>0</v>
      </c>
      <c r="FA53" s="97">
        <v>393</v>
      </c>
      <c r="FB53" s="6315">
        <f t="shared" si="10"/>
        <v>0.4020356234096692</v>
      </c>
      <c r="FD53" s="42"/>
      <c r="FE53" s="42"/>
      <c r="FF53" s="42" t="s">
        <v>45</v>
      </c>
      <c r="FG53" s="97">
        <v>99</v>
      </c>
      <c r="FH53" s="97">
        <v>46</v>
      </c>
      <c r="FI53" s="97"/>
      <c r="FJ53" s="97">
        <v>22</v>
      </c>
      <c r="FK53" s="97">
        <v>55</v>
      </c>
      <c r="FL53" s="97">
        <v>27</v>
      </c>
      <c r="FM53" s="97">
        <v>12</v>
      </c>
      <c r="FN53" s="97"/>
      <c r="FO53" s="97">
        <v>0</v>
      </c>
      <c r="FP53" s="97">
        <v>11</v>
      </c>
      <c r="FQ53" s="97">
        <v>36</v>
      </c>
      <c r="FR53" s="97"/>
      <c r="FS53" s="97">
        <v>61</v>
      </c>
      <c r="FT53" s="97">
        <v>0</v>
      </c>
      <c r="FU53" s="97">
        <v>369</v>
      </c>
      <c r="FV53" s="6308">
        <f t="shared" si="0"/>
        <v>0.31978319783197834</v>
      </c>
      <c r="FW53" s="6322"/>
      <c r="FX53" s="42"/>
      <c r="FY53" s="42"/>
      <c r="FZ53" s="42" t="s">
        <v>45</v>
      </c>
      <c r="GA53" s="97">
        <v>98</v>
      </c>
      <c r="GB53" s="97">
        <v>29</v>
      </c>
      <c r="GC53" s="97"/>
      <c r="GD53" s="97">
        <v>20</v>
      </c>
      <c r="GE53" s="97">
        <v>47</v>
      </c>
      <c r="GF53" s="97">
        <v>19</v>
      </c>
      <c r="GG53" s="97">
        <v>11</v>
      </c>
      <c r="GH53" s="97"/>
      <c r="GI53" s="97">
        <v>0</v>
      </c>
      <c r="GJ53" s="97">
        <v>11</v>
      </c>
      <c r="GK53" s="97">
        <v>20</v>
      </c>
      <c r="GL53" s="97"/>
      <c r="GM53" s="97">
        <v>54</v>
      </c>
      <c r="GN53" s="97">
        <v>0</v>
      </c>
      <c r="GO53" s="97">
        <v>309</v>
      </c>
      <c r="GP53" s="6308">
        <f t="shared" si="11"/>
        <v>0.27831715210355989</v>
      </c>
      <c r="GR53" s="6280"/>
      <c r="GS53" s="6280"/>
      <c r="GT53" s="6310" t="s">
        <v>45</v>
      </c>
      <c r="GU53" s="6311">
        <v>67</v>
      </c>
      <c r="GV53" s="6311">
        <v>24</v>
      </c>
      <c r="GW53" s="6312"/>
      <c r="GX53" s="6311">
        <v>20</v>
      </c>
      <c r="GY53" s="6311">
        <v>41</v>
      </c>
      <c r="GZ53" s="6311">
        <v>11</v>
      </c>
      <c r="HA53" s="6311">
        <v>10</v>
      </c>
      <c r="HB53" s="6312"/>
      <c r="HC53" s="6311">
        <v>0</v>
      </c>
      <c r="HD53" s="6311">
        <v>7</v>
      </c>
      <c r="HE53" s="6311">
        <v>20</v>
      </c>
      <c r="HF53" s="6312"/>
      <c r="HG53" s="6311">
        <v>51</v>
      </c>
      <c r="HH53" s="6311">
        <v>0</v>
      </c>
      <c r="HI53" s="6311">
        <v>251</v>
      </c>
      <c r="HJ53" s="467">
        <f t="shared" si="12"/>
        <v>0.28685258964143429</v>
      </c>
      <c r="HL53" s="967"/>
      <c r="HM53" s="967"/>
      <c r="HN53" s="977" t="s">
        <v>45</v>
      </c>
      <c r="HO53" s="978">
        <v>65</v>
      </c>
      <c r="HP53" s="978">
        <v>21</v>
      </c>
      <c r="HQ53" s="978">
        <v>0</v>
      </c>
      <c r="HR53" s="978">
        <v>22</v>
      </c>
      <c r="HS53" s="978">
        <v>36</v>
      </c>
      <c r="HT53" s="978">
        <v>7</v>
      </c>
      <c r="HU53" s="978">
        <v>11</v>
      </c>
      <c r="HV53" s="967"/>
      <c r="HW53" s="978">
        <v>0</v>
      </c>
      <c r="HX53" s="978">
        <v>4</v>
      </c>
      <c r="HY53" s="978">
        <v>15</v>
      </c>
      <c r="HZ53" s="978">
        <v>61</v>
      </c>
      <c r="IA53" s="967"/>
      <c r="IB53" s="978">
        <v>242</v>
      </c>
      <c r="IC53" s="467">
        <f t="shared" si="13"/>
        <v>0.23966942148760331</v>
      </c>
      <c r="IE53" s="577"/>
      <c r="IF53" s="577"/>
      <c r="IG53" s="979" t="s">
        <v>45</v>
      </c>
      <c r="IH53" s="980">
        <v>40</v>
      </c>
      <c r="II53" s="980">
        <v>11</v>
      </c>
      <c r="IJ53" s="577"/>
      <c r="IK53" s="980">
        <v>15</v>
      </c>
      <c r="IL53" s="980">
        <v>27</v>
      </c>
      <c r="IM53" s="980">
        <v>8</v>
      </c>
      <c r="IN53" s="980">
        <v>8</v>
      </c>
      <c r="IO53" s="577"/>
      <c r="IP53" s="577"/>
      <c r="IQ53" s="980">
        <v>2</v>
      </c>
      <c r="IR53" s="980">
        <v>10</v>
      </c>
      <c r="IS53" s="980">
        <v>45</v>
      </c>
      <c r="IT53" s="577"/>
      <c r="IU53" s="980">
        <v>166</v>
      </c>
      <c r="IV53" s="467">
        <f t="shared" si="14"/>
        <v>0.27108433734939757</v>
      </c>
      <c r="IX53" s="742"/>
      <c r="IY53" s="742"/>
      <c r="IZ53" s="981" t="s">
        <v>46</v>
      </c>
      <c r="JA53" s="982">
        <v>233</v>
      </c>
      <c r="JB53" s="982">
        <v>46</v>
      </c>
      <c r="JC53" s="982">
        <v>0</v>
      </c>
      <c r="JD53" s="982">
        <v>78</v>
      </c>
      <c r="JE53" s="982">
        <v>221</v>
      </c>
      <c r="JF53" s="982">
        <v>45</v>
      </c>
      <c r="JG53" s="982">
        <v>52</v>
      </c>
      <c r="JH53" s="982">
        <v>0</v>
      </c>
      <c r="JI53" s="982">
        <v>16</v>
      </c>
      <c r="JJ53" s="982">
        <v>41</v>
      </c>
      <c r="JK53" s="982">
        <v>155</v>
      </c>
      <c r="JL53" s="982">
        <v>194</v>
      </c>
      <c r="JM53" s="982">
        <v>0</v>
      </c>
      <c r="JN53" s="982">
        <v>4</v>
      </c>
      <c r="JO53" s="982">
        <v>1085</v>
      </c>
      <c r="JP53" s="983">
        <f t="shared" si="15"/>
        <v>0.33153347732181426</v>
      </c>
      <c r="JR53" s="97"/>
      <c r="JS53" s="97"/>
      <c r="JT53" s="42" t="s">
        <v>46</v>
      </c>
      <c r="JU53" s="42">
        <v>173</v>
      </c>
      <c r="JV53" s="42">
        <v>67</v>
      </c>
      <c r="JW53" s="42"/>
      <c r="JX53" s="42">
        <v>80</v>
      </c>
      <c r="JY53" s="42">
        <v>220</v>
      </c>
      <c r="JZ53" s="42">
        <v>44</v>
      </c>
      <c r="KA53" s="42">
        <v>46</v>
      </c>
      <c r="KB53" s="42"/>
      <c r="KC53" s="42">
        <v>20</v>
      </c>
      <c r="KD53" s="42">
        <v>29</v>
      </c>
      <c r="KE53" s="42">
        <v>125</v>
      </c>
      <c r="KF53" s="42">
        <v>182</v>
      </c>
      <c r="KG53" s="42"/>
      <c r="KH53" s="42">
        <v>3</v>
      </c>
      <c r="KI53" s="42">
        <v>989</v>
      </c>
      <c r="KJ53" s="984">
        <f t="shared" si="1"/>
        <v>0.34030197444831589</v>
      </c>
      <c r="KK53" s="42"/>
      <c r="KL53" s="354"/>
      <c r="KM53" s="354"/>
      <c r="KN53" s="354" t="s">
        <v>46</v>
      </c>
      <c r="KO53" s="985">
        <v>138</v>
      </c>
      <c r="KP53" s="985">
        <v>59</v>
      </c>
      <c r="KQ53" s="985" t="s">
        <v>315</v>
      </c>
      <c r="KR53" s="985">
        <v>77</v>
      </c>
      <c r="KS53" s="985">
        <v>224</v>
      </c>
      <c r="KT53" s="985">
        <v>43</v>
      </c>
      <c r="KU53" s="985">
        <v>58</v>
      </c>
      <c r="KV53" s="985" t="s">
        <v>315</v>
      </c>
      <c r="KW53" s="985">
        <v>38</v>
      </c>
      <c r="KX53" s="985">
        <v>50</v>
      </c>
      <c r="KY53" s="985">
        <v>182</v>
      </c>
      <c r="KZ53" s="985" t="s">
        <v>315</v>
      </c>
      <c r="LA53" s="985">
        <v>869</v>
      </c>
      <c r="LB53" s="985">
        <f t="shared" si="2"/>
        <v>317</v>
      </c>
      <c r="LC53" s="986">
        <f t="shared" si="3"/>
        <v>0.36478711162255467</v>
      </c>
      <c r="LD53" s="42"/>
      <c r="LE53" s="42"/>
    </row>
    <row r="54" spans="1:317">
      <c r="A54" s="6291">
        <v>3</v>
      </c>
      <c r="B54" s="6291">
        <v>2</v>
      </c>
      <c r="C54" s="6291">
        <v>66</v>
      </c>
      <c r="D54" s="6292">
        <v>2379</v>
      </c>
      <c r="E54" s="6291">
        <v>7</v>
      </c>
      <c r="F54" s="6291">
        <v>386</v>
      </c>
      <c r="G54" s="6291">
        <v>114</v>
      </c>
      <c r="H54" s="6291">
        <v>44</v>
      </c>
      <c r="I54" s="6291">
        <v>1</v>
      </c>
      <c r="J54" s="6291">
        <v>10</v>
      </c>
      <c r="K54" s="6291">
        <v>343</v>
      </c>
      <c r="L54" s="6293"/>
      <c r="M54" s="6291">
        <v>251</v>
      </c>
      <c r="N54" s="6291">
        <v>71</v>
      </c>
      <c r="O54" s="6293"/>
      <c r="P54" s="6291">
        <v>1152</v>
      </c>
      <c r="Q54" s="6294">
        <f t="shared" si="4"/>
        <v>0.73392181588902905</v>
      </c>
      <c r="S54" s="6295">
        <v>2</v>
      </c>
      <c r="T54" s="6295">
        <v>3</v>
      </c>
      <c r="U54" s="6295">
        <v>55</v>
      </c>
      <c r="V54" s="6295">
        <v>383</v>
      </c>
      <c r="W54" s="6295">
        <v>5</v>
      </c>
      <c r="X54" s="6295">
        <v>62</v>
      </c>
      <c r="Y54" s="6295">
        <v>32</v>
      </c>
      <c r="Z54" s="6295">
        <v>11</v>
      </c>
      <c r="AA54" s="6296"/>
      <c r="AB54" s="6296"/>
      <c r="AC54" s="6295">
        <v>53</v>
      </c>
      <c r="AD54" s="6296"/>
      <c r="AE54" s="6295">
        <v>43</v>
      </c>
      <c r="AF54" s="6295">
        <v>45</v>
      </c>
      <c r="AG54" s="6296"/>
      <c r="AH54" s="6295">
        <v>132</v>
      </c>
      <c r="AI54" s="6294">
        <f t="shared" si="5"/>
        <v>0.59530026109660572</v>
      </c>
      <c r="AJ54" s="6295"/>
      <c r="AK54" s="6297">
        <v>2</v>
      </c>
      <c r="AL54" s="6297">
        <v>3</v>
      </c>
      <c r="AM54" s="6297">
        <v>55</v>
      </c>
      <c r="AN54" s="6298">
        <v>383</v>
      </c>
      <c r="AO54" s="6297">
        <v>5</v>
      </c>
      <c r="AP54" s="6297">
        <v>62</v>
      </c>
      <c r="AQ54" s="6297">
        <v>49</v>
      </c>
      <c r="AR54" s="6297">
        <v>11</v>
      </c>
      <c r="AS54" s="6299"/>
      <c r="AT54" s="6299"/>
      <c r="AU54" s="6299"/>
      <c r="AV54" s="6297">
        <v>53</v>
      </c>
      <c r="AW54" s="6297">
        <v>38</v>
      </c>
      <c r="AX54" s="6299"/>
      <c r="AY54" s="6297">
        <v>40</v>
      </c>
      <c r="AZ54" s="6299"/>
      <c r="BA54" s="6299"/>
      <c r="BB54" s="6297">
        <v>125</v>
      </c>
      <c r="BC54" s="6300">
        <f t="shared" si="6"/>
        <v>0.56396866840731075</v>
      </c>
      <c r="BE54" s="6313">
        <v>2</v>
      </c>
      <c r="BF54" s="6313">
        <v>3</v>
      </c>
      <c r="BG54" s="6313">
        <v>55</v>
      </c>
      <c r="BH54" s="4405" t="s">
        <v>45</v>
      </c>
      <c r="BI54" s="6314">
        <v>419</v>
      </c>
      <c r="BJ54" s="6313">
        <v>5</v>
      </c>
      <c r="BK54" s="6313">
        <v>83</v>
      </c>
      <c r="BL54" s="6313">
        <v>45</v>
      </c>
      <c r="BM54" s="6313">
        <v>21</v>
      </c>
      <c r="BN54" s="6303"/>
      <c r="BO54" s="6313">
        <v>1</v>
      </c>
      <c r="BP54" s="6303"/>
      <c r="BQ54" s="6313">
        <v>59</v>
      </c>
      <c r="BR54" s="6303"/>
      <c r="BS54" s="6313">
        <v>57</v>
      </c>
      <c r="BT54" s="6313">
        <v>43</v>
      </c>
      <c r="BU54" s="6303"/>
      <c r="BV54" s="6303"/>
      <c r="BW54" s="6313">
        <v>105</v>
      </c>
      <c r="BX54" s="6300">
        <f t="shared" si="16"/>
        <v>0.52744630071599041</v>
      </c>
      <c r="BZ54" s="4388"/>
      <c r="CA54" s="4388"/>
      <c r="CB54" s="4388" t="s">
        <v>45</v>
      </c>
      <c r="CC54" s="4231">
        <v>59</v>
      </c>
      <c r="CD54" s="4231">
        <v>40</v>
      </c>
      <c r="CE54" s="4231"/>
      <c r="CF54" s="4231">
        <v>21</v>
      </c>
      <c r="CG54" s="4231">
        <v>102</v>
      </c>
      <c r="CH54" s="4231">
        <v>45</v>
      </c>
      <c r="CI54" s="4231">
        <v>1</v>
      </c>
      <c r="CJ54" s="4231"/>
      <c r="CK54" s="4231"/>
      <c r="CL54" s="4231">
        <v>6</v>
      </c>
      <c r="CM54" s="4231">
        <v>64</v>
      </c>
      <c r="CN54" s="4231"/>
      <c r="CO54" s="4231">
        <v>82</v>
      </c>
      <c r="CP54" s="4231">
        <v>0</v>
      </c>
      <c r="CQ54" s="4231">
        <v>420</v>
      </c>
      <c r="CR54" s="6304">
        <f t="shared" si="7"/>
        <v>0.50238095238095237</v>
      </c>
      <c r="CS54" s="4238">
        <f t="shared" si="8"/>
        <v>1</v>
      </c>
      <c r="CT54" s="6305">
        <v>419</v>
      </c>
      <c r="CU54" s="6316"/>
      <c r="CX54" s="42" t="s">
        <v>46</v>
      </c>
      <c r="CY54" s="42">
        <v>144</v>
      </c>
      <c r="CZ54" s="42">
        <v>104</v>
      </c>
      <c r="DB54" s="42">
        <v>55</v>
      </c>
      <c r="DC54" s="42">
        <v>425</v>
      </c>
      <c r="DD54" s="42">
        <v>67</v>
      </c>
      <c r="DE54" s="42">
        <v>134</v>
      </c>
      <c r="DH54" s="42">
        <v>39</v>
      </c>
      <c r="DI54" s="42">
        <v>63</v>
      </c>
      <c r="DK54" s="42">
        <v>184</v>
      </c>
      <c r="DL54" s="42">
        <v>2</v>
      </c>
      <c r="DM54" s="893">
        <v>1217</v>
      </c>
      <c r="DN54" s="6306">
        <f t="shared" si="17"/>
        <v>0.4567901234567901</v>
      </c>
      <c r="DP54" s="4263"/>
      <c r="DQ54" s="4263"/>
      <c r="DR54" s="4258" t="s">
        <v>46</v>
      </c>
      <c r="DS54" s="4263">
        <v>252</v>
      </c>
      <c r="DT54" s="4263">
        <v>132</v>
      </c>
      <c r="DU54" s="4263">
        <v>0</v>
      </c>
      <c r="DV54" s="4263">
        <v>49</v>
      </c>
      <c r="DW54" s="4263">
        <v>277</v>
      </c>
      <c r="DX54" s="4263">
        <v>101</v>
      </c>
      <c r="DY54" s="4263">
        <v>54</v>
      </c>
      <c r="DZ54" s="4263"/>
      <c r="EA54" s="4263"/>
      <c r="EB54" s="4263">
        <v>48</v>
      </c>
      <c r="EC54" s="4263">
        <v>72</v>
      </c>
      <c r="ED54" s="4263"/>
      <c r="EE54" s="4263">
        <v>216</v>
      </c>
      <c r="EF54" s="4263">
        <v>2</v>
      </c>
      <c r="EG54" s="4263">
        <v>1203</v>
      </c>
      <c r="EH54" s="6307">
        <f t="shared" si="9"/>
        <v>0.37468776019983346</v>
      </c>
      <c r="EL54" s="42" t="s">
        <v>46</v>
      </c>
      <c r="EM54" s="97">
        <v>265</v>
      </c>
      <c r="EN54" s="97">
        <v>109</v>
      </c>
      <c r="EO54" s="97">
        <v>1</v>
      </c>
      <c r="EP54" s="97">
        <v>3</v>
      </c>
      <c r="EQ54" s="97">
        <v>317</v>
      </c>
      <c r="ER54" s="97">
        <v>63</v>
      </c>
      <c r="ES54" s="97">
        <v>67</v>
      </c>
      <c r="ET54" s="97"/>
      <c r="EU54" s="97"/>
      <c r="EV54" s="97">
        <v>55</v>
      </c>
      <c r="EW54" s="97">
        <v>78</v>
      </c>
      <c r="EX54" s="97"/>
      <c r="EY54" s="97">
        <v>206</v>
      </c>
      <c r="EZ54" s="97">
        <v>1</v>
      </c>
      <c r="FA54" s="97">
        <v>1165</v>
      </c>
      <c r="FB54" s="6315">
        <f t="shared" si="10"/>
        <v>0.39347079037800686</v>
      </c>
      <c r="FD54" s="42"/>
      <c r="FE54" s="42"/>
      <c r="FF54" s="42" t="s">
        <v>46</v>
      </c>
      <c r="FG54" s="97">
        <v>262</v>
      </c>
      <c r="FH54" s="97">
        <v>126</v>
      </c>
      <c r="FI54" s="97"/>
      <c r="FJ54" s="97">
        <v>55</v>
      </c>
      <c r="FK54" s="97">
        <v>283</v>
      </c>
      <c r="FL54" s="97">
        <v>63</v>
      </c>
      <c r="FM54" s="97">
        <v>63</v>
      </c>
      <c r="FN54" s="97"/>
      <c r="FO54" s="97">
        <v>0</v>
      </c>
      <c r="FP54" s="97">
        <v>77</v>
      </c>
      <c r="FQ54" s="97">
        <v>82</v>
      </c>
      <c r="FR54" s="97"/>
      <c r="FS54" s="97">
        <v>181</v>
      </c>
      <c r="FT54" s="97">
        <v>0</v>
      </c>
      <c r="FU54" s="97">
        <v>1192</v>
      </c>
      <c r="FV54" s="6308">
        <f t="shared" si="0"/>
        <v>0.35906040268456374</v>
      </c>
      <c r="FW54" s="6322"/>
      <c r="FX54" s="42"/>
      <c r="FY54" s="42"/>
      <c r="FZ54" s="42" t="s">
        <v>46</v>
      </c>
      <c r="GA54" s="97">
        <v>293</v>
      </c>
      <c r="GB54" s="97">
        <v>144</v>
      </c>
      <c r="GC54" s="97"/>
      <c r="GD54" s="97">
        <v>51</v>
      </c>
      <c r="GE54" s="97">
        <v>289</v>
      </c>
      <c r="GF54" s="97">
        <v>49</v>
      </c>
      <c r="GG54" s="97">
        <v>58</v>
      </c>
      <c r="GH54" s="97"/>
      <c r="GI54" s="97">
        <v>0</v>
      </c>
      <c r="GJ54" s="97">
        <v>58</v>
      </c>
      <c r="GK54" s="97">
        <v>62</v>
      </c>
      <c r="GL54" s="97"/>
      <c r="GM54" s="97">
        <v>149</v>
      </c>
      <c r="GN54" s="97">
        <v>1</v>
      </c>
      <c r="GO54" s="97">
        <v>1154</v>
      </c>
      <c r="GP54" s="6308">
        <f t="shared" si="11"/>
        <v>0.3469210754553339</v>
      </c>
      <c r="GR54" s="6280"/>
      <c r="GS54" s="6280"/>
      <c r="GT54" s="6310" t="s">
        <v>46</v>
      </c>
      <c r="GU54" s="6311">
        <v>268</v>
      </c>
      <c r="GV54" s="6311">
        <v>105</v>
      </c>
      <c r="GW54" s="6312"/>
      <c r="GX54" s="6311">
        <v>55</v>
      </c>
      <c r="GY54" s="6311">
        <v>288</v>
      </c>
      <c r="GZ54" s="6311">
        <v>28</v>
      </c>
      <c r="HA54" s="6311">
        <v>53</v>
      </c>
      <c r="HB54" s="6312"/>
      <c r="HC54" s="6311">
        <v>0</v>
      </c>
      <c r="HD54" s="6311">
        <v>69</v>
      </c>
      <c r="HE54" s="6311">
        <v>57</v>
      </c>
      <c r="HF54" s="6312"/>
      <c r="HG54" s="6311">
        <v>150</v>
      </c>
      <c r="HH54" s="6311">
        <v>1</v>
      </c>
      <c r="HI54" s="6311">
        <v>1074</v>
      </c>
      <c r="HJ54" s="467">
        <f t="shared" si="12"/>
        <v>0.34762348555452005</v>
      </c>
      <c r="HL54" s="967"/>
      <c r="HM54" s="967"/>
      <c r="HN54" s="977" t="s">
        <v>46</v>
      </c>
      <c r="HO54" s="978">
        <v>276</v>
      </c>
      <c r="HP54" s="978">
        <v>86</v>
      </c>
      <c r="HQ54" s="978">
        <v>1</v>
      </c>
      <c r="HR54" s="978">
        <v>77</v>
      </c>
      <c r="HS54" s="978">
        <v>264</v>
      </c>
      <c r="HT54" s="978">
        <v>41</v>
      </c>
      <c r="HU54" s="978">
        <v>65</v>
      </c>
      <c r="HV54" s="967"/>
      <c r="HW54" s="978">
        <v>0</v>
      </c>
      <c r="HX54" s="978">
        <v>53</v>
      </c>
      <c r="HY54" s="978">
        <v>46</v>
      </c>
      <c r="HZ54" s="978">
        <v>176</v>
      </c>
      <c r="IA54" s="967"/>
      <c r="IB54" s="978">
        <v>1085</v>
      </c>
      <c r="IC54" s="467">
        <f t="shared" si="13"/>
        <v>0.32350230414746545</v>
      </c>
      <c r="IE54" s="577"/>
      <c r="IF54" s="577"/>
      <c r="IG54" s="979" t="s">
        <v>46</v>
      </c>
      <c r="IH54" s="980">
        <v>289</v>
      </c>
      <c r="II54" s="980">
        <v>77</v>
      </c>
      <c r="IJ54" s="577"/>
      <c r="IK54" s="980">
        <v>80</v>
      </c>
      <c r="IL54" s="980">
        <v>227</v>
      </c>
      <c r="IM54" s="980">
        <v>56</v>
      </c>
      <c r="IN54" s="980">
        <v>47</v>
      </c>
      <c r="IO54" s="577"/>
      <c r="IP54" s="577"/>
      <c r="IQ54" s="980">
        <v>10</v>
      </c>
      <c r="IR54" s="980">
        <v>51</v>
      </c>
      <c r="IS54" s="980">
        <v>182</v>
      </c>
      <c r="IT54" s="577"/>
      <c r="IU54" s="980">
        <v>1019</v>
      </c>
      <c r="IV54" s="467">
        <f t="shared" si="14"/>
        <v>0.32777232580961729</v>
      </c>
      <c r="IX54" s="742"/>
      <c r="IY54" s="742"/>
      <c r="IZ54" s="981" t="s">
        <v>47</v>
      </c>
      <c r="JA54" s="982">
        <v>258</v>
      </c>
      <c r="JB54" s="982">
        <v>58</v>
      </c>
      <c r="JC54" s="982">
        <v>0</v>
      </c>
      <c r="JD54" s="982">
        <v>64</v>
      </c>
      <c r="JE54" s="982">
        <v>225</v>
      </c>
      <c r="JF54" s="982">
        <v>35</v>
      </c>
      <c r="JG54" s="982">
        <v>67</v>
      </c>
      <c r="JH54" s="982">
        <v>0</v>
      </c>
      <c r="JI54" s="982">
        <v>9</v>
      </c>
      <c r="JJ54" s="982">
        <v>68</v>
      </c>
      <c r="JK54" s="982">
        <v>207</v>
      </c>
      <c r="JL54" s="982">
        <v>277</v>
      </c>
      <c r="JM54" s="982">
        <v>0</v>
      </c>
      <c r="JN54" s="982">
        <v>2</v>
      </c>
      <c r="JO54" s="982">
        <v>1270</v>
      </c>
      <c r="JP54" s="983">
        <f t="shared" si="15"/>
        <v>0.30914231856738927</v>
      </c>
      <c r="JR54" s="97"/>
      <c r="JS54" s="97"/>
      <c r="JT54" s="42" t="s">
        <v>47</v>
      </c>
      <c r="JU54" s="42">
        <v>214</v>
      </c>
      <c r="JV54" s="42">
        <v>73</v>
      </c>
      <c r="JW54" s="42"/>
      <c r="JX54" s="42">
        <v>58</v>
      </c>
      <c r="JY54" s="42">
        <v>218</v>
      </c>
      <c r="JZ54" s="42">
        <v>41</v>
      </c>
      <c r="KA54" s="42">
        <v>90</v>
      </c>
      <c r="KB54" s="42"/>
      <c r="KC54" s="42">
        <v>13</v>
      </c>
      <c r="KD54" s="42">
        <v>59</v>
      </c>
      <c r="KE54" s="42">
        <v>182</v>
      </c>
      <c r="KF54" s="42">
        <v>272</v>
      </c>
      <c r="KG54" s="42"/>
      <c r="KH54" s="42">
        <v>2</v>
      </c>
      <c r="KI54" s="42">
        <v>1222</v>
      </c>
      <c r="KJ54" s="984">
        <f t="shared" si="1"/>
        <v>0.30635838150289019</v>
      </c>
      <c r="KK54" s="42"/>
      <c r="KL54" s="354"/>
      <c r="KM54" s="354"/>
      <c r="KN54" s="354" t="s">
        <v>47</v>
      </c>
      <c r="KO54" s="985">
        <v>200</v>
      </c>
      <c r="KP54" s="985">
        <v>77</v>
      </c>
      <c r="KQ54" s="985" t="s">
        <v>315</v>
      </c>
      <c r="KR54" s="985">
        <v>64</v>
      </c>
      <c r="KS54" s="985">
        <v>220</v>
      </c>
      <c r="KT54" s="985">
        <v>38</v>
      </c>
      <c r="KU54" s="985">
        <v>79</v>
      </c>
      <c r="KV54" s="985" t="s">
        <v>315</v>
      </c>
      <c r="KW54" s="985">
        <v>24</v>
      </c>
      <c r="KX54" s="985">
        <v>59</v>
      </c>
      <c r="KY54" s="985">
        <v>267</v>
      </c>
      <c r="KZ54" s="985" t="s">
        <v>315</v>
      </c>
      <c r="LA54" s="985">
        <v>1028</v>
      </c>
      <c r="LB54" s="985">
        <f t="shared" si="2"/>
        <v>317</v>
      </c>
      <c r="LC54" s="986">
        <f t="shared" si="3"/>
        <v>0.30836575875486383</v>
      </c>
      <c r="LD54" s="42"/>
      <c r="LE54" s="42"/>
    </row>
    <row r="55" spans="1:317">
      <c r="A55" s="6291">
        <v>3</v>
      </c>
      <c r="B55" s="6291">
        <v>2</v>
      </c>
      <c r="C55" s="6291">
        <v>67</v>
      </c>
      <c r="D55" s="6292">
        <v>1222</v>
      </c>
      <c r="E55" s="6291">
        <v>9</v>
      </c>
      <c r="F55" s="6291">
        <v>291</v>
      </c>
      <c r="G55" s="6291">
        <v>110</v>
      </c>
      <c r="H55" s="6291">
        <v>57</v>
      </c>
      <c r="I55" s="6291">
        <v>2</v>
      </c>
      <c r="J55" s="6291">
        <v>17</v>
      </c>
      <c r="K55" s="6291">
        <v>167</v>
      </c>
      <c r="L55" s="6293"/>
      <c r="M55" s="6291">
        <v>97</v>
      </c>
      <c r="N55" s="6291">
        <v>61</v>
      </c>
      <c r="O55" s="6293"/>
      <c r="P55" s="6291">
        <v>411</v>
      </c>
      <c r="Q55" s="6294">
        <f t="shared" si="4"/>
        <v>0.55237315875613746</v>
      </c>
      <c r="S55" s="6295">
        <v>2</v>
      </c>
      <c r="T55" s="6295">
        <v>3</v>
      </c>
      <c r="U55" s="6295">
        <v>56</v>
      </c>
      <c r="V55" s="6295">
        <v>1162</v>
      </c>
      <c r="W55" s="6295">
        <v>23</v>
      </c>
      <c r="X55" s="6295">
        <v>174</v>
      </c>
      <c r="Y55" s="6295">
        <v>272</v>
      </c>
      <c r="Z55" s="6295">
        <v>46</v>
      </c>
      <c r="AA55" s="6296"/>
      <c r="AB55" s="6295">
        <v>12</v>
      </c>
      <c r="AC55" s="6295">
        <v>117</v>
      </c>
      <c r="AD55" s="6296"/>
      <c r="AE55" s="6295">
        <v>82</v>
      </c>
      <c r="AF55" s="6295">
        <v>143</v>
      </c>
      <c r="AG55" s="6296"/>
      <c r="AH55" s="6295">
        <v>293</v>
      </c>
      <c r="AI55" s="6294">
        <f t="shared" si="5"/>
        <v>0.423407917383821</v>
      </c>
      <c r="AJ55" s="6295"/>
      <c r="AK55" s="6297">
        <v>2</v>
      </c>
      <c r="AL55" s="6297">
        <v>3</v>
      </c>
      <c r="AM55" s="6297">
        <v>56</v>
      </c>
      <c r="AN55" s="6298">
        <v>1164</v>
      </c>
      <c r="AO55" s="6297">
        <v>22</v>
      </c>
      <c r="AP55" s="6297">
        <v>175</v>
      </c>
      <c r="AQ55" s="6297">
        <v>314</v>
      </c>
      <c r="AR55" s="6297">
        <v>46</v>
      </c>
      <c r="AS55" s="6299"/>
      <c r="AT55" s="6297">
        <v>12</v>
      </c>
      <c r="AU55" s="6297">
        <v>2</v>
      </c>
      <c r="AV55" s="6297">
        <v>92</v>
      </c>
      <c r="AW55" s="6297">
        <v>74</v>
      </c>
      <c r="AX55" s="6299"/>
      <c r="AY55" s="6297">
        <v>143</v>
      </c>
      <c r="AZ55" s="6299"/>
      <c r="BA55" s="6299"/>
      <c r="BB55" s="6297">
        <v>284</v>
      </c>
      <c r="BC55" s="6300">
        <f t="shared" si="6"/>
        <v>0.38726333907056798</v>
      </c>
      <c r="BE55" s="6313">
        <v>2</v>
      </c>
      <c r="BF55" s="6313">
        <v>3</v>
      </c>
      <c r="BG55" s="6313">
        <v>56</v>
      </c>
      <c r="BH55" s="4405" t="s">
        <v>46</v>
      </c>
      <c r="BI55" s="6314">
        <v>1164</v>
      </c>
      <c r="BJ55" s="6313">
        <v>22</v>
      </c>
      <c r="BK55" s="6313">
        <v>222</v>
      </c>
      <c r="BL55" s="6313">
        <v>264</v>
      </c>
      <c r="BM55" s="6313">
        <v>45</v>
      </c>
      <c r="BN55" s="6303"/>
      <c r="BO55" s="6313">
        <v>15</v>
      </c>
      <c r="BP55" s="6313">
        <v>2</v>
      </c>
      <c r="BQ55" s="6313">
        <v>97</v>
      </c>
      <c r="BR55" s="6303"/>
      <c r="BS55" s="6313">
        <v>89</v>
      </c>
      <c r="BT55" s="6313">
        <v>126</v>
      </c>
      <c r="BU55" s="6303"/>
      <c r="BV55" s="6303"/>
      <c r="BW55" s="6313">
        <v>282</v>
      </c>
      <c r="BX55" s="6300">
        <f t="shared" si="16"/>
        <v>0.40275387263339069</v>
      </c>
      <c r="BZ55" s="4388"/>
      <c r="CA55" s="4388"/>
      <c r="CB55" s="4388" t="s">
        <v>46</v>
      </c>
      <c r="CC55" s="4231">
        <v>296</v>
      </c>
      <c r="CD55" s="4231">
        <v>125</v>
      </c>
      <c r="CE55" s="4231"/>
      <c r="CF55" s="4231">
        <v>43</v>
      </c>
      <c r="CG55" s="4231">
        <v>276</v>
      </c>
      <c r="CH55" s="4231">
        <v>70</v>
      </c>
      <c r="CI55" s="4231">
        <v>15</v>
      </c>
      <c r="CJ55" s="4231"/>
      <c r="CK55" s="4231"/>
      <c r="CL55" s="4231">
        <v>22</v>
      </c>
      <c r="CM55" s="4231">
        <v>96</v>
      </c>
      <c r="CN55" s="4231"/>
      <c r="CO55" s="4231">
        <v>224</v>
      </c>
      <c r="CP55" s="4231">
        <v>2</v>
      </c>
      <c r="CQ55" s="4231">
        <v>1169</v>
      </c>
      <c r="CR55" s="6304">
        <f t="shared" si="7"/>
        <v>0.37874892887746359</v>
      </c>
      <c r="CS55" s="4238">
        <f t="shared" si="8"/>
        <v>6</v>
      </c>
      <c r="CT55" s="6305">
        <v>1163</v>
      </c>
      <c r="CU55" s="6316"/>
      <c r="CX55" s="42" t="s">
        <v>47</v>
      </c>
      <c r="CY55" s="42">
        <v>148</v>
      </c>
      <c r="CZ55" s="42">
        <v>114</v>
      </c>
      <c r="DB55" s="42">
        <v>68</v>
      </c>
      <c r="DC55" s="42">
        <v>336</v>
      </c>
      <c r="DD55" s="42">
        <v>68</v>
      </c>
      <c r="DE55" s="42">
        <v>154</v>
      </c>
      <c r="DH55" s="42">
        <v>35</v>
      </c>
      <c r="DI55" s="42">
        <v>73</v>
      </c>
      <c r="DK55" s="42">
        <v>236</v>
      </c>
      <c r="DL55" s="42">
        <v>0</v>
      </c>
      <c r="DM55" s="893">
        <v>1232</v>
      </c>
      <c r="DN55" s="6306">
        <f t="shared" si="17"/>
        <v>0.38717532467532467</v>
      </c>
      <c r="DP55" s="4263"/>
      <c r="DQ55" s="4263"/>
      <c r="DR55" s="4258" t="s">
        <v>47</v>
      </c>
      <c r="DS55" s="4263">
        <v>286</v>
      </c>
      <c r="DT55" s="4263">
        <v>127</v>
      </c>
      <c r="DU55" s="4263">
        <v>0</v>
      </c>
      <c r="DV55" s="4263">
        <v>66</v>
      </c>
      <c r="DW55" s="4263">
        <v>222</v>
      </c>
      <c r="DX55" s="4263">
        <v>82</v>
      </c>
      <c r="DY55" s="4263">
        <v>59</v>
      </c>
      <c r="DZ55" s="4263"/>
      <c r="EA55" s="4263"/>
      <c r="EB55" s="4263">
        <v>41</v>
      </c>
      <c r="EC55" s="4263">
        <v>70</v>
      </c>
      <c r="ED55" s="4263"/>
      <c r="EE55" s="4263">
        <v>258</v>
      </c>
      <c r="EF55" s="4263">
        <v>0</v>
      </c>
      <c r="EG55" s="4263">
        <v>1211</v>
      </c>
      <c r="EH55" s="6307">
        <f t="shared" si="9"/>
        <v>0.30883567299752268</v>
      </c>
      <c r="EL55" s="42" t="s">
        <v>47</v>
      </c>
      <c r="EM55" s="97">
        <v>283</v>
      </c>
      <c r="EN55" s="97">
        <v>123</v>
      </c>
      <c r="EO55" s="97">
        <v>0</v>
      </c>
      <c r="EP55" s="97">
        <v>2</v>
      </c>
      <c r="EQ55" s="97">
        <v>267</v>
      </c>
      <c r="ER55" s="97">
        <v>49</v>
      </c>
      <c r="ES55" s="97">
        <v>82</v>
      </c>
      <c r="ET55" s="97"/>
      <c r="EU55" s="97"/>
      <c r="EV55" s="97">
        <v>41</v>
      </c>
      <c r="EW55" s="97">
        <v>76</v>
      </c>
      <c r="EX55" s="97"/>
      <c r="EY55" s="97">
        <v>248</v>
      </c>
      <c r="EZ55" s="97">
        <v>0</v>
      </c>
      <c r="FA55" s="97">
        <v>1171</v>
      </c>
      <c r="FB55" s="6315">
        <f t="shared" si="10"/>
        <v>0.33475661827497866</v>
      </c>
      <c r="FD55" s="42"/>
      <c r="FE55" s="42"/>
      <c r="FF55" s="42" t="s">
        <v>47</v>
      </c>
      <c r="FG55" s="97">
        <v>290</v>
      </c>
      <c r="FH55" s="97">
        <v>141</v>
      </c>
      <c r="FI55" s="97"/>
      <c r="FJ55" s="97">
        <v>58</v>
      </c>
      <c r="FK55" s="97">
        <v>243</v>
      </c>
      <c r="FL55" s="97">
        <v>64</v>
      </c>
      <c r="FM55" s="97">
        <v>95</v>
      </c>
      <c r="FN55" s="97"/>
      <c r="FO55" s="97">
        <v>1</v>
      </c>
      <c r="FP55" s="97">
        <v>41</v>
      </c>
      <c r="FQ55" s="97">
        <v>78</v>
      </c>
      <c r="FR55" s="97"/>
      <c r="FS55" s="97">
        <v>222</v>
      </c>
      <c r="FT55" s="97">
        <v>0</v>
      </c>
      <c r="FU55" s="97">
        <v>1233</v>
      </c>
      <c r="FV55" s="6308">
        <f t="shared" si="0"/>
        <v>0.31224655312246552</v>
      </c>
      <c r="FW55" s="6322"/>
      <c r="FX55" s="42"/>
      <c r="FY55" s="42"/>
      <c r="FZ55" s="42" t="s">
        <v>47</v>
      </c>
      <c r="GA55" s="97">
        <v>276</v>
      </c>
      <c r="GB55" s="97">
        <v>161</v>
      </c>
      <c r="GC55" s="97"/>
      <c r="GD55" s="97">
        <v>60</v>
      </c>
      <c r="GE55" s="97">
        <v>259</v>
      </c>
      <c r="GF55" s="97">
        <v>48</v>
      </c>
      <c r="GG55" s="97">
        <v>89</v>
      </c>
      <c r="GH55" s="97"/>
      <c r="GI55" s="97">
        <v>1</v>
      </c>
      <c r="GJ55" s="97">
        <v>46</v>
      </c>
      <c r="GK55" s="97">
        <v>87</v>
      </c>
      <c r="GL55" s="97"/>
      <c r="GM55" s="97">
        <v>210</v>
      </c>
      <c r="GN55" s="97">
        <v>0</v>
      </c>
      <c r="GO55" s="97">
        <v>1237</v>
      </c>
      <c r="GP55" s="6308">
        <f t="shared" si="11"/>
        <v>0.31851253031527887</v>
      </c>
      <c r="GR55" s="6280"/>
      <c r="GS55" s="6280"/>
      <c r="GT55" s="6310" t="s">
        <v>47</v>
      </c>
      <c r="GU55" s="6311">
        <v>282</v>
      </c>
      <c r="GV55" s="6311">
        <v>121</v>
      </c>
      <c r="GW55" s="6312"/>
      <c r="GX55" s="6311">
        <v>53</v>
      </c>
      <c r="GY55" s="6311">
        <v>249</v>
      </c>
      <c r="GZ55" s="6311">
        <v>43</v>
      </c>
      <c r="HA55" s="6311">
        <v>81</v>
      </c>
      <c r="HB55" s="6312"/>
      <c r="HC55" s="6311">
        <v>1</v>
      </c>
      <c r="HD55" s="6311">
        <v>53</v>
      </c>
      <c r="HE55" s="6311">
        <v>70</v>
      </c>
      <c r="HF55" s="6312"/>
      <c r="HG55" s="6311">
        <v>227</v>
      </c>
      <c r="HH55" s="6311">
        <v>0</v>
      </c>
      <c r="HI55" s="6311">
        <v>1180</v>
      </c>
      <c r="HJ55" s="467">
        <f t="shared" si="12"/>
        <v>0.30677966101694915</v>
      </c>
      <c r="HL55" s="967"/>
      <c r="HM55" s="967"/>
      <c r="HN55" s="977" t="s">
        <v>47</v>
      </c>
      <c r="HO55" s="978">
        <v>269</v>
      </c>
      <c r="HP55" s="978">
        <v>91</v>
      </c>
      <c r="HQ55" s="978">
        <v>0</v>
      </c>
      <c r="HR55" s="978">
        <v>67</v>
      </c>
      <c r="HS55" s="978">
        <v>254</v>
      </c>
      <c r="HT55" s="978">
        <v>52</v>
      </c>
      <c r="HU55" s="978">
        <v>94</v>
      </c>
      <c r="HV55" s="967"/>
      <c r="HW55" s="978">
        <v>1</v>
      </c>
      <c r="HX55" s="978">
        <v>38</v>
      </c>
      <c r="HY55" s="978">
        <v>60</v>
      </c>
      <c r="HZ55" s="978">
        <v>266</v>
      </c>
      <c r="IA55" s="967"/>
      <c r="IB55" s="978">
        <v>1192</v>
      </c>
      <c r="IC55" s="467">
        <f t="shared" si="13"/>
        <v>0.30704697986577179</v>
      </c>
      <c r="IE55" s="577"/>
      <c r="IF55" s="577"/>
      <c r="IG55" s="979" t="s">
        <v>47</v>
      </c>
      <c r="IH55" s="980">
        <v>273</v>
      </c>
      <c r="II55" s="980">
        <v>91</v>
      </c>
      <c r="IJ55" s="577"/>
      <c r="IK55" s="980">
        <v>55</v>
      </c>
      <c r="IL55" s="980">
        <v>221</v>
      </c>
      <c r="IM55" s="980">
        <v>57</v>
      </c>
      <c r="IN55" s="980">
        <v>78</v>
      </c>
      <c r="IO55" s="577"/>
      <c r="IP55" s="577"/>
      <c r="IQ55" s="980">
        <v>18</v>
      </c>
      <c r="IR55" s="980">
        <v>60</v>
      </c>
      <c r="IS55" s="980">
        <v>257</v>
      </c>
      <c r="IT55" s="577"/>
      <c r="IU55" s="980">
        <v>1110</v>
      </c>
      <c r="IV55" s="467">
        <f t="shared" si="14"/>
        <v>0.3045045045045045</v>
      </c>
      <c r="IX55" s="997"/>
      <c r="IY55" s="997"/>
      <c r="IZ55" s="998" t="s">
        <v>485</v>
      </c>
      <c r="JA55" s="999">
        <v>957</v>
      </c>
      <c r="JB55" s="999">
        <v>217</v>
      </c>
      <c r="JC55" s="999">
        <v>0</v>
      </c>
      <c r="JD55" s="999">
        <v>314</v>
      </c>
      <c r="JE55" s="999">
        <v>972</v>
      </c>
      <c r="JF55" s="999">
        <v>123</v>
      </c>
      <c r="JG55" s="999">
        <v>245</v>
      </c>
      <c r="JH55" s="999">
        <v>0</v>
      </c>
      <c r="JI55" s="999">
        <v>53</v>
      </c>
      <c r="JJ55" s="999">
        <v>199</v>
      </c>
      <c r="JK55" s="999">
        <v>699</v>
      </c>
      <c r="JL55" s="999">
        <v>893</v>
      </c>
      <c r="JM55" s="999">
        <v>0</v>
      </c>
      <c r="JN55" s="999">
        <v>14</v>
      </c>
      <c r="JO55" s="999">
        <v>4686</v>
      </c>
      <c r="JP55" s="1000">
        <f t="shared" si="15"/>
        <v>0.32569846463629498</v>
      </c>
      <c r="JR55" s="97"/>
      <c r="JS55" s="97"/>
      <c r="JT55" s="42" t="s">
        <v>15</v>
      </c>
      <c r="JU55" s="42">
        <v>781</v>
      </c>
      <c r="JV55" s="42">
        <v>276</v>
      </c>
      <c r="JW55" s="42"/>
      <c r="JX55" s="42">
        <v>292</v>
      </c>
      <c r="JY55" s="42">
        <v>957</v>
      </c>
      <c r="JZ55" s="42">
        <v>137</v>
      </c>
      <c r="KA55" s="42">
        <v>273</v>
      </c>
      <c r="KB55" s="42"/>
      <c r="KC55" s="42">
        <v>78</v>
      </c>
      <c r="KD55" s="42">
        <v>141</v>
      </c>
      <c r="KE55" s="42">
        <v>629</v>
      </c>
      <c r="KF55" s="42">
        <v>865</v>
      </c>
      <c r="KG55" s="42"/>
      <c r="KH55" s="42">
        <v>13</v>
      </c>
      <c r="KI55" s="42">
        <v>4442</v>
      </c>
      <c r="KJ55" s="984">
        <f t="shared" si="1"/>
        <v>0.32500000000000001</v>
      </c>
      <c r="KK55" s="42"/>
      <c r="KL55" s="354"/>
      <c r="KM55" s="354"/>
      <c r="KN55" s="994" t="s">
        <v>15</v>
      </c>
      <c r="KO55" s="995">
        <v>675</v>
      </c>
      <c r="KP55" s="995">
        <v>273</v>
      </c>
      <c r="KQ55" s="995" t="s">
        <v>315</v>
      </c>
      <c r="KR55" s="995">
        <v>287</v>
      </c>
      <c r="KS55" s="995">
        <v>925</v>
      </c>
      <c r="KT55" s="995">
        <v>123</v>
      </c>
      <c r="KU55" s="995">
        <v>244</v>
      </c>
      <c r="KV55" s="995" t="s">
        <v>315</v>
      </c>
      <c r="KW55" s="995">
        <v>128</v>
      </c>
      <c r="KX55" s="995">
        <v>191</v>
      </c>
      <c r="KY55" s="995">
        <v>870</v>
      </c>
      <c r="KZ55" s="995" t="s">
        <v>315</v>
      </c>
      <c r="LA55" s="995">
        <v>3716</v>
      </c>
      <c r="LB55" s="995">
        <f t="shared" si="2"/>
        <v>1239</v>
      </c>
      <c r="LC55" s="996">
        <f t="shared" si="3"/>
        <v>0.33342303552206676</v>
      </c>
      <c r="LD55" s="42"/>
      <c r="LE55" s="42"/>
    </row>
    <row r="56" spans="1:317">
      <c r="A56" s="6291">
        <v>3</v>
      </c>
      <c r="B56" s="6291">
        <v>2</v>
      </c>
      <c r="C56" s="6291">
        <v>101</v>
      </c>
      <c r="D56" s="6292">
        <v>713</v>
      </c>
      <c r="E56" s="6291">
        <v>5</v>
      </c>
      <c r="F56" s="6291">
        <v>161</v>
      </c>
      <c r="G56" s="6291">
        <v>81</v>
      </c>
      <c r="H56" s="6291">
        <v>22</v>
      </c>
      <c r="I56" s="6293"/>
      <c r="J56" s="6291">
        <v>21</v>
      </c>
      <c r="K56" s="6291">
        <v>91</v>
      </c>
      <c r="L56" s="6293"/>
      <c r="M56" s="6291">
        <v>75</v>
      </c>
      <c r="N56" s="6291">
        <v>50</v>
      </c>
      <c r="O56" s="6293"/>
      <c r="P56" s="6291">
        <v>207</v>
      </c>
      <c r="Q56" s="6294">
        <f t="shared" si="4"/>
        <v>0.52314165497896215</v>
      </c>
      <c r="S56" s="6295">
        <v>2</v>
      </c>
      <c r="T56" s="6295">
        <v>3</v>
      </c>
      <c r="U56" s="6295">
        <v>57</v>
      </c>
      <c r="V56" s="6295">
        <v>1126</v>
      </c>
      <c r="W56" s="6295">
        <v>20</v>
      </c>
      <c r="X56" s="6295">
        <v>209</v>
      </c>
      <c r="Y56" s="6295">
        <v>258</v>
      </c>
      <c r="Z56" s="6295">
        <v>62</v>
      </c>
      <c r="AA56" s="6296"/>
      <c r="AB56" s="6295">
        <v>9</v>
      </c>
      <c r="AC56" s="6295">
        <v>108</v>
      </c>
      <c r="AD56" s="6296"/>
      <c r="AE56" s="6295">
        <v>77</v>
      </c>
      <c r="AF56" s="6295">
        <v>167</v>
      </c>
      <c r="AG56" s="6296"/>
      <c r="AH56" s="6295">
        <v>216</v>
      </c>
      <c r="AI56" s="6294">
        <f t="shared" si="5"/>
        <v>0.35612788632326819</v>
      </c>
      <c r="AJ56" s="6295"/>
      <c r="AK56" s="6297">
        <v>2</v>
      </c>
      <c r="AL56" s="6297">
        <v>3</v>
      </c>
      <c r="AM56" s="6297">
        <v>57</v>
      </c>
      <c r="AN56" s="6298">
        <v>1127</v>
      </c>
      <c r="AO56" s="6297">
        <v>32</v>
      </c>
      <c r="AP56" s="6297">
        <v>211</v>
      </c>
      <c r="AQ56" s="6297">
        <v>272</v>
      </c>
      <c r="AR56" s="6297">
        <v>60</v>
      </c>
      <c r="AS56" s="6299"/>
      <c r="AT56" s="6297">
        <v>9</v>
      </c>
      <c r="AU56" s="6297">
        <v>1</v>
      </c>
      <c r="AV56" s="6297">
        <v>99</v>
      </c>
      <c r="AW56" s="6297">
        <v>76</v>
      </c>
      <c r="AX56" s="6299"/>
      <c r="AY56" s="6297">
        <v>162</v>
      </c>
      <c r="AZ56" s="6299"/>
      <c r="BA56" s="6299"/>
      <c r="BB56" s="6297">
        <v>205</v>
      </c>
      <c r="BC56" s="6300">
        <f t="shared" si="6"/>
        <v>0.33747779751332146</v>
      </c>
      <c r="BE56" s="6313">
        <v>2</v>
      </c>
      <c r="BF56" s="6313">
        <v>3</v>
      </c>
      <c r="BG56" s="6313">
        <v>57</v>
      </c>
      <c r="BH56" s="4405" t="s">
        <v>47</v>
      </c>
      <c r="BI56" s="6314">
        <v>1163</v>
      </c>
      <c r="BJ56" s="6313">
        <v>22</v>
      </c>
      <c r="BK56" s="6313">
        <v>271</v>
      </c>
      <c r="BL56" s="6313">
        <v>237</v>
      </c>
      <c r="BM56" s="6313">
        <v>66</v>
      </c>
      <c r="BN56" s="6303"/>
      <c r="BO56" s="6313">
        <v>12</v>
      </c>
      <c r="BP56" s="6303"/>
      <c r="BQ56" s="6313">
        <v>120</v>
      </c>
      <c r="BR56" s="6303"/>
      <c r="BS56" s="6313">
        <v>84</v>
      </c>
      <c r="BT56" s="6313">
        <v>131</v>
      </c>
      <c r="BU56" s="6303"/>
      <c r="BV56" s="6303"/>
      <c r="BW56" s="6313">
        <v>220</v>
      </c>
      <c r="BX56" s="6300">
        <f t="shared" si="16"/>
        <v>0.36457437661220982</v>
      </c>
      <c r="BZ56" s="4388"/>
      <c r="CA56" s="4388"/>
      <c r="CB56" s="4388" t="s">
        <v>47</v>
      </c>
      <c r="CC56" s="4231">
        <v>256</v>
      </c>
      <c r="CD56" s="4231">
        <v>124</v>
      </c>
      <c r="CE56" s="4231"/>
      <c r="CF56" s="4231">
        <v>65</v>
      </c>
      <c r="CG56" s="4231">
        <v>210</v>
      </c>
      <c r="CH56" s="4231">
        <v>79</v>
      </c>
      <c r="CI56" s="4231">
        <v>12</v>
      </c>
      <c r="CJ56" s="4231"/>
      <c r="CK56" s="4231"/>
      <c r="CL56" s="4231">
        <v>36</v>
      </c>
      <c r="CM56" s="4231">
        <v>111</v>
      </c>
      <c r="CN56" s="4231"/>
      <c r="CO56" s="4231">
        <v>273</v>
      </c>
      <c r="CP56" s="4231">
        <v>0</v>
      </c>
      <c r="CQ56" s="4231">
        <v>1166</v>
      </c>
      <c r="CR56" s="6304">
        <f t="shared" si="7"/>
        <v>0.34305317324185247</v>
      </c>
      <c r="CS56" s="4238">
        <f t="shared" si="8"/>
        <v>2</v>
      </c>
      <c r="CT56" s="6305">
        <v>1164</v>
      </c>
      <c r="CU56" s="6316"/>
      <c r="CX56" s="42" t="s">
        <v>15</v>
      </c>
      <c r="CY56" s="42">
        <v>638</v>
      </c>
      <c r="CZ56" s="42">
        <v>452</v>
      </c>
      <c r="DB56" s="42">
        <v>238</v>
      </c>
      <c r="DC56" s="42">
        <v>1784</v>
      </c>
      <c r="DD56" s="42">
        <v>308</v>
      </c>
      <c r="DE56" s="42">
        <v>533</v>
      </c>
      <c r="DH56" s="42">
        <v>147</v>
      </c>
      <c r="DI56" s="42">
        <v>315</v>
      </c>
      <c r="DK56" s="42">
        <v>787</v>
      </c>
      <c r="DL56" s="42">
        <v>3</v>
      </c>
      <c r="DM56" s="893">
        <v>5205</v>
      </c>
      <c r="DN56" s="6306">
        <f t="shared" si="17"/>
        <v>0.46270665128796618</v>
      </c>
      <c r="DP56" s="4263"/>
      <c r="DQ56" s="4263"/>
      <c r="DR56" s="4277" t="s">
        <v>485</v>
      </c>
      <c r="DS56" s="4278">
        <v>1154</v>
      </c>
      <c r="DT56" s="4278">
        <v>548</v>
      </c>
      <c r="DU56" s="4278">
        <v>1</v>
      </c>
      <c r="DV56" s="4278">
        <v>213</v>
      </c>
      <c r="DW56" s="4278">
        <v>1255</v>
      </c>
      <c r="DX56" s="4278">
        <v>398</v>
      </c>
      <c r="DY56" s="4278">
        <v>186</v>
      </c>
      <c r="DZ56" s="4278"/>
      <c r="EA56" s="4278"/>
      <c r="EB56" s="4278">
        <v>176</v>
      </c>
      <c r="EC56" s="4278">
        <v>360</v>
      </c>
      <c r="ED56" s="4278"/>
      <c r="EE56" s="4278">
        <v>897</v>
      </c>
      <c r="EF56" s="4278">
        <v>2</v>
      </c>
      <c r="EG56" s="4278">
        <v>5190</v>
      </c>
      <c r="EH56" s="6339">
        <f t="shared" si="9"/>
        <v>0.3880107941403238</v>
      </c>
      <c r="EL56" s="893" t="s">
        <v>485</v>
      </c>
      <c r="EM56" s="135">
        <v>1195</v>
      </c>
      <c r="EN56" s="135">
        <v>445</v>
      </c>
      <c r="EO56" s="135">
        <v>1</v>
      </c>
      <c r="EP56" s="135">
        <v>14</v>
      </c>
      <c r="EQ56" s="135">
        <v>1382</v>
      </c>
      <c r="ER56" s="135">
        <v>262</v>
      </c>
      <c r="ES56" s="135">
        <v>288</v>
      </c>
      <c r="ET56" s="135"/>
      <c r="EU56" s="135"/>
      <c r="EV56" s="135">
        <v>183</v>
      </c>
      <c r="EW56" s="135">
        <v>363</v>
      </c>
      <c r="EX56" s="135"/>
      <c r="EY56" s="135">
        <v>847</v>
      </c>
      <c r="EZ56" s="135">
        <v>1</v>
      </c>
      <c r="FA56" s="135">
        <v>4981</v>
      </c>
      <c r="FB56" s="6315">
        <f t="shared" si="10"/>
        <v>0.40301204819277109</v>
      </c>
      <c r="FD56" s="42"/>
      <c r="FE56" s="42"/>
      <c r="FF56" s="893" t="s">
        <v>485</v>
      </c>
      <c r="FG56" s="135">
        <v>1212</v>
      </c>
      <c r="FH56" s="135">
        <v>519</v>
      </c>
      <c r="FI56" s="135"/>
      <c r="FJ56" s="135">
        <v>229</v>
      </c>
      <c r="FK56" s="135">
        <v>1195</v>
      </c>
      <c r="FL56" s="135">
        <v>278</v>
      </c>
      <c r="FM56" s="135">
        <v>271</v>
      </c>
      <c r="FN56" s="135"/>
      <c r="FO56" s="135">
        <v>1</v>
      </c>
      <c r="FP56" s="135">
        <v>182</v>
      </c>
      <c r="FQ56" s="135">
        <v>390</v>
      </c>
      <c r="FR56" s="135"/>
      <c r="FS56" s="135">
        <v>790</v>
      </c>
      <c r="FT56" s="135">
        <v>1</v>
      </c>
      <c r="FU56" s="135">
        <v>5068</v>
      </c>
      <c r="FV56" s="5723">
        <f t="shared" si="0"/>
        <v>0.36767317939609234</v>
      </c>
      <c r="FW56" s="5717"/>
      <c r="FX56" s="42"/>
      <c r="FY56" s="42"/>
      <c r="FZ56" s="893" t="s">
        <v>485</v>
      </c>
      <c r="GA56" s="135">
        <v>1227</v>
      </c>
      <c r="GB56" s="135">
        <v>531</v>
      </c>
      <c r="GC56" s="135"/>
      <c r="GD56" s="135">
        <v>234</v>
      </c>
      <c r="GE56" s="135">
        <v>1195</v>
      </c>
      <c r="GF56" s="135">
        <v>198</v>
      </c>
      <c r="GG56" s="135">
        <v>266</v>
      </c>
      <c r="GH56" s="135"/>
      <c r="GI56" s="135">
        <v>1</v>
      </c>
      <c r="GJ56" s="135">
        <v>171</v>
      </c>
      <c r="GK56" s="135">
        <v>340</v>
      </c>
      <c r="GL56" s="135"/>
      <c r="GM56" s="135">
        <v>712</v>
      </c>
      <c r="GN56" s="135">
        <v>2</v>
      </c>
      <c r="GO56" s="135">
        <v>4877</v>
      </c>
      <c r="GP56" s="5723">
        <f t="shared" si="11"/>
        <v>0.35548717948717951</v>
      </c>
      <c r="GR56" s="6280"/>
      <c r="GS56" s="6280"/>
      <c r="GT56" s="1179" t="s">
        <v>485</v>
      </c>
      <c r="GU56" s="1180">
        <v>1154</v>
      </c>
      <c r="GV56" s="1180">
        <v>437</v>
      </c>
      <c r="GW56" s="1181"/>
      <c r="GX56" s="1180">
        <v>237</v>
      </c>
      <c r="GY56" s="1180">
        <v>1179</v>
      </c>
      <c r="GZ56" s="1180">
        <v>135</v>
      </c>
      <c r="HA56" s="1180">
        <v>224</v>
      </c>
      <c r="HB56" s="1181"/>
      <c r="HC56" s="1180">
        <v>1</v>
      </c>
      <c r="HD56" s="1180">
        <v>194</v>
      </c>
      <c r="HE56" s="1180">
        <v>285</v>
      </c>
      <c r="HF56" s="1181"/>
      <c r="HG56" s="1180">
        <v>744</v>
      </c>
      <c r="HH56" s="1180">
        <v>3</v>
      </c>
      <c r="HI56" s="1180">
        <v>4593</v>
      </c>
      <c r="HJ56" s="456">
        <f t="shared" si="12"/>
        <v>0.34836601307189541</v>
      </c>
      <c r="HL56" s="967"/>
      <c r="HM56" s="967"/>
      <c r="HN56" s="987" t="s">
        <v>485</v>
      </c>
      <c r="HO56" s="988">
        <v>1112</v>
      </c>
      <c r="HP56" s="988">
        <v>339</v>
      </c>
      <c r="HQ56" s="988">
        <v>1</v>
      </c>
      <c r="HR56" s="988">
        <v>318</v>
      </c>
      <c r="HS56" s="988">
        <v>1132</v>
      </c>
      <c r="HT56" s="988">
        <v>134</v>
      </c>
      <c r="HU56" s="988">
        <v>280</v>
      </c>
      <c r="HV56" s="989"/>
      <c r="HW56" s="989">
        <v>1</v>
      </c>
      <c r="HX56" s="988">
        <v>162</v>
      </c>
      <c r="HY56" s="988">
        <v>226</v>
      </c>
      <c r="HZ56" s="988">
        <v>867</v>
      </c>
      <c r="IA56" s="988"/>
      <c r="IB56" s="988">
        <v>4572</v>
      </c>
      <c r="IC56" s="990">
        <f t="shared" si="13"/>
        <v>0.32633420822397202</v>
      </c>
      <c r="IE56" s="577"/>
      <c r="IF56" s="577"/>
      <c r="IG56" s="738" t="s">
        <v>485</v>
      </c>
      <c r="IH56" s="991">
        <v>1100</v>
      </c>
      <c r="II56" s="991">
        <v>298</v>
      </c>
      <c r="IJ56" s="6261"/>
      <c r="IK56" s="991">
        <v>312</v>
      </c>
      <c r="IL56" s="991">
        <v>992</v>
      </c>
      <c r="IM56" s="991">
        <v>188</v>
      </c>
      <c r="IN56" s="991">
        <v>238</v>
      </c>
      <c r="IO56" s="6261"/>
      <c r="IP56" s="6261"/>
      <c r="IQ56" s="991">
        <v>57</v>
      </c>
      <c r="IR56" s="991">
        <v>207</v>
      </c>
      <c r="IS56" s="991">
        <v>843</v>
      </c>
      <c r="IT56" s="6261"/>
      <c r="IU56" s="991">
        <v>4235</v>
      </c>
      <c r="IV56" s="456">
        <f t="shared" si="14"/>
        <v>0.32750885478158204</v>
      </c>
      <c r="IX56" s="742" t="s">
        <v>48</v>
      </c>
      <c r="IY56" s="742" t="s">
        <v>16</v>
      </c>
      <c r="IZ56" s="981" t="s">
        <v>17</v>
      </c>
      <c r="JA56" s="982">
        <v>115</v>
      </c>
      <c r="JB56" s="982">
        <v>56</v>
      </c>
      <c r="JC56" s="982">
        <v>0</v>
      </c>
      <c r="JD56" s="982">
        <v>72</v>
      </c>
      <c r="JE56" s="982">
        <v>466</v>
      </c>
      <c r="JF56" s="982">
        <v>161</v>
      </c>
      <c r="JG56" s="982">
        <v>119</v>
      </c>
      <c r="JH56" s="982">
        <v>0</v>
      </c>
      <c r="JI56" s="982">
        <v>29</v>
      </c>
      <c r="JJ56" s="982">
        <v>89</v>
      </c>
      <c r="JK56" s="982">
        <v>311</v>
      </c>
      <c r="JL56" s="982">
        <v>394</v>
      </c>
      <c r="JM56" s="982">
        <v>0</v>
      </c>
      <c r="JN56" s="982">
        <v>7</v>
      </c>
      <c r="JO56" s="982">
        <v>1819</v>
      </c>
      <c r="JP56" s="983">
        <f t="shared" si="15"/>
        <v>0.47701532311792139</v>
      </c>
      <c r="JR56" s="97" t="s">
        <v>48</v>
      </c>
      <c r="JS56" s="97" t="s">
        <v>16</v>
      </c>
      <c r="JT56" s="42" t="s">
        <v>17</v>
      </c>
      <c r="JU56" s="42">
        <v>134</v>
      </c>
      <c r="JV56" s="42">
        <v>57</v>
      </c>
      <c r="JW56" s="42">
        <v>0</v>
      </c>
      <c r="JX56" s="42">
        <v>69</v>
      </c>
      <c r="JY56" s="42">
        <v>483</v>
      </c>
      <c r="JZ56" s="42">
        <v>133</v>
      </c>
      <c r="KA56" s="42">
        <v>116</v>
      </c>
      <c r="KB56" s="42"/>
      <c r="KC56" s="42">
        <v>13</v>
      </c>
      <c r="KD56" s="42">
        <v>80</v>
      </c>
      <c r="KE56" s="42">
        <v>282</v>
      </c>
      <c r="KF56" s="42">
        <v>408</v>
      </c>
      <c r="KG56" s="42"/>
      <c r="KH56" s="42">
        <v>5</v>
      </c>
      <c r="KI56" s="42">
        <v>1780</v>
      </c>
      <c r="KJ56" s="984">
        <f t="shared" si="1"/>
        <v>0.46617548559946415</v>
      </c>
      <c r="KK56" s="42"/>
      <c r="KL56" s="354" t="s">
        <v>48</v>
      </c>
      <c r="KM56" s="354" t="s">
        <v>16</v>
      </c>
      <c r="KN56" s="354" t="s">
        <v>17</v>
      </c>
      <c r="KO56" s="985">
        <v>122</v>
      </c>
      <c r="KP56" s="985">
        <v>64</v>
      </c>
      <c r="KQ56" s="985" t="s">
        <v>315</v>
      </c>
      <c r="KR56" s="985">
        <v>65</v>
      </c>
      <c r="KS56" s="985">
        <v>441</v>
      </c>
      <c r="KT56" s="985">
        <v>121</v>
      </c>
      <c r="KU56" s="985">
        <v>113</v>
      </c>
      <c r="KV56" s="985" t="s">
        <v>315</v>
      </c>
      <c r="KW56" s="985">
        <v>13</v>
      </c>
      <c r="KX56" s="985">
        <v>104</v>
      </c>
      <c r="KY56" s="985">
        <v>391</v>
      </c>
      <c r="KZ56" s="985" t="s">
        <v>315</v>
      </c>
      <c r="LA56" s="985">
        <v>1434</v>
      </c>
      <c r="LB56" s="985">
        <f t="shared" si="2"/>
        <v>666</v>
      </c>
      <c r="LC56" s="986">
        <f t="shared" si="3"/>
        <v>0.46443514644351463</v>
      </c>
      <c r="LD56" s="42"/>
      <c r="LE56" s="42"/>
    </row>
    <row r="57" spans="1:317">
      <c r="A57" s="6291">
        <v>3</v>
      </c>
      <c r="B57" s="6291">
        <v>3</v>
      </c>
      <c r="C57" s="6291">
        <v>73</v>
      </c>
      <c r="D57" s="6292">
        <v>1398</v>
      </c>
      <c r="E57" s="6291">
        <v>3</v>
      </c>
      <c r="F57" s="6291">
        <v>209</v>
      </c>
      <c r="G57" s="6291">
        <v>85</v>
      </c>
      <c r="H57" s="6291">
        <v>52</v>
      </c>
      <c r="I57" s="6293"/>
      <c r="J57" s="6291">
        <v>11</v>
      </c>
      <c r="K57" s="6291">
        <v>397</v>
      </c>
      <c r="L57" s="6293"/>
      <c r="M57" s="6291">
        <v>166</v>
      </c>
      <c r="N57" s="6291">
        <v>35</v>
      </c>
      <c r="O57" s="6291">
        <v>1</v>
      </c>
      <c r="P57" s="6291">
        <v>439</v>
      </c>
      <c r="Q57" s="6294">
        <f t="shared" si="4"/>
        <v>0.71673819742489275</v>
      </c>
      <c r="S57" s="6295"/>
      <c r="T57" s="6295"/>
      <c r="U57" s="6317"/>
      <c r="V57" s="6317">
        <f>SUM(V51:V56)</f>
        <v>4943</v>
      </c>
      <c r="W57" s="6317">
        <f t="shared" ref="W57:AH57" si="36">SUM(W51:W56)</f>
        <v>96</v>
      </c>
      <c r="X57" s="6317">
        <f t="shared" si="36"/>
        <v>742</v>
      </c>
      <c r="Y57" s="6317">
        <f t="shared" si="36"/>
        <v>1061</v>
      </c>
      <c r="Z57" s="6317">
        <f t="shared" si="36"/>
        <v>198</v>
      </c>
      <c r="AA57" s="6317">
        <f t="shared" si="36"/>
        <v>0</v>
      </c>
      <c r="AB57" s="6317">
        <f t="shared" si="36"/>
        <v>38</v>
      </c>
      <c r="AC57" s="6317">
        <f t="shared" si="36"/>
        <v>500</v>
      </c>
      <c r="AD57" s="6317">
        <f t="shared" si="36"/>
        <v>0</v>
      </c>
      <c r="AE57" s="6317">
        <f t="shared" si="36"/>
        <v>344</v>
      </c>
      <c r="AF57" s="6317">
        <f t="shared" si="36"/>
        <v>630</v>
      </c>
      <c r="AG57" s="6317">
        <f t="shared" si="36"/>
        <v>0</v>
      </c>
      <c r="AH57" s="6317">
        <f t="shared" si="36"/>
        <v>1334</v>
      </c>
      <c r="AI57" s="6294">
        <f t="shared" si="5"/>
        <v>0.44062310337851507</v>
      </c>
      <c r="AJ57" s="6295"/>
      <c r="AK57" s="6297"/>
      <c r="AL57" s="6297"/>
      <c r="AM57" s="6297"/>
      <c r="AN57" s="6298">
        <f>SUM(AN51:AN56)</f>
        <v>4946</v>
      </c>
      <c r="AO57" s="6298">
        <f t="shared" ref="AO57:BB57" si="37">SUM(AO51:AO56)</f>
        <v>109</v>
      </c>
      <c r="AP57" s="6298">
        <f t="shared" si="37"/>
        <v>745</v>
      </c>
      <c r="AQ57" s="6298">
        <f t="shared" si="37"/>
        <v>1189</v>
      </c>
      <c r="AR57" s="6298">
        <f t="shared" si="37"/>
        <v>195</v>
      </c>
      <c r="AS57" s="6298">
        <f t="shared" si="37"/>
        <v>0</v>
      </c>
      <c r="AT57" s="6298">
        <f t="shared" si="37"/>
        <v>38</v>
      </c>
      <c r="AU57" s="6298">
        <f t="shared" si="37"/>
        <v>4</v>
      </c>
      <c r="AV57" s="6298">
        <f t="shared" si="37"/>
        <v>442</v>
      </c>
      <c r="AW57" s="6298">
        <f t="shared" si="37"/>
        <v>321</v>
      </c>
      <c r="AX57" s="6298">
        <f t="shared" si="37"/>
        <v>0</v>
      </c>
      <c r="AY57" s="6298">
        <f t="shared" si="37"/>
        <v>621</v>
      </c>
      <c r="AZ57" s="6298">
        <f t="shared" si="37"/>
        <v>0</v>
      </c>
      <c r="BA57" s="6298">
        <f t="shared" si="37"/>
        <v>0</v>
      </c>
      <c r="BB57" s="6298">
        <f t="shared" si="37"/>
        <v>1282</v>
      </c>
      <c r="BC57" s="6323">
        <f t="shared" si="6"/>
        <v>0.41380008093889115</v>
      </c>
      <c r="BE57" s="6313"/>
      <c r="BF57" s="6313"/>
      <c r="BG57" s="6313"/>
      <c r="BH57" s="6319" t="s">
        <v>485</v>
      </c>
      <c r="BI57" s="6314">
        <f>SUM(BI51:BI56)</f>
        <v>5081</v>
      </c>
      <c r="BJ57" s="6314">
        <f t="shared" ref="BJ57:BW57" si="38">SUM(BJ51:BJ56)</f>
        <v>87</v>
      </c>
      <c r="BK57" s="6314">
        <f t="shared" si="38"/>
        <v>946</v>
      </c>
      <c r="BL57" s="6314">
        <f t="shared" si="38"/>
        <v>1062</v>
      </c>
      <c r="BM57" s="6314">
        <f t="shared" si="38"/>
        <v>212</v>
      </c>
      <c r="BN57" s="6314">
        <f t="shared" si="38"/>
        <v>0</v>
      </c>
      <c r="BO57" s="6314">
        <f t="shared" si="38"/>
        <v>48</v>
      </c>
      <c r="BP57" s="6314">
        <f t="shared" si="38"/>
        <v>2</v>
      </c>
      <c r="BQ57" s="6314">
        <f t="shared" si="38"/>
        <v>484</v>
      </c>
      <c r="BR57" s="6314">
        <f t="shared" si="38"/>
        <v>0</v>
      </c>
      <c r="BS57" s="6314">
        <f t="shared" si="38"/>
        <v>425</v>
      </c>
      <c r="BT57" s="6314">
        <f t="shared" si="38"/>
        <v>560</v>
      </c>
      <c r="BU57" s="6314">
        <f t="shared" si="38"/>
        <v>0</v>
      </c>
      <c r="BV57" s="6314">
        <f t="shared" si="38"/>
        <v>0</v>
      </c>
      <c r="BW57" s="6314">
        <f t="shared" si="38"/>
        <v>1255</v>
      </c>
      <c r="BX57" s="6300">
        <f t="shared" si="16"/>
        <v>0.42606812364638708</v>
      </c>
      <c r="BZ57" s="4388"/>
      <c r="CA57" s="4388"/>
      <c r="CB57" s="6276" t="s">
        <v>485</v>
      </c>
      <c r="CC57" s="6320">
        <v>1206</v>
      </c>
      <c r="CD57" s="6320">
        <v>524</v>
      </c>
      <c r="CE57" s="6320"/>
      <c r="CF57" s="6320">
        <v>209</v>
      </c>
      <c r="CG57" s="6320">
        <v>1207</v>
      </c>
      <c r="CH57" s="6320">
        <v>358</v>
      </c>
      <c r="CI57" s="6320">
        <v>48</v>
      </c>
      <c r="CJ57" s="6320"/>
      <c r="CK57" s="6320"/>
      <c r="CL57" s="6320">
        <v>124</v>
      </c>
      <c r="CM57" s="6320">
        <v>467</v>
      </c>
      <c r="CN57" s="6320"/>
      <c r="CO57" s="6320">
        <v>953</v>
      </c>
      <c r="CP57" s="6320">
        <v>2</v>
      </c>
      <c r="CQ57" s="6320">
        <v>5098</v>
      </c>
      <c r="CR57" s="6304">
        <f t="shared" si="7"/>
        <v>0.39874411302982732</v>
      </c>
      <c r="CS57" s="4238"/>
      <c r="CT57" s="6305"/>
      <c r="CU57" s="6316"/>
      <c r="CV57" s="3800"/>
      <c r="CW57" s="3800"/>
      <c r="CX57" s="6332" t="s">
        <v>15</v>
      </c>
      <c r="CY57" s="6332">
        <v>1851</v>
      </c>
      <c r="CZ57" s="6332">
        <v>1670</v>
      </c>
      <c r="DA57" s="6332">
        <v>1</v>
      </c>
      <c r="DB57" s="6332">
        <v>1068</v>
      </c>
      <c r="DC57" s="6332">
        <v>5657</v>
      </c>
      <c r="DD57" s="6332">
        <v>717</v>
      </c>
      <c r="DE57" s="6332">
        <v>2100</v>
      </c>
      <c r="DF57" s="6332">
        <v>2</v>
      </c>
      <c r="DG57" s="6332">
        <v>4</v>
      </c>
      <c r="DH57" s="6332">
        <v>835</v>
      </c>
      <c r="DI57" s="6332">
        <v>660</v>
      </c>
      <c r="DJ57" s="6332">
        <v>164</v>
      </c>
      <c r="DK57" s="6332">
        <v>2966</v>
      </c>
      <c r="DL57" s="6332">
        <v>17</v>
      </c>
      <c r="DM57" s="3707">
        <v>17712</v>
      </c>
      <c r="DN57" s="6333">
        <f t="shared" si="17"/>
        <v>0.40123210313159546</v>
      </c>
      <c r="DP57" s="4263"/>
      <c r="DQ57" s="4263"/>
      <c r="DR57" s="4268" t="s">
        <v>109</v>
      </c>
      <c r="DS57" s="4269">
        <v>3418</v>
      </c>
      <c r="DT57" s="4269">
        <v>2285</v>
      </c>
      <c r="DU57" s="4269">
        <v>2</v>
      </c>
      <c r="DV57" s="4269">
        <v>1025</v>
      </c>
      <c r="DW57" s="4269">
        <v>3970</v>
      </c>
      <c r="DX57" s="4269">
        <v>1040</v>
      </c>
      <c r="DY57" s="4269">
        <v>566</v>
      </c>
      <c r="DZ57" s="4269">
        <v>2</v>
      </c>
      <c r="EA57" s="4269">
        <v>5</v>
      </c>
      <c r="EB57" s="4269">
        <v>830</v>
      </c>
      <c r="EC57" s="4269">
        <v>787</v>
      </c>
      <c r="ED57" s="4269">
        <v>191</v>
      </c>
      <c r="EE57" s="4269">
        <v>3549</v>
      </c>
      <c r="EF57" s="4269">
        <v>14</v>
      </c>
      <c r="EG57" s="4269">
        <v>17684</v>
      </c>
      <c r="EH57" s="6334">
        <f t="shared" si="9"/>
        <v>0.33165512901195721</v>
      </c>
      <c r="EL57" s="893" t="s">
        <v>109</v>
      </c>
      <c r="EM57" s="135">
        <v>3440</v>
      </c>
      <c r="EN57" s="135">
        <v>1800</v>
      </c>
      <c r="EO57" s="135">
        <v>1</v>
      </c>
      <c r="EP57" s="135">
        <v>69</v>
      </c>
      <c r="EQ57" s="135">
        <v>4581</v>
      </c>
      <c r="ER57" s="135">
        <v>626</v>
      </c>
      <c r="ES57" s="135">
        <v>1219</v>
      </c>
      <c r="ET57" s="135"/>
      <c r="EU57" s="135">
        <v>1</v>
      </c>
      <c r="EV57" s="135">
        <v>855</v>
      </c>
      <c r="EW57" s="135">
        <v>789</v>
      </c>
      <c r="EX57" s="135">
        <v>164</v>
      </c>
      <c r="EY57" s="135">
        <v>3174</v>
      </c>
      <c r="EZ57" s="135">
        <v>4</v>
      </c>
      <c r="FA57" s="135">
        <v>16723</v>
      </c>
      <c r="FB57" s="6315">
        <f t="shared" si="10"/>
        <v>0.36218665055874361</v>
      </c>
      <c r="FD57" s="42"/>
      <c r="FE57" s="42"/>
      <c r="FF57" s="893" t="s">
        <v>109</v>
      </c>
      <c r="FG57" s="135">
        <v>3452</v>
      </c>
      <c r="FH57" s="135">
        <v>2016</v>
      </c>
      <c r="FI57" s="135">
        <v>2</v>
      </c>
      <c r="FJ57" s="135">
        <v>1017</v>
      </c>
      <c r="FK57" s="135">
        <v>4197</v>
      </c>
      <c r="FL57" s="135">
        <v>719</v>
      </c>
      <c r="FM57" s="135">
        <v>1170</v>
      </c>
      <c r="FN57" s="135"/>
      <c r="FO57" s="135">
        <v>4</v>
      </c>
      <c r="FP57" s="135">
        <v>841</v>
      </c>
      <c r="FQ57" s="135">
        <v>880</v>
      </c>
      <c r="FR57" s="135">
        <v>93</v>
      </c>
      <c r="FS57" s="135">
        <v>2963</v>
      </c>
      <c r="FT57" s="135">
        <v>14</v>
      </c>
      <c r="FU57" s="135">
        <v>17368</v>
      </c>
      <c r="FV57" s="5723">
        <f t="shared" si="0"/>
        <v>0.33578587567348356</v>
      </c>
      <c r="FW57" s="5717"/>
      <c r="FX57" s="42"/>
      <c r="FY57" s="42"/>
      <c r="FZ57" s="893" t="s">
        <v>109</v>
      </c>
      <c r="GA57" s="135">
        <v>3303</v>
      </c>
      <c r="GB57" s="135">
        <v>2023</v>
      </c>
      <c r="GC57" s="135"/>
      <c r="GD57" s="135">
        <v>1012</v>
      </c>
      <c r="GE57" s="135">
        <v>4202</v>
      </c>
      <c r="GF57" s="135">
        <v>555</v>
      </c>
      <c r="GG57" s="135">
        <v>1056</v>
      </c>
      <c r="GH57" s="135">
        <v>15</v>
      </c>
      <c r="GI57" s="135">
        <v>4</v>
      </c>
      <c r="GJ57" s="135">
        <v>824</v>
      </c>
      <c r="GK57" s="135">
        <v>795</v>
      </c>
      <c r="GL57" s="135">
        <v>22</v>
      </c>
      <c r="GM57" s="135">
        <v>2780</v>
      </c>
      <c r="GN57" s="135">
        <v>15</v>
      </c>
      <c r="GO57" s="135">
        <v>16606</v>
      </c>
      <c r="GP57" s="5723">
        <f t="shared" si="11"/>
        <v>0.33508358983644154</v>
      </c>
      <c r="GR57" s="6280"/>
      <c r="GS57" s="6280"/>
      <c r="GT57" s="1179" t="s">
        <v>109</v>
      </c>
      <c r="GU57" s="1180">
        <v>3230</v>
      </c>
      <c r="GV57" s="1180">
        <v>1650</v>
      </c>
      <c r="GW57" s="1181"/>
      <c r="GX57" s="1180">
        <v>1000</v>
      </c>
      <c r="GY57" s="1180">
        <v>4281</v>
      </c>
      <c r="GZ57" s="1180">
        <v>408</v>
      </c>
      <c r="HA57" s="1180">
        <v>1029</v>
      </c>
      <c r="HB57" s="1181"/>
      <c r="HC57" s="1180">
        <v>6</v>
      </c>
      <c r="HD57" s="1180">
        <v>803</v>
      </c>
      <c r="HE57" s="1180">
        <v>699</v>
      </c>
      <c r="HF57" s="1180">
        <v>3</v>
      </c>
      <c r="HG57" s="1180">
        <v>2920</v>
      </c>
      <c r="HH57" s="1180">
        <v>14</v>
      </c>
      <c r="HI57" s="1180">
        <v>16043</v>
      </c>
      <c r="HJ57" s="456">
        <f t="shared" si="12"/>
        <v>0.33620366903781357</v>
      </c>
      <c r="HL57" s="967"/>
      <c r="HM57" s="967"/>
      <c r="HN57" s="1001" t="s">
        <v>109</v>
      </c>
      <c r="HO57" s="1002">
        <v>2990</v>
      </c>
      <c r="HP57" s="1002">
        <v>1472</v>
      </c>
      <c r="HQ57" s="1002">
        <v>1</v>
      </c>
      <c r="HR57" s="1002">
        <v>1394</v>
      </c>
      <c r="HS57" s="1002">
        <v>4235</v>
      </c>
      <c r="HT57" s="1002">
        <v>430</v>
      </c>
      <c r="HU57" s="1002">
        <v>1171</v>
      </c>
      <c r="HV57" s="6262"/>
      <c r="HW57" s="1002">
        <v>6</v>
      </c>
      <c r="HX57" s="1002">
        <v>831</v>
      </c>
      <c r="HY57" s="1002">
        <v>633</v>
      </c>
      <c r="HZ57" s="1002">
        <v>3798</v>
      </c>
      <c r="IA57" s="1002"/>
      <c r="IB57" s="1002">
        <v>16961</v>
      </c>
      <c r="IC57" s="1003">
        <f t="shared" si="13"/>
        <v>0.31236365780319558</v>
      </c>
      <c r="IE57" s="577"/>
      <c r="IF57" s="577"/>
      <c r="IG57" s="738" t="s">
        <v>109</v>
      </c>
      <c r="IH57" s="991">
        <v>3007</v>
      </c>
      <c r="II57" s="991">
        <v>1476</v>
      </c>
      <c r="IJ57" s="991">
        <v>2</v>
      </c>
      <c r="IK57" s="991">
        <v>1440</v>
      </c>
      <c r="IL57" s="991">
        <v>3847</v>
      </c>
      <c r="IM57" s="991">
        <v>628</v>
      </c>
      <c r="IN57" s="991">
        <v>1075</v>
      </c>
      <c r="IO57" s="6261"/>
      <c r="IP57" s="991">
        <v>5</v>
      </c>
      <c r="IQ57" s="991">
        <v>461</v>
      </c>
      <c r="IR57" s="991">
        <v>554</v>
      </c>
      <c r="IS57" s="991">
        <v>3759</v>
      </c>
      <c r="IT57" s="6261"/>
      <c r="IU57" s="991">
        <v>16254</v>
      </c>
      <c r="IV57" s="456">
        <f t="shared" si="14"/>
        <v>0.30940076288913498</v>
      </c>
      <c r="IX57" s="742"/>
      <c r="IY57" s="742"/>
      <c r="IZ57" s="981" t="s">
        <v>49</v>
      </c>
      <c r="JA57" s="982">
        <v>72</v>
      </c>
      <c r="JB57" s="982">
        <v>35</v>
      </c>
      <c r="JC57" s="982">
        <v>0</v>
      </c>
      <c r="JD57" s="982">
        <v>53</v>
      </c>
      <c r="JE57" s="982">
        <v>752</v>
      </c>
      <c r="JF57" s="982">
        <v>220</v>
      </c>
      <c r="JG57" s="982">
        <v>102</v>
      </c>
      <c r="JH57" s="982">
        <v>0</v>
      </c>
      <c r="JI57" s="982">
        <v>8</v>
      </c>
      <c r="JJ57" s="982">
        <v>227</v>
      </c>
      <c r="JK57" s="982">
        <v>237</v>
      </c>
      <c r="JL57" s="982">
        <v>266</v>
      </c>
      <c r="JM57" s="982">
        <v>0</v>
      </c>
      <c r="JN57" s="982">
        <v>9</v>
      </c>
      <c r="JO57" s="982">
        <v>1981</v>
      </c>
      <c r="JP57" s="983">
        <f t="shared" si="15"/>
        <v>0.6910662824207493</v>
      </c>
      <c r="JR57" s="97"/>
      <c r="JS57" s="97"/>
      <c r="JT57" s="42" t="s">
        <v>49</v>
      </c>
      <c r="JU57" s="42">
        <v>66</v>
      </c>
      <c r="JV57" s="42">
        <v>40</v>
      </c>
      <c r="JW57" s="42">
        <v>0</v>
      </c>
      <c r="JX57" s="42">
        <v>51</v>
      </c>
      <c r="JY57" s="42">
        <v>740</v>
      </c>
      <c r="JZ57" s="42">
        <v>179</v>
      </c>
      <c r="KA57" s="42">
        <v>92</v>
      </c>
      <c r="KB57" s="42"/>
      <c r="KC57" s="42">
        <v>3</v>
      </c>
      <c r="KD57" s="42">
        <v>257</v>
      </c>
      <c r="KE57" s="42">
        <v>233</v>
      </c>
      <c r="KF57" s="42">
        <v>302</v>
      </c>
      <c r="KG57" s="42"/>
      <c r="KH57" s="42">
        <v>8</v>
      </c>
      <c r="KI57" s="42">
        <v>1971</v>
      </c>
      <c r="KJ57" s="984">
        <f t="shared" si="1"/>
        <v>0.67976878612716762</v>
      </c>
      <c r="KK57" s="42"/>
      <c r="KL57" s="354"/>
      <c r="KM57" s="354"/>
      <c r="KN57" s="354" t="s">
        <v>49</v>
      </c>
      <c r="KO57" s="985">
        <v>78</v>
      </c>
      <c r="KP57" s="985">
        <v>36</v>
      </c>
      <c r="KQ57" s="985" t="s">
        <v>315</v>
      </c>
      <c r="KR57" s="985">
        <v>49</v>
      </c>
      <c r="KS57" s="985">
        <v>695</v>
      </c>
      <c r="KT57" s="985">
        <v>202</v>
      </c>
      <c r="KU57" s="985">
        <v>84</v>
      </c>
      <c r="KV57" s="985" t="s">
        <v>315</v>
      </c>
      <c r="KW57" s="985">
        <v>3</v>
      </c>
      <c r="KX57" s="985">
        <v>248</v>
      </c>
      <c r="KY57" s="985">
        <v>329</v>
      </c>
      <c r="KZ57" s="985" t="s">
        <v>315</v>
      </c>
      <c r="LA57" s="985">
        <v>1724</v>
      </c>
      <c r="LB57" s="985">
        <f t="shared" si="2"/>
        <v>1145</v>
      </c>
      <c r="LC57" s="986">
        <f t="shared" si="3"/>
        <v>0.66415313225058004</v>
      </c>
      <c r="LD57" s="42"/>
      <c r="LE57" s="42"/>
    </row>
    <row r="58" spans="1:317">
      <c r="A58" s="6291">
        <v>3</v>
      </c>
      <c r="B58" s="6291">
        <v>3</v>
      </c>
      <c r="C58" s="6291">
        <v>74</v>
      </c>
      <c r="D58" s="6292">
        <v>886</v>
      </c>
      <c r="E58" s="6291">
        <v>1</v>
      </c>
      <c r="F58" s="6291">
        <v>140</v>
      </c>
      <c r="G58" s="6291">
        <v>31</v>
      </c>
      <c r="H58" s="6291">
        <v>44</v>
      </c>
      <c r="I58" s="6293"/>
      <c r="J58" s="6291">
        <v>4</v>
      </c>
      <c r="K58" s="6291">
        <v>169</v>
      </c>
      <c r="L58" s="6293"/>
      <c r="M58" s="6291">
        <v>61</v>
      </c>
      <c r="N58" s="6291">
        <v>11</v>
      </c>
      <c r="O58" s="6293"/>
      <c r="P58" s="6291">
        <v>425</v>
      </c>
      <c r="Q58" s="6294">
        <f t="shared" si="4"/>
        <v>0.73927765237020315</v>
      </c>
      <c r="S58" s="6340"/>
      <c r="T58" s="6340"/>
      <c r="U58" s="6324"/>
      <c r="V58" s="6341">
        <f>SUM(V57,V50,V38)</f>
        <v>17160</v>
      </c>
      <c r="W58" s="6341">
        <f t="shared" ref="W58:AH58" si="39">SUM(W57,W50,W38)</f>
        <v>525</v>
      </c>
      <c r="X58" s="6341">
        <f t="shared" si="39"/>
        <v>2865</v>
      </c>
      <c r="Y58" s="6341">
        <f t="shared" si="39"/>
        <v>3509</v>
      </c>
      <c r="Z58" s="6341">
        <f t="shared" si="39"/>
        <v>983</v>
      </c>
      <c r="AA58" s="6341">
        <f t="shared" si="39"/>
        <v>3</v>
      </c>
      <c r="AB58" s="6341">
        <f t="shared" si="39"/>
        <v>245</v>
      </c>
      <c r="AC58" s="6341">
        <f t="shared" si="39"/>
        <v>1099</v>
      </c>
      <c r="AD58" s="6341">
        <f t="shared" si="39"/>
        <v>2</v>
      </c>
      <c r="AE58" s="6341">
        <f t="shared" si="39"/>
        <v>929</v>
      </c>
      <c r="AF58" s="6341">
        <f t="shared" si="39"/>
        <v>2788</v>
      </c>
      <c r="AG58" s="6341">
        <f t="shared" si="39"/>
        <v>1</v>
      </c>
      <c r="AH58" s="6341">
        <f t="shared" si="39"/>
        <v>4211</v>
      </c>
      <c r="AI58" s="6342">
        <f t="shared" si="5"/>
        <v>0.3635780885780886</v>
      </c>
      <c r="AJ58" s="6295"/>
      <c r="AK58" s="6297"/>
      <c r="AL58" s="6297"/>
      <c r="AM58" s="6297"/>
      <c r="AN58" s="6327">
        <f>SUM(AN57,AN50,AN38)</f>
        <v>17546</v>
      </c>
      <c r="AO58" s="6327">
        <f t="shared" ref="AO58:BB58" si="40">SUM(AO57,AO50,AO38)</f>
        <v>609</v>
      </c>
      <c r="AP58" s="6327">
        <f t="shared" si="40"/>
        <v>2872</v>
      </c>
      <c r="AQ58" s="6327">
        <f t="shared" si="40"/>
        <v>3891</v>
      </c>
      <c r="AR58" s="6327">
        <f t="shared" si="40"/>
        <v>973</v>
      </c>
      <c r="AS58" s="6327">
        <f t="shared" si="40"/>
        <v>3</v>
      </c>
      <c r="AT58" s="6327">
        <f t="shared" si="40"/>
        <v>245</v>
      </c>
      <c r="AU58" s="6327">
        <f t="shared" si="40"/>
        <v>23</v>
      </c>
      <c r="AV58" s="6327">
        <f t="shared" si="40"/>
        <v>912</v>
      </c>
      <c r="AW58" s="6327">
        <f t="shared" si="40"/>
        <v>872</v>
      </c>
      <c r="AX58" s="6327">
        <f t="shared" si="40"/>
        <v>0</v>
      </c>
      <c r="AY58" s="6327">
        <f t="shared" si="40"/>
        <v>2703</v>
      </c>
      <c r="AZ58" s="6327">
        <f t="shared" si="40"/>
        <v>363</v>
      </c>
      <c r="BA58" s="6327">
        <f t="shared" si="40"/>
        <v>2</v>
      </c>
      <c r="BB58" s="6327">
        <f t="shared" si="40"/>
        <v>4078</v>
      </c>
      <c r="BC58" s="6328">
        <f t="shared" si="6"/>
        <v>0.34160839160839163</v>
      </c>
      <c r="BE58" s="6313"/>
      <c r="BF58" s="6313"/>
      <c r="BG58" s="6313"/>
      <c r="BH58" s="6329" t="s">
        <v>109</v>
      </c>
      <c r="BI58" s="6330">
        <f>SUM(BI57,BI50,BI38)</f>
        <v>17769</v>
      </c>
      <c r="BJ58" s="6330">
        <f t="shared" ref="BJ58:BW58" si="41">SUM(BJ57,BJ50,BJ38)</f>
        <v>527</v>
      </c>
      <c r="BK58" s="6330">
        <f t="shared" si="41"/>
        <v>3599</v>
      </c>
      <c r="BL58" s="6330">
        <f t="shared" si="41"/>
        <v>3479</v>
      </c>
      <c r="BM58" s="6330">
        <f t="shared" si="41"/>
        <v>1040</v>
      </c>
      <c r="BN58" s="6330">
        <f t="shared" si="41"/>
        <v>4</v>
      </c>
      <c r="BO58" s="6330">
        <f t="shared" si="41"/>
        <v>270</v>
      </c>
      <c r="BP58" s="6330">
        <f t="shared" si="41"/>
        <v>15</v>
      </c>
      <c r="BQ58" s="6330">
        <f t="shared" si="41"/>
        <v>1024</v>
      </c>
      <c r="BR58" s="6330">
        <f t="shared" si="41"/>
        <v>0</v>
      </c>
      <c r="BS58" s="6330">
        <f t="shared" si="41"/>
        <v>1224</v>
      </c>
      <c r="BT58" s="6330">
        <f t="shared" si="41"/>
        <v>2374</v>
      </c>
      <c r="BU58" s="6330">
        <f t="shared" si="41"/>
        <v>274</v>
      </c>
      <c r="BV58" s="6330">
        <f t="shared" si="41"/>
        <v>2</v>
      </c>
      <c r="BW58" s="6330">
        <f t="shared" si="41"/>
        <v>3937</v>
      </c>
      <c r="BX58" s="6300">
        <f t="shared" si="16"/>
        <v>0.35383295194508008</v>
      </c>
      <c r="BZ58" s="4388"/>
      <c r="CA58" s="4388"/>
      <c r="CB58" s="6276" t="s">
        <v>109</v>
      </c>
      <c r="CC58" s="6320">
        <v>3784</v>
      </c>
      <c r="CD58" s="6320">
        <v>2236</v>
      </c>
      <c r="CE58" s="6320">
        <v>2</v>
      </c>
      <c r="CF58" s="6320">
        <v>1026</v>
      </c>
      <c r="CG58" s="6320">
        <v>3817</v>
      </c>
      <c r="CH58" s="6320">
        <v>997</v>
      </c>
      <c r="CI58" s="6320">
        <v>272</v>
      </c>
      <c r="CJ58" s="6320"/>
      <c r="CK58" s="6320">
        <v>4</v>
      </c>
      <c r="CL58" s="6320">
        <v>760</v>
      </c>
      <c r="CM58" s="6320">
        <v>1039</v>
      </c>
      <c r="CN58" s="6320">
        <v>274</v>
      </c>
      <c r="CO58" s="6320">
        <v>3666</v>
      </c>
      <c r="CP58" s="6320">
        <v>15</v>
      </c>
      <c r="CQ58" s="6320">
        <v>17892</v>
      </c>
      <c r="CR58" s="6304">
        <f t="shared" si="7"/>
        <v>0.33250014202124639</v>
      </c>
      <c r="CS58" s="4238"/>
      <c r="CT58" s="6305"/>
      <c r="CU58" s="6316"/>
      <c r="CV58" s="97" t="s">
        <v>48</v>
      </c>
      <c r="CW58" s="97" t="s">
        <v>16</v>
      </c>
      <c r="CX58" s="42" t="s">
        <v>17</v>
      </c>
      <c r="CY58" s="42">
        <v>63</v>
      </c>
      <c r="CZ58" s="42">
        <v>43</v>
      </c>
      <c r="DB58" s="42">
        <v>40</v>
      </c>
      <c r="DC58" s="42">
        <v>582</v>
      </c>
      <c r="DD58" s="42">
        <v>152</v>
      </c>
      <c r="DE58" s="42">
        <v>131</v>
      </c>
      <c r="DH58" s="42">
        <v>13</v>
      </c>
      <c r="DI58" s="42">
        <v>67</v>
      </c>
      <c r="DK58" s="42">
        <v>262</v>
      </c>
      <c r="DL58" s="42">
        <v>0</v>
      </c>
      <c r="DM58" s="893">
        <v>1353</v>
      </c>
      <c r="DN58" s="6306">
        <f t="shared" si="17"/>
        <v>0.5920177383592018</v>
      </c>
      <c r="DP58" s="4263" t="s">
        <v>48</v>
      </c>
      <c r="DQ58" s="4263" t="s">
        <v>16</v>
      </c>
      <c r="DR58" s="4258" t="s">
        <v>17</v>
      </c>
      <c r="DS58" s="4263">
        <v>112</v>
      </c>
      <c r="DT58" s="4263">
        <v>103</v>
      </c>
      <c r="DU58" s="4263">
        <v>0</v>
      </c>
      <c r="DV58" s="4263">
        <v>28</v>
      </c>
      <c r="DW58" s="4263">
        <v>432</v>
      </c>
      <c r="DX58" s="4263">
        <v>178</v>
      </c>
      <c r="DY58" s="4263">
        <v>51</v>
      </c>
      <c r="DZ58" s="4263"/>
      <c r="EA58" s="4263">
        <v>0</v>
      </c>
      <c r="EB58" s="4263">
        <v>14</v>
      </c>
      <c r="EC58" s="4263">
        <v>138</v>
      </c>
      <c r="ED58" s="4263"/>
      <c r="EE58" s="4263">
        <v>298</v>
      </c>
      <c r="EF58" s="4263">
        <v>0</v>
      </c>
      <c r="EG58" s="4263">
        <v>1354</v>
      </c>
      <c r="EH58" s="6307">
        <f t="shared" si="9"/>
        <v>0.55243722304283605</v>
      </c>
      <c r="EJ58" s="42" t="s">
        <v>48</v>
      </c>
      <c r="EK58" s="42" t="s">
        <v>16</v>
      </c>
      <c r="EL58" s="42" t="s">
        <v>17</v>
      </c>
      <c r="EM58" s="97">
        <v>135</v>
      </c>
      <c r="EN58" s="97">
        <v>76</v>
      </c>
      <c r="EO58" s="97"/>
      <c r="EP58" s="97">
        <v>1</v>
      </c>
      <c r="EQ58" s="97">
        <v>491</v>
      </c>
      <c r="ER58" s="97">
        <v>144</v>
      </c>
      <c r="ES58" s="97">
        <v>80</v>
      </c>
      <c r="ET58" s="97"/>
      <c r="EU58" s="97"/>
      <c r="EV58" s="97">
        <v>20</v>
      </c>
      <c r="EW58" s="97">
        <v>88</v>
      </c>
      <c r="EX58" s="97"/>
      <c r="EY58" s="97">
        <v>280</v>
      </c>
      <c r="EZ58" s="97">
        <v>0</v>
      </c>
      <c r="FA58" s="97">
        <v>1315</v>
      </c>
      <c r="FB58" s="6315">
        <f t="shared" si="10"/>
        <v>0.54980988593155888</v>
      </c>
      <c r="FD58" s="42" t="s">
        <v>48</v>
      </c>
      <c r="FE58" s="42" t="s">
        <v>16</v>
      </c>
      <c r="FF58" s="42" t="s">
        <v>17</v>
      </c>
      <c r="FG58" s="97">
        <v>152</v>
      </c>
      <c r="FH58" s="97">
        <v>83</v>
      </c>
      <c r="FI58" s="97"/>
      <c r="FJ58" s="97">
        <v>38</v>
      </c>
      <c r="FK58" s="97">
        <v>461</v>
      </c>
      <c r="FL58" s="97">
        <v>175</v>
      </c>
      <c r="FM58" s="97">
        <v>94</v>
      </c>
      <c r="FN58" s="97"/>
      <c r="FO58" s="97"/>
      <c r="FP58" s="97">
        <v>18</v>
      </c>
      <c r="FQ58" s="97">
        <v>85</v>
      </c>
      <c r="FR58" s="97"/>
      <c r="FS58" s="97">
        <v>267</v>
      </c>
      <c r="FT58" s="97">
        <v>0</v>
      </c>
      <c r="FU58" s="97">
        <v>1373</v>
      </c>
      <c r="FV58" s="6308">
        <f t="shared" si="0"/>
        <v>0.52512745812090311</v>
      </c>
      <c r="FW58" s="6322"/>
      <c r="FX58" s="42" t="s">
        <v>48</v>
      </c>
      <c r="FY58" s="42" t="s">
        <v>16</v>
      </c>
      <c r="FZ58" s="42" t="s">
        <v>17</v>
      </c>
      <c r="GA58" s="97">
        <v>114</v>
      </c>
      <c r="GB58" s="97">
        <v>82</v>
      </c>
      <c r="GC58" s="97">
        <v>0</v>
      </c>
      <c r="GD58" s="97">
        <v>40</v>
      </c>
      <c r="GE58" s="97">
        <v>483</v>
      </c>
      <c r="GF58" s="97">
        <v>148</v>
      </c>
      <c r="GG58" s="97">
        <v>98</v>
      </c>
      <c r="GH58" s="97"/>
      <c r="GI58" s="97">
        <v>0</v>
      </c>
      <c r="GJ58" s="97">
        <v>32</v>
      </c>
      <c r="GK58" s="97">
        <v>100</v>
      </c>
      <c r="GL58" s="97"/>
      <c r="GM58" s="97">
        <v>257</v>
      </c>
      <c r="GN58" s="97">
        <v>0</v>
      </c>
      <c r="GO58" s="97">
        <v>1354</v>
      </c>
      <c r="GP58" s="6308">
        <f t="shared" si="11"/>
        <v>0.53988183161004433</v>
      </c>
      <c r="GR58" s="6280" t="s">
        <v>48</v>
      </c>
      <c r="GS58" s="6280" t="s">
        <v>16</v>
      </c>
      <c r="GT58" s="6310" t="s">
        <v>17</v>
      </c>
      <c r="GU58" s="6311">
        <v>115</v>
      </c>
      <c r="GV58" s="6311">
        <v>66</v>
      </c>
      <c r="GW58" s="6312"/>
      <c r="GX58" s="6311">
        <v>49</v>
      </c>
      <c r="GY58" s="6311">
        <v>492</v>
      </c>
      <c r="GZ58" s="6311">
        <v>138</v>
      </c>
      <c r="HA58" s="6311">
        <v>102</v>
      </c>
      <c r="HB58" s="6312"/>
      <c r="HC58" s="6311">
        <v>0</v>
      </c>
      <c r="HD58" s="6311">
        <v>27</v>
      </c>
      <c r="HE58" s="6311">
        <v>90</v>
      </c>
      <c r="HF58" s="6312"/>
      <c r="HG58" s="6311">
        <v>273</v>
      </c>
      <c r="HH58" s="6311">
        <v>1</v>
      </c>
      <c r="HI58" s="6311">
        <v>1353</v>
      </c>
      <c r="HJ58" s="467">
        <f t="shared" si="12"/>
        <v>0.53254437869822491</v>
      </c>
      <c r="HL58" s="967" t="s">
        <v>48</v>
      </c>
      <c r="HM58" s="967" t="s">
        <v>16</v>
      </c>
      <c r="HN58" s="977" t="s">
        <v>17</v>
      </c>
      <c r="HO58" s="978">
        <v>99</v>
      </c>
      <c r="HP58" s="978">
        <v>77</v>
      </c>
      <c r="HQ58" s="967"/>
      <c r="HR58" s="978">
        <v>63</v>
      </c>
      <c r="HS58" s="978">
        <v>504</v>
      </c>
      <c r="HT58" s="978">
        <v>158</v>
      </c>
      <c r="HU58" s="978">
        <v>123</v>
      </c>
      <c r="HV58" s="967"/>
      <c r="HW58" s="978">
        <v>0</v>
      </c>
      <c r="HX58" s="978">
        <v>17</v>
      </c>
      <c r="HY58" s="978">
        <v>88</v>
      </c>
      <c r="HZ58" s="978">
        <v>360</v>
      </c>
      <c r="IA58" s="967"/>
      <c r="IB58" s="978">
        <v>1489</v>
      </c>
      <c r="IC58" s="467">
        <f t="shared" si="13"/>
        <v>0.503693754197448</v>
      </c>
      <c r="IE58" s="577" t="s">
        <v>48</v>
      </c>
      <c r="IF58" s="577" t="s">
        <v>16</v>
      </c>
      <c r="IG58" s="979" t="s">
        <v>17</v>
      </c>
      <c r="IH58" s="980">
        <v>76</v>
      </c>
      <c r="II58" s="980">
        <v>82</v>
      </c>
      <c r="IJ58" s="980">
        <v>0</v>
      </c>
      <c r="IK58" s="980">
        <v>68</v>
      </c>
      <c r="IL58" s="980">
        <v>489</v>
      </c>
      <c r="IM58" s="980">
        <v>183</v>
      </c>
      <c r="IN58" s="980">
        <v>106</v>
      </c>
      <c r="IO58" s="577"/>
      <c r="IP58" s="980">
        <v>0</v>
      </c>
      <c r="IQ58" s="980">
        <v>14</v>
      </c>
      <c r="IR58" s="980">
        <v>88</v>
      </c>
      <c r="IS58" s="980">
        <v>378</v>
      </c>
      <c r="IT58" s="577"/>
      <c r="IU58" s="980">
        <v>1484</v>
      </c>
      <c r="IV58" s="467">
        <f t="shared" si="14"/>
        <v>0.5121293800539084</v>
      </c>
      <c r="IX58" s="742"/>
      <c r="IY58" s="742"/>
      <c r="IZ58" s="981" t="s">
        <v>19</v>
      </c>
      <c r="JA58" s="982">
        <v>104</v>
      </c>
      <c r="JB58" s="982">
        <v>73</v>
      </c>
      <c r="JC58" s="982">
        <v>0</v>
      </c>
      <c r="JD58" s="982">
        <v>107</v>
      </c>
      <c r="JE58" s="982">
        <v>332</v>
      </c>
      <c r="JF58" s="982">
        <v>79</v>
      </c>
      <c r="JG58" s="982">
        <v>119</v>
      </c>
      <c r="JH58" s="982">
        <v>0</v>
      </c>
      <c r="JI58" s="982">
        <v>33</v>
      </c>
      <c r="JJ58" s="982">
        <v>47</v>
      </c>
      <c r="JK58" s="982">
        <v>295</v>
      </c>
      <c r="JL58" s="982">
        <v>401</v>
      </c>
      <c r="JM58" s="982">
        <v>0</v>
      </c>
      <c r="JN58" s="982">
        <v>12</v>
      </c>
      <c r="JO58" s="982">
        <v>1602</v>
      </c>
      <c r="JP58" s="983">
        <f t="shared" si="15"/>
        <v>0.35366795366795367</v>
      </c>
      <c r="JR58" s="97"/>
      <c r="JS58" s="97"/>
      <c r="JT58" s="42" t="s">
        <v>19</v>
      </c>
      <c r="JU58" s="42">
        <v>111</v>
      </c>
      <c r="JV58" s="42">
        <v>78</v>
      </c>
      <c r="JW58" s="42">
        <v>0</v>
      </c>
      <c r="JX58" s="42">
        <v>102</v>
      </c>
      <c r="JY58" s="42">
        <v>320</v>
      </c>
      <c r="JZ58" s="42">
        <v>65</v>
      </c>
      <c r="KA58" s="42">
        <v>113</v>
      </c>
      <c r="KB58" s="42"/>
      <c r="KC58" s="42">
        <v>27</v>
      </c>
      <c r="KD58" s="42">
        <v>53</v>
      </c>
      <c r="KE58" s="42">
        <v>274</v>
      </c>
      <c r="KF58" s="42">
        <v>410</v>
      </c>
      <c r="KG58" s="42"/>
      <c r="KH58" s="42">
        <v>10</v>
      </c>
      <c r="KI58" s="42">
        <v>1563</v>
      </c>
      <c r="KJ58" s="984">
        <f t="shared" si="1"/>
        <v>0.34245504300234558</v>
      </c>
      <c r="KK58" s="42"/>
      <c r="KL58" s="354"/>
      <c r="KM58" s="354"/>
      <c r="KN58" s="354" t="s">
        <v>19</v>
      </c>
      <c r="KO58" s="985">
        <v>93</v>
      </c>
      <c r="KP58" s="985">
        <v>76</v>
      </c>
      <c r="KQ58" s="985">
        <v>1</v>
      </c>
      <c r="KR58" s="985">
        <v>96</v>
      </c>
      <c r="KS58" s="985">
        <v>269</v>
      </c>
      <c r="KT58" s="985">
        <v>74</v>
      </c>
      <c r="KU58" s="985">
        <v>122</v>
      </c>
      <c r="KV58" s="985" t="s">
        <v>315</v>
      </c>
      <c r="KW58" s="985">
        <v>35</v>
      </c>
      <c r="KX58" s="985">
        <v>84</v>
      </c>
      <c r="KY58" s="985">
        <v>409</v>
      </c>
      <c r="KZ58" s="985" t="s">
        <v>315</v>
      </c>
      <c r="LA58" s="985">
        <v>1259</v>
      </c>
      <c r="LB58" s="985">
        <f t="shared" si="2"/>
        <v>427</v>
      </c>
      <c r="LC58" s="986">
        <f t="shared" si="3"/>
        <v>0.33915806195393167</v>
      </c>
      <c r="LD58" s="42"/>
      <c r="LE58" s="42"/>
    </row>
    <row r="59" spans="1:317">
      <c r="A59" s="6291">
        <v>3</v>
      </c>
      <c r="B59" s="6291">
        <v>3</v>
      </c>
      <c r="C59" s="6291">
        <v>75</v>
      </c>
      <c r="D59" s="6292">
        <v>1296</v>
      </c>
      <c r="E59" s="6291">
        <v>3</v>
      </c>
      <c r="F59" s="6291">
        <v>152</v>
      </c>
      <c r="G59" s="6291">
        <v>114</v>
      </c>
      <c r="H59" s="6291">
        <v>19</v>
      </c>
      <c r="I59" s="6293"/>
      <c r="J59" s="6291">
        <v>7</v>
      </c>
      <c r="K59" s="6291">
        <v>369</v>
      </c>
      <c r="L59" s="6293"/>
      <c r="M59" s="6291">
        <v>125</v>
      </c>
      <c r="N59" s="6291">
        <v>24</v>
      </c>
      <c r="O59" s="6293"/>
      <c r="P59" s="6291">
        <v>483</v>
      </c>
      <c r="Q59" s="6294">
        <f t="shared" si="4"/>
        <v>0.75385802469135799</v>
      </c>
      <c r="S59" s="6335">
        <v>3</v>
      </c>
      <c r="T59" s="6335">
        <v>2</v>
      </c>
      <c r="U59" s="6335">
        <v>63</v>
      </c>
      <c r="V59" s="6335">
        <v>1384</v>
      </c>
      <c r="W59" s="6295">
        <v>12</v>
      </c>
      <c r="X59" s="6295">
        <v>268</v>
      </c>
      <c r="Y59" s="6295">
        <v>104</v>
      </c>
      <c r="Z59" s="6295">
        <v>30</v>
      </c>
      <c r="AA59" s="6296"/>
      <c r="AB59" s="6295">
        <v>19</v>
      </c>
      <c r="AC59" s="6295">
        <v>160</v>
      </c>
      <c r="AD59" s="6296"/>
      <c r="AE59" s="6295">
        <v>194</v>
      </c>
      <c r="AF59" s="6295">
        <v>134</v>
      </c>
      <c r="AG59" s="6296"/>
      <c r="AH59" s="6295">
        <v>463</v>
      </c>
      <c r="AI59" s="6294">
        <f t="shared" si="5"/>
        <v>0.59031791907514453</v>
      </c>
      <c r="AJ59" s="6295"/>
      <c r="AK59" s="6297">
        <v>3</v>
      </c>
      <c r="AL59" s="6297">
        <v>2</v>
      </c>
      <c r="AM59" s="6297">
        <v>63</v>
      </c>
      <c r="AN59" s="6336">
        <v>1384</v>
      </c>
      <c r="AO59" s="6297">
        <v>23</v>
      </c>
      <c r="AP59" s="6297">
        <v>268</v>
      </c>
      <c r="AQ59" s="6297">
        <v>83</v>
      </c>
      <c r="AR59" s="6297">
        <v>29</v>
      </c>
      <c r="AS59" s="6299"/>
      <c r="AT59" s="6297">
        <v>19</v>
      </c>
      <c r="AU59" s="6299"/>
      <c r="AV59" s="6297">
        <v>199</v>
      </c>
      <c r="AW59" s="6297">
        <v>169</v>
      </c>
      <c r="AX59" s="6299"/>
      <c r="AY59" s="6297">
        <v>145</v>
      </c>
      <c r="AZ59" s="6299"/>
      <c r="BA59" s="6299"/>
      <c r="BB59" s="6297">
        <v>449</v>
      </c>
      <c r="BC59" s="6300">
        <f t="shared" si="6"/>
        <v>0.59031791907514453</v>
      </c>
      <c r="BE59" s="6313">
        <v>3</v>
      </c>
      <c r="BF59" s="6313">
        <v>2</v>
      </c>
      <c r="BG59" s="6313">
        <v>63</v>
      </c>
      <c r="BH59" s="4405" t="s">
        <v>17</v>
      </c>
      <c r="BI59" s="6337">
        <v>1379</v>
      </c>
      <c r="BJ59" s="6313">
        <v>9</v>
      </c>
      <c r="BK59" s="6313">
        <v>319</v>
      </c>
      <c r="BL59" s="6313">
        <v>115</v>
      </c>
      <c r="BM59" s="6313">
        <v>30</v>
      </c>
      <c r="BN59" s="6303"/>
      <c r="BO59" s="6313">
        <v>24</v>
      </c>
      <c r="BP59" s="6303"/>
      <c r="BQ59" s="6313">
        <v>135</v>
      </c>
      <c r="BR59" s="6303"/>
      <c r="BS59" s="6313">
        <v>215</v>
      </c>
      <c r="BT59" s="6313">
        <v>96</v>
      </c>
      <c r="BU59" s="6303"/>
      <c r="BV59" s="6303"/>
      <c r="BW59" s="6313">
        <v>436</v>
      </c>
      <c r="BX59" s="6300">
        <f t="shared" si="16"/>
        <v>0.56997824510514861</v>
      </c>
      <c r="BZ59" s="4388" t="s">
        <v>48</v>
      </c>
      <c r="CA59" s="4388" t="s">
        <v>16</v>
      </c>
      <c r="CB59" s="4388" t="s">
        <v>17</v>
      </c>
      <c r="CC59" s="4231">
        <v>106</v>
      </c>
      <c r="CD59" s="4231">
        <v>99</v>
      </c>
      <c r="CE59" s="4231"/>
      <c r="CF59" s="4231">
        <v>30</v>
      </c>
      <c r="CG59" s="4231">
        <v>430</v>
      </c>
      <c r="CH59" s="4231">
        <v>186</v>
      </c>
      <c r="CI59" s="4231">
        <v>24</v>
      </c>
      <c r="CJ59" s="4231">
        <v>0</v>
      </c>
      <c r="CK59" s="4231">
        <v>0</v>
      </c>
      <c r="CL59" s="4231">
        <v>15</v>
      </c>
      <c r="CM59" s="4231">
        <v>174</v>
      </c>
      <c r="CN59" s="4231"/>
      <c r="CO59" s="4231">
        <v>327</v>
      </c>
      <c r="CP59" s="4231">
        <v>0</v>
      </c>
      <c r="CQ59" s="4231">
        <v>1391</v>
      </c>
      <c r="CR59" s="6304">
        <f t="shared" si="7"/>
        <v>0.56793673616103524</v>
      </c>
      <c r="CS59" s="4238">
        <f t="shared" si="8"/>
        <v>12</v>
      </c>
      <c r="CT59" s="6305">
        <v>1379</v>
      </c>
      <c r="CU59" s="6316"/>
      <c r="CX59" s="42" t="s">
        <v>49</v>
      </c>
      <c r="CY59" s="42">
        <v>18</v>
      </c>
      <c r="CZ59" s="42">
        <v>39</v>
      </c>
      <c r="DB59" s="42">
        <v>30</v>
      </c>
      <c r="DC59" s="42">
        <v>775</v>
      </c>
      <c r="DD59" s="42">
        <v>198</v>
      </c>
      <c r="DE59" s="42">
        <v>86</v>
      </c>
      <c r="DH59" s="42">
        <v>3</v>
      </c>
      <c r="DI59" s="42">
        <v>214</v>
      </c>
      <c r="DK59" s="42">
        <v>168</v>
      </c>
      <c r="DL59" s="42">
        <v>1</v>
      </c>
      <c r="DM59" s="893">
        <v>1532</v>
      </c>
      <c r="DN59" s="6306">
        <f t="shared" si="17"/>
        <v>0.775310254735467</v>
      </c>
      <c r="DP59" s="4263"/>
      <c r="DQ59" s="4263"/>
      <c r="DR59" s="4258" t="s">
        <v>49</v>
      </c>
      <c r="DS59" s="4263">
        <v>83</v>
      </c>
      <c r="DT59" s="4263">
        <v>68</v>
      </c>
      <c r="DU59" s="4263">
        <v>1</v>
      </c>
      <c r="DV59" s="4263">
        <v>30</v>
      </c>
      <c r="DW59" s="4263">
        <v>562</v>
      </c>
      <c r="DX59" s="4263">
        <v>259</v>
      </c>
      <c r="DY59" s="4263">
        <v>38</v>
      </c>
      <c r="DZ59" s="4263"/>
      <c r="EA59" s="4263">
        <v>1</v>
      </c>
      <c r="EB59" s="4263">
        <v>10</v>
      </c>
      <c r="EC59" s="4263">
        <v>290</v>
      </c>
      <c r="ED59" s="4263"/>
      <c r="EE59" s="4263">
        <v>195</v>
      </c>
      <c r="EF59" s="4263">
        <v>1</v>
      </c>
      <c r="EG59" s="4263">
        <v>1538</v>
      </c>
      <c r="EH59" s="6307">
        <f t="shared" si="9"/>
        <v>0.72283669486011715</v>
      </c>
      <c r="EL59" s="42" t="s">
        <v>49</v>
      </c>
      <c r="EM59" s="97">
        <v>74</v>
      </c>
      <c r="EN59" s="97">
        <v>48</v>
      </c>
      <c r="EO59" s="97"/>
      <c r="EP59" s="97">
        <v>0</v>
      </c>
      <c r="EQ59" s="97">
        <v>658</v>
      </c>
      <c r="ER59" s="97">
        <v>222</v>
      </c>
      <c r="ES59" s="97">
        <v>47</v>
      </c>
      <c r="ET59" s="97"/>
      <c r="EU59" s="97"/>
      <c r="EV59" s="97">
        <v>9</v>
      </c>
      <c r="EW59" s="97">
        <v>254</v>
      </c>
      <c r="EX59" s="97"/>
      <c r="EY59" s="97">
        <v>189</v>
      </c>
      <c r="EZ59" s="97">
        <v>0</v>
      </c>
      <c r="FA59" s="97">
        <v>1501</v>
      </c>
      <c r="FB59" s="6315">
        <f t="shared" si="10"/>
        <v>0.75549633577614927</v>
      </c>
      <c r="FD59" s="42"/>
      <c r="FE59" s="42"/>
      <c r="FF59" s="42" t="s">
        <v>49</v>
      </c>
      <c r="FG59" s="97">
        <v>64</v>
      </c>
      <c r="FH59" s="97">
        <v>67</v>
      </c>
      <c r="FI59" s="97"/>
      <c r="FJ59" s="97">
        <v>28</v>
      </c>
      <c r="FK59" s="97">
        <v>658</v>
      </c>
      <c r="FL59" s="97">
        <v>248</v>
      </c>
      <c r="FM59" s="97">
        <v>54</v>
      </c>
      <c r="FN59" s="97"/>
      <c r="FO59" s="97"/>
      <c r="FP59" s="97">
        <v>2</v>
      </c>
      <c r="FQ59" s="97">
        <v>236</v>
      </c>
      <c r="FR59" s="97"/>
      <c r="FS59" s="97">
        <v>166</v>
      </c>
      <c r="FT59" s="97">
        <v>2</v>
      </c>
      <c r="FU59" s="97">
        <v>1525</v>
      </c>
      <c r="FV59" s="6308">
        <f t="shared" si="0"/>
        <v>0.74983585029546951</v>
      </c>
      <c r="FW59" s="6322"/>
      <c r="FX59" s="42"/>
      <c r="FY59" s="42"/>
      <c r="FZ59" s="42" t="s">
        <v>49</v>
      </c>
      <c r="GA59" s="97">
        <v>60</v>
      </c>
      <c r="GB59" s="97">
        <v>60</v>
      </c>
      <c r="GC59" s="97">
        <v>0</v>
      </c>
      <c r="GD59" s="97">
        <v>28</v>
      </c>
      <c r="GE59" s="97">
        <v>703</v>
      </c>
      <c r="GF59" s="97">
        <v>208</v>
      </c>
      <c r="GG59" s="97">
        <v>61</v>
      </c>
      <c r="GH59" s="97"/>
      <c r="GI59" s="97">
        <v>0</v>
      </c>
      <c r="GJ59" s="97">
        <v>9</v>
      </c>
      <c r="GK59" s="97">
        <v>225</v>
      </c>
      <c r="GL59" s="97"/>
      <c r="GM59" s="97">
        <v>160</v>
      </c>
      <c r="GN59" s="97">
        <v>2</v>
      </c>
      <c r="GO59" s="97">
        <v>1516</v>
      </c>
      <c r="GP59" s="6308">
        <f t="shared" si="11"/>
        <v>0.75033025099075301</v>
      </c>
      <c r="GR59" s="6280"/>
      <c r="GS59" s="6280"/>
      <c r="GT59" s="6310" t="s">
        <v>49</v>
      </c>
      <c r="GU59" s="6311">
        <v>58</v>
      </c>
      <c r="GV59" s="6311">
        <v>50</v>
      </c>
      <c r="GW59" s="6312"/>
      <c r="GX59" s="6311">
        <v>30</v>
      </c>
      <c r="GY59" s="6311">
        <v>750</v>
      </c>
      <c r="GZ59" s="6311">
        <v>188</v>
      </c>
      <c r="HA59" s="6311">
        <v>65</v>
      </c>
      <c r="HB59" s="6312"/>
      <c r="HC59" s="6311">
        <v>0</v>
      </c>
      <c r="HD59" s="6311">
        <v>5</v>
      </c>
      <c r="HE59" s="6311">
        <v>222</v>
      </c>
      <c r="HF59" s="6312"/>
      <c r="HG59" s="6311">
        <v>177</v>
      </c>
      <c r="HH59" s="6311">
        <v>2</v>
      </c>
      <c r="HI59" s="6311">
        <v>1547</v>
      </c>
      <c r="HJ59" s="467">
        <f t="shared" si="12"/>
        <v>0.7508090614886731</v>
      </c>
      <c r="HL59" s="967"/>
      <c r="HM59" s="967"/>
      <c r="HN59" s="977" t="s">
        <v>49</v>
      </c>
      <c r="HO59" s="978">
        <v>71</v>
      </c>
      <c r="HP59" s="978">
        <v>63</v>
      </c>
      <c r="HQ59" s="967"/>
      <c r="HR59" s="978">
        <v>46</v>
      </c>
      <c r="HS59" s="978">
        <v>754</v>
      </c>
      <c r="HT59" s="978">
        <v>242</v>
      </c>
      <c r="HU59" s="978">
        <v>81</v>
      </c>
      <c r="HV59" s="967"/>
      <c r="HW59" s="978">
        <v>0</v>
      </c>
      <c r="HX59" s="978">
        <v>2</v>
      </c>
      <c r="HY59" s="978">
        <v>218</v>
      </c>
      <c r="HZ59" s="978">
        <v>239</v>
      </c>
      <c r="IA59" s="967"/>
      <c r="IB59" s="978">
        <v>1716</v>
      </c>
      <c r="IC59" s="467">
        <f t="shared" si="13"/>
        <v>0.70745920745920743</v>
      </c>
      <c r="IE59" s="577"/>
      <c r="IF59" s="577"/>
      <c r="IG59" s="979" t="s">
        <v>49</v>
      </c>
      <c r="IH59" s="980">
        <v>60</v>
      </c>
      <c r="II59" s="980">
        <v>66</v>
      </c>
      <c r="IJ59" s="980">
        <v>0</v>
      </c>
      <c r="IK59" s="980">
        <v>47</v>
      </c>
      <c r="IL59" s="980">
        <v>753</v>
      </c>
      <c r="IM59" s="980">
        <v>238</v>
      </c>
      <c r="IN59" s="980">
        <v>74</v>
      </c>
      <c r="IO59" s="577"/>
      <c r="IP59" s="980">
        <v>0</v>
      </c>
      <c r="IQ59" s="980">
        <v>1</v>
      </c>
      <c r="IR59" s="980">
        <v>230</v>
      </c>
      <c r="IS59" s="980">
        <v>250</v>
      </c>
      <c r="IT59" s="577"/>
      <c r="IU59" s="980">
        <v>1719</v>
      </c>
      <c r="IV59" s="467">
        <f t="shared" si="14"/>
        <v>0.71029668411867364</v>
      </c>
      <c r="IX59" s="742"/>
      <c r="IY59" s="742"/>
      <c r="IZ59" s="981" t="s">
        <v>50</v>
      </c>
      <c r="JA59" s="982">
        <v>135</v>
      </c>
      <c r="JB59" s="982">
        <v>77</v>
      </c>
      <c r="JC59" s="982">
        <v>0</v>
      </c>
      <c r="JD59" s="982">
        <v>111</v>
      </c>
      <c r="JE59" s="982">
        <v>1593</v>
      </c>
      <c r="JF59" s="982">
        <v>255</v>
      </c>
      <c r="JG59" s="982">
        <v>156</v>
      </c>
      <c r="JH59" s="982">
        <v>0</v>
      </c>
      <c r="JI59" s="982">
        <v>18</v>
      </c>
      <c r="JJ59" s="982">
        <v>138</v>
      </c>
      <c r="JK59" s="982">
        <v>440</v>
      </c>
      <c r="JL59" s="982">
        <v>533</v>
      </c>
      <c r="JM59" s="982">
        <v>0</v>
      </c>
      <c r="JN59" s="982">
        <v>17</v>
      </c>
      <c r="JO59" s="982">
        <v>3473</v>
      </c>
      <c r="JP59" s="983">
        <f t="shared" si="15"/>
        <v>0.65848806366047741</v>
      </c>
      <c r="JR59" s="97"/>
      <c r="JS59" s="97"/>
      <c r="JT59" s="42" t="s">
        <v>50</v>
      </c>
      <c r="JU59" s="42">
        <v>116</v>
      </c>
      <c r="JV59" s="42">
        <v>75</v>
      </c>
      <c r="JW59" s="42">
        <v>1</v>
      </c>
      <c r="JX59" s="42">
        <v>116</v>
      </c>
      <c r="JY59" s="42">
        <v>1581</v>
      </c>
      <c r="JZ59" s="42">
        <v>264</v>
      </c>
      <c r="KA59" s="42">
        <v>156</v>
      </c>
      <c r="KB59" s="42"/>
      <c r="KC59" s="42">
        <v>12</v>
      </c>
      <c r="KD59" s="42">
        <v>162</v>
      </c>
      <c r="KE59" s="42">
        <v>413</v>
      </c>
      <c r="KF59" s="42">
        <v>557</v>
      </c>
      <c r="KG59" s="42"/>
      <c r="KH59" s="42">
        <v>14</v>
      </c>
      <c r="KI59" s="42">
        <v>3467</v>
      </c>
      <c r="KJ59" s="984">
        <f t="shared" si="1"/>
        <v>0.66019736842105259</v>
      </c>
      <c r="KK59" s="42"/>
      <c r="KL59" s="354"/>
      <c r="KM59" s="354"/>
      <c r="KN59" s="354" t="s">
        <v>50</v>
      </c>
      <c r="KO59" s="985">
        <v>126</v>
      </c>
      <c r="KP59" s="985">
        <v>74</v>
      </c>
      <c r="KQ59" s="985" t="s">
        <v>315</v>
      </c>
      <c r="KR59" s="985">
        <v>108</v>
      </c>
      <c r="KS59" s="985">
        <v>1547</v>
      </c>
      <c r="KT59" s="985">
        <v>280</v>
      </c>
      <c r="KU59" s="985">
        <v>166</v>
      </c>
      <c r="KV59" s="985" t="s">
        <v>315</v>
      </c>
      <c r="KW59" s="985">
        <v>14</v>
      </c>
      <c r="KX59" s="985">
        <v>197</v>
      </c>
      <c r="KY59" s="985">
        <v>576</v>
      </c>
      <c r="KZ59" s="985" t="s">
        <v>315</v>
      </c>
      <c r="LA59" s="985">
        <v>3088</v>
      </c>
      <c r="LB59" s="985">
        <f t="shared" si="2"/>
        <v>2024</v>
      </c>
      <c r="LC59" s="986">
        <f t="shared" si="3"/>
        <v>0.65544041450777202</v>
      </c>
      <c r="LD59" s="42"/>
      <c r="LE59" s="42"/>
    </row>
    <row r="60" spans="1:317">
      <c r="A60" s="6291">
        <v>3</v>
      </c>
      <c r="B60" s="6291">
        <v>3</v>
      </c>
      <c r="C60" s="6291">
        <v>76</v>
      </c>
      <c r="D60" s="6292">
        <v>1954</v>
      </c>
      <c r="E60" s="6291">
        <v>13</v>
      </c>
      <c r="F60" s="6291">
        <v>305</v>
      </c>
      <c r="G60" s="6291">
        <v>135</v>
      </c>
      <c r="H60" s="6291">
        <v>68</v>
      </c>
      <c r="I60" s="6291">
        <v>1</v>
      </c>
      <c r="J60" s="6291">
        <v>25</v>
      </c>
      <c r="K60" s="6291">
        <v>357</v>
      </c>
      <c r="L60" s="6293"/>
      <c r="M60" s="6291">
        <v>243</v>
      </c>
      <c r="N60" s="6291">
        <v>54</v>
      </c>
      <c r="O60" s="6293"/>
      <c r="P60" s="6291">
        <v>753</v>
      </c>
      <c r="Q60" s="6294">
        <f t="shared" si="4"/>
        <v>0.69242579324462639</v>
      </c>
      <c r="S60" s="6295">
        <v>3</v>
      </c>
      <c r="T60" s="6295">
        <v>2</v>
      </c>
      <c r="U60" s="6295">
        <v>64</v>
      </c>
      <c r="V60" s="6295">
        <v>1547</v>
      </c>
      <c r="W60" s="6295">
        <v>7</v>
      </c>
      <c r="X60" s="6295">
        <v>166</v>
      </c>
      <c r="Y60" s="6295">
        <v>107</v>
      </c>
      <c r="Z60" s="6295">
        <v>34</v>
      </c>
      <c r="AA60" s="6295">
        <v>1</v>
      </c>
      <c r="AB60" s="6295">
        <v>16</v>
      </c>
      <c r="AC60" s="6295">
        <v>298</v>
      </c>
      <c r="AD60" s="6296"/>
      <c r="AE60" s="6295">
        <v>226</v>
      </c>
      <c r="AF60" s="6295">
        <v>113</v>
      </c>
      <c r="AG60" s="6296"/>
      <c r="AH60" s="6295">
        <v>579</v>
      </c>
      <c r="AI60" s="6294">
        <f t="shared" si="5"/>
        <v>0.71299288946347772</v>
      </c>
      <c r="AJ60" s="6295"/>
      <c r="AK60" s="6297">
        <v>3</v>
      </c>
      <c r="AL60" s="6297">
        <v>2</v>
      </c>
      <c r="AM60" s="6297">
        <v>64</v>
      </c>
      <c r="AN60" s="6298">
        <v>1547</v>
      </c>
      <c r="AO60" s="6297">
        <v>10</v>
      </c>
      <c r="AP60" s="6297">
        <v>166</v>
      </c>
      <c r="AQ60" s="6297">
        <v>104</v>
      </c>
      <c r="AR60" s="6297">
        <v>34</v>
      </c>
      <c r="AS60" s="6297">
        <v>1</v>
      </c>
      <c r="AT60" s="6297">
        <v>16</v>
      </c>
      <c r="AU60" s="6299"/>
      <c r="AV60" s="6297">
        <v>336</v>
      </c>
      <c r="AW60" s="6297">
        <v>209</v>
      </c>
      <c r="AX60" s="6299"/>
      <c r="AY60" s="6297">
        <v>113</v>
      </c>
      <c r="AZ60" s="6299"/>
      <c r="BA60" s="6299"/>
      <c r="BB60" s="6297">
        <v>558</v>
      </c>
      <c r="BC60" s="6300">
        <f t="shared" si="6"/>
        <v>0.71299288946347772</v>
      </c>
      <c r="BE60" s="6313">
        <v>3</v>
      </c>
      <c r="BF60" s="6313">
        <v>2</v>
      </c>
      <c r="BG60" s="6313">
        <v>64</v>
      </c>
      <c r="BH60" s="4405" t="s">
        <v>49</v>
      </c>
      <c r="BI60" s="6314">
        <v>1535</v>
      </c>
      <c r="BJ60" s="6313">
        <v>5</v>
      </c>
      <c r="BK60" s="6313">
        <v>198</v>
      </c>
      <c r="BL60" s="6313">
        <v>93</v>
      </c>
      <c r="BM60" s="6313">
        <v>32</v>
      </c>
      <c r="BN60" s="6313">
        <v>1</v>
      </c>
      <c r="BO60" s="6313">
        <v>20</v>
      </c>
      <c r="BP60" s="6303"/>
      <c r="BQ60" s="6313">
        <v>282</v>
      </c>
      <c r="BR60" s="6303"/>
      <c r="BS60" s="6313">
        <v>258</v>
      </c>
      <c r="BT60" s="6313">
        <v>76</v>
      </c>
      <c r="BU60" s="6303"/>
      <c r="BV60" s="6303"/>
      <c r="BW60" s="6313">
        <v>570</v>
      </c>
      <c r="BX60" s="6300">
        <f t="shared" si="16"/>
        <v>0.72312703583061888</v>
      </c>
      <c r="BZ60" s="4388"/>
      <c r="CA60" s="4388"/>
      <c r="CB60" s="4388" t="s">
        <v>49</v>
      </c>
      <c r="CC60" s="4231">
        <v>93</v>
      </c>
      <c r="CD60" s="4231">
        <v>74</v>
      </c>
      <c r="CE60" s="4231"/>
      <c r="CF60" s="4231">
        <v>32</v>
      </c>
      <c r="CG60" s="4231">
        <v>561</v>
      </c>
      <c r="CH60" s="4231">
        <v>215</v>
      </c>
      <c r="CI60" s="4231">
        <v>20</v>
      </c>
      <c r="CJ60" s="4231">
        <v>3</v>
      </c>
      <c r="CK60" s="4231">
        <v>1</v>
      </c>
      <c r="CL60" s="4231">
        <v>7</v>
      </c>
      <c r="CM60" s="4231">
        <v>340</v>
      </c>
      <c r="CN60" s="4231"/>
      <c r="CO60" s="4231">
        <v>208</v>
      </c>
      <c r="CP60" s="4231">
        <v>0</v>
      </c>
      <c r="CQ60" s="4231">
        <v>1554</v>
      </c>
      <c r="CR60" s="6304">
        <f t="shared" si="7"/>
        <v>0.71814671814671815</v>
      </c>
      <c r="CS60" s="4238">
        <f t="shared" si="8"/>
        <v>19</v>
      </c>
      <c r="CT60" s="6305">
        <v>1535</v>
      </c>
      <c r="CU60" s="6316"/>
      <c r="CX60" s="42" t="s">
        <v>19</v>
      </c>
      <c r="CY60" s="42">
        <v>90</v>
      </c>
      <c r="CZ60" s="42">
        <v>67</v>
      </c>
      <c r="DB60" s="42">
        <v>76</v>
      </c>
      <c r="DC60" s="42">
        <v>363</v>
      </c>
      <c r="DD60" s="42">
        <v>95</v>
      </c>
      <c r="DE60" s="42">
        <v>168</v>
      </c>
      <c r="DH60" s="42">
        <v>19</v>
      </c>
      <c r="DI60" s="42">
        <v>77</v>
      </c>
      <c r="DK60" s="42">
        <v>255</v>
      </c>
      <c r="DL60" s="42">
        <v>3</v>
      </c>
      <c r="DM60" s="893">
        <v>1213</v>
      </c>
      <c r="DN60" s="6306">
        <f t="shared" si="17"/>
        <v>0.44214876033057854</v>
      </c>
      <c r="DP60" s="4263"/>
      <c r="DQ60" s="4263"/>
      <c r="DR60" s="4258" t="s">
        <v>19</v>
      </c>
      <c r="DS60" s="4263">
        <v>138</v>
      </c>
      <c r="DT60" s="4263">
        <v>130</v>
      </c>
      <c r="DU60" s="4263">
        <v>0</v>
      </c>
      <c r="DV60" s="4263">
        <v>69</v>
      </c>
      <c r="DW60" s="4263">
        <v>245</v>
      </c>
      <c r="DX60" s="4263">
        <v>127</v>
      </c>
      <c r="DY60" s="4263">
        <v>81</v>
      </c>
      <c r="DZ60" s="4263"/>
      <c r="EA60" s="4263">
        <v>1</v>
      </c>
      <c r="EB60" s="4263">
        <v>33</v>
      </c>
      <c r="EC60" s="4263">
        <v>97</v>
      </c>
      <c r="ED60" s="4263"/>
      <c r="EE60" s="4263">
        <v>292</v>
      </c>
      <c r="EF60" s="4263">
        <v>2</v>
      </c>
      <c r="EG60" s="4263">
        <v>1215</v>
      </c>
      <c r="EH60" s="6307">
        <f t="shared" si="9"/>
        <v>0.38664468260511131</v>
      </c>
      <c r="EL60" s="42" t="s">
        <v>19</v>
      </c>
      <c r="EM60" s="97">
        <v>127</v>
      </c>
      <c r="EN60" s="97">
        <v>105</v>
      </c>
      <c r="EO60" s="97"/>
      <c r="EP60" s="97">
        <v>2</v>
      </c>
      <c r="EQ60" s="97">
        <v>293</v>
      </c>
      <c r="ER60" s="97">
        <v>86</v>
      </c>
      <c r="ES60" s="97">
        <v>101</v>
      </c>
      <c r="ET60" s="97"/>
      <c r="EU60" s="97"/>
      <c r="EV60" s="97">
        <v>31</v>
      </c>
      <c r="EW60" s="97">
        <v>105</v>
      </c>
      <c r="EX60" s="97"/>
      <c r="EY60" s="97">
        <v>285</v>
      </c>
      <c r="EZ60" s="97">
        <v>0</v>
      </c>
      <c r="FA60" s="97">
        <v>1135</v>
      </c>
      <c r="FB60" s="6315">
        <f t="shared" si="10"/>
        <v>0.42643171806167401</v>
      </c>
      <c r="FD60" s="42"/>
      <c r="FE60" s="42"/>
      <c r="FF60" s="42" t="s">
        <v>19</v>
      </c>
      <c r="FG60" s="97">
        <v>177</v>
      </c>
      <c r="FH60" s="97">
        <v>123</v>
      </c>
      <c r="FI60" s="97"/>
      <c r="FJ60" s="97">
        <v>76</v>
      </c>
      <c r="FK60" s="97">
        <v>290</v>
      </c>
      <c r="FL60" s="97">
        <v>76</v>
      </c>
      <c r="FM60" s="97">
        <v>117</v>
      </c>
      <c r="FN60" s="97"/>
      <c r="FO60" s="97"/>
      <c r="FP60" s="97">
        <v>26</v>
      </c>
      <c r="FQ60" s="97">
        <v>63</v>
      </c>
      <c r="FR60" s="97"/>
      <c r="FS60" s="97">
        <v>251</v>
      </c>
      <c r="FT60" s="97">
        <v>4</v>
      </c>
      <c r="FU60" s="97">
        <v>1203</v>
      </c>
      <c r="FV60" s="6308">
        <f t="shared" si="0"/>
        <v>0.3577981651376147</v>
      </c>
      <c r="FW60" s="6322"/>
      <c r="FX60" s="42"/>
      <c r="FY60" s="42"/>
      <c r="FZ60" s="42" t="s">
        <v>19</v>
      </c>
      <c r="GA60" s="97">
        <v>134</v>
      </c>
      <c r="GB60" s="97">
        <v>137</v>
      </c>
      <c r="GC60" s="97">
        <v>1</v>
      </c>
      <c r="GD60" s="97">
        <v>70</v>
      </c>
      <c r="GE60" s="97">
        <v>298</v>
      </c>
      <c r="GF60" s="97">
        <v>82</v>
      </c>
      <c r="GG60" s="97">
        <v>100</v>
      </c>
      <c r="GH60" s="97"/>
      <c r="GI60" s="97">
        <v>1</v>
      </c>
      <c r="GJ60" s="97">
        <v>47</v>
      </c>
      <c r="GK60" s="97">
        <v>68</v>
      </c>
      <c r="GL60" s="97"/>
      <c r="GM60" s="97">
        <v>253</v>
      </c>
      <c r="GN60" s="97">
        <v>5</v>
      </c>
      <c r="GO60" s="97">
        <v>1196</v>
      </c>
      <c r="GP60" s="6308">
        <f t="shared" si="11"/>
        <v>0.37615449202350965</v>
      </c>
      <c r="GR60" s="6280"/>
      <c r="GS60" s="6280"/>
      <c r="GT60" s="6310" t="s">
        <v>19</v>
      </c>
      <c r="GU60" s="6311">
        <v>128</v>
      </c>
      <c r="GV60" s="6311">
        <v>121</v>
      </c>
      <c r="GW60" s="6312"/>
      <c r="GX60" s="6311">
        <v>70</v>
      </c>
      <c r="GY60" s="6311">
        <v>311</v>
      </c>
      <c r="GZ60" s="6311">
        <v>77</v>
      </c>
      <c r="HA60" s="6311">
        <v>118</v>
      </c>
      <c r="HB60" s="6312"/>
      <c r="HC60" s="6311">
        <v>1</v>
      </c>
      <c r="HD60" s="6311">
        <v>42</v>
      </c>
      <c r="HE60" s="6311">
        <v>59</v>
      </c>
      <c r="HF60" s="6312"/>
      <c r="HG60" s="6311">
        <v>263</v>
      </c>
      <c r="HH60" s="6311">
        <v>4</v>
      </c>
      <c r="HI60" s="6311">
        <v>1194</v>
      </c>
      <c r="HJ60" s="467">
        <f t="shared" si="12"/>
        <v>0.37563025210084033</v>
      </c>
      <c r="HL60" s="967"/>
      <c r="HM60" s="967"/>
      <c r="HN60" s="977" t="s">
        <v>19</v>
      </c>
      <c r="HO60" s="978">
        <v>121</v>
      </c>
      <c r="HP60" s="978">
        <v>120</v>
      </c>
      <c r="HQ60" s="967"/>
      <c r="HR60" s="978">
        <v>96</v>
      </c>
      <c r="HS60" s="978">
        <v>332</v>
      </c>
      <c r="HT60" s="978">
        <v>73</v>
      </c>
      <c r="HU60" s="978">
        <v>118</v>
      </c>
      <c r="HV60" s="967"/>
      <c r="HW60" s="978">
        <v>1</v>
      </c>
      <c r="HX60" s="978">
        <v>44</v>
      </c>
      <c r="HY60" s="978">
        <v>59</v>
      </c>
      <c r="HZ60" s="978">
        <v>359</v>
      </c>
      <c r="IA60" s="967"/>
      <c r="IB60" s="978">
        <v>1323</v>
      </c>
      <c r="IC60" s="467">
        <f t="shared" si="13"/>
        <v>0.35071806500377928</v>
      </c>
      <c r="IE60" s="577"/>
      <c r="IF60" s="577"/>
      <c r="IG60" s="979" t="s">
        <v>19</v>
      </c>
      <c r="IH60" s="980">
        <v>124</v>
      </c>
      <c r="II60" s="980">
        <v>116</v>
      </c>
      <c r="IJ60" s="980">
        <v>0</v>
      </c>
      <c r="IK60" s="980">
        <v>99</v>
      </c>
      <c r="IL60" s="980">
        <v>336</v>
      </c>
      <c r="IM60" s="980">
        <v>75</v>
      </c>
      <c r="IN60" s="980">
        <v>105</v>
      </c>
      <c r="IO60" s="577"/>
      <c r="IP60" s="980">
        <v>1</v>
      </c>
      <c r="IQ60" s="980">
        <v>26</v>
      </c>
      <c r="IR60" s="980">
        <v>48</v>
      </c>
      <c r="IS60" s="980">
        <v>368</v>
      </c>
      <c r="IT60" s="577"/>
      <c r="IU60" s="980">
        <v>1298</v>
      </c>
      <c r="IV60" s="467">
        <f t="shared" si="14"/>
        <v>0.35362095531587057</v>
      </c>
      <c r="IX60" s="742"/>
      <c r="IY60" s="742"/>
      <c r="IZ60" s="981" t="s">
        <v>20</v>
      </c>
      <c r="JA60" s="982">
        <v>99</v>
      </c>
      <c r="JB60" s="982">
        <v>55</v>
      </c>
      <c r="JC60" s="982">
        <v>0</v>
      </c>
      <c r="JD60" s="982">
        <v>103</v>
      </c>
      <c r="JE60" s="982">
        <v>557</v>
      </c>
      <c r="JF60" s="982">
        <v>133</v>
      </c>
      <c r="JG60" s="982">
        <v>103</v>
      </c>
      <c r="JH60" s="982">
        <v>0</v>
      </c>
      <c r="JI60" s="982">
        <v>12</v>
      </c>
      <c r="JJ60" s="982">
        <v>74</v>
      </c>
      <c r="JK60" s="982">
        <v>179</v>
      </c>
      <c r="JL60" s="982">
        <v>355</v>
      </c>
      <c r="JM60" s="982">
        <v>0</v>
      </c>
      <c r="JN60" s="982">
        <v>11</v>
      </c>
      <c r="JO60" s="982">
        <v>1681</v>
      </c>
      <c r="JP60" s="983">
        <f t="shared" si="15"/>
        <v>0.5124077800134138</v>
      </c>
      <c r="JR60" s="97"/>
      <c r="JS60" s="97"/>
      <c r="JT60" s="42" t="s">
        <v>20</v>
      </c>
      <c r="JU60" s="42">
        <v>82</v>
      </c>
      <c r="JV60" s="42">
        <v>46</v>
      </c>
      <c r="JW60" s="42">
        <v>0</v>
      </c>
      <c r="JX60" s="42">
        <v>118</v>
      </c>
      <c r="JY60" s="42">
        <v>572</v>
      </c>
      <c r="JZ60" s="42">
        <v>124</v>
      </c>
      <c r="KA60" s="42">
        <v>105</v>
      </c>
      <c r="KB60" s="42"/>
      <c r="KC60" s="42">
        <v>9</v>
      </c>
      <c r="KD60" s="42">
        <v>80</v>
      </c>
      <c r="KE60" s="42">
        <v>167</v>
      </c>
      <c r="KF60" s="42">
        <v>386</v>
      </c>
      <c r="KG60" s="42"/>
      <c r="KH60" s="42">
        <v>15</v>
      </c>
      <c r="KI60" s="42">
        <v>1704</v>
      </c>
      <c r="KJ60" s="984">
        <f t="shared" si="1"/>
        <v>0.50985545335085414</v>
      </c>
      <c r="KK60" s="42"/>
      <c r="KL60" s="354"/>
      <c r="KM60" s="354"/>
      <c r="KN60" s="354" t="s">
        <v>20</v>
      </c>
      <c r="KO60" s="985">
        <v>73</v>
      </c>
      <c r="KP60" s="985">
        <v>57</v>
      </c>
      <c r="KQ60" s="985" t="s">
        <v>315</v>
      </c>
      <c r="KR60" s="985">
        <v>121</v>
      </c>
      <c r="KS60" s="985">
        <v>549</v>
      </c>
      <c r="KT60" s="985">
        <v>118</v>
      </c>
      <c r="KU60" s="985">
        <v>118</v>
      </c>
      <c r="KV60" s="985" t="s">
        <v>315</v>
      </c>
      <c r="KW60" s="985">
        <v>16</v>
      </c>
      <c r="KX60" s="985">
        <v>99</v>
      </c>
      <c r="KY60" s="985">
        <v>396</v>
      </c>
      <c r="KZ60" s="985" t="s">
        <v>315</v>
      </c>
      <c r="LA60" s="985">
        <v>1547</v>
      </c>
      <c r="LB60" s="985">
        <f t="shared" si="2"/>
        <v>766</v>
      </c>
      <c r="LC60" s="986">
        <f t="shared" si="3"/>
        <v>0.49515190691661282</v>
      </c>
      <c r="LD60" s="42"/>
      <c r="LE60" s="42"/>
    </row>
    <row r="61" spans="1:317">
      <c r="A61" s="6291">
        <v>3</v>
      </c>
      <c r="B61" s="6291">
        <v>3</v>
      </c>
      <c r="C61" s="6291">
        <v>77</v>
      </c>
      <c r="D61" s="6292">
        <v>1796</v>
      </c>
      <c r="E61" s="6291">
        <v>5</v>
      </c>
      <c r="F61" s="6291">
        <v>311</v>
      </c>
      <c r="G61" s="6291">
        <v>352</v>
      </c>
      <c r="H61" s="6291">
        <v>86</v>
      </c>
      <c r="I61" s="6291">
        <v>1</v>
      </c>
      <c r="J61" s="6291">
        <v>14</v>
      </c>
      <c r="K61" s="6291">
        <v>436</v>
      </c>
      <c r="L61" s="6293"/>
      <c r="M61" s="6291">
        <v>115</v>
      </c>
      <c r="N61" s="6291">
        <v>54</v>
      </c>
      <c r="O61" s="6293"/>
      <c r="P61" s="6291">
        <v>422</v>
      </c>
      <c r="Q61" s="6294">
        <f t="shared" si="4"/>
        <v>0.54175946547884191</v>
      </c>
      <c r="S61" s="6295">
        <v>3</v>
      </c>
      <c r="T61" s="6295">
        <v>2</v>
      </c>
      <c r="U61" s="6295">
        <v>65</v>
      </c>
      <c r="V61" s="6295">
        <v>1270</v>
      </c>
      <c r="W61" s="6295">
        <v>23</v>
      </c>
      <c r="X61" s="6295">
        <v>252</v>
      </c>
      <c r="Y61" s="6295">
        <v>143</v>
      </c>
      <c r="Z61" s="6295">
        <v>67</v>
      </c>
      <c r="AA61" s="6296"/>
      <c r="AB61" s="6295">
        <v>33</v>
      </c>
      <c r="AC61" s="6295">
        <v>154</v>
      </c>
      <c r="AD61" s="6296"/>
      <c r="AE61" s="6295">
        <v>118</v>
      </c>
      <c r="AF61" s="6295">
        <v>201</v>
      </c>
      <c r="AG61" s="6296"/>
      <c r="AH61" s="6295">
        <v>279</v>
      </c>
      <c r="AI61" s="6294">
        <f t="shared" si="5"/>
        <v>0.43385826771653541</v>
      </c>
      <c r="AJ61" s="6295"/>
      <c r="AK61" s="6297">
        <v>3</v>
      </c>
      <c r="AL61" s="6297">
        <v>2</v>
      </c>
      <c r="AM61" s="6297">
        <v>65</v>
      </c>
      <c r="AN61" s="6298">
        <v>1271</v>
      </c>
      <c r="AO61" s="6297">
        <v>18</v>
      </c>
      <c r="AP61" s="6297">
        <v>253</v>
      </c>
      <c r="AQ61" s="6297">
        <v>142</v>
      </c>
      <c r="AR61" s="6297">
        <v>66</v>
      </c>
      <c r="AS61" s="6299"/>
      <c r="AT61" s="6297">
        <v>33</v>
      </c>
      <c r="AU61" s="6297">
        <v>1</v>
      </c>
      <c r="AV61" s="6297">
        <v>168</v>
      </c>
      <c r="AW61" s="6297">
        <v>111</v>
      </c>
      <c r="AX61" s="6297">
        <v>2</v>
      </c>
      <c r="AY61" s="6297">
        <v>207</v>
      </c>
      <c r="AZ61" s="6299"/>
      <c r="BA61" s="6299"/>
      <c r="BB61" s="6297">
        <v>270</v>
      </c>
      <c r="BC61" s="6300">
        <f t="shared" si="6"/>
        <v>0.43228346456692912</v>
      </c>
      <c r="BE61" s="6313">
        <v>3</v>
      </c>
      <c r="BF61" s="6313">
        <v>2</v>
      </c>
      <c r="BG61" s="6313">
        <v>65</v>
      </c>
      <c r="BH61" s="4405" t="s">
        <v>19</v>
      </c>
      <c r="BI61" s="6314">
        <v>1244</v>
      </c>
      <c r="BJ61" s="6313">
        <v>20</v>
      </c>
      <c r="BK61" s="6313">
        <v>310</v>
      </c>
      <c r="BL61" s="6313">
        <v>140</v>
      </c>
      <c r="BM61" s="6313">
        <v>69</v>
      </c>
      <c r="BN61" s="6303"/>
      <c r="BO61" s="6313">
        <v>39</v>
      </c>
      <c r="BP61" s="6313">
        <v>2</v>
      </c>
      <c r="BQ61" s="6313">
        <v>120</v>
      </c>
      <c r="BR61" s="6303"/>
      <c r="BS61" s="6313">
        <v>165</v>
      </c>
      <c r="BT61" s="6313">
        <v>133</v>
      </c>
      <c r="BU61" s="6303"/>
      <c r="BV61" s="6303"/>
      <c r="BW61" s="6313">
        <v>246</v>
      </c>
      <c r="BX61" s="6300">
        <f t="shared" si="16"/>
        <v>0.42753623188405798</v>
      </c>
      <c r="BZ61" s="4388"/>
      <c r="CA61" s="4388"/>
      <c r="CB61" s="4388" t="s">
        <v>19</v>
      </c>
      <c r="CC61" s="4231">
        <v>128</v>
      </c>
      <c r="CD61" s="4231">
        <v>144</v>
      </c>
      <c r="CE61" s="4231"/>
      <c r="CF61" s="4231">
        <v>69</v>
      </c>
      <c r="CG61" s="4231">
        <v>245</v>
      </c>
      <c r="CH61" s="4231">
        <v>119</v>
      </c>
      <c r="CI61" s="4231">
        <v>39</v>
      </c>
      <c r="CJ61" s="4231">
        <v>27</v>
      </c>
      <c r="CK61" s="4231">
        <v>0</v>
      </c>
      <c r="CL61" s="4231">
        <v>22</v>
      </c>
      <c r="CM61" s="4231">
        <v>138</v>
      </c>
      <c r="CN61" s="4231"/>
      <c r="CO61" s="4231">
        <v>315</v>
      </c>
      <c r="CP61" s="4231">
        <v>2</v>
      </c>
      <c r="CQ61" s="4231">
        <v>1248</v>
      </c>
      <c r="CR61" s="6304">
        <f t="shared" si="7"/>
        <v>0.4028892455858748</v>
      </c>
      <c r="CS61" s="4238">
        <f t="shared" si="8"/>
        <v>4</v>
      </c>
      <c r="CT61" s="6305">
        <v>1244</v>
      </c>
      <c r="CU61" s="6316"/>
      <c r="CX61" s="42" t="s">
        <v>50</v>
      </c>
      <c r="CY61" s="42">
        <v>41</v>
      </c>
      <c r="CZ61" s="42">
        <v>61</v>
      </c>
      <c r="DB61" s="42">
        <v>43</v>
      </c>
      <c r="DC61" s="42">
        <v>1557</v>
      </c>
      <c r="DD61" s="42">
        <v>225</v>
      </c>
      <c r="DE61" s="42">
        <v>175</v>
      </c>
      <c r="DH61" s="42">
        <v>7</v>
      </c>
      <c r="DI61" s="42">
        <v>160</v>
      </c>
      <c r="DK61" s="42">
        <v>288</v>
      </c>
      <c r="DL61" s="42">
        <v>3</v>
      </c>
      <c r="DM61" s="893">
        <v>2560</v>
      </c>
      <c r="DN61" s="6306">
        <f t="shared" si="17"/>
        <v>0.75948377004301915</v>
      </c>
      <c r="DP61" s="4263"/>
      <c r="DQ61" s="4263"/>
      <c r="DR61" s="4258" t="s">
        <v>50</v>
      </c>
      <c r="DS61" s="4263">
        <v>108</v>
      </c>
      <c r="DT61" s="4263">
        <v>101</v>
      </c>
      <c r="DU61" s="4263">
        <v>0</v>
      </c>
      <c r="DV61" s="4263">
        <v>41</v>
      </c>
      <c r="DW61" s="4263">
        <v>1211</v>
      </c>
      <c r="DX61" s="4263">
        <v>332</v>
      </c>
      <c r="DY61" s="4263">
        <v>60</v>
      </c>
      <c r="DZ61" s="4263"/>
      <c r="EA61" s="4263">
        <v>0</v>
      </c>
      <c r="EB61" s="4263">
        <v>10</v>
      </c>
      <c r="EC61" s="4263">
        <v>299</v>
      </c>
      <c r="ED61" s="4263"/>
      <c r="EE61" s="4263">
        <v>348</v>
      </c>
      <c r="EF61" s="4263">
        <v>3</v>
      </c>
      <c r="EG61" s="4263">
        <v>2513</v>
      </c>
      <c r="EH61" s="6307">
        <f t="shared" si="9"/>
        <v>0.73386454183266936</v>
      </c>
      <c r="EL61" s="42" t="s">
        <v>50</v>
      </c>
      <c r="EM61" s="97">
        <v>88</v>
      </c>
      <c r="EN61" s="97">
        <v>85</v>
      </c>
      <c r="EO61" s="97"/>
      <c r="EP61" s="97">
        <v>0</v>
      </c>
      <c r="EQ61" s="97">
        <v>1373</v>
      </c>
      <c r="ER61" s="97">
        <v>288</v>
      </c>
      <c r="ES61" s="97">
        <v>90</v>
      </c>
      <c r="ET61" s="97"/>
      <c r="EU61" s="97"/>
      <c r="EV61" s="97">
        <v>19</v>
      </c>
      <c r="EW61" s="97">
        <v>232</v>
      </c>
      <c r="EX61" s="97"/>
      <c r="EY61" s="97">
        <v>337</v>
      </c>
      <c r="EZ61" s="97">
        <v>1</v>
      </c>
      <c r="FA61" s="97">
        <v>2513</v>
      </c>
      <c r="FB61" s="6315">
        <f t="shared" si="10"/>
        <v>0.75358280254777066</v>
      </c>
      <c r="FD61" s="42"/>
      <c r="FE61" s="42"/>
      <c r="FF61" s="42" t="s">
        <v>50</v>
      </c>
      <c r="FG61" s="97">
        <v>88</v>
      </c>
      <c r="FH61" s="97">
        <v>94</v>
      </c>
      <c r="FI61" s="97"/>
      <c r="FJ61" s="97">
        <v>51</v>
      </c>
      <c r="FK61" s="97">
        <v>1320</v>
      </c>
      <c r="FL61" s="97">
        <v>337</v>
      </c>
      <c r="FM61" s="97">
        <v>108</v>
      </c>
      <c r="FN61" s="97"/>
      <c r="FO61" s="97"/>
      <c r="FP61" s="97">
        <v>13</v>
      </c>
      <c r="FQ61" s="97">
        <v>241</v>
      </c>
      <c r="FR61" s="97"/>
      <c r="FS61" s="97">
        <v>339</v>
      </c>
      <c r="FT61" s="97">
        <v>2</v>
      </c>
      <c r="FU61" s="97">
        <v>2593</v>
      </c>
      <c r="FV61" s="6308">
        <f t="shared" si="0"/>
        <v>0.73253570050173678</v>
      </c>
      <c r="FW61" s="6322"/>
      <c r="FX61" s="42"/>
      <c r="FY61" s="42"/>
      <c r="FZ61" s="42" t="s">
        <v>50</v>
      </c>
      <c r="GA61" s="97">
        <v>96</v>
      </c>
      <c r="GB61" s="97">
        <v>101</v>
      </c>
      <c r="GC61" s="97">
        <v>0</v>
      </c>
      <c r="GD61" s="97">
        <v>48</v>
      </c>
      <c r="GE61" s="97">
        <v>1350</v>
      </c>
      <c r="GF61" s="97">
        <v>287</v>
      </c>
      <c r="GG61" s="97">
        <v>85</v>
      </c>
      <c r="GH61" s="97"/>
      <c r="GI61" s="97">
        <v>0</v>
      </c>
      <c r="GJ61" s="97">
        <v>24</v>
      </c>
      <c r="GK61" s="97">
        <v>221</v>
      </c>
      <c r="GL61" s="97"/>
      <c r="GM61" s="97">
        <v>323</v>
      </c>
      <c r="GN61" s="97">
        <v>4</v>
      </c>
      <c r="GO61" s="97">
        <v>2539</v>
      </c>
      <c r="GP61" s="6308">
        <f t="shared" si="11"/>
        <v>0.73293885601577913</v>
      </c>
      <c r="GR61" s="6280"/>
      <c r="GS61" s="6280"/>
      <c r="GT61" s="6310" t="s">
        <v>50</v>
      </c>
      <c r="GU61" s="6311">
        <v>117</v>
      </c>
      <c r="GV61" s="6311">
        <v>84</v>
      </c>
      <c r="GW61" s="6312"/>
      <c r="GX61" s="6311">
        <v>58</v>
      </c>
      <c r="GY61" s="6311">
        <v>1481</v>
      </c>
      <c r="GZ61" s="6311">
        <v>256</v>
      </c>
      <c r="HA61" s="6311">
        <v>100</v>
      </c>
      <c r="HB61" s="6312"/>
      <c r="HC61" s="6311">
        <v>0</v>
      </c>
      <c r="HD61" s="6311">
        <v>14</v>
      </c>
      <c r="HE61" s="6311">
        <v>193</v>
      </c>
      <c r="HF61" s="6312"/>
      <c r="HG61" s="6311">
        <v>334</v>
      </c>
      <c r="HH61" s="6311">
        <v>7</v>
      </c>
      <c r="HI61" s="6311">
        <v>2644</v>
      </c>
      <c r="HJ61" s="467">
        <f t="shared" si="12"/>
        <v>0.73189230185817211</v>
      </c>
      <c r="HL61" s="967"/>
      <c r="HM61" s="967"/>
      <c r="HN61" s="977" t="s">
        <v>50</v>
      </c>
      <c r="HO61" s="978">
        <v>112</v>
      </c>
      <c r="HP61" s="978">
        <v>87</v>
      </c>
      <c r="HQ61" s="967"/>
      <c r="HR61" s="978">
        <v>99</v>
      </c>
      <c r="HS61" s="978">
        <v>1558</v>
      </c>
      <c r="HT61" s="978">
        <v>284</v>
      </c>
      <c r="HU61" s="978">
        <v>139</v>
      </c>
      <c r="HV61" s="967"/>
      <c r="HW61" s="978">
        <v>0</v>
      </c>
      <c r="HX61" s="978">
        <v>18</v>
      </c>
      <c r="HY61" s="978">
        <v>182</v>
      </c>
      <c r="HZ61" s="978">
        <v>493</v>
      </c>
      <c r="IA61" s="967"/>
      <c r="IB61" s="978">
        <v>2972</v>
      </c>
      <c r="IC61" s="467">
        <f t="shared" si="13"/>
        <v>0.68102288021534318</v>
      </c>
      <c r="IE61" s="577"/>
      <c r="IF61" s="577"/>
      <c r="IG61" s="979" t="s">
        <v>50</v>
      </c>
      <c r="IH61" s="980">
        <v>101</v>
      </c>
      <c r="II61" s="980">
        <v>103</v>
      </c>
      <c r="IJ61" s="980">
        <v>1</v>
      </c>
      <c r="IK61" s="980">
        <v>105</v>
      </c>
      <c r="IL61" s="980">
        <v>1559</v>
      </c>
      <c r="IM61" s="980">
        <v>303</v>
      </c>
      <c r="IN61" s="980">
        <v>134</v>
      </c>
      <c r="IO61" s="577"/>
      <c r="IP61" s="980">
        <v>0</v>
      </c>
      <c r="IQ61" s="980">
        <v>15</v>
      </c>
      <c r="IR61" s="980">
        <v>161</v>
      </c>
      <c r="IS61" s="980">
        <v>501</v>
      </c>
      <c r="IT61" s="577"/>
      <c r="IU61" s="980">
        <v>2983</v>
      </c>
      <c r="IV61" s="467">
        <f t="shared" si="14"/>
        <v>0.67817633255112308</v>
      </c>
      <c r="IX61" s="742"/>
      <c r="IY61" s="742"/>
      <c r="IZ61" s="981" t="s">
        <v>51</v>
      </c>
      <c r="JA61" s="982">
        <v>38</v>
      </c>
      <c r="JB61" s="982">
        <v>25</v>
      </c>
      <c r="JC61" s="982">
        <v>0</v>
      </c>
      <c r="JD61" s="982">
        <v>34</v>
      </c>
      <c r="JE61" s="982">
        <v>195</v>
      </c>
      <c r="JF61" s="982">
        <v>40</v>
      </c>
      <c r="JG61" s="982">
        <v>41</v>
      </c>
      <c r="JH61" s="982">
        <v>0</v>
      </c>
      <c r="JI61" s="982">
        <v>7</v>
      </c>
      <c r="JJ61" s="982">
        <v>30</v>
      </c>
      <c r="JK61" s="982">
        <v>103</v>
      </c>
      <c r="JL61" s="982">
        <v>132</v>
      </c>
      <c r="JM61" s="982">
        <v>0</v>
      </c>
      <c r="JN61" s="982">
        <v>1</v>
      </c>
      <c r="JO61" s="982">
        <v>646</v>
      </c>
      <c r="JP61" s="983">
        <f t="shared" si="15"/>
        <v>0.48892988929889297</v>
      </c>
      <c r="JR61" s="97"/>
      <c r="JS61" s="97"/>
      <c r="JT61" s="42" t="s">
        <v>51</v>
      </c>
      <c r="JU61" s="42">
        <v>40</v>
      </c>
      <c r="JV61" s="42">
        <v>20</v>
      </c>
      <c r="JW61" s="42">
        <v>0</v>
      </c>
      <c r="JX61" s="42">
        <v>39</v>
      </c>
      <c r="JY61" s="42">
        <v>182</v>
      </c>
      <c r="JZ61" s="42">
        <v>42</v>
      </c>
      <c r="KA61" s="42">
        <v>41</v>
      </c>
      <c r="KB61" s="42"/>
      <c r="KC61" s="42">
        <v>6</v>
      </c>
      <c r="KD61" s="42">
        <v>25</v>
      </c>
      <c r="KE61" s="42">
        <v>93</v>
      </c>
      <c r="KF61" s="42">
        <v>140</v>
      </c>
      <c r="KG61" s="42"/>
      <c r="KH61" s="42">
        <v>1</v>
      </c>
      <c r="KI61" s="42">
        <v>629</v>
      </c>
      <c r="KJ61" s="984">
        <f t="shared" si="1"/>
        <v>0.46542056074766353</v>
      </c>
      <c r="KK61" s="42"/>
      <c r="KL61" s="354"/>
      <c r="KM61" s="354"/>
      <c r="KN61" s="354" t="s">
        <v>51</v>
      </c>
      <c r="KO61" s="985">
        <v>40</v>
      </c>
      <c r="KP61" s="985">
        <v>11</v>
      </c>
      <c r="KQ61" s="985" t="s">
        <v>315</v>
      </c>
      <c r="KR61" s="985">
        <v>35</v>
      </c>
      <c r="KS61" s="985">
        <v>157</v>
      </c>
      <c r="KT61" s="985">
        <v>39</v>
      </c>
      <c r="KU61" s="985">
        <v>38</v>
      </c>
      <c r="KV61" s="985" t="s">
        <v>315</v>
      </c>
      <c r="KW61" s="985">
        <v>6</v>
      </c>
      <c r="KX61" s="985">
        <v>30</v>
      </c>
      <c r="KY61" s="985">
        <v>153</v>
      </c>
      <c r="KZ61" s="985" t="s">
        <v>315</v>
      </c>
      <c r="LA61" s="985">
        <v>509</v>
      </c>
      <c r="LB61" s="985">
        <f t="shared" si="2"/>
        <v>226</v>
      </c>
      <c r="LC61" s="986">
        <f t="shared" si="3"/>
        <v>0.44400785854616898</v>
      </c>
      <c r="LD61" s="42"/>
      <c r="LE61" s="42"/>
    </row>
    <row r="62" spans="1:317">
      <c r="A62" s="6291">
        <v>3</v>
      </c>
      <c r="B62" s="6291">
        <v>3</v>
      </c>
      <c r="C62" s="6291">
        <v>78</v>
      </c>
      <c r="D62" s="6292">
        <v>1219</v>
      </c>
      <c r="E62" s="6293"/>
      <c r="F62" s="6291">
        <v>279</v>
      </c>
      <c r="G62" s="6291">
        <v>71</v>
      </c>
      <c r="H62" s="6291">
        <v>114</v>
      </c>
      <c r="I62" s="6293"/>
      <c r="J62" s="6291">
        <v>12</v>
      </c>
      <c r="K62" s="6291">
        <v>308</v>
      </c>
      <c r="L62" s="6293"/>
      <c r="M62" s="6291">
        <v>176</v>
      </c>
      <c r="N62" s="6291">
        <v>36</v>
      </c>
      <c r="O62" s="6293"/>
      <c r="P62" s="6291">
        <v>223</v>
      </c>
      <c r="Q62" s="6294">
        <f t="shared" si="4"/>
        <v>0.57998359310910585</v>
      </c>
      <c r="S62" s="6295">
        <v>3</v>
      </c>
      <c r="T62" s="6295">
        <v>2</v>
      </c>
      <c r="U62" s="6295">
        <v>66</v>
      </c>
      <c r="V62" s="6295">
        <v>2400</v>
      </c>
      <c r="W62" s="6295">
        <v>5</v>
      </c>
      <c r="X62" s="6295">
        <v>288</v>
      </c>
      <c r="Y62" s="6295">
        <v>87</v>
      </c>
      <c r="Z62" s="6295">
        <v>44</v>
      </c>
      <c r="AA62" s="6295">
        <v>1</v>
      </c>
      <c r="AB62" s="6295">
        <v>14</v>
      </c>
      <c r="AC62" s="6295">
        <v>395</v>
      </c>
      <c r="AD62" s="6296"/>
      <c r="AE62" s="6295">
        <v>291</v>
      </c>
      <c r="AF62" s="6295">
        <v>173</v>
      </c>
      <c r="AG62" s="6296"/>
      <c r="AH62" s="6295">
        <v>1102</v>
      </c>
      <c r="AI62" s="6294">
        <f t="shared" si="5"/>
        <v>0.745</v>
      </c>
      <c r="AJ62" s="6295"/>
      <c r="AK62" s="6297">
        <v>3</v>
      </c>
      <c r="AL62" s="6297">
        <v>2</v>
      </c>
      <c r="AM62" s="6297">
        <v>66</v>
      </c>
      <c r="AN62" s="6298">
        <v>2404</v>
      </c>
      <c r="AO62" s="6297">
        <v>9</v>
      </c>
      <c r="AP62" s="6297">
        <v>288</v>
      </c>
      <c r="AQ62" s="6297">
        <v>77</v>
      </c>
      <c r="AR62" s="6297">
        <v>44</v>
      </c>
      <c r="AS62" s="6297">
        <v>1</v>
      </c>
      <c r="AT62" s="6297">
        <v>14</v>
      </c>
      <c r="AU62" s="6297">
        <v>4</v>
      </c>
      <c r="AV62" s="6297">
        <v>460</v>
      </c>
      <c r="AW62" s="6297">
        <v>251</v>
      </c>
      <c r="AX62" s="6299"/>
      <c r="AY62" s="6297">
        <v>179</v>
      </c>
      <c r="AZ62" s="6299"/>
      <c r="BA62" s="6299"/>
      <c r="BB62" s="6297">
        <v>1077</v>
      </c>
      <c r="BC62" s="6300">
        <f t="shared" si="6"/>
        <v>0.745</v>
      </c>
      <c r="BE62" s="6313">
        <v>3</v>
      </c>
      <c r="BF62" s="6313">
        <v>2</v>
      </c>
      <c r="BG62" s="6313">
        <v>66</v>
      </c>
      <c r="BH62" s="4405" t="s">
        <v>50</v>
      </c>
      <c r="BI62" s="6314">
        <v>2441</v>
      </c>
      <c r="BJ62" s="6313">
        <v>4</v>
      </c>
      <c r="BK62" s="6313">
        <v>348</v>
      </c>
      <c r="BL62" s="6313">
        <v>107</v>
      </c>
      <c r="BM62" s="6313">
        <v>42</v>
      </c>
      <c r="BN62" s="6313">
        <v>1</v>
      </c>
      <c r="BO62" s="6313">
        <v>15</v>
      </c>
      <c r="BP62" s="6313">
        <v>3</v>
      </c>
      <c r="BQ62" s="6313">
        <v>326</v>
      </c>
      <c r="BR62" s="6303"/>
      <c r="BS62" s="6313">
        <v>338</v>
      </c>
      <c r="BT62" s="6313">
        <v>109</v>
      </c>
      <c r="BU62" s="6303"/>
      <c r="BV62" s="6303"/>
      <c r="BW62" s="6313">
        <v>1148</v>
      </c>
      <c r="BX62" s="6300">
        <f t="shared" si="16"/>
        <v>0.74323215750615257</v>
      </c>
      <c r="BZ62" s="4388"/>
      <c r="CA62" s="4388"/>
      <c r="CB62" s="4388" t="s">
        <v>50</v>
      </c>
      <c r="CC62" s="4231">
        <v>97</v>
      </c>
      <c r="CD62" s="4231">
        <v>107</v>
      </c>
      <c r="CE62" s="4231"/>
      <c r="CF62" s="4231">
        <v>41</v>
      </c>
      <c r="CG62" s="4231">
        <v>1133</v>
      </c>
      <c r="CH62" s="4231">
        <v>276</v>
      </c>
      <c r="CI62" s="4231">
        <v>15</v>
      </c>
      <c r="CJ62" s="4231">
        <v>11</v>
      </c>
      <c r="CK62" s="4231">
        <v>1</v>
      </c>
      <c r="CL62" s="4231">
        <v>16</v>
      </c>
      <c r="CM62" s="4231">
        <v>405</v>
      </c>
      <c r="CN62" s="4231"/>
      <c r="CO62" s="4231">
        <v>358</v>
      </c>
      <c r="CP62" s="4231">
        <v>3</v>
      </c>
      <c r="CQ62" s="4231">
        <v>2463</v>
      </c>
      <c r="CR62" s="6304">
        <f t="shared" si="7"/>
        <v>0.73739837398373986</v>
      </c>
      <c r="CS62" s="4238">
        <f t="shared" si="8"/>
        <v>22</v>
      </c>
      <c r="CT62" s="6305">
        <v>2441</v>
      </c>
      <c r="CU62" s="6316"/>
      <c r="CX62" s="42" t="s">
        <v>20</v>
      </c>
      <c r="CY62" s="42">
        <v>38</v>
      </c>
      <c r="CZ62" s="42">
        <v>44</v>
      </c>
      <c r="DB62" s="42">
        <v>48</v>
      </c>
      <c r="DC62" s="42">
        <v>547</v>
      </c>
      <c r="DD62" s="42">
        <v>131</v>
      </c>
      <c r="DE62" s="42">
        <v>105</v>
      </c>
      <c r="DH62" s="42">
        <v>15</v>
      </c>
      <c r="DI62" s="42">
        <v>81</v>
      </c>
      <c r="DK62" s="42">
        <v>209</v>
      </c>
      <c r="DL62" s="42">
        <v>2</v>
      </c>
      <c r="DM62" s="893">
        <v>1220</v>
      </c>
      <c r="DN62" s="6306">
        <f t="shared" si="17"/>
        <v>0.62315270935960587</v>
      </c>
      <c r="DP62" s="4263"/>
      <c r="DQ62" s="4263"/>
      <c r="DR62" s="4258" t="s">
        <v>20</v>
      </c>
      <c r="DS62" s="4263">
        <v>71</v>
      </c>
      <c r="DT62" s="4263">
        <v>101</v>
      </c>
      <c r="DU62" s="4263">
        <v>0</v>
      </c>
      <c r="DV62" s="4263">
        <v>45</v>
      </c>
      <c r="DW62" s="4263">
        <v>398</v>
      </c>
      <c r="DX62" s="4263">
        <v>144</v>
      </c>
      <c r="DY62" s="4263">
        <v>34</v>
      </c>
      <c r="DZ62" s="4263"/>
      <c r="EA62" s="4263">
        <v>0</v>
      </c>
      <c r="EB62" s="4263">
        <v>9</v>
      </c>
      <c r="EC62" s="4263">
        <v>147</v>
      </c>
      <c r="ED62" s="4263"/>
      <c r="EE62" s="4263">
        <v>241</v>
      </c>
      <c r="EF62" s="4263">
        <v>1</v>
      </c>
      <c r="EG62" s="4263">
        <v>1191</v>
      </c>
      <c r="EH62" s="6307">
        <f t="shared" si="9"/>
        <v>0.57899159663865551</v>
      </c>
      <c r="EL62" s="42" t="s">
        <v>20</v>
      </c>
      <c r="EM62" s="97">
        <v>78</v>
      </c>
      <c r="EN62" s="97">
        <v>70</v>
      </c>
      <c r="EO62" s="97"/>
      <c r="EP62" s="97">
        <v>0</v>
      </c>
      <c r="EQ62" s="97">
        <v>467</v>
      </c>
      <c r="ER62" s="97">
        <v>145</v>
      </c>
      <c r="ES62" s="97">
        <v>69</v>
      </c>
      <c r="ET62" s="97"/>
      <c r="EU62" s="97"/>
      <c r="EV62" s="97">
        <v>15</v>
      </c>
      <c r="EW62" s="97">
        <v>105</v>
      </c>
      <c r="EX62" s="97"/>
      <c r="EY62" s="97">
        <v>217</v>
      </c>
      <c r="EZ62" s="97">
        <v>0</v>
      </c>
      <c r="FA62" s="97">
        <v>1166</v>
      </c>
      <c r="FB62" s="6315">
        <f t="shared" si="10"/>
        <v>0.61492281303602059</v>
      </c>
      <c r="FD62" s="42"/>
      <c r="FE62" s="42"/>
      <c r="FF62" s="42" t="s">
        <v>20</v>
      </c>
      <c r="FG62" s="97">
        <v>73</v>
      </c>
      <c r="FH62" s="97">
        <v>86</v>
      </c>
      <c r="FI62" s="97"/>
      <c r="FJ62" s="97">
        <v>52</v>
      </c>
      <c r="FK62" s="97">
        <v>478</v>
      </c>
      <c r="FL62" s="97">
        <v>148</v>
      </c>
      <c r="FM62" s="97">
        <v>70</v>
      </c>
      <c r="FN62" s="97"/>
      <c r="FO62" s="97"/>
      <c r="FP62" s="97">
        <v>17</v>
      </c>
      <c r="FQ62" s="97">
        <v>93</v>
      </c>
      <c r="FR62" s="97"/>
      <c r="FS62" s="97">
        <v>211</v>
      </c>
      <c r="FT62" s="97">
        <v>2</v>
      </c>
      <c r="FU62" s="97">
        <v>1230</v>
      </c>
      <c r="FV62" s="6308">
        <f t="shared" si="0"/>
        <v>0.58550488599348538</v>
      </c>
      <c r="FW62" s="6322"/>
      <c r="FX62" s="42"/>
      <c r="FY62" s="42"/>
      <c r="FZ62" s="42" t="s">
        <v>20</v>
      </c>
      <c r="GA62" s="97">
        <v>66</v>
      </c>
      <c r="GB62" s="97">
        <v>81</v>
      </c>
      <c r="GC62" s="97">
        <v>0</v>
      </c>
      <c r="GD62" s="97">
        <v>51</v>
      </c>
      <c r="GE62" s="97">
        <v>519</v>
      </c>
      <c r="GF62" s="97">
        <v>134</v>
      </c>
      <c r="GG62" s="97">
        <v>59</v>
      </c>
      <c r="GH62" s="97"/>
      <c r="GI62" s="97">
        <v>0</v>
      </c>
      <c r="GJ62" s="97">
        <v>22</v>
      </c>
      <c r="GK62" s="97">
        <v>107</v>
      </c>
      <c r="GL62" s="97"/>
      <c r="GM62" s="97">
        <v>205</v>
      </c>
      <c r="GN62" s="97">
        <v>6</v>
      </c>
      <c r="GO62" s="97">
        <v>1250</v>
      </c>
      <c r="GP62" s="6308">
        <f t="shared" si="11"/>
        <v>0.61093247588424437</v>
      </c>
      <c r="GR62" s="6280"/>
      <c r="GS62" s="6280"/>
      <c r="GT62" s="6310" t="s">
        <v>20</v>
      </c>
      <c r="GU62" s="6311">
        <v>80</v>
      </c>
      <c r="GV62" s="6311">
        <v>77</v>
      </c>
      <c r="GW62" s="6312"/>
      <c r="GX62" s="6311">
        <v>51</v>
      </c>
      <c r="GY62" s="6311">
        <v>536</v>
      </c>
      <c r="GZ62" s="6311">
        <v>119</v>
      </c>
      <c r="HA62" s="6311">
        <v>70</v>
      </c>
      <c r="HB62" s="6312"/>
      <c r="HC62" s="6311">
        <v>0</v>
      </c>
      <c r="HD62" s="6311">
        <v>16</v>
      </c>
      <c r="HE62" s="6311">
        <v>108</v>
      </c>
      <c r="HF62" s="6312"/>
      <c r="HG62" s="6311">
        <v>206</v>
      </c>
      <c r="HH62" s="6311">
        <v>5</v>
      </c>
      <c r="HI62" s="6311">
        <v>1268</v>
      </c>
      <c r="HJ62" s="467">
        <f t="shared" si="12"/>
        <v>0.60411718131433101</v>
      </c>
      <c r="HL62" s="967"/>
      <c r="HM62" s="967"/>
      <c r="HN62" s="977" t="s">
        <v>20</v>
      </c>
      <c r="HO62" s="978">
        <v>91</v>
      </c>
      <c r="HP62" s="978">
        <v>64</v>
      </c>
      <c r="HQ62" s="967"/>
      <c r="HR62" s="978">
        <v>80</v>
      </c>
      <c r="HS62" s="978">
        <v>549</v>
      </c>
      <c r="HT62" s="978">
        <v>130</v>
      </c>
      <c r="HU62" s="978">
        <v>98</v>
      </c>
      <c r="HV62" s="967"/>
      <c r="HW62" s="978">
        <v>0</v>
      </c>
      <c r="HX62" s="978">
        <v>21</v>
      </c>
      <c r="HY62" s="978">
        <v>90</v>
      </c>
      <c r="HZ62" s="978">
        <v>282</v>
      </c>
      <c r="IA62" s="967"/>
      <c r="IB62" s="978">
        <v>1405</v>
      </c>
      <c r="IC62" s="467">
        <f t="shared" si="13"/>
        <v>0.5473309608540925</v>
      </c>
      <c r="IE62" s="577"/>
      <c r="IF62" s="577"/>
      <c r="IG62" s="979" t="s">
        <v>20</v>
      </c>
      <c r="IH62" s="980">
        <v>69</v>
      </c>
      <c r="II62" s="980">
        <v>86</v>
      </c>
      <c r="IJ62" s="980">
        <v>0</v>
      </c>
      <c r="IK62" s="980">
        <v>93</v>
      </c>
      <c r="IL62" s="980">
        <v>536</v>
      </c>
      <c r="IM62" s="980">
        <v>156</v>
      </c>
      <c r="IN62" s="980">
        <v>87</v>
      </c>
      <c r="IO62" s="577"/>
      <c r="IP62" s="980">
        <v>0</v>
      </c>
      <c r="IQ62" s="980">
        <v>10</v>
      </c>
      <c r="IR62" s="980">
        <v>80</v>
      </c>
      <c r="IS62" s="980">
        <v>312</v>
      </c>
      <c r="IT62" s="577"/>
      <c r="IU62" s="980">
        <v>1429</v>
      </c>
      <c r="IV62" s="467">
        <f t="shared" si="14"/>
        <v>0.54023792862141362</v>
      </c>
      <c r="IX62" s="742"/>
      <c r="IY62" s="742"/>
      <c r="IZ62" s="973" t="s">
        <v>483</v>
      </c>
      <c r="JA62" s="992">
        <v>563</v>
      </c>
      <c r="JB62" s="992">
        <v>321</v>
      </c>
      <c r="JC62" s="992">
        <v>0</v>
      </c>
      <c r="JD62" s="992">
        <v>480</v>
      </c>
      <c r="JE62" s="992">
        <v>3895</v>
      </c>
      <c r="JF62" s="992">
        <v>888</v>
      </c>
      <c r="JG62" s="992">
        <v>640</v>
      </c>
      <c r="JH62" s="992">
        <v>0</v>
      </c>
      <c r="JI62" s="992">
        <v>107</v>
      </c>
      <c r="JJ62" s="992">
        <v>605</v>
      </c>
      <c r="JK62" s="992">
        <v>1565</v>
      </c>
      <c r="JL62" s="992">
        <v>2081</v>
      </c>
      <c r="JM62" s="992">
        <v>0</v>
      </c>
      <c r="JN62" s="992">
        <v>57</v>
      </c>
      <c r="JO62" s="992">
        <v>11202</v>
      </c>
      <c r="JP62" s="993">
        <f t="shared" si="15"/>
        <v>0.56242171189979118</v>
      </c>
      <c r="JR62" s="97"/>
      <c r="JS62" s="97"/>
      <c r="JT62" s="42" t="s">
        <v>15</v>
      </c>
      <c r="JU62" s="42">
        <v>549</v>
      </c>
      <c r="JV62" s="42">
        <v>316</v>
      </c>
      <c r="JW62" s="42">
        <v>1</v>
      </c>
      <c r="JX62" s="42">
        <v>495</v>
      </c>
      <c r="JY62" s="42">
        <v>3878</v>
      </c>
      <c r="JZ62" s="42">
        <v>807</v>
      </c>
      <c r="KA62" s="42">
        <v>623</v>
      </c>
      <c r="KB62" s="42"/>
      <c r="KC62" s="42">
        <v>70</v>
      </c>
      <c r="KD62" s="42">
        <v>657</v>
      </c>
      <c r="KE62" s="42">
        <v>1462</v>
      </c>
      <c r="KF62" s="42">
        <v>2203</v>
      </c>
      <c r="KG62" s="42"/>
      <c r="KH62" s="42">
        <v>53</v>
      </c>
      <c r="KI62" s="42">
        <v>11114</v>
      </c>
      <c r="KJ62" s="984">
        <f t="shared" si="1"/>
        <v>0.55651630378164396</v>
      </c>
      <c r="KK62" s="42"/>
      <c r="KL62" s="354"/>
      <c r="KM62" s="354"/>
      <c r="KN62" s="994" t="s">
        <v>15</v>
      </c>
      <c r="KO62" s="995">
        <v>532</v>
      </c>
      <c r="KP62" s="995">
        <v>318</v>
      </c>
      <c r="KQ62" s="995">
        <v>1</v>
      </c>
      <c r="KR62" s="995">
        <v>474</v>
      </c>
      <c r="KS62" s="995">
        <v>3658</v>
      </c>
      <c r="KT62" s="995">
        <v>834</v>
      </c>
      <c r="KU62" s="995">
        <v>641</v>
      </c>
      <c r="KV62" s="995" t="s">
        <v>315</v>
      </c>
      <c r="KW62" s="995">
        <v>87</v>
      </c>
      <c r="KX62" s="995">
        <v>762</v>
      </c>
      <c r="KY62" s="995">
        <v>2254</v>
      </c>
      <c r="KZ62" s="995" t="s">
        <v>315</v>
      </c>
      <c r="LA62" s="995">
        <v>9561</v>
      </c>
      <c r="LB62" s="995">
        <f t="shared" si="2"/>
        <v>5254</v>
      </c>
      <c r="LC62" s="996">
        <f t="shared" si="3"/>
        <v>0.54952410835686649</v>
      </c>
      <c r="LD62" s="42"/>
      <c r="LE62" s="42"/>
    </row>
    <row r="63" spans="1:317">
      <c r="A63" s="6291">
        <v>3</v>
      </c>
      <c r="B63" s="6291">
        <v>3</v>
      </c>
      <c r="C63" s="6291">
        <v>79</v>
      </c>
      <c r="D63" s="6292">
        <v>1245</v>
      </c>
      <c r="E63" s="6291">
        <v>52</v>
      </c>
      <c r="F63" s="6291">
        <v>184</v>
      </c>
      <c r="G63" s="6291">
        <v>190</v>
      </c>
      <c r="H63" s="6291">
        <v>27</v>
      </c>
      <c r="I63" s="6291">
        <v>2</v>
      </c>
      <c r="J63" s="6291">
        <v>13</v>
      </c>
      <c r="K63" s="6291">
        <v>197</v>
      </c>
      <c r="L63" s="6293"/>
      <c r="M63" s="6291">
        <v>105</v>
      </c>
      <c r="N63" s="6291">
        <v>24</v>
      </c>
      <c r="O63" s="6293"/>
      <c r="P63" s="6291">
        <v>451</v>
      </c>
      <c r="Q63" s="6294">
        <f t="shared" si="4"/>
        <v>0.60481927710843375</v>
      </c>
      <c r="S63" s="6295">
        <v>3</v>
      </c>
      <c r="T63" s="6295">
        <v>2</v>
      </c>
      <c r="U63" s="6295">
        <v>67</v>
      </c>
      <c r="V63" s="6295">
        <v>1205</v>
      </c>
      <c r="W63" s="6295">
        <v>10</v>
      </c>
      <c r="X63" s="6295">
        <v>219</v>
      </c>
      <c r="Y63" s="6295">
        <v>101</v>
      </c>
      <c r="Z63" s="6295">
        <v>57</v>
      </c>
      <c r="AA63" s="6295">
        <v>2</v>
      </c>
      <c r="AB63" s="6295">
        <v>17</v>
      </c>
      <c r="AC63" s="6295">
        <v>161</v>
      </c>
      <c r="AD63" s="6296"/>
      <c r="AE63" s="6295">
        <v>135</v>
      </c>
      <c r="AF63" s="6295">
        <v>128</v>
      </c>
      <c r="AG63" s="6296"/>
      <c r="AH63" s="6295">
        <v>375</v>
      </c>
      <c r="AI63" s="6294">
        <f t="shared" si="5"/>
        <v>0.55684647302904566</v>
      </c>
      <c r="AJ63" s="6295"/>
      <c r="AK63" s="6297">
        <v>3</v>
      </c>
      <c r="AL63" s="6297">
        <v>2</v>
      </c>
      <c r="AM63" s="6297">
        <v>67</v>
      </c>
      <c r="AN63" s="6298">
        <v>1207</v>
      </c>
      <c r="AO63" s="6297">
        <v>20</v>
      </c>
      <c r="AP63" s="6297">
        <v>220</v>
      </c>
      <c r="AQ63" s="6297">
        <v>73</v>
      </c>
      <c r="AR63" s="6297">
        <v>57</v>
      </c>
      <c r="AS63" s="6297">
        <v>2</v>
      </c>
      <c r="AT63" s="6297">
        <v>17</v>
      </c>
      <c r="AU63" s="6297">
        <v>3</v>
      </c>
      <c r="AV63" s="6297">
        <v>191</v>
      </c>
      <c r="AW63" s="6297">
        <v>118</v>
      </c>
      <c r="AX63" s="6299"/>
      <c r="AY63" s="6297">
        <v>144</v>
      </c>
      <c r="AZ63" s="6299"/>
      <c r="BA63" s="6299"/>
      <c r="BB63" s="6297">
        <v>362</v>
      </c>
      <c r="BC63" s="6300">
        <f t="shared" si="6"/>
        <v>0.55730897009966773</v>
      </c>
      <c r="BE63" s="6313">
        <v>3</v>
      </c>
      <c r="BF63" s="6313">
        <v>2</v>
      </c>
      <c r="BG63" s="6313">
        <v>67</v>
      </c>
      <c r="BH63" s="4405" t="s">
        <v>20</v>
      </c>
      <c r="BI63" s="6314">
        <v>1198</v>
      </c>
      <c r="BJ63" s="6313">
        <v>11</v>
      </c>
      <c r="BK63" s="6313">
        <v>261</v>
      </c>
      <c r="BL63" s="6313">
        <v>72</v>
      </c>
      <c r="BM63" s="6313">
        <v>48</v>
      </c>
      <c r="BN63" s="6313">
        <v>2</v>
      </c>
      <c r="BO63" s="6313">
        <v>17</v>
      </c>
      <c r="BP63" s="6313">
        <v>3</v>
      </c>
      <c r="BQ63" s="6313">
        <v>160</v>
      </c>
      <c r="BR63" s="6303"/>
      <c r="BS63" s="6313">
        <v>151</v>
      </c>
      <c r="BT63" s="6313">
        <v>87</v>
      </c>
      <c r="BU63" s="6303"/>
      <c r="BV63" s="6303"/>
      <c r="BW63" s="6313">
        <v>386</v>
      </c>
      <c r="BX63" s="6300">
        <f t="shared" si="16"/>
        <v>0.58326359832635988</v>
      </c>
      <c r="BZ63" s="4388"/>
      <c r="CA63" s="4388"/>
      <c r="CB63" s="4388" t="s">
        <v>20</v>
      </c>
      <c r="CC63" s="4231">
        <v>62</v>
      </c>
      <c r="CD63" s="4231">
        <v>93</v>
      </c>
      <c r="CE63" s="4231"/>
      <c r="CF63" s="4231">
        <v>46</v>
      </c>
      <c r="CG63" s="4231">
        <v>375</v>
      </c>
      <c r="CH63" s="4231">
        <v>138</v>
      </c>
      <c r="CI63" s="4231">
        <v>17</v>
      </c>
      <c r="CJ63" s="4231">
        <v>14</v>
      </c>
      <c r="CK63" s="4231">
        <v>2</v>
      </c>
      <c r="CL63" s="4231">
        <v>19</v>
      </c>
      <c r="CM63" s="4231">
        <v>169</v>
      </c>
      <c r="CN63" s="4231"/>
      <c r="CO63" s="4231">
        <v>266</v>
      </c>
      <c r="CP63" s="4231">
        <v>3</v>
      </c>
      <c r="CQ63" s="4231">
        <v>1204</v>
      </c>
      <c r="CR63" s="6304">
        <f t="shared" si="7"/>
        <v>0.5678601165695254</v>
      </c>
      <c r="CS63" s="4238">
        <f t="shared" si="8"/>
        <v>5</v>
      </c>
      <c r="CT63" s="6305">
        <v>1199</v>
      </c>
      <c r="CU63" s="6316"/>
      <c r="CX63" s="42" t="s">
        <v>51</v>
      </c>
      <c r="CY63" s="42">
        <v>33</v>
      </c>
      <c r="CZ63" s="42">
        <v>30</v>
      </c>
      <c r="DB63" s="42">
        <v>18</v>
      </c>
      <c r="DC63" s="42">
        <v>226</v>
      </c>
      <c r="DD63" s="42">
        <v>42</v>
      </c>
      <c r="DE63" s="42">
        <v>45</v>
      </c>
      <c r="DH63" s="42">
        <v>6</v>
      </c>
      <c r="DI63" s="42">
        <v>30</v>
      </c>
      <c r="DK63" s="42">
        <v>75</v>
      </c>
      <c r="DL63" s="42">
        <v>0</v>
      </c>
      <c r="DM63" s="893">
        <v>505</v>
      </c>
      <c r="DN63" s="6306">
        <f t="shared" si="17"/>
        <v>0.59009900990099007</v>
      </c>
      <c r="DP63" s="4263"/>
      <c r="DQ63" s="4263"/>
      <c r="DR63" s="4258" t="s">
        <v>51</v>
      </c>
      <c r="DS63" s="4263">
        <v>55</v>
      </c>
      <c r="DT63" s="4263">
        <v>56</v>
      </c>
      <c r="DU63" s="4263">
        <v>0</v>
      </c>
      <c r="DV63" s="4263">
        <v>18</v>
      </c>
      <c r="DW63" s="4263">
        <v>169</v>
      </c>
      <c r="DX63" s="4263">
        <v>60</v>
      </c>
      <c r="DY63" s="4263">
        <v>26</v>
      </c>
      <c r="DZ63" s="4263"/>
      <c r="EA63" s="4263">
        <v>0</v>
      </c>
      <c r="EB63" s="4263">
        <v>15</v>
      </c>
      <c r="EC63" s="4263">
        <v>58</v>
      </c>
      <c r="ED63" s="4263"/>
      <c r="EE63" s="4263">
        <v>100</v>
      </c>
      <c r="EF63" s="4263">
        <v>0</v>
      </c>
      <c r="EG63" s="4263">
        <v>557</v>
      </c>
      <c r="EH63" s="6307">
        <f t="shared" si="9"/>
        <v>0.51526032315978454</v>
      </c>
      <c r="EL63" s="42" t="s">
        <v>51</v>
      </c>
      <c r="EM63" s="97">
        <v>51</v>
      </c>
      <c r="EN63" s="97">
        <v>34</v>
      </c>
      <c r="EO63" s="97"/>
      <c r="EP63" s="97">
        <v>0</v>
      </c>
      <c r="EQ63" s="97">
        <v>186</v>
      </c>
      <c r="ER63" s="97">
        <v>49</v>
      </c>
      <c r="ES63" s="97">
        <v>30</v>
      </c>
      <c r="ET63" s="97"/>
      <c r="EU63" s="97"/>
      <c r="EV63" s="97">
        <v>19</v>
      </c>
      <c r="EW63" s="97">
        <v>37</v>
      </c>
      <c r="EX63" s="97"/>
      <c r="EY63" s="97">
        <v>83</v>
      </c>
      <c r="EZ63" s="97">
        <v>0</v>
      </c>
      <c r="FA63" s="97">
        <v>489</v>
      </c>
      <c r="FB63" s="6315">
        <f t="shared" si="10"/>
        <v>0.55623721881390598</v>
      </c>
      <c r="FD63" s="42"/>
      <c r="FE63" s="42"/>
      <c r="FF63" s="42" t="s">
        <v>51</v>
      </c>
      <c r="FG63" s="97">
        <v>36</v>
      </c>
      <c r="FH63" s="97">
        <v>24</v>
      </c>
      <c r="FI63" s="97"/>
      <c r="FJ63" s="97">
        <v>21</v>
      </c>
      <c r="FK63" s="97">
        <v>188</v>
      </c>
      <c r="FL63" s="97">
        <v>54</v>
      </c>
      <c r="FM63" s="97">
        <v>30</v>
      </c>
      <c r="FN63" s="97"/>
      <c r="FO63" s="97"/>
      <c r="FP63" s="97">
        <v>7</v>
      </c>
      <c r="FQ63" s="97">
        <v>37</v>
      </c>
      <c r="FR63" s="97"/>
      <c r="FS63" s="97">
        <v>82</v>
      </c>
      <c r="FT63" s="97">
        <v>0</v>
      </c>
      <c r="FU63" s="97">
        <v>479</v>
      </c>
      <c r="FV63" s="6308">
        <f t="shared" si="0"/>
        <v>0.58246346555323592</v>
      </c>
      <c r="FW63" s="6322"/>
      <c r="FX63" s="42"/>
      <c r="FY63" s="42"/>
      <c r="FZ63" s="42" t="s">
        <v>51</v>
      </c>
      <c r="GA63" s="97">
        <v>34</v>
      </c>
      <c r="GB63" s="97">
        <v>31</v>
      </c>
      <c r="GC63" s="97">
        <v>0</v>
      </c>
      <c r="GD63" s="97">
        <v>22</v>
      </c>
      <c r="GE63" s="97">
        <v>207</v>
      </c>
      <c r="GF63" s="97">
        <v>43</v>
      </c>
      <c r="GG63" s="97">
        <v>32</v>
      </c>
      <c r="GH63" s="97"/>
      <c r="GI63" s="97">
        <v>0</v>
      </c>
      <c r="GJ63" s="97">
        <v>2</v>
      </c>
      <c r="GK63" s="97">
        <v>33</v>
      </c>
      <c r="GL63" s="97"/>
      <c r="GM63" s="97">
        <v>84</v>
      </c>
      <c r="GN63" s="97">
        <v>0</v>
      </c>
      <c r="GO63" s="97">
        <v>488</v>
      </c>
      <c r="GP63" s="6308">
        <f t="shared" si="11"/>
        <v>0.57991803278688525</v>
      </c>
      <c r="GR63" s="6280"/>
      <c r="GS63" s="6280"/>
      <c r="GT63" s="6310" t="s">
        <v>51</v>
      </c>
      <c r="GU63" s="6311">
        <v>41</v>
      </c>
      <c r="GV63" s="6311">
        <v>23</v>
      </c>
      <c r="GW63" s="6312"/>
      <c r="GX63" s="6311">
        <v>24</v>
      </c>
      <c r="GY63" s="6311">
        <v>212</v>
      </c>
      <c r="GZ63" s="6311">
        <v>43</v>
      </c>
      <c r="HA63" s="6311">
        <v>23</v>
      </c>
      <c r="HB63" s="6312"/>
      <c r="HC63" s="6311">
        <v>0</v>
      </c>
      <c r="HD63" s="6311">
        <v>5</v>
      </c>
      <c r="HE63" s="6311">
        <v>30</v>
      </c>
      <c r="HF63" s="6312"/>
      <c r="HG63" s="6311">
        <v>92</v>
      </c>
      <c r="HH63" s="6311">
        <v>0</v>
      </c>
      <c r="HI63" s="6311">
        <v>493</v>
      </c>
      <c r="HJ63" s="467">
        <f t="shared" si="12"/>
        <v>0.57809330628803246</v>
      </c>
      <c r="HL63" s="967"/>
      <c r="HM63" s="967"/>
      <c r="HN63" s="977" t="s">
        <v>51</v>
      </c>
      <c r="HO63" s="978">
        <v>33</v>
      </c>
      <c r="HP63" s="978">
        <v>20</v>
      </c>
      <c r="HQ63" s="967"/>
      <c r="HR63" s="978">
        <v>39</v>
      </c>
      <c r="HS63" s="978">
        <v>211</v>
      </c>
      <c r="HT63" s="978">
        <v>46</v>
      </c>
      <c r="HU63" s="978">
        <v>37</v>
      </c>
      <c r="HV63" s="967"/>
      <c r="HW63" s="978">
        <v>0</v>
      </c>
      <c r="HX63" s="978">
        <v>7</v>
      </c>
      <c r="HY63" s="978">
        <v>37</v>
      </c>
      <c r="HZ63" s="978">
        <v>118</v>
      </c>
      <c r="IA63" s="967"/>
      <c r="IB63" s="978">
        <v>548</v>
      </c>
      <c r="IC63" s="467">
        <f t="shared" si="13"/>
        <v>0.53649635036496346</v>
      </c>
      <c r="IE63" s="577"/>
      <c r="IF63" s="577"/>
      <c r="IG63" s="979" t="s">
        <v>51</v>
      </c>
      <c r="IH63" s="980">
        <v>28</v>
      </c>
      <c r="II63" s="980">
        <v>36</v>
      </c>
      <c r="IJ63" s="980">
        <v>0</v>
      </c>
      <c r="IK63" s="980">
        <v>35</v>
      </c>
      <c r="IL63" s="980">
        <v>202</v>
      </c>
      <c r="IM63" s="980">
        <v>52</v>
      </c>
      <c r="IN63" s="980">
        <v>32</v>
      </c>
      <c r="IO63" s="577"/>
      <c r="IP63" s="980">
        <v>0</v>
      </c>
      <c r="IQ63" s="980">
        <v>4</v>
      </c>
      <c r="IR63" s="980">
        <v>38</v>
      </c>
      <c r="IS63" s="980">
        <v>123</v>
      </c>
      <c r="IT63" s="577"/>
      <c r="IU63" s="980">
        <v>550</v>
      </c>
      <c r="IV63" s="467">
        <f t="shared" si="14"/>
        <v>0.53090909090909089</v>
      </c>
      <c r="IX63" s="742"/>
      <c r="IY63" s="742" t="s">
        <v>41</v>
      </c>
      <c r="IZ63" s="981" t="s">
        <v>42</v>
      </c>
      <c r="JA63" s="982">
        <v>70</v>
      </c>
      <c r="JB63" s="982">
        <v>27</v>
      </c>
      <c r="JC63" s="982">
        <v>0</v>
      </c>
      <c r="JD63" s="982">
        <v>111</v>
      </c>
      <c r="JE63" s="982">
        <v>442</v>
      </c>
      <c r="JF63" s="982">
        <v>226</v>
      </c>
      <c r="JG63" s="982">
        <v>68</v>
      </c>
      <c r="JH63" s="982">
        <v>0</v>
      </c>
      <c r="JI63" s="982">
        <v>4</v>
      </c>
      <c r="JJ63" s="982">
        <v>213</v>
      </c>
      <c r="JK63" s="982">
        <v>303</v>
      </c>
      <c r="JL63" s="982">
        <v>269</v>
      </c>
      <c r="JM63" s="982">
        <v>2</v>
      </c>
      <c r="JN63" s="982">
        <v>8</v>
      </c>
      <c r="JO63" s="982">
        <v>1743</v>
      </c>
      <c r="JP63" s="983">
        <f t="shared" si="15"/>
        <v>0.61522346368715086</v>
      </c>
      <c r="JR63" s="97"/>
      <c r="JS63" s="97" t="s">
        <v>41</v>
      </c>
      <c r="JT63" s="42" t="s">
        <v>42</v>
      </c>
      <c r="JU63" s="42">
        <v>70</v>
      </c>
      <c r="JV63" s="42">
        <v>41</v>
      </c>
      <c r="JW63" s="42"/>
      <c r="JX63" s="42">
        <v>106</v>
      </c>
      <c r="JY63" s="42">
        <v>414</v>
      </c>
      <c r="JZ63" s="42">
        <v>198</v>
      </c>
      <c r="KA63" s="42">
        <v>70</v>
      </c>
      <c r="KB63" s="42"/>
      <c r="KC63" s="42">
        <v>3</v>
      </c>
      <c r="KD63" s="42">
        <v>223</v>
      </c>
      <c r="KE63" s="42">
        <v>287</v>
      </c>
      <c r="KF63" s="42">
        <v>280</v>
      </c>
      <c r="KG63" s="42">
        <v>2</v>
      </c>
      <c r="KH63" s="42">
        <v>8</v>
      </c>
      <c r="KI63" s="42">
        <v>1702</v>
      </c>
      <c r="KJ63" s="984">
        <f t="shared" si="1"/>
        <v>0.59346126510305619</v>
      </c>
      <c r="KK63" s="42"/>
      <c r="KL63" s="354"/>
      <c r="KM63" s="354" t="s">
        <v>41</v>
      </c>
      <c r="KN63" s="354" t="s">
        <v>42</v>
      </c>
      <c r="KO63" s="985">
        <v>85</v>
      </c>
      <c r="KP63" s="985">
        <v>30</v>
      </c>
      <c r="KQ63" s="985" t="s">
        <v>315</v>
      </c>
      <c r="KR63" s="985">
        <v>89</v>
      </c>
      <c r="KS63" s="985">
        <v>365</v>
      </c>
      <c r="KT63" s="985">
        <v>194</v>
      </c>
      <c r="KU63" s="985">
        <v>64</v>
      </c>
      <c r="KV63" s="985" t="s">
        <v>315</v>
      </c>
      <c r="KW63" s="985">
        <v>4</v>
      </c>
      <c r="KX63" s="985">
        <v>228</v>
      </c>
      <c r="KY63" s="985">
        <v>298</v>
      </c>
      <c r="KZ63" s="985">
        <v>2</v>
      </c>
      <c r="LA63" s="985">
        <v>1359</v>
      </c>
      <c r="LB63" s="985">
        <f t="shared" si="2"/>
        <v>787</v>
      </c>
      <c r="LC63" s="986">
        <f t="shared" si="3"/>
        <v>0.57910228108903605</v>
      </c>
      <c r="LD63" s="42"/>
      <c r="LE63" s="42"/>
    </row>
    <row r="64" spans="1:317">
      <c r="A64" s="6291">
        <v>3</v>
      </c>
      <c r="B64" s="6291">
        <v>3</v>
      </c>
      <c r="C64" s="6291">
        <v>80</v>
      </c>
      <c r="D64" s="6292">
        <v>1076</v>
      </c>
      <c r="E64" s="6291">
        <v>1</v>
      </c>
      <c r="F64" s="6291">
        <v>135</v>
      </c>
      <c r="G64" s="6291">
        <v>45</v>
      </c>
      <c r="H64" s="6291">
        <v>28</v>
      </c>
      <c r="I64" s="6293"/>
      <c r="J64" s="6291">
        <v>7</v>
      </c>
      <c r="K64" s="6291">
        <v>247</v>
      </c>
      <c r="L64" s="6293"/>
      <c r="M64" s="6291">
        <v>127</v>
      </c>
      <c r="N64" s="6291">
        <v>19</v>
      </c>
      <c r="O64" s="6293"/>
      <c r="P64" s="6291">
        <v>467</v>
      </c>
      <c r="Q64" s="6294">
        <f t="shared" si="4"/>
        <v>0.78159851301115246</v>
      </c>
      <c r="S64" s="6295">
        <v>3</v>
      </c>
      <c r="T64" s="6295">
        <v>2</v>
      </c>
      <c r="U64" s="6295">
        <v>101</v>
      </c>
      <c r="V64" s="6295">
        <v>666</v>
      </c>
      <c r="W64" s="6295">
        <v>3</v>
      </c>
      <c r="X64" s="6295">
        <v>95</v>
      </c>
      <c r="Y64" s="6295">
        <v>83</v>
      </c>
      <c r="Z64" s="6295">
        <v>20</v>
      </c>
      <c r="AA64" s="6296"/>
      <c r="AB64" s="6295">
        <v>23</v>
      </c>
      <c r="AC64" s="6295">
        <v>89</v>
      </c>
      <c r="AD64" s="6296"/>
      <c r="AE64" s="6295">
        <v>63</v>
      </c>
      <c r="AF64" s="6295">
        <v>104</v>
      </c>
      <c r="AG64" s="6296"/>
      <c r="AH64" s="6295">
        <v>186</v>
      </c>
      <c r="AI64" s="6294">
        <f t="shared" si="5"/>
        <v>0.5075075075075075</v>
      </c>
      <c r="AJ64" s="6295"/>
      <c r="AK64" s="6297">
        <v>3</v>
      </c>
      <c r="AL64" s="6297">
        <v>2</v>
      </c>
      <c r="AM64" s="6297">
        <v>101</v>
      </c>
      <c r="AN64" s="6298">
        <v>666</v>
      </c>
      <c r="AO64" s="6297">
        <v>22</v>
      </c>
      <c r="AP64" s="6297">
        <v>95</v>
      </c>
      <c r="AQ64" s="6297">
        <v>59</v>
      </c>
      <c r="AR64" s="6297">
        <v>20</v>
      </c>
      <c r="AS64" s="6299"/>
      <c r="AT64" s="6297">
        <v>23</v>
      </c>
      <c r="AU64" s="6299"/>
      <c r="AV64" s="6297">
        <v>99</v>
      </c>
      <c r="AW64" s="6297">
        <v>59</v>
      </c>
      <c r="AX64" s="6299"/>
      <c r="AY64" s="6297">
        <v>113</v>
      </c>
      <c r="AZ64" s="6299"/>
      <c r="BA64" s="6299"/>
      <c r="BB64" s="6297">
        <v>176</v>
      </c>
      <c r="BC64" s="6300">
        <f t="shared" si="6"/>
        <v>0.50150150150150152</v>
      </c>
      <c r="BE64" s="6313">
        <v>3</v>
      </c>
      <c r="BF64" s="6313">
        <v>2</v>
      </c>
      <c r="BG64" s="6313">
        <v>101</v>
      </c>
      <c r="BH64" s="4405" t="s">
        <v>51</v>
      </c>
      <c r="BI64" s="6314">
        <v>619</v>
      </c>
      <c r="BJ64" s="6313">
        <v>7</v>
      </c>
      <c r="BK64" s="6313">
        <v>107</v>
      </c>
      <c r="BL64" s="6313">
        <v>87</v>
      </c>
      <c r="BM64" s="6313">
        <v>22</v>
      </c>
      <c r="BN64" s="6303"/>
      <c r="BO64" s="6313">
        <v>24</v>
      </c>
      <c r="BP64" s="6303"/>
      <c r="BQ64" s="6313">
        <v>60</v>
      </c>
      <c r="BR64" s="6303"/>
      <c r="BS64" s="6313">
        <v>76</v>
      </c>
      <c r="BT64" s="6313">
        <v>69</v>
      </c>
      <c r="BU64" s="6303"/>
      <c r="BV64" s="6303"/>
      <c r="BW64" s="6313">
        <v>167</v>
      </c>
      <c r="BX64" s="6300">
        <f t="shared" si="16"/>
        <v>0.48949919224555732</v>
      </c>
      <c r="BZ64" s="4388"/>
      <c r="CA64" s="4388"/>
      <c r="CB64" s="4388" t="s">
        <v>51</v>
      </c>
      <c r="CC64" s="4231">
        <v>79</v>
      </c>
      <c r="CD64" s="4231">
        <v>76</v>
      </c>
      <c r="CE64" s="4231"/>
      <c r="CF64" s="4231">
        <v>21</v>
      </c>
      <c r="CG64" s="4231">
        <v>164</v>
      </c>
      <c r="CH64" s="4231">
        <v>59</v>
      </c>
      <c r="CI64" s="4231">
        <v>24</v>
      </c>
      <c r="CJ64" s="4231">
        <v>13</v>
      </c>
      <c r="CK64" s="4231">
        <v>0</v>
      </c>
      <c r="CL64" s="4231">
        <v>13</v>
      </c>
      <c r="CM64" s="4231">
        <v>65</v>
      </c>
      <c r="CN64" s="4231"/>
      <c r="CO64" s="4231">
        <v>110</v>
      </c>
      <c r="CP64" s="4231">
        <v>0</v>
      </c>
      <c r="CQ64" s="4231">
        <v>624</v>
      </c>
      <c r="CR64" s="6304">
        <f t="shared" si="7"/>
        <v>0.46153846153846156</v>
      </c>
      <c r="CS64" s="4238">
        <f t="shared" si="8"/>
        <v>4</v>
      </c>
      <c r="CT64" s="6305">
        <v>620</v>
      </c>
      <c r="CU64" s="6316"/>
      <c r="CX64" s="42" t="s">
        <v>15</v>
      </c>
      <c r="CY64" s="42">
        <v>283</v>
      </c>
      <c r="CZ64" s="42">
        <v>284</v>
      </c>
      <c r="DB64" s="42">
        <v>255</v>
      </c>
      <c r="DC64" s="42">
        <v>4050</v>
      </c>
      <c r="DD64" s="42">
        <v>843</v>
      </c>
      <c r="DE64" s="42">
        <v>710</v>
      </c>
      <c r="DH64" s="42">
        <v>63</v>
      </c>
      <c r="DI64" s="42">
        <v>629</v>
      </c>
      <c r="DK64" s="42">
        <v>1257</v>
      </c>
      <c r="DL64" s="42">
        <v>9</v>
      </c>
      <c r="DM64" s="893">
        <v>8383</v>
      </c>
      <c r="DN64" s="6306">
        <f t="shared" si="17"/>
        <v>0.65942202053976595</v>
      </c>
      <c r="DP64" s="4263"/>
      <c r="DQ64" s="4263"/>
      <c r="DR64" s="4257" t="s">
        <v>483</v>
      </c>
      <c r="DS64" s="4266">
        <v>567</v>
      </c>
      <c r="DT64" s="4266">
        <v>559</v>
      </c>
      <c r="DU64" s="4266">
        <v>1</v>
      </c>
      <c r="DV64" s="4266">
        <v>231</v>
      </c>
      <c r="DW64" s="4266">
        <v>3017</v>
      </c>
      <c r="DX64" s="4266">
        <v>1100</v>
      </c>
      <c r="DY64" s="4266">
        <v>290</v>
      </c>
      <c r="DZ64" s="4266"/>
      <c r="EA64" s="4266">
        <v>2</v>
      </c>
      <c r="EB64" s="4266">
        <v>91</v>
      </c>
      <c r="EC64" s="4266">
        <v>1029</v>
      </c>
      <c r="ED64" s="4266"/>
      <c r="EE64" s="4266">
        <v>1474</v>
      </c>
      <c r="EF64" s="4266">
        <v>7</v>
      </c>
      <c r="EG64" s="4266">
        <v>8368</v>
      </c>
      <c r="EH64" s="6321">
        <f t="shared" si="9"/>
        <v>0.61547661762947015</v>
      </c>
      <c r="EL64" s="893" t="s">
        <v>483</v>
      </c>
      <c r="EM64" s="135">
        <v>553</v>
      </c>
      <c r="EN64" s="135">
        <v>418</v>
      </c>
      <c r="EO64" s="135"/>
      <c r="EP64" s="135">
        <v>3</v>
      </c>
      <c r="EQ64" s="135">
        <v>3468</v>
      </c>
      <c r="ER64" s="135">
        <v>934</v>
      </c>
      <c r="ES64" s="135">
        <v>417</v>
      </c>
      <c r="ET64" s="135"/>
      <c r="EU64" s="135"/>
      <c r="EV64" s="135">
        <v>113</v>
      </c>
      <c r="EW64" s="135">
        <v>821</v>
      </c>
      <c r="EX64" s="135"/>
      <c r="EY64" s="135">
        <v>1391</v>
      </c>
      <c r="EZ64" s="135">
        <v>1</v>
      </c>
      <c r="FA64" s="135">
        <v>8119</v>
      </c>
      <c r="FB64" s="6315">
        <f t="shared" si="10"/>
        <v>0.64338507021433855</v>
      </c>
      <c r="FD64" s="42"/>
      <c r="FE64" s="42"/>
      <c r="FF64" s="893" t="s">
        <v>483</v>
      </c>
      <c r="FG64" s="135">
        <v>590</v>
      </c>
      <c r="FH64" s="135">
        <v>477</v>
      </c>
      <c r="FI64" s="135"/>
      <c r="FJ64" s="135">
        <v>266</v>
      </c>
      <c r="FK64" s="135">
        <v>3395</v>
      </c>
      <c r="FL64" s="135">
        <v>1038</v>
      </c>
      <c r="FM64" s="135">
        <v>473</v>
      </c>
      <c r="FN64" s="135"/>
      <c r="FO64" s="135"/>
      <c r="FP64" s="135">
        <v>83</v>
      </c>
      <c r="FQ64" s="135">
        <v>755</v>
      </c>
      <c r="FR64" s="135"/>
      <c r="FS64" s="135">
        <v>1316</v>
      </c>
      <c r="FT64" s="135">
        <v>10</v>
      </c>
      <c r="FU64" s="135">
        <v>8403</v>
      </c>
      <c r="FV64" s="5723">
        <f t="shared" si="0"/>
        <v>0.61813415941856309</v>
      </c>
      <c r="FW64" s="5717"/>
      <c r="FX64" s="42"/>
      <c r="FY64" s="42"/>
      <c r="FZ64" s="893" t="s">
        <v>483</v>
      </c>
      <c r="GA64" s="135">
        <v>504</v>
      </c>
      <c r="GB64" s="135">
        <v>492</v>
      </c>
      <c r="GC64" s="135">
        <v>1</v>
      </c>
      <c r="GD64" s="135">
        <v>259</v>
      </c>
      <c r="GE64" s="135">
        <v>3560</v>
      </c>
      <c r="GF64" s="135">
        <v>902</v>
      </c>
      <c r="GG64" s="135">
        <v>435</v>
      </c>
      <c r="GH64" s="135"/>
      <c r="GI64" s="135">
        <v>1</v>
      </c>
      <c r="GJ64" s="135">
        <v>136</v>
      </c>
      <c r="GK64" s="135">
        <v>754</v>
      </c>
      <c r="GL64" s="135"/>
      <c r="GM64" s="135">
        <v>1282</v>
      </c>
      <c r="GN64" s="135">
        <v>17</v>
      </c>
      <c r="GO64" s="135">
        <v>8343</v>
      </c>
      <c r="GP64" s="5723">
        <f t="shared" si="11"/>
        <v>0.62647129473937069</v>
      </c>
      <c r="GR64" s="6280"/>
      <c r="GS64" s="6280"/>
      <c r="GT64" s="1179" t="s">
        <v>483</v>
      </c>
      <c r="GU64" s="1180">
        <v>539</v>
      </c>
      <c r="GV64" s="1180">
        <v>421</v>
      </c>
      <c r="GW64" s="1181"/>
      <c r="GX64" s="1180">
        <v>282</v>
      </c>
      <c r="GY64" s="1180">
        <v>3782</v>
      </c>
      <c r="GZ64" s="1180">
        <v>821</v>
      </c>
      <c r="HA64" s="1180">
        <v>478</v>
      </c>
      <c r="HB64" s="1181"/>
      <c r="HC64" s="1180">
        <v>1</v>
      </c>
      <c r="HD64" s="1180">
        <v>109</v>
      </c>
      <c r="HE64" s="1180">
        <v>702</v>
      </c>
      <c r="HF64" s="1181"/>
      <c r="HG64" s="1180">
        <v>1345</v>
      </c>
      <c r="HH64" s="1180">
        <v>19</v>
      </c>
      <c r="HI64" s="1180">
        <v>8499</v>
      </c>
      <c r="HJ64" s="456">
        <f t="shared" si="12"/>
        <v>0.62558962264150941</v>
      </c>
      <c r="HL64" s="967"/>
      <c r="HM64" s="967"/>
      <c r="HN64" s="987" t="s">
        <v>483</v>
      </c>
      <c r="HO64" s="988">
        <v>527</v>
      </c>
      <c r="HP64" s="988">
        <v>431</v>
      </c>
      <c r="HQ64" s="989"/>
      <c r="HR64" s="988">
        <v>423</v>
      </c>
      <c r="HS64" s="988">
        <v>3908</v>
      </c>
      <c r="HT64" s="988">
        <v>933</v>
      </c>
      <c r="HU64" s="988">
        <v>596</v>
      </c>
      <c r="HV64" s="989"/>
      <c r="HW64" s="988">
        <v>1</v>
      </c>
      <c r="HX64" s="988">
        <v>109</v>
      </c>
      <c r="HY64" s="988">
        <v>674</v>
      </c>
      <c r="HZ64" s="988">
        <v>1851</v>
      </c>
      <c r="IA64" s="988"/>
      <c r="IB64" s="988">
        <v>9453</v>
      </c>
      <c r="IC64" s="990">
        <f t="shared" si="13"/>
        <v>0.58341267322543111</v>
      </c>
      <c r="IE64" s="577"/>
      <c r="IF64" s="577"/>
      <c r="IG64" s="738" t="s">
        <v>483</v>
      </c>
      <c r="IH64" s="991">
        <v>458</v>
      </c>
      <c r="II64" s="991">
        <v>489</v>
      </c>
      <c r="IJ64" s="991">
        <v>1</v>
      </c>
      <c r="IK64" s="991">
        <v>447</v>
      </c>
      <c r="IL64" s="991">
        <v>3875</v>
      </c>
      <c r="IM64" s="991">
        <v>1007</v>
      </c>
      <c r="IN64" s="991">
        <v>538</v>
      </c>
      <c r="IO64" s="6261"/>
      <c r="IP64" s="991">
        <v>1</v>
      </c>
      <c r="IQ64" s="991">
        <v>70</v>
      </c>
      <c r="IR64" s="991">
        <v>645</v>
      </c>
      <c r="IS64" s="991">
        <v>1932</v>
      </c>
      <c r="IT64" s="6261"/>
      <c r="IU64" s="991">
        <v>9463</v>
      </c>
      <c r="IV64" s="456">
        <f t="shared" si="14"/>
        <v>0.5840642502377682</v>
      </c>
      <c r="IX64" s="742"/>
      <c r="IY64" s="742"/>
      <c r="IZ64" s="981" t="s">
        <v>52</v>
      </c>
      <c r="JA64" s="982">
        <v>29</v>
      </c>
      <c r="JB64" s="982">
        <v>13</v>
      </c>
      <c r="JC64" s="982">
        <v>0</v>
      </c>
      <c r="JD64" s="982">
        <v>54</v>
      </c>
      <c r="JE64" s="982">
        <v>420</v>
      </c>
      <c r="JF64" s="982">
        <v>141</v>
      </c>
      <c r="JG64" s="982">
        <v>33</v>
      </c>
      <c r="JH64" s="982">
        <v>0</v>
      </c>
      <c r="JI64" s="982">
        <v>0</v>
      </c>
      <c r="JJ64" s="982">
        <v>143</v>
      </c>
      <c r="JK64" s="982">
        <v>271</v>
      </c>
      <c r="JL64" s="982">
        <v>206</v>
      </c>
      <c r="JM64" s="982">
        <v>0</v>
      </c>
      <c r="JN64" s="982">
        <v>3</v>
      </c>
      <c r="JO64" s="982">
        <v>1313</v>
      </c>
      <c r="JP64" s="983">
        <f t="shared" si="15"/>
        <v>0.67757459095283923</v>
      </c>
      <c r="JR64" s="97"/>
      <c r="JS64" s="97"/>
      <c r="JT64" s="42" t="s">
        <v>52</v>
      </c>
      <c r="JU64" s="42">
        <v>50</v>
      </c>
      <c r="JV64" s="42">
        <v>17</v>
      </c>
      <c r="JW64" s="42"/>
      <c r="JX64" s="42">
        <v>49</v>
      </c>
      <c r="JY64" s="42">
        <v>380</v>
      </c>
      <c r="JZ64" s="42">
        <v>130</v>
      </c>
      <c r="KA64" s="42">
        <v>43</v>
      </c>
      <c r="KB64" s="42"/>
      <c r="KC64" s="42">
        <v>0</v>
      </c>
      <c r="KD64" s="42">
        <v>101</v>
      </c>
      <c r="KE64" s="42">
        <v>250</v>
      </c>
      <c r="KF64" s="42">
        <v>198</v>
      </c>
      <c r="KG64" s="42">
        <v>0</v>
      </c>
      <c r="KH64" s="42">
        <v>2</v>
      </c>
      <c r="KI64" s="42">
        <v>1220</v>
      </c>
      <c r="KJ64" s="984">
        <f t="shared" si="1"/>
        <v>0.63119834710743805</v>
      </c>
      <c r="KK64" s="42"/>
      <c r="KL64" s="354"/>
      <c r="KM64" s="354"/>
      <c r="KN64" s="354" t="s">
        <v>52</v>
      </c>
      <c r="KO64" s="985">
        <v>62</v>
      </c>
      <c r="KP64" s="985">
        <v>23</v>
      </c>
      <c r="KQ64" s="985" t="s">
        <v>315</v>
      </c>
      <c r="KR64" s="985">
        <v>46</v>
      </c>
      <c r="KS64" s="985">
        <v>339</v>
      </c>
      <c r="KT64" s="985">
        <v>126</v>
      </c>
      <c r="KU64" s="985">
        <v>52</v>
      </c>
      <c r="KV64" s="985" t="s">
        <v>315</v>
      </c>
      <c r="KW64" s="985" t="s">
        <v>315</v>
      </c>
      <c r="KX64" s="985">
        <v>106</v>
      </c>
      <c r="KY64" s="985">
        <v>194</v>
      </c>
      <c r="KZ64" s="985" t="s">
        <v>315</v>
      </c>
      <c r="LA64" s="985">
        <v>948</v>
      </c>
      <c r="LB64" s="985">
        <f t="shared" si="2"/>
        <v>571</v>
      </c>
      <c r="LC64" s="986">
        <f t="shared" si="3"/>
        <v>0.60232067510548526</v>
      </c>
      <c r="LD64" s="42"/>
      <c r="LE64" s="42"/>
    </row>
    <row r="65" spans="1:317">
      <c r="A65" s="6291">
        <v>3</v>
      </c>
      <c r="B65" s="6291">
        <v>4</v>
      </c>
      <c r="C65" s="6291">
        <v>85</v>
      </c>
      <c r="D65" s="6292">
        <v>1815</v>
      </c>
      <c r="E65" s="6291">
        <v>9</v>
      </c>
      <c r="F65" s="6291">
        <v>355</v>
      </c>
      <c r="G65" s="6291">
        <v>157</v>
      </c>
      <c r="H65" s="6291">
        <v>33</v>
      </c>
      <c r="I65" s="6293"/>
      <c r="J65" s="6291">
        <v>22</v>
      </c>
      <c r="K65" s="6291">
        <v>266</v>
      </c>
      <c r="L65" s="6293"/>
      <c r="M65" s="6291">
        <v>179</v>
      </c>
      <c r="N65" s="6291">
        <v>81</v>
      </c>
      <c r="O65" s="6291">
        <v>1</v>
      </c>
      <c r="P65" s="6291">
        <v>712</v>
      </c>
      <c r="Q65" s="6294">
        <f t="shared" si="4"/>
        <v>0.63746556473829197</v>
      </c>
      <c r="S65" s="6295"/>
      <c r="T65" s="6295"/>
      <c r="U65" s="6295"/>
      <c r="V65" s="6317">
        <f>SUM(V59:V64)</f>
        <v>8472</v>
      </c>
      <c r="W65" s="6317">
        <f t="shared" ref="W65:AH65" si="42">SUM(W59:W64)</f>
        <v>60</v>
      </c>
      <c r="X65" s="6317">
        <f t="shared" si="42"/>
        <v>1288</v>
      </c>
      <c r="Y65" s="6317">
        <f t="shared" si="42"/>
        <v>625</v>
      </c>
      <c r="Z65" s="6317">
        <f t="shared" si="42"/>
        <v>252</v>
      </c>
      <c r="AA65" s="6317">
        <f t="shared" si="42"/>
        <v>4</v>
      </c>
      <c r="AB65" s="6317">
        <f t="shared" si="42"/>
        <v>122</v>
      </c>
      <c r="AC65" s="6317">
        <f t="shared" si="42"/>
        <v>1257</v>
      </c>
      <c r="AD65" s="6317">
        <f t="shared" si="42"/>
        <v>0</v>
      </c>
      <c r="AE65" s="6317">
        <f t="shared" si="42"/>
        <v>1027</v>
      </c>
      <c r="AF65" s="6317">
        <f t="shared" si="42"/>
        <v>853</v>
      </c>
      <c r="AG65" s="6317">
        <f t="shared" si="42"/>
        <v>0</v>
      </c>
      <c r="AH65" s="6317">
        <f t="shared" si="42"/>
        <v>2984</v>
      </c>
      <c r="AI65" s="6294">
        <f t="shared" si="5"/>
        <v>0.62181303116147313</v>
      </c>
      <c r="AJ65" s="6295"/>
      <c r="AK65" s="6297"/>
      <c r="AL65" s="6297"/>
      <c r="AM65" s="6297"/>
      <c r="AN65" s="6298">
        <f>SUM(AN59:AN64)</f>
        <v>8479</v>
      </c>
      <c r="AO65" s="6298">
        <f t="shared" ref="AO65:BB65" si="43">SUM(AO59:AO64)</f>
        <v>102</v>
      </c>
      <c r="AP65" s="6298">
        <f t="shared" si="43"/>
        <v>1290</v>
      </c>
      <c r="AQ65" s="6298">
        <f t="shared" si="43"/>
        <v>538</v>
      </c>
      <c r="AR65" s="6298">
        <f t="shared" si="43"/>
        <v>250</v>
      </c>
      <c r="AS65" s="6298">
        <f t="shared" si="43"/>
        <v>4</v>
      </c>
      <c r="AT65" s="6298">
        <f t="shared" si="43"/>
        <v>122</v>
      </c>
      <c r="AU65" s="6298">
        <f t="shared" si="43"/>
        <v>8</v>
      </c>
      <c r="AV65" s="6298">
        <f t="shared" si="43"/>
        <v>1453</v>
      </c>
      <c r="AW65" s="6298">
        <f t="shared" si="43"/>
        <v>917</v>
      </c>
      <c r="AX65" s="6298">
        <f t="shared" si="43"/>
        <v>2</v>
      </c>
      <c r="AY65" s="6298">
        <f t="shared" si="43"/>
        <v>901</v>
      </c>
      <c r="AZ65" s="6298">
        <f t="shared" si="43"/>
        <v>0</v>
      </c>
      <c r="BA65" s="6298">
        <f t="shared" si="43"/>
        <v>0</v>
      </c>
      <c r="BB65" s="6298">
        <f t="shared" si="43"/>
        <v>2892</v>
      </c>
      <c r="BC65" s="6318">
        <f t="shared" si="6"/>
        <v>0.62117813717388737</v>
      </c>
      <c r="BE65" s="6313"/>
      <c r="BF65" s="6313"/>
      <c r="BG65" s="6313"/>
      <c r="BH65" s="6319" t="s">
        <v>483</v>
      </c>
      <c r="BI65" s="6314">
        <f>SUM(BI59:BI64)</f>
        <v>8416</v>
      </c>
      <c r="BJ65" s="6314">
        <f t="shared" ref="BJ65:BW65" si="44">SUM(BJ59:BJ64)</f>
        <v>56</v>
      </c>
      <c r="BK65" s="6314">
        <f t="shared" si="44"/>
        <v>1543</v>
      </c>
      <c r="BL65" s="6314">
        <f t="shared" si="44"/>
        <v>614</v>
      </c>
      <c r="BM65" s="6314">
        <f t="shared" si="44"/>
        <v>243</v>
      </c>
      <c r="BN65" s="6314">
        <f t="shared" si="44"/>
        <v>4</v>
      </c>
      <c r="BO65" s="6314">
        <f t="shared" si="44"/>
        <v>139</v>
      </c>
      <c r="BP65" s="6314">
        <f t="shared" si="44"/>
        <v>8</v>
      </c>
      <c r="BQ65" s="6314">
        <f t="shared" si="44"/>
        <v>1083</v>
      </c>
      <c r="BR65" s="6314">
        <f t="shared" si="44"/>
        <v>0</v>
      </c>
      <c r="BS65" s="6314">
        <f t="shared" si="44"/>
        <v>1203</v>
      </c>
      <c r="BT65" s="6314">
        <f t="shared" si="44"/>
        <v>570</v>
      </c>
      <c r="BU65" s="6314">
        <f t="shared" si="44"/>
        <v>0</v>
      </c>
      <c r="BV65" s="6314">
        <f t="shared" si="44"/>
        <v>0</v>
      </c>
      <c r="BW65" s="6314">
        <f t="shared" si="44"/>
        <v>2953</v>
      </c>
      <c r="BX65" s="6300">
        <f t="shared" si="16"/>
        <v>0.62309705042816366</v>
      </c>
      <c r="BZ65" s="4388"/>
      <c r="CA65" s="4388"/>
      <c r="CB65" s="6276" t="s">
        <v>483</v>
      </c>
      <c r="CC65" s="6320">
        <v>565</v>
      </c>
      <c r="CD65" s="6320">
        <v>593</v>
      </c>
      <c r="CE65" s="6320"/>
      <c r="CF65" s="6320">
        <v>239</v>
      </c>
      <c r="CG65" s="6320">
        <v>2908</v>
      </c>
      <c r="CH65" s="6320">
        <v>993</v>
      </c>
      <c r="CI65" s="6320">
        <v>139</v>
      </c>
      <c r="CJ65" s="6320">
        <v>68</v>
      </c>
      <c r="CK65" s="6320">
        <v>4</v>
      </c>
      <c r="CL65" s="6320">
        <v>92</v>
      </c>
      <c r="CM65" s="6320">
        <v>1291</v>
      </c>
      <c r="CN65" s="6320"/>
      <c r="CO65" s="6320">
        <v>1584</v>
      </c>
      <c r="CP65" s="6320">
        <v>8</v>
      </c>
      <c r="CQ65" s="6320">
        <v>8484</v>
      </c>
      <c r="CR65" s="6304">
        <f t="shared" si="7"/>
        <v>0.61255309108069844</v>
      </c>
      <c r="CS65" s="4238"/>
      <c r="CT65" s="6305"/>
      <c r="CU65" s="6316"/>
      <c r="CW65" s="97" t="s">
        <v>41</v>
      </c>
      <c r="CX65" s="42" t="s">
        <v>42</v>
      </c>
      <c r="CY65" s="42">
        <v>19</v>
      </c>
      <c r="CZ65" s="42">
        <v>18</v>
      </c>
      <c r="DB65" s="42">
        <v>60</v>
      </c>
      <c r="DC65" s="42">
        <v>645</v>
      </c>
      <c r="DD65" s="42">
        <v>175</v>
      </c>
      <c r="DE65" s="42">
        <v>71</v>
      </c>
      <c r="DG65" s="42">
        <v>0</v>
      </c>
      <c r="DH65" s="42">
        <v>2</v>
      </c>
      <c r="DI65" s="42">
        <v>167</v>
      </c>
      <c r="DK65" s="42">
        <v>153</v>
      </c>
      <c r="DL65" s="42">
        <v>2</v>
      </c>
      <c r="DM65" s="893">
        <v>1312</v>
      </c>
      <c r="DN65" s="6306">
        <f t="shared" si="17"/>
        <v>0.75343511450381684</v>
      </c>
      <c r="DP65" s="4263"/>
      <c r="DQ65" s="4263" t="s">
        <v>41</v>
      </c>
      <c r="DR65" s="4258" t="s">
        <v>42</v>
      </c>
      <c r="DS65" s="4263">
        <v>98</v>
      </c>
      <c r="DT65" s="4263">
        <v>48</v>
      </c>
      <c r="DU65" s="4263">
        <v>0</v>
      </c>
      <c r="DV65" s="4263">
        <v>63</v>
      </c>
      <c r="DW65" s="4263">
        <v>452</v>
      </c>
      <c r="DX65" s="4263">
        <v>212</v>
      </c>
      <c r="DY65" s="4263">
        <v>27</v>
      </c>
      <c r="DZ65" s="4263"/>
      <c r="EA65" s="4263">
        <v>0</v>
      </c>
      <c r="EB65" s="4263">
        <v>2</v>
      </c>
      <c r="EC65" s="4263">
        <v>243</v>
      </c>
      <c r="ED65" s="4263"/>
      <c r="EE65" s="4263">
        <v>181</v>
      </c>
      <c r="EF65" s="4263">
        <v>1</v>
      </c>
      <c r="EG65" s="4263">
        <v>1327</v>
      </c>
      <c r="EH65" s="6307">
        <f t="shared" si="9"/>
        <v>0.68401206636500755</v>
      </c>
      <c r="EK65" s="42" t="s">
        <v>41</v>
      </c>
      <c r="EL65" s="42" t="s">
        <v>42</v>
      </c>
      <c r="EM65" s="97">
        <v>56</v>
      </c>
      <c r="EN65" s="97">
        <v>29</v>
      </c>
      <c r="EO65" s="97"/>
      <c r="EP65" s="97">
        <v>0</v>
      </c>
      <c r="EQ65" s="97">
        <v>520</v>
      </c>
      <c r="ER65" s="97">
        <v>178</v>
      </c>
      <c r="ES65" s="97">
        <v>37</v>
      </c>
      <c r="ET65" s="97"/>
      <c r="EU65" s="97">
        <v>0</v>
      </c>
      <c r="EV65" s="97">
        <v>7</v>
      </c>
      <c r="EW65" s="97">
        <v>250</v>
      </c>
      <c r="EX65" s="97"/>
      <c r="EY65" s="97">
        <v>170</v>
      </c>
      <c r="EZ65" s="97">
        <v>0</v>
      </c>
      <c r="FA65" s="97">
        <v>1247</v>
      </c>
      <c r="FB65" s="6315">
        <f t="shared" si="10"/>
        <v>0.76022453889334407</v>
      </c>
      <c r="FD65" s="42"/>
      <c r="FE65" s="42" t="s">
        <v>41</v>
      </c>
      <c r="FF65" s="42" t="s">
        <v>42</v>
      </c>
      <c r="FG65" s="97">
        <v>68</v>
      </c>
      <c r="FH65" s="97">
        <v>37</v>
      </c>
      <c r="FI65" s="97">
        <v>0</v>
      </c>
      <c r="FJ65" s="97">
        <v>67</v>
      </c>
      <c r="FK65" s="97">
        <v>506</v>
      </c>
      <c r="FL65" s="97">
        <v>164</v>
      </c>
      <c r="FM65" s="97">
        <v>60</v>
      </c>
      <c r="FN65" s="97">
        <v>0</v>
      </c>
      <c r="FO65" s="97">
        <v>0</v>
      </c>
      <c r="FP65" s="97">
        <v>5</v>
      </c>
      <c r="FQ65" s="97">
        <v>242</v>
      </c>
      <c r="FR65" s="97"/>
      <c r="FS65" s="97">
        <v>156</v>
      </c>
      <c r="FT65" s="97">
        <v>2</v>
      </c>
      <c r="FU65" s="97">
        <v>1307</v>
      </c>
      <c r="FV65" s="6308">
        <f t="shared" si="0"/>
        <v>0.69885057471264367</v>
      </c>
      <c r="FW65" s="6322"/>
      <c r="FX65" s="42"/>
      <c r="FY65" s="42" t="s">
        <v>41</v>
      </c>
      <c r="FZ65" s="42" t="s">
        <v>42</v>
      </c>
      <c r="GA65" s="97">
        <v>79</v>
      </c>
      <c r="GB65" s="97">
        <v>44</v>
      </c>
      <c r="GC65" s="97"/>
      <c r="GD65" s="97">
        <v>67</v>
      </c>
      <c r="GE65" s="97">
        <v>538</v>
      </c>
      <c r="GF65" s="97">
        <v>175</v>
      </c>
      <c r="GG65" s="97">
        <v>62</v>
      </c>
      <c r="GH65" s="97"/>
      <c r="GI65" s="97">
        <v>0</v>
      </c>
      <c r="GJ65" s="97">
        <v>5</v>
      </c>
      <c r="GK65" s="97">
        <v>204</v>
      </c>
      <c r="GL65" s="97"/>
      <c r="GM65" s="97">
        <v>163</v>
      </c>
      <c r="GN65" s="97">
        <v>5</v>
      </c>
      <c r="GO65" s="97">
        <v>1342</v>
      </c>
      <c r="GP65" s="6308">
        <f t="shared" si="11"/>
        <v>0.68586387434554974</v>
      </c>
      <c r="GR65" s="6280"/>
      <c r="GS65" s="6280" t="s">
        <v>41</v>
      </c>
      <c r="GT65" s="6310" t="s">
        <v>42</v>
      </c>
      <c r="GU65" s="6311">
        <v>69</v>
      </c>
      <c r="GV65" s="6311">
        <v>35</v>
      </c>
      <c r="GW65" s="6312"/>
      <c r="GX65" s="6311">
        <v>63</v>
      </c>
      <c r="GY65" s="6311">
        <v>568</v>
      </c>
      <c r="GZ65" s="6311">
        <v>175</v>
      </c>
      <c r="HA65" s="6311">
        <v>61</v>
      </c>
      <c r="HB65" s="6312"/>
      <c r="HC65" s="6311">
        <v>0</v>
      </c>
      <c r="HD65" s="6311">
        <v>1</v>
      </c>
      <c r="HE65" s="6311">
        <v>199</v>
      </c>
      <c r="HF65" s="6312"/>
      <c r="HG65" s="6311">
        <v>187</v>
      </c>
      <c r="HH65" s="6311">
        <v>5</v>
      </c>
      <c r="HI65" s="6311">
        <v>1363</v>
      </c>
      <c r="HJ65" s="467">
        <f t="shared" si="12"/>
        <v>0.69366715758468334</v>
      </c>
      <c r="HL65" s="967"/>
      <c r="HM65" s="967" t="s">
        <v>41</v>
      </c>
      <c r="HN65" s="977" t="s">
        <v>42</v>
      </c>
      <c r="HO65" s="978">
        <v>50</v>
      </c>
      <c r="HP65" s="978">
        <v>35</v>
      </c>
      <c r="HQ65" s="978">
        <v>0</v>
      </c>
      <c r="HR65" s="978">
        <v>98</v>
      </c>
      <c r="HS65" s="978">
        <v>525</v>
      </c>
      <c r="HT65" s="978">
        <v>211</v>
      </c>
      <c r="HU65" s="978">
        <v>68</v>
      </c>
      <c r="HV65" s="967"/>
      <c r="HW65" s="978">
        <v>0</v>
      </c>
      <c r="HX65" s="978">
        <v>2</v>
      </c>
      <c r="HY65" s="978">
        <v>238</v>
      </c>
      <c r="HZ65" s="978">
        <v>248</v>
      </c>
      <c r="IA65" s="978">
        <v>2</v>
      </c>
      <c r="IB65" s="978">
        <v>1477</v>
      </c>
      <c r="IC65" s="467">
        <f t="shared" si="13"/>
        <v>0.65944482058226139</v>
      </c>
      <c r="IE65" s="577"/>
      <c r="IF65" s="577" t="s">
        <v>41</v>
      </c>
      <c r="IG65" s="979" t="s">
        <v>42</v>
      </c>
      <c r="IH65" s="980">
        <v>50</v>
      </c>
      <c r="II65" s="980">
        <v>42</v>
      </c>
      <c r="IJ65" s="577"/>
      <c r="IK65" s="980">
        <v>107</v>
      </c>
      <c r="IL65" s="980">
        <v>495</v>
      </c>
      <c r="IM65" s="980">
        <v>219</v>
      </c>
      <c r="IN65" s="980">
        <v>58</v>
      </c>
      <c r="IO65" s="577"/>
      <c r="IP65" s="577"/>
      <c r="IQ65" s="980">
        <v>1</v>
      </c>
      <c r="IR65" s="980">
        <v>210</v>
      </c>
      <c r="IS65" s="980">
        <v>261</v>
      </c>
      <c r="IT65" s="980">
        <v>2</v>
      </c>
      <c r="IU65" s="980">
        <v>1445</v>
      </c>
      <c r="IV65" s="467">
        <f t="shared" si="14"/>
        <v>0.63944636678200695</v>
      </c>
      <c r="IX65" s="742"/>
      <c r="IY65" s="742"/>
      <c r="IZ65" s="981" t="s">
        <v>53</v>
      </c>
      <c r="JA65" s="982">
        <v>31</v>
      </c>
      <c r="JB65" s="982">
        <v>31</v>
      </c>
      <c r="JC65" s="982">
        <v>0</v>
      </c>
      <c r="JD65" s="982">
        <v>32</v>
      </c>
      <c r="JE65" s="982">
        <v>838</v>
      </c>
      <c r="JF65" s="982">
        <v>152</v>
      </c>
      <c r="JG65" s="982">
        <v>67</v>
      </c>
      <c r="JH65" s="982">
        <v>0</v>
      </c>
      <c r="JI65" s="982">
        <v>1</v>
      </c>
      <c r="JJ65" s="982">
        <v>314</v>
      </c>
      <c r="JK65" s="982">
        <v>339</v>
      </c>
      <c r="JL65" s="982">
        <v>200</v>
      </c>
      <c r="JM65" s="982">
        <v>0</v>
      </c>
      <c r="JN65" s="982">
        <v>7</v>
      </c>
      <c r="JO65" s="982">
        <v>2012</v>
      </c>
      <c r="JP65" s="983">
        <f t="shared" si="15"/>
        <v>0.78271308523409366</v>
      </c>
      <c r="JR65" s="97"/>
      <c r="JS65" s="97"/>
      <c r="JT65" s="42" t="s">
        <v>53</v>
      </c>
      <c r="JU65" s="42">
        <v>40</v>
      </c>
      <c r="JV65" s="42">
        <v>33</v>
      </c>
      <c r="JW65" s="42"/>
      <c r="JX65" s="42">
        <v>37</v>
      </c>
      <c r="JY65" s="42">
        <v>808</v>
      </c>
      <c r="JZ65" s="42">
        <v>137</v>
      </c>
      <c r="KA65" s="42">
        <v>55</v>
      </c>
      <c r="KB65" s="42"/>
      <c r="KC65" s="42">
        <v>3</v>
      </c>
      <c r="KD65" s="42">
        <v>347</v>
      </c>
      <c r="KE65" s="42">
        <v>333</v>
      </c>
      <c r="KF65" s="42">
        <v>219</v>
      </c>
      <c r="KG65" s="42">
        <v>0</v>
      </c>
      <c r="KH65" s="42">
        <v>4</v>
      </c>
      <c r="KI65" s="42">
        <v>2016</v>
      </c>
      <c r="KJ65" s="984">
        <f t="shared" si="1"/>
        <v>0.76950565812983918</v>
      </c>
      <c r="KK65" s="42"/>
      <c r="KL65" s="354"/>
      <c r="KM65" s="354"/>
      <c r="KN65" s="354" t="s">
        <v>53</v>
      </c>
      <c r="KO65" s="985">
        <v>47</v>
      </c>
      <c r="KP65" s="985">
        <v>33</v>
      </c>
      <c r="KQ65" s="985" t="s">
        <v>315</v>
      </c>
      <c r="KR65" s="985">
        <v>36</v>
      </c>
      <c r="KS65" s="985">
        <v>660</v>
      </c>
      <c r="KT65" s="985">
        <v>148</v>
      </c>
      <c r="KU65" s="985">
        <v>69</v>
      </c>
      <c r="KV65" s="985" t="s">
        <v>315</v>
      </c>
      <c r="KW65" s="985">
        <v>1</v>
      </c>
      <c r="KX65" s="985">
        <v>465</v>
      </c>
      <c r="KY65" s="985">
        <v>229</v>
      </c>
      <c r="KZ65" s="985" t="s">
        <v>315</v>
      </c>
      <c r="LA65" s="985">
        <v>1688</v>
      </c>
      <c r="LB65" s="985">
        <f t="shared" si="2"/>
        <v>1273</v>
      </c>
      <c r="LC65" s="986">
        <f t="shared" si="3"/>
        <v>0.75414691943127965</v>
      </c>
      <c r="LD65" s="42"/>
      <c r="LE65" s="42"/>
    </row>
    <row r="66" spans="1:317">
      <c r="A66" s="6291">
        <v>3</v>
      </c>
      <c r="B66" s="6291">
        <v>4</v>
      </c>
      <c r="C66" s="6291">
        <v>86</v>
      </c>
      <c r="D66" s="6292">
        <v>882</v>
      </c>
      <c r="E66" s="6291">
        <v>3</v>
      </c>
      <c r="F66" s="6291">
        <v>133</v>
      </c>
      <c r="G66" s="6291">
        <v>67</v>
      </c>
      <c r="H66" s="6291">
        <v>11</v>
      </c>
      <c r="I66" s="6291">
        <v>1</v>
      </c>
      <c r="J66" s="6291">
        <v>3</v>
      </c>
      <c r="K66" s="6291">
        <v>188</v>
      </c>
      <c r="L66" s="6293"/>
      <c r="M66" s="6291">
        <v>92</v>
      </c>
      <c r="N66" s="6291">
        <v>30</v>
      </c>
      <c r="O66" s="6293"/>
      <c r="P66" s="6291">
        <v>354</v>
      </c>
      <c r="Q66" s="6294">
        <f t="shared" si="4"/>
        <v>0.71882086167800452</v>
      </c>
      <c r="S66" s="6295">
        <v>3</v>
      </c>
      <c r="T66" s="6295">
        <v>3</v>
      </c>
      <c r="U66" s="6295">
        <v>73</v>
      </c>
      <c r="V66" s="6295">
        <v>1380</v>
      </c>
      <c r="W66" s="6295">
        <v>1</v>
      </c>
      <c r="X66" s="6295">
        <v>167</v>
      </c>
      <c r="Y66" s="6295">
        <v>94</v>
      </c>
      <c r="Z66" s="6295">
        <v>60</v>
      </c>
      <c r="AA66" s="6296"/>
      <c r="AB66" s="6295">
        <v>13</v>
      </c>
      <c r="AC66" s="6295">
        <v>380</v>
      </c>
      <c r="AD66" s="6296"/>
      <c r="AE66" s="6295">
        <v>181</v>
      </c>
      <c r="AF66" s="6295">
        <v>81</v>
      </c>
      <c r="AG66" s="6295">
        <v>1</v>
      </c>
      <c r="AH66" s="6295">
        <v>402</v>
      </c>
      <c r="AI66" s="6294">
        <f t="shared" si="5"/>
        <v>0.69782608695652171</v>
      </c>
      <c r="AJ66" s="6295"/>
      <c r="AK66" s="6297">
        <v>3</v>
      </c>
      <c r="AL66" s="6297">
        <v>3</v>
      </c>
      <c r="AM66" s="6297">
        <v>73</v>
      </c>
      <c r="AN66" s="6298">
        <v>1381</v>
      </c>
      <c r="AO66" s="6297">
        <v>14</v>
      </c>
      <c r="AP66" s="6297">
        <v>167</v>
      </c>
      <c r="AQ66" s="6297">
        <v>137</v>
      </c>
      <c r="AR66" s="6297">
        <v>60</v>
      </c>
      <c r="AS66" s="6299"/>
      <c r="AT66" s="6297">
        <v>13</v>
      </c>
      <c r="AU66" s="6297">
        <v>1</v>
      </c>
      <c r="AV66" s="6297">
        <v>353</v>
      </c>
      <c r="AW66" s="6297">
        <v>161</v>
      </c>
      <c r="AX66" s="6299"/>
      <c r="AY66" s="6297">
        <v>80</v>
      </c>
      <c r="AZ66" s="6299"/>
      <c r="BA66" s="6297">
        <v>1</v>
      </c>
      <c r="BB66" s="6297">
        <v>394</v>
      </c>
      <c r="BC66" s="6300">
        <f t="shared" si="6"/>
        <v>0.65797101449275364</v>
      </c>
      <c r="BE66" s="6313">
        <v>3</v>
      </c>
      <c r="BF66" s="6313">
        <v>3</v>
      </c>
      <c r="BG66" s="6313">
        <v>73</v>
      </c>
      <c r="BH66" s="4405" t="s">
        <v>42</v>
      </c>
      <c r="BI66" s="6314">
        <v>1361</v>
      </c>
      <c r="BJ66" s="6313">
        <v>3</v>
      </c>
      <c r="BK66" s="6313">
        <v>193</v>
      </c>
      <c r="BL66" s="6313">
        <v>95</v>
      </c>
      <c r="BM66" s="6313">
        <v>61</v>
      </c>
      <c r="BN66" s="6303"/>
      <c r="BO66" s="6313">
        <v>13</v>
      </c>
      <c r="BP66" s="6313">
        <v>1</v>
      </c>
      <c r="BQ66" s="6313">
        <v>298</v>
      </c>
      <c r="BR66" s="6303"/>
      <c r="BS66" s="6313">
        <v>188</v>
      </c>
      <c r="BT66" s="6313">
        <v>55</v>
      </c>
      <c r="BU66" s="6303"/>
      <c r="BV66" s="6303"/>
      <c r="BW66" s="6313">
        <v>454</v>
      </c>
      <c r="BX66" s="6300">
        <f t="shared" si="16"/>
        <v>0.69117647058823528</v>
      </c>
      <c r="BZ66" s="4388"/>
      <c r="CA66" s="4388" t="s">
        <v>41</v>
      </c>
      <c r="CB66" s="4388" t="s">
        <v>42</v>
      </c>
      <c r="CC66" s="4231">
        <v>126</v>
      </c>
      <c r="CD66" s="4231">
        <v>51</v>
      </c>
      <c r="CE66" s="4231"/>
      <c r="CF66" s="4231">
        <v>61</v>
      </c>
      <c r="CG66" s="4231">
        <v>441</v>
      </c>
      <c r="CH66" s="4231">
        <v>168</v>
      </c>
      <c r="CI66" s="4231">
        <v>12</v>
      </c>
      <c r="CJ66" s="4231">
        <v>0</v>
      </c>
      <c r="CK66" s="4231">
        <v>0</v>
      </c>
      <c r="CL66" s="4231">
        <v>5</v>
      </c>
      <c r="CM66" s="4231">
        <v>301</v>
      </c>
      <c r="CN66" s="4231"/>
      <c r="CO66" s="4231">
        <v>197</v>
      </c>
      <c r="CP66" s="4231">
        <v>1</v>
      </c>
      <c r="CQ66" s="4231">
        <v>1363</v>
      </c>
      <c r="CR66" s="6304">
        <f t="shared" si="7"/>
        <v>0.66813509544787075</v>
      </c>
      <c r="CS66" s="4238">
        <f t="shared" si="8"/>
        <v>2</v>
      </c>
      <c r="CT66" s="6305">
        <v>1361</v>
      </c>
      <c r="CU66" s="6316"/>
      <c r="CX66" s="42" t="s">
        <v>52</v>
      </c>
      <c r="CY66" s="42">
        <v>7</v>
      </c>
      <c r="CZ66" s="42">
        <v>8</v>
      </c>
      <c r="DB66" s="42">
        <v>47</v>
      </c>
      <c r="DC66" s="42">
        <v>629</v>
      </c>
      <c r="DD66" s="42">
        <v>71</v>
      </c>
      <c r="DE66" s="42">
        <v>50</v>
      </c>
      <c r="DG66" s="42">
        <v>0</v>
      </c>
      <c r="DH66" s="42">
        <v>1</v>
      </c>
      <c r="DI66" s="42">
        <v>44</v>
      </c>
      <c r="DK66" s="42">
        <v>95</v>
      </c>
      <c r="DL66" s="42">
        <v>1</v>
      </c>
      <c r="DM66" s="893">
        <v>953</v>
      </c>
      <c r="DN66" s="6306">
        <f t="shared" si="17"/>
        <v>0.78151260504201681</v>
      </c>
      <c r="DP66" s="4263"/>
      <c r="DQ66" s="4263"/>
      <c r="DR66" s="4258" t="s">
        <v>52</v>
      </c>
      <c r="DS66" s="4263">
        <v>28</v>
      </c>
      <c r="DT66" s="4263">
        <v>22</v>
      </c>
      <c r="DU66" s="4263">
        <v>0</v>
      </c>
      <c r="DV66" s="4263">
        <v>44</v>
      </c>
      <c r="DW66" s="4263">
        <v>443</v>
      </c>
      <c r="DX66" s="4263">
        <v>135</v>
      </c>
      <c r="DY66" s="4263">
        <v>19</v>
      </c>
      <c r="DZ66" s="4263"/>
      <c r="EA66" s="4263">
        <v>0</v>
      </c>
      <c r="EB66" s="4263">
        <v>1</v>
      </c>
      <c r="EC66" s="4263">
        <v>113</v>
      </c>
      <c r="ED66" s="4263"/>
      <c r="EE66" s="4263">
        <v>128</v>
      </c>
      <c r="EF66" s="4263">
        <v>1</v>
      </c>
      <c r="EG66" s="4263">
        <v>934</v>
      </c>
      <c r="EH66" s="6307">
        <f t="shared" si="9"/>
        <v>0.74062165058949625</v>
      </c>
      <c r="EL66" s="42" t="s">
        <v>52</v>
      </c>
      <c r="EM66" s="97">
        <v>24</v>
      </c>
      <c r="EN66" s="97">
        <v>12</v>
      </c>
      <c r="EO66" s="97"/>
      <c r="EP66" s="97">
        <v>1</v>
      </c>
      <c r="EQ66" s="97">
        <v>523</v>
      </c>
      <c r="ER66" s="97">
        <v>99</v>
      </c>
      <c r="ES66" s="97">
        <v>22</v>
      </c>
      <c r="ET66" s="97"/>
      <c r="EU66" s="97">
        <v>0</v>
      </c>
      <c r="EV66" s="97">
        <v>1</v>
      </c>
      <c r="EW66" s="97">
        <v>105</v>
      </c>
      <c r="EX66" s="97"/>
      <c r="EY66" s="97">
        <v>116</v>
      </c>
      <c r="EZ66" s="97">
        <v>0</v>
      </c>
      <c r="FA66" s="97">
        <v>903</v>
      </c>
      <c r="FB66" s="6315">
        <f t="shared" si="10"/>
        <v>0.80509413067552604</v>
      </c>
      <c r="FD66" s="42"/>
      <c r="FE66" s="42"/>
      <c r="FF66" s="42" t="s">
        <v>52</v>
      </c>
      <c r="FG66" s="97">
        <v>17</v>
      </c>
      <c r="FH66" s="97">
        <v>13</v>
      </c>
      <c r="FI66" s="97">
        <v>0</v>
      </c>
      <c r="FJ66" s="97">
        <v>50</v>
      </c>
      <c r="FK66" s="97">
        <v>473</v>
      </c>
      <c r="FL66" s="97">
        <v>138</v>
      </c>
      <c r="FM66" s="97">
        <v>27</v>
      </c>
      <c r="FN66" s="97">
        <v>0</v>
      </c>
      <c r="FO66" s="97">
        <v>0</v>
      </c>
      <c r="FP66" s="97">
        <v>2</v>
      </c>
      <c r="FQ66" s="97">
        <v>124</v>
      </c>
      <c r="FR66" s="97"/>
      <c r="FS66" s="97">
        <v>121</v>
      </c>
      <c r="FT66" s="97">
        <v>1</v>
      </c>
      <c r="FU66" s="97">
        <v>966</v>
      </c>
      <c r="FV66" s="6308">
        <f t="shared" si="0"/>
        <v>0.76165803108808294</v>
      </c>
      <c r="FW66" s="6322"/>
      <c r="FX66" s="42"/>
      <c r="FY66" s="42"/>
      <c r="FZ66" s="42" t="s">
        <v>52</v>
      </c>
      <c r="GA66" s="97">
        <v>22</v>
      </c>
      <c r="GB66" s="97">
        <v>18</v>
      </c>
      <c r="GC66" s="97"/>
      <c r="GD66" s="97">
        <v>52</v>
      </c>
      <c r="GE66" s="97">
        <v>532</v>
      </c>
      <c r="GF66" s="97">
        <v>119</v>
      </c>
      <c r="GG66" s="97">
        <v>34</v>
      </c>
      <c r="GH66" s="97"/>
      <c r="GI66" s="97">
        <v>0</v>
      </c>
      <c r="GJ66" s="97">
        <v>1</v>
      </c>
      <c r="GK66" s="97">
        <v>115</v>
      </c>
      <c r="GL66" s="97"/>
      <c r="GM66" s="97">
        <v>115</v>
      </c>
      <c r="GN66" s="97">
        <v>2</v>
      </c>
      <c r="GO66" s="97">
        <v>1010</v>
      </c>
      <c r="GP66" s="6308">
        <f t="shared" si="11"/>
        <v>0.75992063492063489</v>
      </c>
      <c r="GR66" s="6280"/>
      <c r="GS66" s="6280"/>
      <c r="GT66" s="6310" t="s">
        <v>52</v>
      </c>
      <c r="GU66" s="6311">
        <v>34</v>
      </c>
      <c r="GV66" s="6311">
        <v>16</v>
      </c>
      <c r="GW66" s="6312"/>
      <c r="GX66" s="6311">
        <v>48</v>
      </c>
      <c r="GY66" s="6311">
        <v>561</v>
      </c>
      <c r="GZ66" s="6311">
        <v>101</v>
      </c>
      <c r="HA66" s="6311">
        <v>57</v>
      </c>
      <c r="HB66" s="6312"/>
      <c r="HC66" s="6311">
        <v>0</v>
      </c>
      <c r="HD66" s="6311">
        <v>0</v>
      </c>
      <c r="HE66" s="6311">
        <v>109</v>
      </c>
      <c r="HF66" s="6312"/>
      <c r="HG66" s="6311">
        <v>120</v>
      </c>
      <c r="HH66" s="6311">
        <v>2</v>
      </c>
      <c r="HI66" s="6311">
        <v>1048</v>
      </c>
      <c r="HJ66" s="467">
        <f t="shared" si="12"/>
        <v>0.73709369024856597</v>
      </c>
      <c r="HL66" s="967"/>
      <c r="HM66" s="967"/>
      <c r="HN66" s="977" t="s">
        <v>52</v>
      </c>
      <c r="HO66" s="978">
        <v>39</v>
      </c>
      <c r="HP66" s="978">
        <v>12</v>
      </c>
      <c r="HQ66" s="978">
        <v>0</v>
      </c>
      <c r="HR66" s="978">
        <v>60</v>
      </c>
      <c r="HS66" s="978">
        <v>547</v>
      </c>
      <c r="HT66" s="978">
        <v>97</v>
      </c>
      <c r="HU66" s="978">
        <v>48</v>
      </c>
      <c r="HV66" s="967"/>
      <c r="HW66" s="978">
        <v>0</v>
      </c>
      <c r="HX66" s="978">
        <v>0</v>
      </c>
      <c r="HY66" s="978">
        <v>150</v>
      </c>
      <c r="HZ66" s="978">
        <v>194</v>
      </c>
      <c r="IA66" s="978">
        <v>0</v>
      </c>
      <c r="IB66" s="978">
        <v>1147</v>
      </c>
      <c r="IC66" s="467">
        <f t="shared" si="13"/>
        <v>0.69224062772449868</v>
      </c>
      <c r="IE66" s="577"/>
      <c r="IF66" s="577"/>
      <c r="IG66" s="979" t="s">
        <v>52</v>
      </c>
      <c r="IH66" s="980">
        <v>24</v>
      </c>
      <c r="II66" s="980">
        <v>18</v>
      </c>
      <c r="IJ66" s="577"/>
      <c r="IK66" s="980">
        <v>57</v>
      </c>
      <c r="IL66" s="980">
        <v>476</v>
      </c>
      <c r="IM66" s="980">
        <v>143</v>
      </c>
      <c r="IN66" s="980">
        <v>45</v>
      </c>
      <c r="IO66" s="577"/>
      <c r="IP66" s="577"/>
      <c r="IQ66" s="980">
        <v>1</v>
      </c>
      <c r="IR66" s="980">
        <v>141</v>
      </c>
      <c r="IS66" s="980">
        <v>200</v>
      </c>
      <c r="IT66" s="980">
        <v>0</v>
      </c>
      <c r="IU66" s="980">
        <v>1105</v>
      </c>
      <c r="IV66" s="467">
        <f t="shared" si="14"/>
        <v>0.68778280542986425</v>
      </c>
      <c r="IX66" s="742"/>
      <c r="IY66" s="742"/>
      <c r="IZ66" s="981" t="s">
        <v>54</v>
      </c>
      <c r="JA66" s="982">
        <v>119</v>
      </c>
      <c r="JB66" s="982">
        <v>50</v>
      </c>
      <c r="JC66" s="982">
        <v>0</v>
      </c>
      <c r="JD66" s="982">
        <v>120</v>
      </c>
      <c r="JE66" s="982">
        <v>755</v>
      </c>
      <c r="JF66" s="982">
        <v>260</v>
      </c>
      <c r="JG66" s="982">
        <v>97</v>
      </c>
      <c r="JH66" s="982">
        <v>0</v>
      </c>
      <c r="JI66" s="982">
        <v>10</v>
      </c>
      <c r="JJ66" s="982">
        <v>188</v>
      </c>
      <c r="JK66" s="982">
        <v>381</v>
      </c>
      <c r="JL66" s="982">
        <v>358</v>
      </c>
      <c r="JM66" s="982">
        <v>0</v>
      </c>
      <c r="JN66" s="982">
        <v>11</v>
      </c>
      <c r="JO66" s="982">
        <v>2349</v>
      </c>
      <c r="JP66" s="983">
        <f t="shared" si="15"/>
        <v>0.61471640265712824</v>
      </c>
      <c r="JR66" s="97"/>
      <c r="JS66" s="97"/>
      <c r="JT66" s="42" t="s">
        <v>54</v>
      </c>
      <c r="JU66" s="42">
        <v>162</v>
      </c>
      <c r="JV66" s="42">
        <v>55</v>
      </c>
      <c r="JW66" s="42"/>
      <c r="JX66" s="42">
        <v>125</v>
      </c>
      <c r="JY66" s="42">
        <v>722</v>
      </c>
      <c r="JZ66" s="42">
        <v>247</v>
      </c>
      <c r="KA66" s="42">
        <v>109</v>
      </c>
      <c r="KB66" s="42"/>
      <c r="KC66" s="42">
        <v>0</v>
      </c>
      <c r="KD66" s="42">
        <v>165</v>
      </c>
      <c r="KE66" s="42">
        <v>357</v>
      </c>
      <c r="KF66" s="42">
        <v>382</v>
      </c>
      <c r="KG66" s="42">
        <v>0</v>
      </c>
      <c r="KH66" s="42">
        <v>9</v>
      </c>
      <c r="KI66" s="42">
        <v>2333</v>
      </c>
      <c r="KJ66" s="984">
        <f t="shared" si="1"/>
        <v>0.57651245551601427</v>
      </c>
      <c r="KK66" s="42"/>
      <c r="KL66" s="354"/>
      <c r="KM66" s="354"/>
      <c r="KN66" s="354" t="s">
        <v>54</v>
      </c>
      <c r="KO66" s="985">
        <v>169</v>
      </c>
      <c r="KP66" s="985">
        <v>47</v>
      </c>
      <c r="KQ66" s="985" t="s">
        <v>315</v>
      </c>
      <c r="KR66" s="985">
        <v>123</v>
      </c>
      <c r="KS66" s="985">
        <v>678</v>
      </c>
      <c r="KT66" s="985">
        <v>216</v>
      </c>
      <c r="KU66" s="985">
        <v>114</v>
      </c>
      <c r="KV66" s="985" t="s">
        <v>315</v>
      </c>
      <c r="KW66" s="985">
        <v>4</v>
      </c>
      <c r="KX66" s="985">
        <v>226</v>
      </c>
      <c r="KY66" s="985">
        <v>401</v>
      </c>
      <c r="KZ66" s="985" t="s">
        <v>315</v>
      </c>
      <c r="LA66" s="985">
        <v>1978</v>
      </c>
      <c r="LB66" s="985">
        <f t="shared" si="2"/>
        <v>1120</v>
      </c>
      <c r="LC66" s="986">
        <f t="shared" si="3"/>
        <v>0.5662285136501517</v>
      </c>
      <c r="LD66" s="42"/>
      <c r="LE66" s="42"/>
    </row>
    <row r="67" spans="1:317">
      <c r="A67" s="6291">
        <v>3</v>
      </c>
      <c r="B67" s="6291">
        <v>4</v>
      </c>
      <c r="C67" s="6291">
        <v>87</v>
      </c>
      <c r="D67" s="6292">
        <v>885</v>
      </c>
      <c r="E67" s="6291">
        <v>9</v>
      </c>
      <c r="F67" s="6291">
        <v>201</v>
      </c>
      <c r="G67" s="6291">
        <v>85</v>
      </c>
      <c r="H67" s="6291">
        <v>27</v>
      </c>
      <c r="I67" s="6293"/>
      <c r="J67" s="6291">
        <v>6</v>
      </c>
      <c r="K67" s="6291">
        <v>154</v>
      </c>
      <c r="L67" s="6293"/>
      <c r="M67" s="6291">
        <v>78</v>
      </c>
      <c r="N67" s="6291">
        <v>53</v>
      </c>
      <c r="O67" s="6293"/>
      <c r="P67" s="6291">
        <v>272</v>
      </c>
      <c r="Q67" s="6294">
        <f t="shared" si="4"/>
        <v>0.56949152542372883</v>
      </c>
      <c r="S67" s="6295">
        <v>3</v>
      </c>
      <c r="T67" s="6295">
        <v>3</v>
      </c>
      <c r="U67" s="6295">
        <v>74</v>
      </c>
      <c r="V67" s="6295">
        <v>883</v>
      </c>
      <c r="W67" s="6295">
        <v>1</v>
      </c>
      <c r="X67" s="6295">
        <v>116</v>
      </c>
      <c r="Y67" s="6295">
        <v>26</v>
      </c>
      <c r="Z67" s="6295">
        <v>41</v>
      </c>
      <c r="AA67" s="6296"/>
      <c r="AB67" s="6295">
        <v>5</v>
      </c>
      <c r="AC67" s="6295">
        <v>174</v>
      </c>
      <c r="AD67" s="6296"/>
      <c r="AE67" s="6295">
        <v>86</v>
      </c>
      <c r="AF67" s="6295">
        <v>42</v>
      </c>
      <c r="AG67" s="6296"/>
      <c r="AH67" s="6295">
        <v>392</v>
      </c>
      <c r="AI67" s="6294">
        <f t="shared" si="5"/>
        <v>0.73839184597961494</v>
      </c>
      <c r="AJ67" s="6295"/>
      <c r="AK67" s="6297">
        <v>3</v>
      </c>
      <c r="AL67" s="6297">
        <v>3</v>
      </c>
      <c r="AM67" s="6297">
        <v>74</v>
      </c>
      <c r="AN67" s="6298">
        <v>885</v>
      </c>
      <c r="AO67" s="6297">
        <v>1</v>
      </c>
      <c r="AP67" s="6297">
        <v>116</v>
      </c>
      <c r="AQ67" s="6297">
        <v>45</v>
      </c>
      <c r="AR67" s="6297">
        <v>41</v>
      </c>
      <c r="AS67" s="6299"/>
      <c r="AT67" s="6297">
        <v>5</v>
      </c>
      <c r="AU67" s="6297">
        <v>2</v>
      </c>
      <c r="AV67" s="6297">
        <v>171</v>
      </c>
      <c r="AW67" s="6297">
        <v>87</v>
      </c>
      <c r="AX67" s="6299"/>
      <c r="AY67" s="6297">
        <v>45</v>
      </c>
      <c r="AZ67" s="6299"/>
      <c r="BA67" s="6299"/>
      <c r="BB67" s="6297">
        <v>372</v>
      </c>
      <c r="BC67" s="6300">
        <f t="shared" si="6"/>
        <v>0.71347678369195922</v>
      </c>
      <c r="BE67" s="6313">
        <v>3</v>
      </c>
      <c r="BF67" s="6313">
        <v>3</v>
      </c>
      <c r="BG67" s="6313">
        <v>74</v>
      </c>
      <c r="BH67" s="4405" t="s">
        <v>52</v>
      </c>
      <c r="BI67" s="6314">
        <v>897</v>
      </c>
      <c r="BJ67" s="6303"/>
      <c r="BK67" s="6313">
        <v>127</v>
      </c>
      <c r="BL67" s="6313">
        <v>20</v>
      </c>
      <c r="BM67" s="6313">
        <v>39</v>
      </c>
      <c r="BN67" s="6303"/>
      <c r="BO67" s="6313">
        <v>5</v>
      </c>
      <c r="BP67" s="6313">
        <v>1</v>
      </c>
      <c r="BQ67" s="6313">
        <v>159</v>
      </c>
      <c r="BR67" s="6303"/>
      <c r="BS67" s="6313">
        <v>91</v>
      </c>
      <c r="BT67" s="6313">
        <v>23</v>
      </c>
      <c r="BU67" s="6303"/>
      <c r="BV67" s="6303"/>
      <c r="BW67" s="6313">
        <v>432</v>
      </c>
      <c r="BX67" s="6300">
        <f t="shared" si="16"/>
        <v>0.7611607142857143</v>
      </c>
      <c r="BZ67" s="4388"/>
      <c r="CA67" s="4388"/>
      <c r="CB67" s="4388" t="s">
        <v>52</v>
      </c>
      <c r="CC67" s="4231">
        <v>34</v>
      </c>
      <c r="CD67" s="4231">
        <v>28</v>
      </c>
      <c r="CE67" s="4231"/>
      <c r="CF67" s="4231">
        <v>39</v>
      </c>
      <c r="CG67" s="4231">
        <v>431</v>
      </c>
      <c r="CH67" s="4231">
        <v>81</v>
      </c>
      <c r="CI67" s="4231">
        <v>5</v>
      </c>
      <c r="CJ67" s="4231">
        <v>0</v>
      </c>
      <c r="CK67" s="4231">
        <v>0</v>
      </c>
      <c r="CL67" s="4231">
        <v>0</v>
      </c>
      <c r="CM67" s="4231">
        <v>154</v>
      </c>
      <c r="CN67" s="4231"/>
      <c r="CO67" s="4231">
        <v>131</v>
      </c>
      <c r="CP67" s="4231">
        <v>1</v>
      </c>
      <c r="CQ67" s="4231">
        <v>904</v>
      </c>
      <c r="CR67" s="6304">
        <f t="shared" si="7"/>
        <v>0.7375415282392026</v>
      </c>
      <c r="CS67" s="4238">
        <f t="shared" si="8"/>
        <v>8</v>
      </c>
      <c r="CT67" s="6305">
        <v>896</v>
      </c>
      <c r="CU67" s="6316"/>
      <c r="CX67" s="42" t="s">
        <v>53</v>
      </c>
      <c r="CY67" s="42">
        <v>13</v>
      </c>
      <c r="CZ67" s="42">
        <v>22</v>
      </c>
      <c r="DB67" s="42">
        <v>11</v>
      </c>
      <c r="DC67" s="42">
        <v>684</v>
      </c>
      <c r="DD67" s="42">
        <v>156</v>
      </c>
      <c r="DE67" s="42">
        <v>46</v>
      </c>
      <c r="DG67" s="42">
        <v>0</v>
      </c>
      <c r="DH67" s="42">
        <v>1</v>
      </c>
      <c r="DI67" s="42">
        <v>192</v>
      </c>
      <c r="DK67" s="42">
        <v>93</v>
      </c>
      <c r="DL67" s="42">
        <v>2</v>
      </c>
      <c r="DM67" s="893">
        <v>1220</v>
      </c>
      <c r="DN67" s="6306">
        <f t="shared" si="17"/>
        <v>0.84729064039408863</v>
      </c>
      <c r="DP67" s="4263"/>
      <c r="DQ67" s="4263"/>
      <c r="DR67" s="4258" t="s">
        <v>53</v>
      </c>
      <c r="DS67" s="4263">
        <v>71</v>
      </c>
      <c r="DT67" s="4263">
        <v>40</v>
      </c>
      <c r="DU67" s="4263">
        <v>0</v>
      </c>
      <c r="DV67" s="4263">
        <v>14</v>
      </c>
      <c r="DW67" s="4263">
        <v>459</v>
      </c>
      <c r="DX67" s="4263">
        <v>201</v>
      </c>
      <c r="DY67" s="4263">
        <v>20</v>
      </c>
      <c r="DZ67" s="4263"/>
      <c r="EA67" s="4263">
        <v>0</v>
      </c>
      <c r="EB67" s="4263">
        <v>6</v>
      </c>
      <c r="EC67" s="4263">
        <v>294</v>
      </c>
      <c r="ED67" s="4263"/>
      <c r="EE67" s="4263">
        <v>116</v>
      </c>
      <c r="EF67" s="4263">
        <v>1</v>
      </c>
      <c r="EG67" s="4263">
        <v>1222</v>
      </c>
      <c r="EH67" s="6307">
        <f t="shared" si="9"/>
        <v>0.78132678132678135</v>
      </c>
      <c r="EL67" s="42" t="s">
        <v>53</v>
      </c>
      <c r="EM67" s="97">
        <v>45</v>
      </c>
      <c r="EN67" s="97">
        <v>28</v>
      </c>
      <c r="EO67" s="97"/>
      <c r="EP67" s="97">
        <v>0</v>
      </c>
      <c r="EQ67" s="97">
        <v>529</v>
      </c>
      <c r="ER67" s="97">
        <v>152</v>
      </c>
      <c r="ES67" s="97">
        <v>22</v>
      </c>
      <c r="ET67" s="97"/>
      <c r="EU67" s="97">
        <v>0</v>
      </c>
      <c r="EV67" s="97">
        <v>4</v>
      </c>
      <c r="EW67" s="97">
        <v>323</v>
      </c>
      <c r="EX67" s="97"/>
      <c r="EY67" s="97">
        <v>103</v>
      </c>
      <c r="EZ67" s="97">
        <v>0</v>
      </c>
      <c r="FA67" s="97">
        <v>1206</v>
      </c>
      <c r="FB67" s="6315">
        <f t="shared" si="10"/>
        <v>0.83250414593698174</v>
      </c>
      <c r="FD67" s="42"/>
      <c r="FE67" s="42"/>
      <c r="FF67" s="42" t="s">
        <v>53</v>
      </c>
      <c r="FG67" s="97">
        <v>57</v>
      </c>
      <c r="FH67" s="97">
        <v>34</v>
      </c>
      <c r="FI67" s="97">
        <v>0</v>
      </c>
      <c r="FJ67" s="97">
        <v>15</v>
      </c>
      <c r="FK67" s="97">
        <v>534</v>
      </c>
      <c r="FL67" s="97">
        <v>157</v>
      </c>
      <c r="FM67" s="97">
        <v>29</v>
      </c>
      <c r="FN67" s="97">
        <v>0</v>
      </c>
      <c r="FO67" s="97">
        <v>0</v>
      </c>
      <c r="FP67" s="97">
        <v>3</v>
      </c>
      <c r="FQ67" s="97">
        <v>292</v>
      </c>
      <c r="FR67" s="97"/>
      <c r="FS67" s="97">
        <v>89</v>
      </c>
      <c r="FT67" s="97">
        <v>2</v>
      </c>
      <c r="FU67" s="97">
        <v>1212</v>
      </c>
      <c r="FV67" s="6308">
        <f t="shared" si="0"/>
        <v>0.81239669421487604</v>
      </c>
      <c r="FW67" s="6322"/>
      <c r="FX67" s="42"/>
      <c r="FY67" s="42"/>
      <c r="FZ67" s="42" t="s">
        <v>53</v>
      </c>
      <c r="GA67" s="97">
        <v>58</v>
      </c>
      <c r="GB67" s="97">
        <v>24</v>
      </c>
      <c r="GC67" s="97"/>
      <c r="GD67" s="97">
        <v>16</v>
      </c>
      <c r="GE67" s="97">
        <v>599</v>
      </c>
      <c r="GF67" s="97">
        <v>116</v>
      </c>
      <c r="GG67" s="97">
        <v>41</v>
      </c>
      <c r="GH67" s="97"/>
      <c r="GI67" s="97">
        <v>0</v>
      </c>
      <c r="GJ67" s="97">
        <v>2</v>
      </c>
      <c r="GK67" s="97">
        <v>303</v>
      </c>
      <c r="GL67" s="97"/>
      <c r="GM67" s="97">
        <v>91</v>
      </c>
      <c r="GN67" s="97">
        <v>2</v>
      </c>
      <c r="GO67" s="97">
        <v>1252</v>
      </c>
      <c r="GP67" s="6308">
        <f t="shared" si="11"/>
        <v>0.81440000000000001</v>
      </c>
      <c r="GR67" s="6280"/>
      <c r="GS67" s="6280"/>
      <c r="GT67" s="6310" t="s">
        <v>53</v>
      </c>
      <c r="GU67" s="6311">
        <v>63</v>
      </c>
      <c r="GV67" s="6311">
        <v>17</v>
      </c>
      <c r="GW67" s="6312"/>
      <c r="GX67" s="6311">
        <v>17</v>
      </c>
      <c r="GY67" s="6311">
        <v>690</v>
      </c>
      <c r="GZ67" s="6311">
        <v>119</v>
      </c>
      <c r="HA67" s="6311">
        <v>49</v>
      </c>
      <c r="HB67" s="6312"/>
      <c r="HC67" s="6311">
        <v>0</v>
      </c>
      <c r="HD67" s="6311">
        <v>0</v>
      </c>
      <c r="HE67" s="6311">
        <v>297</v>
      </c>
      <c r="HF67" s="6312"/>
      <c r="HG67" s="6311">
        <v>109</v>
      </c>
      <c r="HH67" s="6311">
        <v>3</v>
      </c>
      <c r="HI67" s="6311">
        <v>1364</v>
      </c>
      <c r="HJ67" s="467">
        <f t="shared" si="12"/>
        <v>0.81263776634827334</v>
      </c>
      <c r="HL67" s="967"/>
      <c r="HM67" s="967"/>
      <c r="HN67" s="977" t="s">
        <v>53</v>
      </c>
      <c r="HO67" s="978">
        <v>56</v>
      </c>
      <c r="HP67" s="978">
        <v>24</v>
      </c>
      <c r="HQ67" s="978">
        <v>0</v>
      </c>
      <c r="HR67" s="978">
        <v>24</v>
      </c>
      <c r="HS67" s="978">
        <v>818</v>
      </c>
      <c r="HT67" s="978">
        <v>120</v>
      </c>
      <c r="HU67" s="978">
        <v>49</v>
      </c>
      <c r="HV67" s="967"/>
      <c r="HW67" s="978">
        <v>0</v>
      </c>
      <c r="HX67" s="978">
        <v>1</v>
      </c>
      <c r="HY67" s="978">
        <v>296</v>
      </c>
      <c r="HZ67" s="978">
        <v>197</v>
      </c>
      <c r="IA67" s="978">
        <v>0</v>
      </c>
      <c r="IB67" s="978">
        <v>1585</v>
      </c>
      <c r="IC67" s="467">
        <f t="shared" si="13"/>
        <v>0.77854889589905363</v>
      </c>
      <c r="IE67" s="577"/>
      <c r="IF67" s="577"/>
      <c r="IG67" s="979" t="s">
        <v>53</v>
      </c>
      <c r="IH67" s="980">
        <v>29</v>
      </c>
      <c r="II67" s="980">
        <v>33</v>
      </c>
      <c r="IJ67" s="577"/>
      <c r="IK67" s="980">
        <v>27</v>
      </c>
      <c r="IL67" s="980">
        <v>837</v>
      </c>
      <c r="IM67" s="980">
        <v>164</v>
      </c>
      <c r="IN67" s="980">
        <v>51</v>
      </c>
      <c r="IO67" s="577"/>
      <c r="IP67" s="577"/>
      <c r="IQ67" s="980">
        <v>0</v>
      </c>
      <c r="IR67" s="980">
        <v>287</v>
      </c>
      <c r="IS67" s="980">
        <v>194</v>
      </c>
      <c r="IT67" s="980">
        <v>0</v>
      </c>
      <c r="IU67" s="980">
        <v>1622</v>
      </c>
      <c r="IV67" s="467">
        <f t="shared" si="14"/>
        <v>0.79408138101109738</v>
      </c>
      <c r="IX67" s="742"/>
      <c r="IY67" s="742"/>
      <c r="IZ67" s="981" t="s">
        <v>55</v>
      </c>
      <c r="JA67" s="982">
        <v>112</v>
      </c>
      <c r="JB67" s="982">
        <v>76</v>
      </c>
      <c r="JC67" s="982">
        <v>1</v>
      </c>
      <c r="JD67" s="982">
        <v>123</v>
      </c>
      <c r="JE67" s="982">
        <v>718</v>
      </c>
      <c r="JF67" s="982">
        <v>209</v>
      </c>
      <c r="JG67" s="982">
        <v>132</v>
      </c>
      <c r="JH67" s="982">
        <v>0</v>
      </c>
      <c r="JI67" s="982">
        <v>5</v>
      </c>
      <c r="JJ67" s="982">
        <v>286</v>
      </c>
      <c r="JK67" s="982">
        <v>368</v>
      </c>
      <c r="JL67" s="982">
        <v>496</v>
      </c>
      <c r="JM67" s="982">
        <v>0</v>
      </c>
      <c r="JN67" s="982">
        <v>13</v>
      </c>
      <c r="JO67" s="982">
        <v>2539</v>
      </c>
      <c r="JP67" s="983">
        <f t="shared" si="15"/>
        <v>0.56209453197405002</v>
      </c>
      <c r="JR67" s="97"/>
      <c r="JS67" s="97"/>
      <c r="JT67" s="42" t="s">
        <v>55</v>
      </c>
      <c r="JU67" s="42">
        <v>121</v>
      </c>
      <c r="JV67" s="42">
        <v>88</v>
      </c>
      <c r="JW67" s="42"/>
      <c r="JX67" s="42">
        <v>130</v>
      </c>
      <c r="JY67" s="42">
        <v>689</v>
      </c>
      <c r="JZ67" s="42">
        <v>208</v>
      </c>
      <c r="KA67" s="42">
        <v>142</v>
      </c>
      <c r="KB67" s="42"/>
      <c r="KC67" s="42">
        <v>5</v>
      </c>
      <c r="KD67" s="42">
        <v>322</v>
      </c>
      <c r="KE67" s="42">
        <v>359</v>
      </c>
      <c r="KF67" s="42">
        <v>500</v>
      </c>
      <c r="KG67" s="42">
        <v>0</v>
      </c>
      <c r="KH67" s="42">
        <v>14</v>
      </c>
      <c r="KI67" s="42">
        <v>2578</v>
      </c>
      <c r="KJ67" s="984">
        <f t="shared" si="1"/>
        <v>0.55283446712018136</v>
      </c>
      <c r="KK67" s="42"/>
      <c r="KL67" s="354"/>
      <c r="KM67" s="354"/>
      <c r="KN67" s="354" t="s">
        <v>55</v>
      </c>
      <c r="KO67" s="985">
        <v>152</v>
      </c>
      <c r="KP67" s="985">
        <v>77</v>
      </c>
      <c r="KQ67" s="985" t="s">
        <v>315</v>
      </c>
      <c r="KR67" s="985">
        <v>123</v>
      </c>
      <c r="KS67" s="985">
        <v>609</v>
      </c>
      <c r="KT67" s="985">
        <v>200</v>
      </c>
      <c r="KU67" s="985">
        <v>137</v>
      </c>
      <c r="KV67" s="985" t="s">
        <v>315</v>
      </c>
      <c r="KW67" s="985">
        <v>9</v>
      </c>
      <c r="KX67" s="985">
        <v>358</v>
      </c>
      <c r="KY67" s="985">
        <v>522</v>
      </c>
      <c r="KZ67" s="985" t="s">
        <v>315</v>
      </c>
      <c r="LA67" s="985">
        <v>2187</v>
      </c>
      <c r="LB67" s="985">
        <f t="shared" si="2"/>
        <v>1167</v>
      </c>
      <c r="LC67" s="986">
        <f t="shared" si="3"/>
        <v>0.53360768175582995</v>
      </c>
      <c r="LD67" s="42"/>
      <c r="LE67" s="42"/>
    </row>
    <row r="68" spans="1:317">
      <c r="A68" s="6291">
        <v>3</v>
      </c>
      <c r="B68" s="6291">
        <v>4</v>
      </c>
      <c r="C68" s="6291">
        <v>88</v>
      </c>
      <c r="D68" s="6292">
        <v>623</v>
      </c>
      <c r="E68" s="6291">
        <v>2</v>
      </c>
      <c r="F68" s="6291">
        <v>132</v>
      </c>
      <c r="G68" s="6291">
        <v>35</v>
      </c>
      <c r="H68" s="6291">
        <v>41</v>
      </c>
      <c r="I68" s="6291">
        <v>1</v>
      </c>
      <c r="J68" s="6291">
        <v>4</v>
      </c>
      <c r="K68" s="6291">
        <v>89</v>
      </c>
      <c r="L68" s="6293"/>
      <c r="M68" s="6291">
        <v>52</v>
      </c>
      <c r="N68" s="6291">
        <v>8</v>
      </c>
      <c r="O68" s="6293"/>
      <c r="P68" s="6291">
        <v>259</v>
      </c>
      <c r="Q68" s="6294">
        <f t="shared" si="4"/>
        <v>0.6420545746388443</v>
      </c>
      <c r="S68" s="6295">
        <v>3</v>
      </c>
      <c r="T68" s="6295">
        <v>3</v>
      </c>
      <c r="U68" s="6295">
        <v>75</v>
      </c>
      <c r="V68" s="6295">
        <v>1268</v>
      </c>
      <c r="W68" s="6295">
        <v>3</v>
      </c>
      <c r="X68" s="6295">
        <v>99</v>
      </c>
      <c r="Y68" s="6295">
        <v>75</v>
      </c>
      <c r="Z68" s="6295">
        <v>19</v>
      </c>
      <c r="AA68" s="6296"/>
      <c r="AB68" s="6295">
        <v>11</v>
      </c>
      <c r="AC68" s="6295">
        <v>416</v>
      </c>
      <c r="AD68" s="6296"/>
      <c r="AE68" s="6295">
        <v>105</v>
      </c>
      <c r="AF68" s="6295">
        <v>67</v>
      </c>
      <c r="AG68" s="6296"/>
      <c r="AH68" s="6295">
        <v>473</v>
      </c>
      <c r="AI68" s="6294">
        <f t="shared" si="5"/>
        <v>0.78391167192429023</v>
      </c>
      <c r="AJ68" s="6295"/>
      <c r="AK68" s="6297">
        <v>3</v>
      </c>
      <c r="AL68" s="6297">
        <v>3</v>
      </c>
      <c r="AM68" s="6297">
        <v>75</v>
      </c>
      <c r="AN68" s="6298">
        <v>1268</v>
      </c>
      <c r="AO68" s="6297">
        <v>5</v>
      </c>
      <c r="AP68" s="6297">
        <v>99</v>
      </c>
      <c r="AQ68" s="6297">
        <v>92</v>
      </c>
      <c r="AR68" s="6297">
        <v>19</v>
      </c>
      <c r="AS68" s="6299"/>
      <c r="AT68" s="6297">
        <v>11</v>
      </c>
      <c r="AU68" s="6299"/>
      <c r="AV68" s="6297">
        <v>413</v>
      </c>
      <c r="AW68" s="6297">
        <v>107</v>
      </c>
      <c r="AX68" s="6299"/>
      <c r="AY68" s="6297">
        <v>66</v>
      </c>
      <c r="AZ68" s="6299"/>
      <c r="BA68" s="6299"/>
      <c r="BB68" s="6297">
        <v>456</v>
      </c>
      <c r="BC68" s="6300">
        <f t="shared" si="6"/>
        <v>0.7697160883280757</v>
      </c>
      <c r="BE68" s="6313">
        <v>3</v>
      </c>
      <c r="BF68" s="6313">
        <v>3</v>
      </c>
      <c r="BG68" s="6313">
        <v>75</v>
      </c>
      <c r="BH68" s="4405" t="s">
        <v>53</v>
      </c>
      <c r="BI68" s="6314">
        <v>1261</v>
      </c>
      <c r="BJ68" s="6313">
        <v>4</v>
      </c>
      <c r="BK68" s="6313">
        <v>125</v>
      </c>
      <c r="BL68" s="6313">
        <v>62</v>
      </c>
      <c r="BM68" s="6313">
        <v>17</v>
      </c>
      <c r="BN68" s="6303"/>
      <c r="BO68" s="6313">
        <v>13</v>
      </c>
      <c r="BP68" s="6313">
        <v>1</v>
      </c>
      <c r="BQ68" s="6313">
        <v>373</v>
      </c>
      <c r="BR68" s="6303"/>
      <c r="BS68" s="6313">
        <v>132</v>
      </c>
      <c r="BT68" s="6313">
        <v>39</v>
      </c>
      <c r="BU68" s="6303"/>
      <c r="BV68" s="6303"/>
      <c r="BW68" s="6313">
        <v>495</v>
      </c>
      <c r="BX68" s="6300">
        <f t="shared" si="16"/>
        <v>0.79365079365079361</v>
      </c>
      <c r="BZ68" s="4388"/>
      <c r="CA68" s="4388"/>
      <c r="CB68" s="4388" t="s">
        <v>53</v>
      </c>
      <c r="CC68" s="4231">
        <v>88</v>
      </c>
      <c r="CD68" s="4231">
        <v>42</v>
      </c>
      <c r="CE68" s="4231"/>
      <c r="CF68" s="4231">
        <v>17</v>
      </c>
      <c r="CG68" s="4231">
        <v>480</v>
      </c>
      <c r="CH68" s="4231">
        <v>125</v>
      </c>
      <c r="CI68" s="4231">
        <v>13</v>
      </c>
      <c r="CJ68" s="4231">
        <v>0</v>
      </c>
      <c r="CK68" s="4231">
        <v>0</v>
      </c>
      <c r="CL68" s="4231">
        <v>3</v>
      </c>
      <c r="CM68" s="4231">
        <v>368</v>
      </c>
      <c r="CN68" s="4231"/>
      <c r="CO68" s="4231">
        <v>128</v>
      </c>
      <c r="CP68" s="4231">
        <v>1</v>
      </c>
      <c r="CQ68" s="4231">
        <v>1265</v>
      </c>
      <c r="CR68" s="6304">
        <f t="shared" si="7"/>
        <v>0.76977848101265822</v>
      </c>
      <c r="CS68" s="4238">
        <f t="shared" si="8"/>
        <v>4</v>
      </c>
      <c r="CT68" s="6305">
        <v>1261</v>
      </c>
      <c r="CU68" s="6316"/>
      <c r="CX68" s="42" t="s">
        <v>54</v>
      </c>
      <c r="CY68" s="42">
        <v>42</v>
      </c>
      <c r="CZ68" s="42">
        <v>31</v>
      </c>
      <c r="DB68" s="42">
        <v>73</v>
      </c>
      <c r="DC68" s="42">
        <v>885</v>
      </c>
      <c r="DD68" s="42">
        <v>214</v>
      </c>
      <c r="DE68" s="42">
        <v>123</v>
      </c>
      <c r="DG68" s="42">
        <v>3</v>
      </c>
      <c r="DH68" s="42">
        <v>10</v>
      </c>
      <c r="DI68" s="42">
        <v>126</v>
      </c>
      <c r="DK68" s="42">
        <v>198</v>
      </c>
      <c r="DL68" s="42">
        <v>3</v>
      </c>
      <c r="DM68" s="893">
        <v>1708</v>
      </c>
      <c r="DN68" s="6306">
        <f t="shared" si="17"/>
        <v>0.71847507331378302</v>
      </c>
      <c r="DP68" s="4263"/>
      <c r="DQ68" s="4263"/>
      <c r="DR68" s="4258" t="s">
        <v>54</v>
      </c>
      <c r="DS68" s="4263">
        <v>173</v>
      </c>
      <c r="DT68" s="4263">
        <v>84</v>
      </c>
      <c r="DU68" s="4263">
        <v>0</v>
      </c>
      <c r="DV68" s="4263">
        <v>69</v>
      </c>
      <c r="DW68" s="4263">
        <v>637</v>
      </c>
      <c r="DX68" s="4263">
        <v>260</v>
      </c>
      <c r="DY68" s="4263">
        <v>66</v>
      </c>
      <c r="DZ68" s="4263"/>
      <c r="EA68" s="4263">
        <v>3</v>
      </c>
      <c r="EB68" s="4263">
        <v>18</v>
      </c>
      <c r="EC68" s="4263">
        <v>193</v>
      </c>
      <c r="ED68" s="4263"/>
      <c r="EE68" s="4263">
        <v>238</v>
      </c>
      <c r="EF68" s="4263">
        <v>1</v>
      </c>
      <c r="EG68" s="4263">
        <v>1742</v>
      </c>
      <c r="EH68" s="6307">
        <f t="shared" si="9"/>
        <v>0.62607696726019524</v>
      </c>
      <c r="EL68" s="42" t="s">
        <v>54</v>
      </c>
      <c r="EM68" s="97">
        <v>125</v>
      </c>
      <c r="EN68" s="97">
        <v>56</v>
      </c>
      <c r="EO68" s="97"/>
      <c r="EP68" s="97">
        <v>0</v>
      </c>
      <c r="EQ68" s="97">
        <v>740</v>
      </c>
      <c r="ER68" s="97">
        <v>206</v>
      </c>
      <c r="ES68" s="97">
        <v>52</v>
      </c>
      <c r="ET68" s="97"/>
      <c r="EU68" s="97">
        <v>1</v>
      </c>
      <c r="EV68" s="97">
        <v>13</v>
      </c>
      <c r="EW68" s="97">
        <v>200</v>
      </c>
      <c r="EX68" s="97"/>
      <c r="EY68" s="97">
        <v>236</v>
      </c>
      <c r="EZ68" s="97">
        <v>1</v>
      </c>
      <c r="FA68" s="97">
        <v>1630</v>
      </c>
      <c r="FB68" s="6315">
        <f t="shared" si="10"/>
        <v>0.7034990791896869</v>
      </c>
      <c r="FD68" s="42"/>
      <c r="FE68" s="42"/>
      <c r="FF68" s="42" t="s">
        <v>54</v>
      </c>
      <c r="FG68" s="97">
        <v>108</v>
      </c>
      <c r="FH68" s="97">
        <v>62</v>
      </c>
      <c r="FI68" s="97">
        <v>0</v>
      </c>
      <c r="FJ68" s="97">
        <v>66</v>
      </c>
      <c r="FK68" s="97">
        <v>713</v>
      </c>
      <c r="FL68" s="97">
        <v>192</v>
      </c>
      <c r="FM68" s="97">
        <v>65</v>
      </c>
      <c r="FN68" s="97">
        <v>1</v>
      </c>
      <c r="FO68" s="97">
        <v>3</v>
      </c>
      <c r="FP68" s="97">
        <v>8</v>
      </c>
      <c r="FQ68" s="97">
        <v>207</v>
      </c>
      <c r="FR68" s="97"/>
      <c r="FS68" s="97">
        <v>220</v>
      </c>
      <c r="FT68" s="97">
        <v>2</v>
      </c>
      <c r="FU68" s="97">
        <v>1647</v>
      </c>
      <c r="FV68" s="6308">
        <f t="shared" si="0"/>
        <v>0.67598784194528871</v>
      </c>
      <c r="FW68" s="6322"/>
      <c r="FX68" s="42"/>
      <c r="FY68" s="42"/>
      <c r="FZ68" s="42" t="s">
        <v>54</v>
      </c>
      <c r="GA68" s="97">
        <v>122</v>
      </c>
      <c r="GB68" s="97">
        <v>60</v>
      </c>
      <c r="GC68" s="97"/>
      <c r="GD68" s="97">
        <v>71</v>
      </c>
      <c r="GE68" s="97">
        <v>764</v>
      </c>
      <c r="GF68" s="97">
        <v>188</v>
      </c>
      <c r="GG68" s="97">
        <v>84</v>
      </c>
      <c r="GH68" s="97"/>
      <c r="GI68" s="97">
        <v>3</v>
      </c>
      <c r="GJ68" s="97">
        <v>8</v>
      </c>
      <c r="GK68" s="97">
        <v>157</v>
      </c>
      <c r="GL68" s="97"/>
      <c r="GM68" s="97">
        <v>215</v>
      </c>
      <c r="GN68" s="97">
        <v>2</v>
      </c>
      <c r="GO68" s="97">
        <v>1674</v>
      </c>
      <c r="GP68" s="6308">
        <f t="shared" si="11"/>
        <v>0.66327751196172247</v>
      </c>
      <c r="GR68" s="6280"/>
      <c r="GS68" s="6280"/>
      <c r="GT68" s="6310" t="s">
        <v>54</v>
      </c>
      <c r="GU68" s="6311">
        <v>100</v>
      </c>
      <c r="GV68" s="6311">
        <v>55</v>
      </c>
      <c r="GW68" s="6312"/>
      <c r="GX68" s="6311">
        <v>78</v>
      </c>
      <c r="GY68" s="6311">
        <v>802</v>
      </c>
      <c r="GZ68" s="6311">
        <v>202</v>
      </c>
      <c r="HA68" s="6311">
        <v>90</v>
      </c>
      <c r="HB68" s="6312"/>
      <c r="HC68" s="6311">
        <v>3</v>
      </c>
      <c r="HD68" s="6311">
        <v>14</v>
      </c>
      <c r="HE68" s="6311">
        <v>151</v>
      </c>
      <c r="HF68" s="6312"/>
      <c r="HG68" s="6311">
        <v>230</v>
      </c>
      <c r="HH68" s="6311">
        <v>1</v>
      </c>
      <c r="HI68" s="6311">
        <v>1726</v>
      </c>
      <c r="HJ68" s="467">
        <f t="shared" si="12"/>
        <v>0.66956521739130437</v>
      </c>
      <c r="HL68" s="967"/>
      <c r="HM68" s="967"/>
      <c r="HN68" s="977" t="s">
        <v>54</v>
      </c>
      <c r="HO68" s="978">
        <v>106</v>
      </c>
      <c r="HP68" s="978">
        <v>62</v>
      </c>
      <c r="HQ68" s="978">
        <v>0</v>
      </c>
      <c r="HR68" s="978">
        <v>111</v>
      </c>
      <c r="HS68" s="978">
        <v>818</v>
      </c>
      <c r="HT68" s="978">
        <v>208</v>
      </c>
      <c r="HU68" s="978">
        <v>97</v>
      </c>
      <c r="HV68" s="967"/>
      <c r="HW68" s="978">
        <v>1</v>
      </c>
      <c r="HX68" s="978">
        <v>13</v>
      </c>
      <c r="HY68" s="978">
        <v>158</v>
      </c>
      <c r="HZ68" s="978">
        <v>322</v>
      </c>
      <c r="IA68" s="978">
        <v>0</v>
      </c>
      <c r="IB68" s="978">
        <v>1896</v>
      </c>
      <c r="IC68" s="467">
        <f t="shared" si="13"/>
        <v>0.62447257383966248</v>
      </c>
      <c r="IE68" s="577"/>
      <c r="IF68" s="577"/>
      <c r="IG68" s="979" t="s">
        <v>54</v>
      </c>
      <c r="IH68" s="980">
        <v>87</v>
      </c>
      <c r="II68" s="980">
        <v>75</v>
      </c>
      <c r="IJ68" s="577"/>
      <c r="IK68" s="980">
        <v>111</v>
      </c>
      <c r="IL68" s="980">
        <v>795</v>
      </c>
      <c r="IM68" s="980">
        <v>240</v>
      </c>
      <c r="IN68" s="980">
        <v>92</v>
      </c>
      <c r="IO68" s="577"/>
      <c r="IP68" s="577"/>
      <c r="IQ68" s="980">
        <v>6</v>
      </c>
      <c r="IR68" s="980">
        <v>166</v>
      </c>
      <c r="IS68" s="980">
        <v>349</v>
      </c>
      <c r="IT68" s="980">
        <v>0</v>
      </c>
      <c r="IU68" s="980">
        <v>1921</v>
      </c>
      <c r="IV68" s="467">
        <f t="shared" si="14"/>
        <v>0.62519521082769391</v>
      </c>
      <c r="IX68" s="742"/>
      <c r="IY68" s="742"/>
      <c r="IZ68" s="981" t="s">
        <v>56</v>
      </c>
      <c r="JA68" s="982">
        <v>61</v>
      </c>
      <c r="JB68" s="982">
        <v>16</v>
      </c>
      <c r="JC68" s="982">
        <v>0</v>
      </c>
      <c r="JD68" s="982">
        <v>130</v>
      </c>
      <c r="JE68" s="982">
        <v>235</v>
      </c>
      <c r="JF68" s="982">
        <v>127</v>
      </c>
      <c r="JG68" s="982">
        <v>69</v>
      </c>
      <c r="JH68" s="982">
        <v>0</v>
      </c>
      <c r="JI68" s="982">
        <v>2</v>
      </c>
      <c r="JJ68" s="982">
        <v>105</v>
      </c>
      <c r="JK68" s="982">
        <v>217</v>
      </c>
      <c r="JL68" s="982">
        <v>231</v>
      </c>
      <c r="JM68" s="982">
        <v>35</v>
      </c>
      <c r="JN68" s="982">
        <v>10</v>
      </c>
      <c r="JO68" s="982">
        <v>1238</v>
      </c>
      <c r="JP68" s="983">
        <f t="shared" si="15"/>
        <v>0.4619188921859545</v>
      </c>
      <c r="JR68" s="97"/>
      <c r="JS68" s="97"/>
      <c r="JT68" s="42" t="s">
        <v>56</v>
      </c>
      <c r="JU68" s="42">
        <v>49</v>
      </c>
      <c r="JV68" s="42">
        <v>17</v>
      </c>
      <c r="JW68" s="42"/>
      <c r="JX68" s="42">
        <v>118</v>
      </c>
      <c r="JY68" s="42">
        <v>184</v>
      </c>
      <c r="JZ68" s="42">
        <v>118</v>
      </c>
      <c r="KA68" s="42">
        <v>40</v>
      </c>
      <c r="KB68" s="42"/>
      <c r="KC68" s="42">
        <v>0</v>
      </c>
      <c r="KD68" s="42">
        <v>88</v>
      </c>
      <c r="KE68" s="42">
        <v>208</v>
      </c>
      <c r="KF68" s="42">
        <v>257</v>
      </c>
      <c r="KG68" s="42">
        <v>35</v>
      </c>
      <c r="KH68" s="42">
        <v>12</v>
      </c>
      <c r="KI68" s="42">
        <v>1126</v>
      </c>
      <c r="KJ68" s="984">
        <f t="shared" si="1"/>
        <v>0.43046357615894038</v>
      </c>
      <c r="KK68" s="42"/>
      <c r="KL68" s="354"/>
      <c r="KM68" s="354"/>
      <c r="KN68" s="354" t="s">
        <v>56</v>
      </c>
      <c r="KO68" s="985">
        <v>32</v>
      </c>
      <c r="KP68" s="985">
        <v>18</v>
      </c>
      <c r="KQ68" s="985" t="s">
        <v>315</v>
      </c>
      <c r="KR68" s="985">
        <v>97</v>
      </c>
      <c r="KS68" s="985">
        <v>160</v>
      </c>
      <c r="KT68" s="985">
        <v>84</v>
      </c>
      <c r="KU68" s="985">
        <v>51</v>
      </c>
      <c r="KV68" s="985" t="s">
        <v>315</v>
      </c>
      <c r="KW68" s="985">
        <v>2</v>
      </c>
      <c r="KX68" s="985">
        <v>107</v>
      </c>
      <c r="KY68" s="985">
        <v>242</v>
      </c>
      <c r="KZ68" s="985">
        <v>23</v>
      </c>
      <c r="LA68" s="985">
        <v>816</v>
      </c>
      <c r="LB68" s="985">
        <f t="shared" si="2"/>
        <v>351</v>
      </c>
      <c r="LC68" s="986">
        <f t="shared" si="3"/>
        <v>0.43014705882352944</v>
      </c>
      <c r="LD68" s="42"/>
      <c r="LE68" s="42"/>
    </row>
    <row r="69" spans="1:317">
      <c r="A69" s="6291">
        <v>4</v>
      </c>
      <c r="B69" s="6291">
        <v>2</v>
      </c>
      <c r="C69" s="6291">
        <v>128</v>
      </c>
      <c r="D69" s="6292">
        <v>378</v>
      </c>
      <c r="E69" s="6291">
        <v>11</v>
      </c>
      <c r="F69" s="6291">
        <v>65</v>
      </c>
      <c r="G69" s="6291">
        <v>36</v>
      </c>
      <c r="H69" s="6291">
        <v>11</v>
      </c>
      <c r="I69" s="6293"/>
      <c r="J69" s="6291">
        <v>2</v>
      </c>
      <c r="K69" s="6291">
        <v>42</v>
      </c>
      <c r="L69" s="6291">
        <v>7</v>
      </c>
      <c r="M69" s="6291">
        <v>29</v>
      </c>
      <c r="N69" s="6291">
        <v>27</v>
      </c>
      <c r="O69" s="6293"/>
      <c r="P69" s="6291">
        <v>148</v>
      </c>
      <c r="Q69" s="6294">
        <f t="shared" si="4"/>
        <v>0.57936507936507942</v>
      </c>
      <c r="S69" s="6295">
        <v>3</v>
      </c>
      <c r="T69" s="6295">
        <v>3</v>
      </c>
      <c r="U69" s="6295">
        <v>76</v>
      </c>
      <c r="V69" s="6295">
        <v>1877</v>
      </c>
      <c r="W69" s="6295">
        <v>10</v>
      </c>
      <c r="X69" s="6295">
        <v>225</v>
      </c>
      <c r="Y69" s="6295">
        <v>132</v>
      </c>
      <c r="Z69" s="6295">
        <v>70</v>
      </c>
      <c r="AA69" s="6295">
        <v>2</v>
      </c>
      <c r="AB69" s="6295">
        <v>28</v>
      </c>
      <c r="AC69" s="6295">
        <v>351</v>
      </c>
      <c r="AD69" s="6296"/>
      <c r="AE69" s="6295">
        <v>266</v>
      </c>
      <c r="AF69" s="6295">
        <v>129</v>
      </c>
      <c r="AG69" s="6296"/>
      <c r="AH69" s="6295">
        <v>664</v>
      </c>
      <c r="AI69" s="6294">
        <f t="shared" si="5"/>
        <v>0.68247202983484279</v>
      </c>
      <c r="AJ69" s="6295"/>
      <c r="AK69" s="6297">
        <v>3</v>
      </c>
      <c r="AL69" s="6297">
        <v>3</v>
      </c>
      <c r="AM69" s="6297">
        <v>76</v>
      </c>
      <c r="AN69" s="6298">
        <v>1878</v>
      </c>
      <c r="AO69" s="6297">
        <v>13</v>
      </c>
      <c r="AP69" s="6297">
        <v>226</v>
      </c>
      <c r="AQ69" s="6297">
        <v>200</v>
      </c>
      <c r="AR69" s="6297">
        <v>70</v>
      </c>
      <c r="AS69" s="6297">
        <v>2</v>
      </c>
      <c r="AT69" s="6297">
        <v>28</v>
      </c>
      <c r="AU69" s="6297">
        <v>1</v>
      </c>
      <c r="AV69" s="6297">
        <v>337</v>
      </c>
      <c r="AW69" s="6297">
        <v>228</v>
      </c>
      <c r="AX69" s="6299"/>
      <c r="AY69" s="6297">
        <v>123</v>
      </c>
      <c r="AZ69" s="6299"/>
      <c r="BA69" s="6299"/>
      <c r="BB69" s="6297">
        <v>650</v>
      </c>
      <c r="BC69" s="6300">
        <f t="shared" si="6"/>
        <v>0.64730953649440592</v>
      </c>
      <c r="BE69" s="6313">
        <v>3</v>
      </c>
      <c r="BF69" s="6313">
        <v>3</v>
      </c>
      <c r="BG69" s="6313">
        <v>76</v>
      </c>
      <c r="BH69" s="4405" t="s">
        <v>54</v>
      </c>
      <c r="BI69" s="6314">
        <v>1807</v>
      </c>
      <c r="BJ69" s="6313">
        <v>18</v>
      </c>
      <c r="BK69" s="6313">
        <v>257</v>
      </c>
      <c r="BL69" s="6313">
        <v>163</v>
      </c>
      <c r="BM69" s="6313">
        <v>71</v>
      </c>
      <c r="BN69" s="6313">
        <v>3</v>
      </c>
      <c r="BO69" s="6313">
        <v>29</v>
      </c>
      <c r="BP69" s="6313">
        <v>1</v>
      </c>
      <c r="BQ69" s="6313">
        <v>265</v>
      </c>
      <c r="BR69" s="6303"/>
      <c r="BS69" s="6313">
        <v>275</v>
      </c>
      <c r="BT69" s="6313">
        <v>79</v>
      </c>
      <c r="BU69" s="6303"/>
      <c r="BV69" s="6303"/>
      <c r="BW69" s="6313">
        <v>646</v>
      </c>
      <c r="BX69" s="6300">
        <f t="shared" si="16"/>
        <v>0.6566998892580288</v>
      </c>
      <c r="BZ69" s="4388"/>
      <c r="CA69" s="4388"/>
      <c r="CB69" s="4388" t="s">
        <v>54</v>
      </c>
      <c r="CC69" s="4231">
        <v>222</v>
      </c>
      <c r="CD69" s="4231">
        <v>82</v>
      </c>
      <c r="CE69" s="4231"/>
      <c r="CF69" s="4231">
        <v>68</v>
      </c>
      <c r="CG69" s="4231">
        <v>631</v>
      </c>
      <c r="CH69" s="4231">
        <v>234</v>
      </c>
      <c r="CI69" s="4231">
        <v>28</v>
      </c>
      <c r="CJ69" s="4231">
        <v>0</v>
      </c>
      <c r="CK69" s="4231">
        <v>3</v>
      </c>
      <c r="CL69" s="4231">
        <v>21</v>
      </c>
      <c r="CM69" s="4231">
        <v>257</v>
      </c>
      <c r="CN69" s="4231"/>
      <c r="CO69" s="4231">
        <v>262</v>
      </c>
      <c r="CP69" s="4231">
        <v>1</v>
      </c>
      <c r="CQ69" s="4231">
        <v>1809</v>
      </c>
      <c r="CR69" s="6304">
        <f t="shared" si="7"/>
        <v>0.62057522123893805</v>
      </c>
      <c r="CS69" s="4238">
        <f t="shared" si="8"/>
        <v>3</v>
      </c>
      <c r="CT69" s="6305">
        <v>1806</v>
      </c>
      <c r="CU69" s="6316"/>
      <c r="CX69" s="42" t="s">
        <v>55</v>
      </c>
      <c r="CY69" s="42">
        <v>97</v>
      </c>
      <c r="CZ69" s="42">
        <v>45</v>
      </c>
      <c r="DB69" s="42">
        <v>76</v>
      </c>
      <c r="DC69" s="42">
        <v>640</v>
      </c>
      <c r="DD69" s="42">
        <v>134</v>
      </c>
      <c r="DE69" s="42">
        <v>149</v>
      </c>
      <c r="DG69" s="42">
        <v>0</v>
      </c>
      <c r="DH69" s="42">
        <v>3</v>
      </c>
      <c r="DI69" s="42">
        <v>271</v>
      </c>
      <c r="DK69" s="42">
        <v>226</v>
      </c>
      <c r="DL69" s="42">
        <v>2</v>
      </c>
      <c r="DM69" s="893">
        <v>1643</v>
      </c>
      <c r="DN69" s="6306">
        <f t="shared" si="17"/>
        <v>0.63680682510664233</v>
      </c>
      <c r="DP69" s="4263"/>
      <c r="DQ69" s="4263"/>
      <c r="DR69" s="4258" t="s">
        <v>55</v>
      </c>
      <c r="DS69" s="4263">
        <v>328</v>
      </c>
      <c r="DT69" s="4263">
        <v>86</v>
      </c>
      <c r="DU69" s="4263">
        <v>0</v>
      </c>
      <c r="DV69" s="4263">
        <v>84</v>
      </c>
      <c r="DW69" s="4263">
        <v>461</v>
      </c>
      <c r="DX69" s="4263">
        <v>154</v>
      </c>
      <c r="DY69" s="4263">
        <v>49</v>
      </c>
      <c r="DZ69" s="4263"/>
      <c r="EA69" s="4263">
        <v>0</v>
      </c>
      <c r="EB69" s="4263">
        <v>5</v>
      </c>
      <c r="EC69" s="4263">
        <v>250</v>
      </c>
      <c r="ED69" s="4263"/>
      <c r="EE69" s="4263">
        <v>271</v>
      </c>
      <c r="EF69" s="4263">
        <v>2</v>
      </c>
      <c r="EG69" s="4263">
        <v>1690</v>
      </c>
      <c r="EH69" s="6307">
        <f t="shared" si="9"/>
        <v>0.51244075829383884</v>
      </c>
      <c r="EL69" s="42" t="s">
        <v>55</v>
      </c>
      <c r="EM69" s="97">
        <v>255</v>
      </c>
      <c r="EN69" s="97">
        <v>74</v>
      </c>
      <c r="EO69" s="97"/>
      <c r="EP69" s="97">
        <v>0</v>
      </c>
      <c r="EQ69" s="97">
        <v>522</v>
      </c>
      <c r="ER69" s="97">
        <v>133</v>
      </c>
      <c r="ES69" s="97">
        <v>79</v>
      </c>
      <c r="ET69" s="97"/>
      <c r="EU69" s="97">
        <v>0</v>
      </c>
      <c r="EV69" s="97">
        <v>11</v>
      </c>
      <c r="EW69" s="97">
        <v>231</v>
      </c>
      <c r="EX69" s="97"/>
      <c r="EY69" s="97">
        <v>260</v>
      </c>
      <c r="EZ69" s="97">
        <v>0</v>
      </c>
      <c r="FA69" s="97">
        <v>1565</v>
      </c>
      <c r="FB69" s="6315">
        <f t="shared" si="10"/>
        <v>0.56613418530351434</v>
      </c>
      <c r="FD69" s="42"/>
      <c r="FE69" s="42"/>
      <c r="FF69" s="42" t="s">
        <v>55</v>
      </c>
      <c r="FG69" s="97">
        <v>239</v>
      </c>
      <c r="FH69" s="97">
        <v>65</v>
      </c>
      <c r="FI69" s="97">
        <v>0</v>
      </c>
      <c r="FJ69" s="97">
        <v>82</v>
      </c>
      <c r="FK69" s="97">
        <v>520</v>
      </c>
      <c r="FL69" s="97">
        <v>144</v>
      </c>
      <c r="FM69" s="97">
        <v>88</v>
      </c>
      <c r="FN69" s="97">
        <v>1</v>
      </c>
      <c r="FO69" s="97">
        <v>0</v>
      </c>
      <c r="FP69" s="97">
        <v>2</v>
      </c>
      <c r="FQ69" s="97">
        <v>278</v>
      </c>
      <c r="FR69" s="97"/>
      <c r="FS69" s="97">
        <v>261</v>
      </c>
      <c r="FT69" s="97">
        <v>2</v>
      </c>
      <c r="FU69" s="97">
        <v>1682</v>
      </c>
      <c r="FV69" s="6308">
        <f t="shared" si="0"/>
        <v>0.56071428571428572</v>
      </c>
      <c r="FW69" s="6322"/>
      <c r="FX69" s="42"/>
      <c r="FY69" s="42"/>
      <c r="FZ69" s="42" t="s">
        <v>55</v>
      </c>
      <c r="GA69" s="97">
        <v>160</v>
      </c>
      <c r="GB69" s="97">
        <v>87</v>
      </c>
      <c r="GC69" s="97"/>
      <c r="GD69" s="97">
        <v>73</v>
      </c>
      <c r="GE69" s="97">
        <v>553</v>
      </c>
      <c r="GF69" s="97">
        <v>145</v>
      </c>
      <c r="GG69" s="97">
        <v>97</v>
      </c>
      <c r="GH69" s="97"/>
      <c r="GI69" s="97">
        <v>0</v>
      </c>
      <c r="GJ69" s="97">
        <v>5</v>
      </c>
      <c r="GK69" s="97">
        <v>324</v>
      </c>
      <c r="GL69" s="97"/>
      <c r="GM69" s="97">
        <v>259</v>
      </c>
      <c r="GN69" s="97">
        <v>5</v>
      </c>
      <c r="GO69" s="97">
        <v>1708</v>
      </c>
      <c r="GP69" s="6308">
        <f t="shared" si="11"/>
        <v>0.60011743981209631</v>
      </c>
      <c r="GR69" s="6280"/>
      <c r="GS69" s="6280"/>
      <c r="GT69" s="6310" t="s">
        <v>55</v>
      </c>
      <c r="GU69" s="6311">
        <v>132</v>
      </c>
      <c r="GV69" s="6311">
        <v>79</v>
      </c>
      <c r="GW69" s="6312"/>
      <c r="GX69" s="6311">
        <v>74</v>
      </c>
      <c r="GY69" s="6311">
        <v>633</v>
      </c>
      <c r="GZ69" s="6311">
        <v>140</v>
      </c>
      <c r="HA69" s="6311">
        <v>93</v>
      </c>
      <c r="HB69" s="6312"/>
      <c r="HC69" s="6311">
        <v>0</v>
      </c>
      <c r="HD69" s="6311">
        <v>8</v>
      </c>
      <c r="HE69" s="6311">
        <v>280</v>
      </c>
      <c r="HF69" s="6312"/>
      <c r="HG69" s="6311">
        <v>306</v>
      </c>
      <c r="HH69" s="6311">
        <v>4</v>
      </c>
      <c r="HI69" s="6311">
        <v>1749</v>
      </c>
      <c r="HJ69" s="467">
        <f t="shared" si="12"/>
        <v>0.60343839541547273</v>
      </c>
      <c r="HL69" s="967"/>
      <c r="HM69" s="967"/>
      <c r="HN69" s="977" t="s">
        <v>55</v>
      </c>
      <c r="HO69" s="978">
        <v>122</v>
      </c>
      <c r="HP69" s="978">
        <v>79</v>
      </c>
      <c r="HQ69" s="978">
        <v>0</v>
      </c>
      <c r="HR69" s="978">
        <v>104</v>
      </c>
      <c r="HS69" s="978">
        <v>697</v>
      </c>
      <c r="HT69" s="978">
        <v>158</v>
      </c>
      <c r="HU69" s="978">
        <v>123</v>
      </c>
      <c r="HV69" s="967"/>
      <c r="HW69" s="978">
        <v>0</v>
      </c>
      <c r="HX69" s="978">
        <v>10</v>
      </c>
      <c r="HY69" s="978">
        <v>287</v>
      </c>
      <c r="HZ69" s="978">
        <v>437</v>
      </c>
      <c r="IA69" s="978">
        <v>0</v>
      </c>
      <c r="IB69" s="978">
        <v>2017</v>
      </c>
      <c r="IC69" s="467">
        <f t="shared" si="13"/>
        <v>0.56618740704015869</v>
      </c>
      <c r="IE69" s="577"/>
      <c r="IF69" s="577"/>
      <c r="IG69" s="979" t="s">
        <v>55</v>
      </c>
      <c r="IH69" s="980">
        <v>110</v>
      </c>
      <c r="II69" s="980">
        <v>106</v>
      </c>
      <c r="IJ69" s="577"/>
      <c r="IK69" s="980">
        <v>111</v>
      </c>
      <c r="IL69" s="980">
        <v>717</v>
      </c>
      <c r="IM69" s="980">
        <v>188</v>
      </c>
      <c r="IN69" s="980">
        <v>118</v>
      </c>
      <c r="IO69" s="577"/>
      <c r="IP69" s="577"/>
      <c r="IQ69" s="980">
        <v>5</v>
      </c>
      <c r="IR69" s="980">
        <v>271</v>
      </c>
      <c r="IS69" s="980">
        <v>456</v>
      </c>
      <c r="IT69" s="980">
        <v>0</v>
      </c>
      <c r="IU69" s="980">
        <v>2082</v>
      </c>
      <c r="IV69" s="467">
        <f t="shared" si="14"/>
        <v>0.56484149855907784</v>
      </c>
      <c r="IX69" s="742"/>
      <c r="IY69" s="742"/>
      <c r="IZ69" s="981" t="s">
        <v>255</v>
      </c>
      <c r="JA69" s="982">
        <v>222</v>
      </c>
      <c r="JB69" s="982">
        <v>41</v>
      </c>
      <c r="JC69" s="982">
        <v>0</v>
      </c>
      <c r="JD69" s="982">
        <v>27</v>
      </c>
      <c r="JE69" s="982">
        <v>559</v>
      </c>
      <c r="JF69" s="982">
        <v>95</v>
      </c>
      <c r="JG69" s="982">
        <v>64</v>
      </c>
      <c r="JH69" s="982">
        <v>0</v>
      </c>
      <c r="JI69" s="982">
        <v>6</v>
      </c>
      <c r="JJ69" s="982">
        <v>258</v>
      </c>
      <c r="JK69" s="982">
        <v>455</v>
      </c>
      <c r="JL69" s="982">
        <v>279</v>
      </c>
      <c r="JM69" s="982">
        <v>0</v>
      </c>
      <c r="JN69" s="982">
        <v>2</v>
      </c>
      <c r="JO69" s="982">
        <v>2008</v>
      </c>
      <c r="JP69" s="983">
        <f t="shared" si="15"/>
        <v>0.58800773694390718</v>
      </c>
      <c r="JR69" s="97"/>
      <c r="JS69" s="97"/>
      <c r="JT69" s="42" t="s">
        <v>255</v>
      </c>
      <c r="JU69" s="42">
        <v>173</v>
      </c>
      <c r="JV69" s="42">
        <v>39</v>
      </c>
      <c r="JW69" s="42"/>
      <c r="JX69" s="42">
        <v>34</v>
      </c>
      <c r="JY69" s="42">
        <v>502</v>
      </c>
      <c r="JZ69" s="42">
        <v>107</v>
      </c>
      <c r="KA69" s="42">
        <v>81</v>
      </c>
      <c r="KB69" s="42"/>
      <c r="KC69" s="42">
        <v>7</v>
      </c>
      <c r="KD69" s="42">
        <v>278</v>
      </c>
      <c r="KE69" s="42">
        <v>429</v>
      </c>
      <c r="KF69" s="42">
        <v>268</v>
      </c>
      <c r="KG69" s="42">
        <v>0</v>
      </c>
      <c r="KH69" s="42">
        <v>3</v>
      </c>
      <c r="KI69" s="42">
        <v>1921</v>
      </c>
      <c r="KJ69" s="984">
        <f t="shared" si="1"/>
        <v>0.59570181329751515</v>
      </c>
      <c r="KK69" s="42"/>
      <c r="KL69" s="354"/>
      <c r="KM69" s="354"/>
      <c r="KN69" s="354" t="s">
        <v>255</v>
      </c>
      <c r="KO69" s="985">
        <v>215</v>
      </c>
      <c r="KP69" s="985">
        <v>29</v>
      </c>
      <c r="KQ69" s="985" t="s">
        <v>315</v>
      </c>
      <c r="KR69" s="985">
        <v>37</v>
      </c>
      <c r="KS69" s="985">
        <v>474</v>
      </c>
      <c r="KT69" s="985">
        <v>59</v>
      </c>
      <c r="KU69" s="985">
        <v>69</v>
      </c>
      <c r="KV69" s="985" t="s">
        <v>315</v>
      </c>
      <c r="KW69" s="985">
        <v>6</v>
      </c>
      <c r="KX69" s="985">
        <v>336</v>
      </c>
      <c r="KY69" s="985">
        <v>297</v>
      </c>
      <c r="KZ69" s="985" t="s">
        <v>315</v>
      </c>
      <c r="LA69" s="985">
        <v>1522</v>
      </c>
      <c r="LB69" s="985">
        <f t="shared" si="2"/>
        <v>869</v>
      </c>
      <c r="LC69" s="986">
        <f t="shared" si="3"/>
        <v>0.57095926412614983</v>
      </c>
      <c r="LD69" s="42"/>
      <c r="LE69" s="42"/>
    </row>
    <row r="70" spans="1:317">
      <c r="A70" s="6291">
        <v>4</v>
      </c>
      <c r="B70" s="6291">
        <v>2</v>
      </c>
      <c r="C70" s="6291">
        <v>129</v>
      </c>
      <c r="D70" s="6292">
        <v>145</v>
      </c>
      <c r="E70" s="6291">
        <v>7</v>
      </c>
      <c r="F70" s="6291">
        <v>15</v>
      </c>
      <c r="G70" s="6291">
        <v>32</v>
      </c>
      <c r="H70" s="6291">
        <v>1</v>
      </c>
      <c r="I70" s="6293"/>
      <c r="J70" s="6293"/>
      <c r="K70" s="6291">
        <v>9</v>
      </c>
      <c r="L70" s="6291">
        <v>1</v>
      </c>
      <c r="M70" s="6291">
        <v>8</v>
      </c>
      <c r="N70" s="6291">
        <v>15</v>
      </c>
      <c r="O70" s="6293"/>
      <c r="P70" s="6291">
        <v>57</v>
      </c>
      <c r="Q70" s="6294">
        <f t="shared" si="4"/>
        <v>0.51034482758620692</v>
      </c>
      <c r="S70" s="6295">
        <v>3</v>
      </c>
      <c r="T70" s="6295">
        <v>3</v>
      </c>
      <c r="U70" s="6295">
        <v>77</v>
      </c>
      <c r="V70" s="6295">
        <v>1739</v>
      </c>
      <c r="W70" s="6295">
        <v>6</v>
      </c>
      <c r="X70" s="6295">
        <v>227</v>
      </c>
      <c r="Y70" s="6295">
        <v>296</v>
      </c>
      <c r="Z70" s="6295">
        <v>90</v>
      </c>
      <c r="AA70" s="6296"/>
      <c r="AB70" s="6295">
        <v>16</v>
      </c>
      <c r="AC70" s="6295">
        <v>425</v>
      </c>
      <c r="AD70" s="6296"/>
      <c r="AE70" s="6295">
        <v>131</v>
      </c>
      <c r="AF70" s="6295">
        <v>136</v>
      </c>
      <c r="AG70" s="6296"/>
      <c r="AH70" s="6295">
        <v>412</v>
      </c>
      <c r="AI70" s="6294">
        <f t="shared" si="5"/>
        <v>0.55664174813110978</v>
      </c>
      <c r="AJ70" s="6295"/>
      <c r="AK70" s="6297">
        <v>3</v>
      </c>
      <c r="AL70" s="6297">
        <v>3</v>
      </c>
      <c r="AM70" s="6297">
        <v>77</v>
      </c>
      <c r="AN70" s="6298">
        <v>1742</v>
      </c>
      <c r="AO70" s="6297">
        <v>11</v>
      </c>
      <c r="AP70" s="6297">
        <v>228</v>
      </c>
      <c r="AQ70" s="6297">
        <v>357</v>
      </c>
      <c r="AR70" s="6297">
        <v>89</v>
      </c>
      <c r="AS70" s="6299"/>
      <c r="AT70" s="6297">
        <v>16</v>
      </c>
      <c r="AU70" s="6297">
        <v>3</v>
      </c>
      <c r="AV70" s="6297">
        <v>384</v>
      </c>
      <c r="AW70" s="6297">
        <v>124</v>
      </c>
      <c r="AX70" s="6299"/>
      <c r="AY70" s="6297">
        <v>134</v>
      </c>
      <c r="AZ70" s="6299"/>
      <c r="BA70" s="6299"/>
      <c r="BB70" s="6297">
        <v>396</v>
      </c>
      <c r="BC70" s="6300">
        <f t="shared" si="6"/>
        <v>0.51983898792409433</v>
      </c>
      <c r="BE70" s="6313">
        <v>3</v>
      </c>
      <c r="BF70" s="6313">
        <v>3</v>
      </c>
      <c r="BG70" s="6313">
        <v>77</v>
      </c>
      <c r="BH70" s="4405" t="s">
        <v>55</v>
      </c>
      <c r="BI70" s="6314">
        <v>1711</v>
      </c>
      <c r="BJ70" s="6313">
        <v>5</v>
      </c>
      <c r="BK70" s="6313">
        <v>277</v>
      </c>
      <c r="BL70" s="6313">
        <v>291</v>
      </c>
      <c r="BM70" s="6313">
        <v>88</v>
      </c>
      <c r="BN70" s="6313">
        <v>1</v>
      </c>
      <c r="BO70" s="6313">
        <v>16</v>
      </c>
      <c r="BP70" s="6313">
        <v>3</v>
      </c>
      <c r="BQ70" s="6313">
        <v>358</v>
      </c>
      <c r="BR70" s="6303"/>
      <c r="BS70" s="6313">
        <v>142</v>
      </c>
      <c r="BT70" s="6313">
        <v>88</v>
      </c>
      <c r="BU70" s="6303"/>
      <c r="BV70" s="6303"/>
      <c r="BW70" s="6313">
        <v>442</v>
      </c>
      <c r="BX70" s="6300">
        <f t="shared" si="16"/>
        <v>0.55152224824355967</v>
      </c>
      <c r="BZ70" s="4388"/>
      <c r="CA70" s="4388"/>
      <c r="CB70" s="4388" t="s">
        <v>55</v>
      </c>
      <c r="CC70" s="4231">
        <v>343</v>
      </c>
      <c r="CD70" s="4231">
        <v>93</v>
      </c>
      <c r="CE70" s="4231"/>
      <c r="CF70" s="4231">
        <v>87</v>
      </c>
      <c r="CG70" s="4231">
        <v>433</v>
      </c>
      <c r="CH70" s="4231">
        <v>122</v>
      </c>
      <c r="CI70" s="4231">
        <v>16</v>
      </c>
      <c r="CJ70" s="4231">
        <v>1</v>
      </c>
      <c r="CK70" s="4231">
        <v>1</v>
      </c>
      <c r="CL70" s="4231">
        <v>11</v>
      </c>
      <c r="CM70" s="4231">
        <v>334</v>
      </c>
      <c r="CN70" s="4231"/>
      <c r="CO70" s="4231">
        <v>283</v>
      </c>
      <c r="CP70" s="4231">
        <v>3</v>
      </c>
      <c r="CQ70" s="4231">
        <v>1727</v>
      </c>
      <c r="CR70" s="6304">
        <f t="shared" si="7"/>
        <v>0.51566125290023201</v>
      </c>
      <c r="CS70" s="4238">
        <f t="shared" si="8"/>
        <v>16</v>
      </c>
      <c r="CT70" s="6305">
        <v>1711</v>
      </c>
      <c r="CU70" s="6316"/>
      <c r="CX70" s="42" t="s">
        <v>56</v>
      </c>
      <c r="CY70" s="42">
        <v>22</v>
      </c>
      <c r="CZ70" s="42">
        <v>18</v>
      </c>
      <c r="DB70" s="42">
        <v>142</v>
      </c>
      <c r="DC70" s="42">
        <v>450</v>
      </c>
      <c r="DD70" s="42">
        <v>172</v>
      </c>
      <c r="DE70" s="42">
        <v>89</v>
      </c>
      <c r="DG70" s="42">
        <v>0</v>
      </c>
      <c r="DH70" s="42">
        <v>2</v>
      </c>
      <c r="DI70" s="42">
        <v>145</v>
      </c>
      <c r="DK70" s="42">
        <v>198</v>
      </c>
      <c r="DL70" s="42">
        <v>1</v>
      </c>
      <c r="DM70" s="893">
        <v>1239</v>
      </c>
      <c r="DN70" s="6306">
        <f t="shared" si="17"/>
        <v>0.61954765751211627</v>
      </c>
      <c r="DP70" s="4263"/>
      <c r="DQ70" s="4263"/>
      <c r="DR70" s="4258" t="s">
        <v>56</v>
      </c>
      <c r="DS70" s="4263">
        <v>61</v>
      </c>
      <c r="DT70" s="4263">
        <v>40</v>
      </c>
      <c r="DU70" s="4263">
        <v>1</v>
      </c>
      <c r="DV70" s="4263">
        <v>137</v>
      </c>
      <c r="DW70" s="4263">
        <v>309</v>
      </c>
      <c r="DX70" s="4263">
        <v>186</v>
      </c>
      <c r="DY70" s="4263">
        <v>37</v>
      </c>
      <c r="DZ70" s="4263"/>
      <c r="EA70" s="4263">
        <v>0</v>
      </c>
      <c r="EB70" s="4263">
        <v>1</v>
      </c>
      <c r="EC70" s="4263">
        <v>204</v>
      </c>
      <c r="ED70" s="4263"/>
      <c r="EE70" s="4263">
        <v>239</v>
      </c>
      <c r="EF70" s="4263">
        <v>1</v>
      </c>
      <c r="EG70" s="4263">
        <v>1216</v>
      </c>
      <c r="EH70" s="6307">
        <f t="shared" si="9"/>
        <v>0.57530864197530862</v>
      </c>
      <c r="EL70" s="42" t="s">
        <v>56</v>
      </c>
      <c r="EM70" s="97">
        <v>53</v>
      </c>
      <c r="EN70" s="97">
        <v>31</v>
      </c>
      <c r="EO70" s="97"/>
      <c r="EP70" s="97">
        <v>0</v>
      </c>
      <c r="EQ70" s="97">
        <v>386</v>
      </c>
      <c r="ER70" s="97">
        <v>159</v>
      </c>
      <c r="ES70" s="97">
        <v>39</v>
      </c>
      <c r="ET70" s="97"/>
      <c r="EU70" s="97">
        <v>0</v>
      </c>
      <c r="EV70" s="97">
        <v>3</v>
      </c>
      <c r="EW70" s="97">
        <v>189</v>
      </c>
      <c r="EX70" s="97"/>
      <c r="EY70" s="97">
        <v>234</v>
      </c>
      <c r="EZ70" s="97">
        <v>0</v>
      </c>
      <c r="FA70" s="97">
        <v>1094</v>
      </c>
      <c r="FB70" s="6315">
        <f t="shared" si="10"/>
        <v>0.67093235831809872</v>
      </c>
      <c r="FD70" s="42"/>
      <c r="FE70" s="42"/>
      <c r="FF70" s="42" t="s">
        <v>56</v>
      </c>
      <c r="FG70" s="97">
        <v>46</v>
      </c>
      <c r="FH70" s="97">
        <v>44</v>
      </c>
      <c r="FI70" s="97">
        <v>0</v>
      </c>
      <c r="FJ70" s="97">
        <v>144</v>
      </c>
      <c r="FK70" s="97">
        <v>378</v>
      </c>
      <c r="FL70" s="97">
        <v>169</v>
      </c>
      <c r="FM70" s="97">
        <v>46</v>
      </c>
      <c r="FN70" s="97">
        <v>2</v>
      </c>
      <c r="FO70" s="97">
        <v>0</v>
      </c>
      <c r="FP70" s="97">
        <v>1</v>
      </c>
      <c r="FQ70" s="97">
        <v>192</v>
      </c>
      <c r="FR70" s="97"/>
      <c r="FS70" s="97">
        <v>219</v>
      </c>
      <c r="FT70" s="97">
        <v>2</v>
      </c>
      <c r="FU70" s="97">
        <v>1243</v>
      </c>
      <c r="FV70" s="6308">
        <f t="shared" si="0"/>
        <v>0.59548751007252221</v>
      </c>
      <c r="FW70" s="6322"/>
      <c r="FX70" s="42"/>
      <c r="FY70" s="42"/>
      <c r="FZ70" s="42" t="s">
        <v>56</v>
      </c>
      <c r="GA70" s="97">
        <v>45</v>
      </c>
      <c r="GB70" s="97">
        <v>45</v>
      </c>
      <c r="GC70" s="97"/>
      <c r="GD70" s="97">
        <v>131</v>
      </c>
      <c r="GE70" s="97">
        <v>366</v>
      </c>
      <c r="GF70" s="97">
        <v>152</v>
      </c>
      <c r="GG70" s="97">
        <v>48</v>
      </c>
      <c r="GH70" s="97"/>
      <c r="GI70" s="97">
        <v>0</v>
      </c>
      <c r="GJ70" s="97">
        <v>5</v>
      </c>
      <c r="GK70" s="97">
        <v>182</v>
      </c>
      <c r="GL70" s="97"/>
      <c r="GM70" s="97">
        <v>203</v>
      </c>
      <c r="GN70" s="97">
        <v>3</v>
      </c>
      <c r="GO70" s="97">
        <v>1180</v>
      </c>
      <c r="GP70" s="6308">
        <f t="shared" si="11"/>
        <v>0.59473237043330496</v>
      </c>
      <c r="GR70" s="6280"/>
      <c r="GS70" s="6280"/>
      <c r="GT70" s="6310" t="s">
        <v>56</v>
      </c>
      <c r="GU70" s="6311">
        <v>44</v>
      </c>
      <c r="GV70" s="6311">
        <v>37</v>
      </c>
      <c r="GW70" s="6312"/>
      <c r="GX70" s="6311">
        <v>122</v>
      </c>
      <c r="GY70" s="6311">
        <v>352</v>
      </c>
      <c r="GZ70" s="6311">
        <v>130</v>
      </c>
      <c r="HA70" s="6311">
        <v>39</v>
      </c>
      <c r="HB70" s="6312"/>
      <c r="HC70" s="6311">
        <v>0</v>
      </c>
      <c r="HD70" s="6311">
        <v>5</v>
      </c>
      <c r="HE70" s="6311">
        <v>153</v>
      </c>
      <c r="HF70" s="6312"/>
      <c r="HG70" s="6311">
        <v>207</v>
      </c>
      <c r="HH70" s="6311">
        <v>3</v>
      </c>
      <c r="HI70" s="6311">
        <v>1092</v>
      </c>
      <c r="HJ70" s="467">
        <f t="shared" si="12"/>
        <v>0.58310376492194671</v>
      </c>
      <c r="HL70" s="967"/>
      <c r="HM70" s="967"/>
      <c r="HN70" s="977" t="s">
        <v>56</v>
      </c>
      <c r="HO70" s="978">
        <v>64</v>
      </c>
      <c r="HP70" s="978">
        <v>29</v>
      </c>
      <c r="HQ70" s="978">
        <v>1</v>
      </c>
      <c r="HR70" s="978">
        <v>144</v>
      </c>
      <c r="HS70" s="978">
        <v>300</v>
      </c>
      <c r="HT70" s="978">
        <v>119</v>
      </c>
      <c r="HU70" s="978">
        <v>41</v>
      </c>
      <c r="HV70" s="967"/>
      <c r="HW70" s="978">
        <v>0</v>
      </c>
      <c r="HX70" s="978">
        <v>1</v>
      </c>
      <c r="HY70" s="978">
        <v>130</v>
      </c>
      <c r="HZ70" s="978">
        <v>254</v>
      </c>
      <c r="IA70" s="978">
        <v>35</v>
      </c>
      <c r="IB70" s="978">
        <v>1118</v>
      </c>
      <c r="IC70" s="467">
        <f t="shared" si="13"/>
        <v>0.49105545617173524</v>
      </c>
      <c r="IE70" s="577"/>
      <c r="IF70" s="577"/>
      <c r="IG70" s="979" t="s">
        <v>56</v>
      </c>
      <c r="IH70" s="980">
        <v>39</v>
      </c>
      <c r="II70" s="980">
        <v>33</v>
      </c>
      <c r="IJ70" s="577"/>
      <c r="IK70" s="980">
        <v>130</v>
      </c>
      <c r="IL70" s="980">
        <v>262</v>
      </c>
      <c r="IM70" s="980">
        <v>118</v>
      </c>
      <c r="IN70" s="980">
        <v>48</v>
      </c>
      <c r="IO70" s="577"/>
      <c r="IP70" s="577"/>
      <c r="IQ70" s="980">
        <v>2</v>
      </c>
      <c r="IR70" s="980">
        <v>117</v>
      </c>
      <c r="IS70" s="980">
        <v>236</v>
      </c>
      <c r="IT70" s="980">
        <v>35</v>
      </c>
      <c r="IU70" s="980">
        <v>1020</v>
      </c>
      <c r="IV70" s="467">
        <f t="shared" si="14"/>
        <v>0.4872549019607843</v>
      </c>
      <c r="IX70" s="742"/>
      <c r="IY70" s="742"/>
      <c r="IZ70" s="981" t="s">
        <v>264</v>
      </c>
      <c r="JA70" s="982">
        <v>33</v>
      </c>
      <c r="JB70" s="982">
        <v>11</v>
      </c>
      <c r="JC70" s="982">
        <v>0</v>
      </c>
      <c r="JD70" s="982">
        <v>24</v>
      </c>
      <c r="JE70" s="982">
        <v>566</v>
      </c>
      <c r="JF70" s="982">
        <v>136</v>
      </c>
      <c r="JG70" s="982">
        <v>25</v>
      </c>
      <c r="JH70" s="982">
        <v>0</v>
      </c>
      <c r="JI70" s="982">
        <v>5</v>
      </c>
      <c r="JJ70" s="982">
        <v>125</v>
      </c>
      <c r="JK70" s="982">
        <v>139</v>
      </c>
      <c r="JL70" s="982">
        <v>144</v>
      </c>
      <c r="JM70" s="982">
        <v>0</v>
      </c>
      <c r="JN70" s="982">
        <v>3</v>
      </c>
      <c r="JO70" s="982">
        <v>1211</v>
      </c>
      <c r="JP70" s="983">
        <f t="shared" si="15"/>
        <v>0.77362020579981294</v>
      </c>
      <c r="JR70" s="97"/>
      <c r="JS70" s="97"/>
      <c r="JT70" s="42" t="s">
        <v>264</v>
      </c>
      <c r="JU70" s="42">
        <v>27</v>
      </c>
      <c r="JV70" s="42">
        <v>18</v>
      </c>
      <c r="JW70" s="42"/>
      <c r="JX70" s="42">
        <v>27</v>
      </c>
      <c r="JY70" s="42">
        <v>554</v>
      </c>
      <c r="JZ70" s="42">
        <v>132</v>
      </c>
      <c r="KA70" s="42">
        <v>28</v>
      </c>
      <c r="KB70" s="42"/>
      <c r="KC70" s="42">
        <v>0</v>
      </c>
      <c r="KD70" s="42">
        <v>128</v>
      </c>
      <c r="KE70" s="42">
        <v>121</v>
      </c>
      <c r="KF70" s="42">
        <v>146</v>
      </c>
      <c r="KG70" s="42">
        <v>0</v>
      </c>
      <c r="KH70" s="42">
        <v>5</v>
      </c>
      <c r="KI70" s="42">
        <v>1186</v>
      </c>
      <c r="KJ70" s="984">
        <f t="shared" si="1"/>
        <v>0.76792452830188684</v>
      </c>
      <c r="KK70" s="42"/>
      <c r="KL70" s="354"/>
      <c r="KM70" s="354"/>
      <c r="KN70" s="354" t="s">
        <v>57</v>
      </c>
      <c r="KO70" s="985">
        <v>40</v>
      </c>
      <c r="KP70" s="985">
        <v>15</v>
      </c>
      <c r="KQ70" s="985" t="s">
        <v>315</v>
      </c>
      <c r="KR70" s="985">
        <v>25</v>
      </c>
      <c r="KS70" s="985">
        <v>511</v>
      </c>
      <c r="KT70" s="985">
        <v>139</v>
      </c>
      <c r="KU70" s="985">
        <v>37</v>
      </c>
      <c r="KV70" s="985" t="s">
        <v>315</v>
      </c>
      <c r="KW70" s="985">
        <v>3</v>
      </c>
      <c r="KX70" s="985">
        <v>142</v>
      </c>
      <c r="KY70" s="985">
        <v>148</v>
      </c>
      <c r="KZ70" s="985" t="s">
        <v>315</v>
      </c>
      <c r="LA70" s="985">
        <v>1060</v>
      </c>
      <c r="LB70" s="985">
        <f t="shared" si="2"/>
        <v>792</v>
      </c>
      <c r="LC70" s="986">
        <f t="shared" si="3"/>
        <v>0.74716981132075466</v>
      </c>
      <c r="LD70" s="42"/>
      <c r="LE70" s="42"/>
    </row>
    <row r="71" spans="1:317">
      <c r="A71" s="6291">
        <v>4</v>
      </c>
      <c r="B71" s="6291">
        <v>2</v>
      </c>
      <c r="C71" s="6291">
        <v>135</v>
      </c>
      <c r="D71" s="6292">
        <v>344</v>
      </c>
      <c r="E71" s="6291">
        <v>15</v>
      </c>
      <c r="F71" s="6291">
        <v>74</v>
      </c>
      <c r="G71" s="6291">
        <v>79</v>
      </c>
      <c r="H71" s="6291">
        <v>11</v>
      </c>
      <c r="I71" s="6293"/>
      <c r="J71" s="6293"/>
      <c r="K71" s="6291">
        <v>24</v>
      </c>
      <c r="L71" s="6291">
        <v>1</v>
      </c>
      <c r="M71" s="6291">
        <v>14</v>
      </c>
      <c r="N71" s="6291">
        <v>39</v>
      </c>
      <c r="O71" s="6293"/>
      <c r="P71" s="6291">
        <v>87</v>
      </c>
      <c r="Q71" s="6294">
        <f t="shared" si="4"/>
        <v>0.36337209302325579</v>
      </c>
      <c r="S71" s="6295">
        <v>3</v>
      </c>
      <c r="T71" s="6295">
        <v>3</v>
      </c>
      <c r="U71" s="6295">
        <v>78</v>
      </c>
      <c r="V71" s="6295">
        <v>1230</v>
      </c>
      <c r="W71" s="6295">
        <v>2</v>
      </c>
      <c r="X71" s="6295">
        <v>218</v>
      </c>
      <c r="Y71" s="6295">
        <v>60</v>
      </c>
      <c r="Z71" s="6295">
        <v>118</v>
      </c>
      <c r="AA71" s="6296"/>
      <c r="AB71" s="6295">
        <v>15</v>
      </c>
      <c r="AC71" s="6295">
        <v>300</v>
      </c>
      <c r="AD71" s="6296"/>
      <c r="AE71" s="6295">
        <v>170</v>
      </c>
      <c r="AF71" s="6295">
        <v>103</v>
      </c>
      <c r="AG71" s="6296"/>
      <c r="AH71" s="6295">
        <v>244</v>
      </c>
      <c r="AI71" s="6294">
        <f t="shared" si="5"/>
        <v>0.58048780487804874</v>
      </c>
      <c r="AJ71" s="6295"/>
      <c r="AK71" s="6297">
        <v>3</v>
      </c>
      <c r="AL71" s="6297">
        <v>3</v>
      </c>
      <c r="AM71" s="6297">
        <v>78</v>
      </c>
      <c r="AN71" s="6298">
        <v>1231</v>
      </c>
      <c r="AO71" s="6297">
        <v>4</v>
      </c>
      <c r="AP71" s="6297">
        <v>218</v>
      </c>
      <c r="AQ71" s="6297">
        <v>89</v>
      </c>
      <c r="AR71" s="6297">
        <v>118</v>
      </c>
      <c r="AS71" s="6299"/>
      <c r="AT71" s="6297">
        <v>15</v>
      </c>
      <c r="AU71" s="6297">
        <v>1</v>
      </c>
      <c r="AV71" s="6297">
        <v>282</v>
      </c>
      <c r="AW71" s="6297">
        <v>162</v>
      </c>
      <c r="AX71" s="6299"/>
      <c r="AY71" s="6297">
        <v>103</v>
      </c>
      <c r="AZ71" s="6299"/>
      <c r="BA71" s="6299"/>
      <c r="BB71" s="6297">
        <v>239</v>
      </c>
      <c r="BC71" s="6300">
        <f t="shared" si="6"/>
        <v>0.55528455284552847</v>
      </c>
      <c r="BE71" s="6313">
        <v>3</v>
      </c>
      <c r="BF71" s="6313">
        <v>3</v>
      </c>
      <c r="BG71" s="6313">
        <v>78</v>
      </c>
      <c r="BH71" s="4405" t="s">
        <v>56</v>
      </c>
      <c r="BI71" s="6314">
        <v>1230</v>
      </c>
      <c r="BJ71" s="6313">
        <v>3</v>
      </c>
      <c r="BK71" s="6313">
        <v>249</v>
      </c>
      <c r="BL71" s="6313">
        <v>49</v>
      </c>
      <c r="BM71" s="6313">
        <v>134</v>
      </c>
      <c r="BN71" s="6303"/>
      <c r="BO71" s="6313">
        <v>15</v>
      </c>
      <c r="BP71" s="6313">
        <v>1</v>
      </c>
      <c r="BQ71" s="6313">
        <v>252</v>
      </c>
      <c r="BR71" s="6303"/>
      <c r="BS71" s="6313">
        <v>186</v>
      </c>
      <c r="BT71" s="6313">
        <v>48</v>
      </c>
      <c r="BU71" s="6303"/>
      <c r="BV71" s="6303"/>
      <c r="BW71" s="6313">
        <v>293</v>
      </c>
      <c r="BX71" s="6300">
        <f t="shared" si="16"/>
        <v>0.59479251423921886</v>
      </c>
      <c r="BZ71" s="4388"/>
      <c r="CA71" s="4388"/>
      <c r="CB71" s="4388" t="s">
        <v>56</v>
      </c>
      <c r="CC71" s="4231">
        <v>77</v>
      </c>
      <c r="CD71" s="4231">
        <v>43</v>
      </c>
      <c r="CE71" s="4231"/>
      <c r="CF71" s="4231">
        <v>133</v>
      </c>
      <c r="CG71" s="4231">
        <v>289</v>
      </c>
      <c r="CH71" s="4231">
        <v>173</v>
      </c>
      <c r="CI71" s="4231">
        <v>15</v>
      </c>
      <c r="CJ71" s="4231">
        <v>1</v>
      </c>
      <c r="CK71" s="4231">
        <v>0</v>
      </c>
      <c r="CL71" s="4231">
        <v>4</v>
      </c>
      <c r="CM71" s="4231">
        <v>245</v>
      </c>
      <c r="CN71" s="4231"/>
      <c r="CO71" s="4231">
        <v>250</v>
      </c>
      <c r="CP71" s="4231">
        <v>1</v>
      </c>
      <c r="CQ71" s="4231">
        <v>1231</v>
      </c>
      <c r="CR71" s="6304">
        <f t="shared" si="7"/>
        <v>0.5747967479674797</v>
      </c>
      <c r="CS71" s="4238">
        <f t="shared" si="8"/>
        <v>1</v>
      </c>
      <c r="CT71" s="6305">
        <v>1230</v>
      </c>
      <c r="CU71" s="6316"/>
      <c r="CX71" s="42" t="s">
        <v>255</v>
      </c>
      <c r="CY71" s="42">
        <v>64</v>
      </c>
      <c r="CZ71" s="42">
        <v>13</v>
      </c>
      <c r="DB71" s="42">
        <v>36</v>
      </c>
      <c r="DC71" s="42">
        <v>734</v>
      </c>
      <c r="DD71" s="42">
        <v>110</v>
      </c>
      <c r="DE71" s="42">
        <v>84</v>
      </c>
      <c r="DG71" s="42">
        <v>2</v>
      </c>
      <c r="DH71" s="42">
        <v>1</v>
      </c>
      <c r="DI71" s="42">
        <v>170</v>
      </c>
      <c r="DK71" s="42">
        <v>117</v>
      </c>
      <c r="DL71" s="42">
        <v>0</v>
      </c>
      <c r="DM71" s="893">
        <v>1331</v>
      </c>
      <c r="DN71" s="6306">
        <f t="shared" si="17"/>
        <v>0.76183320811419986</v>
      </c>
      <c r="DP71" s="4263"/>
      <c r="DQ71" s="4263"/>
      <c r="DR71" s="4258" t="s">
        <v>255</v>
      </c>
      <c r="DS71" s="4263">
        <v>195</v>
      </c>
      <c r="DT71" s="4263">
        <v>33</v>
      </c>
      <c r="DU71" s="4263">
        <v>0</v>
      </c>
      <c r="DV71" s="4263">
        <v>35</v>
      </c>
      <c r="DW71" s="4263">
        <v>469</v>
      </c>
      <c r="DX71" s="4263">
        <v>142</v>
      </c>
      <c r="DY71" s="4263">
        <v>33</v>
      </c>
      <c r="DZ71" s="4263"/>
      <c r="EA71" s="4263">
        <v>2</v>
      </c>
      <c r="EB71" s="4263">
        <v>3</v>
      </c>
      <c r="EC71" s="4263">
        <v>224</v>
      </c>
      <c r="ED71" s="4263"/>
      <c r="EE71" s="4263">
        <v>152</v>
      </c>
      <c r="EF71" s="4263">
        <v>0</v>
      </c>
      <c r="EG71" s="4263">
        <v>1288</v>
      </c>
      <c r="EH71" s="6307">
        <f t="shared" si="9"/>
        <v>0.64829192546583847</v>
      </c>
      <c r="EL71" s="42" t="s">
        <v>255</v>
      </c>
      <c r="EM71" s="97">
        <v>182</v>
      </c>
      <c r="EN71" s="97">
        <v>15</v>
      </c>
      <c r="EO71" s="97"/>
      <c r="EP71" s="97">
        <v>0</v>
      </c>
      <c r="EQ71" s="97">
        <v>579</v>
      </c>
      <c r="ER71" s="97">
        <v>93</v>
      </c>
      <c r="ES71" s="97">
        <v>51</v>
      </c>
      <c r="ET71" s="97"/>
      <c r="EU71" s="97">
        <v>0</v>
      </c>
      <c r="EV71" s="97">
        <v>11</v>
      </c>
      <c r="EW71" s="97">
        <v>223</v>
      </c>
      <c r="EX71" s="97"/>
      <c r="EY71" s="97">
        <v>141</v>
      </c>
      <c r="EZ71" s="97">
        <v>0</v>
      </c>
      <c r="FA71" s="97">
        <v>1295</v>
      </c>
      <c r="FB71" s="6315">
        <f t="shared" si="10"/>
        <v>0.69111969111969107</v>
      </c>
      <c r="FD71" s="42"/>
      <c r="FE71" s="42"/>
      <c r="FF71" s="42" t="s">
        <v>255</v>
      </c>
      <c r="FG71" s="97">
        <v>145</v>
      </c>
      <c r="FH71" s="97">
        <v>24</v>
      </c>
      <c r="FI71" s="97">
        <v>0</v>
      </c>
      <c r="FJ71" s="97">
        <v>34</v>
      </c>
      <c r="FK71" s="97">
        <v>559</v>
      </c>
      <c r="FL71" s="97">
        <v>70</v>
      </c>
      <c r="FM71" s="97">
        <v>37</v>
      </c>
      <c r="FN71" s="97">
        <v>0</v>
      </c>
      <c r="FO71" s="97">
        <v>1</v>
      </c>
      <c r="FP71" s="97">
        <v>21</v>
      </c>
      <c r="FQ71" s="97">
        <v>272</v>
      </c>
      <c r="FR71" s="97"/>
      <c r="FS71" s="97">
        <v>151</v>
      </c>
      <c r="FT71" s="97">
        <v>0</v>
      </c>
      <c r="FU71" s="97">
        <v>1314</v>
      </c>
      <c r="FV71" s="6308">
        <f t="shared" ref="FV71:FV102" si="45">+(FQ71+FL71+FK71)/(FU71-FT71-FR71)</f>
        <v>0.68569254185692541</v>
      </c>
      <c r="FW71" s="6322"/>
      <c r="FX71" s="42"/>
      <c r="FY71" s="42"/>
      <c r="FZ71" s="42" t="s">
        <v>255</v>
      </c>
      <c r="GA71" s="97">
        <v>195</v>
      </c>
      <c r="GB71" s="97">
        <v>23</v>
      </c>
      <c r="GC71" s="97"/>
      <c r="GD71" s="97">
        <v>31</v>
      </c>
      <c r="GE71" s="97">
        <v>568</v>
      </c>
      <c r="GF71" s="97">
        <v>89</v>
      </c>
      <c r="GG71" s="97">
        <v>48</v>
      </c>
      <c r="GH71" s="97"/>
      <c r="GI71" s="97">
        <v>1</v>
      </c>
      <c r="GJ71" s="97">
        <v>4</v>
      </c>
      <c r="GK71" s="97">
        <v>262</v>
      </c>
      <c r="GL71" s="97"/>
      <c r="GM71" s="97">
        <v>138</v>
      </c>
      <c r="GN71" s="97">
        <v>0</v>
      </c>
      <c r="GO71" s="97">
        <v>1359</v>
      </c>
      <c r="GP71" s="6308">
        <f t="shared" si="11"/>
        <v>0.67623252391464317</v>
      </c>
      <c r="GR71" s="6280"/>
      <c r="GS71" s="6280"/>
      <c r="GT71" s="6310" t="s">
        <v>255</v>
      </c>
      <c r="GU71" s="6311">
        <v>171</v>
      </c>
      <c r="GV71" s="6311">
        <v>26</v>
      </c>
      <c r="GW71" s="6312"/>
      <c r="GX71" s="6311">
        <v>23</v>
      </c>
      <c r="GY71" s="6311">
        <v>577</v>
      </c>
      <c r="GZ71" s="6311">
        <v>82</v>
      </c>
      <c r="HA71" s="6311">
        <v>45</v>
      </c>
      <c r="HB71" s="6312"/>
      <c r="HC71" s="6311">
        <v>0</v>
      </c>
      <c r="HD71" s="6311">
        <v>4</v>
      </c>
      <c r="HE71" s="6311">
        <v>316</v>
      </c>
      <c r="HF71" s="6312"/>
      <c r="HG71" s="6311">
        <v>159</v>
      </c>
      <c r="HH71" s="6311">
        <v>0</v>
      </c>
      <c r="HI71" s="6311">
        <v>1403</v>
      </c>
      <c r="HJ71" s="467">
        <f t="shared" si="12"/>
        <v>0.69493941553813254</v>
      </c>
      <c r="HL71" s="967"/>
      <c r="HM71" s="967"/>
      <c r="HN71" s="977" t="s">
        <v>255</v>
      </c>
      <c r="HO71" s="978">
        <v>210</v>
      </c>
      <c r="HP71" s="978">
        <v>29</v>
      </c>
      <c r="HQ71" s="978">
        <v>0</v>
      </c>
      <c r="HR71" s="978">
        <v>28</v>
      </c>
      <c r="HS71" s="978">
        <v>576</v>
      </c>
      <c r="HT71" s="978">
        <v>87</v>
      </c>
      <c r="HU71" s="978">
        <v>64</v>
      </c>
      <c r="HV71" s="967"/>
      <c r="HW71" s="978">
        <v>0</v>
      </c>
      <c r="HX71" s="978">
        <v>13</v>
      </c>
      <c r="HY71" s="978">
        <v>306</v>
      </c>
      <c r="HZ71" s="978">
        <v>270</v>
      </c>
      <c r="IA71" s="978">
        <v>0</v>
      </c>
      <c r="IB71" s="978">
        <v>1583</v>
      </c>
      <c r="IC71" s="467">
        <f t="shared" si="13"/>
        <v>0.61212886923562859</v>
      </c>
      <c r="IE71" s="577"/>
      <c r="IF71" s="577"/>
      <c r="IG71" s="979" t="s">
        <v>255</v>
      </c>
      <c r="IH71" s="980">
        <v>201</v>
      </c>
      <c r="II71" s="980">
        <v>46</v>
      </c>
      <c r="IJ71" s="577"/>
      <c r="IK71" s="980">
        <v>26</v>
      </c>
      <c r="IL71" s="980">
        <v>581</v>
      </c>
      <c r="IM71" s="980">
        <v>91</v>
      </c>
      <c r="IN71" s="980">
        <v>50</v>
      </c>
      <c r="IO71" s="577"/>
      <c r="IP71" s="577"/>
      <c r="IQ71" s="980">
        <v>2</v>
      </c>
      <c r="IR71" s="980">
        <v>266</v>
      </c>
      <c r="IS71" s="980">
        <v>280</v>
      </c>
      <c r="IT71" s="980">
        <v>0</v>
      </c>
      <c r="IU71" s="980">
        <v>1543</v>
      </c>
      <c r="IV71" s="467">
        <f t="shared" si="14"/>
        <v>0.60790667530784182</v>
      </c>
      <c r="IX71" s="742"/>
      <c r="IY71" s="742"/>
      <c r="IZ71" s="973" t="s">
        <v>485</v>
      </c>
      <c r="JA71" s="992">
        <v>677</v>
      </c>
      <c r="JB71" s="992">
        <v>265</v>
      </c>
      <c r="JC71" s="992">
        <v>1</v>
      </c>
      <c r="JD71" s="992">
        <v>621</v>
      </c>
      <c r="JE71" s="992">
        <v>4533</v>
      </c>
      <c r="JF71" s="992">
        <v>1346</v>
      </c>
      <c r="JG71" s="992">
        <v>555</v>
      </c>
      <c r="JH71" s="992">
        <v>0</v>
      </c>
      <c r="JI71" s="992">
        <v>33</v>
      </c>
      <c r="JJ71" s="992">
        <v>1632</v>
      </c>
      <c r="JK71" s="992">
        <v>2473</v>
      </c>
      <c r="JL71" s="992">
        <v>2183</v>
      </c>
      <c r="JM71" s="992">
        <v>37</v>
      </c>
      <c r="JN71" s="992">
        <v>57</v>
      </c>
      <c r="JO71" s="992">
        <v>14413</v>
      </c>
      <c r="JP71" s="993">
        <f t="shared" si="15"/>
        <v>0.63207944121854753</v>
      </c>
      <c r="JR71" s="97"/>
      <c r="JS71" s="97"/>
      <c r="JT71" s="42" t="s">
        <v>15</v>
      </c>
      <c r="JU71" s="42">
        <v>692</v>
      </c>
      <c r="JV71" s="42">
        <v>308</v>
      </c>
      <c r="JW71" s="42"/>
      <c r="JX71" s="42">
        <v>626</v>
      </c>
      <c r="JY71" s="42">
        <v>4253</v>
      </c>
      <c r="JZ71" s="42">
        <v>1277</v>
      </c>
      <c r="KA71" s="42">
        <v>568</v>
      </c>
      <c r="KB71" s="42"/>
      <c r="KC71" s="42">
        <v>18</v>
      </c>
      <c r="KD71" s="42">
        <v>1652</v>
      </c>
      <c r="KE71" s="42">
        <v>2344</v>
      </c>
      <c r="KF71" s="42">
        <v>2250</v>
      </c>
      <c r="KG71" s="42">
        <v>37</v>
      </c>
      <c r="KH71" s="42">
        <v>57</v>
      </c>
      <c r="KI71" s="42">
        <v>14082</v>
      </c>
      <c r="KJ71" s="984">
        <f t="shared" ref="KJ71:KJ90" si="46">+(KD71+JZ71+JY71)/(KI71-KH71-KE71)</f>
        <v>0.61484461946751134</v>
      </c>
      <c r="KK71" s="42"/>
      <c r="KL71" s="354"/>
      <c r="KM71" s="354"/>
      <c r="KN71" s="994" t="s">
        <v>15</v>
      </c>
      <c r="KO71" s="995">
        <v>802</v>
      </c>
      <c r="KP71" s="995">
        <v>272</v>
      </c>
      <c r="KQ71" s="995" t="s">
        <v>315</v>
      </c>
      <c r="KR71" s="995">
        <v>576</v>
      </c>
      <c r="KS71" s="995">
        <v>3796</v>
      </c>
      <c r="KT71" s="995">
        <v>1166</v>
      </c>
      <c r="KU71" s="995">
        <v>593</v>
      </c>
      <c r="KV71" s="995" t="s">
        <v>315</v>
      </c>
      <c r="KW71" s="995">
        <v>29</v>
      </c>
      <c r="KX71" s="995">
        <v>1968</v>
      </c>
      <c r="KY71" s="995">
        <v>2331</v>
      </c>
      <c r="KZ71" s="995">
        <v>25</v>
      </c>
      <c r="LA71" s="995">
        <v>11558</v>
      </c>
      <c r="LB71" s="995">
        <f t="shared" ref="LB71:LB86" si="47">+KX71+KT71+KS71</f>
        <v>6930</v>
      </c>
      <c r="LC71" s="996">
        <f t="shared" ref="LC71:LC86" si="48">+LB71/LA71</f>
        <v>0.599584703235854</v>
      </c>
      <c r="LD71" s="42"/>
      <c r="LE71" s="42"/>
    </row>
    <row r="72" spans="1:317">
      <c r="A72" s="6291">
        <v>4</v>
      </c>
      <c r="B72" s="6291">
        <v>2</v>
      </c>
      <c r="C72" s="6291">
        <v>136</v>
      </c>
      <c r="D72" s="6292">
        <v>330</v>
      </c>
      <c r="E72" s="6291">
        <v>20</v>
      </c>
      <c r="F72" s="6291">
        <v>78</v>
      </c>
      <c r="G72" s="6291">
        <v>90</v>
      </c>
      <c r="H72" s="6291">
        <v>20</v>
      </c>
      <c r="I72" s="6293"/>
      <c r="J72" s="6291">
        <v>1</v>
      </c>
      <c r="K72" s="6291">
        <v>9</v>
      </c>
      <c r="L72" s="6291">
        <v>6</v>
      </c>
      <c r="M72" s="6291">
        <v>7</v>
      </c>
      <c r="N72" s="6291">
        <v>49</v>
      </c>
      <c r="O72" s="6293"/>
      <c r="P72" s="6291">
        <v>50</v>
      </c>
      <c r="Q72" s="6294">
        <f t="shared" ref="Q72:Q88" si="49">+(K72+M72+P72)/(D72)</f>
        <v>0.2</v>
      </c>
      <c r="S72" s="6295">
        <v>3</v>
      </c>
      <c r="T72" s="6295">
        <v>3</v>
      </c>
      <c r="U72" s="6295">
        <v>79</v>
      </c>
      <c r="V72" s="6295">
        <v>1443</v>
      </c>
      <c r="W72" s="6295">
        <v>52</v>
      </c>
      <c r="X72" s="6295">
        <v>172</v>
      </c>
      <c r="Y72" s="6295">
        <v>203</v>
      </c>
      <c r="Z72" s="6295">
        <v>35</v>
      </c>
      <c r="AA72" s="6295">
        <v>2</v>
      </c>
      <c r="AB72" s="6295">
        <v>14</v>
      </c>
      <c r="AC72" s="6295">
        <v>159</v>
      </c>
      <c r="AE72" s="6295">
        <v>107</v>
      </c>
      <c r="AF72" s="6295">
        <v>54</v>
      </c>
      <c r="AH72" s="6295">
        <v>645</v>
      </c>
      <c r="AI72" s="6294">
        <f t="shared" si="5"/>
        <v>0.63132363132363134</v>
      </c>
      <c r="AJ72" s="6295"/>
      <c r="AK72" s="6297">
        <v>3</v>
      </c>
      <c r="AL72" s="6297">
        <v>3</v>
      </c>
      <c r="AM72" s="6343">
        <v>79</v>
      </c>
      <c r="AN72" s="6344">
        <v>1443</v>
      </c>
      <c r="AO72" s="6345">
        <v>95</v>
      </c>
      <c r="AP72" s="6345">
        <v>172</v>
      </c>
      <c r="AQ72" s="6345">
        <v>167</v>
      </c>
      <c r="AR72" s="6345">
        <v>34</v>
      </c>
      <c r="AS72" s="6345">
        <v>2</v>
      </c>
      <c r="AT72" s="6345">
        <v>14</v>
      </c>
      <c r="AV72" s="6345">
        <v>199</v>
      </c>
      <c r="AW72" s="6345">
        <v>82</v>
      </c>
      <c r="AY72" s="6345">
        <v>52</v>
      </c>
      <c r="BB72" s="6345">
        <v>626</v>
      </c>
      <c r="BC72" s="6300">
        <f t="shared" ref="BC72:BC109" si="50">+(AV72+AW72+BB72)/(AN72-AU72-AZ72)</f>
        <v>0.62855162855162861</v>
      </c>
      <c r="BE72" s="6345">
        <v>3</v>
      </c>
      <c r="BF72" s="6345">
        <v>3</v>
      </c>
      <c r="BG72" s="6345">
        <v>79</v>
      </c>
      <c r="BH72" s="4823" t="s">
        <v>255</v>
      </c>
      <c r="BI72" s="6346">
        <v>1480</v>
      </c>
      <c r="BJ72" s="6345">
        <v>68</v>
      </c>
      <c r="BK72" s="6345">
        <v>160</v>
      </c>
      <c r="BL72" s="6345">
        <v>147</v>
      </c>
      <c r="BM72" s="6345">
        <v>38</v>
      </c>
      <c r="BN72" s="6345">
        <v>2</v>
      </c>
      <c r="BO72" s="6345">
        <v>48</v>
      </c>
      <c r="BQ72" s="6345">
        <v>179</v>
      </c>
      <c r="BS72" s="6345">
        <v>181</v>
      </c>
      <c r="BT72" s="6345">
        <v>52</v>
      </c>
      <c r="BW72" s="6345">
        <v>605</v>
      </c>
      <c r="BX72" s="6300">
        <f t="shared" si="16"/>
        <v>0.65202702702702697</v>
      </c>
      <c r="BZ72" s="4388"/>
      <c r="CA72" s="4388"/>
      <c r="CB72" s="4388" t="s">
        <v>255</v>
      </c>
      <c r="CC72" s="4231">
        <v>185</v>
      </c>
      <c r="CD72" s="4231">
        <v>31</v>
      </c>
      <c r="CE72" s="4231"/>
      <c r="CF72" s="4231">
        <v>32</v>
      </c>
      <c r="CG72" s="4231">
        <v>436</v>
      </c>
      <c r="CH72" s="4231">
        <v>164</v>
      </c>
      <c r="CI72" s="4231">
        <v>14</v>
      </c>
      <c r="CJ72" s="4231">
        <v>0</v>
      </c>
      <c r="CK72" s="4231">
        <v>2</v>
      </c>
      <c r="CL72" s="4231">
        <v>51</v>
      </c>
      <c r="CM72" s="4231">
        <v>208</v>
      </c>
      <c r="CN72" s="4231"/>
      <c r="CO72" s="4231">
        <v>160</v>
      </c>
      <c r="CP72" s="4231">
        <v>0</v>
      </c>
      <c r="CQ72" s="4231">
        <v>1283</v>
      </c>
      <c r="CR72" s="6304">
        <f t="shared" ref="CR72:CR106" si="51">+(CM72+CH72+CG72)/(CQ72-CP72-CN72)</f>
        <v>0.62977396726422452</v>
      </c>
      <c r="CS72" s="4238">
        <f t="shared" ref="CS72:CS106" si="52">CQ72-CT72</f>
        <v>1</v>
      </c>
      <c r="CT72" s="6305">
        <v>1282</v>
      </c>
      <c r="CU72" s="6316"/>
      <c r="CX72" s="42" t="s">
        <v>264</v>
      </c>
      <c r="CY72" s="42">
        <v>19</v>
      </c>
      <c r="CZ72" s="42">
        <v>16</v>
      </c>
      <c r="DB72" s="42">
        <v>24</v>
      </c>
      <c r="DC72" s="42">
        <v>627</v>
      </c>
      <c r="DD72" s="42">
        <v>124</v>
      </c>
      <c r="DE72" s="42">
        <v>30</v>
      </c>
      <c r="DG72" s="42">
        <v>0</v>
      </c>
      <c r="DH72" s="42">
        <v>2</v>
      </c>
      <c r="DI72" s="42">
        <v>103</v>
      </c>
      <c r="DK72" s="42">
        <v>89</v>
      </c>
      <c r="DL72" s="42">
        <v>0</v>
      </c>
      <c r="DM72" s="893">
        <v>1034</v>
      </c>
      <c r="DN72" s="6306">
        <f t="shared" ref="DN72:DN102" si="53">+(DC72+DD72+DI72)/(DM72-DL72-DJ72)</f>
        <v>0.82591876208897486</v>
      </c>
      <c r="DP72" s="4263"/>
      <c r="DQ72" s="4263"/>
      <c r="DR72" s="4258" t="s">
        <v>264</v>
      </c>
      <c r="DS72" s="4263">
        <v>65</v>
      </c>
      <c r="DT72" s="4263">
        <v>32</v>
      </c>
      <c r="DU72" s="4263">
        <v>0</v>
      </c>
      <c r="DV72" s="4263">
        <v>23</v>
      </c>
      <c r="DW72" s="4263">
        <v>464</v>
      </c>
      <c r="DX72" s="4263">
        <v>171</v>
      </c>
      <c r="DY72" s="4263">
        <v>15</v>
      </c>
      <c r="DZ72" s="4263"/>
      <c r="EA72" s="4263">
        <v>0</v>
      </c>
      <c r="EB72" s="4263">
        <v>1</v>
      </c>
      <c r="EC72" s="4263">
        <v>180</v>
      </c>
      <c r="ED72" s="4263"/>
      <c r="EE72" s="4263">
        <v>106</v>
      </c>
      <c r="EF72" s="4263">
        <v>0</v>
      </c>
      <c r="EG72" s="4263">
        <v>1057</v>
      </c>
      <c r="EH72" s="6307">
        <f t="shared" ref="EH72:EH104" si="54">+(EC72+DX72+DW72)/(EG72-EF72-ED72)</f>
        <v>0.77105014191106902</v>
      </c>
      <c r="EL72" s="42" t="s">
        <v>264</v>
      </c>
      <c r="EM72" s="97">
        <v>38</v>
      </c>
      <c r="EN72" s="97">
        <v>24</v>
      </c>
      <c r="EO72" s="97"/>
      <c r="EP72" s="97">
        <v>0</v>
      </c>
      <c r="EQ72" s="97">
        <v>518</v>
      </c>
      <c r="ER72" s="97">
        <v>139</v>
      </c>
      <c r="ES72" s="97">
        <v>14</v>
      </c>
      <c r="ET72" s="97"/>
      <c r="EU72" s="97">
        <v>0</v>
      </c>
      <c r="EV72" s="97">
        <v>2</v>
      </c>
      <c r="EW72" s="97">
        <v>175</v>
      </c>
      <c r="EX72" s="97"/>
      <c r="EY72" s="97">
        <v>100</v>
      </c>
      <c r="EZ72" s="97">
        <v>0</v>
      </c>
      <c r="FA72" s="97">
        <v>1010</v>
      </c>
      <c r="FB72" s="6315">
        <f t="shared" ref="FB72:FB103" si="55">+(EW72+ER72+EQ72)/(FA72-EZ72-EX72)</f>
        <v>0.82376237623762372</v>
      </c>
      <c r="FD72" s="42"/>
      <c r="FE72" s="42"/>
      <c r="FF72" s="42" t="s">
        <v>264</v>
      </c>
      <c r="FG72" s="97">
        <v>32</v>
      </c>
      <c r="FH72" s="97">
        <v>29</v>
      </c>
      <c r="FI72" s="97">
        <v>1</v>
      </c>
      <c r="FJ72" s="97">
        <v>20</v>
      </c>
      <c r="FK72" s="97">
        <v>478</v>
      </c>
      <c r="FL72" s="97">
        <v>156</v>
      </c>
      <c r="FM72" s="97">
        <v>30</v>
      </c>
      <c r="FN72" s="97">
        <v>0</v>
      </c>
      <c r="FO72" s="97">
        <v>0</v>
      </c>
      <c r="FP72" s="97">
        <v>2</v>
      </c>
      <c r="FQ72" s="97">
        <v>177</v>
      </c>
      <c r="FR72" s="97"/>
      <c r="FS72" s="97">
        <v>79</v>
      </c>
      <c r="FT72" s="97">
        <v>0</v>
      </c>
      <c r="FU72" s="97">
        <v>1004</v>
      </c>
      <c r="FV72" s="6308">
        <f t="shared" si="45"/>
        <v>0.80776892430278879</v>
      </c>
      <c r="FW72" s="6322"/>
      <c r="FX72" s="42"/>
      <c r="FY72" s="42"/>
      <c r="FZ72" s="42" t="s">
        <v>264</v>
      </c>
      <c r="GA72" s="97">
        <v>36</v>
      </c>
      <c r="GB72" s="97">
        <v>23</v>
      </c>
      <c r="GC72" s="97"/>
      <c r="GD72" s="97">
        <v>22</v>
      </c>
      <c r="GE72" s="97">
        <v>503</v>
      </c>
      <c r="GF72" s="97">
        <v>131</v>
      </c>
      <c r="GG72" s="97">
        <v>30</v>
      </c>
      <c r="GH72" s="97"/>
      <c r="GI72" s="97">
        <v>0</v>
      </c>
      <c r="GJ72" s="97">
        <v>2</v>
      </c>
      <c r="GK72" s="97">
        <v>156</v>
      </c>
      <c r="GL72" s="97"/>
      <c r="GM72" s="97">
        <v>76</v>
      </c>
      <c r="GN72" s="97">
        <v>1</v>
      </c>
      <c r="GO72" s="97">
        <v>980</v>
      </c>
      <c r="GP72" s="6308">
        <f t="shared" ref="GP72:GP101" si="56">+(GE72+GF72+GK72)/(GO72-GN72-GL72)</f>
        <v>0.80694586312563843</v>
      </c>
      <c r="GR72" s="6280"/>
      <c r="GS72" s="6280"/>
      <c r="GT72" s="6310" t="s">
        <v>264</v>
      </c>
      <c r="GU72" s="6311">
        <v>26</v>
      </c>
      <c r="GV72" s="6311">
        <v>17</v>
      </c>
      <c r="GW72" s="6312"/>
      <c r="GX72" s="6311">
        <v>17</v>
      </c>
      <c r="GY72" s="6311">
        <v>548</v>
      </c>
      <c r="GZ72" s="6311">
        <v>128</v>
      </c>
      <c r="HA72" s="6311">
        <v>22</v>
      </c>
      <c r="HB72" s="6312"/>
      <c r="HC72" s="6311">
        <v>0</v>
      </c>
      <c r="HD72" s="6311">
        <v>5</v>
      </c>
      <c r="HE72" s="6311">
        <v>158</v>
      </c>
      <c r="HF72" s="6312"/>
      <c r="HG72" s="6311">
        <v>90</v>
      </c>
      <c r="HH72" s="6311">
        <v>1</v>
      </c>
      <c r="HI72" s="6311">
        <v>1012</v>
      </c>
      <c r="HJ72" s="467">
        <f t="shared" ref="HJ72:HJ102" si="57">+(GY72+GZ72+HE72)/(HI72-HH72-HF72)</f>
        <v>0.82492581602373882</v>
      </c>
      <c r="HL72" s="967"/>
      <c r="HM72" s="967"/>
      <c r="HN72" s="977" t="s">
        <v>264</v>
      </c>
      <c r="HO72" s="978">
        <v>41</v>
      </c>
      <c r="HP72" s="978">
        <v>22</v>
      </c>
      <c r="HQ72" s="978">
        <v>0</v>
      </c>
      <c r="HR72" s="978">
        <v>23</v>
      </c>
      <c r="HS72" s="978">
        <v>588</v>
      </c>
      <c r="HT72" s="978">
        <v>124</v>
      </c>
      <c r="HU72" s="978">
        <v>33</v>
      </c>
      <c r="HV72" s="967"/>
      <c r="HW72" s="978">
        <v>0</v>
      </c>
      <c r="HX72" s="978">
        <v>2</v>
      </c>
      <c r="HY72" s="978">
        <v>130</v>
      </c>
      <c r="HZ72" s="978">
        <v>126</v>
      </c>
      <c r="IA72" s="978">
        <v>0</v>
      </c>
      <c r="IB72" s="978">
        <v>1089</v>
      </c>
      <c r="IC72" s="467">
        <f t="shared" ref="IC72:IC95" si="58">+(HS72+HT72+HY72)/IB72</f>
        <v>0.77318640955004592</v>
      </c>
      <c r="IE72" s="577"/>
      <c r="IF72" s="577"/>
      <c r="IG72" s="979" t="s">
        <v>264</v>
      </c>
      <c r="IH72" s="980">
        <v>36</v>
      </c>
      <c r="II72" s="980">
        <v>16</v>
      </c>
      <c r="IJ72" s="577"/>
      <c r="IK72" s="980">
        <v>21</v>
      </c>
      <c r="IL72" s="980">
        <v>577</v>
      </c>
      <c r="IM72" s="980">
        <v>153</v>
      </c>
      <c r="IN72" s="980">
        <v>29</v>
      </c>
      <c r="IO72" s="577"/>
      <c r="IP72" s="577"/>
      <c r="IQ72" s="980">
        <v>1</v>
      </c>
      <c r="IR72" s="980">
        <v>112</v>
      </c>
      <c r="IS72" s="980">
        <v>135</v>
      </c>
      <c r="IT72" s="980">
        <v>0</v>
      </c>
      <c r="IU72" s="980">
        <v>1080</v>
      </c>
      <c r="IV72" s="467">
        <f t="shared" ref="IV72:IV95" si="59">+(IR72+IM72+IL72)/IU72</f>
        <v>0.77962962962962967</v>
      </c>
      <c r="IX72" s="742"/>
      <c r="IY72" s="742" t="s">
        <v>21</v>
      </c>
      <c r="IZ72" s="981" t="s">
        <v>22</v>
      </c>
      <c r="JA72" s="982">
        <v>177</v>
      </c>
      <c r="JB72" s="982">
        <v>127</v>
      </c>
      <c r="JC72" s="982">
        <v>0</v>
      </c>
      <c r="JD72" s="982">
        <v>133</v>
      </c>
      <c r="JE72" s="982">
        <v>682</v>
      </c>
      <c r="JF72" s="982">
        <v>247</v>
      </c>
      <c r="JG72" s="982">
        <v>169</v>
      </c>
      <c r="JH72" s="982">
        <v>0</v>
      </c>
      <c r="JI72" s="982">
        <v>28</v>
      </c>
      <c r="JJ72" s="982">
        <v>193</v>
      </c>
      <c r="JK72" s="982">
        <v>371</v>
      </c>
      <c r="JL72" s="982">
        <v>473</v>
      </c>
      <c r="JM72" s="982">
        <v>0</v>
      </c>
      <c r="JN72" s="982">
        <v>21</v>
      </c>
      <c r="JO72" s="982">
        <v>2621</v>
      </c>
      <c r="JP72" s="983">
        <f t="shared" ref="JP72:JP90" si="60">+(JJ72+JF72+JE72)/(JO72-JN72-JK72)</f>
        <v>0.50336473755047106</v>
      </c>
      <c r="JR72" s="97"/>
      <c r="JS72" s="97" t="s">
        <v>21</v>
      </c>
      <c r="JT72" s="42" t="s">
        <v>22</v>
      </c>
      <c r="JU72" s="42">
        <v>169</v>
      </c>
      <c r="JV72" s="42">
        <v>128</v>
      </c>
      <c r="JW72" s="42">
        <v>0</v>
      </c>
      <c r="JX72" s="42">
        <v>134</v>
      </c>
      <c r="JY72" s="42">
        <v>643</v>
      </c>
      <c r="JZ72" s="42">
        <v>218</v>
      </c>
      <c r="KA72" s="42">
        <v>169</v>
      </c>
      <c r="KB72" s="42"/>
      <c r="KC72" s="42">
        <v>24</v>
      </c>
      <c r="KD72" s="42">
        <v>201</v>
      </c>
      <c r="KE72" s="42">
        <v>360</v>
      </c>
      <c r="KF72" s="42">
        <v>490</v>
      </c>
      <c r="KG72" s="42">
        <v>0</v>
      </c>
      <c r="KH72" s="42">
        <v>21</v>
      </c>
      <c r="KI72" s="42">
        <v>2557</v>
      </c>
      <c r="KJ72" s="984">
        <f t="shared" si="46"/>
        <v>0.48805147058823528</v>
      </c>
      <c r="KK72" s="42"/>
      <c r="KL72" s="354"/>
      <c r="KM72" s="354" t="s">
        <v>21</v>
      </c>
      <c r="KN72" s="354" t="s">
        <v>22</v>
      </c>
      <c r="KO72" s="985">
        <v>177</v>
      </c>
      <c r="KP72" s="985">
        <v>111</v>
      </c>
      <c r="KQ72" s="985" t="s">
        <v>315</v>
      </c>
      <c r="KR72" s="985">
        <v>127</v>
      </c>
      <c r="KS72" s="985">
        <v>611</v>
      </c>
      <c r="KT72" s="985">
        <v>207</v>
      </c>
      <c r="KU72" s="985">
        <v>202</v>
      </c>
      <c r="KV72" s="985" t="s">
        <v>315</v>
      </c>
      <c r="KW72" s="985">
        <v>26</v>
      </c>
      <c r="KX72" s="985">
        <v>240</v>
      </c>
      <c r="KY72" s="985">
        <v>505</v>
      </c>
      <c r="KZ72" s="985" t="s">
        <v>315</v>
      </c>
      <c r="LA72" s="985">
        <v>2206</v>
      </c>
      <c r="LB72" s="985">
        <f t="shared" si="47"/>
        <v>1058</v>
      </c>
      <c r="LC72" s="986">
        <f t="shared" si="48"/>
        <v>0.47960108794197642</v>
      </c>
      <c r="LD72" s="42"/>
      <c r="LE72" s="42"/>
    </row>
    <row r="73" spans="1:317">
      <c r="A73" s="6291">
        <v>4</v>
      </c>
      <c r="B73" s="6291">
        <v>5</v>
      </c>
      <c r="C73" s="6291">
        <v>130</v>
      </c>
      <c r="D73" s="6292">
        <v>418</v>
      </c>
      <c r="E73" s="6291">
        <v>8</v>
      </c>
      <c r="F73" s="6291">
        <v>90</v>
      </c>
      <c r="G73" s="6291">
        <v>76</v>
      </c>
      <c r="H73" s="6291">
        <v>25</v>
      </c>
      <c r="I73" s="6291">
        <v>1</v>
      </c>
      <c r="J73" s="6291">
        <v>3</v>
      </c>
      <c r="K73" s="6291">
        <v>62</v>
      </c>
      <c r="L73" s="6291">
        <v>7</v>
      </c>
      <c r="M73" s="6291">
        <v>19</v>
      </c>
      <c r="N73" s="6291">
        <v>34</v>
      </c>
      <c r="O73" s="6293"/>
      <c r="P73" s="6291">
        <v>93</v>
      </c>
      <c r="Q73" s="6294">
        <f t="shared" si="49"/>
        <v>0.41626794258373206</v>
      </c>
      <c r="S73" s="6295">
        <v>3</v>
      </c>
      <c r="T73" s="6295">
        <v>3</v>
      </c>
      <c r="U73" s="6295">
        <v>80</v>
      </c>
      <c r="V73" s="6295">
        <v>1061</v>
      </c>
      <c r="W73" s="6296"/>
      <c r="X73" s="6295">
        <v>96</v>
      </c>
      <c r="Y73" s="6295">
        <v>42</v>
      </c>
      <c r="Z73" s="6295">
        <v>25</v>
      </c>
      <c r="AA73" s="6296"/>
      <c r="AB73" s="6295">
        <v>7</v>
      </c>
      <c r="AC73" s="6295">
        <v>284</v>
      </c>
      <c r="AD73" s="6296"/>
      <c r="AE73" s="6295">
        <v>125</v>
      </c>
      <c r="AF73" s="6295">
        <v>54</v>
      </c>
      <c r="AG73" s="6296"/>
      <c r="AH73" s="6295">
        <v>428</v>
      </c>
      <c r="AI73" s="6294">
        <f t="shared" si="5"/>
        <v>0.78887841658812441</v>
      </c>
      <c r="AJ73" s="6295"/>
      <c r="AK73" s="6297">
        <v>3</v>
      </c>
      <c r="AL73" s="6297">
        <v>3</v>
      </c>
      <c r="AM73" s="6297">
        <v>80</v>
      </c>
      <c r="AN73" s="6298">
        <v>1061</v>
      </c>
      <c r="AO73" s="6297">
        <v>1</v>
      </c>
      <c r="AP73" s="6297">
        <v>96</v>
      </c>
      <c r="AQ73" s="6297">
        <v>63</v>
      </c>
      <c r="AR73" s="6297">
        <v>25</v>
      </c>
      <c r="AS73" s="6299"/>
      <c r="AT73" s="6297">
        <v>7</v>
      </c>
      <c r="AU73" s="6299"/>
      <c r="AV73" s="6297">
        <v>282</v>
      </c>
      <c r="AW73" s="6297">
        <v>117</v>
      </c>
      <c r="AX73" s="6299"/>
      <c r="AY73" s="6297">
        <v>55</v>
      </c>
      <c r="AZ73" s="6299"/>
      <c r="BA73" s="6299"/>
      <c r="BB73" s="6297">
        <v>415</v>
      </c>
      <c r="BC73" s="6300">
        <f t="shared" si="50"/>
        <v>0.76720075400565502</v>
      </c>
      <c r="BE73" s="6313">
        <v>3</v>
      </c>
      <c r="BF73" s="6313">
        <v>3</v>
      </c>
      <c r="BG73" s="6313">
        <v>80</v>
      </c>
      <c r="BH73" s="4405" t="s">
        <v>264</v>
      </c>
      <c r="BI73" s="6314">
        <v>1056</v>
      </c>
      <c r="BJ73" s="6303"/>
      <c r="BK73" s="6313">
        <v>110</v>
      </c>
      <c r="BL73" s="6313">
        <v>42</v>
      </c>
      <c r="BM73" s="6313">
        <v>24</v>
      </c>
      <c r="BN73" s="6303"/>
      <c r="BO73" s="6313">
        <v>7</v>
      </c>
      <c r="BP73" s="6303"/>
      <c r="BQ73" s="6313">
        <v>242</v>
      </c>
      <c r="BR73" s="6303"/>
      <c r="BS73" s="6313">
        <v>146</v>
      </c>
      <c r="BT73" s="6313">
        <v>32</v>
      </c>
      <c r="BU73" s="6303"/>
      <c r="BV73" s="6303"/>
      <c r="BW73" s="6313">
        <v>453</v>
      </c>
      <c r="BX73" s="6300">
        <f t="shared" ref="BX73:BX108" si="61">+(BQ73+BS73+BW73)/(BI73-BP73-BU73)</f>
        <v>0.79640151515151514</v>
      </c>
      <c r="BZ73" s="4388"/>
      <c r="CA73" s="4388"/>
      <c r="CB73" s="4388" t="s">
        <v>264</v>
      </c>
      <c r="CC73" s="4231">
        <v>69</v>
      </c>
      <c r="CD73" s="4231">
        <v>31</v>
      </c>
      <c r="CE73" s="4231"/>
      <c r="CF73" s="4231">
        <v>24</v>
      </c>
      <c r="CG73" s="4231">
        <v>445</v>
      </c>
      <c r="CH73" s="4231">
        <v>130</v>
      </c>
      <c r="CI73" s="4231">
        <v>7</v>
      </c>
      <c r="CJ73" s="4231">
        <v>0</v>
      </c>
      <c r="CK73" s="4231">
        <v>0</v>
      </c>
      <c r="CL73" s="4231">
        <v>3</v>
      </c>
      <c r="CM73" s="4231">
        <v>243</v>
      </c>
      <c r="CN73" s="4231"/>
      <c r="CO73" s="4231">
        <v>114</v>
      </c>
      <c r="CP73" s="4231">
        <v>0</v>
      </c>
      <c r="CQ73" s="4231">
        <v>1066</v>
      </c>
      <c r="CR73" s="6304">
        <f t="shared" si="51"/>
        <v>0.7673545966228893</v>
      </c>
      <c r="CS73" s="4238">
        <f t="shared" si="52"/>
        <v>10</v>
      </c>
      <c r="CT73" s="6305">
        <v>1056</v>
      </c>
      <c r="CU73" s="6316"/>
      <c r="CX73" s="42" t="s">
        <v>15</v>
      </c>
      <c r="CY73" s="42">
        <v>283</v>
      </c>
      <c r="CZ73" s="42">
        <v>171</v>
      </c>
      <c r="DB73" s="42">
        <v>469</v>
      </c>
      <c r="DC73" s="42">
        <v>5294</v>
      </c>
      <c r="DD73" s="42">
        <v>1156</v>
      </c>
      <c r="DE73" s="42">
        <v>642</v>
      </c>
      <c r="DG73" s="42">
        <v>5</v>
      </c>
      <c r="DH73" s="42">
        <v>22</v>
      </c>
      <c r="DI73" s="42">
        <v>1218</v>
      </c>
      <c r="DK73" s="42">
        <v>1169</v>
      </c>
      <c r="DL73" s="42">
        <v>11</v>
      </c>
      <c r="DM73" s="893">
        <v>10440</v>
      </c>
      <c r="DN73" s="6306">
        <f t="shared" si="53"/>
        <v>0.73525745517307506</v>
      </c>
      <c r="DP73" s="4263"/>
      <c r="DQ73" s="4263"/>
      <c r="DR73" s="4257" t="s">
        <v>485</v>
      </c>
      <c r="DS73" s="4266">
        <v>1019</v>
      </c>
      <c r="DT73" s="4266">
        <v>385</v>
      </c>
      <c r="DU73" s="4266">
        <v>1</v>
      </c>
      <c r="DV73" s="4266">
        <v>469</v>
      </c>
      <c r="DW73" s="4266">
        <v>3694</v>
      </c>
      <c r="DX73" s="4266">
        <v>1461</v>
      </c>
      <c r="DY73" s="4266">
        <v>266</v>
      </c>
      <c r="DZ73" s="4266"/>
      <c r="EA73" s="4266">
        <v>5</v>
      </c>
      <c r="EB73" s="4266">
        <v>37</v>
      </c>
      <c r="EC73" s="4266">
        <v>1701</v>
      </c>
      <c r="ED73" s="4266"/>
      <c r="EE73" s="4266">
        <v>1431</v>
      </c>
      <c r="EF73" s="4266">
        <v>7</v>
      </c>
      <c r="EG73" s="4266">
        <v>10476</v>
      </c>
      <c r="EH73" s="6321">
        <f t="shared" si="54"/>
        <v>0.65488585347215589</v>
      </c>
      <c r="EL73" s="893" t="s">
        <v>485</v>
      </c>
      <c r="EM73" s="135">
        <v>778</v>
      </c>
      <c r="EN73" s="135">
        <v>269</v>
      </c>
      <c r="EO73" s="135"/>
      <c r="EP73" s="135">
        <v>1</v>
      </c>
      <c r="EQ73" s="135">
        <v>4317</v>
      </c>
      <c r="ER73" s="135">
        <v>1159</v>
      </c>
      <c r="ES73" s="135">
        <v>316</v>
      </c>
      <c r="ET73" s="135"/>
      <c r="EU73" s="135">
        <v>1</v>
      </c>
      <c r="EV73" s="135">
        <v>52</v>
      </c>
      <c r="EW73" s="135">
        <v>1696</v>
      </c>
      <c r="EX73" s="135"/>
      <c r="EY73" s="135">
        <v>1360</v>
      </c>
      <c r="EZ73" s="135">
        <v>1</v>
      </c>
      <c r="FA73" s="135">
        <v>9950</v>
      </c>
      <c r="FB73" s="6315">
        <f t="shared" si="55"/>
        <v>0.72087646999698463</v>
      </c>
      <c r="FD73" s="42"/>
      <c r="FE73" s="42"/>
      <c r="FF73" s="893" t="s">
        <v>485</v>
      </c>
      <c r="FG73" s="135">
        <v>712</v>
      </c>
      <c r="FH73" s="135">
        <v>308</v>
      </c>
      <c r="FI73" s="135">
        <v>1</v>
      </c>
      <c r="FJ73" s="135">
        <v>478</v>
      </c>
      <c r="FK73" s="135">
        <v>4161</v>
      </c>
      <c r="FL73" s="135">
        <v>1190</v>
      </c>
      <c r="FM73" s="135">
        <v>382</v>
      </c>
      <c r="FN73" s="135">
        <v>4</v>
      </c>
      <c r="FO73" s="135">
        <v>4</v>
      </c>
      <c r="FP73" s="135">
        <v>44</v>
      </c>
      <c r="FQ73" s="135">
        <v>1784</v>
      </c>
      <c r="FR73" s="135"/>
      <c r="FS73" s="135">
        <v>1296</v>
      </c>
      <c r="FT73" s="135">
        <v>11</v>
      </c>
      <c r="FU73" s="135">
        <v>10375</v>
      </c>
      <c r="FV73" s="5723">
        <f t="shared" si="45"/>
        <v>0.6884407564646855</v>
      </c>
      <c r="FW73" s="5717"/>
      <c r="FX73" s="42"/>
      <c r="FY73" s="42"/>
      <c r="FZ73" s="893" t="s">
        <v>485</v>
      </c>
      <c r="GA73" s="135">
        <v>717</v>
      </c>
      <c r="GB73" s="135">
        <v>324</v>
      </c>
      <c r="GC73" s="135"/>
      <c r="GD73" s="135">
        <v>463</v>
      </c>
      <c r="GE73" s="135">
        <v>4423</v>
      </c>
      <c r="GF73" s="135">
        <v>1115</v>
      </c>
      <c r="GG73" s="135">
        <v>444</v>
      </c>
      <c r="GH73" s="135"/>
      <c r="GI73" s="135">
        <v>4</v>
      </c>
      <c r="GJ73" s="135">
        <v>32</v>
      </c>
      <c r="GK73" s="135">
        <v>1703</v>
      </c>
      <c r="GL73" s="135"/>
      <c r="GM73" s="135">
        <v>1260</v>
      </c>
      <c r="GN73" s="135">
        <v>20</v>
      </c>
      <c r="GO73" s="135">
        <v>10505</v>
      </c>
      <c r="GP73" s="5723">
        <f t="shared" si="56"/>
        <v>0.69060562708631379</v>
      </c>
      <c r="GR73" s="6280"/>
      <c r="GS73" s="6280"/>
      <c r="GT73" s="1179" t="s">
        <v>485</v>
      </c>
      <c r="GU73" s="1180">
        <v>639</v>
      </c>
      <c r="GV73" s="1180">
        <v>282</v>
      </c>
      <c r="GW73" s="1181"/>
      <c r="GX73" s="1180">
        <v>442</v>
      </c>
      <c r="GY73" s="1180">
        <v>4731</v>
      </c>
      <c r="GZ73" s="1180">
        <v>1077</v>
      </c>
      <c r="HA73" s="1180">
        <v>456</v>
      </c>
      <c r="HB73" s="1181"/>
      <c r="HC73" s="1180">
        <v>3</v>
      </c>
      <c r="HD73" s="1180">
        <v>37</v>
      </c>
      <c r="HE73" s="1180">
        <v>1663</v>
      </c>
      <c r="HF73" s="1181"/>
      <c r="HG73" s="1180">
        <v>1408</v>
      </c>
      <c r="HH73" s="1180">
        <v>19</v>
      </c>
      <c r="HI73" s="1180">
        <v>10757</v>
      </c>
      <c r="HJ73" s="456">
        <f t="shared" si="57"/>
        <v>0.69575339914322964</v>
      </c>
      <c r="HL73" s="967"/>
      <c r="HM73" s="967"/>
      <c r="HN73" s="987" t="s">
        <v>485</v>
      </c>
      <c r="HO73" s="988">
        <v>688</v>
      </c>
      <c r="HP73" s="988">
        <v>292</v>
      </c>
      <c r="HQ73" s="989">
        <v>1</v>
      </c>
      <c r="HR73" s="988">
        <v>592</v>
      </c>
      <c r="HS73" s="988">
        <v>4869</v>
      </c>
      <c r="HT73" s="988">
        <v>1124</v>
      </c>
      <c r="HU73" s="988">
        <v>523</v>
      </c>
      <c r="HV73" s="989"/>
      <c r="HW73" s="988">
        <v>1</v>
      </c>
      <c r="HX73" s="988">
        <v>42</v>
      </c>
      <c r="HY73" s="988">
        <v>1695</v>
      </c>
      <c r="HZ73" s="988">
        <v>2048</v>
      </c>
      <c r="IA73" s="988">
        <v>37</v>
      </c>
      <c r="IB73" s="988">
        <v>11912</v>
      </c>
      <c r="IC73" s="990">
        <f t="shared" si="58"/>
        <v>0.64539959704499661</v>
      </c>
      <c r="IE73" s="577"/>
      <c r="IF73" s="577"/>
      <c r="IG73" s="738" t="s">
        <v>485</v>
      </c>
      <c r="IH73" s="991">
        <v>576</v>
      </c>
      <c r="II73" s="991">
        <v>369</v>
      </c>
      <c r="IJ73" s="6261"/>
      <c r="IK73" s="991">
        <v>590</v>
      </c>
      <c r="IL73" s="991">
        <v>4740</v>
      </c>
      <c r="IM73" s="991">
        <v>1316</v>
      </c>
      <c r="IN73" s="991">
        <v>491</v>
      </c>
      <c r="IO73" s="6261"/>
      <c r="IP73" s="6261"/>
      <c r="IQ73" s="991">
        <v>18</v>
      </c>
      <c r="IR73" s="991">
        <v>1570</v>
      </c>
      <c r="IS73" s="991">
        <v>2111</v>
      </c>
      <c r="IT73" s="991">
        <v>37</v>
      </c>
      <c r="IU73" s="991">
        <v>11818</v>
      </c>
      <c r="IV73" s="456">
        <f t="shared" si="59"/>
        <v>0.6452868505669318</v>
      </c>
      <c r="IX73" s="742"/>
      <c r="IY73" s="742"/>
      <c r="IZ73" s="981" t="s">
        <v>23</v>
      </c>
      <c r="JA73" s="982">
        <v>81</v>
      </c>
      <c r="JB73" s="982">
        <v>36</v>
      </c>
      <c r="JC73" s="982">
        <v>0</v>
      </c>
      <c r="JD73" s="982">
        <v>39</v>
      </c>
      <c r="JE73" s="982">
        <v>363</v>
      </c>
      <c r="JF73" s="982">
        <v>129</v>
      </c>
      <c r="JG73" s="982">
        <v>60</v>
      </c>
      <c r="JH73" s="982">
        <v>0</v>
      </c>
      <c r="JI73" s="982">
        <v>6</v>
      </c>
      <c r="JJ73" s="982">
        <v>161</v>
      </c>
      <c r="JK73" s="982">
        <v>128</v>
      </c>
      <c r="JL73" s="982">
        <v>154</v>
      </c>
      <c r="JM73" s="982">
        <v>0</v>
      </c>
      <c r="JN73" s="982">
        <v>6</v>
      </c>
      <c r="JO73" s="982">
        <v>1163</v>
      </c>
      <c r="JP73" s="983">
        <f t="shared" si="60"/>
        <v>0.63459669582118561</v>
      </c>
      <c r="JR73" s="97"/>
      <c r="JS73" s="97"/>
      <c r="JT73" s="42" t="s">
        <v>23</v>
      </c>
      <c r="JU73" s="42">
        <v>76</v>
      </c>
      <c r="JV73" s="42">
        <v>33</v>
      </c>
      <c r="JW73" s="42">
        <v>0</v>
      </c>
      <c r="JX73" s="42">
        <v>38</v>
      </c>
      <c r="JY73" s="42">
        <v>380</v>
      </c>
      <c r="JZ73" s="42">
        <v>134</v>
      </c>
      <c r="KA73" s="42">
        <v>51</v>
      </c>
      <c r="KB73" s="42"/>
      <c r="KC73" s="42">
        <v>10</v>
      </c>
      <c r="KD73" s="42">
        <v>161</v>
      </c>
      <c r="KE73" s="42">
        <v>119</v>
      </c>
      <c r="KF73" s="42">
        <v>169</v>
      </c>
      <c r="KG73" s="42">
        <v>0</v>
      </c>
      <c r="KH73" s="42">
        <v>7</v>
      </c>
      <c r="KI73" s="42">
        <v>1178</v>
      </c>
      <c r="KJ73" s="984">
        <f t="shared" si="46"/>
        <v>0.64163498098859317</v>
      </c>
      <c r="KK73" s="42"/>
      <c r="KL73" s="354"/>
      <c r="KM73" s="354"/>
      <c r="KN73" s="354" t="s">
        <v>23</v>
      </c>
      <c r="KO73" s="985">
        <v>62</v>
      </c>
      <c r="KP73" s="985">
        <v>40</v>
      </c>
      <c r="KQ73" s="985" t="s">
        <v>315</v>
      </c>
      <c r="KR73" s="985">
        <v>41</v>
      </c>
      <c r="KS73" s="985">
        <v>391</v>
      </c>
      <c r="KT73" s="985">
        <v>117</v>
      </c>
      <c r="KU73" s="985">
        <v>50</v>
      </c>
      <c r="KV73" s="985" t="s">
        <v>315</v>
      </c>
      <c r="KW73" s="985">
        <v>5</v>
      </c>
      <c r="KX73" s="985">
        <v>198</v>
      </c>
      <c r="KY73" s="985">
        <v>174</v>
      </c>
      <c r="KZ73" s="985" t="s">
        <v>315</v>
      </c>
      <c r="LA73" s="985">
        <v>1078</v>
      </c>
      <c r="LB73" s="985">
        <f t="shared" si="47"/>
        <v>706</v>
      </c>
      <c r="LC73" s="986">
        <f t="shared" si="48"/>
        <v>0.65491651205936918</v>
      </c>
      <c r="LD73" s="42"/>
      <c r="LE73" s="42"/>
    </row>
    <row r="74" spans="1:317">
      <c r="A74" s="6291">
        <v>4</v>
      </c>
      <c r="B74" s="6291">
        <v>5</v>
      </c>
      <c r="C74" s="6291">
        <v>137</v>
      </c>
      <c r="D74" s="6292">
        <v>323</v>
      </c>
      <c r="E74" s="6291">
        <v>15</v>
      </c>
      <c r="F74" s="6291">
        <v>83</v>
      </c>
      <c r="G74" s="6291">
        <v>78</v>
      </c>
      <c r="H74" s="6291">
        <v>23</v>
      </c>
      <c r="I74" s="6293"/>
      <c r="J74" s="6291">
        <v>2</v>
      </c>
      <c r="K74" s="6291">
        <v>14</v>
      </c>
      <c r="L74" s="6291">
        <v>1</v>
      </c>
      <c r="M74" s="6291">
        <v>8</v>
      </c>
      <c r="N74" s="6291">
        <v>65</v>
      </c>
      <c r="O74" s="6293"/>
      <c r="P74" s="6291">
        <v>34</v>
      </c>
      <c r="Q74" s="6294">
        <f t="shared" si="49"/>
        <v>0.17337461300309598</v>
      </c>
      <c r="S74" s="6295"/>
      <c r="T74" s="6295"/>
      <c r="U74" s="6295"/>
      <c r="V74" s="6317">
        <f>SUM(V66:V73)</f>
        <v>10881</v>
      </c>
      <c r="W74" s="6317">
        <f t="shared" ref="W74:AH74" si="62">SUM(W66:W73)</f>
        <v>75</v>
      </c>
      <c r="X74" s="6317">
        <f t="shared" si="62"/>
        <v>1320</v>
      </c>
      <c r="Y74" s="6317">
        <f t="shared" si="62"/>
        <v>928</v>
      </c>
      <c r="Z74" s="6317">
        <f t="shared" si="62"/>
        <v>458</v>
      </c>
      <c r="AA74" s="6317">
        <f t="shared" si="62"/>
        <v>4</v>
      </c>
      <c r="AB74" s="6317">
        <f t="shared" si="62"/>
        <v>109</v>
      </c>
      <c r="AC74" s="6317">
        <f t="shared" si="62"/>
        <v>2489</v>
      </c>
      <c r="AD74" s="6317">
        <f t="shared" si="62"/>
        <v>0</v>
      </c>
      <c r="AE74" s="6317">
        <f t="shared" si="62"/>
        <v>1171</v>
      </c>
      <c r="AF74" s="6317">
        <f t="shared" si="62"/>
        <v>666</v>
      </c>
      <c r="AG74" s="6317">
        <f t="shared" si="62"/>
        <v>1</v>
      </c>
      <c r="AH74" s="6317">
        <f t="shared" si="62"/>
        <v>3660</v>
      </c>
      <c r="AI74" s="6294">
        <f t="shared" si="5"/>
        <v>0.67273228563551146</v>
      </c>
      <c r="AJ74" s="6295"/>
      <c r="AK74" s="6297"/>
      <c r="AL74" s="6297"/>
      <c r="AM74" s="6297"/>
      <c r="AN74" s="6298">
        <f>SUM(AN66:AN73)</f>
        <v>10889</v>
      </c>
      <c r="AO74" s="6298">
        <f t="shared" ref="AO74:BB74" si="63">SUM(AO66:AO73)</f>
        <v>144</v>
      </c>
      <c r="AP74" s="6298">
        <f t="shared" si="63"/>
        <v>1322</v>
      </c>
      <c r="AQ74" s="6298">
        <f t="shared" si="63"/>
        <v>1150</v>
      </c>
      <c r="AR74" s="6298">
        <f t="shared" si="63"/>
        <v>456</v>
      </c>
      <c r="AS74" s="6298">
        <f t="shared" si="63"/>
        <v>4</v>
      </c>
      <c r="AT74" s="6298">
        <f t="shared" si="63"/>
        <v>109</v>
      </c>
      <c r="AU74" s="6298">
        <f t="shared" si="63"/>
        <v>8</v>
      </c>
      <c r="AV74" s="6298">
        <f t="shared" si="63"/>
        <v>2421</v>
      </c>
      <c r="AW74" s="6298">
        <f t="shared" si="63"/>
        <v>1068</v>
      </c>
      <c r="AX74" s="6298">
        <f t="shared" si="63"/>
        <v>0</v>
      </c>
      <c r="AY74" s="6298">
        <f t="shared" si="63"/>
        <v>658</v>
      </c>
      <c r="AZ74" s="6298">
        <f t="shared" si="63"/>
        <v>0</v>
      </c>
      <c r="BA74" s="6298">
        <f t="shared" si="63"/>
        <v>1</v>
      </c>
      <c r="BB74" s="6298">
        <f t="shared" si="63"/>
        <v>3548</v>
      </c>
      <c r="BC74" s="6318">
        <f t="shared" si="50"/>
        <v>0.64672364672364668</v>
      </c>
      <c r="BE74" s="6313"/>
      <c r="BF74" s="6313"/>
      <c r="BG74" s="6313"/>
      <c r="BH74" s="6319" t="s">
        <v>485</v>
      </c>
      <c r="BI74" s="6314">
        <f>SUM(BI66:BI73)</f>
        <v>10803</v>
      </c>
      <c r="BJ74" s="6314">
        <f t="shared" ref="BJ74:BW74" si="64">SUM(BJ66:BJ73)</f>
        <v>101</v>
      </c>
      <c r="BK74" s="6314">
        <f t="shared" si="64"/>
        <v>1498</v>
      </c>
      <c r="BL74" s="6314">
        <f t="shared" si="64"/>
        <v>869</v>
      </c>
      <c r="BM74" s="6314">
        <f t="shared" si="64"/>
        <v>472</v>
      </c>
      <c r="BN74" s="6314">
        <f t="shared" si="64"/>
        <v>6</v>
      </c>
      <c r="BO74" s="6314">
        <f t="shared" si="64"/>
        <v>146</v>
      </c>
      <c r="BP74" s="6314">
        <f t="shared" si="64"/>
        <v>8</v>
      </c>
      <c r="BQ74" s="6314">
        <f t="shared" si="64"/>
        <v>2126</v>
      </c>
      <c r="BR74" s="6314">
        <f t="shared" si="64"/>
        <v>0</v>
      </c>
      <c r="BS74" s="6314">
        <f t="shared" si="64"/>
        <v>1341</v>
      </c>
      <c r="BT74" s="6314">
        <f t="shared" si="64"/>
        <v>416</v>
      </c>
      <c r="BU74" s="6314">
        <f t="shared" si="64"/>
        <v>0</v>
      </c>
      <c r="BV74" s="6314">
        <f t="shared" si="64"/>
        <v>0</v>
      </c>
      <c r="BW74" s="6314">
        <f t="shared" si="64"/>
        <v>3820</v>
      </c>
      <c r="BX74" s="6300">
        <f t="shared" si="61"/>
        <v>0.67503473830477068</v>
      </c>
      <c r="BZ74" s="4388"/>
      <c r="CA74" s="4388"/>
      <c r="CB74" s="6276" t="s">
        <v>485</v>
      </c>
      <c r="CC74" s="6320">
        <v>1144</v>
      </c>
      <c r="CD74" s="6320">
        <v>401</v>
      </c>
      <c r="CE74" s="6320"/>
      <c r="CF74" s="6320">
        <v>461</v>
      </c>
      <c r="CG74" s="6320">
        <v>3586</v>
      </c>
      <c r="CH74" s="6320">
        <v>1197</v>
      </c>
      <c r="CI74" s="6320">
        <v>110</v>
      </c>
      <c r="CJ74" s="6320">
        <v>2</v>
      </c>
      <c r="CK74" s="6320">
        <v>6</v>
      </c>
      <c r="CL74" s="6320">
        <v>98</v>
      </c>
      <c r="CM74" s="6320">
        <v>2110</v>
      </c>
      <c r="CN74" s="6320"/>
      <c r="CO74" s="6320">
        <v>1525</v>
      </c>
      <c r="CP74" s="6320">
        <v>8</v>
      </c>
      <c r="CQ74" s="6320">
        <v>10648</v>
      </c>
      <c r="CR74" s="6304">
        <f t="shared" si="51"/>
        <v>0.6478383458646616</v>
      </c>
      <c r="CS74" s="4238"/>
      <c r="CT74" s="6305"/>
      <c r="CU74" s="6316"/>
      <c r="CW74" s="97" t="s">
        <v>21</v>
      </c>
      <c r="CX74" s="42" t="s">
        <v>22</v>
      </c>
      <c r="CY74" s="42">
        <v>75</v>
      </c>
      <c r="CZ74" s="42">
        <v>70</v>
      </c>
      <c r="DB74" s="42">
        <v>58</v>
      </c>
      <c r="DC74" s="42">
        <v>834</v>
      </c>
      <c r="DD74" s="42">
        <v>167</v>
      </c>
      <c r="DE74" s="42">
        <v>177</v>
      </c>
      <c r="DG74" s="42">
        <v>0</v>
      </c>
      <c r="DH74" s="42">
        <v>9</v>
      </c>
      <c r="DI74" s="42">
        <v>137</v>
      </c>
      <c r="DK74" s="42">
        <v>263</v>
      </c>
      <c r="DM74" s="893">
        <v>1790</v>
      </c>
      <c r="DN74" s="6306">
        <f t="shared" si="53"/>
        <v>0.63575418994413413</v>
      </c>
      <c r="DP74" s="4263"/>
      <c r="DQ74" s="4263" t="s">
        <v>21</v>
      </c>
      <c r="DR74" s="4258" t="s">
        <v>22</v>
      </c>
      <c r="DS74" s="4263">
        <v>148</v>
      </c>
      <c r="DT74" s="4263">
        <v>135</v>
      </c>
      <c r="DU74" s="4263">
        <v>0</v>
      </c>
      <c r="DV74" s="4263">
        <v>47</v>
      </c>
      <c r="DW74" s="4263">
        <v>609</v>
      </c>
      <c r="DX74" s="4263">
        <v>173</v>
      </c>
      <c r="DY74" s="4263">
        <v>69</v>
      </c>
      <c r="DZ74" s="4263"/>
      <c r="EA74" s="4263">
        <v>0</v>
      </c>
      <c r="EB74" s="4263">
        <v>20</v>
      </c>
      <c r="EC74" s="4263">
        <v>227</v>
      </c>
      <c r="ED74" s="4263"/>
      <c r="EE74" s="4263">
        <v>313</v>
      </c>
      <c r="EF74" s="4263"/>
      <c r="EG74" s="4263">
        <v>1741</v>
      </c>
      <c r="EH74" s="6307">
        <f t="shared" si="54"/>
        <v>0.57955198161975874</v>
      </c>
      <c r="EK74" s="42" t="s">
        <v>21</v>
      </c>
      <c r="EL74" s="42" t="s">
        <v>22</v>
      </c>
      <c r="EM74" s="97">
        <v>141</v>
      </c>
      <c r="EN74" s="97">
        <v>118</v>
      </c>
      <c r="EO74" s="97"/>
      <c r="EP74" s="97"/>
      <c r="EQ74" s="97">
        <v>695</v>
      </c>
      <c r="ER74" s="97">
        <v>189</v>
      </c>
      <c r="ES74" s="97">
        <v>105</v>
      </c>
      <c r="ET74" s="97"/>
      <c r="EU74" s="97"/>
      <c r="EV74" s="97">
        <v>40</v>
      </c>
      <c r="EW74" s="97">
        <v>155</v>
      </c>
      <c r="EX74" s="97"/>
      <c r="EY74" s="97">
        <v>290</v>
      </c>
      <c r="EZ74" s="97"/>
      <c r="FA74" s="97">
        <v>1733</v>
      </c>
      <c r="FB74" s="6315">
        <f t="shared" si="55"/>
        <v>0.59953837276399302</v>
      </c>
      <c r="FD74" s="42"/>
      <c r="FE74" s="42" t="s">
        <v>21</v>
      </c>
      <c r="FF74" s="42" t="s">
        <v>22</v>
      </c>
      <c r="FG74" s="97">
        <v>155</v>
      </c>
      <c r="FH74" s="97">
        <v>143</v>
      </c>
      <c r="FI74" s="97">
        <v>0</v>
      </c>
      <c r="FJ74" s="97">
        <v>74</v>
      </c>
      <c r="FK74" s="97">
        <v>673</v>
      </c>
      <c r="FL74" s="97">
        <v>176</v>
      </c>
      <c r="FM74" s="97">
        <v>139</v>
      </c>
      <c r="FN74" s="97"/>
      <c r="FO74" s="97">
        <v>0</v>
      </c>
      <c r="FP74" s="97">
        <v>37</v>
      </c>
      <c r="FQ74" s="97">
        <v>168</v>
      </c>
      <c r="FR74" s="97"/>
      <c r="FS74" s="97">
        <v>290</v>
      </c>
      <c r="FT74" s="97">
        <v>1</v>
      </c>
      <c r="FU74" s="97">
        <v>1856</v>
      </c>
      <c r="FV74" s="6308">
        <f t="shared" si="45"/>
        <v>0.54824797843665773</v>
      </c>
      <c r="FW74" s="6322"/>
      <c r="FX74" s="42"/>
      <c r="FY74" s="42" t="s">
        <v>21</v>
      </c>
      <c r="FZ74" s="42" t="s">
        <v>22</v>
      </c>
      <c r="GA74" s="97">
        <v>157</v>
      </c>
      <c r="GB74" s="97">
        <v>149</v>
      </c>
      <c r="GC74" s="97"/>
      <c r="GD74" s="97">
        <v>80</v>
      </c>
      <c r="GE74" s="97">
        <v>696</v>
      </c>
      <c r="GF74" s="97">
        <v>180</v>
      </c>
      <c r="GG74" s="97">
        <v>120</v>
      </c>
      <c r="GH74" s="97"/>
      <c r="GI74" s="97">
        <v>0</v>
      </c>
      <c r="GJ74" s="97">
        <v>29</v>
      </c>
      <c r="GK74" s="97">
        <v>162</v>
      </c>
      <c r="GL74" s="97"/>
      <c r="GM74" s="97">
        <v>299</v>
      </c>
      <c r="GN74" s="97">
        <v>1</v>
      </c>
      <c r="GO74" s="97">
        <v>1873</v>
      </c>
      <c r="GP74" s="6308">
        <f t="shared" si="56"/>
        <v>0.55448717948717952</v>
      </c>
      <c r="GR74" s="6280"/>
      <c r="GS74" s="6280" t="s">
        <v>21</v>
      </c>
      <c r="GT74" s="6310" t="s">
        <v>22</v>
      </c>
      <c r="GU74" s="6311">
        <v>134</v>
      </c>
      <c r="GV74" s="6311">
        <v>138</v>
      </c>
      <c r="GW74" s="6312"/>
      <c r="GX74" s="6311">
        <v>85</v>
      </c>
      <c r="GY74" s="6311">
        <v>750</v>
      </c>
      <c r="GZ74" s="6311">
        <v>157</v>
      </c>
      <c r="HA74" s="6311">
        <v>129</v>
      </c>
      <c r="HB74" s="6312"/>
      <c r="HC74" s="6311">
        <v>0</v>
      </c>
      <c r="HD74" s="6311">
        <v>24</v>
      </c>
      <c r="HE74" s="6311">
        <v>183</v>
      </c>
      <c r="HF74" s="6312"/>
      <c r="HG74" s="6311">
        <v>329</v>
      </c>
      <c r="HH74" s="6311">
        <v>3</v>
      </c>
      <c r="HI74" s="6311">
        <v>1932</v>
      </c>
      <c r="HJ74" s="467">
        <f t="shared" si="57"/>
        <v>0.56505961638154489</v>
      </c>
      <c r="HL74" s="967"/>
      <c r="HM74" s="967" t="s">
        <v>21</v>
      </c>
      <c r="HN74" s="977" t="s">
        <v>22</v>
      </c>
      <c r="HO74" s="978">
        <v>162</v>
      </c>
      <c r="HP74" s="978">
        <v>103</v>
      </c>
      <c r="HQ74" s="978">
        <v>0</v>
      </c>
      <c r="HR74" s="978">
        <v>128</v>
      </c>
      <c r="HS74" s="978">
        <v>734</v>
      </c>
      <c r="HT74" s="978">
        <v>222</v>
      </c>
      <c r="HU74" s="978">
        <v>122</v>
      </c>
      <c r="HV74" s="967"/>
      <c r="HW74" s="967"/>
      <c r="HX74" s="978">
        <v>28</v>
      </c>
      <c r="HY74" s="978">
        <v>192</v>
      </c>
      <c r="HZ74" s="978">
        <v>443</v>
      </c>
      <c r="IA74" s="978">
        <v>0</v>
      </c>
      <c r="IB74" s="978">
        <v>2134</v>
      </c>
      <c r="IC74" s="467">
        <f t="shared" si="58"/>
        <v>0.53795688847235235</v>
      </c>
      <c r="IE74" s="577"/>
      <c r="IF74" s="577" t="s">
        <v>21</v>
      </c>
      <c r="IG74" s="979" t="s">
        <v>22</v>
      </c>
      <c r="IH74" s="980">
        <v>171</v>
      </c>
      <c r="II74" s="980">
        <v>150</v>
      </c>
      <c r="IJ74" s="577"/>
      <c r="IK74" s="980">
        <v>133</v>
      </c>
      <c r="IL74" s="980">
        <v>706</v>
      </c>
      <c r="IM74" s="980">
        <v>252</v>
      </c>
      <c r="IN74" s="980">
        <v>137</v>
      </c>
      <c r="IO74" s="577"/>
      <c r="IP74" s="577"/>
      <c r="IQ74" s="980">
        <v>30</v>
      </c>
      <c r="IR74" s="980">
        <v>168</v>
      </c>
      <c r="IS74" s="980">
        <v>434</v>
      </c>
      <c r="IT74" s="980">
        <v>0</v>
      </c>
      <c r="IU74" s="980">
        <v>2181</v>
      </c>
      <c r="IV74" s="467">
        <f t="shared" si="59"/>
        <v>0.51627693718477763</v>
      </c>
      <c r="IX74" s="742"/>
      <c r="IY74" s="742"/>
      <c r="IZ74" s="981" t="s">
        <v>24</v>
      </c>
      <c r="JA74" s="982">
        <v>68</v>
      </c>
      <c r="JB74" s="982">
        <v>36</v>
      </c>
      <c r="JC74" s="982">
        <v>0</v>
      </c>
      <c r="JD74" s="982">
        <v>54</v>
      </c>
      <c r="JE74" s="982">
        <v>230</v>
      </c>
      <c r="JF74" s="982">
        <v>133</v>
      </c>
      <c r="JG74" s="982">
        <v>75</v>
      </c>
      <c r="JH74" s="982">
        <v>0</v>
      </c>
      <c r="JI74" s="982">
        <v>11</v>
      </c>
      <c r="JJ74" s="982">
        <v>152</v>
      </c>
      <c r="JK74" s="982">
        <v>169</v>
      </c>
      <c r="JL74" s="982">
        <v>242</v>
      </c>
      <c r="JM74" s="982">
        <v>0</v>
      </c>
      <c r="JN74" s="982">
        <v>11</v>
      </c>
      <c r="JO74" s="982">
        <v>1181</v>
      </c>
      <c r="JP74" s="983">
        <f t="shared" si="60"/>
        <v>0.51448551448551449</v>
      </c>
      <c r="JR74" s="97"/>
      <c r="JS74" s="97"/>
      <c r="JT74" s="42" t="s">
        <v>24</v>
      </c>
      <c r="JU74" s="42">
        <v>47</v>
      </c>
      <c r="JV74" s="42">
        <v>46</v>
      </c>
      <c r="JW74" s="42">
        <v>1</v>
      </c>
      <c r="JX74" s="42">
        <v>57</v>
      </c>
      <c r="JY74" s="42">
        <v>240</v>
      </c>
      <c r="JZ74" s="42">
        <v>145</v>
      </c>
      <c r="KA74" s="42">
        <v>80</v>
      </c>
      <c r="KB74" s="42"/>
      <c r="KC74" s="42">
        <v>12</v>
      </c>
      <c r="KD74" s="42">
        <v>185</v>
      </c>
      <c r="KE74" s="42">
        <v>158</v>
      </c>
      <c r="KF74" s="42">
        <v>227</v>
      </c>
      <c r="KG74" s="42">
        <v>0</v>
      </c>
      <c r="KH74" s="42">
        <v>14</v>
      </c>
      <c r="KI74" s="42">
        <v>1212</v>
      </c>
      <c r="KJ74" s="984">
        <f t="shared" si="46"/>
        <v>0.54807692307692313</v>
      </c>
      <c r="KK74" s="42"/>
      <c r="KL74" s="354"/>
      <c r="KM74" s="354"/>
      <c r="KN74" s="354" t="s">
        <v>24</v>
      </c>
      <c r="KO74" s="985">
        <v>62</v>
      </c>
      <c r="KP74" s="985">
        <v>43</v>
      </c>
      <c r="KQ74" s="985" t="s">
        <v>315</v>
      </c>
      <c r="KR74" s="985">
        <v>51</v>
      </c>
      <c r="KS74" s="985">
        <v>239</v>
      </c>
      <c r="KT74" s="985">
        <v>127</v>
      </c>
      <c r="KU74" s="985">
        <v>98</v>
      </c>
      <c r="KV74" s="985" t="s">
        <v>315</v>
      </c>
      <c r="KW74" s="985">
        <v>12</v>
      </c>
      <c r="KX74" s="985">
        <v>205</v>
      </c>
      <c r="KY74" s="985">
        <v>228</v>
      </c>
      <c r="KZ74" s="985" t="s">
        <v>315</v>
      </c>
      <c r="LA74" s="985">
        <v>1065</v>
      </c>
      <c r="LB74" s="985">
        <f t="shared" si="47"/>
        <v>571</v>
      </c>
      <c r="LC74" s="986">
        <f t="shared" si="48"/>
        <v>0.53615023474178403</v>
      </c>
      <c r="LD74" s="42"/>
      <c r="LE74" s="42"/>
    </row>
    <row r="75" spans="1:317">
      <c r="A75" s="6291">
        <v>4</v>
      </c>
      <c r="B75" s="6291">
        <v>5</v>
      </c>
      <c r="C75" s="6291">
        <v>138</v>
      </c>
      <c r="D75" s="6292">
        <v>482</v>
      </c>
      <c r="E75" s="6291">
        <v>25</v>
      </c>
      <c r="F75" s="6291">
        <v>68</v>
      </c>
      <c r="G75" s="6291">
        <v>50</v>
      </c>
      <c r="H75" s="6291">
        <v>16</v>
      </c>
      <c r="I75" s="6291">
        <v>1</v>
      </c>
      <c r="J75" s="6293"/>
      <c r="K75" s="6291">
        <v>72</v>
      </c>
      <c r="L75" s="6291">
        <v>5</v>
      </c>
      <c r="M75" s="6291">
        <v>22</v>
      </c>
      <c r="N75" s="6291">
        <v>51</v>
      </c>
      <c r="O75" s="6293"/>
      <c r="P75" s="6291">
        <v>172</v>
      </c>
      <c r="Q75" s="6294">
        <f t="shared" si="49"/>
        <v>0.55186721991701249</v>
      </c>
      <c r="S75" s="6295">
        <v>3</v>
      </c>
      <c r="T75" s="6295">
        <v>4</v>
      </c>
      <c r="U75" s="6295">
        <v>85</v>
      </c>
      <c r="V75" s="6295">
        <v>1784</v>
      </c>
      <c r="W75" s="6295">
        <v>18</v>
      </c>
      <c r="X75" s="6295">
        <v>250</v>
      </c>
      <c r="Y75" s="6295">
        <v>167</v>
      </c>
      <c r="Z75" s="6295">
        <v>35</v>
      </c>
      <c r="AA75" s="6296"/>
      <c r="AB75" s="6295">
        <v>27</v>
      </c>
      <c r="AC75" s="6295">
        <v>283</v>
      </c>
      <c r="AD75" s="6296"/>
      <c r="AE75" s="6295">
        <v>178</v>
      </c>
      <c r="AF75" s="6295">
        <v>199</v>
      </c>
      <c r="AG75" s="6296"/>
      <c r="AH75" s="6295">
        <v>627</v>
      </c>
      <c r="AI75" s="6294">
        <f t="shared" si="5"/>
        <v>0.60986547085201792</v>
      </c>
      <c r="AJ75" s="6295"/>
      <c r="AK75" s="6297">
        <v>3</v>
      </c>
      <c r="AL75" s="6297">
        <v>4</v>
      </c>
      <c r="AM75" s="6297">
        <v>85</v>
      </c>
      <c r="AN75" s="6298">
        <v>1784</v>
      </c>
      <c r="AO75" s="6297">
        <v>17</v>
      </c>
      <c r="AP75" s="6297">
        <v>250</v>
      </c>
      <c r="AQ75" s="6297">
        <v>173</v>
      </c>
      <c r="AR75" s="6297">
        <v>35</v>
      </c>
      <c r="AS75" s="6299"/>
      <c r="AT75" s="6297">
        <v>27</v>
      </c>
      <c r="AU75" s="6299"/>
      <c r="AV75" s="6297">
        <v>322</v>
      </c>
      <c r="AW75" s="6297">
        <v>149</v>
      </c>
      <c r="AX75" s="6299"/>
      <c r="AY75" s="6297">
        <v>193</v>
      </c>
      <c r="AZ75" s="6299"/>
      <c r="BA75" s="6297">
        <v>1</v>
      </c>
      <c r="BB75" s="6297">
        <v>617</v>
      </c>
      <c r="BC75" s="6300">
        <f t="shared" si="50"/>
        <v>0.60986547085201792</v>
      </c>
      <c r="BE75" s="6313">
        <v>3</v>
      </c>
      <c r="BF75" s="6313">
        <v>4</v>
      </c>
      <c r="BG75" s="6313">
        <v>85</v>
      </c>
      <c r="BH75" s="4405" t="s">
        <v>22</v>
      </c>
      <c r="BI75" s="6314">
        <v>1757</v>
      </c>
      <c r="BJ75" s="6313">
        <v>21</v>
      </c>
      <c r="BK75" s="6313">
        <v>311</v>
      </c>
      <c r="BL75" s="6313">
        <v>189</v>
      </c>
      <c r="BM75" s="6313">
        <v>41</v>
      </c>
      <c r="BN75" s="6303"/>
      <c r="BO75" s="6313">
        <v>33</v>
      </c>
      <c r="BP75" s="6303"/>
      <c r="BQ75" s="6313">
        <v>231</v>
      </c>
      <c r="BR75" s="6303"/>
      <c r="BS75" s="6313">
        <v>201</v>
      </c>
      <c r="BT75" s="6313">
        <v>128</v>
      </c>
      <c r="BU75" s="6303"/>
      <c r="BV75" s="6303"/>
      <c r="BW75" s="6313">
        <v>602</v>
      </c>
      <c r="BX75" s="6300">
        <f t="shared" si="61"/>
        <v>0.58850313033579971</v>
      </c>
      <c r="BZ75" s="4388"/>
      <c r="CA75" s="4388" t="s">
        <v>21</v>
      </c>
      <c r="CB75" s="4388" t="s">
        <v>22</v>
      </c>
      <c r="CC75" s="4231">
        <v>183</v>
      </c>
      <c r="CD75" s="4231">
        <v>131</v>
      </c>
      <c r="CE75" s="4231"/>
      <c r="CF75" s="4231">
        <v>40</v>
      </c>
      <c r="CG75" s="4231">
        <v>585</v>
      </c>
      <c r="CH75" s="4231">
        <v>173</v>
      </c>
      <c r="CI75" s="4231">
        <v>33</v>
      </c>
      <c r="CJ75" s="4231">
        <v>6</v>
      </c>
      <c r="CK75" s="4231">
        <v>0</v>
      </c>
      <c r="CL75" s="4231">
        <v>23</v>
      </c>
      <c r="CM75" s="4231">
        <v>271</v>
      </c>
      <c r="CN75" s="4231"/>
      <c r="CO75" s="4231">
        <v>322</v>
      </c>
      <c r="CP75" s="4231"/>
      <c r="CQ75" s="4231">
        <v>1767</v>
      </c>
      <c r="CR75" s="6304">
        <f t="shared" si="51"/>
        <v>0.58234295415959259</v>
      </c>
      <c r="CS75" s="4238">
        <f t="shared" si="52"/>
        <v>10</v>
      </c>
      <c r="CT75" s="6305">
        <v>1757</v>
      </c>
      <c r="CU75" s="6316"/>
      <c r="CX75" s="42" t="s">
        <v>23</v>
      </c>
      <c r="CY75" s="42">
        <v>15</v>
      </c>
      <c r="CZ75" s="42">
        <v>19</v>
      </c>
      <c r="DB75" s="42">
        <v>15</v>
      </c>
      <c r="DC75" s="42">
        <v>439</v>
      </c>
      <c r="DD75" s="42">
        <v>98</v>
      </c>
      <c r="DE75" s="42">
        <v>52</v>
      </c>
      <c r="DG75" s="42">
        <v>0</v>
      </c>
      <c r="DH75" s="42">
        <v>4</v>
      </c>
      <c r="DI75" s="42">
        <v>131</v>
      </c>
      <c r="DK75" s="42">
        <v>98</v>
      </c>
      <c r="DM75" s="893">
        <v>871</v>
      </c>
      <c r="DN75" s="6306">
        <f t="shared" si="53"/>
        <v>0.76693455797933408</v>
      </c>
      <c r="DP75" s="4263"/>
      <c r="DQ75" s="4263"/>
      <c r="DR75" s="4258" t="s">
        <v>23</v>
      </c>
      <c r="DS75" s="4263">
        <v>35</v>
      </c>
      <c r="DT75" s="4263">
        <v>61</v>
      </c>
      <c r="DU75" s="4263">
        <v>0</v>
      </c>
      <c r="DV75" s="4263">
        <v>10</v>
      </c>
      <c r="DW75" s="4263">
        <v>322</v>
      </c>
      <c r="DX75" s="4263">
        <v>132</v>
      </c>
      <c r="DY75" s="4263">
        <v>9</v>
      </c>
      <c r="DZ75" s="4263"/>
      <c r="EA75" s="4263">
        <v>1</v>
      </c>
      <c r="EB75" s="4263">
        <v>6</v>
      </c>
      <c r="EC75" s="4263">
        <v>177</v>
      </c>
      <c r="ED75" s="4263"/>
      <c r="EE75" s="4263">
        <v>124</v>
      </c>
      <c r="EF75" s="4263"/>
      <c r="EG75" s="4263">
        <v>877</v>
      </c>
      <c r="EH75" s="6307">
        <f t="shared" si="54"/>
        <v>0.7194982896237172</v>
      </c>
      <c r="EL75" s="42" t="s">
        <v>23</v>
      </c>
      <c r="EM75" s="97">
        <v>28</v>
      </c>
      <c r="EN75" s="97">
        <v>40</v>
      </c>
      <c r="EO75" s="97"/>
      <c r="EP75" s="97"/>
      <c r="EQ75" s="97">
        <v>352</v>
      </c>
      <c r="ER75" s="97">
        <v>118</v>
      </c>
      <c r="ES75" s="97">
        <v>30</v>
      </c>
      <c r="ET75" s="97"/>
      <c r="EU75" s="97"/>
      <c r="EV75" s="97">
        <v>6</v>
      </c>
      <c r="EW75" s="97">
        <v>171</v>
      </c>
      <c r="EX75" s="97"/>
      <c r="EY75" s="97">
        <v>110</v>
      </c>
      <c r="EZ75" s="97"/>
      <c r="FA75" s="97">
        <v>855</v>
      </c>
      <c r="FB75" s="6315">
        <f t="shared" si="55"/>
        <v>0.74970760233918132</v>
      </c>
      <c r="FD75" s="42"/>
      <c r="FE75" s="42"/>
      <c r="FF75" s="42" t="s">
        <v>23</v>
      </c>
      <c r="FG75" s="97">
        <v>34</v>
      </c>
      <c r="FH75" s="97">
        <v>44</v>
      </c>
      <c r="FI75" s="97">
        <v>1</v>
      </c>
      <c r="FJ75" s="97">
        <v>20</v>
      </c>
      <c r="FK75" s="97">
        <v>296</v>
      </c>
      <c r="FL75" s="97">
        <v>134</v>
      </c>
      <c r="FM75" s="97">
        <v>37</v>
      </c>
      <c r="FN75" s="97"/>
      <c r="FO75" s="97">
        <v>0</v>
      </c>
      <c r="FP75" s="97">
        <v>5</v>
      </c>
      <c r="FQ75" s="97">
        <v>194</v>
      </c>
      <c r="FR75" s="97"/>
      <c r="FS75" s="97">
        <v>101</v>
      </c>
      <c r="FT75" s="97">
        <v>0</v>
      </c>
      <c r="FU75" s="97">
        <v>866</v>
      </c>
      <c r="FV75" s="6308">
        <f t="shared" si="45"/>
        <v>0.72055427251732107</v>
      </c>
      <c r="FW75" s="6322"/>
      <c r="FX75" s="42"/>
      <c r="FY75" s="42"/>
      <c r="FZ75" s="42" t="s">
        <v>23</v>
      </c>
      <c r="GA75" s="97">
        <v>34</v>
      </c>
      <c r="GB75" s="97">
        <v>39</v>
      </c>
      <c r="GC75" s="97"/>
      <c r="GD75" s="97">
        <v>23</v>
      </c>
      <c r="GE75" s="97">
        <v>298</v>
      </c>
      <c r="GF75" s="97">
        <v>131</v>
      </c>
      <c r="GG75" s="97">
        <v>35</v>
      </c>
      <c r="GH75" s="97"/>
      <c r="GI75" s="97">
        <v>0</v>
      </c>
      <c r="GJ75" s="97">
        <v>8</v>
      </c>
      <c r="GK75" s="97">
        <v>201</v>
      </c>
      <c r="GL75" s="97"/>
      <c r="GM75" s="97">
        <v>102</v>
      </c>
      <c r="GN75" s="97">
        <v>0</v>
      </c>
      <c r="GO75" s="97">
        <v>871</v>
      </c>
      <c r="GP75" s="6308">
        <f t="shared" si="56"/>
        <v>0.72330654420206664</v>
      </c>
      <c r="GR75" s="6280"/>
      <c r="GS75" s="6280"/>
      <c r="GT75" s="6310" t="s">
        <v>23</v>
      </c>
      <c r="GU75" s="6311">
        <v>43</v>
      </c>
      <c r="GV75" s="6311">
        <v>38</v>
      </c>
      <c r="GW75" s="6312"/>
      <c r="GX75" s="6311">
        <v>22</v>
      </c>
      <c r="GY75" s="6311">
        <v>322</v>
      </c>
      <c r="GZ75" s="6311">
        <v>131</v>
      </c>
      <c r="HA75" s="6311">
        <v>39</v>
      </c>
      <c r="HB75" s="6312"/>
      <c r="HC75" s="6311">
        <v>0</v>
      </c>
      <c r="HD75" s="6311">
        <v>10</v>
      </c>
      <c r="HE75" s="6311">
        <v>174</v>
      </c>
      <c r="HF75" s="6312"/>
      <c r="HG75" s="6311">
        <v>112</v>
      </c>
      <c r="HH75" s="6311">
        <v>0</v>
      </c>
      <c r="HI75" s="6311">
        <v>891</v>
      </c>
      <c r="HJ75" s="467">
        <f t="shared" si="57"/>
        <v>0.70370370370370372</v>
      </c>
      <c r="HL75" s="967"/>
      <c r="HM75" s="967"/>
      <c r="HN75" s="977" t="s">
        <v>23</v>
      </c>
      <c r="HO75" s="978">
        <v>47</v>
      </c>
      <c r="HP75" s="978">
        <v>29</v>
      </c>
      <c r="HQ75" s="978">
        <v>0</v>
      </c>
      <c r="HR75" s="978">
        <v>32</v>
      </c>
      <c r="HS75" s="978">
        <v>323</v>
      </c>
      <c r="HT75" s="978">
        <v>135</v>
      </c>
      <c r="HU75" s="978">
        <v>53</v>
      </c>
      <c r="HV75" s="967"/>
      <c r="HW75" s="967"/>
      <c r="HX75" s="978">
        <v>6</v>
      </c>
      <c r="HY75" s="978">
        <v>191</v>
      </c>
      <c r="HZ75" s="978">
        <v>148</v>
      </c>
      <c r="IA75" s="978">
        <v>0</v>
      </c>
      <c r="IB75" s="978">
        <v>964</v>
      </c>
      <c r="IC75" s="467">
        <f t="shared" si="58"/>
        <v>0.67323651452282163</v>
      </c>
      <c r="IE75" s="577"/>
      <c r="IF75" s="577"/>
      <c r="IG75" s="979" t="s">
        <v>23</v>
      </c>
      <c r="IH75" s="980">
        <v>44</v>
      </c>
      <c r="II75" s="980">
        <v>62</v>
      </c>
      <c r="IJ75" s="577"/>
      <c r="IK75" s="980">
        <v>38</v>
      </c>
      <c r="IL75" s="980">
        <v>349</v>
      </c>
      <c r="IM75" s="980">
        <v>138</v>
      </c>
      <c r="IN75" s="980">
        <v>47</v>
      </c>
      <c r="IO75" s="577"/>
      <c r="IP75" s="577"/>
      <c r="IQ75" s="980">
        <v>7</v>
      </c>
      <c r="IR75" s="980">
        <v>174</v>
      </c>
      <c r="IS75" s="980">
        <v>147</v>
      </c>
      <c r="IT75" s="980">
        <v>0</v>
      </c>
      <c r="IU75" s="980">
        <v>1006</v>
      </c>
      <c r="IV75" s="467">
        <f t="shared" si="59"/>
        <v>0.65705765407554673</v>
      </c>
      <c r="IX75" s="742"/>
      <c r="IY75" s="742"/>
      <c r="IZ75" s="981" t="s">
        <v>58</v>
      </c>
      <c r="JA75" s="982">
        <v>57</v>
      </c>
      <c r="JB75" s="982">
        <v>41</v>
      </c>
      <c r="JC75" s="982">
        <v>0</v>
      </c>
      <c r="JD75" s="982">
        <v>85</v>
      </c>
      <c r="JE75" s="982">
        <v>190</v>
      </c>
      <c r="JF75" s="982">
        <v>76</v>
      </c>
      <c r="JG75" s="982">
        <v>30</v>
      </c>
      <c r="JH75" s="982">
        <v>0</v>
      </c>
      <c r="JI75" s="982">
        <v>6</v>
      </c>
      <c r="JJ75" s="982">
        <v>51</v>
      </c>
      <c r="JK75" s="982">
        <v>141</v>
      </c>
      <c r="JL75" s="982">
        <v>142</v>
      </c>
      <c r="JM75" s="982">
        <v>106</v>
      </c>
      <c r="JN75" s="982">
        <v>11</v>
      </c>
      <c r="JO75" s="982">
        <v>936</v>
      </c>
      <c r="JP75" s="983">
        <f t="shared" si="60"/>
        <v>0.40433673469387754</v>
      </c>
      <c r="JR75" s="97"/>
      <c r="JS75" s="97"/>
      <c r="JT75" s="42" t="s">
        <v>58</v>
      </c>
      <c r="JU75" s="42">
        <v>42</v>
      </c>
      <c r="JV75" s="42">
        <v>33</v>
      </c>
      <c r="JW75" s="42">
        <v>0</v>
      </c>
      <c r="JX75" s="42">
        <v>81</v>
      </c>
      <c r="JY75" s="42">
        <v>170</v>
      </c>
      <c r="JZ75" s="42">
        <v>72</v>
      </c>
      <c r="KA75" s="42">
        <v>46</v>
      </c>
      <c r="KB75" s="42"/>
      <c r="KC75" s="42">
        <v>8</v>
      </c>
      <c r="KD75" s="42">
        <v>57</v>
      </c>
      <c r="KE75" s="42">
        <v>145</v>
      </c>
      <c r="KF75" s="42">
        <v>141</v>
      </c>
      <c r="KG75" s="42">
        <v>106</v>
      </c>
      <c r="KH75" s="42">
        <v>12</v>
      </c>
      <c r="KI75" s="42">
        <v>913</v>
      </c>
      <c r="KJ75" s="984">
        <f t="shared" si="46"/>
        <v>0.39550264550264552</v>
      </c>
      <c r="KK75" s="42"/>
      <c r="KL75" s="354"/>
      <c r="KM75" s="354"/>
      <c r="KN75" s="354" t="s">
        <v>58</v>
      </c>
      <c r="KO75" s="985">
        <v>33</v>
      </c>
      <c r="KP75" s="985">
        <v>20</v>
      </c>
      <c r="KQ75" s="985" t="s">
        <v>315</v>
      </c>
      <c r="KR75" s="985">
        <v>75</v>
      </c>
      <c r="KS75" s="985">
        <v>153</v>
      </c>
      <c r="KT75" s="985">
        <v>80</v>
      </c>
      <c r="KU75" s="985">
        <v>45</v>
      </c>
      <c r="KV75" s="985" t="s">
        <v>315</v>
      </c>
      <c r="KW75" s="985">
        <v>2</v>
      </c>
      <c r="KX75" s="985">
        <v>66</v>
      </c>
      <c r="KY75" s="985">
        <v>149</v>
      </c>
      <c r="KZ75" s="985">
        <v>97</v>
      </c>
      <c r="LA75" s="985">
        <v>720</v>
      </c>
      <c r="LB75" s="985">
        <f t="shared" si="47"/>
        <v>299</v>
      </c>
      <c r="LC75" s="986">
        <f t="shared" si="48"/>
        <v>0.4152777777777778</v>
      </c>
      <c r="LD75" s="42"/>
      <c r="LE75" s="42"/>
    </row>
    <row r="76" spans="1:317">
      <c r="A76" s="6291">
        <v>4</v>
      </c>
      <c r="B76" s="6291">
        <v>6</v>
      </c>
      <c r="C76" s="6291">
        <v>131</v>
      </c>
      <c r="D76" s="6292">
        <v>356</v>
      </c>
      <c r="E76" s="6291">
        <v>19</v>
      </c>
      <c r="F76" s="6291">
        <v>93</v>
      </c>
      <c r="G76" s="6291">
        <v>98</v>
      </c>
      <c r="H76" s="6291">
        <v>26</v>
      </c>
      <c r="I76" s="6293"/>
      <c r="J76" s="6291">
        <v>3</v>
      </c>
      <c r="K76" s="6291">
        <v>16</v>
      </c>
      <c r="L76" s="6293"/>
      <c r="M76" s="6291">
        <v>7</v>
      </c>
      <c r="N76" s="6291">
        <v>35</v>
      </c>
      <c r="O76" s="6293"/>
      <c r="P76" s="6291">
        <v>59</v>
      </c>
      <c r="Q76" s="6294">
        <f t="shared" si="49"/>
        <v>0.2303370786516854</v>
      </c>
      <c r="S76" s="6295">
        <v>3</v>
      </c>
      <c r="T76" s="6295">
        <v>4</v>
      </c>
      <c r="U76" s="6295">
        <v>86</v>
      </c>
      <c r="V76" s="6295">
        <v>878</v>
      </c>
      <c r="W76" s="6295">
        <v>3</v>
      </c>
      <c r="X76" s="6295">
        <v>96</v>
      </c>
      <c r="Y76" s="6295">
        <v>49</v>
      </c>
      <c r="Z76" s="6295">
        <v>11</v>
      </c>
      <c r="AA76" s="6295">
        <v>1</v>
      </c>
      <c r="AB76" s="6295">
        <v>3</v>
      </c>
      <c r="AC76" s="6295">
        <v>197</v>
      </c>
      <c r="AD76" s="6296"/>
      <c r="AE76" s="6295">
        <v>128</v>
      </c>
      <c r="AF76" s="6295">
        <v>67</v>
      </c>
      <c r="AG76" s="6296"/>
      <c r="AH76" s="6295">
        <v>323</v>
      </c>
      <c r="AI76" s="6294">
        <f t="shared" si="5"/>
        <v>0.73804100227790437</v>
      </c>
      <c r="AJ76" s="6295"/>
      <c r="AK76" s="6297">
        <v>3</v>
      </c>
      <c r="AL76" s="6297">
        <v>4</v>
      </c>
      <c r="AM76" s="6297">
        <v>86</v>
      </c>
      <c r="AN76" s="6298">
        <v>878</v>
      </c>
      <c r="AO76" s="6297">
        <v>2</v>
      </c>
      <c r="AP76" s="6297">
        <v>97</v>
      </c>
      <c r="AQ76" s="6297">
        <v>44</v>
      </c>
      <c r="AR76" s="6297">
        <v>11</v>
      </c>
      <c r="AS76" s="6297">
        <v>1</v>
      </c>
      <c r="AT76" s="6297">
        <v>3</v>
      </c>
      <c r="AU76" s="6299"/>
      <c r="AV76" s="6297">
        <v>223</v>
      </c>
      <c r="AW76" s="6297">
        <v>110</v>
      </c>
      <c r="AX76" s="6297">
        <v>1</v>
      </c>
      <c r="AY76" s="6297">
        <v>72</v>
      </c>
      <c r="AZ76" s="6299"/>
      <c r="BA76" s="6299"/>
      <c r="BB76" s="6297">
        <v>314</v>
      </c>
      <c r="BC76" s="6300">
        <f t="shared" si="50"/>
        <v>0.7369020501138952</v>
      </c>
      <c r="BE76" s="6313">
        <v>3</v>
      </c>
      <c r="BF76" s="6313">
        <v>4</v>
      </c>
      <c r="BG76" s="6313">
        <v>86</v>
      </c>
      <c r="BH76" s="4405" t="s">
        <v>23</v>
      </c>
      <c r="BI76" s="6314">
        <v>874</v>
      </c>
      <c r="BJ76" s="6313">
        <v>4</v>
      </c>
      <c r="BK76" s="6313">
        <v>114</v>
      </c>
      <c r="BL76" s="6313">
        <v>48</v>
      </c>
      <c r="BM76" s="6313">
        <v>11</v>
      </c>
      <c r="BN76" s="6313">
        <v>1</v>
      </c>
      <c r="BO76" s="6313">
        <v>3</v>
      </c>
      <c r="BP76" s="6303"/>
      <c r="BQ76" s="6313">
        <v>199</v>
      </c>
      <c r="BR76" s="6303"/>
      <c r="BS76" s="6313">
        <v>117</v>
      </c>
      <c r="BT76" s="6313">
        <v>45</v>
      </c>
      <c r="BU76" s="6303"/>
      <c r="BV76" s="6303"/>
      <c r="BW76" s="6313">
        <v>332</v>
      </c>
      <c r="BX76" s="6300">
        <f t="shared" si="61"/>
        <v>0.74141876430205955</v>
      </c>
      <c r="BZ76" s="4388"/>
      <c r="CA76" s="4388"/>
      <c r="CB76" s="4388" t="s">
        <v>23</v>
      </c>
      <c r="CC76" s="4231">
        <v>43</v>
      </c>
      <c r="CD76" s="4231">
        <v>46</v>
      </c>
      <c r="CE76" s="4231"/>
      <c r="CF76" s="4231">
        <v>11</v>
      </c>
      <c r="CG76" s="4231">
        <v>328</v>
      </c>
      <c r="CH76" s="4231">
        <v>108</v>
      </c>
      <c r="CI76" s="4231">
        <v>3</v>
      </c>
      <c r="CJ76" s="4231">
        <v>22</v>
      </c>
      <c r="CK76" s="4231">
        <v>1</v>
      </c>
      <c r="CL76" s="4231">
        <v>10</v>
      </c>
      <c r="CM76" s="4231">
        <v>191</v>
      </c>
      <c r="CN76" s="4231"/>
      <c r="CO76" s="4231">
        <v>116</v>
      </c>
      <c r="CP76" s="4231"/>
      <c r="CQ76" s="4231">
        <v>879</v>
      </c>
      <c r="CR76" s="6304">
        <f t="shared" si="51"/>
        <v>0.71331058020477811</v>
      </c>
      <c r="CS76" s="4238">
        <f t="shared" si="52"/>
        <v>5</v>
      </c>
      <c r="CT76" s="6305">
        <v>874</v>
      </c>
      <c r="CU76" s="6316"/>
      <c r="CX76" s="42" t="s">
        <v>24</v>
      </c>
      <c r="CY76" s="42">
        <v>29</v>
      </c>
      <c r="CZ76" s="42">
        <v>30</v>
      </c>
      <c r="DB76" s="42">
        <v>39</v>
      </c>
      <c r="DC76" s="42">
        <v>325</v>
      </c>
      <c r="DD76" s="42">
        <v>95</v>
      </c>
      <c r="DE76" s="42">
        <v>96</v>
      </c>
      <c r="DG76" s="42">
        <v>0</v>
      </c>
      <c r="DH76" s="42">
        <v>5</v>
      </c>
      <c r="DI76" s="42">
        <v>114</v>
      </c>
      <c r="DK76" s="42">
        <v>136</v>
      </c>
      <c r="DM76" s="893">
        <v>869</v>
      </c>
      <c r="DN76" s="6306">
        <f t="shared" si="53"/>
        <v>0.61449942462600693</v>
      </c>
      <c r="DP76" s="4263"/>
      <c r="DQ76" s="4263"/>
      <c r="DR76" s="4258" t="s">
        <v>24</v>
      </c>
      <c r="DS76" s="4263">
        <v>63</v>
      </c>
      <c r="DT76" s="4263">
        <v>68</v>
      </c>
      <c r="DU76" s="4263">
        <v>0</v>
      </c>
      <c r="DV76" s="4263">
        <v>34</v>
      </c>
      <c r="DW76" s="4263">
        <v>232</v>
      </c>
      <c r="DX76" s="4263">
        <v>110</v>
      </c>
      <c r="DY76" s="4263">
        <v>33</v>
      </c>
      <c r="DZ76" s="4263"/>
      <c r="EA76" s="4263">
        <v>0</v>
      </c>
      <c r="EB76" s="4263">
        <v>10</v>
      </c>
      <c r="EC76" s="4263">
        <v>170</v>
      </c>
      <c r="ED76" s="4263"/>
      <c r="EE76" s="4263">
        <v>158</v>
      </c>
      <c r="EF76" s="4263"/>
      <c r="EG76" s="4263">
        <v>878</v>
      </c>
      <c r="EH76" s="6307">
        <f t="shared" si="54"/>
        <v>0.58314350797266512</v>
      </c>
      <c r="EL76" s="42" t="s">
        <v>24</v>
      </c>
      <c r="EM76" s="97">
        <v>83</v>
      </c>
      <c r="EN76" s="97">
        <v>47</v>
      </c>
      <c r="EO76" s="97"/>
      <c r="EP76" s="97"/>
      <c r="EQ76" s="97">
        <v>235</v>
      </c>
      <c r="ER76" s="97">
        <v>110</v>
      </c>
      <c r="ES76" s="97">
        <v>56</v>
      </c>
      <c r="ET76" s="97"/>
      <c r="EU76" s="97"/>
      <c r="EV76" s="97">
        <v>6</v>
      </c>
      <c r="EW76" s="97">
        <v>137</v>
      </c>
      <c r="EX76" s="97"/>
      <c r="EY76" s="97">
        <v>154</v>
      </c>
      <c r="EZ76" s="97"/>
      <c r="FA76" s="97">
        <v>828</v>
      </c>
      <c r="FB76" s="6315">
        <f t="shared" si="55"/>
        <v>0.58212560386473433</v>
      </c>
      <c r="FD76" s="42"/>
      <c r="FE76" s="42"/>
      <c r="FF76" s="42" t="s">
        <v>24</v>
      </c>
      <c r="FG76" s="97">
        <v>62</v>
      </c>
      <c r="FH76" s="97">
        <v>67</v>
      </c>
      <c r="FI76" s="97">
        <v>0</v>
      </c>
      <c r="FJ76" s="97">
        <v>43</v>
      </c>
      <c r="FK76" s="97">
        <v>204</v>
      </c>
      <c r="FL76" s="97">
        <v>102</v>
      </c>
      <c r="FM76" s="97">
        <v>62</v>
      </c>
      <c r="FN76" s="97"/>
      <c r="FO76" s="97">
        <v>0</v>
      </c>
      <c r="FP76" s="97">
        <v>15</v>
      </c>
      <c r="FQ76" s="97">
        <v>155</v>
      </c>
      <c r="FR76" s="97"/>
      <c r="FS76" s="97">
        <v>152</v>
      </c>
      <c r="FT76" s="97">
        <v>1</v>
      </c>
      <c r="FU76" s="97">
        <v>863</v>
      </c>
      <c r="FV76" s="6308">
        <f t="shared" si="45"/>
        <v>0.53480278422273786</v>
      </c>
      <c r="FW76" s="6322"/>
      <c r="FX76" s="42"/>
      <c r="FY76" s="42"/>
      <c r="FZ76" s="42" t="s">
        <v>24</v>
      </c>
      <c r="GA76" s="97">
        <v>72</v>
      </c>
      <c r="GB76" s="97">
        <v>50</v>
      </c>
      <c r="GC76" s="97"/>
      <c r="GD76" s="97">
        <v>46</v>
      </c>
      <c r="GE76" s="97">
        <v>206</v>
      </c>
      <c r="GF76" s="97">
        <v>74</v>
      </c>
      <c r="GG76" s="97">
        <v>69</v>
      </c>
      <c r="GH76" s="97"/>
      <c r="GI76" s="97">
        <v>0</v>
      </c>
      <c r="GJ76" s="97">
        <v>10</v>
      </c>
      <c r="GK76" s="97">
        <v>158</v>
      </c>
      <c r="GL76" s="97"/>
      <c r="GM76" s="97">
        <v>167</v>
      </c>
      <c r="GN76" s="97">
        <v>1</v>
      </c>
      <c r="GO76" s="97">
        <v>853</v>
      </c>
      <c r="GP76" s="6308">
        <f t="shared" si="56"/>
        <v>0.5140845070422535</v>
      </c>
      <c r="GR76" s="6280"/>
      <c r="GS76" s="6280"/>
      <c r="GT76" s="6310" t="s">
        <v>24</v>
      </c>
      <c r="GU76" s="6311">
        <v>79</v>
      </c>
      <c r="GV76" s="6311">
        <v>55</v>
      </c>
      <c r="GW76" s="6312"/>
      <c r="GX76" s="6311">
        <v>49</v>
      </c>
      <c r="GY76" s="6311">
        <v>214</v>
      </c>
      <c r="GZ76" s="6311">
        <v>98</v>
      </c>
      <c r="HA76" s="6311">
        <v>57</v>
      </c>
      <c r="HB76" s="6312"/>
      <c r="HC76" s="6311">
        <v>0</v>
      </c>
      <c r="HD76" s="6311">
        <v>9</v>
      </c>
      <c r="HE76" s="6311">
        <v>124</v>
      </c>
      <c r="HF76" s="6312"/>
      <c r="HG76" s="6311">
        <v>177</v>
      </c>
      <c r="HH76" s="6311">
        <v>2</v>
      </c>
      <c r="HI76" s="6311">
        <v>864</v>
      </c>
      <c r="HJ76" s="467">
        <f t="shared" si="57"/>
        <v>0.50580046403712298</v>
      </c>
      <c r="HL76" s="967"/>
      <c r="HM76" s="967"/>
      <c r="HN76" s="977" t="s">
        <v>24</v>
      </c>
      <c r="HO76" s="978">
        <v>59</v>
      </c>
      <c r="HP76" s="978">
        <v>45</v>
      </c>
      <c r="HQ76" s="978">
        <v>0</v>
      </c>
      <c r="HR76" s="978">
        <v>61</v>
      </c>
      <c r="HS76" s="978">
        <v>216</v>
      </c>
      <c r="HT76" s="978">
        <v>114</v>
      </c>
      <c r="HU76" s="978">
        <v>79</v>
      </c>
      <c r="HV76" s="967"/>
      <c r="HW76" s="967"/>
      <c r="HX76" s="978">
        <v>21</v>
      </c>
      <c r="HY76" s="978">
        <v>140</v>
      </c>
      <c r="HZ76" s="978">
        <v>227</v>
      </c>
      <c r="IA76" s="978">
        <v>0</v>
      </c>
      <c r="IB76" s="978">
        <v>962</v>
      </c>
      <c r="IC76" s="467">
        <f t="shared" si="58"/>
        <v>0.48856548856548859</v>
      </c>
      <c r="IE76" s="577"/>
      <c r="IF76" s="577"/>
      <c r="IG76" s="979" t="s">
        <v>24</v>
      </c>
      <c r="IH76" s="980">
        <v>48</v>
      </c>
      <c r="II76" s="980">
        <v>60</v>
      </c>
      <c r="IJ76" s="577"/>
      <c r="IK76" s="980">
        <v>63</v>
      </c>
      <c r="IL76" s="980">
        <v>220</v>
      </c>
      <c r="IM76" s="980">
        <v>124</v>
      </c>
      <c r="IN76" s="980">
        <v>69</v>
      </c>
      <c r="IO76" s="577"/>
      <c r="IP76" s="577"/>
      <c r="IQ76" s="980">
        <v>9</v>
      </c>
      <c r="IR76" s="980">
        <v>147</v>
      </c>
      <c r="IS76" s="980">
        <v>231</v>
      </c>
      <c r="IT76" s="980">
        <v>0</v>
      </c>
      <c r="IU76" s="980">
        <v>971</v>
      </c>
      <c r="IV76" s="467">
        <f t="shared" si="59"/>
        <v>0.50566426364572603</v>
      </c>
      <c r="IX76" s="997"/>
      <c r="IY76" s="997"/>
      <c r="IZ76" s="998" t="s">
        <v>484</v>
      </c>
      <c r="JA76" s="999">
        <v>383</v>
      </c>
      <c r="JB76" s="999">
        <v>240</v>
      </c>
      <c r="JC76" s="999">
        <v>0</v>
      </c>
      <c r="JD76" s="999">
        <v>311</v>
      </c>
      <c r="JE76" s="999">
        <v>1465</v>
      </c>
      <c r="JF76" s="999">
        <v>585</v>
      </c>
      <c r="JG76" s="999">
        <v>334</v>
      </c>
      <c r="JH76" s="999">
        <v>0</v>
      </c>
      <c r="JI76" s="999">
        <v>51</v>
      </c>
      <c r="JJ76" s="999">
        <v>557</v>
      </c>
      <c r="JK76" s="999">
        <v>809</v>
      </c>
      <c r="JL76" s="999">
        <v>1011</v>
      </c>
      <c r="JM76" s="999">
        <v>106</v>
      </c>
      <c r="JN76" s="999">
        <v>49</v>
      </c>
      <c r="JO76" s="999">
        <v>5901</v>
      </c>
      <c r="JP76" s="1000">
        <f t="shared" si="60"/>
        <v>0.51695419393218323</v>
      </c>
      <c r="JR76" s="97"/>
      <c r="JS76" s="97"/>
      <c r="JT76" s="42" t="s">
        <v>15</v>
      </c>
      <c r="JU76" s="42">
        <v>334</v>
      </c>
      <c r="JV76" s="42">
        <v>240</v>
      </c>
      <c r="JW76" s="42">
        <v>1</v>
      </c>
      <c r="JX76" s="42">
        <v>310</v>
      </c>
      <c r="JY76" s="42">
        <v>1433</v>
      </c>
      <c r="JZ76" s="42">
        <v>569</v>
      </c>
      <c r="KA76" s="42">
        <v>346</v>
      </c>
      <c r="KB76" s="42"/>
      <c r="KC76" s="42">
        <v>54</v>
      </c>
      <c r="KD76" s="42">
        <v>604</v>
      </c>
      <c r="KE76" s="42">
        <v>782</v>
      </c>
      <c r="KF76" s="42">
        <v>1027</v>
      </c>
      <c r="KG76" s="42">
        <v>106</v>
      </c>
      <c r="KH76" s="42">
        <v>54</v>
      </c>
      <c r="KI76" s="42">
        <v>5860</v>
      </c>
      <c r="KJ76" s="984">
        <f t="shared" si="46"/>
        <v>0.51871019108280259</v>
      </c>
      <c r="KK76" s="42"/>
      <c r="KL76" s="354"/>
      <c r="KM76" s="354"/>
      <c r="KN76" s="994" t="s">
        <v>15</v>
      </c>
      <c r="KO76" s="995">
        <v>334</v>
      </c>
      <c r="KP76" s="995">
        <v>214</v>
      </c>
      <c r="KQ76" s="995" t="s">
        <v>315</v>
      </c>
      <c r="KR76" s="995">
        <v>294</v>
      </c>
      <c r="KS76" s="995">
        <v>1394</v>
      </c>
      <c r="KT76" s="995">
        <v>531</v>
      </c>
      <c r="KU76" s="995">
        <v>395</v>
      </c>
      <c r="KV76" s="995" t="s">
        <v>315</v>
      </c>
      <c r="KW76" s="995">
        <v>45</v>
      </c>
      <c r="KX76" s="995">
        <v>709</v>
      </c>
      <c r="KY76" s="995">
        <v>1056</v>
      </c>
      <c r="KZ76" s="995">
        <v>97</v>
      </c>
      <c r="LA76" s="995">
        <v>5069</v>
      </c>
      <c r="LB76" s="995">
        <f t="shared" si="47"/>
        <v>2634</v>
      </c>
      <c r="LC76" s="996">
        <f t="shared" si="48"/>
        <v>0.51962911816926416</v>
      </c>
      <c r="LD76" s="42"/>
      <c r="LE76" s="42"/>
    </row>
    <row r="77" spans="1:317">
      <c r="A77" s="6291">
        <v>4</v>
      </c>
      <c r="B77" s="6291">
        <v>6</v>
      </c>
      <c r="C77" s="6291">
        <v>132</v>
      </c>
      <c r="D77" s="6292">
        <v>174</v>
      </c>
      <c r="E77" s="6293"/>
      <c r="F77" s="6291">
        <v>50</v>
      </c>
      <c r="G77" s="6291">
        <v>39</v>
      </c>
      <c r="H77" s="6291">
        <v>8</v>
      </c>
      <c r="I77" s="6291">
        <v>1</v>
      </c>
      <c r="J77" s="6291">
        <v>1</v>
      </c>
      <c r="K77" s="6291">
        <v>14</v>
      </c>
      <c r="L77" s="6291">
        <v>1</v>
      </c>
      <c r="M77" s="6291">
        <v>4</v>
      </c>
      <c r="N77" s="6291">
        <v>15</v>
      </c>
      <c r="O77" s="6293"/>
      <c r="P77" s="6291">
        <v>41</v>
      </c>
      <c r="Q77" s="6294">
        <f t="shared" si="49"/>
        <v>0.33908045977011492</v>
      </c>
      <c r="S77" s="6295">
        <v>3</v>
      </c>
      <c r="T77" s="6295">
        <v>4</v>
      </c>
      <c r="U77" s="6295">
        <v>87</v>
      </c>
      <c r="V77" s="6295">
        <v>893</v>
      </c>
      <c r="W77" s="6295">
        <v>8</v>
      </c>
      <c r="X77" s="6295">
        <v>138</v>
      </c>
      <c r="Y77" s="6295">
        <v>92</v>
      </c>
      <c r="Z77" s="6295">
        <v>26</v>
      </c>
      <c r="AA77" s="6296"/>
      <c r="AB77" s="6295">
        <v>9</v>
      </c>
      <c r="AC77" s="6295">
        <v>159</v>
      </c>
      <c r="AD77" s="6296"/>
      <c r="AE77" s="6295">
        <v>75</v>
      </c>
      <c r="AF77" s="6295">
        <v>123</v>
      </c>
      <c r="AG77" s="6296"/>
      <c r="AH77" s="6295">
        <v>263</v>
      </c>
      <c r="AI77" s="6294">
        <f t="shared" si="5"/>
        <v>0.55655095184770442</v>
      </c>
      <c r="AJ77" s="6295"/>
      <c r="AK77" s="6297">
        <v>3</v>
      </c>
      <c r="AL77" s="6297">
        <v>4</v>
      </c>
      <c r="AM77" s="6297">
        <v>87</v>
      </c>
      <c r="AN77" s="6298">
        <v>894</v>
      </c>
      <c r="AO77" s="6297">
        <v>8</v>
      </c>
      <c r="AP77" s="6297">
        <v>138</v>
      </c>
      <c r="AQ77" s="6297">
        <v>91</v>
      </c>
      <c r="AR77" s="6297">
        <v>26</v>
      </c>
      <c r="AS77" s="6299"/>
      <c r="AT77" s="6297">
        <v>9</v>
      </c>
      <c r="AU77" s="6299"/>
      <c r="AV77" s="6297">
        <v>171</v>
      </c>
      <c r="AW77" s="6297">
        <v>66</v>
      </c>
      <c r="AX77" s="6299"/>
      <c r="AY77" s="6297">
        <v>125</v>
      </c>
      <c r="AZ77" s="6299"/>
      <c r="BA77" s="6299"/>
      <c r="BB77" s="6297">
        <v>260</v>
      </c>
      <c r="BC77" s="6300">
        <f t="shared" si="50"/>
        <v>0.55592841163310958</v>
      </c>
      <c r="BE77" s="6313">
        <v>3</v>
      </c>
      <c r="BF77" s="6313">
        <v>4</v>
      </c>
      <c r="BG77" s="6313">
        <v>87</v>
      </c>
      <c r="BH77" s="4405" t="s">
        <v>24</v>
      </c>
      <c r="BI77" s="6314">
        <v>892</v>
      </c>
      <c r="BJ77" s="6313">
        <v>7</v>
      </c>
      <c r="BK77" s="6313">
        <v>169</v>
      </c>
      <c r="BL77" s="6313">
        <v>85</v>
      </c>
      <c r="BM77" s="6313">
        <v>26</v>
      </c>
      <c r="BN77" s="6303"/>
      <c r="BO77" s="6313">
        <v>10</v>
      </c>
      <c r="BP77" s="6303"/>
      <c r="BQ77" s="6313">
        <v>150</v>
      </c>
      <c r="BR77" s="6303"/>
      <c r="BS77" s="6313">
        <v>104</v>
      </c>
      <c r="BT77" s="6313">
        <v>74</v>
      </c>
      <c r="BU77" s="6303"/>
      <c r="BV77" s="6303"/>
      <c r="BW77" s="6313">
        <v>267</v>
      </c>
      <c r="BX77" s="6300">
        <f t="shared" si="61"/>
        <v>0.5840807174887892</v>
      </c>
      <c r="BZ77" s="4388"/>
      <c r="CA77" s="4388"/>
      <c r="CB77" s="4388" t="s">
        <v>24</v>
      </c>
      <c r="CC77" s="4231">
        <v>82</v>
      </c>
      <c r="CD77" s="4231">
        <v>74</v>
      </c>
      <c r="CE77" s="4231"/>
      <c r="CF77" s="4231">
        <v>26</v>
      </c>
      <c r="CG77" s="4231">
        <v>259</v>
      </c>
      <c r="CH77" s="4231">
        <v>91</v>
      </c>
      <c r="CI77" s="4231">
        <v>10</v>
      </c>
      <c r="CJ77" s="4231">
        <v>5</v>
      </c>
      <c r="CK77" s="4231">
        <v>0</v>
      </c>
      <c r="CL77" s="4231">
        <v>10</v>
      </c>
      <c r="CM77" s="4231">
        <v>167</v>
      </c>
      <c r="CN77" s="4231"/>
      <c r="CO77" s="4231">
        <v>172</v>
      </c>
      <c r="CP77" s="4231"/>
      <c r="CQ77" s="4231">
        <v>896</v>
      </c>
      <c r="CR77" s="6304">
        <f t="shared" si="51"/>
        <v>0.5770089285714286</v>
      </c>
      <c r="CS77" s="4238">
        <f t="shared" si="52"/>
        <v>4</v>
      </c>
      <c r="CT77" s="6305">
        <v>892</v>
      </c>
      <c r="CU77" s="6316"/>
      <c r="CX77" s="42" t="s">
        <v>58</v>
      </c>
      <c r="CY77" s="42">
        <v>11</v>
      </c>
      <c r="CZ77" s="42">
        <v>8</v>
      </c>
      <c r="DB77" s="42">
        <v>53</v>
      </c>
      <c r="DC77" s="42">
        <v>330</v>
      </c>
      <c r="DD77" s="42">
        <v>59</v>
      </c>
      <c r="DE77" s="42">
        <v>52</v>
      </c>
      <c r="DG77" s="42">
        <v>1</v>
      </c>
      <c r="DH77" s="42">
        <v>1</v>
      </c>
      <c r="DI77" s="42">
        <v>50</v>
      </c>
      <c r="DK77" s="42">
        <v>98</v>
      </c>
      <c r="DM77" s="893">
        <v>663</v>
      </c>
      <c r="DN77" s="6306">
        <f t="shared" si="53"/>
        <v>0.66214177978883859</v>
      </c>
      <c r="DP77" s="4263"/>
      <c r="DQ77" s="4263"/>
      <c r="DR77" s="4258" t="s">
        <v>58</v>
      </c>
      <c r="DS77" s="4263">
        <v>29</v>
      </c>
      <c r="DT77" s="4263">
        <v>20</v>
      </c>
      <c r="DU77" s="4263">
        <v>1</v>
      </c>
      <c r="DV77" s="4263">
        <v>47</v>
      </c>
      <c r="DW77" s="4263">
        <v>251</v>
      </c>
      <c r="DX77" s="4263">
        <v>77</v>
      </c>
      <c r="DY77" s="4263">
        <v>22</v>
      </c>
      <c r="DZ77" s="4263"/>
      <c r="EA77" s="4263">
        <v>1</v>
      </c>
      <c r="EB77" s="4263">
        <v>3</v>
      </c>
      <c r="EC77" s="4263">
        <v>89</v>
      </c>
      <c r="ED77" s="4263"/>
      <c r="EE77" s="4263">
        <v>116</v>
      </c>
      <c r="EF77" s="4263"/>
      <c r="EG77" s="4263">
        <v>656</v>
      </c>
      <c r="EH77" s="6307">
        <f t="shared" si="54"/>
        <v>0.63567073170731703</v>
      </c>
      <c r="EL77" s="42" t="s">
        <v>58</v>
      </c>
      <c r="EM77" s="97">
        <v>34</v>
      </c>
      <c r="EN77" s="97">
        <v>17</v>
      </c>
      <c r="EO77" s="97"/>
      <c r="EP77" s="97"/>
      <c r="EQ77" s="97">
        <v>272</v>
      </c>
      <c r="ER77" s="97">
        <v>87</v>
      </c>
      <c r="ES77" s="97">
        <v>30</v>
      </c>
      <c r="ET77" s="97"/>
      <c r="EU77" s="97"/>
      <c r="EV77" s="97">
        <v>5</v>
      </c>
      <c r="EW77" s="97">
        <v>55</v>
      </c>
      <c r="EX77" s="97"/>
      <c r="EY77" s="97">
        <v>109</v>
      </c>
      <c r="EZ77" s="97"/>
      <c r="FA77" s="97">
        <v>609</v>
      </c>
      <c r="FB77" s="6315">
        <f t="shared" si="55"/>
        <v>0.67980295566502458</v>
      </c>
      <c r="FD77" s="42"/>
      <c r="FE77" s="42"/>
      <c r="FF77" s="42" t="s">
        <v>58</v>
      </c>
      <c r="FG77" s="97">
        <v>41</v>
      </c>
      <c r="FH77" s="97">
        <v>20</v>
      </c>
      <c r="FI77" s="97">
        <v>0</v>
      </c>
      <c r="FJ77" s="97">
        <v>56</v>
      </c>
      <c r="FK77" s="97">
        <v>242</v>
      </c>
      <c r="FL77" s="97">
        <v>96</v>
      </c>
      <c r="FM77" s="97">
        <v>49</v>
      </c>
      <c r="FN77" s="97"/>
      <c r="FO77" s="97">
        <v>1</v>
      </c>
      <c r="FP77" s="97">
        <v>4</v>
      </c>
      <c r="FQ77" s="97">
        <v>69</v>
      </c>
      <c r="FR77" s="97"/>
      <c r="FS77" s="97">
        <v>112</v>
      </c>
      <c r="FT77" s="97">
        <v>0</v>
      </c>
      <c r="FU77" s="97">
        <v>690</v>
      </c>
      <c r="FV77" s="6308">
        <f t="shared" si="45"/>
        <v>0.58985507246376812</v>
      </c>
      <c r="FW77" s="6322"/>
      <c r="FX77" s="42"/>
      <c r="FY77" s="42"/>
      <c r="FZ77" s="42" t="s">
        <v>58</v>
      </c>
      <c r="GA77" s="97">
        <v>32</v>
      </c>
      <c r="GB77" s="97">
        <v>30</v>
      </c>
      <c r="GC77" s="97"/>
      <c r="GD77" s="97">
        <v>61</v>
      </c>
      <c r="GE77" s="97">
        <v>245</v>
      </c>
      <c r="GF77" s="97">
        <v>80</v>
      </c>
      <c r="GG77" s="97">
        <v>27</v>
      </c>
      <c r="GH77" s="97"/>
      <c r="GI77" s="97">
        <v>1</v>
      </c>
      <c r="GJ77" s="97">
        <v>5</v>
      </c>
      <c r="GK77" s="97">
        <v>74</v>
      </c>
      <c r="GL77" s="97"/>
      <c r="GM77" s="97">
        <v>133</v>
      </c>
      <c r="GN77" s="97">
        <v>0</v>
      </c>
      <c r="GO77" s="97">
        <v>688</v>
      </c>
      <c r="GP77" s="6308">
        <f t="shared" si="56"/>
        <v>0.57994186046511631</v>
      </c>
      <c r="GR77" s="6280"/>
      <c r="GS77" s="6280"/>
      <c r="GT77" s="6310" t="s">
        <v>58</v>
      </c>
      <c r="GU77" s="6311">
        <v>58</v>
      </c>
      <c r="GV77" s="6311">
        <v>27</v>
      </c>
      <c r="GW77" s="6312"/>
      <c r="GX77" s="6311">
        <v>58</v>
      </c>
      <c r="GY77" s="6311">
        <v>232</v>
      </c>
      <c r="GZ77" s="6311">
        <v>76</v>
      </c>
      <c r="HA77" s="6311">
        <v>30</v>
      </c>
      <c r="HB77" s="6312"/>
      <c r="HC77" s="6311">
        <v>1</v>
      </c>
      <c r="HD77" s="6311">
        <v>6</v>
      </c>
      <c r="HE77" s="6311">
        <v>65</v>
      </c>
      <c r="HF77" s="6312"/>
      <c r="HG77" s="6311">
        <v>135</v>
      </c>
      <c r="HH77" s="6311">
        <v>1</v>
      </c>
      <c r="HI77" s="6311">
        <v>689</v>
      </c>
      <c r="HJ77" s="467">
        <f t="shared" si="57"/>
        <v>0.54215116279069764</v>
      </c>
      <c r="HL77" s="967"/>
      <c r="HM77" s="967"/>
      <c r="HN77" s="977" t="s">
        <v>58</v>
      </c>
      <c r="HO77" s="978">
        <v>63</v>
      </c>
      <c r="HP77" s="978">
        <v>21</v>
      </c>
      <c r="HQ77" s="978">
        <v>1</v>
      </c>
      <c r="HR77" s="978">
        <v>78</v>
      </c>
      <c r="HS77" s="978">
        <v>234</v>
      </c>
      <c r="HT77" s="978">
        <v>75</v>
      </c>
      <c r="HU77" s="978">
        <v>32</v>
      </c>
      <c r="HV77" s="967"/>
      <c r="HW77" s="967"/>
      <c r="HX77" s="978">
        <v>5</v>
      </c>
      <c r="HY77" s="978">
        <v>51</v>
      </c>
      <c r="HZ77" s="978">
        <v>164</v>
      </c>
      <c r="IA77" s="978">
        <v>106</v>
      </c>
      <c r="IB77" s="978">
        <v>830</v>
      </c>
      <c r="IC77" s="467">
        <f t="shared" si="58"/>
        <v>0.43373493975903615</v>
      </c>
      <c r="IE77" s="577"/>
      <c r="IF77" s="577"/>
      <c r="IG77" s="979" t="s">
        <v>58</v>
      </c>
      <c r="IH77" s="980">
        <v>40</v>
      </c>
      <c r="II77" s="980">
        <v>39</v>
      </c>
      <c r="IJ77" s="577"/>
      <c r="IK77" s="980">
        <v>81</v>
      </c>
      <c r="IL77" s="980">
        <v>201</v>
      </c>
      <c r="IM77" s="980">
        <v>95</v>
      </c>
      <c r="IN77" s="980">
        <v>28</v>
      </c>
      <c r="IO77" s="577"/>
      <c r="IP77" s="577"/>
      <c r="IQ77" s="980">
        <v>9</v>
      </c>
      <c r="IR77" s="980">
        <v>55</v>
      </c>
      <c r="IS77" s="980">
        <v>149</v>
      </c>
      <c r="IT77" s="980">
        <v>106</v>
      </c>
      <c r="IU77" s="980">
        <v>803</v>
      </c>
      <c r="IV77" s="467">
        <f t="shared" si="59"/>
        <v>0.43711083437110837</v>
      </c>
      <c r="IX77" s="742" t="s">
        <v>59</v>
      </c>
      <c r="IY77" s="742" t="s">
        <v>16</v>
      </c>
      <c r="IZ77" s="981" t="s">
        <v>17</v>
      </c>
      <c r="JA77" s="982">
        <v>48</v>
      </c>
      <c r="JB77" s="982">
        <v>22</v>
      </c>
      <c r="JC77" s="982">
        <v>0</v>
      </c>
      <c r="JD77" s="982">
        <v>8</v>
      </c>
      <c r="JE77" s="982">
        <v>95</v>
      </c>
      <c r="JF77" s="982">
        <v>9</v>
      </c>
      <c r="JG77" s="982">
        <v>3</v>
      </c>
      <c r="JH77" s="982">
        <v>0</v>
      </c>
      <c r="JI77" s="982">
        <v>3</v>
      </c>
      <c r="JJ77" s="982">
        <v>21</v>
      </c>
      <c r="JK77" s="982">
        <v>26</v>
      </c>
      <c r="JL77" s="982">
        <v>30</v>
      </c>
      <c r="JM77" s="982">
        <v>0</v>
      </c>
      <c r="JN77" s="982">
        <v>3</v>
      </c>
      <c r="JO77" s="982">
        <v>268</v>
      </c>
      <c r="JP77" s="983">
        <f t="shared" si="60"/>
        <v>0.52301255230125521</v>
      </c>
      <c r="JR77" s="97" t="s">
        <v>59</v>
      </c>
      <c r="JS77" s="97" t="s">
        <v>16</v>
      </c>
      <c r="JT77" s="42" t="s">
        <v>17</v>
      </c>
      <c r="JU77" s="42">
        <v>25</v>
      </c>
      <c r="JV77" s="42">
        <v>12</v>
      </c>
      <c r="JW77" s="42">
        <v>0</v>
      </c>
      <c r="JX77" s="42">
        <v>5</v>
      </c>
      <c r="JY77" s="42">
        <v>71</v>
      </c>
      <c r="JZ77" s="42">
        <v>6</v>
      </c>
      <c r="KA77" s="42">
        <v>3</v>
      </c>
      <c r="KB77" s="42"/>
      <c r="KC77" s="42">
        <v>9</v>
      </c>
      <c r="KD77" s="42">
        <v>18</v>
      </c>
      <c r="KE77" s="42">
        <v>23</v>
      </c>
      <c r="KF77" s="42">
        <v>26</v>
      </c>
      <c r="KG77" s="42"/>
      <c r="KH77" s="42">
        <v>1</v>
      </c>
      <c r="KI77" s="42">
        <v>199</v>
      </c>
      <c r="KJ77" s="984">
        <f t="shared" si="46"/>
        <v>0.54285714285714282</v>
      </c>
      <c r="KK77" s="42"/>
      <c r="KL77" s="354" t="s">
        <v>59</v>
      </c>
      <c r="KM77" s="354" t="s">
        <v>16</v>
      </c>
      <c r="KN77" s="354" t="s">
        <v>17</v>
      </c>
      <c r="KO77" s="985">
        <v>17</v>
      </c>
      <c r="KP77" s="985">
        <v>15</v>
      </c>
      <c r="KQ77" s="985" t="s">
        <v>315</v>
      </c>
      <c r="KR77" s="985">
        <v>1</v>
      </c>
      <c r="KS77" s="985">
        <v>22</v>
      </c>
      <c r="KT77" s="985">
        <v>9</v>
      </c>
      <c r="KU77" s="985">
        <v>2</v>
      </c>
      <c r="KV77" s="985" t="s">
        <v>315</v>
      </c>
      <c r="KW77" s="985">
        <v>2</v>
      </c>
      <c r="KX77" s="985">
        <v>23</v>
      </c>
      <c r="KY77" s="985">
        <v>16</v>
      </c>
      <c r="KZ77" s="985" t="s">
        <v>315</v>
      </c>
      <c r="LA77" s="985">
        <v>107</v>
      </c>
      <c r="LB77" s="985">
        <f t="shared" si="47"/>
        <v>54</v>
      </c>
      <c r="LC77" s="986">
        <f t="shared" si="48"/>
        <v>0.50467289719626163</v>
      </c>
      <c r="LD77" s="42"/>
      <c r="LE77" s="42"/>
    </row>
    <row r="78" spans="1:317">
      <c r="A78" s="6291">
        <v>4</v>
      </c>
      <c r="B78" s="6291">
        <v>6</v>
      </c>
      <c r="C78" s="6291">
        <v>141</v>
      </c>
      <c r="D78" s="6292">
        <v>298</v>
      </c>
      <c r="E78" s="6291">
        <v>14</v>
      </c>
      <c r="F78" s="6291">
        <v>51</v>
      </c>
      <c r="G78" s="6291">
        <v>83</v>
      </c>
      <c r="H78" s="6291">
        <v>19</v>
      </c>
      <c r="I78" s="6291">
        <v>1</v>
      </c>
      <c r="J78" s="6291">
        <v>3</v>
      </c>
      <c r="K78" s="6291">
        <v>17</v>
      </c>
      <c r="L78" s="6291">
        <v>1</v>
      </c>
      <c r="M78" s="6291">
        <v>5</v>
      </c>
      <c r="N78" s="6291">
        <v>30</v>
      </c>
      <c r="O78" s="6293"/>
      <c r="P78" s="6291">
        <v>74</v>
      </c>
      <c r="Q78" s="6294">
        <f t="shared" si="49"/>
        <v>0.32214765100671139</v>
      </c>
      <c r="S78" s="6295">
        <v>3</v>
      </c>
      <c r="T78" s="6295">
        <v>4</v>
      </c>
      <c r="U78" s="6295">
        <v>88</v>
      </c>
      <c r="V78" s="6295">
        <v>644</v>
      </c>
      <c r="W78" s="6295">
        <v>2</v>
      </c>
      <c r="X78" s="6295">
        <v>98</v>
      </c>
      <c r="Y78" s="6295">
        <v>25</v>
      </c>
      <c r="Z78" s="6295">
        <v>44</v>
      </c>
      <c r="AA78" s="6295">
        <v>1</v>
      </c>
      <c r="AB78" s="6295">
        <v>4</v>
      </c>
      <c r="AC78" s="6295">
        <v>88</v>
      </c>
      <c r="AD78" s="6296"/>
      <c r="AE78" s="6295">
        <v>76</v>
      </c>
      <c r="AF78" s="6295">
        <v>53</v>
      </c>
      <c r="AG78" s="6296"/>
      <c r="AH78" s="6295">
        <v>253</v>
      </c>
      <c r="AI78" s="6294">
        <f t="shared" si="5"/>
        <v>0.64751552795031053</v>
      </c>
      <c r="AJ78" s="6295"/>
      <c r="AK78" s="6297">
        <v>3</v>
      </c>
      <c r="AL78" s="6297">
        <v>4</v>
      </c>
      <c r="AM78" s="6297">
        <v>88</v>
      </c>
      <c r="AN78" s="6298">
        <v>644</v>
      </c>
      <c r="AO78" s="6297">
        <v>2</v>
      </c>
      <c r="AP78" s="6297">
        <v>99</v>
      </c>
      <c r="AQ78" s="6297">
        <v>24</v>
      </c>
      <c r="AR78" s="6297">
        <v>43</v>
      </c>
      <c r="AS78" s="6297">
        <v>1</v>
      </c>
      <c r="AT78" s="6297">
        <v>4</v>
      </c>
      <c r="AU78" s="6299"/>
      <c r="AV78" s="6297">
        <v>106</v>
      </c>
      <c r="AW78" s="6297">
        <v>74</v>
      </c>
      <c r="AX78" s="6299"/>
      <c r="AY78" s="6297">
        <v>54</v>
      </c>
      <c r="AZ78" s="6299"/>
      <c r="BA78" s="6299"/>
      <c r="BB78" s="6297">
        <v>237</v>
      </c>
      <c r="BC78" s="6300">
        <f t="shared" si="50"/>
        <v>0.64751552795031053</v>
      </c>
      <c r="BE78" s="6313">
        <v>3</v>
      </c>
      <c r="BF78" s="6313">
        <v>4</v>
      </c>
      <c r="BG78" s="6313">
        <v>88</v>
      </c>
      <c r="BH78" s="4405" t="s">
        <v>58</v>
      </c>
      <c r="BI78" s="6314">
        <v>657</v>
      </c>
      <c r="BJ78" s="6313">
        <v>2</v>
      </c>
      <c r="BK78" s="6313">
        <v>123</v>
      </c>
      <c r="BL78" s="6313">
        <v>31</v>
      </c>
      <c r="BM78" s="6313">
        <v>46</v>
      </c>
      <c r="BN78" s="6313">
        <v>1</v>
      </c>
      <c r="BO78" s="6313">
        <v>4</v>
      </c>
      <c r="BP78" s="6303"/>
      <c r="BQ78" s="6313">
        <v>97</v>
      </c>
      <c r="BR78" s="6303"/>
      <c r="BS78" s="6313">
        <v>92</v>
      </c>
      <c r="BT78" s="6313">
        <v>25</v>
      </c>
      <c r="BU78" s="6303"/>
      <c r="BV78" s="6303"/>
      <c r="BW78" s="6313">
        <v>236</v>
      </c>
      <c r="BX78" s="6300">
        <f t="shared" si="61"/>
        <v>0.64687975646879758</v>
      </c>
      <c r="BZ78" s="4388"/>
      <c r="CA78" s="4388"/>
      <c r="CB78" s="4388" t="s">
        <v>58</v>
      </c>
      <c r="CC78" s="4231">
        <v>33</v>
      </c>
      <c r="CD78" s="4231">
        <v>23</v>
      </c>
      <c r="CE78" s="4231"/>
      <c r="CF78" s="4231">
        <v>46</v>
      </c>
      <c r="CG78" s="4231">
        <v>230</v>
      </c>
      <c r="CH78" s="4231">
        <v>80</v>
      </c>
      <c r="CI78" s="4231">
        <v>4</v>
      </c>
      <c r="CJ78" s="4231">
        <v>0</v>
      </c>
      <c r="CK78" s="4231">
        <v>1</v>
      </c>
      <c r="CL78" s="4231">
        <v>3</v>
      </c>
      <c r="CM78" s="4231">
        <v>115</v>
      </c>
      <c r="CN78" s="4231"/>
      <c r="CO78" s="4231">
        <v>123</v>
      </c>
      <c r="CP78" s="4231"/>
      <c r="CQ78" s="4231">
        <v>658</v>
      </c>
      <c r="CR78" s="6304">
        <f>+(CM78+CH78+CG78)/(CQ78-CP78-CN78)</f>
        <v>0.64589665653495443</v>
      </c>
      <c r="CS78" s="4238">
        <f t="shared" si="52"/>
        <v>0</v>
      </c>
      <c r="CT78" s="6305">
        <v>658</v>
      </c>
      <c r="CU78" s="6316"/>
      <c r="CX78" s="42" t="s">
        <v>15</v>
      </c>
      <c r="CY78" s="42">
        <v>130</v>
      </c>
      <c r="CZ78" s="42">
        <v>127</v>
      </c>
      <c r="DB78" s="42">
        <v>165</v>
      </c>
      <c r="DC78" s="42">
        <v>1928</v>
      </c>
      <c r="DD78" s="42">
        <v>419</v>
      </c>
      <c r="DE78" s="42">
        <v>377</v>
      </c>
      <c r="DG78" s="42">
        <v>1</v>
      </c>
      <c r="DH78" s="42">
        <v>19</v>
      </c>
      <c r="DI78" s="42">
        <v>432</v>
      </c>
      <c r="DK78" s="42">
        <v>595</v>
      </c>
      <c r="DM78" s="893">
        <v>4193</v>
      </c>
      <c r="DN78" s="6306">
        <f t="shared" si="53"/>
        <v>0.662771285475793</v>
      </c>
      <c r="DP78" s="4263"/>
      <c r="DQ78" s="4263"/>
      <c r="DR78" s="4257" t="s">
        <v>484</v>
      </c>
      <c r="DS78" s="4266">
        <v>275</v>
      </c>
      <c r="DT78" s="4266">
        <v>284</v>
      </c>
      <c r="DU78" s="4266">
        <v>1</v>
      </c>
      <c r="DV78" s="4266">
        <v>138</v>
      </c>
      <c r="DW78" s="4266">
        <v>1414</v>
      </c>
      <c r="DX78" s="4266">
        <v>492</v>
      </c>
      <c r="DY78" s="4266">
        <v>133</v>
      </c>
      <c r="DZ78" s="4266"/>
      <c r="EA78" s="4266">
        <v>2</v>
      </c>
      <c r="EB78" s="4266">
        <v>39</v>
      </c>
      <c r="EC78" s="4266">
        <v>663</v>
      </c>
      <c r="ED78" s="4266"/>
      <c r="EE78" s="4266">
        <v>711</v>
      </c>
      <c r="EF78" s="4266"/>
      <c r="EG78" s="4266">
        <v>4152</v>
      </c>
      <c r="EH78" s="6321">
        <f t="shared" si="54"/>
        <v>0.61873795761078998</v>
      </c>
      <c r="EL78" s="893" t="s">
        <v>484</v>
      </c>
      <c r="EM78" s="135">
        <v>286</v>
      </c>
      <c r="EN78" s="135">
        <v>222</v>
      </c>
      <c r="EO78" s="135"/>
      <c r="EP78" s="135"/>
      <c r="EQ78" s="135">
        <v>1554</v>
      </c>
      <c r="ER78" s="135">
        <v>504</v>
      </c>
      <c r="ES78" s="135">
        <v>221</v>
      </c>
      <c r="ET78" s="135"/>
      <c r="EU78" s="135"/>
      <c r="EV78" s="135">
        <v>57</v>
      </c>
      <c r="EW78" s="135">
        <v>518</v>
      </c>
      <c r="EX78" s="135"/>
      <c r="EY78" s="135">
        <v>663</v>
      </c>
      <c r="EZ78" s="135"/>
      <c r="FA78" s="135">
        <v>4025</v>
      </c>
      <c r="FB78" s="6315">
        <f t="shared" si="55"/>
        <v>0.64</v>
      </c>
      <c r="FD78" s="42"/>
      <c r="FE78" s="42"/>
      <c r="FF78" s="893" t="s">
        <v>484</v>
      </c>
      <c r="FG78" s="135">
        <v>292</v>
      </c>
      <c r="FH78" s="135">
        <v>274</v>
      </c>
      <c r="FI78" s="135">
        <v>1</v>
      </c>
      <c r="FJ78" s="135">
        <v>193</v>
      </c>
      <c r="FK78" s="135">
        <v>1415</v>
      </c>
      <c r="FL78" s="135">
        <v>508</v>
      </c>
      <c r="FM78" s="135">
        <v>287</v>
      </c>
      <c r="FN78" s="135"/>
      <c r="FO78" s="135">
        <v>1</v>
      </c>
      <c r="FP78" s="135">
        <v>61</v>
      </c>
      <c r="FQ78" s="135">
        <v>586</v>
      </c>
      <c r="FR78" s="135"/>
      <c r="FS78" s="135">
        <v>655</v>
      </c>
      <c r="FT78" s="135">
        <v>2</v>
      </c>
      <c r="FU78" s="135">
        <v>4275</v>
      </c>
      <c r="FV78" s="5723">
        <f t="shared" si="45"/>
        <v>0.58717528668382868</v>
      </c>
      <c r="FW78" s="5717"/>
      <c r="FX78" s="42"/>
      <c r="FY78" s="42"/>
      <c r="FZ78" s="893" t="s">
        <v>484</v>
      </c>
      <c r="GA78" s="135">
        <v>295</v>
      </c>
      <c r="GB78" s="135">
        <v>268</v>
      </c>
      <c r="GC78" s="135"/>
      <c r="GD78" s="135">
        <v>210</v>
      </c>
      <c r="GE78" s="135">
        <v>1445</v>
      </c>
      <c r="GF78" s="135">
        <v>465</v>
      </c>
      <c r="GG78" s="135">
        <v>251</v>
      </c>
      <c r="GH78" s="135"/>
      <c r="GI78" s="135">
        <v>1</v>
      </c>
      <c r="GJ78" s="135">
        <v>52</v>
      </c>
      <c r="GK78" s="135">
        <v>595</v>
      </c>
      <c r="GL78" s="135"/>
      <c r="GM78" s="135">
        <v>701</v>
      </c>
      <c r="GN78" s="135">
        <v>2</v>
      </c>
      <c r="GO78" s="135">
        <v>4285</v>
      </c>
      <c r="GP78" s="5723">
        <f t="shared" si="56"/>
        <v>0.58487041793135652</v>
      </c>
      <c r="GR78" s="6280"/>
      <c r="GS78" s="6280"/>
      <c r="GT78" s="1179" t="s">
        <v>484</v>
      </c>
      <c r="GU78" s="1180">
        <v>314</v>
      </c>
      <c r="GV78" s="1180">
        <v>258</v>
      </c>
      <c r="GW78" s="1181"/>
      <c r="GX78" s="1180">
        <v>214</v>
      </c>
      <c r="GY78" s="1180">
        <v>1518</v>
      </c>
      <c r="GZ78" s="1180">
        <v>462</v>
      </c>
      <c r="HA78" s="1180">
        <v>255</v>
      </c>
      <c r="HB78" s="1181"/>
      <c r="HC78" s="1180">
        <v>1</v>
      </c>
      <c r="HD78" s="1180">
        <v>49</v>
      </c>
      <c r="HE78" s="1180">
        <v>546</v>
      </c>
      <c r="HF78" s="1181"/>
      <c r="HG78" s="1180">
        <v>753</v>
      </c>
      <c r="HH78" s="1180">
        <v>6</v>
      </c>
      <c r="HI78" s="1180">
        <v>4376</v>
      </c>
      <c r="HJ78" s="456">
        <f t="shared" si="57"/>
        <v>0.57803203661327229</v>
      </c>
      <c r="HL78" s="967"/>
      <c r="HM78" s="967"/>
      <c r="HN78" s="987" t="s">
        <v>484</v>
      </c>
      <c r="HO78" s="988">
        <v>331</v>
      </c>
      <c r="HP78" s="988">
        <v>198</v>
      </c>
      <c r="HQ78" s="988">
        <v>1</v>
      </c>
      <c r="HR78" s="988">
        <v>299</v>
      </c>
      <c r="HS78" s="988">
        <v>1507</v>
      </c>
      <c r="HT78" s="988">
        <v>546</v>
      </c>
      <c r="HU78" s="988">
        <v>286</v>
      </c>
      <c r="HV78" s="989"/>
      <c r="HW78" s="989"/>
      <c r="HX78" s="988">
        <v>60</v>
      </c>
      <c r="HY78" s="988">
        <v>574</v>
      </c>
      <c r="HZ78" s="988">
        <v>982</v>
      </c>
      <c r="IA78" s="988">
        <v>106</v>
      </c>
      <c r="IB78" s="988">
        <v>4890</v>
      </c>
      <c r="IC78" s="990">
        <f t="shared" si="58"/>
        <v>0.53721881390593051</v>
      </c>
      <c r="IE78" s="577"/>
      <c r="IF78" s="577"/>
      <c r="IG78" s="738" t="s">
        <v>484</v>
      </c>
      <c r="IH78" s="991">
        <v>303</v>
      </c>
      <c r="II78" s="991">
        <v>311</v>
      </c>
      <c r="IJ78" s="6261"/>
      <c r="IK78" s="991">
        <v>315</v>
      </c>
      <c r="IL78" s="991">
        <v>1476</v>
      </c>
      <c r="IM78" s="991">
        <v>609</v>
      </c>
      <c r="IN78" s="991">
        <v>281</v>
      </c>
      <c r="IO78" s="6261"/>
      <c r="IP78" s="6261"/>
      <c r="IQ78" s="991">
        <v>55</v>
      </c>
      <c r="IR78" s="991">
        <v>544</v>
      </c>
      <c r="IS78" s="991">
        <v>961</v>
      </c>
      <c r="IT78" s="991">
        <v>106</v>
      </c>
      <c r="IU78" s="991">
        <v>4961</v>
      </c>
      <c r="IV78" s="456">
        <f t="shared" si="59"/>
        <v>0.52993348115299332</v>
      </c>
      <c r="IX78" s="742"/>
      <c r="IY78" s="742"/>
      <c r="IZ78" s="1004" t="s">
        <v>18</v>
      </c>
      <c r="JA78" s="1005">
        <v>1</v>
      </c>
      <c r="JB78" s="1005">
        <v>2</v>
      </c>
      <c r="JC78" s="1005">
        <v>0</v>
      </c>
      <c r="JD78" s="1005">
        <v>2</v>
      </c>
      <c r="JE78" s="1005">
        <v>21</v>
      </c>
      <c r="JF78" s="1005">
        <v>0</v>
      </c>
      <c r="JG78" s="1005">
        <v>0</v>
      </c>
      <c r="JH78" s="1005">
        <v>0</v>
      </c>
      <c r="JI78" s="1005">
        <v>1</v>
      </c>
      <c r="JJ78" s="1005">
        <v>2</v>
      </c>
      <c r="JK78" s="1005">
        <v>12</v>
      </c>
      <c r="JL78" s="1005">
        <v>5</v>
      </c>
      <c r="JM78" s="1005">
        <v>0</v>
      </c>
      <c r="JN78" s="1005">
        <v>0</v>
      </c>
      <c r="JO78" s="1005">
        <v>46</v>
      </c>
      <c r="JP78" s="1006">
        <f t="shared" si="60"/>
        <v>0.67647058823529416</v>
      </c>
      <c r="JR78" s="97"/>
      <c r="JS78" s="97"/>
      <c r="JT78" s="42" t="s">
        <v>18</v>
      </c>
      <c r="JU78" s="42">
        <v>0</v>
      </c>
      <c r="JV78" s="42">
        <v>2</v>
      </c>
      <c r="JW78" s="42">
        <v>0</v>
      </c>
      <c r="JX78" s="42">
        <v>2</v>
      </c>
      <c r="JY78" s="42">
        <v>21</v>
      </c>
      <c r="JZ78" s="42">
        <v>0</v>
      </c>
      <c r="KA78" s="42">
        <v>0</v>
      </c>
      <c r="KB78" s="42"/>
      <c r="KC78" s="42">
        <v>1</v>
      </c>
      <c r="KD78" s="42">
        <v>2</v>
      </c>
      <c r="KE78" s="42">
        <v>12</v>
      </c>
      <c r="KF78" s="42">
        <v>6</v>
      </c>
      <c r="KG78" s="42"/>
      <c r="KH78" s="42">
        <v>0</v>
      </c>
      <c r="KI78" s="42">
        <v>46</v>
      </c>
      <c r="KJ78" s="984">
        <f t="shared" si="46"/>
        <v>0.67647058823529416</v>
      </c>
      <c r="KK78" s="42"/>
      <c r="KL78" s="354"/>
      <c r="KM78" s="354"/>
      <c r="KN78" s="354" t="s">
        <v>18</v>
      </c>
      <c r="KO78" s="985">
        <v>2</v>
      </c>
      <c r="KP78" s="985">
        <v>1</v>
      </c>
      <c r="KQ78" s="985" t="s">
        <v>315</v>
      </c>
      <c r="KR78" s="985">
        <v>2</v>
      </c>
      <c r="KS78" s="985">
        <v>10</v>
      </c>
      <c r="KT78" s="985">
        <v>10</v>
      </c>
      <c r="KU78" s="985" t="s">
        <v>315</v>
      </c>
      <c r="KV78" s="985" t="s">
        <v>315</v>
      </c>
      <c r="KW78" s="985">
        <v>1</v>
      </c>
      <c r="KX78" s="985">
        <v>3</v>
      </c>
      <c r="KY78" s="985">
        <v>5</v>
      </c>
      <c r="KZ78" s="985" t="s">
        <v>315</v>
      </c>
      <c r="LA78" s="985">
        <v>34</v>
      </c>
      <c r="LB78" s="985">
        <f t="shared" si="47"/>
        <v>23</v>
      </c>
      <c r="LC78" s="986">
        <f t="shared" si="48"/>
        <v>0.67647058823529416</v>
      </c>
      <c r="LD78" s="42"/>
      <c r="LE78" s="42"/>
    </row>
    <row r="79" spans="1:317">
      <c r="A79" s="6291">
        <v>4</v>
      </c>
      <c r="B79" s="6291">
        <v>6</v>
      </c>
      <c r="C79" s="6291">
        <v>144</v>
      </c>
      <c r="D79" s="6292">
        <v>403</v>
      </c>
      <c r="E79" s="6291">
        <v>10</v>
      </c>
      <c r="F79" s="6291">
        <v>73</v>
      </c>
      <c r="G79" s="6291">
        <v>53</v>
      </c>
      <c r="H79" s="6291">
        <v>24</v>
      </c>
      <c r="I79" s="6293"/>
      <c r="J79" s="6291">
        <v>2</v>
      </c>
      <c r="K79" s="6291">
        <v>23</v>
      </c>
      <c r="L79" s="6291">
        <v>9</v>
      </c>
      <c r="M79" s="6291">
        <v>18</v>
      </c>
      <c r="N79" s="6291">
        <v>28</v>
      </c>
      <c r="O79" s="6293"/>
      <c r="P79" s="6291">
        <v>163</v>
      </c>
      <c r="Q79" s="6294">
        <f t="shared" si="49"/>
        <v>0.50620347394540943</v>
      </c>
      <c r="S79" s="6295"/>
      <c r="T79" s="6295"/>
      <c r="U79" s="6295"/>
      <c r="V79" s="6317">
        <f>SUM(V75:V78)</f>
        <v>4199</v>
      </c>
      <c r="W79" s="6317">
        <f t="shared" ref="W79:AH79" si="65">SUM(W75:W78)</f>
        <v>31</v>
      </c>
      <c r="X79" s="6317">
        <f t="shared" si="65"/>
        <v>582</v>
      </c>
      <c r="Y79" s="6317">
        <f t="shared" si="65"/>
        <v>333</v>
      </c>
      <c r="Z79" s="6317">
        <f t="shared" si="65"/>
        <v>116</v>
      </c>
      <c r="AA79" s="6317">
        <f t="shared" si="65"/>
        <v>2</v>
      </c>
      <c r="AB79" s="6317">
        <f t="shared" si="65"/>
        <v>43</v>
      </c>
      <c r="AC79" s="6317">
        <f t="shared" si="65"/>
        <v>727</v>
      </c>
      <c r="AD79" s="6317">
        <f t="shared" si="65"/>
        <v>0</v>
      </c>
      <c r="AE79" s="6317">
        <f t="shared" si="65"/>
        <v>457</v>
      </c>
      <c r="AF79" s="6317">
        <f t="shared" si="65"/>
        <v>442</v>
      </c>
      <c r="AG79" s="6317">
        <f t="shared" si="65"/>
        <v>0</v>
      </c>
      <c r="AH79" s="6317">
        <f t="shared" si="65"/>
        <v>1466</v>
      </c>
      <c r="AI79" s="6294">
        <f t="shared" si="5"/>
        <v>0.63110264348654443</v>
      </c>
      <c r="AJ79" s="6295"/>
      <c r="AK79" s="6297"/>
      <c r="AL79" s="6297"/>
      <c r="AM79" s="6297"/>
      <c r="AN79" s="6298">
        <f>SUM(AN75:AN78)</f>
        <v>4200</v>
      </c>
      <c r="AO79" s="6298">
        <f t="shared" ref="AO79:BB79" si="66">SUM(AO75:AO78)</f>
        <v>29</v>
      </c>
      <c r="AP79" s="6298">
        <f t="shared" si="66"/>
        <v>584</v>
      </c>
      <c r="AQ79" s="6298">
        <f t="shared" si="66"/>
        <v>332</v>
      </c>
      <c r="AR79" s="6298">
        <f t="shared" si="66"/>
        <v>115</v>
      </c>
      <c r="AS79" s="6298">
        <f t="shared" si="66"/>
        <v>2</v>
      </c>
      <c r="AT79" s="6298">
        <f t="shared" si="66"/>
        <v>43</v>
      </c>
      <c r="AU79" s="6298">
        <f t="shared" si="66"/>
        <v>0</v>
      </c>
      <c r="AV79" s="6298">
        <f t="shared" si="66"/>
        <v>822</v>
      </c>
      <c r="AW79" s="6298">
        <f t="shared" si="66"/>
        <v>399</v>
      </c>
      <c r="AX79" s="6298">
        <f t="shared" si="66"/>
        <v>1</v>
      </c>
      <c r="AY79" s="6298">
        <f t="shared" si="66"/>
        <v>444</v>
      </c>
      <c r="AZ79" s="6298">
        <f t="shared" si="66"/>
        <v>0</v>
      </c>
      <c r="BA79" s="6298">
        <f t="shared" si="66"/>
        <v>1</v>
      </c>
      <c r="BB79" s="6298">
        <f t="shared" si="66"/>
        <v>1428</v>
      </c>
      <c r="BC79" s="6323">
        <f t="shared" si="50"/>
        <v>0.63071428571428567</v>
      </c>
      <c r="BE79" s="6313"/>
      <c r="BF79" s="6313"/>
      <c r="BG79" s="6313"/>
      <c r="BH79" s="6319" t="s">
        <v>484</v>
      </c>
      <c r="BI79" s="6314">
        <f>SUM(BI75:BI78)</f>
        <v>4180</v>
      </c>
      <c r="BJ79" s="6314">
        <f t="shared" ref="BJ79:BW79" si="67">SUM(BJ75:BJ78)</f>
        <v>34</v>
      </c>
      <c r="BK79" s="6314">
        <f t="shared" si="67"/>
        <v>717</v>
      </c>
      <c r="BL79" s="6314">
        <f t="shared" si="67"/>
        <v>353</v>
      </c>
      <c r="BM79" s="6314">
        <f t="shared" si="67"/>
        <v>124</v>
      </c>
      <c r="BN79" s="6314">
        <f t="shared" si="67"/>
        <v>2</v>
      </c>
      <c r="BO79" s="6314">
        <f t="shared" si="67"/>
        <v>50</v>
      </c>
      <c r="BP79" s="6314">
        <f t="shared" si="67"/>
        <v>0</v>
      </c>
      <c r="BQ79" s="6314">
        <f t="shared" si="67"/>
        <v>677</v>
      </c>
      <c r="BR79" s="6314">
        <f t="shared" si="67"/>
        <v>0</v>
      </c>
      <c r="BS79" s="6314">
        <f t="shared" si="67"/>
        <v>514</v>
      </c>
      <c r="BT79" s="6314">
        <f t="shared" si="67"/>
        <v>272</v>
      </c>
      <c r="BU79" s="6314">
        <f t="shared" si="67"/>
        <v>0</v>
      </c>
      <c r="BV79" s="6314">
        <f t="shared" si="67"/>
        <v>0</v>
      </c>
      <c r="BW79" s="6314">
        <f t="shared" si="67"/>
        <v>1437</v>
      </c>
      <c r="BX79" s="6300">
        <f t="shared" si="61"/>
        <v>0.62870813397129188</v>
      </c>
      <c r="BZ79" s="4388"/>
      <c r="CA79" s="4388"/>
      <c r="CB79" s="6276" t="s">
        <v>484</v>
      </c>
      <c r="CC79" s="6320">
        <v>341</v>
      </c>
      <c r="CD79" s="6320">
        <v>274</v>
      </c>
      <c r="CE79" s="6320"/>
      <c r="CF79" s="6320">
        <v>123</v>
      </c>
      <c r="CG79" s="6320">
        <v>1402</v>
      </c>
      <c r="CH79" s="6320">
        <v>452</v>
      </c>
      <c r="CI79" s="6320">
        <v>50</v>
      </c>
      <c r="CJ79" s="6320">
        <v>33</v>
      </c>
      <c r="CK79" s="6320">
        <v>2</v>
      </c>
      <c r="CL79" s="6320">
        <v>46</v>
      </c>
      <c r="CM79" s="6320">
        <v>744</v>
      </c>
      <c r="CN79" s="6320"/>
      <c r="CO79" s="6320">
        <v>733</v>
      </c>
      <c r="CP79" s="6320"/>
      <c r="CQ79" s="6320">
        <v>4200</v>
      </c>
      <c r="CR79" s="6304">
        <f t="shared" si="51"/>
        <v>0.61857142857142855</v>
      </c>
      <c r="CS79" s="4238"/>
      <c r="CT79" s="6305"/>
      <c r="CU79" s="6316"/>
      <c r="CV79" s="3800"/>
      <c r="CW79" s="3800"/>
      <c r="CX79" s="6332" t="s">
        <v>15</v>
      </c>
      <c r="CY79" s="6332">
        <v>696</v>
      </c>
      <c r="CZ79" s="6332">
        <v>582</v>
      </c>
      <c r="DA79" s="6332"/>
      <c r="DB79" s="6332">
        <v>889</v>
      </c>
      <c r="DC79" s="6332">
        <v>11272</v>
      </c>
      <c r="DD79" s="6332">
        <v>2418</v>
      </c>
      <c r="DE79" s="6332">
        <v>1729</v>
      </c>
      <c r="DF79" s="6332"/>
      <c r="DG79" s="6332">
        <v>6</v>
      </c>
      <c r="DH79" s="6332">
        <v>104</v>
      </c>
      <c r="DI79" s="6332">
        <v>2279</v>
      </c>
      <c r="DJ79" s="6332"/>
      <c r="DK79" s="6332">
        <v>3021</v>
      </c>
      <c r="DL79" s="6332">
        <v>20</v>
      </c>
      <c r="DM79" s="3707">
        <v>23016</v>
      </c>
      <c r="DN79" s="6333">
        <f t="shared" si="53"/>
        <v>0.69442511741172375</v>
      </c>
      <c r="DP79" s="4263"/>
      <c r="DQ79" s="4263"/>
      <c r="DR79" s="4268" t="s">
        <v>412</v>
      </c>
      <c r="DS79" s="4269">
        <v>1861</v>
      </c>
      <c r="DT79" s="4269">
        <v>1228</v>
      </c>
      <c r="DU79" s="4269">
        <v>3</v>
      </c>
      <c r="DV79" s="4269">
        <v>838</v>
      </c>
      <c r="DW79" s="4269">
        <v>8125</v>
      </c>
      <c r="DX79" s="4269">
        <v>3053</v>
      </c>
      <c r="DY79" s="4269">
        <v>689</v>
      </c>
      <c r="DZ79" s="4269"/>
      <c r="EA79" s="4269">
        <v>9</v>
      </c>
      <c r="EB79" s="4269">
        <v>167</v>
      </c>
      <c r="EC79" s="4269">
        <v>3393</v>
      </c>
      <c r="ED79" s="4269"/>
      <c r="EE79" s="4269">
        <v>3616</v>
      </c>
      <c r="EF79" s="4269">
        <v>14</v>
      </c>
      <c r="EG79" s="4269">
        <v>22996</v>
      </c>
      <c r="EH79" s="6334">
        <f t="shared" si="54"/>
        <v>0.6340179270733618</v>
      </c>
      <c r="EL79" s="893" t="s">
        <v>412</v>
      </c>
      <c r="EM79" s="135">
        <v>1617</v>
      </c>
      <c r="EN79" s="135">
        <v>909</v>
      </c>
      <c r="EO79" s="135"/>
      <c r="EP79" s="135">
        <v>4</v>
      </c>
      <c r="EQ79" s="135">
        <v>9339</v>
      </c>
      <c r="ER79" s="135">
        <v>2597</v>
      </c>
      <c r="ES79" s="135">
        <v>954</v>
      </c>
      <c r="ET79" s="135"/>
      <c r="EU79" s="135">
        <v>1</v>
      </c>
      <c r="EV79" s="135">
        <v>222</v>
      </c>
      <c r="EW79" s="135">
        <v>3035</v>
      </c>
      <c r="EX79" s="135"/>
      <c r="EY79" s="135">
        <v>3414</v>
      </c>
      <c r="EZ79" s="135">
        <v>2</v>
      </c>
      <c r="FA79" s="135">
        <v>22094</v>
      </c>
      <c r="FB79" s="6315">
        <f t="shared" si="55"/>
        <v>0.67766612348361399</v>
      </c>
      <c r="FD79" s="42"/>
      <c r="FE79" s="42"/>
      <c r="FF79" s="893" t="s">
        <v>412</v>
      </c>
      <c r="FG79" s="135">
        <v>1594</v>
      </c>
      <c r="FH79" s="135">
        <v>1059</v>
      </c>
      <c r="FI79" s="135">
        <v>2</v>
      </c>
      <c r="FJ79" s="135">
        <v>937</v>
      </c>
      <c r="FK79" s="135">
        <v>8971</v>
      </c>
      <c r="FL79" s="135">
        <v>2736</v>
      </c>
      <c r="FM79" s="135">
        <v>1142</v>
      </c>
      <c r="FN79" s="135">
        <v>4</v>
      </c>
      <c r="FO79" s="135">
        <v>5</v>
      </c>
      <c r="FP79" s="135">
        <v>188</v>
      </c>
      <c r="FQ79" s="135">
        <v>3125</v>
      </c>
      <c r="FR79" s="135"/>
      <c r="FS79" s="135">
        <v>3267</v>
      </c>
      <c r="FT79" s="135">
        <v>23</v>
      </c>
      <c r="FU79" s="135">
        <v>23053</v>
      </c>
      <c r="FV79" s="5723">
        <f t="shared" si="45"/>
        <v>0.64402952670429869</v>
      </c>
      <c r="FW79" s="5717"/>
      <c r="FX79" s="42"/>
      <c r="FY79" s="42"/>
      <c r="FZ79" s="893" t="s">
        <v>412</v>
      </c>
      <c r="GA79" s="135">
        <v>1516</v>
      </c>
      <c r="GB79" s="135">
        <v>1084</v>
      </c>
      <c r="GC79" s="135">
        <v>1</v>
      </c>
      <c r="GD79" s="135">
        <v>932</v>
      </c>
      <c r="GE79" s="135">
        <v>9428</v>
      </c>
      <c r="GF79" s="135">
        <v>2482</v>
      </c>
      <c r="GG79" s="135">
        <v>1130</v>
      </c>
      <c r="GH79" s="135"/>
      <c r="GI79" s="135">
        <v>6</v>
      </c>
      <c r="GJ79" s="135">
        <v>220</v>
      </c>
      <c r="GK79" s="135">
        <v>3052</v>
      </c>
      <c r="GL79" s="135"/>
      <c r="GM79" s="135">
        <v>3243</v>
      </c>
      <c r="GN79" s="135">
        <v>39</v>
      </c>
      <c r="GO79" s="135">
        <v>23133</v>
      </c>
      <c r="GP79" s="5723">
        <f t="shared" si="56"/>
        <v>0.64787390664241795</v>
      </c>
      <c r="GR79" s="6280"/>
      <c r="GS79" s="6280"/>
      <c r="GT79" s="1179" t="s">
        <v>412</v>
      </c>
      <c r="GU79" s="1180">
        <v>1492</v>
      </c>
      <c r="GV79" s="1180">
        <v>961</v>
      </c>
      <c r="GW79" s="1181"/>
      <c r="GX79" s="1180">
        <v>938</v>
      </c>
      <c r="GY79" s="1180">
        <v>10031</v>
      </c>
      <c r="GZ79" s="1180">
        <v>2360</v>
      </c>
      <c r="HA79" s="1180">
        <v>1189</v>
      </c>
      <c r="HB79" s="1181"/>
      <c r="HC79" s="1180">
        <v>5</v>
      </c>
      <c r="HD79" s="1180">
        <v>195</v>
      </c>
      <c r="HE79" s="1180">
        <v>2911</v>
      </c>
      <c r="HF79" s="1181"/>
      <c r="HG79" s="1180">
        <v>3506</v>
      </c>
      <c r="HH79" s="1180">
        <v>44</v>
      </c>
      <c r="HI79" s="1180">
        <v>23632</v>
      </c>
      <c r="HJ79" s="456">
        <f t="shared" si="57"/>
        <v>0.64871968797693746</v>
      </c>
      <c r="HL79" s="967"/>
      <c r="HM79" s="967"/>
      <c r="HN79" s="1001" t="s">
        <v>412</v>
      </c>
      <c r="HO79" s="1002">
        <v>1546</v>
      </c>
      <c r="HP79" s="1002">
        <v>921</v>
      </c>
      <c r="HQ79" s="1002">
        <v>2</v>
      </c>
      <c r="HR79" s="1002">
        <v>1314</v>
      </c>
      <c r="HS79" s="1002">
        <v>10284</v>
      </c>
      <c r="HT79" s="1002">
        <v>2603</v>
      </c>
      <c r="HU79" s="1002">
        <v>1405</v>
      </c>
      <c r="HV79" s="6262"/>
      <c r="HW79" s="1002">
        <v>2</v>
      </c>
      <c r="HX79" s="1002">
        <v>211</v>
      </c>
      <c r="HY79" s="1002">
        <v>2943</v>
      </c>
      <c r="HZ79" s="1002">
        <v>4881</v>
      </c>
      <c r="IA79" s="1002">
        <v>143</v>
      </c>
      <c r="IB79" s="1002">
        <v>26255</v>
      </c>
      <c r="IC79" s="1003">
        <f t="shared" si="58"/>
        <v>0.60293277470957918</v>
      </c>
      <c r="IE79" s="577"/>
      <c r="IF79" s="577"/>
      <c r="IG79" s="738" t="s">
        <v>412</v>
      </c>
      <c r="IH79" s="991">
        <v>1337</v>
      </c>
      <c r="II79" s="991">
        <v>1169</v>
      </c>
      <c r="IJ79" s="991">
        <v>1</v>
      </c>
      <c r="IK79" s="991">
        <v>1352</v>
      </c>
      <c r="IL79" s="991">
        <v>10091</v>
      </c>
      <c r="IM79" s="991">
        <v>2932</v>
      </c>
      <c r="IN79" s="991">
        <v>1310</v>
      </c>
      <c r="IO79" s="6261"/>
      <c r="IP79" s="991">
        <v>1</v>
      </c>
      <c r="IQ79" s="991">
        <v>143</v>
      </c>
      <c r="IR79" s="991">
        <v>2759</v>
      </c>
      <c r="IS79" s="991">
        <v>5004</v>
      </c>
      <c r="IT79" s="991">
        <v>143</v>
      </c>
      <c r="IU79" s="991">
        <v>26242</v>
      </c>
      <c r="IV79" s="456">
        <f t="shared" si="59"/>
        <v>0.6014023321393186</v>
      </c>
      <c r="IX79" s="742"/>
      <c r="IY79" s="742"/>
      <c r="IZ79" s="981" t="s">
        <v>60</v>
      </c>
      <c r="JA79" s="982">
        <v>10</v>
      </c>
      <c r="JB79" s="982">
        <v>4</v>
      </c>
      <c r="JC79" s="982">
        <v>0</v>
      </c>
      <c r="JD79" s="982">
        <v>3</v>
      </c>
      <c r="JE79" s="982">
        <v>13</v>
      </c>
      <c r="JF79" s="982">
        <v>3</v>
      </c>
      <c r="JG79" s="982">
        <v>0</v>
      </c>
      <c r="JH79" s="982">
        <v>0</v>
      </c>
      <c r="JI79" s="982">
        <v>1</v>
      </c>
      <c r="JJ79" s="982">
        <v>9</v>
      </c>
      <c r="JK79" s="982">
        <v>9</v>
      </c>
      <c r="JL79" s="982">
        <v>1</v>
      </c>
      <c r="JM79" s="982">
        <v>0</v>
      </c>
      <c r="JN79" s="982">
        <v>0</v>
      </c>
      <c r="JO79" s="982">
        <v>53</v>
      </c>
      <c r="JP79" s="983">
        <f t="shared" si="60"/>
        <v>0.56818181818181823</v>
      </c>
      <c r="JR79" s="97"/>
      <c r="JS79" s="97"/>
      <c r="JT79" s="42" t="s">
        <v>60</v>
      </c>
      <c r="JU79" s="42">
        <v>5</v>
      </c>
      <c r="JV79" s="42">
        <v>7</v>
      </c>
      <c r="JW79" s="42">
        <v>1</v>
      </c>
      <c r="JX79" s="42">
        <v>1</v>
      </c>
      <c r="JY79" s="42">
        <v>2</v>
      </c>
      <c r="JZ79" s="42">
        <v>3</v>
      </c>
      <c r="KA79" s="42">
        <v>0</v>
      </c>
      <c r="KB79" s="42"/>
      <c r="KC79" s="42">
        <v>1</v>
      </c>
      <c r="KD79" s="42">
        <v>3</v>
      </c>
      <c r="KE79" s="42">
        <v>8</v>
      </c>
      <c r="KF79" s="42">
        <v>0</v>
      </c>
      <c r="KG79" s="42"/>
      <c r="KH79" s="42">
        <v>0</v>
      </c>
      <c r="KI79" s="42">
        <v>31</v>
      </c>
      <c r="KJ79" s="984">
        <f t="shared" si="46"/>
        <v>0.34782608695652173</v>
      </c>
      <c r="KK79" s="42"/>
      <c r="KL79" s="354"/>
      <c r="KM79" s="354"/>
      <c r="KN79" s="354" t="s">
        <v>60</v>
      </c>
      <c r="KO79" s="985">
        <v>2</v>
      </c>
      <c r="KP79" s="985" t="s">
        <v>315</v>
      </c>
      <c r="KQ79" s="985" t="s">
        <v>315</v>
      </c>
      <c r="KR79" s="985" t="s">
        <v>315</v>
      </c>
      <c r="KS79" s="985">
        <v>0</v>
      </c>
      <c r="KT79" s="985">
        <v>0</v>
      </c>
      <c r="KU79" s="985" t="s">
        <v>315</v>
      </c>
      <c r="KV79" s="985" t="s">
        <v>315</v>
      </c>
      <c r="KW79" s="985" t="s">
        <v>315</v>
      </c>
      <c r="KX79" s="985">
        <v>0</v>
      </c>
      <c r="KY79" s="985" t="s">
        <v>315</v>
      </c>
      <c r="KZ79" s="985" t="s">
        <v>315</v>
      </c>
      <c r="LA79" s="985">
        <v>2</v>
      </c>
      <c r="LB79" s="985">
        <f t="shared" si="47"/>
        <v>0</v>
      </c>
      <c r="LC79" s="986">
        <f t="shared" si="48"/>
        <v>0</v>
      </c>
      <c r="LD79" s="42"/>
      <c r="LE79" s="42"/>
    </row>
    <row r="80" spans="1:317">
      <c r="A80" s="6291">
        <v>5</v>
      </c>
      <c r="B80" s="6291">
        <v>1</v>
      </c>
      <c r="C80" s="6291">
        <v>147</v>
      </c>
      <c r="D80" s="6292">
        <v>283</v>
      </c>
      <c r="E80" s="6291">
        <v>6</v>
      </c>
      <c r="F80" s="6291">
        <v>72</v>
      </c>
      <c r="G80" s="6291">
        <v>67</v>
      </c>
      <c r="H80" s="6291">
        <v>30</v>
      </c>
      <c r="I80" s="6291">
        <v>1</v>
      </c>
      <c r="J80" s="6291">
        <v>6</v>
      </c>
      <c r="K80" s="6291">
        <v>4</v>
      </c>
      <c r="L80" s="6293"/>
      <c r="M80" s="6291">
        <v>21</v>
      </c>
      <c r="N80" s="6291">
        <v>21</v>
      </c>
      <c r="O80" s="6293"/>
      <c r="P80" s="6291">
        <v>55</v>
      </c>
      <c r="Q80" s="6294">
        <f t="shared" si="49"/>
        <v>0.28268551236749118</v>
      </c>
      <c r="S80" s="6340"/>
      <c r="T80" s="6340"/>
      <c r="U80" s="6340"/>
      <c r="V80" s="6347">
        <f>SUM(V79,V74,V65)</f>
        <v>23552</v>
      </c>
      <c r="W80" s="6347">
        <f t="shared" ref="W80:AH80" si="68">SUM(W79,W74,W65)</f>
        <v>166</v>
      </c>
      <c r="X80" s="6347">
        <f t="shared" si="68"/>
        <v>3190</v>
      </c>
      <c r="Y80" s="6347">
        <f t="shared" si="68"/>
        <v>1886</v>
      </c>
      <c r="Z80" s="6347">
        <f t="shared" si="68"/>
        <v>826</v>
      </c>
      <c r="AA80" s="6347">
        <f t="shared" si="68"/>
        <v>10</v>
      </c>
      <c r="AB80" s="6347">
        <f t="shared" si="68"/>
        <v>274</v>
      </c>
      <c r="AC80" s="6347">
        <f t="shared" si="68"/>
        <v>4473</v>
      </c>
      <c r="AD80" s="6347">
        <f t="shared" si="68"/>
        <v>0</v>
      </c>
      <c r="AE80" s="6347">
        <f t="shared" si="68"/>
        <v>2655</v>
      </c>
      <c r="AF80" s="6347">
        <f t="shared" si="68"/>
        <v>1961</v>
      </c>
      <c r="AG80" s="6347">
        <f t="shared" si="68"/>
        <v>1</v>
      </c>
      <c r="AH80" s="6347">
        <f t="shared" si="68"/>
        <v>8110</v>
      </c>
      <c r="AI80" s="6348">
        <f t="shared" si="5"/>
        <v>0.64699388586956519</v>
      </c>
      <c r="AJ80" s="6295"/>
      <c r="AK80" s="6297"/>
      <c r="AL80" s="6297"/>
      <c r="AM80" s="6297"/>
      <c r="AN80" s="6327">
        <f>SUM(AN79,AN74,AN65)</f>
        <v>23568</v>
      </c>
      <c r="AO80" s="6327">
        <f t="shared" ref="AO80:BB80" si="69">SUM(AO79,AO74,AO65)</f>
        <v>275</v>
      </c>
      <c r="AP80" s="6327">
        <f t="shared" si="69"/>
        <v>3196</v>
      </c>
      <c r="AQ80" s="6327">
        <f t="shared" si="69"/>
        <v>2020</v>
      </c>
      <c r="AR80" s="6327">
        <f t="shared" si="69"/>
        <v>821</v>
      </c>
      <c r="AS80" s="6327">
        <f t="shared" si="69"/>
        <v>10</v>
      </c>
      <c r="AT80" s="6327">
        <f t="shared" si="69"/>
        <v>274</v>
      </c>
      <c r="AU80" s="6327">
        <f t="shared" si="69"/>
        <v>16</v>
      </c>
      <c r="AV80" s="6327">
        <f t="shared" si="69"/>
        <v>4696</v>
      </c>
      <c r="AW80" s="6327">
        <f t="shared" si="69"/>
        <v>2384</v>
      </c>
      <c r="AX80" s="6327">
        <f t="shared" si="69"/>
        <v>3</v>
      </c>
      <c r="AY80" s="6327">
        <f t="shared" si="69"/>
        <v>2003</v>
      </c>
      <c r="AZ80" s="6327">
        <f t="shared" si="69"/>
        <v>0</v>
      </c>
      <c r="BA80" s="6327">
        <f t="shared" si="69"/>
        <v>2</v>
      </c>
      <c r="BB80" s="6327">
        <f t="shared" si="69"/>
        <v>7868</v>
      </c>
      <c r="BC80" s="6328">
        <f t="shared" si="50"/>
        <v>0.63468070652173914</v>
      </c>
      <c r="BE80" s="6313"/>
      <c r="BF80" s="6313"/>
      <c r="BG80" s="6313"/>
      <c r="BH80" s="6329" t="s">
        <v>412</v>
      </c>
      <c r="BI80" s="6330">
        <f>SUM(BI79,BI74,BI65)</f>
        <v>23399</v>
      </c>
      <c r="BJ80" s="6330">
        <f t="shared" ref="BJ80:BW80" si="70">SUM(BJ79,BJ74,BJ65)</f>
        <v>191</v>
      </c>
      <c r="BK80" s="6330">
        <f t="shared" si="70"/>
        <v>3758</v>
      </c>
      <c r="BL80" s="6330">
        <f t="shared" si="70"/>
        <v>1836</v>
      </c>
      <c r="BM80" s="6330">
        <f t="shared" si="70"/>
        <v>839</v>
      </c>
      <c r="BN80" s="6330">
        <f t="shared" si="70"/>
        <v>12</v>
      </c>
      <c r="BO80" s="6330">
        <f t="shared" si="70"/>
        <v>335</v>
      </c>
      <c r="BP80" s="6330">
        <f t="shared" si="70"/>
        <v>16</v>
      </c>
      <c r="BQ80" s="6330">
        <f t="shared" si="70"/>
        <v>3886</v>
      </c>
      <c r="BR80" s="6330">
        <f t="shared" si="70"/>
        <v>0</v>
      </c>
      <c r="BS80" s="6330">
        <f t="shared" si="70"/>
        <v>3058</v>
      </c>
      <c r="BT80" s="6330">
        <f t="shared" si="70"/>
        <v>1258</v>
      </c>
      <c r="BU80" s="6330">
        <f t="shared" si="70"/>
        <v>0</v>
      </c>
      <c r="BV80" s="6330">
        <f t="shared" si="70"/>
        <v>0</v>
      </c>
      <c r="BW80" s="6330">
        <f t="shared" si="70"/>
        <v>8210</v>
      </c>
      <c r="BX80" s="6300">
        <f t="shared" si="61"/>
        <v>0.64807766325963312</v>
      </c>
      <c r="BZ80" s="4388"/>
      <c r="CA80" s="4388"/>
      <c r="CB80" s="6276" t="s">
        <v>412</v>
      </c>
      <c r="CC80" s="6320">
        <v>2050</v>
      </c>
      <c r="CD80" s="6320">
        <v>1268</v>
      </c>
      <c r="CE80" s="6320"/>
      <c r="CF80" s="6320">
        <v>823</v>
      </c>
      <c r="CG80" s="6320">
        <v>7896</v>
      </c>
      <c r="CH80" s="6320">
        <v>2642</v>
      </c>
      <c r="CI80" s="6320">
        <v>299</v>
      </c>
      <c r="CJ80" s="6320">
        <v>103</v>
      </c>
      <c r="CK80" s="6320">
        <v>12</v>
      </c>
      <c r="CL80" s="6320">
        <v>236</v>
      </c>
      <c r="CM80" s="6320">
        <v>4145</v>
      </c>
      <c r="CN80" s="6320"/>
      <c r="CO80" s="6320">
        <v>3842</v>
      </c>
      <c r="CP80" s="6320">
        <v>16</v>
      </c>
      <c r="CQ80" s="6320">
        <v>23332</v>
      </c>
      <c r="CR80" s="6304">
        <f t="shared" si="51"/>
        <v>0.6297392348601818</v>
      </c>
      <c r="CS80" s="4238"/>
      <c r="CT80" s="6305"/>
      <c r="CU80" s="6316"/>
      <c r="CV80" s="97" t="s">
        <v>59</v>
      </c>
      <c r="CW80" s="97" t="s">
        <v>16</v>
      </c>
      <c r="CX80" s="42" t="s">
        <v>17</v>
      </c>
      <c r="CY80" s="42">
        <v>10</v>
      </c>
      <c r="CZ80" s="42">
        <v>22</v>
      </c>
      <c r="DB80" s="42">
        <v>5</v>
      </c>
      <c r="DC80" s="42">
        <v>135</v>
      </c>
      <c r="DD80" s="42">
        <v>23</v>
      </c>
      <c r="DE80" s="42">
        <v>23</v>
      </c>
      <c r="DH80" s="42">
        <v>3</v>
      </c>
      <c r="DI80" s="42">
        <v>27</v>
      </c>
      <c r="DK80" s="42">
        <v>31</v>
      </c>
      <c r="DL80" s="42">
        <v>1</v>
      </c>
      <c r="DM80" s="893">
        <v>280</v>
      </c>
      <c r="DN80" s="6306">
        <f t="shared" si="53"/>
        <v>0.6630824372759857</v>
      </c>
      <c r="DP80" s="4263" t="s">
        <v>59</v>
      </c>
      <c r="DQ80" s="4263" t="s">
        <v>16</v>
      </c>
      <c r="DR80" s="4258" t="s">
        <v>17</v>
      </c>
      <c r="DS80" s="4263">
        <v>18</v>
      </c>
      <c r="DT80" s="4263">
        <v>30</v>
      </c>
      <c r="DU80" s="4263"/>
      <c r="DV80" s="4263">
        <v>5</v>
      </c>
      <c r="DW80" s="4263">
        <v>90</v>
      </c>
      <c r="DX80" s="4263">
        <v>28</v>
      </c>
      <c r="DY80" s="4263">
        <v>9</v>
      </c>
      <c r="DZ80" s="4263">
        <v>1</v>
      </c>
      <c r="EA80" s="4263"/>
      <c r="EB80" s="4263">
        <v>16</v>
      </c>
      <c r="EC80" s="4263">
        <v>50</v>
      </c>
      <c r="ED80" s="4263"/>
      <c r="EE80" s="4263">
        <v>33</v>
      </c>
      <c r="EF80" s="4263">
        <v>1</v>
      </c>
      <c r="EG80" s="4263">
        <v>281</v>
      </c>
      <c r="EH80" s="6307">
        <f t="shared" si="54"/>
        <v>0.6</v>
      </c>
      <c r="EJ80" s="42" t="s">
        <v>59</v>
      </c>
      <c r="EK80" s="42" t="s">
        <v>16</v>
      </c>
      <c r="EL80" s="42" t="s">
        <v>17</v>
      </c>
      <c r="EM80" s="97">
        <v>15</v>
      </c>
      <c r="EN80" s="97">
        <v>21</v>
      </c>
      <c r="EO80" s="97"/>
      <c r="EP80" s="97">
        <v>2</v>
      </c>
      <c r="EQ80" s="97">
        <v>126</v>
      </c>
      <c r="ER80" s="97">
        <v>19</v>
      </c>
      <c r="ES80" s="97">
        <v>15</v>
      </c>
      <c r="ET80" s="97">
        <v>3</v>
      </c>
      <c r="EU80" s="97"/>
      <c r="EV80" s="97">
        <v>12</v>
      </c>
      <c r="EW80" s="97">
        <v>29</v>
      </c>
      <c r="EX80" s="97"/>
      <c r="EY80" s="97">
        <v>34</v>
      </c>
      <c r="EZ80" s="97"/>
      <c r="FA80" s="97">
        <v>276</v>
      </c>
      <c r="FB80" s="6315">
        <f t="shared" si="55"/>
        <v>0.63043478260869568</v>
      </c>
      <c r="FD80" s="42" t="s">
        <v>59</v>
      </c>
      <c r="FE80" s="42" t="s">
        <v>16</v>
      </c>
      <c r="FF80" s="42" t="s">
        <v>17</v>
      </c>
      <c r="FG80" s="97">
        <v>13</v>
      </c>
      <c r="FH80" s="97">
        <v>30</v>
      </c>
      <c r="FI80" s="97"/>
      <c r="FJ80" s="97">
        <v>7</v>
      </c>
      <c r="FK80" s="97">
        <v>141</v>
      </c>
      <c r="FL80" s="97">
        <v>13</v>
      </c>
      <c r="FM80" s="97">
        <v>14</v>
      </c>
      <c r="FN80" s="97">
        <v>0</v>
      </c>
      <c r="FO80" s="97"/>
      <c r="FP80" s="97">
        <v>8</v>
      </c>
      <c r="FQ80" s="97">
        <v>26</v>
      </c>
      <c r="FR80" s="97"/>
      <c r="FS80" s="97">
        <v>30</v>
      </c>
      <c r="FT80" s="97"/>
      <c r="FU80" s="97">
        <v>282</v>
      </c>
      <c r="FV80" s="6308">
        <f t="shared" si="45"/>
        <v>0.63829787234042556</v>
      </c>
      <c r="FW80" s="6322"/>
      <c r="FX80" s="42" t="s">
        <v>59</v>
      </c>
      <c r="FY80" s="42" t="s">
        <v>16</v>
      </c>
      <c r="FZ80" s="42" t="s">
        <v>17</v>
      </c>
      <c r="GA80" s="97">
        <v>10</v>
      </c>
      <c r="GB80" s="97">
        <v>30</v>
      </c>
      <c r="GC80" s="97"/>
      <c r="GD80" s="97">
        <v>5</v>
      </c>
      <c r="GE80" s="97">
        <v>158</v>
      </c>
      <c r="GF80" s="97">
        <v>18</v>
      </c>
      <c r="GG80" s="97">
        <v>8</v>
      </c>
      <c r="GH80" s="97">
        <v>0</v>
      </c>
      <c r="GI80" s="97"/>
      <c r="GJ80" s="97">
        <v>12</v>
      </c>
      <c r="GK80" s="97">
        <v>15</v>
      </c>
      <c r="GL80" s="97"/>
      <c r="GM80" s="97">
        <v>32</v>
      </c>
      <c r="GN80" s="97">
        <v>1</v>
      </c>
      <c r="GO80" s="97">
        <v>289</v>
      </c>
      <c r="GP80" s="6308">
        <f t="shared" si="56"/>
        <v>0.66319444444444442</v>
      </c>
      <c r="GR80" s="6280" t="s">
        <v>59</v>
      </c>
      <c r="GS80" s="6280" t="s">
        <v>16</v>
      </c>
      <c r="GT80" s="6310" t="s">
        <v>17</v>
      </c>
      <c r="GU80" s="6311">
        <v>11</v>
      </c>
      <c r="GV80" s="6311">
        <v>36</v>
      </c>
      <c r="GW80" s="6312"/>
      <c r="GX80" s="6311">
        <v>6</v>
      </c>
      <c r="GY80" s="6311">
        <v>167</v>
      </c>
      <c r="GZ80" s="6311">
        <v>16</v>
      </c>
      <c r="HA80" s="6311">
        <v>21</v>
      </c>
      <c r="HB80" s="6311">
        <v>0</v>
      </c>
      <c r="HC80" s="6312"/>
      <c r="HD80" s="6311">
        <v>7</v>
      </c>
      <c r="HE80" s="6311">
        <v>21</v>
      </c>
      <c r="HF80" s="6312"/>
      <c r="HG80" s="6311">
        <v>31</v>
      </c>
      <c r="HH80" s="6311">
        <v>1</v>
      </c>
      <c r="HI80" s="6311">
        <v>317</v>
      </c>
      <c r="HJ80" s="467">
        <f t="shared" si="57"/>
        <v>0.64556962025316456</v>
      </c>
      <c r="HL80" s="967" t="s">
        <v>59</v>
      </c>
      <c r="HM80" s="967" t="s">
        <v>16</v>
      </c>
      <c r="HN80" s="977" t="s">
        <v>17</v>
      </c>
      <c r="HO80" s="978">
        <v>9</v>
      </c>
      <c r="HP80" s="978">
        <v>26</v>
      </c>
      <c r="HQ80" s="967"/>
      <c r="HR80" s="978">
        <v>9</v>
      </c>
      <c r="HS80" s="978">
        <v>145</v>
      </c>
      <c r="HT80" s="978">
        <v>13</v>
      </c>
      <c r="HU80" s="978">
        <v>5</v>
      </c>
      <c r="HV80" s="967"/>
      <c r="HW80" s="967"/>
      <c r="HX80" s="978">
        <v>13</v>
      </c>
      <c r="HY80" s="978">
        <v>29</v>
      </c>
      <c r="HZ80" s="978">
        <v>48</v>
      </c>
      <c r="IA80" s="967"/>
      <c r="IB80" s="978">
        <v>297</v>
      </c>
      <c r="IC80" s="467">
        <f t="shared" si="58"/>
        <v>0.62962962962962965</v>
      </c>
      <c r="IE80" s="577" t="s">
        <v>59</v>
      </c>
      <c r="IF80" s="577" t="s">
        <v>16</v>
      </c>
      <c r="IG80" s="979" t="s">
        <v>17</v>
      </c>
      <c r="IH80" s="980">
        <v>28</v>
      </c>
      <c r="II80" s="980">
        <v>27</v>
      </c>
      <c r="IJ80" s="577"/>
      <c r="IK80" s="980">
        <v>8</v>
      </c>
      <c r="IL80" s="980">
        <v>121</v>
      </c>
      <c r="IM80" s="980">
        <v>12</v>
      </c>
      <c r="IN80" s="980">
        <v>3</v>
      </c>
      <c r="IO80" s="980">
        <v>0</v>
      </c>
      <c r="IP80" s="577"/>
      <c r="IQ80" s="980">
        <v>6</v>
      </c>
      <c r="IR80" s="980">
        <v>24</v>
      </c>
      <c r="IS80" s="980">
        <v>36</v>
      </c>
      <c r="IT80" s="577"/>
      <c r="IU80" s="980">
        <v>265</v>
      </c>
      <c r="IV80" s="467">
        <f t="shared" si="59"/>
        <v>0.59245283018867922</v>
      </c>
      <c r="IX80" s="742"/>
      <c r="IY80" s="742"/>
      <c r="IZ80" s="981" t="s">
        <v>384</v>
      </c>
      <c r="JA80" s="982">
        <v>19</v>
      </c>
      <c r="JB80" s="982">
        <v>7</v>
      </c>
      <c r="JC80" s="982">
        <v>0</v>
      </c>
      <c r="JD80" s="982">
        <v>5</v>
      </c>
      <c r="JE80" s="982">
        <v>2</v>
      </c>
      <c r="JF80" s="982">
        <v>3</v>
      </c>
      <c r="JG80" s="982">
        <v>2</v>
      </c>
      <c r="JH80" s="982">
        <v>0</v>
      </c>
      <c r="JI80" s="982">
        <v>5</v>
      </c>
      <c r="JJ80" s="982">
        <v>5</v>
      </c>
      <c r="JK80" s="982">
        <v>7</v>
      </c>
      <c r="JL80" s="982">
        <v>10</v>
      </c>
      <c r="JM80" s="982">
        <v>0</v>
      </c>
      <c r="JN80" s="982">
        <v>0</v>
      </c>
      <c r="JO80" s="982">
        <v>65</v>
      </c>
      <c r="JP80" s="983">
        <f t="shared" si="60"/>
        <v>0.17241379310344829</v>
      </c>
      <c r="JR80" s="97"/>
      <c r="JS80" s="97"/>
      <c r="JT80" s="42" t="s">
        <v>384</v>
      </c>
      <c r="JU80" s="42">
        <v>13</v>
      </c>
      <c r="JV80" s="42">
        <v>1</v>
      </c>
      <c r="JW80" s="42">
        <v>0</v>
      </c>
      <c r="JX80" s="42">
        <v>2</v>
      </c>
      <c r="JY80" s="42">
        <v>0</v>
      </c>
      <c r="JZ80" s="42">
        <v>0</v>
      </c>
      <c r="KA80" s="42">
        <v>0</v>
      </c>
      <c r="KB80" s="42"/>
      <c r="KC80" s="42">
        <v>3</v>
      </c>
      <c r="KD80" s="42">
        <v>3</v>
      </c>
      <c r="KE80" s="42">
        <v>5</v>
      </c>
      <c r="KF80" s="42">
        <v>5</v>
      </c>
      <c r="KG80" s="42"/>
      <c r="KH80" s="42">
        <v>0</v>
      </c>
      <c r="KI80" s="42">
        <v>32</v>
      </c>
      <c r="KJ80" s="984">
        <f t="shared" si="46"/>
        <v>0.1111111111111111</v>
      </c>
      <c r="KK80" s="42"/>
      <c r="KL80" s="354"/>
      <c r="KM80" s="354"/>
      <c r="KN80" s="994" t="s">
        <v>15</v>
      </c>
      <c r="KO80" s="995">
        <v>21</v>
      </c>
      <c r="KP80" s="995">
        <v>16</v>
      </c>
      <c r="KQ80" s="995" t="s">
        <v>315</v>
      </c>
      <c r="KR80" s="995">
        <v>3</v>
      </c>
      <c r="KS80" s="995">
        <v>32</v>
      </c>
      <c r="KT80" s="995">
        <v>19</v>
      </c>
      <c r="KU80" s="995">
        <v>2</v>
      </c>
      <c r="KV80" s="995" t="s">
        <v>315</v>
      </c>
      <c r="KW80" s="995">
        <v>3</v>
      </c>
      <c r="KX80" s="995">
        <v>26</v>
      </c>
      <c r="KY80" s="995">
        <v>21</v>
      </c>
      <c r="KZ80" s="995" t="s">
        <v>315</v>
      </c>
      <c r="LA80" s="995">
        <v>143</v>
      </c>
      <c r="LB80" s="995">
        <f t="shared" si="47"/>
        <v>77</v>
      </c>
      <c r="LC80" s="996">
        <f t="shared" si="48"/>
        <v>0.53846153846153844</v>
      </c>
      <c r="LD80" s="42"/>
      <c r="LE80" s="42"/>
    </row>
    <row r="81" spans="1:317">
      <c r="A81" s="6291">
        <v>5</v>
      </c>
      <c r="B81" s="6291">
        <v>1</v>
      </c>
      <c r="C81" s="6291">
        <v>177</v>
      </c>
      <c r="D81" s="6292">
        <v>87</v>
      </c>
      <c r="E81" s="6291">
        <v>2</v>
      </c>
      <c r="F81" s="6291">
        <v>17</v>
      </c>
      <c r="G81" s="6291">
        <v>51</v>
      </c>
      <c r="H81" s="6291">
        <v>4</v>
      </c>
      <c r="I81" s="6293"/>
      <c r="J81" s="6293"/>
      <c r="K81" s="6293"/>
      <c r="L81" s="6293"/>
      <c r="M81" s="6291">
        <v>2</v>
      </c>
      <c r="N81" s="6291">
        <v>11</v>
      </c>
      <c r="O81" s="6293"/>
      <c r="P81" s="6293"/>
      <c r="Q81" s="6294">
        <f t="shared" si="49"/>
        <v>2.2988505747126436E-2</v>
      </c>
      <c r="S81" s="6335">
        <v>4</v>
      </c>
      <c r="T81" s="6335">
        <v>2</v>
      </c>
      <c r="U81" s="6335">
        <v>128</v>
      </c>
      <c r="V81" s="6335">
        <v>347</v>
      </c>
      <c r="W81" s="6295">
        <v>16</v>
      </c>
      <c r="X81" s="6295">
        <v>37</v>
      </c>
      <c r="Y81" s="6295">
        <v>41</v>
      </c>
      <c r="Z81" s="6295">
        <v>10</v>
      </c>
      <c r="AA81" s="6296"/>
      <c r="AB81" s="6295">
        <v>2</v>
      </c>
      <c r="AC81" s="6295">
        <v>53</v>
      </c>
      <c r="AD81" s="6295">
        <v>3</v>
      </c>
      <c r="AE81" s="6295">
        <v>24</v>
      </c>
      <c r="AF81" s="6295">
        <v>40</v>
      </c>
      <c r="AG81" s="6296"/>
      <c r="AH81" s="6295">
        <v>121</v>
      </c>
      <c r="AI81" s="6294">
        <f t="shared" si="5"/>
        <v>0.57060518731988474</v>
      </c>
      <c r="AJ81" s="6295"/>
      <c r="AK81" s="6297">
        <v>4</v>
      </c>
      <c r="AL81" s="6297">
        <v>2</v>
      </c>
      <c r="AM81" s="6297">
        <v>128</v>
      </c>
      <c r="AN81" s="6336">
        <v>348</v>
      </c>
      <c r="AO81" s="6297">
        <v>16</v>
      </c>
      <c r="AP81" s="6297">
        <v>37</v>
      </c>
      <c r="AQ81" s="6297">
        <v>41</v>
      </c>
      <c r="AR81" s="6297">
        <v>10</v>
      </c>
      <c r="AS81" s="6299"/>
      <c r="AT81" s="6297">
        <v>2</v>
      </c>
      <c r="AU81" s="6297">
        <v>1</v>
      </c>
      <c r="AV81" s="6297">
        <v>44</v>
      </c>
      <c r="AW81" s="6297">
        <v>25</v>
      </c>
      <c r="AX81" s="6299"/>
      <c r="AY81" s="6297">
        <v>53</v>
      </c>
      <c r="AZ81" s="6299"/>
      <c r="BA81" s="6299"/>
      <c r="BB81" s="6297">
        <v>119</v>
      </c>
      <c r="BC81" s="6300">
        <f t="shared" si="50"/>
        <v>0.5417867435158501</v>
      </c>
      <c r="BE81" s="6313">
        <v>4</v>
      </c>
      <c r="BF81" s="6313">
        <v>2</v>
      </c>
      <c r="BG81" s="6313">
        <v>128</v>
      </c>
      <c r="BH81" s="4405" t="s">
        <v>17</v>
      </c>
      <c r="BI81" s="6337">
        <v>316</v>
      </c>
      <c r="BJ81" s="6313">
        <v>9</v>
      </c>
      <c r="BK81" s="6313">
        <v>44</v>
      </c>
      <c r="BL81" s="6313">
        <v>31</v>
      </c>
      <c r="BM81" s="6313">
        <v>8</v>
      </c>
      <c r="BN81" s="6303"/>
      <c r="BO81" s="6313">
        <v>1</v>
      </c>
      <c r="BP81" s="6313">
        <v>1</v>
      </c>
      <c r="BQ81" s="6313">
        <v>39</v>
      </c>
      <c r="BR81" s="6313">
        <v>1</v>
      </c>
      <c r="BS81" s="6313">
        <v>43</v>
      </c>
      <c r="BT81" s="6313">
        <v>41</v>
      </c>
      <c r="BU81" s="6303"/>
      <c r="BV81" s="6303"/>
      <c r="BW81" s="6313">
        <v>98</v>
      </c>
      <c r="BX81" s="6300">
        <f t="shared" si="61"/>
        <v>0.5714285714285714</v>
      </c>
      <c r="BZ81" s="4388" t="s">
        <v>59</v>
      </c>
      <c r="CA81" s="4388" t="s">
        <v>16</v>
      </c>
      <c r="CB81" s="4388" t="s">
        <v>17</v>
      </c>
      <c r="CC81" s="4231">
        <v>41</v>
      </c>
      <c r="CD81" s="4231">
        <v>39</v>
      </c>
      <c r="CE81" s="4231">
        <v>0</v>
      </c>
      <c r="CF81" s="4231">
        <v>8</v>
      </c>
      <c r="CG81" s="4231">
        <v>84</v>
      </c>
      <c r="CH81" s="4231">
        <v>43</v>
      </c>
      <c r="CI81" s="4231">
        <v>1</v>
      </c>
      <c r="CJ81" s="4231">
        <v>3</v>
      </c>
      <c r="CK81" s="4231"/>
      <c r="CL81" s="4231">
        <v>15</v>
      </c>
      <c r="CM81" s="4231">
        <v>37</v>
      </c>
      <c r="CN81" s="4231"/>
      <c r="CO81" s="4231">
        <v>44</v>
      </c>
      <c r="CP81" s="4231">
        <v>1</v>
      </c>
      <c r="CQ81" s="4231">
        <v>316</v>
      </c>
      <c r="CR81" s="6304">
        <f t="shared" si="51"/>
        <v>0.52063492063492067</v>
      </c>
      <c r="CS81" s="4238">
        <f t="shared" si="52"/>
        <v>0</v>
      </c>
      <c r="CT81" s="6305">
        <v>316</v>
      </c>
      <c r="CU81" s="6316"/>
      <c r="CX81" s="42" t="s">
        <v>60</v>
      </c>
      <c r="CY81" s="42">
        <v>23</v>
      </c>
      <c r="CZ81" s="42">
        <v>25</v>
      </c>
      <c r="DB81" s="42">
        <v>11</v>
      </c>
      <c r="DC81" s="42">
        <v>34</v>
      </c>
      <c r="DD81" s="42">
        <v>16</v>
      </c>
      <c r="DE81" s="42">
        <v>10</v>
      </c>
      <c r="DH81" s="42">
        <v>12</v>
      </c>
      <c r="DI81" s="42">
        <v>31</v>
      </c>
      <c r="DK81" s="42">
        <v>30</v>
      </c>
      <c r="DL81" s="42">
        <v>0</v>
      </c>
      <c r="DM81" s="893">
        <v>192</v>
      </c>
      <c r="DN81" s="6306">
        <f t="shared" si="53"/>
        <v>0.421875</v>
      </c>
      <c r="DP81" s="4263"/>
      <c r="DQ81" s="4263"/>
      <c r="DR81" s="6349" t="s">
        <v>18</v>
      </c>
      <c r="DS81" s="4263">
        <v>11</v>
      </c>
      <c r="DT81" s="4263">
        <v>2</v>
      </c>
      <c r="DU81" s="4263"/>
      <c r="DV81" s="4263">
        <v>0</v>
      </c>
      <c r="DW81" s="4263">
        <v>0</v>
      </c>
      <c r="DX81" s="4263">
        <v>0</v>
      </c>
      <c r="DY81" s="4263">
        <v>0</v>
      </c>
      <c r="DZ81" s="4263">
        <v>4</v>
      </c>
      <c r="EA81" s="4263"/>
      <c r="EB81" s="4263">
        <v>7</v>
      </c>
      <c r="EC81" s="4263">
        <v>9</v>
      </c>
      <c r="ED81" s="4263"/>
      <c r="EE81" s="4263">
        <v>4</v>
      </c>
      <c r="EF81" s="4263">
        <v>0</v>
      </c>
      <c r="EG81" s="4263">
        <v>37</v>
      </c>
      <c r="EH81" s="6307">
        <f t="shared" si="54"/>
        <v>0.24324324324324326</v>
      </c>
      <c r="EL81" s="42" t="s">
        <v>60</v>
      </c>
      <c r="EM81" s="97">
        <v>42</v>
      </c>
      <c r="EN81" s="97">
        <v>20</v>
      </c>
      <c r="EO81" s="97"/>
      <c r="EP81" s="97">
        <v>0</v>
      </c>
      <c r="EQ81" s="97">
        <v>28</v>
      </c>
      <c r="ER81" s="97">
        <v>11</v>
      </c>
      <c r="ES81" s="97">
        <v>2</v>
      </c>
      <c r="ET81" s="97">
        <v>1</v>
      </c>
      <c r="EU81" s="97"/>
      <c r="EV81" s="97">
        <v>24</v>
      </c>
      <c r="EW81" s="97">
        <v>20</v>
      </c>
      <c r="EX81" s="97"/>
      <c r="EY81" s="97">
        <v>33</v>
      </c>
      <c r="EZ81" s="97"/>
      <c r="FA81" s="97">
        <v>181</v>
      </c>
      <c r="FB81" s="6315">
        <f t="shared" si="55"/>
        <v>0.32596685082872928</v>
      </c>
      <c r="FD81" s="42"/>
      <c r="FE81" s="42"/>
      <c r="FF81" s="42" t="s">
        <v>60</v>
      </c>
      <c r="FG81" s="97">
        <v>11</v>
      </c>
      <c r="FH81" s="97">
        <v>25</v>
      </c>
      <c r="FI81" s="97"/>
      <c r="FJ81" s="97">
        <v>10</v>
      </c>
      <c r="FK81" s="97">
        <v>31</v>
      </c>
      <c r="FL81" s="97">
        <v>10</v>
      </c>
      <c r="FM81" s="97">
        <v>7</v>
      </c>
      <c r="FN81" s="97">
        <v>0</v>
      </c>
      <c r="FO81" s="97"/>
      <c r="FP81" s="97">
        <v>15</v>
      </c>
      <c r="FQ81" s="97">
        <v>17</v>
      </c>
      <c r="FR81" s="97"/>
      <c r="FS81" s="97">
        <v>24</v>
      </c>
      <c r="FT81" s="97"/>
      <c r="FU81" s="97">
        <v>150</v>
      </c>
      <c r="FV81" s="6308">
        <f t="shared" si="45"/>
        <v>0.38666666666666666</v>
      </c>
      <c r="FW81" s="6322"/>
      <c r="FX81" s="42"/>
      <c r="FY81" s="42"/>
      <c r="FZ81" s="42" t="s">
        <v>60</v>
      </c>
      <c r="GA81" s="97">
        <v>4</v>
      </c>
      <c r="GB81" s="97">
        <v>22</v>
      </c>
      <c r="GC81" s="97"/>
      <c r="GD81" s="97">
        <v>8</v>
      </c>
      <c r="GE81" s="97">
        <v>29</v>
      </c>
      <c r="GF81" s="97">
        <v>8</v>
      </c>
      <c r="GG81" s="97">
        <v>1</v>
      </c>
      <c r="GH81" s="97">
        <v>2</v>
      </c>
      <c r="GI81" s="97"/>
      <c r="GJ81" s="97">
        <v>17</v>
      </c>
      <c r="GK81" s="97">
        <v>9</v>
      </c>
      <c r="GL81" s="97"/>
      <c r="GM81" s="97">
        <v>20</v>
      </c>
      <c r="GN81" s="97">
        <v>0</v>
      </c>
      <c r="GO81" s="97">
        <v>120</v>
      </c>
      <c r="GP81" s="6308">
        <f t="shared" si="56"/>
        <v>0.38333333333333336</v>
      </c>
      <c r="GR81" s="6280"/>
      <c r="GS81" s="6280"/>
      <c r="GT81" s="6310" t="s">
        <v>18</v>
      </c>
      <c r="GU81" s="6311">
        <v>0</v>
      </c>
      <c r="GV81" s="6311">
        <v>0</v>
      </c>
      <c r="GW81" s="6312"/>
      <c r="GX81" s="6311">
        <v>2</v>
      </c>
      <c r="GY81" s="6311">
        <v>24</v>
      </c>
      <c r="GZ81" s="6311">
        <v>0</v>
      </c>
      <c r="HA81" s="6311">
        <v>6</v>
      </c>
      <c r="HB81" s="6311">
        <v>0</v>
      </c>
      <c r="HC81" s="6312"/>
      <c r="HD81" s="6311">
        <v>0</v>
      </c>
      <c r="HE81" s="6311">
        <v>1</v>
      </c>
      <c r="HF81" s="6312"/>
      <c r="HG81" s="6311">
        <v>0</v>
      </c>
      <c r="HH81" s="6311">
        <v>0</v>
      </c>
      <c r="HI81" s="6311">
        <v>33</v>
      </c>
      <c r="HJ81" s="467">
        <f t="shared" si="57"/>
        <v>0.75757575757575757</v>
      </c>
      <c r="HL81" s="967"/>
      <c r="HM81" s="967"/>
      <c r="HN81" s="977" t="s">
        <v>18</v>
      </c>
      <c r="HO81" s="978">
        <v>0</v>
      </c>
      <c r="HP81" s="978">
        <v>1</v>
      </c>
      <c r="HQ81" s="967"/>
      <c r="HR81" s="978">
        <v>2</v>
      </c>
      <c r="HS81" s="978">
        <v>23</v>
      </c>
      <c r="HT81" s="978">
        <v>0</v>
      </c>
      <c r="HU81" s="978">
        <v>0</v>
      </c>
      <c r="HV81" s="967"/>
      <c r="HW81" s="967"/>
      <c r="HX81" s="978">
        <v>0</v>
      </c>
      <c r="HY81" s="978">
        <v>2</v>
      </c>
      <c r="HZ81" s="978">
        <v>6</v>
      </c>
      <c r="IA81" s="967"/>
      <c r="IB81" s="978">
        <v>34</v>
      </c>
      <c r="IC81" s="467">
        <f t="shared" si="58"/>
        <v>0.73529411764705888</v>
      </c>
      <c r="IE81" s="577"/>
      <c r="IF81" s="577"/>
      <c r="IG81" s="979" t="s">
        <v>18</v>
      </c>
      <c r="IH81" s="980">
        <v>0</v>
      </c>
      <c r="II81" s="980">
        <v>2</v>
      </c>
      <c r="IJ81" s="577"/>
      <c r="IK81" s="980">
        <v>2</v>
      </c>
      <c r="IL81" s="980">
        <v>22</v>
      </c>
      <c r="IM81" s="980">
        <v>0</v>
      </c>
      <c r="IN81" s="980">
        <v>0</v>
      </c>
      <c r="IO81" s="980">
        <v>0</v>
      </c>
      <c r="IP81" s="577"/>
      <c r="IQ81" s="980">
        <v>2</v>
      </c>
      <c r="IR81" s="980">
        <v>1</v>
      </c>
      <c r="IS81" s="980">
        <v>5</v>
      </c>
      <c r="IT81" s="577"/>
      <c r="IU81" s="980">
        <v>34</v>
      </c>
      <c r="IV81" s="467">
        <f t="shared" si="59"/>
        <v>0.67647058823529416</v>
      </c>
      <c r="IX81" s="742"/>
      <c r="IY81" s="742"/>
      <c r="IZ81" s="973" t="s">
        <v>483</v>
      </c>
      <c r="JA81" s="992">
        <v>78</v>
      </c>
      <c r="JB81" s="992">
        <v>35</v>
      </c>
      <c r="JC81" s="992">
        <v>0</v>
      </c>
      <c r="JD81" s="992">
        <v>18</v>
      </c>
      <c r="JE81" s="992">
        <v>131</v>
      </c>
      <c r="JF81" s="992">
        <v>15</v>
      </c>
      <c r="JG81" s="992">
        <v>5</v>
      </c>
      <c r="JH81" s="992">
        <v>0</v>
      </c>
      <c r="JI81" s="992">
        <v>10</v>
      </c>
      <c r="JJ81" s="992">
        <v>37</v>
      </c>
      <c r="JK81" s="992">
        <v>54</v>
      </c>
      <c r="JL81" s="992">
        <v>46</v>
      </c>
      <c r="JM81" s="992">
        <v>0</v>
      </c>
      <c r="JN81" s="992">
        <v>3</v>
      </c>
      <c r="JO81" s="992">
        <v>432</v>
      </c>
      <c r="JP81" s="993">
        <f t="shared" si="60"/>
        <v>0.48799999999999999</v>
      </c>
      <c r="JR81" s="97"/>
      <c r="JS81" s="97"/>
      <c r="JT81" s="42" t="s">
        <v>15</v>
      </c>
      <c r="JU81" s="42">
        <v>43</v>
      </c>
      <c r="JV81" s="42">
        <v>22</v>
      </c>
      <c r="JW81" s="42">
        <v>1</v>
      </c>
      <c r="JX81" s="42">
        <v>10</v>
      </c>
      <c r="JY81" s="42">
        <v>94</v>
      </c>
      <c r="JZ81" s="42">
        <v>9</v>
      </c>
      <c r="KA81" s="42">
        <v>3</v>
      </c>
      <c r="KB81" s="42"/>
      <c r="KC81" s="42">
        <v>14</v>
      </c>
      <c r="KD81" s="42">
        <v>26</v>
      </c>
      <c r="KE81" s="42">
        <v>48</v>
      </c>
      <c r="KF81" s="42">
        <v>37</v>
      </c>
      <c r="KG81" s="42"/>
      <c r="KH81" s="42">
        <v>1</v>
      </c>
      <c r="KI81" s="42">
        <v>308</v>
      </c>
      <c r="KJ81" s="984">
        <f t="shared" si="46"/>
        <v>0.49806949806949807</v>
      </c>
      <c r="KK81" s="42"/>
      <c r="KL81" s="354"/>
      <c r="KM81" s="354" t="s">
        <v>61</v>
      </c>
      <c r="KN81" s="354" t="s">
        <v>62</v>
      </c>
      <c r="KO81" s="985">
        <v>13</v>
      </c>
      <c r="KP81" s="985">
        <v>14</v>
      </c>
      <c r="KQ81" s="985" t="s">
        <v>315</v>
      </c>
      <c r="KR81" s="985">
        <v>2</v>
      </c>
      <c r="KS81" s="985">
        <v>4</v>
      </c>
      <c r="KT81" s="985">
        <v>3</v>
      </c>
      <c r="KU81" s="985" t="s">
        <v>315</v>
      </c>
      <c r="KV81" s="985" t="s">
        <v>315</v>
      </c>
      <c r="KW81" s="985">
        <v>6</v>
      </c>
      <c r="KX81" s="985">
        <v>17</v>
      </c>
      <c r="KY81" s="985">
        <v>10</v>
      </c>
      <c r="KZ81" s="985" t="s">
        <v>315</v>
      </c>
      <c r="LA81" s="985">
        <v>69</v>
      </c>
      <c r="LB81" s="985">
        <f t="shared" si="47"/>
        <v>24</v>
      </c>
      <c r="LC81" s="986">
        <f t="shared" si="48"/>
        <v>0.34782608695652173</v>
      </c>
      <c r="LD81" s="42"/>
      <c r="LE81" s="42"/>
    </row>
    <row r="82" spans="1:317">
      <c r="A82" s="6291">
        <v>5</v>
      </c>
      <c r="B82" s="6291">
        <v>1</v>
      </c>
      <c r="C82" s="6291">
        <v>186</v>
      </c>
      <c r="D82" s="6292">
        <v>25</v>
      </c>
      <c r="E82" s="6293"/>
      <c r="F82" s="6291">
        <v>1</v>
      </c>
      <c r="G82" s="6291">
        <v>19</v>
      </c>
      <c r="H82" s="6291">
        <v>2</v>
      </c>
      <c r="I82" s="6293"/>
      <c r="J82" s="6293"/>
      <c r="K82" s="6293"/>
      <c r="L82" s="6293"/>
      <c r="M82" s="6293"/>
      <c r="N82" s="6291">
        <v>3</v>
      </c>
      <c r="O82" s="6293"/>
      <c r="P82" s="6293"/>
      <c r="Q82" s="6294">
        <f t="shared" si="49"/>
        <v>0</v>
      </c>
      <c r="S82" s="6295">
        <v>4</v>
      </c>
      <c r="T82" s="6295">
        <v>2</v>
      </c>
      <c r="U82" s="6295">
        <v>129</v>
      </c>
      <c r="V82" s="6295">
        <v>107</v>
      </c>
      <c r="W82" s="6295">
        <v>9</v>
      </c>
      <c r="X82" s="6295">
        <v>7</v>
      </c>
      <c r="Y82" s="6295">
        <v>22</v>
      </c>
      <c r="Z82" s="6296"/>
      <c r="AA82" s="6296"/>
      <c r="AB82" s="6296"/>
      <c r="AC82" s="6295">
        <v>10</v>
      </c>
      <c r="AD82" s="6295">
        <v>2</v>
      </c>
      <c r="AE82" s="6295">
        <v>16</v>
      </c>
      <c r="AF82" s="6295">
        <v>7</v>
      </c>
      <c r="AG82" s="6296"/>
      <c r="AH82" s="6295">
        <v>34</v>
      </c>
      <c r="AI82" s="6294">
        <f t="shared" si="5"/>
        <v>0.56074766355140182</v>
      </c>
      <c r="AJ82" s="6296"/>
      <c r="AK82" s="6297">
        <v>4</v>
      </c>
      <c r="AL82" s="6297">
        <v>2</v>
      </c>
      <c r="AM82" s="6297">
        <v>129</v>
      </c>
      <c r="AN82" s="6298">
        <v>106</v>
      </c>
      <c r="AO82" s="6297">
        <v>10</v>
      </c>
      <c r="AP82" s="6297">
        <v>7</v>
      </c>
      <c r="AQ82" s="6297">
        <v>18</v>
      </c>
      <c r="AR82" s="6299"/>
      <c r="AS82" s="6299"/>
      <c r="AT82" s="6299"/>
      <c r="AU82" s="6299"/>
      <c r="AV82" s="6297">
        <v>8</v>
      </c>
      <c r="AW82" s="6297">
        <v>13</v>
      </c>
      <c r="AX82" s="6297">
        <v>1</v>
      </c>
      <c r="AY82" s="6297">
        <v>19</v>
      </c>
      <c r="AZ82" s="6299"/>
      <c r="BA82" s="6299"/>
      <c r="BB82" s="6297">
        <v>30</v>
      </c>
      <c r="BC82" s="6300">
        <f t="shared" si="50"/>
        <v>0.48113207547169812</v>
      </c>
      <c r="BE82" s="6313">
        <v>4</v>
      </c>
      <c r="BF82" s="6313">
        <v>2</v>
      </c>
      <c r="BG82" s="6313">
        <v>129</v>
      </c>
      <c r="BH82" s="4405" t="s">
        <v>18</v>
      </c>
      <c r="BI82" s="6314">
        <v>72</v>
      </c>
      <c r="BJ82" s="6313">
        <v>13</v>
      </c>
      <c r="BK82" s="6313">
        <v>5</v>
      </c>
      <c r="BL82" s="6313">
        <v>12</v>
      </c>
      <c r="BM82" s="6303"/>
      <c r="BN82" s="6303"/>
      <c r="BO82" s="6303"/>
      <c r="BP82" s="6303"/>
      <c r="BQ82" s="6313">
        <v>7</v>
      </c>
      <c r="BR82" s="6303"/>
      <c r="BS82" s="6313">
        <v>20</v>
      </c>
      <c r="BT82" s="6313">
        <v>6</v>
      </c>
      <c r="BU82" s="6303"/>
      <c r="BV82" s="6303"/>
      <c r="BW82" s="6313">
        <v>9</v>
      </c>
      <c r="BX82" s="6300">
        <f t="shared" si="61"/>
        <v>0.5</v>
      </c>
      <c r="BZ82" s="4388"/>
      <c r="CA82" s="4388"/>
      <c r="CB82" s="4388" t="s">
        <v>18</v>
      </c>
      <c r="CC82" s="4231">
        <v>16</v>
      </c>
      <c r="CD82" s="4231">
        <v>19</v>
      </c>
      <c r="CE82" s="4231">
        <v>0</v>
      </c>
      <c r="CF82" s="4231">
        <v>0</v>
      </c>
      <c r="CG82" s="4231">
        <v>0</v>
      </c>
      <c r="CH82" s="4231">
        <v>14</v>
      </c>
      <c r="CI82" s="4231">
        <v>0</v>
      </c>
      <c r="CJ82" s="4231">
        <v>3</v>
      </c>
      <c r="CK82" s="4231"/>
      <c r="CL82" s="4231">
        <v>14</v>
      </c>
      <c r="CM82" s="4231">
        <v>1</v>
      </c>
      <c r="CN82" s="4231"/>
      <c r="CO82" s="4231">
        <v>5</v>
      </c>
      <c r="CP82" s="4231">
        <v>0</v>
      </c>
      <c r="CQ82" s="4231">
        <v>72</v>
      </c>
      <c r="CR82" s="6304">
        <f t="shared" si="51"/>
        <v>0.20833333333333334</v>
      </c>
      <c r="CS82" s="4238">
        <f t="shared" si="52"/>
        <v>0</v>
      </c>
      <c r="CT82" s="6305">
        <v>72</v>
      </c>
      <c r="CU82" s="6316"/>
      <c r="CX82" s="42" t="s">
        <v>384</v>
      </c>
      <c r="CY82" s="42">
        <v>33</v>
      </c>
      <c r="CZ82" s="42">
        <v>33</v>
      </c>
      <c r="DB82" s="42">
        <v>14</v>
      </c>
      <c r="DC82" s="42">
        <v>38</v>
      </c>
      <c r="DD82" s="42">
        <v>9</v>
      </c>
      <c r="DE82" s="42">
        <v>30</v>
      </c>
      <c r="DH82" s="42">
        <v>21</v>
      </c>
      <c r="DI82" s="42">
        <v>6</v>
      </c>
      <c r="DK82" s="42">
        <v>44</v>
      </c>
      <c r="DL82" s="42">
        <v>0</v>
      </c>
      <c r="DM82" s="893">
        <v>228</v>
      </c>
      <c r="DN82" s="6306">
        <f t="shared" si="53"/>
        <v>0.23245614035087719</v>
      </c>
      <c r="DP82" s="4263"/>
      <c r="DQ82" s="4263"/>
      <c r="DR82" s="4258" t="s">
        <v>60</v>
      </c>
      <c r="DS82" s="4263">
        <v>41</v>
      </c>
      <c r="DT82" s="4263">
        <v>28</v>
      </c>
      <c r="DU82" s="4263"/>
      <c r="DV82" s="4263">
        <v>12</v>
      </c>
      <c r="DW82" s="4263">
        <v>18</v>
      </c>
      <c r="DX82" s="4263">
        <v>13</v>
      </c>
      <c r="DY82" s="4263">
        <v>10</v>
      </c>
      <c r="DZ82" s="4263">
        <v>5</v>
      </c>
      <c r="EA82" s="4263"/>
      <c r="EB82" s="4263">
        <v>43</v>
      </c>
      <c r="EC82" s="4263">
        <v>29</v>
      </c>
      <c r="ED82" s="4263"/>
      <c r="EE82" s="4263">
        <v>33</v>
      </c>
      <c r="EF82" s="4263">
        <v>0</v>
      </c>
      <c r="EG82" s="4263">
        <v>232</v>
      </c>
      <c r="EH82" s="6307">
        <f t="shared" si="54"/>
        <v>0.25862068965517243</v>
      </c>
      <c r="EL82" s="42" t="s">
        <v>384</v>
      </c>
      <c r="EM82" s="97">
        <v>50</v>
      </c>
      <c r="EN82" s="97">
        <v>25</v>
      </c>
      <c r="EO82" s="97"/>
      <c r="EP82" s="97">
        <v>1</v>
      </c>
      <c r="EQ82" s="97">
        <v>30</v>
      </c>
      <c r="ER82" s="97">
        <v>6</v>
      </c>
      <c r="ES82" s="97">
        <v>14</v>
      </c>
      <c r="ET82" s="97">
        <v>0</v>
      </c>
      <c r="EU82" s="97"/>
      <c r="EV82" s="97">
        <v>33</v>
      </c>
      <c r="EW82" s="97">
        <v>6</v>
      </c>
      <c r="EX82" s="97"/>
      <c r="EY82" s="97">
        <v>51</v>
      </c>
      <c r="EZ82" s="97"/>
      <c r="FA82" s="97">
        <v>216</v>
      </c>
      <c r="FB82" s="6315">
        <f t="shared" si="55"/>
        <v>0.19444444444444445</v>
      </c>
      <c r="FD82" s="42"/>
      <c r="FE82" s="42"/>
      <c r="FF82" s="42" t="s">
        <v>384</v>
      </c>
      <c r="FG82" s="97">
        <v>20</v>
      </c>
      <c r="FH82" s="97">
        <v>30</v>
      </c>
      <c r="FI82" s="97"/>
      <c r="FJ82" s="97">
        <v>11</v>
      </c>
      <c r="FK82" s="97">
        <v>29</v>
      </c>
      <c r="FL82" s="97">
        <v>11</v>
      </c>
      <c r="FM82" s="97">
        <v>13</v>
      </c>
      <c r="FN82" s="97">
        <v>2</v>
      </c>
      <c r="FO82" s="97"/>
      <c r="FP82" s="97">
        <v>23</v>
      </c>
      <c r="FQ82" s="97">
        <v>7</v>
      </c>
      <c r="FR82" s="97"/>
      <c r="FS82" s="97">
        <v>46</v>
      </c>
      <c r="FT82" s="97"/>
      <c r="FU82" s="97">
        <v>192</v>
      </c>
      <c r="FV82" s="6308">
        <f t="shared" si="45"/>
        <v>0.24479166666666666</v>
      </c>
      <c r="FW82" s="6322"/>
      <c r="FX82" s="42"/>
      <c r="FY82" s="42"/>
      <c r="FZ82" s="42" t="s">
        <v>384</v>
      </c>
      <c r="GA82" s="97">
        <v>16</v>
      </c>
      <c r="GB82" s="97">
        <v>26</v>
      </c>
      <c r="GC82" s="97"/>
      <c r="GD82" s="97">
        <v>10</v>
      </c>
      <c r="GE82" s="97">
        <v>24</v>
      </c>
      <c r="GF82" s="97">
        <v>6</v>
      </c>
      <c r="GG82" s="97">
        <v>1</v>
      </c>
      <c r="GH82" s="97">
        <v>1</v>
      </c>
      <c r="GI82" s="97"/>
      <c r="GJ82" s="97">
        <v>28</v>
      </c>
      <c r="GK82" s="97">
        <v>8</v>
      </c>
      <c r="GL82" s="97"/>
      <c r="GM82" s="97">
        <v>40</v>
      </c>
      <c r="GN82" s="97">
        <v>0</v>
      </c>
      <c r="GO82" s="97">
        <v>160</v>
      </c>
      <c r="GP82" s="6308">
        <f t="shared" si="56"/>
        <v>0.23749999999999999</v>
      </c>
      <c r="GR82" s="6280"/>
      <c r="GS82" s="6280"/>
      <c r="GT82" s="6310" t="s">
        <v>60</v>
      </c>
      <c r="GU82" s="6311">
        <v>5</v>
      </c>
      <c r="GV82" s="6311">
        <v>25</v>
      </c>
      <c r="GW82" s="6312"/>
      <c r="GX82" s="6311">
        <v>7</v>
      </c>
      <c r="GY82" s="6311">
        <v>26</v>
      </c>
      <c r="GZ82" s="6311">
        <v>8</v>
      </c>
      <c r="HA82" s="6311">
        <v>0</v>
      </c>
      <c r="HB82" s="6311">
        <v>0</v>
      </c>
      <c r="HC82" s="6312"/>
      <c r="HD82" s="6311">
        <v>8</v>
      </c>
      <c r="HE82" s="6311">
        <v>7</v>
      </c>
      <c r="HF82" s="6312"/>
      <c r="HG82" s="6311">
        <v>11</v>
      </c>
      <c r="HH82" s="6311">
        <v>0</v>
      </c>
      <c r="HI82" s="6311">
        <v>97</v>
      </c>
      <c r="HJ82" s="467">
        <f t="shared" si="57"/>
        <v>0.42268041237113402</v>
      </c>
      <c r="HL82" s="967"/>
      <c r="HM82" s="967"/>
      <c r="HN82" s="977" t="s">
        <v>60</v>
      </c>
      <c r="HO82" s="978">
        <v>2</v>
      </c>
      <c r="HP82" s="978">
        <v>15</v>
      </c>
      <c r="HQ82" s="967"/>
      <c r="HR82" s="978">
        <v>10</v>
      </c>
      <c r="HS82" s="978">
        <v>20</v>
      </c>
      <c r="HT82" s="978">
        <v>5</v>
      </c>
      <c r="HU82" s="978">
        <v>1</v>
      </c>
      <c r="HV82" s="967"/>
      <c r="HW82" s="967"/>
      <c r="HX82" s="978">
        <v>10</v>
      </c>
      <c r="HY82" s="978">
        <v>13</v>
      </c>
      <c r="HZ82" s="978">
        <v>12</v>
      </c>
      <c r="IA82" s="967"/>
      <c r="IB82" s="978">
        <v>88</v>
      </c>
      <c r="IC82" s="467">
        <f t="shared" si="58"/>
        <v>0.43181818181818182</v>
      </c>
      <c r="IE82" s="577"/>
      <c r="IF82" s="577"/>
      <c r="IG82" s="979" t="s">
        <v>60</v>
      </c>
      <c r="IH82" s="980">
        <v>10</v>
      </c>
      <c r="II82" s="980">
        <v>7</v>
      </c>
      <c r="IJ82" s="577"/>
      <c r="IK82" s="980">
        <v>5</v>
      </c>
      <c r="IL82" s="980">
        <v>16</v>
      </c>
      <c r="IM82" s="980">
        <v>6</v>
      </c>
      <c r="IN82" s="980">
        <v>1</v>
      </c>
      <c r="IO82" s="980">
        <v>2</v>
      </c>
      <c r="IP82" s="577"/>
      <c r="IQ82" s="980">
        <v>3</v>
      </c>
      <c r="IR82" s="980">
        <v>8</v>
      </c>
      <c r="IS82" s="980">
        <v>4</v>
      </c>
      <c r="IT82" s="577"/>
      <c r="IU82" s="980">
        <v>62</v>
      </c>
      <c r="IV82" s="467">
        <f t="shared" si="59"/>
        <v>0.4838709677419355</v>
      </c>
      <c r="IX82" s="742"/>
      <c r="IY82" s="742" t="s">
        <v>61</v>
      </c>
      <c r="IZ82" s="981" t="s">
        <v>62</v>
      </c>
      <c r="JA82" s="982">
        <v>38</v>
      </c>
      <c r="JB82" s="982">
        <v>15</v>
      </c>
      <c r="JC82" s="982">
        <v>0</v>
      </c>
      <c r="JD82" s="982">
        <v>8</v>
      </c>
      <c r="JE82" s="982">
        <v>28</v>
      </c>
      <c r="JF82" s="982">
        <v>13</v>
      </c>
      <c r="JG82" s="982">
        <v>0</v>
      </c>
      <c r="JH82" s="982">
        <v>0</v>
      </c>
      <c r="JI82" s="982">
        <v>12</v>
      </c>
      <c r="JJ82" s="982">
        <v>19</v>
      </c>
      <c r="JK82" s="982">
        <v>28</v>
      </c>
      <c r="JL82" s="982">
        <v>46</v>
      </c>
      <c r="JM82" s="982">
        <v>0</v>
      </c>
      <c r="JN82" s="982">
        <v>2</v>
      </c>
      <c r="JO82" s="982">
        <v>209</v>
      </c>
      <c r="JP82" s="983">
        <f t="shared" si="60"/>
        <v>0.33519553072625696</v>
      </c>
      <c r="JR82" s="97"/>
      <c r="JS82" s="97" t="s">
        <v>61</v>
      </c>
      <c r="JT82" s="42" t="s">
        <v>62</v>
      </c>
      <c r="JU82" s="42">
        <v>35</v>
      </c>
      <c r="JV82" s="42">
        <v>19</v>
      </c>
      <c r="JW82" s="42"/>
      <c r="JX82" s="42">
        <v>3</v>
      </c>
      <c r="JY82" s="42">
        <v>12</v>
      </c>
      <c r="JZ82" s="42">
        <v>11</v>
      </c>
      <c r="KA82" s="42">
        <v>0</v>
      </c>
      <c r="KB82" s="42"/>
      <c r="KC82" s="42">
        <v>4</v>
      </c>
      <c r="KD82" s="42">
        <v>16</v>
      </c>
      <c r="KE82" s="42">
        <v>25</v>
      </c>
      <c r="KF82" s="42">
        <v>25</v>
      </c>
      <c r="KG82" s="42"/>
      <c r="KH82" s="42">
        <v>2</v>
      </c>
      <c r="KI82" s="42">
        <v>152</v>
      </c>
      <c r="KJ82" s="984">
        <f t="shared" si="46"/>
        <v>0.312</v>
      </c>
      <c r="KK82" s="42"/>
      <c r="KL82" s="354"/>
      <c r="KM82" s="354"/>
      <c r="KN82" s="354" t="s">
        <v>63</v>
      </c>
      <c r="KO82" s="985">
        <v>1</v>
      </c>
      <c r="KP82" s="985" t="s">
        <v>315</v>
      </c>
      <c r="KQ82" s="985" t="s">
        <v>315</v>
      </c>
      <c r="KR82" s="985" t="s">
        <v>315</v>
      </c>
      <c r="KS82" s="985">
        <v>0</v>
      </c>
      <c r="KT82" s="985">
        <v>0</v>
      </c>
      <c r="KU82" s="985" t="s">
        <v>315</v>
      </c>
      <c r="KV82" s="985" t="s">
        <v>315</v>
      </c>
      <c r="KW82" s="985" t="s">
        <v>315</v>
      </c>
      <c r="KX82" s="985">
        <v>0</v>
      </c>
      <c r="KY82" s="985" t="s">
        <v>315</v>
      </c>
      <c r="KZ82" s="985" t="s">
        <v>315</v>
      </c>
      <c r="LA82" s="985">
        <v>1</v>
      </c>
      <c r="LB82" s="985">
        <f t="shared" si="47"/>
        <v>0</v>
      </c>
      <c r="LC82" s="986">
        <f t="shared" si="48"/>
        <v>0</v>
      </c>
      <c r="LD82" s="42"/>
      <c r="LE82" s="42"/>
    </row>
    <row r="83" spans="1:317">
      <c r="A83" s="6291">
        <v>5</v>
      </c>
      <c r="B83" s="6291">
        <v>2</v>
      </c>
      <c r="C83" s="6291">
        <v>148</v>
      </c>
      <c r="D83" s="6292">
        <v>277</v>
      </c>
      <c r="E83" s="6291">
        <v>2</v>
      </c>
      <c r="F83" s="6291">
        <v>69</v>
      </c>
      <c r="G83" s="6291">
        <v>28</v>
      </c>
      <c r="H83" s="6291">
        <v>15</v>
      </c>
      <c r="I83" s="6293"/>
      <c r="J83" s="6291">
        <v>3</v>
      </c>
      <c r="K83" s="6291">
        <v>23</v>
      </c>
      <c r="L83" s="6293"/>
      <c r="M83" s="6291">
        <v>26</v>
      </c>
      <c r="N83" s="6291">
        <v>14</v>
      </c>
      <c r="O83" s="6293"/>
      <c r="P83" s="6291">
        <v>97</v>
      </c>
      <c r="Q83" s="6294">
        <f t="shared" si="49"/>
        <v>0.52707581227436828</v>
      </c>
      <c r="S83" s="6295">
        <v>4</v>
      </c>
      <c r="T83" s="6295">
        <v>2</v>
      </c>
      <c r="U83" s="6295">
        <v>135</v>
      </c>
      <c r="V83" s="6295">
        <v>310</v>
      </c>
      <c r="W83" s="6295">
        <v>31</v>
      </c>
      <c r="X83" s="6295">
        <v>41</v>
      </c>
      <c r="Y83" s="6295">
        <v>54</v>
      </c>
      <c r="Z83" s="6295">
        <v>12</v>
      </c>
      <c r="AA83" s="6296"/>
      <c r="AB83" s="6295">
        <v>1</v>
      </c>
      <c r="AC83" s="6295">
        <v>34</v>
      </c>
      <c r="AD83" s="6296"/>
      <c r="AE83" s="6295">
        <v>16</v>
      </c>
      <c r="AF83" s="6295">
        <v>58</v>
      </c>
      <c r="AG83" s="6296"/>
      <c r="AH83" s="6295">
        <v>63</v>
      </c>
      <c r="AI83" s="6294">
        <f t="shared" si="5"/>
        <v>0.36451612903225805</v>
      </c>
      <c r="AJ83" s="6295"/>
      <c r="AK83" s="6297">
        <v>4</v>
      </c>
      <c r="AL83" s="6297">
        <v>2</v>
      </c>
      <c r="AM83" s="6297">
        <v>135</v>
      </c>
      <c r="AN83" s="6298">
        <v>310</v>
      </c>
      <c r="AO83" s="6297">
        <v>25</v>
      </c>
      <c r="AP83" s="6297">
        <v>41</v>
      </c>
      <c r="AQ83" s="6297">
        <v>62</v>
      </c>
      <c r="AR83" s="6297">
        <v>12</v>
      </c>
      <c r="AS83" s="6299"/>
      <c r="AT83" s="6297">
        <v>1</v>
      </c>
      <c r="AU83" s="6299"/>
      <c r="AV83" s="6297">
        <v>26</v>
      </c>
      <c r="AW83" s="6297">
        <v>11</v>
      </c>
      <c r="AX83" s="6299"/>
      <c r="AY83" s="6297">
        <v>71</v>
      </c>
      <c r="AZ83" s="6299"/>
      <c r="BA83" s="6299"/>
      <c r="BB83" s="6297">
        <v>61</v>
      </c>
      <c r="BC83" s="6300">
        <f t="shared" si="50"/>
        <v>0.31612903225806449</v>
      </c>
      <c r="BE83" s="6313">
        <v>4</v>
      </c>
      <c r="BF83" s="6313">
        <v>2</v>
      </c>
      <c r="BG83" s="6313">
        <v>135</v>
      </c>
      <c r="BH83" s="4405" t="s">
        <v>60</v>
      </c>
      <c r="BI83" s="6314">
        <v>268</v>
      </c>
      <c r="BJ83" s="6313">
        <v>20</v>
      </c>
      <c r="BK83" s="6313">
        <v>45</v>
      </c>
      <c r="BL83" s="6313">
        <v>47</v>
      </c>
      <c r="BM83" s="6313">
        <v>15</v>
      </c>
      <c r="BN83" s="6303"/>
      <c r="BO83" s="6313">
        <v>1</v>
      </c>
      <c r="BP83" s="6303"/>
      <c r="BQ83" s="6313">
        <v>29</v>
      </c>
      <c r="BR83" s="6313">
        <v>1</v>
      </c>
      <c r="BS83" s="6313">
        <v>35</v>
      </c>
      <c r="BT83" s="6313">
        <v>52</v>
      </c>
      <c r="BU83" s="6303"/>
      <c r="BV83" s="6303"/>
      <c r="BW83" s="6313">
        <v>23</v>
      </c>
      <c r="BX83" s="6300">
        <f t="shared" si="61"/>
        <v>0.32462686567164178</v>
      </c>
      <c r="BZ83" s="4388"/>
      <c r="CA83" s="4388"/>
      <c r="CB83" s="4388" t="s">
        <v>60</v>
      </c>
      <c r="CC83" s="4231">
        <v>47</v>
      </c>
      <c r="CD83" s="4231">
        <v>49</v>
      </c>
      <c r="CE83" s="4231">
        <v>1</v>
      </c>
      <c r="CF83" s="4231">
        <v>15</v>
      </c>
      <c r="CG83" s="4231">
        <v>19</v>
      </c>
      <c r="CH83" s="4231">
        <v>30</v>
      </c>
      <c r="CI83" s="4231">
        <v>1</v>
      </c>
      <c r="CJ83" s="4231">
        <v>2</v>
      </c>
      <c r="CK83" s="4231"/>
      <c r="CL83" s="4231">
        <v>28</v>
      </c>
      <c r="CM83" s="4231">
        <v>30</v>
      </c>
      <c r="CN83" s="4231"/>
      <c r="CO83" s="4231">
        <v>46</v>
      </c>
      <c r="CP83" s="4231">
        <v>0</v>
      </c>
      <c r="CQ83" s="4231">
        <v>268</v>
      </c>
      <c r="CR83" s="6304">
        <f t="shared" si="51"/>
        <v>0.29477611940298509</v>
      </c>
      <c r="CS83" s="4238">
        <f t="shared" si="52"/>
        <v>0</v>
      </c>
      <c r="CT83" s="6305">
        <v>268</v>
      </c>
      <c r="CU83" s="6316"/>
      <c r="CX83" s="42" t="s">
        <v>15</v>
      </c>
      <c r="CY83" s="42">
        <v>66</v>
      </c>
      <c r="CZ83" s="42">
        <v>80</v>
      </c>
      <c r="DB83" s="42">
        <v>30</v>
      </c>
      <c r="DC83" s="42">
        <v>207</v>
      </c>
      <c r="DD83" s="42">
        <v>48</v>
      </c>
      <c r="DE83" s="42">
        <v>63</v>
      </c>
      <c r="DH83" s="42">
        <v>36</v>
      </c>
      <c r="DI83" s="42">
        <v>64</v>
      </c>
      <c r="DK83" s="42">
        <v>105</v>
      </c>
      <c r="DL83" s="42">
        <v>1</v>
      </c>
      <c r="DM83" s="893">
        <v>700</v>
      </c>
      <c r="DN83" s="6306">
        <f t="shared" si="53"/>
        <v>0.4563662374821173</v>
      </c>
      <c r="DP83" s="4263"/>
      <c r="DQ83" s="4263"/>
      <c r="DR83" s="4258" t="s">
        <v>384</v>
      </c>
      <c r="DS83" s="4263">
        <v>53</v>
      </c>
      <c r="DT83" s="4263">
        <v>28</v>
      </c>
      <c r="DU83" s="4263"/>
      <c r="DV83" s="4263">
        <v>16</v>
      </c>
      <c r="DW83" s="4263">
        <v>26</v>
      </c>
      <c r="DX83" s="4263">
        <v>11</v>
      </c>
      <c r="DY83" s="4263">
        <v>19</v>
      </c>
      <c r="DZ83" s="4263">
        <v>2</v>
      </c>
      <c r="EA83" s="4263"/>
      <c r="EB83" s="4263">
        <v>48</v>
      </c>
      <c r="EC83" s="4263">
        <v>9</v>
      </c>
      <c r="ED83" s="4263"/>
      <c r="EE83" s="4263">
        <v>44</v>
      </c>
      <c r="EF83" s="4263">
        <v>0</v>
      </c>
      <c r="EG83" s="4263">
        <v>256</v>
      </c>
      <c r="EH83" s="6307">
        <f t="shared" si="54"/>
        <v>0.1796875</v>
      </c>
      <c r="EL83" s="893" t="s">
        <v>483</v>
      </c>
      <c r="EM83" s="135">
        <v>107</v>
      </c>
      <c r="EN83" s="135">
        <v>66</v>
      </c>
      <c r="EO83" s="135"/>
      <c r="EP83" s="135">
        <v>3</v>
      </c>
      <c r="EQ83" s="135">
        <v>184</v>
      </c>
      <c r="ER83" s="135">
        <v>36</v>
      </c>
      <c r="ES83" s="135">
        <v>31</v>
      </c>
      <c r="ET83" s="135">
        <v>4</v>
      </c>
      <c r="EU83" s="135"/>
      <c r="EV83" s="135">
        <v>69</v>
      </c>
      <c r="EW83" s="135">
        <v>55</v>
      </c>
      <c r="EX83" s="135"/>
      <c r="EY83" s="135">
        <v>118</v>
      </c>
      <c r="EZ83" s="135"/>
      <c r="FA83" s="135">
        <v>673</v>
      </c>
      <c r="FB83" s="6315">
        <f t="shared" si="55"/>
        <v>0.40861812778603268</v>
      </c>
      <c r="FD83" s="42"/>
      <c r="FE83" s="42"/>
      <c r="FF83" s="893" t="s">
        <v>483</v>
      </c>
      <c r="FG83" s="135">
        <v>44</v>
      </c>
      <c r="FH83" s="135">
        <v>85</v>
      </c>
      <c r="FI83" s="135"/>
      <c r="FJ83" s="135">
        <v>28</v>
      </c>
      <c r="FK83" s="135">
        <v>201</v>
      </c>
      <c r="FL83" s="135">
        <v>34</v>
      </c>
      <c r="FM83" s="135">
        <v>34</v>
      </c>
      <c r="FN83" s="135">
        <v>2</v>
      </c>
      <c r="FO83" s="135"/>
      <c r="FP83" s="135">
        <v>46</v>
      </c>
      <c r="FQ83" s="135">
        <v>50</v>
      </c>
      <c r="FR83" s="135"/>
      <c r="FS83" s="135">
        <v>100</v>
      </c>
      <c r="FT83" s="135"/>
      <c r="FU83" s="135">
        <v>624</v>
      </c>
      <c r="FV83" s="5723">
        <f t="shared" si="45"/>
        <v>0.45673076923076922</v>
      </c>
      <c r="FW83" s="5717"/>
      <c r="FX83" s="42"/>
      <c r="FY83" s="42"/>
      <c r="FZ83" s="893" t="s">
        <v>483</v>
      </c>
      <c r="GA83" s="135">
        <v>30</v>
      </c>
      <c r="GB83" s="135">
        <v>78</v>
      </c>
      <c r="GC83" s="135"/>
      <c r="GD83" s="135">
        <v>23</v>
      </c>
      <c r="GE83" s="135">
        <v>211</v>
      </c>
      <c r="GF83" s="135">
        <v>32</v>
      </c>
      <c r="GG83" s="135">
        <v>10</v>
      </c>
      <c r="GH83" s="135">
        <v>3</v>
      </c>
      <c r="GI83" s="135"/>
      <c r="GJ83" s="135">
        <v>57</v>
      </c>
      <c r="GK83" s="135">
        <v>32</v>
      </c>
      <c r="GL83" s="135"/>
      <c r="GM83" s="135">
        <v>92</v>
      </c>
      <c r="GN83" s="135">
        <v>1</v>
      </c>
      <c r="GO83" s="135">
        <v>569</v>
      </c>
      <c r="GP83" s="5723">
        <f t="shared" si="56"/>
        <v>0.48415492957746481</v>
      </c>
      <c r="GR83" s="6280"/>
      <c r="GS83" s="6280"/>
      <c r="GT83" s="6310" t="s">
        <v>384</v>
      </c>
      <c r="GU83" s="6311">
        <v>12</v>
      </c>
      <c r="GV83" s="6311">
        <v>39</v>
      </c>
      <c r="GW83" s="6312"/>
      <c r="GX83" s="6311">
        <v>9</v>
      </c>
      <c r="GY83" s="6311">
        <v>21</v>
      </c>
      <c r="GZ83" s="6311">
        <v>4</v>
      </c>
      <c r="HA83" s="6311">
        <v>1</v>
      </c>
      <c r="HB83" s="6311">
        <v>2</v>
      </c>
      <c r="HC83" s="6312"/>
      <c r="HD83" s="6311">
        <v>12</v>
      </c>
      <c r="HE83" s="6311">
        <v>6</v>
      </c>
      <c r="HF83" s="6312"/>
      <c r="HG83" s="6311">
        <v>27</v>
      </c>
      <c r="HH83" s="6311">
        <v>0</v>
      </c>
      <c r="HI83" s="6311">
        <v>133</v>
      </c>
      <c r="HJ83" s="467">
        <f t="shared" si="57"/>
        <v>0.23308270676691728</v>
      </c>
      <c r="HL83" s="967"/>
      <c r="HM83" s="967"/>
      <c r="HN83" s="977" t="s">
        <v>384</v>
      </c>
      <c r="HO83" s="978">
        <v>12</v>
      </c>
      <c r="HP83" s="978">
        <v>17</v>
      </c>
      <c r="HQ83" s="967"/>
      <c r="HR83" s="978">
        <v>8</v>
      </c>
      <c r="HS83" s="978">
        <v>15</v>
      </c>
      <c r="HT83" s="978">
        <v>2</v>
      </c>
      <c r="HU83" s="978">
        <v>2</v>
      </c>
      <c r="HV83" s="967"/>
      <c r="HW83" s="967"/>
      <c r="HX83" s="978">
        <v>33</v>
      </c>
      <c r="HY83" s="978">
        <v>3</v>
      </c>
      <c r="HZ83" s="978">
        <v>25</v>
      </c>
      <c r="IA83" s="967"/>
      <c r="IB83" s="978">
        <v>117</v>
      </c>
      <c r="IC83" s="467">
        <f t="shared" si="58"/>
        <v>0.17094017094017094</v>
      </c>
      <c r="IE83" s="577"/>
      <c r="IF83" s="577"/>
      <c r="IG83" s="979" t="s">
        <v>384</v>
      </c>
      <c r="IH83" s="980">
        <v>17</v>
      </c>
      <c r="II83" s="980">
        <v>17</v>
      </c>
      <c r="IJ83" s="577"/>
      <c r="IK83" s="980">
        <v>5</v>
      </c>
      <c r="IL83" s="980">
        <v>9</v>
      </c>
      <c r="IM83" s="980">
        <v>3</v>
      </c>
      <c r="IN83" s="980">
        <v>2</v>
      </c>
      <c r="IO83" s="980">
        <v>0</v>
      </c>
      <c r="IP83" s="577"/>
      <c r="IQ83" s="980">
        <v>14</v>
      </c>
      <c r="IR83" s="980">
        <v>5</v>
      </c>
      <c r="IS83" s="980">
        <v>16</v>
      </c>
      <c r="IT83" s="577"/>
      <c r="IU83" s="980">
        <v>88</v>
      </c>
      <c r="IV83" s="467">
        <f t="shared" si="59"/>
        <v>0.19318181818181818</v>
      </c>
      <c r="IX83" s="742"/>
      <c r="IY83" s="742"/>
      <c r="IZ83" s="981" t="s">
        <v>385</v>
      </c>
      <c r="JA83" s="982">
        <v>18</v>
      </c>
      <c r="JB83" s="982">
        <v>5</v>
      </c>
      <c r="JC83" s="982">
        <v>0</v>
      </c>
      <c r="JD83" s="982">
        <v>6</v>
      </c>
      <c r="JE83" s="982">
        <v>2</v>
      </c>
      <c r="JF83" s="982">
        <v>2</v>
      </c>
      <c r="JG83" s="982">
        <v>5</v>
      </c>
      <c r="JH83" s="982">
        <v>0</v>
      </c>
      <c r="JI83" s="982">
        <v>3</v>
      </c>
      <c r="JJ83" s="982">
        <v>0</v>
      </c>
      <c r="JK83" s="982">
        <v>9</v>
      </c>
      <c r="JL83" s="982">
        <v>9</v>
      </c>
      <c r="JM83" s="982">
        <v>0</v>
      </c>
      <c r="JN83" s="982">
        <v>1</v>
      </c>
      <c r="JO83" s="982">
        <v>60</v>
      </c>
      <c r="JP83" s="983">
        <f t="shared" si="60"/>
        <v>0.08</v>
      </c>
      <c r="JR83" s="97"/>
      <c r="JS83" s="97"/>
      <c r="JT83" s="42" t="s">
        <v>385</v>
      </c>
      <c r="JU83" s="42">
        <v>12</v>
      </c>
      <c r="JV83" s="42">
        <v>4</v>
      </c>
      <c r="JW83" s="42"/>
      <c r="JX83" s="42">
        <v>2</v>
      </c>
      <c r="JY83" s="42">
        <v>0</v>
      </c>
      <c r="JZ83" s="42">
        <v>1</v>
      </c>
      <c r="KA83" s="42">
        <v>2</v>
      </c>
      <c r="KB83" s="42"/>
      <c r="KC83" s="42">
        <v>2</v>
      </c>
      <c r="KD83" s="42">
        <v>1</v>
      </c>
      <c r="KE83" s="42">
        <v>5</v>
      </c>
      <c r="KF83" s="42">
        <v>4</v>
      </c>
      <c r="KG83" s="42"/>
      <c r="KH83" s="42">
        <v>0</v>
      </c>
      <c r="KI83" s="42">
        <v>33</v>
      </c>
      <c r="KJ83" s="984">
        <f t="shared" si="46"/>
        <v>7.1428571428571425E-2</v>
      </c>
      <c r="KK83" s="42"/>
      <c r="KL83" s="354"/>
      <c r="KM83" s="354"/>
      <c r="KN83" s="994" t="s">
        <v>15</v>
      </c>
      <c r="KO83" s="995">
        <v>14</v>
      </c>
      <c r="KP83" s="995">
        <v>14</v>
      </c>
      <c r="KQ83" s="995" t="s">
        <v>315</v>
      </c>
      <c r="KR83" s="995">
        <v>2</v>
      </c>
      <c r="KS83" s="995">
        <v>4</v>
      </c>
      <c r="KT83" s="995">
        <v>3</v>
      </c>
      <c r="KU83" s="995" t="s">
        <v>315</v>
      </c>
      <c r="KV83" s="995" t="s">
        <v>315</v>
      </c>
      <c r="KW83" s="995">
        <v>6</v>
      </c>
      <c r="KX83" s="995">
        <v>17</v>
      </c>
      <c r="KY83" s="995">
        <v>10</v>
      </c>
      <c r="KZ83" s="995" t="s">
        <v>315</v>
      </c>
      <c r="LA83" s="995">
        <v>70</v>
      </c>
      <c r="LB83" s="995">
        <f t="shared" si="47"/>
        <v>24</v>
      </c>
      <c r="LC83" s="996">
        <f t="shared" si="48"/>
        <v>0.34285714285714286</v>
      </c>
      <c r="LD83" s="42"/>
      <c r="LE83" s="42"/>
    </row>
    <row r="84" spans="1:317">
      <c r="A84" s="6291">
        <v>5</v>
      </c>
      <c r="B84" s="6291">
        <v>2</v>
      </c>
      <c r="C84" s="6291">
        <v>161</v>
      </c>
      <c r="D84" s="6292">
        <v>120</v>
      </c>
      <c r="E84" s="6291">
        <v>12</v>
      </c>
      <c r="F84" s="6291">
        <v>19</v>
      </c>
      <c r="G84" s="6291">
        <v>21</v>
      </c>
      <c r="H84" s="6291">
        <v>5</v>
      </c>
      <c r="I84" s="6293"/>
      <c r="J84" s="6293"/>
      <c r="K84" s="6291">
        <v>15</v>
      </c>
      <c r="L84" s="6293"/>
      <c r="M84" s="6291">
        <v>4</v>
      </c>
      <c r="N84" s="6291">
        <v>7</v>
      </c>
      <c r="O84" s="6293"/>
      <c r="P84" s="6291">
        <v>37</v>
      </c>
      <c r="Q84" s="6294">
        <f t="shared" si="49"/>
        <v>0.46666666666666667</v>
      </c>
      <c r="S84" s="6295">
        <v>4</v>
      </c>
      <c r="T84" s="6295">
        <v>2</v>
      </c>
      <c r="U84" s="6295">
        <v>136</v>
      </c>
      <c r="V84" s="6295">
        <v>306</v>
      </c>
      <c r="W84" s="6295">
        <v>25</v>
      </c>
      <c r="X84" s="6295">
        <v>57</v>
      </c>
      <c r="Y84" s="6295">
        <v>90</v>
      </c>
      <c r="Z84" s="6295">
        <v>20</v>
      </c>
      <c r="AA84" s="6296"/>
      <c r="AB84" s="6295">
        <v>1</v>
      </c>
      <c r="AC84" s="6295">
        <v>7</v>
      </c>
      <c r="AD84" s="6295">
        <v>2</v>
      </c>
      <c r="AE84" s="6295">
        <v>14</v>
      </c>
      <c r="AF84" s="6295">
        <v>58</v>
      </c>
      <c r="AG84" s="6296"/>
      <c r="AH84" s="6295">
        <v>32</v>
      </c>
      <c r="AI84" s="6294">
        <f t="shared" si="5"/>
        <v>0.17320261437908496</v>
      </c>
      <c r="AJ84" s="6295"/>
      <c r="AK84" s="6297">
        <v>4</v>
      </c>
      <c r="AL84" s="6297">
        <v>2</v>
      </c>
      <c r="AM84" s="6297">
        <v>136</v>
      </c>
      <c r="AN84" s="6298">
        <v>306</v>
      </c>
      <c r="AO84" s="6297">
        <v>28</v>
      </c>
      <c r="AP84" s="6297">
        <v>57</v>
      </c>
      <c r="AQ84" s="6297">
        <v>92</v>
      </c>
      <c r="AR84" s="6297">
        <v>20</v>
      </c>
      <c r="AS84" s="6299"/>
      <c r="AT84" s="6297">
        <v>1</v>
      </c>
      <c r="AU84" s="6299"/>
      <c r="AV84" s="6297">
        <v>6</v>
      </c>
      <c r="AW84" s="6297">
        <v>12</v>
      </c>
      <c r="AX84" s="6299"/>
      <c r="AY84" s="6297">
        <v>60</v>
      </c>
      <c r="AZ84" s="6299"/>
      <c r="BA84" s="6299"/>
      <c r="BB84" s="6297">
        <v>30</v>
      </c>
      <c r="BC84" s="6300">
        <f t="shared" si="50"/>
        <v>0.15686274509803921</v>
      </c>
      <c r="BE84" s="6313">
        <v>4</v>
      </c>
      <c r="BF84" s="6313">
        <v>2</v>
      </c>
      <c r="BG84" s="6313">
        <v>136</v>
      </c>
      <c r="BH84" s="4405" t="s">
        <v>384</v>
      </c>
      <c r="BI84" s="6314">
        <v>282</v>
      </c>
      <c r="BJ84" s="6313">
        <v>22</v>
      </c>
      <c r="BK84" s="6313">
        <v>62</v>
      </c>
      <c r="BL84" s="6313">
        <v>81</v>
      </c>
      <c r="BM84" s="6313">
        <v>22</v>
      </c>
      <c r="BN84" s="6303"/>
      <c r="BO84" s="6313">
        <v>1</v>
      </c>
      <c r="BP84" s="6303"/>
      <c r="BQ84" s="6313">
        <v>5</v>
      </c>
      <c r="BR84" s="6313">
        <v>4</v>
      </c>
      <c r="BS84" s="6313">
        <v>17</v>
      </c>
      <c r="BT84" s="6313">
        <v>41</v>
      </c>
      <c r="BU84" s="6303"/>
      <c r="BV84" s="6303"/>
      <c r="BW84" s="6313">
        <v>27</v>
      </c>
      <c r="BX84" s="6300">
        <f t="shared" si="61"/>
        <v>0.17375886524822695</v>
      </c>
      <c r="BZ84" s="4388"/>
      <c r="CA84" s="4388"/>
      <c r="CB84" s="4388" t="s">
        <v>384</v>
      </c>
      <c r="CC84" s="4231">
        <v>80</v>
      </c>
      <c r="CD84" s="4231">
        <v>48</v>
      </c>
      <c r="CE84" s="4231">
        <v>0</v>
      </c>
      <c r="CF84" s="4231">
        <v>22</v>
      </c>
      <c r="CG84" s="4231">
        <v>24</v>
      </c>
      <c r="CH84" s="4231">
        <v>12</v>
      </c>
      <c r="CI84" s="4231">
        <v>1</v>
      </c>
      <c r="CJ84" s="4231">
        <v>1</v>
      </c>
      <c r="CK84" s="4231"/>
      <c r="CL84" s="4231">
        <v>24</v>
      </c>
      <c r="CM84" s="4231">
        <v>10</v>
      </c>
      <c r="CN84" s="4231"/>
      <c r="CO84" s="4231">
        <v>64</v>
      </c>
      <c r="CP84" s="4231">
        <v>0</v>
      </c>
      <c r="CQ84" s="4231">
        <v>286</v>
      </c>
      <c r="CR84" s="6304">
        <f t="shared" si="51"/>
        <v>0.16083916083916083</v>
      </c>
      <c r="CS84" s="4238">
        <f t="shared" si="52"/>
        <v>4</v>
      </c>
      <c r="CT84" s="6305">
        <v>282</v>
      </c>
      <c r="CU84" s="6316"/>
      <c r="CW84" s="97" t="s">
        <v>61</v>
      </c>
      <c r="CX84" s="42" t="s">
        <v>62</v>
      </c>
      <c r="CY84" s="42">
        <v>22</v>
      </c>
      <c r="CZ84" s="42">
        <v>28</v>
      </c>
      <c r="DB84" s="42">
        <v>11</v>
      </c>
      <c r="DC84" s="42">
        <v>73</v>
      </c>
      <c r="DD84" s="42">
        <v>18</v>
      </c>
      <c r="DE84" s="42">
        <v>41</v>
      </c>
      <c r="DG84" s="42">
        <v>0</v>
      </c>
      <c r="DH84" s="42">
        <v>8</v>
      </c>
      <c r="DI84" s="42">
        <v>41</v>
      </c>
      <c r="DK84" s="42">
        <v>51</v>
      </c>
      <c r="DM84" s="893">
        <v>293</v>
      </c>
      <c r="DN84" s="6306">
        <f t="shared" si="53"/>
        <v>0.45051194539249145</v>
      </c>
      <c r="DP84" s="4263"/>
      <c r="DQ84" s="4263"/>
      <c r="DR84" s="4257" t="s">
        <v>483</v>
      </c>
      <c r="DS84" s="4266">
        <v>123</v>
      </c>
      <c r="DT84" s="4266">
        <v>88</v>
      </c>
      <c r="DU84" s="4266"/>
      <c r="DV84" s="4266">
        <v>33</v>
      </c>
      <c r="DW84" s="4266">
        <v>134</v>
      </c>
      <c r="DX84" s="4266">
        <v>52</v>
      </c>
      <c r="DY84" s="4266">
        <v>38</v>
      </c>
      <c r="DZ84" s="4266">
        <v>12</v>
      </c>
      <c r="EA84" s="4266"/>
      <c r="EB84" s="4266">
        <v>114</v>
      </c>
      <c r="EC84" s="4266">
        <v>97</v>
      </c>
      <c r="ED84" s="4266"/>
      <c r="EE84" s="4266">
        <v>114</v>
      </c>
      <c r="EF84" s="4266">
        <v>1</v>
      </c>
      <c r="EG84" s="4266">
        <v>806</v>
      </c>
      <c r="EH84" s="6321">
        <f t="shared" si="54"/>
        <v>0.35155279503105591</v>
      </c>
      <c r="EK84" s="42" t="s">
        <v>61</v>
      </c>
      <c r="EL84" s="42" t="s">
        <v>62</v>
      </c>
      <c r="EM84" s="97">
        <v>39</v>
      </c>
      <c r="EN84" s="97">
        <v>25</v>
      </c>
      <c r="EO84" s="97"/>
      <c r="EP84" s="97">
        <v>2</v>
      </c>
      <c r="EQ84" s="97">
        <v>54</v>
      </c>
      <c r="ER84" s="97">
        <v>15</v>
      </c>
      <c r="ES84" s="97">
        <v>28</v>
      </c>
      <c r="ET84" s="97">
        <v>2</v>
      </c>
      <c r="EU84" s="97"/>
      <c r="EV84" s="97">
        <v>26</v>
      </c>
      <c r="EW84" s="97">
        <v>35</v>
      </c>
      <c r="EX84" s="97"/>
      <c r="EY84" s="97">
        <v>57</v>
      </c>
      <c r="EZ84" s="97"/>
      <c r="FA84" s="97">
        <v>283</v>
      </c>
      <c r="FB84" s="6315">
        <f t="shared" si="55"/>
        <v>0.36749116607773852</v>
      </c>
      <c r="FD84" s="42"/>
      <c r="FE84" s="42" t="s">
        <v>61</v>
      </c>
      <c r="FF84" s="42" t="s">
        <v>62</v>
      </c>
      <c r="FG84" s="97">
        <v>23</v>
      </c>
      <c r="FH84" s="97">
        <v>45</v>
      </c>
      <c r="FI84" s="97"/>
      <c r="FJ84" s="97">
        <v>10</v>
      </c>
      <c r="FK84" s="97">
        <v>60</v>
      </c>
      <c r="FL84" s="97">
        <v>16</v>
      </c>
      <c r="FM84" s="97">
        <v>24</v>
      </c>
      <c r="FN84" s="97">
        <v>1</v>
      </c>
      <c r="FO84" s="97"/>
      <c r="FP84" s="97">
        <v>24</v>
      </c>
      <c r="FQ84" s="97">
        <v>28</v>
      </c>
      <c r="FR84" s="97"/>
      <c r="FS84" s="97">
        <v>57</v>
      </c>
      <c r="FT84" s="97"/>
      <c r="FU84" s="97">
        <v>288</v>
      </c>
      <c r="FV84" s="6308">
        <f t="shared" si="45"/>
        <v>0.3611111111111111</v>
      </c>
      <c r="FW84" s="6322"/>
      <c r="FX84" s="42"/>
      <c r="FY84" s="42" t="s">
        <v>61</v>
      </c>
      <c r="FZ84" s="42" t="s">
        <v>62</v>
      </c>
      <c r="GA84" s="97">
        <v>20</v>
      </c>
      <c r="GB84" s="97">
        <v>39</v>
      </c>
      <c r="GC84" s="97"/>
      <c r="GD84" s="97">
        <v>7</v>
      </c>
      <c r="GE84" s="97">
        <v>65</v>
      </c>
      <c r="GF84" s="97">
        <v>12</v>
      </c>
      <c r="GG84" s="97">
        <v>10</v>
      </c>
      <c r="GH84" s="97">
        <v>7</v>
      </c>
      <c r="GI84" s="97"/>
      <c r="GJ84" s="97">
        <v>44</v>
      </c>
      <c r="GK84" s="97">
        <v>13</v>
      </c>
      <c r="GL84" s="97"/>
      <c r="GM84" s="97">
        <v>60</v>
      </c>
      <c r="GN84" s="97">
        <v>1</v>
      </c>
      <c r="GO84" s="97">
        <v>278</v>
      </c>
      <c r="GP84" s="6308">
        <f t="shared" si="56"/>
        <v>0.32490974729241878</v>
      </c>
      <c r="GR84" s="6280"/>
      <c r="GS84" s="6280"/>
      <c r="GT84" s="1179" t="s">
        <v>483</v>
      </c>
      <c r="GU84" s="1180">
        <v>28</v>
      </c>
      <c r="GV84" s="1180">
        <v>100</v>
      </c>
      <c r="GW84" s="1181"/>
      <c r="GX84" s="1180">
        <v>24</v>
      </c>
      <c r="GY84" s="1180">
        <v>238</v>
      </c>
      <c r="GZ84" s="1180">
        <v>28</v>
      </c>
      <c r="HA84" s="1180">
        <v>28</v>
      </c>
      <c r="HB84" s="1180">
        <v>2</v>
      </c>
      <c r="HC84" s="1181"/>
      <c r="HD84" s="1180">
        <v>27</v>
      </c>
      <c r="HE84" s="1180">
        <v>35</v>
      </c>
      <c r="HF84" s="1181"/>
      <c r="HG84" s="1180">
        <v>69</v>
      </c>
      <c r="HH84" s="1180">
        <v>1</v>
      </c>
      <c r="HI84" s="1180">
        <v>580</v>
      </c>
      <c r="HJ84" s="456">
        <f t="shared" si="57"/>
        <v>0.51986183074265979</v>
      </c>
      <c r="HL84" s="967"/>
      <c r="HM84" s="967"/>
      <c r="HN84" s="987" t="s">
        <v>483</v>
      </c>
      <c r="HO84" s="988">
        <v>23</v>
      </c>
      <c r="HP84" s="988">
        <v>59</v>
      </c>
      <c r="HQ84" s="989"/>
      <c r="HR84" s="988">
        <v>29</v>
      </c>
      <c r="HS84" s="988">
        <v>203</v>
      </c>
      <c r="HT84" s="988">
        <v>20</v>
      </c>
      <c r="HU84" s="988">
        <v>8</v>
      </c>
      <c r="HV84" s="989"/>
      <c r="HW84" s="988"/>
      <c r="HX84" s="988">
        <v>56</v>
      </c>
      <c r="HY84" s="988">
        <v>47</v>
      </c>
      <c r="HZ84" s="988">
        <v>91</v>
      </c>
      <c r="IA84" s="988"/>
      <c r="IB84" s="988">
        <v>536</v>
      </c>
      <c r="IC84" s="990">
        <f t="shared" si="58"/>
        <v>0.50373134328358204</v>
      </c>
      <c r="IE84" s="577"/>
      <c r="IF84" s="577"/>
      <c r="IG84" s="738" t="s">
        <v>483</v>
      </c>
      <c r="IH84" s="991">
        <v>55</v>
      </c>
      <c r="II84" s="991">
        <v>53</v>
      </c>
      <c r="IJ84" s="6261"/>
      <c r="IK84" s="991">
        <v>20</v>
      </c>
      <c r="IL84" s="991">
        <v>168</v>
      </c>
      <c r="IM84" s="991">
        <v>21</v>
      </c>
      <c r="IN84" s="991">
        <v>6</v>
      </c>
      <c r="IO84" s="991">
        <v>2</v>
      </c>
      <c r="IP84" s="6261"/>
      <c r="IQ84" s="991">
        <v>25</v>
      </c>
      <c r="IR84" s="991">
        <v>38</v>
      </c>
      <c r="IS84" s="991">
        <v>61</v>
      </c>
      <c r="IT84" s="6261"/>
      <c r="IU84" s="991">
        <v>449</v>
      </c>
      <c r="IV84" s="456">
        <f t="shared" si="59"/>
        <v>0.50556792873051226</v>
      </c>
      <c r="IX84" s="742"/>
      <c r="IY84" s="742"/>
      <c r="IZ84" s="981" t="s">
        <v>63</v>
      </c>
      <c r="JA84" s="982">
        <v>24</v>
      </c>
      <c r="JB84" s="982">
        <v>12</v>
      </c>
      <c r="JC84" s="982">
        <v>0</v>
      </c>
      <c r="JD84" s="982">
        <v>5</v>
      </c>
      <c r="JE84" s="982">
        <v>12</v>
      </c>
      <c r="JF84" s="982">
        <v>9</v>
      </c>
      <c r="JG84" s="982">
        <v>4</v>
      </c>
      <c r="JH84" s="982">
        <v>0</v>
      </c>
      <c r="JI84" s="982">
        <v>4</v>
      </c>
      <c r="JJ84" s="982">
        <v>21</v>
      </c>
      <c r="JK84" s="982">
        <v>25</v>
      </c>
      <c r="JL84" s="982">
        <v>16</v>
      </c>
      <c r="JM84" s="982">
        <v>0</v>
      </c>
      <c r="JN84" s="982">
        <v>1</v>
      </c>
      <c r="JO84" s="982">
        <v>133</v>
      </c>
      <c r="JP84" s="983">
        <f t="shared" si="60"/>
        <v>0.3925233644859813</v>
      </c>
      <c r="JR84" s="97"/>
      <c r="JS84" s="97"/>
      <c r="JT84" s="42" t="s">
        <v>63</v>
      </c>
      <c r="JU84" s="42">
        <v>13</v>
      </c>
      <c r="JV84" s="42">
        <v>9</v>
      </c>
      <c r="JW84" s="42"/>
      <c r="JX84" s="42">
        <v>2</v>
      </c>
      <c r="JY84" s="42">
        <v>0</v>
      </c>
      <c r="JZ84" s="42">
        <v>4</v>
      </c>
      <c r="KA84" s="42">
        <v>3</v>
      </c>
      <c r="KB84" s="42"/>
      <c r="KC84" s="42">
        <v>5</v>
      </c>
      <c r="KD84" s="42">
        <v>11</v>
      </c>
      <c r="KE84" s="42">
        <v>17</v>
      </c>
      <c r="KF84" s="42">
        <v>8</v>
      </c>
      <c r="KG84" s="42"/>
      <c r="KH84" s="42">
        <v>0</v>
      </c>
      <c r="KI84" s="42">
        <v>72</v>
      </c>
      <c r="KJ84" s="984">
        <f t="shared" si="46"/>
        <v>0.27272727272727271</v>
      </c>
      <c r="KK84" s="42"/>
      <c r="KL84" s="354"/>
      <c r="KM84" s="354" t="s">
        <v>64</v>
      </c>
      <c r="KN84" s="354" t="s">
        <v>14</v>
      </c>
      <c r="KO84" s="985">
        <v>12</v>
      </c>
      <c r="KP84" s="985">
        <v>4</v>
      </c>
      <c r="KQ84" s="985" t="s">
        <v>315</v>
      </c>
      <c r="KR84" s="985">
        <v>1</v>
      </c>
      <c r="KS84" s="985">
        <v>10</v>
      </c>
      <c r="KT84" s="985">
        <v>5</v>
      </c>
      <c r="KU84" s="985">
        <v>2</v>
      </c>
      <c r="KV84" s="985" t="s">
        <v>315</v>
      </c>
      <c r="KW84" s="985">
        <v>4</v>
      </c>
      <c r="KX84" s="985">
        <v>4</v>
      </c>
      <c r="KY84" s="985">
        <v>16</v>
      </c>
      <c r="KZ84" s="985" t="s">
        <v>315</v>
      </c>
      <c r="LA84" s="985">
        <v>58</v>
      </c>
      <c r="LB84" s="985">
        <f t="shared" si="47"/>
        <v>19</v>
      </c>
      <c r="LC84" s="986">
        <f t="shared" si="48"/>
        <v>0.32758620689655171</v>
      </c>
      <c r="LD84" s="42"/>
      <c r="LE84" s="42"/>
    </row>
    <row r="85" spans="1:317">
      <c r="A85" s="6291">
        <v>5</v>
      </c>
      <c r="B85" s="6291">
        <v>2</v>
      </c>
      <c r="C85" s="6291">
        <v>179</v>
      </c>
      <c r="D85" s="6292">
        <v>47</v>
      </c>
      <c r="E85" s="6293"/>
      <c r="F85" s="6291">
        <v>3</v>
      </c>
      <c r="G85" s="6291">
        <v>23</v>
      </c>
      <c r="H85" s="6291">
        <v>1</v>
      </c>
      <c r="I85" s="6293"/>
      <c r="J85" s="6293"/>
      <c r="K85" s="6291">
        <v>3</v>
      </c>
      <c r="L85" s="6293"/>
      <c r="M85" s="6291">
        <v>5</v>
      </c>
      <c r="N85" s="6291">
        <v>9</v>
      </c>
      <c r="O85" s="6293"/>
      <c r="P85" s="6291">
        <v>3</v>
      </c>
      <c r="Q85" s="6294">
        <f t="shared" si="49"/>
        <v>0.23404255319148937</v>
      </c>
      <c r="S85" s="6295"/>
      <c r="T85" s="6295"/>
      <c r="U85" s="6295"/>
      <c r="V85" s="6317">
        <f>SUM(V81:V84)</f>
        <v>1070</v>
      </c>
      <c r="W85" s="6317">
        <f t="shared" ref="W85:AH85" si="71">SUM(W81:W84)</f>
        <v>81</v>
      </c>
      <c r="X85" s="6317">
        <f t="shared" si="71"/>
        <v>142</v>
      </c>
      <c r="Y85" s="6317">
        <f t="shared" si="71"/>
        <v>207</v>
      </c>
      <c r="Z85" s="6317">
        <f t="shared" si="71"/>
        <v>42</v>
      </c>
      <c r="AA85" s="6317">
        <f t="shared" si="71"/>
        <v>0</v>
      </c>
      <c r="AB85" s="6317">
        <f t="shared" si="71"/>
        <v>4</v>
      </c>
      <c r="AC85" s="6317">
        <f t="shared" si="71"/>
        <v>104</v>
      </c>
      <c r="AD85" s="6317">
        <f t="shared" si="71"/>
        <v>7</v>
      </c>
      <c r="AE85" s="6317">
        <f t="shared" si="71"/>
        <v>70</v>
      </c>
      <c r="AF85" s="6317">
        <f t="shared" si="71"/>
        <v>163</v>
      </c>
      <c r="AG85" s="6317">
        <f t="shared" si="71"/>
        <v>0</v>
      </c>
      <c r="AH85" s="6317">
        <f t="shared" si="71"/>
        <v>250</v>
      </c>
      <c r="AI85" s="6294">
        <f t="shared" ref="AI85:AI95" si="72">+(AC85+AE85+AH85)/(V85)</f>
        <v>0.39626168224299063</v>
      </c>
      <c r="AJ85" s="6296"/>
      <c r="AK85" s="6297"/>
      <c r="AL85" s="6297"/>
      <c r="AM85" s="6297"/>
      <c r="AN85" s="6298">
        <f>SUM(AN81:AN84)</f>
        <v>1070</v>
      </c>
      <c r="AO85" s="6298">
        <f t="shared" ref="AO85:BB85" si="73">SUM(AO81:AO84)</f>
        <v>79</v>
      </c>
      <c r="AP85" s="6298">
        <f t="shared" si="73"/>
        <v>142</v>
      </c>
      <c r="AQ85" s="6298">
        <f t="shared" si="73"/>
        <v>213</v>
      </c>
      <c r="AR85" s="6298">
        <f t="shared" si="73"/>
        <v>42</v>
      </c>
      <c r="AS85" s="6298">
        <f t="shared" si="73"/>
        <v>0</v>
      </c>
      <c r="AT85" s="6298">
        <f t="shared" si="73"/>
        <v>4</v>
      </c>
      <c r="AU85" s="6298">
        <f t="shared" si="73"/>
        <v>1</v>
      </c>
      <c r="AV85" s="6298">
        <f t="shared" si="73"/>
        <v>84</v>
      </c>
      <c r="AW85" s="6298">
        <f t="shared" si="73"/>
        <v>61</v>
      </c>
      <c r="AX85" s="6298">
        <f t="shared" si="73"/>
        <v>1</v>
      </c>
      <c r="AY85" s="6298">
        <f t="shared" si="73"/>
        <v>203</v>
      </c>
      <c r="AZ85" s="6298">
        <f t="shared" si="73"/>
        <v>0</v>
      </c>
      <c r="BA85" s="6298">
        <f t="shared" si="73"/>
        <v>0</v>
      </c>
      <c r="BB85" s="6298">
        <f t="shared" si="73"/>
        <v>240</v>
      </c>
      <c r="BC85" s="6318">
        <f t="shared" si="50"/>
        <v>0.36014967259120673</v>
      </c>
      <c r="BE85" s="6313"/>
      <c r="BF85" s="6313"/>
      <c r="BG85" s="6313"/>
      <c r="BH85" s="6319" t="s">
        <v>483</v>
      </c>
      <c r="BI85" s="6314">
        <f>SUM(BI81:BI84)</f>
        <v>938</v>
      </c>
      <c r="BJ85" s="6314">
        <f t="shared" ref="BJ85:BW85" si="74">SUM(BJ81:BJ84)</f>
        <v>64</v>
      </c>
      <c r="BK85" s="6314">
        <f t="shared" si="74"/>
        <v>156</v>
      </c>
      <c r="BL85" s="6314">
        <f t="shared" si="74"/>
        <v>171</v>
      </c>
      <c r="BM85" s="6314">
        <f t="shared" si="74"/>
        <v>45</v>
      </c>
      <c r="BN85" s="6314">
        <f t="shared" si="74"/>
        <v>0</v>
      </c>
      <c r="BO85" s="6314">
        <f t="shared" si="74"/>
        <v>3</v>
      </c>
      <c r="BP85" s="6314">
        <f t="shared" si="74"/>
        <v>1</v>
      </c>
      <c r="BQ85" s="6314">
        <f t="shared" si="74"/>
        <v>80</v>
      </c>
      <c r="BR85" s="6314">
        <f t="shared" si="74"/>
        <v>6</v>
      </c>
      <c r="BS85" s="6314">
        <f t="shared" si="74"/>
        <v>115</v>
      </c>
      <c r="BT85" s="6314">
        <f t="shared" si="74"/>
        <v>140</v>
      </c>
      <c r="BU85" s="6314">
        <f t="shared" si="74"/>
        <v>0</v>
      </c>
      <c r="BV85" s="6314">
        <f t="shared" si="74"/>
        <v>0</v>
      </c>
      <c r="BW85" s="6314">
        <f t="shared" si="74"/>
        <v>157</v>
      </c>
      <c r="BX85" s="6300">
        <f t="shared" si="61"/>
        <v>0.37566702241195304</v>
      </c>
      <c r="BZ85" s="4388"/>
      <c r="CA85" s="4388"/>
      <c r="CB85" s="6276" t="s">
        <v>483</v>
      </c>
      <c r="CC85" s="6320">
        <v>184</v>
      </c>
      <c r="CD85" s="6320">
        <v>155</v>
      </c>
      <c r="CE85" s="6320">
        <v>1</v>
      </c>
      <c r="CF85" s="6320">
        <v>45</v>
      </c>
      <c r="CG85" s="6320">
        <v>127</v>
      </c>
      <c r="CH85" s="6320">
        <v>99</v>
      </c>
      <c r="CI85" s="6320">
        <v>3</v>
      </c>
      <c r="CJ85" s="6320">
        <v>9</v>
      </c>
      <c r="CK85" s="6320"/>
      <c r="CL85" s="6320">
        <v>81</v>
      </c>
      <c r="CM85" s="6320">
        <v>78</v>
      </c>
      <c r="CN85" s="6320"/>
      <c r="CO85" s="6320">
        <v>159</v>
      </c>
      <c r="CP85" s="6320">
        <v>1</v>
      </c>
      <c r="CQ85" s="6320">
        <v>942</v>
      </c>
      <c r="CR85" s="6304">
        <f t="shared" si="51"/>
        <v>0.32306057385759829</v>
      </c>
      <c r="CS85" s="4238"/>
      <c r="CT85" s="6305"/>
      <c r="CU85" s="6316"/>
      <c r="CX85" s="42" t="s">
        <v>385</v>
      </c>
      <c r="CY85" s="42">
        <v>23</v>
      </c>
      <c r="CZ85" s="42">
        <v>25</v>
      </c>
      <c r="DB85" s="42">
        <v>15</v>
      </c>
      <c r="DC85" s="42">
        <v>29</v>
      </c>
      <c r="DD85" s="42">
        <v>8</v>
      </c>
      <c r="DE85" s="42">
        <v>33</v>
      </c>
      <c r="DG85" s="42">
        <v>0</v>
      </c>
      <c r="DH85" s="42">
        <v>15</v>
      </c>
      <c r="DI85" s="42">
        <v>19</v>
      </c>
      <c r="DK85" s="42">
        <v>57</v>
      </c>
      <c r="DM85" s="893">
        <v>224</v>
      </c>
      <c r="DN85" s="6306">
        <f t="shared" si="53"/>
        <v>0.25</v>
      </c>
      <c r="DP85" s="4263"/>
      <c r="DQ85" s="4263" t="s">
        <v>61</v>
      </c>
      <c r="DR85" s="4258" t="s">
        <v>62</v>
      </c>
      <c r="DS85" s="4263">
        <v>43</v>
      </c>
      <c r="DT85" s="4263">
        <v>29</v>
      </c>
      <c r="DU85" s="4263"/>
      <c r="DV85" s="4263">
        <v>13</v>
      </c>
      <c r="DW85" s="4263">
        <v>43</v>
      </c>
      <c r="DX85" s="4263">
        <v>25</v>
      </c>
      <c r="DY85" s="4263">
        <v>15</v>
      </c>
      <c r="DZ85" s="4263">
        <v>8</v>
      </c>
      <c r="EA85" s="4263">
        <v>0</v>
      </c>
      <c r="EB85" s="4263">
        <v>28</v>
      </c>
      <c r="EC85" s="4263">
        <v>34</v>
      </c>
      <c r="ED85" s="4263"/>
      <c r="EE85" s="4263">
        <v>55</v>
      </c>
      <c r="EF85" s="4263"/>
      <c r="EG85" s="4263">
        <v>293</v>
      </c>
      <c r="EH85" s="6307">
        <f t="shared" si="54"/>
        <v>0.34812286689419797</v>
      </c>
      <c r="EL85" s="42" t="s">
        <v>385</v>
      </c>
      <c r="EM85" s="97">
        <v>32</v>
      </c>
      <c r="EN85" s="97">
        <v>22</v>
      </c>
      <c r="EO85" s="97"/>
      <c r="EP85" s="97">
        <v>2</v>
      </c>
      <c r="EQ85" s="97">
        <v>22</v>
      </c>
      <c r="ER85" s="97">
        <v>9</v>
      </c>
      <c r="ES85" s="97">
        <v>13</v>
      </c>
      <c r="ET85" s="97">
        <v>1</v>
      </c>
      <c r="EU85" s="97"/>
      <c r="EV85" s="97">
        <v>31</v>
      </c>
      <c r="EW85" s="97">
        <v>14</v>
      </c>
      <c r="EX85" s="97"/>
      <c r="EY85" s="97">
        <v>65</v>
      </c>
      <c r="EZ85" s="97"/>
      <c r="FA85" s="97">
        <v>211</v>
      </c>
      <c r="FB85" s="6315">
        <f t="shared" si="55"/>
        <v>0.2132701421800948</v>
      </c>
      <c r="FD85" s="42"/>
      <c r="FE85" s="42"/>
      <c r="FF85" s="42" t="s">
        <v>385</v>
      </c>
      <c r="FG85" s="97">
        <v>31</v>
      </c>
      <c r="FH85" s="97">
        <v>47</v>
      </c>
      <c r="FI85" s="97"/>
      <c r="FJ85" s="97">
        <v>12</v>
      </c>
      <c r="FK85" s="97">
        <v>19</v>
      </c>
      <c r="FL85" s="97">
        <v>9</v>
      </c>
      <c r="FM85" s="97">
        <v>19</v>
      </c>
      <c r="FN85" s="97">
        <v>1</v>
      </c>
      <c r="FO85" s="97"/>
      <c r="FP85" s="97">
        <v>12</v>
      </c>
      <c r="FQ85" s="97">
        <v>7</v>
      </c>
      <c r="FR85" s="97"/>
      <c r="FS85" s="97">
        <v>56</v>
      </c>
      <c r="FT85" s="97"/>
      <c r="FU85" s="97">
        <v>213</v>
      </c>
      <c r="FV85" s="6308">
        <f t="shared" si="45"/>
        <v>0.16431924882629109</v>
      </c>
      <c r="FW85" s="6322"/>
      <c r="FX85" s="42"/>
      <c r="FY85" s="42"/>
      <c r="FZ85" s="42" t="s">
        <v>385</v>
      </c>
      <c r="GA85" s="97">
        <v>29</v>
      </c>
      <c r="GB85" s="97">
        <v>31</v>
      </c>
      <c r="GC85" s="97"/>
      <c r="GD85" s="97">
        <v>8</v>
      </c>
      <c r="GE85" s="97">
        <v>16</v>
      </c>
      <c r="GF85" s="97">
        <v>5</v>
      </c>
      <c r="GG85" s="97">
        <v>2</v>
      </c>
      <c r="GH85" s="97">
        <v>0</v>
      </c>
      <c r="GI85" s="97"/>
      <c r="GJ85" s="97">
        <v>32</v>
      </c>
      <c r="GK85" s="97">
        <v>6</v>
      </c>
      <c r="GL85" s="97"/>
      <c r="GM85" s="97">
        <v>50</v>
      </c>
      <c r="GN85" s="97">
        <v>0</v>
      </c>
      <c r="GO85" s="97">
        <v>179</v>
      </c>
      <c r="GP85" s="6308">
        <f t="shared" si="56"/>
        <v>0.15083798882681565</v>
      </c>
      <c r="GR85" s="6280"/>
      <c r="GS85" s="6280" t="s">
        <v>61</v>
      </c>
      <c r="GT85" s="6310" t="s">
        <v>62</v>
      </c>
      <c r="GU85" s="6311">
        <v>33</v>
      </c>
      <c r="GV85" s="6311">
        <v>40</v>
      </c>
      <c r="GW85" s="6312"/>
      <c r="GX85" s="6311">
        <v>6</v>
      </c>
      <c r="GY85" s="6311">
        <v>66</v>
      </c>
      <c r="GZ85" s="6311">
        <v>10</v>
      </c>
      <c r="HA85" s="6311">
        <v>17</v>
      </c>
      <c r="HB85" s="6311">
        <v>0</v>
      </c>
      <c r="HC85" s="6312"/>
      <c r="HD85" s="6311">
        <v>22</v>
      </c>
      <c r="HE85" s="6311">
        <v>16</v>
      </c>
      <c r="HF85" s="6312"/>
      <c r="HG85" s="6311">
        <v>61</v>
      </c>
      <c r="HH85" s="6311">
        <v>1</v>
      </c>
      <c r="HI85" s="6311">
        <v>272</v>
      </c>
      <c r="HJ85" s="467">
        <f t="shared" si="57"/>
        <v>0.33948339483394835</v>
      </c>
      <c r="HL85" s="967"/>
      <c r="HM85" s="967" t="s">
        <v>61</v>
      </c>
      <c r="HN85" s="977" t="s">
        <v>62</v>
      </c>
      <c r="HO85" s="978">
        <v>28</v>
      </c>
      <c r="HP85" s="978">
        <v>24</v>
      </c>
      <c r="HQ85" s="967"/>
      <c r="HR85" s="978">
        <v>10</v>
      </c>
      <c r="HS85" s="978">
        <v>58</v>
      </c>
      <c r="HT85" s="978">
        <v>7</v>
      </c>
      <c r="HU85" s="978">
        <v>1</v>
      </c>
      <c r="HV85" s="967"/>
      <c r="HW85" s="967"/>
      <c r="HX85" s="978">
        <v>35</v>
      </c>
      <c r="HY85" s="978">
        <v>14</v>
      </c>
      <c r="HZ85" s="978">
        <v>73</v>
      </c>
      <c r="IA85" s="967"/>
      <c r="IB85" s="978">
        <v>250</v>
      </c>
      <c r="IC85" s="467">
        <f t="shared" si="58"/>
        <v>0.316</v>
      </c>
      <c r="IE85" s="577"/>
      <c r="IF85" s="577" t="s">
        <v>61</v>
      </c>
      <c r="IG85" s="979" t="s">
        <v>62</v>
      </c>
      <c r="IH85" s="980">
        <v>40</v>
      </c>
      <c r="II85" s="980">
        <v>26</v>
      </c>
      <c r="IJ85" s="577"/>
      <c r="IK85" s="980">
        <v>10</v>
      </c>
      <c r="IL85" s="980">
        <v>42</v>
      </c>
      <c r="IM85" s="980">
        <v>11</v>
      </c>
      <c r="IN85" s="980">
        <v>0</v>
      </c>
      <c r="IO85" s="980">
        <v>0</v>
      </c>
      <c r="IP85" s="577"/>
      <c r="IQ85" s="980">
        <v>12</v>
      </c>
      <c r="IR85" s="980">
        <v>15</v>
      </c>
      <c r="IS85" s="980">
        <v>52</v>
      </c>
      <c r="IT85" s="577"/>
      <c r="IU85" s="980">
        <v>208</v>
      </c>
      <c r="IV85" s="467">
        <f t="shared" si="59"/>
        <v>0.32692307692307693</v>
      </c>
      <c r="IX85" s="742"/>
      <c r="IY85" s="742"/>
      <c r="IZ85" s="973" t="s">
        <v>486</v>
      </c>
      <c r="JA85" s="992">
        <v>80</v>
      </c>
      <c r="JB85" s="992">
        <v>32</v>
      </c>
      <c r="JC85" s="992">
        <v>0</v>
      </c>
      <c r="JD85" s="992">
        <v>19</v>
      </c>
      <c r="JE85" s="992">
        <v>42</v>
      </c>
      <c r="JF85" s="992">
        <v>24</v>
      </c>
      <c r="JG85" s="992">
        <v>9</v>
      </c>
      <c r="JH85" s="992">
        <v>0</v>
      </c>
      <c r="JI85" s="992">
        <v>19</v>
      </c>
      <c r="JJ85" s="992">
        <v>40</v>
      </c>
      <c r="JK85" s="992">
        <v>62</v>
      </c>
      <c r="JL85" s="992">
        <v>71</v>
      </c>
      <c r="JM85" s="992">
        <v>0</v>
      </c>
      <c r="JN85" s="992">
        <v>4</v>
      </c>
      <c r="JO85" s="992">
        <v>402</v>
      </c>
      <c r="JP85" s="993">
        <f t="shared" si="60"/>
        <v>0.31547619047619047</v>
      </c>
      <c r="JR85" s="97"/>
      <c r="JS85" s="97"/>
      <c r="JT85" s="42" t="s">
        <v>15</v>
      </c>
      <c r="JU85" s="42">
        <v>60</v>
      </c>
      <c r="JV85" s="42">
        <v>32</v>
      </c>
      <c r="JW85" s="42"/>
      <c r="JX85" s="42">
        <v>7</v>
      </c>
      <c r="JY85" s="42">
        <v>12</v>
      </c>
      <c r="JZ85" s="42">
        <v>16</v>
      </c>
      <c r="KA85" s="42">
        <v>5</v>
      </c>
      <c r="KB85" s="42"/>
      <c r="KC85" s="42">
        <v>11</v>
      </c>
      <c r="KD85" s="42">
        <v>28</v>
      </c>
      <c r="KE85" s="42">
        <v>47</v>
      </c>
      <c r="KF85" s="42">
        <v>37</v>
      </c>
      <c r="KG85" s="42"/>
      <c r="KH85" s="42">
        <v>2</v>
      </c>
      <c r="KI85" s="42">
        <v>257</v>
      </c>
      <c r="KJ85" s="984">
        <f t="shared" si="46"/>
        <v>0.26923076923076922</v>
      </c>
      <c r="KK85" s="42"/>
      <c r="KL85" s="354"/>
      <c r="KM85" s="354"/>
      <c r="KN85" s="354" t="s">
        <v>65</v>
      </c>
      <c r="KO85" s="985">
        <v>3</v>
      </c>
      <c r="KP85" s="985">
        <v>2</v>
      </c>
      <c r="KQ85" s="985" t="s">
        <v>315</v>
      </c>
      <c r="KR85" s="985" t="s">
        <v>315</v>
      </c>
      <c r="KS85" s="985">
        <v>0</v>
      </c>
      <c r="KT85" s="985">
        <v>2</v>
      </c>
      <c r="KU85" s="985">
        <v>2</v>
      </c>
      <c r="KV85" s="985" t="s">
        <v>315</v>
      </c>
      <c r="KW85" s="985" t="s">
        <v>315</v>
      </c>
      <c r="KX85" s="985">
        <v>0</v>
      </c>
      <c r="KY85" s="985">
        <v>6</v>
      </c>
      <c r="KZ85" s="985" t="s">
        <v>315</v>
      </c>
      <c r="LA85" s="985">
        <v>15</v>
      </c>
      <c r="LB85" s="985">
        <f t="shared" si="47"/>
        <v>2</v>
      </c>
      <c r="LC85" s="986">
        <f t="shared" si="48"/>
        <v>0.13333333333333333</v>
      </c>
      <c r="LD85" s="42"/>
      <c r="LE85" s="42"/>
    </row>
    <row r="86" spans="1:317" ht="15" thickBot="1">
      <c r="A86" s="6291">
        <v>5</v>
      </c>
      <c r="B86" s="6291">
        <v>3</v>
      </c>
      <c r="C86" s="6291">
        <v>149</v>
      </c>
      <c r="D86" s="6292">
        <v>324</v>
      </c>
      <c r="E86" s="6291">
        <v>16</v>
      </c>
      <c r="F86" s="6291">
        <v>59</v>
      </c>
      <c r="G86" s="6291">
        <v>70</v>
      </c>
      <c r="H86" s="6291">
        <v>19</v>
      </c>
      <c r="I86" s="6293"/>
      <c r="J86" s="6291">
        <v>8</v>
      </c>
      <c r="K86" s="6291">
        <v>22</v>
      </c>
      <c r="L86" s="6293"/>
      <c r="M86" s="6291">
        <v>24</v>
      </c>
      <c r="N86" s="6291">
        <v>27</v>
      </c>
      <c r="O86" s="6293"/>
      <c r="P86" s="6291">
        <v>79</v>
      </c>
      <c r="Q86" s="6294">
        <f t="shared" si="49"/>
        <v>0.38580246913580246</v>
      </c>
      <c r="S86" s="6295">
        <v>4</v>
      </c>
      <c r="T86" s="6295">
        <v>5</v>
      </c>
      <c r="U86" s="6295">
        <v>130</v>
      </c>
      <c r="V86" s="6295">
        <v>378</v>
      </c>
      <c r="W86" s="6295">
        <v>11</v>
      </c>
      <c r="X86" s="6295">
        <v>48</v>
      </c>
      <c r="Y86" s="6295">
        <v>65</v>
      </c>
      <c r="Z86" s="6295">
        <v>24</v>
      </c>
      <c r="AA86" s="6295">
        <v>1</v>
      </c>
      <c r="AB86" s="6295">
        <v>3</v>
      </c>
      <c r="AC86" s="6295">
        <v>70</v>
      </c>
      <c r="AD86" s="6295">
        <v>2</v>
      </c>
      <c r="AE86" s="6295">
        <v>25</v>
      </c>
      <c r="AF86" s="6295">
        <v>62</v>
      </c>
      <c r="AG86" s="6296"/>
      <c r="AH86" s="6295">
        <v>67</v>
      </c>
      <c r="AI86" s="6294">
        <f t="shared" si="72"/>
        <v>0.42857142857142855</v>
      </c>
      <c r="AJ86" s="6295"/>
      <c r="AK86" s="6297">
        <v>4</v>
      </c>
      <c r="AL86" s="6297">
        <v>5</v>
      </c>
      <c r="AM86" s="6297">
        <v>130</v>
      </c>
      <c r="AN86" s="6298">
        <v>378</v>
      </c>
      <c r="AO86" s="6297">
        <v>18</v>
      </c>
      <c r="AP86" s="6297">
        <v>49</v>
      </c>
      <c r="AQ86" s="6297">
        <v>76</v>
      </c>
      <c r="AR86" s="6297">
        <v>24</v>
      </c>
      <c r="AS86" s="6297">
        <v>1</v>
      </c>
      <c r="AT86" s="6297">
        <v>3</v>
      </c>
      <c r="AU86" s="6299"/>
      <c r="AV86" s="6297">
        <v>56</v>
      </c>
      <c r="AW86" s="6297">
        <v>22</v>
      </c>
      <c r="AX86" s="6299"/>
      <c r="AY86" s="6297">
        <v>67</v>
      </c>
      <c r="AZ86" s="6299"/>
      <c r="BA86" s="6299"/>
      <c r="BB86" s="6297">
        <v>62</v>
      </c>
      <c r="BC86" s="6300">
        <f t="shared" si="50"/>
        <v>0.37037037037037035</v>
      </c>
      <c r="BE86" s="6313">
        <v>4</v>
      </c>
      <c r="BF86" s="6313">
        <v>5</v>
      </c>
      <c r="BG86" s="6313">
        <v>130</v>
      </c>
      <c r="BH86" s="4405" t="s">
        <v>62</v>
      </c>
      <c r="BI86" s="6314">
        <v>350</v>
      </c>
      <c r="BJ86" s="6313">
        <v>18</v>
      </c>
      <c r="BK86" s="6313">
        <v>64</v>
      </c>
      <c r="BL86" s="6313">
        <v>63</v>
      </c>
      <c r="BM86" s="6313">
        <v>19</v>
      </c>
      <c r="BN86" s="6313">
        <v>1</v>
      </c>
      <c r="BO86" s="6313">
        <v>2</v>
      </c>
      <c r="BP86" s="6303"/>
      <c r="BQ86" s="6313">
        <v>51</v>
      </c>
      <c r="BR86" s="6313">
        <v>2</v>
      </c>
      <c r="BS86" s="6313">
        <v>27</v>
      </c>
      <c r="BT86" s="6313">
        <v>48</v>
      </c>
      <c r="BU86" s="6303"/>
      <c r="BV86" s="6303"/>
      <c r="BW86" s="6313">
        <v>55</v>
      </c>
      <c r="BX86" s="6300">
        <f t="shared" si="61"/>
        <v>0.38</v>
      </c>
      <c r="BZ86" s="4388"/>
      <c r="CA86" s="4388" t="s">
        <v>61</v>
      </c>
      <c r="CB86" s="4388" t="s">
        <v>62</v>
      </c>
      <c r="CC86" s="4231">
        <v>56</v>
      </c>
      <c r="CD86" s="4231">
        <v>47</v>
      </c>
      <c r="CE86" s="4231"/>
      <c r="CF86" s="4231">
        <v>19</v>
      </c>
      <c r="CG86" s="4231">
        <v>51</v>
      </c>
      <c r="CH86" s="4231">
        <v>25</v>
      </c>
      <c r="CI86" s="4231">
        <v>2</v>
      </c>
      <c r="CJ86" s="4231">
        <v>5</v>
      </c>
      <c r="CK86" s="4231">
        <v>1</v>
      </c>
      <c r="CL86" s="4231">
        <v>36</v>
      </c>
      <c r="CM86" s="4231">
        <v>43</v>
      </c>
      <c r="CN86" s="4231"/>
      <c r="CO86" s="4231">
        <v>64</v>
      </c>
      <c r="CP86" s="4231">
        <v>0</v>
      </c>
      <c r="CQ86" s="4231">
        <v>349</v>
      </c>
      <c r="CR86" s="6304">
        <f t="shared" si="51"/>
        <v>0.34097421203438394</v>
      </c>
      <c r="CS86" s="4238">
        <f t="shared" si="52"/>
        <v>0</v>
      </c>
      <c r="CT86" s="6305">
        <v>349</v>
      </c>
      <c r="CU86" s="6316"/>
      <c r="CX86" s="42" t="s">
        <v>63</v>
      </c>
      <c r="CY86" s="42">
        <v>13</v>
      </c>
      <c r="CZ86" s="42">
        <v>36</v>
      </c>
      <c r="DB86" s="42">
        <v>8</v>
      </c>
      <c r="DC86" s="42">
        <v>124</v>
      </c>
      <c r="DD86" s="42">
        <v>31</v>
      </c>
      <c r="DE86" s="42">
        <v>26</v>
      </c>
      <c r="DG86" s="42">
        <v>1</v>
      </c>
      <c r="DH86" s="42">
        <v>18</v>
      </c>
      <c r="DI86" s="42">
        <v>37</v>
      </c>
      <c r="DK86" s="42">
        <v>38</v>
      </c>
      <c r="DM86" s="893">
        <v>332</v>
      </c>
      <c r="DN86" s="6306">
        <f t="shared" si="53"/>
        <v>0.57831325301204817</v>
      </c>
      <c r="DP86" s="4263"/>
      <c r="DQ86" s="4263"/>
      <c r="DR86" s="4258" t="s">
        <v>385</v>
      </c>
      <c r="DS86" s="4263">
        <v>34</v>
      </c>
      <c r="DT86" s="4263">
        <v>35</v>
      </c>
      <c r="DU86" s="4263"/>
      <c r="DV86" s="4263">
        <v>18</v>
      </c>
      <c r="DW86" s="4263">
        <v>23</v>
      </c>
      <c r="DX86" s="4263">
        <v>9</v>
      </c>
      <c r="DY86" s="4263">
        <v>25</v>
      </c>
      <c r="DZ86" s="4263">
        <v>2</v>
      </c>
      <c r="EA86" s="4263">
        <v>0</v>
      </c>
      <c r="EB86" s="4263">
        <v>34</v>
      </c>
      <c r="EC86" s="4263">
        <v>13</v>
      </c>
      <c r="ED86" s="4263"/>
      <c r="EE86" s="4263">
        <v>60</v>
      </c>
      <c r="EF86" s="4263"/>
      <c r="EG86" s="4263">
        <v>253</v>
      </c>
      <c r="EH86" s="6307">
        <f t="shared" si="54"/>
        <v>0.17786561264822134</v>
      </c>
      <c r="EL86" s="42" t="s">
        <v>63</v>
      </c>
      <c r="EM86" s="97">
        <v>25</v>
      </c>
      <c r="EN86" s="97">
        <v>37</v>
      </c>
      <c r="EO86" s="97"/>
      <c r="EP86" s="97">
        <v>1</v>
      </c>
      <c r="EQ86" s="97">
        <v>108</v>
      </c>
      <c r="ER86" s="97">
        <v>19</v>
      </c>
      <c r="ES86" s="97">
        <v>15</v>
      </c>
      <c r="ET86" s="97">
        <v>0</v>
      </c>
      <c r="EU86" s="97"/>
      <c r="EV86" s="97">
        <v>40</v>
      </c>
      <c r="EW86" s="97">
        <v>42</v>
      </c>
      <c r="EX86" s="97"/>
      <c r="EY86" s="97">
        <v>37</v>
      </c>
      <c r="EZ86" s="97"/>
      <c r="FA86" s="97">
        <v>324</v>
      </c>
      <c r="FB86" s="6315">
        <f t="shared" si="55"/>
        <v>0.52160493827160492</v>
      </c>
      <c r="FD86" s="42"/>
      <c r="FE86" s="42"/>
      <c r="FF86" s="42" t="s">
        <v>63</v>
      </c>
      <c r="FG86" s="97">
        <v>12</v>
      </c>
      <c r="FH86" s="97">
        <v>51</v>
      </c>
      <c r="FI86" s="97"/>
      <c r="FJ86" s="97">
        <v>10</v>
      </c>
      <c r="FK86" s="97">
        <v>103</v>
      </c>
      <c r="FL86" s="97">
        <v>17</v>
      </c>
      <c r="FM86" s="97">
        <v>18</v>
      </c>
      <c r="FN86" s="97">
        <v>0</v>
      </c>
      <c r="FO86" s="97"/>
      <c r="FP86" s="97">
        <v>34</v>
      </c>
      <c r="FQ86" s="97">
        <v>42</v>
      </c>
      <c r="FR86" s="97"/>
      <c r="FS86" s="97">
        <v>34</v>
      </c>
      <c r="FT86" s="97"/>
      <c r="FU86" s="97">
        <v>321</v>
      </c>
      <c r="FV86" s="6308">
        <f t="shared" si="45"/>
        <v>0.50467289719626163</v>
      </c>
      <c r="FW86" s="6322"/>
      <c r="FX86" s="42"/>
      <c r="FY86" s="42"/>
      <c r="FZ86" s="42" t="s">
        <v>63</v>
      </c>
      <c r="GA86" s="97">
        <v>17</v>
      </c>
      <c r="GB86" s="97">
        <v>32</v>
      </c>
      <c r="GC86" s="97"/>
      <c r="GD86" s="97">
        <v>9</v>
      </c>
      <c r="GE86" s="97">
        <v>82</v>
      </c>
      <c r="GF86" s="97">
        <v>12</v>
      </c>
      <c r="GG86" s="97">
        <v>4</v>
      </c>
      <c r="GH86" s="97">
        <v>6</v>
      </c>
      <c r="GI86" s="97"/>
      <c r="GJ86" s="97">
        <v>52</v>
      </c>
      <c r="GK86" s="97">
        <v>27</v>
      </c>
      <c r="GL86" s="97"/>
      <c r="GM86" s="97">
        <v>38</v>
      </c>
      <c r="GN86" s="97">
        <v>0</v>
      </c>
      <c r="GO86" s="97">
        <v>279</v>
      </c>
      <c r="GP86" s="6308">
        <f t="shared" si="56"/>
        <v>0.43369175627240142</v>
      </c>
      <c r="GR86" s="6280"/>
      <c r="GS86" s="6280"/>
      <c r="GT86" s="6310" t="s">
        <v>385</v>
      </c>
      <c r="GU86" s="6311">
        <v>32</v>
      </c>
      <c r="GV86" s="6311">
        <v>30</v>
      </c>
      <c r="GW86" s="6312"/>
      <c r="GX86" s="6311">
        <v>7</v>
      </c>
      <c r="GY86" s="6311">
        <v>11</v>
      </c>
      <c r="GZ86" s="6311">
        <v>3</v>
      </c>
      <c r="HA86" s="6311">
        <v>2</v>
      </c>
      <c r="HB86" s="6311">
        <v>0</v>
      </c>
      <c r="HC86" s="6312"/>
      <c r="HD86" s="6311">
        <v>15</v>
      </c>
      <c r="HE86" s="6311">
        <v>5</v>
      </c>
      <c r="HF86" s="6312"/>
      <c r="HG86" s="6311">
        <v>40</v>
      </c>
      <c r="HH86" s="6311">
        <v>0</v>
      </c>
      <c r="HI86" s="6311">
        <v>145</v>
      </c>
      <c r="HJ86" s="467">
        <f t="shared" si="57"/>
        <v>0.1310344827586207</v>
      </c>
      <c r="HL86" s="967"/>
      <c r="HM86" s="967"/>
      <c r="HN86" s="977" t="s">
        <v>385</v>
      </c>
      <c r="HO86" s="978">
        <v>31</v>
      </c>
      <c r="HP86" s="978">
        <v>20</v>
      </c>
      <c r="HQ86" s="967"/>
      <c r="HR86" s="978">
        <v>10</v>
      </c>
      <c r="HS86" s="978">
        <v>5</v>
      </c>
      <c r="HT86" s="978">
        <v>2</v>
      </c>
      <c r="HU86" s="978">
        <v>7</v>
      </c>
      <c r="HV86" s="967"/>
      <c r="HW86" s="967"/>
      <c r="HX86" s="978">
        <v>18</v>
      </c>
      <c r="HY86" s="978">
        <v>1</v>
      </c>
      <c r="HZ86" s="978">
        <v>32</v>
      </c>
      <c r="IA86" s="967"/>
      <c r="IB86" s="978">
        <v>126</v>
      </c>
      <c r="IC86" s="467">
        <f t="shared" si="58"/>
        <v>6.3492063492063489E-2</v>
      </c>
      <c r="IE86" s="577"/>
      <c r="IF86" s="577"/>
      <c r="IG86" s="979" t="s">
        <v>385</v>
      </c>
      <c r="IH86" s="980">
        <v>37</v>
      </c>
      <c r="II86" s="980">
        <v>13</v>
      </c>
      <c r="IJ86" s="577"/>
      <c r="IK86" s="980">
        <v>8</v>
      </c>
      <c r="IL86" s="980">
        <v>4</v>
      </c>
      <c r="IM86" s="980">
        <v>1</v>
      </c>
      <c r="IN86" s="980">
        <v>7</v>
      </c>
      <c r="IO86" s="980">
        <v>0</v>
      </c>
      <c r="IP86" s="577"/>
      <c r="IQ86" s="980">
        <v>2</v>
      </c>
      <c r="IR86" s="980">
        <v>0</v>
      </c>
      <c r="IS86" s="980">
        <v>18</v>
      </c>
      <c r="IT86" s="577"/>
      <c r="IU86" s="980">
        <v>90</v>
      </c>
      <c r="IV86" s="467">
        <f t="shared" si="59"/>
        <v>5.5555555555555552E-2</v>
      </c>
      <c r="IX86" s="742"/>
      <c r="IY86" s="742" t="s">
        <v>64</v>
      </c>
      <c r="IZ86" s="981" t="s">
        <v>14</v>
      </c>
      <c r="JA86" s="982">
        <v>33</v>
      </c>
      <c r="JB86" s="982">
        <v>12</v>
      </c>
      <c r="JC86" s="982">
        <v>0</v>
      </c>
      <c r="JD86" s="982">
        <v>5</v>
      </c>
      <c r="JE86" s="982">
        <v>25</v>
      </c>
      <c r="JF86" s="982">
        <v>3</v>
      </c>
      <c r="JG86" s="982">
        <v>6</v>
      </c>
      <c r="JH86" s="982">
        <v>0</v>
      </c>
      <c r="JI86" s="982">
        <v>9</v>
      </c>
      <c r="JJ86" s="982">
        <v>14</v>
      </c>
      <c r="JK86" s="982">
        <v>46</v>
      </c>
      <c r="JL86" s="982">
        <v>42</v>
      </c>
      <c r="JM86" s="982">
        <v>0</v>
      </c>
      <c r="JN86" s="982">
        <v>1</v>
      </c>
      <c r="JO86" s="982">
        <v>196</v>
      </c>
      <c r="JP86" s="983">
        <f t="shared" si="60"/>
        <v>0.28187919463087246</v>
      </c>
      <c r="JR86" s="97"/>
      <c r="JS86" s="97" t="s">
        <v>64</v>
      </c>
      <c r="JT86" s="42" t="s">
        <v>14</v>
      </c>
      <c r="JU86" s="42">
        <v>26</v>
      </c>
      <c r="JV86" s="42">
        <v>5</v>
      </c>
      <c r="JW86" s="42"/>
      <c r="JX86" s="42">
        <v>2</v>
      </c>
      <c r="JY86" s="42">
        <v>20</v>
      </c>
      <c r="JZ86" s="42">
        <v>5</v>
      </c>
      <c r="KA86" s="42">
        <v>4</v>
      </c>
      <c r="KB86" s="42"/>
      <c r="KC86" s="42">
        <v>3</v>
      </c>
      <c r="KD86" s="42">
        <v>4</v>
      </c>
      <c r="KE86" s="42">
        <v>29</v>
      </c>
      <c r="KF86" s="42">
        <v>27</v>
      </c>
      <c r="KG86" s="42"/>
      <c r="KH86" s="42">
        <v>1</v>
      </c>
      <c r="KI86" s="42">
        <v>126</v>
      </c>
      <c r="KJ86" s="984">
        <f t="shared" si="46"/>
        <v>0.30208333333333331</v>
      </c>
      <c r="KK86" s="42"/>
      <c r="KL86" s="1007"/>
      <c r="KM86" s="1007"/>
      <c r="KN86" s="1008" t="s">
        <v>15</v>
      </c>
      <c r="KO86" s="1009">
        <v>15</v>
      </c>
      <c r="KP86" s="1009">
        <v>6</v>
      </c>
      <c r="KQ86" s="1009" t="s">
        <v>315</v>
      </c>
      <c r="KR86" s="1009">
        <v>1</v>
      </c>
      <c r="KS86" s="1009">
        <v>10</v>
      </c>
      <c r="KT86" s="1009">
        <v>7</v>
      </c>
      <c r="KU86" s="1009">
        <v>4</v>
      </c>
      <c r="KV86" s="1009" t="s">
        <v>315</v>
      </c>
      <c r="KW86" s="1009">
        <v>4</v>
      </c>
      <c r="KX86" s="1009">
        <v>4</v>
      </c>
      <c r="KY86" s="1009">
        <v>22</v>
      </c>
      <c r="KZ86" s="1009" t="s">
        <v>315</v>
      </c>
      <c r="LA86" s="1009">
        <v>73</v>
      </c>
      <c r="LB86" s="1009">
        <f t="shared" si="47"/>
        <v>21</v>
      </c>
      <c r="LC86" s="1010">
        <f t="shared" si="48"/>
        <v>0.28767123287671231</v>
      </c>
      <c r="LD86" s="42"/>
      <c r="LE86" s="42"/>
    </row>
    <row r="87" spans="1:317">
      <c r="A87" s="6291">
        <v>5</v>
      </c>
      <c r="B87" s="6291">
        <v>3</v>
      </c>
      <c r="C87" s="6291">
        <v>178</v>
      </c>
      <c r="D87" s="6292">
        <v>64</v>
      </c>
      <c r="E87" s="6291">
        <v>1</v>
      </c>
      <c r="F87" s="6291">
        <v>9</v>
      </c>
      <c r="G87" s="6291">
        <v>28</v>
      </c>
      <c r="H87" s="6291">
        <v>3</v>
      </c>
      <c r="I87" s="6293"/>
      <c r="J87" s="6293"/>
      <c r="K87" s="6291">
        <v>8</v>
      </c>
      <c r="L87" s="6293"/>
      <c r="M87" s="6291">
        <v>10</v>
      </c>
      <c r="N87" s="6291">
        <v>3</v>
      </c>
      <c r="O87" s="6293"/>
      <c r="P87" s="6291">
        <v>2</v>
      </c>
      <c r="Q87" s="6294">
        <f t="shared" si="49"/>
        <v>0.3125</v>
      </c>
      <c r="S87" s="6295">
        <v>4</v>
      </c>
      <c r="T87" s="6295">
        <v>5</v>
      </c>
      <c r="U87" s="6295">
        <v>137</v>
      </c>
      <c r="V87" s="6295">
        <v>294</v>
      </c>
      <c r="W87" s="6295">
        <v>30</v>
      </c>
      <c r="X87" s="6295">
        <v>53</v>
      </c>
      <c r="Y87" s="6295">
        <v>62</v>
      </c>
      <c r="Z87" s="6295">
        <v>19</v>
      </c>
      <c r="AA87" s="6296"/>
      <c r="AB87" s="6295">
        <v>2</v>
      </c>
      <c r="AC87" s="6295">
        <v>19</v>
      </c>
      <c r="AD87" s="6295">
        <v>2</v>
      </c>
      <c r="AE87" s="6295">
        <v>11</v>
      </c>
      <c r="AF87" s="6295">
        <v>71</v>
      </c>
      <c r="AG87" s="6296"/>
      <c r="AH87" s="6295">
        <v>25</v>
      </c>
      <c r="AI87" s="6294">
        <f t="shared" si="72"/>
        <v>0.1870748299319728</v>
      </c>
      <c r="AJ87" s="6296"/>
      <c r="AK87" s="6297">
        <v>4</v>
      </c>
      <c r="AL87" s="6297">
        <v>5</v>
      </c>
      <c r="AM87" s="6297">
        <v>137</v>
      </c>
      <c r="AN87" s="6298">
        <v>294</v>
      </c>
      <c r="AO87" s="6297">
        <v>22</v>
      </c>
      <c r="AP87" s="6297">
        <v>53</v>
      </c>
      <c r="AQ87" s="6297">
        <v>73</v>
      </c>
      <c r="AR87" s="6297">
        <v>19</v>
      </c>
      <c r="AS87" s="6299"/>
      <c r="AT87" s="6297">
        <v>2</v>
      </c>
      <c r="AU87" s="6299"/>
      <c r="AV87" s="6297">
        <v>17</v>
      </c>
      <c r="AW87" s="6297">
        <v>9</v>
      </c>
      <c r="AX87" s="6299"/>
      <c r="AY87" s="6297">
        <v>75</v>
      </c>
      <c r="AZ87" s="6299"/>
      <c r="BA87" s="6299"/>
      <c r="BB87" s="6297">
        <v>24</v>
      </c>
      <c r="BC87" s="6300">
        <f t="shared" si="50"/>
        <v>0.17006802721088435</v>
      </c>
      <c r="BE87" s="6313">
        <v>4</v>
      </c>
      <c r="BF87" s="6313">
        <v>5</v>
      </c>
      <c r="BG87" s="6313">
        <v>137</v>
      </c>
      <c r="BH87" s="4405" t="s">
        <v>385</v>
      </c>
      <c r="BI87" s="6314">
        <v>271</v>
      </c>
      <c r="BJ87" s="6313">
        <v>23</v>
      </c>
      <c r="BK87" s="6313">
        <v>70</v>
      </c>
      <c r="BL87" s="6313">
        <v>65</v>
      </c>
      <c r="BM87" s="6313">
        <v>16</v>
      </c>
      <c r="BN87" s="6303"/>
      <c r="BO87" s="6313">
        <v>1</v>
      </c>
      <c r="BP87" s="6303"/>
      <c r="BQ87" s="6313">
        <v>13</v>
      </c>
      <c r="BR87" s="6313">
        <v>2</v>
      </c>
      <c r="BS87" s="6313">
        <v>12</v>
      </c>
      <c r="BT87" s="6313">
        <v>44</v>
      </c>
      <c r="BU87" s="6303"/>
      <c r="BV87" s="6303"/>
      <c r="BW87" s="6313">
        <v>25</v>
      </c>
      <c r="BX87" s="6300">
        <f t="shared" si="61"/>
        <v>0.18450184501845018</v>
      </c>
      <c r="BZ87" s="4388"/>
      <c r="CA87" s="4388"/>
      <c r="CB87" s="4388" t="s">
        <v>385</v>
      </c>
      <c r="CC87" s="4231">
        <v>68</v>
      </c>
      <c r="CD87" s="4231">
        <v>41</v>
      </c>
      <c r="CE87" s="4231"/>
      <c r="CF87" s="4231">
        <v>16</v>
      </c>
      <c r="CG87" s="4231">
        <v>23</v>
      </c>
      <c r="CH87" s="4231">
        <v>10</v>
      </c>
      <c r="CI87" s="4231">
        <v>1</v>
      </c>
      <c r="CJ87" s="4231">
        <v>0</v>
      </c>
      <c r="CK87" s="4231">
        <v>0</v>
      </c>
      <c r="CL87" s="4231">
        <v>29</v>
      </c>
      <c r="CM87" s="4231">
        <v>14</v>
      </c>
      <c r="CN87" s="4231"/>
      <c r="CO87" s="4231">
        <v>70</v>
      </c>
      <c r="CP87" s="4231">
        <v>0</v>
      </c>
      <c r="CQ87" s="4231">
        <v>272</v>
      </c>
      <c r="CR87" s="6304">
        <f t="shared" si="51"/>
        <v>0.17279411764705882</v>
      </c>
      <c r="CS87" s="4238">
        <f t="shared" si="52"/>
        <v>0</v>
      </c>
      <c r="CT87" s="6305">
        <v>272</v>
      </c>
      <c r="CU87" s="6316"/>
      <c r="CX87" s="42" t="s">
        <v>15</v>
      </c>
      <c r="CY87" s="42">
        <v>58</v>
      </c>
      <c r="CZ87" s="42">
        <v>89</v>
      </c>
      <c r="DB87" s="42">
        <v>34</v>
      </c>
      <c r="DC87" s="42">
        <v>226</v>
      </c>
      <c r="DD87" s="42">
        <v>57</v>
      </c>
      <c r="DE87" s="42">
        <v>100</v>
      </c>
      <c r="DG87" s="42">
        <v>1</v>
      </c>
      <c r="DH87" s="42">
        <v>41</v>
      </c>
      <c r="DI87" s="42">
        <v>97</v>
      </c>
      <c r="DK87" s="42">
        <v>146</v>
      </c>
      <c r="DM87" s="893">
        <v>849</v>
      </c>
      <c r="DN87" s="6306">
        <f t="shared" si="53"/>
        <v>0.44758539458186103</v>
      </c>
      <c r="DP87" s="4263"/>
      <c r="DQ87" s="4263"/>
      <c r="DR87" s="4258" t="s">
        <v>63</v>
      </c>
      <c r="DS87" s="4263">
        <v>30</v>
      </c>
      <c r="DT87" s="4263">
        <v>49</v>
      </c>
      <c r="DU87" s="4263"/>
      <c r="DV87" s="4263">
        <v>7</v>
      </c>
      <c r="DW87" s="4263">
        <v>86</v>
      </c>
      <c r="DX87" s="4263">
        <v>27</v>
      </c>
      <c r="DY87" s="4263">
        <v>10</v>
      </c>
      <c r="DZ87" s="4263">
        <v>2</v>
      </c>
      <c r="EA87" s="4263">
        <v>1</v>
      </c>
      <c r="EB87" s="4263">
        <v>52</v>
      </c>
      <c r="EC87" s="4263">
        <v>61</v>
      </c>
      <c r="ED87" s="4263"/>
      <c r="EE87" s="4263">
        <v>39</v>
      </c>
      <c r="EF87" s="4263"/>
      <c r="EG87" s="4263">
        <v>364</v>
      </c>
      <c r="EH87" s="6307">
        <f t="shared" si="54"/>
        <v>0.47802197802197804</v>
      </c>
      <c r="EL87" s="893" t="s">
        <v>486</v>
      </c>
      <c r="EM87" s="135">
        <v>96</v>
      </c>
      <c r="EN87" s="135">
        <v>84</v>
      </c>
      <c r="EO87" s="135"/>
      <c r="EP87" s="135">
        <v>5</v>
      </c>
      <c r="EQ87" s="135">
        <v>184</v>
      </c>
      <c r="ER87" s="135">
        <v>43</v>
      </c>
      <c r="ES87" s="135">
        <v>56</v>
      </c>
      <c r="ET87" s="135">
        <v>3</v>
      </c>
      <c r="EU87" s="135"/>
      <c r="EV87" s="135">
        <v>97</v>
      </c>
      <c r="EW87" s="135">
        <v>91</v>
      </c>
      <c r="EX87" s="135"/>
      <c r="EY87" s="135">
        <v>159</v>
      </c>
      <c r="EZ87" s="135"/>
      <c r="FA87" s="135">
        <v>818</v>
      </c>
      <c r="FB87" s="6315">
        <f t="shared" si="55"/>
        <v>0.38875305623471884</v>
      </c>
      <c r="FD87" s="42"/>
      <c r="FE87" s="42"/>
      <c r="FF87" s="893" t="s">
        <v>486</v>
      </c>
      <c r="FG87" s="135">
        <v>66</v>
      </c>
      <c r="FH87" s="135">
        <v>143</v>
      </c>
      <c r="FI87" s="135"/>
      <c r="FJ87" s="135">
        <v>32</v>
      </c>
      <c r="FK87" s="135">
        <v>182</v>
      </c>
      <c r="FL87" s="135">
        <v>42</v>
      </c>
      <c r="FM87" s="135">
        <v>61</v>
      </c>
      <c r="FN87" s="135">
        <v>2</v>
      </c>
      <c r="FO87" s="135"/>
      <c r="FP87" s="135">
        <v>70</v>
      </c>
      <c r="FQ87" s="135">
        <v>77</v>
      </c>
      <c r="FR87" s="135"/>
      <c r="FS87" s="135">
        <v>147</v>
      </c>
      <c r="FT87" s="135"/>
      <c r="FU87" s="135">
        <v>822</v>
      </c>
      <c r="FV87" s="5723">
        <f t="shared" si="45"/>
        <v>0.36618004866180048</v>
      </c>
      <c r="FW87" s="5717"/>
      <c r="FX87" s="42"/>
      <c r="FY87" s="42"/>
      <c r="FZ87" s="893" t="s">
        <v>486</v>
      </c>
      <c r="GA87" s="135">
        <v>66</v>
      </c>
      <c r="GB87" s="135">
        <v>102</v>
      </c>
      <c r="GC87" s="135"/>
      <c r="GD87" s="135">
        <v>24</v>
      </c>
      <c r="GE87" s="135">
        <v>163</v>
      </c>
      <c r="GF87" s="135">
        <v>29</v>
      </c>
      <c r="GG87" s="135">
        <v>16</v>
      </c>
      <c r="GH87" s="135">
        <v>13</v>
      </c>
      <c r="GI87" s="135"/>
      <c r="GJ87" s="135">
        <v>128</v>
      </c>
      <c r="GK87" s="135">
        <v>46</v>
      </c>
      <c r="GL87" s="135"/>
      <c r="GM87" s="135">
        <v>148</v>
      </c>
      <c r="GN87" s="135">
        <v>1</v>
      </c>
      <c r="GO87" s="135">
        <v>736</v>
      </c>
      <c r="GP87" s="5723">
        <f t="shared" si="56"/>
        <v>0.32380952380952382</v>
      </c>
      <c r="GR87" s="6280"/>
      <c r="GS87" s="6280"/>
      <c r="GT87" s="6310" t="s">
        <v>63</v>
      </c>
      <c r="GU87" s="6311">
        <v>21</v>
      </c>
      <c r="GV87" s="6311">
        <v>35</v>
      </c>
      <c r="GW87" s="6312"/>
      <c r="GX87" s="6311">
        <v>7</v>
      </c>
      <c r="GY87" s="6311">
        <v>73</v>
      </c>
      <c r="GZ87" s="6311">
        <v>6</v>
      </c>
      <c r="HA87" s="6311">
        <v>3</v>
      </c>
      <c r="HB87" s="6311">
        <v>1</v>
      </c>
      <c r="HC87" s="6312"/>
      <c r="HD87" s="6311">
        <v>34</v>
      </c>
      <c r="HE87" s="6311">
        <v>18</v>
      </c>
      <c r="HF87" s="6312"/>
      <c r="HG87" s="6311">
        <v>33</v>
      </c>
      <c r="HH87" s="6311">
        <v>0</v>
      </c>
      <c r="HI87" s="6311">
        <v>231</v>
      </c>
      <c r="HJ87" s="467">
        <f t="shared" si="57"/>
        <v>0.41991341991341991</v>
      </c>
      <c r="HL87" s="967"/>
      <c r="HM87" s="967"/>
      <c r="HN87" s="977" t="s">
        <v>63</v>
      </c>
      <c r="HO87" s="978">
        <v>12</v>
      </c>
      <c r="HP87" s="978">
        <v>25</v>
      </c>
      <c r="HQ87" s="967"/>
      <c r="HR87" s="978">
        <v>6</v>
      </c>
      <c r="HS87" s="978">
        <v>49</v>
      </c>
      <c r="HT87" s="978">
        <v>6</v>
      </c>
      <c r="HU87" s="978">
        <v>4</v>
      </c>
      <c r="HV87" s="967"/>
      <c r="HW87" s="967"/>
      <c r="HX87" s="978">
        <v>29</v>
      </c>
      <c r="HY87" s="978">
        <v>25</v>
      </c>
      <c r="HZ87" s="978">
        <v>30</v>
      </c>
      <c r="IA87" s="967"/>
      <c r="IB87" s="978">
        <v>186</v>
      </c>
      <c r="IC87" s="467">
        <f t="shared" si="58"/>
        <v>0.43010752688172044</v>
      </c>
      <c r="IE87" s="577"/>
      <c r="IF87" s="577"/>
      <c r="IG87" s="979" t="s">
        <v>63</v>
      </c>
      <c r="IH87" s="980">
        <v>24</v>
      </c>
      <c r="II87" s="980">
        <v>22</v>
      </c>
      <c r="IJ87" s="577"/>
      <c r="IK87" s="980">
        <v>6</v>
      </c>
      <c r="IL87" s="980">
        <v>35</v>
      </c>
      <c r="IM87" s="980">
        <v>7</v>
      </c>
      <c r="IN87" s="980">
        <v>4</v>
      </c>
      <c r="IO87" s="980">
        <v>4</v>
      </c>
      <c r="IP87" s="577"/>
      <c r="IQ87" s="980">
        <v>5</v>
      </c>
      <c r="IR87" s="980">
        <v>15</v>
      </c>
      <c r="IS87" s="980">
        <v>21</v>
      </c>
      <c r="IT87" s="577"/>
      <c r="IU87" s="980">
        <v>143</v>
      </c>
      <c r="IV87" s="467">
        <f t="shared" si="59"/>
        <v>0.39860139860139859</v>
      </c>
      <c r="IX87" s="742"/>
      <c r="IY87" s="742"/>
      <c r="IZ87" s="981" t="s">
        <v>65</v>
      </c>
      <c r="JA87" s="982">
        <v>21</v>
      </c>
      <c r="JB87" s="982">
        <v>2</v>
      </c>
      <c r="JC87" s="982">
        <v>0</v>
      </c>
      <c r="JD87" s="982">
        <v>3</v>
      </c>
      <c r="JE87" s="982">
        <v>3</v>
      </c>
      <c r="JF87" s="982">
        <v>3</v>
      </c>
      <c r="JG87" s="982">
        <v>5</v>
      </c>
      <c r="JH87" s="982">
        <v>0</v>
      </c>
      <c r="JI87" s="982">
        <v>1</v>
      </c>
      <c r="JJ87" s="982">
        <v>1</v>
      </c>
      <c r="JK87" s="982">
        <v>18</v>
      </c>
      <c r="JL87" s="982">
        <v>23</v>
      </c>
      <c r="JM87" s="982">
        <v>0</v>
      </c>
      <c r="JN87" s="982">
        <v>0</v>
      </c>
      <c r="JO87" s="982">
        <v>80</v>
      </c>
      <c r="JP87" s="983">
        <f t="shared" si="60"/>
        <v>0.11290322580645161</v>
      </c>
      <c r="JR87" s="97"/>
      <c r="JS87" s="97"/>
      <c r="JT87" s="42" t="s">
        <v>65</v>
      </c>
      <c r="JU87" s="42">
        <v>12</v>
      </c>
      <c r="JV87" s="42">
        <v>1</v>
      </c>
      <c r="JW87" s="42"/>
      <c r="JX87" s="42">
        <v>0</v>
      </c>
      <c r="JY87" s="42">
        <v>2</v>
      </c>
      <c r="JZ87" s="42">
        <v>0</v>
      </c>
      <c r="KA87" s="42">
        <v>3</v>
      </c>
      <c r="KB87" s="42"/>
      <c r="KC87" s="42">
        <v>1</v>
      </c>
      <c r="KD87" s="42">
        <v>1</v>
      </c>
      <c r="KE87" s="42">
        <v>14</v>
      </c>
      <c r="KF87" s="42">
        <v>13</v>
      </c>
      <c r="KG87" s="42"/>
      <c r="KH87" s="42">
        <v>0</v>
      </c>
      <c r="KI87" s="42">
        <v>47</v>
      </c>
      <c r="KJ87" s="984">
        <f t="shared" si="46"/>
        <v>9.0909090909090912E-2</v>
      </c>
      <c r="KK87" s="42"/>
      <c r="KL87" s="354"/>
      <c r="KM87" s="354"/>
      <c r="KN87" s="354"/>
      <c r="KO87" s="354"/>
      <c r="KP87" s="354"/>
      <c r="KQ87" s="354"/>
      <c r="KR87" s="354"/>
      <c r="KS87" s="354"/>
      <c r="KT87" s="354"/>
      <c r="KU87" s="354"/>
      <c r="KV87" s="354"/>
      <c r="KW87" s="354"/>
      <c r="KX87" s="354"/>
      <c r="KY87" s="354"/>
      <c r="KZ87" s="354"/>
      <c r="LA87" s="354"/>
      <c r="LB87" s="354"/>
      <c r="LC87" s="354"/>
      <c r="LD87" s="42"/>
      <c r="LE87" s="42"/>
    </row>
    <row r="88" spans="1:317">
      <c r="A88" s="6291">
        <v>5</v>
      </c>
      <c r="B88" s="6291">
        <v>3</v>
      </c>
      <c r="C88" s="6291">
        <v>185</v>
      </c>
      <c r="D88" s="6292">
        <v>30</v>
      </c>
      <c r="E88" s="6293"/>
      <c r="F88" s="6291">
        <v>2</v>
      </c>
      <c r="G88" s="6291">
        <v>12</v>
      </c>
      <c r="H88" s="6291">
        <v>1</v>
      </c>
      <c r="I88" s="6293"/>
      <c r="J88" s="6293"/>
      <c r="K88" s="6291">
        <v>15</v>
      </c>
      <c r="L88" s="6293"/>
      <c r="M88" s="6293"/>
      <c r="N88" s="6293"/>
      <c r="O88" s="6293"/>
      <c r="P88" s="6293"/>
      <c r="Q88" s="6294">
        <f t="shared" si="49"/>
        <v>0.5</v>
      </c>
      <c r="S88" s="6295">
        <v>4</v>
      </c>
      <c r="T88" s="6295">
        <v>5</v>
      </c>
      <c r="U88" s="6295">
        <v>138</v>
      </c>
      <c r="V88" s="6295">
        <v>459</v>
      </c>
      <c r="W88" s="6295">
        <v>31</v>
      </c>
      <c r="X88" s="6295">
        <v>41</v>
      </c>
      <c r="Y88" s="6295">
        <v>45</v>
      </c>
      <c r="Z88" s="6295">
        <v>11</v>
      </c>
      <c r="AA88" s="6295">
        <v>1</v>
      </c>
      <c r="AB88" s="6296"/>
      <c r="AC88" s="6295">
        <v>65</v>
      </c>
      <c r="AD88" s="6295">
        <v>3</v>
      </c>
      <c r="AE88" s="6295">
        <v>44</v>
      </c>
      <c r="AF88" s="6295">
        <v>85</v>
      </c>
      <c r="AG88" s="6296"/>
      <c r="AH88" s="6295">
        <v>133</v>
      </c>
      <c r="AI88" s="6294">
        <f t="shared" si="72"/>
        <v>0.52723311546840956</v>
      </c>
      <c r="AJ88" s="6296"/>
      <c r="AK88" s="6297">
        <v>4</v>
      </c>
      <c r="AL88" s="6297">
        <v>5</v>
      </c>
      <c r="AM88" s="6297">
        <v>138</v>
      </c>
      <c r="AN88" s="6298">
        <v>460</v>
      </c>
      <c r="AO88" s="6297">
        <v>32</v>
      </c>
      <c r="AP88" s="6297">
        <v>41</v>
      </c>
      <c r="AQ88" s="6297">
        <v>61</v>
      </c>
      <c r="AR88" s="6297">
        <v>11</v>
      </c>
      <c r="AS88" s="6297">
        <v>1</v>
      </c>
      <c r="AT88" s="6299"/>
      <c r="AU88" s="6297">
        <v>1</v>
      </c>
      <c r="AV88" s="6297">
        <v>72</v>
      </c>
      <c r="AW88" s="6297">
        <v>39</v>
      </c>
      <c r="AX88" s="6299"/>
      <c r="AY88" s="6297">
        <v>76</v>
      </c>
      <c r="AZ88" s="6299"/>
      <c r="BA88" s="6299"/>
      <c r="BB88" s="6297">
        <v>126</v>
      </c>
      <c r="BC88" s="6300">
        <f t="shared" si="50"/>
        <v>0.5163398692810458</v>
      </c>
      <c r="BE88" s="6313">
        <v>4</v>
      </c>
      <c r="BF88" s="6313">
        <v>5</v>
      </c>
      <c r="BG88" s="6313">
        <v>138</v>
      </c>
      <c r="BH88" s="4405" t="s">
        <v>63</v>
      </c>
      <c r="BI88" s="6314">
        <v>420</v>
      </c>
      <c r="BJ88" s="6313">
        <v>22</v>
      </c>
      <c r="BK88" s="6313">
        <v>49</v>
      </c>
      <c r="BL88" s="6313">
        <v>46</v>
      </c>
      <c r="BM88" s="6313">
        <v>10</v>
      </c>
      <c r="BN88" s="6313">
        <v>1</v>
      </c>
      <c r="BO88" s="6303"/>
      <c r="BP88" s="6313">
        <v>1</v>
      </c>
      <c r="BQ88" s="6313">
        <v>58</v>
      </c>
      <c r="BR88" s="6313">
        <v>3</v>
      </c>
      <c r="BS88" s="6313">
        <v>58</v>
      </c>
      <c r="BT88" s="6313">
        <v>79</v>
      </c>
      <c r="BU88" s="6303"/>
      <c r="BV88" s="6303"/>
      <c r="BW88" s="6313">
        <v>93</v>
      </c>
      <c r="BX88" s="6300">
        <f t="shared" si="61"/>
        <v>0.49880668257756561</v>
      </c>
      <c r="BZ88" s="4388"/>
      <c r="CA88" s="4388"/>
      <c r="CB88" s="4388" t="s">
        <v>63</v>
      </c>
      <c r="CC88" s="4231">
        <v>46</v>
      </c>
      <c r="CD88" s="4231">
        <v>68</v>
      </c>
      <c r="CE88" s="4231"/>
      <c r="CF88" s="4231">
        <v>10</v>
      </c>
      <c r="CG88" s="4231">
        <v>81</v>
      </c>
      <c r="CH88" s="4231">
        <v>51</v>
      </c>
      <c r="CI88" s="4231">
        <v>0</v>
      </c>
      <c r="CJ88" s="4231">
        <v>5</v>
      </c>
      <c r="CK88" s="4231">
        <v>1</v>
      </c>
      <c r="CL88" s="4231">
        <v>40</v>
      </c>
      <c r="CM88" s="4231">
        <v>68</v>
      </c>
      <c r="CN88" s="4231"/>
      <c r="CO88" s="4231">
        <v>49</v>
      </c>
      <c r="CP88" s="4231">
        <v>1</v>
      </c>
      <c r="CQ88" s="4231">
        <v>420</v>
      </c>
      <c r="CR88" s="6304">
        <f t="shared" si="51"/>
        <v>0.47732696897374699</v>
      </c>
      <c r="CS88" s="4238">
        <f t="shared" si="52"/>
        <v>0</v>
      </c>
      <c r="CT88" s="6305">
        <v>420</v>
      </c>
      <c r="CU88" s="6316"/>
      <c r="CW88" s="97" t="s">
        <v>64</v>
      </c>
      <c r="CX88" s="42" t="s">
        <v>14</v>
      </c>
      <c r="CY88" s="42">
        <v>37</v>
      </c>
      <c r="CZ88" s="42">
        <v>20</v>
      </c>
      <c r="DB88" s="42">
        <v>17</v>
      </c>
      <c r="DC88" s="42">
        <v>57</v>
      </c>
      <c r="DD88" s="42">
        <v>15</v>
      </c>
      <c r="DE88" s="42">
        <v>34</v>
      </c>
      <c r="DF88" s="42">
        <v>0</v>
      </c>
      <c r="DH88" s="42">
        <v>7</v>
      </c>
      <c r="DI88" s="42">
        <v>12</v>
      </c>
      <c r="DK88" s="42">
        <v>53</v>
      </c>
      <c r="DM88" s="893">
        <v>252</v>
      </c>
      <c r="DN88" s="6306">
        <f t="shared" si="53"/>
        <v>0.33333333333333331</v>
      </c>
      <c r="DP88" s="4263"/>
      <c r="DQ88" s="4263"/>
      <c r="DR88" s="4257" t="s">
        <v>486</v>
      </c>
      <c r="DS88" s="4266">
        <v>107</v>
      </c>
      <c r="DT88" s="4266">
        <v>113</v>
      </c>
      <c r="DU88" s="4266"/>
      <c r="DV88" s="4266">
        <v>38</v>
      </c>
      <c r="DW88" s="4266">
        <v>152</v>
      </c>
      <c r="DX88" s="4266">
        <v>61</v>
      </c>
      <c r="DY88" s="4266">
        <v>50</v>
      </c>
      <c r="DZ88" s="4266">
        <v>12</v>
      </c>
      <c r="EA88" s="4266">
        <v>1</v>
      </c>
      <c r="EB88" s="4266">
        <v>114</v>
      </c>
      <c r="EC88" s="4266">
        <v>108</v>
      </c>
      <c r="ED88" s="4266"/>
      <c r="EE88" s="4266">
        <v>154</v>
      </c>
      <c r="EF88" s="4266"/>
      <c r="EG88" s="4266">
        <v>910</v>
      </c>
      <c r="EH88" s="6321">
        <f t="shared" si="54"/>
        <v>0.35274725274725277</v>
      </c>
      <c r="EK88" s="42" t="s">
        <v>64</v>
      </c>
      <c r="EL88" s="42" t="s">
        <v>14</v>
      </c>
      <c r="EM88" s="97">
        <v>54</v>
      </c>
      <c r="EN88" s="97">
        <v>23</v>
      </c>
      <c r="EO88" s="97">
        <v>0</v>
      </c>
      <c r="EP88" s="97">
        <v>1</v>
      </c>
      <c r="EQ88" s="97">
        <v>37</v>
      </c>
      <c r="ER88" s="97">
        <v>16</v>
      </c>
      <c r="ES88" s="97">
        <v>27</v>
      </c>
      <c r="ET88" s="97">
        <v>0</v>
      </c>
      <c r="EU88" s="97"/>
      <c r="EV88" s="97">
        <v>9</v>
      </c>
      <c r="EW88" s="97">
        <v>20</v>
      </c>
      <c r="EX88" s="97"/>
      <c r="EY88" s="97">
        <v>50</v>
      </c>
      <c r="EZ88" s="97"/>
      <c r="FA88" s="97">
        <v>237</v>
      </c>
      <c r="FB88" s="6315">
        <f t="shared" si="55"/>
        <v>0.30801687763713081</v>
      </c>
      <c r="FD88" s="42"/>
      <c r="FE88" s="42" t="s">
        <v>64</v>
      </c>
      <c r="FF88" s="42" t="s">
        <v>14</v>
      </c>
      <c r="FG88" s="97">
        <v>34</v>
      </c>
      <c r="FH88" s="97">
        <v>29</v>
      </c>
      <c r="FI88" s="97"/>
      <c r="FJ88" s="97">
        <v>13</v>
      </c>
      <c r="FK88" s="97">
        <v>43</v>
      </c>
      <c r="FL88" s="97">
        <v>7</v>
      </c>
      <c r="FM88" s="97">
        <v>21</v>
      </c>
      <c r="FN88" s="97">
        <v>1</v>
      </c>
      <c r="FO88" s="97"/>
      <c r="FP88" s="97">
        <v>16</v>
      </c>
      <c r="FQ88" s="97">
        <v>10</v>
      </c>
      <c r="FR88" s="97"/>
      <c r="FS88" s="97">
        <v>51</v>
      </c>
      <c r="FT88" s="97"/>
      <c r="FU88" s="97">
        <v>225</v>
      </c>
      <c r="FV88" s="6308">
        <f t="shared" si="45"/>
        <v>0.26666666666666666</v>
      </c>
      <c r="FW88" s="6322"/>
      <c r="FX88" s="42"/>
      <c r="FY88" s="42" t="s">
        <v>64</v>
      </c>
      <c r="FZ88" s="42" t="s">
        <v>14</v>
      </c>
      <c r="GA88" s="97">
        <v>19</v>
      </c>
      <c r="GB88" s="97">
        <v>28</v>
      </c>
      <c r="GC88" s="97"/>
      <c r="GD88" s="97">
        <v>10</v>
      </c>
      <c r="GE88" s="97">
        <v>44</v>
      </c>
      <c r="GF88" s="97">
        <v>10</v>
      </c>
      <c r="GG88" s="97">
        <v>10</v>
      </c>
      <c r="GH88" s="97">
        <v>0</v>
      </c>
      <c r="GI88" s="97"/>
      <c r="GJ88" s="97">
        <v>25</v>
      </c>
      <c r="GK88" s="97">
        <v>8</v>
      </c>
      <c r="GL88" s="97"/>
      <c r="GM88" s="97">
        <v>51</v>
      </c>
      <c r="GN88" s="97">
        <v>1</v>
      </c>
      <c r="GO88" s="97">
        <v>206</v>
      </c>
      <c r="GP88" s="6308">
        <f t="shared" si="56"/>
        <v>0.30243902439024389</v>
      </c>
      <c r="GR88" s="6280"/>
      <c r="GS88" s="6280"/>
      <c r="GT88" s="1179" t="s">
        <v>486</v>
      </c>
      <c r="GU88" s="1180">
        <v>86</v>
      </c>
      <c r="GV88" s="1180">
        <v>105</v>
      </c>
      <c r="GW88" s="1181"/>
      <c r="GX88" s="1180">
        <v>20</v>
      </c>
      <c r="GY88" s="1180">
        <v>150</v>
      </c>
      <c r="GZ88" s="1180">
        <v>19</v>
      </c>
      <c r="HA88" s="1180">
        <v>22</v>
      </c>
      <c r="HB88" s="1180">
        <v>1</v>
      </c>
      <c r="HC88" s="1181"/>
      <c r="HD88" s="1180">
        <v>71</v>
      </c>
      <c r="HE88" s="1180">
        <v>39</v>
      </c>
      <c r="HF88" s="1181"/>
      <c r="HG88" s="1180">
        <v>134</v>
      </c>
      <c r="HH88" s="1180">
        <v>1</v>
      </c>
      <c r="HI88" s="1180">
        <v>648</v>
      </c>
      <c r="HJ88" s="456">
        <f t="shared" si="57"/>
        <v>0.321483771251932</v>
      </c>
      <c r="HL88" s="967"/>
      <c r="HM88" s="967"/>
      <c r="HN88" s="987" t="s">
        <v>486</v>
      </c>
      <c r="HO88" s="988">
        <v>71</v>
      </c>
      <c r="HP88" s="988">
        <v>69</v>
      </c>
      <c r="HQ88" s="989"/>
      <c r="HR88" s="988">
        <v>26</v>
      </c>
      <c r="HS88" s="988">
        <v>112</v>
      </c>
      <c r="HT88" s="988">
        <v>15</v>
      </c>
      <c r="HU88" s="988">
        <v>12</v>
      </c>
      <c r="HV88" s="989"/>
      <c r="HW88" s="988"/>
      <c r="HX88" s="988">
        <v>82</v>
      </c>
      <c r="HY88" s="988">
        <v>40</v>
      </c>
      <c r="HZ88" s="988">
        <v>135</v>
      </c>
      <c r="IA88" s="988"/>
      <c r="IB88" s="988">
        <v>562</v>
      </c>
      <c r="IC88" s="990">
        <f t="shared" si="58"/>
        <v>0.29715302491103202</v>
      </c>
      <c r="IE88" s="577"/>
      <c r="IF88" s="577"/>
      <c r="IG88" s="738" t="s">
        <v>486</v>
      </c>
      <c r="IH88" s="991">
        <v>101</v>
      </c>
      <c r="II88" s="991">
        <v>61</v>
      </c>
      <c r="IJ88" s="6261"/>
      <c r="IK88" s="991">
        <v>24</v>
      </c>
      <c r="IL88" s="991">
        <v>81</v>
      </c>
      <c r="IM88" s="991">
        <v>19</v>
      </c>
      <c r="IN88" s="991">
        <v>11</v>
      </c>
      <c r="IO88" s="991">
        <v>4</v>
      </c>
      <c r="IP88" s="6261"/>
      <c r="IQ88" s="991">
        <v>19</v>
      </c>
      <c r="IR88" s="991">
        <v>30</v>
      </c>
      <c r="IS88" s="991">
        <v>91</v>
      </c>
      <c r="IT88" s="6261"/>
      <c r="IU88" s="991">
        <v>441</v>
      </c>
      <c r="IV88" s="456">
        <f t="shared" si="59"/>
        <v>0.29478458049886619</v>
      </c>
      <c r="IX88" s="742"/>
      <c r="IY88" s="742"/>
      <c r="IZ88" s="981" t="s">
        <v>386</v>
      </c>
      <c r="JA88" s="982">
        <v>11</v>
      </c>
      <c r="JB88" s="982">
        <v>5</v>
      </c>
      <c r="JC88" s="982">
        <v>0</v>
      </c>
      <c r="JD88" s="982">
        <v>2</v>
      </c>
      <c r="JE88" s="982">
        <v>0</v>
      </c>
      <c r="JF88" s="982">
        <v>0</v>
      </c>
      <c r="JG88" s="982">
        <v>0</v>
      </c>
      <c r="JH88" s="982">
        <v>0</v>
      </c>
      <c r="JI88" s="982">
        <v>1</v>
      </c>
      <c r="JJ88" s="982">
        <v>1</v>
      </c>
      <c r="JK88" s="982">
        <v>6</v>
      </c>
      <c r="JL88" s="982">
        <v>4</v>
      </c>
      <c r="JM88" s="982">
        <v>0</v>
      </c>
      <c r="JN88" s="982">
        <v>0</v>
      </c>
      <c r="JO88" s="982">
        <v>30</v>
      </c>
      <c r="JP88" s="983">
        <f t="shared" si="60"/>
        <v>4.1666666666666664E-2</v>
      </c>
      <c r="JR88" s="97"/>
      <c r="JS88" s="97"/>
      <c r="JT88" s="42" t="s">
        <v>386</v>
      </c>
      <c r="JU88" s="42">
        <v>3</v>
      </c>
      <c r="JV88" s="42">
        <v>1</v>
      </c>
      <c r="JW88" s="42"/>
      <c r="JX88" s="42">
        <v>0</v>
      </c>
      <c r="JY88" s="42">
        <v>0</v>
      </c>
      <c r="JZ88" s="42">
        <v>0</v>
      </c>
      <c r="KA88" s="42">
        <v>0</v>
      </c>
      <c r="KB88" s="42"/>
      <c r="KC88" s="42">
        <v>0</v>
      </c>
      <c r="KD88" s="42">
        <v>0</v>
      </c>
      <c r="KE88" s="42">
        <v>0</v>
      </c>
      <c r="KF88" s="42">
        <v>0</v>
      </c>
      <c r="KG88" s="42"/>
      <c r="KH88" s="42">
        <v>0</v>
      </c>
      <c r="KI88" s="42">
        <v>4</v>
      </c>
      <c r="KJ88" s="984">
        <f t="shared" si="46"/>
        <v>0</v>
      </c>
      <c r="KK88" s="42"/>
      <c r="KL88" s="354"/>
      <c r="KM88" s="354"/>
      <c r="KN88" s="354"/>
      <c r="KO88" s="354"/>
      <c r="KP88" s="354"/>
      <c r="KQ88" s="354"/>
      <c r="KR88" s="354"/>
      <c r="KS88" s="354"/>
      <c r="KT88" s="354"/>
      <c r="KU88" s="354"/>
      <c r="KV88" s="354"/>
      <c r="KW88" s="354"/>
      <c r="KX88" s="354"/>
      <c r="KY88" s="354"/>
      <c r="KZ88" s="354"/>
      <c r="LA88" s="354"/>
      <c r="LB88" s="354"/>
      <c r="LC88" s="354"/>
      <c r="LD88" s="42"/>
      <c r="LE88" s="42"/>
    </row>
    <row r="89" spans="1:317">
      <c r="A89" s="6291" t="s">
        <v>2613</v>
      </c>
      <c r="B89" s="6291" t="s">
        <v>2613</v>
      </c>
      <c r="C89" s="6291" t="s">
        <v>2613</v>
      </c>
      <c r="D89" s="6292"/>
      <c r="E89" s="6291" t="s">
        <v>2613</v>
      </c>
      <c r="F89" s="6291" t="s">
        <v>2613</v>
      </c>
      <c r="G89" s="6291" t="s">
        <v>2613</v>
      </c>
      <c r="H89" s="6291" t="s">
        <v>2613</v>
      </c>
      <c r="I89" s="6291" t="s">
        <v>2613</v>
      </c>
      <c r="J89" s="6291" t="s">
        <v>2613</v>
      </c>
      <c r="K89" s="6291" t="s">
        <v>2613</v>
      </c>
      <c r="L89" s="6291" t="s">
        <v>2613</v>
      </c>
      <c r="M89" s="6291" t="s">
        <v>2613</v>
      </c>
      <c r="N89" s="6291" t="s">
        <v>2613</v>
      </c>
      <c r="O89" s="6291" t="s">
        <v>2613</v>
      </c>
      <c r="P89" s="6291" t="s">
        <v>2613</v>
      </c>
      <c r="S89" s="6295"/>
      <c r="T89" s="6295"/>
      <c r="U89" s="6295"/>
      <c r="V89" s="6317">
        <f>SUM(V86:V88)</f>
        <v>1131</v>
      </c>
      <c r="W89" s="6317">
        <f t="shared" ref="W89:AH89" si="75">SUM(W86:W88)</f>
        <v>72</v>
      </c>
      <c r="X89" s="6317">
        <f t="shared" si="75"/>
        <v>142</v>
      </c>
      <c r="Y89" s="6317">
        <f t="shared" si="75"/>
        <v>172</v>
      </c>
      <c r="Z89" s="6317">
        <f t="shared" si="75"/>
        <v>54</v>
      </c>
      <c r="AA89" s="6317">
        <f t="shared" si="75"/>
        <v>2</v>
      </c>
      <c r="AB89" s="6317">
        <f t="shared" si="75"/>
        <v>5</v>
      </c>
      <c r="AC89" s="6317">
        <f t="shared" si="75"/>
        <v>154</v>
      </c>
      <c r="AD89" s="6317">
        <f t="shared" si="75"/>
        <v>7</v>
      </c>
      <c r="AE89" s="6317">
        <f t="shared" si="75"/>
        <v>80</v>
      </c>
      <c r="AF89" s="6317">
        <f t="shared" si="75"/>
        <v>218</v>
      </c>
      <c r="AG89" s="6317">
        <f t="shared" si="75"/>
        <v>0</v>
      </c>
      <c r="AH89" s="6317">
        <f t="shared" si="75"/>
        <v>225</v>
      </c>
      <c r="AI89" s="6294">
        <f t="shared" si="72"/>
        <v>0.40583554376657827</v>
      </c>
      <c r="AK89" s="6297"/>
      <c r="AL89" s="6297"/>
      <c r="AM89" s="6297"/>
      <c r="AN89" s="6298">
        <f>SUM(AN86:AN88)</f>
        <v>1132</v>
      </c>
      <c r="AO89" s="6298">
        <f t="shared" ref="AO89:BB89" si="76">SUM(AO86:AO88)</f>
        <v>72</v>
      </c>
      <c r="AP89" s="6298">
        <f t="shared" si="76"/>
        <v>143</v>
      </c>
      <c r="AQ89" s="6298">
        <f t="shared" si="76"/>
        <v>210</v>
      </c>
      <c r="AR89" s="6298">
        <f t="shared" si="76"/>
        <v>54</v>
      </c>
      <c r="AS89" s="6298">
        <f t="shared" si="76"/>
        <v>2</v>
      </c>
      <c r="AT89" s="6298">
        <f t="shared" si="76"/>
        <v>5</v>
      </c>
      <c r="AU89" s="6298">
        <f t="shared" si="76"/>
        <v>1</v>
      </c>
      <c r="AV89" s="6298">
        <f t="shared" si="76"/>
        <v>145</v>
      </c>
      <c r="AW89" s="6298">
        <f t="shared" si="76"/>
        <v>70</v>
      </c>
      <c r="AX89" s="6298">
        <f t="shared" si="76"/>
        <v>0</v>
      </c>
      <c r="AY89" s="6298">
        <f t="shared" si="76"/>
        <v>218</v>
      </c>
      <c r="AZ89" s="6298">
        <f t="shared" si="76"/>
        <v>0</v>
      </c>
      <c r="BA89" s="6298">
        <f t="shared" si="76"/>
        <v>0</v>
      </c>
      <c r="BB89" s="6298">
        <f t="shared" si="76"/>
        <v>212</v>
      </c>
      <c r="BC89" s="6318">
        <f t="shared" si="50"/>
        <v>0.37754199823165341</v>
      </c>
      <c r="BE89" s="6313"/>
      <c r="BF89" s="6313"/>
      <c r="BG89" s="6313"/>
      <c r="BH89" s="6319" t="s">
        <v>486</v>
      </c>
      <c r="BI89" s="6314">
        <f>SUM(BI86:BI88)</f>
        <v>1041</v>
      </c>
      <c r="BJ89" s="6314">
        <f t="shared" ref="BJ89:BW89" si="77">SUM(BJ86:BJ88)</f>
        <v>63</v>
      </c>
      <c r="BK89" s="6314">
        <f t="shared" si="77"/>
        <v>183</v>
      </c>
      <c r="BL89" s="6314">
        <f t="shared" si="77"/>
        <v>174</v>
      </c>
      <c r="BM89" s="6314">
        <f t="shared" si="77"/>
        <v>45</v>
      </c>
      <c r="BN89" s="6314">
        <f t="shared" si="77"/>
        <v>2</v>
      </c>
      <c r="BO89" s="6314">
        <f t="shared" si="77"/>
        <v>3</v>
      </c>
      <c r="BP89" s="6314">
        <f t="shared" si="77"/>
        <v>1</v>
      </c>
      <c r="BQ89" s="6314">
        <f t="shared" si="77"/>
        <v>122</v>
      </c>
      <c r="BR89" s="6314">
        <f t="shared" si="77"/>
        <v>7</v>
      </c>
      <c r="BS89" s="6314">
        <f t="shared" si="77"/>
        <v>97</v>
      </c>
      <c r="BT89" s="6314">
        <f t="shared" si="77"/>
        <v>171</v>
      </c>
      <c r="BU89" s="6314">
        <f t="shared" si="77"/>
        <v>0</v>
      </c>
      <c r="BV89" s="6314">
        <f t="shared" si="77"/>
        <v>0</v>
      </c>
      <c r="BW89" s="6314">
        <f t="shared" si="77"/>
        <v>173</v>
      </c>
      <c r="BX89" s="6300">
        <f t="shared" si="61"/>
        <v>0.37692307692307692</v>
      </c>
      <c r="BZ89" s="4388"/>
      <c r="CA89" s="4388"/>
      <c r="CB89" s="6276" t="s">
        <v>486</v>
      </c>
      <c r="CC89" s="6320">
        <v>170</v>
      </c>
      <c r="CD89" s="6320">
        <v>156</v>
      </c>
      <c r="CE89" s="6320"/>
      <c r="CF89" s="6320">
        <v>45</v>
      </c>
      <c r="CG89" s="6320">
        <v>155</v>
      </c>
      <c r="CH89" s="6320">
        <v>86</v>
      </c>
      <c r="CI89" s="6320">
        <v>3</v>
      </c>
      <c r="CJ89" s="6320">
        <v>10</v>
      </c>
      <c r="CK89" s="6320">
        <v>2</v>
      </c>
      <c r="CL89" s="6320">
        <v>105</v>
      </c>
      <c r="CM89" s="6320">
        <v>125</v>
      </c>
      <c r="CN89" s="6320"/>
      <c r="CO89" s="6320">
        <v>183</v>
      </c>
      <c r="CP89" s="6320">
        <v>1</v>
      </c>
      <c r="CQ89" s="6320">
        <v>1041</v>
      </c>
      <c r="CR89" s="6304">
        <f t="shared" si="51"/>
        <v>0.35192307692307695</v>
      </c>
      <c r="CS89" s="4238"/>
      <c r="CT89" s="6305"/>
      <c r="CU89" s="6316"/>
      <c r="CX89" s="42" t="s">
        <v>65</v>
      </c>
      <c r="CY89" s="42">
        <v>19</v>
      </c>
      <c r="CZ89" s="42">
        <v>15</v>
      </c>
      <c r="DB89" s="42">
        <v>15</v>
      </c>
      <c r="DC89" s="42">
        <v>29</v>
      </c>
      <c r="DD89" s="42">
        <v>9</v>
      </c>
      <c r="DE89" s="42">
        <v>22</v>
      </c>
      <c r="DF89" s="42">
        <v>0</v>
      </c>
      <c r="DH89" s="42">
        <v>5</v>
      </c>
      <c r="DI89" s="42">
        <v>8</v>
      </c>
      <c r="DK89" s="42">
        <v>37</v>
      </c>
      <c r="DM89" s="893">
        <v>159</v>
      </c>
      <c r="DN89" s="6306">
        <f t="shared" si="53"/>
        <v>0.28930817610062892</v>
      </c>
      <c r="DP89" s="4263"/>
      <c r="DQ89" s="4263" t="s">
        <v>64</v>
      </c>
      <c r="DR89" s="4258" t="s">
        <v>14</v>
      </c>
      <c r="DS89" s="4263">
        <v>45</v>
      </c>
      <c r="DT89" s="4263">
        <v>30</v>
      </c>
      <c r="DU89" s="4263">
        <v>0</v>
      </c>
      <c r="DV89" s="4263">
        <v>21</v>
      </c>
      <c r="DW89" s="4263">
        <v>29</v>
      </c>
      <c r="DX89" s="4263">
        <v>23</v>
      </c>
      <c r="DY89" s="4263">
        <v>13</v>
      </c>
      <c r="DZ89" s="4263">
        <v>0</v>
      </c>
      <c r="EA89" s="4263"/>
      <c r="EB89" s="4263">
        <v>28</v>
      </c>
      <c r="EC89" s="4263">
        <v>12</v>
      </c>
      <c r="ED89" s="4263"/>
      <c r="EE89" s="4263">
        <v>54</v>
      </c>
      <c r="EF89" s="4263"/>
      <c r="EG89" s="4263">
        <v>255</v>
      </c>
      <c r="EH89" s="6307">
        <f t="shared" si="54"/>
        <v>0.25098039215686274</v>
      </c>
      <c r="EL89" s="42" t="s">
        <v>65</v>
      </c>
      <c r="EM89" s="97">
        <v>26</v>
      </c>
      <c r="EN89" s="97">
        <v>20</v>
      </c>
      <c r="EO89" s="97">
        <v>0</v>
      </c>
      <c r="EP89" s="97">
        <v>2</v>
      </c>
      <c r="EQ89" s="97">
        <v>18</v>
      </c>
      <c r="ER89" s="97">
        <v>14</v>
      </c>
      <c r="ES89" s="97">
        <v>18</v>
      </c>
      <c r="ET89" s="97">
        <v>0</v>
      </c>
      <c r="EU89" s="97"/>
      <c r="EV89" s="97">
        <v>13</v>
      </c>
      <c r="EW89" s="97">
        <v>4</v>
      </c>
      <c r="EX89" s="97"/>
      <c r="EY89" s="97">
        <v>31</v>
      </c>
      <c r="EZ89" s="97"/>
      <c r="FA89" s="97">
        <v>146</v>
      </c>
      <c r="FB89" s="6315">
        <f t="shared" si="55"/>
        <v>0.24657534246575341</v>
      </c>
      <c r="FD89" s="42"/>
      <c r="FE89" s="42"/>
      <c r="FF89" s="42" t="s">
        <v>65</v>
      </c>
      <c r="FG89" s="97">
        <v>8</v>
      </c>
      <c r="FH89" s="97">
        <v>25</v>
      </c>
      <c r="FI89" s="97"/>
      <c r="FJ89" s="97">
        <v>14</v>
      </c>
      <c r="FK89" s="97">
        <v>16</v>
      </c>
      <c r="FL89" s="97">
        <v>10</v>
      </c>
      <c r="FM89" s="97">
        <v>10</v>
      </c>
      <c r="FN89" s="97">
        <v>0</v>
      </c>
      <c r="FO89" s="97"/>
      <c r="FP89" s="97">
        <v>23</v>
      </c>
      <c r="FQ89" s="97">
        <v>6</v>
      </c>
      <c r="FR89" s="97"/>
      <c r="FS89" s="97">
        <v>34</v>
      </c>
      <c r="FT89" s="97"/>
      <c r="FU89" s="97">
        <v>146</v>
      </c>
      <c r="FV89" s="6308">
        <f t="shared" si="45"/>
        <v>0.21917808219178081</v>
      </c>
      <c r="FW89" s="6322"/>
      <c r="FX89" s="42"/>
      <c r="FY89" s="42"/>
      <c r="FZ89" s="42" t="s">
        <v>65</v>
      </c>
      <c r="GA89" s="97">
        <v>6</v>
      </c>
      <c r="GB89" s="97">
        <v>22</v>
      </c>
      <c r="GC89" s="97"/>
      <c r="GD89" s="97">
        <v>13</v>
      </c>
      <c r="GE89" s="97">
        <v>13</v>
      </c>
      <c r="GF89" s="97">
        <v>7</v>
      </c>
      <c r="GG89" s="97">
        <v>8</v>
      </c>
      <c r="GH89" s="97">
        <v>1</v>
      </c>
      <c r="GI89" s="97"/>
      <c r="GJ89" s="97">
        <v>27</v>
      </c>
      <c r="GK89" s="97">
        <v>3</v>
      </c>
      <c r="GL89" s="97"/>
      <c r="GM89" s="97">
        <v>28</v>
      </c>
      <c r="GN89" s="97">
        <v>0</v>
      </c>
      <c r="GO89" s="97">
        <v>128</v>
      </c>
      <c r="GP89" s="6308">
        <f t="shared" si="56"/>
        <v>0.1796875</v>
      </c>
      <c r="GR89" s="6280"/>
      <c r="GS89" s="6280" t="s">
        <v>64</v>
      </c>
      <c r="GT89" s="6310" t="s">
        <v>14</v>
      </c>
      <c r="GU89" s="6311">
        <v>17</v>
      </c>
      <c r="GV89" s="6311">
        <v>29</v>
      </c>
      <c r="GW89" s="6312"/>
      <c r="GX89" s="6311">
        <v>8</v>
      </c>
      <c r="GY89" s="6311">
        <v>56</v>
      </c>
      <c r="GZ89" s="6311">
        <v>6</v>
      </c>
      <c r="HA89" s="6311">
        <v>13</v>
      </c>
      <c r="HB89" s="6311">
        <v>3</v>
      </c>
      <c r="HC89" s="6312"/>
      <c r="HD89" s="6311">
        <v>17</v>
      </c>
      <c r="HE89" s="6311">
        <v>9</v>
      </c>
      <c r="HF89" s="6312"/>
      <c r="HG89" s="6311">
        <v>45</v>
      </c>
      <c r="HH89" s="6311">
        <v>1</v>
      </c>
      <c r="HI89" s="6311">
        <v>204</v>
      </c>
      <c r="HJ89" s="467">
        <f t="shared" si="57"/>
        <v>0.34975369458128081</v>
      </c>
      <c r="HL89" s="967"/>
      <c r="HM89" s="967" t="s">
        <v>64</v>
      </c>
      <c r="HN89" s="977" t="s">
        <v>14</v>
      </c>
      <c r="HO89" s="978">
        <v>25</v>
      </c>
      <c r="HP89" s="978">
        <v>24</v>
      </c>
      <c r="HQ89" s="967"/>
      <c r="HR89" s="978">
        <v>8</v>
      </c>
      <c r="HS89" s="978">
        <v>46</v>
      </c>
      <c r="HT89" s="978">
        <v>7</v>
      </c>
      <c r="HU89" s="978">
        <v>7</v>
      </c>
      <c r="HV89" s="978">
        <v>0</v>
      </c>
      <c r="HW89" s="967"/>
      <c r="HX89" s="978">
        <v>12</v>
      </c>
      <c r="HY89" s="978">
        <v>10</v>
      </c>
      <c r="HZ89" s="978">
        <v>65</v>
      </c>
      <c r="IA89" s="967"/>
      <c r="IB89" s="978">
        <v>204</v>
      </c>
      <c r="IC89" s="467">
        <f t="shared" si="58"/>
        <v>0.30882352941176472</v>
      </c>
      <c r="IE89" s="577"/>
      <c r="IF89" s="577" t="s">
        <v>64</v>
      </c>
      <c r="IG89" s="979" t="s">
        <v>14</v>
      </c>
      <c r="IH89" s="980">
        <v>40</v>
      </c>
      <c r="II89" s="980">
        <v>15</v>
      </c>
      <c r="IJ89" s="577"/>
      <c r="IK89" s="980">
        <v>8</v>
      </c>
      <c r="IL89" s="980">
        <v>37</v>
      </c>
      <c r="IM89" s="980">
        <v>8</v>
      </c>
      <c r="IN89" s="980">
        <v>7</v>
      </c>
      <c r="IO89" s="980">
        <v>1</v>
      </c>
      <c r="IP89" s="577"/>
      <c r="IQ89" s="980">
        <v>6</v>
      </c>
      <c r="IR89" s="980">
        <v>7</v>
      </c>
      <c r="IS89" s="980">
        <v>51</v>
      </c>
      <c r="IT89" s="577"/>
      <c r="IU89" s="980">
        <v>180</v>
      </c>
      <c r="IV89" s="467">
        <f t="shared" si="59"/>
        <v>0.28888888888888886</v>
      </c>
      <c r="IX89" s="742"/>
      <c r="IY89" s="742"/>
      <c r="IZ89" s="981" t="s">
        <v>81</v>
      </c>
      <c r="JA89" s="982">
        <v>1</v>
      </c>
      <c r="JB89" s="982">
        <v>1</v>
      </c>
      <c r="JC89" s="982">
        <v>0</v>
      </c>
      <c r="JD89" s="982">
        <v>0</v>
      </c>
      <c r="JE89" s="982">
        <v>0</v>
      </c>
      <c r="JF89" s="982">
        <v>0</v>
      </c>
      <c r="JG89" s="982">
        <v>0</v>
      </c>
      <c r="JH89" s="982">
        <v>0</v>
      </c>
      <c r="JI89" s="982">
        <v>0</v>
      </c>
      <c r="JJ89" s="982">
        <v>0</v>
      </c>
      <c r="JK89" s="982">
        <v>0</v>
      </c>
      <c r="JL89" s="982">
        <v>0</v>
      </c>
      <c r="JM89" s="982">
        <v>0</v>
      </c>
      <c r="JN89" s="982">
        <v>0</v>
      </c>
      <c r="JO89" s="982">
        <v>2</v>
      </c>
      <c r="JP89" s="983">
        <f t="shared" si="60"/>
        <v>0</v>
      </c>
      <c r="JR89" s="97"/>
      <c r="JS89" s="97"/>
      <c r="JT89" s="42" t="s">
        <v>81</v>
      </c>
      <c r="JU89" s="42">
        <v>1</v>
      </c>
      <c r="JV89" s="42">
        <v>0</v>
      </c>
      <c r="JW89" s="42"/>
      <c r="JX89" s="42">
        <v>0</v>
      </c>
      <c r="JY89" s="42">
        <v>0</v>
      </c>
      <c r="JZ89" s="42">
        <v>0</v>
      </c>
      <c r="KA89" s="42">
        <v>0</v>
      </c>
      <c r="KB89" s="42"/>
      <c r="KC89" s="42">
        <v>0</v>
      </c>
      <c r="KD89" s="42">
        <v>0</v>
      </c>
      <c r="KE89" s="42">
        <v>0</v>
      </c>
      <c r="KF89" s="42">
        <v>0</v>
      </c>
      <c r="KG89" s="42"/>
      <c r="KH89" s="42">
        <v>0</v>
      </c>
      <c r="KI89" s="42">
        <v>1</v>
      </c>
      <c r="KJ89" s="984">
        <f t="shared" si="46"/>
        <v>0</v>
      </c>
      <c r="KK89" s="42"/>
      <c r="KL89" s="354"/>
      <c r="KM89" s="354"/>
      <c r="KN89" s="354"/>
      <c r="KO89" s="354"/>
      <c r="KP89" s="354"/>
      <c r="KQ89" s="354"/>
      <c r="KR89" s="354"/>
      <c r="KS89" s="354"/>
      <c r="KT89" s="354"/>
      <c r="KU89" s="354"/>
      <c r="KV89" s="354"/>
      <c r="KW89" s="354"/>
      <c r="KX89" s="354"/>
      <c r="KY89" s="354"/>
      <c r="KZ89" s="354"/>
      <c r="LA89" s="354"/>
      <c r="LB89" s="354"/>
      <c r="LC89" s="354"/>
      <c r="LD89" s="42"/>
      <c r="LE89" s="42"/>
    </row>
    <row r="90" spans="1:317" ht="15" thickBot="1">
      <c r="S90" s="6295">
        <v>4</v>
      </c>
      <c r="T90" s="6295">
        <v>6</v>
      </c>
      <c r="U90" s="6295">
        <v>131</v>
      </c>
      <c r="V90" s="6295">
        <v>329</v>
      </c>
      <c r="W90" s="6295">
        <v>22</v>
      </c>
      <c r="X90" s="6295">
        <v>55</v>
      </c>
      <c r="Y90" s="6295">
        <v>103</v>
      </c>
      <c r="Z90" s="6295">
        <v>24</v>
      </c>
      <c r="AA90" s="6296"/>
      <c r="AB90" s="6295">
        <v>4</v>
      </c>
      <c r="AC90" s="6295">
        <v>13</v>
      </c>
      <c r="AD90" s="6295">
        <v>3</v>
      </c>
      <c r="AE90" s="6295">
        <v>8</v>
      </c>
      <c r="AF90" s="6295">
        <v>52</v>
      </c>
      <c r="AG90" s="6296"/>
      <c r="AH90" s="6295">
        <v>45</v>
      </c>
      <c r="AI90" s="6294">
        <f t="shared" si="72"/>
        <v>0.20060790273556231</v>
      </c>
      <c r="AK90" s="6297">
        <v>4</v>
      </c>
      <c r="AL90" s="6297">
        <v>6</v>
      </c>
      <c r="AM90" s="6297">
        <v>131</v>
      </c>
      <c r="AN90" s="6298">
        <v>329</v>
      </c>
      <c r="AO90" s="6297">
        <v>23</v>
      </c>
      <c r="AP90" s="6297">
        <v>55</v>
      </c>
      <c r="AQ90" s="6297">
        <v>106</v>
      </c>
      <c r="AR90" s="6297">
        <v>24</v>
      </c>
      <c r="AS90" s="6299"/>
      <c r="AT90" s="6297">
        <v>4</v>
      </c>
      <c r="AU90" s="6299"/>
      <c r="AV90" s="6297">
        <v>8</v>
      </c>
      <c r="AW90" s="6297">
        <v>10</v>
      </c>
      <c r="AX90" s="6299"/>
      <c r="AY90" s="6297">
        <v>56</v>
      </c>
      <c r="AZ90" s="6299"/>
      <c r="BA90" s="6299"/>
      <c r="BB90" s="6297">
        <v>43</v>
      </c>
      <c r="BC90" s="6300">
        <f t="shared" si="50"/>
        <v>0.18541033434650456</v>
      </c>
      <c r="BE90" s="6313">
        <v>4</v>
      </c>
      <c r="BF90" s="6313">
        <v>6</v>
      </c>
      <c r="BG90" s="6313">
        <v>131</v>
      </c>
      <c r="BH90" s="4405" t="s">
        <v>14</v>
      </c>
      <c r="BI90" s="6314">
        <v>292</v>
      </c>
      <c r="BJ90" s="6313">
        <v>28</v>
      </c>
      <c r="BK90" s="6313">
        <v>65</v>
      </c>
      <c r="BL90" s="6313">
        <v>81</v>
      </c>
      <c r="BM90" s="6313">
        <v>21</v>
      </c>
      <c r="BN90" s="6303"/>
      <c r="BO90" s="6313">
        <v>3</v>
      </c>
      <c r="BP90" s="6303"/>
      <c r="BQ90" s="6313">
        <v>11</v>
      </c>
      <c r="BR90" s="6313">
        <v>1</v>
      </c>
      <c r="BS90" s="6313">
        <v>14</v>
      </c>
      <c r="BT90" s="6313">
        <v>35</v>
      </c>
      <c r="BU90" s="6303"/>
      <c r="BV90" s="6303"/>
      <c r="BW90" s="6313">
        <v>33</v>
      </c>
      <c r="BX90" s="6300">
        <f t="shared" si="61"/>
        <v>0.19863013698630136</v>
      </c>
      <c r="BZ90" s="4388"/>
      <c r="CA90" s="4388" t="s">
        <v>64</v>
      </c>
      <c r="CB90" s="4388" t="s">
        <v>14</v>
      </c>
      <c r="CC90" s="4231">
        <v>87</v>
      </c>
      <c r="CD90" s="4231">
        <v>31</v>
      </c>
      <c r="CE90" s="4231"/>
      <c r="CF90" s="4231">
        <v>21</v>
      </c>
      <c r="CG90" s="4231">
        <v>31</v>
      </c>
      <c r="CH90" s="4231">
        <v>16</v>
      </c>
      <c r="CI90" s="4231">
        <v>3</v>
      </c>
      <c r="CJ90" s="4231">
        <v>0</v>
      </c>
      <c r="CK90" s="4231"/>
      <c r="CL90" s="4231">
        <v>28</v>
      </c>
      <c r="CM90" s="4231">
        <v>9</v>
      </c>
      <c r="CN90" s="4231"/>
      <c r="CO90" s="4231">
        <v>65</v>
      </c>
      <c r="CP90" s="4231"/>
      <c r="CQ90" s="4231">
        <v>291</v>
      </c>
      <c r="CR90" s="6304">
        <f t="shared" si="51"/>
        <v>0.19243986254295534</v>
      </c>
      <c r="CS90" s="4238">
        <f t="shared" si="52"/>
        <v>0</v>
      </c>
      <c r="CT90" s="6305">
        <v>291</v>
      </c>
      <c r="CU90" s="6316"/>
      <c r="CX90" s="42" t="s">
        <v>386</v>
      </c>
      <c r="CY90" s="42">
        <v>20</v>
      </c>
      <c r="CZ90" s="42">
        <v>13</v>
      </c>
      <c r="DB90" s="42">
        <v>13</v>
      </c>
      <c r="DC90" s="42">
        <v>47</v>
      </c>
      <c r="DD90" s="42">
        <v>7</v>
      </c>
      <c r="DE90" s="42">
        <v>22</v>
      </c>
      <c r="DF90" s="42">
        <v>1</v>
      </c>
      <c r="DH90" s="42">
        <v>8</v>
      </c>
      <c r="DI90" s="42">
        <v>11</v>
      </c>
      <c r="DK90" s="42">
        <v>24</v>
      </c>
      <c r="DM90" s="893">
        <v>166</v>
      </c>
      <c r="DN90" s="6306">
        <f t="shared" si="53"/>
        <v>0.39156626506024095</v>
      </c>
      <c r="DP90" s="4263"/>
      <c r="DQ90" s="4263"/>
      <c r="DR90" s="4258" t="s">
        <v>65</v>
      </c>
      <c r="DS90" s="4263">
        <v>22</v>
      </c>
      <c r="DT90" s="4263">
        <v>24</v>
      </c>
      <c r="DU90" s="4263">
        <v>0</v>
      </c>
      <c r="DV90" s="4263">
        <v>14</v>
      </c>
      <c r="DW90" s="4263">
        <v>16</v>
      </c>
      <c r="DX90" s="4263">
        <v>11</v>
      </c>
      <c r="DY90" s="4263">
        <v>8</v>
      </c>
      <c r="DZ90" s="4263">
        <v>1</v>
      </c>
      <c r="EA90" s="4263"/>
      <c r="EB90" s="4263">
        <v>14</v>
      </c>
      <c r="EC90" s="4263">
        <v>7</v>
      </c>
      <c r="ED90" s="4263"/>
      <c r="EE90" s="4263">
        <v>39</v>
      </c>
      <c r="EF90" s="4263"/>
      <c r="EG90" s="4263">
        <v>156</v>
      </c>
      <c r="EH90" s="6307">
        <f t="shared" si="54"/>
        <v>0.21794871794871795</v>
      </c>
      <c r="EL90" s="42" t="s">
        <v>386</v>
      </c>
      <c r="EM90" s="97">
        <v>35</v>
      </c>
      <c r="EN90" s="97">
        <v>16</v>
      </c>
      <c r="EO90" s="97">
        <v>1</v>
      </c>
      <c r="EP90" s="97">
        <v>2</v>
      </c>
      <c r="EQ90" s="97">
        <v>30</v>
      </c>
      <c r="ER90" s="97">
        <v>10</v>
      </c>
      <c r="ES90" s="97">
        <v>10</v>
      </c>
      <c r="ET90" s="97">
        <v>0</v>
      </c>
      <c r="EU90" s="97"/>
      <c r="EV90" s="97">
        <v>11</v>
      </c>
      <c r="EW90" s="97">
        <v>13</v>
      </c>
      <c r="EX90" s="97"/>
      <c r="EY90" s="97">
        <v>27</v>
      </c>
      <c r="EZ90" s="97"/>
      <c r="FA90" s="97">
        <v>155</v>
      </c>
      <c r="FB90" s="6315">
        <f t="shared" si="55"/>
        <v>0.34193548387096773</v>
      </c>
      <c r="FD90" s="42"/>
      <c r="FE90" s="42"/>
      <c r="FF90" s="42" t="s">
        <v>386</v>
      </c>
      <c r="FG90" s="97">
        <v>22</v>
      </c>
      <c r="FH90" s="97">
        <v>8</v>
      </c>
      <c r="FI90" s="97"/>
      <c r="FJ90" s="97">
        <v>8</v>
      </c>
      <c r="FK90" s="97">
        <v>27</v>
      </c>
      <c r="FL90" s="97">
        <v>5</v>
      </c>
      <c r="FM90" s="97">
        <v>1</v>
      </c>
      <c r="FN90" s="97">
        <v>0</v>
      </c>
      <c r="FO90" s="97"/>
      <c r="FP90" s="97">
        <v>8</v>
      </c>
      <c r="FQ90" s="97">
        <v>9</v>
      </c>
      <c r="FR90" s="97"/>
      <c r="FS90" s="97">
        <v>30</v>
      </c>
      <c r="FT90" s="97"/>
      <c r="FU90" s="97">
        <v>118</v>
      </c>
      <c r="FV90" s="6308">
        <f t="shared" si="45"/>
        <v>0.34745762711864409</v>
      </c>
      <c r="FW90" s="6322"/>
      <c r="FX90" s="42"/>
      <c r="FY90" s="42"/>
      <c r="FZ90" s="42" t="s">
        <v>386</v>
      </c>
      <c r="GA90" s="97">
        <v>9</v>
      </c>
      <c r="GB90" s="97">
        <v>13</v>
      </c>
      <c r="GC90" s="97"/>
      <c r="GD90" s="97">
        <v>7</v>
      </c>
      <c r="GE90" s="97">
        <v>19</v>
      </c>
      <c r="GF90" s="97">
        <v>3</v>
      </c>
      <c r="GG90" s="97">
        <v>0</v>
      </c>
      <c r="GH90" s="97">
        <v>3</v>
      </c>
      <c r="GI90" s="97"/>
      <c r="GJ90" s="97">
        <v>10</v>
      </c>
      <c r="GK90" s="97">
        <v>6</v>
      </c>
      <c r="GL90" s="97"/>
      <c r="GM90" s="97">
        <v>26</v>
      </c>
      <c r="GN90" s="97">
        <v>0</v>
      </c>
      <c r="GO90" s="97">
        <v>96</v>
      </c>
      <c r="GP90" s="6308">
        <f t="shared" si="56"/>
        <v>0.29166666666666669</v>
      </c>
      <c r="GR90" s="6280"/>
      <c r="GS90" s="6280"/>
      <c r="GT90" s="6310" t="s">
        <v>65</v>
      </c>
      <c r="GU90" s="6311">
        <v>16</v>
      </c>
      <c r="GV90" s="6311">
        <v>23</v>
      </c>
      <c r="GW90" s="6312"/>
      <c r="GX90" s="6311">
        <v>9</v>
      </c>
      <c r="GY90" s="6311">
        <v>13</v>
      </c>
      <c r="GZ90" s="6311">
        <v>4</v>
      </c>
      <c r="HA90" s="6311">
        <v>9</v>
      </c>
      <c r="HB90" s="6311">
        <v>0</v>
      </c>
      <c r="HC90" s="6312"/>
      <c r="HD90" s="6311">
        <v>16</v>
      </c>
      <c r="HE90" s="6311">
        <v>3</v>
      </c>
      <c r="HF90" s="6312"/>
      <c r="HG90" s="6311">
        <v>20</v>
      </c>
      <c r="HH90" s="6311">
        <v>0</v>
      </c>
      <c r="HI90" s="6311">
        <v>113</v>
      </c>
      <c r="HJ90" s="467">
        <f t="shared" si="57"/>
        <v>0.17699115044247787</v>
      </c>
      <c r="HL90" s="967"/>
      <c r="HM90" s="967"/>
      <c r="HN90" s="977" t="s">
        <v>65</v>
      </c>
      <c r="HO90" s="978">
        <v>14</v>
      </c>
      <c r="HP90" s="978">
        <v>10</v>
      </c>
      <c r="HQ90" s="967"/>
      <c r="HR90" s="978">
        <v>12</v>
      </c>
      <c r="HS90" s="978">
        <v>10</v>
      </c>
      <c r="HT90" s="978">
        <v>2</v>
      </c>
      <c r="HU90" s="978">
        <v>8</v>
      </c>
      <c r="HV90" s="978">
        <v>0</v>
      </c>
      <c r="HW90" s="967"/>
      <c r="HX90" s="978">
        <v>20</v>
      </c>
      <c r="HY90" s="978">
        <v>1</v>
      </c>
      <c r="HZ90" s="978">
        <v>33</v>
      </c>
      <c r="IA90" s="967"/>
      <c r="IB90" s="978">
        <v>110</v>
      </c>
      <c r="IC90" s="467">
        <f t="shared" si="58"/>
        <v>0.11818181818181818</v>
      </c>
      <c r="IE90" s="577"/>
      <c r="IF90" s="577"/>
      <c r="IG90" s="979" t="s">
        <v>65</v>
      </c>
      <c r="IH90" s="980">
        <v>23</v>
      </c>
      <c r="II90" s="980">
        <v>6</v>
      </c>
      <c r="IJ90" s="577"/>
      <c r="IK90" s="980">
        <v>8</v>
      </c>
      <c r="IL90" s="980">
        <v>9</v>
      </c>
      <c r="IM90" s="980">
        <v>0</v>
      </c>
      <c r="IN90" s="980">
        <v>8</v>
      </c>
      <c r="IO90" s="980">
        <v>0</v>
      </c>
      <c r="IP90" s="577"/>
      <c r="IQ90" s="980">
        <v>5</v>
      </c>
      <c r="IR90" s="980">
        <v>1</v>
      </c>
      <c r="IS90" s="980">
        <v>26</v>
      </c>
      <c r="IT90" s="577"/>
      <c r="IU90" s="980">
        <v>86</v>
      </c>
      <c r="IV90" s="467">
        <f t="shared" si="59"/>
        <v>0.11627906976744186</v>
      </c>
      <c r="IX90" s="1011"/>
      <c r="IY90" s="1011"/>
      <c r="IZ90" s="1012" t="s">
        <v>487</v>
      </c>
      <c r="JA90" s="1013">
        <v>66</v>
      </c>
      <c r="JB90" s="1013">
        <v>20</v>
      </c>
      <c r="JC90" s="1013">
        <v>0</v>
      </c>
      <c r="JD90" s="1013">
        <v>10</v>
      </c>
      <c r="JE90" s="1013">
        <v>28</v>
      </c>
      <c r="JF90" s="1013">
        <v>6</v>
      </c>
      <c r="JG90" s="1013">
        <v>11</v>
      </c>
      <c r="JH90" s="1013">
        <v>0</v>
      </c>
      <c r="JI90" s="1013">
        <v>11</v>
      </c>
      <c r="JJ90" s="1013">
        <v>16</v>
      </c>
      <c r="JK90" s="1013">
        <v>70</v>
      </c>
      <c r="JL90" s="1013">
        <v>69</v>
      </c>
      <c r="JM90" s="1013">
        <v>0</v>
      </c>
      <c r="JN90" s="1013">
        <v>1</v>
      </c>
      <c r="JO90" s="1013">
        <v>308</v>
      </c>
      <c r="JP90" s="1014">
        <f t="shared" si="60"/>
        <v>0.2109704641350211</v>
      </c>
      <c r="JR90" s="1015"/>
      <c r="JS90" s="1015"/>
      <c r="JT90" s="916" t="s">
        <v>15</v>
      </c>
      <c r="JU90" s="916">
        <v>42</v>
      </c>
      <c r="JV90" s="916">
        <v>7</v>
      </c>
      <c r="JW90" s="916"/>
      <c r="JX90" s="916">
        <v>2</v>
      </c>
      <c r="JY90" s="916">
        <v>22</v>
      </c>
      <c r="JZ90" s="916">
        <v>5</v>
      </c>
      <c r="KA90" s="916">
        <v>7</v>
      </c>
      <c r="KB90" s="916"/>
      <c r="KC90" s="916">
        <v>4</v>
      </c>
      <c r="KD90" s="916">
        <v>5</v>
      </c>
      <c r="KE90" s="916">
        <v>43</v>
      </c>
      <c r="KF90" s="916">
        <v>40</v>
      </c>
      <c r="KG90" s="916"/>
      <c r="KH90" s="916">
        <v>1</v>
      </c>
      <c r="KI90" s="916">
        <v>178</v>
      </c>
      <c r="KJ90" s="1016">
        <f t="shared" si="46"/>
        <v>0.23880597014925373</v>
      </c>
      <c r="KK90" s="42"/>
      <c r="KL90" s="354"/>
      <c r="KM90" s="354"/>
      <c r="KN90" s="354"/>
      <c r="KO90" s="354"/>
      <c r="KP90" s="354"/>
      <c r="KQ90" s="354"/>
      <c r="KR90" s="354"/>
      <c r="KS90" s="354"/>
      <c r="KT90" s="354"/>
      <c r="KU90" s="354"/>
      <c r="KV90" s="354"/>
      <c r="KW90" s="354"/>
      <c r="KX90" s="354"/>
      <c r="KY90" s="354"/>
      <c r="KZ90" s="354"/>
      <c r="LA90" s="354"/>
      <c r="LB90" s="354"/>
      <c r="LC90" s="354"/>
      <c r="LD90" s="42"/>
      <c r="LE90" s="42"/>
    </row>
    <row r="91" spans="1:317" ht="24.6" thickBot="1">
      <c r="B91" s="6285" t="s">
        <v>2698</v>
      </c>
      <c r="C91" s="6285" t="s">
        <v>2699</v>
      </c>
      <c r="D91" s="6286" t="s">
        <v>3268</v>
      </c>
      <c r="E91" s="6287" t="s">
        <v>2701</v>
      </c>
      <c r="F91" s="6287" t="s">
        <v>1082</v>
      </c>
      <c r="G91" s="6287" t="s">
        <v>2702</v>
      </c>
      <c r="H91" s="6287" t="s">
        <v>2703</v>
      </c>
      <c r="I91" s="6287" t="s">
        <v>2704</v>
      </c>
      <c r="J91" s="6287" t="s">
        <v>2705</v>
      </c>
      <c r="K91" s="6288" t="s">
        <v>2707</v>
      </c>
      <c r="L91" s="6287" t="s">
        <v>2708</v>
      </c>
      <c r="M91" s="6288" t="s">
        <v>1076</v>
      </c>
      <c r="N91" s="6287" t="s">
        <v>2709</v>
      </c>
      <c r="O91" s="6287" t="s">
        <v>1073</v>
      </c>
      <c r="P91" s="6288" t="s">
        <v>1075</v>
      </c>
      <c r="Q91" s="6289" t="s">
        <v>3270</v>
      </c>
      <c r="S91" s="6295">
        <v>4</v>
      </c>
      <c r="T91" s="6295">
        <v>6</v>
      </c>
      <c r="U91" s="6295">
        <v>132</v>
      </c>
      <c r="V91" s="6295">
        <v>171</v>
      </c>
      <c r="W91" s="6295">
        <v>6</v>
      </c>
      <c r="X91" s="6295">
        <v>37</v>
      </c>
      <c r="Y91" s="6295">
        <v>31</v>
      </c>
      <c r="Z91" s="6295">
        <v>9</v>
      </c>
      <c r="AA91" s="6296"/>
      <c r="AB91" s="6295">
        <v>1</v>
      </c>
      <c r="AC91" s="6295">
        <v>17</v>
      </c>
      <c r="AD91" s="6295">
        <v>2</v>
      </c>
      <c r="AE91" s="6295">
        <v>9</v>
      </c>
      <c r="AF91" s="6295">
        <v>33</v>
      </c>
      <c r="AG91" s="6296"/>
      <c r="AH91" s="6295">
        <v>26</v>
      </c>
      <c r="AI91" s="6294">
        <f t="shared" si="72"/>
        <v>0.30409356725146197</v>
      </c>
      <c r="AK91" s="6297">
        <v>4</v>
      </c>
      <c r="AL91" s="6297">
        <v>6</v>
      </c>
      <c r="AM91" s="6297">
        <v>132</v>
      </c>
      <c r="AN91" s="6298">
        <v>171</v>
      </c>
      <c r="AO91" s="6297">
        <v>6</v>
      </c>
      <c r="AP91" s="6297">
        <v>37</v>
      </c>
      <c r="AQ91" s="6297">
        <v>46</v>
      </c>
      <c r="AR91" s="6297">
        <v>9</v>
      </c>
      <c r="AS91" s="6299"/>
      <c r="AT91" s="6297">
        <v>1</v>
      </c>
      <c r="AU91" s="6299"/>
      <c r="AV91" s="6297">
        <v>11</v>
      </c>
      <c r="AW91" s="6297">
        <v>6</v>
      </c>
      <c r="AX91" s="6297">
        <v>1</v>
      </c>
      <c r="AY91" s="6297">
        <v>28</v>
      </c>
      <c r="AZ91" s="6299"/>
      <c r="BA91" s="6299"/>
      <c r="BB91" s="6297">
        <v>26</v>
      </c>
      <c r="BC91" s="6300">
        <f t="shared" si="50"/>
        <v>0.25146198830409355</v>
      </c>
      <c r="BE91" s="6313">
        <v>4</v>
      </c>
      <c r="BF91" s="6313">
        <v>6</v>
      </c>
      <c r="BG91" s="6313">
        <v>132</v>
      </c>
      <c r="BH91" s="4405" t="s">
        <v>65</v>
      </c>
      <c r="BI91" s="6314">
        <v>164</v>
      </c>
      <c r="BJ91" s="6313">
        <v>9</v>
      </c>
      <c r="BK91" s="6313">
        <v>46</v>
      </c>
      <c r="BL91" s="6313">
        <v>34</v>
      </c>
      <c r="BM91" s="6313">
        <v>11</v>
      </c>
      <c r="BN91" s="6303"/>
      <c r="BO91" s="6313">
        <v>1</v>
      </c>
      <c r="BP91" s="6303"/>
      <c r="BQ91" s="6313">
        <v>9</v>
      </c>
      <c r="BR91" s="6313">
        <v>3</v>
      </c>
      <c r="BS91" s="6313">
        <v>10</v>
      </c>
      <c r="BT91" s="6313">
        <v>23</v>
      </c>
      <c r="BU91" s="6303"/>
      <c r="BV91" s="6303"/>
      <c r="BW91" s="6313">
        <v>18</v>
      </c>
      <c r="BX91" s="6300">
        <f t="shared" si="61"/>
        <v>0.22560975609756098</v>
      </c>
      <c r="BZ91" s="4388"/>
      <c r="CA91" s="4388"/>
      <c r="CB91" s="4388" t="s">
        <v>65</v>
      </c>
      <c r="CC91" s="4231">
        <v>41</v>
      </c>
      <c r="CD91" s="4231">
        <v>20</v>
      </c>
      <c r="CE91" s="4231"/>
      <c r="CF91" s="4231">
        <v>11</v>
      </c>
      <c r="CG91" s="4231">
        <v>17</v>
      </c>
      <c r="CH91" s="4231">
        <v>8</v>
      </c>
      <c r="CI91" s="4231">
        <v>1</v>
      </c>
      <c r="CJ91" s="4231">
        <v>1</v>
      </c>
      <c r="CK91" s="4231"/>
      <c r="CL91" s="4231">
        <v>9</v>
      </c>
      <c r="CM91" s="4231">
        <v>10</v>
      </c>
      <c r="CN91" s="4231"/>
      <c r="CO91" s="4231">
        <v>46</v>
      </c>
      <c r="CP91" s="4231"/>
      <c r="CQ91" s="4231">
        <v>164</v>
      </c>
      <c r="CR91" s="6304">
        <f t="shared" si="51"/>
        <v>0.21341463414634146</v>
      </c>
      <c r="CS91" s="4238">
        <f t="shared" si="52"/>
        <v>0</v>
      </c>
      <c r="CT91" s="6305">
        <v>164</v>
      </c>
      <c r="CU91" s="6316"/>
      <c r="CX91" s="42" t="s">
        <v>81</v>
      </c>
      <c r="CY91" s="42">
        <v>19</v>
      </c>
      <c r="CZ91" s="42">
        <v>20</v>
      </c>
      <c r="DB91" s="42">
        <v>17</v>
      </c>
      <c r="DC91" s="42">
        <v>89</v>
      </c>
      <c r="DD91" s="42">
        <v>20</v>
      </c>
      <c r="DE91" s="42">
        <v>1</v>
      </c>
      <c r="DF91" s="42">
        <v>0</v>
      </c>
      <c r="DH91" s="42">
        <v>15</v>
      </c>
      <c r="DI91" s="42">
        <v>7</v>
      </c>
      <c r="DK91" s="42">
        <v>38</v>
      </c>
      <c r="DM91" s="893">
        <v>226</v>
      </c>
      <c r="DN91" s="6306">
        <f t="shared" si="53"/>
        <v>0.51327433628318586</v>
      </c>
      <c r="DP91" s="4263"/>
      <c r="DQ91" s="4263"/>
      <c r="DR91" s="4258" t="s">
        <v>386</v>
      </c>
      <c r="DS91" s="4263">
        <v>37</v>
      </c>
      <c r="DT91" s="4263">
        <v>17</v>
      </c>
      <c r="DU91" s="4263">
        <v>1</v>
      </c>
      <c r="DV91" s="4263">
        <v>16</v>
      </c>
      <c r="DW91" s="4263">
        <v>29</v>
      </c>
      <c r="DX91" s="4263">
        <v>13</v>
      </c>
      <c r="DY91" s="4263">
        <v>12</v>
      </c>
      <c r="DZ91" s="4263">
        <v>1</v>
      </c>
      <c r="EA91" s="4263"/>
      <c r="EB91" s="4263">
        <v>29</v>
      </c>
      <c r="EC91" s="4263">
        <v>14</v>
      </c>
      <c r="ED91" s="4263"/>
      <c r="EE91" s="4263">
        <v>25</v>
      </c>
      <c r="EF91" s="4263"/>
      <c r="EG91" s="4263">
        <v>194</v>
      </c>
      <c r="EH91" s="6307">
        <f t="shared" si="54"/>
        <v>0.28865979381443296</v>
      </c>
      <c r="EL91" s="42" t="s">
        <v>81</v>
      </c>
      <c r="EM91" s="97">
        <v>28</v>
      </c>
      <c r="EN91" s="97">
        <v>22</v>
      </c>
      <c r="EO91" s="97">
        <v>1</v>
      </c>
      <c r="EP91" s="97">
        <v>1</v>
      </c>
      <c r="EQ91" s="97">
        <v>63</v>
      </c>
      <c r="ER91" s="97">
        <v>9</v>
      </c>
      <c r="ES91" s="97">
        <v>1</v>
      </c>
      <c r="ET91" s="97">
        <v>4</v>
      </c>
      <c r="EU91" s="97"/>
      <c r="EV91" s="97">
        <v>35</v>
      </c>
      <c r="EW91" s="97">
        <v>17</v>
      </c>
      <c r="EX91" s="97"/>
      <c r="EY91" s="97">
        <v>30</v>
      </c>
      <c r="EZ91" s="97"/>
      <c r="FA91" s="97">
        <v>211</v>
      </c>
      <c r="FB91" s="6315">
        <f t="shared" si="55"/>
        <v>0.4218009478672986</v>
      </c>
      <c r="FD91" s="42"/>
      <c r="FE91" s="42"/>
      <c r="FF91" s="42" t="s">
        <v>81</v>
      </c>
      <c r="FG91" s="97">
        <v>19</v>
      </c>
      <c r="FH91" s="97">
        <v>27</v>
      </c>
      <c r="FI91" s="97"/>
      <c r="FJ91" s="97">
        <v>13</v>
      </c>
      <c r="FK91" s="97">
        <v>40</v>
      </c>
      <c r="FL91" s="97">
        <v>11</v>
      </c>
      <c r="FM91" s="97">
        <v>1</v>
      </c>
      <c r="FN91" s="97">
        <v>0</v>
      </c>
      <c r="FO91" s="97"/>
      <c r="FP91" s="97">
        <v>21</v>
      </c>
      <c r="FQ91" s="97">
        <v>9</v>
      </c>
      <c r="FR91" s="97"/>
      <c r="FS91" s="97">
        <v>22</v>
      </c>
      <c r="FT91" s="97"/>
      <c r="FU91" s="97">
        <v>163</v>
      </c>
      <c r="FV91" s="6308">
        <f t="shared" si="45"/>
        <v>0.36809815950920244</v>
      </c>
      <c r="FW91" s="6322"/>
      <c r="FX91" s="42"/>
      <c r="FY91" s="42"/>
      <c r="FZ91" s="42" t="s">
        <v>81</v>
      </c>
      <c r="GA91" s="97">
        <v>15</v>
      </c>
      <c r="GB91" s="97">
        <v>24</v>
      </c>
      <c r="GC91" s="97"/>
      <c r="GD91" s="97">
        <v>8</v>
      </c>
      <c r="GE91" s="97">
        <v>21</v>
      </c>
      <c r="GF91" s="97">
        <v>6</v>
      </c>
      <c r="GG91" s="97">
        <v>0</v>
      </c>
      <c r="GH91" s="97">
        <v>0</v>
      </c>
      <c r="GI91" s="97"/>
      <c r="GJ91" s="97">
        <v>28</v>
      </c>
      <c r="GK91" s="97">
        <v>5</v>
      </c>
      <c r="GL91" s="97"/>
      <c r="GM91" s="97">
        <v>13</v>
      </c>
      <c r="GN91" s="97">
        <v>0</v>
      </c>
      <c r="GO91" s="97">
        <v>120</v>
      </c>
      <c r="GP91" s="6308">
        <f t="shared" si="56"/>
        <v>0.26666666666666666</v>
      </c>
      <c r="GR91" s="6280"/>
      <c r="GS91" s="6280"/>
      <c r="GT91" s="6310" t="s">
        <v>386</v>
      </c>
      <c r="GU91" s="6311">
        <v>23</v>
      </c>
      <c r="GV91" s="6311">
        <v>15</v>
      </c>
      <c r="GW91" s="6312"/>
      <c r="GX91" s="6311">
        <v>5</v>
      </c>
      <c r="GY91" s="6311">
        <v>13</v>
      </c>
      <c r="GZ91" s="6311">
        <v>1</v>
      </c>
      <c r="HA91" s="6311">
        <v>0</v>
      </c>
      <c r="HB91" s="6311">
        <v>1</v>
      </c>
      <c r="HC91" s="6312"/>
      <c r="HD91" s="6311">
        <v>5</v>
      </c>
      <c r="HE91" s="6311">
        <v>2</v>
      </c>
      <c r="HF91" s="6312"/>
      <c r="HG91" s="6311">
        <v>21</v>
      </c>
      <c r="HH91" s="6311">
        <v>0</v>
      </c>
      <c r="HI91" s="6311">
        <v>86</v>
      </c>
      <c r="HJ91" s="467">
        <f t="shared" si="57"/>
        <v>0.18604651162790697</v>
      </c>
      <c r="HL91" s="967"/>
      <c r="HM91" s="967"/>
      <c r="HN91" s="977" t="s">
        <v>386</v>
      </c>
      <c r="HO91" s="978">
        <v>27</v>
      </c>
      <c r="HP91" s="978">
        <v>10</v>
      </c>
      <c r="HQ91" s="967"/>
      <c r="HR91" s="978">
        <v>6</v>
      </c>
      <c r="HS91" s="978">
        <v>9</v>
      </c>
      <c r="HT91" s="978">
        <v>0</v>
      </c>
      <c r="HU91" s="978">
        <v>0</v>
      </c>
      <c r="HV91" s="978">
        <v>1</v>
      </c>
      <c r="HW91" s="967"/>
      <c r="HX91" s="978">
        <v>6</v>
      </c>
      <c r="HY91" s="978">
        <v>0</v>
      </c>
      <c r="HZ91" s="978">
        <v>17</v>
      </c>
      <c r="IA91" s="967"/>
      <c r="IB91" s="978">
        <v>76</v>
      </c>
      <c r="IC91" s="467">
        <f t="shared" si="58"/>
        <v>0.11842105263157894</v>
      </c>
      <c r="IE91" s="577"/>
      <c r="IF91" s="577"/>
      <c r="IG91" s="979" t="s">
        <v>386</v>
      </c>
      <c r="IH91" s="980">
        <v>23</v>
      </c>
      <c r="II91" s="980">
        <v>8</v>
      </c>
      <c r="IJ91" s="577"/>
      <c r="IK91" s="980">
        <v>3</v>
      </c>
      <c r="IL91" s="980">
        <v>1</v>
      </c>
      <c r="IM91" s="980">
        <v>1</v>
      </c>
      <c r="IN91" s="980">
        <v>0</v>
      </c>
      <c r="IO91" s="980">
        <v>0</v>
      </c>
      <c r="IP91" s="577"/>
      <c r="IQ91" s="980">
        <v>0</v>
      </c>
      <c r="IR91" s="980">
        <v>1</v>
      </c>
      <c r="IS91" s="980">
        <v>11</v>
      </c>
      <c r="IT91" s="577"/>
      <c r="IU91" s="980">
        <v>48</v>
      </c>
      <c r="IV91" s="467">
        <f t="shared" si="59"/>
        <v>6.25E-2</v>
      </c>
      <c r="JR91" s="97"/>
      <c r="JS91" s="97"/>
      <c r="JT91" s="42"/>
      <c r="JU91" s="42"/>
      <c r="JV91" s="42"/>
      <c r="JW91" s="42"/>
      <c r="JX91" s="42"/>
      <c r="JY91" s="42"/>
      <c r="JZ91" s="42"/>
      <c r="KA91" s="42"/>
      <c r="KB91" s="42"/>
      <c r="KC91" s="42"/>
      <c r="KD91" s="42"/>
      <c r="KE91" s="42"/>
      <c r="KF91" s="42"/>
      <c r="KG91" s="42"/>
      <c r="KH91" s="42"/>
      <c r="KI91" s="42"/>
      <c r="KJ91" s="42"/>
      <c r="KK91" s="42"/>
      <c r="KL91" s="354"/>
      <c r="KM91" s="354"/>
      <c r="LD91" s="42"/>
      <c r="LE91" s="42"/>
    </row>
    <row r="92" spans="1:317">
      <c r="B92" s="6291">
        <v>1</v>
      </c>
      <c r="C92" s="6291">
        <v>1</v>
      </c>
      <c r="D92" s="6291">
        <v>7002</v>
      </c>
      <c r="E92" s="6291">
        <v>256</v>
      </c>
      <c r="F92" s="6291">
        <v>2052</v>
      </c>
      <c r="G92" s="6291">
        <v>1815</v>
      </c>
      <c r="H92" s="6291">
        <v>325</v>
      </c>
      <c r="I92" s="6291">
        <v>1</v>
      </c>
      <c r="J92" s="6291">
        <v>53</v>
      </c>
      <c r="K92" s="6291">
        <v>246</v>
      </c>
      <c r="L92" s="6293"/>
      <c r="M92" s="6291">
        <v>269</v>
      </c>
      <c r="N92" s="6291">
        <v>614</v>
      </c>
      <c r="O92" s="6293"/>
      <c r="P92" s="6291">
        <v>1371</v>
      </c>
      <c r="Q92" s="6294">
        <f t="shared" ref="Q92:Q106" si="78">+(K92+M92+P92)/(D92)</f>
        <v>0.26935161382462153</v>
      </c>
      <c r="S92" s="6295">
        <v>4</v>
      </c>
      <c r="T92" s="6295">
        <v>6</v>
      </c>
      <c r="U92" s="6295">
        <v>141</v>
      </c>
      <c r="V92" s="6295">
        <v>255</v>
      </c>
      <c r="W92" s="6295">
        <v>8</v>
      </c>
      <c r="X92" s="6295">
        <v>27</v>
      </c>
      <c r="Y92" s="6295">
        <v>65</v>
      </c>
      <c r="Z92" s="6295">
        <v>14</v>
      </c>
      <c r="AA92" s="6295">
        <v>1</v>
      </c>
      <c r="AB92" s="6295">
        <v>2</v>
      </c>
      <c r="AC92" s="6295">
        <v>25</v>
      </c>
      <c r="AD92" s="6295">
        <v>4</v>
      </c>
      <c r="AE92" s="6295">
        <v>13</v>
      </c>
      <c r="AF92" s="6295">
        <v>43</v>
      </c>
      <c r="AG92" s="6296"/>
      <c r="AH92" s="6295">
        <v>53</v>
      </c>
      <c r="AI92" s="6294">
        <f t="shared" si="72"/>
        <v>0.35686274509803922</v>
      </c>
      <c r="AK92" s="6297">
        <v>4</v>
      </c>
      <c r="AL92" s="6297">
        <v>6</v>
      </c>
      <c r="AM92" s="6297">
        <v>141</v>
      </c>
      <c r="AN92" s="6298">
        <v>255</v>
      </c>
      <c r="AO92" s="6297">
        <v>14</v>
      </c>
      <c r="AP92" s="6297">
        <v>27</v>
      </c>
      <c r="AQ92" s="6297">
        <v>78</v>
      </c>
      <c r="AR92" s="6297">
        <v>14</v>
      </c>
      <c r="AS92" s="6297">
        <v>1</v>
      </c>
      <c r="AT92" s="6297">
        <v>2</v>
      </c>
      <c r="AU92" s="6299"/>
      <c r="AV92" s="6297">
        <v>15</v>
      </c>
      <c r="AW92" s="6297">
        <v>7</v>
      </c>
      <c r="AX92" s="6299"/>
      <c r="AY92" s="6297">
        <v>44</v>
      </c>
      <c r="AZ92" s="6299"/>
      <c r="BA92" s="6299"/>
      <c r="BB92" s="6297">
        <v>53</v>
      </c>
      <c r="BC92" s="6300">
        <f t="shared" si="50"/>
        <v>0.29411764705882354</v>
      </c>
      <c r="BE92" s="6313">
        <v>4</v>
      </c>
      <c r="BF92" s="6313">
        <v>6</v>
      </c>
      <c r="BG92" s="6313">
        <v>141</v>
      </c>
      <c r="BH92" s="4405" t="s">
        <v>386</v>
      </c>
      <c r="BI92" s="6314">
        <v>228</v>
      </c>
      <c r="BJ92" s="6313">
        <v>13</v>
      </c>
      <c r="BK92" s="6313">
        <v>32</v>
      </c>
      <c r="BL92" s="6313">
        <v>63</v>
      </c>
      <c r="BM92" s="6313">
        <v>16</v>
      </c>
      <c r="BN92" s="6303"/>
      <c r="BO92" s="6303"/>
      <c r="BP92" s="6303"/>
      <c r="BQ92" s="6313">
        <v>19</v>
      </c>
      <c r="BR92" s="6313">
        <v>1</v>
      </c>
      <c r="BS92" s="6313">
        <v>21</v>
      </c>
      <c r="BT92" s="6313">
        <v>27</v>
      </c>
      <c r="BU92" s="6303"/>
      <c r="BV92" s="6303"/>
      <c r="BW92" s="6313">
        <v>36</v>
      </c>
      <c r="BX92" s="6300">
        <f t="shared" si="61"/>
        <v>0.33333333333333331</v>
      </c>
      <c r="BZ92" s="4388"/>
      <c r="CA92" s="4388"/>
      <c r="CB92" s="4388" t="s">
        <v>386</v>
      </c>
      <c r="CC92" s="4231">
        <v>68</v>
      </c>
      <c r="CD92" s="4231">
        <v>25</v>
      </c>
      <c r="CE92" s="4231"/>
      <c r="CF92" s="4231">
        <v>16</v>
      </c>
      <c r="CG92" s="4231">
        <v>33</v>
      </c>
      <c r="CH92" s="4231">
        <v>17</v>
      </c>
      <c r="CI92" s="4231">
        <v>0</v>
      </c>
      <c r="CJ92" s="4231">
        <v>1</v>
      </c>
      <c r="CK92" s="4231"/>
      <c r="CL92" s="4231">
        <v>20</v>
      </c>
      <c r="CM92" s="4231">
        <v>17</v>
      </c>
      <c r="CN92" s="4231"/>
      <c r="CO92" s="4231">
        <v>32</v>
      </c>
      <c r="CP92" s="4231"/>
      <c r="CQ92" s="4231">
        <v>229</v>
      </c>
      <c r="CR92" s="6304">
        <f t="shared" si="51"/>
        <v>0.29257641921397382</v>
      </c>
      <c r="CS92" s="4238">
        <f t="shared" si="52"/>
        <v>0</v>
      </c>
      <c r="CT92" s="6305">
        <v>229</v>
      </c>
      <c r="CU92" s="6316"/>
      <c r="CX92" s="42" t="s">
        <v>15</v>
      </c>
      <c r="CY92" s="42">
        <v>95</v>
      </c>
      <c r="CZ92" s="42">
        <v>68</v>
      </c>
      <c r="DB92" s="42">
        <v>62</v>
      </c>
      <c r="DC92" s="42">
        <v>222</v>
      </c>
      <c r="DD92" s="42">
        <v>51</v>
      </c>
      <c r="DE92" s="42">
        <v>79</v>
      </c>
      <c r="DF92" s="42">
        <v>1</v>
      </c>
      <c r="DH92" s="42">
        <v>35</v>
      </c>
      <c r="DI92" s="42">
        <v>38</v>
      </c>
      <c r="DK92" s="42">
        <v>152</v>
      </c>
      <c r="DM92" s="893">
        <v>803</v>
      </c>
      <c r="DN92" s="6306">
        <f t="shared" si="53"/>
        <v>0.38729763387297633</v>
      </c>
      <c r="DP92" s="4263"/>
      <c r="DQ92" s="4263"/>
      <c r="DR92" s="4258" t="s">
        <v>81</v>
      </c>
      <c r="DS92" s="4263">
        <v>24</v>
      </c>
      <c r="DT92" s="4263">
        <v>26</v>
      </c>
      <c r="DU92" s="4263">
        <v>1</v>
      </c>
      <c r="DV92" s="4263">
        <v>19</v>
      </c>
      <c r="DW92" s="4263">
        <v>68</v>
      </c>
      <c r="DX92" s="4263">
        <v>32</v>
      </c>
      <c r="DY92" s="4263">
        <v>1</v>
      </c>
      <c r="DZ92" s="4263">
        <v>1</v>
      </c>
      <c r="EA92" s="4263"/>
      <c r="EB92" s="4263">
        <v>56</v>
      </c>
      <c r="EC92" s="4263">
        <v>10</v>
      </c>
      <c r="ED92" s="4263"/>
      <c r="EE92" s="4263">
        <v>45</v>
      </c>
      <c r="EF92" s="4263"/>
      <c r="EG92" s="4263">
        <v>283</v>
      </c>
      <c r="EH92" s="6307">
        <f t="shared" si="54"/>
        <v>0.38869257950530034</v>
      </c>
      <c r="EL92" s="893" t="s">
        <v>487</v>
      </c>
      <c r="EM92" s="135">
        <v>143</v>
      </c>
      <c r="EN92" s="135">
        <v>81</v>
      </c>
      <c r="EO92" s="135">
        <v>2</v>
      </c>
      <c r="EP92" s="135">
        <v>6</v>
      </c>
      <c r="EQ92" s="135">
        <v>148</v>
      </c>
      <c r="ER92" s="135">
        <v>49</v>
      </c>
      <c r="ES92" s="135">
        <v>56</v>
      </c>
      <c r="ET92" s="135">
        <v>4</v>
      </c>
      <c r="EU92" s="135"/>
      <c r="EV92" s="135">
        <v>68</v>
      </c>
      <c r="EW92" s="135">
        <v>54</v>
      </c>
      <c r="EX92" s="135"/>
      <c r="EY92" s="135">
        <v>138</v>
      </c>
      <c r="EZ92" s="135"/>
      <c r="FA92" s="135">
        <v>749</v>
      </c>
      <c r="FB92" s="6315">
        <f t="shared" si="55"/>
        <v>0.33511348464619495</v>
      </c>
      <c r="FD92" s="42"/>
      <c r="FE92" s="42"/>
      <c r="FF92" s="893" t="s">
        <v>487</v>
      </c>
      <c r="FG92" s="135">
        <v>83</v>
      </c>
      <c r="FH92" s="135">
        <v>89</v>
      </c>
      <c r="FI92" s="135"/>
      <c r="FJ92" s="135">
        <v>48</v>
      </c>
      <c r="FK92" s="135">
        <v>126</v>
      </c>
      <c r="FL92" s="135">
        <v>33</v>
      </c>
      <c r="FM92" s="135">
        <v>33</v>
      </c>
      <c r="FN92" s="135">
        <v>1</v>
      </c>
      <c r="FO92" s="135"/>
      <c r="FP92" s="135">
        <v>68</v>
      </c>
      <c r="FQ92" s="135">
        <v>34</v>
      </c>
      <c r="FR92" s="135"/>
      <c r="FS92" s="135">
        <v>137</v>
      </c>
      <c r="FT92" s="135"/>
      <c r="FU92" s="135">
        <v>652</v>
      </c>
      <c r="FV92" s="5723">
        <f t="shared" si="45"/>
        <v>0.29601226993865032</v>
      </c>
      <c r="FW92" s="5717"/>
      <c r="FX92" s="42"/>
      <c r="FY92" s="42"/>
      <c r="FZ92" s="893" t="s">
        <v>487</v>
      </c>
      <c r="GA92" s="135">
        <v>49</v>
      </c>
      <c r="GB92" s="135">
        <v>87</v>
      </c>
      <c r="GC92" s="135"/>
      <c r="GD92" s="135">
        <v>38</v>
      </c>
      <c r="GE92" s="135">
        <v>97</v>
      </c>
      <c r="GF92" s="135">
        <v>26</v>
      </c>
      <c r="GG92" s="135">
        <v>18</v>
      </c>
      <c r="GH92" s="135">
        <v>4</v>
      </c>
      <c r="GI92" s="135"/>
      <c r="GJ92" s="135">
        <v>90</v>
      </c>
      <c r="GK92" s="135">
        <v>22</v>
      </c>
      <c r="GL92" s="135"/>
      <c r="GM92" s="135">
        <v>118</v>
      </c>
      <c r="GN92" s="135">
        <v>1</v>
      </c>
      <c r="GO92" s="135">
        <v>550</v>
      </c>
      <c r="GP92" s="5723">
        <f t="shared" si="56"/>
        <v>0.26411657559198543</v>
      </c>
      <c r="GR92" s="6280"/>
      <c r="GS92" s="6280"/>
      <c r="GT92" s="6310" t="s">
        <v>81</v>
      </c>
      <c r="GU92" s="6311">
        <v>18</v>
      </c>
      <c r="GV92" s="6311">
        <v>17</v>
      </c>
      <c r="GW92" s="6312"/>
      <c r="GX92" s="6311">
        <v>3</v>
      </c>
      <c r="GY92" s="6311">
        <v>7</v>
      </c>
      <c r="GZ92" s="6311">
        <v>0</v>
      </c>
      <c r="HA92" s="6311">
        <v>0</v>
      </c>
      <c r="HB92" s="6311">
        <v>1</v>
      </c>
      <c r="HC92" s="6312"/>
      <c r="HD92" s="6311">
        <v>10</v>
      </c>
      <c r="HE92" s="6311">
        <v>3</v>
      </c>
      <c r="HF92" s="6312"/>
      <c r="HG92" s="6311">
        <v>6</v>
      </c>
      <c r="HH92" s="6311">
        <v>0</v>
      </c>
      <c r="HI92" s="6311">
        <v>65</v>
      </c>
      <c r="HJ92" s="467">
        <f t="shared" si="57"/>
        <v>0.15384615384615385</v>
      </c>
      <c r="HL92" s="967"/>
      <c r="HM92" s="967"/>
      <c r="HN92" s="977" t="s">
        <v>81</v>
      </c>
      <c r="HO92" s="978">
        <v>5</v>
      </c>
      <c r="HP92" s="978">
        <v>6</v>
      </c>
      <c r="HQ92" s="967"/>
      <c r="HR92" s="978">
        <v>1</v>
      </c>
      <c r="HS92" s="978">
        <v>0</v>
      </c>
      <c r="HT92" s="978">
        <v>0</v>
      </c>
      <c r="HU92" s="978">
        <v>0</v>
      </c>
      <c r="HV92" s="978">
        <v>0</v>
      </c>
      <c r="HW92" s="967"/>
      <c r="HX92" s="978">
        <v>9</v>
      </c>
      <c r="HY92" s="978">
        <v>4</v>
      </c>
      <c r="HZ92" s="978">
        <v>8</v>
      </c>
      <c r="IA92" s="967"/>
      <c r="IB92" s="978">
        <v>33</v>
      </c>
      <c r="IC92" s="467">
        <f t="shared" si="58"/>
        <v>0.12121212121212122</v>
      </c>
      <c r="IE92" s="577"/>
      <c r="IF92" s="577"/>
      <c r="IG92" s="979" t="s">
        <v>81</v>
      </c>
      <c r="IH92" s="980">
        <v>1</v>
      </c>
      <c r="II92" s="980">
        <v>1</v>
      </c>
      <c r="IJ92" s="577"/>
      <c r="IK92" s="980">
        <v>1</v>
      </c>
      <c r="IL92" s="980">
        <v>0</v>
      </c>
      <c r="IM92" s="980">
        <v>0</v>
      </c>
      <c r="IN92" s="980">
        <v>0</v>
      </c>
      <c r="IO92" s="980">
        <v>0</v>
      </c>
      <c r="IP92" s="577"/>
      <c r="IQ92" s="980">
        <v>0</v>
      </c>
      <c r="IR92" s="980">
        <v>0</v>
      </c>
      <c r="IS92" s="980">
        <v>0</v>
      </c>
      <c r="IT92" s="577"/>
      <c r="IU92" s="980">
        <v>3</v>
      </c>
      <c r="IV92" s="467">
        <f t="shared" si="59"/>
        <v>0</v>
      </c>
      <c r="IX92" s="742"/>
      <c r="IY92" s="742"/>
      <c r="IZ92" s="973"/>
      <c r="JR92" s="97"/>
      <c r="JS92" s="97"/>
      <c r="JT92" s="42"/>
      <c r="JU92" s="42"/>
      <c r="JV92" s="42"/>
      <c r="JW92" s="42"/>
      <c r="JX92" s="42"/>
      <c r="JY92" s="42"/>
      <c r="JZ92" s="42"/>
      <c r="KA92" s="42"/>
      <c r="KB92" s="42"/>
      <c r="KC92" s="42"/>
      <c r="KD92" s="42"/>
      <c r="KE92" s="42"/>
      <c r="KF92" s="42"/>
      <c r="KG92" s="42"/>
      <c r="KH92" s="42"/>
      <c r="KI92" s="42"/>
      <c r="KJ92" s="42"/>
      <c r="KK92" s="42"/>
      <c r="KL92" s="354"/>
      <c r="KM92" s="354"/>
      <c r="LD92" s="42"/>
      <c r="LE92" s="42"/>
    </row>
    <row r="93" spans="1:317">
      <c r="B93" s="6291">
        <v>1</v>
      </c>
      <c r="C93" s="6291">
        <v>2</v>
      </c>
      <c r="D93" s="6291">
        <v>7910</v>
      </c>
      <c r="E93" s="6291">
        <v>267</v>
      </c>
      <c r="F93" s="6291">
        <v>1736</v>
      </c>
      <c r="G93" s="6291">
        <v>1361</v>
      </c>
      <c r="H93" s="6291">
        <v>240</v>
      </c>
      <c r="I93" s="6291">
        <v>1</v>
      </c>
      <c r="J93" s="6291">
        <v>38</v>
      </c>
      <c r="K93" s="6291">
        <v>743</v>
      </c>
      <c r="L93" s="6291">
        <v>4</v>
      </c>
      <c r="M93" s="6291">
        <v>584</v>
      </c>
      <c r="N93" s="6291">
        <v>748</v>
      </c>
      <c r="O93" s="6293"/>
      <c r="P93" s="6291">
        <v>2188</v>
      </c>
      <c r="Q93" s="6294">
        <f t="shared" si="78"/>
        <v>0.44437420986093551</v>
      </c>
      <c r="S93" s="6295">
        <v>4</v>
      </c>
      <c r="T93" s="6295">
        <v>6</v>
      </c>
      <c r="U93" s="6295">
        <v>144</v>
      </c>
      <c r="V93" s="6295">
        <v>378</v>
      </c>
      <c r="W93" s="6295">
        <v>13</v>
      </c>
      <c r="X93" s="6295">
        <v>48</v>
      </c>
      <c r="Y93" s="6295">
        <v>60</v>
      </c>
      <c r="Z93" s="6295">
        <v>27</v>
      </c>
      <c r="AA93" s="6296"/>
      <c r="AB93" s="6295">
        <v>1</v>
      </c>
      <c r="AC93" s="6295">
        <v>24</v>
      </c>
      <c r="AD93" s="6295">
        <v>3</v>
      </c>
      <c r="AE93" s="6295">
        <v>28</v>
      </c>
      <c r="AF93" s="6295">
        <v>41</v>
      </c>
      <c r="AG93" s="6296"/>
      <c r="AH93" s="6295">
        <v>133</v>
      </c>
      <c r="AI93" s="6294">
        <f t="shared" si="72"/>
        <v>0.48941798941798942</v>
      </c>
      <c r="AJ93" s="6350" t="s">
        <v>1075</v>
      </c>
      <c r="AK93" s="6297">
        <v>4</v>
      </c>
      <c r="AL93" s="6297">
        <v>6</v>
      </c>
      <c r="AM93" s="6297">
        <v>144</v>
      </c>
      <c r="AN93" s="6298">
        <v>378</v>
      </c>
      <c r="AO93" s="6297">
        <v>11</v>
      </c>
      <c r="AP93" s="6297">
        <v>48</v>
      </c>
      <c r="AQ93" s="6297">
        <v>73</v>
      </c>
      <c r="AR93" s="6297">
        <v>27</v>
      </c>
      <c r="AS93" s="6299"/>
      <c r="AT93" s="6297">
        <v>1</v>
      </c>
      <c r="AU93" s="6299"/>
      <c r="AV93" s="6297">
        <v>18</v>
      </c>
      <c r="AW93" s="6297">
        <v>22</v>
      </c>
      <c r="AX93" s="6297">
        <v>7</v>
      </c>
      <c r="AY93" s="6297">
        <v>41</v>
      </c>
      <c r="AZ93" s="6299"/>
      <c r="BA93" s="6299"/>
      <c r="BB93" s="6297">
        <v>130</v>
      </c>
      <c r="BC93" s="6300">
        <f t="shared" si="50"/>
        <v>0.44973544973544971</v>
      </c>
      <c r="BE93" s="6313">
        <v>4</v>
      </c>
      <c r="BF93" s="6313">
        <v>6</v>
      </c>
      <c r="BG93" s="6313">
        <v>144</v>
      </c>
      <c r="BH93" s="4405" t="s">
        <v>81</v>
      </c>
      <c r="BI93" s="6314">
        <v>342</v>
      </c>
      <c r="BJ93" s="6313">
        <v>25</v>
      </c>
      <c r="BK93" s="6313">
        <v>56</v>
      </c>
      <c r="BL93" s="6313">
        <v>57</v>
      </c>
      <c r="BM93" s="6313">
        <v>22</v>
      </c>
      <c r="BN93" s="6303"/>
      <c r="BO93" s="6313">
        <v>1</v>
      </c>
      <c r="BP93" s="6303"/>
      <c r="BQ93" s="6313">
        <v>11</v>
      </c>
      <c r="BR93" s="6313">
        <v>1</v>
      </c>
      <c r="BS93" s="6313">
        <v>38</v>
      </c>
      <c r="BT93" s="6313">
        <v>36</v>
      </c>
      <c r="BU93" s="6303"/>
      <c r="BV93" s="6303"/>
      <c r="BW93" s="6313">
        <v>95</v>
      </c>
      <c r="BX93" s="6300">
        <f t="shared" si="61"/>
        <v>0.42105263157894735</v>
      </c>
      <c r="BZ93" s="4388"/>
      <c r="CA93" s="4388"/>
      <c r="CB93" s="4388" t="s">
        <v>81</v>
      </c>
      <c r="CC93" s="4231">
        <v>48</v>
      </c>
      <c r="CD93" s="4231">
        <v>40</v>
      </c>
      <c r="CE93" s="4231"/>
      <c r="CF93" s="4231">
        <v>22</v>
      </c>
      <c r="CG93" s="4231">
        <v>90</v>
      </c>
      <c r="CH93" s="4231">
        <v>38</v>
      </c>
      <c r="CI93" s="4231">
        <v>1</v>
      </c>
      <c r="CJ93" s="4231">
        <v>0</v>
      </c>
      <c r="CK93" s="4231"/>
      <c r="CL93" s="4231">
        <v>35</v>
      </c>
      <c r="CM93" s="4231">
        <v>12</v>
      </c>
      <c r="CN93" s="4231"/>
      <c r="CO93" s="4231">
        <v>56</v>
      </c>
      <c r="CP93" s="4231"/>
      <c r="CQ93" s="4231">
        <v>342</v>
      </c>
      <c r="CR93" s="6304">
        <f t="shared" si="51"/>
        <v>0.40935672514619881</v>
      </c>
      <c r="CS93" s="4238">
        <f t="shared" si="52"/>
        <v>0</v>
      </c>
      <c r="CT93" s="6305">
        <v>342</v>
      </c>
      <c r="CU93" s="6316"/>
      <c r="CV93" s="3800"/>
      <c r="CW93" s="3800"/>
      <c r="CX93" s="6332" t="s">
        <v>15</v>
      </c>
      <c r="CY93" s="6332">
        <v>219</v>
      </c>
      <c r="CZ93" s="6332">
        <v>237</v>
      </c>
      <c r="DA93" s="6332"/>
      <c r="DB93" s="6332">
        <v>126</v>
      </c>
      <c r="DC93" s="6332">
        <v>655</v>
      </c>
      <c r="DD93" s="6332">
        <v>156</v>
      </c>
      <c r="DE93" s="6332">
        <v>242</v>
      </c>
      <c r="DF93" s="6332">
        <v>1</v>
      </c>
      <c r="DG93" s="6332">
        <v>1</v>
      </c>
      <c r="DH93" s="6332">
        <v>112</v>
      </c>
      <c r="DI93" s="6332">
        <v>199</v>
      </c>
      <c r="DJ93" s="6332"/>
      <c r="DK93" s="6332">
        <v>403</v>
      </c>
      <c r="DL93" s="6332">
        <v>1</v>
      </c>
      <c r="DM93" s="3707">
        <v>2352</v>
      </c>
      <c r="DN93" s="6333">
        <f t="shared" si="53"/>
        <v>0.42960442364951085</v>
      </c>
      <c r="DP93" s="4263"/>
      <c r="DQ93" s="4263"/>
      <c r="DR93" s="4257" t="s">
        <v>487</v>
      </c>
      <c r="DS93" s="4266">
        <v>128</v>
      </c>
      <c r="DT93" s="4266">
        <v>97</v>
      </c>
      <c r="DU93" s="4266">
        <v>2</v>
      </c>
      <c r="DV93" s="4266">
        <v>70</v>
      </c>
      <c r="DW93" s="4266">
        <v>142</v>
      </c>
      <c r="DX93" s="4266">
        <v>79</v>
      </c>
      <c r="DY93" s="4266">
        <v>34</v>
      </c>
      <c r="DZ93" s="4266">
        <v>3</v>
      </c>
      <c r="EA93" s="4266"/>
      <c r="EB93" s="4266">
        <v>127</v>
      </c>
      <c r="EC93" s="4266">
        <v>43</v>
      </c>
      <c r="ED93" s="4266"/>
      <c r="EE93" s="4266">
        <v>163</v>
      </c>
      <c r="EF93" s="4266"/>
      <c r="EG93" s="4266">
        <v>888</v>
      </c>
      <c r="EH93" s="6321">
        <f t="shared" si="54"/>
        <v>0.29729729729729731</v>
      </c>
      <c r="EL93" s="893" t="s">
        <v>256</v>
      </c>
      <c r="EM93" s="135">
        <v>346</v>
      </c>
      <c r="EN93" s="135">
        <v>231</v>
      </c>
      <c r="EO93" s="135">
        <v>2</v>
      </c>
      <c r="EP93" s="135">
        <v>14</v>
      </c>
      <c r="EQ93" s="135">
        <v>516</v>
      </c>
      <c r="ER93" s="135">
        <v>128</v>
      </c>
      <c r="ES93" s="135">
        <v>143</v>
      </c>
      <c r="ET93" s="135">
        <v>11</v>
      </c>
      <c r="EU93" s="135"/>
      <c r="EV93" s="135">
        <v>234</v>
      </c>
      <c r="EW93" s="135">
        <v>200</v>
      </c>
      <c r="EX93" s="135"/>
      <c r="EY93" s="135">
        <v>415</v>
      </c>
      <c r="EZ93" s="135"/>
      <c r="FA93" s="135">
        <v>2240</v>
      </c>
      <c r="FB93" s="6315">
        <f t="shared" si="55"/>
        <v>0.37678571428571428</v>
      </c>
      <c r="FD93" s="42"/>
      <c r="FE93" s="42"/>
      <c r="FF93" s="893" t="s">
        <v>256</v>
      </c>
      <c r="FG93" s="135">
        <v>193</v>
      </c>
      <c r="FH93" s="135">
        <v>317</v>
      </c>
      <c r="FI93" s="135"/>
      <c r="FJ93" s="135">
        <v>108</v>
      </c>
      <c r="FK93" s="135">
        <v>509</v>
      </c>
      <c r="FL93" s="135">
        <v>109</v>
      </c>
      <c r="FM93" s="135">
        <v>128</v>
      </c>
      <c r="FN93" s="135">
        <v>5</v>
      </c>
      <c r="FO93" s="135"/>
      <c r="FP93" s="135">
        <v>184</v>
      </c>
      <c r="FQ93" s="135">
        <v>161</v>
      </c>
      <c r="FR93" s="135"/>
      <c r="FS93" s="135">
        <v>384</v>
      </c>
      <c r="FT93" s="135"/>
      <c r="FU93" s="135">
        <v>2098</v>
      </c>
      <c r="FV93" s="5723">
        <f t="shared" si="45"/>
        <v>0.3713060057197331</v>
      </c>
      <c r="FW93" s="5717"/>
      <c r="FX93" s="42"/>
      <c r="FY93" s="42"/>
      <c r="FZ93" s="893" t="s">
        <v>256</v>
      </c>
      <c r="GA93" s="135">
        <v>145</v>
      </c>
      <c r="GB93" s="135">
        <v>267</v>
      </c>
      <c r="GC93" s="135"/>
      <c r="GD93" s="135">
        <v>85</v>
      </c>
      <c r="GE93" s="135">
        <v>471</v>
      </c>
      <c r="GF93" s="135">
        <v>87</v>
      </c>
      <c r="GG93" s="135">
        <v>44</v>
      </c>
      <c r="GH93" s="135">
        <v>20</v>
      </c>
      <c r="GI93" s="135"/>
      <c r="GJ93" s="135">
        <v>275</v>
      </c>
      <c r="GK93" s="135">
        <v>100</v>
      </c>
      <c r="GL93" s="135"/>
      <c r="GM93" s="135">
        <v>358</v>
      </c>
      <c r="GN93" s="135">
        <v>3</v>
      </c>
      <c r="GO93" s="135">
        <v>1855</v>
      </c>
      <c r="GP93" s="5723">
        <f t="shared" si="56"/>
        <v>0.35529157667386607</v>
      </c>
      <c r="GR93" s="6280"/>
      <c r="GS93" s="6280"/>
      <c r="GT93" s="1179" t="s">
        <v>487</v>
      </c>
      <c r="GU93" s="1180">
        <v>74</v>
      </c>
      <c r="GV93" s="1180">
        <v>84</v>
      </c>
      <c r="GW93" s="1181"/>
      <c r="GX93" s="1180">
        <v>25</v>
      </c>
      <c r="GY93" s="1180">
        <v>89</v>
      </c>
      <c r="GZ93" s="1180">
        <v>11</v>
      </c>
      <c r="HA93" s="1180">
        <v>22</v>
      </c>
      <c r="HB93" s="1180">
        <v>5</v>
      </c>
      <c r="HC93" s="1181"/>
      <c r="HD93" s="1180">
        <v>48</v>
      </c>
      <c r="HE93" s="1180">
        <v>17</v>
      </c>
      <c r="HF93" s="1181"/>
      <c r="HG93" s="1180">
        <v>92</v>
      </c>
      <c r="HH93" s="1180">
        <v>1</v>
      </c>
      <c r="HI93" s="1180">
        <v>468</v>
      </c>
      <c r="HJ93" s="456">
        <f t="shared" si="57"/>
        <v>0.25053533190578159</v>
      </c>
      <c r="HL93" s="967"/>
      <c r="HM93" s="967"/>
      <c r="HN93" s="987" t="s">
        <v>487</v>
      </c>
      <c r="HO93" s="988">
        <v>71</v>
      </c>
      <c r="HP93" s="988">
        <v>50</v>
      </c>
      <c r="HQ93" s="988"/>
      <c r="HR93" s="988">
        <v>27</v>
      </c>
      <c r="HS93" s="988">
        <v>65</v>
      </c>
      <c r="HT93" s="988">
        <v>9</v>
      </c>
      <c r="HU93" s="988">
        <v>15</v>
      </c>
      <c r="HV93" s="989">
        <v>1</v>
      </c>
      <c r="HW93" s="989"/>
      <c r="HX93" s="988">
        <v>47</v>
      </c>
      <c r="HY93" s="988">
        <v>15</v>
      </c>
      <c r="HZ93" s="988">
        <v>123</v>
      </c>
      <c r="IA93" s="988"/>
      <c r="IB93" s="988">
        <v>423</v>
      </c>
      <c r="IC93" s="990">
        <f t="shared" si="58"/>
        <v>0.21040189125295508</v>
      </c>
      <c r="IE93" s="577"/>
      <c r="IF93" s="577"/>
      <c r="IG93" s="738" t="s">
        <v>487</v>
      </c>
      <c r="IH93" s="991">
        <v>87</v>
      </c>
      <c r="II93" s="991">
        <v>30</v>
      </c>
      <c r="IJ93" s="6261"/>
      <c r="IK93" s="991">
        <v>20</v>
      </c>
      <c r="IL93" s="991">
        <v>47</v>
      </c>
      <c r="IM93" s="991">
        <v>9</v>
      </c>
      <c r="IN93" s="991">
        <v>15</v>
      </c>
      <c r="IO93" s="991">
        <v>1</v>
      </c>
      <c r="IP93" s="6261"/>
      <c r="IQ93" s="991">
        <v>11</v>
      </c>
      <c r="IR93" s="991">
        <v>9</v>
      </c>
      <c r="IS93" s="991">
        <v>88</v>
      </c>
      <c r="IT93" s="6261"/>
      <c r="IU93" s="991">
        <v>317</v>
      </c>
      <c r="IV93" s="456">
        <f t="shared" si="59"/>
        <v>0.20504731861198738</v>
      </c>
      <c r="JA93" s="6957" t="s">
        <v>1305</v>
      </c>
      <c r="JB93" s="6958"/>
      <c r="JC93" s="6958"/>
      <c r="JD93" s="6958"/>
      <c r="JE93" s="6958"/>
      <c r="JF93" s="6958"/>
      <c r="JG93" s="6958"/>
      <c r="JH93" s="6958"/>
      <c r="JI93" s="6958"/>
      <c r="JJ93" s="6958"/>
      <c r="JK93" s="6958"/>
      <c r="JL93" s="6958"/>
      <c r="JM93" s="6958"/>
      <c r="JN93" s="6958"/>
      <c r="JO93" s="6959"/>
      <c r="JR93" s="97"/>
      <c r="JS93" s="97" t="s">
        <v>315</v>
      </c>
      <c r="JT93" s="42" t="s">
        <v>315</v>
      </c>
      <c r="JU93" s="6960" t="s">
        <v>1306</v>
      </c>
      <c r="JV93" s="6961"/>
      <c r="JW93" s="6961"/>
      <c r="JX93" s="6961"/>
      <c r="JY93" s="6961"/>
      <c r="JZ93" s="6961"/>
      <c r="KA93" s="6961"/>
      <c r="KB93" s="6961"/>
      <c r="KC93" s="6961"/>
      <c r="KD93" s="6961"/>
      <c r="KE93" s="6961"/>
      <c r="KF93" s="6961"/>
      <c r="KG93" s="6961"/>
      <c r="KH93" s="6961"/>
      <c r="KI93" s="6962"/>
      <c r="KJ93" s="42"/>
      <c r="KK93" s="42"/>
      <c r="KL93" s="354"/>
      <c r="KM93" s="354"/>
      <c r="KN93" s="354"/>
      <c r="KO93" s="6947" t="s">
        <v>1070</v>
      </c>
      <c r="KP93" s="6947"/>
      <c r="KQ93" s="6947"/>
      <c r="KR93" s="6947"/>
      <c r="KS93" s="6947"/>
      <c r="KT93" s="6947"/>
      <c r="KU93" s="6947"/>
      <c r="KV93" s="6947"/>
      <c r="KW93" s="6947"/>
      <c r="KX93" s="6947"/>
      <c r="KY93" s="6947"/>
      <c r="KZ93" s="6947"/>
      <c r="LA93" s="6947"/>
      <c r="LB93" s="354"/>
      <c r="LC93" s="354"/>
      <c r="LD93" s="42"/>
      <c r="LE93" s="42"/>
    </row>
    <row r="94" spans="1:317" ht="15.75" customHeight="1" thickBot="1">
      <c r="B94" s="6291">
        <v>1</v>
      </c>
      <c r="C94" s="6291">
        <v>4</v>
      </c>
      <c r="D94" s="6291">
        <v>4205</v>
      </c>
      <c r="E94" s="6291">
        <v>69</v>
      </c>
      <c r="F94" s="6291">
        <v>704</v>
      </c>
      <c r="G94" s="6291">
        <v>696</v>
      </c>
      <c r="H94" s="6291">
        <v>119</v>
      </c>
      <c r="I94" s="6293"/>
      <c r="J94" s="6291">
        <v>58</v>
      </c>
      <c r="K94" s="6291">
        <v>676</v>
      </c>
      <c r="L94" s="6293"/>
      <c r="M94" s="6291">
        <v>367</v>
      </c>
      <c r="N94" s="6291">
        <v>291</v>
      </c>
      <c r="O94" s="6293"/>
      <c r="P94" s="6291">
        <v>1225</v>
      </c>
      <c r="Q94" s="6294">
        <f t="shared" si="78"/>
        <v>0.53935790725326993</v>
      </c>
      <c r="S94" s="6295"/>
      <c r="T94" s="6295"/>
      <c r="U94" s="6295"/>
      <c r="V94" s="6317">
        <f>SUM(V90:V93)</f>
        <v>1133</v>
      </c>
      <c r="W94" s="6317">
        <f t="shared" ref="W94:AH94" si="79">SUM(W90:W93)</f>
        <v>49</v>
      </c>
      <c r="X94" s="6317">
        <f t="shared" si="79"/>
        <v>167</v>
      </c>
      <c r="Y94" s="6317">
        <f t="shared" si="79"/>
        <v>259</v>
      </c>
      <c r="Z94" s="6317">
        <f t="shared" si="79"/>
        <v>74</v>
      </c>
      <c r="AA94" s="6317">
        <f t="shared" si="79"/>
        <v>1</v>
      </c>
      <c r="AB94" s="6317">
        <f t="shared" si="79"/>
        <v>8</v>
      </c>
      <c r="AC94" s="6317">
        <f t="shared" si="79"/>
        <v>79</v>
      </c>
      <c r="AD94" s="6317">
        <f t="shared" si="79"/>
        <v>12</v>
      </c>
      <c r="AE94" s="6317">
        <f t="shared" si="79"/>
        <v>58</v>
      </c>
      <c r="AF94" s="6317">
        <f t="shared" si="79"/>
        <v>169</v>
      </c>
      <c r="AG94" s="6317">
        <f t="shared" si="79"/>
        <v>0</v>
      </c>
      <c r="AH94" s="6317">
        <f t="shared" si="79"/>
        <v>257</v>
      </c>
      <c r="AI94" s="6294">
        <f t="shared" si="72"/>
        <v>0.34774933804060015</v>
      </c>
      <c r="AJ94" s="6295">
        <v>645</v>
      </c>
      <c r="AK94" s="6297"/>
      <c r="AL94" s="6297"/>
      <c r="AM94" s="6297"/>
      <c r="AN94" s="6298">
        <f>SUM(AN90:AN93)</f>
        <v>1133</v>
      </c>
      <c r="AO94" s="6298">
        <f t="shared" ref="AO94:BB94" si="80">SUM(AO90:AO93)</f>
        <v>54</v>
      </c>
      <c r="AP94" s="6298">
        <f t="shared" si="80"/>
        <v>167</v>
      </c>
      <c r="AQ94" s="6298">
        <f t="shared" si="80"/>
        <v>303</v>
      </c>
      <c r="AR94" s="6298">
        <f t="shared" si="80"/>
        <v>74</v>
      </c>
      <c r="AS94" s="6298">
        <f t="shared" si="80"/>
        <v>1</v>
      </c>
      <c r="AT94" s="6298">
        <f t="shared" si="80"/>
        <v>8</v>
      </c>
      <c r="AU94" s="6298">
        <f t="shared" si="80"/>
        <v>0</v>
      </c>
      <c r="AV94" s="6298">
        <f t="shared" si="80"/>
        <v>52</v>
      </c>
      <c r="AW94" s="6298">
        <f t="shared" si="80"/>
        <v>45</v>
      </c>
      <c r="AX94" s="6298">
        <f t="shared" si="80"/>
        <v>8</v>
      </c>
      <c r="AY94" s="6298">
        <f t="shared" si="80"/>
        <v>169</v>
      </c>
      <c r="AZ94" s="6298">
        <f t="shared" si="80"/>
        <v>0</v>
      </c>
      <c r="BA94" s="6298">
        <f t="shared" si="80"/>
        <v>0</v>
      </c>
      <c r="BB94" s="6298">
        <f t="shared" si="80"/>
        <v>252</v>
      </c>
      <c r="BC94" s="6323">
        <f t="shared" si="50"/>
        <v>0.30803177405119153</v>
      </c>
      <c r="BE94" s="6313"/>
      <c r="BF94" s="6313"/>
      <c r="BG94" s="6313"/>
      <c r="BH94" s="6319" t="s">
        <v>487</v>
      </c>
      <c r="BI94" s="6314">
        <f>SUM(BI90:BI93)</f>
        <v>1026</v>
      </c>
      <c r="BJ94" s="6314">
        <f t="shared" ref="BJ94:BW94" si="81">SUM(BJ90:BJ93)</f>
        <v>75</v>
      </c>
      <c r="BK94" s="6314">
        <f t="shared" si="81"/>
        <v>199</v>
      </c>
      <c r="BL94" s="6314">
        <f t="shared" si="81"/>
        <v>235</v>
      </c>
      <c r="BM94" s="6314">
        <f t="shared" si="81"/>
        <v>70</v>
      </c>
      <c r="BN94" s="6314">
        <f t="shared" si="81"/>
        <v>0</v>
      </c>
      <c r="BO94" s="6314">
        <f t="shared" si="81"/>
        <v>5</v>
      </c>
      <c r="BP94" s="6314">
        <f t="shared" si="81"/>
        <v>0</v>
      </c>
      <c r="BQ94" s="6314">
        <f t="shared" si="81"/>
        <v>50</v>
      </c>
      <c r="BR94" s="6314">
        <f t="shared" si="81"/>
        <v>6</v>
      </c>
      <c r="BS94" s="6314">
        <f t="shared" si="81"/>
        <v>83</v>
      </c>
      <c r="BT94" s="6314">
        <f t="shared" si="81"/>
        <v>121</v>
      </c>
      <c r="BU94" s="6314">
        <f t="shared" si="81"/>
        <v>0</v>
      </c>
      <c r="BV94" s="6314">
        <f t="shared" si="81"/>
        <v>0</v>
      </c>
      <c r="BW94" s="6314">
        <f t="shared" si="81"/>
        <v>182</v>
      </c>
      <c r="BX94" s="6300">
        <f t="shared" si="61"/>
        <v>0.30701754385964913</v>
      </c>
      <c r="BZ94" s="4388"/>
      <c r="CA94" s="4388"/>
      <c r="CB94" s="6276" t="s">
        <v>487</v>
      </c>
      <c r="CC94" s="6320">
        <v>244</v>
      </c>
      <c r="CD94" s="6320">
        <v>116</v>
      </c>
      <c r="CE94" s="6320"/>
      <c r="CF94" s="6320">
        <v>70</v>
      </c>
      <c r="CG94" s="6320">
        <v>171</v>
      </c>
      <c r="CH94" s="6320">
        <v>79</v>
      </c>
      <c r="CI94" s="6320">
        <v>5</v>
      </c>
      <c r="CJ94" s="6320">
        <v>2</v>
      </c>
      <c r="CK94" s="6320"/>
      <c r="CL94" s="6320">
        <v>92</v>
      </c>
      <c r="CM94" s="6320">
        <v>48</v>
      </c>
      <c r="CN94" s="6320"/>
      <c r="CO94" s="6320">
        <v>199</v>
      </c>
      <c r="CP94" s="6320"/>
      <c r="CQ94" s="6320">
        <v>1026</v>
      </c>
      <c r="CR94" s="6304">
        <f t="shared" si="51"/>
        <v>0.29044834307992201</v>
      </c>
      <c r="CS94" s="4238"/>
      <c r="CT94" s="6305"/>
      <c r="CU94" s="6316"/>
      <c r="CV94" s="97" t="s">
        <v>240</v>
      </c>
      <c r="CW94" s="97" t="s">
        <v>4</v>
      </c>
      <c r="CX94" s="42" t="s">
        <v>1450</v>
      </c>
      <c r="CY94" s="42">
        <v>9</v>
      </c>
      <c r="CZ94" s="42">
        <v>5</v>
      </c>
      <c r="DB94" s="42">
        <v>17</v>
      </c>
      <c r="DC94" s="42">
        <v>41</v>
      </c>
      <c r="DD94" s="42">
        <v>17</v>
      </c>
      <c r="DE94" s="42">
        <v>11</v>
      </c>
      <c r="DF94" s="42">
        <v>1</v>
      </c>
      <c r="DH94" s="42">
        <v>4</v>
      </c>
      <c r="DI94" s="42">
        <v>8</v>
      </c>
      <c r="DK94" s="42">
        <v>36</v>
      </c>
      <c r="DM94" s="893">
        <v>149</v>
      </c>
      <c r="DN94" s="6306">
        <f t="shared" si="53"/>
        <v>0.44295302013422821</v>
      </c>
      <c r="DP94" s="4263"/>
      <c r="DQ94" s="4263"/>
      <c r="DR94" s="4268" t="s">
        <v>256</v>
      </c>
      <c r="DS94" s="4269">
        <v>358</v>
      </c>
      <c r="DT94" s="4269">
        <v>298</v>
      </c>
      <c r="DU94" s="4269">
        <v>2</v>
      </c>
      <c r="DV94" s="4269">
        <v>141</v>
      </c>
      <c r="DW94" s="4269">
        <v>428</v>
      </c>
      <c r="DX94" s="4269">
        <v>192</v>
      </c>
      <c r="DY94" s="4269">
        <v>122</v>
      </c>
      <c r="DZ94" s="4269">
        <v>27</v>
      </c>
      <c r="EA94" s="4269">
        <v>1</v>
      </c>
      <c r="EB94" s="4269">
        <v>355</v>
      </c>
      <c r="EC94" s="4269">
        <v>248</v>
      </c>
      <c r="ED94" s="4269"/>
      <c r="EE94" s="4269">
        <v>431</v>
      </c>
      <c r="EF94" s="4269">
        <v>1</v>
      </c>
      <c r="EG94" s="4269">
        <v>2604</v>
      </c>
      <c r="EH94" s="6334">
        <f t="shared" si="54"/>
        <v>0.33346139070303493</v>
      </c>
      <c r="EJ94" s="42" t="s">
        <v>240</v>
      </c>
      <c r="EK94" s="42" t="s">
        <v>4</v>
      </c>
      <c r="EL94" s="42" t="s">
        <v>1450</v>
      </c>
      <c r="EM94" s="97">
        <v>22</v>
      </c>
      <c r="EN94" s="97">
        <v>13</v>
      </c>
      <c r="EO94" s="97"/>
      <c r="EP94" s="97">
        <v>1</v>
      </c>
      <c r="EQ94" s="97">
        <v>34</v>
      </c>
      <c r="ER94" s="97">
        <v>10</v>
      </c>
      <c r="ES94" s="97">
        <v>9</v>
      </c>
      <c r="ET94" s="97">
        <v>1</v>
      </c>
      <c r="EU94" s="97"/>
      <c r="EV94" s="97">
        <v>2</v>
      </c>
      <c r="EW94" s="97">
        <v>9</v>
      </c>
      <c r="EX94" s="97"/>
      <c r="EY94" s="97">
        <v>31</v>
      </c>
      <c r="EZ94" s="97"/>
      <c r="FA94" s="97">
        <v>132</v>
      </c>
      <c r="FB94" s="6315">
        <f t="shared" si="55"/>
        <v>0.40151515151515149</v>
      </c>
      <c r="FD94" s="42" t="s">
        <v>240</v>
      </c>
      <c r="FE94" s="42" t="s">
        <v>4</v>
      </c>
      <c r="FF94" s="42" t="s">
        <v>1450</v>
      </c>
      <c r="FG94" s="97">
        <v>18</v>
      </c>
      <c r="FH94" s="97">
        <v>5</v>
      </c>
      <c r="FI94" s="97"/>
      <c r="FJ94" s="97">
        <v>10</v>
      </c>
      <c r="FK94" s="97">
        <v>24</v>
      </c>
      <c r="FL94" s="97">
        <v>12</v>
      </c>
      <c r="FM94" s="97">
        <v>9</v>
      </c>
      <c r="FN94" s="97"/>
      <c r="FO94" s="97"/>
      <c r="FP94" s="97">
        <v>1</v>
      </c>
      <c r="FQ94" s="97">
        <v>7</v>
      </c>
      <c r="FR94" s="97"/>
      <c r="FS94" s="97">
        <v>24</v>
      </c>
      <c r="FT94" s="97"/>
      <c r="FU94" s="97">
        <v>110</v>
      </c>
      <c r="FV94" s="6308">
        <f t="shared" si="45"/>
        <v>0.39090909090909093</v>
      </c>
      <c r="FW94" s="6322"/>
      <c r="FX94" s="42" t="s">
        <v>240</v>
      </c>
      <c r="FY94" s="42" t="s">
        <v>4</v>
      </c>
      <c r="FZ94" s="42" t="s">
        <v>1450</v>
      </c>
      <c r="GA94" s="97">
        <v>8</v>
      </c>
      <c r="GB94" s="97">
        <v>8</v>
      </c>
      <c r="GC94" s="97"/>
      <c r="GD94" s="97">
        <v>2</v>
      </c>
      <c r="GE94" s="97">
        <v>21</v>
      </c>
      <c r="GF94" s="97">
        <v>8</v>
      </c>
      <c r="GG94" s="97">
        <v>8</v>
      </c>
      <c r="GH94" s="97"/>
      <c r="GI94" s="97"/>
      <c r="GJ94" s="97">
        <v>2</v>
      </c>
      <c r="GK94" s="97">
        <v>1</v>
      </c>
      <c r="GL94" s="97"/>
      <c r="GM94" s="97">
        <v>12</v>
      </c>
      <c r="GN94" s="97"/>
      <c r="GO94" s="97">
        <v>70</v>
      </c>
      <c r="GP94" s="6308">
        <f t="shared" si="56"/>
        <v>0.42857142857142855</v>
      </c>
      <c r="GR94" s="6280"/>
      <c r="GS94" s="6280"/>
      <c r="GT94" s="1179" t="s">
        <v>256</v>
      </c>
      <c r="GU94" s="1180">
        <v>188</v>
      </c>
      <c r="GV94" s="1180">
        <v>289</v>
      </c>
      <c r="GW94" s="1181"/>
      <c r="GX94" s="1180">
        <v>69</v>
      </c>
      <c r="GY94" s="1180">
        <v>477</v>
      </c>
      <c r="GZ94" s="1180">
        <v>58</v>
      </c>
      <c r="HA94" s="1180">
        <v>72</v>
      </c>
      <c r="HB94" s="1180">
        <v>8</v>
      </c>
      <c r="HC94" s="1181"/>
      <c r="HD94" s="1180">
        <v>146</v>
      </c>
      <c r="HE94" s="1180">
        <v>91</v>
      </c>
      <c r="HF94" s="1181"/>
      <c r="HG94" s="1180">
        <v>295</v>
      </c>
      <c r="HH94" s="1180">
        <v>3</v>
      </c>
      <c r="HI94" s="1180">
        <v>1696</v>
      </c>
      <c r="HJ94" s="456">
        <f t="shared" si="57"/>
        <v>0.36975782634376847</v>
      </c>
      <c r="HL94" s="967"/>
      <c r="HM94" s="967"/>
      <c r="HN94" s="1001" t="s">
        <v>256</v>
      </c>
      <c r="HO94" s="1002">
        <v>165</v>
      </c>
      <c r="HP94" s="1002">
        <v>178</v>
      </c>
      <c r="HQ94" s="1002"/>
      <c r="HR94" s="1002">
        <v>82</v>
      </c>
      <c r="HS94" s="1002">
        <v>380</v>
      </c>
      <c r="HT94" s="1002">
        <v>44</v>
      </c>
      <c r="HU94" s="1002">
        <v>35</v>
      </c>
      <c r="HV94" s="6262">
        <v>1</v>
      </c>
      <c r="HW94" s="1002"/>
      <c r="HX94" s="1002">
        <v>185</v>
      </c>
      <c r="HY94" s="1002">
        <v>102</v>
      </c>
      <c r="HZ94" s="1002">
        <v>349</v>
      </c>
      <c r="IA94" s="1002"/>
      <c r="IB94" s="1002">
        <v>1521</v>
      </c>
      <c r="IC94" s="1003">
        <f t="shared" si="58"/>
        <v>0.34582511505588431</v>
      </c>
      <c r="IE94" s="577"/>
      <c r="IF94" s="577"/>
      <c r="IG94" s="738" t="s">
        <v>256</v>
      </c>
      <c r="IH94" s="991">
        <v>243</v>
      </c>
      <c r="II94" s="991">
        <v>144</v>
      </c>
      <c r="IJ94" s="6261"/>
      <c r="IK94" s="991">
        <v>64</v>
      </c>
      <c r="IL94" s="991">
        <v>296</v>
      </c>
      <c r="IM94" s="991">
        <v>49</v>
      </c>
      <c r="IN94" s="991">
        <v>32</v>
      </c>
      <c r="IO94" s="991">
        <v>7</v>
      </c>
      <c r="IP94" s="6261"/>
      <c r="IQ94" s="991">
        <v>55</v>
      </c>
      <c r="IR94" s="991">
        <v>77</v>
      </c>
      <c r="IS94" s="991">
        <v>240</v>
      </c>
      <c r="IT94" s="6261"/>
      <c r="IU94" s="991">
        <v>1207</v>
      </c>
      <c r="IV94" s="456">
        <f t="shared" si="59"/>
        <v>0.3496271748135874</v>
      </c>
      <c r="IZ94" s="388" t="s">
        <v>0</v>
      </c>
      <c r="JA94" s="863" t="s">
        <v>1071</v>
      </c>
      <c r="JB94" s="641" t="s">
        <v>1072</v>
      </c>
      <c r="JC94" s="641" t="s">
        <v>1073</v>
      </c>
      <c r="JD94" s="641" t="s">
        <v>1074</v>
      </c>
      <c r="JE94" s="641" t="s">
        <v>1075</v>
      </c>
      <c r="JF94" s="641" t="s">
        <v>1076</v>
      </c>
      <c r="JG94" s="641" t="s">
        <v>1077</v>
      </c>
      <c r="JH94" s="641" t="s">
        <v>1079</v>
      </c>
      <c r="JI94" s="641" t="s">
        <v>1080</v>
      </c>
      <c r="JJ94" s="641" t="s">
        <v>1081</v>
      </c>
      <c r="JK94" s="641" t="s">
        <v>1084</v>
      </c>
      <c r="JL94" s="641" t="s">
        <v>1082</v>
      </c>
      <c r="JM94" s="641" t="s">
        <v>1083</v>
      </c>
      <c r="JN94" s="641" t="s">
        <v>1085</v>
      </c>
      <c r="JO94" s="863" t="s">
        <v>71</v>
      </c>
      <c r="JP94" s="975" t="s">
        <v>66</v>
      </c>
      <c r="JR94" s="97"/>
      <c r="JS94" s="97"/>
      <c r="JT94" s="388" t="s">
        <v>0</v>
      </c>
      <c r="JU94" s="653" t="s">
        <v>1071</v>
      </c>
      <c r="JV94" s="653" t="s">
        <v>1072</v>
      </c>
      <c r="JW94" s="653" t="s">
        <v>1073</v>
      </c>
      <c r="JX94" s="653" t="s">
        <v>1074</v>
      </c>
      <c r="JY94" s="653" t="s">
        <v>1075</v>
      </c>
      <c r="JZ94" s="653" t="s">
        <v>1076</v>
      </c>
      <c r="KA94" s="653" t="s">
        <v>1077</v>
      </c>
      <c r="KB94" s="653" t="s">
        <v>1079</v>
      </c>
      <c r="KC94" s="653" t="s">
        <v>1080</v>
      </c>
      <c r="KD94" s="653" t="s">
        <v>1081</v>
      </c>
      <c r="KE94" s="653" t="s">
        <v>1084</v>
      </c>
      <c r="KF94" s="653" t="s">
        <v>1082</v>
      </c>
      <c r="KG94" s="653" t="s">
        <v>1083</v>
      </c>
      <c r="KH94" s="653" t="s">
        <v>1085</v>
      </c>
      <c r="KI94" s="653" t="s">
        <v>15</v>
      </c>
      <c r="KJ94" s="867" t="s">
        <v>66</v>
      </c>
      <c r="KK94" s="42"/>
      <c r="KL94" s="354"/>
      <c r="KM94" s="354"/>
      <c r="KN94" s="1008" t="s">
        <v>0</v>
      </c>
      <c r="KO94" s="1008" t="s">
        <v>1071</v>
      </c>
      <c r="KP94" s="976" t="s">
        <v>1072</v>
      </c>
      <c r="KQ94" s="1008" t="s">
        <v>1073</v>
      </c>
      <c r="KR94" s="976" t="s">
        <v>1074</v>
      </c>
      <c r="KS94" s="1008" t="s">
        <v>1075</v>
      </c>
      <c r="KT94" s="1008" t="s">
        <v>1076</v>
      </c>
      <c r="KU94" s="976" t="s">
        <v>1077</v>
      </c>
      <c r="KV94" s="976" t="s">
        <v>1079</v>
      </c>
      <c r="KW94" s="976" t="s">
        <v>1080</v>
      </c>
      <c r="KX94" s="976" t="s">
        <v>1081</v>
      </c>
      <c r="KY94" s="1008" t="s">
        <v>1082</v>
      </c>
      <c r="KZ94" s="976" t="s">
        <v>1083</v>
      </c>
      <c r="LA94" s="1017" t="s">
        <v>15</v>
      </c>
      <c r="LB94" s="976" t="s">
        <v>1086</v>
      </c>
      <c r="LC94" s="976" t="s">
        <v>66</v>
      </c>
      <c r="LD94" s="42"/>
      <c r="LE94" s="42"/>
    </row>
    <row r="95" spans="1:317" ht="15" thickBot="1">
      <c r="B95" s="6291">
        <v>2</v>
      </c>
      <c r="C95" s="6291">
        <v>1</v>
      </c>
      <c r="D95" s="6291">
        <v>4915</v>
      </c>
      <c r="E95" s="6291">
        <v>86</v>
      </c>
      <c r="F95" s="6291">
        <v>1407</v>
      </c>
      <c r="G95" s="6291">
        <v>1145</v>
      </c>
      <c r="H95" s="6291">
        <v>507</v>
      </c>
      <c r="I95" s="6293"/>
      <c r="J95" s="6291">
        <v>126</v>
      </c>
      <c r="K95" s="6291">
        <v>154</v>
      </c>
      <c r="L95" s="6293"/>
      <c r="M95" s="6291">
        <v>107</v>
      </c>
      <c r="N95" s="6291">
        <v>379</v>
      </c>
      <c r="O95" s="6293"/>
      <c r="P95" s="6291">
        <v>1004</v>
      </c>
      <c r="Q95" s="6294">
        <f t="shared" si="78"/>
        <v>0.25737538148524924</v>
      </c>
      <c r="S95" s="6340"/>
      <c r="T95" s="6340"/>
      <c r="U95" s="6340"/>
      <c r="V95" s="6351">
        <f>SUM(V94,V89,V85)</f>
        <v>3334</v>
      </c>
      <c r="W95" s="6351">
        <f t="shared" ref="W95:AH95" si="82">SUM(W94,W89,W85)</f>
        <v>202</v>
      </c>
      <c r="X95" s="6351">
        <f t="shared" si="82"/>
        <v>451</v>
      </c>
      <c r="Y95" s="6351">
        <f t="shared" si="82"/>
        <v>638</v>
      </c>
      <c r="Z95" s="6351">
        <f t="shared" si="82"/>
        <v>170</v>
      </c>
      <c r="AA95" s="6351">
        <f t="shared" si="82"/>
        <v>3</v>
      </c>
      <c r="AB95" s="6351">
        <f t="shared" si="82"/>
        <v>17</v>
      </c>
      <c r="AC95" s="6351">
        <f t="shared" si="82"/>
        <v>337</v>
      </c>
      <c r="AD95" s="6351">
        <f t="shared" si="82"/>
        <v>26</v>
      </c>
      <c r="AE95" s="6351">
        <f t="shared" si="82"/>
        <v>208</v>
      </c>
      <c r="AF95" s="6351">
        <f t="shared" si="82"/>
        <v>550</v>
      </c>
      <c r="AG95" s="6351">
        <f t="shared" si="82"/>
        <v>0</v>
      </c>
      <c r="AH95" s="6351">
        <f t="shared" si="82"/>
        <v>732</v>
      </c>
      <c r="AI95" s="6352">
        <f t="shared" si="72"/>
        <v>0.38302339532093582</v>
      </c>
      <c r="AK95" s="6297"/>
      <c r="AL95" s="6297"/>
      <c r="AM95" s="6297"/>
      <c r="AN95" s="6327">
        <f>SUM(AN94,AN89,AN85)</f>
        <v>3335</v>
      </c>
      <c r="AO95" s="6327">
        <f t="shared" ref="AO95:BB95" si="83">SUM(AO94,AO89,AO85)</f>
        <v>205</v>
      </c>
      <c r="AP95" s="6327">
        <f t="shared" si="83"/>
        <v>452</v>
      </c>
      <c r="AQ95" s="6327">
        <f t="shared" si="83"/>
        <v>726</v>
      </c>
      <c r="AR95" s="6327">
        <f t="shared" si="83"/>
        <v>170</v>
      </c>
      <c r="AS95" s="6327">
        <f t="shared" si="83"/>
        <v>3</v>
      </c>
      <c r="AT95" s="6327">
        <f t="shared" si="83"/>
        <v>17</v>
      </c>
      <c r="AU95" s="6327">
        <f t="shared" si="83"/>
        <v>2</v>
      </c>
      <c r="AV95" s="6327">
        <f t="shared" si="83"/>
        <v>281</v>
      </c>
      <c r="AW95" s="6327">
        <f t="shared" si="83"/>
        <v>176</v>
      </c>
      <c r="AX95" s="6327">
        <f t="shared" si="83"/>
        <v>9</v>
      </c>
      <c r="AY95" s="6327">
        <f t="shared" si="83"/>
        <v>590</v>
      </c>
      <c r="AZ95" s="6327">
        <f t="shared" si="83"/>
        <v>0</v>
      </c>
      <c r="BA95" s="6327">
        <f t="shared" si="83"/>
        <v>0</v>
      </c>
      <c r="BB95" s="6327">
        <f t="shared" si="83"/>
        <v>704</v>
      </c>
      <c r="BC95" s="6328">
        <f t="shared" si="50"/>
        <v>0.34833483348334832</v>
      </c>
      <c r="BE95" s="6313"/>
      <c r="BF95" s="6313"/>
      <c r="BG95" s="6313"/>
      <c r="BH95" s="6329" t="s">
        <v>256</v>
      </c>
      <c r="BI95" s="6330">
        <f>SUM(BI94,BI89,BI85)</f>
        <v>3005</v>
      </c>
      <c r="BJ95" s="6330">
        <f t="shared" ref="BJ95:BW95" si="84">SUM(BJ94,BJ89,BJ85)</f>
        <v>202</v>
      </c>
      <c r="BK95" s="6330">
        <f t="shared" si="84"/>
        <v>538</v>
      </c>
      <c r="BL95" s="6330">
        <f t="shared" si="84"/>
        <v>580</v>
      </c>
      <c r="BM95" s="6330">
        <f t="shared" si="84"/>
        <v>160</v>
      </c>
      <c r="BN95" s="6330">
        <f t="shared" si="84"/>
        <v>2</v>
      </c>
      <c r="BO95" s="6330">
        <f t="shared" si="84"/>
        <v>11</v>
      </c>
      <c r="BP95" s="6330">
        <f t="shared" si="84"/>
        <v>2</v>
      </c>
      <c r="BQ95" s="6330">
        <f t="shared" si="84"/>
        <v>252</v>
      </c>
      <c r="BR95" s="6330">
        <f t="shared" si="84"/>
        <v>19</v>
      </c>
      <c r="BS95" s="6330">
        <f t="shared" si="84"/>
        <v>295</v>
      </c>
      <c r="BT95" s="6330">
        <f t="shared" si="84"/>
        <v>432</v>
      </c>
      <c r="BU95" s="6330">
        <f t="shared" si="84"/>
        <v>0</v>
      </c>
      <c r="BV95" s="6330">
        <f t="shared" si="84"/>
        <v>0</v>
      </c>
      <c r="BW95" s="6330">
        <f t="shared" si="84"/>
        <v>512</v>
      </c>
      <c r="BX95" s="6300">
        <f t="shared" si="61"/>
        <v>0.35264735264735264</v>
      </c>
      <c r="BZ95" s="4388"/>
      <c r="CA95" s="4388"/>
      <c r="CB95" s="6276" t="s">
        <v>256</v>
      </c>
      <c r="CC95" s="6320">
        <v>598</v>
      </c>
      <c r="CD95" s="6320">
        <v>427</v>
      </c>
      <c r="CE95" s="6320">
        <v>1</v>
      </c>
      <c r="CF95" s="6320">
        <v>160</v>
      </c>
      <c r="CG95" s="6320">
        <v>453</v>
      </c>
      <c r="CH95" s="6320">
        <v>264</v>
      </c>
      <c r="CI95" s="6320">
        <v>11</v>
      </c>
      <c r="CJ95" s="6320">
        <v>21</v>
      </c>
      <c r="CK95" s="6320">
        <v>2</v>
      </c>
      <c r="CL95" s="6320">
        <v>278</v>
      </c>
      <c r="CM95" s="6320">
        <v>251</v>
      </c>
      <c r="CN95" s="6320"/>
      <c r="CO95" s="6320">
        <v>541</v>
      </c>
      <c r="CP95" s="6320">
        <v>2</v>
      </c>
      <c r="CQ95" s="6320">
        <v>3009</v>
      </c>
      <c r="CR95" s="6304">
        <f t="shared" si="51"/>
        <v>0.32191553042899901</v>
      </c>
      <c r="CS95" s="4238"/>
      <c r="CT95" s="6305"/>
      <c r="CU95" s="6316"/>
      <c r="CX95" s="42" t="s">
        <v>15</v>
      </c>
      <c r="CY95" s="42">
        <v>9</v>
      </c>
      <c r="CZ95" s="42">
        <v>5</v>
      </c>
      <c r="DB95" s="42">
        <v>17</v>
      </c>
      <c r="DC95" s="42">
        <v>41</v>
      </c>
      <c r="DD95" s="42">
        <v>17</v>
      </c>
      <c r="DE95" s="42">
        <v>11</v>
      </c>
      <c r="DF95" s="42">
        <v>1</v>
      </c>
      <c r="DH95" s="42">
        <v>4</v>
      </c>
      <c r="DI95" s="42">
        <v>8</v>
      </c>
      <c r="DK95" s="42">
        <v>36</v>
      </c>
      <c r="DM95" s="893">
        <v>149</v>
      </c>
      <c r="DN95" s="6306">
        <f t="shared" si="53"/>
        <v>0.44295302013422821</v>
      </c>
      <c r="DP95" s="4263" t="s">
        <v>240</v>
      </c>
      <c r="DQ95" s="4263" t="s">
        <v>4</v>
      </c>
      <c r="DR95" s="4258" t="s">
        <v>1450</v>
      </c>
      <c r="DS95" s="4263">
        <v>43</v>
      </c>
      <c r="DT95" s="4263">
        <v>19</v>
      </c>
      <c r="DU95" s="4263"/>
      <c r="DV95" s="4263">
        <v>22</v>
      </c>
      <c r="DW95" s="4263">
        <v>36</v>
      </c>
      <c r="DX95" s="4263">
        <v>20</v>
      </c>
      <c r="DY95" s="4263">
        <v>11</v>
      </c>
      <c r="DZ95" s="4263"/>
      <c r="EA95" s="4263">
        <v>1</v>
      </c>
      <c r="EB95" s="4263">
        <v>6</v>
      </c>
      <c r="EC95" s="4263">
        <v>9</v>
      </c>
      <c r="ED95" s="4263"/>
      <c r="EE95" s="4263">
        <v>41</v>
      </c>
      <c r="EF95" s="4263"/>
      <c r="EG95" s="4263">
        <v>208</v>
      </c>
      <c r="EH95" s="6307">
        <f t="shared" si="54"/>
        <v>0.3125</v>
      </c>
      <c r="EL95" s="893" t="s">
        <v>482</v>
      </c>
      <c r="EM95" s="135">
        <v>22</v>
      </c>
      <c r="EN95" s="135">
        <v>13</v>
      </c>
      <c r="EO95" s="135"/>
      <c r="EP95" s="135">
        <v>1</v>
      </c>
      <c r="EQ95" s="135">
        <v>34</v>
      </c>
      <c r="ER95" s="135">
        <v>10</v>
      </c>
      <c r="ES95" s="135">
        <v>9</v>
      </c>
      <c r="ET95" s="135">
        <v>1</v>
      </c>
      <c r="EU95" s="135"/>
      <c r="EV95" s="135">
        <v>2</v>
      </c>
      <c r="EW95" s="135">
        <v>9</v>
      </c>
      <c r="EX95" s="135"/>
      <c r="EY95" s="135">
        <v>31</v>
      </c>
      <c r="EZ95" s="135"/>
      <c r="FA95" s="135">
        <v>132</v>
      </c>
      <c r="FB95" s="6315">
        <f t="shared" si="55"/>
        <v>0.40151515151515149</v>
      </c>
      <c r="FD95" s="42"/>
      <c r="FE95" s="42"/>
      <c r="FF95" s="893" t="s">
        <v>482</v>
      </c>
      <c r="FG95" s="135">
        <v>18</v>
      </c>
      <c r="FH95" s="135">
        <v>5</v>
      </c>
      <c r="FI95" s="135"/>
      <c r="FJ95" s="135">
        <v>10</v>
      </c>
      <c r="FK95" s="135">
        <v>24</v>
      </c>
      <c r="FL95" s="135">
        <v>12</v>
      </c>
      <c r="FM95" s="135">
        <v>9</v>
      </c>
      <c r="FN95" s="135"/>
      <c r="FO95" s="135"/>
      <c r="FP95" s="135">
        <v>1</v>
      </c>
      <c r="FQ95" s="135">
        <v>7</v>
      </c>
      <c r="FR95" s="135"/>
      <c r="FS95" s="135">
        <v>24</v>
      </c>
      <c r="FT95" s="135"/>
      <c r="FU95" s="135">
        <v>110</v>
      </c>
      <c r="FV95" s="5723">
        <f t="shared" si="45"/>
        <v>0.39090909090909093</v>
      </c>
      <c r="FW95" s="5717"/>
      <c r="FX95" s="42"/>
      <c r="FY95" s="42"/>
      <c r="FZ95" s="893" t="s">
        <v>482</v>
      </c>
      <c r="GA95" s="135">
        <v>8</v>
      </c>
      <c r="GB95" s="135">
        <v>8</v>
      </c>
      <c r="GC95" s="135"/>
      <c r="GD95" s="135">
        <v>2</v>
      </c>
      <c r="GE95" s="135">
        <v>21</v>
      </c>
      <c r="GF95" s="135">
        <v>8</v>
      </c>
      <c r="GG95" s="135">
        <v>8</v>
      </c>
      <c r="GH95" s="135"/>
      <c r="GI95" s="135"/>
      <c r="GJ95" s="135">
        <v>2</v>
      </c>
      <c r="GK95" s="135">
        <v>1</v>
      </c>
      <c r="GL95" s="135"/>
      <c r="GM95" s="135">
        <v>12</v>
      </c>
      <c r="GN95" s="135"/>
      <c r="GO95" s="135">
        <v>70</v>
      </c>
      <c r="GP95" s="5723">
        <f t="shared" si="56"/>
        <v>0.42857142857142855</v>
      </c>
      <c r="GR95" s="6280" t="s">
        <v>240</v>
      </c>
      <c r="GS95" s="6280" t="s">
        <v>4</v>
      </c>
      <c r="GT95" s="6310" t="s">
        <v>1450</v>
      </c>
      <c r="GU95" s="6311">
        <v>4</v>
      </c>
      <c r="GV95" s="6311">
        <v>3</v>
      </c>
      <c r="GW95" s="6312"/>
      <c r="GX95" s="6311">
        <v>2</v>
      </c>
      <c r="GY95" s="6311">
        <v>6</v>
      </c>
      <c r="GZ95" s="6311">
        <v>11</v>
      </c>
      <c r="HA95" s="6311">
        <v>5</v>
      </c>
      <c r="HB95" s="6311">
        <v>5</v>
      </c>
      <c r="HC95" s="6312"/>
      <c r="HD95" s="6311">
        <v>1</v>
      </c>
      <c r="HE95" s="6311">
        <v>3</v>
      </c>
      <c r="HF95" s="6312"/>
      <c r="HG95" s="6311">
        <v>4</v>
      </c>
      <c r="HH95" s="6312"/>
      <c r="HI95" s="6311">
        <v>44</v>
      </c>
      <c r="HJ95" s="467">
        <f t="shared" si="57"/>
        <v>0.45454545454545453</v>
      </c>
      <c r="HL95" s="1018"/>
      <c r="HM95" s="1018"/>
      <c r="HN95" s="974" t="s">
        <v>112</v>
      </c>
      <c r="HO95" s="1019">
        <v>8859</v>
      </c>
      <c r="HP95" s="1019">
        <v>4693</v>
      </c>
      <c r="HQ95" s="1019">
        <v>5</v>
      </c>
      <c r="HR95" s="1019">
        <v>3953</v>
      </c>
      <c r="HS95" s="1019">
        <v>19201</v>
      </c>
      <c r="HT95" s="1019">
        <v>4253</v>
      </c>
      <c r="HU95" s="1019">
        <v>4386</v>
      </c>
      <c r="HV95" s="1019">
        <v>1</v>
      </c>
      <c r="HW95" s="1019">
        <v>9</v>
      </c>
      <c r="HX95" s="1019">
        <v>1951</v>
      </c>
      <c r="HY95" s="1019">
        <v>4971</v>
      </c>
      <c r="HZ95" s="1019">
        <v>14196</v>
      </c>
      <c r="IA95" s="1019">
        <v>161</v>
      </c>
      <c r="IB95" s="1019">
        <v>66639</v>
      </c>
      <c r="IC95" s="504">
        <f t="shared" si="58"/>
        <v>0.42655201908792151</v>
      </c>
      <c r="IE95" s="575"/>
      <c r="IF95" s="575"/>
      <c r="IG95" s="1020" t="s">
        <v>112</v>
      </c>
      <c r="IH95" s="1021">
        <v>8693</v>
      </c>
      <c r="II95" s="1021">
        <v>4899</v>
      </c>
      <c r="IJ95" s="1021">
        <v>4</v>
      </c>
      <c r="IK95" s="1021">
        <v>4135</v>
      </c>
      <c r="IL95" s="1021">
        <v>18339</v>
      </c>
      <c r="IM95" s="1021">
        <v>4914</v>
      </c>
      <c r="IN95" s="1021">
        <v>3892</v>
      </c>
      <c r="IO95" s="1021">
        <v>16</v>
      </c>
      <c r="IP95" s="1021">
        <v>7</v>
      </c>
      <c r="IQ95" s="1021">
        <v>1158</v>
      </c>
      <c r="IR95" s="1021">
        <v>4543</v>
      </c>
      <c r="IS95" s="1021">
        <v>14293</v>
      </c>
      <c r="IT95" s="1021">
        <v>161</v>
      </c>
      <c r="IU95" s="1021">
        <v>65054</v>
      </c>
      <c r="IV95" s="1022">
        <f t="shared" si="59"/>
        <v>0.42727580164171303</v>
      </c>
      <c r="IZ95" s="97" t="s">
        <v>3</v>
      </c>
      <c r="JA95" s="982">
        <v>4085</v>
      </c>
      <c r="JB95" s="982">
        <v>1569</v>
      </c>
      <c r="JC95" s="982">
        <v>0</v>
      </c>
      <c r="JD95" s="982">
        <v>1347</v>
      </c>
      <c r="JE95" s="982">
        <v>3858</v>
      </c>
      <c r="JF95" s="982">
        <v>1080</v>
      </c>
      <c r="JG95" s="982">
        <v>1522</v>
      </c>
      <c r="JH95" s="982">
        <v>1</v>
      </c>
      <c r="JI95" s="982">
        <v>489</v>
      </c>
      <c r="JJ95" s="982">
        <v>1109</v>
      </c>
      <c r="JK95" s="982">
        <v>5097</v>
      </c>
      <c r="JL95" s="982">
        <v>5793</v>
      </c>
      <c r="JM95" s="982">
        <v>18</v>
      </c>
      <c r="JN95" s="982">
        <v>90</v>
      </c>
      <c r="JO95" s="992">
        <v>26058</v>
      </c>
      <c r="JP95" s="983">
        <f>+(JJ95+JF95+JE95)/(JO95-JN95-JK95)</f>
        <v>0.28973216424704135</v>
      </c>
      <c r="JR95" s="97"/>
      <c r="JS95" s="97"/>
      <c r="JT95" s="97" t="s">
        <v>3</v>
      </c>
      <c r="JU95" s="42">
        <v>3640</v>
      </c>
      <c r="JV95" s="42">
        <v>1534</v>
      </c>
      <c r="JW95" s="42">
        <v>0</v>
      </c>
      <c r="JX95" s="42">
        <v>1362</v>
      </c>
      <c r="JY95" s="42">
        <v>3852</v>
      </c>
      <c r="JZ95" s="42">
        <v>1136</v>
      </c>
      <c r="KA95" s="42">
        <v>1658</v>
      </c>
      <c r="KB95" s="42">
        <v>1</v>
      </c>
      <c r="KC95" s="42">
        <v>355</v>
      </c>
      <c r="KD95" s="42">
        <v>995</v>
      </c>
      <c r="KE95" s="42">
        <v>4724</v>
      </c>
      <c r="KF95" s="42">
        <v>5732</v>
      </c>
      <c r="KG95" s="42">
        <v>18</v>
      </c>
      <c r="KH95" s="42">
        <v>61</v>
      </c>
      <c r="KI95" s="42">
        <v>25068</v>
      </c>
      <c r="KJ95" s="984">
        <f>+(KD95+JZ95+JY95)/(KI95-KH95-KE95)</f>
        <v>0.29497608834984962</v>
      </c>
      <c r="KK95" s="42"/>
      <c r="KL95" s="354"/>
      <c r="KM95" s="354"/>
      <c r="KN95" s="354" t="s">
        <v>3</v>
      </c>
      <c r="KO95" s="985">
        <v>3179</v>
      </c>
      <c r="KP95" s="985">
        <v>1444</v>
      </c>
      <c r="KQ95" s="985" t="s">
        <v>315</v>
      </c>
      <c r="KR95" s="985">
        <v>1396</v>
      </c>
      <c r="KS95" s="985">
        <v>3822</v>
      </c>
      <c r="KT95" s="985">
        <v>1078</v>
      </c>
      <c r="KU95" s="985">
        <v>1749</v>
      </c>
      <c r="KV95" s="985">
        <v>1</v>
      </c>
      <c r="KW95" s="985">
        <v>706</v>
      </c>
      <c r="KX95" s="985">
        <v>1126</v>
      </c>
      <c r="KY95" s="985">
        <v>5743</v>
      </c>
      <c r="KZ95" s="985">
        <v>18</v>
      </c>
      <c r="LA95" s="985">
        <v>20262</v>
      </c>
      <c r="LB95" s="985">
        <f>+KX95+KT95+KS95</f>
        <v>6026</v>
      </c>
      <c r="LC95" s="1023">
        <f>+LB95/LA95</f>
        <v>0.29740400750172735</v>
      </c>
      <c r="LD95" s="42"/>
      <c r="LE95" s="42"/>
    </row>
    <row r="96" spans="1:317">
      <c r="B96" s="6291">
        <v>2</v>
      </c>
      <c r="C96" s="6291">
        <v>2</v>
      </c>
      <c r="D96" s="6291">
        <v>7230</v>
      </c>
      <c r="E96" s="6291">
        <v>359</v>
      </c>
      <c r="F96" s="6291">
        <v>1654</v>
      </c>
      <c r="G96" s="6291">
        <v>1364</v>
      </c>
      <c r="H96" s="6291">
        <v>250</v>
      </c>
      <c r="I96" s="6291">
        <v>3</v>
      </c>
      <c r="J96" s="6291">
        <v>55</v>
      </c>
      <c r="K96" s="6291">
        <v>290</v>
      </c>
      <c r="L96" s="6293"/>
      <c r="M96" s="6291">
        <v>277</v>
      </c>
      <c r="N96" s="6291">
        <v>808</v>
      </c>
      <c r="O96" s="6293"/>
      <c r="P96" s="6291">
        <v>2170</v>
      </c>
      <c r="Q96" s="6294">
        <f t="shared" si="78"/>
        <v>0.37856154910096818</v>
      </c>
      <c r="S96" s="6335">
        <v>5</v>
      </c>
      <c r="T96" s="6335">
        <v>1</v>
      </c>
      <c r="U96" s="6335">
        <v>147</v>
      </c>
      <c r="V96" s="6335">
        <v>293</v>
      </c>
      <c r="W96" s="6295">
        <v>5</v>
      </c>
      <c r="X96" s="6295">
        <v>62</v>
      </c>
      <c r="Y96" s="6295">
        <v>65</v>
      </c>
      <c r="Z96" s="6295">
        <v>29</v>
      </c>
      <c r="AA96" s="6295">
        <v>1</v>
      </c>
      <c r="AB96" s="6295">
        <v>11</v>
      </c>
      <c r="AC96" s="6295">
        <v>7</v>
      </c>
      <c r="AD96" s="6296"/>
      <c r="AE96" s="6295">
        <v>29</v>
      </c>
      <c r="AF96" s="6295">
        <v>24</v>
      </c>
      <c r="AG96" s="6296"/>
      <c r="AH96" s="6295">
        <v>60</v>
      </c>
      <c r="AI96" s="6294">
        <f t="shared" ref="AI96:AI109" si="85">+(AC96+AE96+AH96)/(V96)</f>
        <v>0.32764505119453924</v>
      </c>
      <c r="AK96" s="6297">
        <v>5</v>
      </c>
      <c r="AL96" s="6297">
        <v>1</v>
      </c>
      <c r="AM96" s="6297">
        <v>147</v>
      </c>
      <c r="AN96" s="6336">
        <v>293</v>
      </c>
      <c r="AO96" s="6297">
        <v>6</v>
      </c>
      <c r="AP96" s="6297">
        <v>62</v>
      </c>
      <c r="AQ96" s="6297">
        <v>68</v>
      </c>
      <c r="AR96" s="6297">
        <v>29</v>
      </c>
      <c r="AS96" s="6297">
        <v>1</v>
      </c>
      <c r="AT96" s="6297">
        <v>11</v>
      </c>
      <c r="AU96" s="6299"/>
      <c r="AV96" s="6297">
        <v>5</v>
      </c>
      <c r="AW96" s="6297">
        <v>30</v>
      </c>
      <c r="AX96" s="6299"/>
      <c r="AY96" s="6297">
        <v>22</v>
      </c>
      <c r="AZ96" s="6299"/>
      <c r="BA96" s="6299"/>
      <c r="BB96" s="6297">
        <v>59</v>
      </c>
      <c r="BC96" s="6300">
        <f t="shared" si="50"/>
        <v>0.32081911262798635</v>
      </c>
      <c r="BE96" s="6313">
        <v>5</v>
      </c>
      <c r="BF96" s="6313">
        <v>1</v>
      </c>
      <c r="BG96" s="6313">
        <v>147</v>
      </c>
      <c r="BH96" s="4405" t="s">
        <v>1450</v>
      </c>
      <c r="BI96" s="6337">
        <v>254</v>
      </c>
      <c r="BJ96" s="6313">
        <v>5</v>
      </c>
      <c r="BK96" s="6313">
        <v>46</v>
      </c>
      <c r="BL96" s="6313">
        <v>50</v>
      </c>
      <c r="BM96" s="6313">
        <v>27</v>
      </c>
      <c r="BN96" s="6313">
        <v>1</v>
      </c>
      <c r="BO96" s="6313">
        <v>11</v>
      </c>
      <c r="BP96" s="6303"/>
      <c r="BQ96" s="6313">
        <v>11</v>
      </c>
      <c r="BR96" s="6303"/>
      <c r="BS96" s="6313">
        <v>32</v>
      </c>
      <c r="BT96" s="6313">
        <v>27</v>
      </c>
      <c r="BU96" s="6303"/>
      <c r="BV96" s="6303"/>
      <c r="BW96" s="6313">
        <v>44</v>
      </c>
      <c r="BX96" s="6300">
        <f t="shared" si="61"/>
        <v>0.34251968503937008</v>
      </c>
      <c r="BZ96" s="4388" t="s">
        <v>240</v>
      </c>
      <c r="CA96" s="4388" t="s">
        <v>4</v>
      </c>
      <c r="CB96" s="4388" t="s">
        <v>1450</v>
      </c>
      <c r="CC96" s="4231">
        <v>55</v>
      </c>
      <c r="CD96" s="4231">
        <v>23</v>
      </c>
      <c r="CE96" s="4231"/>
      <c r="CF96" s="4231">
        <v>27</v>
      </c>
      <c r="CG96" s="4231">
        <v>43</v>
      </c>
      <c r="CH96" s="4231">
        <v>27</v>
      </c>
      <c r="CI96" s="4231">
        <v>11</v>
      </c>
      <c r="CJ96" s="4231"/>
      <c r="CK96" s="4231">
        <v>1</v>
      </c>
      <c r="CL96" s="4231">
        <v>6</v>
      </c>
      <c r="CM96" s="4231">
        <v>15</v>
      </c>
      <c r="CN96" s="4231"/>
      <c r="CO96" s="4231">
        <v>46</v>
      </c>
      <c r="CP96" s="4231"/>
      <c r="CQ96" s="4231">
        <v>254</v>
      </c>
      <c r="CR96" s="6304">
        <f t="shared" si="51"/>
        <v>0.3346456692913386</v>
      </c>
      <c r="CS96" s="4238">
        <f t="shared" si="52"/>
        <v>0</v>
      </c>
      <c r="CT96" s="6305">
        <v>254</v>
      </c>
      <c r="CU96" s="6316"/>
      <c r="CW96" s="97" t="s">
        <v>16</v>
      </c>
      <c r="CX96" s="42" t="s">
        <v>679</v>
      </c>
      <c r="CY96" s="42">
        <v>2</v>
      </c>
      <c r="CZ96" s="42">
        <v>11</v>
      </c>
      <c r="DB96" s="42">
        <v>6</v>
      </c>
      <c r="DC96" s="42">
        <v>73</v>
      </c>
      <c r="DD96" s="42">
        <v>15</v>
      </c>
      <c r="DE96" s="42">
        <v>1</v>
      </c>
      <c r="DH96" s="42">
        <v>7</v>
      </c>
      <c r="DI96" s="42">
        <v>9</v>
      </c>
      <c r="DK96" s="42">
        <v>24</v>
      </c>
      <c r="DL96" s="42">
        <v>1</v>
      </c>
      <c r="DM96" s="893">
        <v>149</v>
      </c>
      <c r="DN96" s="6306">
        <f t="shared" si="53"/>
        <v>0.65540540540540537</v>
      </c>
      <c r="DP96" s="4263"/>
      <c r="DQ96" s="4263"/>
      <c r="DR96" s="4257" t="s">
        <v>482</v>
      </c>
      <c r="DS96" s="4266">
        <v>43</v>
      </c>
      <c r="DT96" s="4266">
        <v>19</v>
      </c>
      <c r="DU96" s="4266"/>
      <c r="DV96" s="4266">
        <v>22</v>
      </c>
      <c r="DW96" s="4266">
        <v>36</v>
      </c>
      <c r="DX96" s="4266">
        <v>20</v>
      </c>
      <c r="DY96" s="4266">
        <v>11</v>
      </c>
      <c r="DZ96" s="4266"/>
      <c r="EA96" s="4266">
        <v>1</v>
      </c>
      <c r="EB96" s="4266">
        <v>6</v>
      </c>
      <c r="EC96" s="4266">
        <v>9</v>
      </c>
      <c r="ED96" s="4266"/>
      <c r="EE96" s="4266">
        <v>41</v>
      </c>
      <c r="EF96" s="4266"/>
      <c r="EG96" s="4266">
        <v>208</v>
      </c>
      <c r="EH96" s="6321">
        <f t="shared" si="54"/>
        <v>0.3125</v>
      </c>
      <c r="EK96" s="42" t="s">
        <v>16</v>
      </c>
      <c r="EL96" s="42" t="s">
        <v>679</v>
      </c>
      <c r="EM96" s="97">
        <v>8</v>
      </c>
      <c r="EN96" s="97">
        <v>9</v>
      </c>
      <c r="EO96" s="97"/>
      <c r="EP96" s="97">
        <v>0</v>
      </c>
      <c r="EQ96" s="97">
        <v>56</v>
      </c>
      <c r="ER96" s="97">
        <v>26</v>
      </c>
      <c r="ES96" s="97"/>
      <c r="ET96" s="97"/>
      <c r="EU96" s="97"/>
      <c r="EV96" s="97">
        <v>11</v>
      </c>
      <c r="EW96" s="97">
        <v>9</v>
      </c>
      <c r="EX96" s="97"/>
      <c r="EY96" s="97">
        <v>22</v>
      </c>
      <c r="EZ96" s="97"/>
      <c r="FA96" s="97">
        <v>141</v>
      </c>
      <c r="FB96" s="6315">
        <f t="shared" si="55"/>
        <v>0.64539007092198586</v>
      </c>
      <c r="FD96" s="42"/>
      <c r="FE96" s="42" t="s">
        <v>16</v>
      </c>
      <c r="FF96" s="42" t="s">
        <v>679</v>
      </c>
      <c r="FG96" s="97">
        <v>12</v>
      </c>
      <c r="FH96" s="97">
        <v>4</v>
      </c>
      <c r="FI96" s="97"/>
      <c r="FJ96" s="97">
        <v>4</v>
      </c>
      <c r="FK96" s="97">
        <v>31</v>
      </c>
      <c r="FL96" s="97">
        <v>30</v>
      </c>
      <c r="FM96" s="97">
        <v>1</v>
      </c>
      <c r="FN96" s="97"/>
      <c r="FO96" s="97"/>
      <c r="FP96" s="97">
        <v>9</v>
      </c>
      <c r="FQ96" s="97">
        <v>14</v>
      </c>
      <c r="FR96" s="97"/>
      <c r="FS96" s="97">
        <v>16</v>
      </c>
      <c r="FT96" s="97">
        <v>1</v>
      </c>
      <c r="FU96" s="97">
        <v>122</v>
      </c>
      <c r="FV96" s="6308">
        <f t="shared" si="45"/>
        <v>0.6198347107438017</v>
      </c>
      <c r="FW96" s="6322"/>
      <c r="FX96" s="42"/>
      <c r="FY96" s="42" t="s">
        <v>16</v>
      </c>
      <c r="FZ96" s="42" t="s">
        <v>679</v>
      </c>
      <c r="GA96" s="97">
        <v>12</v>
      </c>
      <c r="GB96" s="97">
        <v>3</v>
      </c>
      <c r="GC96" s="97"/>
      <c r="GD96" s="97">
        <v>2</v>
      </c>
      <c r="GE96" s="97">
        <v>25</v>
      </c>
      <c r="GF96" s="97">
        <v>13</v>
      </c>
      <c r="GG96" s="97"/>
      <c r="GH96" s="97">
        <v>1</v>
      </c>
      <c r="GI96" s="97"/>
      <c r="GJ96" s="97">
        <v>5</v>
      </c>
      <c r="GK96" s="97">
        <v>5</v>
      </c>
      <c r="GL96" s="97"/>
      <c r="GM96" s="97">
        <v>11</v>
      </c>
      <c r="GN96" s="97">
        <v>1</v>
      </c>
      <c r="GO96" s="97">
        <v>78</v>
      </c>
      <c r="GP96" s="6308">
        <f t="shared" si="56"/>
        <v>0.55844155844155841</v>
      </c>
      <c r="GR96" s="6280"/>
      <c r="GS96" s="6280"/>
      <c r="GT96" s="1179" t="s">
        <v>482</v>
      </c>
      <c r="GU96" s="1180">
        <v>4</v>
      </c>
      <c r="GV96" s="1180">
        <v>3</v>
      </c>
      <c r="GW96" s="1181"/>
      <c r="GX96" s="1180">
        <v>2</v>
      </c>
      <c r="GY96" s="1180">
        <v>6</v>
      </c>
      <c r="GZ96" s="1180">
        <v>11</v>
      </c>
      <c r="HA96" s="1180">
        <v>5</v>
      </c>
      <c r="HB96" s="1180">
        <v>5</v>
      </c>
      <c r="HC96" s="1181"/>
      <c r="HD96" s="1180">
        <v>1</v>
      </c>
      <c r="HE96" s="1180">
        <v>3</v>
      </c>
      <c r="HF96" s="1181"/>
      <c r="HG96" s="1180">
        <v>4</v>
      </c>
      <c r="HH96" s="1181"/>
      <c r="HI96" s="1180">
        <v>44</v>
      </c>
      <c r="HJ96" s="456">
        <f t="shared" si="57"/>
        <v>0.45454545454545453</v>
      </c>
      <c r="IE96" s="1024"/>
      <c r="IF96" s="1024"/>
      <c r="IG96" s="1024"/>
      <c r="IH96" s="980"/>
      <c r="II96" s="980"/>
      <c r="IJ96" s="577"/>
      <c r="IK96" s="980"/>
      <c r="IL96" s="980"/>
      <c r="IM96" s="980"/>
      <c r="IN96" s="980"/>
      <c r="IO96" s="980"/>
      <c r="IP96" s="577"/>
      <c r="IQ96" s="980"/>
      <c r="IR96" s="980"/>
      <c r="IS96" s="980"/>
      <c r="IT96" s="577"/>
      <c r="IU96" s="980"/>
      <c r="IV96" s="1025"/>
      <c r="IZ96" s="97" t="s">
        <v>25</v>
      </c>
      <c r="JA96" s="982">
        <v>2915</v>
      </c>
      <c r="JB96" s="982">
        <v>1161</v>
      </c>
      <c r="JC96" s="982">
        <v>0</v>
      </c>
      <c r="JD96" s="982">
        <v>1472</v>
      </c>
      <c r="JE96" s="982">
        <v>3656</v>
      </c>
      <c r="JF96" s="982">
        <v>498</v>
      </c>
      <c r="JG96" s="982">
        <v>1172</v>
      </c>
      <c r="JH96" s="982">
        <v>4</v>
      </c>
      <c r="JI96" s="982">
        <v>419</v>
      </c>
      <c r="JJ96" s="982">
        <v>537</v>
      </c>
      <c r="JK96" s="982">
        <v>2927</v>
      </c>
      <c r="JL96" s="982">
        <v>4017</v>
      </c>
      <c r="JM96" s="982">
        <v>0</v>
      </c>
      <c r="JN96" s="982">
        <v>59</v>
      </c>
      <c r="JO96" s="992">
        <v>18837</v>
      </c>
      <c r="JP96" s="983">
        <f>+(JJ96+JF96+JE96)/(JO96-JN96-JK96)</f>
        <v>0.29594347359788026</v>
      </c>
      <c r="JR96" s="97"/>
      <c r="JS96" s="97"/>
      <c r="JT96" s="97" t="s">
        <v>25</v>
      </c>
      <c r="JU96" s="42">
        <v>2558</v>
      </c>
      <c r="JV96" s="42">
        <v>1245</v>
      </c>
      <c r="JW96" s="42">
        <v>0</v>
      </c>
      <c r="JX96" s="42">
        <v>1399</v>
      </c>
      <c r="JY96" s="42">
        <v>3546</v>
      </c>
      <c r="JZ96" s="42">
        <v>496</v>
      </c>
      <c r="KA96" s="42">
        <v>1114</v>
      </c>
      <c r="KB96" s="42">
        <v>4</v>
      </c>
      <c r="KC96" s="42">
        <v>432</v>
      </c>
      <c r="KD96" s="42">
        <v>438</v>
      </c>
      <c r="KE96" s="42">
        <v>2695</v>
      </c>
      <c r="KF96" s="42">
        <v>4069</v>
      </c>
      <c r="KG96" s="42">
        <v>0</v>
      </c>
      <c r="KH96" s="42">
        <v>53</v>
      </c>
      <c r="KI96" s="42">
        <v>18049</v>
      </c>
      <c r="KJ96" s="984">
        <f>+(KD96+JZ96+JY96)/(KI96-KH96-KE96)</f>
        <v>0.29279132082870402</v>
      </c>
      <c r="KK96" s="42"/>
      <c r="KL96" s="42"/>
      <c r="KM96" s="42"/>
      <c r="KN96" s="354" t="s">
        <v>25</v>
      </c>
      <c r="KO96" s="985">
        <v>2129</v>
      </c>
      <c r="KP96" s="985">
        <v>1249</v>
      </c>
      <c r="KQ96" s="985" t="s">
        <v>315</v>
      </c>
      <c r="KR96" s="985">
        <v>1367</v>
      </c>
      <c r="KS96" s="985">
        <v>3412</v>
      </c>
      <c r="KT96" s="985">
        <v>483</v>
      </c>
      <c r="KU96" s="985">
        <v>1291</v>
      </c>
      <c r="KV96" s="985" t="s">
        <v>315</v>
      </c>
      <c r="KW96" s="985">
        <v>605</v>
      </c>
      <c r="KX96" s="985">
        <v>555</v>
      </c>
      <c r="KY96" s="985">
        <v>4073</v>
      </c>
      <c r="KZ96" s="985" t="s">
        <v>315</v>
      </c>
      <c r="LA96" s="985">
        <v>15164</v>
      </c>
      <c r="LB96" s="985">
        <f>+KX96+KT96+KS96</f>
        <v>4450</v>
      </c>
      <c r="LC96" s="1023">
        <f>+LB96/LA96</f>
        <v>0.2934581904510683</v>
      </c>
      <c r="LD96" s="42"/>
      <c r="LE96" s="42"/>
    </row>
    <row r="97" spans="2:317">
      <c r="B97" s="6291">
        <v>2</v>
      </c>
      <c r="C97" s="6291">
        <v>3</v>
      </c>
      <c r="D97" s="6291">
        <v>4631</v>
      </c>
      <c r="E97" s="6291">
        <v>104</v>
      </c>
      <c r="F97" s="6291">
        <v>989</v>
      </c>
      <c r="G97" s="6291">
        <v>921</v>
      </c>
      <c r="H97" s="6291">
        <v>190</v>
      </c>
      <c r="I97" s="6293"/>
      <c r="J97" s="6291">
        <v>30</v>
      </c>
      <c r="K97" s="6291">
        <v>409</v>
      </c>
      <c r="L97" s="6293"/>
      <c r="M97" s="6291">
        <v>241</v>
      </c>
      <c r="N97" s="6291">
        <v>295</v>
      </c>
      <c r="O97" s="6293"/>
      <c r="P97" s="6291">
        <v>1452</v>
      </c>
      <c r="Q97" s="6294">
        <f t="shared" si="78"/>
        <v>0.45389764629669616</v>
      </c>
      <c r="S97" s="6295">
        <v>5</v>
      </c>
      <c r="T97" s="6295">
        <v>1</v>
      </c>
      <c r="U97" s="6295">
        <v>177</v>
      </c>
      <c r="V97" s="6295">
        <v>48</v>
      </c>
      <c r="W97" s="6295">
        <v>1</v>
      </c>
      <c r="X97" s="6295">
        <v>10</v>
      </c>
      <c r="Y97" s="6295">
        <v>31</v>
      </c>
      <c r="Z97" s="6295">
        <v>3</v>
      </c>
      <c r="AA97" s="6296"/>
      <c r="AB97" s="6296"/>
      <c r="AC97" s="6296"/>
      <c r="AD97" s="6296"/>
      <c r="AE97" s="6296"/>
      <c r="AF97" s="6295">
        <v>3</v>
      </c>
      <c r="AG97" s="6296"/>
      <c r="AH97" s="6296"/>
      <c r="AI97" s="6294">
        <f t="shared" si="85"/>
        <v>0</v>
      </c>
      <c r="AK97" s="6297">
        <v>5</v>
      </c>
      <c r="AL97" s="6297">
        <v>1</v>
      </c>
      <c r="AM97" s="6297">
        <v>177</v>
      </c>
      <c r="AN97" s="6298">
        <v>48</v>
      </c>
      <c r="AO97" s="6297">
        <v>3</v>
      </c>
      <c r="AP97" s="6297">
        <v>10</v>
      </c>
      <c r="AQ97" s="6297">
        <v>30</v>
      </c>
      <c r="AR97" s="6297">
        <v>3</v>
      </c>
      <c r="AS97" s="6299"/>
      <c r="AT97" s="6299"/>
      <c r="AU97" s="6299"/>
      <c r="AV97" s="6299"/>
      <c r="AW97" s="6299"/>
      <c r="AX97" s="6299"/>
      <c r="AY97" s="6297">
        <v>2</v>
      </c>
      <c r="AZ97" s="6299"/>
      <c r="BA97" s="6299"/>
      <c r="BB97" s="6299"/>
      <c r="BC97" s="6300">
        <f t="shared" si="50"/>
        <v>0</v>
      </c>
      <c r="BE97" s="6313"/>
      <c r="BF97" s="6313"/>
      <c r="BG97" s="6313"/>
      <c r="BH97" s="6319" t="s">
        <v>482</v>
      </c>
      <c r="BI97" s="6314">
        <f>SUM(BI96)</f>
        <v>254</v>
      </c>
      <c r="BJ97" s="6314">
        <f t="shared" ref="BJ97:BW97" si="86">SUM(BJ96)</f>
        <v>5</v>
      </c>
      <c r="BK97" s="6314">
        <f t="shared" si="86"/>
        <v>46</v>
      </c>
      <c r="BL97" s="6314">
        <f t="shared" si="86"/>
        <v>50</v>
      </c>
      <c r="BM97" s="6314">
        <f t="shared" si="86"/>
        <v>27</v>
      </c>
      <c r="BN97" s="6314">
        <f t="shared" si="86"/>
        <v>1</v>
      </c>
      <c r="BO97" s="6314">
        <f t="shared" si="86"/>
        <v>11</v>
      </c>
      <c r="BP97" s="6314">
        <f t="shared" si="86"/>
        <v>0</v>
      </c>
      <c r="BQ97" s="6314">
        <f t="shared" si="86"/>
        <v>11</v>
      </c>
      <c r="BR97" s="6314">
        <f t="shared" si="86"/>
        <v>0</v>
      </c>
      <c r="BS97" s="6314">
        <f t="shared" si="86"/>
        <v>32</v>
      </c>
      <c r="BT97" s="6314">
        <f t="shared" si="86"/>
        <v>27</v>
      </c>
      <c r="BU97" s="6314">
        <f t="shared" si="86"/>
        <v>0</v>
      </c>
      <c r="BV97" s="6314">
        <f t="shared" si="86"/>
        <v>0</v>
      </c>
      <c r="BW97" s="6314">
        <f t="shared" si="86"/>
        <v>44</v>
      </c>
      <c r="BX97" s="6300">
        <f t="shared" si="61"/>
        <v>0.34251968503937008</v>
      </c>
      <c r="BZ97" s="4388"/>
      <c r="CA97" s="4388"/>
      <c r="CB97" s="6276" t="s">
        <v>482</v>
      </c>
      <c r="CC97" s="6320">
        <v>55</v>
      </c>
      <c r="CD97" s="6320">
        <v>23</v>
      </c>
      <c r="CE97" s="6320"/>
      <c r="CF97" s="6320">
        <v>27</v>
      </c>
      <c r="CG97" s="6320">
        <v>43</v>
      </c>
      <c r="CH97" s="6320">
        <v>27</v>
      </c>
      <c r="CI97" s="6320">
        <v>11</v>
      </c>
      <c r="CJ97" s="6320"/>
      <c r="CK97" s="6320">
        <v>1</v>
      </c>
      <c r="CL97" s="6320">
        <v>6</v>
      </c>
      <c r="CM97" s="6320">
        <v>15</v>
      </c>
      <c r="CN97" s="6320"/>
      <c r="CO97" s="6320">
        <v>46</v>
      </c>
      <c r="CP97" s="6320"/>
      <c r="CQ97" s="6320">
        <v>254</v>
      </c>
      <c r="CR97" s="6304">
        <f t="shared" si="51"/>
        <v>0.3346456692913386</v>
      </c>
      <c r="CS97" s="4238">
        <f t="shared" si="52"/>
        <v>254</v>
      </c>
      <c r="CT97" s="6305"/>
      <c r="CU97" s="6316"/>
      <c r="CX97" s="42" t="s">
        <v>489</v>
      </c>
      <c r="CY97" s="42">
        <v>0</v>
      </c>
      <c r="CZ97" s="42">
        <v>5</v>
      </c>
      <c r="DB97" s="42">
        <v>2</v>
      </c>
      <c r="DC97" s="42">
        <v>8</v>
      </c>
      <c r="DD97" s="42">
        <v>4</v>
      </c>
      <c r="DE97" s="42">
        <v>0</v>
      </c>
      <c r="DH97" s="42">
        <v>5</v>
      </c>
      <c r="DI97" s="42">
        <v>6</v>
      </c>
      <c r="DK97" s="42">
        <v>3</v>
      </c>
      <c r="DL97" s="42">
        <v>0</v>
      </c>
      <c r="DM97" s="893">
        <v>33</v>
      </c>
      <c r="DN97" s="6306">
        <f t="shared" si="53"/>
        <v>0.54545454545454541</v>
      </c>
      <c r="DP97" s="4263"/>
      <c r="DQ97" s="4263" t="s">
        <v>16</v>
      </c>
      <c r="DR97" s="4258" t="s">
        <v>679</v>
      </c>
      <c r="DS97" s="4263">
        <v>12</v>
      </c>
      <c r="DT97" s="4263">
        <v>16</v>
      </c>
      <c r="DU97" s="4263"/>
      <c r="DV97" s="4263">
        <v>8</v>
      </c>
      <c r="DW97" s="4263">
        <v>69</v>
      </c>
      <c r="DX97" s="4263">
        <v>17</v>
      </c>
      <c r="DY97" s="4263">
        <v>1</v>
      </c>
      <c r="DZ97" s="4263"/>
      <c r="EA97" s="4263"/>
      <c r="EB97" s="4263">
        <v>10</v>
      </c>
      <c r="EC97" s="4263">
        <v>13</v>
      </c>
      <c r="ED97" s="4263"/>
      <c r="EE97" s="4263">
        <v>28</v>
      </c>
      <c r="EF97" s="4263">
        <v>1</v>
      </c>
      <c r="EG97" s="4263">
        <v>175</v>
      </c>
      <c r="EH97" s="6307">
        <f t="shared" si="54"/>
        <v>0.56896551724137934</v>
      </c>
      <c r="EL97" s="42" t="s">
        <v>489</v>
      </c>
      <c r="EM97" s="97">
        <v>5</v>
      </c>
      <c r="EN97" s="97">
        <v>5</v>
      </c>
      <c r="EO97" s="97"/>
      <c r="EP97" s="97">
        <v>1</v>
      </c>
      <c r="EQ97" s="97">
        <v>3</v>
      </c>
      <c r="ER97" s="97">
        <v>4</v>
      </c>
      <c r="ES97" s="97"/>
      <c r="ET97" s="97"/>
      <c r="EU97" s="97"/>
      <c r="EV97" s="97">
        <v>5</v>
      </c>
      <c r="EW97" s="97">
        <v>6</v>
      </c>
      <c r="EX97" s="97"/>
      <c r="EY97" s="97">
        <v>3</v>
      </c>
      <c r="EZ97" s="97"/>
      <c r="FA97" s="97">
        <v>32</v>
      </c>
      <c r="FB97" s="6315">
        <f t="shared" si="55"/>
        <v>0.40625</v>
      </c>
      <c r="FD97" s="42"/>
      <c r="FE97" s="42"/>
      <c r="FF97" s="42" t="s">
        <v>489</v>
      </c>
      <c r="FG97" s="97">
        <v>1</v>
      </c>
      <c r="FH97" s="97">
        <v>1</v>
      </c>
      <c r="FI97" s="97"/>
      <c r="FJ97" s="97">
        <v>0</v>
      </c>
      <c r="FK97" s="97">
        <v>0</v>
      </c>
      <c r="FL97" s="97">
        <v>0</v>
      </c>
      <c r="FM97" s="97">
        <v>0</v>
      </c>
      <c r="FN97" s="97"/>
      <c r="FO97" s="97"/>
      <c r="FP97" s="97">
        <v>5</v>
      </c>
      <c r="FQ97" s="97">
        <v>7</v>
      </c>
      <c r="FR97" s="97"/>
      <c r="FS97" s="97">
        <v>1</v>
      </c>
      <c r="FT97" s="97">
        <v>0</v>
      </c>
      <c r="FU97" s="97">
        <v>15</v>
      </c>
      <c r="FV97" s="6308">
        <f t="shared" si="45"/>
        <v>0.46666666666666667</v>
      </c>
      <c r="FW97" s="6322"/>
      <c r="FX97" s="42"/>
      <c r="FY97" s="42"/>
      <c r="FZ97" s="893" t="s">
        <v>483</v>
      </c>
      <c r="GA97" s="135">
        <v>12</v>
      </c>
      <c r="GB97" s="135">
        <v>3</v>
      </c>
      <c r="GC97" s="135"/>
      <c r="GD97" s="135">
        <v>2</v>
      </c>
      <c r="GE97" s="135">
        <v>25</v>
      </c>
      <c r="GF97" s="135">
        <v>13</v>
      </c>
      <c r="GG97" s="135"/>
      <c r="GH97" s="135">
        <v>1</v>
      </c>
      <c r="GI97" s="135"/>
      <c r="GJ97" s="135">
        <v>5</v>
      </c>
      <c r="GK97" s="135">
        <v>5</v>
      </c>
      <c r="GL97" s="135"/>
      <c r="GM97" s="135">
        <v>11</v>
      </c>
      <c r="GN97" s="135">
        <v>1</v>
      </c>
      <c r="GO97" s="135">
        <v>78</v>
      </c>
      <c r="GP97" s="5723">
        <f t="shared" si="56"/>
        <v>0.55844155844155841</v>
      </c>
      <c r="GR97" s="6280"/>
      <c r="GS97" s="6280" t="s">
        <v>16</v>
      </c>
      <c r="GT97" s="6310" t="s">
        <v>679</v>
      </c>
      <c r="GU97" s="6311">
        <v>3</v>
      </c>
      <c r="GV97" s="6311">
        <v>2</v>
      </c>
      <c r="GW97" s="6312"/>
      <c r="GX97" s="6312"/>
      <c r="GY97" s="6311">
        <v>13</v>
      </c>
      <c r="GZ97" s="6311">
        <v>16</v>
      </c>
      <c r="HA97" s="6312"/>
      <c r="HB97" s="6311">
        <v>1</v>
      </c>
      <c r="HC97" s="6312"/>
      <c r="HD97" s="6311">
        <v>1</v>
      </c>
      <c r="HE97" s="6311">
        <v>3</v>
      </c>
      <c r="HF97" s="6312"/>
      <c r="HG97" s="6311">
        <v>8</v>
      </c>
      <c r="HH97" s="6311">
        <v>1</v>
      </c>
      <c r="HI97" s="6311">
        <v>48</v>
      </c>
      <c r="HJ97" s="467">
        <f t="shared" si="57"/>
        <v>0.68085106382978722</v>
      </c>
      <c r="IE97" s="1024"/>
      <c r="IF97" s="1024"/>
      <c r="IG97" s="1024"/>
      <c r="IH97" s="980"/>
      <c r="II97" s="980"/>
      <c r="IJ97" s="577"/>
      <c r="IK97" s="980"/>
      <c r="IL97" s="980"/>
      <c r="IM97" s="980"/>
      <c r="IN97" s="980"/>
      <c r="IO97" s="980"/>
      <c r="IP97" s="577"/>
      <c r="IQ97" s="980"/>
      <c r="IR97" s="980"/>
      <c r="IS97" s="980"/>
      <c r="IT97" s="577"/>
      <c r="IU97" s="980"/>
      <c r="IV97" s="1025"/>
      <c r="IZ97" s="97" t="s">
        <v>48</v>
      </c>
      <c r="JA97" s="982">
        <v>1623</v>
      </c>
      <c r="JB97" s="982">
        <v>826</v>
      </c>
      <c r="JC97" s="982">
        <v>1</v>
      </c>
      <c r="JD97" s="982">
        <v>1412</v>
      </c>
      <c r="JE97" s="982">
        <v>9893</v>
      </c>
      <c r="JF97" s="982">
        <v>2819</v>
      </c>
      <c r="JG97" s="982">
        <v>1529</v>
      </c>
      <c r="JH97" s="982">
        <v>0</v>
      </c>
      <c r="JI97" s="982">
        <v>191</v>
      </c>
      <c r="JJ97" s="982">
        <v>2794</v>
      </c>
      <c r="JK97" s="982">
        <v>4847</v>
      </c>
      <c r="JL97" s="982">
        <v>5275</v>
      </c>
      <c r="JM97" s="982">
        <v>143</v>
      </c>
      <c r="JN97" s="982">
        <v>163</v>
      </c>
      <c r="JO97" s="992">
        <v>31516</v>
      </c>
      <c r="JP97" s="983">
        <f>+(JJ97+JF97+JE97)/(JO97-JN97-JK97)</f>
        <v>0.58499962272692974</v>
      </c>
      <c r="JR97" s="97"/>
      <c r="JS97" s="97"/>
      <c r="JT97" s="97" t="s">
        <v>48</v>
      </c>
      <c r="JU97" s="42">
        <v>1575</v>
      </c>
      <c r="JV97" s="42">
        <v>864</v>
      </c>
      <c r="JW97" s="42">
        <v>2</v>
      </c>
      <c r="JX97" s="42">
        <v>1431</v>
      </c>
      <c r="JY97" s="42">
        <v>9564</v>
      </c>
      <c r="JZ97" s="42">
        <v>2653</v>
      </c>
      <c r="KA97" s="42">
        <v>1537</v>
      </c>
      <c r="KB97" s="42">
        <v>0</v>
      </c>
      <c r="KC97" s="42">
        <v>142</v>
      </c>
      <c r="KD97" s="42">
        <v>2913</v>
      </c>
      <c r="KE97" s="42">
        <v>4588</v>
      </c>
      <c r="KF97" s="42">
        <v>5480</v>
      </c>
      <c r="KG97" s="42">
        <v>143</v>
      </c>
      <c r="KH97" s="42">
        <v>164</v>
      </c>
      <c r="KI97" s="42">
        <v>31056</v>
      </c>
      <c r="KJ97" s="984">
        <f>+(KD97+JZ97+JY97)/(KI97-KH97-KE97)</f>
        <v>0.57519768856447684</v>
      </c>
      <c r="KK97" s="42"/>
      <c r="KL97" s="42"/>
      <c r="KM97" s="42"/>
      <c r="KN97" s="354" t="s">
        <v>48</v>
      </c>
      <c r="KO97" s="985">
        <v>1668</v>
      </c>
      <c r="KP97" s="985">
        <v>804</v>
      </c>
      <c r="KQ97" s="985">
        <v>1</v>
      </c>
      <c r="KR97" s="985">
        <v>1344</v>
      </c>
      <c r="KS97" s="985">
        <v>8848</v>
      </c>
      <c r="KT97" s="985">
        <v>2531</v>
      </c>
      <c r="KU97" s="985">
        <v>1629</v>
      </c>
      <c r="KV97" s="985" t="s">
        <v>315</v>
      </c>
      <c r="KW97" s="985">
        <v>161</v>
      </c>
      <c r="KX97" s="985">
        <v>3439</v>
      </c>
      <c r="KY97" s="985">
        <v>5641</v>
      </c>
      <c r="KZ97" s="985">
        <v>122</v>
      </c>
      <c r="LA97" s="985">
        <v>26188</v>
      </c>
      <c r="LB97" s="985">
        <f>+KX97+KT97+KS97</f>
        <v>14818</v>
      </c>
      <c r="LC97" s="1023">
        <f>+LB97/LA97</f>
        <v>0.56583167863143424</v>
      </c>
      <c r="LD97" s="42"/>
      <c r="LE97" s="42"/>
    </row>
    <row r="98" spans="2:317">
      <c r="B98" s="6291">
        <v>3</v>
      </c>
      <c r="C98" s="6291">
        <v>2</v>
      </c>
      <c r="D98" s="6291">
        <v>8578</v>
      </c>
      <c r="E98" s="6291">
        <v>49</v>
      </c>
      <c r="F98" s="6291">
        <v>1809</v>
      </c>
      <c r="G98" s="6291">
        <v>652</v>
      </c>
      <c r="H98" s="6291">
        <v>249</v>
      </c>
      <c r="I98" s="6291">
        <v>5</v>
      </c>
      <c r="J98" s="6291">
        <v>107</v>
      </c>
      <c r="K98" s="6291">
        <v>1260</v>
      </c>
      <c r="L98" s="6293"/>
      <c r="M98" s="6291">
        <v>869</v>
      </c>
      <c r="N98" s="6291">
        <v>342</v>
      </c>
      <c r="O98" s="6293"/>
      <c r="P98" s="6291">
        <v>3236</v>
      </c>
      <c r="Q98" s="6294">
        <f t="shared" si="78"/>
        <v>0.62543716484028911</v>
      </c>
      <c r="S98" s="6295"/>
      <c r="T98" s="6295"/>
      <c r="U98" s="6295"/>
      <c r="V98" s="6317">
        <f>SUM(V96:V97)</f>
        <v>341</v>
      </c>
      <c r="W98" s="6317">
        <f t="shared" ref="W98:AH98" si="87">SUM(W96:W97)</f>
        <v>6</v>
      </c>
      <c r="X98" s="6317">
        <f t="shared" si="87"/>
        <v>72</v>
      </c>
      <c r="Y98" s="6317">
        <f t="shared" si="87"/>
        <v>96</v>
      </c>
      <c r="Z98" s="6317">
        <f t="shared" si="87"/>
        <v>32</v>
      </c>
      <c r="AA98" s="6317">
        <f t="shared" si="87"/>
        <v>1</v>
      </c>
      <c r="AB98" s="6317">
        <f t="shared" si="87"/>
        <v>11</v>
      </c>
      <c r="AC98" s="6317">
        <f t="shared" si="87"/>
        <v>7</v>
      </c>
      <c r="AD98" s="6317">
        <f t="shared" si="87"/>
        <v>0</v>
      </c>
      <c r="AE98" s="6317">
        <f t="shared" si="87"/>
        <v>29</v>
      </c>
      <c r="AF98" s="6317">
        <f t="shared" si="87"/>
        <v>27</v>
      </c>
      <c r="AG98" s="6317">
        <f t="shared" si="87"/>
        <v>0</v>
      </c>
      <c r="AH98" s="6317">
        <f t="shared" si="87"/>
        <v>60</v>
      </c>
      <c r="AI98" s="6294">
        <f t="shared" si="85"/>
        <v>0.28152492668621704</v>
      </c>
      <c r="AK98" s="6297"/>
      <c r="AL98" s="6297"/>
      <c r="AM98" s="6297"/>
      <c r="AN98" s="6298">
        <f>SUM(AN96:AN97)</f>
        <v>341</v>
      </c>
      <c r="AO98" s="6298">
        <f t="shared" ref="AO98:BB98" si="88">SUM(AO96:AO97)</f>
        <v>9</v>
      </c>
      <c r="AP98" s="6298">
        <f t="shared" si="88"/>
        <v>72</v>
      </c>
      <c r="AQ98" s="6298">
        <f t="shared" si="88"/>
        <v>98</v>
      </c>
      <c r="AR98" s="6298">
        <f t="shared" si="88"/>
        <v>32</v>
      </c>
      <c r="AS98" s="6298">
        <f t="shared" si="88"/>
        <v>1</v>
      </c>
      <c r="AT98" s="6298">
        <f t="shared" si="88"/>
        <v>11</v>
      </c>
      <c r="AU98" s="6298">
        <f t="shared" si="88"/>
        <v>0</v>
      </c>
      <c r="AV98" s="6298">
        <f t="shared" si="88"/>
        <v>5</v>
      </c>
      <c r="AW98" s="6298">
        <f t="shared" si="88"/>
        <v>30</v>
      </c>
      <c r="AX98" s="6298">
        <f t="shared" si="88"/>
        <v>0</v>
      </c>
      <c r="AY98" s="6298">
        <f t="shared" si="88"/>
        <v>24</v>
      </c>
      <c r="AZ98" s="6298">
        <f t="shared" si="88"/>
        <v>0</v>
      </c>
      <c r="BA98" s="6298">
        <f t="shared" si="88"/>
        <v>0</v>
      </c>
      <c r="BB98" s="6298">
        <f t="shared" si="88"/>
        <v>59</v>
      </c>
      <c r="BC98" s="6318">
        <f t="shared" si="50"/>
        <v>0.2756598240469208</v>
      </c>
      <c r="BE98" s="6313">
        <v>5</v>
      </c>
      <c r="BF98" s="6313">
        <v>2</v>
      </c>
      <c r="BG98" s="6313">
        <v>148</v>
      </c>
      <c r="BH98" s="4405" t="s">
        <v>679</v>
      </c>
      <c r="BI98" s="6314">
        <v>227</v>
      </c>
      <c r="BJ98" s="6313">
        <v>14</v>
      </c>
      <c r="BK98" s="6313">
        <v>36</v>
      </c>
      <c r="BL98" s="6313">
        <v>21</v>
      </c>
      <c r="BM98" s="6313">
        <v>10</v>
      </c>
      <c r="BN98" s="6303"/>
      <c r="BO98" s="6313">
        <v>1</v>
      </c>
      <c r="BP98" s="6313">
        <v>1</v>
      </c>
      <c r="BQ98" s="6313">
        <v>20</v>
      </c>
      <c r="BR98" s="6303"/>
      <c r="BS98" s="6313">
        <v>29</v>
      </c>
      <c r="BT98" s="6313">
        <v>19</v>
      </c>
      <c r="BU98" s="6303"/>
      <c r="BV98" s="6303"/>
      <c r="BW98" s="6313">
        <v>76</v>
      </c>
      <c r="BX98" s="6300">
        <f t="shared" si="61"/>
        <v>0.55309734513274333</v>
      </c>
      <c r="BZ98" s="4388"/>
      <c r="CA98" s="4388" t="s">
        <v>16</v>
      </c>
      <c r="CB98" s="4388" t="s">
        <v>679</v>
      </c>
      <c r="CC98" s="4231">
        <v>21</v>
      </c>
      <c r="CD98" s="4231">
        <v>18</v>
      </c>
      <c r="CE98" s="4231"/>
      <c r="CF98" s="4231">
        <v>10</v>
      </c>
      <c r="CG98" s="4231">
        <v>73</v>
      </c>
      <c r="CH98" s="4231">
        <v>28</v>
      </c>
      <c r="CI98" s="4231">
        <v>1</v>
      </c>
      <c r="CJ98" s="4231"/>
      <c r="CK98" s="4231"/>
      <c r="CL98" s="4231">
        <v>15</v>
      </c>
      <c r="CM98" s="4231">
        <v>24</v>
      </c>
      <c r="CN98" s="4231"/>
      <c r="CO98" s="4231">
        <v>36</v>
      </c>
      <c r="CP98" s="4231">
        <v>1</v>
      </c>
      <c r="CQ98" s="4231">
        <v>227</v>
      </c>
      <c r="CR98" s="6304">
        <f t="shared" si="51"/>
        <v>0.55309734513274333</v>
      </c>
      <c r="CS98" s="4238">
        <f t="shared" si="52"/>
        <v>0</v>
      </c>
      <c r="CT98" s="6305">
        <v>227</v>
      </c>
      <c r="CU98" s="6316"/>
      <c r="CX98" s="42" t="s">
        <v>15</v>
      </c>
      <c r="CY98" s="42">
        <v>2</v>
      </c>
      <c r="CZ98" s="42">
        <v>16</v>
      </c>
      <c r="DB98" s="42">
        <v>8</v>
      </c>
      <c r="DC98" s="42">
        <v>81</v>
      </c>
      <c r="DD98" s="42">
        <v>19</v>
      </c>
      <c r="DE98" s="42">
        <v>1</v>
      </c>
      <c r="DH98" s="42">
        <v>12</v>
      </c>
      <c r="DI98" s="42">
        <v>15</v>
      </c>
      <c r="DK98" s="42">
        <v>27</v>
      </c>
      <c r="DL98" s="42">
        <v>1</v>
      </c>
      <c r="DM98" s="893">
        <v>182</v>
      </c>
      <c r="DN98" s="6306">
        <f t="shared" si="53"/>
        <v>0.63535911602209949</v>
      </c>
      <c r="DP98" s="4263"/>
      <c r="DQ98" s="4263"/>
      <c r="DR98" s="4258" t="s">
        <v>489</v>
      </c>
      <c r="DS98" s="4263">
        <v>2</v>
      </c>
      <c r="DT98" s="4263">
        <v>6</v>
      </c>
      <c r="DU98" s="4263"/>
      <c r="DV98" s="4263">
        <v>2</v>
      </c>
      <c r="DW98" s="4263">
        <v>5</v>
      </c>
      <c r="DX98" s="4263">
        <v>5</v>
      </c>
      <c r="DY98" s="4263">
        <v>0</v>
      </c>
      <c r="DZ98" s="4263"/>
      <c r="EA98" s="4263"/>
      <c r="EB98" s="4263">
        <v>7</v>
      </c>
      <c r="EC98" s="4263">
        <v>15</v>
      </c>
      <c r="ED98" s="4263"/>
      <c r="EE98" s="4263">
        <v>4</v>
      </c>
      <c r="EF98" s="4263">
        <v>0</v>
      </c>
      <c r="EG98" s="4263">
        <v>46</v>
      </c>
      <c r="EH98" s="6307">
        <f t="shared" si="54"/>
        <v>0.54347826086956519</v>
      </c>
      <c r="EL98" s="893" t="s">
        <v>483</v>
      </c>
      <c r="EM98" s="135">
        <v>13</v>
      </c>
      <c r="EN98" s="135">
        <v>14</v>
      </c>
      <c r="EO98" s="135"/>
      <c r="EP98" s="135">
        <v>1</v>
      </c>
      <c r="EQ98" s="135">
        <v>59</v>
      </c>
      <c r="ER98" s="135">
        <v>30</v>
      </c>
      <c r="ES98" s="135"/>
      <c r="ET98" s="135"/>
      <c r="EU98" s="135"/>
      <c r="EV98" s="135">
        <v>16</v>
      </c>
      <c r="EW98" s="135">
        <v>15</v>
      </c>
      <c r="EX98" s="135"/>
      <c r="EY98" s="135">
        <v>25</v>
      </c>
      <c r="EZ98" s="135"/>
      <c r="FA98" s="135">
        <v>173</v>
      </c>
      <c r="FB98" s="6315">
        <f t="shared" si="55"/>
        <v>0.60115606936416188</v>
      </c>
      <c r="FD98" s="42"/>
      <c r="FE98" s="42"/>
      <c r="FF98" s="893" t="s">
        <v>483</v>
      </c>
      <c r="FG98" s="135">
        <v>13</v>
      </c>
      <c r="FH98" s="135">
        <v>5</v>
      </c>
      <c r="FI98" s="135"/>
      <c r="FJ98" s="135">
        <v>4</v>
      </c>
      <c r="FK98" s="135">
        <v>31</v>
      </c>
      <c r="FL98" s="135">
        <v>30</v>
      </c>
      <c r="FM98" s="135">
        <v>1</v>
      </c>
      <c r="FN98" s="135"/>
      <c r="FO98" s="135"/>
      <c r="FP98" s="135">
        <v>14</v>
      </c>
      <c r="FQ98" s="135">
        <v>21</v>
      </c>
      <c r="FR98" s="135"/>
      <c r="FS98" s="135">
        <v>17</v>
      </c>
      <c r="FT98" s="135">
        <v>1</v>
      </c>
      <c r="FU98" s="135">
        <v>137</v>
      </c>
      <c r="FV98" s="5723">
        <f t="shared" si="45"/>
        <v>0.6029411764705882</v>
      </c>
      <c r="FW98" s="5717"/>
      <c r="FX98" s="42"/>
      <c r="FY98" s="42" t="s">
        <v>41</v>
      </c>
      <c r="FZ98" s="42" t="s">
        <v>680</v>
      </c>
      <c r="GA98" s="97">
        <v>10</v>
      </c>
      <c r="GB98" s="97">
        <v>5</v>
      </c>
      <c r="GC98" s="97"/>
      <c r="GD98" s="97">
        <v>2</v>
      </c>
      <c r="GE98" s="97">
        <v>22</v>
      </c>
      <c r="GF98" s="97">
        <v>14</v>
      </c>
      <c r="GG98" s="97">
        <v>2</v>
      </c>
      <c r="GH98" s="97"/>
      <c r="GI98" s="97"/>
      <c r="GJ98" s="97">
        <v>4</v>
      </c>
      <c r="GK98" s="97"/>
      <c r="GL98" s="97"/>
      <c r="GM98" s="97">
        <v>8</v>
      </c>
      <c r="GN98" s="97"/>
      <c r="GO98" s="97">
        <v>67</v>
      </c>
      <c r="GP98" s="6308">
        <f t="shared" si="56"/>
        <v>0.53731343283582089</v>
      </c>
      <c r="GR98" s="6280"/>
      <c r="GS98" s="6280"/>
      <c r="GT98" s="1179" t="s">
        <v>483</v>
      </c>
      <c r="GU98" s="1180">
        <v>3</v>
      </c>
      <c r="GV98" s="1180">
        <v>2</v>
      </c>
      <c r="GW98" s="1181"/>
      <c r="GX98" s="1181"/>
      <c r="GY98" s="1180">
        <v>13</v>
      </c>
      <c r="GZ98" s="1180">
        <v>16</v>
      </c>
      <c r="HA98" s="1181"/>
      <c r="HB98" s="1180">
        <v>1</v>
      </c>
      <c r="HC98" s="1181"/>
      <c r="HD98" s="1180">
        <v>1</v>
      </c>
      <c r="HE98" s="1180">
        <v>3</v>
      </c>
      <c r="HF98" s="1181"/>
      <c r="HG98" s="1180">
        <v>8</v>
      </c>
      <c r="HH98" s="1180">
        <v>1</v>
      </c>
      <c r="HI98" s="1180">
        <v>48</v>
      </c>
      <c r="HJ98" s="456">
        <f t="shared" si="57"/>
        <v>0.68085106382978722</v>
      </c>
      <c r="IE98" s="1024"/>
      <c r="IF98" s="1024"/>
      <c r="IG98" s="1024"/>
      <c r="IH98" s="980"/>
      <c r="II98" s="980"/>
      <c r="IJ98" s="577"/>
      <c r="IK98" s="980"/>
      <c r="IL98" s="980"/>
      <c r="IM98" s="980"/>
      <c r="IN98" s="980"/>
      <c r="IO98" s="980"/>
      <c r="IP98" s="577"/>
      <c r="IQ98" s="980"/>
      <c r="IR98" s="980"/>
      <c r="IS98" s="980"/>
      <c r="IT98" s="577"/>
      <c r="IU98" s="980"/>
      <c r="IV98" s="1025"/>
      <c r="IZ98" s="97" t="s">
        <v>59</v>
      </c>
      <c r="JA98" s="982">
        <v>224</v>
      </c>
      <c r="JB98" s="982">
        <v>87</v>
      </c>
      <c r="JC98" s="982">
        <v>0</v>
      </c>
      <c r="JD98" s="982">
        <v>47</v>
      </c>
      <c r="JE98" s="982">
        <v>201</v>
      </c>
      <c r="JF98" s="982">
        <v>45</v>
      </c>
      <c r="JG98" s="982">
        <v>25</v>
      </c>
      <c r="JH98" s="982">
        <v>0</v>
      </c>
      <c r="JI98" s="982">
        <v>40</v>
      </c>
      <c r="JJ98" s="982">
        <v>93</v>
      </c>
      <c r="JK98" s="982">
        <v>186</v>
      </c>
      <c r="JL98" s="982">
        <v>186</v>
      </c>
      <c r="JM98" s="982">
        <v>0</v>
      </c>
      <c r="JN98" s="982">
        <v>8</v>
      </c>
      <c r="JO98" s="992">
        <v>1142</v>
      </c>
      <c r="JP98" s="983">
        <f>+(JJ98+JF98+JE98)/(JO98-JN98-JK98)</f>
        <v>0.35759493670886078</v>
      </c>
      <c r="JR98" s="97"/>
      <c r="JS98" s="97"/>
      <c r="JT98" s="97" t="s">
        <v>59</v>
      </c>
      <c r="JU98" s="42">
        <v>145</v>
      </c>
      <c r="JV98" s="42">
        <v>61</v>
      </c>
      <c r="JW98" s="42">
        <v>1</v>
      </c>
      <c r="JX98" s="42">
        <v>19</v>
      </c>
      <c r="JY98" s="42">
        <v>128</v>
      </c>
      <c r="JZ98" s="42">
        <v>30</v>
      </c>
      <c r="KA98" s="42">
        <v>15</v>
      </c>
      <c r="KB98" s="42">
        <v>0</v>
      </c>
      <c r="KC98" s="42">
        <v>29</v>
      </c>
      <c r="KD98" s="42">
        <v>59</v>
      </c>
      <c r="KE98" s="42">
        <v>138</v>
      </c>
      <c r="KF98" s="42">
        <v>114</v>
      </c>
      <c r="KG98" s="42">
        <v>0</v>
      </c>
      <c r="KH98" s="42">
        <v>4</v>
      </c>
      <c r="KI98" s="42">
        <v>743</v>
      </c>
      <c r="KJ98" s="984">
        <f>+(KD98+JZ98+JY98)/(KI98-KH98-KE98)</f>
        <v>0.36106489184692181</v>
      </c>
      <c r="KK98" s="42"/>
      <c r="KL98" s="42"/>
      <c r="KM98" s="42"/>
      <c r="KN98" s="354" t="s">
        <v>59</v>
      </c>
      <c r="KO98" s="985">
        <v>50</v>
      </c>
      <c r="KP98" s="985">
        <v>36</v>
      </c>
      <c r="KQ98" s="985" t="s">
        <v>315</v>
      </c>
      <c r="KR98" s="985">
        <v>6</v>
      </c>
      <c r="KS98" s="985">
        <v>46</v>
      </c>
      <c r="KT98" s="985">
        <v>29</v>
      </c>
      <c r="KU98" s="985">
        <v>6</v>
      </c>
      <c r="KV98" s="985" t="s">
        <v>315</v>
      </c>
      <c r="KW98" s="985">
        <v>13</v>
      </c>
      <c r="KX98" s="985">
        <v>47</v>
      </c>
      <c r="KY98" s="985">
        <v>53</v>
      </c>
      <c r="KZ98" s="985" t="s">
        <v>315</v>
      </c>
      <c r="LA98" s="985">
        <v>286</v>
      </c>
      <c r="LB98" s="985">
        <f>+KX98+KT98+KS98</f>
        <v>122</v>
      </c>
      <c r="LC98" s="1023">
        <f>+LB98/LA98</f>
        <v>0.42657342657342656</v>
      </c>
      <c r="LD98" s="42"/>
      <c r="LE98" s="42"/>
    </row>
    <row r="99" spans="2:317" ht="15" thickBot="1">
      <c r="B99" s="6291">
        <v>3</v>
      </c>
      <c r="C99" s="6291">
        <v>3</v>
      </c>
      <c r="D99" s="6291">
        <v>10870</v>
      </c>
      <c r="E99" s="6291">
        <v>78</v>
      </c>
      <c r="F99" s="6291">
        <v>1715</v>
      </c>
      <c r="G99" s="6291">
        <v>1023</v>
      </c>
      <c r="H99" s="6291">
        <v>438</v>
      </c>
      <c r="I99" s="6291">
        <v>4</v>
      </c>
      <c r="J99" s="6291">
        <v>93</v>
      </c>
      <c r="K99" s="6291">
        <v>2480</v>
      </c>
      <c r="L99" s="6293"/>
      <c r="M99" s="6291">
        <v>1118</v>
      </c>
      <c r="N99" s="6291">
        <v>257</v>
      </c>
      <c r="O99" s="6291">
        <v>1</v>
      </c>
      <c r="P99" s="6291">
        <v>3663</v>
      </c>
      <c r="Q99" s="6294">
        <f t="shared" si="78"/>
        <v>0.66798528058877649</v>
      </c>
      <c r="S99" s="6295">
        <v>5</v>
      </c>
      <c r="T99" s="6295">
        <v>2</v>
      </c>
      <c r="U99" s="6295">
        <v>148</v>
      </c>
      <c r="V99" s="6295">
        <v>280</v>
      </c>
      <c r="W99" s="6295">
        <v>5</v>
      </c>
      <c r="X99" s="6295">
        <v>67</v>
      </c>
      <c r="Y99" s="6295">
        <v>29</v>
      </c>
      <c r="Z99" s="6295">
        <v>13</v>
      </c>
      <c r="AA99" s="6296"/>
      <c r="AB99" s="6295">
        <v>3</v>
      </c>
      <c r="AC99" s="6295">
        <v>15</v>
      </c>
      <c r="AD99" s="6296"/>
      <c r="AE99" s="6295">
        <v>38</v>
      </c>
      <c r="AF99" s="6295">
        <v>13</v>
      </c>
      <c r="AG99" s="6296"/>
      <c r="AH99" s="6295">
        <v>97</v>
      </c>
      <c r="AI99" s="6294">
        <f t="shared" si="85"/>
        <v>0.5357142857142857</v>
      </c>
      <c r="AK99" s="6297">
        <v>5</v>
      </c>
      <c r="AL99" s="6297">
        <v>2</v>
      </c>
      <c r="AM99" s="6297">
        <v>148</v>
      </c>
      <c r="AN99" s="6298">
        <v>282</v>
      </c>
      <c r="AO99" s="6297">
        <v>11</v>
      </c>
      <c r="AP99" s="6297">
        <v>67</v>
      </c>
      <c r="AQ99" s="6297">
        <v>24</v>
      </c>
      <c r="AR99" s="6297">
        <v>13</v>
      </c>
      <c r="AS99" s="6299"/>
      <c r="AT99" s="6297">
        <v>3</v>
      </c>
      <c r="AU99" s="6297">
        <v>1</v>
      </c>
      <c r="AV99" s="6297">
        <v>17</v>
      </c>
      <c r="AW99" s="6297">
        <v>41</v>
      </c>
      <c r="AX99" s="6299"/>
      <c r="AY99" s="6297">
        <v>13</v>
      </c>
      <c r="AZ99" s="6299"/>
      <c r="BA99" s="6299"/>
      <c r="BB99" s="6297">
        <v>92</v>
      </c>
      <c r="BC99" s="6300">
        <f t="shared" si="50"/>
        <v>0.53380782918149461</v>
      </c>
      <c r="BE99" s="6313">
        <v>5</v>
      </c>
      <c r="BF99" s="6313">
        <v>2</v>
      </c>
      <c r="BG99" s="6313">
        <v>161</v>
      </c>
      <c r="BH99" s="4405" t="s">
        <v>489</v>
      </c>
      <c r="BI99" s="6314">
        <v>64</v>
      </c>
      <c r="BJ99" s="6313">
        <v>5</v>
      </c>
      <c r="BK99" s="6313">
        <v>5</v>
      </c>
      <c r="BL99" s="6313">
        <v>2</v>
      </c>
      <c r="BM99" s="6313">
        <v>3</v>
      </c>
      <c r="BN99" s="6303"/>
      <c r="BO99" s="6303"/>
      <c r="BP99" s="6303"/>
      <c r="BQ99" s="6313">
        <v>22</v>
      </c>
      <c r="BR99" s="6303"/>
      <c r="BS99" s="6313">
        <v>9</v>
      </c>
      <c r="BT99" s="6313">
        <v>9</v>
      </c>
      <c r="BU99" s="6303"/>
      <c r="BV99" s="6303"/>
      <c r="BW99" s="6313">
        <v>9</v>
      </c>
      <c r="BX99" s="6300">
        <f t="shared" si="61"/>
        <v>0.625</v>
      </c>
      <c r="BZ99" s="4388"/>
      <c r="CA99" s="4388"/>
      <c r="CB99" s="4388" t="s">
        <v>489</v>
      </c>
      <c r="CC99" s="4231">
        <v>2</v>
      </c>
      <c r="CD99" s="4231">
        <v>8</v>
      </c>
      <c r="CE99" s="4231"/>
      <c r="CF99" s="4231">
        <v>3</v>
      </c>
      <c r="CG99" s="4231">
        <v>7</v>
      </c>
      <c r="CH99" s="4231">
        <v>11</v>
      </c>
      <c r="CI99" s="4231">
        <v>0</v>
      </c>
      <c r="CJ99" s="4231"/>
      <c r="CK99" s="4231"/>
      <c r="CL99" s="4231">
        <v>9</v>
      </c>
      <c r="CM99" s="4231">
        <v>21</v>
      </c>
      <c r="CN99" s="4231"/>
      <c r="CO99" s="4231">
        <v>5</v>
      </c>
      <c r="CP99" s="4231">
        <v>0</v>
      </c>
      <c r="CQ99" s="4231">
        <v>66</v>
      </c>
      <c r="CR99" s="6304">
        <f t="shared" si="51"/>
        <v>0.59090909090909094</v>
      </c>
      <c r="CS99" s="4238">
        <f t="shared" si="52"/>
        <v>1</v>
      </c>
      <c r="CT99" s="6305">
        <v>65</v>
      </c>
      <c r="CU99" s="6316"/>
      <c r="CW99" s="97" t="s">
        <v>41</v>
      </c>
      <c r="CX99" s="42" t="s">
        <v>680</v>
      </c>
      <c r="CY99" s="42">
        <v>11</v>
      </c>
      <c r="CZ99" s="42">
        <v>7</v>
      </c>
      <c r="DB99" s="42">
        <v>4</v>
      </c>
      <c r="DC99" s="42">
        <v>68</v>
      </c>
      <c r="DD99" s="42">
        <v>20</v>
      </c>
      <c r="DE99" s="42">
        <v>3</v>
      </c>
      <c r="DF99" s="42">
        <v>1</v>
      </c>
      <c r="DH99" s="42">
        <v>8</v>
      </c>
      <c r="DI99" s="42">
        <v>2</v>
      </c>
      <c r="DK99" s="42">
        <v>30</v>
      </c>
      <c r="DM99" s="893">
        <v>154</v>
      </c>
      <c r="DN99" s="6306">
        <f t="shared" si="53"/>
        <v>0.58441558441558439</v>
      </c>
      <c r="DP99" s="4263"/>
      <c r="DQ99" s="4263"/>
      <c r="DR99" s="4257" t="s">
        <v>483</v>
      </c>
      <c r="DS99" s="4266">
        <v>14</v>
      </c>
      <c r="DT99" s="4266">
        <v>22</v>
      </c>
      <c r="DU99" s="4266"/>
      <c r="DV99" s="4266">
        <v>10</v>
      </c>
      <c r="DW99" s="4266">
        <v>74</v>
      </c>
      <c r="DX99" s="4266">
        <v>22</v>
      </c>
      <c r="DY99" s="4266">
        <v>1</v>
      </c>
      <c r="DZ99" s="4266"/>
      <c r="EA99" s="4266"/>
      <c r="EB99" s="4266">
        <v>17</v>
      </c>
      <c r="EC99" s="4266">
        <v>28</v>
      </c>
      <c r="ED99" s="4266"/>
      <c r="EE99" s="4266">
        <v>32</v>
      </c>
      <c r="EF99" s="4266">
        <v>1</v>
      </c>
      <c r="EG99" s="4266">
        <v>221</v>
      </c>
      <c r="EH99" s="6321">
        <f t="shared" si="54"/>
        <v>0.5636363636363636</v>
      </c>
      <c r="EK99" s="42" t="s">
        <v>41</v>
      </c>
      <c r="EL99" s="42" t="s">
        <v>680</v>
      </c>
      <c r="EM99" s="97">
        <v>19</v>
      </c>
      <c r="EN99" s="97">
        <v>7</v>
      </c>
      <c r="EO99" s="97"/>
      <c r="EP99" s="97"/>
      <c r="EQ99" s="97">
        <v>51</v>
      </c>
      <c r="ER99" s="97">
        <v>24</v>
      </c>
      <c r="ES99" s="97">
        <v>3</v>
      </c>
      <c r="ET99" s="97"/>
      <c r="EU99" s="97"/>
      <c r="EV99" s="97">
        <v>6</v>
      </c>
      <c r="EW99" s="97">
        <v>11</v>
      </c>
      <c r="EX99" s="97"/>
      <c r="EY99" s="97">
        <v>29</v>
      </c>
      <c r="EZ99" s="97"/>
      <c r="FA99" s="97">
        <v>150</v>
      </c>
      <c r="FB99" s="6315">
        <f t="shared" si="55"/>
        <v>0.57333333333333336</v>
      </c>
      <c r="FD99" s="42"/>
      <c r="FE99" s="42" t="s">
        <v>41</v>
      </c>
      <c r="FF99" s="42" t="s">
        <v>680</v>
      </c>
      <c r="FG99" s="97">
        <v>15</v>
      </c>
      <c r="FH99" s="97">
        <v>6</v>
      </c>
      <c r="FI99" s="97"/>
      <c r="FJ99" s="97">
        <v>3</v>
      </c>
      <c r="FK99" s="97">
        <v>29</v>
      </c>
      <c r="FL99" s="97">
        <v>22</v>
      </c>
      <c r="FM99" s="97">
        <v>3</v>
      </c>
      <c r="FN99" s="97"/>
      <c r="FO99" s="97"/>
      <c r="FP99" s="97">
        <v>3</v>
      </c>
      <c r="FQ99" s="97">
        <v>16</v>
      </c>
      <c r="FR99" s="97"/>
      <c r="FS99" s="97">
        <v>14</v>
      </c>
      <c r="FT99" s="97"/>
      <c r="FU99" s="97">
        <v>111</v>
      </c>
      <c r="FV99" s="6308">
        <f t="shared" si="45"/>
        <v>0.60360360360360366</v>
      </c>
      <c r="FW99" s="6322"/>
      <c r="FX99" s="42"/>
      <c r="FY99" s="42"/>
      <c r="FZ99" s="893" t="s">
        <v>485</v>
      </c>
      <c r="GA99" s="135">
        <v>10</v>
      </c>
      <c r="GB99" s="135">
        <v>5</v>
      </c>
      <c r="GC99" s="135"/>
      <c r="GD99" s="135">
        <v>2</v>
      </c>
      <c r="GE99" s="135">
        <v>22</v>
      </c>
      <c r="GF99" s="135">
        <v>14</v>
      </c>
      <c r="GG99" s="135">
        <v>2</v>
      </c>
      <c r="GH99" s="135"/>
      <c r="GI99" s="135"/>
      <c r="GJ99" s="135">
        <v>4</v>
      </c>
      <c r="GK99" s="135"/>
      <c r="GL99" s="135"/>
      <c r="GM99" s="135">
        <v>8</v>
      </c>
      <c r="GN99" s="135"/>
      <c r="GO99" s="135">
        <v>67</v>
      </c>
      <c r="GP99" s="5723">
        <f t="shared" si="56"/>
        <v>0.53731343283582089</v>
      </c>
      <c r="GR99" s="6280"/>
      <c r="GS99" s="6280" t="s">
        <v>41</v>
      </c>
      <c r="GT99" s="6310" t="s">
        <v>680</v>
      </c>
      <c r="GU99" s="6311">
        <v>8</v>
      </c>
      <c r="GV99" s="6311">
        <v>2</v>
      </c>
      <c r="GW99" s="6312"/>
      <c r="GX99" s="6311">
        <v>2</v>
      </c>
      <c r="GY99" s="6311">
        <v>10</v>
      </c>
      <c r="GZ99" s="6311">
        <v>13</v>
      </c>
      <c r="HA99" s="6311">
        <v>2</v>
      </c>
      <c r="HB99" s="6312"/>
      <c r="HC99" s="6312"/>
      <c r="HD99" s="6311">
        <v>4</v>
      </c>
      <c r="HE99" s="6312"/>
      <c r="HF99" s="6312"/>
      <c r="HG99" s="6311">
        <v>4</v>
      </c>
      <c r="HH99" s="6312"/>
      <c r="HI99" s="6311">
        <v>45</v>
      </c>
      <c r="HJ99" s="467">
        <f t="shared" si="57"/>
        <v>0.51111111111111107</v>
      </c>
      <c r="IE99" s="1024"/>
      <c r="IF99" s="1024"/>
      <c r="IG99" s="1024"/>
      <c r="IH99" s="980"/>
      <c r="II99" s="980"/>
      <c r="IJ99" s="577"/>
      <c r="IK99" s="980"/>
      <c r="IL99" s="980"/>
      <c r="IM99" s="980"/>
      <c r="IN99" s="980"/>
      <c r="IO99" s="980"/>
      <c r="IP99" s="577"/>
      <c r="IQ99" s="980"/>
      <c r="IR99" s="980"/>
      <c r="IS99" s="980"/>
      <c r="IT99" s="577"/>
      <c r="IU99" s="980"/>
      <c r="IV99" s="1025"/>
      <c r="IZ99" s="388" t="s">
        <v>15</v>
      </c>
      <c r="JA99" s="1013">
        <v>8847</v>
      </c>
      <c r="JB99" s="1013">
        <v>3643</v>
      </c>
      <c r="JC99" s="1013">
        <v>1</v>
      </c>
      <c r="JD99" s="1013">
        <v>4278</v>
      </c>
      <c r="JE99" s="1013">
        <v>17608</v>
      </c>
      <c r="JF99" s="1013">
        <v>4442</v>
      </c>
      <c r="JG99" s="1013">
        <v>4248</v>
      </c>
      <c r="JH99" s="1013">
        <v>5</v>
      </c>
      <c r="JI99" s="1013">
        <v>1139</v>
      </c>
      <c r="JJ99" s="1013">
        <v>4533</v>
      </c>
      <c r="JK99" s="1013">
        <v>13057</v>
      </c>
      <c r="JL99" s="1013">
        <v>15271</v>
      </c>
      <c r="JM99" s="1013">
        <v>161</v>
      </c>
      <c r="JN99" s="1013">
        <v>320</v>
      </c>
      <c r="JO99" s="1013">
        <v>77553</v>
      </c>
      <c r="JP99" s="1014">
        <f>+(JJ99+JF99+JE99)/(JO99-JN99-JK99)</f>
        <v>0.41422026925953626</v>
      </c>
      <c r="JR99" s="97"/>
      <c r="JS99" s="97"/>
      <c r="JT99" s="388" t="s">
        <v>15</v>
      </c>
      <c r="JU99" s="866">
        <v>7918</v>
      </c>
      <c r="JV99" s="866">
        <v>3704</v>
      </c>
      <c r="JW99" s="866">
        <v>3</v>
      </c>
      <c r="JX99" s="866">
        <v>4211</v>
      </c>
      <c r="JY99" s="866">
        <v>17090</v>
      </c>
      <c r="JZ99" s="866">
        <v>4315</v>
      </c>
      <c r="KA99" s="866">
        <v>4324</v>
      </c>
      <c r="KB99" s="866">
        <v>5</v>
      </c>
      <c r="KC99" s="866">
        <v>958</v>
      </c>
      <c r="KD99" s="866">
        <v>4405</v>
      </c>
      <c r="KE99" s="866">
        <v>12145</v>
      </c>
      <c r="KF99" s="866">
        <v>15395</v>
      </c>
      <c r="KG99" s="866">
        <v>161</v>
      </c>
      <c r="KH99" s="866">
        <v>282</v>
      </c>
      <c r="KI99" s="866">
        <v>74916</v>
      </c>
      <c r="KJ99" s="1026">
        <f>+(KD99+JZ99+JY99)/(KI99-KH99-KE99)</f>
        <v>0.41303269375410073</v>
      </c>
      <c r="KK99" s="42"/>
      <c r="KL99" s="42"/>
      <c r="KM99" s="42"/>
      <c r="KN99" s="1008" t="s">
        <v>15</v>
      </c>
      <c r="KO99" s="1009">
        <v>7026</v>
      </c>
      <c r="KP99" s="1009">
        <v>3533</v>
      </c>
      <c r="KQ99" s="1009">
        <v>1</v>
      </c>
      <c r="KR99" s="1009">
        <v>4113</v>
      </c>
      <c r="KS99" s="1009">
        <v>16128</v>
      </c>
      <c r="KT99" s="1009">
        <v>4121</v>
      </c>
      <c r="KU99" s="1009">
        <v>4675</v>
      </c>
      <c r="KV99" s="1009">
        <v>1</v>
      </c>
      <c r="KW99" s="1009">
        <v>1485</v>
      </c>
      <c r="KX99" s="1009">
        <v>5167</v>
      </c>
      <c r="KY99" s="1009">
        <v>15510</v>
      </c>
      <c r="KZ99" s="1009">
        <v>140</v>
      </c>
      <c r="LA99" s="1009">
        <v>61900</v>
      </c>
      <c r="LB99" s="1009">
        <f>+KX99+KT99+KS99</f>
        <v>25416</v>
      </c>
      <c r="LC99" s="1027">
        <f>+LB99/LA99</f>
        <v>0.41059773828756058</v>
      </c>
      <c r="LD99" s="42"/>
      <c r="LE99" s="42"/>
    </row>
    <row r="100" spans="2:317">
      <c r="B100" s="6291">
        <v>3</v>
      </c>
      <c r="C100" s="6291">
        <v>4</v>
      </c>
      <c r="D100" s="6291">
        <v>4205</v>
      </c>
      <c r="E100" s="6291">
        <v>23</v>
      </c>
      <c r="F100" s="6291">
        <v>821</v>
      </c>
      <c r="G100" s="6291">
        <v>344</v>
      </c>
      <c r="H100" s="6291">
        <v>112</v>
      </c>
      <c r="I100" s="6291">
        <v>2</v>
      </c>
      <c r="J100" s="6291">
        <v>35</v>
      </c>
      <c r="K100" s="6291">
        <v>697</v>
      </c>
      <c r="L100" s="6293"/>
      <c r="M100" s="6291">
        <v>401</v>
      </c>
      <c r="N100" s="6291">
        <v>172</v>
      </c>
      <c r="O100" s="6291">
        <v>1</v>
      </c>
      <c r="P100" s="6291">
        <v>1597</v>
      </c>
      <c r="Q100" s="6294">
        <f t="shared" si="78"/>
        <v>0.64090368608799053</v>
      </c>
      <c r="S100" s="6295">
        <v>5</v>
      </c>
      <c r="T100" s="6295">
        <v>2</v>
      </c>
      <c r="U100" s="6295">
        <v>161</v>
      </c>
      <c r="V100" s="6295">
        <v>94</v>
      </c>
      <c r="W100" s="6295">
        <v>14</v>
      </c>
      <c r="X100" s="6295">
        <v>12</v>
      </c>
      <c r="Y100" s="6295">
        <v>9</v>
      </c>
      <c r="Z100" s="6295">
        <v>5</v>
      </c>
      <c r="AA100" s="6296"/>
      <c r="AB100" s="6296"/>
      <c r="AC100" s="6295">
        <v>14</v>
      </c>
      <c r="AD100" s="6296"/>
      <c r="AE100" s="6295">
        <v>16</v>
      </c>
      <c r="AF100" s="6295">
        <v>7</v>
      </c>
      <c r="AG100" s="6296"/>
      <c r="AH100" s="6295">
        <v>17</v>
      </c>
      <c r="AI100" s="6294">
        <f t="shared" si="85"/>
        <v>0.5</v>
      </c>
      <c r="AK100" s="6297">
        <v>5</v>
      </c>
      <c r="AL100" s="6297">
        <v>2</v>
      </c>
      <c r="AM100" s="6297">
        <v>161</v>
      </c>
      <c r="AN100" s="6298">
        <v>94</v>
      </c>
      <c r="AO100" s="6297">
        <v>16</v>
      </c>
      <c r="AP100" s="6297">
        <v>12</v>
      </c>
      <c r="AQ100" s="6297">
        <v>6</v>
      </c>
      <c r="AR100" s="6297">
        <v>4</v>
      </c>
      <c r="AS100" s="6299"/>
      <c r="AT100" s="6299"/>
      <c r="AU100" s="6299"/>
      <c r="AV100" s="6297">
        <v>14</v>
      </c>
      <c r="AW100" s="6297">
        <v>17</v>
      </c>
      <c r="AX100" s="6299"/>
      <c r="AY100" s="6297">
        <v>9</v>
      </c>
      <c r="AZ100" s="6299"/>
      <c r="BA100" s="6299"/>
      <c r="BB100" s="6297">
        <v>16</v>
      </c>
      <c r="BC100" s="6300">
        <f t="shared" si="50"/>
        <v>0.5</v>
      </c>
      <c r="BE100" s="6313">
        <v>5</v>
      </c>
      <c r="BF100" s="6313">
        <v>2</v>
      </c>
      <c r="BG100" s="6313">
        <v>179</v>
      </c>
      <c r="BH100" s="4405" t="s">
        <v>2309</v>
      </c>
      <c r="BI100" s="6314">
        <v>1</v>
      </c>
      <c r="BJ100" s="6303"/>
      <c r="BK100" s="6303"/>
      <c r="BL100" s="6313">
        <v>1</v>
      </c>
      <c r="BM100" s="6303"/>
      <c r="BN100" s="6303"/>
      <c r="BO100" s="6303"/>
      <c r="BP100" s="6303"/>
      <c r="BQ100" s="6303"/>
      <c r="BR100" s="6303"/>
      <c r="BS100" s="6303"/>
      <c r="BT100" s="6303"/>
      <c r="BU100" s="6303"/>
      <c r="BV100" s="6303"/>
      <c r="BW100" s="6303"/>
      <c r="BX100" s="6300">
        <f t="shared" si="61"/>
        <v>0</v>
      </c>
      <c r="BZ100" s="4388"/>
      <c r="CA100" s="4388"/>
      <c r="CB100" s="6276" t="s">
        <v>483</v>
      </c>
      <c r="CC100" s="6320">
        <v>23</v>
      </c>
      <c r="CD100" s="6320">
        <v>26</v>
      </c>
      <c r="CE100" s="6320"/>
      <c r="CF100" s="6320">
        <v>13</v>
      </c>
      <c r="CG100" s="6320">
        <v>80</v>
      </c>
      <c r="CH100" s="6320">
        <v>39</v>
      </c>
      <c r="CI100" s="6320">
        <v>1</v>
      </c>
      <c r="CJ100" s="6320"/>
      <c r="CK100" s="6320"/>
      <c r="CL100" s="6320">
        <v>24</v>
      </c>
      <c r="CM100" s="6320">
        <v>45</v>
      </c>
      <c r="CN100" s="6320"/>
      <c r="CO100" s="6320">
        <v>41</v>
      </c>
      <c r="CP100" s="6320">
        <v>1</v>
      </c>
      <c r="CQ100" s="6320">
        <v>293</v>
      </c>
      <c r="CR100" s="6304">
        <f t="shared" si="51"/>
        <v>0.56164383561643838</v>
      </c>
      <c r="CS100" s="4238">
        <f t="shared" si="52"/>
        <v>293</v>
      </c>
      <c r="CT100" s="6305"/>
      <c r="CU100" s="6316"/>
      <c r="CX100" s="42" t="s">
        <v>2408</v>
      </c>
      <c r="CY100" s="42">
        <v>0</v>
      </c>
      <c r="CZ100" s="42">
        <v>1</v>
      </c>
      <c r="DB100" s="42">
        <v>0</v>
      </c>
      <c r="DC100" s="42">
        <v>0</v>
      </c>
      <c r="DD100" s="42">
        <v>0</v>
      </c>
      <c r="DE100" s="42">
        <v>0</v>
      </c>
      <c r="DF100" s="42">
        <v>0</v>
      </c>
      <c r="DH100" s="42">
        <v>0</v>
      </c>
      <c r="DI100" s="42">
        <v>0</v>
      </c>
      <c r="DK100" s="42">
        <v>0</v>
      </c>
      <c r="DM100" s="893">
        <v>1</v>
      </c>
      <c r="DN100" s="6306">
        <f t="shared" si="53"/>
        <v>0</v>
      </c>
      <c r="DP100" s="4263"/>
      <c r="DQ100" s="4263" t="s">
        <v>41</v>
      </c>
      <c r="DR100" s="4258" t="s">
        <v>680</v>
      </c>
      <c r="DS100" s="4263">
        <v>53</v>
      </c>
      <c r="DT100" s="4263">
        <v>16</v>
      </c>
      <c r="DU100" s="4263"/>
      <c r="DV100" s="4263">
        <v>12</v>
      </c>
      <c r="DW100" s="4263">
        <v>56</v>
      </c>
      <c r="DX100" s="4263">
        <v>29</v>
      </c>
      <c r="DY100" s="4263">
        <v>3</v>
      </c>
      <c r="DZ100" s="4263"/>
      <c r="EA100" s="4263"/>
      <c r="EB100" s="4263">
        <v>14</v>
      </c>
      <c r="EC100" s="4263">
        <v>6</v>
      </c>
      <c r="ED100" s="4263"/>
      <c r="EE100" s="4263">
        <v>35</v>
      </c>
      <c r="EF100" s="4263"/>
      <c r="EG100" s="4263">
        <v>224</v>
      </c>
      <c r="EH100" s="6307">
        <f t="shared" si="54"/>
        <v>0.40625</v>
      </c>
      <c r="EL100" s="42" t="s">
        <v>2408</v>
      </c>
      <c r="EM100" s="97">
        <v>1</v>
      </c>
      <c r="EN100" s="97">
        <v>0</v>
      </c>
      <c r="EO100" s="97"/>
      <c r="EP100" s="97"/>
      <c r="EQ100" s="97">
        <v>0</v>
      </c>
      <c r="ER100" s="97">
        <v>0</v>
      </c>
      <c r="ES100" s="97">
        <v>0</v>
      </c>
      <c r="ET100" s="97"/>
      <c r="EU100" s="97"/>
      <c r="EV100" s="97">
        <v>0</v>
      </c>
      <c r="EW100" s="97">
        <v>0</v>
      </c>
      <c r="EX100" s="97"/>
      <c r="EY100" s="97">
        <v>0</v>
      </c>
      <c r="EZ100" s="97"/>
      <c r="FA100" s="97">
        <v>1</v>
      </c>
      <c r="FB100" s="6315">
        <f t="shared" si="55"/>
        <v>0</v>
      </c>
      <c r="FD100" s="893"/>
      <c r="FE100" s="893"/>
      <c r="FF100" s="893" t="s">
        <v>485</v>
      </c>
      <c r="FG100" s="135">
        <v>15</v>
      </c>
      <c r="FH100" s="135">
        <v>6</v>
      </c>
      <c r="FI100" s="135"/>
      <c r="FJ100" s="135">
        <v>3</v>
      </c>
      <c r="FK100" s="135">
        <v>29</v>
      </c>
      <c r="FL100" s="135">
        <v>22</v>
      </c>
      <c r="FM100" s="135">
        <v>3</v>
      </c>
      <c r="FN100" s="135"/>
      <c r="FO100" s="135"/>
      <c r="FP100" s="135">
        <v>3</v>
      </c>
      <c r="FQ100" s="135">
        <v>16</v>
      </c>
      <c r="FR100" s="135"/>
      <c r="FS100" s="135">
        <v>14</v>
      </c>
      <c r="FT100" s="135"/>
      <c r="FU100" s="135">
        <v>111</v>
      </c>
      <c r="FV100" s="5723">
        <f t="shared" si="45"/>
        <v>0.60360360360360366</v>
      </c>
      <c r="FW100" s="5717"/>
      <c r="FX100" s="42"/>
      <c r="FY100" s="42"/>
      <c r="FZ100" s="893" t="s">
        <v>1017</v>
      </c>
      <c r="GA100" s="135">
        <v>30</v>
      </c>
      <c r="GB100" s="135">
        <v>16</v>
      </c>
      <c r="GC100" s="135"/>
      <c r="GD100" s="135">
        <v>6</v>
      </c>
      <c r="GE100" s="135">
        <v>68</v>
      </c>
      <c r="GF100" s="135">
        <v>35</v>
      </c>
      <c r="GG100" s="135">
        <v>10</v>
      </c>
      <c r="GH100" s="135">
        <v>1</v>
      </c>
      <c r="GI100" s="135"/>
      <c r="GJ100" s="135">
        <v>11</v>
      </c>
      <c r="GK100" s="135">
        <v>6</v>
      </c>
      <c r="GL100" s="135"/>
      <c r="GM100" s="135">
        <v>31</v>
      </c>
      <c r="GN100" s="135">
        <v>1</v>
      </c>
      <c r="GO100" s="135">
        <v>215</v>
      </c>
      <c r="GP100" s="5723">
        <f t="shared" si="56"/>
        <v>0.50934579439252337</v>
      </c>
      <c r="GR100" s="6280"/>
      <c r="GS100" s="6280"/>
      <c r="GT100" s="1179" t="s">
        <v>485</v>
      </c>
      <c r="GU100" s="1180">
        <v>8</v>
      </c>
      <c r="GV100" s="1180">
        <v>2</v>
      </c>
      <c r="GW100" s="1181"/>
      <c r="GX100" s="1180">
        <v>2</v>
      </c>
      <c r="GY100" s="1180">
        <v>10</v>
      </c>
      <c r="GZ100" s="1180">
        <v>13</v>
      </c>
      <c r="HA100" s="1180">
        <v>2</v>
      </c>
      <c r="HB100" s="1181"/>
      <c r="HC100" s="1181"/>
      <c r="HD100" s="1180">
        <v>4</v>
      </c>
      <c r="HE100" s="1181"/>
      <c r="HF100" s="1181"/>
      <c r="HG100" s="1180">
        <v>4</v>
      </c>
      <c r="HH100" s="1181"/>
      <c r="HI100" s="1180">
        <v>45</v>
      </c>
      <c r="HJ100" s="456">
        <f t="shared" si="57"/>
        <v>0.51111111111111107</v>
      </c>
      <c r="IE100" s="1024"/>
      <c r="IF100" s="1024"/>
      <c r="IG100" s="1024"/>
      <c r="IH100" s="980"/>
      <c r="II100" s="980"/>
      <c r="IJ100" s="577"/>
      <c r="IK100" s="980"/>
      <c r="IL100" s="980"/>
      <c r="IM100" s="980"/>
      <c r="IN100" s="980"/>
      <c r="IO100" s="980"/>
      <c r="IP100" s="577"/>
      <c r="IQ100" s="980"/>
      <c r="IR100" s="980"/>
      <c r="IS100" s="980"/>
      <c r="IT100" s="577"/>
      <c r="IU100" s="980"/>
      <c r="IV100" s="1025"/>
      <c r="JR100" s="97"/>
      <c r="JS100" s="97"/>
      <c r="JT100" s="42"/>
      <c r="JU100" s="42"/>
      <c r="JV100" s="42"/>
      <c r="JW100" s="42"/>
      <c r="JX100" s="42"/>
      <c r="JY100" s="42"/>
      <c r="JZ100" s="42"/>
      <c r="KA100" s="42"/>
      <c r="KB100" s="42"/>
      <c r="KC100" s="42"/>
      <c r="KD100" s="42"/>
      <c r="KE100" s="42"/>
      <c r="KF100" s="42"/>
      <c r="KG100" s="42"/>
      <c r="KH100" s="42"/>
      <c r="KI100" s="42"/>
      <c r="KJ100" s="42"/>
      <c r="KK100" s="42"/>
      <c r="KL100" s="42"/>
      <c r="KM100" s="42"/>
      <c r="KN100" s="42"/>
      <c r="KO100" s="42"/>
      <c r="KP100" s="42"/>
      <c r="KQ100" s="42"/>
      <c r="KR100" s="42"/>
      <c r="KS100" s="42"/>
      <c r="KT100" s="42"/>
      <c r="KU100" s="42"/>
      <c r="KV100" s="42"/>
      <c r="KW100" s="42"/>
      <c r="KX100" s="42"/>
      <c r="KY100" s="42"/>
      <c r="KZ100" s="42"/>
      <c r="LA100" s="42"/>
      <c r="LB100" s="42"/>
      <c r="LC100" s="42"/>
      <c r="LD100" s="42"/>
      <c r="LE100" s="42"/>
    </row>
    <row r="101" spans="2:317" ht="15" thickBot="1">
      <c r="B101" s="6291">
        <v>4</v>
      </c>
      <c r="C101" s="6291">
        <v>2</v>
      </c>
      <c r="D101" s="6291">
        <v>1197</v>
      </c>
      <c r="E101" s="6291">
        <v>53</v>
      </c>
      <c r="F101" s="6291">
        <v>232</v>
      </c>
      <c r="G101" s="6291">
        <v>237</v>
      </c>
      <c r="H101" s="6291">
        <v>43</v>
      </c>
      <c r="I101" s="6293"/>
      <c r="J101" s="6291">
        <v>3</v>
      </c>
      <c r="K101" s="6291">
        <v>84</v>
      </c>
      <c r="L101" s="6291">
        <v>15</v>
      </c>
      <c r="M101" s="6291">
        <v>58</v>
      </c>
      <c r="N101" s="6291">
        <v>130</v>
      </c>
      <c r="O101" s="6293"/>
      <c r="P101" s="6291">
        <v>342</v>
      </c>
      <c r="Q101" s="6294">
        <f t="shared" si="78"/>
        <v>0.40434419381787801</v>
      </c>
      <c r="S101" s="6295">
        <v>5</v>
      </c>
      <c r="T101" s="6295">
        <v>2</v>
      </c>
      <c r="U101" s="6295">
        <v>179</v>
      </c>
      <c r="V101" s="6295">
        <v>5</v>
      </c>
      <c r="W101" s="6296"/>
      <c r="X101" s="6296"/>
      <c r="Y101" s="6295">
        <v>2</v>
      </c>
      <c r="Z101" s="6296"/>
      <c r="AA101" s="6296"/>
      <c r="AB101" s="6296"/>
      <c r="AC101" s="6296"/>
      <c r="AD101" s="6296"/>
      <c r="AE101" s="6296"/>
      <c r="AF101" s="6295">
        <v>3</v>
      </c>
      <c r="AG101" s="6296"/>
      <c r="AH101" s="6296"/>
      <c r="AI101" s="6294">
        <f t="shared" si="85"/>
        <v>0</v>
      </c>
      <c r="AK101" s="6297">
        <v>5</v>
      </c>
      <c r="AL101" s="6297">
        <v>2</v>
      </c>
      <c r="AM101" s="6297">
        <v>179</v>
      </c>
      <c r="AN101" s="6298">
        <v>5</v>
      </c>
      <c r="AO101" s="6299"/>
      <c r="AP101" s="6299"/>
      <c r="AQ101" s="6297">
        <v>3</v>
      </c>
      <c r="AR101" s="6299"/>
      <c r="AS101" s="6299"/>
      <c r="AT101" s="6299"/>
      <c r="AU101" s="6299"/>
      <c r="AV101" s="6299"/>
      <c r="AW101" s="6299"/>
      <c r="AX101" s="6299"/>
      <c r="AY101" s="6297">
        <v>2</v>
      </c>
      <c r="AZ101" s="6299"/>
      <c r="BA101" s="6299"/>
      <c r="BB101" s="6299"/>
      <c r="BC101" s="6300">
        <f t="shared" si="50"/>
        <v>0</v>
      </c>
      <c r="BE101" s="6313"/>
      <c r="BF101" s="6313"/>
      <c r="BG101" s="6313"/>
      <c r="BH101" s="6319" t="s">
        <v>483</v>
      </c>
      <c r="BI101" s="6314">
        <f>SUM(BI98:BI100)</f>
        <v>292</v>
      </c>
      <c r="BJ101" s="6314">
        <f t="shared" ref="BJ101:BW101" si="89">SUM(BJ98:BJ100)</f>
        <v>19</v>
      </c>
      <c r="BK101" s="6314">
        <f t="shared" si="89"/>
        <v>41</v>
      </c>
      <c r="BL101" s="6314">
        <f t="shared" si="89"/>
        <v>24</v>
      </c>
      <c r="BM101" s="6314">
        <f t="shared" si="89"/>
        <v>13</v>
      </c>
      <c r="BN101" s="6314">
        <f t="shared" si="89"/>
        <v>0</v>
      </c>
      <c r="BO101" s="6314">
        <f t="shared" si="89"/>
        <v>1</v>
      </c>
      <c r="BP101" s="6314">
        <f t="shared" si="89"/>
        <v>1</v>
      </c>
      <c r="BQ101" s="6314">
        <f t="shared" si="89"/>
        <v>42</v>
      </c>
      <c r="BR101" s="6314">
        <f t="shared" si="89"/>
        <v>0</v>
      </c>
      <c r="BS101" s="6314">
        <f t="shared" si="89"/>
        <v>38</v>
      </c>
      <c r="BT101" s="6314">
        <f t="shared" si="89"/>
        <v>28</v>
      </c>
      <c r="BU101" s="6314">
        <f t="shared" si="89"/>
        <v>0</v>
      </c>
      <c r="BV101" s="6314">
        <f t="shared" si="89"/>
        <v>0</v>
      </c>
      <c r="BW101" s="6314">
        <f t="shared" si="89"/>
        <v>85</v>
      </c>
      <c r="BX101" s="6300">
        <f t="shared" si="61"/>
        <v>0.5670103092783505</v>
      </c>
      <c r="BZ101" s="4388"/>
      <c r="CA101" s="4388" t="s">
        <v>41</v>
      </c>
      <c r="CB101" s="4388" t="s">
        <v>680</v>
      </c>
      <c r="CC101" s="4231">
        <v>80</v>
      </c>
      <c r="CD101" s="4231">
        <v>22</v>
      </c>
      <c r="CE101" s="4231"/>
      <c r="CF101" s="4231">
        <v>16</v>
      </c>
      <c r="CG101" s="4231">
        <v>68</v>
      </c>
      <c r="CH101" s="4231">
        <v>29</v>
      </c>
      <c r="CI101" s="4231">
        <v>6</v>
      </c>
      <c r="CJ101" s="4231"/>
      <c r="CK101" s="4231"/>
      <c r="CL101" s="4231">
        <v>14</v>
      </c>
      <c r="CM101" s="4231">
        <v>13</v>
      </c>
      <c r="CN101" s="4231"/>
      <c r="CO101" s="4231">
        <v>41</v>
      </c>
      <c r="CP101" s="4231"/>
      <c r="CQ101" s="4231">
        <v>289</v>
      </c>
      <c r="CR101" s="6304">
        <f t="shared" si="51"/>
        <v>0.38062283737024222</v>
      </c>
      <c r="CS101" s="4238">
        <f t="shared" si="52"/>
        <v>0</v>
      </c>
      <c r="CT101" s="6305">
        <v>289</v>
      </c>
      <c r="CU101" s="6316"/>
      <c r="CX101" s="42" t="s">
        <v>15</v>
      </c>
      <c r="CY101" s="42">
        <v>11</v>
      </c>
      <c r="CZ101" s="42">
        <v>8</v>
      </c>
      <c r="DB101" s="42">
        <v>4</v>
      </c>
      <c r="DC101" s="42">
        <v>68</v>
      </c>
      <c r="DD101" s="42">
        <v>20</v>
      </c>
      <c r="DE101" s="42">
        <v>3</v>
      </c>
      <c r="DF101" s="42">
        <v>1</v>
      </c>
      <c r="DH101" s="42">
        <v>8</v>
      </c>
      <c r="DI101" s="42">
        <v>2</v>
      </c>
      <c r="DK101" s="42">
        <v>30</v>
      </c>
      <c r="DM101" s="893">
        <v>155</v>
      </c>
      <c r="DN101" s="6306">
        <f t="shared" si="53"/>
        <v>0.58064516129032262</v>
      </c>
      <c r="DP101" s="4263"/>
      <c r="DQ101" s="4263"/>
      <c r="DR101" s="4258" t="s">
        <v>2408</v>
      </c>
      <c r="DS101" s="4263">
        <v>0</v>
      </c>
      <c r="DT101" s="4263">
        <v>1</v>
      </c>
      <c r="DU101" s="4263"/>
      <c r="DV101" s="4263">
        <v>0</v>
      </c>
      <c r="DW101" s="4263">
        <v>0</v>
      </c>
      <c r="DX101" s="4263">
        <v>0</v>
      </c>
      <c r="DY101" s="4263">
        <v>0</v>
      </c>
      <c r="DZ101" s="4263"/>
      <c r="EA101" s="4263"/>
      <c r="EB101" s="4263">
        <v>0</v>
      </c>
      <c r="EC101" s="4263">
        <v>0</v>
      </c>
      <c r="ED101" s="4263"/>
      <c r="EE101" s="4263">
        <v>0</v>
      </c>
      <c r="EF101" s="4263"/>
      <c r="EG101" s="4263">
        <v>1</v>
      </c>
      <c r="EH101" s="6307">
        <f t="shared" si="54"/>
        <v>0</v>
      </c>
      <c r="EL101" s="3713" t="s">
        <v>485</v>
      </c>
      <c r="EM101" s="3714">
        <v>20</v>
      </c>
      <c r="EN101" s="3714">
        <v>7</v>
      </c>
      <c r="EO101" s="3714"/>
      <c r="EP101" s="3714"/>
      <c r="EQ101" s="3714">
        <v>51</v>
      </c>
      <c r="ER101" s="3714">
        <v>24</v>
      </c>
      <c r="ES101" s="3714">
        <v>3</v>
      </c>
      <c r="ET101" s="3714"/>
      <c r="EU101" s="3714"/>
      <c r="EV101" s="3714">
        <v>6</v>
      </c>
      <c r="EW101" s="3714">
        <v>11</v>
      </c>
      <c r="EX101" s="3714"/>
      <c r="EY101" s="3714">
        <v>29</v>
      </c>
      <c r="EZ101" s="3714"/>
      <c r="FA101" s="3714">
        <v>151</v>
      </c>
      <c r="FB101" s="6315">
        <f t="shared" si="55"/>
        <v>0.56953642384105962</v>
      </c>
      <c r="FD101" s="893"/>
      <c r="FE101" s="893"/>
      <c r="FF101" s="893" t="s">
        <v>1017</v>
      </c>
      <c r="FG101" s="135">
        <v>46</v>
      </c>
      <c r="FH101" s="135">
        <v>16</v>
      </c>
      <c r="FI101" s="135"/>
      <c r="FJ101" s="135">
        <v>17</v>
      </c>
      <c r="FK101" s="135">
        <v>84</v>
      </c>
      <c r="FL101" s="135">
        <v>64</v>
      </c>
      <c r="FM101" s="135">
        <v>13</v>
      </c>
      <c r="FN101" s="135"/>
      <c r="FO101" s="135"/>
      <c r="FP101" s="135">
        <v>18</v>
      </c>
      <c r="FQ101" s="135">
        <v>44</v>
      </c>
      <c r="FR101" s="135"/>
      <c r="FS101" s="135">
        <v>55</v>
      </c>
      <c r="FT101" s="135">
        <v>1</v>
      </c>
      <c r="FU101" s="135">
        <v>358</v>
      </c>
      <c r="FV101" s="5723">
        <f t="shared" si="45"/>
        <v>0.53781512605042014</v>
      </c>
      <c r="FW101" s="5717"/>
      <c r="FX101" s="916"/>
      <c r="FY101" s="916"/>
      <c r="FZ101" s="866" t="s">
        <v>112</v>
      </c>
      <c r="GA101" s="388">
        <v>8057</v>
      </c>
      <c r="GB101" s="388">
        <v>6465</v>
      </c>
      <c r="GC101" s="388">
        <v>1</v>
      </c>
      <c r="GD101" s="388">
        <v>2879</v>
      </c>
      <c r="GE101" s="388">
        <v>18443</v>
      </c>
      <c r="GF101" s="388">
        <v>4441</v>
      </c>
      <c r="GG101" s="388">
        <v>3870</v>
      </c>
      <c r="GH101" s="388">
        <v>211</v>
      </c>
      <c r="GI101" s="388">
        <v>10</v>
      </c>
      <c r="GJ101" s="388">
        <v>2124</v>
      </c>
      <c r="GK101" s="388">
        <v>5399</v>
      </c>
      <c r="GL101" s="388">
        <v>264</v>
      </c>
      <c r="GM101" s="388">
        <v>10461</v>
      </c>
      <c r="GN101" s="388">
        <v>87</v>
      </c>
      <c r="GO101" s="388">
        <v>62712</v>
      </c>
      <c r="GP101" s="6353">
        <f t="shared" si="56"/>
        <v>0.45353666554417021</v>
      </c>
      <c r="GR101" s="6280"/>
      <c r="GS101" s="6280"/>
      <c r="GT101" s="1179" t="s">
        <v>1017</v>
      </c>
      <c r="GU101" s="1180">
        <v>15</v>
      </c>
      <c r="GV101" s="1180">
        <v>7</v>
      </c>
      <c r="GW101" s="1181"/>
      <c r="GX101" s="1180">
        <v>4</v>
      </c>
      <c r="GY101" s="1180">
        <v>29</v>
      </c>
      <c r="GZ101" s="1180">
        <v>40</v>
      </c>
      <c r="HA101" s="1180">
        <v>7</v>
      </c>
      <c r="HB101" s="1180">
        <v>6</v>
      </c>
      <c r="HC101" s="1181"/>
      <c r="HD101" s="1180">
        <v>6</v>
      </c>
      <c r="HE101" s="1180">
        <v>6</v>
      </c>
      <c r="HF101" s="1181"/>
      <c r="HG101" s="1180">
        <v>16</v>
      </c>
      <c r="HH101" s="1180">
        <v>1</v>
      </c>
      <c r="HI101" s="1180">
        <v>137</v>
      </c>
      <c r="HJ101" s="456">
        <f t="shared" si="57"/>
        <v>0.55147058823529416</v>
      </c>
      <c r="IE101" s="1024"/>
      <c r="IF101" s="1024"/>
      <c r="IG101" s="1024"/>
      <c r="IH101" s="980"/>
      <c r="II101" s="980"/>
      <c r="IJ101" s="577"/>
      <c r="IK101" s="980"/>
      <c r="IL101" s="980"/>
      <c r="IM101" s="980"/>
      <c r="IN101" s="980"/>
      <c r="IO101" s="980"/>
      <c r="IP101" s="577"/>
      <c r="IQ101" s="980"/>
      <c r="IR101" s="980"/>
      <c r="IS101" s="980"/>
      <c r="IT101" s="577"/>
      <c r="IU101" s="980"/>
      <c r="IV101" s="1025"/>
      <c r="JR101" s="97"/>
      <c r="JS101" s="97"/>
      <c r="JT101" s="42"/>
      <c r="JU101" s="42"/>
      <c r="JV101" s="42"/>
      <c r="JW101" s="42"/>
      <c r="JX101" s="42"/>
      <c r="JY101" s="42"/>
      <c r="JZ101" s="42"/>
      <c r="KA101" s="42"/>
      <c r="KB101" s="42"/>
      <c r="KC101" s="42"/>
      <c r="KD101" s="42"/>
      <c r="KE101" s="42"/>
      <c r="KF101" s="42"/>
      <c r="KG101" s="42"/>
      <c r="KH101" s="42"/>
      <c r="KI101" s="42"/>
      <c r="KJ101" s="42"/>
      <c r="KK101" s="42"/>
      <c r="KL101" s="42"/>
      <c r="KM101" s="42"/>
      <c r="KN101" s="42"/>
      <c r="KO101" s="42"/>
      <c r="KP101" s="42"/>
      <c r="KQ101" s="42"/>
      <c r="KR101" s="42"/>
      <c r="KS101" s="42"/>
      <c r="KT101" s="42"/>
      <c r="KU101" s="42"/>
      <c r="KV101" s="42"/>
      <c r="KW101" s="42"/>
      <c r="KX101" s="42"/>
      <c r="KY101" s="42"/>
      <c r="KZ101" s="42"/>
      <c r="LA101" s="42"/>
      <c r="LB101" s="42"/>
      <c r="LC101" s="42"/>
      <c r="LD101" s="42"/>
      <c r="LE101" s="42"/>
    </row>
    <row r="102" spans="2:317" ht="15" thickBot="1">
      <c r="B102" s="6291">
        <v>4</v>
      </c>
      <c r="C102" s="6291">
        <v>5</v>
      </c>
      <c r="D102" s="6291">
        <v>1223</v>
      </c>
      <c r="E102" s="6291">
        <v>48</v>
      </c>
      <c r="F102" s="6291">
        <v>241</v>
      </c>
      <c r="G102" s="6291">
        <v>204</v>
      </c>
      <c r="H102" s="6291">
        <v>64</v>
      </c>
      <c r="I102" s="6291">
        <v>2</v>
      </c>
      <c r="J102" s="6291">
        <v>5</v>
      </c>
      <c r="K102" s="6291">
        <v>148</v>
      </c>
      <c r="L102" s="6291">
        <v>13</v>
      </c>
      <c r="M102" s="6291">
        <v>49</v>
      </c>
      <c r="N102" s="6291">
        <v>150</v>
      </c>
      <c r="O102" s="6293"/>
      <c r="P102" s="6291">
        <v>299</v>
      </c>
      <c r="Q102" s="6294">
        <f t="shared" si="78"/>
        <v>0.4055600981193786</v>
      </c>
      <c r="S102" s="6295"/>
      <c r="T102" s="6295"/>
      <c r="U102" s="6295"/>
      <c r="V102" s="6317">
        <f>SUM(V99:V101)</f>
        <v>379</v>
      </c>
      <c r="W102" s="6317">
        <f t="shared" ref="W102:AH102" si="90">SUM(W99:W101)</f>
        <v>19</v>
      </c>
      <c r="X102" s="6317">
        <f t="shared" si="90"/>
        <v>79</v>
      </c>
      <c r="Y102" s="6317">
        <f t="shared" si="90"/>
        <v>40</v>
      </c>
      <c r="Z102" s="6317">
        <f t="shared" si="90"/>
        <v>18</v>
      </c>
      <c r="AA102" s="6317">
        <f t="shared" si="90"/>
        <v>0</v>
      </c>
      <c r="AB102" s="6317">
        <f t="shared" si="90"/>
        <v>3</v>
      </c>
      <c r="AC102" s="6317">
        <f t="shared" si="90"/>
        <v>29</v>
      </c>
      <c r="AD102" s="6317">
        <f t="shared" si="90"/>
        <v>0</v>
      </c>
      <c r="AE102" s="6317">
        <f t="shared" si="90"/>
        <v>54</v>
      </c>
      <c r="AF102" s="6317">
        <f t="shared" si="90"/>
        <v>23</v>
      </c>
      <c r="AG102" s="6317">
        <f t="shared" si="90"/>
        <v>0</v>
      </c>
      <c r="AH102" s="6317">
        <f t="shared" si="90"/>
        <v>114</v>
      </c>
      <c r="AI102" s="6294">
        <f t="shared" si="85"/>
        <v>0.51978891820580475</v>
      </c>
      <c r="AK102" s="6297"/>
      <c r="AL102" s="6297"/>
      <c r="AM102" s="6297"/>
      <c r="AN102" s="6298">
        <f>SUM(AN99:AN101)</f>
        <v>381</v>
      </c>
      <c r="AO102" s="6298">
        <f t="shared" ref="AO102:BB102" si="91">SUM(AO99:AO101)</f>
        <v>27</v>
      </c>
      <c r="AP102" s="6298">
        <f t="shared" si="91"/>
        <v>79</v>
      </c>
      <c r="AQ102" s="6298">
        <f t="shared" si="91"/>
        <v>33</v>
      </c>
      <c r="AR102" s="6298">
        <f t="shared" si="91"/>
        <v>17</v>
      </c>
      <c r="AS102" s="6298">
        <f t="shared" si="91"/>
        <v>0</v>
      </c>
      <c r="AT102" s="6298">
        <f t="shared" si="91"/>
        <v>3</v>
      </c>
      <c r="AU102" s="6298">
        <f t="shared" si="91"/>
        <v>1</v>
      </c>
      <c r="AV102" s="6298">
        <f t="shared" si="91"/>
        <v>31</v>
      </c>
      <c r="AW102" s="6298">
        <f t="shared" si="91"/>
        <v>58</v>
      </c>
      <c r="AX102" s="6298">
        <f t="shared" si="91"/>
        <v>0</v>
      </c>
      <c r="AY102" s="6298">
        <f t="shared" si="91"/>
        <v>24</v>
      </c>
      <c r="AZ102" s="6298">
        <f t="shared" si="91"/>
        <v>0</v>
      </c>
      <c r="BA102" s="6298">
        <f t="shared" si="91"/>
        <v>0</v>
      </c>
      <c r="BB102" s="6298">
        <f t="shared" si="91"/>
        <v>108</v>
      </c>
      <c r="BC102" s="6318">
        <f t="shared" si="50"/>
        <v>0.51842105263157889</v>
      </c>
      <c r="BE102" s="6313">
        <v>5</v>
      </c>
      <c r="BF102" s="6313">
        <v>3</v>
      </c>
      <c r="BG102" s="6313">
        <v>149</v>
      </c>
      <c r="BH102" s="4405" t="s">
        <v>680</v>
      </c>
      <c r="BI102" s="6314">
        <v>289</v>
      </c>
      <c r="BJ102" s="6313">
        <v>10</v>
      </c>
      <c r="BK102" s="6313">
        <v>41</v>
      </c>
      <c r="BL102" s="6313">
        <v>72</v>
      </c>
      <c r="BM102" s="6313">
        <v>16</v>
      </c>
      <c r="BN102" s="6303"/>
      <c r="BO102" s="6313">
        <v>6</v>
      </c>
      <c r="BP102" s="6303"/>
      <c r="BQ102" s="6313">
        <v>18</v>
      </c>
      <c r="BR102" s="6303"/>
      <c r="BS102" s="6313">
        <v>27</v>
      </c>
      <c r="BT102" s="6313">
        <v>28</v>
      </c>
      <c r="BU102" s="6303"/>
      <c r="BV102" s="6303"/>
      <c r="BW102" s="6313">
        <v>71</v>
      </c>
      <c r="BX102" s="6300">
        <f t="shared" si="61"/>
        <v>0.40138408304498269</v>
      </c>
      <c r="BZ102" s="4388"/>
      <c r="CA102" s="4388"/>
      <c r="CB102" s="4388" t="s">
        <v>2681</v>
      </c>
      <c r="CC102" s="4231">
        <v>1</v>
      </c>
      <c r="CD102" s="4231">
        <v>0</v>
      </c>
      <c r="CE102" s="4231"/>
      <c r="CF102" s="4231">
        <v>0</v>
      </c>
      <c r="CG102" s="4231">
        <v>0</v>
      </c>
      <c r="CH102" s="4231">
        <v>0</v>
      </c>
      <c r="CI102" s="4231">
        <v>0</v>
      </c>
      <c r="CJ102" s="4231"/>
      <c r="CK102" s="4231"/>
      <c r="CL102" s="4231">
        <v>0</v>
      </c>
      <c r="CM102" s="4231">
        <v>0</v>
      </c>
      <c r="CN102" s="4231"/>
      <c r="CO102" s="4231">
        <v>0</v>
      </c>
      <c r="CP102" s="4231"/>
      <c r="CQ102" s="4231">
        <v>1</v>
      </c>
      <c r="CR102" s="6304">
        <f t="shared" si="51"/>
        <v>0</v>
      </c>
      <c r="CS102" s="4238">
        <f t="shared" si="52"/>
        <v>0</v>
      </c>
      <c r="CT102" s="6305">
        <v>1</v>
      </c>
      <c r="CU102" s="6316"/>
      <c r="CV102" s="3800"/>
      <c r="CW102" s="3800"/>
      <c r="CX102" s="6332" t="s">
        <v>15</v>
      </c>
      <c r="CY102" s="6332">
        <v>22</v>
      </c>
      <c r="CZ102" s="6332">
        <v>29</v>
      </c>
      <c r="DA102" s="6332"/>
      <c r="DB102" s="6332">
        <v>29</v>
      </c>
      <c r="DC102" s="6332">
        <v>190</v>
      </c>
      <c r="DD102" s="6332">
        <v>56</v>
      </c>
      <c r="DE102" s="6332">
        <v>15</v>
      </c>
      <c r="DF102" s="6332">
        <v>2</v>
      </c>
      <c r="DG102" s="6332"/>
      <c r="DH102" s="6332">
        <v>24</v>
      </c>
      <c r="DI102" s="6332">
        <v>25</v>
      </c>
      <c r="DJ102" s="6332"/>
      <c r="DK102" s="6332">
        <v>93</v>
      </c>
      <c r="DL102" s="6332">
        <v>1</v>
      </c>
      <c r="DM102" s="3707">
        <v>486</v>
      </c>
      <c r="DN102" s="6333">
        <f t="shared" si="53"/>
        <v>0.55876288659793816</v>
      </c>
      <c r="DP102" s="4263"/>
      <c r="DQ102" s="4263"/>
      <c r="DR102" s="4277" t="s">
        <v>485</v>
      </c>
      <c r="DS102" s="4278">
        <v>53</v>
      </c>
      <c r="DT102" s="4278">
        <v>17</v>
      </c>
      <c r="DU102" s="4278"/>
      <c r="DV102" s="4278">
        <v>12</v>
      </c>
      <c r="DW102" s="4278">
        <v>56</v>
      </c>
      <c r="DX102" s="4278">
        <v>29</v>
      </c>
      <c r="DY102" s="4278">
        <v>3</v>
      </c>
      <c r="DZ102" s="4278"/>
      <c r="EA102" s="4278"/>
      <c r="EB102" s="4278">
        <v>14</v>
      </c>
      <c r="EC102" s="4278">
        <v>6</v>
      </c>
      <c r="ED102" s="4278"/>
      <c r="EE102" s="4278">
        <v>35</v>
      </c>
      <c r="EF102" s="4278"/>
      <c r="EG102" s="4278">
        <v>225</v>
      </c>
      <c r="EH102" s="6339">
        <f t="shared" si="54"/>
        <v>0.40444444444444444</v>
      </c>
      <c r="EL102" s="3713" t="s">
        <v>1017</v>
      </c>
      <c r="EM102" s="3714">
        <v>55</v>
      </c>
      <c r="EN102" s="3714">
        <v>34</v>
      </c>
      <c r="EO102" s="3714"/>
      <c r="EP102" s="3714">
        <v>2</v>
      </c>
      <c r="EQ102" s="3714">
        <v>144</v>
      </c>
      <c r="ER102" s="3714">
        <v>64</v>
      </c>
      <c r="ES102" s="3714">
        <v>12</v>
      </c>
      <c r="ET102" s="3714">
        <v>1</v>
      </c>
      <c r="EU102" s="3714"/>
      <c r="EV102" s="3714">
        <v>24</v>
      </c>
      <c r="EW102" s="3714">
        <v>35</v>
      </c>
      <c r="EX102" s="3714"/>
      <c r="EY102" s="3714">
        <v>85</v>
      </c>
      <c r="EZ102" s="3714"/>
      <c r="FA102" s="3714">
        <v>456</v>
      </c>
      <c r="FB102" s="6315">
        <f t="shared" si="55"/>
        <v>0.53289473684210531</v>
      </c>
      <c r="FD102" s="866"/>
      <c r="FE102" s="866"/>
      <c r="FF102" s="866" t="s">
        <v>112</v>
      </c>
      <c r="FG102" s="388">
        <v>8739</v>
      </c>
      <c r="FH102" s="388">
        <v>5764</v>
      </c>
      <c r="FI102" s="388">
        <v>4</v>
      </c>
      <c r="FJ102" s="388">
        <v>2878</v>
      </c>
      <c r="FK102" s="388">
        <v>18241</v>
      </c>
      <c r="FL102" s="388">
        <v>5144</v>
      </c>
      <c r="FM102" s="388">
        <v>4040</v>
      </c>
      <c r="FN102" s="388">
        <v>9</v>
      </c>
      <c r="FO102" s="388">
        <v>9</v>
      </c>
      <c r="FP102" s="388">
        <v>2074</v>
      </c>
      <c r="FQ102" s="388">
        <v>5864</v>
      </c>
      <c r="FR102" s="388">
        <v>513</v>
      </c>
      <c r="FS102" s="388">
        <v>10600</v>
      </c>
      <c r="FT102" s="388">
        <v>63</v>
      </c>
      <c r="FU102" s="388">
        <v>63942</v>
      </c>
      <c r="FV102" s="6354">
        <f t="shared" si="45"/>
        <v>0.46158823343749011</v>
      </c>
      <c r="FW102" s="5717"/>
      <c r="FX102" s="42"/>
      <c r="FY102" s="42"/>
      <c r="FZ102" s="42"/>
      <c r="GA102" s="42"/>
      <c r="GB102" s="42"/>
      <c r="GC102" s="42"/>
      <c r="GD102" s="42"/>
      <c r="GE102" s="42"/>
      <c r="GF102" s="42"/>
      <c r="GG102" s="42"/>
      <c r="GH102" s="42"/>
      <c r="GI102" s="42"/>
      <c r="GJ102" s="42"/>
      <c r="GK102" s="42"/>
      <c r="GL102" s="42"/>
      <c r="GM102" s="42"/>
      <c r="GN102" s="42"/>
      <c r="GO102" s="42"/>
      <c r="GP102" s="42"/>
      <c r="GQ102" s="42"/>
      <c r="GR102" s="6355"/>
      <c r="GS102" s="6355"/>
      <c r="GT102" s="6356" t="s">
        <v>112</v>
      </c>
      <c r="GU102" s="6357">
        <v>9061</v>
      </c>
      <c r="GV102" s="6357">
        <v>4973</v>
      </c>
      <c r="GW102" s="6357">
        <v>1</v>
      </c>
      <c r="GX102" s="6357">
        <v>2915</v>
      </c>
      <c r="GY102" s="6357">
        <v>19004</v>
      </c>
      <c r="GZ102" s="6357">
        <v>4020</v>
      </c>
      <c r="HA102" s="6357">
        <v>3781</v>
      </c>
      <c r="HB102" s="6357">
        <v>14</v>
      </c>
      <c r="HC102" s="6357">
        <v>11</v>
      </c>
      <c r="HD102" s="6357">
        <v>2012</v>
      </c>
      <c r="HE102" s="6357">
        <v>5179</v>
      </c>
      <c r="HF102" s="6357">
        <v>160</v>
      </c>
      <c r="HG102" s="6357">
        <v>11258</v>
      </c>
      <c r="HH102" s="6357">
        <v>91</v>
      </c>
      <c r="HI102" s="6357">
        <v>62480</v>
      </c>
      <c r="HJ102" s="504">
        <f t="shared" si="57"/>
        <v>0.4532131321409632</v>
      </c>
      <c r="IE102" s="1024"/>
      <c r="IF102" s="1024"/>
      <c r="IG102" s="1024"/>
      <c r="IH102" s="980"/>
      <c r="II102" s="980"/>
      <c r="IJ102" s="577"/>
      <c r="IK102" s="980"/>
      <c r="IL102" s="980"/>
      <c r="IM102" s="980"/>
      <c r="IN102" s="980"/>
      <c r="IO102" s="980"/>
      <c r="IP102" s="577"/>
      <c r="IQ102" s="980"/>
      <c r="IR102" s="980"/>
      <c r="IS102" s="980"/>
      <c r="IT102" s="577"/>
      <c r="IU102" s="980"/>
      <c r="IV102" s="1025"/>
      <c r="JR102" s="97"/>
      <c r="JS102" s="97"/>
      <c r="JT102" s="42"/>
      <c r="JU102" s="42"/>
      <c r="JV102" s="42"/>
      <c r="JW102" s="42"/>
      <c r="JX102" s="42"/>
      <c r="JY102" s="42"/>
      <c r="JZ102" s="42"/>
      <c r="KA102" s="42"/>
      <c r="KB102" s="42"/>
      <c r="KC102" s="42"/>
      <c r="KD102" s="42"/>
      <c r="KE102" s="42"/>
      <c r="KF102" s="42"/>
      <c r="KG102" s="42"/>
      <c r="KH102" s="42"/>
      <c r="KI102" s="42"/>
      <c r="KJ102" s="42"/>
      <c r="KK102" s="42"/>
      <c r="KL102" s="42"/>
      <c r="KM102" s="42"/>
      <c r="KN102" s="42"/>
      <c r="KO102" s="42"/>
      <c r="KP102" s="42"/>
      <c r="KQ102" s="42"/>
      <c r="KR102" s="42"/>
      <c r="KS102" s="42"/>
      <c r="KT102" s="42"/>
      <c r="KU102" s="42"/>
      <c r="KV102" s="42"/>
      <c r="KW102" s="42"/>
      <c r="KX102" s="42"/>
      <c r="KY102" s="42"/>
      <c r="KZ102" s="42"/>
      <c r="LA102" s="42"/>
      <c r="LB102" s="42"/>
      <c r="LC102" s="42"/>
      <c r="LD102" s="42"/>
      <c r="LE102" s="42"/>
    </row>
    <row r="103" spans="2:317" ht="15" thickBot="1">
      <c r="B103" s="6291">
        <v>4</v>
      </c>
      <c r="C103" s="6291">
        <v>6</v>
      </c>
      <c r="D103" s="6291">
        <v>1231</v>
      </c>
      <c r="E103" s="6291">
        <v>43</v>
      </c>
      <c r="F103" s="6291">
        <v>267</v>
      </c>
      <c r="G103" s="6291">
        <v>273</v>
      </c>
      <c r="H103" s="6291">
        <v>77</v>
      </c>
      <c r="I103" s="6291">
        <v>2</v>
      </c>
      <c r="J103" s="6291">
        <v>9</v>
      </c>
      <c r="K103" s="6291">
        <v>70</v>
      </c>
      <c r="L103" s="6291">
        <v>11</v>
      </c>
      <c r="M103" s="6291">
        <v>34</v>
      </c>
      <c r="N103" s="6291">
        <v>108</v>
      </c>
      <c r="O103" s="6293"/>
      <c r="P103" s="6291">
        <v>337</v>
      </c>
      <c r="Q103" s="6294">
        <f t="shared" si="78"/>
        <v>0.35824532900081235</v>
      </c>
      <c r="S103" s="6295">
        <v>5</v>
      </c>
      <c r="T103" s="6295">
        <v>3</v>
      </c>
      <c r="U103" s="6295">
        <v>149</v>
      </c>
      <c r="V103" s="6295">
        <v>340</v>
      </c>
      <c r="W103" s="6295">
        <v>18</v>
      </c>
      <c r="X103" s="6295">
        <v>52</v>
      </c>
      <c r="Y103" s="6295">
        <v>78</v>
      </c>
      <c r="Z103" s="6295">
        <v>21</v>
      </c>
      <c r="AA103" s="6296"/>
      <c r="AB103" s="6295">
        <v>10</v>
      </c>
      <c r="AC103" s="6295">
        <v>12</v>
      </c>
      <c r="AD103" s="6295">
        <v>1</v>
      </c>
      <c r="AE103" s="6295">
        <v>35</v>
      </c>
      <c r="AF103" s="6295">
        <v>25</v>
      </c>
      <c r="AG103" s="6296"/>
      <c r="AH103" s="6295">
        <v>88</v>
      </c>
      <c r="AI103" s="6294">
        <f t="shared" si="85"/>
        <v>0.39705882352941174</v>
      </c>
      <c r="AK103" s="6297">
        <v>5</v>
      </c>
      <c r="AL103" s="6297">
        <v>3</v>
      </c>
      <c r="AM103" s="6297">
        <v>149</v>
      </c>
      <c r="AN103" s="6298">
        <v>335</v>
      </c>
      <c r="AO103" s="6297">
        <v>15</v>
      </c>
      <c r="AP103" s="6297">
        <v>52</v>
      </c>
      <c r="AQ103" s="6297">
        <v>77</v>
      </c>
      <c r="AR103" s="6297">
        <v>20</v>
      </c>
      <c r="AS103" s="6299"/>
      <c r="AT103" s="6297">
        <v>10</v>
      </c>
      <c r="AU103" s="6299"/>
      <c r="AV103" s="6297">
        <v>14</v>
      </c>
      <c r="AW103" s="6297">
        <v>32</v>
      </c>
      <c r="AX103" s="6299"/>
      <c r="AY103" s="6297">
        <v>30</v>
      </c>
      <c r="AZ103" s="6299"/>
      <c r="BA103" s="6299"/>
      <c r="BB103" s="6297">
        <v>85</v>
      </c>
      <c r="BC103" s="6300">
        <f t="shared" si="50"/>
        <v>0.39104477611940297</v>
      </c>
      <c r="BE103" s="6313">
        <v>5</v>
      </c>
      <c r="BF103" s="6313">
        <v>3</v>
      </c>
      <c r="BG103" s="6313">
        <v>178</v>
      </c>
      <c r="BH103" s="4405" t="s">
        <v>2681</v>
      </c>
      <c r="BI103" s="6314">
        <v>1</v>
      </c>
      <c r="BJ103" s="6303"/>
      <c r="BK103" s="6303"/>
      <c r="BL103" s="6303"/>
      <c r="BM103" s="6303"/>
      <c r="BN103" s="6303"/>
      <c r="BO103" s="6303"/>
      <c r="BP103" s="6303"/>
      <c r="BQ103" s="6303"/>
      <c r="BR103" s="6303"/>
      <c r="BS103" s="6303"/>
      <c r="BT103" s="6313">
        <v>1</v>
      </c>
      <c r="BU103" s="6303"/>
      <c r="BV103" s="6303"/>
      <c r="BW103" s="6303"/>
      <c r="BX103" s="6300">
        <f t="shared" si="61"/>
        <v>0</v>
      </c>
      <c r="BZ103" s="4388"/>
      <c r="CA103" s="4388"/>
      <c r="CB103" s="4388" t="s">
        <v>2408</v>
      </c>
      <c r="CC103" s="4231">
        <v>2</v>
      </c>
      <c r="CD103" s="4231">
        <v>1</v>
      </c>
      <c r="CE103" s="4231"/>
      <c r="CF103" s="4231">
        <v>0</v>
      </c>
      <c r="CG103" s="4231">
        <v>0</v>
      </c>
      <c r="CH103" s="4231">
        <v>0</v>
      </c>
      <c r="CI103" s="4231">
        <v>0</v>
      </c>
      <c r="CJ103" s="4231"/>
      <c r="CK103" s="4231"/>
      <c r="CL103" s="4231">
        <v>0</v>
      </c>
      <c r="CM103" s="4231">
        <v>0</v>
      </c>
      <c r="CN103" s="4231"/>
      <c r="CO103" s="4231">
        <v>0</v>
      </c>
      <c r="CP103" s="4231"/>
      <c r="CQ103" s="4231">
        <v>3</v>
      </c>
      <c r="CR103" s="6304">
        <f t="shared" si="51"/>
        <v>0</v>
      </c>
      <c r="CS103" s="4238">
        <f t="shared" si="52"/>
        <v>0</v>
      </c>
      <c r="CT103" s="6305">
        <v>3</v>
      </c>
      <c r="CU103" s="6316"/>
      <c r="DP103" s="4263"/>
      <c r="DQ103" s="4263"/>
      <c r="DR103" s="4268" t="s">
        <v>1017</v>
      </c>
      <c r="DS103" s="4269">
        <v>110</v>
      </c>
      <c r="DT103" s="4269">
        <v>58</v>
      </c>
      <c r="DU103" s="4269"/>
      <c r="DV103" s="4269">
        <v>44</v>
      </c>
      <c r="DW103" s="4269">
        <v>166</v>
      </c>
      <c r="DX103" s="4269">
        <v>71</v>
      </c>
      <c r="DY103" s="4269">
        <v>15</v>
      </c>
      <c r="DZ103" s="4269"/>
      <c r="EA103" s="4269">
        <v>1</v>
      </c>
      <c r="EB103" s="4269">
        <v>37</v>
      </c>
      <c r="EC103" s="4269">
        <v>43</v>
      </c>
      <c r="ED103" s="4269"/>
      <c r="EE103" s="4269">
        <v>108</v>
      </c>
      <c r="EF103" s="4269">
        <v>1</v>
      </c>
      <c r="EG103" s="4269">
        <v>654</v>
      </c>
      <c r="EH103" s="6334">
        <f t="shared" si="54"/>
        <v>0.42879019908116384</v>
      </c>
      <c r="EJ103" s="916"/>
      <c r="EK103" s="916"/>
      <c r="EL103" s="866" t="s">
        <v>112</v>
      </c>
      <c r="EM103" s="388">
        <v>8838</v>
      </c>
      <c r="EN103" s="388">
        <v>4889</v>
      </c>
      <c r="EO103" s="388">
        <v>4</v>
      </c>
      <c r="EP103" s="388">
        <v>115</v>
      </c>
      <c r="EQ103" s="388">
        <v>20220</v>
      </c>
      <c r="ER103" s="388">
        <v>4444</v>
      </c>
      <c r="ES103" s="388">
        <v>3965</v>
      </c>
      <c r="ET103" s="388">
        <v>12</v>
      </c>
      <c r="EU103" s="388">
        <v>2</v>
      </c>
      <c r="EV103" s="388">
        <v>2186</v>
      </c>
      <c r="EW103" s="388">
        <v>5338</v>
      </c>
      <c r="EX103" s="388">
        <v>721</v>
      </c>
      <c r="EY103" s="388">
        <v>11076</v>
      </c>
      <c r="EZ103" s="388">
        <v>7</v>
      </c>
      <c r="FA103" s="388">
        <v>61817</v>
      </c>
      <c r="FB103" s="6354">
        <f t="shared" si="55"/>
        <v>0.49111951415148392</v>
      </c>
      <c r="IE103" s="1024"/>
      <c r="IF103" s="42"/>
      <c r="IG103" s="1024"/>
      <c r="IH103" s="6970" t="s">
        <v>1070</v>
      </c>
      <c r="II103" s="6970"/>
      <c r="IJ103" s="6970"/>
      <c r="IK103" s="6970"/>
      <c r="IL103" s="6970"/>
      <c r="IM103" s="6970"/>
      <c r="IN103" s="6970"/>
      <c r="IO103" s="6970"/>
      <c r="IP103" s="6970"/>
      <c r="IQ103" s="6970"/>
      <c r="IR103" s="6970"/>
      <c r="IS103" s="6970"/>
      <c r="IT103" s="6970"/>
      <c r="IU103" s="6970"/>
      <c r="IV103" s="1028"/>
      <c r="JR103" s="97"/>
      <c r="JS103" s="97"/>
      <c r="JT103" s="42"/>
      <c r="JU103" s="42"/>
      <c r="JV103" s="42"/>
      <c r="JW103" s="42"/>
      <c r="JX103" s="42"/>
      <c r="JY103" s="42"/>
      <c r="JZ103" s="42"/>
      <c r="KA103" s="42"/>
      <c r="KB103" s="42"/>
      <c r="KC103" s="42"/>
      <c r="KD103" s="42"/>
      <c r="KE103" s="42"/>
      <c r="KF103" s="42"/>
      <c r="KG103" s="42"/>
      <c r="KH103" s="42"/>
      <c r="KI103" s="42"/>
      <c r="KJ103" s="42"/>
      <c r="KK103" s="42"/>
      <c r="KL103" s="42"/>
      <c r="KM103" s="42"/>
      <c r="KN103" s="42"/>
      <c r="KO103" s="42"/>
      <c r="KP103" s="42"/>
      <c r="KQ103" s="42"/>
      <c r="KR103" s="42"/>
      <c r="KS103" s="42"/>
      <c r="KT103" s="42"/>
      <c r="KU103" s="42"/>
      <c r="KV103" s="42"/>
      <c r="KW103" s="42"/>
      <c r="KX103" s="42"/>
      <c r="KY103" s="42"/>
      <c r="KZ103" s="42"/>
      <c r="LA103" s="42"/>
      <c r="LB103" s="42"/>
      <c r="LC103" s="42"/>
      <c r="LD103" s="42"/>
      <c r="LE103" s="42"/>
    </row>
    <row r="104" spans="2:317" ht="17.25" customHeight="1" thickBot="1">
      <c r="B104" s="6291">
        <v>5</v>
      </c>
      <c r="C104" s="6291">
        <v>1</v>
      </c>
      <c r="D104" s="6291">
        <v>395</v>
      </c>
      <c r="E104" s="6291">
        <v>8</v>
      </c>
      <c r="F104" s="6291">
        <v>90</v>
      </c>
      <c r="G104" s="6291">
        <v>137</v>
      </c>
      <c r="H104" s="6291">
        <v>36</v>
      </c>
      <c r="I104" s="6291">
        <v>1</v>
      </c>
      <c r="J104" s="6291">
        <v>6</v>
      </c>
      <c r="K104" s="6291">
        <v>4</v>
      </c>
      <c r="L104" s="6293"/>
      <c r="M104" s="6291">
        <v>23</v>
      </c>
      <c r="N104" s="6291">
        <v>35</v>
      </c>
      <c r="O104" s="6293"/>
      <c r="P104" s="6291">
        <v>55</v>
      </c>
      <c r="Q104" s="6294">
        <f t="shared" si="78"/>
        <v>0.20759493670886076</v>
      </c>
      <c r="S104" s="6295">
        <v>5</v>
      </c>
      <c r="T104" s="6295">
        <v>3</v>
      </c>
      <c r="U104" s="6295">
        <v>178</v>
      </c>
      <c r="V104" s="6295">
        <v>25</v>
      </c>
      <c r="W104" s="6295">
        <v>1</v>
      </c>
      <c r="X104" s="6295">
        <v>2</v>
      </c>
      <c r="Y104" s="6295">
        <v>6</v>
      </c>
      <c r="Z104" s="6295">
        <v>2</v>
      </c>
      <c r="AA104" s="6296"/>
      <c r="AB104" s="6296"/>
      <c r="AC104" s="6295">
        <v>11</v>
      </c>
      <c r="AD104" s="6296"/>
      <c r="AE104" s="6295">
        <v>1</v>
      </c>
      <c r="AF104" s="6295">
        <v>2</v>
      </c>
      <c r="AG104" s="6296"/>
      <c r="AH104" s="6296"/>
      <c r="AI104" s="6294">
        <f t="shared" si="85"/>
        <v>0.48</v>
      </c>
      <c r="AK104" s="6297">
        <v>5</v>
      </c>
      <c r="AL104" s="6297">
        <v>3</v>
      </c>
      <c r="AM104" s="6297">
        <v>178</v>
      </c>
      <c r="AN104" s="6298">
        <v>23</v>
      </c>
      <c r="AO104" s="6299"/>
      <c r="AP104" s="6297">
        <v>2</v>
      </c>
      <c r="AQ104" s="6297">
        <v>6</v>
      </c>
      <c r="AR104" s="6297">
        <v>2</v>
      </c>
      <c r="AS104" s="6299"/>
      <c r="AT104" s="6299"/>
      <c r="AU104" s="6299"/>
      <c r="AV104" s="6297">
        <v>9</v>
      </c>
      <c r="AW104" s="6299"/>
      <c r="AX104" s="6299"/>
      <c r="AY104" s="6297">
        <v>4</v>
      </c>
      <c r="AZ104" s="6299"/>
      <c r="BA104" s="6299"/>
      <c r="BB104" s="6299"/>
      <c r="BC104" s="6300">
        <f t="shared" si="50"/>
        <v>0.39130434782608697</v>
      </c>
      <c r="BE104" s="6313">
        <v>5</v>
      </c>
      <c r="BF104" s="6313">
        <v>3</v>
      </c>
      <c r="BG104" s="6313">
        <v>185</v>
      </c>
      <c r="BH104" s="4405" t="s">
        <v>2408</v>
      </c>
      <c r="BI104" s="6314">
        <v>3</v>
      </c>
      <c r="BJ104" s="6303"/>
      <c r="BK104" s="6303"/>
      <c r="BL104" s="6313">
        <v>2</v>
      </c>
      <c r="BM104" s="6303"/>
      <c r="BN104" s="6303"/>
      <c r="BO104" s="6303"/>
      <c r="BP104" s="6303"/>
      <c r="BQ104" s="6303"/>
      <c r="BR104" s="6303"/>
      <c r="BS104" s="6303"/>
      <c r="BT104" s="6313">
        <v>1</v>
      </c>
      <c r="BU104" s="6303"/>
      <c r="BV104" s="6303"/>
      <c r="BW104" s="6303"/>
      <c r="BX104" s="6300">
        <f t="shared" si="61"/>
        <v>0</v>
      </c>
      <c r="BZ104" s="4388"/>
      <c r="CA104" s="4388"/>
      <c r="CB104" s="6276" t="s">
        <v>485</v>
      </c>
      <c r="CC104" s="6320">
        <v>83</v>
      </c>
      <c r="CD104" s="6320">
        <v>23</v>
      </c>
      <c r="CE104" s="6320"/>
      <c r="CF104" s="6320">
        <v>16</v>
      </c>
      <c r="CG104" s="6320">
        <v>68</v>
      </c>
      <c r="CH104" s="6320">
        <v>29</v>
      </c>
      <c r="CI104" s="6320">
        <v>6</v>
      </c>
      <c r="CJ104" s="6320"/>
      <c r="CK104" s="6320"/>
      <c r="CL104" s="6320">
        <v>14</v>
      </c>
      <c r="CM104" s="6320">
        <v>13</v>
      </c>
      <c r="CN104" s="6320"/>
      <c r="CO104" s="6320">
        <v>41</v>
      </c>
      <c r="CP104" s="6320"/>
      <c r="CQ104" s="6320">
        <v>293</v>
      </c>
      <c r="CR104" s="6304">
        <f t="shared" si="51"/>
        <v>0.37542662116040953</v>
      </c>
      <c r="CS104" s="4238"/>
      <c r="CT104" s="4240"/>
      <c r="CU104" s="6316"/>
      <c r="CV104" s="388" t="s">
        <v>75</v>
      </c>
      <c r="CW104" s="388"/>
      <c r="CX104" s="388" t="s">
        <v>15</v>
      </c>
      <c r="CY104" s="3811">
        <v>4631</v>
      </c>
      <c r="CZ104" s="3811">
        <v>4210</v>
      </c>
      <c r="DA104" s="3811">
        <v>3</v>
      </c>
      <c r="DB104" s="3811">
        <v>2917</v>
      </c>
      <c r="DC104" s="3811">
        <v>24569</v>
      </c>
      <c r="DD104" s="3811">
        <v>4396</v>
      </c>
      <c r="DE104" s="3811">
        <v>7029</v>
      </c>
      <c r="DF104" s="3811">
        <v>80</v>
      </c>
      <c r="DG104" s="3811">
        <v>11</v>
      </c>
      <c r="DH104" s="3811">
        <v>1767</v>
      </c>
      <c r="DI104" s="3811">
        <v>4268</v>
      </c>
      <c r="DJ104" s="3811">
        <v>750</v>
      </c>
      <c r="DK104" s="3811">
        <v>9972</v>
      </c>
      <c r="DL104" s="3811">
        <v>61</v>
      </c>
      <c r="DM104" s="3811">
        <v>64664</v>
      </c>
      <c r="DN104" s="3812">
        <f>+(DC104+DD104+DI104)/(DM104-DL104-DJ104)</f>
        <v>0.52046105899487882</v>
      </c>
      <c r="DP104" s="4280"/>
      <c r="DQ104" s="4280"/>
      <c r="DR104" s="4281" t="s">
        <v>112</v>
      </c>
      <c r="DS104" s="4260">
        <v>9158</v>
      </c>
      <c r="DT104" s="4260">
        <v>5897</v>
      </c>
      <c r="DU104" s="4260">
        <v>9</v>
      </c>
      <c r="DV104" s="4260">
        <v>2815</v>
      </c>
      <c r="DW104" s="4260">
        <v>17623</v>
      </c>
      <c r="DX104" s="4260">
        <v>5665</v>
      </c>
      <c r="DY104" s="4260">
        <v>2962</v>
      </c>
      <c r="DZ104" s="4260">
        <v>29</v>
      </c>
      <c r="EA104" s="4260">
        <v>16</v>
      </c>
      <c r="EB104" s="4260">
        <v>2221</v>
      </c>
      <c r="EC104" s="4260">
        <v>5799</v>
      </c>
      <c r="ED104" s="4260">
        <v>748</v>
      </c>
      <c r="EE104" s="4260">
        <v>11364</v>
      </c>
      <c r="EF104" s="4260">
        <v>44</v>
      </c>
      <c r="EG104" s="4260">
        <v>64350</v>
      </c>
      <c r="EH104" s="6358">
        <f t="shared" si="54"/>
        <v>0.45764498568236883</v>
      </c>
      <c r="FZ104" s="39" t="s">
        <v>1695</v>
      </c>
      <c r="GR104" s="39" t="s">
        <v>1657</v>
      </c>
      <c r="IE104" s="1024"/>
      <c r="IF104" s="42"/>
      <c r="IG104" s="575" t="s">
        <v>1</v>
      </c>
      <c r="IH104" s="679" t="s">
        <v>1071</v>
      </c>
      <c r="II104" s="679" t="s">
        <v>1072</v>
      </c>
      <c r="IJ104" s="679" t="s">
        <v>1073</v>
      </c>
      <c r="IK104" s="679" t="s">
        <v>1074</v>
      </c>
      <c r="IL104" s="679" t="s">
        <v>1075</v>
      </c>
      <c r="IM104" s="679" t="s">
        <v>1076</v>
      </c>
      <c r="IN104" s="679" t="s">
        <v>1077</v>
      </c>
      <c r="IO104" s="679" t="s">
        <v>1078</v>
      </c>
      <c r="IP104" s="679" t="s">
        <v>1079</v>
      </c>
      <c r="IQ104" s="679" t="s">
        <v>1080</v>
      </c>
      <c r="IR104" s="679" t="s">
        <v>1081</v>
      </c>
      <c r="IS104" s="679" t="s">
        <v>1082</v>
      </c>
      <c r="IT104" s="679" t="s">
        <v>1083</v>
      </c>
      <c r="IU104" s="679" t="s">
        <v>15</v>
      </c>
      <c r="IV104" s="679" t="s">
        <v>66</v>
      </c>
      <c r="JR104" s="97"/>
      <c r="JS104" s="97"/>
      <c r="JT104" s="42"/>
      <c r="JU104" s="42"/>
      <c r="JV104" s="42"/>
      <c r="JW104" s="42"/>
      <c r="JX104" s="42"/>
      <c r="JY104" s="42"/>
      <c r="JZ104" s="42"/>
      <c r="KA104" s="42"/>
      <c r="KB104" s="42"/>
      <c r="KC104" s="42"/>
      <c r="KD104" s="42"/>
      <c r="KE104" s="42"/>
      <c r="KF104" s="42"/>
      <c r="KG104" s="42"/>
      <c r="KH104" s="42"/>
      <c r="KI104" s="42"/>
      <c r="KJ104" s="42"/>
      <c r="KK104" s="42"/>
      <c r="KL104" s="42"/>
      <c r="KM104" s="42"/>
      <c r="KN104" s="42"/>
      <c r="KO104" s="42"/>
      <c r="KP104" s="42"/>
      <c r="KQ104" s="42"/>
      <c r="KR104" s="42"/>
      <c r="KS104" s="42"/>
      <c r="KT104" s="42"/>
      <c r="KU104" s="42"/>
      <c r="KV104" s="42"/>
      <c r="KW104" s="42"/>
      <c r="KX104" s="42"/>
      <c r="KY104" s="42"/>
      <c r="KZ104" s="42"/>
      <c r="LA104" s="42"/>
      <c r="LB104" s="42"/>
      <c r="LC104" s="42"/>
      <c r="LD104" s="42"/>
      <c r="LE104" s="42"/>
    </row>
    <row r="105" spans="2:317">
      <c r="B105" s="6291">
        <v>5</v>
      </c>
      <c r="C105" s="6291">
        <v>2</v>
      </c>
      <c r="D105" s="6291">
        <v>444</v>
      </c>
      <c r="E105" s="6291">
        <v>14</v>
      </c>
      <c r="F105" s="6291">
        <v>91</v>
      </c>
      <c r="G105" s="6291">
        <v>72</v>
      </c>
      <c r="H105" s="6291">
        <v>21</v>
      </c>
      <c r="I105" s="6293"/>
      <c r="J105" s="6291">
        <v>3</v>
      </c>
      <c r="K105" s="6291">
        <v>41</v>
      </c>
      <c r="L105" s="6293"/>
      <c r="M105" s="6291">
        <v>35</v>
      </c>
      <c r="N105" s="6291">
        <v>30</v>
      </c>
      <c r="O105" s="6293"/>
      <c r="P105" s="6291">
        <v>137</v>
      </c>
      <c r="Q105" s="6294">
        <f t="shared" si="78"/>
        <v>0.47972972972972971</v>
      </c>
      <c r="S105" s="6295">
        <v>5</v>
      </c>
      <c r="T105" s="6295">
        <v>3</v>
      </c>
      <c r="U105" s="6295">
        <v>185</v>
      </c>
      <c r="V105" s="6295">
        <v>4</v>
      </c>
      <c r="W105" s="6296"/>
      <c r="X105" s="6296"/>
      <c r="Y105" s="6295">
        <v>3</v>
      </c>
      <c r="Z105" s="6296"/>
      <c r="AA105" s="6296"/>
      <c r="AB105" s="6296"/>
      <c r="AC105" s="6296"/>
      <c r="AD105" s="6296"/>
      <c r="AE105" s="6296"/>
      <c r="AF105" s="6295">
        <v>1</v>
      </c>
      <c r="AG105" s="6296"/>
      <c r="AH105" s="6296"/>
      <c r="AI105" s="6294">
        <f t="shared" si="85"/>
        <v>0</v>
      </c>
      <c r="AK105" s="6297">
        <v>5</v>
      </c>
      <c r="AL105" s="6297">
        <v>3</v>
      </c>
      <c r="AM105" s="6297">
        <v>185</v>
      </c>
      <c r="AN105" s="6298">
        <v>3</v>
      </c>
      <c r="AO105" s="6299"/>
      <c r="AP105" s="6299"/>
      <c r="AQ105" s="6297">
        <v>1</v>
      </c>
      <c r="AR105" s="6299"/>
      <c r="AS105" s="6299"/>
      <c r="AT105" s="6299"/>
      <c r="AU105" s="6299"/>
      <c r="AV105" s="6299"/>
      <c r="AW105" s="6299"/>
      <c r="AX105" s="6299"/>
      <c r="AY105" s="6297">
        <v>2</v>
      </c>
      <c r="AZ105" s="6299"/>
      <c r="BA105" s="6299"/>
      <c r="BB105" s="6299"/>
      <c r="BC105" s="6300">
        <f t="shared" si="50"/>
        <v>0</v>
      </c>
      <c r="BE105" s="6359"/>
      <c r="BF105" s="6359"/>
      <c r="BG105" s="6359"/>
      <c r="BH105" s="6319" t="s">
        <v>485</v>
      </c>
      <c r="BI105" s="6360">
        <f>SUM(BI102:BI104)</f>
        <v>293</v>
      </c>
      <c r="BJ105" s="6360">
        <f t="shared" ref="BJ105:BW105" si="92">SUM(BJ102:BJ104)</f>
        <v>10</v>
      </c>
      <c r="BK105" s="6360">
        <f t="shared" si="92"/>
        <v>41</v>
      </c>
      <c r="BL105" s="6360">
        <f t="shared" si="92"/>
        <v>74</v>
      </c>
      <c r="BM105" s="6360">
        <f t="shared" si="92"/>
        <v>16</v>
      </c>
      <c r="BN105" s="6360">
        <f t="shared" si="92"/>
        <v>0</v>
      </c>
      <c r="BO105" s="6360">
        <f t="shared" si="92"/>
        <v>6</v>
      </c>
      <c r="BP105" s="6360">
        <f t="shared" si="92"/>
        <v>0</v>
      </c>
      <c r="BQ105" s="6360">
        <f t="shared" si="92"/>
        <v>18</v>
      </c>
      <c r="BR105" s="6360">
        <f t="shared" si="92"/>
        <v>0</v>
      </c>
      <c r="BS105" s="6360">
        <f t="shared" si="92"/>
        <v>27</v>
      </c>
      <c r="BT105" s="6360">
        <f t="shared" si="92"/>
        <v>30</v>
      </c>
      <c r="BU105" s="6360">
        <f t="shared" si="92"/>
        <v>0</v>
      </c>
      <c r="BV105" s="6360">
        <f t="shared" si="92"/>
        <v>0</v>
      </c>
      <c r="BW105" s="6360">
        <f t="shared" si="92"/>
        <v>71</v>
      </c>
      <c r="BX105" s="6300">
        <f t="shared" si="61"/>
        <v>0.39590443686006827</v>
      </c>
      <c r="BZ105" s="4388"/>
      <c r="CA105" s="4388"/>
      <c r="CB105" s="6276" t="s">
        <v>256</v>
      </c>
      <c r="CC105" s="6320">
        <v>161</v>
      </c>
      <c r="CD105" s="6320">
        <v>72</v>
      </c>
      <c r="CE105" s="6320"/>
      <c r="CF105" s="6320">
        <v>56</v>
      </c>
      <c r="CG105" s="6320">
        <v>191</v>
      </c>
      <c r="CH105" s="6320">
        <v>95</v>
      </c>
      <c r="CI105" s="6320">
        <v>18</v>
      </c>
      <c r="CJ105" s="6320"/>
      <c r="CK105" s="6320">
        <v>1</v>
      </c>
      <c r="CL105" s="6320">
        <v>44</v>
      </c>
      <c r="CM105" s="6320">
        <v>73</v>
      </c>
      <c r="CN105" s="6320"/>
      <c r="CO105" s="6320">
        <v>128</v>
      </c>
      <c r="CP105" s="6320">
        <v>1</v>
      </c>
      <c r="CQ105" s="6320">
        <v>840</v>
      </c>
      <c r="CR105" s="6304">
        <f t="shared" si="51"/>
        <v>0.42789034564958284</v>
      </c>
      <c r="CS105" s="4238"/>
      <c r="CT105" s="6361"/>
      <c r="CU105" s="6316"/>
      <c r="IE105" s="1024"/>
      <c r="IF105" s="42"/>
      <c r="IG105" s="577" t="s">
        <v>4</v>
      </c>
      <c r="IH105" s="980">
        <v>3209</v>
      </c>
      <c r="II105" s="980">
        <v>1443</v>
      </c>
      <c r="IJ105" s="980">
        <v>2</v>
      </c>
      <c r="IK105" s="980">
        <v>1500</v>
      </c>
      <c r="IL105" s="980">
        <v>1998</v>
      </c>
      <c r="IM105" s="980">
        <v>381</v>
      </c>
      <c r="IN105" s="980">
        <v>1007</v>
      </c>
      <c r="IO105" s="577"/>
      <c r="IP105" s="980">
        <v>1</v>
      </c>
      <c r="IQ105" s="980">
        <v>301</v>
      </c>
      <c r="IR105" s="980">
        <v>271</v>
      </c>
      <c r="IS105" s="980">
        <v>4411</v>
      </c>
      <c r="IT105" s="980">
        <v>18</v>
      </c>
      <c r="IU105" s="980">
        <v>14542</v>
      </c>
      <c r="IV105" s="467">
        <f t="shared" ref="IV105:IV112" si="93">+(IR105+IM105+IL105)/IU105</f>
        <v>0.18223077981020491</v>
      </c>
      <c r="JR105" s="97"/>
      <c r="JS105" s="97"/>
      <c r="JT105" s="42"/>
      <c r="JU105" s="42"/>
      <c r="JV105" s="42"/>
      <c r="JW105" s="42"/>
      <c r="JX105" s="42"/>
      <c r="JY105" s="42"/>
      <c r="JZ105" s="42"/>
      <c r="KA105" s="42"/>
      <c r="KB105" s="42"/>
      <c r="KC105" s="42"/>
      <c r="KD105" s="42"/>
      <c r="KE105" s="42"/>
      <c r="KF105" s="42"/>
      <c r="KG105" s="42"/>
      <c r="KH105" s="42"/>
      <c r="KI105" s="42"/>
      <c r="KJ105" s="42"/>
      <c r="KK105" s="42"/>
      <c r="KL105" s="42"/>
      <c r="KM105" s="42"/>
      <c r="KN105" s="42"/>
      <c r="KO105" s="42"/>
      <c r="KP105" s="42"/>
      <c r="KQ105" s="42"/>
      <c r="KR105" s="42"/>
      <c r="KS105" s="42"/>
      <c r="KT105" s="42"/>
      <c r="KU105" s="42"/>
      <c r="KV105" s="42"/>
      <c r="KW105" s="42"/>
      <c r="KX105" s="42"/>
      <c r="KY105" s="42"/>
      <c r="KZ105" s="42"/>
      <c r="LA105" s="42"/>
      <c r="LB105" s="42"/>
      <c r="LC105" s="42"/>
      <c r="LD105" s="42"/>
      <c r="LE105" s="42"/>
    </row>
    <row r="106" spans="2:317" ht="15" thickBot="1">
      <c r="B106" s="6291">
        <v>5</v>
      </c>
      <c r="C106" s="6291">
        <v>3</v>
      </c>
      <c r="D106" s="6291">
        <v>418</v>
      </c>
      <c r="E106" s="6291">
        <v>17</v>
      </c>
      <c r="F106" s="6291">
        <v>70</v>
      </c>
      <c r="G106" s="6291">
        <v>110</v>
      </c>
      <c r="H106" s="6291">
        <v>23</v>
      </c>
      <c r="I106" s="6293"/>
      <c r="J106" s="6291">
        <v>8</v>
      </c>
      <c r="K106" s="6291">
        <v>45</v>
      </c>
      <c r="L106" s="6293"/>
      <c r="M106" s="6291">
        <v>34</v>
      </c>
      <c r="N106" s="6291">
        <v>30</v>
      </c>
      <c r="O106" s="6293"/>
      <c r="P106" s="6291">
        <v>81</v>
      </c>
      <c r="Q106" s="6294">
        <f t="shared" si="78"/>
        <v>0.38277511961722488</v>
      </c>
      <c r="S106" s="6362"/>
      <c r="T106" s="6362"/>
      <c r="U106" s="6362"/>
      <c r="V106" s="6363">
        <f>SUM(V103:V105)</f>
        <v>369</v>
      </c>
      <c r="W106" s="6363">
        <f t="shared" ref="W106:AH106" si="94">SUM(W103:W105)</f>
        <v>19</v>
      </c>
      <c r="X106" s="6363">
        <f t="shared" si="94"/>
        <v>54</v>
      </c>
      <c r="Y106" s="6363">
        <f t="shared" si="94"/>
        <v>87</v>
      </c>
      <c r="Z106" s="6363">
        <f t="shared" si="94"/>
        <v>23</v>
      </c>
      <c r="AA106" s="6363">
        <f t="shared" si="94"/>
        <v>0</v>
      </c>
      <c r="AB106" s="6363">
        <f t="shared" si="94"/>
        <v>10</v>
      </c>
      <c r="AC106" s="6363">
        <f t="shared" si="94"/>
        <v>23</v>
      </c>
      <c r="AD106" s="6363">
        <f t="shared" si="94"/>
        <v>1</v>
      </c>
      <c r="AE106" s="6363">
        <f t="shared" si="94"/>
        <v>36</v>
      </c>
      <c r="AF106" s="6363">
        <f t="shared" si="94"/>
        <v>28</v>
      </c>
      <c r="AG106" s="6363">
        <f t="shared" si="94"/>
        <v>0</v>
      </c>
      <c r="AH106" s="6363">
        <f t="shared" si="94"/>
        <v>88</v>
      </c>
      <c r="AI106" s="6294">
        <f t="shared" si="85"/>
        <v>0.3983739837398374</v>
      </c>
      <c r="AK106" s="6364"/>
      <c r="AL106" s="6364"/>
      <c r="AM106" s="6364"/>
      <c r="AN106" s="6365">
        <f>SUM(AN103:AN105)</f>
        <v>361</v>
      </c>
      <c r="AO106" s="6365">
        <f t="shared" ref="AO106:BB106" si="95">SUM(AO103:AO105)</f>
        <v>15</v>
      </c>
      <c r="AP106" s="6365">
        <f t="shared" si="95"/>
        <v>54</v>
      </c>
      <c r="AQ106" s="6365">
        <f t="shared" si="95"/>
        <v>84</v>
      </c>
      <c r="AR106" s="6365">
        <f t="shared" si="95"/>
        <v>22</v>
      </c>
      <c r="AS106" s="6365">
        <f t="shared" si="95"/>
        <v>0</v>
      </c>
      <c r="AT106" s="6365">
        <f t="shared" si="95"/>
        <v>10</v>
      </c>
      <c r="AU106" s="6365">
        <f t="shared" si="95"/>
        <v>0</v>
      </c>
      <c r="AV106" s="6365">
        <f t="shared" si="95"/>
        <v>23</v>
      </c>
      <c r="AW106" s="6365">
        <f t="shared" si="95"/>
        <v>32</v>
      </c>
      <c r="AX106" s="6365">
        <f t="shared" si="95"/>
        <v>0</v>
      </c>
      <c r="AY106" s="6365">
        <f t="shared" si="95"/>
        <v>36</v>
      </c>
      <c r="AZ106" s="6365">
        <f t="shared" si="95"/>
        <v>0</v>
      </c>
      <c r="BA106" s="6365">
        <f t="shared" si="95"/>
        <v>0</v>
      </c>
      <c r="BB106" s="6365">
        <f t="shared" si="95"/>
        <v>85</v>
      </c>
      <c r="BC106" s="6323">
        <f t="shared" si="50"/>
        <v>0.38781163434903049</v>
      </c>
      <c r="BE106" s="6359"/>
      <c r="BF106" s="6359"/>
      <c r="BG106" s="6359"/>
      <c r="BH106" s="6366" t="s">
        <v>1017</v>
      </c>
      <c r="BI106" s="6367">
        <f>SUM(BI105,BI101,BI97)</f>
        <v>839</v>
      </c>
      <c r="BJ106" s="6367">
        <f t="shared" ref="BJ106:BW106" si="96">SUM(BJ105,BJ101,BJ97)</f>
        <v>34</v>
      </c>
      <c r="BK106" s="6367">
        <f t="shared" si="96"/>
        <v>128</v>
      </c>
      <c r="BL106" s="6367">
        <f t="shared" si="96"/>
        <v>148</v>
      </c>
      <c r="BM106" s="6367">
        <f t="shared" si="96"/>
        <v>56</v>
      </c>
      <c r="BN106" s="6367">
        <f t="shared" si="96"/>
        <v>1</v>
      </c>
      <c r="BO106" s="6367">
        <f t="shared" si="96"/>
        <v>18</v>
      </c>
      <c r="BP106" s="6367">
        <f t="shared" si="96"/>
        <v>1</v>
      </c>
      <c r="BQ106" s="6367">
        <f t="shared" si="96"/>
        <v>71</v>
      </c>
      <c r="BR106" s="6367">
        <f t="shared" si="96"/>
        <v>0</v>
      </c>
      <c r="BS106" s="6367">
        <f t="shared" si="96"/>
        <v>97</v>
      </c>
      <c r="BT106" s="6367">
        <f t="shared" si="96"/>
        <v>85</v>
      </c>
      <c r="BU106" s="6367">
        <f t="shared" si="96"/>
        <v>0</v>
      </c>
      <c r="BV106" s="6367">
        <f t="shared" si="96"/>
        <v>0</v>
      </c>
      <c r="BW106" s="6367">
        <f t="shared" si="96"/>
        <v>200</v>
      </c>
      <c r="BX106" s="6331">
        <f t="shared" si="61"/>
        <v>0.43914081145584727</v>
      </c>
      <c r="BZ106" s="6368"/>
      <c r="CA106" s="6368"/>
      <c r="CB106" s="6290" t="s">
        <v>112</v>
      </c>
      <c r="CC106" s="4290">
        <v>10465</v>
      </c>
      <c r="CD106" s="4290">
        <v>6397</v>
      </c>
      <c r="CE106" s="4290">
        <v>3</v>
      </c>
      <c r="CF106" s="4290">
        <v>2808</v>
      </c>
      <c r="CG106" s="4290">
        <v>16983</v>
      </c>
      <c r="CH106" s="4290">
        <v>5087</v>
      </c>
      <c r="CI106" s="4290">
        <v>827</v>
      </c>
      <c r="CJ106" s="4290">
        <v>124</v>
      </c>
      <c r="CK106" s="4290">
        <v>19</v>
      </c>
      <c r="CL106" s="4290">
        <v>1983</v>
      </c>
      <c r="CM106" s="4290">
        <v>7298</v>
      </c>
      <c r="CN106" s="4290">
        <v>777</v>
      </c>
      <c r="CO106" s="4290">
        <v>12463</v>
      </c>
      <c r="CP106" s="4290">
        <v>49</v>
      </c>
      <c r="CQ106" s="4290">
        <v>65283</v>
      </c>
      <c r="CR106" s="6369">
        <f t="shared" si="51"/>
        <v>0.45562157717548135</v>
      </c>
      <c r="CS106" s="4238">
        <f t="shared" si="52"/>
        <v>390</v>
      </c>
      <c r="CT106" s="6305" t="s">
        <v>2685</v>
      </c>
      <c r="CU106" s="6370"/>
      <c r="IE106" s="1024"/>
      <c r="IF106" s="42"/>
      <c r="IG106" s="577" t="s">
        <v>16</v>
      </c>
      <c r="IH106" s="980">
        <v>2622</v>
      </c>
      <c r="II106" s="980">
        <v>2063</v>
      </c>
      <c r="IJ106" s="980">
        <v>2</v>
      </c>
      <c r="IK106" s="980">
        <v>1194</v>
      </c>
      <c r="IL106" s="980">
        <v>7771</v>
      </c>
      <c r="IM106" s="980">
        <v>2119</v>
      </c>
      <c r="IN106" s="980">
        <v>1516</v>
      </c>
      <c r="IO106" s="980">
        <v>11</v>
      </c>
      <c r="IP106" s="980">
        <v>6</v>
      </c>
      <c r="IQ106" s="980">
        <v>614</v>
      </c>
      <c r="IR106" s="980">
        <v>1614</v>
      </c>
      <c r="IS106" s="980">
        <v>5148</v>
      </c>
      <c r="IT106" s="577"/>
      <c r="IU106" s="980">
        <v>24680</v>
      </c>
      <c r="IV106" s="467">
        <f t="shared" si="93"/>
        <v>0.46612641815235006</v>
      </c>
      <c r="JR106" s="97"/>
      <c r="JS106" s="97"/>
      <c r="JT106" s="42"/>
      <c r="JU106" s="42"/>
      <c r="JV106" s="42"/>
      <c r="JW106" s="42"/>
      <c r="JX106" s="42"/>
      <c r="JY106" s="42"/>
      <c r="JZ106" s="42"/>
      <c r="KA106" s="42"/>
      <c r="KB106" s="42"/>
      <c r="KC106" s="42"/>
      <c r="KD106" s="42"/>
      <c r="KE106" s="42"/>
      <c r="KF106" s="42"/>
      <c r="KG106" s="42"/>
      <c r="KH106" s="42"/>
      <c r="KI106" s="42"/>
      <c r="KJ106" s="42"/>
      <c r="KK106" s="42"/>
      <c r="KL106" s="42"/>
      <c r="KM106" s="42"/>
      <c r="KN106" s="42"/>
      <c r="KO106" s="42"/>
      <c r="KP106" s="42"/>
      <c r="KQ106" s="42"/>
      <c r="KR106" s="42"/>
      <c r="KS106" s="42"/>
      <c r="KT106" s="42"/>
      <c r="KU106" s="42"/>
      <c r="KV106" s="42"/>
      <c r="KW106" s="42"/>
      <c r="KX106" s="42"/>
      <c r="KY106" s="42"/>
      <c r="KZ106" s="42"/>
      <c r="LA106" s="42"/>
      <c r="LB106" s="42"/>
      <c r="LC106" s="42"/>
      <c r="LD106" s="42"/>
      <c r="LE106" s="42"/>
    </row>
    <row r="107" spans="2:317">
      <c r="B107" s="6291" t="s">
        <v>2613</v>
      </c>
      <c r="C107" s="6291" t="s">
        <v>2613</v>
      </c>
      <c r="D107" s="6291"/>
      <c r="E107" s="6291" t="s">
        <v>2613</v>
      </c>
      <c r="F107" s="6291" t="s">
        <v>2613</v>
      </c>
      <c r="G107" s="6291" t="s">
        <v>2613</v>
      </c>
      <c r="H107" s="6291" t="s">
        <v>2613</v>
      </c>
      <c r="I107" s="6291" t="s">
        <v>2613</v>
      </c>
      <c r="J107" s="6291" t="s">
        <v>2613</v>
      </c>
      <c r="K107" s="6291" t="s">
        <v>2613</v>
      </c>
      <c r="L107" s="6291" t="s">
        <v>2613</v>
      </c>
      <c r="M107" s="6291" t="s">
        <v>2613</v>
      </c>
      <c r="N107" s="6291" t="s">
        <v>2613</v>
      </c>
      <c r="O107" s="6291" t="s">
        <v>2613</v>
      </c>
      <c r="P107" s="6291" t="s">
        <v>2613</v>
      </c>
      <c r="S107" s="6371"/>
      <c r="T107" s="6371"/>
      <c r="U107" s="6371"/>
      <c r="V107" s="6372">
        <f>SUM(V106,V102,V98)</f>
        <v>1089</v>
      </c>
      <c r="W107" s="6372">
        <f t="shared" ref="W107:AH107" si="97">SUM(W106,W102,W98)</f>
        <v>44</v>
      </c>
      <c r="X107" s="6372">
        <f t="shared" si="97"/>
        <v>205</v>
      </c>
      <c r="Y107" s="6372">
        <f t="shared" si="97"/>
        <v>223</v>
      </c>
      <c r="Z107" s="6372">
        <f t="shared" si="97"/>
        <v>73</v>
      </c>
      <c r="AA107" s="6372">
        <f t="shared" si="97"/>
        <v>1</v>
      </c>
      <c r="AB107" s="6372">
        <f t="shared" si="97"/>
        <v>24</v>
      </c>
      <c r="AC107" s="6372">
        <f t="shared" si="97"/>
        <v>59</v>
      </c>
      <c r="AD107" s="6372">
        <f t="shared" si="97"/>
        <v>1</v>
      </c>
      <c r="AE107" s="6372">
        <f t="shared" si="97"/>
        <v>119</v>
      </c>
      <c r="AF107" s="6372">
        <f t="shared" si="97"/>
        <v>78</v>
      </c>
      <c r="AG107" s="6372">
        <f t="shared" si="97"/>
        <v>0</v>
      </c>
      <c r="AH107" s="6372">
        <f t="shared" si="97"/>
        <v>262</v>
      </c>
      <c r="AI107" s="6373">
        <f t="shared" si="85"/>
        <v>0.40404040404040403</v>
      </c>
      <c r="AK107" s="6364"/>
      <c r="AL107" s="6364"/>
      <c r="AM107" s="6364"/>
      <c r="AN107" s="6374">
        <f>SUM(AN106,AN102,AN98)</f>
        <v>1083</v>
      </c>
      <c r="AO107" s="6374">
        <f t="shared" ref="AO107:BB107" si="98">SUM(AO106,AO102,AO98)</f>
        <v>51</v>
      </c>
      <c r="AP107" s="6374">
        <f t="shared" si="98"/>
        <v>205</v>
      </c>
      <c r="AQ107" s="6374">
        <f t="shared" si="98"/>
        <v>215</v>
      </c>
      <c r="AR107" s="6374">
        <f t="shared" si="98"/>
        <v>71</v>
      </c>
      <c r="AS107" s="6374">
        <f t="shared" si="98"/>
        <v>1</v>
      </c>
      <c r="AT107" s="6374">
        <f t="shared" si="98"/>
        <v>24</v>
      </c>
      <c r="AU107" s="6374">
        <f t="shared" si="98"/>
        <v>1</v>
      </c>
      <c r="AV107" s="6374">
        <f t="shared" si="98"/>
        <v>59</v>
      </c>
      <c r="AW107" s="6374">
        <f t="shared" si="98"/>
        <v>120</v>
      </c>
      <c r="AX107" s="6374">
        <f t="shared" si="98"/>
        <v>0</v>
      </c>
      <c r="AY107" s="6374">
        <f t="shared" si="98"/>
        <v>84</v>
      </c>
      <c r="AZ107" s="6374">
        <f t="shared" si="98"/>
        <v>0</v>
      </c>
      <c r="BA107" s="6374">
        <f t="shared" si="98"/>
        <v>0</v>
      </c>
      <c r="BB107" s="6374">
        <f t="shared" si="98"/>
        <v>252</v>
      </c>
      <c r="BC107" s="6328">
        <f t="shared" si="50"/>
        <v>0.39833641404805914</v>
      </c>
      <c r="BE107" s="6359"/>
      <c r="BF107" s="6359"/>
      <c r="BG107" s="6359"/>
      <c r="BH107" s="6375"/>
      <c r="BI107" s="6360"/>
      <c r="BJ107" s="6360"/>
      <c r="BK107" s="6360"/>
      <c r="BL107" s="6360"/>
      <c r="BM107" s="6360"/>
      <c r="BN107" s="6360"/>
      <c r="BO107" s="6360"/>
      <c r="BP107" s="6360"/>
      <c r="BQ107" s="6360"/>
      <c r="BR107" s="6360"/>
      <c r="BS107" s="6360"/>
      <c r="BT107" s="6360"/>
      <c r="BU107" s="6360"/>
      <c r="BV107" s="6360"/>
      <c r="BW107" s="6360"/>
      <c r="BX107" s="6300"/>
      <c r="BZ107" s="4388"/>
      <c r="CA107" s="4388"/>
      <c r="CB107" s="4388"/>
      <c r="CC107" s="4231"/>
      <c r="CD107" s="4231"/>
      <c r="CE107" s="4231"/>
      <c r="CF107" s="4231"/>
      <c r="CG107" s="4231"/>
      <c r="CH107" s="4231"/>
      <c r="CI107" s="4231"/>
      <c r="CJ107" s="4231"/>
      <c r="CK107" s="4231"/>
      <c r="CL107" s="4231"/>
      <c r="CM107" s="4231"/>
      <c r="CN107" s="4231"/>
      <c r="CO107" s="4231"/>
      <c r="CP107" s="4231"/>
      <c r="CQ107" s="4231"/>
      <c r="CR107" s="4388"/>
      <c r="CS107" s="4388"/>
      <c r="CT107" s="6376"/>
      <c r="CU107" s="42"/>
      <c r="IE107" s="1024"/>
      <c r="IF107" s="42"/>
      <c r="IG107" s="577" t="s">
        <v>41</v>
      </c>
      <c r="IH107" s="980">
        <v>1676</v>
      </c>
      <c r="II107" s="980">
        <v>667</v>
      </c>
      <c r="IJ107" s="577"/>
      <c r="IK107" s="980">
        <v>902</v>
      </c>
      <c r="IL107" s="980">
        <v>5732</v>
      </c>
      <c r="IM107" s="980">
        <v>1504</v>
      </c>
      <c r="IN107" s="980">
        <v>729</v>
      </c>
      <c r="IO107" s="577"/>
      <c r="IP107" s="577"/>
      <c r="IQ107" s="980">
        <v>75</v>
      </c>
      <c r="IR107" s="980">
        <v>1777</v>
      </c>
      <c r="IS107" s="980">
        <v>2954</v>
      </c>
      <c r="IT107" s="980">
        <v>37</v>
      </c>
      <c r="IU107" s="980">
        <v>16053</v>
      </c>
      <c r="IV107" s="467">
        <f t="shared" si="93"/>
        <v>0.56145268797109571</v>
      </c>
      <c r="JR107" s="97"/>
      <c r="JS107" s="97"/>
      <c r="JT107" s="42"/>
      <c r="JU107" s="42"/>
      <c r="JV107" s="42"/>
      <c r="JW107" s="42"/>
      <c r="JX107" s="42"/>
      <c r="JY107" s="42"/>
      <c r="JZ107" s="42"/>
      <c r="KA107" s="42"/>
      <c r="KB107" s="42"/>
      <c r="KC107" s="42"/>
      <c r="KD107" s="42"/>
      <c r="KE107" s="42"/>
      <c r="KF107" s="42"/>
      <c r="KG107" s="42"/>
      <c r="KH107" s="42"/>
      <c r="KI107" s="42"/>
      <c r="KJ107" s="42"/>
      <c r="KK107" s="42"/>
      <c r="KL107" s="42"/>
      <c r="KM107" s="42"/>
      <c r="KN107" s="42"/>
      <c r="KO107" s="42"/>
      <c r="KP107" s="42"/>
      <c r="KQ107" s="42"/>
      <c r="KR107" s="42"/>
      <c r="KS107" s="42"/>
      <c r="KT107" s="42"/>
      <c r="KU107" s="42"/>
      <c r="KV107" s="42"/>
      <c r="KW107" s="42"/>
      <c r="KX107" s="42"/>
      <c r="KY107" s="42"/>
      <c r="KZ107" s="42"/>
      <c r="LA107" s="42"/>
      <c r="LB107" s="42"/>
      <c r="LC107" s="42"/>
      <c r="LD107" s="42"/>
      <c r="LE107" s="42"/>
    </row>
    <row r="108" spans="2:317" ht="15" thickBot="1">
      <c r="S108" s="6362"/>
      <c r="T108" s="6362"/>
      <c r="U108" s="6362"/>
      <c r="V108" s="6362"/>
      <c r="W108" s="6296"/>
      <c r="X108" s="6296"/>
      <c r="Y108" s="6362"/>
      <c r="Z108" s="6296"/>
      <c r="AA108" s="6296"/>
      <c r="AB108" s="6296"/>
      <c r="AC108" s="6296"/>
      <c r="AD108" s="6296"/>
      <c r="AE108" s="6296"/>
      <c r="AF108" s="6362"/>
      <c r="AG108" s="6296"/>
      <c r="AH108" s="6296"/>
      <c r="AI108" s="6294"/>
      <c r="AK108" s="6364"/>
      <c r="AL108" s="6364"/>
      <c r="AM108" s="6364"/>
      <c r="AN108" s="6364"/>
      <c r="AO108" s="6364"/>
      <c r="AP108" s="6299"/>
      <c r="AQ108" s="6364"/>
      <c r="AR108" s="6299"/>
      <c r="AS108" s="6299"/>
      <c r="AT108" s="6299"/>
      <c r="AU108" s="6299"/>
      <c r="AV108" s="6299"/>
      <c r="AW108" s="6299"/>
      <c r="AX108" s="6299"/>
      <c r="AY108" s="6364"/>
      <c r="AZ108" s="6299"/>
      <c r="BA108" s="6299"/>
      <c r="BH108" s="6377" t="s">
        <v>112</v>
      </c>
      <c r="BI108" s="866">
        <f>SUM(BI106,BI95,BI80,BI58,BI27)</f>
        <v>65093</v>
      </c>
      <c r="BJ108" s="866">
        <f t="shared" ref="BJ108:BW108" si="99">SUM(BJ106,BJ95,BJ80,BJ58,BJ27)</f>
        <v>1504</v>
      </c>
      <c r="BK108" s="866">
        <f t="shared" si="99"/>
        <v>12236</v>
      </c>
      <c r="BL108" s="866">
        <f t="shared" si="99"/>
        <v>9539</v>
      </c>
      <c r="BM108" s="866">
        <f t="shared" si="99"/>
        <v>2848</v>
      </c>
      <c r="BN108" s="866">
        <f t="shared" si="99"/>
        <v>19</v>
      </c>
      <c r="BO108" s="866">
        <f t="shared" si="99"/>
        <v>863</v>
      </c>
      <c r="BP108" s="866">
        <f t="shared" si="99"/>
        <v>49</v>
      </c>
      <c r="BQ108" s="866">
        <f t="shared" si="99"/>
        <v>6868</v>
      </c>
      <c r="BR108" s="866">
        <f t="shared" si="99"/>
        <v>19</v>
      </c>
      <c r="BS108" s="866">
        <f t="shared" si="99"/>
        <v>6145</v>
      </c>
      <c r="BT108" s="866">
        <f t="shared" si="99"/>
        <v>6670</v>
      </c>
      <c r="BU108" s="866">
        <f t="shared" si="99"/>
        <v>777</v>
      </c>
      <c r="BV108" s="866">
        <f t="shared" si="99"/>
        <v>2</v>
      </c>
      <c r="BW108" s="866">
        <f t="shared" si="99"/>
        <v>17554</v>
      </c>
      <c r="BX108" s="6378">
        <f t="shared" si="61"/>
        <v>0.47562512642569282</v>
      </c>
      <c r="BZ108" s="4388"/>
      <c r="CA108" s="4388"/>
      <c r="CB108" s="4388"/>
      <c r="CC108" s="4231"/>
      <c r="CD108" s="4231"/>
      <c r="CE108" s="4231"/>
      <c r="CF108" s="4231"/>
      <c r="CG108" s="4231"/>
      <c r="CH108" s="4231"/>
      <c r="CI108" s="4231"/>
      <c r="CJ108" s="4231"/>
      <c r="CK108" s="4231"/>
      <c r="CL108" s="4231"/>
      <c r="CM108" s="4231"/>
      <c r="CN108" s="4231"/>
      <c r="CO108" s="4231"/>
      <c r="CP108" s="4231"/>
      <c r="CQ108" s="4231"/>
      <c r="CR108" s="4388"/>
      <c r="CS108" s="4388"/>
      <c r="CT108" s="6376"/>
      <c r="CU108" s="42"/>
      <c r="IE108" s="1024"/>
      <c r="IF108" s="42"/>
      <c r="IG108" s="577"/>
      <c r="IH108" s="980"/>
      <c r="II108" s="980"/>
      <c r="IJ108" s="577"/>
      <c r="IK108" s="980"/>
      <c r="IL108" s="980"/>
      <c r="IM108" s="980"/>
      <c r="IN108" s="980"/>
      <c r="IO108" s="577"/>
      <c r="IP108" s="577"/>
      <c r="IQ108" s="980"/>
      <c r="IR108" s="980"/>
      <c r="IS108" s="980"/>
      <c r="IT108" s="980"/>
      <c r="IU108" s="980"/>
      <c r="IV108" s="467"/>
      <c r="JR108" s="97"/>
      <c r="JS108" s="97"/>
      <c r="JT108" s="42"/>
      <c r="JU108" s="42"/>
      <c r="JV108" s="42"/>
      <c r="JW108" s="42"/>
      <c r="JX108" s="42"/>
      <c r="JY108" s="42"/>
      <c r="JZ108" s="42"/>
      <c r="KA108" s="42"/>
      <c r="KB108" s="42"/>
      <c r="KC108" s="42"/>
      <c r="KD108" s="42"/>
      <c r="KE108" s="42"/>
      <c r="KF108" s="42"/>
      <c r="KG108" s="42"/>
      <c r="KH108" s="42"/>
      <c r="KI108" s="42"/>
      <c r="KJ108" s="42"/>
      <c r="KK108" s="42"/>
      <c r="KL108" s="42"/>
      <c r="KM108" s="42"/>
      <c r="KN108" s="42"/>
      <c r="KO108" s="42"/>
      <c r="KP108" s="42"/>
      <c r="KQ108" s="42"/>
      <c r="KR108" s="42"/>
      <c r="KS108" s="42"/>
      <c r="KT108" s="42"/>
      <c r="KU108" s="42"/>
      <c r="KV108" s="42"/>
      <c r="KW108" s="42"/>
      <c r="KX108" s="42"/>
      <c r="KY108" s="42"/>
      <c r="KZ108" s="42"/>
      <c r="LA108" s="42"/>
      <c r="LB108" s="42"/>
      <c r="LC108" s="42"/>
      <c r="LD108" s="42"/>
      <c r="LE108" s="42"/>
    </row>
    <row r="109" spans="2:317" ht="24.6" thickBot="1">
      <c r="C109" s="6285" t="s">
        <v>2698</v>
      </c>
      <c r="D109" s="6285" t="s">
        <v>3268</v>
      </c>
      <c r="E109" s="6285" t="s">
        <v>2701</v>
      </c>
      <c r="F109" s="6286" t="s">
        <v>1082</v>
      </c>
      <c r="G109" s="6287" t="s">
        <v>2702</v>
      </c>
      <c r="H109" s="6287" t="s">
        <v>2703</v>
      </c>
      <c r="I109" s="6287" t="s">
        <v>2704</v>
      </c>
      <c r="J109" s="6287" t="s">
        <v>2705</v>
      </c>
      <c r="K109" s="6288" t="s">
        <v>2707</v>
      </c>
      <c r="L109" s="6287" t="s">
        <v>2708</v>
      </c>
      <c r="M109" s="6288" t="s">
        <v>1076</v>
      </c>
      <c r="N109" s="6287" t="s">
        <v>2709</v>
      </c>
      <c r="O109" s="6288" t="s">
        <v>1073</v>
      </c>
      <c r="P109" s="6287" t="s">
        <v>1075</v>
      </c>
      <c r="Q109" s="6289" t="s">
        <v>3270</v>
      </c>
      <c r="U109" s="5829" t="s">
        <v>75</v>
      </c>
      <c r="V109" s="5830">
        <f>SUM(V107,V95,V80,V58,V27)</f>
        <v>64319</v>
      </c>
      <c r="W109" s="5828">
        <f t="shared" ref="W109:AH109" si="100">SUM(W107,W95,W80,W58,W27)</f>
        <v>1557</v>
      </c>
      <c r="X109" s="5828">
        <f t="shared" si="100"/>
        <v>9942</v>
      </c>
      <c r="Y109" s="5828">
        <f t="shared" si="100"/>
        <v>9952</v>
      </c>
      <c r="Z109" s="5828">
        <f t="shared" si="100"/>
        <v>2777</v>
      </c>
      <c r="AA109" s="5828">
        <f t="shared" si="100"/>
        <v>18</v>
      </c>
      <c r="AB109" s="5828">
        <f t="shared" si="100"/>
        <v>755</v>
      </c>
      <c r="AC109" s="5831">
        <f t="shared" si="100"/>
        <v>7840</v>
      </c>
      <c r="AD109" s="5828">
        <f t="shared" si="100"/>
        <v>29</v>
      </c>
      <c r="AE109" s="5831">
        <f t="shared" si="100"/>
        <v>5090</v>
      </c>
      <c r="AF109" s="5828">
        <f t="shared" si="100"/>
        <v>8448</v>
      </c>
      <c r="AG109" s="5828">
        <f t="shared" si="100"/>
        <v>2</v>
      </c>
      <c r="AH109" s="5831">
        <f t="shared" si="100"/>
        <v>17909</v>
      </c>
      <c r="AI109" s="6379">
        <f t="shared" si="85"/>
        <v>0.47946951911565788</v>
      </c>
      <c r="AK109" s="42"/>
      <c r="AL109" s="42"/>
      <c r="AM109" s="42"/>
      <c r="AN109" s="4822">
        <f>SUM(AN107,AN95,AN80,AN58,AN27)</f>
        <v>65228</v>
      </c>
      <c r="AO109" s="4822">
        <f t="shared" ref="AO109:BB109" si="101">SUM(AO107,AO95,AO80,AO58,AO27)</f>
        <v>1709</v>
      </c>
      <c r="AP109" s="4822">
        <f t="shared" si="101"/>
        <v>9958</v>
      </c>
      <c r="AQ109" s="4822">
        <f t="shared" si="101"/>
        <v>11019</v>
      </c>
      <c r="AR109" s="4822">
        <f t="shared" si="101"/>
        <v>2748</v>
      </c>
      <c r="AS109" s="4822">
        <f t="shared" si="101"/>
        <v>18</v>
      </c>
      <c r="AT109" s="4822">
        <f t="shared" si="101"/>
        <v>755</v>
      </c>
      <c r="AU109" s="4822">
        <f t="shared" si="101"/>
        <v>60</v>
      </c>
      <c r="AV109" s="4822">
        <f t="shared" si="101"/>
        <v>7602</v>
      </c>
      <c r="AW109" s="4822">
        <f t="shared" si="101"/>
        <v>4809</v>
      </c>
      <c r="AX109" s="4822">
        <f t="shared" si="101"/>
        <v>12</v>
      </c>
      <c r="AY109" s="4822">
        <f t="shared" si="101"/>
        <v>8393</v>
      </c>
      <c r="AZ109" s="4822">
        <f t="shared" si="101"/>
        <v>856</v>
      </c>
      <c r="BA109" s="4822">
        <f t="shared" si="101"/>
        <v>4</v>
      </c>
      <c r="BB109" s="4822">
        <f t="shared" si="101"/>
        <v>17285</v>
      </c>
      <c r="BC109" s="6318">
        <f t="shared" si="50"/>
        <v>0.46174897375295437</v>
      </c>
      <c r="BH109" s="6375"/>
      <c r="BI109" s="3713"/>
      <c r="BJ109" s="3713"/>
      <c r="BK109" s="3713"/>
      <c r="BL109" s="3713"/>
      <c r="BM109" s="3713"/>
      <c r="BN109" s="3713"/>
      <c r="BO109" s="3713"/>
      <c r="BP109" s="3713"/>
      <c r="BQ109" s="3713"/>
      <c r="BR109" s="3713"/>
      <c r="BS109" s="3713"/>
      <c r="BT109" s="3713"/>
      <c r="BU109" s="3713"/>
      <c r="BV109" s="3713"/>
      <c r="BW109" s="3713"/>
      <c r="BX109" s="6380"/>
      <c r="BZ109" s="4388"/>
      <c r="CA109" s="4388"/>
      <c r="CB109" s="4388"/>
      <c r="CC109" s="4231"/>
      <c r="CD109" s="4231"/>
      <c r="CE109" s="4231"/>
      <c r="CF109" s="4231"/>
      <c r="CG109" s="4231"/>
      <c r="CH109" s="4231"/>
      <c r="CI109" s="4231"/>
      <c r="CJ109" s="4231"/>
      <c r="CK109" s="4231"/>
      <c r="CL109" s="4231"/>
      <c r="CM109" s="4231"/>
      <c r="CN109" s="4231"/>
      <c r="CO109" s="4231"/>
      <c r="CP109" s="4231"/>
      <c r="CQ109" s="4231"/>
      <c r="CR109" s="4388"/>
      <c r="CS109" s="4388"/>
      <c r="CT109" s="6376"/>
      <c r="CU109" s="42"/>
      <c r="IE109" s="1024"/>
      <c r="IF109" s="42"/>
      <c r="IG109" s="577" t="s">
        <v>21</v>
      </c>
      <c r="IH109" s="980">
        <v>998</v>
      </c>
      <c r="II109" s="980">
        <v>635</v>
      </c>
      <c r="IJ109" s="577"/>
      <c r="IK109" s="980">
        <v>495</v>
      </c>
      <c r="IL109" s="980">
        <v>2710</v>
      </c>
      <c r="IM109" s="980">
        <v>882</v>
      </c>
      <c r="IN109" s="980">
        <v>614</v>
      </c>
      <c r="IO109" s="577"/>
      <c r="IP109" s="577"/>
      <c r="IQ109" s="980">
        <v>138</v>
      </c>
      <c r="IR109" s="980">
        <v>842</v>
      </c>
      <c r="IS109" s="980">
        <v>1601</v>
      </c>
      <c r="IT109" s="980">
        <v>106</v>
      </c>
      <c r="IU109" s="980">
        <v>9021</v>
      </c>
      <c r="IV109" s="467">
        <f t="shared" si="93"/>
        <v>0.49151978716328565</v>
      </c>
      <c r="JR109" s="97"/>
      <c r="JS109" s="97"/>
      <c r="JT109" s="42"/>
      <c r="JU109" s="42"/>
      <c r="JV109" s="42"/>
      <c r="JW109" s="42"/>
      <c r="JX109" s="42"/>
      <c r="JY109" s="42"/>
      <c r="JZ109" s="42"/>
      <c r="KA109" s="42"/>
      <c r="KB109" s="42"/>
      <c r="KC109" s="42"/>
      <c r="KD109" s="42"/>
      <c r="KE109" s="42"/>
      <c r="KF109" s="42"/>
      <c r="KG109" s="42"/>
      <c r="KH109" s="42"/>
      <c r="KI109" s="42"/>
      <c r="KJ109" s="42"/>
      <c r="KK109" s="42"/>
      <c r="KL109" s="42"/>
      <c r="KM109" s="42"/>
      <c r="KN109" s="42"/>
      <c r="KO109" s="42"/>
      <c r="KP109" s="42"/>
      <c r="KQ109" s="42"/>
      <c r="KR109" s="42"/>
      <c r="KS109" s="42"/>
      <c r="KT109" s="42"/>
      <c r="KU109" s="42"/>
      <c r="KV109" s="42"/>
      <c r="KW109" s="42"/>
      <c r="KX109" s="42"/>
      <c r="KY109" s="42"/>
      <c r="KZ109" s="42"/>
      <c r="LA109" s="42"/>
      <c r="LB109" s="42"/>
      <c r="LC109" s="42"/>
      <c r="LD109" s="42"/>
      <c r="LE109" s="42"/>
    </row>
    <row r="110" spans="2:317">
      <c r="C110" s="6291">
        <v>1</v>
      </c>
      <c r="D110" s="6291">
        <v>19117</v>
      </c>
      <c r="E110" s="6291">
        <v>592</v>
      </c>
      <c r="F110" s="6291">
        <v>4492</v>
      </c>
      <c r="G110" s="6291">
        <v>3872</v>
      </c>
      <c r="H110" s="6291">
        <v>684</v>
      </c>
      <c r="I110" s="6291">
        <v>2</v>
      </c>
      <c r="J110" s="6291">
        <v>149</v>
      </c>
      <c r="K110" s="6291">
        <v>1665</v>
      </c>
      <c r="L110" s="6291">
        <v>4</v>
      </c>
      <c r="M110" s="6291">
        <v>1220</v>
      </c>
      <c r="N110" s="6291">
        <v>1653</v>
      </c>
      <c r="O110" s="6293"/>
      <c r="P110" s="6291">
        <v>4784</v>
      </c>
      <c r="Q110" s="6294">
        <f t="shared" ref="Q110:Q115" si="102">+(K110+M110+P110)/(D110)</f>
        <v>0.40116127007375635</v>
      </c>
      <c r="AI110" s="6300"/>
      <c r="BZ110" s="4388"/>
      <c r="CA110" s="4388"/>
      <c r="CB110" s="4388"/>
      <c r="CC110" s="4231"/>
      <c r="CD110" s="4231"/>
      <c r="CE110" s="4231"/>
      <c r="CF110" s="4231"/>
      <c r="CG110" s="4231"/>
      <c r="CH110" s="4231"/>
      <c r="CI110" s="4231"/>
      <c r="CJ110" s="4231"/>
      <c r="CK110" s="4231"/>
      <c r="CL110" s="4231"/>
      <c r="CM110" s="4231"/>
      <c r="CN110" s="4231"/>
      <c r="CO110" s="4231"/>
      <c r="CP110" s="4231"/>
      <c r="CQ110" s="4231"/>
      <c r="CR110" s="4388"/>
      <c r="CS110" s="4388"/>
      <c r="CT110" s="6376"/>
      <c r="CU110" s="42"/>
      <c r="IE110" s="1024"/>
      <c r="IF110" s="1024"/>
      <c r="IG110" s="577" t="s">
        <v>61</v>
      </c>
      <c r="IH110" s="980">
        <v>101</v>
      </c>
      <c r="II110" s="980">
        <v>61</v>
      </c>
      <c r="IJ110" s="577"/>
      <c r="IK110" s="980">
        <v>24</v>
      </c>
      <c r="IL110" s="980">
        <v>81</v>
      </c>
      <c r="IM110" s="980">
        <v>19</v>
      </c>
      <c r="IN110" s="980">
        <v>11</v>
      </c>
      <c r="IO110" s="980">
        <v>4</v>
      </c>
      <c r="IP110" s="577"/>
      <c r="IQ110" s="980">
        <v>19</v>
      </c>
      <c r="IR110" s="980">
        <v>30</v>
      </c>
      <c r="IS110" s="980">
        <v>91</v>
      </c>
      <c r="IT110" s="577"/>
      <c r="IU110" s="980">
        <v>441</v>
      </c>
      <c r="IV110" s="467">
        <f t="shared" si="93"/>
        <v>0.29478458049886619</v>
      </c>
      <c r="JR110" s="97"/>
      <c r="JS110" s="97"/>
      <c r="JT110" s="42"/>
      <c r="JU110" s="42"/>
      <c r="JV110" s="42"/>
      <c r="JW110" s="42"/>
      <c r="JX110" s="42"/>
      <c r="JY110" s="42"/>
      <c r="JZ110" s="42"/>
      <c r="KA110" s="42"/>
      <c r="KB110" s="42"/>
      <c r="KC110" s="42"/>
      <c r="KD110" s="42"/>
      <c r="KE110" s="42"/>
      <c r="KF110" s="42"/>
      <c r="KG110" s="42"/>
      <c r="KH110" s="42"/>
      <c r="KI110" s="42"/>
      <c r="KJ110" s="42"/>
      <c r="KK110" s="42"/>
      <c r="KL110" s="42"/>
      <c r="KM110" s="42"/>
      <c r="KN110" s="42"/>
      <c r="KO110" s="42"/>
      <c r="KP110" s="42"/>
      <c r="KQ110" s="42"/>
      <c r="KR110" s="42"/>
      <c r="KS110" s="42"/>
      <c r="KT110" s="42"/>
      <c r="KU110" s="42"/>
      <c r="KV110" s="42"/>
      <c r="KW110" s="42"/>
      <c r="KX110" s="42"/>
      <c r="KY110" s="42"/>
      <c r="KZ110" s="42"/>
      <c r="LA110" s="42"/>
      <c r="LB110" s="42"/>
      <c r="LC110" s="42"/>
      <c r="LD110" s="42"/>
      <c r="LE110" s="42"/>
    </row>
    <row r="111" spans="2:317">
      <c r="C111" s="6291">
        <v>2</v>
      </c>
      <c r="D111" s="6291">
        <v>16776</v>
      </c>
      <c r="E111" s="6291">
        <v>549</v>
      </c>
      <c r="F111" s="6291">
        <v>4050</v>
      </c>
      <c r="G111" s="6291">
        <v>3430</v>
      </c>
      <c r="H111" s="6291">
        <v>947</v>
      </c>
      <c r="I111" s="6291">
        <v>3</v>
      </c>
      <c r="J111" s="6291">
        <v>211</v>
      </c>
      <c r="K111" s="6291">
        <v>853</v>
      </c>
      <c r="L111" s="6293"/>
      <c r="M111" s="6291">
        <v>625</v>
      </c>
      <c r="N111" s="6291">
        <v>1482</v>
      </c>
      <c r="O111" s="6293"/>
      <c r="P111" s="6291">
        <v>4626</v>
      </c>
      <c r="Q111" s="6294">
        <f t="shared" si="102"/>
        <v>0.36385312350977589</v>
      </c>
      <c r="AI111" s="6300"/>
      <c r="BH111" s="3813" t="s">
        <v>2712</v>
      </c>
      <c r="BI111" s="42"/>
      <c r="BJ111" s="42"/>
      <c r="BK111" s="42"/>
      <c r="BL111" s="42"/>
      <c r="BM111" s="42"/>
      <c r="BN111" s="42"/>
      <c r="BO111" s="42"/>
      <c r="BP111" s="42"/>
      <c r="BQ111" s="42"/>
      <c r="BR111" s="42"/>
      <c r="BS111" s="42"/>
      <c r="BT111" s="42"/>
      <c r="BU111" s="42"/>
      <c r="BV111" s="42"/>
      <c r="BW111" s="42"/>
      <c r="BZ111" s="4388"/>
      <c r="CA111" s="4388"/>
      <c r="CB111" s="4388"/>
      <c r="CC111" s="4231"/>
      <c r="CD111" s="4231"/>
      <c r="CE111" s="4231"/>
      <c r="CF111" s="4231"/>
      <c r="CG111" s="4231"/>
      <c r="CH111" s="4231"/>
      <c r="CI111" s="4231"/>
      <c r="CJ111" s="4231"/>
      <c r="CK111" s="4231"/>
      <c r="CL111" s="4231"/>
      <c r="CM111" s="4231"/>
      <c r="CN111" s="4231"/>
      <c r="CO111" s="4231"/>
      <c r="CP111" s="4231"/>
      <c r="CQ111" s="4231"/>
      <c r="CR111" s="4388"/>
      <c r="CS111" s="4388"/>
      <c r="CT111" s="6376"/>
      <c r="CU111" s="42"/>
      <c r="IG111" s="577" t="s">
        <v>64</v>
      </c>
      <c r="IH111" s="980">
        <v>87</v>
      </c>
      <c r="II111" s="980">
        <v>30</v>
      </c>
      <c r="IJ111" s="577"/>
      <c r="IK111" s="980">
        <v>20</v>
      </c>
      <c r="IL111" s="980">
        <v>47</v>
      </c>
      <c r="IM111" s="980">
        <v>9</v>
      </c>
      <c r="IN111" s="980">
        <v>15</v>
      </c>
      <c r="IO111" s="980">
        <v>1</v>
      </c>
      <c r="IP111" s="577"/>
      <c r="IQ111" s="980">
        <v>11</v>
      </c>
      <c r="IR111" s="980">
        <v>9</v>
      </c>
      <c r="IS111" s="980">
        <v>88</v>
      </c>
      <c r="IT111" s="577"/>
      <c r="IU111" s="980">
        <v>317</v>
      </c>
      <c r="IV111" s="467">
        <f t="shared" si="93"/>
        <v>0.20504731861198738</v>
      </c>
      <c r="JR111" s="97"/>
      <c r="JS111" s="97"/>
      <c r="JT111" s="42"/>
      <c r="JU111" s="42"/>
      <c r="JV111" s="42"/>
      <c r="JW111" s="42"/>
      <c r="JX111" s="42"/>
      <c r="JY111" s="42"/>
      <c r="JZ111" s="42"/>
      <c r="KA111" s="42"/>
      <c r="KB111" s="42"/>
      <c r="KC111" s="42"/>
      <c r="KD111" s="42"/>
      <c r="KE111" s="42"/>
      <c r="KF111" s="42"/>
      <c r="KG111" s="42"/>
      <c r="KH111" s="42"/>
      <c r="KI111" s="42"/>
      <c r="KJ111" s="42"/>
      <c r="KK111" s="42"/>
      <c r="KL111" s="42"/>
      <c r="KM111" s="42"/>
      <c r="KN111" s="42"/>
      <c r="KO111" s="42"/>
      <c r="KP111" s="42"/>
      <c r="KQ111" s="42"/>
      <c r="KR111" s="42"/>
      <c r="KS111" s="42"/>
      <c r="KT111" s="42"/>
      <c r="KU111" s="42"/>
      <c r="KV111" s="42"/>
      <c r="KW111" s="42"/>
      <c r="KX111" s="42"/>
      <c r="KY111" s="42"/>
      <c r="KZ111" s="42"/>
      <c r="LA111" s="42"/>
      <c r="LB111" s="42"/>
      <c r="LC111" s="42"/>
      <c r="LD111" s="42"/>
      <c r="LE111" s="42"/>
    </row>
    <row r="112" spans="2:317" ht="15" thickBot="1">
      <c r="C112" s="6291">
        <v>3</v>
      </c>
      <c r="D112" s="6291">
        <v>23653</v>
      </c>
      <c r="E112" s="6291">
        <v>150</v>
      </c>
      <c r="F112" s="6291">
        <v>4345</v>
      </c>
      <c r="G112" s="6291">
        <v>2019</v>
      </c>
      <c r="H112" s="6291">
        <v>799</v>
      </c>
      <c r="I112" s="6291">
        <v>11</v>
      </c>
      <c r="J112" s="6291">
        <v>235</v>
      </c>
      <c r="K112" s="6291">
        <v>4437</v>
      </c>
      <c r="L112" s="6293"/>
      <c r="M112" s="6291">
        <v>2388</v>
      </c>
      <c r="N112" s="6291">
        <v>771</v>
      </c>
      <c r="O112" s="6291">
        <v>2</v>
      </c>
      <c r="P112" s="6291">
        <v>8496</v>
      </c>
      <c r="Q112" s="6294">
        <f t="shared" si="102"/>
        <v>0.64774024436646516</v>
      </c>
      <c r="S112" s="4824" t="s">
        <v>2812</v>
      </c>
      <c r="AK112" s="4823"/>
      <c r="AL112" s="4823"/>
      <c r="AM112" s="4823"/>
      <c r="AN112" s="4824" t="s">
        <v>2812</v>
      </c>
      <c r="AO112" s="4823"/>
      <c r="AP112" s="4823"/>
      <c r="AQ112" s="4823"/>
      <c r="AR112" s="4823"/>
      <c r="AS112" s="4823"/>
      <c r="AT112" s="4823"/>
      <c r="AU112" s="4823"/>
      <c r="AV112" s="4823"/>
      <c r="AW112" s="4823"/>
      <c r="AX112" s="4823"/>
      <c r="BE112" s="6381" t="s">
        <v>2698</v>
      </c>
      <c r="BF112" s="6381" t="s">
        <v>2699</v>
      </c>
      <c r="BG112" s="6381" t="s">
        <v>2700</v>
      </c>
      <c r="BH112" s="4254"/>
      <c r="BI112" s="6382" t="s">
        <v>15</v>
      </c>
      <c r="BJ112" s="6381" t="s">
        <v>2701</v>
      </c>
      <c r="BK112" s="6381" t="s">
        <v>1082</v>
      </c>
      <c r="BL112" s="6381" t="s">
        <v>2702</v>
      </c>
      <c r="BM112" s="6381" t="s">
        <v>2703</v>
      </c>
      <c r="BN112" s="6381" t="s">
        <v>2704</v>
      </c>
      <c r="BO112" s="6381" t="s">
        <v>2705</v>
      </c>
      <c r="BP112" s="4255"/>
      <c r="BQ112" s="6381" t="s">
        <v>2707</v>
      </c>
      <c r="BR112" s="4255"/>
      <c r="BS112" s="6381" t="s">
        <v>1076</v>
      </c>
      <c r="BT112" s="6381" t="s">
        <v>2709</v>
      </c>
      <c r="BU112" s="4255"/>
      <c r="BV112" s="4255"/>
      <c r="BW112" s="6381" t="s">
        <v>1075</v>
      </c>
      <c r="BZ112" s="4388"/>
      <c r="CA112" s="4388"/>
      <c r="CB112" s="4388"/>
      <c r="CC112" s="4231"/>
      <c r="CD112" s="4231"/>
      <c r="CE112" s="4231"/>
      <c r="CF112" s="4231"/>
      <c r="CG112" s="4231"/>
      <c r="CH112" s="4231"/>
      <c r="CI112" s="4231"/>
      <c r="CJ112" s="4231"/>
      <c r="CK112" s="4231"/>
      <c r="CL112" s="4231"/>
      <c r="CM112" s="4231"/>
      <c r="CN112" s="4231"/>
      <c r="CO112" s="4231"/>
      <c r="CP112" s="4231"/>
      <c r="CQ112" s="4231"/>
      <c r="CR112" s="4388"/>
      <c r="CS112" s="4388"/>
      <c r="CT112" s="6376"/>
      <c r="CU112" s="42"/>
      <c r="IG112" s="575" t="s">
        <v>112</v>
      </c>
      <c r="IH112" s="1021">
        <v>8693</v>
      </c>
      <c r="II112" s="1021">
        <v>4899</v>
      </c>
      <c r="IJ112" s="1021">
        <v>4</v>
      </c>
      <c r="IK112" s="1021">
        <v>4135</v>
      </c>
      <c r="IL112" s="1021">
        <v>18339</v>
      </c>
      <c r="IM112" s="1021">
        <v>4914</v>
      </c>
      <c r="IN112" s="1021">
        <v>3892</v>
      </c>
      <c r="IO112" s="1021">
        <v>16</v>
      </c>
      <c r="IP112" s="1021">
        <v>7</v>
      </c>
      <c r="IQ112" s="1021">
        <v>1158</v>
      </c>
      <c r="IR112" s="1021">
        <v>4543</v>
      </c>
      <c r="IS112" s="1021">
        <v>14293</v>
      </c>
      <c r="IT112" s="1021">
        <v>161</v>
      </c>
      <c r="IU112" s="1021">
        <v>65054</v>
      </c>
      <c r="IV112" s="504">
        <f t="shared" si="93"/>
        <v>0.42727580164171303</v>
      </c>
      <c r="JR112" s="97"/>
      <c r="JS112" s="97"/>
      <c r="JT112" s="42"/>
      <c r="JU112" s="42"/>
      <c r="JV112" s="42"/>
      <c r="JW112" s="42"/>
      <c r="JX112" s="42"/>
      <c r="JY112" s="42"/>
      <c r="JZ112" s="42"/>
      <c r="KA112" s="42"/>
      <c r="KB112" s="42"/>
      <c r="KC112" s="42"/>
      <c r="KD112" s="42"/>
      <c r="KE112" s="42"/>
      <c r="KF112" s="42"/>
      <c r="KG112" s="42"/>
      <c r="KH112" s="42"/>
      <c r="KI112" s="42"/>
      <c r="KJ112" s="42"/>
      <c r="KK112" s="42"/>
      <c r="KL112" s="42"/>
      <c r="KM112" s="42"/>
      <c r="KN112" s="42"/>
      <c r="KO112" s="42"/>
      <c r="KP112" s="42"/>
      <c r="KQ112" s="42"/>
      <c r="KR112" s="42"/>
      <c r="KS112" s="42"/>
      <c r="KT112" s="42"/>
      <c r="KU112" s="42"/>
      <c r="KV112" s="42"/>
      <c r="KW112" s="42"/>
      <c r="KX112" s="42"/>
      <c r="KY112" s="42"/>
      <c r="KZ112" s="42"/>
      <c r="LA112" s="42"/>
      <c r="LB112" s="42"/>
      <c r="LC112" s="42"/>
      <c r="LD112" s="42"/>
      <c r="LE112" s="42"/>
    </row>
    <row r="113" spans="3:317" ht="36.6" thickBot="1">
      <c r="C113" s="6291">
        <v>4</v>
      </c>
      <c r="D113" s="6291">
        <v>3651</v>
      </c>
      <c r="E113" s="6291">
        <v>144</v>
      </c>
      <c r="F113" s="6291">
        <v>740</v>
      </c>
      <c r="G113" s="6291">
        <v>714</v>
      </c>
      <c r="H113" s="6291">
        <v>184</v>
      </c>
      <c r="I113" s="6291">
        <v>4</v>
      </c>
      <c r="J113" s="6291">
        <v>17</v>
      </c>
      <c r="K113" s="6291">
        <v>302</v>
      </c>
      <c r="L113" s="6291">
        <v>39</v>
      </c>
      <c r="M113" s="6291">
        <v>141</v>
      </c>
      <c r="N113" s="6291">
        <v>388</v>
      </c>
      <c r="O113" s="6293"/>
      <c r="P113" s="6291">
        <v>978</v>
      </c>
      <c r="Q113" s="6294">
        <f t="shared" si="102"/>
        <v>0.38920843604491923</v>
      </c>
      <c r="S113" s="6383" t="s">
        <v>2698</v>
      </c>
      <c r="T113" s="6383" t="s">
        <v>2699</v>
      </c>
      <c r="U113" s="6383" t="s">
        <v>2700</v>
      </c>
      <c r="V113" s="6383" t="s">
        <v>15</v>
      </c>
      <c r="W113" s="6383" t="s">
        <v>2701</v>
      </c>
      <c r="X113" s="6383" t="s">
        <v>1082</v>
      </c>
      <c r="Y113" s="6383" t="s">
        <v>2702</v>
      </c>
      <c r="Z113" s="6383" t="s">
        <v>2703</v>
      </c>
      <c r="AA113" s="6383" t="s">
        <v>2704</v>
      </c>
      <c r="AB113" s="6383" t="s">
        <v>2705</v>
      </c>
      <c r="AC113" s="6383" t="s">
        <v>2707</v>
      </c>
      <c r="AD113" s="5826"/>
      <c r="AE113" s="6383" t="s">
        <v>1076</v>
      </c>
      <c r="AF113" s="6383" t="s">
        <v>2709</v>
      </c>
      <c r="AG113" s="5826"/>
      <c r="AH113" s="6383" t="s">
        <v>1075</v>
      </c>
      <c r="AK113" s="6384" t="s">
        <v>2698</v>
      </c>
      <c r="AL113" s="6384" t="s">
        <v>2699</v>
      </c>
      <c r="AM113" s="6384" t="s">
        <v>2700</v>
      </c>
      <c r="AN113" s="6286" t="s">
        <v>2811</v>
      </c>
      <c r="AO113" s="6384" t="s">
        <v>2701</v>
      </c>
      <c r="AP113" s="6384" t="s">
        <v>1082</v>
      </c>
      <c r="AQ113" s="6384" t="s">
        <v>2805</v>
      </c>
      <c r="AR113" s="6384" t="s">
        <v>2703</v>
      </c>
      <c r="AS113" s="6384" t="s">
        <v>2704</v>
      </c>
      <c r="AT113" s="6384" t="s">
        <v>2705</v>
      </c>
      <c r="AU113" s="40"/>
      <c r="AV113" s="6384" t="s">
        <v>2707</v>
      </c>
      <c r="AW113" s="6384" t="s">
        <v>1076</v>
      </c>
      <c r="AX113" s="40"/>
      <c r="AY113" s="6384" t="s">
        <v>2709</v>
      </c>
      <c r="AZ113" s="40"/>
      <c r="BA113" s="40"/>
      <c r="BB113" s="6384" t="s">
        <v>1075</v>
      </c>
      <c r="BE113" s="6345">
        <v>3</v>
      </c>
      <c r="BF113" s="6345">
        <v>3</v>
      </c>
      <c r="BG113" s="6345">
        <v>79</v>
      </c>
      <c r="BH113" s="4823" t="s">
        <v>255</v>
      </c>
      <c r="BI113" s="6346">
        <v>1480</v>
      </c>
      <c r="BJ113" s="6345">
        <v>68</v>
      </c>
      <c r="BK113" s="6345">
        <v>160</v>
      </c>
      <c r="BL113" s="6345">
        <v>147</v>
      </c>
      <c r="BM113" s="6345">
        <v>38</v>
      </c>
      <c r="BN113" s="6345">
        <v>2</v>
      </c>
      <c r="BO113" s="6345">
        <v>48</v>
      </c>
      <c r="BQ113" s="6345">
        <v>179</v>
      </c>
      <c r="BS113" s="6345">
        <v>181</v>
      </c>
      <c r="BT113" s="6345">
        <v>52</v>
      </c>
      <c r="BW113" s="6345">
        <v>605</v>
      </c>
      <c r="BZ113" s="4388"/>
      <c r="CA113" s="4230"/>
      <c r="CB113" s="6385" t="s">
        <v>4</v>
      </c>
      <c r="CC113" s="4231">
        <v>3195</v>
      </c>
      <c r="CD113" s="4231">
        <v>1695</v>
      </c>
      <c r="CE113" s="4231">
        <v>1</v>
      </c>
      <c r="CF113" s="4231">
        <v>1013</v>
      </c>
      <c r="CG113" s="4231">
        <v>2176</v>
      </c>
      <c r="CH113" s="4231">
        <v>611</v>
      </c>
      <c r="CI113" s="4231">
        <v>259</v>
      </c>
      <c r="CJ113" s="4231"/>
      <c r="CK113" s="4231">
        <v>2</v>
      </c>
      <c r="CL113" s="4231">
        <v>451</v>
      </c>
      <c r="CM113" s="4231">
        <v>448</v>
      </c>
      <c r="CN113" s="4231">
        <v>777</v>
      </c>
      <c r="CO113" s="4231">
        <v>3647</v>
      </c>
      <c r="CP113" s="4231">
        <v>11</v>
      </c>
      <c r="CQ113" s="4231">
        <v>14286</v>
      </c>
      <c r="CR113" s="6304">
        <f t="shared" ref="CR113:CR119" si="103">+(CM113+CH113+CG113)/(CQ113-CP113-CN113)</f>
        <v>0.23966513557564084</v>
      </c>
      <c r="CS113" s="6304"/>
      <c r="CT113" s="6376"/>
      <c r="CU113" s="6316"/>
      <c r="JR113" s="97"/>
      <c r="JS113" s="97"/>
      <c r="JT113" s="42"/>
      <c r="JU113" s="42"/>
      <c r="JV113" s="42"/>
      <c r="JW113" s="42"/>
      <c r="JX113" s="42"/>
      <c r="JY113" s="42"/>
      <c r="JZ113" s="42"/>
      <c r="KA113" s="42"/>
      <c r="KB113" s="42"/>
      <c r="KC113" s="42"/>
      <c r="KD113" s="42"/>
      <c r="KE113" s="42"/>
      <c r="KF113" s="42"/>
      <c r="KG113" s="42"/>
      <c r="KH113" s="42"/>
      <c r="KI113" s="42"/>
      <c r="KJ113" s="42"/>
      <c r="KK113" s="42"/>
      <c r="KL113" s="42"/>
      <c r="KM113" s="42"/>
      <c r="KN113" s="42"/>
      <c r="KO113" s="42"/>
      <c r="KP113" s="42"/>
      <c r="KQ113" s="42"/>
      <c r="KR113" s="42"/>
      <c r="KS113" s="42"/>
      <c r="KT113" s="42"/>
      <c r="KU113" s="42"/>
      <c r="KV113" s="42"/>
      <c r="KW113" s="42"/>
      <c r="KX113" s="42"/>
      <c r="KY113" s="42"/>
      <c r="KZ113" s="42"/>
      <c r="LA113" s="42"/>
      <c r="LB113" s="42"/>
      <c r="LC113" s="42"/>
      <c r="LD113" s="42"/>
      <c r="LE113" s="42"/>
    </row>
    <row r="114" spans="3:317">
      <c r="C114" s="6291">
        <v>5</v>
      </c>
      <c r="D114" s="6291">
        <v>1257</v>
      </c>
      <c r="E114" s="6291">
        <v>39</v>
      </c>
      <c r="F114" s="6291">
        <v>251</v>
      </c>
      <c r="G114" s="6291">
        <v>319</v>
      </c>
      <c r="H114" s="6291">
        <v>80</v>
      </c>
      <c r="I114" s="6291">
        <v>1</v>
      </c>
      <c r="J114" s="6291">
        <v>17</v>
      </c>
      <c r="K114" s="6291">
        <v>90</v>
      </c>
      <c r="L114" s="6293"/>
      <c r="M114" s="6291">
        <v>92</v>
      </c>
      <c r="N114" s="6291">
        <v>95</v>
      </c>
      <c r="O114" s="6293"/>
      <c r="P114" s="6291">
        <v>273</v>
      </c>
      <c r="Q114" s="6294">
        <f t="shared" si="102"/>
        <v>0.36197295147175818</v>
      </c>
      <c r="S114" s="6386">
        <v>3</v>
      </c>
      <c r="T114" s="6386">
        <v>3</v>
      </c>
      <c r="U114" s="6386">
        <v>79</v>
      </c>
      <c r="V114" s="6387">
        <v>1443</v>
      </c>
      <c r="W114" s="6386">
        <v>52</v>
      </c>
      <c r="X114" s="6386">
        <v>172</v>
      </c>
      <c r="Y114" s="6386">
        <v>203</v>
      </c>
      <c r="Z114" s="6386">
        <v>35</v>
      </c>
      <c r="AA114" s="6386">
        <v>2</v>
      </c>
      <c r="AB114" s="6386">
        <v>14</v>
      </c>
      <c r="AC114" s="6386">
        <v>159</v>
      </c>
      <c r="AD114" s="42"/>
      <c r="AE114" s="6386">
        <v>107</v>
      </c>
      <c r="AF114" s="6386">
        <v>54</v>
      </c>
      <c r="AG114" s="42"/>
      <c r="AH114" s="6386">
        <v>645</v>
      </c>
      <c r="AK114" s="6345">
        <v>3</v>
      </c>
      <c r="AL114" s="6345">
        <v>3</v>
      </c>
      <c r="AM114" s="6345">
        <v>79</v>
      </c>
      <c r="AN114" s="6346">
        <v>1443</v>
      </c>
      <c r="AO114" s="6345">
        <v>95</v>
      </c>
      <c r="AP114" s="6345">
        <v>172</v>
      </c>
      <c r="AQ114" s="6345">
        <v>167</v>
      </c>
      <c r="AR114" s="6345">
        <v>34</v>
      </c>
      <c r="AS114" s="6345">
        <v>2</v>
      </c>
      <c r="AT114" s="6345">
        <v>14</v>
      </c>
      <c r="AV114" s="6345">
        <v>199</v>
      </c>
      <c r="AW114" s="6345">
        <v>82</v>
      </c>
      <c r="AY114" s="6345">
        <v>52</v>
      </c>
      <c r="BB114" s="6345">
        <v>626</v>
      </c>
      <c r="BH114" s="39" t="s">
        <v>1695</v>
      </c>
      <c r="BZ114" s="4388"/>
      <c r="CA114" s="4230"/>
      <c r="CB114" s="6385" t="s">
        <v>16</v>
      </c>
      <c r="CC114" s="4231">
        <v>3417</v>
      </c>
      <c r="CD114" s="4231">
        <v>2833</v>
      </c>
      <c r="CE114" s="4231">
        <v>2</v>
      </c>
      <c r="CF114" s="4231">
        <v>757</v>
      </c>
      <c r="CG114" s="4231">
        <v>7228</v>
      </c>
      <c r="CH114" s="4231">
        <v>2016</v>
      </c>
      <c r="CI114" s="4231">
        <v>258</v>
      </c>
      <c r="CJ114" s="4231">
        <v>77</v>
      </c>
      <c r="CK114" s="4231">
        <v>7</v>
      </c>
      <c r="CL114" s="4231">
        <v>971</v>
      </c>
      <c r="CM114" s="4231">
        <v>2569</v>
      </c>
      <c r="CN114" s="4231"/>
      <c r="CO114" s="4231">
        <v>4622</v>
      </c>
      <c r="CP114" s="4231">
        <v>24</v>
      </c>
      <c r="CQ114" s="4231">
        <v>24781</v>
      </c>
      <c r="CR114" s="6304">
        <f t="shared" si="103"/>
        <v>0.47715797552207456</v>
      </c>
      <c r="CS114" s="6304"/>
      <c r="CT114" s="6376"/>
      <c r="CU114" s="6316"/>
      <c r="JR114" s="97"/>
      <c r="JS114" s="97"/>
      <c r="JT114" s="42"/>
      <c r="JU114" s="42"/>
      <c r="JV114" s="42"/>
      <c r="JW114" s="42"/>
      <c r="JX114" s="42"/>
      <c r="JY114" s="42"/>
      <c r="JZ114" s="42"/>
      <c r="KA114" s="42"/>
      <c r="KB114" s="42"/>
      <c r="KC114" s="42"/>
      <c r="KD114" s="42"/>
      <c r="KE114" s="42"/>
      <c r="KF114" s="42"/>
      <c r="KG114" s="42"/>
      <c r="KH114" s="42"/>
      <c r="KI114" s="42"/>
      <c r="KJ114" s="42"/>
      <c r="KK114" s="42"/>
      <c r="KL114" s="42"/>
      <c r="KM114" s="42"/>
      <c r="KN114" s="42"/>
      <c r="KO114" s="42"/>
      <c r="KP114" s="42"/>
      <c r="KQ114" s="42"/>
      <c r="KR114" s="42"/>
      <c r="KS114" s="42"/>
      <c r="KT114" s="42"/>
      <c r="KU114" s="42"/>
      <c r="KV114" s="42"/>
      <c r="KW114" s="42"/>
      <c r="KX114" s="42"/>
      <c r="KY114" s="42"/>
      <c r="KZ114" s="42"/>
      <c r="LA114" s="42"/>
      <c r="LB114" s="42"/>
      <c r="LC114" s="42"/>
      <c r="LD114" s="42"/>
      <c r="LE114" s="42"/>
    </row>
    <row r="115" spans="3:317">
      <c r="C115" s="6390" t="s">
        <v>75</v>
      </c>
      <c r="D115" s="6390">
        <f>SUM(D110:D114)</f>
        <v>64454</v>
      </c>
      <c r="E115" s="6390">
        <f t="shared" ref="E115:P115" si="104">SUM(E110:E114)</f>
        <v>1474</v>
      </c>
      <c r="F115" s="6390">
        <f t="shared" si="104"/>
        <v>13878</v>
      </c>
      <c r="G115" s="6390">
        <f t="shared" si="104"/>
        <v>10354</v>
      </c>
      <c r="H115" s="6390">
        <f t="shared" si="104"/>
        <v>2694</v>
      </c>
      <c r="I115" s="6390">
        <f t="shared" si="104"/>
        <v>21</v>
      </c>
      <c r="J115" s="6390">
        <f t="shared" si="104"/>
        <v>629</v>
      </c>
      <c r="K115" s="6390">
        <f t="shared" si="104"/>
        <v>7347</v>
      </c>
      <c r="L115" s="6390">
        <f t="shared" si="104"/>
        <v>43</v>
      </c>
      <c r="M115" s="6390">
        <f t="shared" si="104"/>
        <v>4466</v>
      </c>
      <c r="N115" s="6390">
        <f t="shared" si="104"/>
        <v>4389</v>
      </c>
      <c r="O115" s="6390">
        <f t="shared" si="104"/>
        <v>2</v>
      </c>
      <c r="P115" s="6390">
        <f t="shared" si="104"/>
        <v>19157</v>
      </c>
      <c r="Q115" s="6294">
        <f t="shared" si="102"/>
        <v>0.48049771930368945</v>
      </c>
      <c r="BZ115" s="4388"/>
      <c r="CA115" s="4230"/>
      <c r="CB115" s="6385" t="s">
        <v>41</v>
      </c>
      <c r="CC115" s="4231">
        <v>2433</v>
      </c>
      <c r="CD115" s="4231">
        <v>948</v>
      </c>
      <c r="CE115" s="4231"/>
      <c r="CF115" s="4231">
        <v>686</v>
      </c>
      <c r="CG115" s="4231">
        <v>4861</v>
      </c>
      <c r="CH115" s="4231">
        <v>1584</v>
      </c>
      <c r="CI115" s="4231">
        <v>164</v>
      </c>
      <c r="CJ115" s="4231">
        <v>2</v>
      </c>
      <c r="CK115" s="4231">
        <v>6</v>
      </c>
      <c r="CL115" s="4231">
        <v>236</v>
      </c>
      <c r="CM115" s="4231">
        <v>2590</v>
      </c>
      <c r="CN115" s="4231"/>
      <c r="CO115" s="4231">
        <v>2519</v>
      </c>
      <c r="CP115" s="4231">
        <v>10</v>
      </c>
      <c r="CQ115" s="4231">
        <v>16039</v>
      </c>
      <c r="CR115" s="6304">
        <f t="shared" si="103"/>
        <v>0.56366585563665861</v>
      </c>
      <c r="CS115" s="6304"/>
      <c r="CT115" s="6376"/>
      <c r="CU115" s="6316"/>
      <c r="JR115" s="97"/>
      <c r="JS115" s="97"/>
      <c r="JT115" s="42"/>
      <c r="JU115" s="42"/>
      <c r="JV115" s="42"/>
      <c r="JW115" s="42"/>
      <c r="JX115" s="42"/>
      <c r="JY115" s="42"/>
      <c r="JZ115" s="42"/>
      <c r="KA115" s="42"/>
      <c r="KB115" s="42"/>
      <c r="KC115" s="42"/>
      <c r="KD115" s="42"/>
      <c r="KE115" s="42"/>
      <c r="KF115" s="42"/>
      <c r="KG115" s="42"/>
      <c r="KH115" s="42"/>
      <c r="KI115" s="42"/>
      <c r="KJ115" s="42"/>
      <c r="KK115" s="42"/>
      <c r="KL115" s="42"/>
      <c r="KM115" s="42"/>
      <c r="KN115" s="42"/>
      <c r="KO115" s="42"/>
      <c r="KP115" s="42"/>
      <c r="KQ115" s="42"/>
      <c r="KR115" s="42"/>
      <c r="KS115" s="42"/>
      <c r="KT115" s="42"/>
      <c r="KU115" s="42"/>
      <c r="KV115" s="42"/>
      <c r="KW115" s="42"/>
      <c r="KX115" s="42"/>
      <c r="KY115" s="42"/>
      <c r="KZ115" s="42"/>
      <c r="LA115" s="42"/>
      <c r="LB115" s="42"/>
      <c r="LC115" s="42"/>
      <c r="LD115" s="42"/>
      <c r="LE115" s="42"/>
    </row>
    <row r="116" spans="3:317">
      <c r="BZ116" s="4388"/>
      <c r="CA116" s="4230"/>
      <c r="CB116" s="6385" t="s">
        <v>21</v>
      </c>
      <c r="CC116" s="4231">
        <v>1006</v>
      </c>
      <c r="CD116" s="4231">
        <v>649</v>
      </c>
      <c r="CE116" s="4231"/>
      <c r="CF116" s="4231">
        <v>237</v>
      </c>
      <c r="CG116" s="4231">
        <v>2392</v>
      </c>
      <c r="CH116" s="4231">
        <v>711</v>
      </c>
      <c r="CI116" s="4231">
        <v>138</v>
      </c>
      <c r="CJ116" s="4231">
        <v>33</v>
      </c>
      <c r="CK116" s="4231">
        <v>2</v>
      </c>
      <c r="CL116" s="4231">
        <v>128</v>
      </c>
      <c r="CM116" s="4231">
        <v>1518</v>
      </c>
      <c r="CN116" s="4231"/>
      <c r="CO116" s="4231">
        <v>1293</v>
      </c>
      <c r="CP116" s="4231">
        <v>3</v>
      </c>
      <c r="CQ116" s="4231">
        <v>8110</v>
      </c>
      <c r="CR116" s="6304">
        <f t="shared" si="103"/>
        <v>0.5700012335019119</v>
      </c>
      <c r="CS116" s="6304"/>
      <c r="CT116" s="6376"/>
      <c r="CU116" s="6316"/>
      <c r="JR116" s="97"/>
      <c r="JS116" s="97"/>
      <c r="JT116" s="42"/>
      <c r="JU116" s="42"/>
      <c r="JV116" s="42"/>
      <c r="JW116" s="42"/>
      <c r="JX116" s="42"/>
      <c r="JY116" s="42"/>
      <c r="JZ116" s="42"/>
      <c r="KA116" s="42"/>
      <c r="KB116" s="42"/>
      <c r="KC116" s="42"/>
      <c r="KD116" s="42"/>
      <c r="KE116" s="42"/>
      <c r="KF116" s="42"/>
      <c r="KG116" s="42"/>
      <c r="KH116" s="42"/>
      <c r="KI116" s="42"/>
      <c r="KJ116" s="42"/>
      <c r="KK116" s="42"/>
      <c r="KL116" s="42"/>
      <c r="KM116" s="42"/>
      <c r="KN116" s="42"/>
      <c r="KO116" s="42"/>
      <c r="KP116" s="42"/>
      <c r="KQ116" s="42"/>
      <c r="KR116" s="42"/>
      <c r="KS116" s="42"/>
      <c r="KT116" s="42"/>
      <c r="KU116" s="42"/>
      <c r="KV116" s="42"/>
      <c r="KW116" s="42"/>
      <c r="KX116" s="42"/>
      <c r="KY116" s="42"/>
      <c r="KZ116" s="42"/>
      <c r="LA116" s="42"/>
      <c r="LB116" s="42"/>
      <c r="LC116" s="42"/>
      <c r="LD116" s="42"/>
      <c r="LE116" s="42"/>
    </row>
    <row r="117" spans="3:317">
      <c r="BZ117" s="4388"/>
      <c r="CA117" s="4230"/>
      <c r="CB117" s="6385" t="s">
        <v>61</v>
      </c>
      <c r="CC117" s="4231">
        <v>170</v>
      </c>
      <c r="CD117" s="4231">
        <v>156</v>
      </c>
      <c r="CE117" s="4231"/>
      <c r="CF117" s="4231">
        <v>45</v>
      </c>
      <c r="CG117" s="4231">
        <v>155</v>
      </c>
      <c r="CH117" s="4231">
        <v>86</v>
      </c>
      <c r="CI117" s="4231">
        <v>3</v>
      </c>
      <c r="CJ117" s="4231">
        <v>10</v>
      </c>
      <c r="CK117" s="4231">
        <v>2</v>
      </c>
      <c r="CL117" s="4231">
        <v>105</v>
      </c>
      <c r="CM117" s="4231">
        <v>125</v>
      </c>
      <c r="CN117" s="4231"/>
      <c r="CO117" s="4231">
        <v>183</v>
      </c>
      <c r="CP117" s="4231">
        <v>1</v>
      </c>
      <c r="CQ117" s="4231">
        <v>1041</v>
      </c>
      <c r="CR117" s="6304">
        <f t="shared" si="103"/>
        <v>0.35192307692307695</v>
      </c>
      <c r="CS117" s="6304"/>
      <c r="CT117" s="6376"/>
      <c r="CU117" s="6316"/>
      <c r="JR117" s="97"/>
      <c r="JS117" s="97"/>
      <c r="JT117" s="42"/>
      <c r="JU117" s="42"/>
      <c r="JV117" s="42"/>
      <c r="JW117" s="42"/>
      <c r="JX117" s="42"/>
      <c r="JY117" s="42"/>
      <c r="JZ117" s="42"/>
      <c r="KA117" s="42"/>
      <c r="KB117" s="42"/>
      <c r="KC117" s="42"/>
      <c r="KD117" s="42"/>
      <c r="KE117" s="42"/>
      <c r="KF117" s="42"/>
      <c r="KG117" s="42"/>
      <c r="KH117" s="42"/>
      <c r="KI117" s="42"/>
      <c r="KJ117" s="42"/>
      <c r="KK117" s="42"/>
      <c r="KL117" s="42"/>
      <c r="KM117" s="42"/>
      <c r="KN117" s="42"/>
      <c r="KO117" s="42"/>
      <c r="KP117" s="42"/>
      <c r="KQ117" s="42"/>
      <c r="KR117" s="42"/>
      <c r="KS117" s="42"/>
      <c r="KT117" s="42"/>
      <c r="KU117" s="42"/>
      <c r="KV117" s="42"/>
      <c r="KW117" s="42"/>
      <c r="KX117" s="42"/>
      <c r="KY117" s="42"/>
      <c r="KZ117" s="42"/>
      <c r="LA117" s="42"/>
      <c r="LB117" s="42"/>
      <c r="LC117" s="42"/>
      <c r="LD117" s="42"/>
      <c r="LE117" s="42"/>
    </row>
    <row r="118" spans="3:317">
      <c r="BZ118" s="4388"/>
      <c r="CA118" s="4230"/>
      <c r="CB118" s="6385" t="s">
        <v>64</v>
      </c>
      <c r="CC118" s="4231">
        <v>244</v>
      </c>
      <c r="CD118" s="4231">
        <v>116</v>
      </c>
      <c r="CE118" s="4231"/>
      <c r="CF118" s="4231">
        <v>70</v>
      </c>
      <c r="CG118" s="4231">
        <v>171</v>
      </c>
      <c r="CH118" s="4231">
        <v>79</v>
      </c>
      <c r="CI118" s="4231">
        <v>5</v>
      </c>
      <c r="CJ118" s="4231">
        <v>2</v>
      </c>
      <c r="CK118" s="4231"/>
      <c r="CL118" s="4231">
        <v>92</v>
      </c>
      <c r="CM118" s="4231">
        <v>48</v>
      </c>
      <c r="CN118" s="4231"/>
      <c r="CO118" s="4231">
        <v>199</v>
      </c>
      <c r="CP118" s="4231"/>
      <c r="CQ118" s="4231">
        <v>1026</v>
      </c>
      <c r="CR118" s="6304">
        <f t="shared" si="103"/>
        <v>0.29044834307992201</v>
      </c>
      <c r="CS118" s="6304"/>
      <c r="CT118" s="6376"/>
      <c r="CU118" s="6316"/>
      <c r="JR118" s="97"/>
      <c r="JS118" s="97"/>
      <c r="JT118" s="42"/>
      <c r="JU118" s="42"/>
      <c r="JV118" s="42"/>
      <c r="JW118" s="42"/>
      <c r="JX118" s="42"/>
      <c r="JY118" s="42"/>
      <c r="JZ118" s="42"/>
      <c r="KA118" s="42"/>
      <c r="KB118" s="42"/>
      <c r="KC118" s="42"/>
      <c r="KD118" s="42"/>
      <c r="KE118" s="42"/>
      <c r="KF118" s="42"/>
      <c r="KG118" s="42"/>
      <c r="KH118" s="42"/>
      <c r="KI118" s="42"/>
      <c r="KJ118" s="42"/>
      <c r="KK118" s="42"/>
      <c r="KL118" s="42"/>
      <c r="KM118" s="42"/>
      <c r="KN118" s="42"/>
      <c r="KO118" s="42"/>
      <c r="KP118" s="42"/>
      <c r="KQ118" s="42"/>
      <c r="KR118" s="42"/>
      <c r="KS118" s="42"/>
      <c r="KT118" s="42"/>
      <c r="KU118" s="42"/>
      <c r="KV118" s="42"/>
      <c r="KW118" s="42"/>
      <c r="KX118" s="42"/>
      <c r="KY118" s="42"/>
      <c r="KZ118" s="42"/>
      <c r="LA118" s="42"/>
      <c r="LB118" s="42"/>
      <c r="LC118" s="42"/>
      <c r="LD118" s="42"/>
      <c r="LE118" s="42"/>
    </row>
    <row r="119" spans="3:317" ht="15" thickBot="1">
      <c r="BZ119" s="4388"/>
      <c r="CA119" s="4230"/>
      <c r="CB119" s="6388" t="s">
        <v>75</v>
      </c>
      <c r="CC119" s="4290">
        <v>10465</v>
      </c>
      <c r="CD119" s="4290">
        <v>6397</v>
      </c>
      <c r="CE119" s="4290">
        <v>3</v>
      </c>
      <c r="CF119" s="4290">
        <v>2808</v>
      </c>
      <c r="CG119" s="4290">
        <v>16983</v>
      </c>
      <c r="CH119" s="4290">
        <v>5087</v>
      </c>
      <c r="CI119" s="4290">
        <v>827</v>
      </c>
      <c r="CJ119" s="4290">
        <v>124</v>
      </c>
      <c r="CK119" s="4290">
        <v>19</v>
      </c>
      <c r="CL119" s="4290">
        <v>1983</v>
      </c>
      <c r="CM119" s="4290">
        <v>7298</v>
      </c>
      <c r="CN119" s="4290">
        <v>777</v>
      </c>
      <c r="CO119" s="4290">
        <v>12463</v>
      </c>
      <c r="CP119" s="4290">
        <v>49</v>
      </c>
      <c r="CQ119" s="4290">
        <v>65283</v>
      </c>
      <c r="CR119" s="6369">
        <f t="shared" si="103"/>
        <v>0.45562157717548135</v>
      </c>
      <c r="CS119" s="6389"/>
      <c r="CT119" s="6376"/>
      <c r="CU119" s="6370"/>
      <c r="JR119" s="97"/>
      <c r="JS119" s="97"/>
      <c r="JT119" s="42"/>
      <c r="JU119" s="42"/>
      <c r="JV119" s="42"/>
      <c r="JW119" s="42"/>
      <c r="JX119" s="42"/>
      <c r="JY119" s="42"/>
      <c r="JZ119" s="42"/>
      <c r="KA119" s="42"/>
      <c r="KB119" s="42"/>
      <c r="KC119" s="42"/>
      <c r="KD119" s="42"/>
      <c r="KE119" s="42"/>
      <c r="KF119" s="42"/>
      <c r="KG119" s="42"/>
      <c r="KH119" s="42"/>
      <c r="KI119" s="42"/>
      <c r="KJ119" s="42"/>
      <c r="KK119" s="42"/>
      <c r="KL119" s="42"/>
      <c r="KM119" s="42"/>
      <c r="KN119" s="42"/>
      <c r="KO119" s="42"/>
      <c r="KP119" s="42"/>
      <c r="KQ119" s="42"/>
      <c r="KR119" s="42"/>
      <c r="KS119" s="42"/>
      <c r="KT119" s="42"/>
      <c r="KU119" s="42"/>
      <c r="KV119" s="42"/>
      <c r="KW119" s="42"/>
      <c r="KX119" s="42"/>
      <c r="KY119" s="42"/>
      <c r="KZ119" s="42"/>
      <c r="LA119" s="42"/>
      <c r="LB119" s="42"/>
      <c r="LC119" s="42"/>
      <c r="LD119" s="42"/>
      <c r="LE119" s="42"/>
    </row>
    <row r="120" spans="3:317">
      <c r="BZ120" s="42"/>
      <c r="CT120" s="5723"/>
      <c r="JR120" s="97"/>
      <c r="JS120" s="97"/>
      <c r="JT120" s="42"/>
      <c r="JU120" s="42"/>
      <c r="JV120" s="42"/>
      <c r="JW120" s="42"/>
      <c r="JX120" s="42"/>
      <c r="JY120" s="42"/>
      <c r="JZ120" s="42"/>
      <c r="KA120" s="42"/>
      <c r="KB120" s="42"/>
      <c r="KC120" s="42"/>
      <c r="KD120" s="42"/>
      <c r="KE120" s="42"/>
      <c r="KF120" s="42"/>
      <c r="KG120" s="42"/>
      <c r="KH120" s="42"/>
      <c r="KI120" s="42"/>
      <c r="KJ120" s="42"/>
      <c r="KK120" s="42"/>
      <c r="KL120" s="42"/>
      <c r="KM120" s="42"/>
      <c r="KN120" s="42"/>
      <c r="KO120" s="42"/>
      <c r="KP120" s="42"/>
      <c r="KQ120" s="42"/>
      <c r="KR120" s="42"/>
      <c r="KS120" s="42"/>
      <c r="KT120" s="42"/>
      <c r="KU120" s="42"/>
      <c r="KV120" s="42"/>
      <c r="KW120" s="42"/>
      <c r="KX120" s="42"/>
      <c r="KY120" s="42"/>
      <c r="KZ120" s="42"/>
      <c r="LA120" s="42"/>
      <c r="LB120" s="42"/>
      <c r="LC120" s="42"/>
      <c r="LD120" s="42"/>
      <c r="LE120" s="42"/>
    </row>
    <row r="121" spans="3:317">
      <c r="BZ121" s="42"/>
      <c r="CQ121" s="39">
        <v>64893</v>
      </c>
      <c r="CT121" s="5723"/>
      <c r="JR121" s="97"/>
      <c r="JS121" s="97"/>
      <c r="JT121" s="42"/>
      <c r="JU121" s="42"/>
      <c r="JV121" s="42"/>
      <c r="JW121" s="42"/>
      <c r="JX121" s="42"/>
      <c r="JY121" s="42"/>
      <c r="JZ121" s="42"/>
      <c r="KA121" s="42"/>
      <c r="KB121" s="42"/>
      <c r="KC121" s="42"/>
      <c r="KD121" s="42"/>
      <c r="KE121" s="42"/>
      <c r="KF121" s="42"/>
      <c r="KG121" s="42"/>
      <c r="KH121" s="42"/>
      <c r="KI121" s="42"/>
      <c r="KJ121" s="42"/>
      <c r="KK121" s="42"/>
      <c r="KL121" s="42"/>
      <c r="KM121" s="42"/>
      <c r="KN121" s="42"/>
      <c r="KO121" s="42"/>
      <c r="KP121" s="42"/>
      <c r="KQ121" s="42"/>
      <c r="KR121" s="42"/>
      <c r="KS121" s="42"/>
      <c r="KT121" s="42"/>
      <c r="KU121" s="42"/>
      <c r="KV121" s="42"/>
      <c r="KW121" s="42"/>
      <c r="KX121" s="42"/>
      <c r="KY121" s="42"/>
      <c r="KZ121" s="42"/>
      <c r="LA121" s="42"/>
      <c r="LB121" s="42"/>
      <c r="LC121" s="42"/>
      <c r="LD121" s="42"/>
      <c r="LE121" s="42"/>
    </row>
    <row r="122" spans="3:317">
      <c r="BZ122" s="42"/>
      <c r="CT122" s="5723"/>
      <c r="JR122" s="97"/>
      <c r="JS122" s="97"/>
      <c r="JT122" s="42"/>
      <c r="JU122" s="42"/>
      <c r="JV122" s="42"/>
      <c r="JW122" s="42"/>
      <c r="JX122" s="42"/>
      <c r="JY122" s="42"/>
      <c r="JZ122" s="42"/>
      <c r="KA122" s="42"/>
      <c r="KB122" s="42"/>
      <c r="KC122" s="42"/>
      <c r="KD122" s="42"/>
      <c r="KE122" s="42"/>
      <c r="KF122" s="42"/>
      <c r="KG122" s="42"/>
      <c r="KH122" s="42"/>
      <c r="KI122" s="42"/>
      <c r="KJ122" s="42"/>
      <c r="KK122" s="42"/>
      <c r="KL122" s="42"/>
      <c r="KM122" s="42"/>
      <c r="KN122" s="42"/>
      <c r="KO122" s="42"/>
      <c r="KP122" s="42"/>
      <c r="KQ122" s="42"/>
      <c r="KR122" s="42"/>
      <c r="KS122" s="42"/>
      <c r="KT122" s="42"/>
      <c r="KU122" s="42"/>
      <c r="KV122" s="42"/>
      <c r="KW122" s="42"/>
      <c r="KX122" s="42"/>
      <c r="KY122" s="42"/>
      <c r="KZ122" s="42"/>
      <c r="LA122" s="42"/>
      <c r="LB122" s="42"/>
      <c r="LC122" s="42"/>
      <c r="LD122" s="42"/>
      <c r="LE122" s="42"/>
    </row>
    <row r="123" spans="3:317">
      <c r="BZ123" s="42"/>
      <c r="CQ123" s="1">
        <f>CQ119-CQ121</f>
        <v>390</v>
      </c>
      <c r="CT123" s="5723"/>
      <c r="JR123" s="97"/>
      <c r="JS123" s="97"/>
      <c r="JT123" s="42"/>
      <c r="JU123" s="42"/>
      <c r="JV123" s="42"/>
      <c r="JW123" s="42"/>
      <c r="JX123" s="42"/>
      <c r="JY123" s="42"/>
      <c r="JZ123" s="42"/>
      <c r="KA123" s="42"/>
      <c r="KB123" s="42"/>
      <c r="KC123" s="42"/>
      <c r="KD123" s="42"/>
      <c r="KE123" s="42"/>
      <c r="KF123" s="42"/>
      <c r="KG123" s="42"/>
      <c r="KH123" s="42"/>
      <c r="KI123" s="42"/>
      <c r="KJ123" s="42"/>
      <c r="KK123" s="42"/>
      <c r="KL123" s="42"/>
      <c r="KM123" s="42"/>
      <c r="KN123" s="42"/>
      <c r="KO123" s="42"/>
      <c r="KP123" s="42"/>
      <c r="KQ123" s="42"/>
      <c r="KR123" s="42"/>
      <c r="KS123" s="42"/>
      <c r="KT123" s="42"/>
      <c r="KU123" s="42"/>
      <c r="KV123" s="42"/>
      <c r="KW123" s="42"/>
      <c r="KX123" s="42"/>
      <c r="KY123" s="42"/>
      <c r="KZ123" s="42"/>
      <c r="LA123" s="42"/>
      <c r="LB123" s="42"/>
      <c r="LC123" s="42"/>
      <c r="LD123" s="42"/>
      <c r="LE123" s="42"/>
    </row>
    <row r="124" spans="3:317">
      <c r="CT124" s="5723"/>
      <c r="JR124" s="97"/>
      <c r="JS124" s="97"/>
      <c r="JT124" s="42"/>
      <c r="JU124" s="42"/>
      <c r="JV124" s="42"/>
      <c r="JW124" s="42"/>
      <c r="JX124" s="42"/>
      <c r="JY124" s="42"/>
      <c r="JZ124" s="42"/>
      <c r="KA124" s="42"/>
      <c r="KB124" s="42"/>
      <c r="KC124" s="42"/>
      <c r="KD124" s="42"/>
      <c r="KE124" s="42"/>
      <c r="KF124" s="42"/>
      <c r="KG124" s="42"/>
      <c r="KH124" s="42"/>
      <c r="KI124" s="42"/>
      <c r="KJ124" s="42"/>
      <c r="KK124" s="42"/>
      <c r="KL124" s="42"/>
      <c r="KM124" s="42"/>
      <c r="KN124" s="42"/>
      <c r="KO124" s="42"/>
      <c r="KP124" s="42"/>
      <c r="KQ124" s="42"/>
      <c r="KR124" s="42"/>
      <c r="KS124" s="42"/>
      <c r="KT124" s="42"/>
      <c r="KU124" s="42"/>
      <c r="KV124" s="42"/>
      <c r="KW124" s="42"/>
      <c r="KX124" s="42"/>
      <c r="KY124" s="42"/>
      <c r="KZ124" s="42"/>
      <c r="LA124" s="42"/>
      <c r="LB124" s="42"/>
      <c r="LC124" s="42"/>
      <c r="LD124" s="42"/>
      <c r="LE124" s="42"/>
    </row>
    <row r="125" spans="3:317">
      <c r="CT125" s="6315"/>
      <c r="JR125" s="97"/>
      <c r="JS125" s="97"/>
      <c r="JT125" s="42"/>
      <c r="JU125" s="42"/>
      <c r="JV125" s="42"/>
      <c r="JW125" s="42"/>
      <c r="JX125" s="42"/>
      <c r="JY125" s="42"/>
      <c r="JZ125" s="42"/>
      <c r="KA125" s="42"/>
      <c r="KB125" s="42"/>
      <c r="KC125" s="42"/>
      <c r="KD125" s="42"/>
      <c r="KE125" s="42"/>
      <c r="KF125" s="42"/>
      <c r="KG125" s="42"/>
      <c r="KH125" s="42"/>
      <c r="KI125" s="42"/>
      <c r="KJ125" s="42"/>
      <c r="KK125" s="42"/>
      <c r="KL125" s="42"/>
      <c r="KM125" s="42"/>
      <c r="KN125" s="42"/>
      <c r="KO125" s="42"/>
      <c r="KP125" s="42"/>
      <c r="KQ125" s="42"/>
      <c r="KR125" s="42"/>
      <c r="KS125" s="42"/>
      <c r="KT125" s="42"/>
      <c r="KU125" s="42"/>
      <c r="KV125" s="42"/>
      <c r="KW125" s="42"/>
      <c r="KX125" s="42"/>
      <c r="KY125" s="42"/>
      <c r="KZ125" s="42"/>
      <c r="LA125" s="42"/>
      <c r="LB125" s="42"/>
      <c r="LC125" s="42"/>
      <c r="LD125" s="42"/>
      <c r="LE125" s="42"/>
    </row>
    <row r="126" spans="3:317">
      <c r="JR126" s="97"/>
      <c r="JS126" s="97"/>
      <c r="JT126" s="42"/>
      <c r="JU126" s="42"/>
      <c r="JV126" s="42"/>
      <c r="JW126" s="42"/>
      <c r="JX126" s="42"/>
      <c r="JY126" s="42"/>
      <c r="JZ126" s="42"/>
      <c r="KA126" s="42"/>
      <c r="KB126" s="42"/>
      <c r="KC126" s="42"/>
      <c r="KD126" s="42"/>
      <c r="KE126" s="42"/>
      <c r="KF126" s="42"/>
      <c r="KG126" s="42"/>
      <c r="KH126" s="42"/>
      <c r="KI126" s="42"/>
      <c r="KJ126" s="42"/>
      <c r="KK126" s="42"/>
      <c r="KL126" s="42"/>
      <c r="KM126" s="42"/>
      <c r="KN126" s="42"/>
      <c r="KO126" s="42"/>
      <c r="KP126" s="42"/>
      <c r="KQ126" s="42"/>
      <c r="KR126" s="42"/>
      <c r="KS126" s="42"/>
      <c r="KT126" s="42"/>
      <c r="KU126" s="42"/>
      <c r="KV126" s="42"/>
      <c r="KW126" s="42"/>
      <c r="KX126" s="42"/>
      <c r="KY126" s="42"/>
      <c r="KZ126" s="42"/>
      <c r="LA126" s="42"/>
      <c r="LB126" s="42"/>
      <c r="LC126" s="42"/>
      <c r="LD126" s="42"/>
      <c r="LE126" s="42"/>
    </row>
    <row r="127" spans="3:317">
      <c r="JR127" s="97"/>
      <c r="JS127" s="97"/>
      <c r="JT127" s="42"/>
      <c r="JU127" s="42"/>
      <c r="JV127" s="42"/>
      <c r="JW127" s="42"/>
      <c r="JX127" s="42"/>
      <c r="JY127" s="42"/>
      <c r="JZ127" s="42"/>
      <c r="KA127" s="42"/>
      <c r="KB127" s="42"/>
      <c r="KC127" s="42"/>
      <c r="KD127" s="42"/>
      <c r="KE127" s="42"/>
      <c r="KF127" s="42"/>
      <c r="KG127" s="42"/>
      <c r="KH127" s="42"/>
      <c r="KI127" s="42"/>
      <c r="KJ127" s="42"/>
      <c r="KK127" s="42"/>
      <c r="KL127" s="42"/>
      <c r="KM127" s="42"/>
      <c r="KN127" s="42"/>
      <c r="KO127" s="42"/>
      <c r="KP127" s="42"/>
      <c r="KQ127" s="42"/>
      <c r="KR127" s="42"/>
      <c r="KS127" s="42"/>
      <c r="KT127" s="42"/>
      <c r="KU127" s="42"/>
      <c r="KV127" s="42"/>
      <c r="KW127" s="42"/>
      <c r="KX127" s="42"/>
      <c r="KY127" s="42"/>
      <c r="KZ127" s="42"/>
      <c r="LA127" s="42"/>
      <c r="LB127" s="42"/>
      <c r="LC127" s="42"/>
      <c r="LD127" s="42"/>
      <c r="LE127" s="42"/>
    </row>
    <row r="128" spans="3:317">
      <c r="JR128" s="97"/>
      <c r="JS128" s="97"/>
      <c r="JT128" s="42"/>
      <c r="JU128" s="42"/>
      <c r="JV128" s="42"/>
      <c r="JW128" s="42"/>
      <c r="JX128" s="42"/>
      <c r="JY128" s="42"/>
      <c r="JZ128" s="42"/>
      <c r="KA128" s="42"/>
      <c r="KB128" s="42"/>
      <c r="KC128" s="42"/>
      <c r="KD128" s="42"/>
      <c r="KE128" s="42"/>
      <c r="KF128" s="42"/>
      <c r="KG128" s="42"/>
      <c r="KH128" s="42"/>
      <c r="KI128" s="42"/>
      <c r="KJ128" s="42"/>
      <c r="KK128" s="42"/>
      <c r="KL128" s="42"/>
      <c r="KM128" s="42"/>
      <c r="KN128" s="42"/>
      <c r="KO128" s="42"/>
      <c r="KP128" s="42"/>
      <c r="KQ128" s="42"/>
      <c r="KR128" s="42"/>
      <c r="KS128" s="42"/>
      <c r="KT128" s="42"/>
      <c r="KU128" s="42"/>
      <c r="KV128" s="42"/>
      <c r="KW128" s="42"/>
      <c r="KX128" s="42"/>
      <c r="KY128" s="42"/>
      <c r="KZ128" s="42"/>
      <c r="LA128" s="42"/>
      <c r="LB128" s="42"/>
      <c r="LC128" s="42"/>
      <c r="LD128" s="42"/>
      <c r="LE128" s="42"/>
    </row>
    <row r="129" spans="98:317">
      <c r="JR129" s="97"/>
      <c r="JS129" s="97"/>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row>
    <row r="130" spans="98:317">
      <c r="JR130" s="97"/>
      <c r="JS130" s="97"/>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row>
    <row r="131" spans="98:317">
      <c r="CT131" s="5723"/>
      <c r="JR131" s="97"/>
      <c r="JS131" s="97"/>
      <c r="JT131" s="42"/>
      <c r="JU131" s="42"/>
      <c r="JV131" s="42"/>
      <c r="JW131" s="42"/>
      <c r="JX131" s="42"/>
      <c r="JY131" s="42"/>
      <c r="JZ131" s="42"/>
      <c r="KA131" s="42"/>
      <c r="KB131" s="42"/>
      <c r="KC131" s="42"/>
      <c r="KD131" s="42"/>
      <c r="KE131" s="42"/>
      <c r="KF131" s="42"/>
      <c r="KG131" s="42"/>
      <c r="KH131" s="42"/>
      <c r="KI131" s="42"/>
      <c r="KJ131" s="42"/>
      <c r="KK131" s="42"/>
      <c r="KL131" s="42"/>
      <c r="KM131" s="42"/>
      <c r="KN131" s="42"/>
      <c r="KO131" s="42"/>
      <c r="KP131" s="42"/>
      <c r="KQ131" s="42"/>
      <c r="KR131" s="42"/>
      <c r="KS131" s="42"/>
      <c r="KT131" s="42"/>
      <c r="KU131" s="42"/>
      <c r="KV131" s="42"/>
      <c r="KW131" s="42"/>
      <c r="KX131" s="42"/>
      <c r="KY131" s="42"/>
      <c r="KZ131" s="42"/>
      <c r="LA131" s="42"/>
      <c r="LB131" s="42"/>
      <c r="LC131" s="42"/>
      <c r="LD131" s="42"/>
      <c r="LE131" s="42"/>
    </row>
    <row r="132" spans="98:317">
      <c r="CT132" s="5723"/>
      <c r="JR132" s="97"/>
      <c r="JS132" s="97"/>
      <c r="JT132" s="42"/>
      <c r="JU132" s="42"/>
      <c r="JV132" s="42"/>
      <c r="JW132" s="42"/>
      <c r="JX132" s="42"/>
      <c r="JY132" s="42"/>
      <c r="JZ132" s="42"/>
      <c r="KA132" s="42"/>
      <c r="KB132" s="42"/>
      <c r="KC132" s="42"/>
      <c r="KD132" s="42"/>
      <c r="KE132" s="42"/>
      <c r="KF132" s="42"/>
      <c r="KG132" s="42"/>
      <c r="KH132" s="42"/>
      <c r="KI132" s="42"/>
      <c r="KJ132" s="42"/>
      <c r="KK132" s="42"/>
      <c r="KL132" s="42"/>
      <c r="KM132" s="42"/>
      <c r="KN132" s="42"/>
      <c r="KO132" s="42"/>
      <c r="KP132" s="42"/>
      <c r="KQ132" s="42"/>
      <c r="KR132" s="42"/>
      <c r="KS132" s="42"/>
      <c r="KT132" s="42"/>
      <c r="KU132" s="42"/>
      <c r="KV132" s="42"/>
      <c r="KW132" s="42"/>
      <c r="KX132" s="42"/>
      <c r="KY132" s="42"/>
      <c r="KZ132" s="42"/>
      <c r="LA132" s="42"/>
      <c r="LB132" s="42"/>
      <c r="LC132" s="42"/>
      <c r="LD132" s="42"/>
      <c r="LE132" s="42"/>
    </row>
    <row r="133" spans="98:317">
      <c r="CT133" s="5723"/>
      <c r="JR133" s="97"/>
      <c r="JS133" s="97"/>
      <c r="JT133" s="42"/>
      <c r="JU133" s="42"/>
      <c r="JV133" s="42"/>
      <c r="JW133" s="42"/>
      <c r="JX133" s="42"/>
      <c r="JY133" s="42"/>
      <c r="JZ133" s="42"/>
      <c r="KA133" s="42"/>
      <c r="KB133" s="42"/>
      <c r="KC133" s="42"/>
      <c r="KD133" s="42"/>
      <c r="KE133" s="42"/>
      <c r="KF133" s="42"/>
      <c r="KG133" s="42"/>
      <c r="KH133" s="42"/>
      <c r="KI133" s="42"/>
      <c r="KJ133" s="42"/>
      <c r="KK133" s="42"/>
      <c r="KL133" s="42"/>
      <c r="KM133" s="42"/>
      <c r="KN133" s="42"/>
      <c r="KO133" s="42"/>
      <c r="KP133" s="42"/>
      <c r="KQ133" s="42"/>
      <c r="KR133" s="42"/>
      <c r="KS133" s="42"/>
      <c r="KT133" s="42"/>
      <c r="KU133" s="42"/>
      <c r="KV133" s="42"/>
      <c r="KW133" s="42"/>
      <c r="KX133" s="42"/>
      <c r="KY133" s="42"/>
      <c r="KZ133" s="42"/>
      <c r="LA133" s="42"/>
      <c r="LB133" s="42"/>
      <c r="LC133" s="42"/>
      <c r="LD133" s="42"/>
      <c r="LE133" s="42"/>
    </row>
    <row r="134" spans="98:317">
      <c r="CT134" s="5723"/>
      <c r="JR134" s="97"/>
      <c r="JS134" s="97"/>
      <c r="JT134" s="42"/>
      <c r="JU134" s="42"/>
      <c r="JV134" s="42"/>
      <c r="JW134" s="42"/>
      <c r="JX134" s="42"/>
      <c r="JY134" s="42"/>
      <c r="JZ134" s="42"/>
      <c r="KA134" s="42"/>
      <c r="KB134" s="42"/>
      <c r="KC134" s="42"/>
      <c r="KD134" s="42"/>
      <c r="KE134" s="42"/>
      <c r="KF134" s="42"/>
      <c r="KG134" s="42"/>
      <c r="KH134" s="42"/>
      <c r="KI134" s="42"/>
      <c r="KJ134" s="42"/>
      <c r="KK134" s="42"/>
      <c r="KL134" s="42"/>
      <c r="KM134" s="42"/>
      <c r="KN134" s="42"/>
      <c r="KO134" s="42"/>
      <c r="KP134" s="42"/>
      <c r="KQ134" s="42"/>
      <c r="KR134" s="42"/>
      <c r="KS134" s="42"/>
      <c r="KT134" s="42"/>
      <c r="KU134" s="42"/>
      <c r="KV134" s="42"/>
      <c r="KW134" s="42"/>
      <c r="KX134" s="42"/>
      <c r="KY134" s="42"/>
      <c r="KZ134" s="42"/>
      <c r="LA134" s="42"/>
      <c r="LB134" s="42"/>
      <c r="LC134" s="42"/>
      <c r="LD134" s="42"/>
      <c r="LE134" s="42"/>
    </row>
    <row r="135" spans="98:317">
      <c r="CT135" s="5723"/>
      <c r="JR135" s="97"/>
      <c r="JS135" s="97"/>
      <c r="JT135" s="42"/>
      <c r="JU135" s="42"/>
      <c r="JV135" s="42"/>
      <c r="JW135" s="42"/>
      <c r="JX135" s="42"/>
      <c r="JY135" s="42"/>
      <c r="JZ135" s="42"/>
      <c r="KA135" s="42"/>
      <c r="KB135" s="42"/>
      <c r="KC135" s="42"/>
      <c r="KD135" s="42"/>
      <c r="KE135" s="42"/>
      <c r="KF135" s="42"/>
      <c r="KG135" s="42"/>
      <c r="KH135" s="42"/>
      <c r="KI135" s="42"/>
      <c r="KJ135" s="42"/>
      <c r="KK135" s="42"/>
      <c r="KL135" s="42"/>
      <c r="KM135" s="42"/>
      <c r="KN135" s="42"/>
      <c r="KO135" s="42"/>
      <c r="KP135" s="42"/>
      <c r="KQ135" s="42"/>
      <c r="KR135" s="42"/>
      <c r="KS135" s="42"/>
      <c r="KT135" s="42"/>
      <c r="KU135" s="42"/>
      <c r="KV135" s="42"/>
      <c r="KW135" s="42"/>
      <c r="KX135" s="42"/>
      <c r="KY135" s="42"/>
      <c r="KZ135" s="42"/>
      <c r="LA135" s="42"/>
      <c r="LB135" s="42"/>
      <c r="LC135" s="42"/>
      <c r="LD135" s="42"/>
      <c r="LE135" s="42"/>
    </row>
    <row r="136" spans="98:317">
      <c r="CT136" s="5723"/>
      <c r="JR136" s="97"/>
      <c r="JS136" s="97"/>
      <c r="JT136" s="42"/>
      <c r="JU136" s="42"/>
      <c r="JV136" s="42"/>
      <c r="JW136" s="42"/>
      <c r="JX136" s="42"/>
      <c r="JY136" s="42"/>
      <c r="JZ136" s="42"/>
      <c r="KA136" s="42"/>
      <c r="KB136" s="42"/>
      <c r="KC136" s="42"/>
      <c r="KD136" s="42"/>
      <c r="KE136" s="42"/>
      <c r="KF136" s="42"/>
      <c r="KG136" s="42"/>
      <c r="KH136" s="42"/>
      <c r="KI136" s="42"/>
      <c r="KJ136" s="42"/>
      <c r="KK136" s="42"/>
      <c r="KL136" s="42"/>
      <c r="KM136" s="42"/>
      <c r="KN136" s="42"/>
      <c r="KO136" s="42"/>
      <c r="KP136" s="42"/>
      <c r="KQ136" s="42"/>
      <c r="KR136" s="42"/>
      <c r="KS136" s="42"/>
      <c r="KT136" s="42"/>
      <c r="KU136" s="42"/>
      <c r="KV136" s="42"/>
      <c r="KW136" s="42"/>
      <c r="KX136" s="42"/>
      <c r="KY136" s="42"/>
      <c r="KZ136" s="42"/>
      <c r="LA136" s="42"/>
      <c r="LB136" s="42"/>
      <c r="LC136" s="42"/>
      <c r="LD136" s="42"/>
      <c r="LE136" s="42"/>
    </row>
    <row r="137" spans="98:317">
      <c r="CT137" s="6315"/>
      <c r="JR137" s="97"/>
      <c r="JS137" s="97"/>
      <c r="JT137" s="42"/>
      <c r="JU137" s="42"/>
      <c r="JV137" s="42"/>
      <c r="JW137" s="42"/>
      <c r="JX137" s="42"/>
      <c r="JY137" s="42"/>
      <c r="JZ137" s="42"/>
      <c r="KA137" s="42"/>
      <c r="KB137" s="42"/>
      <c r="KC137" s="42"/>
      <c r="KD137" s="42"/>
      <c r="KE137" s="42"/>
      <c r="KF137" s="42"/>
      <c r="KG137" s="42"/>
      <c r="KH137" s="42"/>
      <c r="KI137" s="42"/>
      <c r="KJ137" s="42"/>
      <c r="KK137" s="42"/>
      <c r="KL137" s="42"/>
      <c r="KM137" s="42"/>
      <c r="KN137" s="42"/>
      <c r="KO137" s="42"/>
      <c r="KP137" s="42"/>
      <c r="KQ137" s="42"/>
      <c r="KR137" s="42"/>
      <c r="KS137" s="42"/>
      <c r="KT137" s="42"/>
      <c r="KU137" s="42"/>
      <c r="KV137" s="42"/>
      <c r="KW137" s="42"/>
      <c r="KX137" s="42"/>
      <c r="KY137" s="42"/>
      <c r="KZ137" s="42"/>
      <c r="LA137" s="42"/>
      <c r="LB137" s="42"/>
      <c r="LC137" s="42"/>
      <c r="LD137" s="42"/>
      <c r="LE137" s="42"/>
    </row>
    <row r="138" spans="98:317">
      <c r="JR138" s="97"/>
      <c r="JS138" s="97"/>
      <c r="JT138" s="42"/>
      <c r="JU138" s="42"/>
      <c r="JV138" s="42"/>
      <c r="JW138" s="42"/>
      <c r="JX138" s="42"/>
      <c r="JY138" s="42"/>
      <c r="JZ138" s="42"/>
      <c r="KA138" s="42"/>
      <c r="KB138" s="42"/>
      <c r="KC138" s="42"/>
      <c r="KD138" s="42"/>
      <c r="KE138" s="42"/>
      <c r="KF138" s="42"/>
      <c r="KG138" s="42"/>
      <c r="KH138" s="42"/>
      <c r="KI138" s="42"/>
      <c r="KJ138" s="42"/>
      <c r="KK138" s="42"/>
      <c r="KL138" s="42"/>
      <c r="KM138" s="42"/>
      <c r="KN138" s="42"/>
      <c r="KO138" s="42"/>
      <c r="KP138" s="42"/>
      <c r="KQ138" s="42"/>
      <c r="KR138" s="42"/>
      <c r="KS138" s="42"/>
      <c r="KT138" s="42"/>
      <c r="KU138" s="42"/>
      <c r="KV138" s="42"/>
      <c r="KW138" s="42"/>
      <c r="KX138" s="42"/>
      <c r="KY138" s="42"/>
      <c r="KZ138" s="42"/>
      <c r="LA138" s="42"/>
      <c r="LB138" s="42"/>
      <c r="LC138" s="42"/>
      <c r="LD138" s="42"/>
      <c r="LE138" s="42"/>
    </row>
    <row r="139" spans="98:317">
      <c r="JR139" s="97"/>
      <c r="JS139" s="97"/>
      <c r="JT139" s="42"/>
      <c r="JU139" s="42"/>
      <c r="JV139" s="42"/>
      <c r="JW139" s="42"/>
      <c r="JX139" s="42"/>
      <c r="JY139" s="42"/>
      <c r="JZ139" s="42"/>
      <c r="KA139" s="42"/>
      <c r="KB139" s="42"/>
      <c r="KC139" s="42"/>
      <c r="KD139" s="42"/>
      <c r="KE139" s="42"/>
      <c r="KF139" s="42"/>
      <c r="KG139" s="42"/>
      <c r="KH139" s="42"/>
      <c r="KI139" s="42"/>
      <c r="KJ139" s="42"/>
      <c r="KK139" s="42"/>
      <c r="KL139" s="42"/>
      <c r="KM139" s="42"/>
      <c r="KN139" s="42"/>
      <c r="KO139" s="42"/>
      <c r="KP139" s="42"/>
      <c r="KQ139" s="42"/>
      <c r="KR139" s="42"/>
      <c r="KS139" s="42"/>
      <c r="KT139" s="42"/>
      <c r="KU139" s="42"/>
      <c r="KV139" s="42"/>
      <c r="KW139" s="42"/>
      <c r="KX139" s="42"/>
      <c r="KY139" s="42"/>
      <c r="KZ139" s="42"/>
      <c r="LA139" s="42"/>
      <c r="LB139" s="42"/>
      <c r="LC139" s="42"/>
      <c r="LD139" s="42"/>
      <c r="LE139" s="42"/>
    </row>
    <row r="140" spans="98:317">
      <c r="JR140" s="97"/>
      <c r="JS140" s="97"/>
      <c r="JT140" s="42"/>
      <c r="JU140" s="42"/>
      <c r="JV140" s="42"/>
      <c r="JW140" s="42"/>
      <c r="JX140" s="42"/>
      <c r="JY140" s="42"/>
      <c r="JZ140" s="42"/>
      <c r="KA140" s="42"/>
      <c r="KB140" s="42"/>
      <c r="KC140" s="42"/>
      <c r="KD140" s="42"/>
      <c r="KE140" s="42"/>
      <c r="KF140" s="42"/>
      <c r="KG140" s="42"/>
      <c r="KH140" s="42"/>
      <c r="KI140" s="42"/>
      <c r="KJ140" s="42"/>
      <c r="KK140" s="42"/>
      <c r="KL140" s="42"/>
      <c r="KM140" s="42"/>
      <c r="KN140" s="42"/>
      <c r="KO140" s="42"/>
      <c r="KP140" s="42"/>
      <c r="KQ140" s="42"/>
      <c r="KR140" s="42"/>
      <c r="KS140" s="42"/>
      <c r="KT140" s="42"/>
      <c r="KU140" s="42"/>
      <c r="KV140" s="42"/>
      <c r="KW140" s="42"/>
      <c r="KX140" s="42"/>
      <c r="KY140" s="42"/>
      <c r="KZ140" s="42"/>
      <c r="LA140" s="42"/>
      <c r="LB140" s="42"/>
      <c r="LC140" s="42"/>
      <c r="LD140" s="42"/>
      <c r="LE140" s="42"/>
    </row>
    <row r="141" spans="98:317">
      <c r="JR141" s="97"/>
      <c r="JS141" s="97"/>
      <c r="JT141" s="42"/>
      <c r="JU141" s="42"/>
      <c r="JV141" s="42"/>
      <c r="JW141" s="42"/>
      <c r="JX141" s="42"/>
      <c r="JY141" s="42"/>
      <c r="JZ141" s="42"/>
      <c r="KA141" s="42"/>
      <c r="KB141" s="42"/>
      <c r="KC141" s="42"/>
      <c r="KD141" s="42"/>
      <c r="KE141" s="42"/>
      <c r="KF141" s="42"/>
      <c r="KG141" s="42"/>
      <c r="KH141" s="42"/>
      <c r="KI141" s="42"/>
      <c r="KJ141" s="42"/>
      <c r="KK141" s="42"/>
      <c r="KL141" s="42"/>
      <c r="KM141" s="42"/>
      <c r="KN141" s="42"/>
      <c r="KO141" s="42"/>
      <c r="KP141" s="42"/>
      <c r="KQ141" s="42"/>
      <c r="KR141" s="42"/>
      <c r="KS141" s="42"/>
      <c r="KT141" s="42"/>
      <c r="KU141" s="42"/>
      <c r="KV141" s="42"/>
      <c r="KW141" s="42"/>
      <c r="KX141" s="42"/>
      <c r="KY141" s="42"/>
      <c r="KZ141" s="42"/>
      <c r="LA141" s="42"/>
      <c r="LB141" s="42"/>
      <c r="LC141" s="42"/>
      <c r="LD141" s="42"/>
      <c r="LE141" s="42"/>
    </row>
    <row r="142" spans="98:317">
      <c r="JR142" s="97"/>
      <c r="JS142" s="97"/>
      <c r="JT142" s="42"/>
      <c r="JU142" s="42"/>
      <c r="JV142" s="42"/>
      <c r="JW142" s="42"/>
      <c r="JX142" s="42"/>
      <c r="JY142" s="42"/>
      <c r="JZ142" s="42"/>
      <c r="KA142" s="42"/>
      <c r="KB142" s="42"/>
      <c r="KC142" s="42"/>
      <c r="KD142" s="42"/>
      <c r="KE142" s="42"/>
      <c r="KF142" s="42"/>
      <c r="KG142" s="42"/>
      <c r="KH142" s="42"/>
      <c r="KI142" s="42"/>
      <c r="KJ142" s="42"/>
      <c r="KK142" s="42"/>
      <c r="KL142" s="42"/>
      <c r="KM142" s="42"/>
      <c r="KN142" s="42"/>
      <c r="KO142" s="42"/>
      <c r="KP142" s="42"/>
      <c r="KQ142" s="42"/>
      <c r="KR142" s="42"/>
      <c r="KS142" s="42"/>
      <c r="KT142" s="42"/>
      <c r="KU142" s="42"/>
      <c r="KV142" s="42"/>
      <c r="KW142" s="42"/>
      <c r="KX142" s="42"/>
      <c r="KY142" s="42"/>
      <c r="KZ142" s="42"/>
      <c r="LA142" s="42"/>
      <c r="LB142" s="42"/>
      <c r="LC142" s="42"/>
      <c r="LD142" s="42"/>
      <c r="LE142" s="42"/>
    </row>
    <row r="143" spans="98:317">
      <c r="JR143" s="97"/>
      <c r="JS143" s="97"/>
      <c r="JT143" s="42"/>
      <c r="JU143" s="42"/>
      <c r="JV143" s="42"/>
      <c r="JW143" s="42"/>
      <c r="JX143" s="42"/>
      <c r="JY143" s="42"/>
      <c r="JZ143" s="42"/>
      <c r="KA143" s="42"/>
      <c r="KB143" s="42"/>
      <c r="KC143" s="42"/>
      <c r="KD143" s="42"/>
      <c r="KE143" s="42"/>
      <c r="KF143" s="42"/>
      <c r="KG143" s="42"/>
      <c r="KH143" s="42"/>
      <c r="KI143" s="42"/>
      <c r="KJ143" s="42"/>
      <c r="KK143" s="42"/>
      <c r="KL143" s="42"/>
      <c r="KM143" s="42"/>
      <c r="KN143" s="42"/>
      <c r="KO143" s="42"/>
      <c r="KP143" s="42"/>
      <c r="KQ143" s="42"/>
      <c r="KR143" s="42"/>
      <c r="KS143" s="42"/>
      <c r="KT143" s="42"/>
      <c r="KU143" s="42"/>
      <c r="KV143" s="42"/>
      <c r="KW143" s="42"/>
      <c r="KX143" s="42"/>
      <c r="KY143" s="42"/>
      <c r="KZ143" s="42"/>
      <c r="LA143" s="42"/>
      <c r="LB143" s="42"/>
      <c r="LC143" s="42"/>
      <c r="LD143" s="42"/>
      <c r="LE143" s="42"/>
    </row>
    <row r="144" spans="98:317">
      <c r="JR144" s="97"/>
      <c r="JS144" s="97"/>
      <c r="JT144" s="42"/>
      <c r="JU144" s="42"/>
      <c r="JV144" s="42"/>
      <c r="JW144" s="42"/>
      <c r="JX144" s="42"/>
      <c r="JY144" s="42"/>
      <c r="JZ144" s="42"/>
      <c r="KA144" s="42"/>
      <c r="KB144" s="42"/>
      <c r="KC144" s="42"/>
      <c r="KD144" s="42"/>
      <c r="KE144" s="42"/>
      <c r="KF144" s="42"/>
      <c r="KG144" s="42"/>
      <c r="KH144" s="42"/>
      <c r="KI144" s="42"/>
      <c r="KJ144" s="42"/>
      <c r="KK144" s="42"/>
      <c r="KL144" s="42"/>
      <c r="KM144" s="42"/>
      <c r="KN144" s="42"/>
      <c r="KO144" s="42"/>
      <c r="KP144" s="42"/>
      <c r="KQ144" s="42"/>
      <c r="KR144" s="42"/>
      <c r="KS144" s="42"/>
      <c r="KT144" s="42"/>
      <c r="KU144" s="42"/>
      <c r="KV144" s="42"/>
      <c r="KW144" s="42"/>
      <c r="KX144" s="42"/>
      <c r="KY144" s="42"/>
      <c r="KZ144" s="42"/>
      <c r="LA144" s="42"/>
      <c r="LB144" s="42"/>
      <c r="LC144" s="42"/>
      <c r="LD144" s="42"/>
      <c r="LE144" s="42"/>
    </row>
    <row r="145" spans="278:317">
      <c r="JR145" s="97"/>
      <c r="JS145" s="97"/>
      <c r="JT145" s="42"/>
      <c r="JU145" s="42"/>
      <c r="JV145" s="42"/>
      <c r="JW145" s="42"/>
      <c r="JX145" s="42"/>
      <c r="JY145" s="42"/>
      <c r="JZ145" s="42"/>
      <c r="KA145" s="42"/>
      <c r="KB145" s="42"/>
      <c r="KC145" s="42"/>
      <c r="KD145" s="42"/>
      <c r="KE145" s="42"/>
      <c r="KF145" s="42"/>
      <c r="KG145" s="42"/>
      <c r="KH145" s="42"/>
      <c r="KI145" s="42"/>
      <c r="KJ145" s="42"/>
      <c r="KK145" s="42"/>
      <c r="KL145" s="42"/>
      <c r="KM145" s="42"/>
      <c r="KN145" s="42"/>
      <c r="KO145" s="42"/>
      <c r="KP145" s="42"/>
      <c r="KQ145" s="42"/>
      <c r="KR145" s="42"/>
      <c r="KS145" s="42"/>
      <c r="KT145" s="42"/>
      <c r="KU145" s="42"/>
      <c r="KV145" s="42"/>
      <c r="KW145" s="42"/>
      <c r="KX145" s="42"/>
      <c r="KY145" s="42"/>
      <c r="KZ145" s="42"/>
      <c r="LA145" s="42"/>
      <c r="LB145" s="42"/>
      <c r="LC145" s="42"/>
      <c r="LD145" s="42"/>
      <c r="LE145" s="42"/>
    </row>
    <row r="146" spans="278:317">
      <c r="JR146" s="97"/>
      <c r="JS146" s="97"/>
      <c r="JT146" s="42"/>
      <c r="JU146" s="42"/>
      <c r="JV146" s="42"/>
      <c r="JW146" s="42"/>
      <c r="JX146" s="42"/>
      <c r="JY146" s="42"/>
      <c r="JZ146" s="42"/>
      <c r="KA146" s="42"/>
      <c r="KB146" s="42"/>
      <c r="KC146" s="42"/>
      <c r="KD146" s="42"/>
      <c r="KE146" s="42"/>
      <c r="KF146" s="42"/>
      <c r="KG146" s="42"/>
      <c r="KH146" s="42"/>
      <c r="KI146" s="42"/>
      <c r="KJ146" s="42"/>
      <c r="KK146" s="42"/>
      <c r="KL146" s="42"/>
      <c r="KM146" s="42"/>
      <c r="KN146" s="42"/>
      <c r="KO146" s="42"/>
      <c r="KP146" s="42"/>
      <c r="KQ146" s="42"/>
      <c r="KR146" s="42"/>
      <c r="KS146" s="42"/>
      <c r="KT146" s="42"/>
      <c r="KU146" s="42"/>
      <c r="KV146" s="42"/>
      <c r="KW146" s="42"/>
      <c r="KX146" s="42"/>
      <c r="KY146" s="42"/>
      <c r="KZ146" s="42"/>
      <c r="LA146" s="42"/>
      <c r="LB146" s="42"/>
      <c r="LC146" s="42"/>
      <c r="LD146" s="42"/>
      <c r="LE146" s="42"/>
    </row>
    <row r="147" spans="278:317">
      <c r="JR147" s="97"/>
      <c r="JS147" s="97"/>
      <c r="JT147" s="42"/>
      <c r="JU147" s="42"/>
      <c r="JV147" s="42"/>
      <c r="JW147" s="42"/>
      <c r="JX147" s="42"/>
      <c r="JY147" s="42"/>
      <c r="JZ147" s="42"/>
      <c r="KA147" s="42"/>
      <c r="KB147" s="42"/>
      <c r="KC147" s="42"/>
      <c r="KD147" s="42"/>
      <c r="KE147" s="42"/>
      <c r="KF147" s="42"/>
      <c r="KG147" s="42"/>
      <c r="KH147" s="42"/>
      <c r="KI147" s="42"/>
      <c r="KJ147" s="42"/>
      <c r="KK147" s="42"/>
      <c r="KL147" s="42"/>
      <c r="KM147" s="42"/>
      <c r="KN147" s="42"/>
      <c r="KO147" s="42"/>
      <c r="KP147" s="42"/>
      <c r="KQ147" s="42"/>
      <c r="KR147" s="42"/>
      <c r="KS147" s="42"/>
      <c r="KT147" s="42"/>
      <c r="KU147" s="42"/>
      <c r="KV147" s="42"/>
      <c r="KW147" s="42"/>
      <c r="KX147" s="42"/>
      <c r="KY147" s="42"/>
      <c r="KZ147" s="42"/>
      <c r="LA147" s="42"/>
      <c r="LB147" s="42"/>
      <c r="LC147" s="42"/>
      <c r="LD147" s="42"/>
      <c r="LE147" s="42"/>
    </row>
    <row r="148" spans="278:317">
      <c r="JR148" s="97"/>
      <c r="JS148" s="97"/>
      <c r="JT148" s="42"/>
      <c r="JU148" s="42"/>
      <c r="JV148" s="42"/>
      <c r="JW148" s="42"/>
      <c r="JX148" s="42"/>
      <c r="JY148" s="42"/>
      <c r="JZ148" s="42"/>
      <c r="KA148" s="42"/>
      <c r="KB148" s="42"/>
      <c r="KC148" s="42"/>
      <c r="KD148" s="42"/>
      <c r="KE148" s="42"/>
      <c r="KF148" s="42"/>
      <c r="KG148" s="42"/>
      <c r="KH148" s="42"/>
      <c r="KI148" s="42"/>
      <c r="KJ148" s="42"/>
      <c r="KK148" s="42"/>
      <c r="KL148" s="42"/>
      <c r="KM148" s="42"/>
      <c r="KN148" s="42"/>
      <c r="KO148" s="42"/>
      <c r="KP148" s="42"/>
      <c r="KQ148" s="42"/>
      <c r="KR148" s="42"/>
      <c r="KS148" s="42"/>
      <c r="KT148" s="42"/>
      <c r="KU148" s="42"/>
      <c r="KV148" s="42"/>
      <c r="KW148" s="42"/>
      <c r="KX148" s="42"/>
      <c r="KY148" s="42"/>
      <c r="KZ148" s="42"/>
      <c r="LA148" s="42"/>
      <c r="LB148" s="42"/>
      <c r="LC148" s="42"/>
      <c r="LD148" s="42"/>
      <c r="LE148" s="42"/>
    </row>
    <row r="149" spans="278:317">
      <c r="JR149" s="97"/>
      <c r="JS149" s="97"/>
      <c r="JT149" s="42"/>
      <c r="JU149" s="42"/>
      <c r="JV149" s="42"/>
      <c r="JW149" s="42"/>
      <c r="JX149" s="42"/>
      <c r="JY149" s="42"/>
      <c r="JZ149" s="42"/>
      <c r="KA149" s="42"/>
      <c r="KB149" s="42"/>
      <c r="KC149" s="42"/>
      <c r="KD149" s="42"/>
      <c r="KE149" s="42"/>
      <c r="KF149" s="42"/>
      <c r="KG149" s="42"/>
      <c r="KH149" s="42"/>
      <c r="KI149" s="42"/>
      <c r="KJ149" s="42"/>
      <c r="KK149" s="42"/>
      <c r="KL149" s="42"/>
      <c r="KM149" s="42"/>
      <c r="KN149" s="42"/>
      <c r="KO149" s="42"/>
      <c r="KP149" s="42"/>
      <c r="KQ149" s="42"/>
      <c r="KR149" s="42"/>
      <c r="KS149" s="42"/>
      <c r="KT149" s="42"/>
      <c r="KU149" s="42"/>
      <c r="KV149" s="42"/>
      <c r="KW149" s="42"/>
      <c r="KX149" s="42"/>
      <c r="KY149" s="42"/>
      <c r="KZ149" s="42"/>
      <c r="LA149" s="42"/>
      <c r="LB149" s="42"/>
      <c r="LC149" s="42"/>
      <c r="LD149" s="42"/>
      <c r="LE149" s="42"/>
    </row>
    <row r="150" spans="278:317">
      <c r="LE150" s="42"/>
    </row>
    <row r="151" spans="278:317">
      <c r="LE151" s="42"/>
    </row>
  </sheetData>
  <mergeCells count="16">
    <mergeCell ref="CC5:CP5"/>
    <mergeCell ref="DS5:EG5"/>
    <mergeCell ref="EM5:EZ5"/>
    <mergeCell ref="BB4:BC4"/>
    <mergeCell ref="IH103:IU103"/>
    <mergeCell ref="HO5:IA5"/>
    <mergeCell ref="IH5:IV5"/>
    <mergeCell ref="KO93:LA93"/>
    <mergeCell ref="KO5:LA5"/>
    <mergeCell ref="FG5:FU5"/>
    <mergeCell ref="GU5:HH5"/>
    <mergeCell ref="GA5:GN5"/>
    <mergeCell ref="JU5:KI5"/>
    <mergeCell ref="JA93:JO93"/>
    <mergeCell ref="JU93:KI93"/>
    <mergeCell ref="JA5:JO5"/>
  </mergeCells>
  <pageMargins left="0.7" right="0.7" top="0.75" bottom="0.75" header="0.3" footer="0.3"/>
  <pageSetup orientation="portrait" r:id="rId1"/>
  <ignoredErrors>
    <ignoredError sqref="CT10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H40"/>
  <sheetViews>
    <sheetView showGridLines="0" zoomScaleNormal="100" workbookViewId="0">
      <pane xSplit="14" ySplit="4" topLeftCell="AQ5" activePane="bottomRight" state="frozen"/>
      <selection activeCell="H20" sqref="H20"/>
      <selection pane="topRight" activeCell="H20" sqref="H20"/>
      <selection pane="bottomLeft" activeCell="H20" sqref="H20"/>
      <selection pane="bottomRight" activeCell="BF19" sqref="BF19"/>
    </sheetView>
  </sheetViews>
  <sheetFormatPr baseColWidth="10" defaultRowHeight="14.4"/>
  <cols>
    <col min="1" max="1" width="17.44140625" style="2417" customWidth="1"/>
    <col min="2" max="2" width="42.33203125" customWidth="1"/>
    <col min="3" max="3" width="12.33203125" hidden="1" customWidth="1"/>
    <col min="4" max="4" width="7" hidden="1" customWidth="1"/>
    <col min="5" max="5" width="9.44140625" hidden="1" customWidth="1"/>
    <col min="6" max="6" width="8.33203125" hidden="1" customWidth="1"/>
    <col min="7" max="7" width="12.33203125" hidden="1" customWidth="1"/>
    <col min="8" max="8" width="7" hidden="1" customWidth="1"/>
    <col min="9" max="9" width="9.44140625" hidden="1" customWidth="1"/>
    <col min="10" max="10" width="8.33203125" hidden="1" customWidth="1"/>
    <col min="11" max="11" width="12.33203125" hidden="1" customWidth="1"/>
    <col min="12" max="12" width="7" hidden="1" customWidth="1"/>
    <col min="13" max="13" width="9.44140625" hidden="1" customWidth="1"/>
    <col min="14" max="14" width="2" hidden="1" customWidth="1"/>
    <col min="15" max="15" width="16.33203125" bestFit="1" customWidth="1"/>
    <col min="16" max="16" width="9.44140625" bestFit="1" customWidth="1"/>
    <col min="17" max="17" width="12" bestFit="1" customWidth="1"/>
    <col min="18" max="18" width="10.33203125" bestFit="1" customWidth="1"/>
    <col min="19" max="19" width="16.33203125" bestFit="1" customWidth="1"/>
    <col min="20" max="20" width="9.44140625" bestFit="1" customWidth="1"/>
    <col min="21" max="21" width="10.33203125" bestFit="1" customWidth="1"/>
    <col min="22" max="22" width="16.33203125" bestFit="1" customWidth="1"/>
    <col min="23" max="23" width="9.44140625" bestFit="1" customWidth="1"/>
    <col min="24" max="24" width="10.33203125" bestFit="1" customWidth="1"/>
    <col min="25" max="25" width="26.33203125" bestFit="1" customWidth="1"/>
    <col min="26" max="26" width="9.44140625" bestFit="1" customWidth="1"/>
    <col min="27" max="27" width="10.33203125" bestFit="1" customWidth="1"/>
    <col min="28" max="28" width="16.33203125" bestFit="1" customWidth="1"/>
    <col min="29" max="29" width="8.33203125" bestFit="1" customWidth="1"/>
    <col min="30" max="30" width="8.5546875" bestFit="1" customWidth="1"/>
    <col min="31" max="31" width="16.33203125" bestFit="1" customWidth="1"/>
    <col min="32" max="32" width="8.33203125" bestFit="1" customWidth="1"/>
    <col min="33" max="33" width="8.5546875" bestFit="1" customWidth="1"/>
    <col min="34" max="34" width="16.33203125" bestFit="1" customWidth="1"/>
    <col min="35" max="35" width="8.33203125" bestFit="1" customWidth="1"/>
    <col min="36" max="36" width="8.5546875" bestFit="1" customWidth="1"/>
    <col min="37" max="37" width="16.33203125" bestFit="1" customWidth="1"/>
    <col min="38" max="38" width="8.33203125" bestFit="1" customWidth="1"/>
    <col min="39" max="39" width="8.5546875" bestFit="1" customWidth="1"/>
    <col min="40" max="40" width="16.33203125" bestFit="1" customWidth="1"/>
    <col min="41" max="41" width="8.33203125" bestFit="1" customWidth="1"/>
    <col min="42" max="42" width="8.5546875" bestFit="1" customWidth="1"/>
    <col min="43" max="43" width="16.33203125" bestFit="1" customWidth="1"/>
    <col min="44" max="44" width="8.33203125" bestFit="1" customWidth="1"/>
    <col min="45" max="45" width="8.5546875" bestFit="1" customWidth="1"/>
    <col min="46" max="46" width="14.5546875" bestFit="1" customWidth="1"/>
    <col min="47" max="47" width="8.33203125" bestFit="1" customWidth="1"/>
    <col min="48" max="48" width="8.5546875" bestFit="1" customWidth="1"/>
    <col min="49" max="49" width="14" bestFit="1" customWidth="1"/>
    <col min="50" max="50" width="8.33203125" bestFit="1" customWidth="1"/>
    <col min="51" max="51" width="8.5546875" bestFit="1" customWidth="1"/>
    <col min="52" max="52" width="14" customWidth="1"/>
    <col min="55" max="55" width="13.88671875" bestFit="1" customWidth="1"/>
  </cols>
  <sheetData>
    <row r="1" spans="1:60" ht="15.6">
      <c r="B1" s="6503"/>
      <c r="C1" s="1124"/>
      <c r="D1" s="1124"/>
      <c r="E1" s="1124"/>
      <c r="F1" s="1124"/>
      <c r="G1" s="1124"/>
      <c r="H1" s="1124"/>
      <c r="I1" s="1124"/>
      <c r="J1" s="128"/>
      <c r="K1" s="128"/>
      <c r="L1" s="128"/>
      <c r="M1" s="128"/>
      <c r="N1" s="128"/>
      <c r="W1" s="128"/>
      <c r="BE1" s="6504" t="s">
        <v>436</v>
      </c>
    </row>
    <row r="2" spans="1:60">
      <c r="B2" s="6505"/>
      <c r="BE2" s="6506" t="s">
        <v>312</v>
      </c>
    </row>
    <row r="3" spans="1:60" s="8" customFormat="1" ht="15.6">
      <c r="C3" s="7412">
        <v>2007</v>
      </c>
      <c r="D3" s="7412"/>
      <c r="E3" s="7412"/>
      <c r="F3" s="7413"/>
      <c r="G3" s="7414">
        <v>2008</v>
      </c>
      <c r="H3" s="7412"/>
      <c r="I3" s="7412"/>
      <c r="J3" s="7413"/>
      <c r="K3" s="7414">
        <v>2009</v>
      </c>
      <c r="L3" s="7412"/>
      <c r="M3" s="7412"/>
      <c r="N3" s="7412"/>
      <c r="O3" s="7394">
        <v>2010</v>
      </c>
      <c r="P3" s="7394"/>
      <c r="Q3" s="7394"/>
      <c r="R3" s="7394"/>
      <c r="S3" s="7394">
        <v>2011</v>
      </c>
      <c r="T3" s="7394"/>
      <c r="U3" s="7394"/>
      <c r="V3" s="7394">
        <v>2012</v>
      </c>
      <c r="W3" s="7394"/>
      <c r="X3" s="7394"/>
      <c r="Y3" s="7394">
        <v>2013</v>
      </c>
      <c r="Z3" s="7394"/>
      <c r="AA3" s="7394"/>
      <c r="AB3" s="7394">
        <v>2014</v>
      </c>
      <c r="AC3" s="7394"/>
      <c r="AD3" s="7394"/>
      <c r="AE3" s="7394">
        <v>2015</v>
      </c>
      <c r="AF3" s="7394"/>
      <c r="AG3" s="7394"/>
      <c r="AH3" s="7394">
        <v>2016</v>
      </c>
      <c r="AI3" s="7394"/>
      <c r="AJ3" s="7394"/>
      <c r="AK3" s="7394">
        <v>2017</v>
      </c>
      <c r="AL3" s="7394"/>
      <c r="AM3" s="7394"/>
      <c r="AN3" s="7394">
        <v>2018</v>
      </c>
      <c r="AO3" s="7394"/>
      <c r="AP3" s="7394"/>
      <c r="AQ3" s="7394">
        <v>2019</v>
      </c>
      <c r="AR3" s="7394"/>
      <c r="AS3" s="7394"/>
      <c r="AT3" s="7394">
        <v>2020</v>
      </c>
      <c r="AU3" s="7394"/>
      <c r="AV3" s="7394"/>
      <c r="AW3" s="7394">
        <v>2021</v>
      </c>
      <c r="AX3" s="7394"/>
      <c r="AY3" s="7394"/>
      <c r="AZ3" s="7394">
        <v>2022</v>
      </c>
      <c r="BA3" s="7394"/>
      <c r="BB3" s="7394"/>
      <c r="BC3" s="7394">
        <v>2023</v>
      </c>
      <c r="BD3" s="7394"/>
      <c r="BE3" s="7394"/>
    </row>
    <row r="4" spans="1:60" ht="19.5" customHeight="1" thickBot="1">
      <c r="A4" s="2887" t="s">
        <v>0</v>
      </c>
      <c r="B4" s="2886" t="s">
        <v>2440</v>
      </c>
      <c r="C4" s="2882" t="s">
        <v>220</v>
      </c>
      <c r="D4" s="2883" t="s">
        <v>222</v>
      </c>
      <c r="E4" s="2883" t="s">
        <v>221</v>
      </c>
      <c r="F4" s="2883" t="s">
        <v>223</v>
      </c>
      <c r="G4" s="2882" t="s">
        <v>220</v>
      </c>
      <c r="H4" s="2883" t="s">
        <v>222</v>
      </c>
      <c r="I4" s="2883" t="s">
        <v>221</v>
      </c>
      <c r="J4" s="2883" t="s">
        <v>223</v>
      </c>
      <c r="K4" s="2882" t="s">
        <v>220</v>
      </c>
      <c r="L4" s="2883" t="s">
        <v>222</v>
      </c>
      <c r="M4" s="2883" t="s">
        <v>221</v>
      </c>
      <c r="N4" s="2884" t="s">
        <v>223</v>
      </c>
      <c r="O4" s="2885" t="s">
        <v>2441</v>
      </c>
      <c r="P4" s="2885" t="s">
        <v>2442</v>
      </c>
      <c r="Q4" s="2885" t="s">
        <v>2443</v>
      </c>
      <c r="R4" s="2885" t="s">
        <v>2444</v>
      </c>
      <c r="S4" s="2885" t="s">
        <v>2441</v>
      </c>
      <c r="T4" s="2885" t="s">
        <v>2442</v>
      </c>
      <c r="U4" s="2885" t="s">
        <v>2444</v>
      </c>
      <c r="V4" s="2885" t="s">
        <v>2441</v>
      </c>
      <c r="W4" s="2885" t="s">
        <v>2442</v>
      </c>
      <c r="X4" s="2885" t="s">
        <v>2444</v>
      </c>
      <c r="Y4" s="2885" t="s">
        <v>2441</v>
      </c>
      <c r="Z4" s="2885" t="s">
        <v>2442</v>
      </c>
      <c r="AA4" s="2885" t="s">
        <v>2444</v>
      </c>
      <c r="AB4" s="2885" t="s">
        <v>2441</v>
      </c>
      <c r="AC4" s="2885" t="s">
        <v>2442</v>
      </c>
      <c r="AD4" s="2885" t="s">
        <v>2444</v>
      </c>
      <c r="AE4" s="2885" t="s">
        <v>2441</v>
      </c>
      <c r="AF4" s="2885" t="s">
        <v>2442</v>
      </c>
      <c r="AG4" s="2885" t="s">
        <v>2444</v>
      </c>
      <c r="AH4" s="2885" t="s">
        <v>2441</v>
      </c>
      <c r="AI4" s="2885" t="s">
        <v>2442</v>
      </c>
      <c r="AJ4" s="2885" t="s">
        <v>2444</v>
      </c>
      <c r="AK4" s="2885" t="s">
        <v>2441</v>
      </c>
      <c r="AL4" s="2885" t="s">
        <v>2442</v>
      </c>
      <c r="AM4" s="2885" t="s">
        <v>2444</v>
      </c>
      <c r="AN4" s="2885" t="s">
        <v>2441</v>
      </c>
      <c r="AO4" s="2885" t="s">
        <v>2442</v>
      </c>
      <c r="AP4" s="2885" t="s">
        <v>2444</v>
      </c>
      <c r="AQ4" s="2885" t="s">
        <v>2441</v>
      </c>
      <c r="AR4" s="2885" t="s">
        <v>2442</v>
      </c>
      <c r="AS4" s="2885" t="s">
        <v>2444</v>
      </c>
      <c r="AT4" s="2885" t="s">
        <v>2441</v>
      </c>
      <c r="AU4" s="2885" t="s">
        <v>2442</v>
      </c>
      <c r="AV4" s="2885" t="s">
        <v>2444</v>
      </c>
      <c r="AW4" s="2885" t="s">
        <v>2441</v>
      </c>
      <c r="AX4" s="2885" t="s">
        <v>2442</v>
      </c>
      <c r="AY4" s="2885" t="s">
        <v>2444</v>
      </c>
      <c r="AZ4" s="2885" t="s">
        <v>2441</v>
      </c>
      <c r="BA4" s="2885" t="s">
        <v>2442</v>
      </c>
      <c r="BB4" s="2885" t="s">
        <v>2444</v>
      </c>
      <c r="BC4" s="2885" t="s">
        <v>2441</v>
      </c>
      <c r="BD4" s="2885" t="s">
        <v>2442</v>
      </c>
      <c r="BE4" s="2885" t="s">
        <v>2444</v>
      </c>
    </row>
    <row r="5" spans="1:60" ht="16.2">
      <c r="A5" s="7404" t="s">
        <v>3</v>
      </c>
      <c r="B5" s="2888" t="s">
        <v>683</v>
      </c>
      <c r="C5" s="2832">
        <v>1120</v>
      </c>
      <c r="D5" s="2889">
        <f>13271+365</f>
        <v>13636</v>
      </c>
      <c r="E5" s="2890">
        <f>+C5/D5</f>
        <v>8.2135523613963035E-2</v>
      </c>
      <c r="F5" s="2891">
        <f>+D5/C5</f>
        <v>12.175000000000001</v>
      </c>
      <c r="G5" s="2832">
        <v>1350</v>
      </c>
      <c r="H5" s="2889">
        <f>13426+365</f>
        <v>13791</v>
      </c>
      <c r="I5" s="2890">
        <f>+G5/H5</f>
        <v>9.7889928214052638E-2</v>
      </c>
      <c r="J5" s="2891">
        <f>+H5/G5</f>
        <v>10.215555555555556</v>
      </c>
      <c r="K5" s="2832">
        <v>1510</v>
      </c>
      <c r="L5" s="2889">
        <f>13765+469</f>
        <v>14234</v>
      </c>
      <c r="M5" s="2890">
        <f>+K5/L5</f>
        <v>0.1060840241674863</v>
      </c>
      <c r="N5" s="2891">
        <f>+L5/K5</f>
        <v>9.4264900662251652</v>
      </c>
      <c r="O5" s="2832">
        <v>1638</v>
      </c>
      <c r="P5" s="2889">
        <f>14704+519</f>
        <v>15223</v>
      </c>
      <c r="Q5" s="2890">
        <f>+O5/P5</f>
        <v>0.10760034158838599</v>
      </c>
      <c r="R5" s="2891">
        <f>+P5/O5</f>
        <v>9.2936507936507944</v>
      </c>
      <c r="S5" s="2832">
        <v>1101</v>
      </c>
      <c r="T5" s="2889">
        <f>14648+416</f>
        <v>15064</v>
      </c>
      <c r="U5" s="2891">
        <f>+T5/S5</f>
        <v>13.682107175295187</v>
      </c>
      <c r="V5" s="2832">
        <v>911</v>
      </c>
      <c r="W5" s="2889">
        <f>15525</f>
        <v>15525</v>
      </c>
      <c r="X5" s="2891">
        <f>+W5/V5</f>
        <v>17.041712403951703</v>
      </c>
      <c r="Y5" s="2832">
        <v>1296</v>
      </c>
      <c r="Z5" s="2889">
        <v>15683</v>
      </c>
      <c r="AA5" s="2891">
        <f>+Z5/Y5</f>
        <v>12.101080246913581</v>
      </c>
      <c r="AB5" s="2832">
        <v>1300</v>
      </c>
      <c r="AC5" s="2889">
        <v>15805</v>
      </c>
      <c r="AD5" s="2891">
        <f>+AC5/AB5</f>
        <v>12.157692307692308</v>
      </c>
      <c r="AE5" s="2832">
        <v>1048</v>
      </c>
      <c r="AF5" s="2889">
        <v>15629</v>
      </c>
      <c r="AG5" s="2891">
        <f>+AF5/AE5</f>
        <v>14.913167938931299</v>
      </c>
      <c r="AH5" s="2832">
        <v>1484</v>
      </c>
      <c r="AI5" s="2889">
        <v>15471</v>
      </c>
      <c r="AJ5" s="2891">
        <f>+AI5/AH5</f>
        <v>10.425202156334231</v>
      </c>
      <c r="AK5" s="2832">
        <v>1370</v>
      </c>
      <c r="AL5" s="2889">
        <v>15162</v>
      </c>
      <c r="AM5" s="2891">
        <f>+AL5/AK5</f>
        <v>11.067153284671534</v>
      </c>
      <c r="AN5" s="2832">
        <v>1266</v>
      </c>
      <c r="AO5" s="2889">
        <v>15429</v>
      </c>
      <c r="AP5" s="2891">
        <f>+AO5/AN5</f>
        <v>12.187203791469194</v>
      </c>
      <c r="AQ5" s="2832">
        <v>1444</v>
      </c>
      <c r="AR5" s="2889">
        <v>15371</v>
      </c>
      <c r="AS5" s="2891">
        <f>+AR5/AQ5</f>
        <v>10.644736842105264</v>
      </c>
      <c r="AT5" s="2832">
        <v>1582</v>
      </c>
      <c r="AU5" s="2889">
        <v>15908</v>
      </c>
      <c r="AV5" s="2891">
        <f>+AU5/AT5</f>
        <v>10.055625790139064</v>
      </c>
      <c r="AW5" s="2832">
        <v>1533</v>
      </c>
      <c r="AX5" s="2889">
        <v>16258</v>
      </c>
      <c r="AY5" s="2891">
        <f>+AX5/AW5</f>
        <v>10.605348988910633</v>
      </c>
      <c r="AZ5" s="2832">
        <v>2098</v>
      </c>
      <c r="BA5" s="2889">
        <v>16456</v>
      </c>
      <c r="BB5" s="2891">
        <f>+BA5/AZ5</f>
        <v>7.843660629170639</v>
      </c>
      <c r="BC5" s="2832">
        <v>1582</v>
      </c>
      <c r="BD5" s="2889">
        <v>16504</v>
      </c>
      <c r="BE5" s="2891">
        <f>+BD5/BC5</f>
        <v>10.43236409608091</v>
      </c>
    </row>
    <row r="6" spans="1:60" ht="16.2">
      <c r="A6" s="7404"/>
      <c r="B6" s="2892" t="s">
        <v>2930</v>
      </c>
      <c r="C6" s="2842">
        <v>1068</v>
      </c>
      <c r="D6" s="2893">
        <v>836</v>
      </c>
      <c r="E6" s="2087">
        <f>+C6/D6</f>
        <v>1.2775119617224879</v>
      </c>
      <c r="F6" s="2894">
        <f>+D6/C6</f>
        <v>0.78277153558052437</v>
      </c>
      <c r="G6" s="2842">
        <v>1111</v>
      </c>
      <c r="H6" s="2893">
        <v>838</v>
      </c>
      <c r="I6" s="2087">
        <f>+G6/H6</f>
        <v>1.3257756563245824</v>
      </c>
      <c r="J6" s="2894">
        <f>+H6/G6</f>
        <v>0.75427542754275423</v>
      </c>
      <c r="K6" s="2842">
        <v>1156</v>
      </c>
      <c r="L6" s="2893">
        <v>846</v>
      </c>
      <c r="M6" s="2087">
        <f>+K6/L6</f>
        <v>1.3664302600472813</v>
      </c>
      <c r="N6" s="2894">
        <f>+L6/K6</f>
        <v>0.73183391003460208</v>
      </c>
      <c r="O6" s="2842">
        <v>1200</v>
      </c>
      <c r="P6" s="2893">
        <v>1466</v>
      </c>
      <c r="Q6" s="2087">
        <f>+O6/P6</f>
        <v>0.81855388813096863</v>
      </c>
      <c r="R6" s="2894">
        <f>+P6/O6</f>
        <v>1.2216666666666667</v>
      </c>
      <c r="S6" s="2842">
        <v>1153</v>
      </c>
      <c r="T6" s="2893">
        <v>1470</v>
      </c>
      <c r="U6" s="2894">
        <f>+T6/S6</f>
        <v>1.2749349522983522</v>
      </c>
      <c r="V6" s="2842">
        <v>826</v>
      </c>
      <c r="W6" s="2893">
        <v>1480</v>
      </c>
      <c r="X6" s="2894">
        <f>+W6/V6</f>
        <v>1.7917675544794189</v>
      </c>
      <c r="Y6" s="2842">
        <v>3312</v>
      </c>
      <c r="Z6" s="2893">
        <v>1439</v>
      </c>
      <c r="AA6" s="2894">
        <f>+Z6/Y6</f>
        <v>0.4344806763285024</v>
      </c>
      <c r="AB6" s="2842">
        <v>3320</v>
      </c>
      <c r="AC6" s="2893">
        <v>1456</v>
      </c>
      <c r="AD6" s="2894">
        <f>+AC6/AB6</f>
        <v>0.43855421686746987</v>
      </c>
      <c r="AE6" s="2842">
        <v>1198</v>
      </c>
      <c r="AF6" s="2893">
        <v>1454</v>
      </c>
      <c r="AG6" s="2894">
        <f>+AF6/AE6</f>
        <v>1.2136894824707847</v>
      </c>
      <c r="AH6" s="2842">
        <v>1655</v>
      </c>
      <c r="AI6" s="2893">
        <v>1416</v>
      </c>
      <c r="AJ6" s="2894">
        <f>+AI6/AH6</f>
        <v>0.85558912386706953</v>
      </c>
      <c r="AK6" s="2842">
        <v>1776</v>
      </c>
      <c r="AL6" s="2893">
        <v>1402</v>
      </c>
      <c r="AM6" s="2894">
        <f>+AL6/AK6</f>
        <v>0.7894144144144144</v>
      </c>
      <c r="AN6" s="2842">
        <v>1680</v>
      </c>
      <c r="AO6" s="2893">
        <v>1435</v>
      </c>
      <c r="AP6" s="2894">
        <f>+AO6/AN6</f>
        <v>0.85416666666666663</v>
      </c>
      <c r="AQ6" s="2842">
        <v>1963</v>
      </c>
      <c r="AR6" s="2893">
        <v>1348</v>
      </c>
      <c r="AS6" s="2894">
        <f>+AR6/AQ6</f>
        <v>0.68670402445236878</v>
      </c>
      <c r="AT6" s="2842">
        <v>2101</v>
      </c>
      <c r="AU6" s="2893">
        <v>1406</v>
      </c>
      <c r="AV6" s="2894">
        <f>+AU6/AT6</f>
        <v>0.66920514040932888</v>
      </c>
      <c r="AW6" s="2842">
        <v>2020</v>
      </c>
      <c r="AX6" s="2893">
        <f>+'A.37.'!F53</f>
        <v>1410</v>
      </c>
      <c r="AY6" s="2894">
        <f>+AX6/AW6</f>
        <v>0.69801980198019797</v>
      </c>
      <c r="AZ6" s="2842">
        <v>3090</v>
      </c>
      <c r="BA6" s="2893">
        <v>1404</v>
      </c>
      <c r="BB6" s="2894">
        <f>+BA6/AZ6</f>
        <v>0.45436893203883494</v>
      </c>
      <c r="BC6" s="2842">
        <v>2006</v>
      </c>
      <c r="BD6" s="2893">
        <v>1393</v>
      </c>
      <c r="BE6" s="2894">
        <f>+BD6/BC6</f>
        <v>0.69441674975074774</v>
      </c>
      <c r="BF6" s="5317"/>
    </row>
    <row r="7" spans="1:60" ht="16.2">
      <c r="A7" s="7405"/>
      <c r="B7" s="2895" t="s">
        <v>684</v>
      </c>
      <c r="C7" s="2858">
        <v>480</v>
      </c>
      <c r="D7" s="2896">
        <v>175</v>
      </c>
      <c r="E7" s="2089">
        <f>+C7/D7</f>
        <v>2.7428571428571429</v>
      </c>
      <c r="F7" s="2897">
        <f>+D7/C7</f>
        <v>0.36458333333333331</v>
      </c>
      <c r="G7" s="2858">
        <v>502</v>
      </c>
      <c r="H7" s="2896">
        <v>181</v>
      </c>
      <c r="I7" s="2089">
        <f>+G7/H7</f>
        <v>2.7734806629834252</v>
      </c>
      <c r="J7" s="2897">
        <f>+H7/G7</f>
        <v>0.3605577689243028</v>
      </c>
      <c r="K7" s="2858">
        <v>524</v>
      </c>
      <c r="L7" s="2896">
        <v>181</v>
      </c>
      <c r="M7" s="2089">
        <f>+K7/L7</f>
        <v>2.8950276243093924</v>
      </c>
      <c r="N7" s="2897">
        <f>+L7/K7</f>
        <v>0.34541984732824427</v>
      </c>
      <c r="O7" s="2858">
        <v>538</v>
      </c>
      <c r="P7" s="2896">
        <v>1309</v>
      </c>
      <c r="Q7" s="2089">
        <f>+O7/P7</f>
        <v>0.41100076394194041</v>
      </c>
      <c r="R7" s="2897">
        <f>+P7/O7</f>
        <v>2.4330855018587361</v>
      </c>
      <c r="S7" s="2858">
        <v>544</v>
      </c>
      <c r="T7" s="2896">
        <v>1340</v>
      </c>
      <c r="U7" s="2897">
        <f>+T7/S7</f>
        <v>2.4632352941176472</v>
      </c>
      <c r="V7" s="2858">
        <v>331</v>
      </c>
      <c r="W7" s="2896">
        <v>1334</v>
      </c>
      <c r="X7" s="2897">
        <f>+W7/V7</f>
        <v>4.0302114803625377</v>
      </c>
      <c r="Y7" s="2858">
        <v>2592</v>
      </c>
      <c r="Z7" s="2896">
        <v>1347</v>
      </c>
      <c r="AA7" s="2897">
        <f>+Z7/Y7</f>
        <v>0.51967592592592593</v>
      </c>
      <c r="AB7" s="2858">
        <v>2620</v>
      </c>
      <c r="AC7" s="2896">
        <v>1313</v>
      </c>
      <c r="AD7" s="2897">
        <f>+AC7/AB7</f>
        <v>0.50114503816793898</v>
      </c>
      <c r="AE7" s="2858">
        <v>339</v>
      </c>
      <c r="AF7" s="2896">
        <v>1307</v>
      </c>
      <c r="AG7" s="2897">
        <f>+AF7/AE7</f>
        <v>3.8554572271386429</v>
      </c>
      <c r="AH7" s="2858">
        <v>807</v>
      </c>
      <c r="AI7" s="2896">
        <v>1312</v>
      </c>
      <c r="AJ7" s="2897">
        <f>+AI7/AH7</f>
        <v>1.6257744733581165</v>
      </c>
      <c r="AK7" s="2858">
        <v>828</v>
      </c>
      <c r="AL7" s="2896">
        <v>1300</v>
      </c>
      <c r="AM7" s="2897">
        <f>+AL7/AK7</f>
        <v>1.5700483091787441</v>
      </c>
      <c r="AN7" s="2858">
        <v>898</v>
      </c>
      <c r="AO7" s="2896">
        <v>1292</v>
      </c>
      <c r="AP7" s="2897">
        <f>+AO7/AN7</f>
        <v>1.4387527839643652</v>
      </c>
      <c r="AQ7" s="2858">
        <v>839</v>
      </c>
      <c r="AR7" s="2896">
        <v>1317</v>
      </c>
      <c r="AS7" s="2897">
        <f>+AR7/AQ7</f>
        <v>1.5697258641239571</v>
      </c>
      <c r="AT7" s="2858">
        <v>973</v>
      </c>
      <c r="AU7" s="2896">
        <v>1291</v>
      </c>
      <c r="AV7" s="2897">
        <f>+AU7/AT7</f>
        <v>1.3268242548818088</v>
      </c>
      <c r="AW7" s="2858">
        <v>919</v>
      </c>
      <c r="AX7" s="2896">
        <f>+'A.37.'!J53</f>
        <v>1274</v>
      </c>
      <c r="AY7" s="2897">
        <f>+AX7/AW7</f>
        <v>1.3862894450489662</v>
      </c>
      <c r="AZ7" s="2858">
        <v>1048</v>
      </c>
      <c r="BA7" s="2896">
        <v>1282</v>
      </c>
      <c r="BB7" s="2897">
        <f>+BA7/AZ7</f>
        <v>1.2232824427480915</v>
      </c>
      <c r="BC7" s="2858">
        <v>1074</v>
      </c>
      <c r="BD7" s="2896">
        <v>1316</v>
      </c>
      <c r="BE7" s="2897">
        <f>+BD7/BC7</f>
        <v>1.2253258845437616</v>
      </c>
      <c r="BF7" s="5317"/>
    </row>
    <row r="8" spans="1:60">
      <c r="S8" s="64"/>
      <c r="V8" s="64"/>
      <c r="Y8" s="64"/>
      <c r="AB8" s="64"/>
      <c r="AE8" s="64"/>
      <c r="AH8" s="64"/>
      <c r="AK8" s="64"/>
      <c r="AN8" s="64"/>
      <c r="AQ8" s="64"/>
      <c r="AR8" s="3023"/>
      <c r="AS8" s="3023"/>
      <c r="AT8" s="64"/>
      <c r="AU8" s="4101"/>
      <c r="AV8" s="4101"/>
      <c r="AW8" s="64"/>
      <c r="AX8" s="5075"/>
      <c r="AY8" s="5075"/>
      <c r="AZ8" s="64"/>
      <c r="BA8" s="5317"/>
      <c r="BB8" s="5317"/>
      <c r="BC8" s="64"/>
      <c r="BD8" s="5317"/>
      <c r="BE8" s="5317"/>
      <c r="BF8" s="5317"/>
    </row>
    <row r="9" spans="1:60" ht="16.2">
      <c r="A9" s="7406" t="s">
        <v>59</v>
      </c>
      <c r="B9" s="2898" t="s">
        <v>683</v>
      </c>
      <c r="C9" s="2899">
        <v>107</v>
      </c>
      <c r="D9" s="2900">
        <v>546</v>
      </c>
      <c r="E9" s="2901">
        <f>+C9/D9</f>
        <v>0.19597069597069597</v>
      </c>
      <c r="F9" s="2902">
        <f>+D9/C9</f>
        <v>5.1028037383177569</v>
      </c>
      <c r="G9" s="2899">
        <v>162</v>
      </c>
      <c r="H9" s="2900">
        <v>825</v>
      </c>
      <c r="I9" s="2901">
        <f>+G9/H9</f>
        <v>0.19636363636363635</v>
      </c>
      <c r="J9" s="2902">
        <f>+H9/G9</f>
        <v>5.0925925925925926</v>
      </c>
      <c r="K9" s="2899">
        <v>255</v>
      </c>
      <c r="L9" s="2900">
        <v>969</v>
      </c>
      <c r="M9" s="2901">
        <f>+K9/L9</f>
        <v>0.26315789473684209</v>
      </c>
      <c r="N9" s="2902">
        <f>+L9/K9</f>
        <v>3.8</v>
      </c>
      <c r="O9" s="2899">
        <v>321</v>
      </c>
      <c r="P9" s="2900">
        <v>1124</v>
      </c>
      <c r="Q9" s="2901">
        <f>+O9/P9</f>
        <v>0.28558718861209964</v>
      </c>
      <c r="R9" s="2902">
        <f>+P9/O9</f>
        <v>3.5015576323987538</v>
      </c>
      <c r="S9" s="2899">
        <v>567</v>
      </c>
      <c r="T9" s="2900">
        <f>1227+30</f>
        <v>1257</v>
      </c>
      <c r="U9" s="2902">
        <f>+T9/S9</f>
        <v>2.2169312169312168</v>
      </c>
      <c r="V9" s="2899">
        <v>344</v>
      </c>
      <c r="W9" s="2900">
        <v>1427</v>
      </c>
      <c r="X9" s="2902">
        <f>+W9/V9</f>
        <v>4.1482558139534884</v>
      </c>
      <c r="Y9" s="2899">
        <v>344</v>
      </c>
      <c r="Z9" s="2900">
        <v>1613</v>
      </c>
      <c r="AA9" s="2902">
        <f>+Z9/Y9</f>
        <v>4.6889534883720927</v>
      </c>
      <c r="AB9" s="2899">
        <v>195</v>
      </c>
      <c r="AC9" s="2900">
        <v>1942</v>
      </c>
      <c r="AD9" s="2902">
        <f>+AC9/AB9</f>
        <v>9.9589743589743591</v>
      </c>
      <c r="AE9" s="2899">
        <v>279</v>
      </c>
      <c r="AF9" s="2900">
        <v>2290</v>
      </c>
      <c r="AG9" s="2902">
        <f>+AF9/AE9</f>
        <v>8.2078853046594986</v>
      </c>
      <c r="AH9" s="2899">
        <v>289</v>
      </c>
      <c r="AI9" s="2900">
        <v>2511</v>
      </c>
      <c r="AJ9" s="2902">
        <f>+AI9/AH9</f>
        <v>8.688581314878892</v>
      </c>
      <c r="AK9" s="2899">
        <v>269</v>
      </c>
      <c r="AL9" s="2900">
        <v>2900</v>
      </c>
      <c r="AM9" s="2902">
        <f>+AL9/AK9</f>
        <v>10.780669144981413</v>
      </c>
      <c r="AN9" s="2899">
        <v>315</v>
      </c>
      <c r="AO9" s="2900">
        <v>3125</v>
      </c>
      <c r="AP9" s="2902">
        <f>+AO9/AN9</f>
        <v>9.9206349206349209</v>
      </c>
      <c r="AQ9" s="2899">
        <v>315</v>
      </c>
      <c r="AR9" s="2900">
        <v>3167</v>
      </c>
      <c r="AS9" s="2902">
        <f>+AR9/AQ9</f>
        <v>10.053968253968254</v>
      </c>
      <c r="AT9" s="2899">
        <v>315</v>
      </c>
      <c r="AU9" s="2900">
        <v>3348</v>
      </c>
      <c r="AV9" s="2902">
        <f>+AU9/AT9</f>
        <v>10.628571428571428</v>
      </c>
      <c r="AW9" s="2899">
        <v>315</v>
      </c>
      <c r="AX9" s="2900">
        <v>3467</v>
      </c>
      <c r="AY9" s="2902">
        <f>+AX9/AW9</f>
        <v>11.006349206349206</v>
      </c>
      <c r="AZ9" s="2899">
        <v>352</v>
      </c>
      <c r="BA9" s="2900">
        <v>3618</v>
      </c>
      <c r="BB9" s="2902">
        <f>+BA9/AZ9</f>
        <v>10.278409090909092</v>
      </c>
      <c r="BC9" s="2899">
        <v>499</v>
      </c>
      <c r="BD9" s="2900">
        <v>3617</v>
      </c>
      <c r="BE9" s="2902">
        <f>+BD9/BC9</f>
        <v>7.2484969939879758</v>
      </c>
      <c r="BF9" s="5317"/>
    </row>
    <row r="10" spans="1:60" ht="16.2">
      <c r="A10" s="7407"/>
      <c r="B10" s="2892" t="s">
        <v>2930</v>
      </c>
      <c r="C10" s="2842">
        <v>85</v>
      </c>
      <c r="D10" s="2893">
        <v>52</v>
      </c>
      <c r="E10" s="2087">
        <f>+C10/D10</f>
        <v>1.6346153846153846</v>
      </c>
      <c r="F10" s="2894">
        <f>+D10/C10</f>
        <v>0.61176470588235299</v>
      </c>
      <c r="G10" s="2842">
        <v>104</v>
      </c>
      <c r="H10" s="2893">
        <v>70</v>
      </c>
      <c r="I10" s="2087">
        <f>+G10/H10</f>
        <v>1.4857142857142858</v>
      </c>
      <c r="J10" s="2894">
        <f>+H10/G10</f>
        <v>0.67307692307692313</v>
      </c>
      <c r="K10" s="2842">
        <v>119</v>
      </c>
      <c r="L10" s="2893">
        <v>82</v>
      </c>
      <c r="M10" s="2087">
        <f>+K10/L10</f>
        <v>1.4512195121951219</v>
      </c>
      <c r="N10" s="2894">
        <f>+L10/K10</f>
        <v>0.68907563025210083</v>
      </c>
      <c r="O10" s="2842">
        <v>132</v>
      </c>
      <c r="P10" s="2893">
        <v>180</v>
      </c>
      <c r="Q10" s="2087">
        <f>+O10/P10</f>
        <v>0.73333333333333328</v>
      </c>
      <c r="R10" s="2894">
        <f>+P10/O10</f>
        <v>1.3636363636363635</v>
      </c>
      <c r="S10" s="2842">
        <v>305</v>
      </c>
      <c r="T10" s="2893">
        <v>205</v>
      </c>
      <c r="U10" s="2894">
        <f>+T10/S10</f>
        <v>0.67213114754098358</v>
      </c>
      <c r="V10" s="2842">
        <v>549</v>
      </c>
      <c r="W10" s="2893">
        <v>214</v>
      </c>
      <c r="X10" s="2894">
        <f>+W10/V10</f>
        <v>0.38979963570127507</v>
      </c>
      <c r="Y10" s="2842">
        <v>442</v>
      </c>
      <c r="Z10" s="2893">
        <v>209</v>
      </c>
      <c r="AA10" s="2894">
        <f>+Z10/Y10</f>
        <v>0.47285067873303166</v>
      </c>
      <c r="AB10" s="2842">
        <v>606</v>
      </c>
      <c r="AC10" s="2893">
        <v>228</v>
      </c>
      <c r="AD10" s="2894">
        <f>+AC10/AB10</f>
        <v>0.37623762376237624</v>
      </c>
      <c r="AE10" s="2842">
        <v>516</v>
      </c>
      <c r="AF10" s="2893">
        <v>239</v>
      </c>
      <c r="AG10" s="2894">
        <f>+AF10/AE10</f>
        <v>0.4631782945736434</v>
      </c>
      <c r="AH10" s="2842">
        <v>530</v>
      </c>
      <c r="AI10" s="2893">
        <v>243</v>
      </c>
      <c r="AJ10" s="2894">
        <f>+AI10/AH10</f>
        <v>0.45849056603773586</v>
      </c>
      <c r="AK10" s="2842">
        <v>616</v>
      </c>
      <c r="AL10" s="2893">
        <v>237</v>
      </c>
      <c r="AM10" s="2894">
        <f>+AL10/AK10</f>
        <v>0.38474025974025972</v>
      </c>
      <c r="AN10" s="2842">
        <v>440</v>
      </c>
      <c r="AO10" s="2893">
        <v>247</v>
      </c>
      <c r="AP10" s="2894">
        <f>+AO10/AN10</f>
        <v>0.5613636363636364</v>
      </c>
      <c r="AQ10" s="2842">
        <v>380</v>
      </c>
      <c r="AR10" s="2893">
        <v>233</v>
      </c>
      <c r="AS10" s="2894">
        <f>+AR10/AQ10</f>
        <v>0.61315789473684212</v>
      </c>
      <c r="AT10" s="2842">
        <v>376</v>
      </c>
      <c r="AU10" s="2893">
        <v>262</v>
      </c>
      <c r="AV10" s="2894">
        <f>+AU10/AT10</f>
        <v>0.69680851063829785</v>
      </c>
      <c r="AW10" s="2842">
        <v>376</v>
      </c>
      <c r="AX10" s="2893">
        <f>+'A.37.'!F55</f>
        <v>274</v>
      </c>
      <c r="AY10" s="2894">
        <f>+AX10/AW10</f>
        <v>0.72872340425531912</v>
      </c>
      <c r="AZ10" s="2842">
        <v>399</v>
      </c>
      <c r="BA10" s="2893">
        <v>287</v>
      </c>
      <c r="BB10" s="2894">
        <f>+BA10/AZ10</f>
        <v>0.7192982456140351</v>
      </c>
      <c r="BC10" s="2842">
        <v>627</v>
      </c>
      <c r="BD10" s="2893">
        <v>282</v>
      </c>
      <c r="BE10" s="2894">
        <f>+BD10/BC10</f>
        <v>0.44976076555023925</v>
      </c>
      <c r="BF10" s="5317"/>
    </row>
    <row r="11" spans="1:60" ht="16.2">
      <c r="A11" s="7408"/>
      <c r="B11" s="2895" t="s">
        <v>684</v>
      </c>
      <c r="C11" s="2858">
        <v>30</v>
      </c>
      <c r="D11" s="2896">
        <v>52</v>
      </c>
      <c r="E11" s="2089">
        <f>+C11/D11</f>
        <v>0.57692307692307687</v>
      </c>
      <c r="F11" s="2897">
        <f>+D11/C11</f>
        <v>1.7333333333333334</v>
      </c>
      <c r="G11" s="2858">
        <v>30</v>
      </c>
      <c r="H11" s="2896">
        <v>66</v>
      </c>
      <c r="I11" s="2089">
        <f>+G11/H11</f>
        <v>0.45454545454545453</v>
      </c>
      <c r="J11" s="2897">
        <f>+H11/G11</f>
        <v>2.2000000000000002</v>
      </c>
      <c r="K11" s="2858">
        <v>13</v>
      </c>
      <c r="L11" s="2896">
        <v>80</v>
      </c>
      <c r="M11" s="2089">
        <f>+K11/L11</f>
        <v>0.16250000000000001</v>
      </c>
      <c r="N11" s="2897">
        <f>+L11/K11</f>
        <v>6.1538461538461542</v>
      </c>
      <c r="O11" s="2858">
        <v>45</v>
      </c>
      <c r="P11" s="2896">
        <v>146</v>
      </c>
      <c r="Q11" s="2089">
        <f>+O11/P11</f>
        <v>0.30821917808219179</v>
      </c>
      <c r="R11" s="2897">
        <f>+P11/O11</f>
        <v>3.2444444444444445</v>
      </c>
      <c r="S11" s="2858">
        <v>76</v>
      </c>
      <c r="T11" s="2896">
        <v>188</v>
      </c>
      <c r="U11" s="2897">
        <f>+T11/S11</f>
        <v>2.4736842105263159</v>
      </c>
      <c r="V11" s="2858">
        <v>231</v>
      </c>
      <c r="W11" s="2896">
        <v>218</v>
      </c>
      <c r="X11" s="2897">
        <f>+W11/V11</f>
        <v>0.94372294372294374</v>
      </c>
      <c r="Y11" s="2858">
        <v>249</v>
      </c>
      <c r="Z11" s="2896">
        <v>220</v>
      </c>
      <c r="AA11" s="2897">
        <f>+Z11/Y11</f>
        <v>0.88353413654618473</v>
      </c>
      <c r="AB11" s="2858">
        <v>193</v>
      </c>
      <c r="AC11" s="2896">
        <v>271</v>
      </c>
      <c r="AD11" s="2897">
        <f>+AC11/AB11</f>
        <v>1.4041450777202074</v>
      </c>
      <c r="AE11" s="2858">
        <v>195</v>
      </c>
      <c r="AF11" s="2896">
        <v>286</v>
      </c>
      <c r="AG11" s="2897">
        <f>+AF11/AE11</f>
        <v>1.4666666666666666</v>
      </c>
      <c r="AH11" s="2858">
        <v>313</v>
      </c>
      <c r="AI11" s="2896">
        <v>322</v>
      </c>
      <c r="AJ11" s="2897">
        <f>+AI11/AH11</f>
        <v>1.0287539936102237</v>
      </c>
      <c r="AK11" s="2858">
        <v>297</v>
      </c>
      <c r="AL11" s="2896">
        <v>319</v>
      </c>
      <c r="AM11" s="2897">
        <f>+AL11/AK11</f>
        <v>1.0740740740740742</v>
      </c>
      <c r="AN11" s="2858">
        <v>253</v>
      </c>
      <c r="AO11" s="2896">
        <v>334</v>
      </c>
      <c r="AP11" s="2897">
        <f>+AO11/AN11</f>
        <v>1.3201581027667983</v>
      </c>
      <c r="AQ11" s="2858">
        <v>247</v>
      </c>
      <c r="AR11" s="2896">
        <v>350</v>
      </c>
      <c r="AS11" s="2897">
        <f>+AR11/AQ11</f>
        <v>1.417004048582996</v>
      </c>
      <c r="AT11" s="2858">
        <v>261</v>
      </c>
      <c r="AU11" s="2896">
        <v>353</v>
      </c>
      <c r="AV11" s="2897">
        <f>+AU11/AT11</f>
        <v>1.3524904214559388</v>
      </c>
      <c r="AW11" s="2858">
        <v>299</v>
      </c>
      <c r="AX11" s="2896">
        <f>+'A.37.'!J55</f>
        <v>355</v>
      </c>
      <c r="AY11" s="2897">
        <f>+AX11/AW11</f>
        <v>1.1872909698996656</v>
      </c>
      <c r="AZ11" s="2858">
        <v>338</v>
      </c>
      <c r="BA11" s="2896">
        <v>351</v>
      </c>
      <c r="BB11" s="2897">
        <f>+BA11/AZ11</f>
        <v>1.0384615384615385</v>
      </c>
      <c r="BC11" s="2858">
        <v>424</v>
      </c>
      <c r="BD11" s="2896">
        <v>339</v>
      </c>
      <c r="BE11" s="2897">
        <f>+BD11/BC11</f>
        <v>0.79952830188679247</v>
      </c>
    </row>
    <row r="12" spans="1:60">
      <c r="S12" s="64"/>
      <c r="V12" s="64"/>
      <c r="Y12" s="64"/>
      <c r="AB12" s="64"/>
      <c r="AE12" s="64"/>
      <c r="AH12" s="64"/>
      <c r="AK12" s="64"/>
      <c r="AN12" s="64"/>
      <c r="AQ12" s="64"/>
      <c r="AR12" s="3023"/>
      <c r="AS12" s="3023"/>
      <c r="AT12" s="64"/>
      <c r="AU12" s="4101"/>
      <c r="AV12" s="4101"/>
      <c r="AW12" s="64"/>
      <c r="AX12" s="5075"/>
      <c r="AY12" s="5075"/>
      <c r="AZ12" s="64"/>
      <c r="BA12" s="5317"/>
      <c r="BB12" s="5317"/>
      <c r="BC12" s="64"/>
      <c r="BD12" s="5317"/>
      <c r="BE12" s="5317"/>
    </row>
    <row r="13" spans="1:60" ht="16.2">
      <c r="A13" s="7409" t="s">
        <v>25</v>
      </c>
      <c r="B13" s="2898" t="s">
        <v>683</v>
      </c>
      <c r="C13" s="2899">
        <v>651</v>
      </c>
      <c r="D13" s="2900">
        <f>10243+1091</f>
        <v>11334</v>
      </c>
      <c r="E13" s="2901">
        <f>+C13/D13</f>
        <v>5.7437797776601379E-2</v>
      </c>
      <c r="F13" s="2902">
        <f>+D13/C13</f>
        <v>17.410138248847925</v>
      </c>
      <c r="G13" s="2899">
        <v>696</v>
      </c>
      <c r="H13" s="2900">
        <f>10369+1252</f>
        <v>11621</v>
      </c>
      <c r="I13" s="2901">
        <f>+G13/H13</f>
        <v>5.9891575595903968E-2</v>
      </c>
      <c r="J13" s="2902">
        <f>+H13/G13</f>
        <v>16.696839080459771</v>
      </c>
      <c r="K13" s="2899">
        <v>720</v>
      </c>
      <c r="L13" s="2900">
        <f>10789+1303</f>
        <v>12092</v>
      </c>
      <c r="M13" s="2901">
        <f>+K13/L13</f>
        <v>5.9543499834601388E-2</v>
      </c>
      <c r="N13" s="2902">
        <f>+L13/K13</f>
        <v>16.794444444444444</v>
      </c>
      <c r="O13" s="2899">
        <v>743</v>
      </c>
      <c r="P13" s="2900">
        <f>11399+1434</f>
        <v>12833</v>
      </c>
      <c r="Q13" s="2901">
        <f>+O13/P13</f>
        <v>5.789760773007091E-2</v>
      </c>
      <c r="R13" s="2902">
        <f>+P13/O13</f>
        <v>17.271870794078062</v>
      </c>
      <c r="S13" s="2899">
        <v>982</v>
      </c>
      <c r="T13" s="2900">
        <f>11743+1552</f>
        <v>13295</v>
      </c>
      <c r="U13" s="2902">
        <f>+T13/S13</f>
        <v>13.538696537678208</v>
      </c>
      <c r="V13" s="2899">
        <v>1604</v>
      </c>
      <c r="W13" s="2900">
        <v>13690</v>
      </c>
      <c r="X13" s="2902">
        <f>+W13/V13</f>
        <v>8.5349127182044882</v>
      </c>
      <c r="Y13" s="2899">
        <v>1604</v>
      </c>
      <c r="Z13" s="2900">
        <v>14791</v>
      </c>
      <c r="AA13" s="2902">
        <f>+Z13/Y13</f>
        <v>9.221321695760599</v>
      </c>
      <c r="AB13" s="2899">
        <v>1770</v>
      </c>
      <c r="AC13" s="2900">
        <v>15007</v>
      </c>
      <c r="AD13" s="2902">
        <f>+AC13/AB13</f>
        <v>8.4785310734463284</v>
      </c>
      <c r="AE13" s="2899">
        <v>1840</v>
      </c>
      <c r="AF13" s="2900">
        <v>15041</v>
      </c>
      <c r="AG13" s="2902">
        <f>+AF13/AE13</f>
        <v>8.1744565217391312</v>
      </c>
      <c r="AH13" s="2899">
        <v>1840</v>
      </c>
      <c r="AI13" s="2900">
        <v>15153</v>
      </c>
      <c r="AJ13" s="2902">
        <f>+AI13/AH13</f>
        <v>8.2353260869565226</v>
      </c>
      <c r="AK13" s="2899">
        <v>1892</v>
      </c>
      <c r="AL13" s="2900">
        <v>14674</v>
      </c>
      <c r="AM13" s="2902">
        <f>+AL13/AK13</f>
        <v>7.7558139534883717</v>
      </c>
      <c r="AN13" s="2899">
        <v>2026</v>
      </c>
      <c r="AO13" s="2900">
        <v>14350</v>
      </c>
      <c r="AP13" s="2902">
        <f>+AO13/AN13</f>
        <v>7.0829220138203359</v>
      </c>
      <c r="AQ13" s="2899">
        <v>2114</v>
      </c>
      <c r="AR13" s="2900">
        <v>13415</v>
      </c>
      <c r="AS13" s="2902">
        <f>+AR13/AQ13</f>
        <v>6.3457899716177861</v>
      </c>
      <c r="AT13" s="2899">
        <v>2114</v>
      </c>
      <c r="AU13" s="2900">
        <v>13718</v>
      </c>
      <c r="AV13" s="2902">
        <f>+AU13/AT13</f>
        <v>6.4891201513718073</v>
      </c>
      <c r="AW13" s="2899">
        <v>2114</v>
      </c>
      <c r="AX13" s="2900">
        <v>13204</v>
      </c>
      <c r="AY13" s="2902">
        <f>+AX13/AW13</f>
        <v>6.2459791863765375</v>
      </c>
      <c r="AZ13" s="2899">
        <v>1437</v>
      </c>
      <c r="BA13" s="2900">
        <v>13604</v>
      </c>
      <c r="BB13" s="2902">
        <f>+BA13/AZ13</f>
        <v>9.4669450243562974</v>
      </c>
      <c r="BC13" s="2899">
        <v>1633</v>
      </c>
      <c r="BD13" s="2900">
        <v>13075</v>
      </c>
      <c r="BE13" s="2902">
        <f>+BD13/BC13</f>
        <v>8.0067360685854254</v>
      </c>
    </row>
    <row r="14" spans="1:60" ht="16.2">
      <c r="A14" s="7410"/>
      <c r="B14" s="2892" t="s">
        <v>2930</v>
      </c>
      <c r="C14" s="2842">
        <v>800</v>
      </c>
      <c r="D14" s="2893">
        <v>791</v>
      </c>
      <c r="E14" s="2087">
        <f>+C14/D14</f>
        <v>1.0113780025284449</v>
      </c>
      <c r="F14" s="2894">
        <f>+D14/C14</f>
        <v>0.98875000000000002</v>
      </c>
      <c r="G14" s="2842">
        <v>814</v>
      </c>
      <c r="H14" s="2893">
        <v>793</v>
      </c>
      <c r="I14" s="2087">
        <f>+G14/H14</f>
        <v>1.0264817150063053</v>
      </c>
      <c r="J14" s="2894">
        <f>+H14/G14</f>
        <v>0.97420147420147418</v>
      </c>
      <c r="K14" s="2842">
        <v>819</v>
      </c>
      <c r="L14" s="2893">
        <v>789</v>
      </c>
      <c r="M14" s="2087">
        <f>+K14/L14</f>
        <v>1.038022813688213</v>
      </c>
      <c r="N14" s="2894">
        <f>+L14/K14</f>
        <v>0.96336996336996339</v>
      </c>
      <c r="O14" s="2842">
        <v>830</v>
      </c>
      <c r="P14" s="2893">
        <v>1301</v>
      </c>
      <c r="Q14" s="2087">
        <f>+O14/P14</f>
        <v>0.63797079169869331</v>
      </c>
      <c r="R14" s="2894">
        <f>+P14/O14</f>
        <v>1.5674698795180724</v>
      </c>
      <c r="S14" s="2842">
        <v>1501</v>
      </c>
      <c r="T14" s="2893">
        <v>1285</v>
      </c>
      <c r="U14" s="2894">
        <f>+T14/S14</f>
        <v>0.85609593604263823</v>
      </c>
      <c r="V14" s="2842">
        <v>1515</v>
      </c>
      <c r="W14" s="2893">
        <v>1290</v>
      </c>
      <c r="X14" s="2894">
        <f>+W14/V14</f>
        <v>0.85148514851485146</v>
      </c>
      <c r="Y14" s="2842">
        <v>1515</v>
      </c>
      <c r="Z14" s="2893">
        <v>1301</v>
      </c>
      <c r="AA14" s="2894">
        <f>+Z14/Y14</f>
        <v>0.85874587458745877</v>
      </c>
      <c r="AB14" s="2842">
        <v>1668</v>
      </c>
      <c r="AC14" s="2893">
        <v>1295</v>
      </c>
      <c r="AD14" s="2894">
        <f>+AC14/AB14</f>
        <v>0.77637889688249395</v>
      </c>
      <c r="AE14" s="2842">
        <v>1776</v>
      </c>
      <c r="AF14" s="2893">
        <v>1273</v>
      </c>
      <c r="AG14" s="2894">
        <f>+AF14/AE14</f>
        <v>0.71677927927927931</v>
      </c>
      <c r="AH14" s="2842">
        <v>1776</v>
      </c>
      <c r="AI14" s="2893">
        <v>1294</v>
      </c>
      <c r="AJ14" s="2894">
        <f>+AI14/AH14</f>
        <v>0.72860360360360366</v>
      </c>
      <c r="AK14" s="2842">
        <v>1950</v>
      </c>
      <c r="AL14" s="2893">
        <v>1251</v>
      </c>
      <c r="AM14" s="2894">
        <f>+AL14/AK14</f>
        <v>0.6415384615384615</v>
      </c>
      <c r="AN14" s="2842">
        <v>2031</v>
      </c>
      <c r="AO14" s="2893">
        <v>1244</v>
      </c>
      <c r="AP14" s="2894">
        <f>+AO14/AN14</f>
        <v>0.61250615460364355</v>
      </c>
      <c r="AQ14" s="2842">
        <v>2124</v>
      </c>
      <c r="AR14" s="2893">
        <v>1145</v>
      </c>
      <c r="AS14" s="2894">
        <f>+AR14/AQ14</f>
        <v>0.53907721280602638</v>
      </c>
      <c r="AT14" s="2842">
        <v>2124</v>
      </c>
      <c r="AU14" s="2893">
        <v>1205</v>
      </c>
      <c r="AV14" s="2894">
        <f>+AU14/AT14</f>
        <v>0.56732580037664782</v>
      </c>
      <c r="AW14" s="2842">
        <v>2124</v>
      </c>
      <c r="AX14" s="2893">
        <f>+'A.37.'!F57</f>
        <v>1214</v>
      </c>
      <c r="AY14" s="2894">
        <f>+AX14/AW14</f>
        <v>0.57156308851224102</v>
      </c>
      <c r="AZ14" s="2842">
        <v>2262</v>
      </c>
      <c r="BA14" s="2893">
        <v>1200</v>
      </c>
      <c r="BB14" s="2894">
        <f>+BA14/AZ14</f>
        <v>0.5305039787798409</v>
      </c>
      <c r="BC14" s="2842">
        <v>2347</v>
      </c>
      <c r="BD14" s="2893">
        <v>1208</v>
      </c>
      <c r="BE14" s="2894">
        <f>+BD14/BC14</f>
        <v>0.51469961653174268</v>
      </c>
    </row>
    <row r="15" spans="1:60" ht="16.2">
      <c r="A15" s="7411"/>
      <c r="B15" s="2895" t="s">
        <v>684</v>
      </c>
      <c r="C15" s="2858">
        <v>158</v>
      </c>
      <c r="D15" s="2896">
        <v>179</v>
      </c>
      <c r="E15" s="2089">
        <f>+C15/D15</f>
        <v>0.88268156424581001</v>
      </c>
      <c r="F15" s="2897">
        <f>+D15/C15</f>
        <v>1.1329113924050633</v>
      </c>
      <c r="G15" s="2858">
        <v>170</v>
      </c>
      <c r="H15" s="2896">
        <v>194</v>
      </c>
      <c r="I15" s="2089">
        <f>+G15/H15</f>
        <v>0.87628865979381443</v>
      </c>
      <c r="J15" s="2897">
        <f>+H15/G15</f>
        <v>1.1411764705882352</v>
      </c>
      <c r="K15" s="2858">
        <v>176</v>
      </c>
      <c r="L15" s="2896">
        <v>202</v>
      </c>
      <c r="M15" s="2089">
        <f>+K15/L15</f>
        <v>0.87128712871287128</v>
      </c>
      <c r="N15" s="2897">
        <f>+L15/K15</f>
        <v>1.1477272727272727</v>
      </c>
      <c r="O15" s="2858">
        <v>175</v>
      </c>
      <c r="P15" s="2896">
        <v>1187</v>
      </c>
      <c r="Q15" s="2089">
        <f>+O15/P15</f>
        <v>0.14743049705139005</v>
      </c>
      <c r="R15" s="2897">
        <f>+P15/O15</f>
        <v>6.7828571428571429</v>
      </c>
      <c r="S15" s="2858">
        <v>473</v>
      </c>
      <c r="T15" s="2896">
        <v>1200</v>
      </c>
      <c r="U15" s="2897">
        <f>+T15/S15</f>
        <v>2.536997885835095</v>
      </c>
      <c r="V15" s="2858">
        <v>737</v>
      </c>
      <c r="W15" s="2896">
        <v>1199</v>
      </c>
      <c r="X15" s="2897">
        <f>+W15/V15</f>
        <v>1.6268656716417911</v>
      </c>
      <c r="Y15" s="2858">
        <v>737</v>
      </c>
      <c r="Z15" s="2896">
        <v>1224</v>
      </c>
      <c r="AA15" s="2897">
        <f>+Z15/Y15</f>
        <v>1.66078697421981</v>
      </c>
      <c r="AB15" s="2858">
        <v>805</v>
      </c>
      <c r="AC15" s="2896">
        <v>1189</v>
      </c>
      <c r="AD15" s="2897">
        <f>+AC15/AB15</f>
        <v>1.4770186335403728</v>
      </c>
      <c r="AE15" s="2858">
        <v>867</v>
      </c>
      <c r="AF15" s="2896">
        <v>1177</v>
      </c>
      <c r="AG15" s="2897">
        <f>+AF15/AE15</f>
        <v>1.3575547866205306</v>
      </c>
      <c r="AH15" s="2858">
        <v>867</v>
      </c>
      <c r="AI15" s="2896">
        <v>1157</v>
      </c>
      <c r="AJ15" s="2897">
        <f>+AI15/AH15</f>
        <v>1.334486735870819</v>
      </c>
      <c r="AK15" s="2858">
        <v>952</v>
      </c>
      <c r="AL15" s="2896">
        <v>1165</v>
      </c>
      <c r="AM15" s="2897">
        <f>+AL15/AK15</f>
        <v>1.2237394957983194</v>
      </c>
      <c r="AN15" s="2858">
        <v>2584</v>
      </c>
      <c r="AO15" s="2896">
        <v>1179</v>
      </c>
      <c r="AP15" s="2897">
        <f>+AO15/AN15</f>
        <v>0.45626934984520123</v>
      </c>
      <c r="AQ15" s="2858">
        <v>1052</v>
      </c>
      <c r="AR15" s="2896">
        <v>1194</v>
      </c>
      <c r="AS15" s="2897">
        <f>+AR15/AQ15</f>
        <v>1.1349809885931559</v>
      </c>
      <c r="AT15" s="2858">
        <v>1052</v>
      </c>
      <c r="AU15" s="2896">
        <v>1184</v>
      </c>
      <c r="AV15" s="2897">
        <f>+AU15/AT15</f>
        <v>1.1254752851711027</v>
      </c>
      <c r="AW15" s="2858">
        <v>1052</v>
      </c>
      <c r="AX15" s="2896">
        <f>+'A.37.'!J57</f>
        <v>1160</v>
      </c>
      <c r="AY15" s="2897">
        <f>+AX15/AW15</f>
        <v>1.102661596958175</v>
      </c>
      <c r="AZ15" s="2858">
        <v>602</v>
      </c>
      <c r="BA15" s="2896">
        <v>1185</v>
      </c>
      <c r="BB15" s="2897">
        <f>+BA15/AZ15</f>
        <v>1.9684385382059801</v>
      </c>
      <c r="BC15" s="2858">
        <v>705</v>
      </c>
      <c r="BD15" s="2896">
        <v>1193</v>
      </c>
      <c r="BE15" s="2897">
        <f>+BD15/BC15</f>
        <v>1.6921985815602838</v>
      </c>
    </row>
    <row r="16" spans="1:60">
      <c r="S16" s="64"/>
      <c r="V16" s="64"/>
      <c r="Y16" s="64"/>
      <c r="AB16" s="64"/>
      <c r="AE16" s="64"/>
      <c r="AH16" s="1506"/>
      <c r="AK16" s="1506"/>
      <c r="AN16" s="1506"/>
      <c r="AQ16" s="1506"/>
      <c r="AR16" s="3023"/>
      <c r="AS16" s="3023"/>
      <c r="AT16" s="64" t="s">
        <v>2288</v>
      </c>
      <c r="AU16" s="4101"/>
      <c r="AV16" s="4101"/>
      <c r="AW16" s="64" t="s">
        <v>2288</v>
      </c>
      <c r="AX16" s="5075"/>
      <c r="AY16" s="5075"/>
      <c r="AZ16" s="64"/>
      <c r="BA16" s="5317"/>
      <c r="BB16" s="5317"/>
      <c r="BC16" s="64"/>
      <c r="BD16" s="5317"/>
      <c r="BE16" s="5317"/>
      <c r="BH16" s="5317"/>
    </row>
    <row r="17" spans="1:57" ht="16.2">
      <c r="A17" s="7398" t="s">
        <v>240</v>
      </c>
      <c r="B17" s="2898" t="s">
        <v>683</v>
      </c>
      <c r="C17" s="2899">
        <v>651</v>
      </c>
      <c r="D17" s="2900">
        <f>10243+1091</f>
        <v>11334</v>
      </c>
      <c r="E17" s="2901">
        <f>+C17/D17</f>
        <v>5.7437797776601379E-2</v>
      </c>
      <c r="F17" s="2902">
        <f>+D17/C17</f>
        <v>17.410138248847925</v>
      </c>
      <c r="G17" s="2899">
        <v>696</v>
      </c>
      <c r="H17" s="2900">
        <f>10369+1252</f>
        <v>11621</v>
      </c>
      <c r="I17" s="2901">
        <f>+G17/H17</f>
        <v>5.9891575595903968E-2</v>
      </c>
      <c r="J17" s="2902">
        <f>+H17/G17</f>
        <v>16.696839080459771</v>
      </c>
      <c r="K17" s="2899">
        <v>720</v>
      </c>
      <c r="L17" s="2900">
        <f>10789+1303</f>
        <v>12092</v>
      </c>
      <c r="M17" s="2901">
        <f>+K17/L17</f>
        <v>5.9543499834601388E-2</v>
      </c>
      <c r="N17" s="2902">
        <f>+L17/K17</f>
        <v>16.794444444444444</v>
      </c>
      <c r="O17" s="2899"/>
      <c r="P17" s="2900"/>
      <c r="Q17" s="2901"/>
      <c r="R17" s="2902"/>
      <c r="S17" s="2899">
        <v>200</v>
      </c>
      <c r="T17" s="2900">
        <v>161</v>
      </c>
      <c r="U17" s="2902">
        <f>+T17/S17</f>
        <v>0.80500000000000005</v>
      </c>
      <c r="V17" s="2899">
        <v>119</v>
      </c>
      <c r="W17" s="2900">
        <v>220</v>
      </c>
      <c r="X17" s="2902">
        <f>+W17/V17</f>
        <v>1.8487394957983194</v>
      </c>
      <c r="Y17" s="2899">
        <v>129</v>
      </c>
      <c r="Z17" s="2900">
        <v>348</v>
      </c>
      <c r="AA17" s="2902">
        <f>+Z17/Y17</f>
        <v>2.6976744186046511</v>
      </c>
      <c r="AB17" s="2899">
        <v>200</v>
      </c>
      <c r="AC17" s="2900">
        <v>416</v>
      </c>
      <c r="AD17" s="2902">
        <f>+AC17/AB17</f>
        <v>2.08</v>
      </c>
      <c r="AE17" s="2899">
        <v>205</v>
      </c>
      <c r="AF17" s="2900">
        <v>495</v>
      </c>
      <c r="AG17" s="2902">
        <f>+AF17/AE17</f>
        <v>2.4146341463414633</v>
      </c>
      <c r="AH17" s="2899">
        <v>205</v>
      </c>
      <c r="AI17" s="2900">
        <v>598</v>
      </c>
      <c r="AJ17" s="2902">
        <f>+AI17/AH17</f>
        <v>2.9170731707317072</v>
      </c>
      <c r="AK17" s="2899">
        <v>255</v>
      </c>
      <c r="AL17" s="2900">
        <v>738</v>
      </c>
      <c r="AM17" s="2902">
        <f>+AL17/AK17</f>
        <v>2.8941176470588235</v>
      </c>
      <c r="AN17" s="2899">
        <v>264</v>
      </c>
      <c r="AO17" s="2900">
        <v>934</v>
      </c>
      <c r="AP17" s="2902">
        <f>+AO17/AN17</f>
        <v>3.5378787878787881</v>
      </c>
      <c r="AQ17" s="2899">
        <v>359</v>
      </c>
      <c r="AR17" s="2900">
        <v>1122</v>
      </c>
      <c r="AS17" s="2902">
        <f>+AR17/AQ17</f>
        <v>3.1253481894150417</v>
      </c>
      <c r="AT17" s="2899">
        <v>410</v>
      </c>
      <c r="AU17" s="2900">
        <v>1311</v>
      </c>
      <c r="AV17" s="2902">
        <f>+AU17/AT17</f>
        <v>3.1975609756097563</v>
      </c>
      <c r="AW17" s="2899">
        <v>327</v>
      </c>
      <c r="AX17" s="2900">
        <v>1403</v>
      </c>
      <c r="AY17" s="2902">
        <f>+AX17/AW17</f>
        <v>4.2905198776758411</v>
      </c>
      <c r="AZ17" s="2899">
        <v>461</v>
      </c>
      <c r="BA17" s="2900">
        <v>1554</v>
      </c>
      <c r="BB17" s="2902">
        <f>+BA17/AZ17</f>
        <v>3.3709327548806942</v>
      </c>
      <c r="BC17" s="2899">
        <v>563</v>
      </c>
      <c r="BD17" s="2900">
        <v>1628</v>
      </c>
      <c r="BE17" s="2902">
        <f>+BD17/BC17</f>
        <v>2.8916518650088809</v>
      </c>
    </row>
    <row r="18" spans="1:57" ht="16.2">
      <c r="A18" s="7399"/>
      <c r="B18" s="2892" t="s">
        <v>2930</v>
      </c>
      <c r="C18" s="2842">
        <v>800</v>
      </c>
      <c r="D18" s="2893">
        <v>791</v>
      </c>
      <c r="E18" s="2087">
        <f>+C18/D18</f>
        <v>1.0113780025284449</v>
      </c>
      <c r="F18" s="2894">
        <f>+D18/C18</f>
        <v>0.98875000000000002</v>
      </c>
      <c r="G18" s="2842">
        <v>814</v>
      </c>
      <c r="H18" s="2893">
        <v>793</v>
      </c>
      <c r="I18" s="2087">
        <f>+G18/H18</f>
        <v>1.0264817150063053</v>
      </c>
      <c r="J18" s="2894">
        <f>+H18/G18</f>
        <v>0.97420147420147418</v>
      </c>
      <c r="K18" s="2842">
        <v>819</v>
      </c>
      <c r="L18" s="2893">
        <v>789</v>
      </c>
      <c r="M18" s="2087">
        <f>+K18/L18</f>
        <v>1.038022813688213</v>
      </c>
      <c r="N18" s="2894">
        <f>+L18/K18</f>
        <v>0.96336996336996339</v>
      </c>
      <c r="O18" s="2842"/>
      <c r="P18" s="2893"/>
      <c r="Q18" s="2087"/>
      <c r="R18" s="2894"/>
      <c r="S18" s="2842">
        <v>36</v>
      </c>
      <c r="T18" s="2893">
        <v>27</v>
      </c>
      <c r="U18" s="2894">
        <f>+T18/S18</f>
        <v>0.75</v>
      </c>
      <c r="V18" s="2842">
        <v>36</v>
      </c>
      <c r="W18" s="2893">
        <v>46</v>
      </c>
      <c r="X18" s="2894">
        <f>+W18/V18</f>
        <v>1.2777777777777777</v>
      </c>
      <c r="Y18" s="2842">
        <v>66</v>
      </c>
      <c r="Z18" s="2893">
        <v>64</v>
      </c>
      <c r="AA18" s="2894">
        <f>+Z18/Y18</f>
        <v>0.96969696969696972</v>
      </c>
      <c r="AB18" s="2842">
        <v>72</v>
      </c>
      <c r="AC18" s="2893">
        <v>72</v>
      </c>
      <c r="AD18" s="2894">
        <f>+AC18/AB18</f>
        <v>1</v>
      </c>
      <c r="AE18" s="2842">
        <v>108</v>
      </c>
      <c r="AF18" s="2893">
        <v>64</v>
      </c>
      <c r="AG18" s="2894">
        <f>+AF18/AE18</f>
        <v>0.59259259259259256</v>
      </c>
      <c r="AH18" s="2842">
        <v>108</v>
      </c>
      <c r="AI18" s="2893">
        <v>78</v>
      </c>
      <c r="AJ18" s="2894">
        <f>+AI18/AH18</f>
        <v>0.72222222222222221</v>
      </c>
      <c r="AK18" s="2842">
        <v>157</v>
      </c>
      <c r="AL18" s="2893">
        <v>88</v>
      </c>
      <c r="AM18" s="2894">
        <f>+AL18/AK18</f>
        <v>0.56050955414012738</v>
      </c>
      <c r="AN18" s="2842">
        <v>174</v>
      </c>
      <c r="AO18" s="2893">
        <v>85</v>
      </c>
      <c r="AP18" s="2894">
        <f>+AO18/AN18</f>
        <v>0.4885057471264368</v>
      </c>
      <c r="AQ18" s="2842">
        <v>161</v>
      </c>
      <c r="AR18" s="2893">
        <v>94</v>
      </c>
      <c r="AS18" s="2894">
        <f>+AR18/AQ18</f>
        <v>0.58385093167701863</v>
      </c>
      <c r="AT18" s="2842">
        <v>184</v>
      </c>
      <c r="AU18" s="2893">
        <v>107</v>
      </c>
      <c r="AV18" s="2894">
        <f>+AU18/AT18</f>
        <v>0.58152173913043481</v>
      </c>
      <c r="AW18" s="2842">
        <v>256</v>
      </c>
      <c r="AX18" s="2893">
        <f>+'A.37.'!F59</f>
        <v>112</v>
      </c>
      <c r="AY18" s="2894">
        <f>+AX18/AW18</f>
        <v>0.4375</v>
      </c>
      <c r="AZ18" s="2842">
        <v>218</v>
      </c>
      <c r="BA18" s="2893">
        <v>103</v>
      </c>
      <c r="BB18" s="2894">
        <f>+BA18/AZ18</f>
        <v>0.47247706422018348</v>
      </c>
      <c r="BC18" s="2842">
        <v>180</v>
      </c>
      <c r="BD18" s="2893">
        <v>112</v>
      </c>
      <c r="BE18" s="2894">
        <f>+BD18/BC18</f>
        <v>0.62222222222222223</v>
      </c>
    </row>
    <row r="19" spans="1:57" ht="16.2">
      <c r="A19" s="7400"/>
      <c r="B19" s="2895" t="s">
        <v>684</v>
      </c>
      <c r="C19" s="2858">
        <v>158</v>
      </c>
      <c r="D19" s="2896">
        <v>179</v>
      </c>
      <c r="E19" s="2089">
        <f>+C19/D19</f>
        <v>0.88268156424581001</v>
      </c>
      <c r="F19" s="2897">
        <f>+D19/C19</f>
        <v>1.1329113924050633</v>
      </c>
      <c r="G19" s="2858">
        <v>170</v>
      </c>
      <c r="H19" s="2896">
        <v>194</v>
      </c>
      <c r="I19" s="2089">
        <f>+G19/H19</f>
        <v>0.87628865979381443</v>
      </c>
      <c r="J19" s="2897">
        <f>+H19/G19</f>
        <v>1.1411764705882352</v>
      </c>
      <c r="K19" s="2858">
        <v>176</v>
      </c>
      <c r="L19" s="2896">
        <v>202</v>
      </c>
      <c r="M19" s="2089">
        <f>+K19/L19</f>
        <v>0.87128712871287128</v>
      </c>
      <c r="N19" s="2897">
        <f>+L19/K19</f>
        <v>1.1477272727272727</v>
      </c>
      <c r="O19" s="2858"/>
      <c r="P19" s="2896"/>
      <c r="Q19" s="2089"/>
      <c r="R19" s="2897"/>
      <c r="S19" s="2858">
        <v>46</v>
      </c>
      <c r="T19" s="2896">
        <v>41</v>
      </c>
      <c r="U19" s="2897">
        <f>+T19/S19</f>
        <v>0.89130434782608692</v>
      </c>
      <c r="V19" s="2858">
        <v>13</v>
      </c>
      <c r="W19" s="2896">
        <v>50</v>
      </c>
      <c r="X19" s="2897">
        <f>+W19/V19</f>
        <v>3.8461538461538463</v>
      </c>
      <c r="Y19" s="2858">
        <v>16</v>
      </c>
      <c r="Z19" s="2896">
        <v>56</v>
      </c>
      <c r="AA19" s="2897">
        <f>+Z19/Y19</f>
        <v>3.5</v>
      </c>
      <c r="AB19" s="2858">
        <v>79</v>
      </c>
      <c r="AC19" s="2896">
        <v>80</v>
      </c>
      <c r="AD19" s="2897">
        <f>+AC19/AB19</f>
        <v>1.0126582278481013</v>
      </c>
      <c r="AE19" s="2858">
        <v>89</v>
      </c>
      <c r="AF19" s="2896">
        <v>81</v>
      </c>
      <c r="AG19" s="2897">
        <f>+AF19/AE19</f>
        <v>0.9101123595505618</v>
      </c>
      <c r="AH19" s="2858">
        <v>89</v>
      </c>
      <c r="AI19" s="2896">
        <v>118</v>
      </c>
      <c r="AJ19" s="2897">
        <f>+AI19/AH19</f>
        <v>1.3258426966292134</v>
      </c>
      <c r="AK19" s="2858">
        <v>88</v>
      </c>
      <c r="AL19" s="2896">
        <v>118</v>
      </c>
      <c r="AM19" s="2897">
        <f>+AL19/AK19</f>
        <v>1.3409090909090908</v>
      </c>
      <c r="AN19" s="2858">
        <v>136</v>
      </c>
      <c r="AO19" s="2896">
        <v>138</v>
      </c>
      <c r="AP19" s="2897">
        <f>+AO19/AN19</f>
        <v>1.0147058823529411</v>
      </c>
      <c r="AQ19" s="2858">
        <v>80</v>
      </c>
      <c r="AR19" s="2896">
        <v>163</v>
      </c>
      <c r="AS19" s="2897">
        <f>+AR19/AQ19</f>
        <v>2.0375000000000001</v>
      </c>
      <c r="AT19" s="2858">
        <v>113</v>
      </c>
      <c r="AU19" s="2896">
        <v>172</v>
      </c>
      <c r="AV19" s="2897">
        <f>+AU19/AT19</f>
        <v>1.5221238938053097</v>
      </c>
      <c r="AW19" s="2858">
        <v>75</v>
      </c>
      <c r="AX19" s="2896">
        <f>+'A.37.'!J59</f>
        <v>166</v>
      </c>
      <c r="AY19" s="2897">
        <f>+AX19/AW19</f>
        <v>2.2133333333333334</v>
      </c>
      <c r="AZ19" s="2858">
        <v>109</v>
      </c>
      <c r="BA19" s="2896">
        <v>168</v>
      </c>
      <c r="BB19" s="2897">
        <f>+BA19/AZ19</f>
        <v>1.5412844036697249</v>
      </c>
      <c r="BC19" s="2858">
        <v>134</v>
      </c>
      <c r="BD19" s="2896">
        <v>194</v>
      </c>
      <c r="BE19" s="2897">
        <f>+BD19/BC19</f>
        <v>1.4477611940298507</v>
      </c>
    </row>
    <row r="20" spans="1:57">
      <c r="S20" s="64">
        <f>SUM(S17:S19)</f>
        <v>282</v>
      </c>
      <c r="V20" s="64">
        <f>SUM(V17:V19)</f>
        <v>168</v>
      </c>
      <c r="Y20" s="64"/>
      <c r="AB20" s="64"/>
      <c r="AE20" s="64"/>
      <c r="AH20" s="1507" t="s">
        <v>2288</v>
      </c>
      <c r="AK20" s="1507"/>
      <c r="AN20" s="1507"/>
      <c r="AQ20" s="1507"/>
      <c r="AR20" s="3023"/>
      <c r="AS20" s="3023"/>
      <c r="AT20" s="1507"/>
      <c r="AU20" s="4101"/>
      <c r="AV20" s="4101"/>
      <c r="AW20" s="1507"/>
      <c r="AX20" s="5075"/>
      <c r="AY20" s="5075"/>
      <c r="AZ20" s="1507"/>
      <c r="BA20" s="5317"/>
      <c r="BB20" s="5317"/>
      <c r="BC20" s="1507"/>
      <c r="BD20" s="5317"/>
      <c r="BE20" s="5317"/>
    </row>
    <row r="21" spans="1:57" ht="14.7" customHeight="1">
      <c r="A21" s="7401" t="s">
        <v>48</v>
      </c>
      <c r="B21" s="2898" t="s">
        <v>683</v>
      </c>
      <c r="C21" s="2899">
        <v>410</v>
      </c>
      <c r="D21" s="2900">
        <f>590+14049</f>
        <v>14639</v>
      </c>
      <c r="E21" s="2901">
        <f>+C21/D21</f>
        <v>2.8007377553111553E-2</v>
      </c>
      <c r="F21" s="2902">
        <f>+D21/C21</f>
        <v>35.704878048780486</v>
      </c>
      <c r="G21" s="2899">
        <v>487</v>
      </c>
      <c r="H21" s="2900">
        <f>630+13745</f>
        <v>14375</v>
      </c>
      <c r="I21" s="2901">
        <f>+G21/H21</f>
        <v>3.3878260869565219E-2</v>
      </c>
      <c r="J21" s="2902">
        <f>+H21/G21</f>
        <v>29.517453798767967</v>
      </c>
      <c r="K21" s="2899">
        <v>480</v>
      </c>
      <c r="L21" s="2900">
        <f>13387+747</f>
        <v>14134</v>
      </c>
      <c r="M21" s="2901">
        <f>+K21/L21</f>
        <v>3.3960662232913545E-2</v>
      </c>
      <c r="N21" s="2902">
        <f>+L21/K21</f>
        <v>29.445833333333333</v>
      </c>
      <c r="O21" s="2899">
        <v>590</v>
      </c>
      <c r="P21" s="2900">
        <f>13485+685</f>
        <v>14170</v>
      </c>
      <c r="Q21" s="2901">
        <f>+O21/P21</f>
        <v>4.1637261820748062E-2</v>
      </c>
      <c r="R21" s="2902">
        <f>+P21/O21</f>
        <v>24.016949152542374</v>
      </c>
      <c r="S21" s="2899">
        <v>906</v>
      </c>
      <c r="T21" s="2900">
        <f>13456+687</f>
        <v>14143</v>
      </c>
      <c r="U21" s="2902">
        <f>+T21/S21</f>
        <v>15.610375275938189</v>
      </c>
      <c r="V21" s="2899">
        <v>1541</v>
      </c>
      <c r="W21" s="2900">
        <v>14178</v>
      </c>
      <c r="X21" s="2902">
        <f>+W21/V21</f>
        <v>9.2005191434133682</v>
      </c>
      <c r="Y21" s="2899">
        <v>1651</v>
      </c>
      <c r="Z21" s="2900">
        <v>14230</v>
      </c>
      <c r="AA21" s="2902">
        <f>+Z21/Y21</f>
        <v>8.6190187764990913</v>
      </c>
      <c r="AB21" s="2899">
        <v>1651</v>
      </c>
      <c r="AC21" s="2900">
        <v>14381</v>
      </c>
      <c r="AD21" s="2902">
        <f>+AC21/AB21</f>
        <v>8.7104784978800733</v>
      </c>
      <c r="AE21" s="2899">
        <v>2062</v>
      </c>
      <c r="AF21" s="2900">
        <v>14410</v>
      </c>
      <c r="AG21" s="2902">
        <f>+AF21/AE21</f>
        <v>6.9883608147429683</v>
      </c>
      <c r="AH21" s="2899">
        <v>702</v>
      </c>
      <c r="AI21" s="2900">
        <v>14449</v>
      </c>
      <c r="AJ21" s="2902">
        <f>+AI21/AH21</f>
        <v>20.582621082621081</v>
      </c>
      <c r="AK21" s="2899">
        <v>723</v>
      </c>
      <c r="AL21" s="2900">
        <v>14911</v>
      </c>
      <c r="AM21" s="2902">
        <f>+AL21/AK21</f>
        <v>20.623789764868604</v>
      </c>
      <c r="AN21" s="2899">
        <v>723</v>
      </c>
      <c r="AO21" s="2900">
        <v>15340</v>
      </c>
      <c r="AP21" s="2902">
        <f>+AO21/AN21</f>
        <v>21.217150760719225</v>
      </c>
      <c r="AQ21" s="2899">
        <v>723</v>
      </c>
      <c r="AR21" s="2900">
        <v>15031</v>
      </c>
      <c r="AS21" s="2902">
        <f>+AR21/AQ21</f>
        <v>20.789764868603044</v>
      </c>
      <c r="AT21" s="2899">
        <v>723</v>
      </c>
      <c r="AU21" s="2900">
        <v>15507</v>
      </c>
      <c r="AV21" s="2902">
        <f>+AU21/AT21</f>
        <v>21.448132780082986</v>
      </c>
      <c r="AW21" s="2899">
        <v>900</v>
      </c>
      <c r="AX21" s="2900">
        <v>15320</v>
      </c>
      <c r="AY21" s="2902">
        <f>+AX21/AW21</f>
        <v>17.022222222222222</v>
      </c>
      <c r="AZ21" s="2899">
        <v>868</v>
      </c>
      <c r="BA21" s="2900">
        <v>15458</v>
      </c>
      <c r="BB21" s="2902">
        <f>+BA21/AZ21</f>
        <v>17.808755760368662</v>
      </c>
      <c r="BC21" s="2899">
        <v>925</v>
      </c>
      <c r="BD21" s="2900">
        <v>15042</v>
      </c>
      <c r="BE21" s="2902">
        <f>+BD21/BC21</f>
        <v>16.261621621621622</v>
      </c>
    </row>
    <row r="22" spans="1:57" ht="14.7" customHeight="1">
      <c r="A22" s="7402"/>
      <c r="B22" s="2892" t="s">
        <v>2930</v>
      </c>
      <c r="C22" s="2842">
        <v>400</v>
      </c>
      <c r="D22" s="2893">
        <v>816</v>
      </c>
      <c r="E22" s="2087">
        <f>+C22/D22</f>
        <v>0.49019607843137253</v>
      </c>
      <c r="F22" s="2894">
        <f>+D22/C22</f>
        <v>2.04</v>
      </c>
      <c r="G22" s="2842">
        <v>404</v>
      </c>
      <c r="H22" s="2893">
        <v>819</v>
      </c>
      <c r="I22" s="2087">
        <f>+G22/H22</f>
        <v>0.49328449328449331</v>
      </c>
      <c r="J22" s="2894">
        <f>+H22/G22</f>
        <v>2.027227722772277</v>
      </c>
      <c r="K22" s="2842">
        <v>400</v>
      </c>
      <c r="L22" s="2893">
        <v>820</v>
      </c>
      <c r="M22" s="2087">
        <f>+K22/L22</f>
        <v>0.48780487804878048</v>
      </c>
      <c r="N22" s="2894">
        <f>+L22/K22</f>
        <v>2.0499999999999998</v>
      </c>
      <c r="O22" s="2842">
        <v>456</v>
      </c>
      <c r="P22" s="2893">
        <v>1349</v>
      </c>
      <c r="Q22" s="2087">
        <f>+O22/P22</f>
        <v>0.3380281690140845</v>
      </c>
      <c r="R22" s="2894">
        <f>+P22/O22</f>
        <v>2.9583333333333335</v>
      </c>
      <c r="S22" s="2842">
        <v>1276</v>
      </c>
      <c r="T22" s="2893">
        <v>1389</v>
      </c>
      <c r="U22" s="2894">
        <f>+T22/S22</f>
        <v>1.0885579937304075</v>
      </c>
      <c r="V22" s="2842">
        <v>1253</v>
      </c>
      <c r="W22" s="2893">
        <v>1378</v>
      </c>
      <c r="X22" s="2894">
        <f>+W22/V22</f>
        <v>1.0997605746209098</v>
      </c>
      <c r="Y22" s="2842">
        <v>1417</v>
      </c>
      <c r="Z22" s="2893">
        <v>1398</v>
      </c>
      <c r="AA22" s="2894">
        <f>+Z22/Y22</f>
        <v>0.98659139026111509</v>
      </c>
      <c r="AB22" s="2842">
        <v>1417</v>
      </c>
      <c r="AC22" s="2893">
        <v>1398</v>
      </c>
      <c r="AD22" s="2894">
        <f>+AC22/AB22</f>
        <v>0.98659139026111509</v>
      </c>
      <c r="AE22" s="2842">
        <v>1497</v>
      </c>
      <c r="AF22" s="2893">
        <v>1410</v>
      </c>
      <c r="AG22" s="2894">
        <f>+AF22/AE22</f>
        <v>0.94188376753507019</v>
      </c>
      <c r="AH22" s="2842">
        <v>1644</v>
      </c>
      <c r="AI22" s="2893">
        <v>1405</v>
      </c>
      <c r="AJ22" s="2894">
        <f>+AI22/AH22</f>
        <v>0.85462287104622869</v>
      </c>
      <c r="AK22" s="2842">
        <v>1740</v>
      </c>
      <c r="AL22" s="2893">
        <v>1420</v>
      </c>
      <c r="AM22" s="2894">
        <f>+AL22/AK22</f>
        <v>0.81609195402298851</v>
      </c>
      <c r="AN22" s="2842">
        <v>1740</v>
      </c>
      <c r="AO22" s="2893">
        <v>1408</v>
      </c>
      <c r="AP22" s="2894">
        <f>+AO22/AN22</f>
        <v>0.80919540229885056</v>
      </c>
      <c r="AQ22" s="2842">
        <v>1740</v>
      </c>
      <c r="AR22" s="2893">
        <v>1320</v>
      </c>
      <c r="AS22" s="2894">
        <f>+AR22/AQ22</f>
        <v>0.75862068965517238</v>
      </c>
      <c r="AT22" s="2842">
        <v>1740</v>
      </c>
      <c r="AU22" s="2893">
        <v>1379</v>
      </c>
      <c r="AV22" s="2894">
        <f>+AU22/AT22</f>
        <v>0.79252873563218396</v>
      </c>
      <c r="AW22" s="2842">
        <v>2059</v>
      </c>
      <c r="AX22" s="2893">
        <f>+'A.37.'!F61</f>
        <v>1337</v>
      </c>
      <c r="AY22" s="2894">
        <f>+AX22/AW22</f>
        <v>0.64934434191355028</v>
      </c>
      <c r="AZ22" s="2842">
        <v>2486</v>
      </c>
      <c r="BA22" s="2893">
        <v>1335</v>
      </c>
      <c r="BB22" s="2894">
        <f>+BA22/AZ22</f>
        <v>0.5370072405470635</v>
      </c>
      <c r="BC22" s="2842">
        <v>2405</v>
      </c>
      <c r="BD22" s="2893">
        <v>1343</v>
      </c>
      <c r="BE22" s="2894">
        <f>+BD22/BC22</f>
        <v>0.5584199584199584</v>
      </c>
    </row>
    <row r="23" spans="1:57" ht="16.2">
      <c r="A23" s="7403"/>
      <c r="B23" s="2895" t="s">
        <v>684</v>
      </c>
      <c r="C23" s="2858">
        <v>130</v>
      </c>
      <c r="D23" s="2896">
        <v>209</v>
      </c>
      <c r="E23" s="2089">
        <f>+C23/D23</f>
        <v>0.62200956937799046</v>
      </c>
      <c r="F23" s="2897">
        <f>+D23/C23</f>
        <v>1.6076923076923078</v>
      </c>
      <c r="G23" s="2858">
        <v>145</v>
      </c>
      <c r="H23" s="2896">
        <v>219</v>
      </c>
      <c r="I23" s="2089">
        <f>+G23/H23</f>
        <v>0.66210045662100458</v>
      </c>
      <c r="J23" s="2897">
        <f>+H23/G23</f>
        <v>1.5103448275862068</v>
      </c>
      <c r="K23" s="2858">
        <v>150</v>
      </c>
      <c r="L23" s="2896">
        <v>222</v>
      </c>
      <c r="M23" s="2089">
        <f>+K23/L23</f>
        <v>0.67567567567567566</v>
      </c>
      <c r="N23" s="2897">
        <f>+L23/K23</f>
        <v>1.48</v>
      </c>
      <c r="O23" s="2858">
        <v>150</v>
      </c>
      <c r="P23" s="2896">
        <v>1355</v>
      </c>
      <c r="Q23" s="2089">
        <f>+O23/P23</f>
        <v>0.11070110701107011</v>
      </c>
      <c r="R23" s="2897">
        <f>+P23/O23</f>
        <v>9.0333333333333332</v>
      </c>
      <c r="S23" s="2858">
        <v>545</v>
      </c>
      <c r="T23" s="2896">
        <v>1368</v>
      </c>
      <c r="U23" s="2897">
        <f>+T23/S23</f>
        <v>2.5100917431192662</v>
      </c>
      <c r="V23" s="2858">
        <v>850</v>
      </c>
      <c r="W23" s="2896">
        <v>1363</v>
      </c>
      <c r="X23" s="2897">
        <f>+W23/V23</f>
        <v>1.6035294117647059</v>
      </c>
      <c r="Y23" s="2858">
        <v>889</v>
      </c>
      <c r="Z23" s="2896">
        <v>1354</v>
      </c>
      <c r="AA23" s="2897">
        <f>+Z23/Y23</f>
        <v>1.5230596175478066</v>
      </c>
      <c r="AB23" s="2858">
        <v>889</v>
      </c>
      <c r="AC23" s="2896">
        <v>1379</v>
      </c>
      <c r="AD23" s="2897">
        <f>+AC23/AB23</f>
        <v>1.5511811023622046</v>
      </c>
      <c r="AE23" s="2858">
        <v>965</v>
      </c>
      <c r="AF23" s="2896">
        <v>1371</v>
      </c>
      <c r="AG23" s="2897">
        <f>+AF23/AE23</f>
        <v>1.4207253886010363</v>
      </c>
      <c r="AH23" s="2858">
        <v>1053</v>
      </c>
      <c r="AI23" s="2896">
        <v>1342</v>
      </c>
      <c r="AJ23" s="2897">
        <f>+AI23/AH23</f>
        <v>1.2744539411206077</v>
      </c>
      <c r="AK23" s="2858">
        <v>1141</v>
      </c>
      <c r="AL23" s="2896">
        <v>1347</v>
      </c>
      <c r="AM23" s="2897">
        <f>+AL23/AK23</f>
        <v>1.1805433829973708</v>
      </c>
      <c r="AN23" s="2858">
        <v>1141</v>
      </c>
      <c r="AO23" s="2896">
        <v>1356</v>
      </c>
      <c r="AP23" s="2897">
        <f>+AO23/AN23</f>
        <v>1.1884312007011393</v>
      </c>
      <c r="AQ23" s="2858">
        <v>1141</v>
      </c>
      <c r="AR23" s="2896">
        <v>1361</v>
      </c>
      <c r="AS23" s="2897">
        <f>+AR23/AQ23</f>
        <v>1.1928133216476775</v>
      </c>
      <c r="AT23" s="2858">
        <v>1141</v>
      </c>
      <c r="AU23" s="2896">
        <v>1373</v>
      </c>
      <c r="AV23" s="2897">
        <f>+AU23/AT23</f>
        <v>1.2033304119193691</v>
      </c>
      <c r="AW23" s="2858">
        <v>1776</v>
      </c>
      <c r="AX23" s="2896">
        <f>+'A.37.'!J61</f>
        <v>1344</v>
      </c>
      <c r="AY23" s="2897">
        <f>+AX23/AW23</f>
        <v>0.7567567567567568</v>
      </c>
      <c r="AZ23" s="2858">
        <v>1793</v>
      </c>
      <c r="BA23" s="2896">
        <v>1374</v>
      </c>
      <c r="BB23" s="2897">
        <f>+BA23/AZ23</f>
        <v>0.76631344116006694</v>
      </c>
      <c r="BC23" s="2858">
        <v>1808</v>
      </c>
      <c r="BD23" s="2896">
        <v>1390</v>
      </c>
      <c r="BE23" s="2897">
        <f>+BD23/BC23</f>
        <v>0.76880530973451322</v>
      </c>
    </row>
    <row r="24" spans="1:57">
      <c r="S24" s="64"/>
      <c r="V24" s="64"/>
      <c r="Y24" s="64"/>
      <c r="AB24" s="64"/>
      <c r="AE24" s="64"/>
      <c r="AH24" s="64"/>
      <c r="AK24" s="64"/>
      <c r="AN24" s="64" t="s">
        <v>2288</v>
      </c>
      <c r="AQ24" s="64" t="s">
        <v>2288</v>
      </c>
      <c r="AR24" s="3023"/>
      <c r="AS24" s="3023"/>
      <c r="AT24" s="64" t="s">
        <v>2288</v>
      </c>
      <c r="AU24" s="4101"/>
      <c r="AV24" s="4101"/>
      <c r="AW24" s="64"/>
      <c r="AX24" s="5075"/>
      <c r="AY24" s="5075"/>
      <c r="AZ24" s="64"/>
      <c r="BA24" s="5317"/>
      <c r="BB24" s="5317"/>
      <c r="BC24" s="64"/>
      <c r="BD24" s="5317"/>
      <c r="BE24" s="5317"/>
    </row>
    <row r="25" spans="1:57" ht="14.7" customHeight="1">
      <c r="A25" s="7415" t="s">
        <v>87</v>
      </c>
      <c r="B25" s="2898" t="s">
        <v>683</v>
      </c>
      <c r="C25" s="2899"/>
      <c r="D25" s="2900"/>
      <c r="E25" s="2901"/>
      <c r="F25" s="2902"/>
      <c r="G25" s="2899"/>
      <c r="H25" s="2900"/>
      <c r="I25" s="2901"/>
      <c r="J25" s="2902"/>
      <c r="K25" s="2899"/>
      <c r="L25" s="2900"/>
      <c r="M25" s="2901"/>
      <c r="N25" s="2902"/>
      <c r="O25" s="2899"/>
      <c r="P25" s="2900"/>
      <c r="Q25" s="2901"/>
      <c r="R25" s="2902"/>
      <c r="S25" s="2899"/>
      <c r="T25" s="2900"/>
      <c r="U25" s="2902"/>
      <c r="V25" s="2899"/>
      <c r="W25" s="2900"/>
      <c r="X25" s="2902"/>
      <c r="Y25" s="2899"/>
      <c r="Z25" s="2900"/>
      <c r="AA25" s="2902"/>
      <c r="AB25" s="2899"/>
      <c r="AC25" s="2900"/>
      <c r="AD25" s="2902"/>
      <c r="AE25" s="2899"/>
      <c r="AF25" s="2900"/>
      <c r="AG25" s="2902"/>
      <c r="AH25" s="2899"/>
      <c r="AI25" s="2900"/>
      <c r="AJ25" s="2902"/>
      <c r="AK25" s="2899"/>
      <c r="AL25" s="2900"/>
      <c r="AM25" s="2902"/>
      <c r="AN25" s="2899"/>
      <c r="AO25" s="2900"/>
      <c r="AP25" s="2902"/>
      <c r="AQ25" s="2899"/>
      <c r="AR25" s="2900"/>
      <c r="AS25" s="2902"/>
      <c r="AT25" s="2899"/>
      <c r="AU25" s="2900"/>
      <c r="AV25" s="2902"/>
      <c r="AW25" s="2899"/>
      <c r="AX25" s="2900"/>
      <c r="AY25" s="2902"/>
      <c r="AZ25" s="2899"/>
      <c r="BA25" s="2900"/>
      <c r="BB25" s="2902"/>
      <c r="BC25" s="2899"/>
      <c r="BD25" s="2900"/>
      <c r="BE25" s="2902"/>
    </row>
    <row r="26" spans="1:57" ht="16.2">
      <c r="A26" s="7416"/>
      <c r="B26" s="2892" t="s">
        <v>2930</v>
      </c>
      <c r="C26" s="2842"/>
      <c r="D26" s="2893"/>
      <c r="E26" s="2087"/>
      <c r="F26" s="2894"/>
      <c r="G26" s="2842"/>
      <c r="H26" s="2893"/>
      <c r="I26" s="2087"/>
      <c r="J26" s="2894"/>
      <c r="K26" s="2842"/>
      <c r="L26" s="2893"/>
      <c r="M26" s="2087"/>
      <c r="N26" s="2894"/>
      <c r="O26" s="2842"/>
      <c r="P26" s="2893"/>
      <c r="Q26" s="2087"/>
      <c r="R26" s="2894"/>
      <c r="S26" s="2842"/>
      <c r="T26" s="2893"/>
      <c r="U26" s="2894"/>
      <c r="V26" s="2842"/>
      <c r="W26" s="2893">
        <v>4</v>
      </c>
      <c r="X26" s="2894"/>
      <c r="Y26" s="2842"/>
      <c r="Z26" s="2893">
        <v>5</v>
      </c>
      <c r="AA26" s="2894"/>
      <c r="AB26" s="2842"/>
      <c r="AC26" s="2893">
        <v>5</v>
      </c>
      <c r="AD26" s="2894"/>
      <c r="AE26" s="2842"/>
      <c r="AF26" s="2893">
        <v>5</v>
      </c>
      <c r="AG26" s="2894"/>
      <c r="AH26" s="2842"/>
      <c r="AI26" s="2893">
        <v>5</v>
      </c>
      <c r="AJ26" s="2894"/>
      <c r="AK26" s="2842"/>
      <c r="AL26" s="2893">
        <v>6</v>
      </c>
      <c r="AM26" s="2894"/>
      <c r="AN26" s="2842"/>
      <c r="AO26" s="2893">
        <v>7</v>
      </c>
      <c r="AP26" s="2894"/>
      <c r="AQ26" s="2842"/>
      <c r="AR26" s="2893">
        <v>6</v>
      </c>
      <c r="AS26" s="2894"/>
      <c r="AT26" s="2842"/>
      <c r="AU26" s="2893">
        <v>6</v>
      </c>
      <c r="AV26" s="2894"/>
      <c r="AW26" s="2842"/>
      <c r="AX26" s="2893">
        <f>+'A.37.'!F63</f>
        <v>5</v>
      </c>
      <c r="AY26" s="2894"/>
      <c r="AZ26" s="2842"/>
      <c r="BA26" s="2893">
        <v>6</v>
      </c>
      <c r="BB26" s="2894"/>
      <c r="BC26" s="2842"/>
      <c r="BD26" s="2893">
        <v>9</v>
      </c>
      <c r="BE26" s="2894"/>
    </row>
    <row r="27" spans="1:57" ht="16.2">
      <c r="A27" s="7417"/>
      <c r="B27" s="2895" t="s">
        <v>684</v>
      </c>
      <c r="C27" s="2858"/>
      <c r="D27" s="2896"/>
      <c r="E27" s="2089"/>
      <c r="F27" s="2897"/>
      <c r="G27" s="2858"/>
      <c r="H27" s="2896"/>
      <c r="I27" s="2089"/>
      <c r="J27" s="2897"/>
      <c r="K27" s="2858"/>
      <c r="L27" s="2896"/>
      <c r="M27" s="2089"/>
      <c r="N27" s="2897"/>
      <c r="O27" s="2858">
        <v>790</v>
      </c>
      <c r="P27" s="2896">
        <f>1176</f>
        <v>1176</v>
      </c>
      <c r="Q27" s="2089"/>
      <c r="R27" s="2897">
        <f>P27/O27</f>
        <v>1.4886075949367088</v>
      </c>
      <c r="S27" s="2858">
        <v>930</v>
      </c>
      <c r="T27" s="2896">
        <v>1195</v>
      </c>
      <c r="U27" s="2897">
        <f>T27/S27</f>
        <v>1.2849462365591398</v>
      </c>
      <c r="V27" s="2858">
        <v>1050</v>
      </c>
      <c r="W27" s="2896">
        <v>1219</v>
      </c>
      <c r="X27" s="2897">
        <f>W27/V27</f>
        <v>1.160952380952381</v>
      </c>
      <c r="Y27" s="2858">
        <v>1330</v>
      </c>
      <c r="Z27" s="2896">
        <v>1224</v>
      </c>
      <c r="AA27" s="2897">
        <f>Z27/Y27</f>
        <v>0.92030075187969929</v>
      </c>
      <c r="AB27" s="2858">
        <v>1330</v>
      </c>
      <c r="AC27" s="2896">
        <v>1248</v>
      </c>
      <c r="AD27" s="2897">
        <f>AC27/AB27</f>
        <v>0.93834586466165415</v>
      </c>
      <c r="AE27" s="2858">
        <v>1324</v>
      </c>
      <c r="AF27" s="2896">
        <v>1225</v>
      </c>
      <c r="AG27" s="2897">
        <f>AF27/AE27</f>
        <v>0.92522658610271902</v>
      </c>
      <c r="AH27" s="2858">
        <v>1356</v>
      </c>
      <c r="AI27" s="2896">
        <v>1260</v>
      </c>
      <c r="AJ27" s="2897">
        <f>AI27/AH27</f>
        <v>0.92920353982300885</v>
      </c>
      <c r="AK27" s="2858">
        <v>1454</v>
      </c>
      <c r="AL27" s="2896">
        <v>1245</v>
      </c>
      <c r="AM27" s="2897">
        <f>AL27/AK27</f>
        <v>0.85625859697386519</v>
      </c>
      <c r="AN27" s="2858">
        <v>1362</v>
      </c>
      <c r="AO27" s="2896">
        <v>1225</v>
      </c>
      <c r="AP27" s="2897">
        <f>AO27/AN27</f>
        <v>0.89941262848751835</v>
      </c>
      <c r="AQ27" s="2858">
        <v>1670</v>
      </c>
      <c r="AR27" s="2896">
        <v>1233</v>
      </c>
      <c r="AS27" s="2897">
        <f>AR27/AQ27</f>
        <v>0.73832335329341314</v>
      </c>
      <c r="AT27" s="2858">
        <v>1811</v>
      </c>
      <c r="AU27" s="2896">
        <v>1232</v>
      </c>
      <c r="AV27" s="2897">
        <f>AU27/AT27</f>
        <v>0.68028713418001108</v>
      </c>
      <c r="AW27" s="2858">
        <v>1753</v>
      </c>
      <c r="AX27" s="2896">
        <f>+'A.37.'!J63</f>
        <v>1219</v>
      </c>
      <c r="AY27" s="2897">
        <f>AX27/AW27</f>
        <v>0.69537934968625215</v>
      </c>
      <c r="AZ27" s="2858">
        <v>1611</v>
      </c>
      <c r="BA27" s="2896">
        <v>1201</v>
      </c>
      <c r="BB27" s="2897">
        <f>BA27/AZ27</f>
        <v>0.74549968963376789</v>
      </c>
      <c r="BC27" s="2858">
        <v>1654</v>
      </c>
      <c r="BD27" s="2896">
        <v>1230</v>
      </c>
      <c r="BE27" s="2897">
        <f>BD27/BC27</f>
        <v>0.74365175332527211</v>
      </c>
    </row>
    <row r="28" spans="1:57" ht="14.7" customHeight="1">
      <c r="B28" s="33"/>
      <c r="C28" s="33"/>
      <c r="D28" s="33"/>
      <c r="E28" s="33"/>
      <c r="F28" s="33"/>
      <c r="O28" s="119"/>
      <c r="P28" s="119"/>
      <c r="R28" s="119"/>
      <c r="AQ28" s="3023"/>
      <c r="AR28" s="3023"/>
      <c r="AS28" s="3023"/>
      <c r="AT28" s="4101"/>
      <c r="AU28" s="4101"/>
      <c r="AV28" s="4101"/>
      <c r="AW28" s="5075"/>
      <c r="AX28" s="5075"/>
      <c r="AY28" s="5075"/>
      <c r="AZ28" s="5317"/>
      <c r="BA28" s="5317"/>
      <c r="BB28" s="5317"/>
      <c r="BC28" s="5317"/>
      <c r="BD28" s="5317"/>
      <c r="BE28" s="5317"/>
    </row>
    <row r="29" spans="1:57" ht="16.2">
      <c r="A29" s="7395" t="s">
        <v>112</v>
      </c>
      <c r="B29" s="2898" t="s">
        <v>683</v>
      </c>
      <c r="C29" s="2899">
        <f t="shared" ref="C29:D31" si="0">SUM(C5,C9,C13,C21)</f>
        <v>2288</v>
      </c>
      <c r="D29" s="2900">
        <f t="shared" si="0"/>
        <v>40155</v>
      </c>
      <c r="E29" s="2901"/>
      <c r="F29" s="2902">
        <f>D29/C29</f>
        <v>17.550262237762237</v>
      </c>
      <c r="G29" s="2899">
        <f t="shared" ref="G29:H31" si="1">SUM(G5,G9,G13,G21)</f>
        <v>2695</v>
      </c>
      <c r="H29" s="2900">
        <f t="shared" si="1"/>
        <v>40612</v>
      </c>
      <c r="I29" s="2901"/>
      <c r="J29" s="2902">
        <f>H29/G29</f>
        <v>15.06938775510204</v>
      </c>
      <c r="K29" s="2899">
        <f t="shared" ref="K29:L31" si="2">SUM(K5,K9,K13,K21)</f>
        <v>2965</v>
      </c>
      <c r="L29" s="2900">
        <f t="shared" si="2"/>
        <v>41429</v>
      </c>
      <c r="M29" s="2901"/>
      <c r="N29" s="2902">
        <f>L29/K29</f>
        <v>13.972681281618888</v>
      </c>
      <c r="O29" s="2899">
        <f>SUM(O5,O9,O13,O21)</f>
        <v>3292</v>
      </c>
      <c r="P29" s="2900">
        <f>SUM(P5,P9,P13,P21)</f>
        <v>43350</v>
      </c>
      <c r="Q29" s="2901"/>
      <c r="R29" s="2902">
        <f>P29/O29</f>
        <v>13.168286755771568</v>
      </c>
      <c r="S29" s="2899">
        <f t="shared" ref="S29:T31" si="3">SUM(S5,S9,S13,S17,S21,S25)</f>
        <v>3756</v>
      </c>
      <c r="T29" s="2900">
        <f t="shared" si="3"/>
        <v>43920</v>
      </c>
      <c r="U29" s="2902">
        <f>T29/S29</f>
        <v>11.693290734824281</v>
      </c>
      <c r="V29" s="2899">
        <f t="shared" ref="V29:W31" si="4">SUM(V5,V9,V13,V17,V21,V25)</f>
        <v>4519</v>
      </c>
      <c r="W29" s="2900">
        <f t="shared" si="4"/>
        <v>45040</v>
      </c>
      <c r="X29" s="2902">
        <f>W29/V29</f>
        <v>9.9668068156671836</v>
      </c>
      <c r="Y29" s="2899">
        <f t="shared" ref="Y29:Z31" si="5">SUM(Y5,Y9,Y13,Y17,Y21,Y25)</f>
        <v>5024</v>
      </c>
      <c r="Z29" s="2900">
        <f t="shared" si="5"/>
        <v>46665</v>
      </c>
      <c r="AA29" s="2902">
        <f>Z29/Y29</f>
        <v>9.2884156050955422</v>
      </c>
      <c r="AB29" s="2899">
        <f t="shared" ref="AB29:AC31" si="6">SUM(AB5,AB9,AB13,AB17,AB21,AB25)</f>
        <v>5116</v>
      </c>
      <c r="AC29" s="2900">
        <f t="shared" si="6"/>
        <v>47551</v>
      </c>
      <c r="AD29" s="2902">
        <f>AC29/AB29</f>
        <v>9.2945660672400319</v>
      </c>
      <c r="AE29" s="2899">
        <f t="shared" ref="AE29:AF31" si="7">SUM(AE5,AE9,AE13,AE17,AE21,AE25)</f>
        <v>5434</v>
      </c>
      <c r="AF29" s="2900">
        <f t="shared" si="7"/>
        <v>47865</v>
      </c>
      <c r="AG29" s="2902">
        <f>AF29/AE29</f>
        <v>8.8084284136915709</v>
      </c>
      <c r="AH29" s="2899">
        <f t="shared" ref="AH29:AI31" si="8">SUM(AH5,AH9,AH13,AH17,AH21,AH25)</f>
        <v>4520</v>
      </c>
      <c r="AI29" s="2900">
        <f t="shared" si="8"/>
        <v>48182</v>
      </c>
      <c r="AJ29" s="2902">
        <f>AI29/AH29</f>
        <v>10.659734513274337</v>
      </c>
      <c r="AK29" s="2899">
        <f t="shared" ref="AK29:AL31" si="9">SUM(AK5,AK9,AK13,AK17,AK21,AK25)</f>
        <v>4509</v>
      </c>
      <c r="AL29" s="2900">
        <f t="shared" si="9"/>
        <v>48385</v>
      </c>
      <c r="AM29" s="2902">
        <f>AL29/AK29</f>
        <v>10.73076070082058</v>
      </c>
      <c r="AN29" s="2899">
        <f t="shared" ref="AN29:AO31" si="10">SUM(AN5,AN9,AN13,AN17,AN21,AN25)</f>
        <v>4594</v>
      </c>
      <c r="AO29" s="2900">
        <f t="shared" si="10"/>
        <v>49178</v>
      </c>
      <c r="AP29" s="2902">
        <f>AO29/AN29</f>
        <v>10.70483239007401</v>
      </c>
      <c r="AQ29" s="2899">
        <f t="shared" ref="AQ29:AR31" si="11">SUM(AQ5,AQ9,AQ13,AQ17,AQ21,AQ25)</f>
        <v>4955</v>
      </c>
      <c r="AR29" s="2900">
        <f t="shared" si="11"/>
        <v>48106</v>
      </c>
      <c r="AS29" s="2902">
        <f>AR29/AQ29</f>
        <v>9.7085771947527757</v>
      </c>
      <c r="AT29" s="2899">
        <f t="shared" ref="AT29:AU31" si="12">SUM(AT5,AT9,AT13,AT17,AT21,AT25)</f>
        <v>5144</v>
      </c>
      <c r="AU29" s="2900">
        <f t="shared" si="12"/>
        <v>49792</v>
      </c>
      <c r="AV29" s="2902">
        <f>AU29/AT29</f>
        <v>9.679626749611197</v>
      </c>
      <c r="AW29" s="2899">
        <f t="shared" ref="AW29:AX29" si="13">SUM(AW5,AW9,AW13,AW17,AW21,AW25)</f>
        <v>5189</v>
      </c>
      <c r="AX29" s="2900">
        <f t="shared" si="13"/>
        <v>49652</v>
      </c>
      <c r="AY29" s="2902">
        <f>AX29/AW29</f>
        <v>9.5687030256311427</v>
      </c>
      <c r="AZ29" s="2899">
        <f t="shared" ref="AZ29:BA29" si="14">SUM(AZ5,AZ9,AZ13,AZ17,AZ21,AZ25)</f>
        <v>5216</v>
      </c>
      <c r="BA29" s="2900">
        <f t="shared" si="14"/>
        <v>50690</v>
      </c>
      <c r="BB29" s="2902">
        <f>BA29/AZ29</f>
        <v>9.7181748466257662</v>
      </c>
      <c r="BC29" s="2899">
        <f t="shared" ref="BC29:BD29" si="15">SUM(BC5,BC9,BC13,BC17,BC21,BC25)</f>
        <v>5202</v>
      </c>
      <c r="BD29" s="2900">
        <f t="shared" si="15"/>
        <v>49866</v>
      </c>
      <c r="BE29" s="2902">
        <f>BD29/BC29</f>
        <v>9.5859284890426757</v>
      </c>
    </row>
    <row r="30" spans="1:57" ht="16.2">
      <c r="A30" s="7396"/>
      <c r="B30" s="2892" t="s">
        <v>2930</v>
      </c>
      <c r="C30" s="2842">
        <f t="shared" si="0"/>
        <v>2353</v>
      </c>
      <c r="D30" s="2893">
        <f t="shared" si="0"/>
        <v>2495</v>
      </c>
      <c r="E30" s="2087"/>
      <c r="F30" s="2894">
        <f>D30/C30</f>
        <v>1.0603484912877179</v>
      </c>
      <c r="G30" s="2842">
        <f t="shared" si="1"/>
        <v>2433</v>
      </c>
      <c r="H30" s="2893">
        <f t="shared" si="1"/>
        <v>2520</v>
      </c>
      <c r="I30" s="2087"/>
      <c r="J30" s="2894">
        <f>H30/G30</f>
        <v>1.0357583230579532</v>
      </c>
      <c r="K30" s="2842">
        <f t="shared" si="2"/>
        <v>2494</v>
      </c>
      <c r="L30" s="2893">
        <f t="shared" si="2"/>
        <v>2537</v>
      </c>
      <c r="M30" s="2087"/>
      <c r="N30" s="2894">
        <f>L30/K30</f>
        <v>1.0172413793103448</v>
      </c>
      <c r="O30" s="2842">
        <f>SUM(O6,O10,O14,O22)</f>
        <v>2618</v>
      </c>
      <c r="P30" s="2893">
        <f>SUM(P6,P10,P14,P22)</f>
        <v>4296</v>
      </c>
      <c r="Q30" s="2087"/>
      <c r="R30" s="2894">
        <f>P30/O30</f>
        <v>1.6409472880061116</v>
      </c>
      <c r="S30" s="2842">
        <f t="shared" si="3"/>
        <v>4271</v>
      </c>
      <c r="T30" s="2893">
        <f t="shared" si="3"/>
        <v>4376</v>
      </c>
      <c r="U30" s="2894">
        <f>T30/S30</f>
        <v>1.0245844064621867</v>
      </c>
      <c r="V30" s="2842">
        <f t="shared" si="4"/>
        <v>4179</v>
      </c>
      <c r="W30" s="2893">
        <f t="shared" si="4"/>
        <v>4412</v>
      </c>
      <c r="X30" s="2894">
        <f>W30/V30</f>
        <v>1.0557549653027041</v>
      </c>
      <c r="Y30" s="2842">
        <f t="shared" si="5"/>
        <v>6752</v>
      </c>
      <c r="Z30" s="2893">
        <f t="shared" si="5"/>
        <v>4416</v>
      </c>
      <c r="AA30" s="2894">
        <f>Z30/Y30</f>
        <v>0.65402843601895733</v>
      </c>
      <c r="AB30" s="2842">
        <f t="shared" si="6"/>
        <v>7083</v>
      </c>
      <c r="AC30" s="2893">
        <f t="shared" si="6"/>
        <v>4454</v>
      </c>
      <c r="AD30" s="2894">
        <f>AC30/AB30</f>
        <v>0.62882959198079913</v>
      </c>
      <c r="AE30" s="2842">
        <f t="shared" si="7"/>
        <v>5095</v>
      </c>
      <c r="AF30" s="2893">
        <f t="shared" si="7"/>
        <v>4445</v>
      </c>
      <c r="AG30" s="2894">
        <f>AF30/AE30</f>
        <v>0.87242394504416099</v>
      </c>
      <c r="AH30" s="2842">
        <f t="shared" si="8"/>
        <v>5713</v>
      </c>
      <c r="AI30" s="2893">
        <f t="shared" si="8"/>
        <v>4441</v>
      </c>
      <c r="AJ30" s="2894">
        <f>AI30/AH30</f>
        <v>0.7773499037283389</v>
      </c>
      <c r="AK30" s="2842">
        <f t="shared" si="9"/>
        <v>6239</v>
      </c>
      <c r="AL30" s="2893">
        <f t="shared" si="9"/>
        <v>4404</v>
      </c>
      <c r="AM30" s="2894">
        <f>AL30/AK30</f>
        <v>0.70588235294117652</v>
      </c>
      <c r="AN30" s="2842">
        <f t="shared" si="10"/>
        <v>6065</v>
      </c>
      <c r="AO30" s="2893">
        <f t="shared" si="10"/>
        <v>4426</v>
      </c>
      <c r="AP30" s="2894">
        <f>AO30/AN30</f>
        <v>0.72976092333058529</v>
      </c>
      <c r="AQ30" s="2842">
        <f t="shared" si="11"/>
        <v>6368</v>
      </c>
      <c r="AR30" s="2893">
        <f t="shared" si="11"/>
        <v>4146</v>
      </c>
      <c r="AS30" s="2894">
        <f>AR30/AQ30</f>
        <v>0.65106783919597988</v>
      </c>
      <c r="AT30" s="2842">
        <f t="shared" si="12"/>
        <v>6525</v>
      </c>
      <c r="AU30" s="2893">
        <f t="shared" si="12"/>
        <v>4365</v>
      </c>
      <c r="AV30" s="2894">
        <f>AU30/AT30</f>
        <v>0.66896551724137931</v>
      </c>
      <c r="AW30" s="2842">
        <f t="shared" ref="AW30:AX30" si="16">SUM(AW6,AW10,AW14,AW18,AW22,AW26)</f>
        <v>6835</v>
      </c>
      <c r="AX30" s="2893">
        <f t="shared" si="16"/>
        <v>4352</v>
      </c>
      <c r="AY30" s="2894">
        <f>AX30/AW30</f>
        <v>0.63672275054864669</v>
      </c>
      <c r="AZ30" s="2842">
        <f t="shared" ref="AZ30:BA30" si="17">SUM(AZ6,AZ10,AZ14,AZ18,AZ22,AZ26)</f>
        <v>8455</v>
      </c>
      <c r="BA30" s="2893">
        <f t="shared" si="17"/>
        <v>4335</v>
      </c>
      <c r="BB30" s="2894">
        <f>BA30/AZ30</f>
        <v>0.51271437019515076</v>
      </c>
      <c r="BC30" s="2842">
        <f t="shared" ref="BC30:BD30" si="18">SUM(BC6,BC10,BC14,BC18,BC22,BC26)</f>
        <v>7565</v>
      </c>
      <c r="BD30" s="2893">
        <f t="shared" si="18"/>
        <v>4347</v>
      </c>
      <c r="BE30" s="2894">
        <f>BD30/BC30</f>
        <v>0.57461996034368801</v>
      </c>
    </row>
    <row r="31" spans="1:57" ht="16.2">
      <c r="A31" s="7397"/>
      <c r="B31" s="2895" t="s">
        <v>684</v>
      </c>
      <c r="C31" s="2858">
        <f t="shared" si="0"/>
        <v>798</v>
      </c>
      <c r="D31" s="2896">
        <f t="shared" si="0"/>
        <v>615</v>
      </c>
      <c r="E31" s="2089"/>
      <c r="F31" s="2897">
        <f>D31/C31</f>
        <v>0.77067669172932329</v>
      </c>
      <c r="G31" s="2858">
        <f t="shared" si="1"/>
        <v>847</v>
      </c>
      <c r="H31" s="2896">
        <f t="shared" si="1"/>
        <v>660</v>
      </c>
      <c r="I31" s="2089"/>
      <c r="J31" s="2897">
        <f>H31/G31</f>
        <v>0.77922077922077926</v>
      </c>
      <c r="K31" s="2858">
        <f t="shared" si="2"/>
        <v>863</v>
      </c>
      <c r="L31" s="2896">
        <f t="shared" si="2"/>
        <v>685</v>
      </c>
      <c r="M31" s="2089"/>
      <c r="N31" s="2897">
        <f>L31/K31</f>
        <v>0.79374275782155268</v>
      </c>
      <c r="O31" s="2858">
        <f>SUM(O7,O11,O15,O23,O27)</f>
        <v>1698</v>
      </c>
      <c r="P31" s="2896">
        <f>SUM(P7,P11,P15,P23,P27)</f>
        <v>5173</v>
      </c>
      <c r="Q31" s="2089"/>
      <c r="R31" s="2897">
        <f>P31/O31</f>
        <v>3.0465253239104828</v>
      </c>
      <c r="S31" s="2858">
        <f t="shared" si="3"/>
        <v>2614</v>
      </c>
      <c r="T31" s="2896">
        <f t="shared" si="3"/>
        <v>5332</v>
      </c>
      <c r="U31" s="2897">
        <f>T31/S31</f>
        <v>2.039785768936496</v>
      </c>
      <c r="V31" s="2858">
        <f t="shared" si="4"/>
        <v>3212</v>
      </c>
      <c r="W31" s="2896">
        <f t="shared" si="4"/>
        <v>5383</v>
      </c>
      <c r="X31" s="2897">
        <f>W31/V31</f>
        <v>1.6759028642590286</v>
      </c>
      <c r="Y31" s="2858">
        <f t="shared" si="5"/>
        <v>5813</v>
      </c>
      <c r="Z31" s="2896">
        <f t="shared" si="5"/>
        <v>5425</v>
      </c>
      <c r="AA31" s="2897">
        <f>Z31/Y31</f>
        <v>0.93325305350077414</v>
      </c>
      <c r="AB31" s="2858">
        <f t="shared" si="6"/>
        <v>5916</v>
      </c>
      <c r="AC31" s="2896">
        <f t="shared" si="6"/>
        <v>5480</v>
      </c>
      <c r="AD31" s="2897">
        <f>AC31/AB31</f>
        <v>0.9263015551048005</v>
      </c>
      <c r="AE31" s="2858">
        <f t="shared" si="7"/>
        <v>3779</v>
      </c>
      <c r="AF31" s="2896">
        <f t="shared" si="7"/>
        <v>5447</v>
      </c>
      <c r="AG31" s="2897">
        <f>AF31/AE31</f>
        <v>1.4413866102143424</v>
      </c>
      <c r="AH31" s="2858">
        <f t="shared" si="8"/>
        <v>4485</v>
      </c>
      <c r="AI31" s="2896">
        <f t="shared" si="8"/>
        <v>5511</v>
      </c>
      <c r="AJ31" s="2897">
        <f>AI31/AH31</f>
        <v>1.22876254180602</v>
      </c>
      <c r="AK31" s="2858">
        <f t="shared" si="9"/>
        <v>4760</v>
      </c>
      <c r="AL31" s="2896">
        <f t="shared" si="9"/>
        <v>5494</v>
      </c>
      <c r="AM31" s="2897">
        <f>AL31/AK31</f>
        <v>1.1542016806722688</v>
      </c>
      <c r="AN31" s="2858">
        <f t="shared" si="10"/>
        <v>6374</v>
      </c>
      <c r="AO31" s="2896">
        <f t="shared" si="10"/>
        <v>5524</v>
      </c>
      <c r="AP31" s="2897">
        <f>AO31/AN31</f>
        <v>0.86664574835268282</v>
      </c>
      <c r="AQ31" s="2858">
        <f t="shared" si="11"/>
        <v>5029</v>
      </c>
      <c r="AR31" s="2896">
        <f t="shared" si="11"/>
        <v>5618</v>
      </c>
      <c r="AS31" s="2897">
        <f>AR31/AQ31</f>
        <v>1.117120699940346</v>
      </c>
      <c r="AT31" s="2858">
        <f t="shared" si="12"/>
        <v>5351</v>
      </c>
      <c r="AU31" s="2896">
        <f t="shared" si="12"/>
        <v>5605</v>
      </c>
      <c r="AV31" s="2897">
        <f>AU31/AT31</f>
        <v>1.0474677630349467</v>
      </c>
      <c r="AW31" s="2858">
        <f t="shared" ref="AW31:AX31" si="19">SUM(AW7,AW11,AW15,AW19,AW23,AW27)</f>
        <v>5874</v>
      </c>
      <c r="AX31" s="2896">
        <f t="shared" si="19"/>
        <v>5518</v>
      </c>
      <c r="AY31" s="2897">
        <f>AX31/AW31</f>
        <v>0.93939393939393945</v>
      </c>
      <c r="AZ31" s="2858">
        <f t="shared" ref="AZ31:BA31" si="20">SUM(AZ7,AZ11,AZ15,AZ19,AZ23,AZ27)</f>
        <v>5501</v>
      </c>
      <c r="BA31" s="2896">
        <f t="shared" si="20"/>
        <v>5561</v>
      </c>
      <c r="BB31" s="2897">
        <f>BA31/AZ31</f>
        <v>1.0109071077985821</v>
      </c>
      <c r="BC31" s="2858">
        <f t="shared" ref="BC31:BD31" si="21">SUM(BC7,BC11,BC15,BC19,BC23,BC27)</f>
        <v>5799</v>
      </c>
      <c r="BD31" s="2896">
        <f t="shared" si="21"/>
        <v>5662</v>
      </c>
      <c r="BE31" s="2897">
        <f>BD31/BC31</f>
        <v>0.97637523710984653</v>
      </c>
    </row>
    <row r="32" spans="1:57" ht="14.7" customHeight="1">
      <c r="B32" s="167" t="s">
        <v>685</v>
      </c>
      <c r="C32" s="167"/>
      <c r="D32" s="167"/>
      <c r="E32" s="167"/>
      <c r="F32" s="167"/>
      <c r="O32" s="2"/>
      <c r="P32" s="2"/>
    </row>
    <row r="33" spans="2:57" ht="14.7" customHeight="1">
      <c r="B33" s="164" t="s">
        <v>2931</v>
      </c>
      <c r="C33" s="167"/>
      <c r="D33" s="167"/>
      <c r="E33" s="167"/>
      <c r="F33" s="167"/>
    </row>
    <row r="34" spans="2:57">
      <c r="B34" s="167" t="s">
        <v>224</v>
      </c>
    </row>
    <row r="36" spans="2:57">
      <c r="BE36" s="5317"/>
    </row>
    <row r="37" spans="2:57">
      <c r="BE37" s="5317"/>
    </row>
    <row r="38" spans="2:57">
      <c r="BE38" s="5317"/>
    </row>
    <row r="39" spans="2:57">
      <c r="BE39" s="5317"/>
    </row>
    <row r="40" spans="2:57">
      <c r="BC40" s="27"/>
      <c r="BD40" s="27"/>
      <c r="BE40" s="27"/>
    </row>
  </sheetData>
  <mergeCells count="24">
    <mergeCell ref="BC3:BE3"/>
    <mergeCell ref="C3:F3"/>
    <mergeCell ref="G3:J3"/>
    <mergeCell ref="K3:N3"/>
    <mergeCell ref="A25:A27"/>
    <mergeCell ref="AZ3:BB3"/>
    <mergeCell ref="AW3:AY3"/>
    <mergeCell ref="O3:R3"/>
    <mergeCell ref="AH3:AJ3"/>
    <mergeCell ref="S3:U3"/>
    <mergeCell ref="V3:X3"/>
    <mergeCell ref="AE3:AG3"/>
    <mergeCell ref="Y3:AA3"/>
    <mergeCell ref="AB3:AD3"/>
    <mergeCell ref="AT3:AV3"/>
    <mergeCell ref="AQ3:AS3"/>
    <mergeCell ref="AK3:AM3"/>
    <mergeCell ref="AN3:AP3"/>
    <mergeCell ref="A29:A31"/>
    <mergeCell ref="A17:A19"/>
    <mergeCell ref="A21:A23"/>
    <mergeCell ref="A5:A7"/>
    <mergeCell ref="A9:A11"/>
    <mergeCell ref="A13:A15"/>
  </mergeCells>
  <dataValidations count="1">
    <dataValidation type="whole" showInputMessage="1" showErrorMessage="1" errorTitle="Validar" error="Se debe declarar valores numéricos que estén en el rango de 0 a 99999999" sqref="L26:L27 S13:S15 T14:T15 L14:L15 O13:O15 P14:P15 G13:G15 C13:C15 K13:K15 H14:H15 D14:D15 S5:S7 T6:T7 L6:L7 O5:O7 P6:P7 G5:G7 C5:C7 K5:K7 H6:H7 D6:D7 D10:D11 O9:O11 H10:H11 G9:G11 C9:C11 K9:K11 L10:L11 P10:P11 S9:S11 T10:T11 S17:S19 T18:T19 L18:L19 O17:O19 P18:P19 G17:G19 C17:C19 K17:K19 H18:H19 D18:D19 S21:S23 T22:T23 O21:O23 H22:H23 G21:G23 C21:C23 K21:K23 P22:P23 L22:L23 D22:D23 D26:D27 O25:O27 H26:H27 G25:G27 C25:C27 K25:K27 P26:P27 S25:S27 T26:T27 V13:V15 W14:W15 V5:V7 W6:W7 V9:V11 W10:W11 V17:V19 W18:W19 V21:V23 W22:W23 V25:V27 W26:W27 Y13:Y15 Z14:Z15 Y5:Y7 Z6:Z7 Y9:Y11 Z10:Z11 Y17:Y19 Z18:Z19 Y21:Y23 Z22:Z23 Y25:Y27 Z26:Z27 AB13:AB15 AC14:AC15 AB25:AB27 AC6:AC7 AC26:AC27 AC10:AC11 AC22:AC23 AC18:AC19 AF18:AF19 AF14:AF15 AE25:AE27 AF6:AF7 AF26:AF27 AF10:AF11 AF22:AF23 AI18:AI19 AI14:AI15 AH25:AH27 AI6:AI7 AI26:AI27 AI10:AI11 AI22:AI23 AL18:AL19 AL14:AL15 AK25:AK27 AL6:AL7 AL26:AL27 AL10:AL11 AL22:AL23 AO18:AO19 AO14:AO15 AN25:AN27 AO6:AO7 AO26:AO27 AO10:AO11 AO22:AO23 AR18:AR19 AR14:AR15 AQ25:AQ27 AR6:AR7 AR26:AR27 AR10:AR11 AR22:AR23 AU18:AU19 AU14:AU15 AT25:AT27 AU6:AU7 AU26:AU27 AU10:AU11 AU22:AU23 AX18:AX19 AX14:AX15 AW25:AW27 AX6:AX7 AX26:AX27 AX10:AX11 AX22:AX23 BA18:BA19 BA14:BA15 AZ25:AZ27 BA6:BA7 BA26:BA27 BA10:BA11 BA22:BA23 BD18:BD19 BD14:BD15 BC25:BC27 BD6:BD7 BD26:BD27 BD10:BD11 BD22:BD23">
      <formula1>0</formula1>
      <formula2>9999999</formula2>
    </dataValidation>
  </dataValidations>
  <printOptions horizontalCentered="1" verticalCentered="1"/>
  <pageMargins left="0.70866141732283472" right="0.70866141732283472" top="0.74803149606299213" bottom="0.74803149606299213" header="0.31496062992125984" footer="0.31496062992125984"/>
  <pageSetup scale="53" firstPageNumber="58" orientation="landscape" useFirstPageNumber="1" r:id="rId1"/>
  <headerFooter scaleWithDoc="0" alignWithMargins="0">
    <oddFooter>&amp;R&amp;P</oddFooter>
  </headerFooter>
  <ignoredErrors>
    <ignoredError sqref="AD29:AD31 AG29:AG31 AJ29:AJ31 AM29:AM31 AP29:AP31 AS29:AS31 AV29:AV31 AY29:AY31 BB29:BB31" formula="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V101"/>
  <sheetViews>
    <sheetView showGridLines="0" zoomScale="120" zoomScaleNormal="120" workbookViewId="0">
      <pane xSplit="1" ySplit="4" topLeftCell="B5" activePane="bottomRight" state="frozen"/>
      <selection activeCell="H20" sqref="H20"/>
      <selection pane="topRight" activeCell="H20" sqref="H20"/>
      <selection pane="bottomLeft" activeCell="H20" sqref="H20"/>
      <selection pane="bottomRight" activeCell="E16" sqref="E16"/>
    </sheetView>
  </sheetViews>
  <sheetFormatPr baseColWidth="10" defaultRowHeight="14.4"/>
  <cols>
    <col min="1" max="1" width="21.33203125" customWidth="1"/>
    <col min="2" max="2" width="12.6640625" customWidth="1"/>
  </cols>
  <sheetData>
    <row r="1" spans="1:22" ht="19.5" customHeight="1">
      <c r="B1" s="34"/>
      <c r="C1" s="34"/>
      <c r="D1" s="34"/>
      <c r="F1" s="34"/>
      <c r="O1" s="6475" t="s">
        <v>435</v>
      </c>
    </row>
    <row r="2" spans="1:22" ht="15.75" customHeight="1">
      <c r="B2" s="4210"/>
      <c r="C2" s="34"/>
      <c r="D2" s="34"/>
      <c r="O2" s="6500"/>
    </row>
    <row r="3" spans="1:22" ht="15.75" customHeight="1">
      <c r="B3" s="7418" t="s">
        <v>2977</v>
      </c>
      <c r="C3" s="7418"/>
      <c r="D3" s="7418"/>
      <c r="E3" s="7418"/>
      <c r="F3" s="7418"/>
      <c r="G3" s="7418"/>
      <c r="H3" s="7419" t="s">
        <v>1622</v>
      </c>
      <c r="I3" s="7420"/>
      <c r="J3" s="7420"/>
      <c r="K3" s="7420"/>
      <c r="L3" s="7420"/>
      <c r="M3" s="7420"/>
      <c r="N3" s="7420"/>
      <c r="O3" s="7420"/>
    </row>
    <row r="4" spans="1:22" ht="20.100000000000001" customHeight="1" thickBot="1">
      <c r="A4" s="2093" t="s">
        <v>481</v>
      </c>
      <c r="B4" s="2093">
        <v>2010</v>
      </c>
      <c r="C4" s="2093">
        <v>2011</v>
      </c>
      <c r="D4" s="2093">
        <v>2012</v>
      </c>
      <c r="E4" s="2093">
        <v>2013</v>
      </c>
      <c r="F4" s="2093">
        <v>2014</v>
      </c>
      <c r="G4" s="2093">
        <v>2015</v>
      </c>
      <c r="H4" s="2093">
        <v>2016</v>
      </c>
      <c r="I4" s="2093">
        <v>2017</v>
      </c>
      <c r="J4" s="2093">
        <v>2018</v>
      </c>
      <c r="K4" s="2093">
        <v>2019</v>
      </c>
      <c r="L4" s="2093">
        <v>2020</v>
      </c>
      <c r="M4" s="2093">
        <v>2021</v>
      </c>
      <c r="N4" s="2093">
        <v>2022</v>
      </c>
      <c r="O4" s="2093">
        <v>2023</v>
      </c>
    </row>
    <row r="5" spans="1:22" ht="20.100000000000001" customHeight="1">
      <c r="A5" s="2094" t="s">
        <v>3</v>
      </c>
      <c r="B5" s="2095">
        <v>8</v>
      </c>
      <c r="C5" s="2095">
        <v>100</v>
      </c>
      <c r="D5" s="2095">
        <v>200</v>
      </c>
      <c r="E5" s="2095">
        <v>200</v>
      </c>
      <c r="F5" s="2095">
        <v>200</v>
      </c>
      <c r="G5" s="2095">
        <v>200</v>
      </c>
      <c r="H5" s="6206">
        <v>2.6</v>
      </c>
      <c r="I5" s="6206">
        <v>2.6</v>
      </c>
      <c r="J5" s="6206">
        <v>2.6</v>
      </c>
      <c r="K5" s="6206">
        <v>2.6</v>
      </c>
      <c r="L5" s="6206">
        <v>2.6</v>
      </c>
      <c r="M5" s="6206">
        <v>2.5</v>
      </c>
      <c r="N5" s="2094">
        <v>2.5</v>
      </c>
      <c r="O5" s="2094">
        <v>2.5</v>
      </c>
      <c r="Q5" s="5317"/>
      <c r="R5" s="5317"/>
      <c r="S5" s="5317"/>
      <c r="T5" s="5317"/>
      <c r="U5" s="5317"/>
      <c r="V5" s="5317"/>
    </row>
    <row r="6" spans="1:22" ht="20.100000000000001" customHeight="1">
      <c r="A6" s="2094" t="s">
        <v>59</v>
      </c>
      <c r="B6" s="2095"/>
      <c r="C6" s="2095">
        <v>40</v>
      </c>
      <c r="D6" s="2095">
        <v>40</v>
      </c>
      <c r="E6" s="2095">
        <v>40</v>
      </c>
      <c r="F6" s="2095">
        <v>100</v>
      </c>
      <c r="G6" s="2095">
        <v>100</v>
      </c>
      <c r="H6" s="6206">
        <v>2.6</v>
      </c>
      <c r="I6" s="6206">
        <v>2.6</v>
      </c>
      <c r="J6" s="6206">
        <v>2.6</v>
      </c>
      <c r="K6" s="6206">
        <v>2.6</v>
      </c>
      <c r="L6" s="6206">
        <v>2.6</v>
      </c>
      <c r="M6" s="6206">
        <v>2.5</v>
      </c>
      <c r="N6" s="2094">
        <v>2.5</v>
      </c>
      <c r="O6" s="2094">
        <v>2.5</v>
      </c>
      <c r="Q6" s="5317"/>
      <c r="R6" s="5317"/>
      <c r="S6" s="5317"/>
      <c r="T6" s="5317"/>
      <c r="U6" s="5317"/>
      <c r="V6" s="5317"/>
    </row>
    <row r="7" spans="1:22" ht="20.100000000000001" customHeight="1">
      <c r="A7" s="2094" t="s">
        <v>25</v>
      </c>
      <c r="B7" s="2095">
        <v>34</v>
      </c>
      <c r="C7" s="2095">
        <v>100</v>
      </c>
      <c r="D7" s="2095">
        <v>100</v>
      </c>
      <c r="E7" s="2095">
        <v>100</v>
      </c>
      <c r="F7" s="2095">
        <v>150</v>
      </c>
      <c r="G7" s="2095">
        <v>150</v>
      </c>
      <c r="H7" s="6206">
        <v>2.6</v>
      </c>
      <c r="I7" s="6206">
        <v>2.6</v>
      </c>
      <c r="J7" s="6206">
        <v>2.6</v>
      </c>
      <c r="K7" s="6206">
        <v>2.6</v>
      </c>
      <c r="L7" s="6206">
        <v>2.6</v>
      </c>
      <c r="M7" s="6206">
        <v>2.5</v>
      </c>
      <c r="N7" s="2094">
        <v>2.5</v>
      </c>
      <c r="O7" s="2094">
        <v>2.5</v>
      </c>
      <c r="Q7" s="5317"/>
      <c r="R7" s="5317"/>
      <c r="S7" s="5317"/>
      <c r="T7" s="5317"/>
      <c r="U7" s="5317"/>
      <c r="V7" s="5317"/>
    </row>
    <row r="8" spans="1:22" ht="20.100000000000001" customHeight="1">
      <c r="A8" s="2094" t="s">
        <v>240</v>
      </c>
      <c r="B8" s="2095"/>
      <c r="C8" s="2095">
        <v>4</v>
      </c>
      <c r="D8" s="2095">
        <v>4</v>
      </c>
      <c r="E8" s="2095">
        <v>60</v>
      </c>
      <c r="F8" s="2095">
        <v>60</v>
      </c>
      <c r="G8" s="2095">
        <v>60</v>
      </c>
      <c r="H8" s="6206">
        <v>1.6</v>
      </c>
      <c r="I8" s="6206">
        <v>1.6</v>
      </c>
      <c r="J8" s="6206">
        <v>1.6</v>
      </c>
      <c r="K8" s="6206">
        <v>1.6</v>
      </c>
      <c r="L8" s="6206">
        <v>1.6</v>
      </c>
      <c r="M8" s="6206">
        <v>1.5</v>
      </c>
      <c r="N8" s="2094">
        <v>1.5</v>
      </c>
      <c r="O8" s="2094">
        <v>1.5</v>
      </c>
      <c r="Q8" s="5317"/>
      <c r="R8" s="5317"/>
      <c r="S8" s="5317"/>
      <c r="T8" s="5317"/>
      <c r="U8" s="5317"/>
      <c r="V8" s="5317"/>
    </row>
    <row r="9" spans="1:22" ht="20.100000000000001" customHeight="1">
      <c r="A9" s="2094" t="s">
        <v>48</v>
      </c>
      <c r="B9" s="2095">
        <v>4</v>
      </c>
      <c r="C9" s="2095">
        <v>100</v>
      </c>
      <c r="D9" s="2095">
        <v>100</v>
      </c>
      <c r="E9" s="2095">
        <v>200</v>
      </c>
      <c r="F9" s="2095">
        <v>200</v>
      </c>
      <c r="G9" s="2095">
        <v>200</v>
      </c>
      <c r="H9" s="6206">
        <v>2.6</v>
      </c>
      <c r="I9" s="6206">
        <v>2.6</v>
      </c>
      <c r="J9" s="6206">
        <v>2.6</v>
      </c>
      <c r="K9" s="6206">
        <v>2.6</v>
      </c>
      <c r="L9" s="6206">
        <v>2.6</v>
      </c>
      <c r="M9" s="6206">
        <v>2.5</v>
      </c>
      <c r="N9" s="2094">
        <v>2.5</v>
      </c>
      <c r="O9" s="2094">
        <v>2.5</v>
      </c>
      <c r="Q9" s="5317"/>
      <c r="R9" s="5317"/>
      <c r="S9" s="5317"/>
      <c r="T9" s="5317"/>
      <c r="U9" s="5317"/>
      <c r="V9" s="5317"/>
    </row>
    <row r="10" spans="1:22" s="5317" customFormat="1" ht="20.100000000000001" customHeight="1">
      <c r="A10" s="2094" t="s">
        <v>87</v>
      </c>
      <c r="B10" s="2095">
        <v>90</v>
      </c>
      <c r="C10" s="2095">
        <v>100</v>
      </c>
      <c r="D10" s="2095">
        <v>100</v>
      </c>
      <c r="E10" s="2095">
        <v>100</v>
      </c>
      <c r="F10" s="2095">
        <v>100</v>
      </c>
      <c r="G10" s="2095">
        <v>100</v>
      </c>
      <c r="H10" s="6206">
        <v>2.6</v>
      </c>
      <c r="I10" s="6206">
        <v>2.6</v>
      </c>
      <c r="J10" s="6206">
        <v>2.6</v>
      </c>
      <c r="K10" s="6206">
        <v>2.6</v>
      </c>
      <c r="L10" s="6206">
        <v>2.6</v>
      </c>
      <c r="M10" s="6206">
        <v>2.5</v>
      </c>
      <c r="N10" s="2094" t="s">
        <v>3236</v>
      </c>
      <c r="O10" s="2094" t="s">
        <v>3236</v>
      </c>
    </row>
    <row r="11" spans="1:22" ht="20.100000000000001" customHeight="1">
      <c r="A11" s="2904" t="s">
        <v>71</v>
      </c>
      <c r="B11" s="2905">
        <v>136</v>
      </c>
      <c r="C11" s="2905">
        <v>444</v>
      </c>
      <c r="D11" s="2905">
        <f>SUM(D5:D9)</f>
        <v>444</v>
      </c>
      <c r="E11" s="2905">
        <f>SUM(E5:E9)</f>
        <v>600</v>
      </c>
      <c r="F11" s="2905">
        <f>SUM(F5:F9)</f>
        <v>710</v>
      </c>
      <c r="G11" s="2905">
        <f>SUM(G5:G9)</f>
        <v>710</v>
      </c>
      <c r="H11" s="6207">
        <v>14.6</v>
      </c>
      <c r="I11" s="6207">
        <v>14.6</v>
      </c>
      <c r="J11" s="6207">
        <v>14.6</v>
      </c>
      <c r="K11" s="6207">
        <v>14.6</v>
      </c>
      <c r="L11" s="6207">
        <v>14.6</v>
      </c>
      <c r="M11" s="6208">
        <v>14</v>
      </c>
      <c r="N11" s="6205">
        <v>15</v>
      </c>
      <c r="O11" s="6205">
        <v>15</v>
      </c>
      <c r="Q11" s="5317"/>
      <c r="R11" s="5317"/>
      <c r="S11" s="5317"/>
      <c r="T11" s="5317"/>
      <c r="U11" s="5317"/>
      <c r="V11" s="5317"/>
    </row>
    <row r="12" spans="1:22" ht="15.75" customHeight="1">
      <c r="A12" s="32" t="s">
        <v>313</v>
      </c>
      <c r="B12" s="34"/>
      <c r="C12" s="34"/>
      <c r="D12" s="34"/>
      <c r="E12" s="34"/>
      <c r="F12" s="34"/>
      <c r="H12" s="120"/>
      <c r="N12" s="32"/>
      <c r="O12" s="6209" t="s">
        <v>3235</v>
      </c>
    </row>
    <row r="13" spans="1:22" ht="15.75" customHeight="1">
      <c r="A13" s="208"/>
      <c r="B13" s="34"/>
      <c r="C13" s="34"/>
      <c r="D13" s="34"/>
      <c r="E13" s="34"/>
      <c r="F13" s="34"/>
    </row>
    <row r="14" spans="1:22" ht="15.75" customHeight="1">
      <c r="A14" s="2417"/>
      <c r="B14" s="34"/>
      <c r="C14" s="34"/>
      <c r="D14" s="34"/>
      <c r="E14" s="34"/>
      <c r="F14" s="34"/>
      <c r="H14" s="5315" t="s">
        <v>2975</v>
      </c>
      <c r="I14" s="97">
        <v>9.77E-4</v>
      </c>
      <c r="J14" s="36" t="s">
        <v>1622</v>
      </c>
    </row>
    <row r="15" spans="1:22" ht="15.75" customHeight="1">
      <c r="A15" s="2421"/>
      <c r="B15" s="34"/>
      <c r="C15" s="34"/>
      <c r="D15" s="34"/>
      <c r="E15" s="34"/>
      <c r="F15" s="34"/>
      <c r="H15" s="5315" t="s">
        <v>2976</v>
      </c>
      <c r="I15" s="97">
        <v>1.024</v>
      </c>
      <c r="J15" s="36" t="s">
        <v>2977</v>
      </c>
    </row>
    <row r="16" spans="1:22" ht="15.75" customHeight="1">
      <c r="A16" s="2421"/>
      <c r="B16" s="34"/>
      <c r="C16" s="34"/>
      <c r="D16" s="34"/>
      <c r="E16" s="34"/>
      <c r="F16" s="34"/>
    </row>
    <row r="17" spans="1:13" ht="15.75" customHeight="1">
      <c r="A17" s="2421"/>
      <c r="B17" s="34"/>
      <c r="C17" s="34"/>
      <c r="D17" s="34"/>
      <c r="E17" s="34"/>
      <c r="F17" s="34"/>
    </row>
    <row r="18" spans="1:13" ht="15.75" customHeight="1">
      <c r="A18" s="2421"/>
      <c r="B18" s="34"/>
      <c r="C18" s="34"/>
      <c r="D18" s="34"/>
      <c r="E18" s="34"/>
      <c r="F18" s="34"/>
    </row>
    <row r="19" spans="1:13" ht="15.75" customHeight="1">
      <c r="A19" s="2421"/>
      <c r="B19" s="34"/>
      <c r="C19" s="34"/>
      <c r="D19" s="34"/>
      <c r="E19" s="34"/>
      <c r="F19" s="34"/>
    </row>
    <row r="20" spans="1:13" ht="15.75" customHeight="1">
      <c r="A20" s="2421"/>
      <c r="B20" s="34"/>
      <c r="C20" s="34"/>
      <c r="D20" s="34"/>
      <c r="E20" s="34"/>
      <c r="F20" s="34"/>
    </row>
    <row r="21" spans="1:13" ht="15.75" customHeight="1">
      <c r="A21" s="2421"/>
      <c r="B21" s="34"/>
      <c r="C21" s="34"/>
      <c r="D21" s="34"/>
      <c r="E21" s="34"/>
      <c r="F21" s="34"/>
      <c r="M21" s="2903"/>
    </row>
    <row r="22" spans="1:13" ht="15.75" customHeight="1">
      <c r="A22" s="2421"/>
      <c r="B22" s="34"/>
      <c r="C22" s="34"/>
      <c r="D22" s="34"/>
      <c r="E22" s="34"/>
      <c r="F22" s="34"/>
      <c r="M22" s="2903"/>
    </row>
    <row r="23" spans="1:13" ht="15.75" customHeight="1">
      <c r="A23" s="2421"/>
      <c r="B23" s="34"/>
      <c r="C23" s="34"/>
      <c r="D23" s="34"/>
      <c r="E23" s="34"/>
      <c r="F23" s="34"/>
    </row>
    <row r="24" spans="1:13" ht="15.75" customHeight="1">
      <c r="A24" s="2421"/>
      <c r="B24" s="34"/>
      <c r="C24" s="34"/>
      <c r="D24" s="34"/>
      <c r="E24" s="34"/>
      <c r="F24" s="34"/>
    </row>
    <row r="25" spans="1:13" ht="15.75" customHeight="1">
      <c r="A25" s="2421"/>
      <c r="B25" s="34"/>
      <c r="C25" s="34"/>
      <c r="D25" s="34"/>
      <c r="E25" s="34"/>
      <c r="F25" s="34"/>
    </row>
    <row r="26" spans="1:13" ht="15.75" customHeight="1">
      <c r="A26" s="2421"/>
      <c r="B26" s="34"/>
      <c r="C26" s="34"/>
      <c r="D26" s="34"/>
      <c r="E26" s="34"/>
      <c r="F26" s="34"/>
    </row>
    <row r="27" spans="1:13" ht="15.75" customHeight="1">
      <c r="A27" s="2421"/>
      <c r="B27" s="34"/>
      <c r="C27" s="34"/>
      <c r="D27" s="34"/>
      <c r="E27" s="34"/>
      <c r="F27" s="34"/>
    </row>
    <row r="28" spans="1:13" ht="15.75" customHeight="1">
      <c r="A28" s="2421"/>
      <c r="B28" s="34"/>
      <c r="C28" s="34"/>
      <c r="D28" s="34"/>
      <c r="E28" s="34"/>
      <c r="F28" s="34"/>
    </row>
    <row r="29" spans="1:13" ht="15.75" customHeight="1">
      <c r="A29" s="2421"/>
      <c r="B29" s="34"/>
      <c r="C29" s="34"/>
      <c r="D29" s="34"/>
      <c r="E29" s="34"/>
      <c r="F29" s="34"/>
    </row>
    <row r="30" spans="1:13" ht="15.75" customHeight="1">
      <c r="A30" s="2421"/>
      <c r="B30" s="34"/>
      <c r="C30" s="34"/>
      <c r="D30" s="34"/>
      <c r="E30" s="34"/>
      <c r="F30" s="34"/>
    </row>
    <row r="31" spans="1:13" ht="15.75" customHeight="1">
      <c r="A31" s="2421"/>
      <c r="B31" s="34"/>
      <c r="C31" s="34"/>
      <c r="D31" s="34"/>
      <c r="E31" s="34"/>
      <c r="F31" s="34"/>
    </row>
    <row r="32" spans="1:13" ht="15.75" customHeight="1">
      <c r="A32" s="2421"/>
      <c r="B32" s="34"/>
      <c r="C32" s="34"/>
      <c r="D32" s="34"/>
      <c r="E32" s="34"/>
      <c r="F32" s="34"/>
    </row>
    <row r="33" spans="1:6" ht="15.75" customHeight="1">
      <c r="A33" s="2421"/>
      <c r="B33" s="34"/>
      <c r="C33" s="34"/>
      <c r="D33" s="34"/>
      <c r="E33" s="34"/>
      <c r="F33" s="34"/>
    </row>
    <row r="34" spans="1:6" ht="15.75" customHeight="1">
      <c r="A34" s="2421"/>
      <c r="B34" s="34"/>
      <c r="C34" s="34"/>
      <c r="D34" s="34"/>
      <c r="E34" s="34"/>
      <c r="F34" s="34"/>
    </row>
    <row r="35" spans="1:6" ht="15.75" customHeight="1">
      <c r="A35" s="2421"/>
      <c r="B35" s="34"/>
      <c r="C35" s="34"/>
      <c r="D35" s="34"/>
      <c r="E35" s="34"/>
      <c r="F35" s="34"/>
    </row>
    <row r="36" spans="1:6" ht="15.75" customHeight="1">
      <c r="A36" s="2421"/>
      <c r="B36" s="34"/>
      <c r="C36" s="34"/>
      <c r="D36" s="34"/>
      <c r="E36" s="34"/>
      <c r="F36" s="34"/>
    </row>
    <row r="37" spans="1:6" ht="15.75" customHeight="1">
      <c r="A37" s="2421"/>
      <c r="B37" s="34"/>
      <c r="C37" s="34"/>
      <c r="D37" s="34"/>
      <c r="E37" s="34"/>
      <c r="F37" s="34"/>
    </row>
    <row r="38" spans="1:6" ht="15.75" customHeight="1">
      <c r="A38" s="2421"/>
      <c r="B38" s="34"/>
      <c r="C38" s="34"/>
      <c r="D38" s="34"/>
      <c r="E38" s="34"/>
      <c r="F38" s="34"/>
    </row>
    <row r="39" spans="1:6" ht="15.75" customHeight="1">
      <c r="A39" s="2421"/>
      <c r="B39" s="34"/>
      <c r="C39" s="34"/>
      <c r="D39" s="34"/>
      <c r="E39" s="34"/>
      <c r="F39" s="34"/>
    </row>
    <row r="40" spans="1:6" ht="15.75" customHeight="1">
      <c r="A40" s="2421"/>
      <c r="B40" s="34"/>
      <c r="C40" s="34"/>
      <c r="D40" s="34"/>
      <c r="E40" s="34"/>
      <c r="F40" s="34"/>
    </row>
    <row r="41" spans="1:6" ht="15.75" customHeight="1">
      <c r="A41" s="2421"/>
      <c r="B41" s="34"/>
      <c r="C41" s="34"/>
      <c r="D41" s="34"/>
      <c r="E41" s="34"/>
      <c r="F41" s="34"/>
    </row>
    <row r="42" spans="1:6" ht="15.75" customHeight="1">
      <c r="A42" s="2421"/>
      <c r="B42" s="34"/>
      <c r="C42" s="34"/>
      <c r="D42" s="34"/>
      <c r="E42" s="34"/>
      <c r="F42" s="34"/>
    </row>
    <row r="43" spans="1:6" ht="15.75" customHeight="1">
      <c r="A43" s="2421"/>
      <c r="B43" s="34"/>
      <c r="C43" s="34"/>
      <c r="D43" s="34"/>
      <c r="E43" s="34"/>
      <c r="F43" s="34"/>
    </row>
    <row r="44" spans="1:6" ht="15.75" customHeight="1">
      <c r="A44" s="2421"/>
      <c r="B44" s="34"/>
      <c r="C44" s="34"/>
      <c r="D44" s="34"/>
      <c r="E44" s="34"/>
      <c r="F44" s="34"/>
    </row>
    <row r="45" spans="1:6" ht="15.75" customHeight="1">
      <c r="A45" s="2421"/>
      <c r="B45" s="34"/>
      <c r="C45" s="34"/>
      <c r="D45" s="34"/>
      <c r="E45" s="34"/>
      <c r="F45" s="34"/>
    </row>
    <row r="46" spans="1:6" ht="15.75" customHeight="1">
      <c r="A46" s="2421"/>
      <c r="B46" s="34"/>
      <c r="C46" s="34"/>
      <c r="D46" s="34"/>
      <c r="E46" s="34"/>
      <c r="F46" s="34"/>
    </row>
    <row r="47" spans="1:6" ht="15.75" customHeight="1">
      <c r="A47" s="2421"/>
      <c r="B47" s="34"/>
      <c r="C47" s="34"/>
      <c r="D47" s="34"/>
      <c r="E47" s="34"/>
      <c r="F47" s="34"/>
    </row>
    <row r="48" spans="1:6" ht="15.75" customHeight="1">
      <c r="A48" s="2421"/>
      <c r="B48" s="34"/>
      <c r="C48" s="34"/>
      <c r="D48" s="34"/>
      <c r="E48" s="34"/>
      <c r="F48" s="34"/>
    </row>
    <row r="49" spans="1:6" ht="15.75" customHeight="1">
      <c r="A49" s="2421"/>
      <c r="B49" s="34"/>
      <c r="C49" s="34"/>
      <c r="D49" s="34"/>
      <c r="E49" s="34"/>
      <c r="F49" s="34"/>
    </row>
    <row r="50" spans="1:6" ht="15.75" customHeight="1">
      <c r="A50" s="2421"/>
      <c r="B50" s="34"/>
      <c r="C50" s="34"/>
      <c r="D50" s="34"/>
      <c r="E50" s="34"/>
      <c r="F50" s="34"/>
    </row>
    <row r="51" spans="1:6" ht="15.75" customHeight="1">
      <c r="A51" s="2421"/>
      <c r="B51" s="34"/>
      <c r="C51" s="34"/>
      <c r="D51" s="34"/>
      <c r="E51" s="34"/>
      <c r="F51" s="34"/>
    </row>
    <row r="52" spans="1:6" ht="15.75" customHeight="1">
      <c r="A52" s="2421"/>
      <c r="B52" s="34"/>
      <c r="C52" s="34"/>
      <c r="D52" s="34"/>
      <c r="E52" s="34"/>
      <c r="F52" s="34"/>
    </row>
    <row r="53" spans="1:6" ht="15.75" customHeight="1">
      <c r="A53" s="2421"/>
      <c r="B53" s="34"/>
      <c r="C53" s="34"/>
      <c r="D53" s="34"/>
      <c r="E53" s="34"/>
      <c r="F53" s="34"/>
    </row>
    <row r="54" spans="1:6" ht="15.75" customHeight="1">
      <c r="A54" s="2421"/>
      <c r="B54" s="34"/>
      <c r="C54" s="34"/>
      <c r="D54" s="34"/>
      <c r="E54" s="34"/>
      <c r="F54" s="34"/>
    </row>
    <row r="55" spans="1:6" ht="15.75" customHeight="1">
      <c r="A55" s="2421"/>
      <c r="B55" s="34"/>
      <c r="C55" s="34"/>
      <c r="D55" s="34"/>
      <c r="E55" s="34"/>
      <c r="F55" s="34"/>
    </row>
    <row r="56" spans="1:6" ht="15.75" customHeight="1">
      <c r="A56" s="2421"/>
      <c r="B56" s="34"/>
      <c r="C56" s="34"/>
      <c r="D56" s="34"/>
      <c r="E56" s="34"/>
      <c r="F56" s="34"/>
    </row>
    <row r="57" spans="1:6" ht="15.75" customHeight="1">
      <c r="A57" s="2421"/>
      <c r="B57" s="34"/>
      <c r="C57" s="34"/>
      <c r="D57" s="34"/>
      <c r="E57" s="34"/>
      <c r="F57" s="34"/>
    </row>
    <row r="58" spans="1:6" ht="15.75" customHeight="1">
      <c r="A58" s="2421"/>
      <c r="B58" s="34"/>
      <c r="C58" s="34"/>
      <c r="D58" s="34"/>
      <c r="E58" s="34"/>
      <c r="F58" s="34"/>
    </row>
    <row r="59" spans="1:6" ht="15.75" customHeight="1">
      <c r="A59" s="2421"/>
      <c r="B59" s="34"/>
      <c r="C59" s="34"/>
      <c r="D59" s="34"/>
      <c r="E59" s="34"/>
      <c r="F59" s="34"/>
    </row>
    <row r="60" spans="1:6" ht="15.75" customHeight="1">
      <c r="A60" s="2421"/>
      <c r="B60" s="34"/>
      <c r="C60" s="34"/>
      <c r="D60" s="34"/>
      <c r="E60" s="34"/>
      <c r="F60" s="34"/>
    </row>
    <row r="61" spans="1:6" ht="15.75" customHeight="1">
      <c r="A61" s="2421"/>
      <c r="B61" s="34"/>
      <c r="C61" s="34"/>
      <c r="D61" s="34"/>
      <c r="E61" s="34"/>
      <c r="F61" s="34"/>
    </row>
    <row r="62" spans="1:6" ht="15.75" customHeight="1">
      <c r="A62" s="2421"/>
      <c r="B62" s="34"/>
      <c r="C62" s="34"/>
      <c r="D62" s="34"/>
      <c r="E62" s="34"/>
      <c r="F62" s="34"/>
    </row>
    <row r="63" spans="1:6" ht="15.75" customHeight="1">
      <c r="A63" s="2421"/>
      <c r="B63" s="34"/>
      <c r="C63" s="34"/>
      <c r="D63" s="34"/>
      <c r="E63" s="34"/>
      <c r="F63" s="34"/>
    </row>
    <row r="64" spans="1:6" ht="15.75" customHeight="1">
      <c r="A64" s="2421"/>
      <c r="B64" s="34"/>
      <c r="C64" s="34"/>
      <c r="D64" s="34"/>
      <c r="E64" s="34"/>
      <c r="F64" s="34"/>
    </row>
    <row r="65" spans="1:6" ht="15.75" customHeight="1">
      <c r="A65" s="2421"/>
      <c r="B65" s="34"/>
      <c r="C65" s="34"/>
      <c r="D65" s="34"/>
      <c r="E65" s="34"/>
      <c r="F65" s="34"/>
    </row>
    <row r="66" spans="1:6" ht="15.75" customHeight="1">
      <c r="A66" s="2421"/>
      <c r="B66" s="34"/>
      <c r="C66" s="34"/>
      <c r="D66" s="34"/>
      <c r="E66" s="34"/>
      <c r="F66" s="34"/>
    </row>
    <row r="67" spans="1:6" ht="15.75" customHeight="1">
      <c r="A67" s="2421"/>
      <c r="B67" s="34"/>
      <c r="C67" s="34"/>
      <c r="D67" s="34"/>
      <c r="E67" s="34"/>
      <c r="F67" s="34"/>
    </row>
    <row r="68" spans="1:6" ht="15.75" customHeight="1">
      <c r="A68" s="2421"/>
      <c r="B68" s="34"/>
      <c r="C68" s="34"/>
      <c r="D68" s="34"/>
      <c r="E68" s="34"/>
      <c r="F68" s="34"/>
    </row>
    <row r="69" spans="1:6" ht="15.75" customHeight="1">
      <c r="A69" s="2421"/>
      <c r="B69" s="34"/>
      <c r="C69" s="34"/>
      <c r="D69" s="34"/>
      <c r="E69" s="34"/>
      <c r="F69" s="34"/>
    </row>
    <row r="70" spans="1:6" ht="15.75" customHeight="1">
      <c r="A70" s="2421"/>
      <c r="B70" s="34"/>
      <c r="C70" s="34"/>
      <c r="D70" s="34"/>
      <c r="E70" s="34"/>
      <c r="F70" s="34"/>
    </row>
    <row r="71" spans="1:6" ht="15.75" customHeight="1">
      <c r="A71" s="2421"/>
      <c r="B71" s="34"/>
      <c r="C71" s="34"/>
      <c r="D71" s="34"/>
      <c r="E71" s="34"/>
      <c r="F71" s="34"/>
    </row>
    <row r="72" spans="1:6" ht="15.75" customHeight="1">
      <c r="A72" s="2421"/>
      <c r="B72" s="34"/>
      <c r="C72" s="34"/>
      <c r="D72" s="34"/>
      <c r="E72" s="34"/>
      <c r="F72" s="34"/>
    </row>
    <row r="73" spans="1:6" ht="15.75" customHeight="1">
      <c r="A73" s="2421"/>
      <c r="B73" s="34"/>
      <c r="C73" s="34"/>
      <c r="D73" s="34"/>
      <c r="E73" s="34"/>
      <c r="F73" s="34"/>
    </row>
    <row r="74" spans="1:6" ht="15.75" customHeight="1">
      <c r="A74" s="2421"/>
      <c r="B74" s="34"/>
      <c r="C74" s="34"/>
      <c r="D74" s="34"/>
      <c r="E74" s="34"/>
      <c r="F74" s="34"/>
    </row>
    <row r="75" spans="1:6" ht="15.75" customHeight="1">
      <c r="A75" s="2421"/>
      <c r="B75" s="34"/>
      <c r="C75" s="34"/>
      <c r="D75" s="34"/>
      <c r="E75" s="34"/>
      <c r="F75" s="34"/>
    </row>
    <row r="76" spans="1:6" ht="15.75" customHeight="1">
      <c r="A76" s="2421"/>
      <c r="B76" s="34"/>
      <c r="C76" s="34"/>
      <c r="D76" s="34"/>
      <c r="E76" s="34"/>
      <c r="F76" s="34"/>
    </row>
    <row r="77" spans="1:6" ht="15.75" customHeight="1">
      <c r="A77" s="2421"/>
      <c r="B77" s="34"/>
      <c r="C77" s="34"/>
      <c r="D77" s="34"/>
      <c r="E77" s="34"/>
      <c r="F77" s="34"/>
    </row>
    <row r="78" spans="1:6" ht="15.75" customHeight="1">
      <c r="A78" s="2421"/>
      <c r="B78" s="34"/>
      <c r="C78" s="34"/>
      <c r="D78" s="34"/>
      <c r="E78" s="34"/>
      <c r="F78" s="34"/>
    </row>
    <row r="79" spans="1:6" ht="15.75" customHeight="1">
      <c r="A79" s="2421"/>
      <c r="B79" s="34"/>
      <c r="C79" s="34"/>
      <c r="D79" s="34"/>
      <c r="E79" s="34"/>
      <c r="F79" s="34"/>
    </row>
    <row r="80" spans="1:6" ht="20.100000000000001" customHeight="1">
      <c r="A80" s="2421"/>
    </row>
    <row r="81" spans="1:1" ht="20.100000000000001" customHeight="1">
      <c r="A81" s="2421"/>
    </row>
    <row r="82" spans="1:1" ht="20.100000000000001" customHeight="1">
      <c r="A82" s="2421"/>
    </row>
    <row r="83" spans="1:1" ht="20.100000000000001" customHeight="1">
      <c r="A83" s="2421"/>
    </row>
    <row r="84" spans="1:1" ht="20.100000000000001" customHeight="1">
      <c r="A84" s="2421"/>
    </row>
    <row r="85" spans="1:1" ht="20.100000000000001" customHeight="1">
      <c r="A85" s="2421"/>
    </row>
    <row r="86" spans="1:1" ht="20.100000000000001" customHeight="1">
      <c r="A86" s="2421"/>
    </row>
    <row r="87" spans="1:1">
      <c r="A87" s="2421"/>
    </row>
    <row r="88" spans="1:1" ht="20.100000000000001" customHeight="1">
      <c r="A88" s="2421"/>
    </row>
    <row r="89" spans="1:1">
      <c r="A89" s="2421"/>
    </row>
    <row r="90" spans="1:1">
      <c r="A90" s="2421"/>
    </row>
    <row r="91" spans="1:1" ht="20.100000000000001" customHeight="1">
      <c r="A91" s="2421"/>
    </row>
    <row r="92" spans="1:1" ht="20.100000000000001" customHeight="1">
      <c r="A92" s="2421"/>
    </row>
    <row r="93" spans="1:1" ht="20.100000000000001" customHeight="1">
      <c r="A93" s="2421"/>
    </row>
    <row r="94" spans="1:1" ht="20.100000000000001" customHeight="1">
      <c r="A94" s="2421"/>
    </row>
    <row r="95" spans="1:1" ht="20.100000000000001" customHeight="1">
      <c r="A95" s="2421"/>
    </row>
    <row r="96" spans="1:1" ht="20.100000000000001" customHeight="1">
      <c r="A96" s="2421"/>
    </row>
    <row r="97" spans="1:1" ht="20.100000000000001" customHeight="1">
      <c r="A97" s="2421"/>
    </row>
    <row r="98" spans="1:1" ht="20.100000000000001" customHeight="1">
      <c r="A98" s="2421"/>
    </row>
    <row r="99" spans="1:1">
      <c r="A99" s="2421"/>
    </row>
    <row r="100" spans="1:1" ht="20.100000000000001" customHeight="1">
      <c r="A100" s="2421"/>
    </row>
    <row r="101" spans="1:1">
      <c r="A101" s="2417"/>
    </row>
  </sheetData>
  <mergeCells count="2">
    <mergeCell ref="B3:G3"/>
    <mergeCell ref="H3:O3"/>
  </mergeCells>
  <printOptions horizontalCentered="1" verticalCentered="1"/>
  <pageMargins left="0.70866141732283472" right="0.70866141732283472" top="0.74803149606299213" bottom="0.74803149606299213" header="0.31496062992125984" footer="0.31496062992125984"/>
  <pageSetup firstPageNumber="59" orientation="landscape" useFirstPageNumber="1" r:id="rId1"/>
  <headerFooter scaleWithDoc="0" alignWithMargins="0">
    <oddFooter>&amp;R&amp;P</oddFooter>
  </headerFooter>
  <ignoredErrors>
    <ignoredError sqref="B11 D11:G11" formulaRange="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299"/>
  <sheetViews>
    <sheetView showGridLines="0" zoomScale="120" zoomScaleNormal="120" workbookViewId="0"/>
  </sheetViews>
  <sheetFormatPr baseColWidth="10" defaultColWidth="17.44140625" defaultRowHeight="14.4"/>
  <cols>
    <col min="1" max="1" width="24.44140625" customWidth="1"/>
    <col min="2" max="2" width="13.6640625" customWidth="1"/>
    <col min="3" max="3" width="16.6640625" customWidth="1"/>
    <col min="4" max="4" width="23.6640625" bestFit="1" customWidth="1"/>
    <col min="5" max="5" width="11.6640625" customWidth="1"/>
    <col min="6" max="224" width="11.44140625" customWidth="1"/>
    <col min="225" max="225" width="43.6640625" customWidth="1"/>
    <col min="226" max="226" width="17" customWidth="1"/>
  </cols>
  <sheetData>
    <row r="1" spans="1:5" ht="19.5" customHeight="1">
      <c r="B1" s="2928"/>
      <c r="C1" s="2928"/>
      <c r="D1" s="2928"/>
      <c r="E1" s="6475" t="s">
        <v>178</v>
      </c>
    </row>
    <row r="2" spans="1:5" s="5317" customFormat="1" ht="19.5" customHeight="1">
      <c r="B2" s="2928"/>
      <c r="C2" s="2928"/>
      <c r="D2" s="2928"/>
      <c r="E2" s="6475"/>
    </row>
    <row r="3" spans="1:5" s="5317" customFormat="1" ht="36.75" customHeight="1" thickBot="1">
      <c r="A3" s="2097" t="s">
        <v>68</v>
      </c>
      <c r="B3" s="2097" t="s">
        <v>380</v>
      </c>
      <c r="C3" s="2097" t="s">
        <v>179</v>
      </c>
      <c r="D3" s="2098" t="s">
        <v>1620</v>
      </c>
      <c r="E3" s="2099" t="s">
        <v>3324</v>
      </c>
    </row>
    <row r="4" spans="1:5" s="5317" customFormat="1">
      <c r="A4" s="2100" t="s">
        <v>3</v>
      </c>
      <c r="B4" s="2100">
        <v>48</v>
      </c>
      <c r="C4" s="2101">
        <v>7586</v>
      </c>
      <c r="D4" s="2101">
        <v>21541</v>
      </c>
      <c r="E4" s="2102">
        <f t="shared" ref="E4:E10" si="0">C4/D4</f>
        <v>0.35216563762128034</v>
      </c>
    </row>
    <row r="5" spans="1:5" s="5317" customFormat="1">
      <c r="A5" s="2103" t="s">
        <v>59</v>
      </c>
      <c r="B5" s="2103">
        <v>49</v>
      </c>
      <c r="C5" s="2104">
        <v>8584</v>
      </c>
      <c r="D5" s="2104">
        <v>4648</v>
      </c>
      <c r="E5" s="2105">
        <f t="shared" si="0"/>
        <v>1.846815834767642</v>
      </c>
    </row>
    <row r="6" spans="1:5" s="5317" customFormat="1">
      <c r="A6" s="2103" t="s">
        <v>25</v>
      </c>
      <c r="B6" s="2103">
        <v>10</v>
      </c>
      <c r="C6" s="2104">
        <v>8368</v>
      </c>
      <c r="D6" s="2104">
        <v>17090</v>
      </c>
      <c r="E6" s="2105">
        <f t="shared" si="0"/>
        <v>0.48964306612053832</v>
      </c>
    </row>
    <row r="7" spans="1:5" s="5317" customFormat="1">
      <c r="A7" s="2103" t="s">
        <v>240</v>
      </c>
      <c r="B7" s="2103">
        <v>9</v>
      </c>
      <c r="C7" s="2104">
        <v>1239</v>
      </c>
      <c r="D7" s="2104">
        <v>2157</v>
      </c>
      <c r="E7" s="2105">
        <f t="shared" si="0"/>
        <v>0.57440890125173849</v>
      </c>
    </row>
    <row r="8" spans="1:5" s="5317" customFormat="1">
      <c r="A8" s="2103" t="s">
        <v>48</v>
      </c>
      <c r="B8" s="2103">
        <v>18</v>
      </c>
      <c r="C8" s="2104">
        <v>8496</v>
      </c>
      <c r="D8" s="2104">
        <v>20618</v>
      </c>
      <c r="E8" s="2105">
        <f t="shared" si="0"/>
        <v>0.41206712581239696</v>
      </c>
    </row>
    <row r="9" spans="1:5" s="5317" customFormat="1">
      <c r="A9" s="2103" t="s">
        <v>87</v>
      </c>
      <c r="B9" s="2103">
        <v>13</v>
      </c>
      <c r="C9" s="2104">
        <v>1638</v>
      </c>
      <c r="D9" s="2104">
        <v>1230</v>
      </c>
      <c r="E9" s="2105">
        <f t="shared" si="0"/>
        <v>1.3317073170731708</v>
      </c>
    </row>
    <row r="10" spans="1:5" s="5317" customFormat="1">
      <c r="A10" s="3035" t="s">
        <v>112</v>
      </c>
      <c r="B10" s="3035">
        <f>SUM(B4:B9)</f>
        <v>147</v>
      </c>
      <c r="C10" s="3036">
        <f>SUM(C4:C9)</f>
        <v>35911</v>
      </c>
      <c r="D10" s="3036">
        <f>SUM(D4:D9)</f>
        <v>67284</v>
      </c>
      <c r="E10" s="2523">
        <f t="shared" si="0"/>
        <v>0.53372272754295225</v>
      </c>
    </row>
    <row r="11" spans="1:5" s="5317" customFormat="1" ht="19.5" customHeight="1">
      <c r="A11" s="2002"/>
      <c r="B11" s="2002"/>
      <c r="D11" s="1"/>
      <c r="E11" s="4126" t="s">
        <v>3080</v>
      </c>
    </row>
    <row r="12" spans="1:5" s="5317" customFormat="1" ht="19.5" customHeight="1">
      <c r="B12" s="2928"/>
      <c r="C12" s="2928"/>
      <c r="D12" s="2928"/>
      <c r="E12" s="6475"/>
    </row>
    <row r="13" spans="1:5" s="5317" customFormat="1" ht="31.2" thickBot="1">
      <c r="A13" s="2097" t="s">
        <v>68</v>
      </c>
      <c r="B13" s="2097" t="s">
        <v>380</v>
      </c>
      <c r="C13" s="2097" t="s">
        <v>179</v>
      </c>
      <c r="D13" s="2098" t="s">
        <v>1620</v>
      </c>
      <c r="E13" s="2099" t="s">
        <v>3079</v>
      </c>
    </row>
    <row r="14" spans="1:5" s="5317" customFormat="1">
      <c r="A14" s="2100" t="s">
        <v>3</v>
      </c>
      <c r="B14" s="2100">
        <v>24</v>
      </c>
      <c r="C14" s="2101">
        <v>28257</v>
      </c>
      <c r="D14" s="2101">
        <f>SUM('D.18 y 19'!AN10+'A.37.'!F31,'A.37.'!J31)</f>
        <v>22666</v>
      </c>
      <c r="E14" s="2102">
        <f t="shared" ref="E14:E20" si="1">C14/D14</f>
        <v>1.2466690196770494</v>
      </c>
    </row>
    <row r="15" spans="1:5" s="5317" customFormat="1">
      <c r="A15" s="2103" t="s">
        <v>59</v>
      </c>
      <c r="B15" s="2103">
        <v>25</v>
      </c>
      <c r="C15" s="2104">
        <v>2074</v>
      </c>
      <c r="D15" s="2104">
        <f>SUM('D.18 y 19'!AN15+'A.37.'!F33,'A.37.'!J33)</f>
        <v>4909</v>
      </c>
      <c r="E15" s="2105">
        <f t="shared" si="1"/>
        <v>0.42248930535750662</v>
      </c>
    </row>
    <row r="16" spans="1:5" s="5317" customFormat="1">
      <c r="A16" s="2103" t="s">
        <v>25</v>
      </c>
      <c r="B16" s="2103">
        <v>8</v>
      </c>
      <c r="C16" s="2104">
        <v>10307</v>
      </c>
      <c r="D16" s="2104">
        <f>SUM('D.18 y 19'!AN20+'A.37.'!F35+'A.37.'!J35)</f>
        <v>18796</v>
      </c>
      <c r="E16" s="2105">
        <f t="shared" si="1"/>
        <v>0.54836135347946369</v>
      </c>
    </row>
    <row r="17" spans="1:5" s="5317" customFormat="1">
      <c r="A17" s="2103" t="s">
        <v>240</v>
      </c>
      <c r="B17" s="2103">
        <v>19</v>
      </c>
      <c r="C17" s="2104">
        <v>2672</v>
      </c>
      <c r="D17" s="2104">
        <f>SUM('D.18 y 19'!AN25+'A.37.'!F37+'A.37.'!J37)</f>
        <v>2077</v>
      </c>
      <c r="E17" s="2105">
        <f t="shared" si="1"/>
        <v>1.2864708714492057</v>
      </c>
    </row>
    <row r="18" spans="1:5" s="5317" customFormat="1">
      <c r="A18" s="2103" t="s">
        <v>48</v>
      </c>
      <c r="B18" s="2103">
        <v>38</v>
      </c>
      <c r="C18" s="2104">
        <v>12543</v>
      </c>
      <c r="D18" s="2104">
        <f>SUM('D.18 y 19'!AN30+'A.37.'!F39+'A.37.'!J39)</f>
        <v>22149</v>
      </c>
      <c r="E18" s="2105">
        <f t="shared" si="1"/>
        <v>0.56630096166869837</v>
      </c>
    </row>
    <row r="19" spans="1:5" s="5317" customFormat="1">
      <c r="A19" s="2103" t="s">
        <v>87</v>
      </c>
      <c r="B19" s="2103">
        <v>11</v>
      </c>
      <c r="C19" s="2104">
        <v>2630</v>
      </c>
      <c r="D19" s="2104">
        <f>SUM('A.37.'!E41+'A.37.'!J41)</f>
        <v>1201</v>
      </c>
      <c r="E19" s="2105">
        <f t="shared" si="1"/>
        <v>2.189841798501249</v>
      </c>
    </row>
    <row r="20" spans="1:5" s="5317" customFormat="1">
      <c r="A20" s="3035" t="s">
        <v>112</v>
      </c>
      <c r="B20" s="3035">
        <f>SUM(B14:B19)</f>
        <v>125</v>
      </c>
      <c r="C20" s="3036">
        <f>SUM(C14:C19)</f>
        <v>58483</v>
      </c>
      <c r="D20" s="3036">
        <f>SUM(D14:D19)</f>
        <v>71798</v>
      </c>
      <c r="E20" s="2523">
        <f t="shared" si="1"/>
        <v>0.81454915178695786</v>
      </c>
    </row>
    <row r="21" spans="1:5" s="5317" customFormat="1" ht="19.5" customHeight="1">
      <c r="A21" s="2002"/>
      <c r="B21" s="2002"/>
      <c r="D21" s="1"/>
      <c r="E21" s="4126" t="s">
        <v>3080</v>
      </c>
    </row>
    <row r="22" spans="1:5" s="5317" customFormat="1" ht="19.5" customHeight="1">
      <c r="A22" s="5907"/>
      <c r="B22" s="5907"/>
      <c r="C22" s="5907"/>
      <c r="D22" s="5907"/>
      <c r="E22" s="5907"/>
    </row>
    <row r="23" spans="1:5" s="5317" customFormat="1" ht="19.5" customHeight="1">
      <c r="A23" s="5907"/>
      <c r="B23" s="5907"/>
      <c r="C23" s="5907"/>
      <c r="D23" s="5907"/>
      <c r="E23" s="5907"/>
    </row>
    <row r="24" spans="1:5" s="4804" customFormat="1" ht="31.2" thickBot="1">
      <c r="A24" s="2097" t="s">
        <v>68</v>
      </c>
      <c r="B24" s="2097" t="s">
        <v>380</v>
      </c>
      <c r="C24" s="2097" t="s">
        <v>179</v>
      </c>
      <c r="D24" s="2098" t="s">
        <v>1620</v>
      </c>
      <c r="E24" s="2099" t="s">
        <v>2793</v>
      </c>
    </row>
    <row r="25" spans="1:5" s="4804" customFormat="1">
      <c r="A25" s="2100" t="s">
        <v>3</v>
      </c>
      <c r="B25" s="2100">
        <v>2</v>
      </c>
      <c r="C25" s="2101">
        <v>399</v>
      </c>
      <c r="D25" s="2101">
        <f>SUM('D.18 y 19'!AK10+'A.37.'!F53+'A.37.'!J53)</f>
        <v>22304</v>
      </c>
      <c r="E25" s="2102">
        <f t="shared" ref="E25:E31" si="2">C25/D25</f>
        <v>1.788916786226686E-2</v>
      </c>
    </row>
    <row r="26" spans="1:5" s="4804" customFormat="1">
      <c r="A26" s="2103" t="s">
        <v>59</v>
      </c>
      <c r="B26" s="2103">
        <v>2</v>
      </c>
      <c r="C26" s="2104">
        <v>150</v>
      </c>
      <c r="D26" s="2104">
        <f>'D.18 y 19'!AK15+'A.37.'!F55+'A.37.'!J55</f>
        <v>4722</v>
      </c>
      <c r="E26" s="2105">
        <f t="shared" si="2"/>
        <v>3.176620076238882E-2</v>
      </c>
    </row>
    <row r="27" spans="1:5" s="4804" customFormat="1">
      <c r="A27" s="2103" t="s">
        <v>25</v>
      </c>
      <c r="B27" s="2103">
        <v>8</v>
      </c>
      <c r="C27" s="2104">
        <v>8718</v>
      </c>
      <c r="D27" s="2104">
        <f>'D.18 y 19'!AK20+'A.37.'!F57+'A.37.'!J57</f>
        <v>18495</v>
      </c>
      <c r="E27" s="2105">
        <f t="shared" si="2"/>
        <v>0.47137064071370643</v>
      </c>
    </row>
    <row r="28" spans="1:5" s="4804" customFormat="1">
      <c r="A28" s="2103" t="s">
        <v>240</v>
      </c>
      <c r="B28" s="2103">
        <v>2</v>
      </c>
      <c r="C28" s="2104">
        <v>171</v>
      </c>
      <c r="D28" s="2104">
        <f>'D.18 y 19'!AK25+'A.37.'!F59+'A.37.'!J59</f>
        <v>1923</v>
      </c>
      <c r="E28" s="2105">
        <f t="shared" si="2"/>
        <v>8.8923556942277687E-2</v>
      </c>
    </row>
    <row r="29" spans="1:5" s="4804" customFormat="1">
      <c r="A29" s="2103" t="s">
        <v>48</v>
      </c>
      <c r="B29" s="2103">
        <v>8</v>
      </c>
      <c r="C29" s="2104">
        <v>726</v>
      </c>
      <c r="D29" s="2104">
        <f>'D.18 y 19'!AK30+'A.37.'!F61+'A.37.'!J61</f>
        <v>22067</v>
      </c>
      <c r="E29" s="2105">
        <f t="shared" si="2"/>
        <v>3.2899805138895184E-2</v>
      </c>
    </row>
    <row r="30" spans="1:5" s="4804" customFormat="1">
      <c r="A30" s="2103" t="s">
        <v>87</v>
      </c>
      <c r="B30" s="2103">
        <v>4</v>
      </c>
      <c r="C30" s="2104">
        <v>509</v>
      </c>
      <c r="D30" s="2104">
        <f>SUM('A.37.'!F63,'A.37.'!J63)</f>
        <v>1224</v>
      </c>
      <c r="E30" s="2105">
        <f t="shared" si="2"/>
        <v>0.4158496732026144</v>
      </c>
    </row>
    <row r="31" spans="1:5" s="4804" customFormat="1">
      <c r="A31" s="3035" t="s">
        <v>112</v>
      </c>
      <c r="B31" s="3035">
        <f>SUM(B25:B30)</f>
        <v>26</v>
      </c>
      <c r="C31" s="3036">
        <f>SUM(C25:C30)</f>
        <v>10673</v>
      </c>
      <c r="D31" s="3036">
        <f>SUM(D25:D30)</f>
        <v>70735</v>
      </c>
      <c r="E31" s="2523">
        <f t="shared" si="2"/>
        <v>0.15088711387573336</v>
      </c>
    </row>
    <row r="32" spans="1:5" s="4804" customFormat="1" ht="19.5" customHeight="1">
      <c r="A32" s="2002"/>
      <c r="B32" s="2002"/>
      <c r="D32" s="1"/>
      <c r="E32" s="4126" t="s">
        <v>2388</v>
      </c>
    </row>
    <row r="33" spans="1:11" s="4804" customFormat="1" ht="19.5" customHeight="1">
      <c r="A33" s="4808"/>
      <c r="B33" s="4808"/>
      <c r="C33" s="4808"/>
      <c r="D33" s="4808"/>
      <c r="E33" s="4808"/>
    </row>
    <row r="34" spans="1:11" s="4124" customFormat="1" ht="31.2" thickBot="1">
      <c r="A34" s="2097" t="s">
        <v>68</v>
      </c>
      <c r="B34" s="2097" t="s">
        <v>380</v>
      </c>
      <c r="C34" s="2097" t="s">
        <v>179</v>
      </c>
      <c r="D34" s="2098" t="s">
        <v>1620</v>
      </c>
      <c r="E34" s="2099" t="s">
        <v>2794</v>
      </c>
    </row>
    <row r="35" spans="1:11" s="4124" customFormat="1">
      <c r="A35" s="2100" t="s">
        <v>3</v>
      </c>
      <c r="B35" s="2100">
        <v>17</v>
      </c>
      <c r="C35" s="2101">
        <v>1318</v>
      </c>
      <c r="D35" s="2101">
        <v>19270</v>
      </c>
      <c r="E35" s="2102">
        <f t="shared" ref="E35:E41" si="3">C35/D35</f>
        <v>6.8396471198754541E-2</v>
      </c>
      <c r="H35" s="4127"/>
      <c r="I35" s="4127"/>
      <c r="J35" s="4127"/>
      <c r="K35" s="4127"/>
    </row>
    <row r="36" spans="1:11" s="4124" customFormat="1">
      <c r="A36" s="2103" t="s">
        <v>59</v>
      </c>
      <c r="B36" s="2103">
        <v>3</v>
      </c>
      <c r="C36" s="2104">
        <v>204</v>
      </c>
      <c r="D36" s="2104">
        <v>3767</v>
      </c>
      <c r="E36" s="2105">
        <f t="shared" si="3"/>
        <v>5.4154499601805149E-2</v>
      </c>
      <c r="H36" s="4127"/>
      <c r="I36" s="4127"/>
      <c r="J36" s="4127"/>
      <c r="K36" s="4127"/>
    </row>
    <row r="37" spans="1:11" s="4124" customFormat="1">
      <c r="A37" s="2103" t="s">
        <v>25</v>
      </c>
      <c r="B37" s="2103">
        <v>7</v>
      </c>
      <c r="C37" s="2104">
        <v>6067</v>
      </c>
      <c r="D37" s="2104">
        <v>16188</v>
      </c>
      <c r="E37" s="2105">
        <f t="shared" si="3"/>
        <v>0.37478379046207067</v>
      </c>
      <c r="H37" s="4127"/>
      <c r="I37" s="4127"/>
      <c r="J37" s="4127"/>
      <c r="K37" s="4127"/>
    </row>
    <row r="38" spans="1:11" s="4124" customFormat="1">
      <c r="A38" s="2103" t="s">
        <v>240</v>
      </c>
      <c r="B38" s="2103">
        <v>9</v>
      </c>
      <c r="C38" s="2104">
        <v>313</v>
      </c>
      <c r="D38" s="2104">
        <v>1356</v>
      </c>
      <c r="E38" s="2105">
        <f t="shared" si="3"/>
        <v>0.2308259587020649</v>
      </c>
      <c r="H38" s="4127"/>
      <c r="I38" s="4127"/>
      <c r="J38" s="4127"/>
      <c r="K38" s="4127"/>
    </row>
    <row r="39" spans="1:11" s="4124" customFormat="1">
      <c r="A39" s="2103" t="s">
        <v>48</v>
      </c>
      <c r="B39" s="2103">
        <v>6</v>
      </c>
      <c r="C39" s="2104">
        <v>513</v>
      </c>
      <c r="D39" s="2104">
        <v>19270</v>
      </c>
      <c r="E39" s="2105">
        <f t="shared" si="3"/>
        <v>2.6621691748832381E-2</v>
      </c>
      <c r="H39" s="4127"/>
      <c r="I39" s="4127"/>
      <c r="J39" s="4127"/>
      <c r="K39" s="4127"/>
    </row>
    <row r="40" spans="1:11" s="4124" customFormat="1">
      <c r="A40" s="2103" t="s">
        <v>87</v>
      </c>
      <c r="B40" s="2103">
        <v>1</v>
      </c>
      <c r="C40" s="2104">
        <v>306</v>
      </c>
      <c r="D40" s="2104">
        <v>1232</v>
      </c>
      <c r="E40" s="2105">
        <f t="shared" si="3"/>
        <v>0.24837662337662339</v>
      </c>
      <c r="H40" s="4127"/>
      <c r="I40" s="4127"/>
      <c r="J40" s="4127"/>
      <c r="K40" s="4127"/>
    </row>
    <row r="41" spans="1:11" s="4124" customFormat="1">
      <c r="A41" s="3035" t="s">
        <v>112</v>
      </c>
      <c r="B41" s="3035">
        <f>SUM(B35:B40)</f>
        <v>43</v>
      </c>
      <c r="C41" s="3036">
        <f>SUM(C35:C40)</f>
        <v>8721</v>
      </c>
      <c r="D41" s="3036">
        <f>SUM(D35:D40)</f>
        <v>61083</v>
      </c>
      <c r="E41" s="2523">
        <f t="shared" si="3"/>
        <v>0.14277294828348314</v>
      </c>
      <c r="H41" s="4127"/>
      <c r="I41" s="4127"/>
      <c r="J41" s="4127"/>
      <c r="K41" s="4127"/>
    </row>
    <row r="42" spans="1:11" s="4124" customFormat="1" ht="19.5" customHeight="1">
      <c r="A42" s="2002"/>
      <c r="B42" s="2002"/>
      <c r="D42" s="1"/>
      <c r="E42" s="4126" t="s">
        <v>2388</v>
      </c>
      <c r="H42" s="4127"/>
      <c r="I42" s="4127"/>
      <c r="J42" s="4127"/>
      <c r="K42" s="4127"/>
    </row>
    <row r="43" spans="1:11" ht="15.6">
      <c r="A43" s="213"/>
      <c r="B43" s="213"/>
      <c r="C43" s="213"/>
      <c r="D43" s="213"/>
      <c r="E43" s="213"/>
    </row>
    <row r="44" spans="1:11" s="2821" customFormat="1" ht="31.2" thickBot="1">
      <c r="A44" s="2097" t="s">
        <v>68</v>
      </c>
      <c r="B44" s="2097" t="s">
        <v>380</v>
      </c>
      <c r="C44" s="2097" t="s">
        <v>179</v>
      </c>
      <c r="D44" s="2098" t="s">
        <v>1620</v>
      </c>
      <c r="E44" s="2099" t="s">
        <v>2795</v>
      </c>
    </row>
    <row r="45" spans="1:11" s="2821" customFormat="1">
      <c r="A45" s="2100" t="s">
        <v>3</v>
      </c>
      <c r="B45" s="2100">
        <v>14</v>
      </c>
      <c r="C45" s="2101">
        <v>5239</v>
      </c>
      <c r="D45" s="2101">
        <v>21619</v>
      </c>
      <c r="E45" s="2102">
        <f t="shared" ref="E45:E51" si="4">C45/D45</f>
        <v>0.24233313289236319</v>
      </c>
      <c r="H45" s="3470"/>
      <c r="I45" s="3470"/>
      <c r="J45" s="3470"/>
    </row>
    <row r="46" spans="1:11" s="2821" customFormat="1">
      <c r="A46" s="2103" t="s">
        <v>59</v>
      </c>
      <c r="B46" s="2103">
        <v>24</v>
      </c>
      <c r="C46" s="2104">
        <v>1024</v>
      </c>
      <c r="D46" s="2104">
        <v>4385</v>
      </c>
      <c r="E46" s="2105">
        <f t="shared" si="4"/>
        <v>0.23352337514253135</v>
      </c>
      <c r="H46" s="3470"/>
      <c r="I46" s="3470"/>
    </row>
    <row r="47" spans="1:11" s="2821" customFormat="1">
      <c r="A47" s="2103" t="s">
        <v>25</v>
      </c>
      <c r="B47" s="2103">
        <v>8</v>
      </c>
      <c r="C47" s="2104">
        <v>11193</v>
      </c>
      <c r="D47" s="2104">
        <v>19022</v>
      </c>
      <c r="E47" s="2105">
        <f t="shared" si="4"/>
        <v>0.58842393018610029</v>
      </c>
      <c r="H47" s="3470"/>
      <c r="I47" s="3470"/>
      <c r="J47" s="3470"/>
    </row>
    <row r="48" spans="1:11" s="2821" customFormat="1">
      <c r="A48" s="2103" t="s">
        <v>240</v>
      </c>
      <c r="B48" s="2103">
        <v>11</v>
      </c>
      <c r="C48" s="2104">
        <v>631</v>
      </c>
      <c r="D48" s="2104">
        <v>1509</v>
      </c>
      <c r="E48" s="2105">
        <f t="shared" si="4"/>
        <v>0.41815772034459908</v>
      </c>
      <c r="H48" s="3470"/>
      <c r="I48" s="3470"/>
      <c r="J48" s="3470"/>
    </row>
    <row r="49" spans="1:10" s="2821" customFormat="1">
      <c r="A49" s="2103" t="s">
        <v>48</v>
      </c>
      <c r="B49" s="2103">
        <v>8</v>
      </c>
      <c r="C49" s="2104">
        <v>5601</v>
      </c>
      <c r="D49" s="2104">
        <v>21695</v>
      </c>
      <c r="E49" s="2105">
        <f t="shared" si="4"/>
        <v>0.25817008527310442</v>
      </c>
      <c r="H49" s="3470"/>
      <c r="I49" s="3470"/>
      <c r="J49" s="3470"/>
    </row>
    <row r="50" spans="1:10" s="2821" customFormat="1">
      <c r="A50" s="2103" t="s">
        <v>87</v>
      </c>
      <c r="B50" s="2103">
        <v>5</v>
      </c>
      <c r="C50" s="2104">
        <v>378</v>
      </c>
      <c r="D50" s="2104">
        <v>1239</v>
      </c>
      <c r="E50" s="2105">
        <f t="shared" si="4"/>
        <v>0.30508474576271188</v>
      </c>
      <c r="H50" s="3470"/>
      <c r="I50" s="3470"/>
      <c r="J50" s="3470"/>
    </row>
    <row r="51" spans="1:10" s="2821" customFormat="1">
      <c r="A51" s="3035" t="s">
        <v>112</v>
      </c>
      <c r="B51" s="3035">
        <f>SUM(B45:B50)</f>
        <v>70</v>
      </c>
      <c r="C51" s="3036">
        <f>SUM(C45:C50)</f>
        <v>24066</v>
      </c>
      <c r="D51" s="3036">
        <f>SUM(D45:D50)</f>
        <v>69469</v>
      </c>
      <c r="E51" s="2523">
        <f t="shared" si="4"/>
        <v>0.34642790309346616</v>
      </c>
      <c r="H51" s="3470"/>
      <c r="I51" s="3470"/>
      <c r="J51" s="3470"/>
    </row>
    <row r="52" spans="1:10" s="2821" customFormat="1" ht="15.6">
      <c r="A52" s="2002"/>
      <c r="B52" s="2002"/>
      <c r="E52" s="4126" t="s">
        <v>2388</v>
      </c>
      <c r="H52" s="3470"/>
      <c r="I52" s="3470"/>
      <c r="J52" s="3470"/>
    </row>
    <row r="53" spans="1:10" s="2821" customFormat="1" ht="15.6">
      <c r="A53" s="2002"/>
      <c r="B53" s="2002"/>
      <c r="C53" s="2002"/>
      <c r="D53" s="2002"/>
      <c r="E53" s="2002"/>
      <c r="H53" s="3470"/>
      <c r="I53" s="3470"/>
      <c r="J53" s="3470"/>
    </row>
    <row r="54" spans="1:10" ht="31.2" thickBot="1">
      <c r="A54" s="2097" t="s">
        <v>68</v>
      </c>
      <c r="B54" s="2097" t="s">
        <v>380</v>
      </c>
      <c r="C54" s="2097" t="s">
        <v>179</v>
      </c>
      <c r="D54" s="2098" t="s">
        <v>1620</v>
      </c>
      <c r="E54" s="2099" t="s">
        <v>2796</v>
      </c>
    </row>
    <row r="55" spans="1:10">
      <c r="A55" s="2100" t="s">
        <v>3</v>
      </c>
      <c r="B55" s="2100">
        <v>24</v>
      </c>
      <c r="C55" s="2101">
        <v>8418</v>
      </c>
      <c r="D55" s="2101">
        <v>20990</v>
      </c>
      <c r="E55" s="2102">
        <f t="shared" ref="E55:E61" si="5">C55/D55</f>
        <v>0.40104811815150071</v>
      </c>
    </row>
    <row r="56" spans="1:10">
      <c r="A56" s="2103" t="s">
        <v>59</v>
      </c>
      <c r="B56" s="2103">
        <v>17</v>
      </c>
      <c r="C56" s="2104">
        <v>1285</v>
      </c>
      <c r="D56" s="2104">
        <v>4069</v>
      </c>
      <c r="E56" s="2105">
        <f t="shared" si="5"/>
        <v>0.31580240845416563</v>
      </c>
    </row>
    <row r="57" spans="1:10">
      <c r="A57" s="2103" t="s">
        <v>25</v>
      </c>
      <c r="B57" s="2103">
        <v>7</v>
      </c>
      <c r="C57" s="2104">
        <v>15570</v>
      </c>
      <c r="D57" s="2104">
        <v>19430</v>
      </c>
      <c r="E57" s="2105">
        <f t="shared" si="5"/>
        <v>0.80133813690169842</v>
      </c>
    </row>
    <row r="58" spans="1:10">
      <c r="A58" s="2103" t="s">
        <v>240</v>
      </c>
      <c r="B58" s="2103">
        <v>15</v>
      </c>
      <c r="C58" s="2104">
        <v>1258</v>
      </c>
      <c r="D58" s="2104">
        <v>1266</v>
      </c>
      <c r="E58" s="2105">
        <f t="shared" si="5"/>
        <v>0.99368088467614535</v>
      </c>
    </row>
    <row r="59" spans="1:10">
      <c r="A59" s="2103" t="s">
        <v>48</v>
      </c>
      <c r="B59" s="2103">
        <v>13</v>
      </c>
      <c r="C59" s="2104">
        <v>2045</v>
      </c>
      <c r="D59" s="2104">
        <v>21560</v>
      </c>
      <c r="E59" s="2105">
        <f t="shared" si="5"/>
        <v>9.4851576994434139E-2</v>
      </c>
    </row>
    <row r="60" spans="1:10">
      <c r="A60" s="2103" t="s">
        <v>87</v>
      </c>
      <c r="B60" s="2103">
        <v>11</v>
      </c>
      <c r="C60" s="2104">
        <v>1324</v>
      </c>
      <c r="D60" s="2104">
        <v>1226</v>
      </c>
      <c r="E60" s="2105">
        <f t="shared" si="5"/>
        <v>1.0799347471451877</v>
      </c>
    </row>
    <row r="61" spans="1:10">
      <c r="A61" s="3035" t="s">
        <v>112</v>
      </c>
      <c r="B61" s="3035">
        <f>SUM(B55:B60)</f>
        <v>87</v>
      </c>
      <c r="C61" s="3036">
        <f>SUM(C55:C60)</f>
        <v>29900</v>
      </c>
      <c r="D61" s="3036">
        <f>SUM(D55:D60)</f>
        <v>68541</v>
      </c>
      <c r="E61" s="2523">
        <f t="shared" si="5"/>
        <v>0.43623524605710451</v>
      </c>
    </row>
    <row r="62" spans="1:10" ht="15.6">
      <c r="A62" s="213"/>
      <c r="B62" s="213"/>
      <c r="C62" s="2096" t="s">
        <v>2388</v>
      </c>
      <c r="E62" s="213"/>
    </row>
    <row r="63" spans="1:10" s="4124" customFormat="1" ht="15.6">
      <c r="A63" s="2002"/>
      <c r="B63" s="2002"/>
      <c r="C63" s="2096"/>
      <c r="E63" s="2002"/>
    </row>
    <row r="64" spans="1:10" ht="15.6">
      <c r="A64" s="213"/>
      <c r="B64" s="213"/>
      <c r="C64" s="213"/>
      <c r="D64" s="213"/>
      <c r="E64" s="213"/>
    </row>
    <row r="65" spans="1:5" ht="31.2" thickBot="1">
      <c r="A65" s="2097" t="s">
        <v>68</v>
      </c>
      <c r="B65" s="2097" t="s">
        <v>380</v>
      </c>
      <c r="C65" s="2097" t="s">
        <v>179</v>
      </c>
      <c r="D65" s="2098" t="s">
        <v>415</v>
      </c>
      <c r="E65" s="2099" t="s">
        <v>2797</v>
      </c>
    </row>
    <row r="66" spans="1:5">
      <c r="A66" s="2100" t="s">
        <v>3</v>
      </c>
      <c r="B66" s="2100">
        <v>24</v>
      </c>
      <c r="C66" s="2101">
        <v>13006</v>
      </c>
      <c r="D66" s="2101">
        <v>20764</v>
      </c>
      <c r="E66" s="2102">
        <f t="shared" ref="E66:E72" si="6">C66/D66</f>
        <v>0.62637256790599116</v>
      </c>
    </row>
    <row r="67" spans="1:5">
      <c r="A67" s="2103" t="s">
        <v>59</v>
      </c>
      <c r="B67" s="2103">
        <v>12</v>
      </c>
      <c r="C67" s="2104">
        <v>923</v>
      </c>
      <c r="D67" s="2104">
        <v>3813</v>
      </c>
      <c r="E67" s="2105">
        <f t="shared" si="6"/>
        <v>0.24206661421452924</v>
      </c>
    </row>
    <row r="68" spans="1:5">
      <c r="A68" s="2103" t="s">
        <v>25</v>
      </c>
      <c r="B68" s="2103">
        <v>9</v>
      </c>
      <c r="C68" s="2104">
        <v>11218</v>
      </c>
      <c r="D68" s="2104">
        <v>19615</v>
      </c>
      <c r="E68" s="2105">
        <f t="shared" si="6"/>
        <v>0.57190925312261021</v>
      </c>
    </row>
    <row r="69" spans="1:5">
      <c r="A69" s="2103" t="s">
        <v>240</v>
      </c>
      <c r="B69" s="2103">
        <v>11</v>
      </c>
      <c r="C69" s="2104">
        <v>1199</v>
      </c>
      <c r="D69" s="2104">
        <v>1074</v>
      </c>
      <c r="E69" s="2105">
        <f t="shared" si="6"/>
        <v>1.1163873370577282</v>
      </c>
    </row>
    <row r="70" spans="1:5">
      <c r="A70" s="2103" t="s">
        <v>48</v>
      </c>
      <c r="B70" s="2103">
        <v>45</v>
      </c>
      <c r="C70" s="2104">
        <v>24003</v>
      </c>
      <c r="D70" s="2104">
        <v>21184</v>
      </c>
      <c r="E70" s="2105">
        <f t="shared" si="6"/>
        <v>1.1330721299093656</v>
      </c>
    </row>
    <row r="71" spans="1:5">
      <c r="A71" s="2103" t="s">
        <v>87</v>
      </c>
      <c r="B71" s="2103">
        <v>21</v>
      </c>
      <c r="C71" s="2104">
        <v>1205</v>
      </c>
      <c r="D71" s="2104">
        <v>1244</v>
      </c>
      <c r="E71" s="2105">
        <f t="shared" si="6"/>
        <v>0.9686495176848875</v>
      </c>
    </row>
    <row r="72" spans="1:5">
      <c r="A72" s="3035" t="s">
        <v>112</v>
      </c>
      <c r="B72" s="3035">
        <f>SUM(B66:B71)</f>
        <v>122</v>
      </c>
      <c r="C72" s="3036">
        <f>SUM(C66:C71)</f>
        <v>51554</v>
      </c>
      <c r="D72" s="3036">
        <f>SUM(D66:D71)</f>
        <v>67694</v>
      </c>
      <c r="E72" s="2523">
        <f t="shared" si="6"/>
        <v>0.76157414246462019</v>
      </c>
    </row>
    <row r="74" spans="1:5" ht="15.6">
      <c r="A74" s="213"/>
      <c r="B74" s="213"/>
      <c r="C74" s="213"/>
      <c r="D74" s="213"/>
      <c r="E74" s="213"/>
    </row>
    <row r="75" spans="1:5" ht="31.2" thickBot="1">
      <c r="A75" s="2097" t="s">
        <v>68</v>
      </c>
      <c r="B75" s="2097" t="s">
        <v>380</v>
      </c>
      <c r="C75" s="2097" t="s">
        <v>179</v>
      </c>
      <c r="D75" s="2098" t="s">
        <v>415</v>
      </c>
      <c r="E75" s="2099" t="s">
        <v>2798</v>
      </c>
    </row>
    <row r="76" spans="1:5">
      <c r="A76" s="2100" t="s">
        <v>3</v>
      </c>
      <c r="B76" s="2100">
        <v>22</v>
      </c>
      <c r="C76" s="2101">
        <v>4452</v>
      </c>
      <c r="D76" s="2101">
        <f>18364+2761</f>
        <v>21125</v>
      </c>
      <c r="E76" s="2102">
        <f>C76/D76</f>
        <v>0.21074556213017751</v>
      </c>
    </row>
    <row r="77" spans="1:5">
      <c r="A77" s="2103" t="s">
        <v>59</v>
      </c>
      <c r="B77" s="2103">
        <v>18</v>
      </c>
      <c r="C77" s="2104">
        <v>648</v>
      </c>
      <c r="D77" s="2104">
        <f>2950+525</f>
        <v>3475</v>
      </c>
      <c r="E77" s="2105">
        <f t="shared" ref="E77:E82" si="7">C77/D77</f>
        <v>0.18647482014388489</v>
      </c>
    </row>
    <row r="78" spans="1:5">
      <c r="A78" s="2103" t="s">
        <v>25</v>
      </c>
      <c r="B78" s="2103">
        <v>8</v>
      </c>
      <c r="C78" s="2104">
        <v>12025</v>
      </c>
      <c r="D78" s="2104">
        <f>17611+2450</f>
        <v>20061</v>
      </c>
      <c r="E78" s="2105">
        <f t="shared" si="7"/>
        <v>0.59942176362095612</v>
      </c>
    </row>
    <row r="79" spans="1:5">
      <c r="A79" s="2103" t="s">
        <v>240</v>
      </c>
      <c r="B79" s="2103">
        <v>18</v>
      </c>
      <c r="C79" s="2104">
        <v>1305</v>
      </c>
      <c r="D79" s="2104">
        <f>674+145</f>
        <v>819</v>
      </c>
      <c r="E79" s="2105">
        <f t="shared" si="7"/>
        <v>1.5934065934065933</v>
      </c>
    </row>
    <row r="80" spans="1:5">
      <c r="A80" s="2103" t="s">
        <v>48</v>
      </c>
      <c r="B80" s="2103">
        <v>10</v>
      </c>
      <c r="C80" s="2104">
        <v>1512</v>
      </c>
      <c r="D80" s="2104">
        <f>18143+2781</f>
        <v>20924</v>
      </c>
      <c r="E80" s="2105">
        <f t="shared" si="7"/>
        <v>7.2261517874211437E-2</v>
      </c>
    </row>
    <row r="81" spans="1:5">
      <c r="A81" s="2103" t="s">
        <v>87</v>
      </c>
      <c r="B81" s="2103">
        <v>21</v>
      </c>
      <c r="C81" s="2104">
        <v>1205</v>
      </c>
      <c r="D81" s="2104">
        <v>1260</v>
      </c>
      <c r="E81" s="2105">
        <f t="shared" si="7"/>
        <v>0.95634920634920639</v>
      </c>
    </row>
    <row r="82" spans="1:5">
      <c r="A82" s="3035" t="s">
        <v>112</v>
      </c>
      <c r="B82" s="3035">
        <f>SUM(B76:B81)</f>
        <v>97</v>
      </c>
      <c r="C82" s="3036">
        <f>SUM(C76:C81)</f>
        <v>21147</v>
      </c>
      <c r="D82" s="3036">
        <f>SUM(D76:D81)</f>
        <v>67664</v>
      </c>
      <c r="E82" s="2523">
        <f t="shared" si="7"/>
        <v>0.31252955781508629</v>
      </c>
    </row>
    <row r="84" spans="1:5" ht="15.6">
      <c r="A84" s="213"/>
      <c r="B84" s="213"/>
      <c r="C84" s="213"/>
      <c r="D84" s="213"/>
      <c r="E84" s="213"/>
    </row>
    <row r="85" spans="1:5" ht="31.2" thickBot="1">
      <c r="A85" s="2097" t="s">
        <v>68</v>
      </c>
      <c r="B85" s="2097" t="s">
        <v>380</v>
      </c>
      <c r="C85" s="2097" t="s">
        <v>179</v>
      </c>
      <c r="D85" s="2098" t="s">
        <v>415</v>
      </c>
      <c r="E85" s="2099" t="s">
        <v>2799</v>
      </c>
    </row>
    <row r="86" spans="1:5">
      <c r="A86" s="2100" t="s">
        <v>3</v>
      </c>
      <c r="B86" s="2100">
        <v>29</v>
      </c>
      <c r="C86" s="2101">
        <v>10587</v>
      </c>
      <c r="D86" s="2101">
        <f>18515+1454+1307</f>
        <v>21276</v>
      </c>
      <c r="E86" s="2102">
        <f>C86/D86</f>
        <v>0.49760293288212071</v>
      </c>
    </row>
    <row r="87" spans="1:5">
      <c r="A87" s="2103" t="s">
        <v>59</v>
      </c>
      <c r="B87" s="2103">
        <v>9</v>
      </c>
      <c r="C87" s="2104">
        <v>2165</v>
      </c>
      <c r="D87" s="2104">
        <f>2545+239+286</f>
        <v>3070</v>
      </c>
      <c r="E87" s="2105">
        <f t="shared" ref="E87:E92" si="8">C87/D87</f>
        <v>0.7052117263843648</v>
      </c>
    </row>
    <row r="88" spans="1:5">
      <c r="A88" s="2103" t="s">
        <v>25</v>
      </c>
      <c r="B88" s="2103">
        <v>8</v>
      </c>
      <c r="C88" s="2104">
        <v>14583</v>
      </c>
      <c r="D88" s="2104">
        <f>17479+1273+1177</f>
        <v>19929</v>
      </c>
      <c r="E88" s="2105">
        <f t="shared" si="8"/>
        <v>0.73174770435044412</v>
      </c>
    </row>
    <row r="89" spans="1:5">
      <c r="A89" s="2103" t="s">
        <v>240</v>
      </c>
      <c r="B89" s="2103">
        <v>13</v>
      </c>
      <c r="C89" s="2104">
        <v>855</v>
      </c>
      <c r="D89" s="2104">
        <f>594+64+81</f>
        <v>739</v>
      </c>
      <c r="E89" s="2105">
        <f t="shared" si="8"/>
        <v>1.1569688768606226</v>
      </c>
    </row>
    <row r="90" spans="1:5">
      <c r="A90" s="2103" t="s">
        <v>48</v>
      </c>
      <c r="B90" s="2103">
        <v>23</v>
      </c>
      <c r="C90" s="2104">
        <v>10777</v>
      </c>
      <c r="D90" s="2104">
        <f>17959+1410+1371</f>
        <v>20740</v>
      </c>
      <c r="E90" s="2105">
        <f t="shared" si="8"/>
        <v>0.51962391513982642</v>
      </c>
    </row>
    <row r="91" spans="1:5">
      <c r="A91" s="2103" t="s">
        <v>87</v>
      </c>
      <c r="B91" s="2103">
        <v>12</v>
      </c>
      <c r="C91" s="2104">
        <v>963</v>
      </c>
      <c r="D91" s="2104">
        <f>5+1225</f>
        <v>1230</v>
      </c>
      <c r="E91" s="2105">
        <f t="shared" si="8"/>
        <v>0.78292682926829271</v>
      </c>
    </row>
    <row r="92" spans="1:5">
      <c r="A92" s="3035" t="s">
        <v>112</v>
      </c>
      <c r="B92" s="3035">
        <f>SUM(B86:B91)</f>
        <v>94</v>
      </c>
      <c r="C92" s="3036">
        <f>SUM(C86:C91)</f>
        <v>39930</v>
      </c>
      <c r="D92" s="3036">
        <f>SUM(D86:D91)</f>
        <v>66984</v>
      </c>
      <c r="E92" s="2523">
        <f t="shared" si="8"/>
        <v>0.59611250447868147</v>
      </c>
    </row>
    <row r="93" spans="1:5" ht="15.6">
      <c r="A93" s="213"/>
      <c r="B93" s="213"/>
      <c r="C93" s="213"/>
      <c r="D93" s="213"/>
      <c r="E93" s="213"/>
    </row>
    <row r="94" spans="1:5" ht="15.6">
      <c r="A94" s="213"/>
      <c r="B94" s="213"/>
      <c r="C94" s="213"/>
      <c r="D94" s="213"/>
      <c r="E94" s="213"/>
    </row>
    <row r="95" spans="1:5" ht="31.2" thickBot="1">
      <c r="A95" s="2097" t="s">
        <v>68</v>
      </c>
      <c r="B95" s="2097" t="s">
        <v>380</v>
      </c>
      <c r="C95" s="2097" t="s">
        <v>179</v>
      </c>
      <c r="D95" s="2098" t="s">
        <v>415</v>
      </c>
      <c r="E95" s="2099" t="s">
        <v>2800</v>
      </c>
    </row>
    <row r="96" spans="1:5">
      <c r="A96" s="2100" t="s">
        <v>3</v>
      </c>
      <c r="B96" s="2100">
        <v>11</v>
      </c>
      <c r="C96" s="2101">
        <v>7131</v>
      </c>
      <c r="D96" s="2101">
        <f>18664+1456+1313</f>
        <v>21433</v>
      </c>
      <c r="E96" s="2102">
        <f t="shared" ref="E96:E102" si="9">C96/D96</f>
        <v>0.3327112396771334</v>
      </c>
    </row>
    <row r="97" spans="1:5">
      <c r="A97" s="2103" t="s">
        <v>59</v>
      </c>
      <c r="B97" s="2103">
        <v>3</v>
      </c>
      <c r="C97" s="2104">
        <v>314</v>
      </c>
      <c r="D97" s="2104">
        <f>2188+228+271</f>
        <v>2687</v>
      </c>
      <c r="E97" s="2105">
        <f t="shared" si="9"/>
        <v>0.11685895050241905</v>
      </c>
    </row>
    <row r="98" spans="1:5">
      <c r="A98" s="2103" t="s">
        <v>25</v>
      </c>
      <c r="B98" s="2103">
        <v>3</v>
      </c>
      <c r="C98" s="2104">
        <v>1025</v>
      </c>
      <c r="D98" s="2104">
        <f>17457+1295+1189</f>
        <v>19941</v>
      </c>
      <c r="E98" s="2105">
        <f t="shared" si="9"/>
        <v>5.1401634822727048E-2</v>
      </c>
    </row>
    <row r="99" spans="1:5">
      <c r="A99" s="2103" t="s">
        <v>240</v>
      </c>
      <c r="B99" s="2103">
        <v>9</v>
      </c>
      <c r="C99" s="2104">
        <v>753</v>
      </c>
      <c r="D99" s="2104">
        <f>458+72+80</f>
        <v>610</v>
      </c>
      <c r="E99" s="2105">
        <f t="shared" si="9"/>
        <v>1.2344262295081967</v>
      </c>
    </row>
    <row r="100" spans="1:5">
      <c r="A100" s="2103" t="s">
        <v>48</v>
      </c>
      <c r="B100" s="2103">
        <v>18</v>
      </c>
      <c r="C100" s="2104">
        <v>13100</v>
      </c>
      <c r="D100" s="2104">
        <f>17839+1398+1379</f>
        <v>20616</v>
      </c>
      <c r="E100" s="2105">
        <f t="shared" si="9"/>
        <v>0.63542879317035317</v>
      </c>
    </row>
    <row r="101" spans="1:5">
      <c r="A101" s="2103" t="s">
        <v>87</v>
      </c>
      <c r="B101" s="2103">
        <v>14</v>
      </c>
      <c r="C101" s="2104">
        <v>1056</v>
      </c>
      <c r="D101" s="2104">
        <f>5+1248</f>
        <v>1253</v>
      </c>
      <c r="E101" s="2105">
        <f t="shared" si="9"/>
        <v>0.84277733439744618</v>
      </c>
    </row>
    <row r="102" spans="1:5">
      <c r="A102" s="3035" t="s">
        <v>112</v>
      </c>
      <c r="B102" s="3035">
        <f>SUM(B96:B101)</f>
        <v>58</v>
      </c>
      <c r="C102" s="3036">
        <f>SUM(C96:C101)</f>
        <v>23379</v>
      </c>
      <c r="D102" s="3036">
        <f>SUM(D96:D101)</f>
        <v>66540</v>
      </c>
      <c r="E102" s="2523">
        <f t="shared" si="9"/>
        <v>0.3513525698827773</v>
      </c>
    </row>
    <row r="103" spans="1:5" ht="15.6">
      <c r="A103" s="213"/>
      <c r="B103" s="213"/>
      <c r="C103" s="213"/>
      <c r="D103" s="213"/>
      <c r="E103" s="213"/>
    </row>
    <row r="104" spans="1:5">
      <c r="E104" s="67"/>
    </row>
    <row r="105" spans="1:5" ht="31.2" thickBot="1">
      <c r="A105" s="2097" t="s">
        <v>68</v>
      </c>
      <c r="B105" s="2097" t="s">
        <v>380</v>
      </c>
      <c r="C105" s="2097" t="s">
        <v>179</v>
      </c>
      <c r="D105" s="2098" t="s">
        <v>415</v>
      </c>
      <c r="E105" s="2099" t="s">
        <v>2801</v>
      </c>
    </row>
    <row r="106" spans="1:5">
      <c r="A106" s="2100" t="s">
        <v>3</v>
      </c>
      <c r="B106" s="2100">
        <v>16</v>
      </c>
      <c r="C106" s="2101">
        <v>9629</v>
      </c>
      <c r="D106" s="2101">
        <f>18745+1430+1329</f>
        <v>21504</v>
      </c>
      <c r="E106" s="2102">
        <f t="shared" ref="E106:E112" si="10">C106/D106</f>
        <v>0.44777715773809523</v>
      </c>
    </row>
    <row r="107" spans="1:5">
      <c r="A107" s="2103" t="s">
        <v>59</v>
      </c>
      <c r="B107" s="2103">
        <v>9</v>
      </c>
      <c r="C107" s="2104">
        <v>478</v>
      </c>
      <c r="D107" s="2104">
        <f>1792+207+216</f>
        <v>2215</v>
      </c>
      <c r="E107" s="2105">
        <f t="shared" si="10"/>
        <v>0.21580135440180587</v>
      </c>
    </row>
    <row r="108" spans="1:5">
      <c r="A108" s="2103" t="s">
        <v>25</v>
      </c>
      <c r="B108" s="2103">
        <v>8</v>
      </c>
      <c r="C108" s="2104">
        <v>0</v>
      </c>
      <c r="D108" s="2104">
        <f>17088+1292+1198</f>
        <v>19578</v>
      </c>
      <c r="E108" s="2105">
        <f t="shared" si="10"/>
        <v>0</v>
      </c>
    </row>
    <row r="109" spans="1:5">
      <c r="A109" s="2103" t="s">
        <v>240</v>
      </c>
      <c r="B109" s="2103">
        <v>1</v>
      </c>
      <c r="C109" s="2104">
        <v>246</v>
      </c>
      <c r="D109" s="2104">
        <f>377+63+56</f>
        <v>496</v>
      </c>
      <c r="E109" s="2105">
        <f t="shared" si="10"/>
        <v>0.49596774193548387</v>
      </c>
    </row>
    <row r="110" spans="1:5">
      <c r="A110" s="2103" t="s">
        <v>48</v>
      </c>
      <c r="B110" s="2103">
        <v>18</v>
      </c>
      <c r="C110" s="2104">
        <v>13100</v>
      </c>
      <c r="D110" s="2104">
        <f>17965+1391+1346</f>
        <v>20702</v>
      </c>
      <c r="E110" s="2105">
        <f t="shared" si="10"/>
        <v>0.63278910250217368</v>
      </c>
    </row>
    <row r="111" spans="1:5">
      <c r="A111" s="2103" t="s">
        <v>87</v>
      </c>
      <c r="B111" s="2103">
        <v>18</v>
      </c>
      <c r="C111" s="2104">
        <v>1282</v>
      </c>
      <c r="D111" s="2104">
        <f>5+1211</f>
        <v>1216</v>
      </c>
      <c r="E111" s="2105">
        <f t="shared" si="10"/>
        <v>1.0542763157894737</v>
      </c>
    </row>
    <row r="112" spans="1:5">
      <c r="A112" s="3035" t="s">
        <v>112</v>
      </c>
      <c r="B112" s="3035">
        <f>SUM(B106:B111)</f>
        <v>70</v>
      </c>
      <c r="C112" s="3036">
        <f>SUM(C106:C111)</f>
        <v>24735</v>
      </c>
      <c r="D112" s="3036">
        <f>SUM(D106:D111)</f>
        <v>65711</v>
      </c>
      <c r="E112" s="2523">
        <f t="shared" si="10"/>
        <v>0.37642099496279163</v>
      </c>
    </row>
    <row r="113" spans="1:5">
      <c r="E113" s="67"/>
    </row>
    <row r="114" spans="1:5">
      <c r="E114" s="67"/>
    </row>
    <row r="115" spans="1:5" ht="31.2" thickBot="1">
      <c r="A115" s="2097" t="s">
        <v>68</v>
      </c>
      <c r="B115" s="2097" t="s">
        <v>380</v>
      </c>
      <c r="C115" s="2097" t="s">
        <v>179</v>
      </c>
      <c r="D115" s="2098" t="s">
        <v>1620</v>
      </c>
      <c r="E115" s="2099" t="s">
        <v>2802</v>
      </c>
    </row>
    <row r="116" spans="1:5">
      <c r="A116" s="2100" t="s">
        <v>70</v>
      </c>
      <c r="B116" s="2100">
        <v>20</v>
      </c>
      <c r="C116" s="2101">
        <v>7928</v>
      </c>
      <c r="D116" s="2101">
        <f>18444+1480+1334</f>
        <v>21258</v>
      </c>
      <c r="E116" s="2102">
        <f>C116/D116</f>
        <v>0.37294195126540597</v>
      </c>
    </row>
    <row r="117" spans="1:5">
      <c r="A117" s="2103" t="s">
        <v>72</v>
      </c>
      <c r="B117" s="2103">
        <v>13</v>
      </c>
      <c r="C117" s="2104">
        <v>862</v>
      </c>
      <c r="D117" s="2104">
        <f>1613+214+218</f>
        <v>2045</v>
      </c>
      <c r="E117" s="2105">
        <f t="shared" ref="E117:E122" si="11">C117/D117</f>
        <v>0.42151589242053789</v>
      </c>
    </row>
    <row r="118" spans="1:5">
      <c r="A118" s="2103" t="s">
        <v>73</v>
      </c>
      <c r="B118" s="2103">
        <v>9</v>
      </c>
      <c r="C118" s="2104">
        <v>4134</v>
      </c>
      <c r="D118" s="2104">
        <f>16373+1290+1199</f>
        <v>18862</v>
      </c>
      <c r="E118" s="2105">
        <f t="shared" si="11"/>
        <v>0.21917081963736612</v>
      </c>
    </row>
    <row r="119" spans="1:5">
      <c r="A119" s="2103" t="s">
        <v>82</v>
      </c>
      <c r="B119" s="2103"/>
      <c r="C119" s="2104"/>
      <c r="D119" s="2104">
        <f>228+46+50</f>
        <v>324</v>
      </c>
      <c r="E119" s="2105">
        <f t="shared" si="11"/>
        <v>0</v>
      </c>
    </row>
    <row r="120" spans="1:5">
      <c r="A120" s="2103" t="s">
        <v>74</v>
      </c>
      <c r="B120" s="2103">
        <v>37</v>
      </c>
      <c r="C120" s="2104">
        <v>7751</v>
      </c>
      <c r="D120" s="2104">
        <f>17706+1378+1363</f>
        <v>20447</v>
      </c>
      <c r="E120" s="2105">
        <f t="shared" si="11"/>
        <v>0.37907761529808776</v>
      </c>
    </row>
    <row r="121" spans="1:5">
      <c r="A121" s="2103" t="s">
        <v>188</v>
      </c>
      <c r="B121" s="2103">
        <v>13</v>
      </c>
      <c r="C121" s="2104">
        <v>825</v>
      </c>
      <c r="D121" s="2104">
        <f>4+1219</f>
        <v>1223</v>
      </c>
      <c r="E121" s="2105">
        <f t="shared" si="11"/>
        <v>0.67457072771872439</v>
      </c>
    </row>
    <row r="122" spans="1:5">
      <c r="A122" s="3035" t="s">
        <v>67</v>
      </c>
      <c r="B122" s="3035">
        <f>SUM(B116:B121)</f>
        <v>92</v>
      </c>
      <c r="C122" s="3036">
        <f>SUM(C116:C121)</f>
        <v>21500</v>
      </c>
      <c r="D122" s="3036">
        <f>SUM(D116:D121)</f>
        <v>64159</v>
      </c>
      <c r="E122" s="2523">
        <f t="shared" si="11"/>
        <v>0.33510497358125907</v>
      </c>
    </row>
    <row r="123" spans="1:5">
      <c r="E123" s="4813" t="s">
        <v>1621</v>
      </c>
    </row>
    <row r="124" spans="1:5" ht="20.100000000000001" customHeight="1"/>
    <row r="125" spans="1:5" ht="31.2" thickBot="1">
      <c r="A125" s="2097" t="s">
        <v>68</v>
      </c>
      <c r="B125" s="2097" t="s">
        <v>380</v>
      </c>
      <c r="C125" s="2097" t="s">
        <v>179</v>
      </c>
      <c r="D125" s="2098" t="s">
        <v>415</v>
      </c>
      <c r="E125" s="2099" t="s">
        <v>2803</v>
      </c>
    </row>
    <row r="126" spans="1:5">
      <c r="A126" s="2100" t="s">
        <v>70</v>
      </c>
      <c r="B126" s="2100">
        <v>16</v>
      </c>
      <c r="C126" s="2101">
        <v>4692</v>
      </c>
      <c r="D126" s="2101">
        <v>20776</v>
      </c>
      <c r="E126" s="2102">
        <f>C126/D126</f>
        <v>0.22583750481324605</v>
      </c>
    </row>
    <row r="127" spans="1:5">
      <c r="A127" s="2103" t="s">
        <v>72</v>
      </c>
      <c r="B127" s="2103">
        <v>10</v>
      </c>
      <c r="C127" s="2104">
        <v>1522</v>
      </c>
      <c r="D127" s="2104">
        <v>1813</v>
      </c>
      <c r="E127" s="2105">
        <f t="shared" ref="E127:E132" si="12">C127/D127</f>
        <v>0.83949255377826804</v>
      </c>
    </row>
    <row r="128" spans="1:5">
      <c r="A128" s="2103" t="s">
        <v>73</v>
      </c>
      <c r="B128" s="2103">
        <v>6</v>
      </c>
      <c r="C128" s="2104">
        <v>3853</v>
      </c>
      <c r="D128" s="2104">
        <v>18147</v>
      </c>
      <c r="E128" s="2105">
        <f t="shared" si="12"/>
        <v>0.21232159585606436</v>
      </c>
    </row>
    <row r="129" spans="1:5">
      <c r="A129" s="2103" t="s">
        <v>82</v>
      </c>
      <c r="B129" s="2103"/>
      <c r="C129" s="2104"/>
      <c r="D129" s="2104">
        <v>241</v>
      </c>
      <c r="E129" s="2105">
        <f t="shared" si="12"/>
        <v>0</v>
      </c>
    </row>
    <row r="130" spans="1:5" ht="15" customHeight="1">
      <c r="A130" s="2103" t="s">
        <v>74</v>
      </c>
      <c r="B130" s="2103">
        <v>15</v>
      </c>
      <c r="C130" s="2104">
        <v>2760</v>
      </c>
      <c r="D130" s="2104">
        <v>20424</v>
      </c>
      <c r="E130" s="2105">
        <f t="shared" si="12"/>
        <v>0.13513513513513514</v>
      </c>
    </row>
    <row r="131" spans="1:5">
      <c r="A131" s="2103" t="s">
        <v>188</v>
      </c>
      <c r="B131" s="2103">
        <v>17</v>
      </c>
      <c r="C131" s="2104">
        <v>1947</v>
      </c>
      <c r="D131" s="2104">
        <v>1200</v>
      </c>
      <c r="E131" s="2105">
        <f t="shared" si="12"/>
        <v>1.6225000000000001</v>
      </c>
    </row>
    <row r="132" spans="1:5">
      <c r="A132" s="3035" t="s">
        <v>67</v>
      </c>
      <c r="B132" s="3035">
        <f>SUM(B126:B131)</f>
        <v>64</v>
      </c>
      <c r="C132" s="3036">
        <f>SUM(C126:C131)</f>
        <v>14774</v>
      </c>
      <c r="D132" s="3036">
        <f>SUM(D126:D131)</f>
        <v>62601</v>
      </c>
      <c r="E132" s="2523">
        <f t="shared" si="12"/>
        <v>0.23600261976645739</v>
      </c>
    </row>
    <row r="134" spans="1:5" s="37" customFormat="1" ht="15" customHeight="1"/>
    <row r="135" spans="1:5" s="37" customFormat="1" ht="13.8"/>
    <row r="136" spans="1:5" s="37" customFormat="1" ht="13.8"/>
    <row r="137" spans="1:5" s="37" customFormat="1" ht="13.8"/>
    <row r="138" spans="1:5" s="37" customFormat="1" ht="13.8"/>
    <row r="139" spans="1:5" s="37" customFormat="1" ht="13.8"/>
    <row r="140" spans="1:5" s="37" customFormat="1" ht="13.8"/>
    <row r="141" spans="1:5" s="37" customFormat="1" ht="13.8"/>
    <row r="142" spans="1:5" s="37" customFormat="1" ht="12.75" customHeight="1"/>
    <row r="143" spans="1:5" s="37" customFormat="1" ht="13.8"/>
    <row r="144" spans="1:5" s="37" customFormat="1" ht="13.8"/>
    <row r="145" s="37" customFormat="1" ht="13.8"/>
    <row r="146" s="37" customFormat="1" ht="13.8"/>
    <row r="147" s="37" customFormat="1" ht="13.8"/>
    <row r="148" s="37" customFormat="1" ht="13.8"/>
    <row r="149" s="37" customFormat="1" ht="13.8"/>
    <row r="150" s="37" customFormat="1" ht="13.8"/>
    <row r="151" s="37" customFormat="1" ht="13.8"/>
    <row r="152" s="37" customFormat="1" ht="15" customHeight="1"/>
    <row r="153" s="37" customFormat="1" ht="13.8"/>
    <row r="154" s="37" customFormat="1" ht="13.8"/>
    <row r="155" s="37" customFormat="1" ht="13.8"/>
    <row r="156" s="37" customFormat="1" ht="13.8"/>
    <row r="157" s="37" customFormat="1" ht="13.8"/>
    <row r="158" s="37" customFormat="1" ht="13.8"/>
    <row r="159" s="37" customFormat="1" ht="13.8"/>
    <row r="160" s="37" customFormat="1" ht="13.8"/>
    <row r="161" s="37" customFormat="1" ht="13.8"/>
    <row r="162" s="37" customFormat="1" ht="13.8"/>
    <row r="163" s="37" customFormat="1" ht="13.8"/>
    <row r="164" s="37" customFormat="1" ht="13.8"/>
    <row r="165" s="37" customFormat="1" ht="13.8"/>
    <row r="166" s="37" customFormat="1" ht="13.8"/>
    <row r="167" s="37" customFormat="1" ht="13.8"/>
    <row r="168" s="37" customFormat="1" ht="13.8"/>
    <row r="169" s="37" customFormat="1" ht="13.8"/>
    <row r="175" ht="15" customHeight="1"/>
    <row r="177" ht="15" customHeight="1"/>
    <row r="179" ht="15" customHeight="1"/>
    <row r="180" ht="15" customHeight="1"/>
    <row r="186" ht="15" customHeight="1"/>
    <row r="211" ht="15" customHeight="1"/>
    <row r="212" ht="15" customHeight="1"/>
    <row r="213" ht="15" customHeight="1"/>
    <row r="214" ht="15" customHeight="1"/>
    <row r="215" ht="15" customHeight="1"/>
    <row r="216" ht="15" customHeight="1"/>
    <row r="217" ht="15" customHeight="1"/>
    <row r="221" ht="15" customHeight="1"/>
    <row r="222" ht="15" customHeight="1"/>
    <row r="226" ht="15" customHeight="1"/>
    <row r="242" ht="15" customHeight="1"/>
    <row r="243" ht="12.75" customHeight="1"/>
    <row r="249" ht="15" customHeight="1"/>
    <row r="253" ht="15" customHeight="1"/>
    <row r="261" ht="15" customHeight="1"/>
    <row r="271" ht="15" customHeight="1"/>
    <row r="276" ht="15" customHeight="1"/>
    <row r="295" ht="15" customHeight="1"/>
    <row r="299" ht="15" customHeight="1"/>
  </sheetData>
  <printOptions horizontalCentered="1" verticalCentered="1"/>
  <pageMargins left="0.70866141732283472" right="0.70866141732283472" top="0.74803149606299213" bottom="0.74803149606299213" header="0.31496062992125984" footer="0.31496062992125984"/>
  <pageSetup scale="50" firstPageNumber="60" orientation="landscape" useFirstPageNumber="1" r:id="rId1"/>
  <headerFooter scaleWithDoc="0" alignWithMargins="0">
    <oddFooter>&amp;R&amp;P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831"/>
  <sheetViews>
    <sheetView showGridLines="0" topLeftCell="A25" zoomScaleNormal="100" workbookViewId="0">
      <selection activeCell="I25" sqref="I25"/>
    </sheetView>
  </sheetViews>
  <sheetFormatPr baseColWidth="10" defaultColWidth="10.88671875" defaultRowHeight="14.4"/>
  <cols>
    <col min="1" max="1" width="40.44140625" style="2026" bestFit="1" customWidth="1"/>
    <col min="2" max="2" width="11.5546875" style="2026" customWidth="1"/>
    <col min="3" max="3" width="17.5546875" style="2026" customWidth="1"/>
    <col min="4" max="4" width="19.5546875" style="2026" bestFit="1" customWidth="1"/>
    <col min="5" max="5" width="40.33203125" style="2026" customWidth="1"/>
    <col min="6" max="6" width="25.6640625" style="2026" customWidth="1"/>
    <col min="7" max="8" width="18.6640625" style="2026" customWidth="1"/>
    <col min="9" max="9" width="50" style="2026" bestFit="1" customWidth="1"/>
    <col min="10" max="10" width="12.109375" style="2026" bestFit="1" customWidth="1"/>
    <col min="11" max="11" width="12.5546875" style="2026" bestFit="1" customWidth="1"/>
    <col min="12" max="12" width="12.6640625" style="2026" bestFit="1" customWidth="1"/>
    <col min="13" max="16384" width="10.88671875" style="2026"/>
  </cols>
  <sheetData>
    <row r="1" spans="1:12" ht="19.5" customHeight="1">
      <c r="B1" s="6508"/>
      <c r="C1" s="6508"/>
      <c r="D1" s="27"/>
      <c r="E1" s="5095"/>
      <c r="F1" s="5095"/>
      <c r="G1" s="5095"/>
      <c r="H1" s="6509" t="s">
        <v>454</v>
      </c>
    </row>
    <row r="2" spans="1:12" ht="19.5" customHeight="1">
      <c r="B2" s="6508"/>
      <c r="C2" s="6508"/>
      <c r="D2" s="27"/>
      <c r="E2" s="5095"/>
      <c r="F2" s="5095"/>
      <c r="G2" s="5095"/>
      <c r="H2" s="6509"/>
    </row>
    <row r="3" spans="1:12" ht="19.5" customHeight="1">
      <c r="A3" s="7588" t="s">
        <v>4117</v>
      </c>
      <c r="B3" s="7589"/>
      <c r="C3" s="7589"/>
      <c r="D3" s="2046"/>
      <c r="E3" s="7588" t="s">
        <v>4118</v>
      </c>
      <c r="F3" s="7588"/>
      <c r="G3" s="7588"/>
      <c r="H3" s="6845"/>
      <c r="I3" s="7590" t="s">
        <v>4119</v>
      </c>
      <c r="J3" s="7590"/>
      <c r="K3" s="7590"/>
      <c r="L3" s="7590"/>
    </row>
    <row r="4" spans="1:12" ht="19.5" customHeight="1">
      <c r="A4" s="7591" t="s">
        <v>2936</v>
      </c>
      <c r="B4" s="7592"/>
      <c r="C4" s="7592"/>
      <c r="D4" s="2046"/>
      <c r="E4" s="7593" t="s">
        <v>4120</v>
      </c>
      <c r="F4" s="7593"/>
      <c r="G4" s="7593"/>
      <c r="H4" s="6845"/>
      <c r="I4" s="6846"/>
      <c r="J4" s="6846"/>
      <c r="K4" s="6846"/>
      <c r="L4" s="6846"/>
    </row>
    <row r="5" spans="1:12" ht="19.5" customHeight="1">
      <c r="A5" s="7594" t="s">
        <v>3258</v>
      </c>
      <c r="B5" s="7596" t="s">
        <v>3255</v>
      </c>
      <c r="C5" s="7385" t="s">
        <v>3263</v>
      </c>
      <c r="D5" s="27"/>
      <c r="E5" s="7599" t="s">
        <v>302</v>
      </c>
      <c r="F5" s="7601" t="s">
        <v>4121</v>
      </c>
      <c r="G5" s="7603" t="s">
        <v>3261</v>
      </c>
      <c r="H5" s="6845"/>
      <c r="I5" s="6847" t="s">
        <v>3259</v>
      </c>
      <c r="J5" s="6848" t="s">
        <v>3262</v>
      </c>
      <c r="K5" s="7605" t="s">
        <v>3261</v>
      </c>
      <c r="L5" s="7588"/>
    </row>
    <row r="6" spans="1:12" ht="19.5" customHeight="1" thickBot="1">
      <c r="A6" s="7595"/>
      <c r="B6" s="7597"/>
      <c r="C6" s="7598"/>
      <c r="D6" s="27"/>
      <c r="E6" s="7600"/>
      <c r="F6" s="7602"/>
      <c r="G6" s="7604"/>
      <c r="H6" s="6887"/>
      <c r="I6" s="6849"/>
      <c r="J6" s="6850"/>
      <c r="K6" s="6851" t="s">
        <v>451</v>
      </c>
      <c r="L6" s="6852" t="s">
        <v>1776</v>
      </c>
    </row>
    <row r="7" spans="1:12" ht="19.5" customHeight="1">
      <c r="A7" s="6853" t="s">
        <v>183</v>
      </c>
      <c r="B7" s="6854">
        <v>14</v>
      </c>
      <c r="C7" s="6855">
        <v>394</v>
      </c>
      <c r="D7" s="6856"/>
      <c r="E7" s="6857" t="s">
        <v>4122</v>
      </c>
      <c r="F7" s="6854">
        <v>24</v>
      </c>
      <c r="G7" s="6855">
        <v>816</v>
      </c>
      <c r="H7" s="6888">
        <v>1</v>
      </c>
      <c r="I7" s="6870" t="s">
        <v>4123</v>
      </c>
      <c r="J7" s="6858">
        <v>1</v>
      </c>
      <c r="K7" s="6859">
        <v>169</v>
      </c>
      <c r="L7" s="6859">
        <v>809</v>
      </c>
    </row>
    <row r="8" spans="1:12" ht="19.5" customHeight="1">
      <c r="A8" s="6860" t="s">
        <v>4124</v>
      </c>
      <c r="B8" s="6861">
        <v>15</v>
      </c>
      <c r="C8" s="6862">
        <v>1149</v>
      </c>
      <c r="D8" s="6856"/>
      <c r="E8" s="6860" t="s">
        <v>4125</v>
      </c>
      <c r="F8" s="6861">
        <v>602</v>
      </c>
      <c r="G8" s="6862">
        <v>1806</v>
      </c>
      <c r="H8" s="6888">
        <v>2</v>
      </c>
      <c r="I8" s="6871" t="s">
        <v>4126</v>
      </c>
      <c r="J8" s="6861">
        <v>1</v>
      </c>
      <c r="K8" s="6862"/>
      <c r="L8" s="6862">
        <v>3000</v>
      </c>
    </row>
    <row r="9" spans="1:12" ht="19.5" customHeight="1">
      <c r="A9" s="6863" t="s">
        <v>4127</v>
      </c>
      <c r="B9" s="6861">
        <v>7</v>
      </c>
      <c r="C9" s="6862">
        <v>285</v>
      </c>
      <c r="D9" s="6856"/>
      <c r="E9" s="6863" t="s">
        <v>4128</v>
      </c>
      <c r="F9" s="6861">
        <v>120</v>
      </c>
      <c r="G9" s="6862">
        <v>1800</v>
      </c>
      <c r="H9" s="6888">
        <v>3</v>
      </c>
      <c r="I9" s="6871" t="s">
        <v>4129</v>
      </c>
      <c r="J9" s="6861">
        <v>1</v>
      </c>
      <c r="K9" s="6862"/>
      <c r="L9" s="6862">
        <v>7891</v>
      </c>
    </row>
    <row r="10" spans="1:12" ht="19.5" customHeight="1">
      <c r="A10" s="6863" t="s">
        <v>4130</v>
      </c>
      <c r="B10" s="6861"/>
      <c r="C10" s="6862"/>
      <c r="D10" s="6856"/>
      <c r="E10" s="6863" t="s">
        <v>4124</v>
      </c>
      <c r="F10" s="6861">
        <v>15342</v>
      </c>
      <c r="G10" s="6862">
        <v>32017</v>
      </c>
      <c r="H10" s="6888">
        <v>4</v>
      </c>
      <c r="I10" s="6871" t="s">
        <v>4131</v>
      </c>
      <c r="J10" s="6861">
        <v>1</v>
      </c>
      <c r="K10" s="6862"/>
      <c r="L10" s="6862">
        <v>40</v>
      </c>
    </row>
    <row r="11" spans="1:12" ht="19.5" customHeight="1">
      <c r="A11" s="6860" t="s">
        <v>4132</v>
      </c>
      <c r="B11" s="6861">
        <v>1</v>
      </c>
      <c r="C11" s="6862">
        <v>1625</v>
      </c>
      <c r="D11" s="6856"/>
      <c r="E11" s="6860" t="s">
        <v>4133</v>
      </c>
      <c r="F11" s="6861">
        <v>2</v>
      </c>
      <c r="G11" s="6862">
        <v>431</v>
      </c>
      <c r="H11" s="6888">
        <v>5</v>
      </c>
      <c r="I11" s="6871" t="s">
        <v>4134</v>
      </c>
      <c r="J11" s="6861">
        <v>20</v>
      </c>
      <c r="K11" s="6862"/>
      <c r="L11" s="6862">
        <v>1800</v>
      </c>
    </row>
    <row r="12" spans="1:12" ht="19.5" customHeight="1">
      <c r="A12" s="6860" t="s">
        <v>304</v>
      </c>
      <c r="B12" s="6861">
        <v>24</v>
      </c>
      <c r="C12" s="6862">
        <v>4060</v>
      </c>
      <c r="D12" s="6856"/>
      <c r="E12" s="6860" t="s">
        <v>4135</v>
      </c>
      <c r="F12" s="6861">
        <v>921</v>
      </c>
      <c r="G12" s="6862">
        <v>5529</v>
      </c>
      <c r="H12" s="6888">
        <v>6</v>
      </c>
      <c r="I12" s="6871" t="s">
        <v>4136</v>
      </c>
      <c r="J12" s="6861">
        <v>5</v>
      </c>
      <c r="K12" s="6862"/>
      <c r="L12" s="6862">
        <v>100</v>
      </c>
    </row>
    <row r="13" spans="1:12" ht="19.5" customHeight="1">
      <c r="A13" s="6860" t="s">
        <v>305</v>
      </c>
      <c r="B13" s="6861">
        <v>9</v>
      </c>
      <c r="C13" s="6862">
        <v>1439</v>
      </c>
      <c r="D13" s="6856"/>
      <c r="E13" s="6860" t="s">
        <v>304</v>
      </c>
      <c r="F13" s="6861">
        <v>187</v>
      </c>
      <c r="G13" s="6862">
        <v>5078</v>
      </c>
      <c r="H13" s="6888">
        <v>7</v>
      </c>
      <c r="I13" s="6871" t="s">
        <v>4137</v>
      </c>
      <c r="J13" s="6861">
        <v>1</v>
      </c>
      <c r="K13" s="6862">
        <v>100</v>
      </c>
      <c r="L13" s="6862">
        <v>60</v>
      </c>
    </row>
    <row r="14" spans="1:12" ht="19.5" customHeight="1">
      <c r="A14" s="6860" t="s">
        <v>1880</v>
      </c>
      <c r="B14" s="6861">
        <v>1</v>
      </c>
      <c r="C14" s="6862">
        <v>168</v>
      </c>
      <c r="D14" s="6856"/>
      <c r="E14" s="6860" t="s">
        <v>4138</v>
      </c>
      <c r="F14" s="6861">
        <v>2491</v>
      </c>
      <c r="G14" s="6862">
        <v>20647</v>
      </c>
      <c r="H14" s="6888">
        <v>8</v>
      </c>
      <c r="I14" s="6871" t="s">
        <v>4139</v>
      </c>
      <c r="J14" s="6864">
        <v>3</v>
      </c>
      <c r="K14" s="6865"/>
      <c r="L14" s="6865">
        <v>60</v>
      </c>
    </row>
    <row r="15" spans="1:12" ht="19.5" customHeight="1">
      <c r="A15" s="6860" t="s">
        <v>4140</v>
      </c>
      <c r="B15" s="6861">
        <v>8</v>
      </c>
      <c r="C15" s="6862">
        <v>666</v>
      </c>
      <c r="D15" s="6856"/>
      <c r="E15" s="6860" t="s">
        <v>4141</v>
      </c>
      <c r="F15" s="6861">
        <v>2660</v>
      </c>
      <c r="G15" s="6862">
        <v>2660</v>
      </c>
      <c r="H15" s="6845"/>
      <c r="I15" s="6889" t="s">
        <v>4163</v>
      </c>
      <c r="J15" s="6845"/>
      <c r="K15" s="6889">
        <f>SUM(K7:K14)</f>
        <v>269</v>
      </c>
      <c r="L15" s="6889">
        <f>SUM(L7:L14)</f>
        <v>13760</v>
      </c>
    </row>
    <row r="16" spans="1:12" ht="19.5" customHeight="1">
      <c r="A16" s="6860" t="s">
        <v>4142</v>
      </c>
      <c r="B16" s="6861">
        <v>6</v>
      </c>
      <c r="C16" s="6862">
        <v>60</v>
      </c>
      <c r="D16" s="6856"/>
      <c r="E16" s="6860" t="s">
        <v>4143</v>
      </c>
      <c r="F16" s="6861">
        <v>45177</v>
      </c>
      <c r="G16" s="6862">
        <v>93339</v>
      </c>
      <c r="H16" s="6845"/>
      <c r="I16" s="6845"/>
      <c r="J16" s="6845"/>
      <c r="K16" s="6845"/>
      <c r="L16" s="6845"/>
    </row>
    <row r="17" spans="1:12" ht="19.5" customHeight="1">
      <c r="A17" s="6860" t="s">
        <v>4144</v>
      </c>
      <c r="B17" s="6861">
        <v>14</v>
      </c>
      <c r="C17" s="6862">
        <v>168</v>
      </c>
      <c r="D17" s="6856"/>
      <c r="E17" s="6860" t="s">
        <v>4145</v>
      </c>
      <c r="F17" s="6861">
        <v>13057</v>
      </c>
      <c r="G17" s="6862">
        <v>13057</v>
      </c>
      <c r="H17" s="6845"/>
      <c r="I17" s="6845"/>
      <c r="J17" s="6845"/>
      <c r="K17" s="6845"/>
      <c r="L17" s="6845"/>
    </row>
    <row r="18" spans="1:12" ht="19.5" customHeight="1">
      <c r="A18" s="6860" t="s">
        <v>1762</v>
      </c>
      <c r="B18" s="6861">
        <v>1</v>
      </c>
      <c r="C18" s="6862">
        <v>1558</v>
      </c>
      <c r="D18" s="6856"/>
      <c r="E18" s="6860" t="s">
        <v>4146</v>
      </c>
      <c r="F18" s="6861">
        <v>10</v>
      </c>
      <c r="G18" s="6862">
        <v>28</v>
      </c>
      <c r="H18" s="6845"/>
      <c r="J18" s="6845"/>
      <c r="K18" s="6845"/>
      <c r="L18" s="6845"/>
    </row>
    <row r="19" spans="1:12" ht="19.5" customHeight="1" thickBot="1">
      <c r="A19" s="6860" t="s">
        <v>4147</v>
      </c>
      <c r="B19" s="6861">
        <v>6</v>
      </c>
      <c r="C19" s="6862">
        <v>85</v>
      </c>
      <c r="D19" s="6856"/>
      <c r="E19" s="6860" t="s">
        <v>4148</v>
      </c>
      <c r="F19" s="6861">
        <v>38</v>
      </c>
      <c r="G19" s="6862">
        <v>988</v>
      </c>
      <c r="H19" s="6845"/>
      <c r="I19" s="6873" t="s">
        <v>4162</v>
      </c>
      <c r="J19" s="6845"/>
      <c r="K19" s="6845"/>
      <c r="L19" s="6845"/>
    </row>
    <row r="20" spans="1:12" ht="19.5" customHeight="1">
      <c r="A20" s="6860" t="s">
        <v>4149</v>
      </c>
      <c r="B20" s="6861">
        <v>1</v>
      </c>
      <c r="C20" s="6862">
        <v>16</v>
      </c>
      <c r="D20" s="6856"/>
      <c r="E20" s="6860" t="s">
        <v>4150</v>
      </c>
      <c r="F20" s="6861">
        <v>12183</v>
      </c>
      <c r="G20" s="6862">
        <v>22425</v>
      </c>
      <c r="H20" s="6845"/>
      <c r="I20" s="6872">
        <f>B26+8</f>
        <v>150</v>
      </c>
      <c r="J20" s="6845"/>
      <c r="K20" s="6845"/>
      <c r="L20" s="6845"/>
    </row>
    <row r="21" spans="1:12" ht="19.5" customHeight="1">
      <c r="A21" s="6860" t="s">
        <v>310</v>
      </c>
      <c r="B21" s="6861">
        <v>12</v>
      </c>
      <c r="C21" s="6862">
        <v>337</v>
      </c>
      <c r="D21" s="6856"/>
      <c r="E21" s="6860" t="s">
        <v>4151</v>
      </c>
      <c r="F21" s="6861">
        <v>958</v>
      </c>
      <c r="G21" s="6862">
        <v>8900</v>
      </c>
      <c r="H21" s="6845"/>
      <c r="I21" s="6845"/>
      <c r="J21" s="6845"/>
      <c r="K21" s="6845"/>
      <c r="L21" s="6845"/>
    </row>
    <row r="22" spans="1:12" ht="19.5" customHeight="1">
      <c r="A22" s="6863" t="s">
        <v>1884</v>
      </c>
      <c r="B22" s="6861">
        <v>5</v>
      </c>
      <c r="C22" s="6862">
        <v>263</v>
      </c>
      <c r="D22" s="6856"/>
      <c r="E22" s="6860" t="s">
        <v>4152</v>
      </c>
      <c r="F22" s="6861">
        <v>5351</v>
      </c>
      <c r="G22" s="6862">
        <v>21404</v>
      </c>
      <c r="H22" s="6845"/>
      <c r="I22" s="6845"/>
      <c r="J22" s="6845"/>
      <c r="K22" s="6845"/>
      <c r="L22" s="6845"/>
    </row>
    <row r="23" spans="1:12" ht="19.5" customHeight="1">
      <c r="A23" s="6860" t="s">
        <v>1831</v>
      </c>
      <c r="B23" s="6861">
        <v>5</v>
      </c>
      <c r="C23" s="6862">
        <v>287</v>
      </c>
      <c r="D23" s="6856"/>
      <c r="E23" s="6860" t="s">
        <v>4153</v>
      </c>
      <c r="F23" s="6861">
        <v>1</v>
      </c>
      <c r="G23" s="6862">
        <v>436</v>
      </c>
      <c r="H23" s="6845"/>
      <c r="I23" s="6845"/>
      <c r="J23" s="6845"/>
      <c r="K23" s="6845"/>
      <c r="L23" s="6845"/>
    </row>
    <row r="24" spans="1:12" ht="19.5" customHeight="1">
      <c r="A24" s="6860" t="s">
        <v>4154</v>
      </c>
      <c r="B24" s="6861">
        <v>4</v>
      </c>
      <c r="C24" s="6862">
        <v>178</v>
      </c>
      <c r="D24" s="6856"/>
      <c r="E24" s="6860" t="s">
        <v>4155</v>
      </c>
      <c r="F24" s="6861">
        <v>323</v>
      </c>
      <c r="G24" s="6862">
        <v>1934</v>
      </c>
      <c r="H24" s="6845"/>
      <c r="I24" s="6845"/>
      <c r="J24" s="6845"/>
      <c r="K24" s="6845"/>
      <c r="L24" s="6845"/>
    </row>
    <row r="25" spans="1:12" ht="19.5" customHeight="1">
      <c r="A25" s="6860" t="s">
        <v>4156</v>
      </c>
      <c r="B25" s="6861">
        <v>9</v>
      </c>
      <c r="C25" s="6862">
        <v>340</v>
      </c>
      <c r="D25" s="6856"/>
      <c r="E25" s="6860" t="s">
        <v>4157</v>
      </c>
      <c r="F25" s="6861">
        <v>56</v>
      </c>
      <c r="G25" s="6862">
        <v>85</v>
      </c>
      <c r="H25" s="6845"/>
      <c r="I25" s="6845"/>
      <c r="J25" s="6845"/>
      <c r="K25" s="6845"/>
      <c r="L25" s="6845"/>
    </row>
    <row r="26" spans="1:12" ht="19.5" customHeight="1">
      <c r="A26" s="6866" t="s">
        <v>71</v>
      </c>
      <c r="B26" s="6867">
        <f>SUM(B7:B25)</f>
        <v>142</v>
      </c>
      <c r="C26" s="6868">
        <f>SUM(C7:C25)</f>
        <v>13078</v>
      </c>
      <c r="D26" s="6856"/>
      <c r="E26" s="6860" t="s">
        <v>4149</v>
      </c>
      <c r="F26" s="6861">
        <v>860</v>
      </c>
      <c r="G26" s="6862">
        <v>1772</v>
      </c>
      <c r="H26" s="6845"/>
      <c r="I26" s="6845"/>
      <c r="J26" s="6845"/>
      <c r="K26" s="6845"/>
      <c r="L26" s="6845"/>
    </row>
    <row r="27" spans="1:12" ht="19.5" customHeight="1">
      <c r="A27" s="32" t="s">
        <v>311</v>
      </c>
      <c r="B27" s="5317"/>
      <c r="C27" s="5317"/>
      <c r="D27" s="6845"/>
      <c r="E27" s="6860" t="s">
        <v>4158</v>
      </c>
      <c r="F27" s="6861">
        <v>3856</v>
      </c>
      <c r="G27" s="6862">
        <v>12716</v>
      </c>
      <c r="H27" s="6845"/>
      <c r="I27" s="6845"/>
      <c r="J27" s="6845"/>
      <c r="K27" s="6845"/>
      <c r="L27" s="6845"/>
    </row>
    <row r="28" spans="1:12" ht="19.5" customHeight="1">
      <c r="A28" s="32"/>
      <c r="B28" s="5317"/>
      <c r="C28" s="5317"/>
      <c r="D28" s="6845"/>
      <c r="E28" s="6860" t="s">
        <v>4159</v>
      </c>
      <c r="F28" s="6861">
        <v>122</v>
      </c>
      <c r="G28" s="6862">
        <v>2849</v>
      </c>
      <c r="H28" s="6845"/>
      <c r="I28" s="6845"/>
      <c r="J28" s="6845"/>
      <c r="K28" s="6845"/>
      <c r="L28" s="6845"/>
    </row>
    <row r="29" spans="1:12" ht="19.5" customHeight="1">
      <c r="A29" s="32"/>
      <c r="B29" s="5317"/>
      <c r="C29" s="5317"/>
      <c r="D29" s="6845"/>
      <c r="E29" s="6863" t="s">
        <v>4160</v>
      </c>
      <c r="F29" s="6861">
        <v>302</v>
      </c>
      <c r="G29" s="6862">
        <v>6140</v>
      </c>
      <c r="H29" s="6845"/>
      <c r="I29" s="6845"/>
      <c r="J29" s="6845"/>
      <c r="K29" s="6845"/>
      <c r="L29" s="6845"/>
    </row>
    <row r="30" spans="1:12" ht="19.5" customHeight="1">
      <c r="A30" s="32"/>
      <c r="B30" s="5317"/>
      <c r="C30" s="5317"/>
      <c r="D30" s="6845"/>
      <c r="E30" s="6860" t="s">
        <v>4161</v>
      </c>
      <c r="F30" s="6861">
        <v>472</v>
      </c>
      <c r="G30" s="6862">
        <v>944</v>
      </c>
      <c r="H30" s="6845"/>
      <c r="I30" s="6845"/>
      <c r="J30" s="6845"/>
      <c r="K30" s="6845"/>
      <c r="L30" s="6845"/>
    </row>
    <row r="31" spans="1:12" ht="19.5" customHeight="1">
      <c r="A31" s="32"/>
      <c r="B31" s="5317"/>
      <c r="C31" s="5317"/>
      <c r="D31" s="6845"/>
      <c r="E31" s="6860" t="s">
        <v>1560</v>
      </c>
      <c r="F31" s="6861">
        <v>120</v>
      </c>
      <c r="G31" s="6862">
        <v>1320</v>
      </c>
      <c r="H31" s="6845"/>
      <c r="I31" s="6845"/>
      <c r="J31" s="6845"/>
      <c r="K31" s="6845"/>
      <c r="L31" s="6845"/>
    </row>
    <row r="32" spans="1:12" ht="19.5" customHeight="1">
      <c r="A32" s="32"/>
      <c r="B32" s="5317"/>
      <c r="C32" s="5317"/>
      <c r="D32" s="6845"/>
      <c r="E32" s="6866" t="s">
        <v>71</v>
      </c>
      <c r="F32" s="6867">
        <f>SUM(F7:F31)</f>
        <v>105235</v>
      </c>
      <c r="G32" s="6868">
        <f>SUM(G7:G31)</f>
        <v>259121</v>
      </c>
      <c r="H32" s="6845"/>
      <c r="I32" s="6845"/>
      <c r="J32" s="6845"/>
      <c r="K32" s="6845"/>
      <c r="L32" s="6845"/>
    </row>
    <row r="33" spans="1:12" ht="19.5" customHeight="1">
      <c r="A33" s="6869"/>
      <c r="B33" s="6845"/>
      <c r="C33" s="6845"/>
      <c r="D33" s="6845"/>
      <c r="E33" s="32" t="s">
        <v>311</v>
      </c>
      <c r="F33" s="5317"/>
      <c r="G33" s="5317"/>
      <c r="H33" s="6845"/>
      <c r="I33" s="6845"/>
      <c r="J33" s="6845"/>
      <c r="K33" s="6845"/>
      <c r="L33" s="6845"/>
    </row>
    <row r="34" spans="1:12" ht="19.5" customHeight="1">
      <c r="B34" s="6508"/>
      <c r="C34" s="6508"/>
      <c r="D34" s="27"/>
      <c r="E34" s="5095"/>
      <c r="F34" s="5095"/>
      <c r="G34" s="5095"/>
      <c r="H34" s="6509"/>
    </row>
    <row r="35" spans="1:12" ht="19.5" customHeight="1">
      <c r="A35" s="6214"/>
      <c r="B35" s="6214"/>
      <c r="C35" s="6214"/>
      <c r="D35" s="6214"/>
      <c r="E35" s="6214"/>
      <c r="F35" s="6214"/>
      <c r="G35" s="6214"/>
      <c r="H35" s="6214"/>
    </row>
    <row r="36" spans="1:12" ht="15.6">
      <c r="A36" s="7436" t="s">
        <v>3256</v>
      </c>
      <c r="B36" s="7437"/>
      <c r="C36" s="7438"/>
      <c r="E36" s="7443" t="s">
        <v>3257</v>
      </c>
      <c r="F36" s="7444"/>
      <c r="G36" s="7445"/>
      <c r="H36" s="6214"/>
    </row>
    <row r="37" spans="1:12" ht="15.6">
      <c r="A37" s="7439" t="s">
        <v>300</v>
      </c>
      <c r="B37" s="7440"/>
      <c r="C37" s="7441"/>
      <c r="E37" s="7446" t="s">
        <v>3259</v>
      </c>
      <c r="F37" s="7448" t="s">
        <v>3262</v>
      </c>
      <c r="G37" s="7434" t="s">
        <v>3263</v>
      </c>
      <c r="H37" s="6214"/>
    </row>
    <row r="38" spans="1:12" ht="15.6">
      <c r="A38" s="7442" t="s">
        <v>3258</v>
      </c>
      <c r="B38" s="7434" t="s">
        <v>3255</v>
      </c>
      <c r="C38" s="7434" t="s">
        <v>3263</v>
      </c>
      <c r="E38" s="7447"/>
      <c r="F38" s="7447"/>
      <c r="G38" s="7435"/>
      <c r="H38" s="6214"/>
    </row>
    <row r="39" spans="1:12" ht="15.6">
      <c r="A39" s="7442"/>
      <c r="B39" s="7435"/>
      <c r="C39" s="7435"/>
      <c r="E39" s="6219" t="s">
        <v>3246</v>
      </c>
      <c r="F39" s="6220"/>
      <c r="G39" s="6257">
        <v>2694</v>
      </c>
      <c r="H39" s="6214"/>
    </row>
    <row r="40" spans="1:12" ht="15.6">
      <c r="A40" s="6219" t="s">
        <v>183</v>
      </c>
      <c r="B40" s="6221">
        <v>7</v>
      </c>
      <c r="C40" s="6222">
        <v>200</v>
      </c>
      <c r="E40" s="6223" t="s">
        <v>3247</v>
      </c>
      <c r="F40" s="6224" t="s">
        <v>3254</v>
      </c>
      <c r="G40" s="6224">
        <v>7500</v>
      </c>
      <c r="H40" s="6214"/>
    </row>
    <row r="41" spans="1:12" ht="15.6">
      <c r="A41" s="6226" t="s">
        <v>3237</v>
      </c>
      <c r="B41" s="6224">
        <v>2</v>
      </c>
      <c r="C41" s="6224">
        <v>714</v>
      </c>
      <c r="E41" s="6226" t="s">
        <v>3248</v>
      </c>
      <c r="F41" s="6224" t="s">
        <v>3249</v>
      </c>
      <c r="G41" s="6224">
        <v>450</v>
      </c>
      <c r="H41" s="6214"/>
    </row>
    <row r="42" spans="1:12" ht="28.8">
      <c r="A42" s="6223" t="s">
        <v>3238</v>
      </c>
      <c r="B42" s="6224">
        <v>10</v>
      </c>
      <c r="C42" s="6224">
        <v>323</v>
      </c>
      <c r="E42" s="6227" t="s">
        <v>3250</v>
      </c>
      <c r="F42" s="6228" t="s">
        <v>3254</v>
      </c>
      <c r="G42" s="6228">
        <v>800</v>
      </c>
      <c r="H42" s="6214"/>
    </row>
    <row r="43" spans="1:12" ht="15.6">
      <c r="A43" s="6223" t="s">
        <v>1863</v>
      </c>
      <c r="B43" s="6224">
        <v>1</v>
      </c>
      <c r="C43" s="6224">
        <v>1550</v>
      </c>
      <c r="E43" s="6253" t="s">
        <v>71</v>
      </c>
      <c r="F43" s="6258">
        <v>4</v>
      </c>
      <c r="G43" s="6259">
        <f>SUM(G39:G42)</f>
        <v>11444</v>
      </c>
      <c r="H43" s="6214"/>
    </row>
    <row r="44" spans="1:12" ht="15.6">
      <c r="A44" s="6226" t="s">
        <v>1625</v>
      </c>
      <c r="B44" s="6224">
        <v>12</v>
      </c>
      <c r="C44" s="6224">
        <v>128</v>
      </c>
      <c r="E44" s="6753" t="s">
        <v>3415</v>
      </c>
      <c r="H44" s="6214"/>
    </row>
    <row r="45" spans="1:12" ht="15.6">
      <c r="A45" s="6226" t="s">
        <v>304</v>
      </c>
      <c r="B45" s="6224">
        <v>17</v>
      </c>
      <c r="C45" s="6224">
        <v>2064</v>
      </c>
      <c r="H45" s="6214"/>
    </row>
    <row r="46" spans="1:12" ht="15.6">
      <c r="A46" s="6226" t="s">
        <v>377</v>
      </c>
      <c r="B46" s="6224">
        <v>6</v>
      </c>
      <c r="C46" s="6224">
        <v>436</v>
      </c>
      <c r="H46" s="6214"/>
    </row>
    <row r="47" spans="1:12" ht="15.6">
      <c r="A47" s="6226" t="s">
        <v>305</v>
      </c>
      <c r="B47" s="6224">
        <v>9</v>
      </c>
      <c r="C47" s="6224">
        <v>1375</v>
      </c>
      <c r="H47" s="6214"/>
    </row>
    <row r="48" spans="1:12" ht="15.6">
      <c r="A48" s="6226" t="s">
        <v>1627</v>
      </c>
      <c r="B48" s="6224">
        <v>7</v>
      </c>
      <c r="C48" s="6224">
        <v>72</v>
      </c>
      <c r="E48" s="6254" t="s">
        <v>3255</v>
      </c>
      <c r="F48" s="6255">
        <f>SUM(F43,B58)</f>
        <v>115</v>
      </c>
      <c r="H48" s="6214"/>
    </row>
    <row r="49" spans="1:8" ht="15.6">
      <c r="A49" s="6226" t="s">
        <v>1762</v>
      </c>
      <c r="B49" s="6224">
        <v>5</v>
      </c>
      <c r="C49" s="6224"/>
      <c r="H49" s="6214"/>
    </row>
    <row r="50" spans="1:8" ht="15.6">
      <c r="A50" s="6226" t="s">
        <v>3239</v>
      </c>
      <c r="B50" s="6224">
        <v>6</v>
      </c>
      <c r="C50" s="6224">
        <v>62</v>
      </c>
      <c r="H50" s="6214"/>
    </row>
    <row r="51" spans="1:8" ht="15.6">
      <c r="A51" s="6226" t="s">
        <v>184</v>
      </c>
      <c r="B51" s="6224">
        <v>1</v>
      </c>
      <c r="C51" s="6224">
        <v>18</v>
      </c>
      <c r="H51" s="6214"/>
    </row>
    <row r="52" spans="1:8" ht="15.6">
      <c r="A52" s="6226" t="s">
        <v>310</v>
      </c>
      <c r="B52" s="6224">
        <v>9</v>
      </c>
      <c r="C52" s="6224">
        <v>168</v>
      </c>
      <c r="H52" s="6214"/>
    </row>
    <row r="53" spans="1:8" ht="15.6">
      <c r="A53" s="6223" t="s">
        <v>378</v>
      </c>
      <c r="B53" s="6224">
        <v>3</v>
      </c>
      <c r="C53" s="6224">
        <v>90</v>
      </c>
      <c r="H53" s="6214"/>
    </row>
    <row r="54" spans="1:8" ht="15.6">
      <c r="A54" s="6226" t="s">
        <v>1767</v>
      </c>
      <c r="B54" s="6224">
        <v>9</v>
      </c>
      <c r="C54" s="6224">
        <v>263</v>
      </c>
      <c r="F54" s="6229"/>
      <c r="H54" s="6214"/>
    </row>
    <row r="55" spans="1:8" ht="15.6">
      <c r="A55" s="6230" t="s">
        <v>1867</v>
      </c>
      <c r="B55" s="6231">
        <v>5</v>
      </c>
      <c r="C55" s="6231">
        <v>236</v>
      </c>
      <c r="F55" s="6229"/>
      <c r="H55" s="6214"/>
    </row>
    <row r="56" spans="1:8" ht="15.6">
      <c r="A56" s="6230" t="s">
        <v>3240</v>
      </c>
      <c r="B56" s="6231">
        <v>2</v>
      </c>
      <c r="C56" s="6231">
        <v>70</v>
      </c>
      <c r="F56" s="6229"/>
      <c r="H56" s="6214"/>
    </row>
    <row r="57" spans="1:8" ht="15.6">
      <c r="A57" s="6232"/>
      <c r="B57" s="6233"/>
      <c r="C57" s="6233"/>
      <c r="H57" s="6214"/>
    </row>
    <row r="58" spans="1:8" ht="15.6">
      <c r="A58" s="6218" t="s">
        <v>71</v>
      </c>
      <c r="B58" s="6234">
        <f>SUM(B40:B57)</f>
        <v>111</v>
      </c>
      <c r="C58" s="6235">
        <f>SUM(C40:C57)</f>
        <v>7769</v>
      </c>
      <c r="H58" s="6214"/>
    </row>
    <row r="59" spans="1:8" ht="15.6">
      <c r="A59" s="37" t="s">
        <v>311</v>
      </c>
      <c r="H59" s="6214"/>
    </row>
    <row r="60" spans="1:8" ht="15.6">
      <c r="A60" s="6753" t="s">
        <v>3415</v>
      </c>
      <c r="H60" s="6214"/>
    </row>
    <row r="61" spans="1:8" ht="15.6">
      <c r="A61" s="6753"/>
      <c r="H61" s="6214"/>
    </row>
    <row r="62" spans="1:8" ht="15.6">
      <c r="A62" s="7436" t="s">
        <v>3256</v>
      </c>
      <c r="B62" s="7437"/>
      <c r="C62" s="7438"/>
      <c r="D62" s="5095"/>
      <c r="H62" s="6214"/>
    </row>
    <row r="63" spans="1:8" ht="15.6">
      <c r="A63" s="7439" t="s">
        <v>301</v>
      </c>
      <c r="B63" s="7440"/>
      <c r="C63" s="7441"/>
      <c r="H63" s="6214"/>
    </row>
    <row r="64" spans="1:8" ht="15.6">
      <c r="A64" s="7442" t="s">
        <v>3259</v>
      </c>
      <c r="B64" s="7434" t="s">
        <v>3260</v>
      </c>
      <c r="C64" s="7434" t="s">
        <v>3261</v>
      </c>
      <c r="H64" s="6214"/>
    </row>
    <row r="65" spans="1:8" ht="15.6">
      <c r="A65" s="7442"/>
      <c r="B65" s="7435"/>
      <c r="C65" s="7435"/>
      <c r="H65" s="6214"/>
    </row>
    <row r="66" spans="1:8" ht="28.8">
      <c r="A66" s="6236" t="s">
        <v>3241</v>
      </c>
      <c r="B66" s="6237">
        <v>13595</v>
      </c>
      <c r="C66" s="6238">
        <v>121449</v>
      </c>
      <c r="H66" s="6214"/>
    </row>
    <row r="67" spans="1:8" ht="15.6">
      <c r="A67" s="6239" t="s">
        <v>1795</v>
      </c>
      <c r="B67" s="6240">
        <v>491</v>
      </c>
      <c r="C67" s="6241">
        <v>2304</v>
      </c>
      <c r="H67" s="6214"/>
    </row>
    <row r="68" spans="1:8" ht="15.6">
      <c r="A68" s="6242" t="s">
        <v>1756</v>
      </c>
      <c r="B68" s="6225">
        <v>61</v>
      </c>
      <c r="C68" s="6243">
        <v>244</v>
      </c>
      <c r="H68" s="6214"/>
    </row>
    <row r="69" spans="1:8" ht="15.6">
      <c r="A69" s="6242" t="s">
        <v>304</v>
      </c>
      <c r="B69" s="6225">
        <v>6</v>
      </c>
      <c r="C69" s="6243">
        <v>536</v>
      </c>
      <c r="H69" s="6214"/>
    </row>
    <row r="70" spans="1:8" ht="15.6">
      <c r="A70" s="6242" t="s">
        <v>306</v>
      </c>
      <c r="B70" s="6225">
        <v>90838</v>
      </c>
      <c r="C70" s="6243">
        <v>90838</v>
      </c>
      <c r="H70" s="6214"/>
    </row>
    <row r="71" spans="1:8" ht="15.6">
      <c r="A71" s="6242" t="s">
        <v>3242</v>
      </c>
      <c r="B71" s="6225">
        <v>6757</v>
      </c>
      <c r="C71" s="6243">
        <v>31862</v>
      </c>
      <c r="H71" s="6214"/>
    </row>
    <row r="72" spans="1:8" ht="15.6">
      <c r="A72" s="6242" t="s">
        <v>1626</v>
      </c>
      <c r="B72" s="6225">
        <v>12</v>
      </c>
      <c r="C72" s="6243">
        <v>48</v>
      </c>
      <c r="H72" s="6214"/>
    </row>
    <row r="73" spans="1:8" ht="15.6">
      <c r="A73" s="6244" t="s">
        <v>307</v>
      </c>
      <c r="B73" s="6225">
        <v>15825</v>
      </c>
      <c r="C73" s="6243">
        <v>15825</v>
      </c>
      <c r="H73" s="6214"/>
    </row>
    <row r="74" spans="1:8" ht="15.6">
      <c r="A74" s="6242" t="s">
        <v>308</v>
      </c>
      <c r="B74" s="6225">
        <v>295</v>
      </c>
      <c r="C74" s="6243">
        <v>7551</v>
      </c>
      <c r="H74" s="6214"/>
    </row>
    <row r="75" spans="1:8" ht="15.6">
      <c r="A75" s="6242" t="s">
        <v>185</v>
      </c>
      <c r="B75" s="6225">
        <v>420</v>
      </c>
      <c r="C75" s="6243">
        <v>840</v>
      </c>
      <c r="H75" s="6214"/>
    </row>
    <row r="76" spans="1:8" ht="15.6">
      <c r="A76" s="6242" t="s">
        <v>184</v>
      </c>
      <c r="B76" s="6225">
        <v>1254</v>
      </c>
      <c r="C76" s="6243">
        <v>2671</v>
      </c>
      <c r="H76" s="6214"/>
    </row>
    <row r="77" spans="1:8" ht="15.6">
      <c r="A77" s="6242" t="s">
        <v>310</v>
      </c>
      <c r="B77" s="6225">
        <v>1738</v>
      </c>
      <c r="C77" s="6243">
        <v>12159</v>
      </c>
      <c r="H77" s="6214"/>
    </row>
    <row r="78" spans="1:8" ht="15.6">
      <c r="A78" s="6245" t="s">
        <v>1560</v>
      </c>
      <c r="B78" s="6246">
        <v>120</v>
      </c>
      <c r="C78" s="6247">
        <v>1440</v>
      </c>
      <c r="H78" s="6214"/>
    </row>
    <row r="79" spans="1:8" ht="15.6">
      <c r="A79" s="6245" t="s">
        <v>3243</v>
      </c>
      <c r="B79" s="6246">
        <v>126</v>
      </c>
      <c r="C79" s="6247">
        <v>4163</v>
      </c>
      <c r="H79" s="6214"/>
    </row>
    <row r="80" spans="1:8" ht="15.6">
      <c r="A80" s="6245" t="s">
        <v>3244</v>
      </c>
      <c r="B80" s="6246">
        <v>73</v>
      </c>
      <c r="C80" s="6247">
        <v>1460</v>
      </c>
      <c r="H80" s="6214"/>
    </row>
    <row r="81" spans="1:8" ht="15.6">
      <c r="A81" s="6245" t="s">
        <v>3245</v>
      </c>
      <c r="B81" s="6246">
        <v>1120</v>
      </c>
      <c r="C81" s="6247">
        <v>1120</v>
      </c>
      <c r="H81" s="6214"/>
    </row>
    <row r="82" spans="1:8" ht="15.6">
      <c r="A82" s="6248"/>
      <c r="B82" s="6249"/>
      <c r="C82" s="6250"/>
      <c r="H82" s="6214"/>
    </row>
    <row r="83" spans="1:8" ht="15.6">
      <c r="A83" s="6218" t="s">
        <v>71</v>
      </c>
      <c r="B83" s="6256">
        <f>SUM(B66:B82)</f>
        <v>132731</v>
      </c>
      <c r="C83" s="6235">
        <f>SUM(C66:C82)</f>
        <v>294510</v>
      </c>
      <c r="H83" s="6214"/>
    </row>
    <row r="84" spans="1:8" ht="15.6">
      <c r="A84" s="2026" t="s">
        <v>311</v>
      </c>
      <c r="H84" s="6214"/>
    </row>
    <row r="85" spans="1:8" ht="19.5" customHeight="1">
      <c r="A85" s="42" t="s">
        <v>3415</v>
      </c>
      <c r="B85" s="6214"/>
      <c r="C85" s="6214"/>
      <c r="D85" s="6214"/>
      <c r="E85" s="6214"/>
      <c r="F85" s="6214"/>
      <c r="G85" s="6214"/>
      <c r="H85" s="6214"/>
    </row>
    <row r="86" spans="1:8" ht="19.5" customHeight="1">
      <c r="A86" s="5096"/>
      <c r="B86" s="5096"/>
      <c r="C86" s="5096"/>
      <c r="D86" s="27"/>
      <c r="E86" s="5095"/>
      <c r="F86" s="5095"/>
      <c r="G86" s="5095"/>
    </row>
    <row r="87" spans="1:8" ht="19.5" customHeight="1">
      <c r="A87" s="7421" t="s">
        <v>3252</v>
      </c>
      <c r="B87" s="7422"/>
      <c r="C87" s="7423"/>
      <c r="D87" s="27"/>
      <c r="E87" s="7424" t="s">
        <v>3253</v>
      </c>
      <c r="F87" s="7425"/>
      <c r="G87" s="7425"/>
      <c r="H87" s="7426"/>
    </row>
    <row r="88" spans="1:8" ht="19.5" customHeight="1">
      <c r="A88" s="7427" t="s">
        <v>2936</v>
      </c>
      <c r="B88" s="7428"/>
      <c r="C88" s="7429"/>
      <c r="D88" s="27"/>
      <c r="E88" s="7432" t="s">
        <v>302</v>
      </c>
      <c r="F88" s="7432" t="s">
        <v>303</v>
      </c>
      <c r="G88" s="7430" t="s">
        <v>2244</v>
      </c>
      <c r="H88" s="7431"/>
    </row>
    <row r="89" spans="1:8" ht="28.8">
      <c r="A89" s="6211" t="s">
        <v>180</v>
      </c>
      <c r="B89" s="6212" t="s">
        <v>696</v>
      </c>
      <c r="C89" s="6212" t="s">
        <v>3051</v>
      </c>
      <c r="D89" s="27"/>
      <c r="E89" s="7433"/>
      <c r="F89" s="7433"/>
      <c r="G89" s="6252" t="s">
        <v>451</v>
      </c>
      <c r="H89" s="6507" t="s">
        <v>1776</v>
      </c>
    </row>
    <row r="90" spans="1:8" ht="19.5" customHeight="1">
      <c r="A90" s="5303" t="s">
        <v>2937</v>
      </c>
      <c r="B90" s="5304" t="s">
        <v>2618</v>
      </c>
      <c r="C90" s="5305">
        <v>80</v>
      </c>
      <c r="D90" s="27"/>
      <c r="E90" s="5302" t="s">
        <v>2939</v>
      </c>
      <c r="F90" s="5097" t="s">
        <v>1859</v>
      </c>
      <c r="G90" s="5097">
        <v>77</v>
      </c>
      <c r="H90" s="5097"/>
    </row>
    <row r="91" spans="1:8" ht="19.5" customHeight="1">
      <c r="A91" s="5303" t="s">
        <v>2938</v>
      </c>
      <c r="B91" s="5304" t="s">
        <v>2645</v>
      </c>
      <c r="C91" s="5305">
        <v>40</v>
      </c>
      <c r="D91" s="27"/>
      <c r="E91" s="5303" t="s">
        <v>2940</v>
      </c>
      <c r="F91" s="5306" t="s">
        <v>1859</v>
      </c>
      <c r="G91" s="5098">
        <v>34</v>
      </c>
      <c r="H91" s="5098"/>
    </row>
    <row r="92" spans="1:8" ht="19.5" customHeight="1">
      <c r="A92" s="5307" t="s">
        <v>71</v>
      </c>
      <c r="B92" s="5308">
        <v>6</v>
      </c>
      <c r="C92" s="5308">
        <f>SUM(C90:C91)</f>
        <v>120</v>
      </c>
      <c r="D92" s="27"/>
      <c r="E92" s="5307" t="s">
        <v>71</v>
      </c>
      <c r="G92" s="5308">
        <f>SUM(G90:G91)</f>
        <v>111</v>
      </c>
      <c r="H92" s="5308"/>
    </row>
    <row r="93" spans="1:8" ht="19.5" customHeight="1">
      <c r="D93" s="27"/>
    </row>
    <row r="94" spans="1:8" ht="19.5" customHeight="1">
      <c r="A94" s="3701"/>
      <c r="B94" s="3701"/>
      <c r="C94" s="3701"/>
      <c r="D94" s="27"/>
      <c r="E94" s="5095"/>
      <c r="F94" s="5095"/>
      <c r="G94" s="5095"/>
    </row>
    <row r="95" spans="1:8" ht="19.5" customHeight="1">
      <c r="A95" s="7421" t="s">
        <v>3251</v>
      </c>
      <c r="B95" s="7422"/>
      <c r="C95" s="7422"/>
      <c r="D95" s="7422"/>
      <c r="E95" s="7423"/>
      <c r="F95" s="5095"/>
      <c r="G95" s="5095"/>
    </row>
    <row r="96" spans="1:8" ht="19.5" customHeight="1">
      <c r="A96" s="6217" t="s">
        <v>2941</v>
      </c>
      <c r="B96" s="6215"/>
      <c r="C96" s="6215"/>
      <c r="D96" s="6251"/>
      <c r="E96" s="6216"/>
      <c r="F96" s="5095"/>
      <c r="G96" s="5095"/>
    </row>
    <row r="97" spans="1:7" ht="28.8">
      <c r="A97" s="6211" t="s">
        <v>302</v>
      </c>
      <c r="B97" s="6212" t="s">
        <v>698</v>
      </c>
      <c r="C97" s="6212" t="s">
        <v>181</v>
      </c>
      <c r="D97" s="6212" t="s">
        <v>2942</v>
      </c>
      <c r="E97" s="6212" t="s">
        <v>2943</v>
      </c>
      <c r="F97" s="5095"/>
      <c r="G97" s="5095"/>
    </row>
    <row r="98" spans="1:7" ht="19.5" customHeight="1">
      <c r="A98" s="5303" t="s">
        <v>2944</v>
      </c>
      <c r="B98" s="5309">
        <v>3</v>
      </c>
      <c r="C98" s="5310">
        <v>34</v>
      </c>
      <c r="D98" s="5305" t="s">
        <v>2945</v>
      </c>
      <c r="E98" s="5305">
        <v>660</v>
      </c>
      <c r="F98" s="5095"/>
      <c r="G98" s="5095"/>
    </row>
    <row r="99" spans="1:7" ht="19.5" customHeight="1">
      <c r="A99" s="5100" t="s">
        <v>2946</v>
      </c>
      <c r="B99" s="5311">
        <v>3</v>
      </c>
      <c r="C99" s="5305">
        <v>52</v>
      </c>
      <c r="D99" s="5305" t="s">
        <v>2945</v>
      </c>
      <c r="E99" s="5305">
        <v>1102</v>
      </c>
      <c r="F99" s="5095"/>
      <c r="G99" s="5095"/>
    </row>
    <row r="100" spans="1:7" ht="19.5" customHeight="1">
      <c r="A100" s="5100" t="s">
        <v>2947</v>
      </c>
      <c r="B100" s="5311">
        <v>3</v>
      </c>
      <c r="C100" s="5305">
        <v>22</v>
      </c>
      <c r="D100" s="5305" t="s">
        <v>2945</v>
      </c>
      <c r="E100" s="5305">
        <v>462</v>
      </c>
      <c r="F100" s="5095"/>
      <c r="G100" s="5095"/>
    </row>
    <row r="101" spans="1:7" ht="19.5" customHeight="1">
      <c r="A101" s="5303" t="s">
        <v>2948</v>
      </c>
      <c r="B101" s="5098">
        <v>2</v>
      </c>
      <c r="C101" s="5305">
        <v>217</v>
      </c>
      <c r="D101" s="5305" t="s">
        <v>2945</v>
      </c>
      <c r="E101" s="5305">
        <v>1980</v>
      </c>
      <c r="F101" s="5095"/>
      <c r="G101" s="5095"/>
    </row>
    <row r="102" spans="1:7" ht="19.5" customHeight="1">
      <c r="A102" s="5303" t="s">
        <v>2949</v>
      </c>
      <c r="B102" s="5098">
        <v>1</v>
      </c>
      <c r="C102" s="5305">
        <v>90</v>
      </c>
      <c r="D102" s="5305" t="s">
        <v>2945</v>
      </c>
      <c r="E102" s="5305">
        <v>990</v>
      </c>
      <c r="F102" s="5095"/>
      <c r="G102" s="5095"/>
    </row>
    <row r="103" spans="1:7" ht="19.5" customHeight="1">
      <c r="A103" s="5303" t="s">
        <v>2950</v>
      </c>
      <c r="B103" s="5309">
        <v>1</v>
      </c>
      <c r="C103" s="5310">
        <v>27</v>
      </c>
      <c r="D103" s="5305" t="s">
        <v>2945</v>
      </c>
      <c r="E103" s="5305">
        <v>132</v>
      </c>
      <c r="F103" s="5095"/>
      <c r="G103" s="5095"/>
    </row>
    <row r="104" spans="1:7" ht="19.5" customHeight="1">
      <c r="A104" s="5303" t="s">
        <v>2951</v>
      </c>
      <c r="B104" s="5309">
        <v>9</v>
      </c>
      <c r="C104" s="5310">
        <v>735</v>
      </c>
      <c r="D104" s="5305" t="s">
        <v>2952</v>
      </c>
      <c r="E104" s="5305">
        <v>2355</v>
      </c>
      <c r="F104" s="5095"/>
      <c r="G104" s="5095"/>
    </row>
    <row r="105" spans="1:7" ht="19.5" customHeight="1">
      <c r="A105" s="5303" t="s">
        <v>2953</v>
      </c>
      <c r="B105" s="5098">
        <v>2</v>
      </c>
      <c r="C105" s="5305">
        <v>54</v>
      </c>
      <c r="D105" s="5305" t="s">
        <v>2954</v>
      </c>
      <c r="E105" s="5305">
        <v>1106</v>
      </c>
      <c r="F105" s="5095"/>
      <c r="G105" s="5095"/>
    </row>
    <row r="106" spans="1:7" ht="19.5" customHeight="1">
      <c r="A106" s="5303" t="s">
        <v>2955</v>
      </c>
      <c r="B106" s="5309">
        <v>7</v>
      </c>
      <c r="C106" s="5310">
        <v>250</v>
      </c>
      <c r="D106" s="5305" t="s">
        <v>2956</v>
      </c>
      <c r="E106" s="5305">
        <v>2429</v>
      </c>
      <c r="F106" s="5095"/>
      <c r="G106" s="5095"/>
    </row>
    <row r="107" spans="1:7" ht="19.5" customHeight="1">
      <c r="A107" s="5303" t="s">
        <v>2957</v>
      </c>
      <c r="B107" s="5098">
        <v>45</v>
      </c>
      <c r="C107" s="5305">
        <v>453</v>
      </c>
      <c r="D107" s="5305" t="s">
        <v>2958</v>
      </c>
      <c r="E107" s="5305">
        <v>4253</v>
      </c>
      <c r="F107" s="5095"/>
      <c r="G107" s="5095"/>
    </row>
    <row r="108" spans="1:7" ht="19.5" customHeight="1">
      <c r="A108" s="5303" t="s">
        <v>2959</v>
      </c>
      <c r="B108" s="5098">
        <v>3</v>
      </c>
      <c r="C108" s="5305">
        <v>150</v>
      </c>
      <c r="D108" s="5305" t="s">
        <v>2945</v>
      </c>
      <c r="E108" s="5305">
        <v>895</v>
      </c>
      <c r="F108" s="5095"/>
      <c r="G108" s="5095"/>
    </row>
    <row r="109" spans="1:7" ht="19.5" customHeight="1">
      <c r="A109" s="5303" t="s">
        <v>2960</v>
      </c>
      <c r="B109" s="5098">
        <v>2</v>
      </c>
      <c r="C109" s="5305">
        <v>52</v>
      </c>
      <c r="D109" s="5305" t="s">
        <v>2961</v>
      </c>
      <c r="E109" s="5305">
        <v>345</v>
      </c>
      <c r="F109" s="5095"/>
      <c r="G109" s="5095"/>
    </row>
    <row r="110" spans="1:7" ht="19.5" customHeight="1">
      <c r="A110" s="5303" t="s">
        <v>2962</v>
      </c>
      <c r="B110" s="5098">
        <v>1</v>
      </c>
      <c r="C110" s="5305">
        <v>32</v>
      </c>
      <c r="D110" s="5305" t="s">
        <v>2945</v>
      </c>
      <c r="E110" s="5305">
        <v>305</v>
      </c>
      <c r="F110" s="5095"/>
      <c r="G110" s="5095"/>
    </row>
    <row r="111" spans="1:7" ht="19.5" customHeight="1">
      <c r="A111" s="5303" t="s">
        <v>2963</v>
      </c>
      <c r="B111" s="5098">
        <v>5</v>
      </c>
      <c r="C111" s="5305">
        <v>1260</v>
      </c>
      <c r="D111" s="5305" t="s">
        <v>2964</v>
      </c>
      <c r="E111" s="5305">
        <v>1260</v>
      </c>
      <c r="F111" s="5095"/>
      <c r="G111" s="5095"/>
    </row>
    <row r="112" spans="1:7" ht="19.5" customHeight="1">
      <c r="A112" s="5303" t="s">
        <v>2965</v>
      </c>
      <c r="B112" s="5098">
        <v>2</v>
      </c>
      <c r="C112" s="5305">
        <v>80</v>
      </c>
      <c r="D112" s="5305" t="s">
        <v>2966</v>
      </c>
      <c r="E112" s="5305">
        <v>253</v>
      </c>
      <c r="F112" s="5095"/>
      <c r="G112" s="5095"/>
    </row>
    <row r="113" spans="1:8" ht="19.5" customHeight="1">
      <c r="A113" s="5312" t="s">
        <v>2967</v>
      </c>
      <c r="B113" s="5098">
        <v>9</v>
      </c>
      <c r="C113" s="5098">
        <v>844</v>
      </c>
      <c r="D113" s="5098" t="s">
        <v>2956</v>
      </c>
      <c r="E113" s="5098">
        <v>4956</v>
      </c>
      <c r="F113" s="5095"/>
      <c r="G113" s="5095"/>
    </row>
    <row r="114" spans="1:8" ht="19.5" customHeight="1">
      <c r="A114" s="5312" t="s">
        <v>2968</v>
      </c>
      <c r="B114" s="5309">
        <v>75</v>
      </c>
      <c r="C114" s="5309">
        <v>2653</v>
      </c>
      <c r="D114" s="5098" t="s">
        <v>2966</v>
      </c>
      <c r="E114" s="5098">
        <v>5953</v>
      </c>
      <c r="F114" s="5095"/>
      <c r="G114" s="5095"/>
    </row>
    <row r="115" spans="1:8" ht="19.5" customHeight="1">
      <c r="A115" s="5312" t="s">
        <v>2969</v>
      </c>
      <c r="B115" s="5309">
        <v>30</v>
      </c>
      <c r="C115" s="5309">
        <v>603</v>
      </c>
      <c r="D115" s="5098" t="s">
        <v>2966</v>
      </c>
      <c r="E115" s="5098">
        <v>14151</v>
      </c>
      <c r="F115" s="5095"/>
      <c r="G115" s="5095"/>
    </row>
    <row r="116" spans="1:8" ht="19.5" customHeight="1">
      <c r="A116" s="5312" t="s">
        <v>2970</v>
      </c>
      <c r="B116" s="5309">
        <v>6</v>
      </c>
      <c r="C116" s="5309">
        <v>600</v>
      </c>
      <c r="D116" s="5098" t="s">
        <v>2971</v>
      </c>
      <c r="E116" s="5098">
        <v>1753</v>
      </c>
      <c r="F116" s="5095"/>
      <c r="G116" s="5095"/>
    </row>
    <row r="117" spans="1:8" ht="19.5" customHeight="1">
      <c r="A117" s="5303" t="s">
        <v>2972</v>
      </c>
      <c r="B117" s="5309">
        <v>12</v>
      </c>
      <c r="C117" s="5310">
        <v>429</v>
      </c>
      <c r="D117" s="5305" t="s">
        <v>2973</v>
      </c>
      <c r="E117" s="5305">
        <v>2253</v>
      </c>
      <c r="F117" s="5095"/>
      <c r="G117" s="5095"/>
    </row>
    <row r="118" spans="1:8" ht="19.5" customHeight="1">
      <c r="A118" s="5303" t="s">
        <v>2974</v>
      </c>
      <c r="B118" s="5309">
        <v>250</v>
      </c>
      <c r="C118" s="5310">
        <v>543</v>
      </c>
      <c r="D118" s="5305" t="s">
        <v>2958</v>
      </c>
      <c r="E118" s="5305">
        <v>3078</v>
      </c>
      <c r="F118" s="5095"/>
      <c r="G118" s="5095"/>
    </row>
    <row r="119" spans="1:8" ht="19.5" customHeight="1">
      <c r="A119" s="5307" t="s">
        <v>71</v>
      </c>
      <c r="B119" s="5313">
        <f t="shared" ref="B119:C119" si="0">SUM(B98:B118)</f>
        <v>471</v>
      </c>
      <c r="C119" s="5308">
        <f t="shared" si="0"/>
        <v>9180</v>
      </c>
      <c r="D119" s="5095"/>
      <c r="E119" s="5308">
        <f>SUM(E98:E118)</f>
        <v>50671</v>
      </c>
      <c r="F119" s="5095"/>
      <c r="G119" s="5095"/>
    </row>
    <row r="120" spans="1:8" ht="19.5" customHeight="1">
      <c r="A120" s="39" t="s">
        <v>311</v>
      </c>
      <c r="B120" s="5095"/>
      <c r="C120" s="5095"/>
      <c r="D120" s="5095"/>
      <c r="E120" s="5095"/>
      <c r="F120" s="5095"/>
      <c r="G120" s="5095"/>
    </row>
    <row r="121" spans="1:8" ht="19.5" customHeight="1">
      <c r="A121" s="5096"/>
      <c r="B121" s="5096"/>
      <c r="C121" s="5096"/>
      <c r="D121" s="27"/>
      <c r="E121" s="5095"/>
      <c r="F121" s="5095"/>
      <c r="G121" s="5095"/>
    </row>
    <row r="122" spans="1:8" ht="19.5" customHeight="1">
      <c r="A122" s="5096"/>
      <c r="B122" s="5096"/>
      <c r="C122" s="5096"/>
      <c r="D122" s="27"/>
      <c r="E122" s="5095"/>
      <c r="F122" s="5095"/>
      <c r="G122" s="5095"/>
    </row>
    <row r="123" spans="1:8" ht="15" customHeight="1">
      <c r="A123" s="7449" t="s">
        <v>2651</v>
      </c>
      <c r="B123" s="7450"/>
      <c r="C123" s="7451"/>
      <c r="E123" s="7452" t="s">
        <v>2652</v>
      </c>
      <c r="F123" s="7453"/>
      <c r="G123" s="7453"/>
      <c r="H123" s="7454"/>
    </row>
    <row r="124" spans="1:8" ht="15" customHeight="1">
      <c r="A124" s="7458" t="s">
        <v>300</v>
      </c>
      <c r="B124" s="7459"/>
      <c r="C124" s="7460"/>
      <c r="E124" s="7461" t="s">
        <v>302</v>
      </c>
      <c r="F124" s="7463" t="s">
        <v>303</v>
      </c>
      <c r="G124" s="7464" t="s">
        <v>2244</v>
      </c>
      <c r="H124" s="7465"/>
    </row>
    <row r="125" spans="1:8" ht="15" customHeight="1">
      <c r="A125" s="7455" t="s">
        <v>180</v>
      </c>
      <c r="B125" s="7456" t="s">
        <v>696</v>
      </c>
      <c r="C125" s="7456" t="s">
        <v>697</v>
      </c>
      <c r="E125" s="7462"/>
      <c r="F125" s="7462"/>
      <c r="G125" s="5101" t="s">
        <v>451</v>
      </c>
      <c r="H125" s="4128" t="s">
        <v>1776</v>
      </c>
    </row>
    <row r="126" spans="1:8" ht="15" customHeight="1">
      <c r="A126" s="7455"/>
      <c r="B126" s="7457"/>
      <c r="C126" s="7457"/>
      <c r="E126" s="5102"/>
      <c r="F126" s="5102"/>
      <c r="G126" s="5103"/>
    </row>
    <row r="127" spans="1:8" ht="15" customHeight="1">
      <c r="A127" s="5104" t="s">
        <v>183</v>
      </c>
      <c r="B127" s="5105" t="s">
        <v>2645</v>
      </c>
      <c r="C127" s="5106">
        <v>35</v>
      </c>
      <c r="E127" s="5107" t="s">
        <v>703</v>
      </c>
      <c r="F127" s="5108" t="s">
        <v>2245</v>
      </c>
      <c r="G127" s="5109"/>
      <c r="H127" s="5110"/>
    </row>
    <row r="128" spans="1:8" ht="15" customHeight="1">
      <c r="A128" s="5104" t="s">
        <v>1558</v>
      </c>
      <c r="B128" s="5105" t="s">
        <v>2617</v>
      </c>
      <c r="C128" s="5106">
        <v>30</v>
      </c>
      <c r="E128" s="5111" t="s">
        <v>2393</v>
      </c>
      <c r="F128" s="5112" t="s">
        <v>2245</v>
      </c>
      <c r="G128" s="5113"/>
      <c r="H128" s="5114"/>
    </row>
    <row r="129" spans="1:8" ht="15" customHeight="1">
      <c r="A129" s="5111" t="s">
        <v>182</v>
      </c>
      <c r="B129" s="5113">
        <v>3</v>
      </c>
      <c r="C129" s="5115">
        <v>151</v>
      </c>
      <c r="E129" s="5116" t="s">
        <v>2394</v>
      </c>
      <c r="F129" s="5117" t="s">
        <v>2246</v>
      </c>
      <c r="G129" s="5115"/>
      <c r="H129" s="5118"/>
    </row>
    <row r="130" spans="1:8" ht="15" customHeight="1">
      <c r="A130" s="5119" t="s">
        <v>2234</v>
      </c>
      <c r="B130" s="5113">
        <v>1</v>
      </c>
      <c r="C130" s="5115">
        <v>28</v>
      </c>
      <c r="E130" s="5120" t="s">
        <v>71</v>
      </c>
      <c r="F130" s="5099">
        <f>G130+H130</f>
        <v>0</v>
      </c>
      <c r="G130" s="5121">
        <f>SUM(G127:G129)</f>
        <v>0</v>
      </c>
      <c r="H130" s="5121">
        <f>SUM(H127:H129)</f>
        <v>0</v>
      </c>
    </row>
    <row r="131" spans="1:8" ht="15" customHeight="1">
      <c r="A131" s="5119" t="s">
        <v>2646</v>
      </c>
      <c r="B131" s="5113">
        <v>1</v>
      </c>
      <c r="C131" s="5115">
        <v>11</v>
      </c>
    </row>
    <row r="132" spans="1:8" ht="15" customHeight="1">
      <c r="A132" s="5111" t="s">
        <v>304</v>
      </c>
      <c r="B132" s="5113">
        <v>6</v>
      </c>
      <c r="C132" s="5115">
        <v>1370</v>
      </c>
    </row>
    <row r="133" spans="1:8" ht="15" customHeight="1">
      <c r="A133" s="5111" t="s">
        <v>2395</v>
      </c>
      <c r="B133" s="5113"/>
      <c r="C133" s="5115"/>
    </row>
    <row r="134" spans="1:8" ht="15" customHeight="1">
      <c r="A134" s="5111" t="s">
        <v>2396</v>
      </c>
      <c r="B134" s="5113">
        <v>1</v>
      </c>
      <c r="C134" s="5115">
        <v>25</v>
      </c>
      <c r="E134" s="5094"/>
      <c r="F134" s="5094"/>
      <c r="G134" s="5094"/>
      <c r="H134" s="5094"/>
    </row>
    <row r="135" spans="1:8" ht="15" customHeight="1">
      <c r="A135" s="5111" t="s">
        <v>377</v>
      </c>
      <c r="B135" s="5113">
        <v>4</v>
      </c>
      <c r="C135" s="5115">
        <v>554</v>
      </c>
      <c r="G135" s="5122"/>
    </row>
    <row r="136" spans="1:8" ht="15" customHeight="1">
      <c r="A136" s="5111" t="s">
        <v>305</v>
      </c>
      <c r="B136" s="5123">
        <v>1</v>
      </c>
      <c r="C136" s="5123">
        <v>245</v>
      </c>
      <c r="G136" s="5122"/>
    </row>
    <row r="137" spans="1:8" ht="15" customHeight="1">
      <c r="A137" s="5111" t="s">
        <v>2397</v>
      </c>
      <c r="B137" s="5113"/>
      <c r="C137" s="5115"/>
      <c r="G137" s="5124"/>
      <c r="H137" s="5122"/>
    </row>
    <row r="138" spans="1:8" ht="15" customHeight="1">
      <c r="A138" s="5111" t="s">
        <v>1627</v>
      </c>
      <c r="B138" s="5113">
        <v>3</v>
      </c>
      <c r="C138" s="5115">
        <v>12</v>
      </c>
      <c r="F138" s="5125"/>
      <c r="G138" s="5126"/>
      <c r="H138" s="5125"/>
    </row>
    <row r="139" spans="1:8" ht="15" customHeight="1">
      <c r="A139" s="5111" t="s">
        <v>1625</v>
      </c>
      <c r="B139" s="5113">
        <v>5</v>
      </c>
      <c r="C139" s="5115">
        <v>60</v>
      </c>
    </row>
    <row r="140" spans="1:8" ht="15" customHeight="1">
      <c r="A140" s="5127" t="s">
        <v>2398</v>
      </c>
      <c r="B140" s="5113">
        <v>2</v>
      </c>
      <c r="C140" s="5115">
        <v>17</v>
      </c>
    </row>
    <row r="141" spans="1:8" ht="15" customHeight="1">
      <c r="A141" s="5127" t="s">
        <v>2647</v>
      </c>
      <c r="B141" s="5113">
        <v>1</v>
      </c>
      <c r="C141" s="5115">
        <v>25</v>
      </c>
    </row>
    <row r="142" spans="1:8" ht="15" customHeight="1">
      <c r="A142" s="5111" t="s">
        <v>185</v>
      </c>
      <c r="B142" s="5113"/>
      <c r="C142" s="5115"/>
    </row>
    <row r="143" spans="1:8" ht="15" customHeight="1">
      <c r="A143" s="5111" t="s">
        <v>184</v>
      </c>
      <c r="B143" s="5113"/>
      <c r="C143" s="5115"/>
    </row>
    <row r="144" spans="1:8" ht="15" customHeight="1">
      <c r="A144" s="5111" t="s">
        <v>310</v>
      </c>
      <c r="B144" s="5113">
        <v>2</v>
      </c>
      <c r="C144" s="5115">
        <v>26</v>
      </c>
    </row>
    <row r="145" spans="1:6" ht="15" customHeight="1">
      <c r="A145" s="5128" t="s">
        <v>378</v>
      </c>
      <c r="B145" s="5113">
        <v>1</v>
      </c>
      <c r="C145" s="5115">
        <v>70</v>
      </c>
    </row>
    <row r="146" spans="1:6" ht="15" customHeight="1">
      <c r="A146" s="5129" t="s">
        <v>2237</v>
      </c>
      <c r="B146" s="5113"/>
      <c r="C146" s="5115"/>
    </row>
    <row r="147" spans="1:6" ht="15" customHeight="1">
      <c r="A147" s="5127" t="s">
        <v>1767</v>
      </c>
      <c r="B147" s="5113">
        <v>1</v>
      </c>
      <c r="C147" s="5115">
        <v>36</v>
      </c>
      <c r="F147" s="5130">
        <f>C150+F130</f>
        <v>2853</v>
      </c>
    </row>
    <row r="148" spans="1:6" ht="15" customHeight="1">
      <c r="A148" s="5127" t="s">
        <v>490</v>
      </c>
      <c r="B148" s="5113"/>
      <c r="C148" s="5115"/>
    </row>
    <row r="149" spans="1:6" ht="15" customHeight="1">
      <c r="A149" s="5131" t="s">
        <v>1867</v>
      </c>
      <c r="B149" s="5113">
        <v>3</v>
      </c>
      <c r="C149" s="5115">
        <v>158</v>
      </c>
    </row>
    <row r="150" spans="1:6" ht="15" customHeight="1">
      <c r="A150" s="5120" t="s">
        <v>71</v>
      </c>
      <c r="B150" s="5132">
        <f>SUM(B129:B149)</f>
        <v>35</v>
      </c>
      <c r="C150" s="5133">
        <f>SUM(C127:C149)</f>
        <v>2853</v>
      </c>
    </row>
    <row r="151" spans="1:6" ht="15" customHeight="1">
      <c r="A151" s="5134" t="s">
        <v>311</v>
      </c>
      <c r="B151" s="5135"/>
      <c r="C151" s="5095"/>
    </row>
    <row r="152" spans="1:6" ht="15" customHeight="1">
      <c r="B152" s="5095"/>
      <c r="C152" s="5095"/>
      <c r="D152" s="5094"/>
    </row>
    <row r="153" spans="1:6" ht="15" customHeight="1">
      <c r="A153" s="7449" t="s">
        <v>2651</v>
      </c>
      <c r="B153" s="7450"/>
      <c r="C153" s="7451"/>
      <c r="D153" s="5095"/>
    </row>
    <row r="154" spans="1:6" ht="15" customHeight="1">
      <c r="A154" s="7452" t="s">
        <v>301</v>
      </c>
      <c r="B154" s="7453"/>
      <c r="C154" s="7454"/>
    </row>
    <row r="155" spans="1:6" ht="15" customHeight="1">
      <c r="A155" s="7455" t="s">
        <v>302</v>
      </c>
      <c r="B155" s="7456" t="s">
        <v>698</v>
      </c>
      <c r="C155" s="7456" t="s">
        <v>181</v>
      </c>
    </row>
    <row r="156" spans="1:6" ht="15" customHeight="1">
      <c r="A156" s="7455"/>
      <c r="B156" s="7457"/>
      <c r="C156" s="7457"/>
    </row>
    <row r="157" spans="1:6" ht="15" customHeight="1">
      <c r="A157" s="5104" t="s">
        <v>1795</v>
      </c>
      <c r="B157" s="5136">
        <v>365</v>
      </c>
      <c r="C157" s="5106">
        <v>1080</v>
      </c>
    </row>
    <row r="158" spans="1:6" ht="15" customHeight="1">
      <c r="A158" s="5123" t="s">
        <v>2238</v>
      </c>
      <c r="B158" s="5129">
        <v>117</v>
      </c>
      <c r="C158" s="5137">
        <v>292</v>
      </c>
    </row>
    <row r="159" spans="1:6" ht="15" customHeight="1">
      <c r="A159" s="5123" t="s">
        <v>1860</v>
      </c>
      <c r="B159" s="5129">
        <v>1</v>
      </c>
      <c r="C159" s="5137">
        <v>5</v>
      </c>
    </row>
    <row r="160" spans="1:6" ht="15" customHeight="1">
      <c r="A160" s="5111" t="s">
        <v>1768</v>
      </c>
      <c r="B160" s="5113">
        <v>845</v>
      </c>
      <c r="C160" s="5115">
        <v>11272</v>
      </c>
    </row>
    <row r="161" spans="1:3" ht="15" customHeight="1">
      <c r="A161" s="5111" t="s">
        <v>1770</v>
      </c>
      <c r="B161" s="5113">
        <v>80</v>
      </c>
      <c r="C161" s="5115">
        <v>400</v>
      </c>
    </row>
    <row r="162" spans="1:3" ht="15" customHeight="1">
      <c r="A162" s="5111" t="s">
        <v>1756</v>
      </c>
      <c r="B162" s="5113">
        <v>64</v>
      </c>
      <c r="C162" s="5115">
        <v>128</v>
      </c>
    </row>
    <row r="163" spans="1:3" ht="15" customHeight="1">
      <c r="A163" s="5111" t="s">
        <v>2648</v>
      </c>
      <c r="B163" s="5113">
        <v>1</v>
      </c>
      <c r="C163" s="5115">
        <v>4</v>
      </c>
    </row>
    <row r="164" spans="1:3" ht="15" customHeight="1">
      <c r="A164" s="5111" t="s">
        <v>304</v>
      </c>
      <c r="B164" s="5113">
        <v>104</v>
      </c>
      <c r="C164" s="5115">
        <v>1040</v>
      </c>
    </row>
    <row r="165" spans="1:3" ht="15" customHeight="1">
      <c r="A165" s="5111" t="s">
        <v>305</v>
      </c>
      <c r="B165" s="5113">
        <v>266</v>
      </c>
      <c r="C165" s="5115">
        <v>2514</v>
      </c>
    </row>
    <row r="166" spans="1:3" ht="15" customHeight="1">
      <c r="A166" s="5111" t="s">
        <v>2649</v>
      </c>
      <c r="B166" s="5113">
        <v>292</v>
      </c>
      <c r="C166" s="5115">
        <v>292</v>
      </c>
    </row>
    <row r="167" spans="1:3" ht="15" customHeight="1">
      <c r="A167" s="5111" t="s">
        <v>306</v>
      </c>
      <c r="B167" s="5113">
        <v>79993</v>
      </c>
      <c r="C167" s="5115">
        <v>79993</v>
      </c>
    </row>
    <row r="168" spans="1:3" ht="15" customHeight="1">
      <c r="A168" s="5111" t="s">
        <v>2239</v>
      </c>
      <c r="B168" s="5113">
        <v>8355</v>
      </c>
      <c r="C168" s="5115">
        <v>8355</v>
      </c>
    </row>
    <row r="169" spans="1:3" ht="15" customHeight="1">
      <c r="A169" s="5111" t="s">
        <v>701</v>
      </c>
      <c r="B169" s="5113">
        <v>855</v>
      </c>
      <c r="C169" s="5115">
        <v>3418</v>
      </c>
    </row>
    <row r="170" spans="1:3" ht="15" customHeight="1">
      <c r="A170" s="5111" t="s">
        <v>1626</v>
      </c>
      <c r="B170" s="5113">
        <v>40</v>
      </c>
      <c r="C170" s="5115">
        <v>160</v>
      </c>
    </row>
    <row r="171" spans="1:3" ht="15" customHeight="1">
      <c r="A171" s="5111" t="s">
        <v>612</v>
      </c>
      <c r="B171" s="5113">
        <v>188</v>
      </c>
      <c r="C171" s="5115">
        <v>188</v>
      </c>
    </row>
    <row r="172" spans="1:3" ht="15" customHeight="1">
      <c r="A172" s="5119" t="s">
        <v>307</v>
      </c>
      <c r="B172" s="5113" t="s">
        <v>2650</v>
      </c>
      <c r="C172" s="5113">
        <v>10553</v>
      </c>
    </row>
    <row r="173" spans="1:3" ht="15" customHeight="1">
      <c r="A173" s="5119" t="s">
        <v>1641</v>
      </c>
      <c r="B173" s="5113">
        <v>3424</v>
      </c>
      <c r="C173" s="5113">
        <v>53390</v>
      </c>
    </row>
    <row r="174" spans="1:3" ht="15" customHeight="1">
      <c r="A174" s="5111" t="s">
        <v>308</v>
      </c>
      <c r="B174" s="5113">
        <v>5480</v>
      </c>
      <c r="C174" s="5115">
        <v>5480</v>
      </c>
    </row>
    <row r="175" spans="1:3" ht="15" customHeight="1">
      <c r="A175" s="5111" t="s">
        <v>185</v>
      </c>
      <c r="B175" s="5113">
        <v>300</v>
      </c>
      <c r="C175" s="5115">
        <v>600</v>
      </c>
    </row>
    <row r="176" spans="1:3" ht="15" customHeight="1">
      <c r="A176" s="5111" t="s">
        <v>309</v>
      </c>
      <c r="B176" s="5113">
        <v>36</v>
      </c>
      <c r="C176" s="5115">
        <v>612</v>
      </c>
    </row>
    <row r="177" spans="1:8" ht="15" customHeight="1">
      <c r="A177" s="5111" t="s">
        <v>310</v>
      </c>
      <c r="B177" s="5113">
        <v>814</v>
      </c>
      <c r="C177" s="5115">
        <v>2227</v>
      </c>
    </row>
    <row r="178" spans="1:8" ht="15" customHeight="1">
      <c r="A178" s="5111" t="s">
        <v>2241</v>
      </c>
      <c r="B178" s="5113">
        <v>80</v>
      </c>
      <c r="C178" s="5115">
        <v>1200</v>
      </c>
    </row>
    <row r="179" spans="1:8" ht="15" customHeight="1">
      <c r="A179" s="5111" t="s">
        <v>1831</v>
      </c>
      <c r="B179" s="5113">
        <v>189</v>
      </c>
      <c r="C179" s="5115">
        <v>2693</v>
      </c>
    </row>
    <row r="180" spans="1:8" ht="15" customHeight="1">
      <c r="A180" s="5111" t="s">
        <v>2243</v>
      </c>
      <c r="B180" s="5113">
        <v>20</v>
      </c>
      <c r="C180" s="5115">
        <v>90</v>
      </c>
    </row>
    <row r="181" spans="1:8" ht="15" customHeight="1">
      <c r="A181" s="5111" t="s">
        <v>1560</v>
      </c>
      <c r="B181" s="5113">
        <v>80</v>
      </c>
      <c r="C181" s="5115">
        <v>2240</v>
      </c>
    </row>
    <row r="182" spans="1:8" ht="15" customHeight="1">
      <c r="A182" s="5120" t="s">
        <v>71</v>
      </c>
      <c r="B182" s="5132">
        <f>SUM(B157:B181)</f>
        <v>101989</v>
      </c>
      <c r="C182" s="5130">
        <f>SUM(C157:C181)</f>
        <v>188226</v>
      </c>
      <c r="E182" s="5138"/>
    </row>
    <row r="183" spans="1:8" ht="19.5" customHeight="1">
      <c r="A183" s="5134" t="s">
        <v>311</v>
      </c>
      <c r="B183" s="5095"/>
      <c r="C183" s="5095"/>
    </row>
    <row r="184" spans="1:8" ht="18.600000000000001" customHeight="1">
      <c r="A184" s="5096"/>
      <c r="B184" s="5096"/>
      <c r="C184" s="5096"/>
      <c r="D184" s="27"/>
      <c r="E184" s="5095"/>
      <c r="F184" s="5095"/>
      <c r="G184" s="5095"/>
    </row>
    <row r="185" spans="1:8" ht="18">
      <c r="A185" s="7449" t="s">
        <v>2507</v>
      </c>
      <c r="B185" s="7450"/>
      <c r="C185" s="7451"/>
      <c r="E185" s="7452" t="s">
        <v>2508</v>
      </c>
      <c r="F185" s="7453"/>
      <c r="G185" s="7453"/>
      <c r="H185" s="7454"/>
    </row>
    <row r="186" spans="1:8" ht="15.6">
      <c r="A186" s="7458" t="s">
        <v>300</v>
      </c>
      <c r="B186" s="7459"/>
      <c r="C186" s="7460"/>
      <c r="E186" s="7463" t="s">
        <v>302</v>
      </c>
      <c r="F186" s="7463" t="s">
        <v>303</v>
      </c>
      <c r="G186" s="7464" t="s">
        <v>2244</v>
      </c>
      <c r="H186" s="7465"/>
    </row>
    <row r="187" spans="1:8" ht="14.4" customHeight="1">
      <c r="A187" s="7463" t="s">
        <v>180</v>
      </c>
      <c r="B187" s="7456" t="s">
        <v>696</v>
      </c>
      <c r="C187" s="7456" t="s">
        <v>697</v>
      </c>
      <c r="E187" s="7462"/>
      <c r="F187" s="7462"/>
      <c r="G187" s="5101" t="s">
        <v>451</v>
      </c>
      <c r="H187" s="3477" t="s">
        <v>1776</v>
      </c>
    </row>
    <row r="188" spans="1:8">
      <c r="A188" s="7462"/>
      <c r="B188" s="7457"/>
      <c r="C188" s="7457"/>
      <c r="E188" s="5102"/>
      <c r="F188" s="5102"/>
      <c r="G188" s="5103"/>
    </row>
    <row r="189" spans="1:8">
      <c r="A189" s="5139" t="s">
        <v>183</v>
      </c>
      <c r="B189" s="5140" t="s">
        <v>2504</v>
      </c>
      <c r="C189" s="5141">
        <v>214</v>
      </c>
      <c r="E189" s="5139" t="s">
        <v>2505</v>
      </c>
      <c r="F189" s="5142" t="s">
        <v>2506</v>
      </c>
      <c r="G189" s="5141">
        <v>8350</v>
      </c>
      <c r="H189" s="5143">
        <v>1760</v>
      </c>
    </row>
    <row r="190" spans="1:8">
      <c r="A190" s="5144" t="s">
        <v>182</v>
      </c>
      <c r="B190" s="5145">
        <v>17</v>
      </c>
      <c r="C190" s="5146">
        <v>850</v>
      </c>
      <c r="E190" s="5147" t="s">
        <v>703</v>
      </c>
      <c r="F190" s="5148" t="s">
        <v>2245</v>
      </c>
      <c r="G190" s="5149">
        <v>5223</v>
      </c>
      <c r="H190" s="5150">
        <v>7350</v>
      </c>
    </row>
    <row r="191" spans="1:8">
      <c r="A191" s="5151" t="s">
        <v>2234</v>
      </c>
      <c r="B191" s="5145">
        <v>1</v>
      </c>
      <c r="C191" s="5146">
        <v>20</v>
      </c>
      <c r="E191" s="5144" t="s">
        <v>2393</v>
      </c>
      <c r="F191" s="5152" t="s">
        <v>2245</v>
      </c>
      <c r="G191" s="5145">
        <v>7310</v>
      </c>
      <c r="H191" s="5153">
        <v>7350</v>
      </c>
    </row>
    <row r="192" spans="1:8">
      <c r="A192" s="5144" t="s">
        <v>304</v>
      </c>
      <c r="B192" s="5145">
        <v>25</v>
      </c>
      <c r="C192" s="5146">
        <v>4290</v>
      </c>
      <c r="E192" s="5154" t="s">
        <v>2394</v>
      </c>
      <c r="F192" s="5155" t="s">
        <v>2246</v>
      </c>
      <c r="G192" s="5146">
        <v>1600</v>
      </c>
      <c r="H192" s="5143">
        <v>7600</v>
      </c>
    </row>
    <row r="193" spans="1:8">
      <c r="A193" s="5144" t="s">
        <v>2395</v>
      </c>
      <c r="B193" s="5145">
        <v>2</v>
      </c>
      <c r="C193" s="5146">
        <v>35</v>
      </c>
      <c r="E193" s="5156">
        <v>4</v>
      </c>
      <c r="G193" s="5157">
        <f>SUM(G189:G192)</f>
        <v>22483</v>
      </c>
      <c r="H193" s="5157">
        <f>SUM(H189:H192)</f>
        <v>24060</v>
      </c>
    </row>
    <row r="194" spans="1:8">
      <c r="A194" s="5144" t="s">
        <v>2396</v>
      </c>
      <c r="B194" s="5145">
        <v>1</v>
      </c>
      <c r="C194" s="5146">
        <v>50</v>
      </c>
    </row>
    <row r="195" spans="1:8">
      <c r="A195" s="5144" t="s">
        <v>377</v>
      </c>
      <c r="B195" s="5145">
        <v>9</v>
      </c>
      <c r="C195" s="5146">
        <v>1710</v>
      </c>
    </row>
    <row r="196" spans="1:8">
      <c r="A196" s="5144" t="s">
        <v>305</v>
      </c>
      <c r="B196" s="5158">
        <v>6</v>
      </c>
      <c r="C196" s="5158">
        <v>800</v>
      </c>
    </row>
    <row r="197" spans="1:8">
      <c r="A197" s="5144" t="s">
        <v>2397</v>
      </c>
      <c r="B197" s="5145">
        <v>1</v>
      </c>
      <c r="C197" s="5146">
        <v>70</v>
      </c>
      <c r="E197" s="5094"/>
      <c r="F197" s="5094"/>
      <c r="G197" s="5094"/>
      <c r="H197" s="5094"/>
    </row>
    <row r="198" spans="1:8">
      <c r="A198" s="5144" t="s">
        <v>1627</v>
      </c>
      <c r="B198" s="5145">
        <v>5</v>
      </c>
      <c r="C198" s="5146">
        <v>60</v>
      </c>
      <c r="G198" s="5122"/>
    </row>
    <row r="199" spans="1:8">
      <c r="A199" s="5144" t="s">
        <v>1625</v>
      </c>
      <c r="B199" s="5145">
        <v>4</v>
      </c>
      <c r="C199" s="5146">
        <v>113</v>
      </c>
      <c r="G199" s="5122"/>
    </row>
    <row r="200" spans="1:8">
      <c r="A200" s="5159" t="s">
        <v>2398</v>
      </c>
      <c r="B200" s="5145">
        <v>4</v>
      </c>
      <c r="C200" s="5146">
        <v>60</v>
      </c>
      <c r="G200" s="5124"/>
      <c r="H200" s="5122"/>
    </row>
    <row r="201" spans="1:8">
      <c r="A201" s="5144" t="s">
        <v>185</v>
      </c>
      <c r="B201" s="5145">
        <v>1</v>
      </c>
      <c r="C201" s="5146">
        <v>20</v>
      </c>
      <c r="F201" s="5125"/>
      <c r="G201" s="5126"/>
      <c r="H201" s="5125"/>
    </row>
    <row r="202" spans="1:8">
      <c r="A202" s="5144" t="s">
        <v>184</v>
      </c>
      <c r="B202" s="5145">
        <v>1</v>
      </c>
      <c r="C202" s="5146">
        <v>16</v>
      </c>
      <c r="H202" s="5125"/>
    </row>
    <row r="203" spans="1:8">
      <c r="A203" s="5144" t="s">
        <v>310</v>
      </c>
      <c r="B203" s="5145">
        <v>14</v>
      </c>
      <c r="C203" s="5146">
        <v>240</v>
      </c>
      <c r="H203" s="5125"/>
    </row>
    <row r="204" spans="1:8">
      <c r="A204" s="5160" t="s">
        <v>378</v>
      </c>
      <c r="B204" s="5145">
        <v>2</v>
      </c>
      <c r="C204" s="5146">
        <v>87</v>
      </c>
    </row>
    <row r="205" spans="1:8">
      <c r="A205" s="5161" t="s">
        <v>2237</v>
      </c>
      <c r="B205" s="5145">
        <v>26</v>
      </c>
      <c r="C205" s="5146">
        <v>371</v>
      </c>
      <c r="G205" s="5125"/>
    </row>
    <row r="206" spans="1:8">
      <c r="A206" s="5159" t="s">
        <v>1767</v>
      </c>
      <c r="B206" s="5145">
        <v>4</v>
      </c>
      <c r="C206" s="5146">
        <v>59</v>
      </c>
    </row>
    <row r="207" spans="1:8">
      <c r="A207" s="5159" t="s">
        <v>490</v>
      </c>
      <c r="B207" s="5145">
        <v>3</v>
      </c>
      <c r="C207" s="5146">
        <v>15</v>
      </c>
    </row>
    <row r="208" spans="1:8">
      <c r="A208" s="5162" t="s">
        <v>1867</v>
      </c>
      <c r="B208" s="5145">
        <v>13</v>
      </c>
      <c r="C208" s="5146">
        <v>741</v>
      </c>
    </row>
    <row r="209" spans="1:4">
      <c r="A209" s="5163" t="s">
        <v>71</v>
      </c>
      <c r="B209" s="5164">
        <f>SUM(B189:B208)</f>
        <v>139</v>
      </c>
      <c r="C209" s="5165">
        <f>SUM(C189:C208)</f>
        <v>9821</v>
      </c>
    </row>
    <row r="210" spans="1:4">
      <c r="A210" s="5134" t="s">
        <v>311</v>
      </c>
      <c r="B210" s="5095"/>
      <c r="C210" s="5095"/>
    </row>
    <row r="211" spans="1:4">
      <c r="B211" s="5095"/>
      <c r="C211" s="5095"/>
      <c r="D211" s="5094"/>
    </row>
    <row r="212" spans="1:4" ht="18">
      <c r="A212" s="7574" t="s">
        <v>2509</v>
      </c>
      <c r="B212" s="7575"/>
      <c r="C212" s="7576"/>
      <c r="D212" s="5095"/>
    </row>
    <row r="213" spans="1:4" ht="18">
      <c r="A213" s="7577" t="s">
        <v>301</v>
      </c>
      <c r="B213" s="7578"/>
      <c r="C213" s="7579"/>
    </row>
    <row r="214" spans="1:4">
      <c r="A214" s="7587" t="s">
        <v>302</v>
      </c>
      <c r="B214" s="7586" t="s">
        <v>698</v>
      </c>
      <c r="C214" s="7586" t="s">
        <v>181</v>
      </c>
    </row>
    <row r="215" spans="1:4">
      <c r="A215" s="7587"/>
      <c r="B215" s="7457"/>
      <c r="C215" s="7457"/>
    </row>
    <row r="216" spans="1:4" ht="13.95" customHeight="1">
      <c r="A216" s="5139" t="s">
        <v>1795</v>
      </c>
      <c r="B216" s="5166">
        <v>3600</v>
      </c>
      <c r="C216" s="5141">
        <v>7500</v>
      </c>
    </row>
    <row r="217" spans="1:4">
      <c r="A217" s="5158" t="s">
        <v>2238</v>
      </c>
      <c r="B217" s="5161">
        <v>2</v>
      </c>
      <c r="C217" s="5167">
        <v>100</v>
      </c>
    </row>
    <row r="218" spans="1:4">
      <c r="A218" s="5144" t="s">
        <v>1768</v>
      </c>
      <c r="B218" s="5145">
        <v>3000</v>
      </c>
      <c r="C218" s="5146">
        <v>21053</v>
      </c>
    </row>
    <row r="219" spans="1:4">
      <c r="A219" s="5144" t="s">
        <v>1770</v>
      </c>
      <c r="B219" s="5145">
        <v>60</v>
      </c>
      <c r="C219" s="5146">
        <v>1100</v>
      </c>
    </row>
    <row r="220" spans="1:4">
      <c r="A220" s="5144" t="s">
        <v>1756</v>
      </c>
      <c r="B220" s="5145">
        <v>557</v>
      </c>
      <c r="C220" s="5146">
        <v>2228</v>
      </c>
    </row>
    <row r="221" spans="1:4">
      <c r="A221" s="5144" t="s">
        <v>304</v>
      </c>
      <c r="B221" s="5145">
        <v>90</v>
      </c>
      <c r="C221" s="5146">
        <v>2300</v>
      </c>
    </row>
    <row r="222" spans="1:4">
      <c r="A222" s="5144" t="s">
        <v>305</v>
      </c>
      <c r="B222" s="5145">
        <v>294</v>
      </c>
      <c r="C222" s="5146">
        <v>8496</v>
      </c>
    </row>
    <row r="223" spans="1:4">
      <c r="A223" s="5144" t="s">
        <v>306</v>
      </c>
      <c r="B223" s="5145">
        <v>180684</v>
      </c>
      <c r="C223" s="5146">
        <v>180684</v>
      </c>
    </row>
    <row r="224" spans="1:4">
      <c r="A224" s="5144" t="s">
        <v>2239</v>
      </c>
      <c r="B224" s="5145">
        <v>22165</v>
      </c>
      <c r="C224" s="5146">
        <v>22165</v>
      </c>
    </row>
    <row r="225" spans="1:3">
      <c r="A225" s="5144" t="s">
        <v>701</v>
      </c>
      <c r="B225" s="5145">
        <v>1368</v>
      </c>
      <c r="C225" s="5146">
        <v>7527</v>
      </c>
    </row>
    <row r="226" spans="1:3">
      <c r="A226" s="5144" t="s">
        <v>1626</v>
      </c>
      <c r="B226" s="5145">
        <v>50</v>
      </c>
      <c r="C226" s="5146">
        <v>500</v>
      </c>
    </row>
    <row r="227" spans="1:3">
      <c r="A227" s="5144" t="s">
        <v>2399</v>
      </c>
      <c r="B227" s="5145">
        <v>1453</v>
      </c>
      <c r="C227" s="5146">
        <v>1453</v>
      </c>
    </row>
    <row r="228" spans="1:3">
      <c r="A228" s="5144" t="s">
        <v>612</v>
      </c>
      <c r="B228" s="5145">
        <v>1370</v>
      </c>
      <c r="C228" s="5146">
        <v>1370</v>
      </c>
    </row>
    <row r="229" spans="1:3">
      <c r="A229" s="5151" t="s">
        <v>307</v>
      </c>
      <c r="B229" s="5145">
        <v>16153</v>
      </c>
      <c r="C229" s="5145">
        <v>16153</v>
      </c>
    </row>
    <row r="230" spans="1:3">
      <c r="A230" s="5151" t="s">
        <v>1641</v>
      </c>
      <c r="B230" s="5145">
        <v>4660</v>
      </c>
      <c r="C230" s="5145">
        <v>65240</v>
      </c>
    </row>
    <row r="231" spans="1:3">
      <c r="A231" s="5144" t="s">
        <v>308</v>
      </c>
      <c r="B231" s="5145">
        <v>5900</v>
      </c>
      <c r="C231" s="5146">
        <v>11800</v>
      </c>
    </row>
    <row r="232" spans="1:3">
      <c r="A232" s="5144" t="s">
        <v>185</v>
      </c>
      <c r="B232" s="5145">
        <v>1068</v>
      </c>
      <c r="C232" s="5146">
        <v>2136</v>
      </c>
    </row>
    <row r="233" spans="1:3">
      <c r="A233" s="5144" t="s">
        <v>309</v>
      </c>
      <c r="B233" s="5145">
        <v>160</v>
      </c>
      <c r="C233" s="5146">
        <v>2758</v>
      </c>
    </row>
    <row r="234" spans="1:3">
      <c r="A234" s="5144" t="s">
        <v>310</v>
      </c>
      <c r="B234" s="5145">
        <v>2087</v>
      </c>
      <c r="C234" s="5146">
        <v>8975</v>
      </c>
    </row>
    <row r="235" spans="1:3">
      <c r="A235" s="5144" t="s">
        <v>2241</v>
      </c>
      <c r="B235" s="5145">
        <v>373</v>
      </c>
      <c r="C235" s="5146">
        <v>6564</v>
      </c>
    </row>
    <row r="236" spans="1:3">
      <c r="A236" s="5144" t="s">
        <v>1831</v>
      </c>
      <c r="B236" s="5145">
        <v>520</v>
      </c>
      <c r="C236" s="5146">
        <v>11116</v>
      </c>
    </row>
    <row r="237" spans="1:3">
      <c r="A237" s="5144" t="s">
        <v>2243</v>
      </c>
      <c r="B237" s="5145">
        <v>360</v>
      </c>
      <c r="C237" s="5146">
        <v>4320</v>
      </c>
    </row>
    <row r="238" spans="1:3">
      <c r="A238" s="5144" t="s">
        <v>1560</v>
      </c>
      <c r="B238" s="5145">
        <v>80</v>
      </c>
      <c r="C238" s="5146">
        <v>2800</v>
      </c>
    </row>
    <row r="239" spans="1:3">
      <c r="A239" s="5163" t="s">
        <v>71</v>
      </c>
      <c r="B239" s="5164">
        <f>SUM(B216:B238)</f>
        <v>246054</v>
      </c>
      <c r="C239" s="5168">
        <f>SUM(C216:C238)</f>
        <v>388338</v>
      </c>
    </row>
    <row r="240" spans="1:3" ht="19.5" customHeight="1">
      <c r="A240" s="5134" t="s">
        <v>311</v>
      </c>
      <c r="B240" s="5095"/>
      <c r="C240" s="5095"/>
    </row>
    <row r="241" spans="1:8" ht="15.6">
      <c r="A241" s="5169"/>
      <c r="B241" s="5169"/>
      <c r="C241" s="5169"/>
      <c r="D241" s="27"/>
      <c r="E241" s="5095"/>
      <c r="F241" s="5095"/>
      <c r="G241" s="5095"/>
    </row>
    <row r="242" spans="1:8" ht="18">
      <c r="A242" s="7574" t="s">
        <v>2400</v>
      </c>
      <c r="B242" s="7575"/>
      <c r="C242" s="7576"/>
      <c r="E242" s="7577" t="s">
        <v>2401</v>
      </c>
      <c r="F242" s="7578"/>
      <c r="G242" s="7578"/>
      <c r="H242" s="7579"/>
    </row>
    <row r="243" spans="1:8" ht="15.6">
      <c r="A243" s="7580" t="s">
        <v>300</v>
      </c>
      <c r="B243" s="7581"/>
      <c r="C243" s="7582"/>
      <c r="E243" s="7583" t="s">
        <v>302</v>
      </c>
      <c r="F243" s="7583" t="s">
        <v>303</v>
      </c>
      <c r="G243" s="7584" t="s">
        <v>2244</v>
      </c>
      <c r="H243" s="7585"/>
    </row>
    <row r="244" spans="1:8" ht="15" customHeight="1">
      <c r="A244" s="7583" t="s">
        <v>180</v>
      </c>
      <c r="B244" s="7586" t="s">
        <v>696</v>
      </c>
      <c r="C244" s="7586" t="s">
        <v>697</v>
      </c>
      <c r="E244" s="7462"/>
      <c r="F244" s="7462"/>
      <c r="G244" s="5170" t="s">
        <v>451</v>
      </c>
      <c r="H244" s="2014" t="s">
        <v>1776</v>
      </c>
    </row>
    <row r="245" spans="1:8">
      <c r="A245" s="7462"/>
      <c r="B245" s="7457"/>
      <c r="C245" s="7457"/>
      <c r="E245" s="5102"/>
      <c r="F245" s="5102"/>
      <c r="G245" s="5103"/>
    </row>
    <row r="246" spans="1:8">
      <c r="A246" s="5171" t="s">
        <v>183</v>
      </c>
      <c r="B246" s="5172" t="s">
        <v>2392</v>
      </c>
      <c r="C246" s="5173">
        <v>306</v>
      </c>
      <c r="E246" s="5171"/>
      <c r="F246" s="5174"/>
      <c r="G246" s="5173"/>
      <c r="H246" s="5175"/>
    </row>
    <row r="247" spans="1:8">
      <c r="A247" s="5176" t="s">
        <v>182</v>
      </c>
      <c r="B247" s="5177">
        <v>20</v>
      </c>
      <c r="C247" s="5178">
        <v>1157</v>
      </c>
      <c r="E247" s="5179" t="s">
        <v>703</v>
      </c>
      <c r="F247" s="5180" t="s">
        <v>2245</v>
      </c>
      <c r="G247" s="5181">
        <v>4819</v>
      </c>
      <c r="H247" s="5182">
        <v>7850</v>
      </c>
    </row>
    <row r="248" spans="1:8">
      <c r="A248" s="5183" t="s">
        <v>2234</v>
      </c>
      <c r="B248" s="5177">
        <v>1</v>
      </c>
      <c r="C248" s="5178">
        <v>20</v>
      </c>
      <c r="E248" s="5176" t="s">
        <v>2393</v>
      </c>
      <c r="F248" s="5184" t="s">
        <v>2245</v>
      </c>
      <c r="G248" s="5177">
        <v>6335</v>
      </c>
      <c r="H248" s="5185">
        <v>7850</v>
      </c>
    </row>
    <row r="249" spans="1:8">
      <c r="A249" s="5176" t="s">
        <v>304</v>
      </c>
      <c r="B249" s="5177">
        <v>33</v>
      </c>
      <c r="C249" s="5178">
        <v>5670</v>
      </c>
      <c r="E249" s="5186" t="s">
        <v>2394</v>
      </c>
      <c r="F249" s="5187" t="s">
        <v>2246</v>
      </c>
      <c r="G249" s="5178">
        <v>1600</v>
      </c>
      <c r="H249" s="5175">
        <v>9605</v>
      </c>
    </row>
    <row r="250" spans="1:8">
      <c r="A250" s="5176" t="s">
        <v>2395</v>
      </c>
      <c r="B250" s="5177">
        <v>2</v>
      </c>
      <c r="C250" s="5178">
        <v>35</v>
      </c>
      <c r="E250" s="5188">
        <v>3</v>
      </c>
      <c r="F250" s="5189" t="s">
        <v>71</v>
      </c>
      <c r="G250" s="5190">
        <f>SUM(G246:G249)</f>
        <v>12754</v>
      </c>
      <c r="H250" s="5190">
        <f>SUM(H246:H249)</f>
        <v>25305</v>
      </c>
    </row>
    <row r="251" spans="1:8">
      <c r="A251" s="5176" t="s">
        <v>2396</v>
      </c>
      <c r="B251" s="5177">
        <v>1</v>
      </c>
      <c r="C251" s="5178">
        <v>50</v>
      </c>
    </row>
    <row r="252" spans="1:8">
      <c r="A252" s="5176" t="s">
        <v>377</v>
      </c>
      <c r="B252" s="5177">
        <v>12</v>
      </c>
      <c r="C252" s="5178">
        <v>2282</v>
      </c>
    </row>
    <row r="253" spans="1:8">
      <c r="A253" s="5176" t="s">
        <v>305</v>
      </c>
      <c r="B253" s="5191">
        <v>6</v>
      </c>
      <c r="C253" s="5191">
        <v>1500</v>
      </c>
    </row>
    <row r="254" spans="1:8">
      <c r="A254" s="5176" t="s">
        <v>2397</v>
      </c>
      <c r="B254" s="5177">
        <v>2</v>
      </c>
      <c r="C254" s="5178">
        <v>50</v>
      </c>
      <c r="E254" s="5094"/>
      <c r="F254" s="5094"/>
      <c r="G254" s="5094"/>
      <c r="H254" s="5094"/>
    </row>
    <row r="255" spans="1:8">
      <c r="A255" s="5176" t="s">
        <v>1627</v>
      </c>
      <c r="B255" s="5177">
        <v>9</v>
      </c>
      <c r="C255" s="5178">
        <v>136</v>
      </c>
      <c r="G255" s="5122"/>
    </row>
    <row r="256" spans="1:8">
      <c r="A256" s="5176" t="s">
        <v>1625</v>
      </c>
      <c r="B256" s="5177">
        <v>15</v>
      </c>
      <c r="C256" s="5178">
        <v>328</v>
      </c>
      <c r="G256" s="5122"/>
    </row>
    <row r="257" spans="1:8">
      <c r="A257" s="5192" t="s">
        <v>2398</v>
      </c>
      <c r="B257" s="5177">
        <v>4</v>
      </c>
      <c r="C257" s="5178">
        <v>80</v>
      </c>
      <c r="G257" s="5124"/>
      <c r="H257" s="5122"/>
    </row>
    <row r="258" spans="1:8">
      <c r="A258" s="5176" t="s">
        <v>185</v>
      </c>
      <c r="B258" s="5177">
        <v>3</v>
      </c>
      <c r="C258" s="5178">
        <v>80</v>
      </c>
      <c r="F258" s="5125"/>
      <c r="G258" s="5126"/>
      <c r="H258" s="5125"/>
    </row>
    <row r="259" spans="1:8">
      <c r="A259" s="5176" t="s">
        <v>184</v>
      </c>
      <c r="B259" s="5177">
        <v>6</v>
      </c>
      <c r="C259" s="5178">
        <v>120</v>
      </c>
    </row>
    <row r="260" spans="1:8">
      <c r="A260" s="5176" t="s">
        <v>310</v>
      </c>
      <c r="B260" s="5177">
        <v>10</v>
      </c>
      <c r="C260" s="5178">
        <v>161</v>
      </c>
    </row>
    <row r="261" spans="1:8">
      <c r="A261" s="5193" t="s">
        <v>378</v>
      </c>
      <c r="B261" s="5177">
        <v>2</v>
      </c>
      <c r="C261" s="5178">
        <v>120</v>
      </c>
    </row>
    <row r="262" spans="1:8">
      <c r="A262" s="5194" t="s">
        <v>2237</v>
      </c>
      <c r="B262" s="5177">
        <v>61</v>
      </c>
      <c r="C262" s="5178">
        <v>997</v>
      </c>
    </row>
    <row r="263" spans="1:8">
      <c r="A263" s="5192" t="s">
        <v>1767</v>
      </c>
      <c r="B263" s="5177">
        <v>4</v>
      </c>
      <c r="C263" s="5178">
        <v>80</v>
      </c>
    </row>
    <row r="264" spans="1:8">
      <c r="A264" s="5192" t="s">
        <v>490</v>
      </c>
      <c r="B264" s="5177">
        <v>6</v>
      </c>
      <c r="C264" s="5178">
        <v>180</v>
      </c>
      <c r="E264" s="7556" t="s">
        <v>672</v>
      </c>
    </row>
    <row r="265" spans="1:8">
      <c r="A265" s="5195" t="s">
        <v>1867</v>
      </c>
      <c r="B265" s="5177">
        <v>13</v>
      </c>
      <c r="C265" s="5178">
        <v>886</v>
      </c>
      <c r="E265" s="7508"/>
    </row>
    <row r="266" spans="1:8">
      <c r="A266" s="5189" t="s">
        <v>71</v>
      </c>
      <c r="B266" s="5188">
        <f>SUM(B246:B265)</f>
        <v>210</v>
      </c>
      <c r="C266" s="5196">
        <f>SUM(C246:C265)</f>
        <v>14238</v>
      </c>
      <c r="E266" s="5197">
        <f>SUM(E250,B266)</f>
        <v>213</v>
      </c>
    </row>
    <row r="267" spans="1:8">
      <c r="A267" s="5134" t="s">
        <v>311</v>
      </c>
      <c r="B267" s="5095"/>
      <c r="C267" s="5095"/>
    </row>
    <row r="268" spans="1:8">
      <c r="B268" s="5095"/>
      <c r="C268" s="5095"/>
      <c r="D268" s="5094"/>
    </row>
    <row r="269" spans="1:8" ht="18">
      <c r="A269" s="7567" t="s">
        <v>2400</v>
      </c>
      <c r="B269" s="7568"/>
      <c r="C269" s="7569"/>
      <c r="D269" s="5095"/>
    </row>
    <row r="270" spans="1:8" ht="18">
      <c r="A270" s="7570" t="s">
        <v>301</v>
      </c>
      <c r="B270" s="7571"/>
      <c r="C270" s="7572"/>
    </row>
    <row r="271" spans="1:8">
      <c r="A271" s="7573" t="s">
        <v>302</v>
      </c>
      <c r="B271" s="7562" t="s">
        <v>698</v>
      </c>
      <c r="C271" s="7562" t="s">
        <v>181</v>
      </c>
    </row>
    <row r="272" spans="1:8">
      <c r="A272" s="7573"/>
      <c r="B272" s="7504"/>
      <c r="C272" s="7504"/>
    </row>
    <row r="273" spans="1:3">
      <c r="A273" s="5171" t="s">
        <v>1795</v>
      </c>
      <c r="B273" s="5195">
        <v>5006</v>
      </c>
      <c r="C273" s="5173">
        <v>10013</v>
      </c>
    </row>
    <row r="274" spans="1:3">
      <c r="A274" s="5191" t="s">
        <v>2238</v>
      </c>
      <c r="B274" s="5194">
        <v>2</v>
      </c>
      <c r="C274" s="5198">
        <v>44</v>
      </c>
    </row>
    <row r="275" spans="1:3">
      <c r="A275" s="5176" t="s">
        <v>1768</v>
      </c>
      <c r="B275" s="5177">
        <v>4481</v>
      </c>
      <c r="C275" s="5178">
        <v>27078</v>
      </c>
    </row>
    <row r="276" spans="1:3">
      <c r="A276" s="5176" t="s">
        <v>1770</v>
      </c>
      <c r="B276" s="5177">
        <v>90</v>
      </c>
      <c r="C276" s="5178">
        <v>1620</v>
      </c>
    </row>
    <row r="277" spans="1:3">
      <c r="A277" s="5176" t="s">
        <v>1756</v>
      </c>
      <c r="B277" s="5177">
        <v>1157</v>
      </c>
      <c r="C277" s="5178">
        <v>4627</v>
      </c>
    </row>
    <row r="278" spans="1:3">
      <c r="A278" s="5176" t="s">
        <v>304</v>
      </c>
      <c r="B278" s="5177">
        <v>135</v>
      </c>
      <c r="C278" s="5178">
        <v>3500</v>
      </c>
    </row>
    <row r="279" spans="1:3">
      <c r="A279" s="5176" t="s">
        <v>305</v>
      </c>
      <c r="B279" s="5177">
        <v>442</v>
      </c>
      <c r="C279" s="5178">
        <v>13419</v>
      </c>
    </row>
    <row r="280" spans="1:3">
      <c r="A280" s="5176" t="s">
        <v>306</v>
      </c>
      <c r="B280" s="5177">
        <v>249300</v>
      </c>
      <c r="C280" s="5178">
        <v>249300</v>
      </c>
    </row>
    <row r="281" spans="1:3">
      <c r="A281" s="5176" t="s">
        <v>2239</v>
      </c>
      <c r="B281" s="5177">
        <v>34608</v>
      </c>
      <c r="C281" s="5178">
        <v>34608</v>
      </c>
    </row>
    <row r="282" spans="1:3">
      <c r="A282" s="5176" t="s">
        <v>701</v>
      </c>
      <c r="B282" s="5177">
        <v>2053</v>
      </c>
      <c r="C282" s="5178">
        <v>11373</v>
      </c>
    </row>
    <row r="283" spans="1:3">
      <c r="A283" s="5176" t="s">
        <v>1626</v>
      </c>
      <c r="B283" s="5177">
        <v>72</v>
      </c>
      <c r="C283" s="5178">
        <v>720</v>
      </c>
    </row>
    <row r="284" spans="1:3">
      <c r="A284" s="5176" t="s">
        <v>379</v>
      </c>
      <c r="B284" s="5177">
        <v>72</v>
      </c>
      <c r="C284" s="5178">
        <v>1440</v>
      </c>
    </row>
    <row r="285" spans="1:3">
      <c r="A285" s="5176" t="s">
        <v>2399</v>
      </c>
      <c r="B285" s="5177">
        <v>2120</v>
      </c>
      <c r="C285" s="5178">
        <v>2120</v>
      </c>
    </row>
    <row r="286" spans="1:3">
      <c r="A286" s="5176" t="s">
        <v>612</v>
      </c>
      <c r="B286" s="5177">
        <v>2450</v>
      </c>
      <c r="C286" s="5178">
        <v>2450</v>
      </c>
    </row>
    <row r="287" spans="1:3">
      <c r="A287" s="5183" t="s">
        <v>307</v>
      </c>
      <c r="B287" s="5177">
        <v>21920</v>
      </c>
      <c r="C287" s="5177">
        <v>21920</v>
      </c>
    </row>
    <row r="288" spans="1:3">
      <c r="A288" s="5183" t="s">
        <v>1641</v>
      </c>
      <c r="B288" s="5177">
        <v>6917</v>
      </c>
      <c r="C288" s="5177">
        <v>92282</v>
      </c>
    </row>
    <row r="289" spans="1:8">
      <c r="A289" s="5176" t="s">
        <v>308</v>
      </c>
      <c r="B289" s="5177">
        <v>17700</v>
      </c>
      <c r="C289" s="5178">
        <v>17700</v>
      </c>
    </row>
    <row r="290" spans="1:8">
      <c r="A290" s="5176" t="s">
        <v>185</v>
      </c>
      <c r="B290" s="5177">
        <v>1748</v>
      </c>
      <c r="C290" s="5178">
        <v>3496</v>
      </c>
    </row>
    <row r="291" spans="1:8">
      <c r="A291" s="5176" t="s">
        <v>309</v>
      </c>
      <c r="B291" s="5177">
        <v>243</v>
      </c>
      <c r="C291" s="5178">
        <v>4189</v>
      </c>
    </row>
    <row r="292" spans="1:8">
      <c r="A292" s="5176" t="s">
        <v>310</v>
      </c>
      <c r="B292" s="5177">
        <v>3479</v>
      </c>
      <c r="C292" s="5178">
        <v>15269</v>
      </c>
    </row>
    <row r="293" spans="1:8">
      <c r="A293" s="5176" t="s">
        <v>2241</v>
      </c>
      <c r="B293" s="5177">
        <v>560</v>
      </c>
      <c r="C293" s="5178">
        <v>9886</v>
      </c>
    </row>
    <row r="294" spans="1:8">
      <c r="A294" s="5199" t="s">
        <v>1828</v>
      </c>
      <c r="B294" s="5191">
        <v>150</v>
      </c>
      <c r="C294" s="5191">
        <v>900</v>
      </c>
    </row>
    <row r="295" spans="1:8">
      <c r="A295" s="5176" t="s">
        <v>1831</v>
      </c>
      <c r="B295" s="5177">
        <v>874</v>
      </c>
      <c r="C295" s="5178">
        <v>18685</v>
      </c>
    </row>
    <row r="296" spans="1:8">
      <c r="A296" s="5176" t="s">
        <v>2243</v>
      </c>
      <c r="B296" s="5177">
        <v>1080</v>
      </c>
      <c r="C296" s="5178">
        <v>6480</v>
      </c>
    </row>
    <row r="297" spans="1:8">
      <c r="A297" s="5176" t="s">
        <v>1560</v>
      </c>
      <c r="B297" s="5177">
        <v>120</v>
      </c>
      <c r="C297" s="5178">
        <v>4200</v>
      </c>
    </row>
    <row r="298" spans="1:8">
      <c r="A298" s="5189" t="s">
        <v>71</v>
      </c>
      <c r="B298" s="5200">
        <f>SUM(B273:B297)</f>
        <v>356779</v>
      </c>
      <c r="C298" s="5201">
        <f>SUM(C273:C297)</f>
        <v>557319</v>
      </c>
    </row>
    <row r="299" spans="1:8">
      <c r="A299" s="5134" t="s">
        <v>311</v>
      </c>
      <c r="B299" s="5095"/>
      <c r="C299" s="5095"/>
    </row>
    <row r="300" spans="1:8" ht="15.6">
      <c r="A300" s="5169"/>
      <c r="B300" s="5169"/>
      <c r="C300" s="5169"/>
      <c r="D300" s="27"/>
      <c r="E300" s="5095"/>
      <c r="F300" s="5095"/>
      <c r="G300" s="5095"/>
    </row>
    <row r="301" spans="1:8" ht="15.6">
      <c r="A301" s="7559" t="s">
        <v>2247</v>
      </c>
      <c r="B301" s="7560"/>
      <c r="C301" s="7561"/>
      <c r="D301" s="27"/>
      <c r="E301" s="7550" t="s">
        <v>2248</v>
      </c>
      <c r="F301" s="7551"/>
      <c r="G301" s="7551"/>
      <c r="H301" s="7552"/>
    </row>
    <row r="302" spans="1:8" ht="15.6">
      <c r="A302" s="7550" t="s">
        <v>300</v>
      </c>
      <c r="B302" s="7551"/>
      <c r="C302" s="7552"/>
      <c r="D302" s="27"/>
      <c r="E302" s="7553" t="s">
        <v>302</v>
      </c>
      <c r="F302" s="7553" t="s">
        <v>303</v>
      </c>
      <c r="G302" s="7554" t="s">
        <v>2244</v>
      </c>
      <c r="H302" s="7555"/>
    </row>
    <row r="303" spans="1:8" ht="15" customHeight="1">
      <c r="A303" s="7553" t="s">
        <v>180</v>
      </c>
      <c r="B303" s="7562" t="s">
        <v>696</v>
      </c>
      <c r="C303" s="7563" t="s">
        <v>697</v>
      </c>
      <c r="D303" s="27"/>
      <c r="E303" s="7498"/>
      <c r="F303" s="7498"/>
      <c r="G303" s="5202" t="s">
        <v>451</v>
      </c>
      <c r="H303" s="1663" t="s">
        <v>1776</v>
      </c>
    </row>
    <row r="304" spans="1:8">
      <c r="A304" s="7498"/>
      <c r="B304" s="7504"/>
      <c r="C304" s="7549"/>
      <c r="D304" s="27"/>
      <c r="E304" s="5103"/>
      <c r="F304" s="5103"/>
      <c r="G304" s="5103"/>
    </row>
    <row r="305" spans="1:8">
      <c r="A305" s="5203" t="s">
        <v>183</v>
      </c>
      <c r="B305" s="5204">
        <v>11</v>
      </c>
      <c r="C305" s="5205">
        <v>206</v>
      </c>
      <c r="D305" s="27"/>
      <c r="E305" s="5206" t="s">
        <v>703</v>
      </c>
      <c r="F305" s="5207" t="s">
        <v>2245</v>
      </c>
      <c r="G305" s="5208">
        <v>4131</v>
      </c>
      <c r="H305" s="7558">
        <v>8000</v>
      </c>
    </row>
    <row r="306" spans="1:8">
      <c r="A306" s="5209" t="s">
        <v>182</v>
      </c>
      <c r="B306" s="5210">
        <v>15</v>
      </c>
      <c r="C306" s="5211">
        <v>734</v>
      </c>
      <c r="D306" s="27"/>
      <c r="E306" s="5209" t="s">
        <v>704</v>
      </c>
      <c r="F306" s="5212" t="s">
        <v>2245</v>
      </c>
      <c r="G306" s="5210">
        <v>6385</v>
      </c>
      <c r="H306" s="7492"/>
    </row>
    <row r="307" spans="1:8">
      <c r="A307" s="5213" t="s">
        <v>2234</v>
      </c>
      <c r="B307" s="5210">
        <v>3</v>
      </c>
      <c r="C307" s="5211">
        <v>60</v>
      </c>
      <c r="D307" s="27"/>
      <c r="E307" s="5214" t="s">
        <v>705</v>
      </c>
      <c r="F307" s="5215" t="s">
        <v>2246</v>
      </c>
      <c r="G307" s="5211">
        <v>1192</v>
      </c>
      <c r="H307" s="5216">
        <v>8762</v>
      </c>
    </row>
    <row r="308" spans="1:8">
      <c r="A308" s="5209" t="s">
        <v>1624</v>
      </c>
      <c r="B308" s="5210">
        <v>3</v>
      </c>
      <c r="C308" s="5211">
        <v>45</v>
      </c>
      <c r="D308" s="27"/>
      <c r="E308" s="5217">
        <v>3</v>
      </c>
      <c r="F308" s="5217" t="s">
        <v>71</v>
      </c>
      <c r="G308" s="5218">
        <f>SUM(G305:G307)</f>
        <v>11708</v>
      </c>
      <c r="H308" s="5218">
        <f>SUM(H305:H307)</f>
        <v>16762</v>
      </c>
    </row>
    <row r="309" spans="1:8">
      <c r="A309" s="5213" t="s">
        <v>2235</v>
      </c>
      <c r="B309" s="5210">
        <v>1</v>
      </c>
      <c r="C309" s="5211">
        <v>40</v>
      </c>
      <c r="D309" s="27"/>
    </row>
    <row r="310" spans="1:8">
      <c r="A310" s="5209" t="s">
        <v>1625</v>
      </c>
      <c r="B310" s="5210">
        <v>12</v>
      </c>
      <c r="C310" s="5211">
        <v>198</v>
      </c>
      <c r="D310" s="27"/>
    </row>
    <row r="311" spans="1:8">
      <c r="A311" s="5209" t="s">
        <v>2236</v>
      </c>
      <c r="B311" s="5210">
        <v>2</v>
      </c>
      <c r="C311" s="5211">
        <v>138</v>
      </c>
      <c r="D311" s="27"/>
    </row>
    <row r="312" spans="1:8">
      <c r="A312" s="5209" t="s">
        <v>304</v>
      </c>
      <c r="B312" s="5210">
        <v>26</v>
      </c>
      <c r="C312" s="5211">
        <v>6542</v>
      </c>
      <c r="D312" s="27"/>
    </row>
    <row r="313" spans="1:8">
      <c r="A313" s="5209" t="s">
        <v>377</v>
      </c>
      <c r="B313" s="5210">
        <v>6</v>
      </c>
      <c r="C313" s="5211">
        <v>1608</v>
      </c>
      <c r="D313" s="27"/>
    </row>
    <row r="314" spans="1:8">
      <c r="A314" s="5209" t="s">
        <v>305</v>
      </c>
      <c r="B314" s="5210">
        <v>5</v>
      </c>
      <c r="C314" s="5211">
        <v>1416</v>
      </c>
      <c r="D314" s="27"/>
    </row>
    <row r="315" spans="1:8">
      <c r="A315" s="5209" t="s">
        <v>1627</v>
      </c>
      <c r="B315" s="5210">
        <v>9</v>
      </c>
      <c r="C315" s="5211">
        <v>81</v>
      </c>
      <c r="D315" s="27"/>
    </row>
    <row r="316" spans="1:8">
      <c r="A316" s="5209" t="s">
        <v>1762</v>
      </c>
      <c r="B316" s="5210">
        <v>2</v>
      </c>
      <c r="C316" s="5211">
        <v>265</v>
      </c>
      <c r="D316" s="27"/>
    </row>
    <row r="317" spans="1:8">
      <c r="A317" s="5219" t="s">
        <v>1764</v>
      </c>
      <c r="B317" s="5210">
        <v>2</v>
      </c>
      <c r="C317" s="5211">
        <v>66</v>
      </c>
      <c r="D317" s="27"/>
      <c r="F317" s="5125"/>
    </row>
    <row r="318" spans="1:8">
      <c r="A318" s="5209" t="s">
        <v>1643</v>
      </c>
      <c r="B318" s="5220">
        <v>1</v>
      </c>
      <c r="C318" s="5220">
        <v>90</v>
      </c>
      <c r="D318" s="27"/>
    </row>
    <row r="319" spans="1:8">
      <c r="A319" s="5209" t="s">
        <v>185</v>
      </c>
      <c r="B319" s="5210">
        <v>1</v>
      </c>
      <c r="C319" s="5211">
        <v>30</v>
      </c>
      <c r="D319" s="27"/>
    </row>
    <row r="320" spans="1:8">
      <c r="A320" s="5209" t="s">
        <v>184</v>
      </c>
      <c r="B320" s="5210">
        <v>3</v>
      </c>
      <c r="C320" s="5211">
        <v>75</v>
      </c>
      <c r="D320" s="27"/>
    </row>
    <row r="321" spans="1:7">
      <c r="A321" s="5209" t="s">
        <v>310</v>
      </c>
      <c r="B321" s="5210">
        <v>7</v>
      </c>
      <c r="C321" s="5211">
        <v>133</v>
      </c>
      <c r="D321" s="27"/>
    </row>
    <row r="322" spans="1:7">
      <c r="A322" s="5221" t="s">
        <v>378</v>
      </c>
      <c r="B322" s="5210">
        <v>3</v>
      </c>
      <c r="C322" s="5211">
        <v>72</v>
      </c>
      <c r="D322" s="27"/>
      <c r="F322" s="68"/>
    </row>
    <row r="323" spans="1:7">
      <c r="A323" s="5222" t="s">
        <v>2237</v>
      </c>
      <c r="B323" s="5210">
        <v>60</v>
      </c>
      <c r="C323" s="5211">
        <v>900</v>
      </c>
      <c r="D323" s="27"/>
    </row>
    <row r="324" spans="1:7" ht="15" customHeight="1">
      <c r="A324" s="5219" t="s">
        <v>1767</v>
      </c>
      <c r="B324" s="5210">
        <v>3</v>
      </c>
      <c r="C324" s="5211">
        <v>77</v>
      </c>
      <c r="D324" s="27"/>
      <c r="E324" s="7556" t="s">
        <v>672</v>
      </c>
      <c r="F324" s="7557" t="s">
        <v>451</v>
      </c>
    </row>
    <row r="325" spans="1:7">
      <c r="A325" s="5223" t="s">
        <v>1867</v>
      </c>
      <c r="B325" s="5210">
        <v>10</v>
      </c>
      <c r="C325" s="5211">
        <v>586</v>
      </c>
      <c r="D325" s="27"/>
      <c r="E325" s="7508"/>
      <c r="F325" s="7486"/>
    </row>
    <row r="326" spans="1:7">
      <c r="A326" s="5217" t="s">
        <v>71</v>
      </c>
      <c r="B326" s="5224">
        <f>SUM(B305:B325)</f>
        <v>185</v>
      </c>
      <c r="C326" s="5225">
        <f>SUM(C305:C325)</f>
        <v>13362</v>
      </c>
      <c r="D326" s="27"/>
      <c r="E326" s="5197">
        <f>SUM(E308,B326)</f>
        <v>188</v>
      </c>
      <c r="F326" s="5197">
        <f>SUM(G308,C326)</f>
        <v>25070</v>
      </c>
    </row>
    <row r="327" spans="1:7">
      <c r="A327" s="32" t="s">
        <v>311</v>
      </c>
      <c r="B327" s="5095"/>
      <c r="C327" s="5095"/>
      <c r="D327" s="27"/>
      <c r="E327" s="5095"/>
      <c r="F327" s="5095"/>
      <c r="G327" s="5095"/>
    </row>
    <row r="328" spans="1:7" ht="15.6">
      <c r="A328" s="5169"/>
      <c r="B328" s="5169"/>
      <c r="C328" s="5169"/>
      <c r="D328" s="27"/>
      <c r="E328" s="5095"/>
      <c r="F328" s="5095"/>
      <c r="G328" s="5095"/>
    </row>
    <row r="329" spans="1:7" ht="15.6">
      <c r="A329" s="7559" t="s">
        <v>2247</v>
      </c>
      <c r="B329" s="7560"/>
      <c r="C329" s="7561"/>
      <c r="D329" s="27"/>
      <c r="E329" s="5095"/>
      <c r="F329" s="5095"/>
      <c r="G329" s="5095"/>
    </row>
    <row r="330" spans="1:7" ht="15.6">
      <c r="A330" s="7564" t="s">
        <v>301</v>
      </c>
      <c r="B330" s="7565"/>
      <c r="C330" s="7566"/>
      <c r="D330" s="27"/>
      <c r="E330" s="5095"/>
      <c r="F330" s="5095"/>
      <c r="G330" s="5095"/>
    </row>
    <row r="331" spans="1:7">
      <c r="A331" s="7546" t="s">
        <v>302</v>
      </c>
      <c r="B331" s="7547" t="s">
        <v>698</v>
      </c>
      <c r="C331" s="7548" t="s">
        <v>181</v>
      </c>
      <c r="D331" s="27"/>
      <c r="E331" s="5095"/>
      <c r="F331" s="5095"/>
      <c r="G331" s="5095"/>
    </row>
    <row r="332" spans="1:7">
      <c r="A332" s="7546"/>
      <c r="B332" s="7504"/>
      <c r="C332" s="7549"/>
      <c r="D332" s="27"/>
      <c r="E332" s="5095"/>
      <c r="F332" s="5095"/>
      <c r="G332" s="5095"/>
    </row>
    <row r="333" spans="1:7">
      <c r="A333" s="5203" t="s">
        <v>1795</v>
      </c>
      <c r="B333" s="5223">
        <v>693</v>
      </c>
      <c r="C333" s="5205">
        <v>2326</v>
      </c>
      <c r="D333" s="27"/>
      <c r="E333" s="5095"/>
      <c r="F333" s="5095"/>
      <c r="G333" s="5095"/>
    </row>
    <row r="334" spans="1:7">
      <c r="A334" s="5220" t="s">
        <v>2238</v>
      </c>
      <c r="B334" s="5222">
        <v>360</v>
      </c>
      <c r="C334" s="5226">
        <v>13390</v>
      </c>
      <c r="D334" s="27"/>
      <c r="E334" s="5095"/>
      <c r="F334" s="5095"/>
      <c r="G334" s="5095"/>
    </row>
    <row r="335" spans="1:7">
      <c r="A335" s="5209" t="s">
        <v>1768</v>
      </c>
      <c r="B335" s="5210">
        <v>1864</v>
      </c>
      <c r="C335" s="5211">
        <v>30250</v>
      </c>
      <c r="D335" s="27"/>
      <c r="E335" s="5095"/>
      <c r="F335" s="5095"/>
      <c r="G335" s="5095"/>
    </row>
    <row r="336" spans="1:7">
      <c r="A336" s="5209" t="s">
        <v>1770</v>
      </c>
      <c r="B336" s="5210">
        <v>974</v>
      </c>
      <c r="C336" s="5211">
        <v>2954</v>
      </c>
      <c r="D336" s="27"/>
      <c r="E336" s="5095"/>
      <c r="F336" s="5095"/>
      <c r="G336" s="5095"/>
    </row>
    <row r="337" spans="1:7">
      <c r="A337" s="5209" t="s">
        <v>1756</v>
      </c>
      <c r="B337" s="5210">
        <v>298</v>
      </c>
      <c r="C337" s="5211">
        <v>1028</v>
      </c>
      <c r="D337" s="27"/>
      <c r="E337" s="5095"/>
      <c r="F337" s="5095"/>
      <c r="G337" s="5095"/>
    </row>
    <row r="338" spans="1:7">
      <c r="A338" s="5209" t="s">
        <v>304</v>
      </c>
      <c r="B338" s="5210">
        <v>90</v>
      </c>
      <c r="C338" s="5211">
        <v>2700</v>
      </c>
      <c r="D338" s="27"/>
      <c r="E338" s="5095"/>
      <c r="F338" s="5095"/>
      <c r="G338" s="5095"/>
    </row>
    <row r="339" spans="1:7">
      <c r="A339" s="5209" t="s">
        <v>305</v>
      </c>
      <c r="B339" s="5210">
        <v>1409</v>
      </c>
      <c r="C339" s="5211">
        <v>23084</v>
      </c>
      <c r="D339" s="27"/>
      <c r="E339" s="5095"/>
      <c r="F339" s="5095"/>
      <c r="G339" s="5095"/>
    </row>
    <row r="340" spans="1:7">
      <c r="A340" s="5209" t="s">
        <v>306</v>
      </c>
      <c r="B340" s="5210">
        <v>239458</v>
      </c>
      <c r="C340" s="5211">
        <v>239458</v>
      </c>
      <c r="D340" s="27"/>
      <c r="E340" s="5095"/>
      <c r="F340" s="5095"/>
      <c r="G340" s="5095"/>
    </row>
    <row r="341" spans="1:7">
      <c r="A341" s="5209" t="s">
        <v>2239</v>
      </c>
      <c r="B341" s="5210">
        <v>19500</v>
      </c>
      <c r="C341" s="5211">
        <v>19500</v>
      </c>
      <c r="D341" s="27"/>
      <c r="E341" s="5095"/>
      <c r="F341" s="5095"/>
      <c r="G341" s="5095"/>
    </row>
    <row r="342" spans="1:7">
      <c r="A342" s="5209" t="s">
        <v>701</v>
      </c>
      <c r="B342" s="5210">
        <v>2399</v>
      </c>
      <c r="C342" s="5211">
        <v>10185</v>
      </c>
      <c r="D342" s="27"/>
      <c r="E342" s="5095"/>
      <c r="F342" s="5095"/>
      <c r="G342" s="5095"/>
    </row>
    <row r="343" spans="1:7">
      <c r="A343" s="5209" t="s">
        <v>1626</v>
      </c>
      <c r="B343" s="5210">
        <v>76</v>
      </c>
      <c r="C343" s="5211">
        <v>1260</v>
      </c>
      <c r="D343" s="27"/>
      <c r="E343" s="5095"/>
      <c r="F343" s="5095"/>
      <c r="G343" s="5095"/>
    </row>
    <row r="344" spans="1:7">
      <c r="A344" s="5209" t="s">
        <v>379</v>
      </c>
      <c r="B344" s="5210">
        <v>66</v>
      </c>
      <c r="C344" s="5211">
        <v>1625</v>
      </c>
      <c r="D344" s="27"/>
      <c r="E344" s="5095"/>
      <c r="F344" s="5095"/>
      <c r="G344" s="5095"/>
    </row>
    <row r="345" spans="1:7">
      <c r="A345" s="5209" t="s">
        <v>612</v>
      </c>
      <c r="B345" s="5210">
        <v>2273</v>
      </c>
      <c r="C345" s="5211">
        <v>2273</v>
      </c>
      <c r="D345" s="27"/>
      <c r="E345" s="5095"/>
      <c r="F345" s="5095"/>
      <c r="G345" s="5095"/>
    </row>
    <row r="346" spans="1:7">
      <c r="A346" s="5213" t="s">
        <v>307</v>
      </c>
      <c r="B346" s="5210">
        <v>20883</v>
      </c>
      <c r="C346" s="5210">
        <v>20883</v>
      </c>
      <c r="D346" s="27"/>
      <c r="E346" s="5095"/>
      <c r="F346" s="5095"/>
      <c r="G346" s="5095"/>
    </row>
    <row r="347" spans="1:7">
      <c r="A347" s="5213" t="s">
        <v>1641</v>
      </c>
      <c r="B347" s="5210">
        <v>1603</v>
      </c>
      <c r="C347" s="5210">
        <v>12460</v>
      </c>
      <c r="D347" s="27"/>
      <c r="E347" s="5095"/>
      <c r="F347" s="5095"/>
      <c r="G347" s="5095"/>
    </row>
    <row r="348" spans="1:7">
      <c r="A348" s="5213" t="s">
        <v>2240</v>
      </c>
      <c r="B348" s="5210">
        <v>5597</v>
      </c>
      <c r="C348" s="5210">
        <v>16634</v>
      </c>
      <c r="D348" s="27"/>
      <c r="E348" s="5095"/>
      <c r="F348" s="5095"/>
      <c r="G348" s="5095"/>
    </row>
    <row r="349" spans="1:7">
      <c r="A349" s="5209" t="s">
        <v>308</v>
      </c>
      <c r="B349" s="5210">
        <v>267</v>
      </c>
      <c r="C349" s="5211">
        <v>21276</v>
      </c>
      <c r="D349" s="27"/>
      <c r="E349" s="5095"/>
      <c r="F349" s="5095"/>
      <c r="G349" s="5095"/>
    </row>
    <row r="350" spans="1:7">
      <c r="A350" s="5209" t="s">
        <v>185</v>
      </c>
      <c r="B350" s="5210">
        <v>5400</v>
      </c>
      <c r="C350" s="5211">
        <v>21600</v>
      </c>
      <c r="D350" s="27"/>
      <c r="E350" s="5095"/>
      <c r="F350" s="5095"/>
      <c r="G350" s="5095"/>
    </row>
    <row r="351" spans="1:7">
      <c r="A351" s="5209" t="s">
        <v>309</v>
      </c>
      <c r="B351" s="5210">
        <v>216</v>
      </c>
      <c r="C351" s="5211">
        <v>3515</v>
      </c>
      <c r="D351" s="27"/>
      <c r="E351" s="5095"/>
      <c r="F351" s="5095"/>
      <c r="G351" s="5095"/>
    </row>
    <row r="352" spans="1:7">
      <c r="A352" s="5209" t="s">
        <v>310</v>
      </c>
      <c r="B352" s="5210">
        <v>2215</v>
      </c>
      <c r="C352" s="5211">
        <v>12041</v>
      </c>
      <c r="D352" s="27"/>
      <c r="E352" s="5095"/>
      <c r="F352" s="5095"/>
      <c r="G352" s="5095"/>
    </row>
    <row r="353" spans="1:8">
      <c r="A353" s="5209" t="s">
        <v>2241</v>
      </c>
      <c r="B353" s="5210">
        <v>535</v>
      </c>
      <c r="C353" s="5211">
        <v>9080</v>
      </c>
      <c r="D353" s="27"/>
      <c r="E353" s="5095"/>
      <c r="F353" s="5095"/>
      <c r="G353" s="5095"/>
    </row>
    <row r="354" spans="1:8">
      <c r="A354" s="5209" t="s">
        <v>2242</v>
      </c>
      <c r="B354" s="5220">
        <v>99</v>
      </c>
      <c r="C354" s="5220">
        <v>772</v>
      </c>
      <c r="D354" s="27"/>
      <c r="E354" s="5095"/>
      <c r="F354" s="5095"/>
      <c r="G354" s="5095"/>
    </row>
    <row r="355" spans="1:8">
      <c r="A355" s="5209" t="s">
        <v>1831</v>
      </c>
      <c r="B355" s="5210">
        <v>782</v>
      </c>
      <c r="C355" s="5211">
        <v>8816</v>
      </c>
      <c r="D355" s="27"/>
      <c r="E355" s="5095"/>
      <c r="F355" s="5095"/>
      <c r="G355" s="5095"/>
    </row>
    <row r="356" spans="1:8">
      <c r="A356" s="5209" t="s">
        <v>2243</v>
      </c>
      <c r="B356" s="5210">
        <v>720</v>
      </c>
      <c r="C356" s="5211">
        <v>8640</v>
      </c>
      <c r="D356" s="27"/>
      <c r="E356" s="5095"/>
      <c r="F356" s="5095"/>
      <c r="G356" s="5095"/>
    </row>
    <row r="357" spans="1:8">
      <c r="A357" s="5209" t="s">
        <v>1560</v>
      </c>
      <c r="B357" s="5210">
        <v>117</v>
      </c>
      <c r="C357" s="5211">
        <v>2925</v>
      </c>
      <c r="D357" s="27"/>
      <c r="E357" s="5095"/>
      <c r="F357" s="5095"/>
      <c r="G357" s="5095"/>
    </row>
    <row r="358" spans="1:8">
      <c r="A358" s="5217" t="s">
        <v>71</v>
      </c>
      <c r="B358" s="5224">
        <f>SUM(B333:B357)</f>
        <v>307894</v>
      </c>
      <c r="C358" s="5225">
        <f>SUM(C333:C357)</f>
        <v>488675</v>
      </c>
      <c r="D358" s="27"/>
      <c r="E358" s="5095"/>
      <c r="F358" s="5095"/>
      <c r="G358" s="5095"/>
    </row>
    <row r="359" spans="1:8">
      <c r="A359" s="32" t="s">
        <v>311</v>
      </c>
      <c r="B359" s="5095"/>
      <c r="C359" s="5095"/>
      <c r="D359" s="27"/>
      <c r="E359" s="5095"/>
      <c r="F359" s="5095"/>
      <c r="G359" s="5095"/>
    </row>
    <row r="360" spans="1:8" ht="15.6">
      <c r="A360" s="5169"/>
      <c r="B360" s="5169"/>
      <c r="C360" s="5169"/>
      <c r="D360" s="27"/>
      <c r="E360" s="5095"/>
      <c r="F360" s="5095"/>
      <c r="G360" s="5095"/>
    </row>
    <row r="361" spans="1:8">
      <c r="A361" s="5095"/>
      <c r="B361" s="5095"/>
      <c r="C361" s="5095"/>
      <c r="D361" s="5095"/>
    </row>
    <row r="362" spans="1:8" ht="15.6">
      <c r="A362" s="7468" t="s">
        <v>1887</v>
      </c>
      <c r="B362" s="7469"/>
      <c r="C362" s="7470"/>
      <c r="E362" s="7477" t="s">
        <v>1888</v>
      </c>
      <c r="F362" s="7478"/>
      <c r="G362" s="7478"/>
      <c r="H362" s="7479"/>
    </row>
    <row r="363" spans="1:8" ht="15.6">
      <c r="A363" s="7471" t="s">
        <v>300</v>
      </c>
      <c r="B363" s="7472"/>
      <c r="C363" s="7473"/>
      <c r="E363" s="7480" t="s">
        <v>302</v>
      </c>
      <c r="F363" s="7482" t="s">
        <v>303</v>
      </c>
      <c r="G363" s="7483" t="s">
        <v>181</v>
      </c>
      <c r="H363" s="7484"/>
    </row>
    <row r="364" spans="1:8" ht="15" customHeight="1">
      <c r="A364" s="7474" t="s">
        <v>180</v>
      </c>
      <c r="B364" s="7475" t="s">
        <v>696</v>
      </c>
      <c r="C364" s="7475" t="s">
        <v>697</v>
      </c>
      <c r="E364" s="7481"/>
      <c r="F364" s="7481"/>
      <c r="G364" s="5092" t="s">
        <v>1556</v>
      </c>
      <c r="H364" s="1173" t="s">
        <v>1557</v>
      </c>
    </row>
    <row r="365" spans="1:8" ht="15" customHeight="1">
      <c r="A365" s="7474"/>
      <c r="B365" s="7476"/>
      <c r="C365" s="7476"/>
      <c r="E365" s="1160" t="s">
        <v>703</v>
      </c>
      <c r="F365" s="1150" t="s">
        <v>1648</v>
      </c>
      <c r="G365" s="1151">
        <v>4110</v>
      </c>
      <c r="H365" s="1152">
        <v>13460</v>
      </c>
    </row>
    <row r="366" spans="1:8" ht="15" customHeight="1">
      <c r="A366" s="1155" t="s">
        <v>183</v>
      </c>
      <c r="B366" s="1155">
        <v>7</v>
      </c>
      <c r="C366" s="1156">
        <v>136</v>
      </c>
      <c r="E366" s="1162" t="s">
        <v>704</v>
      </c>
      <c r="F366" s="1150" t="s">
        <v>1648</v>
      </c>
      <c r="G366" s="1174">
        <v>6080</v>
      </c>
      <c r="H366" s="1175">
        <v>13460</v>
      </c>
    </row>
    <row r="367" spans="1:8" ht="15" customHeight="1">
      <c r="A367" s="1155" t="s">
        <v>1558</v>
      </c>
      <c r="B367" s="1155">
        <v>2</v>
      </c>
      <c r="C367" s="1156">
        <v>45</v>
      </c>
      <c r="E367" s="1163" t="s">
        <v>705</v>
      </c>
      <c r="F367" s="1150" t="s">
        <v>1648</v>
      </c>
      <c r="G367" s="1174">
        <v>1142</v>
      </c>
      <c r="H367" s="1161">
        <v>6785</v>
      </c>
    </row>
    <row r="368" spans="1:8">
      <c r="A368" s="1155" t="s">
        <v>182</v>
      </c>
      <c r="B368" s="1157">
        <v>19</v>
      </c>
      <c r="C368" s="1157">
        <v>756</v>
      </c>
      <c r="E368" s="1176">
        <v>3</v>
      </c>
      <c r="F368" s="1153" t="s">
        <v>71</v>
      </c>
      <c r="G368" s="1154">
        <f>SUM(G365:G367)</f>
        <v>11332</v>
      </c>
      <c r="H368" s="1154">
        <f>SUM(H365:H367)</f>
        <v>33705</v>
      </c>
    </row>
    <row r="369" spans="1:6">
      <c r="A369" s="1155" t="s">
        <v>1623</v>
      </c>
      <c r="B369" s="1157">
        <v>2</v>
      </c>
      <c r="C369" s="1157">
        <v>60</v>
      </c>
      <c r="E369" s="5227"/>
    </row>
    <row r="370" spans="1:6" ht="15" customHeight="1">
      <c r="A370" s="1155" t="s">
        <v>1624</v>
      </c>
      <c r="B370" s="1157">
        <v>2</v>
      </c>
      <c r="C370" s="1157">
        <v>40</v>
      </c>
    </row>
    <row r="371" spans="1:6" ht="15" customHeight="1">
      <c r="A371" s="1155" t="s">
        <v>1625</v>
      </c>
      <c r="B371" s="1157">
        <v>15</v>
      </c>
      <c r="C371" s="1157">
        <v>177</v>
      </c>
    </row>
    <row r="372" spans="1:6">
      <c r="A372" s="1155" t="s">
        <v>1626</v>
      </c>
      <c r="B372" s="1157">
        <v>2</v>
      </c>
      <c r="C372" s="1157">
        <v>40</v>
      </c>
    </row>
    <row r="373" spans="1:6">
      <c r="A373" s="1155" t="s">
        <v>304</v>
      </c>
      <c r="B373" s="1157">
        <v>22</v>
      </c>
      <c r="C373" s="1157">
        <v>6000</v>
      </c>
    </row>
    <row r="374" spans="1:6">
      <c r="A374" s="1155" t="s">
        <v>377</v>
      </c>
      <c r="B374" s="1157">
        <v>12</v>
      </c>
      <c r="C374" s="1157">
        <v>2897</v>
      </c>
    </row>
    <row r="375" spans="1:6">
      <c r="A375" s="1155" t="s">
        <v>305</v>
      </c>
      <c r="B375" s="1157">
        <v>9</v>
      </c>
      <c r="C375" s="1157">
        <v>1364</v>
      </c>
    </row>
    <row r="376" spans="1:6" ht="15" customHeight="1">
      <c r="A376" s="1155" t="s">
        <v>1627</v>
      </c>
      <c r="B376" s="1157">
        <v>19</v>
      </c>
      <c r="C376" s="1157">
        <v>180</v>
      </c>
    </row>
    <row r="377" spans="1:6" ht="15" customHeight="1">
      <c r="A377" s="1155" t="s">
        <v>1628</v>
      </c>
      <c r="B377" s="1157">
        <v>1</v>
      </c>
      <c r="C377" s="1157">
        <v>40</v>
      </c>
    </row>
    <row r="378" spans="1:6" ht="15" customHeight="1">
      <c r="A378" s="1155" t="s">
        <v>1629</v>
      </c>
      <c r="B378" s="1157">
        <v>3</v>
      </c>
      <c r="C378" s="1157">
        <v>699</v>
      </c>
      <c r="D378" s="5095"/>
    </row>
    <row r="379" spans="1:6">
      <c r="A379" s="1155" t="s">
        <v>1630</v>
      </c>
      <c r="B379" s="1157">
        <v>2</v>
      </c>
      <c r="C379" s="1157">
        <v>20</v>
      </c>
      <c r="D379" s="5095"/>
    </row>
    <row r="380" spans="1:6">
      <c r="A380" s="1155" t="s">
        <v>185</v>
      </c>
      <c r="B380" s="1157">
        <v>4</v>
      </c>
      <c r="C380" s="1157">
        <v>94</v>
      </c>
      <c r="D380" s="5228"/>
    </row>
    <row r="381" spans="1:6" ht="15" customHeight="1">
      <c r="A381" s="1155" t="s">
        <v>184</v>
      </c>
      <c r="B381" s="1157">
        <v>3</v>
      </c>
      <c r="C381" s="1157">
        <v>32</v>
      </c>
    </row>
    <row r="382" spans="1:6">
      <c r="A382" s="1155" t="s">
        <v>310</v>
      </c>
      <c r="B382" s="1157">
        <v>7</v>
      </c>
      <c r="C382" s="1157">
        <v>121</v>
      </c>
    </row>
    <row r="383" spans="1:6">
      <c r="A383" s="1155" t="s">
        <v>378</v>
      </c>
      <c r="B383" s="1157">
        <v>6</v>
      </c>
      <c r="C383" s="1157">
        <v>380</v>
      </c>
    </row>
    <row r="384" spans="1:6">
      <c r="A384" s="1155" t="s">
        <v>490</v>
      </c>
      <c r="B384" s="1157">
        <v>3</v>
      </c>
      <c r="C384" s="1157">
        <v>237</v>
      </c>
      <c r="E384" s="7466" t="s">
        <v>672</v>
      </c>
      <c r="F384" s="7485" t="s">
        <v>451</v>
      </c>
    </row>
    <row r="385" spans="1:6" ht="15" customHeight="1">
      <c r="A385" s="1155" t="s">
        <v>611</v>
      </c>
      <c r="B385" s="1157">
        <v>12</v>
      </c>
      <c r="C385" s="1157">
        <v>694</v>
      </c>
      <c r="E385" s="7467"/>
      <c r="F385" s="7486"/>
    </row>
    <row r="386" spans="1:6">
      <c r="A386" s="5091" t="s">
        <v>71</v>
      </c>
      <c r="B386" s="1158">
        <f>SUM(B366:B385)</f>
        <v>152</v>
      </c>
      <c r="C386" s="1159">
        <f>SUM(C366:C385)</f>
        <v>14012</v>
      </c>
      <c r="E386" s="5197">
        <f>SUM(B386,E368)</f>
        <v>155</v>
      </c>
      <c r="F386" s="5197">
        <f>SUM(C386,G368)</f>
        <v>25344</v>
      </c>
    </row>
    <row r="387" spans="1:6" ht="18.75" customHeight="1">
      <c r="A387" s="32" t="s">
        <v>311</v>
      </c>
    </row>
    <row r="388" spans="1:6">
      <c r="A388" s="5095"/>
      <c r="B388" s="5095"/>
      <c r="C388" s="5095"/>
    </row>
    <row r="389" spans="1:6">
      <c r="A389" s="5229"/>
      <c r="B389" s="5229"/>
      <c r="C389" s="5229"/>
    </row>
    <row r="390" spans="1:6" ht="15.6">
      <c r="A390" s="7468" t="s">
        <v>1889</v>
      </c>
      <c r="B390" s="7469"/>
      <c r="C390" s="7470"/>
    </row>
    <row r="391" spans="1:6" ht="15.6">
      <c r="A391" s="7471" t="s">
        <v>301</v>
      </c>
      <c r="B391" s="7472"/>
      <c r="C391" s="7473"/>
    </row>
    <row r="392" spans="1:6" ht="15" customHeight="1">
      <c r="A392" s="7474" t="s">
        <v>302</v>
      </c>
      <c r="B392" s="7475" t="s">
        <v>698</v>
      </c>
      <c r="C392" s="7475" t="s">
        <v>181</v>
      </c>
    </row>
    <row r="393" spans="1:6">
      <c r="A393" s="7474"/>
      <c r="B393" s="7476"/>
      <c r="C393" s="7476"/>
    </row>
    <row r="394" spans="1:6">
      <c r="A394" s="5230" t="s">
        <v>699</v>
      </c>
      <c r="B394" s="5231">
        <v>13146</v>
      </c>
      <c r="C394" s="5231">
        <v>13146</v>
      </c>
    </row>
    <row r="395" spans="1:6">
      <c r="A395" s="5230" t="s">
        <v>1559</v>
      </c>
      <c r="B395" s="5231">
        <v>248</v>
      </c>
      <c r="C395" s="5231">
        <v>873</v>
      </c>
    </row>
    <row r="396" spans="1:6">
      <c r="A396" s="1165" t="s">
        <v>1631</v>
      </c>
      <c r="B396" s="5231">
        <v>112</v>
      </c>
      <c r="C396" s="5231">
        <v>4480</v>
      </c>
    </row>
    <row r="397" spans="1:6">
      <c r="A397" s="1166" t="s">
        <v>1632</v>
      </c>
      <c r="B397" s="1157">
        <v>4964</v>
      </c>
      <c r="C397" s="5231">
        <v>30790</v>
      </c>
    </row>
    <row r="398" spans="1:6">
      <c r="A398" s="1167" t="s">
        <v>1633</v>
      </c>
      <c r="B398" s="1157">
        <v>441</v>
      </c>
      <c r="C398" s="5231">
        <v>2073</v>
      </c>
    </row>
    <row r="399" spans="1:6">
      <c r="A399" s="1167" t="s">
        <v>1634</v>
      </c>
      <c r="B399" s="1168">
        <v>1</v>
      </c>
      <c r="C399" s="5231">
        <v>12</v>
      </c>
    </row>
    <row r="400" spans="1:6">
      <c r="A400" s="1167" t="s">
        <v>700</v>
      </c>
      <c r="B400" s="1168">
        <v>2</v>
      </c>
      <c r="C400" s="5231">
        <v>95</v>
      </c>
    </row>
    <row r="401" spans="1:4">
      <c r="A401" s="1167" t="s">
        <v>1635</v>
      </c>
      <c r="B401" s="1168">
        <v>2703</v>
      </c>
      <c r="C401" s="5231">
        <v>2703</v>
      </c>
    </row>
    <row r="402" spans="1:4">
      <c r="A402" s="1169" t="s">
        <v>491</v>
      </c>
      <c r="B402" s="1157">
        <v>1770</v>
      </c>
      <c r="C402" s="5231">
        <v>2028</v>
      </c>
    </row>
    <row r="403" spans="1:4">
      <c r="A403" s="1166" t="s">
        <v>1636</v>
      </c>
      <c r="B403" s="1157">
        <v>1171</v>
      </c>
      <c r="C403" s="5231">
        <v>1210</v>
      </c>
    </row>
    <row r="404" spans="1:4">
      <c r="A404" s="1169" t="s">
        <v>304</v>
      </c>
      <c r="B404" s="1157">
        <v>98</v>
      </c>
      <c r="C404" s="5231">
        <v>1536</v>
      </c>
    </row>
    <row r="405" spans="1:4">
      <c r="A405" s="1169" t="s">
        <v>305</v>
      </c>
      <c r="B405" s="1157">
        <v>744</v>
      </c>
      <c r="C405" s="5231">
        <v>11160</v>
      </c>
    </row>
    <row r="406" spans="1:4">
      <c r="A406" s="1169" t="s">
        <v>306</v>
      </c>
      <c r="B406" s="1157">
        <v>149850</v>
      </c>
      <c r="C406" s="5231">
        <v>316686</v>
      </c>
      <c r="D406" s="68"/>
    </row>
    <row r="407" spans="1:4">
      <c r="A407" s="1169" t="s">
        <v>1637</v>
      </c>
      <c r="B407" s="1157">
        <v>2750</v>
      </c>
      <c r="C407" s="5231">
        <v>2750</v>
      </c>
    </row>
    <row r="408" spans="1:4">
      <c r="A408" s="1169" t="s">
        <v>701</v>
      </c>
      <c r="B408" s="1157">
        <v>279</v>
      </c>
      <c r="C408" s="5231">
        <v>1116</v>
      </c>
    </row>
    <row r="409" spans="1:4">
      <c r="A409" s="1169" t="s">
        <v>702</v>
      </c>
      <c r="B409" s="1157">
        <v>55</v>
      </c>
      <c r="C409" s="5231">
        <v>550</v>
      </c>
    </row>
    <row r="410" spans="1:4">
      <c r="A410" s="1169" t="s">
        <v>379</v>
      </c>
      <c r="B410" s="1157">
        <v>35</v>
      </c>
      <c r="C410" s="5231">
        <v>525</v>
      </c>
    </row>
    <row r="411" spans="1:4">
      <c r="A411" s="1169" t="s">
        <v>612</v>
      </c>
      <c r="B411" s="1157">
        <v>1580</v>
      </c>
      <c r="C411" s="5231">
        <v>1658</v>
      </c>
    </row>
    <row r="412" spans="1:4">
      <c r="A412" s="1170" t="s">
        <v>1638</v>
      </c>
      <c r="B412" s="1157">
        <v>2436</v>
      </c>
      <c r="C412" s="5231">
        <v>2436</v>
      </c>
    </row>
    <row r="413" spans="1:4">
      <c r="A413" s="1166" t="s">
        <v>307</v>
      </c>
      <c r="B413" s="1157">
        <v>5270</v>
      </c>
      <c r="C413" s="5231">
        <v>5270</v>
      </c>
    </row>
    <row r="414" spans="1:4">
      <c r="A414" s="1169" t="s">
        <v>1639</v>
      </c>
      <c r="B414" s="1157">
        <v>6510</v>
      </c>
      <c r="C414" s="5231">
        <v>6510</v>
      </c>
    </row>
    <row r="415" spans="1:4">
      <c r="A415" s="1165" t="s">
        <v>1640</v>
      </c>
      <c r="B415" s="1171">
        <v>4507</v>
      </c>
      <c r="C415" s="5231">
        <v>4507</v>
      </c>
    </row>
    <row r="416" spans="1:4">
      <c r="A416" s="1170" t="s">
        <v>1641</v>
      </c>
      <c r="B416" s="1171">
        <v>19404</v>
      </c>
      <c r="C416" s="5231">
        <v>19404</v>
      </c>
    </row>
    <row r="417" spans="1:3" ht="15" customHeight="1">
      <c r="A417" s="1165" t="s">
        <v>1642</v>
      </c>
      <c r="B417" s="1171">
        <v>395</v>
      </c>
      <c r="C417" s="5231">
        <v>395</v>
      </c>
    </row>
    <row r="418" spans="1:3">
      <c r="A418" s="1165" t="s">
        <v>1643</v>
      </c>
      <c r="B418" s="1171">
        <v>2</v>
      </c>
      <c r="C418" s="5231">
        <v>120</v>
      </c>
    </row>
    <row r="419" spans="1:3">
      <c r="A419" s="1169" t="s">
        <v>308</v>
      </c>
      <c r="B419" s="1157">
        <v>137</v>
      </c>
      <c r="C419" s="5231">
        <v>15850</v>
      </c>
    </row>
    <row r="420" spans="1:3">
      <c r="A420" s="1169" t="s">
        <v>185</v>
      </c>
      <c r="B420" s="1157">
        <v>1634</v>
      </c>
      <c r="C420" s="5231">
        <v>3268</v>
      </c>
    </row>
    <row r="421" spans="1:3">
      <c r="A421" s="1169" t="s">
        <v>1644</v>
      </c>
      <c r="B421" s="1157">
        <v>2</v>
      </c>
      <c r="C421" s="5231">
        <v>10</v>
      </c>
    </row>
    <row r="422" spans="1:3">
      <c r="A422" s="1169" t="s">
        <v>309</v>
      </c>
      <c r="B422" s="1157">
        <v>136</v>
      </c>
      <c r="C422" s="5231">
        <v>2852</v>
      </c>
    </row>
    <row r="423" spans="1:3">
      <c r="A423" s="1172" t="s">
        <v>1645</v>
      </c>
      <c r="B423" s="1156">
        <v>1600</v>
      </c>
      <c r="C423" s="5231">
        <v>3200</v>
      </c>
    </row>
    <row r="424" spans="1:3">
      <c r="A424" s="1169" t="s">
        <v>1646</v>
      </c>
      <c r="B424" s="1157">
        <v>1890</v>
      </c>
      <c r="C424" s="5231">
        <v>8512</v>
      </c>
    </row>
    <row r="425" spans="1:3">
      <c r="A425" s="1169" t="s">
        <v>1647</v>
      </c>
      <c r="B425" s="1157"/>
      <c r="C425" s="5231">
        <v>5394</v>
      </c>
    </row>
    <row r="426" spans="1:3">
      <c r="A426" s="1169" t="s">
        <v>490</v>
      </c>
      <c r="B426" s="1157">
        <v>250</v>
      </c>
      <c r="C426" s="5231">
        <v>1000</v>
      </c>
    </row>
    <row r="427" spans="1:3">
      <c r="A427" s="1169" t="s">
        <v>611</v>
      </c>
      <c r="B427" s="1157">
        <v>852</v>
      </c>
      <c r="C427" s="5231">
        <v>8082</v>
      </c>
    </row>
    <row r="428" spans="1:3">
      <c r="A428" s="1169" t="s">
        <v>1560</v>
      </c>
      <c r="B428" s="1157">
        <v>60</v>
      </c>
      <c r="C428" s="5231">
        <v>720</v>
      </c>
    </row>
    <row r="429" spans="1:3">
      <c r="A429" s="1169" t="s">
        <v>1561</v>
      </c>
      <c r="B429" s="1157">
        <v>1</v>
      </c>
      <c r="C429" s="5231">
        <v>12</v>
      </c>
    </row>
    <row r="430" spans="1:3">
      <c r="A430" s="5091" t="s">
        <v>71</v>
      </c>
      <c r="B430" s="1158">
        <f>SUM(B394:B429)</f>
        <v>225035</v>
      </c>
      <c r="C430" s="1159">
        <f>SUM(C394:C429)</f>
        <v>480933</v>
      </c>
    </row>
    <row r="434" spans="1:8" ht="15.6">
      <c r="A434" s="7493" t="s">
        <v>1773</v>
      </c>
      <c r="B434" s="7469"/>
      <c r="C434" s="7494"/>
      <c r="E434" s="7493" t="s">
        <v>1774</v>
      </c>
      <c r="F434" s="7469"/>
      <c r="G434" s="7469"/>
      <c r="H434" s="7494"/>
    </row>
    <row r="435" spans="1:8" ht="15.6">
      <c r="A435" s="7495" t="s">
        <v>300</v>
      </c>
      <c r="B435" s="7472"/>
      <c r="C435" s="7496"/>
      <c r="E435" s="7497" t="s">
        <v>302</v>
      </c>
      <c r="F435" s="7499" t="s">
        <v>303</v>
      </c>
      <c r="G435" s="7500" t="s">
        <v>181</v>
      </c>
      <c r="H435" s="7501"/>
    </row>
    <row r="436" spans="1:8">
      <c r="A436" s="7502" t="s">
        <v>180</v>
      </c>
      <c r="B436" s="7503" t="s">
        <v>696</v>
      </c>
      <c r="C436" s="7503" t="s">
        <v>697</v>
      </c>
      <c r="E436" s="7498"/>
      <c r="F436" s="7498"/>
      <c r="G436" s="5232" t="s">
        <v>1556</v>
      </c>
      <c r="H436" s="1510" t="s">
        <v>1557</v>
      </c>
    </row>
    <row r="437" spans="1:8">
      <c r="A437" s="7502"/>
      <c r="B437" s="7504"/>
      <c r="C437" s="7504"/>
      <c r="E437" s="7505" t="s">
        <v>703</v>
      </c>
      <c r="F437" s="5233" t="s">
        <v>1749</v>
      </c>
      <c r="G437" s="5234"/>
      <c r="H437" s="5235"/>
    </row>
    <row r="438" spans="1:8">
      <c r="A438" s="5236" t="s">
        <v>183</v>
      </c>
      <c r="B438" s="5237">
        <v>12</v>
      </c>
      <c r="C438" s="5238">
        <v>218</v>
      </c>
      <c r="E438" s="7506"/>
      <c r="F438" s="5233" t="s">
        <v>1750</v>
      </c>
      <c r="G438" s="5234"/>
      <c r="H438" s="5235"/>
    </row>
    <row r="439" spans="1:8">
      <c r="A439" s="5236" t="s">
        <v>1558</v>
      </c>
      <c r="B439" s="5237">
        <v>1</v>
      </c>
      <c r="C439" s="5238">
        <v>55</v>
      </c>
      <c r="E439" s="5239" t="s">
        <v>704</v>
      </c>
      <c r="F439" s="5233" t="s">
        <v>1751</v>
      </c>
      <c r="G439" s="5234">
        <v>5987</v>
      </c>
      <c r="H439" s="5235">
        <v>7150</v>
      </c>
    </row>
    <row r="440" spans="1:8">
      <c r="A440" s="5239" t="s">
        <v>182</v>
      </c>
      <c r="B440" s="5240">
        <v>6</v>
      </c>
      <c r="C440" s="5240">
        <v>350</v>
      </c>
      <c r="E440" s="7509" t="s">
        <v>1752</v>
      </c>
      <c r="F440" s="5233" t="s">
        <v>1753</v>
      </c>
      <c r="G440" s="5234">
        <v>3846</v>
      </c>
      <c r="H440" s="5235">
        <v>7150</v>
      </c>
    </row>
    <row r="441" spans="1:8">
      <c r="A441" s="5239" t="s">
        <v>1754</v>
      </c>
      <c r="B441" s="5240">
        <v>10</v>
      </c>
      <c r="C441" s="5240">
        <v>233</v>
      </c>
      <c r="E441" s="7510"/>
      <c r="F441" s="5233" t="s">
        <v>1755</v>
      </c>
      <c r="G441" s="5234"/>
      <c r="H441" s="5235"/>
    </row>
    <row r="442" spans="1:8">
      <c r="A442" s="5239" t="s">
        <v>1756</v>
      </c>
      <c r="B442" s="5240">
        <v>1</v>
      </c>
      <c r="C442" s="5240">
        <v>16</v>
      </c>
      <c r="E442" s="5241" t="s">
        <v>705</v>
      </c>
      <c r="F442" s="5233"/>
      <c r="G442" s="5234"/>
      <c r="H442" s="5235"/>
    </row>
    <row r="443" spans="1:8">
      <c r="A443" s="5239" t="s">
        <v>304</v>
      </c>
      <c r="B443" s="5240">
        <v>22</v>
      </c>
      <c r="C443" s="5240">
        <v>6010</v>
      </c>
      <c r="E443" s="7511" t="s">
        <v>1757</v>
      </c>
      <c r="F443" s="7514" t="s">
        <v>1758</v>
      </c>
      <c r="G443" s="7487">
        <v>1133</v>
      </c>
      <c r="H443" s="7490">
        <v>4450</v>
      </c>
    </row>
    <row r="444" spans="1:8">
      <c r="A444" s="5239" t="s">
        <v>377</v>
      </c>
      <c r="B444" s="5240">
        <v>14</v>
      </c>
      <c r="C444" s="5240">
        <v>3207</v>
      </c>
      <c r="E444" s="7512"/>
      <c r="F444" s="7515"/>
      <c r="G444" s="7488"/>
      <c r="H444" s="7491"/>
    </row>
    <row r="445" spans="1:8">
      <c r="A445" s="5239" t="s">
        <v>305</v>
      </c>
      <c r="B445" s="5240">
        <v>4</v>
      </c>
      <c r="C445" s="5240">
        <v>1116</v>
      </c>
      <c r="E445" s="7513"/>
      <c r="F445" s="7516"/>
      <c r="G445" s="7489"/>
      <c r="H445" s="7492"/>
    </row>
    <row r="446" spans="1:8">
      <c r="A446" s="5239" t="s">
        <v>1759</v>
      </c>
      <c r="B446" s="5240">
        <v>1</v>
      </c>
      <c r="C446" s="5240">
        <v>15</v>
      </c>
      <c r="E446" s="5242">
        <v>3</v>
      </c>
      <c r="F446" s="5243" t="s">
        <v>15</v>
      </c>
      <c r="G446" s="5244">
        <f>SUM(G437:G445)</f>
        <v>10966</v>
      </c>
      <c r="H446" s="5244">
        <f>SUM(H437:H445)</f>
        <v>18750</v>
      </c>
    </row>
    <row r="447" spans="1:8">
      <c r="A447" s="5239" t="s">
        <v>1760</v>
      </c>
      <c r="B447" s="5240">
        <v>1</v>
      </c>
      <c r="C447" s="5240">
        <v>36</v>
      </c>
    </row>
    <row r="448" spans="1:8">
      <c r="A448" s="5239" t="s">
        <v>1761</v>
      </c>
      <c r="B448" s="5240">
        <v>2</v>
      </c>
      <c r="C448" s="5240">
        <v>260</v>
      </c>
    </row>
    <row r="449" spans="1:5">
      <c r="A449" s="5239" t="s">
        <v>1762</v>
      </c>
      <c r="B449" s="5240">
        <v>2</v>
      </c>
      <c r="C449" s="5240">
        <v>530</v>
      </c>
    </row>
    <row r="450" spans="1:5">
      <c r="A450" s="5239" t="s">
        <v>1763</v>
      </c>
      <c r="B450" s="5240">
        <v>1</v>
      </c>
      <c r="C450" s="5240">
        <v>175</v>
      </c>
      <c r="D450" s="5095"/>
    </row>
    <row r="451" spans="1:5">
      <c r="A451" s="5245" t="s">
        <v>1764</v>
      </c>
      <c r="B451" s="5240">
        <v>6</v>
      </c>
      <c r="C451" s="5240">
        <v>107</v>
      </c>
      <c r="D451" s="5095"/>
    </row>
    <row r="452" spans="1:5">
      <c r="A452" s="5239" t="s">
        <v>185</v>
      </c>
      <c r="B452" s="5240">
        <v>6</v>
      </c>
      <c r="C452" s="5240">
        <v>110</v>
      </c>
      <c r="D452" s="5228"/>
    </row>
    <row r="453" spans="1:5">
      <c r="A453" s="5239" t="s">
        <v>184</v>
      </c>
      <c r="B453" s="5240">
        <v>3</v>
      </c>
      <c r="C453" s="5240">
        <v>46</v>
      </c>
    </row>
    <row r="454" spans="1:5">
      <c r="A454" s="5239" t="s">
        <v>310</v>
      </c>
      <c r="B454" s="5240">
        <v>7</v>
      </c>
      <c r="C454" s="5240">
        <v>108</v>
      </c>
    </row>
    <row r="455" spans="1:5">
      <c r="A455" s="5246" t="s">
        <v>378</v>
      </c>
      <c r="B455" s="5240">
        <v>4</v>
      </c>
      <c r="C455" s="5240">
        <v>348</v>
      </c>
    </row>
    <row r="456" spans="1:5">
      <c r="A456" s="5239" t="s">
        <v>1765</v>
      </c>
      <c r="B456" s="5240">
        <v>8</v>
      </c>
      <c r="C456" s="5240">
        <v>125</v>
      </c>
    </row>
    <row r="457" spans="1:5">
      <c r="A457" s="5237" t="s">
        <v>1766</v>
      </c>
      <c r="B457" s="5240">
        <v>6</v>
      </c>
      <c r="C457" s="5240">
        <v>120</v>
      </c>
    </row>
    <row r="458" spans="1:5">
      <c r="A458" s="5237" t="s">
        <v>611</v>
      </c>
      <c r="B458" s="5240">
        <v>7</v>
      </c>
      <c r="C458" s="5240">
        <v>308</v>
      </c>
      <c r="E458" s="7507" t="s">
        <v>672</v>
      </c>
    </row>
    <row r="459" spans="1:5">
      <c r="A459" s="5247" t="s">
        <v>1767</v>
      </c>
      <c r="B459" s="5247">
        <v>2</v>
      </c>
      <c r="C459" s="5247">
        <v>41</v>
      </c>
      <c r="E459" s="7508"/>
    </row>
    <row r="460" spans="1:5">
      <c r="A460" s="5243" t="s">
        <v>71</v>
      </c>
      <c r="B460" s="5248">
        <f>SUM(B438:B459)</f>
        <v>126</v>
      </c>
      <c r="C460" s="5244">
        <f>SUM(C438:C459)</f>
        <v>13534</v>
      </c>
      <c r="E460" s="5248">
        <f>SUM(B460,E446)</f>
        <v>129</v>
      </c>
    </row>
    <row r="461" spans="1:5">
      <c r="A461" s="32" t="s">
        <v>311</v>
      </c>
    </row>
    <row r="462" spans="1:5">
      <c r="A462" s="5229"/>
      <c r="B462" s="5229"/>
      <c r="C462" s="5229"/>
    </row>
    <row r="463" spans="1:5">
      <c r="A463" s="5229"/>
      <c r="B463" s="5229"/>
      <c r="C463" s="5229"/>
    </row>
    <row r="464" spans="1:5" ht="15.6">
      <c r="A464" s="7493" t="s">
        <v>1773</v>
      </c>
      <c r="B464" s="7469"/>
      <c r="C464" s="7494"/>
    </row>
    <row r="465" spans="1:4" ht="15.6">
      <c r="A465" s="7495" t="s">
        <v>301</v>
      </c>
      <c r="B465" s="7472"/>
      <c r="C465" s="7496"/>
    </row>
    <row r="466" spans="1:4">
      <c r="A466" s="7502" t="s">
        <v>302</v>
      </c>
      <c r="B466" s="7503" t="s">
        <v>698</v>
      </c>
      <c r="C466" s="7503" t="s">
        <v>181</v>
      </c>
    </row>
    <row r="467" spans="1:4">
      <c r="A467" s="7502"/>
      <c r="B467" s="7504"/>
      <c r="C467" s="7504"/>
    </row>
    <row r="468" spans="1:4">
      <c r="A468" s="5249" t="s">
        <v>699</v>
      </c>
      <c r="B468" s="5249">
        <v>26457</v>
      </c>
      <c r="C468" s="5250">
        <v>26457</v>
      </c>
    </row>
    <row r="469" spans="1:4">
      <c r="A469" s="5249" t="s">
        <v>1559</v>
      </c>
      <c r="B469" s="5249">
        <v>449</v>
      </c>
      <c r="C469" s="5250">
        <v>897</v>
      </c>
    </row>
    <row r="470" spans="1:4">
      <c r="A470" s="5239" t="s">
        <v>1768</v>
      </c>
      <c r="B470" s="5240">
        <v>5517</v>
      </c>
      <c r="C470" s="5240">
        <v>55170</v>
      </c>
    </row>
    <row r="471" spans="1:4">
      <c r="A471" s="5239" t="s">
        <v>1769</v>
      </c>
      <c r="B471" s="5240">
        <v>25</v>
      </c>
      <c r="C471" s="5240">
        <v>300</v>
      </c>
    </row>
    <row r="472" spans="1:4">
      <c r="A472" s="5247" t="s">
        <v>1770</v>
      </c>
      <c r="B472" s="5247">
        <v>440</v>
      </c>
      <c r="C472" s="5247">
        <v>440</v>
      </c>
    </row>
    <row r="473" spans="1:4">
      <c r="A473" s="5247" t="s">
        <v>700</v>
      </c>
      <c r="B473" s="5247">
        <v>2</v>
      </c>
      <c r="C473" s="5247">
        <v>60</v>
      </c>
    </row>
    <row r="474" spans="1:4">
      <c r="A474" s="5247" t="s">
        <v>1756</v>
      </c>
      <c r="B474" s="5247">
        <v>562</v>
      </c>
      <c r="C474" s="5247">
        <v>1942</v>
      </c>
    </row>
    <row r="475" spans="1:4">
      <c r="A475" s="5239" t="s">
        <v>491</v>
      </c>
      <c r="B475" s="5240">
        <v>6055</v>
      </c>
      <c r="C475" s="5240">
        <v>6055</v>
      </c>
    </row>
    <row r="476" spans="1:4">
      <c r="A476" s="5239" t="s">
        <v>1771</v>
      </c>
      <c r="B476" s="5240">
        <v>809</v>
      </c>
      <c r="C476" s="5240">
        <v>4121</v>
      </c>
    </row>
    <row r="477" spans="1:4">
      <c r="A477" s="5239" t="s">
        <v>304</v>
      </c>
      <c r="B477" s="5240">
        <v>1046</v>
      </c>
      <c r="C477" s="5240">
        <v>7522</v>
      </c>
    </row>
    <row r="478" spans="1:4">
      <c r="A478" s="5239" t="s">
        <v>305</v>
      </c>
      <c r="B478" s="5240">
        <v>1036</v>
      </c>
      <c r="C478" s="5240">
        <v>15964</v>
      </c>
    </row>
    <row r="479" spans="1:4">
      <c r="A479" s="5239" t="s">
        <v>1772</v>
      </c>
      <c r="B479" s="5240">
        <v>246</v>
      </c>
      <c r="C479" s="5240">
        <v>3291</v>
      </c>
    </row>
    <row r="480" spans="1:4">
      <c r="A480" s="5239" t="s">
        <v>306</v>
      </c>
      <c r="B480" s="5240">
        <v>296379</v>
      </c>
      <c r="C480" s="5240">
        <v>296379</v>
      </c>
      <c r="D480" s="68"/>
    </row>
    <row r="481" spans="1:3">
      <c r="A481" s="5239" t="s">
        <v>701</v>
      </c>
      <c r="B481" s="5240">
        <v>185</v>
      </c>
      <c r="C481" s="5240">
        <v>740</v>
      </c>
    </row>
    <row r="482" spans="1:3">
      <c r="A482" s="5239" t="s">
        <v>702</v>
      </c>
      <c r="B482" s="5240">
        <v>39</v>
      </c>
      <c r="C482" s="5240">
        <v>234</v>
      </c>
    </row>
    <row r="483" spans="1:3">
      <c r="A483" s="5239" t="s">
        <v>379</v>
      </c>
      <c r="B483" s="5240">
        <v>63</v>
      </c>
      <c r="C483" s="5240">
        <v>1260</v>
      </c>
    </row>
    <row r="484" spans="1:3">
      <c r="A484" s="5239" t="s">
        <v>612</v>
      </c>
      <c r="B484" s="5240">
        <v>2265</v>
      </c>
      <c r="C484" s="5240">
        <v>2265</v>
      </c>
    </row>
    <row r="485" spans="1:3">
      <c r="A485" s="5246" t="s">
        <v>307</v>
      </c>
      <c r="B485" s="5240">
        <v>55700</v>
      </c>
      <c r="C485" s="5240">
        <v>55700</v>
      </c>
    </row>
    <row r="486" spans="1:3">
      <c r="A486" s="5239" t="s">
        <v>488</v>
      </c>
      <c r="B486" s="5240">
        <v>1821</v>
      </c>
      <c r="C486" s="5240">
        <v>1821</v>
      </c>
    </row>
    <row r="487" spans="1:3">
      <c r="A487" s="5239" t="s">
        <v>308</v>
      </c>
      <c r="B487" s="5240">
        <v>16238</v>
      </c>
      <c r="C487" s="5240">
        <v>16238</v>
      </c>
    </row>
    <row r="488" spans="1:3">
      <c r="A488" s="5239" t="s">
        <v>185</v>
      </c>
      <c r="B488" s="5240">
        <v>5792</v>
      </c>
      <c r="C488" s="5240">
        <v>11596</v>
      </c>
    </row>
    <row r="489" spans="1:3">
      <c r="A489" s="5239" t="s">
        <v>309</v>
      </c>
      <c r="B489" s="5240">
        <v>106</v>
      </c>
      <c r="C489" s="5240">
        <v>1630</v>
      </c>
    </row>
    <row r="490" spans="1:3">
      <c r="A490" s="5236" t="s">
        <v>184</v>
      </c>
      <c r="B490" s="5237">
        <v>825</v>
      </c>
      <c r="C490" s="5238">
        <v>1650</v>
      </c>
    </row>
    <row r="491" spans="1:3">
      <c r="A491" s="5239" t="s">
        <v>310</v>
      </c>
      <c r="B491" s="5240">
        <v>3758</v>
      </c>
      <c r="C491" s="5240">
        <v>13976</v>
      </c>
    </row>
    <row r="492" spans="1:3">
      <c r="A492" s="5239" t="s">
        <v>490</v>
      </c>
      <c r="B492" s="5240">
        <v>100</v>
      </c>
      <c r="C492" s="5240">
        <v>400</v>
      </c>
    </row>
    <row r="493" spans="1:3">
      <c r="A493" s="5239" t="s">
        <v>611</v>
      </c>
      <c r="B493" s="5240">
        <v>589</v>
      </c>
      <c r="C493" s="5240">
        <v>6099</v>
      </c>
    </row>
    <row r="494" spans="1:3">
      <c r="A494" s="5239" t="s">
        <v>1560</v>
      </c>
      <c r="B494" s="5240">
        <v>5400</v>
      </c>
      <c r="C494" s="5240">
        <v>5400</v>
      </c>
    </row>
    <row r="495" spans="1:3">
      <c r="A495" s="5239" t="s">
        <v>1561</v>
      </c>
      <c r="B495" s="5240">
        <v>9000</v>
      </c>
      <c r="C495" s="5240">
        <v>9000</v>
      </c>
    </row>
    <row r="496" spans="1:3">
      <c r="A496" s="5243" t="s">
        <v>71</v>
      </c>
      <c r="B496" s="5248">
        <f>SUM(B468:B495)</f>
        <v>440904</v>
      </c>
      <c r="C496" s="5244">
        <f>SUM(C468:C495)</f>
        <v>546607</v>
      </c>
    </row>
    <row r="497" spans="1:8">
      <c r="A497" s="32" t="s">
        <v>311</v>
      </c>
    </row>
    <row r="501" spans="1:8" ht="15.6">
      <c r="A501" s="7493" t="s">
        <v>1796</v>
      </c>
      <c r="B501" s="7469"/>
      <c r="C501" s="7494"/>
      <c r="E501" s="7493" t="s">
        <v>1797</v>
      </c>
      <c r="F501" s="7469"/>
      <c r="G501" s="7469"/>
      <c r="H501" s="7494"/>
    </row>
    <row r="502" spans="1:8" ht="15.6">
      <c r="A502" s="7495" t="s">
        <v>300</v>
      </c>
      <c r="B502" s="7472"/>
      <c r="C502" s="7496"/>
      <c r="E502" s="7499" t="s">
        <v>302</v>
      </c>
      <c r="F502" s="7499" t="s">
        <v>303</v>
      </c>
      <c r="G502" s="7517" t="s">
        <v>1775</v>
      </c>
      <c r="H502" s="7518"/>
    </row>
    <row r="503" spans="1:8">
      <c r="A503" s="7502" t="s">
        <v>180</v>
      </c>
      <c r="B503" s="7503" t="s">
        <v>696</v>
      </c>
      <c r="C503" s="7503" t="s">
        <v>697</v>
      </c>
      <c r="E503" s="7498"/>
      <c r="F503" s="7498"/>
      <c r="G503" s="5232" t="s">
        <v>451</v>
      </c>
      <c r="H503" s="1510" t="s">
        <v>1776</v>
      </c>
    </row>
    <row r="504" spans="1:8">
      <c r="A504" s="7502"/>
      <c r="B504" s="7504"/>
      <c r="C504" s="7504"/>
      <c r="E504" s="5251"/>
      <c r="F504" s="5251"/>
      <c r="G504" s="5251"/>
      <c r="H504" s="1511"/>
    </row>
    <row r="505" spans="1:8">
      <c r="A505" s="5236" t="s">
        <v>183</v>
      </c>
      <c r="B505" s="5237">
        <f>2+2+1+4</f>
        <v>9</v>
      </c>
      <c r="C505" s="5238">
        <f>40+36+20+82</f>
        <v>178</v>
      </c>
      <c r="E505" s="5251" t="s">
        <v>1777</v>
      </c>
      <c r="F505" s="7522" t="s">
        <v>1778</v>
      </c>
      <c r="G505" s="7487">
        <v>1876</v>
      </c>
      <c r="H505" s="7490">
        <v>2755</v>
      </c>
    </row>
    <row r="506" spans="1:8">
      <c r="A506" s="5239" t="s">
        <v>182</v>
      </c>
      <c r="B506" s="5240">
        <f>0+1+3+0+4</f>
        <v>8</v>
      </c>
      <c r="C506" s="5240">
        <f>0+18+145+0+308</f>
        <v>471</v>
      </c>
      <c r="E506" s="7522" t="s">
        <v>1779</v>
      </c>
      <c r="F506" s="7523"/>
      <c r="G506" s="7488"/>
      <c r="H506" s="7491"/>
    </row>
    <row r="507" spans="1:8">
      <c r="A507" s="5239" t="s">
        <v>1780</v>
      </c>
      <c r="B507" s="5240">
        <v>2</v>
      </c>
      <c r="C507" s="5240">
        <v>34</v>
      </c>
      <c r="E507" s="7523"/>
      <c r="F507" s="7523"/>
      <c r="G507" s="7488"/>
      <c r="H507" s="7491"/>
    </row>
    <row r="508" spans="1:8">
      <c r="A508" s="5239" t="s">
        <v>1756</v>
      </c>
      <c r="B508" s="5240">
        <v>3</v>
      </c>
      <c r="C508" s="5240">
        <v>16</v>
      </c>
      <c r="E508" s="7524"/>
      <c r="F508" s="7524"/>
      <c r="G508" s="7489"/>
      <c r="H508" s="7492"/>
    </row>
    <row r="509" spans="1:8">
      <c r="A509" s="5239" t="s">
        <v>304</v>
      </c>
      <c r="B509" s="5240">
        <f>6+2+4+2+8</f>
        <v>22</v>
      </c>
      <c r="C509" s="5240">
        <f>2880+516+1550+210+1812</f>
        <v>6968</v>
      </c>
      <c r="E509" s="5241" t="s">
        <v>1781</v>
      </c>
      <c r="F509" s="7522" t="s">
        <v>1782</v>
      </c>
      <c r="G509" s="7487">
        <v>1009</v>
      </c>
      <c r="H509" s="7490">
        <v>2480</v>
      </c>
    </row>
    <row r="510" spans="1:8">
      <c r="A510" s="5239" t="s">
        <v>377</v>
      </c>
      <c r="B510" s="5240">
        <f>1+3+3</f>
        <v>7</v>
      </c>
      <c r="C510" s="5240">
        <f>192+314+576</f>
        <v>1082</v>
      </c>
      <c r="E510" s="7519" t="s">
        <v>1783</v>
      </c>
      <c r="F510" s="7523"/>
      <c r="G510" s="7488"/>
      <c r="H510" s="7491"/>
    </row>
    <row r="511" spans="1:8">
      <c r="A511" s="5239" t="s">
        <v>305</v>
      </c>
      <c r="B511" s="5240">
        <f>2+4+4</f>
        <v>10</v>
      </c>
      <c r="C511" s="5240">
        <f>210+1230+1576</f>
        <v>3016</v>
      </c>
      <c r="E511" s="7520"/>
      <c r="F511" s="7523"/>
      <c r="G511" s="7488"/>
      <c r="H511" s="7491"/>
    </row>
    <row r="512" spans="1:8">
      <c r="A512" s="5239" t="s">
        <v>1627</v>
      </c>
      <c r="B512" s="5240">
        <f>3+1</f>
        <v>4</v>
      </c>
      <c r="C512" s="5240">
        <f>69+25</f>
        <v>94</v>
      </c>
      <c r="E512" s="7520"/>
      <c r="F512" s="7523"/>
      <c r="G512" s="7488"/>
      <c r="H512" s="7491"/>
    </row>
    <row r="513" spans="1:8">
      <c r="A513" s="5239" t="s">
        <v>1784</v>
      </c>
      <c r="B513" s="5240">
        <v>1</v>
      </c>
      <c r="C513" s="5240">
        <v>310</v>
      </c>
      <c r="E513" s="7521"/>
      <c r="F513" s="7524"/>
      <c r="G513" s="7489"/>
      <c r="H513" s="7492"/>
    </row>
    <row r="514" spans="1:8">
      <c r="A514" s="5239" t="s">
        <v>1762</v>
      </c>
      <c r="B514" s="5240">
        <v>1</v>
      </c>
      <c r="C514" s="5240">
        <v>248</v>
      </c>
      <c r="E514" s="7505" t="s">
        <v>703</v>
      </c>
      <c r="F514" s="5233" t="s">
        <v>1785</v>
      </c>
      <c r="G514" s="5234"/>
      <c r="H514" s="5235"/>
    </row>
    <row r="515" spans="1:8">
      <c r="A515" s="5245" t="s">
        <v>1764</v>
      </c>
      <c r="B515" s="5240">
        <v>6</v>
      </c>
      <c r="C515" s="5240">
        <v>130</v>
      </c>
      <c r="E515" s="7506"/>
      <c r="F515" s="5233" t="s">
        <v>1786</v>
      </c>
      <c r="G515" s="5234"/>
      <c r="H515" s="5235"/>
    </row>
    <row r="516" spans="1:8">
      <c r="A516" s="5239" t="s">
        <v>185</v>
      </c>
      <c r="B516" s="5240">
        <v>4</v>
      </c>
      <c r="C516" s="5240">
        <v>70</v>
      </c>
      <c r="E516" s="5239" t="s">
        <v>704</v>
      </c>
      <c r="F516" s="5233" t="s">
        <v>1787</v>
      </c>
      <c r="G516" s="5234">
        <v>4332</v>
      </c>
      <c r="H516" s="5235">
        <v>7350</v>
      </c>
    </row>
    <row r="517" spans="1:8">
      <c r="A517" s="5239" t="s">
        <v>184</v>
      </c>
      <c r="B517" s="5240">
        <v>2</v>
      </c>
      <c r="C517" s="5240">
        <v>26</v>
      </c>
      <c r="E517" s="7509" t="s">
        <v>1752</v>
      </c>
      <c r="F517" s="5233" t="s">
        <v>1788</v>
      </c>
      <c r="G517" s="5234">
        <v>4975</v>
      </c>
      <c r="H517" s="5235">
        <v>7350</v>
      </c>
    </row>
    <row r="518" spans="1:8">
      <c r="A518" s="5239" t="s">
        <v>310</v>
      </c>
      <c r="B518" s="5240">
        <f>1+2+6</f>
        <v>9</v>
      </c>
      <c r="C518" s="5240">
        <f>40+40+92</f>
        <v>172</v>
      </c>
      <c r="E518" s="7510"/>
      <c r="F518" s="5233" t="s">
        <v>1789</v>
      </c>
      <c r="G518" s="5234"/>
      <c r="H518" s="5235"/>
    </row>
    <row r="519" spans="1:8">
      <c r="A519" s="5246" t="s">
        <v>378</v>
      </c>
      <c r="B519" s="5240">
        <v>2</v>
      </c>
      <c r="C519" s="5240">
        <v>128</v>
      </c>
      <c r="E519" s="5241" t="s">
        <v>705</v>
      </c>
      <c r="F519" s="5233"/>
      <c r="G519" s="5234"/>
      <c r="H519" s="5235"/>
    </row>
    <row r="520" spans="1:8">
      <c r="A520" s="5239" t="s">
        <v>1765</v>
      </c>
      <c r="B520" s="5240">
        <v>7</v>
      </c>
      <c r="C520" s="5240">
        <v>52</v>
      </c>
      <c r="E520" s="7519" t="s">
        <v>1790</v>
      </c>
      <c r="F520" s="7514" t="s">
        <v>1758</v>
      </c>
      <c r="G520" s="7487">
        <v>777</v>
      </c>
      <c r="H520" s="7490">
        <v>2300</v>
      </c>
    </row>
    <row r="521" spans="1:8">
      <c r="A521" s="5237" t="s">
        <v>1766</v>
      </c>
      <c r="B521" s="5240">
        <v>6</v>
      </c>
      <c r="C521" s="5240">
        <v>100</v>
      </c>
      <c r="E521" s="7520"/>
      <c r="F521" s="7515"/>
      <c r="G521" s="7488"/>
      <c r="H521" s="7491"/>
    </row>
    <row r="522" spans="1:8">
      <c r="A522" s="5237" t="s">
        <v>611</v>
      </c>
      <c r="B522" s="5240">
        <f>1+7</f>
        <v>8</v>
      </c>
      <c r="C522" s="5240">
        <f>40+664</f>
        <v>704</v>
      </c>
      <c r="E522" s="7521"/>
      <c r="F522" s="7516"/>
      <c r="G522" s="7489"/>
      <c r="H522" s="7492"/>
    </row>
    <row r="523" spans="1:8">
      <c r="A523" s="5243" t="s">
        <v>71</v>
      </c>
      <c r="B523" s="5248">
        <f>SUM(B505:B522)</f>
        <v>111</v>
      </c>
      <c r="C523" s="5244">
        <f>SUM(C505:C522)</f>
        <v>13799</v>
      </c>
      <c r="E523" s="5242">
        <v>4</v>
      </c>
      <c r="F523" s="5243" t="s">
        <v>15</v>
      </c>
      <c r="G523" s="5244">
        <f>SUM(G505:G522)</f>
        <v>12969</v>
      </c>
      <c r="H523" s="5244">
        <f>SUM(H505:H522)</f>
        <v>22235</v>
      </c>
    </row>
    <row r="524" spans="1:8">
      <c r="A524" s="7525" t="s">
        <v>311</v>
      </c>
      <c r="B524" s="7525"/>
      <c r="C524" s="7525"/>
    </row>
    <row r="525" spans="1:8">
      <c r="A525" s="5252"/>
      <c r="B525" s="5252"/>
      <c r="C525" s="5252"/>
    </row>
    <row r="526" spans="1:8" ht="15.6">
      <c r="A526" s="7493" t="s">
        <v>1798</v>
      </c>
      <c r="B526" s="7469"/>
      <c r="C526" s="7494"/>
      <c r="E526" s="7507" t="s">
        <v>672</v>
      </c>
    </row>
    <row r="527" spans="1:8" ht="15.6">
      <c r="A527" s="7495" t="s">
        <v>301</v>
      </c>
      <c r="B527" s="7472"/>
      <c r="C527" s="7496"/>
      <c r="D527" s="5095"/>
      <c r="E527" s="7508"/>
    </row>
    <row r="528" spans="1:8">
      <c r="A528" s="7502" t="s">
        <v>302</v>
      </c>
      <c r="B528" s="7503" t="s">
        <v>698</v>
      </c>
      <c r="C528" s="7503" t="s">
        <v>181</v>
      </c>
      <c r="D528" s="5095"/>
      <c r="E528" s="5248">
        <f>SUM(E523,B523)</f>
        <v>115</v>
      </c>
    </row>
    <row r="529" spans="1:4">
      <c r="A529" s="7502"/>
      <c r="B529" s="7504"/>
      <c r="C529" s="7504"/>
      <c r="D529" s="5228"/>
    </row>
    <row r="530" spans="1:4">
      <c r="A530" s="5249" t="s">
        <v>699</v>
      </c>
      <c r="B530" s="5249">
        <v>85</v>
      </c>
      <c r="C530" s="5250">
        <v>1700</v>
      </c>
    </row>
    <row r="531" spans="1:4">
      <c r="A531" s="5239" t="s">
        <v>1768</v>
      </c>
      <c r="B531" s="5240">
        <f>4213+212+280+2034</f>
        <v>6739</v>
      </c>
      <c r="C531" s="5240">
        <f>42130+2120+1120+20340</f>
        <v>65710</v>
      </c>
    </row>
    <row r="532" spans="1:4">
      <c r="A532" s="5239" t="s">
        <v>1791</v>
      </c>
      <c r="B532" s="5240">
        <v>60</v>
      </c>
      <c r="C532" s="5240">
        <v>60</v>
      </c>
    </row>
    <row r="533" spans="1:4">
      <c r="A533" s="5239" t="s">
        <v>1769</v>
      </c>
      <c r="B533" s="5240">
        <v>21</v>
      </c>
      <c r="C533" s="5240">
        <v>252</v>
      </c>
    </row>
    <row r="534" spans="1:4">
      <c r="A534" s="5239" t="s">
        <v>1792</v>
      </c>
      <c r="B534" s="5240">
        <v>10</v>
      </c>
      <c r="C534" s="5240">
        <v>150</v>
      </c>
    </row>
    <row r="535" spans="1:4">
      <c r="A535" s="5239" t="s">
        <v>700</v>
      </c>
      <c r="B535" s="5240">
        <v>2</v>
      </c>
      <c r="C535" s="5240">
        <v>50</v>
      </c>
    </row>
    <row r="536" spans="1:4">
      <c r="A536" s="5239" t="s">
        <v>1756</v>
      </c>
      <c r="B536" s="5240">
        <v>388</v>
      </c>
      <c r="C536" s="5240">
        <v>1552</v>
      </c>
    </row>
    <row r="537" spans="1:4">
      <c r="A537" s="5239" t="s">
        <v>491</v>
      </c>
      <c r="B537" s="5240">
        <f>3599+2290</f>
        <v>5889</v>
      </c>
      <c r="C537" s="5240">
        <f>3599+2290</f>
        <v>5889</v>
      </c>
    </row>
    <row r="538" spans="1:4">
      <c r="A538" s="5239" t="s">
        <v>1771</v>
      </c>
      <c r="B538" s="5240">
        <v>1142</v>
      </c>
      <c r="C538" s="5240">
        <v>22840</v>
      </c>
    </row>
    <row r="539" spans="1:4">
      <c r="A539" s="5239" t="s">
        <v>304</v>
      </c>
      <c r="B539" s="5240">
        <f>535+230</f>
        <v>765</v>
      </c>
      <c r="C539" s="5240">
        <f>5295+1380</f>
        <v>6675</v>
      </c>
    </row>
    <row r="540" spans="1:4">
      <c r="A540" s="5239" t="s">
        <v>305</v>
      </c>
      <c r="B540" s="5240">
        <f>1213+680</f>
        <v>1893</v>
      </c>
      <c r="C540" s="5240">
        <f>24706+14960</f>
        <v>39666</v>
      </c>
    </row>
    <row r="541" spans="1:4">
      <c r="A541" s="5239" t="s">
        <v>1772</v>
      </c>
      <c r="B541" s="5240">
        <f>80+161</f>
        <v>241</v>
      </c>
      <c r="C541" s="5240">
        <f>600+2415</f>
        <v>3015</v>
      </c>
    </row>
    <row r="542" spans="1:4">
      <c r="A542" s="5239" t="s">
        <v>306</v>
      </c>
      <c r="B542" s="5240">
        <f>3955+142285+163300</f>
        <v>309540</v>
      </c>
      <c r="C542" s="5240">
        <f>3955+142285+163300</f>
        <v>309540</v>
      </c>
    </row>
    <row r="543" spans="1:4">
      <c r="A543" s="5239" t="s">
        <v>1793</v>
      </c>
      <c r="B543" s="5240">
        <v>8</v>
      </c>
      <c r="C543" s="5240">
        <v>96</v>
      </c>
    </row>
    <row r="544" spans="1:4">
      <c r="A544" s="5239" t="s">
        <v>701</v>
      </c>
      <c r="B544" s="5240">
        <f>251+556</f>
        <v>807</v>
      </c>
      <c r="C544" s="5240">
        <f>1004+2224</f>
        <v>3228</v>
      </c>
    </row>
    <row r="545" spans="1:4">
      <c r="A545" s="5239" t="s">
        <v>1794</v>
      </c>
      <c r="B545" s="5240">
        <v>1</v>
      </c>
      <c r="C545" s="5240">
        <v>35</v>
      </c>
    </row>
    <row r="546" spans="1:4">
      <c r="A546" s="5239" t="s">
        <v>702</v>
      </c>
      <c r="B546" s="5240">
        <v>40</v>
      </c>
      <c r="C546" s="5240">
        <v>240</v>
      </c>
    </row>
    <row r="547" spans="1:4">
      <c r="A547" s="5239" t="s">
        <v>379</v>
      </c>
      <c r="B547" s="5240">
        <v>66</v>
      </c>
      <c r="C547" s="5240">
        <v>1320</v>
      </c>
    </row>
    <row r="548" spans="1:4">
      <c r="A548" s="5239" t="s">
        <v>612</v>
      </c>
      <c r="B548" s="5240">
        <v>4158</v>
      </c>
      <c r="C548" s="5240">
        <v>4158</v>
      </c>
    </row>
    <row r="549" spans="1:4">
      <c r="A549" s="5246" t="s">
        <v>307</v>
      </c>
      <c r="B549" s="5240">
        <f>800+21300</f>
        <v>22100</v>
      </c>
      <c r="C549" s="5240">
        <f>800+21300</f>
        <v>22100</v>
      </c>
    </row>
    <row r="550" spans="1:4">
      <c r="A550" s="5239" t="s">
        <v>488</v>
      </c>
      <c r="B550" s="5240">
        <v>485</v>
      </c>
      <c r="C550" s="5240">
        <v>485</v>
      </c>
    </row>
    <row r="551" spans="1:4">
      <c r="A551" s="5239" t="s">
        <v>308</v>
      </c>
      <c r="B551" s="5240">
        <v>16380</v>
      </c>
      <c r="C551" s="5240">
        <v>16380</v>
      </c>
    </row>
    <row r="552" spans="1:4">
      <c r="A552" s="5239" t="s">
        <v>185</v>
      </c>
      <c r="B552" s="5240">
        <v>4039</v>
      </c>
      <c r="C552" s="5240">
        <v>8078</v>
      </c>
    </row>
    <row r="553" spans="1:4">
      <c r="A553" s="5239" t="s">
        <v>309</v>
      </c>
      <c r="B553" s="5240">
        <v>91</v>
      </c>
      <c r="C553" s="5240">
        <v>910</v>
      </c>
    </row>
    <row r="554" spans="1:4">
      <c r="A554" s="5236" t="s">
        <v>1795</v>
      </c>
      <c r="B554" s="5237">
        <f>488+153+165</f>
        <v>806</v>
      </c>
      <c r="C554" s="5238">
        <f>976+306+330</f>
        <v>1612</v>
      </c>
    </row>
    <row r="555" spans="1:4">
      <c r="A555" s="5239" t="s">
        <v>310</v>
      </c>
      <c r="B555" s="5240">
        <f>5184+872+2430+322</f>
        <v>8808</v>
      </c>
      <c r="C555" s="5240">
        <f>10368+3488+4860+1932</f>
        <v>20648</v>
      </c>
    </row>
    <row r="556" spans="1:4">
      <c r="A556" s="5239" t="s">
        <v>490</v>
      </c>
      <c r="B556" s="5240">
        <v>114</v>
      </c>
      <c r="C556" s="5240">
        <v>456</v>
      </c>
    </row>
    <row r="557" spans="1:4">
      <c r="A557" s="5239" t="s">
        <v>611</v>
      </c>
      <c r="B557" s="5240">
        <f>12+241</f>
        <v>253</v>
      </c>
      <c r="C557" s="5240">
        <f>482+2892</f>
        <v>3374</v>
      </c>
    </row>
    <row r="558" spans="1:4">
      <c r="A558" s="5243" t="s">
        <v>71</v>
      </c>
      <c r="B558" s="5248">
        <f>SUM(B530:B557)</f>
        <v>384931</v>
      </c>
      <c r="C558" s="5244">
        <f>SUM(C530:C557)</f>
        <v>540219</v>
      </c>
      <c r="D558" s="68"/>
    </row>
    <row r="559" spans="1:4">
      <c r="A559" s="32" t="s">
        <v>311</v>
      </c>
    </row>
    <row r="563" spans="1:8" ht="15.6">
      <c r="A563" s="7493" t="s">
        <v>1832</v>
      </c>
      <c r="B563" s="7469"/>
      <c r="C563" s="7494"/>
      <c r="E563" s="7493" t="s">
        <v>1833</v>
      </c>
      <c r="F563" s="7469"/>
      <c r="G563" s="7469"/>
      <c r="H563" s="7494"/>
    </row>
    <row r="564" spans="1:8" ht="15.6">
      <c r="A564" s="7493" t="s">
        <v>300</v>
      </c>
      <c r="B564" s="7469"/>
      <c r="C564" s="7494"/>
      <c r="E564" s="7497" t="s">
        <v>302</v>
      </c>
      <c r="F564" s="7499" t="s">
        <v>303</v>
      </c>
      <c r="G564" s="7500" t="s">
        <v>181</v>
      </c>
      <c r="H564" s="7501"/>
    </row>
    <row r="565" spans="1:8" ht="27.6">
      <c r="A565" s="5253" t="s">
        <v>180</v>
      </c>
      <c r="B565" s="5254" t="s">
        <v>1799</v>
      </c>
      <c r="C565" s="5254" t="s">
        <v>1800</v>
      </c>
      <c r="E565" s="7498"/>
      <c r="F565" s="7498"/>
      <c r="G565" s="5232" t="s">
        <v>1556</v>
      </c>
      <c r="H565" s="5255" t="s">
        <v>1557</v>
      </c>
    </row>
    <row r="566" spans="1:8">
      <c r="A566" s="5256" t="s">
        <v>183</v>
      </c>
      <c r="B566" s="5237">
        <v>13</v>
      </c>
      <c r="C566" s="5238">
        <v>292</v>
      </c>
      <c r="E566" s="5257" t="s">
        <v>1801</v>
      </c>
      <c r="F566" s="7526" t="s">
        <v>1802</v>
      </c>
      <c r="G566" s="7487">
        <v>1044</v>
      </c>
      <c r="H566" s="7490">
        <f>4840-1044</f>
        <v>3796</v>
      </c>
    </row>
    <row r="567" spans="1:8">
      <c r="A567" s="5256" t="s">
        <v>1558</v>
      </c>
      <c r="B567" s="5237">
        <v>8</v>
      </c>
      <c r="C567" s="5238">
        <v>2298</v>
      </c>
      <c r="E567" s="7528" t="s">
        <v>1803</v>
      </c>
      <c r="F567" s="7527"/>
      <c r="G567" s="7488"/>
      <c r="H567" s="7491"/>
    </row>
    <row r="568" spans="1:8">
      <c r="A568" s="5258" t="s">
        <v>182</v>
      </c>
      <c r="B568" s="5259">
        <v>13</v>
      </c>
      <c r="C568" s="5259">
        <v>600</v>
      </c>
      <c r="E568" s="7528"/>
      <c r="F568" s="7529" t="s">
        <v>1804</v>
      </c>
      <c r="G568" s="7488"/>
      <c r="H568" s="7491"/>
    </row>
    <row r="569" spans="1:8" ht="27.6">
      <c r="A569" s="5260" t="s">
        <v>1805</v>
      </c>
      <c r="B569" s="5261">
        <v>4</v>
      </c>
      <c r="C569" s="5261">
        <v>121</v>
      </c>
      <c r="E569" s="7528"/>
      <c r="F569" s="7529"/>
      <c r="G569" s="7488"/>
      <c r="H569" s="7491"/>
    </row>
    <row r="570" spans="1:8">
      <c r="A570" s="5258"/>
      <c r="B570" s="5259"/>
      <c r="C570" s="5259"/>
      <c r="E570" s="7528"/>
      <c r="F570" s="7529"/>
      <c r="G570" s="7488"/>
      <c r="H570" s="7491"/>
    </row>
    <row r="571" spans="1:8">
      <c r="A571" s="5258" t="s">
        <v>1624</v>
      </c>
      <c r="B571" s="5259">
        <v>4</v>
      </c>
      <c r="C571" s="5259">
        <v>125</v>
      </c>
      <c r="E571" s="7528" t="s">
        <v>1806</v>
      </c>
      <c r="F571" s="7529"/>
      <c r="G571" s="7488"/>
      <c r="H571" s="7491"/>
    </row>
    <row r="572" spans="1:8">
      <c r="A572" s="5258" t="s">
        <v>1807</v>
      </c>
      <c r="B572" s="5259">
        <v>6</v>
      </c>
      <c r="C572" s="5259">
        <v>18</v>
      </c>
      <c r="E572" s="7528"/>
      <c r="F572" s="7529"/>
      <c r="G572" s="7488"/>
      <c r="H572" s="7491"/>
    </row>
    <row r="573" spans="1:8">
      <c r="A573" s="5258" t="s">
        <v>304</v>
      </c>
      <c r="B573" s="5259">
        <v>17</v>
      </c>
      <c r="C573" s="5259">
        <v>9366</v>
      </c>
      <c r="E573" s="7528"/>
      <c r="F573" s="7529"/>
      <c r="G573" s="7488"/>
      <c r="H573" s="7491"/>
    </row>
    <row r="574" spans="1:8">
      <c r="A574" s="5258" t="s">
        <v>377</v>
      </c>
      <c r="B574" s="5259">
        <v>6</v>
      </c>
      <c r="C574" s="5259">
        <v>1092</v>
      </c>
      <c r="E574" s="7528"/>
      <c r="F574" s="7529"/>
      <c r="G574" s="7488"/>
      <c r="H574" s="7491"/>
    </row>
    <row r="575" spans="1:8">
      <c r="A575" s="5262" t="s">
        <v>305</v>
      </c>
      <c r="B575" s="5259">
        <v>8</v>
      </c>
      <c r="C575" s="5259">
        <v>2842</v>
      </c>
      <c r="E575" s="7528"/>
      <c r="F575" s="7529"/>
      <c r="G575" s="7488"/>
      <c r="H575" s="7491"/>
    </row>
    <row r="576" spans="1:8">
      <c r="A576" s="5262" t="s">
        <v>1808</v>
      </c>
      <c r="B576" s="5259">
        <v>5</v>
      </c>
      <c r="C576" s="5259">
        <v>115</v>
      </c>
      <c r="E576" s="7531"/>
      <c r="F576" s="7530"/>
      <c r="G576" s="7489"/>
      <c r="H576" s="7492"/>
    </row>
    <row r="577" spans="1:8">
      <c r="A577" s="5262" t="s">
        <v>1627</v>
      </c>
      <c r="B577" s="5259">
        <v>11</v>
      </c>
      <c r="C577" s="5259">
        <v>411</v>
      </c>
      <c r="E577" s="7505" t="s">
        <v>1809</v>
      </c>
      <c r="F577" s="5263" t="s">
        <v>1810</v>
      </c>
      <c r="G577" s="7534">
        <v>4580</v>
      </c>
      <c r="H577" s="7490">
        <v>6460</v>
      </c>
    </row>
    <row r="578" spans="1:8">
      <c r="A578" s="5262" t="s">
        <v>1784</v>
      </c>
      <c r="B578" s="5259">
        <v>2</v>
      </c>
      <c r="C578" s="5259">
        <v>670</v>
      </c>
      <c r="E578" s="7506"/>
      <c r="F578" s="5264" t="s">
        <v>1811</v>
      </c>
      <c r="G578" s="7535"/>
      <c r="H578" s="7492"/>
    </row>
    <row r="579" spans="1:8">
      <c r="A579" s="5262" t="s">
        <v>1626</v>
      </c>
      <c r="B579" s="5259">
        <v>3</v>
      </c>
      <c r="C579" s="5240">
        <v>24</v>
      </c>
      <c r="E579" s="7505" t="s">
        <v>1812</v>
      </c>
      <c r="F579" s="5265" t="s">
        <v>1813</v>
      </c>
      <c r="G579" s="7534">
        <v>3231</v>
      </c>
      <c r="H579" s="7490">
        <v>6460</v>
      </c>
    </row>
    <row r="580" spans="1:8">
      <c r="A580" s="5262" t="s">
        <v>1759</v>
      </c>
      <c r="B580" s="5259">
        <v>4</v>
      </c>
      <c r="C580" s="5259">
        <v>51</v>
      </c>
      <c r="E580" s="7536"/>
      <c r="F580" s="5264" t="s">
        <v>1814</v>
      </c>
      <c r="G580" s="7537"/>
      <c r="H580" s="7491"/>
    </row>
    <row r="581" spans="1:8">
      <c r="A581" s="5262" t="s">
        <v>1762</v>
      </c>
      <c r="B581" s="5259">
        <v>3</v>
      </c>
      <c r="C581" s="5259">
        <v>540</v>
      </c>
      <c r="E581" s="7506"/>
      <c r="F581" s="5266" t="s">
        <v>1815</v>
      </c>
      <c r="G581" s="7535"/>
      <c r="H581" s="7492"/>
    </row>
    <row r="582" spans="1:8">
      <c r="A582" s="5262" t="s">
        <v>1764</v>
      </c>
      <c r="B582" s="5259">
        <v>6</v>
      </c>
      <c r="C582" s="5259">
        <v>107</v>
      </c>
      <c r="E582" s="5267">
        <v>3</v>
      </c>
      <c r="F582" s="5244" t="s">
        <v>15</v>
      </c>
      <c r="G582" s="5244">
        <f>SUM(G566:G581)</f>
        <v>8855</v>
      </c>
      <c r="H582" s="5244">
        <f>SUM(H566:H581)</f>
        <v>16716</v>
      </c>
    </row>
    <row r="583" spans="1:8">
      <c r="A583" s="5262" t="s">
        <v>185</v>
      </c>
      <c r="B583" s="5259">
        <v>3</v>
      </c>
      <c r="C583" s="5259">
        <v>90</v>
      </c>
    </row>
    <row r="584" spans="1:8">
      <c r="A584" s="5268" t="s">
        <v>184</v>
      </c>
      <c r="B584" s="5259">
        <v>3</v>
      </c>
      <c r="C584" s="5259">
        <v>90</v>
      </c>
    </row>
    <row r="585" spans="1:8">
      <c r="A585" s="5262" t="s">
        <v>310</v>
      </c>
      <c r="B585" s="5259">
        <v>8</v>
      </c>
      <c r="C585" s="5240">
        <v>114</v>
      </c>
    </row>
    <row r="586" spans="1:8">
      <c r="A586" s="5262" t="s">
        <v>1816</v>
      </c>
      <c r="B586" s="5259">
        <v>3</v>
      </c>
      <c r="C586" s="5259">
        <v>19</v>
      </c>
    </row>
    <row r="587" spans="1:8">
      <c r="A587" s="5262" t="s">
        <v>378</v>
      </c>
      <c r="B587" s="5259">
        <v>5</v>
      </c>
      <c r="C587" s="5259">
        <v>543</v>
      </c>
    </row>
    <row r="588" spans="1:8">
      <c r="A588" s="5262" t="s">
        <v>611</v>
      </c>
      <c r="B588" s="5261">
        <v>13</v>
      </c>
      <c r="C588" s="5261">
        <v>477</v>
      </c>
      <c r="E588" s="7507" t="s">
        <v>672</v>
      </c>
    </row>
    <row r="589" spans="1:8">
      <c r="A589" s="5262" t="s">
        <v>490</v>
      </c>
      <c r="B589" s="5240">
        <v>4</v>
      </c>
      <c r="C589" s="5240">
        <v>29</v>
      </c>
      <c r="E589" s="7508"/>
    </row>
    <row r="590" spans="1:8">
      <c r="A590" s="5243" t="s">
        <v>71</v>
      </c>
      <c r="B590" s="5248">
        <f>SUM(B566:B589)</f>
        <v>152</v>
      </c>
      <c r="C590" s="5244">
        <f>SUM(C566:C589)</f>
        <v>20034</v>
      </c>
      <c r="E590" s="5248">
        <f>SUM(B590,E582)</f>
        <v>155</v>
      </c>
    </row>
    <row r="591" spans="1:8">
      <c r="A591" s="7525" t="s">
        <v>311</v>
      </c>
      <c r="B591" s="7525"/>
      <c r="C591" s="7525"/>
    </row>
    <row r="592" spans="1:8">
      <c r="A592" s="5252"/>
      <c r="B592" s="5252"/>
      <c r="C592" s="5252"/>
    </row>
    <row r="593" spans="1:4">
      <c r="A593" s="7532" t="s">
        <v>1834</v>
      </c>
      <c r="B593" s="7478"/>
      <c r="C593" s="7533"/>
    </row>
    <row r="594" spans="1:4">
      <c r="A594" s="7532" t="s">
        <v>301</v>
      </c>
      <c r="B594" s="7478"/>
      <c r="C594" s="7533"/>
      <c r="D594" s="5095"/>
    </row>
    <row r="595" spans="1:4" ht="27.6">
      <c r="A595" s="5253" t="s">
        <v>302</v>
      </c>
      <c r="B595" s="5254" t="s">
        <v>1817</v>
      </c>
      <c r="C595" s="5254" t="s">
        <v>179</v>
      </c>
      <c r="D595" s="5095"/>
    </row>
    <row r="596" spans="1:4">
      <c r="A596" s="5269" t="s">
        <v>1795</v>
      </c>
      <c r="B596" s="5237">
        <f>96+0+0+320</f>
        <v>416</v>
      </c>
      <c r="C596" s="5238">
        <f>2112+0+0+675</f>
        <v>2787</v>
      </c>
      <c r="D596" s="5228"/>
    </row>
    <row r="597" spans="1:4">
      <c r="A597" s="5270" t="s">
        <v>1818</v>
      </c>
      <c r="B597" s="5247">
        <f>0+0+140</f>
        <v>140</v>
      </c>
      <c r="C597" s="5247">
        <f>0+0+274</f>
        <v>274</v>
      </c>
    </row>
    <row r="598" spans="1:4">
      <c r="A598" s="5271" t="s">
        <v>1819</v>
      </c>
      <c r="B598" s="5272">
        <f>75+51</f>
        <v>126</v>
      </c>
      <c r="C598" s="5272">
        <f>715+128+51</f>
        <v>894</v>
      </c>
    </row>
    <row r="599" spans="1:4" ht="15.6">
      <c r="A599" s="5273" t="s">
        <v>1820</v>
      </c>
      <c r="B599" s="5247">
        <f>0+0+213</f>
        <v>213</v>
      </c>
      <c r="C599" s="5247">
        <f>0+0+1700</f>
        <v>1700</v>
      </c>
    </row>
    <row r="600" spans="1:4">
      <c r="A600" s="5274" t="s">
        <v>1768</v>
      </c>
      <c r="B600" s="5240">
        <f>0+2880+2024+606</f>
        <v>5510</v>
      </c>
      <c r="C600" s="5240">
        <f>B600*6</f>
        <v>33060</v>
      </c>
    </row>
    <row r="601" spans="1:4">
      <c r="A601" s="5274" t="s">
        <v>1821</v>
      </c>
      <c r="B601" s="5240">
        <v>72</v>
      </c>
      <c r="C601" s="5240">
        <v>185</v>
      </c>
    </row>
    <row r="602" spans="1:4">
      <c r="A602" s="5270" t="s">
        <v>1822</v>
      </c>
      <c r="B602" s="5247">
        <f>0+37+0</f>
        <v>37</v>
      </c>
      <c r="C602" s="5247">
        <f>0+235+0</f>
        <v>235</v>
      </c>
    </row>
    <row r="603" spans="1:4">
      <c r="A603" s="5274" t="s">
        <v>1823</v>
      </c>
      <c r="B603" s="5240">
        <f>0+0+42</f>
        <v>42</v>
      </c>
      <c r="C603" s="5240">
        <f>0+0+333</f>
        <v>333</v>
      </c>
    </row>
    <row r="604" spans="1:4">
      <c r="A604" s="5274" t="s">
        <v>1792</v>
      </c>
      <c r="B604" s="5240">
        <v>79</v>
      </c>
      <c r="C604" s="5240">
        <v>227</v>
      </c>
    </row>
    <row r="605" spans="1:4">
      <c r="A605" s="5274" t="s">
        <v>1824</v>
      </c>
      <c r="B605" s="5240">
        <v>225</v>
      </c>
      <c r="C605" s="5240">
        <v>451</v>
      </c>
    </row>
    <row r="606" spans="1:4">
      <c r="A606" s="5274" t="s">
        <v>491</v>
      </c>
      <c r="B606" s="5240">
        <v>6</v>
      </c>
      <c r="C606" s="5240">
        <v>3420</v>
      </c>
    </row>
    <row r="607" spans="1:4">
      <c r="A607" s="5274" t="s">
        <v>1825</v>
      </c>
      <c r="B607" s="5240">
        <v>73</v>
      </c>
      <c r="C607" s="5240">
        <v>331</v>
      </c>
    </row>
    <row r="608" spans="1:4">
      <c r="A608" s="5274" t="s">
        <v>1771</v>
      </c>
      <c r="B608" s="5240">
        <f>95+287</f>
        <v>382</v>
      </c>
      <c r="C608" s="5240">
        <f>403+574</f>
        <v>977</v>
      </c>
    </row>
    <row r="609" spans="1:3">
      <c r="A609" s="5274" t="s">
        <v>304</v>
      </c>
      <c r="B609" s="5240">
        <f>96+540+182+124</f>
        <v>942</v>
      </c>
      <c r="C609" s="5240">
        <f>2464+4320+1092+496</f>
        <v>8372</v>
      </c>
    </row>
    <row r="610" spans="1:3">
      <c r="A610" s="5262" t="s">
        <v>305</v>
      </c>
      <c r="B610" s="5259">
        <f>0+0+796+170</f>
        <v>966</v>
      </c>
      <c r="C610" s="5259">
        <f>0+0+7956+1589</f>
        <v>9545</v>
      </c>
    </row>
    <row r="611" spans="1:3">
      <c r="A611" s="5262" t="s">
        <v>1826</v>
      </c>
      <c r="B611" s="5259">
        <v>70</v>
      </c>
      <c r="C611" s="5259">
        <v>127</v>
      </c>
    </row>
    <row r="612" spans="1:3">
      <c r="A612" s="5262" t="s">
        <v>1827</v>
      </c>
      <c r="B612" s="5259">
        <v>165</v>
      </c>
      <c r="C612" s="5259">
        <v>4000</v>
      </c>
    </row>
    <row r="613" spans="1:3">
      <c r="A613" s="5262" t="s">
        <v>306</v>
      </c>
      <c r="B613" s="5259">
        <f>274+90400+130500+2974</f>
        <v>224148</v>
      </c>
      <c r="C613" s="5259">
        <f>274+90400+130500+2974</f>
        <v>224148</v>
      </c>
    </row>
    <row r="614" spans="1:3">
      <c r="A614" s="5258" t="s">
        <v>1794</v>
      </c>
      <c r="B614" s="5259">
        <f>33+0+0</f>
        <v>33</v>
      </c>
      <c r="C614" s="5259">
        <f>462+0+0</f>
        <v>462</v>
      </c>
    </row>
    <row r="615" spans="1:3">
      <c r="A615" s="5258" t="s">
        <v>1626</v>
      </c>
      <c r="B615" s="5259">
        <f>0+0+136</f>
        <v>136</v>
      </c>
      <c r="C615" s="5259">
        <f>0+0+1088</f>
        <v>1088</v>
      </c>
    </row>
    <row r="616" spans="1:3">
      <c r="A616" s="5262" t="s">
        <v>379</v>
      </c>
      <c r="B616" s="5259">
        <f>0+0+169</f>
        <v>169</v>
      </c>
      <c r="C616" s="5259">
        <f>0+0+674</f>
        <v>674</v>
      </c>
    </row>
    <row r="617" spans="1:3">
      <c r="A617" s="5262" t="s">
        <v>1828</v>
      </c>
      <c r="B617" s="5259">
        <v>108</v>
      </c>
      <c r="C617" s="5259">
        <v>291</v>
      </c>
    </row>
    <row r="618" spans="1:3">
      <c r="A618" s="5262" t="s">
        <v>612</v>
      </c>
      <c r="B618" s="5259">
        <v>2256</v>
      </c>
      <c r="C618" s="5259">
        <v>2256</v>
      </c>
    </row>
    <row r="619" spans="1:3">
      <c r="A619" s="5262" t="s">
        <v>1829</v>
      </c>
      <c r="B619" s="5259">
        <v>51</v>
      </c>
      <c r="C619" s="5259">
        <v>135</v>
      </c>
    </row>
    <row r="620" spans="1:3">
      <c r="A620" s="5275" t="s">
        <v>307</v>
      </c>
      <c r="B620" s="5259">
        <f>0+39900+0</f>
        <v>39900</v>
      </c>
      <c r="C620" s="5259">
        <f>0+39900+0</f>
        <v>39900</v>
      </c>
    </row>
    <row r="621" spans="1:3">
      <c r="A621" s="5262" t="s">
        <v>1830</v>
      </c>
      <c r="B621" s="5259">
        <v>1</v>
      </c>
      <c r="C621" s="5259">
        <v>120</v>
      </c>
    </row>
    <row r="622" spans="1:3">
      <c r="A622" s="5262" t="s">
        <v>1808</v>
      </c>
      <c r="B622" s="5259">
        <v>79</v>
      </c>
      <c r="C622" s="5259">
        <v>244</v>
      </c>
    </row>
    <row r="623" spans="1:3">
      <c r="A623" s="5262" t="s">
        <v>488</v>
      </c>
      <c r="B623" s="5259">
        <f>0+0+997</f>
        <v>997</v>
      </c>
      <c r="C623" s="5259">
        <f>0+0+997</f>
        <v>997</v>
      </c>
    </row>
    <row r="624" spans="1:3">
      <c r="A624" s="5268" t="s">
        <v>308</v>
      </c>
      <c r="B624" s="5259">
        <f>0+0+15000+5250</f>
        <v>20250</v>
      </c>
      <c r="C624" s="5259">
        <f>0+0+15000+5250</f>
        <v>20250</v>
      </c>
    </row>
    <row r="625" spans="1:8">
      <c r="A625" s="5262" t="s">
        <v>185</v>
      </c>
      <c r="B625" s="5259">
        <f>0+5103+0</f>
        <v>5103</v>
      </c>
      <c r="C625" s="5259">
        <f>0+10206+0</f>
        <v>10206</v>
      </c>
      <c r="D625" s="68"/>
    </row>
    <row r="626" spans="1:8">
      <c r="A626" s="5262" t="s">
        <v>309</v>
      </c>
      <c r="B626" s="5259">
        <f>0+0+105</f>
        <v>105</v>
      </c>
      <c r="C626" s="5259">
        <f>0+0+1050</f>
        <v>1050</v>
      </c>
    </row>
    <row r="627" spans="1:8">
      <c r="A627" s="5268" t="s">
        <v>310</v>
      </c>
      <c r="B627" s="5240">
        <f>96+750+1475+780+1440</f>
        <v>4541</v>
      </c>
      <c r="C627" s="5240">
        <f>1856+6000+2956+1548+2288</f>
        <v>14648</v>
      </c>
    </row>
    <row r="628" spans="1:8">
      <c r="A628" s="5268" t="s">
        <v>1831</v>
      </c>
      <c r="B628" s="5240">
        <f>0+0+477+49</f>
        <v>526</v>
      </c>
      <c r="C628" s="5240">
        <f>0+0+2862+98</f>
        <v>2960</v>
      </c>
    </row>
    <row r="629" spans="1:8">
      <c r="A629" s="5268" t="s">
        <v>1560</v>
      </c>
      <c r="B629" s="5240">
        <f>96+0+0+75</f>
        <v>171</v>
      </c>
      <c r="C629" s="5240">
        <f>2144+0+0+304</f>
        <v>2448</v>
      </c>
    </row>
    <row r="630" spans="1:8">
      <c r="A630" s="5262" t="s">
        <v>1561</v>
      </c>
      <c r="B630" s="5259">
        <f>96+0+0+50</f>
        <v>146</v>
      </c>
      <c r="C630" s="5240">
        <f>2112+0+0+419</f>
        <v>2531</v>
      </c>
    </row>
    <row r="631" spans="1:8">
      <c r="A631" s="5243" t="s">
        <v>71</v>
      </c>
      <c r="B631" s="5248">
        <f>SUM(B596:B630)</f>
        <v>308184</v>
      </c>
      <c r="C631" s="5244">
        <f>SUM(C596:C630)</f>
        <v>391326</v>
      </c>
    </row>
    <row r="635" spans="1:8" ht="15.6">
      <c r="A635" s="7493" t="s">
        <v>1856</v>
      </c>
      <c r="B635" s="7469"/>
      <c r="C635" s="7494"/>
      <c r="E635" s="7493" t="s">
        <v>1857</v>
      </c>
      <c r="F635" s="7469"/>
      <c r="G635" s="7469"/>
      <c r="H635" s="7494"/>
    </row>
    <row r="636" spans="1:8" ht="15.6">
      <c r="A636" s="7493" t="s">
        <v>300</v>
      </c>
      <c r="B636" s="7469"/>
      <c r="C636" s="7494"/>
      <c r="E636" s="7497" t="s">
        <v>302</v>
      </c>
      <c r="F636" s="7499" t="s">
        <v>303</v>
      </c>
      <c r="G636" s="7500" t="s">
        <v>181</v>
      </c>
      <c r="H636" s="7501"/>
    </row>
    <row r="637" spans="1:8" ht="27.6">
      <c r="A637" s="5253" t="s">
        <v>180</v>
      </c>
      <c r="B637" s="5254" t="s">
        <v>1799</v>
      </c>
      <c r="C637" s="5254" t="s">
        <v>1800</v>
      </c>
      <c r="E637" s="7498"/>
      <c r="F637" s="7498"/>
      <c r="G637" s="5232" t="s">
        <v>1556</v>
      </c>
      <c r="H637" s="5255" t="s">
        <v>1557</v>
      </c>
    </row>
    <row r="638" spans="1:8">
      <c r="A638" s="5256" t="s">
        <v>183</v>
      </c>
      <c r="B638" s="5237">
        <v>8</v>
      </c>
      <c r="C638" s="5238">
        <f>0+18+30+91</f>
        <v>139</v>
      </c>
      <c r="E638" s="5257" t="s">
        <v>1835</v>
      </c>
      <c r="F638" s="7538" t="s">
        <v>1836</v>
      </c>
      <c r="G638" s="7487">
        <v>940</v>
      </c>
      <c r="H638" s="7490">
        <v>3100</v>
      </c>
    </row>
    <row r="639" spans="1:8">
      <c r="A639" s="5256" t="s">
        <v>1558</v>
      </c>
      <c r="B639" s="5237">
        <v>8</v>
      </c>
      <c r="C639" s="5238">
        <f>0+0+0+1842</f>
        <v>1842</v>
      </c>
      <c r="E639" s="7528" t="s">
        <v>1803</v>
      </c>
      <c r="F639" s="7539"/>
      <c r="G639" s="7488"/>
      <c r="H639" s="7491"/>
    </row>
    <row r="640" spans="1:8">
      <c r="A640" s="5258" t="s">
        <v>182</v>
      </c>
      <c r="B640" s="5259">
        <v>18</v>
      </c>
      <c r="C640" s="5259">
        <f>141+0+50+538</f>
        <v>729</v>
      </c>
      <c r="E640" s="7528"/>
      <c r="F640" s="7529" t="s">
        <v>1804</v>
      </c>
      <c r="G640" s="7488"/>
      <c r="H640" s="7491"/>
    </row>
    <row r="641" spans="1:8">
      <c r="A641" s="5260" t="s">
        <v>1837</v>
      </c>
      <c r="B641" s="5261">
        <v>1</v>
      </c>
      <c r="C641" s="5261">
        <f>0+24</f>
        <v>24</v>
      </c>
      <c r="E641" s="7528"/>
      <c r="F641" s="7529"/>
      <c r="G641" s="7488"/>
      <c r="H641" s="7491"/>
    </row>
    <row r="642" spans="1:8">
      <c r="A642" s="5258" t="s">
        <v>1624</v>
      </c>
      <c r="B642" s="5259">
        <v>1</v>
      </c>
      <c r="C642" s="5259">
        <v>34</v>
      </c>
      <c r="E642" s="7528"/>
      <c r="F642" s="7529"/>
      <c r="G642" s="7488"/>
      <c r="H642" s="7491"/>
    </row>
    <row r="643" spans="1:8">
      <c r="A643" s="5258" t="s">
        <v>1807</v>
      </c>
      <c r="B643" s="5259">
        <v>7</v>
      </c>
      <c r="C643" s="5259">
        <f>0+0+0+28</f>
        <v>28</v>
      </c>
      <c r="E643" s="7528" t="s">
        <v>1806</v>
      </c>
      <c r="F643" s="7529"/>
      <c r="G643" s="7488"/>
      <c r="H643" s="7491"/>
    </row>
    <row r="644" spans="1:8">
      <c r="A644" s="5258" t="s">
        <v>1625</v>
      </c>
      <c r="B644" s="5259">
        <v>5</v>
      </c>
      <c r="C644" s="5259">
        <f>0+0+80+289</f>
        <v>369</v>
      </c>
      <c r="E644" s="7528"/>
      <c r="F644" s="7529"/>
      <c r="G644" s="7488"/>
      <c r="H644" s="7491"/>
    </row>
    <row r="645" spans="1:8">
      <c r="A645" s="5258" t="s">
        <v>1780</v>
      </c>
      <c r="B645" s="5259">
        <v>2</v>
      </c>
      <c r="C645" s="5259">
        <f>0+0+0+34</f>
        <v>34</v>
      </c>
      <c r="E645" s="7528"/>
      <c r="F645" s="7529"/>
      <c r="G645" s="7488"/>
      <c r="H645" s="7491"/>
    </row>
    <row r="646" spans="1:8">
      <c r="A646" s="5258" t="s">
        <v>1756</v>
      </c>
      <c r="B646" s="5259">
        <v>4</v>
      </c>
      <c r="C646" s="5259">
        <f>0+0+0+112</f>
        <v>112</v>
      </c>
      <c r="E646" s="7528"/>
      <c r="F646" s="7529"/>
      <c r="G646" s="7488"/>
      <c r="H646" s="7491"/>
    </row>
    <row r="647" spans="1:8">
      <c r="A647" s="5262" t="s">
        <v>1838</v>
      </c>
      <c r="B647" s="5259">
        <v>2</v>
      </c>
      <c r="C647" s="5259">
        <f>0+0+17+3</f>
        <v>20</v>
      </c>
      <c r="E647" s="7528"/>
      <c r="F647" s="7529"/>
      <c r="G647" s="7488"/>
      <c r="H647" s="7491"/>
    </row>
    <row r="648" spans="1:8">
      <c r="A648" s="5262" t="s">
        <v>304</v>
      </c>
      <c r="B648" s="5259">
        <v>21</v>
      </c>
      <c r="C648" s="5259">
        <f>4752+120+4464+1687</f>
        <v>11023</v>
      </c>
      <c r="E648" s="7531"/>
      <c r="F648" s="7530"/>
      <c r="G648" s="7489"/>
      <c r="H648" s="7492"/>
    </row>
    <row r="649" spans="1:8">
      <c r="A649" s="5262" t="s">
        <v>1839</v>
      </c>
      <c r="B649" s="5259">
        <v>1</v>
      </c>
      <c r="C649" s="5259">
        <f>0+0+0+387</f>
        <v>387</v>
      </c>
      <c r="E649" s="5276" t="s">
        <v>1840</v>
      </c>
      <c r="F649" s="7534" t="s">
        <v>1841</v>
      </c>
      <c r="G649" s="7534">
        <v>1332</v>
      </c>
      <c r="H649" s="7490">
        <v>13642</v>
      </c>
    </row>
    <row r="650" spans="1:8">
      <c r="A650" s="5262" t="s">
        <v>377</v>
      </c>
      <c r="B650" s="5259">
        <v>2</v>
      </c>
      <c r="C650" s="5259">
        <f>0+210</f>
        <v>210</v>
      </c>
      <c r="E650" s="7528" t="s">
        <v>1842</v>
      </c>
      <c r="F650" s="7537"/>
      <c r="G650" s="7537"/>
      <c r="H650" s="7491"/>
    </row>
    <row r="651" spans="1:8">
      <c r="A651" s="5262" t="s">
        <v>305</v>
      </c>
      <c r="B651" s="5259">
        <v>14</v>
      </c>
      <c r="C651" s="5240">
        <f>1297+1929</f>
        <v>3226</v>
      </c>
      <c r="E651" s="7528"/>
      <c r="F651" s="7529" t="s">
        <v>1804</v>
      </c>
      <c r="G651" s="7537"/>
      <c r="H651" s="7491"/>
    </row>
    <row r="652" spans="1:8">
      <c r="A652" s="5262" t="s">
        <v>1627</v>
      </c>
      <c r="B652" s="5259">
        <v>2</v>
      </c>
      <c r="C652" s="5259">
        <f>140+37</f>
        <v>177</v>
      </c>
      <c r="E652" s="7528"/>
      <c r="F652" s="7529"/>
      <c r="G652" s="7537"/>
      <c r="H652" s="7491"/>
    </row>
    <row r="653" spans="1:8">
      <c r="A653" s="5262" t="s">
        <v>1784</v>
      </c>
      <c r="B653" s="5259">
        <v>1</v>
      </c>
      <c r="C653" s="5259">
        <f>281</f>
        <v>281</v>
      </c>
      <c r="E653" s="7528"/>
      <c r="F653" s="7529"/>
      <c r="G653" s="7537"/>
      <c r="H653" s="7491"/>
    </row>
    <row r="654" spans="1:8">
      <c r="A654" s="5262" t="s">
        <v>1843</v>
      </c>
      <c r="B654" s="5259">
        <v>1</v>
      </c>
      <c r="C654" s="5259">
        <f>318</f>
        <v>318</v>
      </c>
      <c r="E654" s="7528"/>
      <c r="F654" s="7529"/>
      <c r="G654" s="7537"/>
      <c r="H654" s="7491"/>
    </row>
    <row r="655" spans="1:8">
      <c r="A655" s="5262" t="s">
        <v>1626</v>
      </c>
      <c r="B655" s="5259">
        <v>3</v>
      </c>
      <c r="C655" s="5259">
        <v>17</v>
      </c>
      <c r="E655" s="7528"/>
      <c r="F655" s="7529"/>
      <c r="G655" s="7537"/>
      <c r="H655" s="7491"/>
    </row>
    <row r="656" spans="1:8">
      <c r="A656" s="5268" t="s">
        <v>1759</v>
      </c>
      <c r="B656" s="5259">
        <v>2</v>
      </c>
      <c r="C656" s="5259">
        <v>67</v>
      </c>
      <c r="E656" s="7528"/>
      <c r="F656" s="7529"/>
      <c r="G656" s="7537"/>
      <c r="H656" s="7491"/>
    </row>
    <row r="657" spans="1:8">
      <c r="A657" s="5262" t="s">
        <v>1762</v>
      </c>
      <c r="B657" s="5259">
        <v>3</v>
      </c>
      <c r="C657" s="5240">
        <f>225+360</f>
        <v>585</v>
      </c>
      <c r="E657" s="7528"/>
      <c r="F657" s="7529"/>
      <c r="G657" s="7537"/>
      <c r="H657" s="7491"/>
    </row>
    <row r="658" spans="1:8">
      <c r="A658" s="5262" t="s">
        <v>1764</v>
      </c>
      <c r="B658" s="5259">
        <v>6</v>
      </c>
      <c r="C658" s="5259">
        <f>0+0+0+122</f>
        <v>122</v>
      </c>
      <c r="E658" s="7531"/>
      <c r="F658" s="7530"/>
      <c r="G658" s="7535"/>
      <c r="H658" s="7492"/>
    </row>
    <row r="659" spans="1:8">
      <c r="A659" s="5262" t="s">
        <v>185</v>
      </c>
      <c r="B659" s="5259">
        <v>3</v>
      </c>
      <c r="C659" s="5259">
        <f>0+0+65</f>
        <v>65</v>
      </c>
      <c r="E659" s="7505" t="s">
        <v>1844</v>
      </c>
      <c r="F659" s="5263" t="s">
        <v>1845</v>
      </c>
      <c r="G659" s="7534">
        <f>1469+239+133+1696+1309</f>
        <v>4846</v>
      </c>
      <c r="H659" s="7490">
        <f>1700+60+30+2000+1600</f>
        <v>5390</v>
      </c>
    </row>
    <row r="660" spans="1:8">
      <c r="A660" s="5262" t="s">
        <v>184</v>
      </c>
      <c r="B660" s="5259">
        <v>2</v>
      </c>
      <c r="C660" s="5259">
        <f>0+0+56</f>
        <v>56</v>
      </c>
      <c r="E660" s="7506"/>
      <c r="F660" s="5264" t="s">
        <v>1846</v>
      </c>
      <c r="G660" s="7535"/>
      <c r="H660" s="7492"/>
    </row>
    <row r="661" spans="1:8">
      <c r="A661" s="5262" t="s">
        <v>310</v>
      </c>
      <c r="B661" s="5259">
        <v>6</v>
      </c>
      <c r="C661" s="5259">
        <f>0+15+0+99</f>
        <v>114</v>
      </c>
      <c r="E661" s="7505" t="s">
        <v>1847</v>
      </c>
      <c r="F661" s="5264" t="s">
        <v>1848</v>
      </c>
      <c r="G661" s="7534">
        <f>526+101+141+757+675</f>
        <v>2200</v>
      </c>
      <c r="H661" s="7490">
        <v>5390</v>
      </c>
    </row>
    <row r="662" spans="1:8">
      <c r="A662" s="5262" t="s">
        <v>378</v>
      </c>
      <c r="B662" s="5261">
        <v>4</v>
      </c>
      <c r="C662" s="5261">
        <f>522</f>
        <v>522</v>
      </c>
      <c r="E662" s="7536"/>
      <c r="F662" s="5264" t="s">
        <v>1849</v>
      </c>
      <c r="G662" s="7537"/>
      <c r="H662" s="7491"/>
    </row>
    <row r="663" spans="1:8">
      <c r="A663" s="5262" t="s">
        <v>1765</v>
      </c>
      <c r="B663" s="5240">
        <v>3</v>
      </c>
      <c r="C663" s="5240">
        <v>50</v>
      </c>
      <c r="E663" s="7506"/>
      <c r="F663" s="5266" t="s">
        <v>1850</v>
      </c>
      <c r="G663" s="7535"/>
      <c r="H663" s="7492"/>
    </row>
    <row r="664" spans="1:8">
      <c r="A664" s="5277" t="s">
        <v>1831</v>
      </c>
      <c r="B664" s="5259">
        <v>11</v>
      </c>
      <c r="C664" s="5240">
        <f>22+0+144+355</f>
        <v>521</v>
      </c>
      <c r="E664" s="5267">
        <v>4</v>
      </c>
      <c r="F664" s="5244" t="s">
        <v>15</v>
      </c>
      <c r="G664" s="5244">
        <f>SUM(G638:G663)</f>
        <v>9318</v>
      </c>
      <c r="H664" s="5244">
        <f>SUM(H638:H663)</f>
        <v>27522</v>
      </c>
    </row>
    <row r="665" spans="1:8">
      <c r="A665" s="5277" t="s">
        <v>490</v>
      </c>
      <c r="B665" s="5259">
        <v>6</v>
      </c>
      <c r="C665" s="5240">
        <v>26</v>
      </c>
    </row>
    <row r="666" spans="1:8">
      <c r="A666" s="5243" t="s">
        <v>71</v>
      </c>
      <c r="B666" s="5248">
        <f>SUM(B638:B665)</f>
        <v>147</v>
      </c>
      <c r="C666" s="5244">
        <f>SUM(C638:C665)</f>
        <v>21098</v>
      </c>
    </row>
    <row r="667" spans="1:8">
      <c r="A667" s="7525" t="s">
        <v>311</v>
      </c>
      <c r="B667" s="7525"/>
      <c r="C667" s="7525"/>
      <c r="F667" s="5248">
        <f>SUM(B666,E664)</f>
        <v>151</v>
      </c>
    </row>
    <row r="668" spans="1:8">
      <c r="A668" s="5252"/>
      <c r="B668" s="5252"/>
      <c r="C668" s="5252"/>
      <c r="D668" s="5095"/>
    </row>
    <row r="669" spans="1:8">
      <c r="A669" s="7532" t="s">
        <v>1858</v>
      </c>
      <c r="B669" s="7478"/>
      <c r="C669" s="7533"/>
      <c r="D669" s="5095"/>
    </row>
    <row r="670" spans="1:8">
      <c r="A670" s="7532" t="s">
        <v>301</v>
      </c>
      <c r="B670" s="7478"/>
      <c r="C670" s="7533"/>
      <c r="D670" s="5228"/>
    </row>
    <row r="671" spans="1:8" ht="27.6">
      <c r="A671" s="5253" t="s">
        <v>302</v>
      </c>
      <c r="B671" s="5254" t="s">
        <v>1817</v>
      </c>
      <c r="C671" s="5254" t="s">
        <v>179</v>
      </c>
    </row>
    <row r="672" spans="1:8">
      <c r="A672" s="5269" t="s">
        <v>1795</v>
      </c>
      <c r="B672" s="5237">
        <f>332+96+23</f>
        <v>451</v>
      </c>
      <c r="C672" s="5238">
        <f>665+1440+46</f>
        <v>2151</v>
      </c>
    </row>
    <row r="673" spans="1:3">
      <c r="A673" s="5258" t="s">
        <v>1851</v>
      </c>
      <c r="B673" s="5259">
        <v>108</v>
      </c>
      <c r="C673" s="5259">
        <v>1620</v>
      </c>
    </row>
    <row r="674" spans="1:3">
      <c r="A674" s="5278" t="s">
        <v>1819</v>
      </c>
      <c r="B674" s="5279">
        <f>3+315+820</f>
        <v>1138</v>
      </c>
      <c r="C674" s="5279">
        <f>213+1260+9020</f>
        <v>10493</v>
      </c>
    </row>
    <row r="675" spans="1:3">
      <c r="A675" s="5274" t="s">
        <v>1768</v>
      </c>
      <c r="B675" s="5240">
        <f>1194+685+1669</f>
        <v>3548</v>
      </c>
      <c r="C675" s="5240">
        <f>4775+6850+10014</f>
        <v>21639</v>
      </c>
    </row>
    <row r="676" spans="1:3">
      <c r="A676" s="5274" t="s">
        <v>1852</v>
      </c>
      <c r="B676" s="5240">
        <v>1</v>
      </c>
      <c r="C676" s="5240">
        <v>167</v>
      </c>
    </row>
    <row r="677" spans="1:3">
      <c r="A677" s="5274" t="s">
        <v>1853</v>
      </c>
      <c r="B677" s="5240">
        <v>3</v>
      </c>
      <c r="C677" s="5240">
        <v>5438</v>
      </c>
    </row>
    <row r="678" spans="1:3">
      <c r="A678" s="5274" t="s">
        <v>1756</v>
      </c>
      <c r="B678" s="5240">
        <v>10</v>
      </c>
      <c r="C678" s="5240">
        <v>406</v>
      </c>
    </row>
    <row r="679" spans="1:3">
      <c r="A679" s="5274" t="s">
        <v>491</v>
      </c>
      <c r="B679" s="5240">
        <v>10</v>
      </c>
      <c r="C679" s="5240">
        <v>4451</v>
      </c>
    </row>
    <row r="680" spans="1:3">
      <c r="A680" s="5274" t="s">
        <v>1771</v>
      </c>
      <c r="B680" s="5240">
        <v>185</v>
      </c>
      <c r="C680" s="5240">
        <v>1486</v>
      </c>
    </row>
    <row r="681" spans="1:3">
      <c r="A681" s="5274" t="s">
        <v>304</v>
      </c>
      <c r="B681" s="5240">
        <f>11+525+350</f>
        <v>886</v>
      </c>
      <c r="C681" s="5240">
        <f>113+4200+4560</f>
        <v>8873</v>
      </c>
    </row>
    <row r="682" spans="1:3">
      <c r="A682" s="5262" t="s">
        <v>305</v>
      </c>
      <c r="B682" s="5259">
        <f>362+96+270+339</f>
        <v>1067</v>
      </c>
      <c r="C682" s="5259">
        <f>3623+1920+6558+4068</f>
        <v>16169</v>
      </c>
    </row>
    <row r="683" spans="1:3">
      <c r="A683" s="5262" t="s">
        <v>1854</v>
      </c>
      <c r="B683" s="5259">
        <v>38</v>
      </c>
      <c r="C683" s="5259">
        <v>380</v>
      </c>
    </row>
    <row r="684" spans="1:3">
      <c r="A684" s="5262" t="s">
        <v>1772</v>
      </c>
      <c r="B684" s="5259">
        <v>10</v>
      </c>
      <c r="C684" s="5259">
        <v>50</v>
      </c>
    </row>
    <row r="685" spans="1:3">
      <c r="A685" s="5262" t="s">
        <v>306</v>
      </c>
      <c r="B685" s="5259">
        <f>168000+26400+180</f>
        <v>194580</v>
      </c>
      <c r="C685" s="5259">
        <f>168000+26400+90000</f>
        <v>284400</v>
      </c>
    </row>
    <row r="686" spans="1:3">
      <c r="A686" s="5258" t="s">
        <v>1794</v>
      </c>
      <c r="B686" s="5259">
        <f>33</f>
        <v>33</v>
      </c>
      <c r="C686" s="5259">
        <f>396</f>
        <v>396</v>
      </c>
    </row>
    <row r="687" spans="1:3">
      <c r="A687" s="5258" t="s">
        <v>1626</v>
      </c>
      <c r="B687" s="5259">
        <f>32+72</f>
        <v>104</v>
      </c>
      <c r="C687" s="5259">
        <f>320+1296</f>
        <v>1616</v>
      </c>
    </row>
    <row r="688" spans="1:3">
      <c r="A688" s="5262" t="s">
        <v>379</v>
      </c>
      <c r="B688" s="5259">
        <v>108</v>
      </c>
      <c r="C688" s="5259">
        <v>756</v>
      </c>
    </row>
    <row r="689" spans="1:4">
      <c r="A689" s="5262" t="s">
        <v>307</v>
      </c>
      <c r="B689" s="5259">
        <f>42000+180</f>
        <v>42180</v>
      </c>
      <c r="C689" s="5259">
        <f>42000+10800</f>
        <v>52800</v>
      </c>
    </row>
    <row r="690" spans="1:4">
      <c r="A690" s="5262" t="s">
        <v>1830</v>
      </c>
      <c r="B690" s="5259">
        <v>1</v>
      </c>
      <c r="C690" s="5259">
        <v>102</v>
      </c>
    </row>
    <row r="691" spans="1:4">
      <c r="A691" s="5262" t="s">
        <v>1808</v>
      </c>
      <c r="B691" s="5259">
        <v>3</v>
      </c>
      <c r="C691" s="5259">
        <v>69</v>
      </c>
    </row>
    <row r="692" spans="1:4">
      <c r="A692" s="5262" t="s">
        <v>488</v>
      </c>
      <c r="B692" s="5259">
        <v>231</v>
      </c>
      <c r="C692" s="5259">
        <v>3465</v>
      </c>
    </row>
    <row r="693" spans="1:4">
      <c r="A693" s="5268" t="s">
        <v>308</v>
      </c>
      <c r="B693" s="5259">
        <v>180</v>
      </c>
      <c r="C693" s="5259">
        <v>12600</v>
      </c>
    </row>
    <row r="694" spans="1:4">
      <c r="A694" s="5262" t="s">
        <v>185</v>
      </c>
      <c r="B694" s="5259">
        <v>8750</v>
      </c>
      <c r="C694" s="5259">
        <v>17500</v>
      </c>
    </row>
    <row r="695" spans="1:4">
      <c r="A695" s="5262" t="s">
        <v>309</v>
      </c>
      <c r="B695" s="5259">
        <f>4+108</f>
        <v>112</v>
      </c>
      <c r="C695" s="5259">
        <f>25+1404</f>
        <v>1429</v>
      </c>
    </row>
    <row r="696" spans="1:4">
      <c r="A696" s="5268" t="s">
        <v>184</v>
      </c>
      <c r="B696" s="5259">
        <f>40+595+7</f>
        <v>642</v>
      </c>
      <c r="C696" s="5240">
        <f>80+1190+14</f>
        <v>1284</v>
      </c>
    </row>
    <row r="697" spans="1:4">
      <c r="A697" s="5268" t="s">
        <v>310</v>
      </c>
      <c r="B697" s="5240">
        <f>527+96+443</f>
        <v>1066</v>
      </c>
      <c r="C697" s="5240">
        <f>2110+1152+1772</f>
        <v>5034</v>
      </c>
    </row>
    <row r="698" spans="1:4">
      <c r="A698" s="5268" t="s">
        <v>1831</v>
      </c>
      <c r="B698" s="5240">
        <f>84+365</f>
        <v>449</v>
      </c>
      <c r="C698" s="5240">
        <f>421+2920</f>
        <v>3341</v>
      </c>
    </row>
    <row r="699" spans="1:4">
      <c r="A699" s="5268" t="s">
        <v>1560</v>
      </c>
      <c r="B699" s="5240">
        <f>0+96</f>
        <v>96</v>
      </c>
      <c r="C699" s="5240">
        <f>0+1536</f>
        <v>1536</v>
      </c>
      <c r="D699" s="68"/>
    </row>
    <row r="700" spans="1:4">
      <c r="A700" s="5262" t="s">
        <v>1561</v>
      </c>
      <c r="B700" s="5259">
        <f>0+96</f>
        <v>96</v>
      </c>
      <c r="C700" s="5240">
        <f>0+1728</f>
        <v>1728</v>
      </c>
    </row>
    <row r="701" spans="1:4">
      <c r="A701" s="5243" t="s">
        <v>71</v>
      </c>
      <c r="B701" s="5248">
        <f>SUM(B672:B700)</f>
        <v>256086</v>
      </c>
      <c r="C701" s="5244">
        <f>SUM(C672:C700)</f>
        <v>461379</v>
      </c>
    </row>
    <row r="702" spans="1:4">
      <c r="A702" s="7540" t="s">
        <v>311</v>
      </c>
      <c r="B702" s="7540"/>
      <c r="C702" s="7540"/>
    </row>
    <row r="703" spans="1:4">
      <c r="A703" s="7540" t="s">
        <v>1855</v>
      </c>
      <c r="B703" s="7540"/>
      <c r="C703" s="7540"/>
    </row>
    <row r="707" spans="1:8" ht="15.6">
      <c r="A707" s="7493" t="s">
        <v>1873</v>
      </c>
      <c r="B707" s="7469"/>
      <c r="C707" s="7494"/>
      <c r="E707" s="7495" t="s">
        <v>1874</v>
      </c>
      <c r="F707" s="7472"/>
      <c r="G707" s="7472"/>
      <c r="H707" s="7496"/>
    </row>
    <row r="708" spans="1:8" ht="15.6">
      <c r="A708" s="7495" t="s">
        <v>300</v>
      </c>
      <c r="B708" s="7472"/>
      <c r="C708" s="7496"/>
      <c r="E708" s="7497" t="s">
        <v>302</v>
      </c>
      <c r="F708" s="7499" t="s">
        <v>303</v>
      </c>
      <c r="G708" s="7500" t="s">
        <v>181</v>
      </c>
      <c r="H708" s="7501"/>
    </row>
    <row r="709" spans="1:8">
      <c r="A709" s="7502" t="s">
        <v>180</v>
      </c>
      <c r="B709" s="7503" t="s">
        <v>696</v>
      </c>
      <c r="C709" s="7503" t="s">
        <v>697</v>
      </c>
      <c r="E709" s="7498"/>
      <c r="F709" s="7498"/>
      <c r="G709" s="5202" t="s">
        <v>1556</v>
      </c>
      <c r="H709" s="1511" t="s">
        <v>1557</v>
      </c>
    </row>
    <row r="710" spans="1:8">
      <c r="A710" s="7502"/>
      <c r="B710" s="7504"/>
      <c r="C710" s="7504"/>
      <c r="E710" s="5103"/>
      <c r="F710" s="5103"/>
      <c r="G710" s="5103"/>
    </row>
    <row r="711" spans="1:8">
      <c r="A711" s="5236" t="s">
        <v>183</v>
      </c>
      <c r="B711" s="5237">
        <v>12</v>
      </c>
      <c r="C711" s="5238">
        <v>900</v>
      </c>
      <c r="E711" s="5236" t="s">
        <v>1781</v>
      </c>
      <c r="F711" s="5233" t="s">
        <v>1859</v>
      </c>
      <c r="G711" s="5234">
        <v>1149</v>
      </c>
      <c r="H711" s="5272">
        <f>15426-1149</f>
        <v>14277</v>
      </c>
    </row>
    <row r="712" spans="1:8">
      <c r="A712" s="5239" t="s">
        <v>1860</v>
      </c>
      <c r="B712" s="5240">
        <v>2</v>
      </c>
      <c r="C712" s="5240">
        <v>35</v>
      </c>
      <c r="E712" s="7541" t="s">
        <v>703</v>
      </c>
      <c r="F712" s="7542" t="s">
        <v>1861</v>
      </c>
      <c r="G712" s="7542">
        <v>3563</v>
      </c>
      <c r="H712" s="7490">
        <v>4945</v>
      </c>
    </row>
    <row r="713" spans="1:8">
      <c r="A713" s="5239" t="s">
        <v>182</v>
      </c>
      <c r="B713" s="5240">
        <v>11</v>
      </c>
      <c r="C713" s="5240">
        <v>774</v>
      </c>
      <c r="E713" s="7541"/>
      <c r="F713" s="7542"/>
      <c r="G713" s="7542"/>
      <c r="H713" s="7492"/>
    </row>
    <row r="714" spans="1:8" ht="27.6">
      <c r="A714" s="5280" t="s">
        <v>1805</v>
      </c>
      <c r="B714" s="5240">
        <v>20</v>
      </c>
      <c r="C714" s="5240">
        <v>858</v>
      </c>
      <c r="E714" s="5274" t="s">
        <v>704</v>
      </c>
      <c r="F714" s="5240" t="s">
        <v>1862</v>
      </c>
      <c r="G714" s="5240">
        <v>2698</v>
      </c>
      <c r="H714" s="5281">
        <v>4945</v>
      </c>
    </row>
    <row r="715" spans="1:8">
      <c r="A715" s="5239" t="s">
        <v>1624</v>
      </c>
      <c r="B715" s="5240">
        <v>1</v>
      </c>
      <c r="C715" s="5240">
        <v>36</v>
      </c>
      <c r="E715" s="5258" t="s">
        <v>705</v>
      </c>
      <c r="F715" s="5259" t="s">
        <v>1859</v>
      </c>
      <c r="G715" s="5259">
        <v>558</v>
      </c>
      <c r="H715" s="5272">
        <v>2360</v>
      </c>
    </row>
    <row r="716" spans="1:8">
      <c r="A716" s="5239" t="s">
        <v>1807</v>
      </c>
      <c r="B716" s="5240">
        <v>8</v>
      </c>
      <c r="C716" s="5240">
        <v>43</v>
      </c>
    </row>
    <row r="717" spans="1:8">
      <c r="A717" s="5280" t="s">
        <v>1863</v>
      </c>
      <c r="B717" s="5240">
        <v>4</v>
      </c>
      <c r="C717" s="5240">
        <v>191</v>
      </c>
      <c r="E717" s="5243" t="s">
        <v>71</v>
      </c>
      <c r="F717" s="5282">
        <v>10</v>
      </c>
      <c r="G717" s="5244">
        <f>SUM(G711:G715)</f>
        <v>7968</v>
      </c>
      <c r="H717" s="5244">
        <f>SUM(H711:H715)</f>
        <v>26527</v>
      </c>
    </row>
    <row r="718" spans="1:8">
      <c r="A718" s="5239" t="s">
        <v>1864</v>
      </c>
      <c r="B718" s="5240">
        <v>3</v>
      </c>
      <c r="C718" s="5240">
        <v>1162</v>
      </c>
    </row>
    <row r="719" spans="1:8">
      <c r="A719" s="5239" t="s">
        <v>1625</v>
      </c>
      <c r="B719" s="5240">
        <v>8</v>
      </c>
      <c r="C719" s="5240">
        <v>355</v>
      </c>
    </row>
    <row r="720" spans="1:8">
      <c r="A720" s="5239" t="s">
        <v>1780</v>
      </c>
      <c r="B720" s="5240">
        <v>1</v>
      </c>
      <c r="C720" s="5240">
        <v>15</v>
      </c>
    </row>
    <row r="721" spans="1:6">
      <c r="A721" s="5239" t="s">
        <v>1756</v>
      </c>
      <c r="B721" s="5240">
        <v>1</v>
      </c>
      <c r="C721" s="5240">
        <v>23</v>
      </c>
    </row>
    <row r="722" spans="1:6">
      <c r="A722" s="5239" t="s">
        <v>1838</v>
      </c>
      <c r="B722" s="5240">
        <v>1</v>
      </c>
      <c r="C722" s="5240">
        <v>32</v>
      </c>
    </row>
    <row r="723" spans="1:6">
      <c r="A723" s="5239" t="s">
        <v>304</v>
      </c>
      <c r="B723" s="5240">
        <v>24</v>
      </c>
      <c r="C723" s="5240">
        <v>8887</v>
      </c>
    </row>
    <row r="724" spans="1:6">
      <c r="A724" s="5239" t="s">
        <v>1865</v>
      </c>
      <c r="B724" s="5240">
        <v>3</v>
      </c>
      <c r="C724" s="5240">
        <v>407</v>
      </c>
    </row>
    <row r="725" spans="1:6">
      <c r="A725" s="5239" t="s">
        <v>377</v>
      </c>
      <c r="B725" s="5240">
        <v>2</v>
      </c>
      <c r="C725" s="5240">
        <v>430</v>
      </c>
    </row>
    <row r="726" spans="1:6">
      <c r="A726" s="5239" t="s">
        <v>305</v>
      </c>
      <c r="B726" s="5240">
        <v>10</v>
      </c>
      <c r="C726" s="5240">
        <v>3460</v>
      </c>
    </row>
    <row r="727" spans="1:6">
      <c r="A727" s="5239" t="s">
        <v>1627</v>
      </c>
      <c r="B727" s="5240">
        <v>6</v>
      </c>
      <c r="C727" s="5240">
        <v>195</v>
      </c>
    </row>
    <row r="728" spans="1:6">
      <c r="A728" s="5239" t="s">
        <v>1759</v>
      </c>
      <c r="B728" s="5240">
        <v>3</v>
      </c>
      <c r="C728" s="5240">
        <v>85</v>
      </c>
    </row>
    <row r="729" spans="1:6">
      <c r="A729" s="5239" t="s">
        <v>1762</v>
      </c>
      <c r="B729" s="5240">
        <v>1</v>
      </c>
      <c r="C729" s="5240">
        <v>412</v>
      </c>
    </row>
    <row r="730" spans="1:6">
      <c r="A730" s="5245" t="s">
        <v>1764</v>
      </c>
      <c r="B730" s="5240">
        <v>9</v>
      </c>
      <c r="C730" s="5240">
        <f>32+93</f>
        <v>125</v>
      </c>
    </row>
    <row r="731" spans="1:6">
      <c r="A731" s="5239" t="s">
        <v>185</v>
      </c>
      <c r="B731" s="5240">
        <v>2</v>
      </c>
      <c r="C731" s="5240">
        <v>125</v>
      </c>
    </row>
    <row r="732" spans="1:6">
      <c r="A732" s="5239" t="s">
        <v>184</v>
      </c>
      <c r="B732" s="5240">
        <v>4</v>
      </c>
      <c r="C732" s="5240">
        <v>266</v>
      </c>
    </row>
    <row r="733" spans="1:6">
      <c r="A733" s="5239" t="s">
        <v>310</v>
      </c>
      <c r="B733" s="5240">
        <v>10</v>
      </c>
      <c r="C733" s="5240">
        <v>180</v>
      </c>
      <c r="F733" s="68" t="s">
        <v>1866</v>
      </c>
    </row>
    <row r="734" spans="1:6">
      <c r="A734" s="5246" t="s">
        <v>378</v>
      </c>
      <c r="B734" s="5240">
        <v>5</v>
      </c>
      <c r="C734" s="5240">
        <f>593+60</f>
        <v>653</v>
      </c>
    </row>
    <row r="735" spans="1:6">
      <c r="A735" s="5245" t="s">
        <v>1767</v>
      </c>
      <c r="B735" s="5240">
        <v>2</v>
      </c>
      <c r="C735" s="5240">
        <v>127</v>
      </c>
    </row>
    <row r="736" spans="1:6">
      <c r="A736" s="5237" t="s">
        <v>1867</v>
      </c>
      <c r="B736" s="5240">
        <v>16</v>
      </c>
      <c r="C736" s="5240">
        <v>704</v>
      </c>
    </row>
    <row r="737" spans="1:6">
      <c r="A737" s="5243" t="s">
        <v>71</v>
      </c>
      <c r="B737" s="5248">
        <f>SUM(B711:B736)</f>
        <v>169</v>
      </c>
      <c r="C737" s="5244">
        <f>SUM(C711:C736)</f>
        <v>20480</v>
      </c>
      <c r="F737" s="5267">
        <f>SUM(B737,F717)</f>
        <v>179</v>
      </c>
    </row>
    <row r="738" spans="1:6">
      <c r="A738" s="32" t="s">
        <v>311</v>
      </c>
    </row>
    <row r="740" spans="1:6" ht="15.6">
      <c r="A740" s="7493" t="s">
        <v>1873</v>
      </c>
      <c r="B740" s="7469"/>
      <c r="C740" s="7494"/>
      <c r="D740" s="5095"/>
    </row>
    <row r="741" spans="1:6" ht="15.6">
      <c r="A741" s="7495" t="s">
        <v>301</v>
      </c>
      <c r="B741" s="7472"/>
      <c r="C741" s="7496"/>
      <c r="D741" s="5228"/>
    </row>
    <row r="742" spans="1:6">
      <c r="A742" s="7502" t="s">
        <v>302</v>
      </c>
      <c r="B742" s="7503" t="s">
        <v>698</v>
      </c>
      <c r="C742" s="7503" t="s">
        <v>181</v>
      </c>
    </row>
    <row r="743" spans="1:6">
      <c r="A743" s="7502"/>
      <c r="B743" s="7504"/>
      <c r="C743" s="7504"/>
    </row>
    <row r="744" spans="1:6">
      <c r="A744" s="5283"/>
      <c r="B744" s="5283"/>
      <c r="C744" s="5283"/>
    </row>
    <row r="745" spans="1:6">
      <c r="A745" s="5236" t="s">
        <v>1795</v>
      </c>
      <c r="B745" s="5237">
        <f>87+87</f>
        <v>174</v>
      </c>
      <c r="C745" s="5238">
        <v>348</v>
      </c>
    </row>
    <row r="746" spans="1:6">
      <c r="A746" s="5239" t="s">
        <v>1860</v>
      </c>
      <c r="B746" s="5240">
        <v>72</v>
      </c>
      <c r="C746" s="5240">
        <v>855</v>
      </c>
    </row>
    <row r="747" spans="1:6">
      <c r="A747" s="5249" t="s">
        <v>1868</v>
      </c>
      <c r="B747" s="5249">
        <v>2873</v>
      </c>
      <c r="C747" s="5249">
        <v>6746</v>
      </c>
    </row>
    <row r="748" spans="1:6">
      <c r="A748" s="5239" t="s">
        <v>1768</v>
      </c>
      <c r="B748" s="5240">
        <f>659+174+1057</f>
        <v>1890</v>
      </c>
      <c r="C748" s="5240">
        <v>9677</v>
      </c>
    </row>
    <row r="749" spans="1:6">
      <c r="A749" s="5239" t="s">
        <v>1791</v>
      </c>
      <c r="B749" s="5240">
        <v>24</v>
      </c>
      <c r="C749" s="5240">
        <v>164</v>
      </c>
    </row>
    <row r="750" spans="1:6">
      <c r="A750" s="5239" t="s">
        <v>1869</v>
      </c>
      <c r="B750" s="5240">
        <v>24</v>
      </c>
      <c r="C750" s="5240">
        <v>186</v>
      </c>
    </row>
    <row r="751" spans="1:6">
      <c r="A751" s="5239" t="s">
        <v>1756</v>
      </c>
      <c r="B751" s="5240">
        <v>16</v>
      </c>
      <c r="C751" s="5240">
        <v>64</v>
      </c>
    </row>
    <row r="752" spans="1:6">
      <c r="A752" s="5239" t="s">
        <v>304</v>
      </c>
      <c r="B752" s="5240">
        <f>110+3948+36</f>
        <v>4094</v>
      </c>
      <c r="C752" s="5240">
        <v>49122</v>
      </c>
    </row>
    <row r="753" spans="1:3">
      <c r="A753" s="5239" t="s">
        <v>305</v>
      </c>
      <c r="B753" s="5240">
        <f>396+171</f>
        <v>567</v>
      </c>
      <c r="C753" s="5240">
        <f>7924+6020</f>
        <v>13944</v>
      </c>
    </row>
    <row r="754" spans="1:3">
      <c r="A754" s="5239" t="s">
        <v>306</v>
      </c>
      <c r="B754" s="5240">
        <f>93210+61050+18975</f>
        <v>173235</v>
      </c>
      <c r="C754" s="5240">
        <v>173235</v>
      </c>
    </row>
    <row r="755" spans="1:3">
      <c r="A755" s="5239" t="s">
        <v>1870</v>
      </c>
      <c r="B755" s="5240">
        <v>36</v>
      </c>
      <c r="C755" s="5240">
        <v>420</v>
      </c>
    </row>
    <row r="756" spans="1:3">
      <c r="A756" s="5239" t="s">
        <v>701</v>
      </c>
      <c r="B756" s="5240">
        <v>780</v>
      </c>
      <c r="C756" s="5240">
        <v>8680</v>
      </c>
    </row>
    <row r="757" spans="1:3">
      <c r="A757" s="5239" t="s">
        <v>1794</v>
      </c>
      <c r="B757" s="5240">
        <v>33</v>
      </c>
      <c r="C757" s="5240">
        <v>462</v>
      </c>
    </row>
    <row r="758" spans="1:3">
      <c r="A758" s="5239" t="s">
        <v>1626</v>
      </c>
      <c r="B758" s="5240">
        <v>72</v>
      </c>
      <c r="C758" s="5240">
        <v>642</v>
      </c>
    </row>
    <row r="759" spans="1:3">
      <c r="A759" s="5239" t="s">
        <v>379</v>
      </c>
      <c r="B759" s="5240">
        <v>72</v>
      </c>
      <c r="C759" s="5240">
        <v>562</v>
      </c>
    </row>
    <row r="760" spans="1:3">
      <c r="A760" s="5239" t="s">
        <v>1829</v>
      </c>
      <c r="B760" s="5240">
        <v>24</v>
      </c>
      <c r="C760" s="5240">
        <v>145</v>
      </c>
    </row>
    <row r="761" spans="1:3">
      <c r="A761" s="5280" t="s">
        <v>307</v>
      </c>
      <c r="B761" s="5240">
        <v>10920</v>
      </c>
      <c r="C761" s="5240">
        <v>10920</v>
      </c>
    </row>
    <row r="762" spans="1:3">
      <c r="A762" s="5239" t="s">
        <v>308</v>
      </c>
      <c r="B762" s="5240">
        <f>180+132</f>
        <v>312</v>
      </c>
      <c r="C762" s="5240">
        <v>13421</v>
      </c>
    </row>
    <row r="763" spans="1:3">
      <c r="A763" s="5239" t="s">
        <v>185</v>
      </c>
      <c r="B763" s="5240">
        <v>8664</v>
      </c>
      <c r="C763" s="5240">
        <v>17328</v>
      </c>
    </row>
    <row r="764" spans="1:3">
      <c r="A764" s="5239" t="s">
        <v>1871</v>
      </c>
      <c r="B764" s="5240">
        <v>24</v>
      </c>
      <c r="C764" s="5240">
        <v>179</v>
      </c>
    </row>
    <row r="765" spans="1:3">
      <c r="A765" s="5239" t="s">
        <v>309</v>
      </c>
      <c r="B765" s="5240">
        <v>72</v>
      </c>
      <c r="C765" s="5240">
        <v>848</v>
      </c>
    </row>
    <row r="766" spans="1:3">
      <c r="A766" s="5239" t="s">
        <v>184</v>
      </c>
      <c r="B766" s="5240">
        <v>630</v>
      </c>
      <c r="C766" s="5240">
        <v>1260</v>
      </c>
    </row>
    <row r="767" spans="1:3">
      <c r="A767" s="5239" t="s">
        <v>310</v>
      </c>
      <c r="B767" s="5240">
        <f>87+651</f>
        <v>738</v>
      </c>
      <c r="C767" s="5240">
        <v>4404</v>
      </c>
    </row>
    <row r="768" spans="1:3">
      <c r="A768" s="5239" t="s">
        <v>1831</v>
      </c>
      <c r="B768" s="5240">
        <v>49</v>
      </c>
      <c r="C768" s="5240">
        <v>125</v>
      </c>
    </row>
    <row r="769" spans="1:8">
      <c r="A769" s="5239" t="s">
        <v>1560</v>
      </c>
      <c r="B769" s="5240">
        <v>87</v>
      </c>
      <c r="C769" s="5240">
        <v>1218</v>
      </c>
    </row>
    <row r="770" spans="1:8">
      <c r="A770" s="5243" t="s">
        <v>71</v>
      </c>
      <c r="B770" s="5248">
        <f>SUM(B745:B769)</f>
        <v>205482</v>
      </c>
      <c r="C770" s="5244">
        <f>SUM(C745:C769)</f>
        <v>314955</v>
      </c>
      <c r="D770" s="1322" t="s">
        <v>1872</v>
      </c>
    </row>
    <row r="771" spans="1:8">
      <c r="A771" s="32" t="s">
        <v>311</v>
      </c>
    </row>
    <row r="775" spans="1:8" ht="15.6">
      <c r="A775" s="7493" t="s">
        <v>1885</v>
      </c>
      <c r="B775" s="7469"/>
      <c r="C775" s="7494"/>
      <c r="E775" s="7493" t="s">
        <v>1886</v>
      </c>
      <c r="F775" s="7469"/>
      <c r="G775" s="7469"/>
      <c r="H775" s="7494"/>
    </row>
    <row r="776" spans="1:8">
      <c r="A776" s="7543" t="s">
        <v>300</v>
      </c>
      <c r="B776" s="7544"/>
      <c r="C776" s="7545"/>
      <c r="E776" s="7498" t="s">
        <v>302</v>
      </c>
      <c r="F776" s="5284" t="s">
        <v>303</v>
      </c>
      <c r="G776" s="5285" t="s">
        <v>181</v>
      </c>
      <c r="H776" s="5286"/>
    </row>
    <row r="777" spans="1:8">
      <c r="A777" s="7502" t="s">
        <v>180</v>
      </c>
      <c r="B777" s="7503" t="s">
        <v>1799</v>
      </c>
      <c r="C777" s="7503" t="s">
        <v>1800</v>
      </c>
      <c r="E777" s="7502"/>
      <c r="F777" s="5232"/>
      <c r="G777" s="5232" t="s">
        <v>1556</v>
      </c>
      <c r="H777" s="5232" t="s">
        <v>1557</v>
      </c>
    </row>
    <row r="778" spans="1:8">
      <c r="A778" s="7502"/>
      <c r="B778" s="7504"/>
      <c r="C778" s="7504"/>
      <c r="E778" s="5283"/>
      <c r="F778" s="5283"/>
      <c r="G778" s="5283"/>
      <c r="H778" s="5287"/>
    </row>
    <row r="779" spans="1:8">
      <c r="A779" s="5283"/>
      <c r="B779" s="5283"/>
      <c r="C779" s="5283"/>
      <c r="E779" s="5288" t="s">
        <v>1875</v>
      </c>
      <c r="F779" s="5237" t="s">
        <v>1859</v>
      </c>
      <c r="G779" s="5238">
        <v>1256</v>
      </c>
      <c r="H779" s="5238">
        <v>11361</v>
      </c>
    </row>
    <row r="780" spans="1:8">
      <c r="A780" s="5288" t="s">
        <v>183</v>
      </c>
      <c r="B780" s="5240">
        <f>3+3+1+2</f>
        <v>9</v>
      </c>
      <c r="C780" s="5240">
        <f>74+193+18+30+42</f>
        <v>357</v>
      </c>
      <c r="E780" s="5288" t="s">
        <v>703</v>
      </c>
      <c r="F780" s="5240" t="s">
        <v>1861</v>
      </c>
      <c r="G780" s="5240">
        <v>2658</v>
      </c>
      <c r="H780" s="5240">
        <v>3040</v>
      </c>
    </row>
    <row r="781" spans="1:8">
      <c r="A781" s="5288" t="s">
        <v>182</v>
      </c>
      <c r="B781" s="5240">
        <v>10</v>
      </c>
      <c r="C781" s="5240">
        <v>912</v>
      </c>
      <c r="E781" s="5288" t="s">
        <v>704</v>
      </c>
      <c r="F781" s="5240" t="s">
        <v>1862</v>
      </c>
      <c r="G781" s="5240">
        <v>2052</v>
      </c>
      <c r="H781" s="5240">
        <v>3040</v>
      </c>
    </row>
    <row r="782" spans="1:8">
      <c r="A782" s="5288" t="s">
        <v>1623</v>
      </c>
      <c r="B782" s="5240">
        <v>1</v>
      </c>
      <c r="C782" s="5240">
        <v>18</v>
      </c>
      <c r="E782" s="5288" t="s">
        <v>705</v>
      </c>
      <c r="F782" s="5240" t="s">
        <v>1859</v>
      </c>
      <c r="G782" s="5240">
        <v>866</v>
      </c>
      <c r="H782" s="5240">
        <v>2764</v>
      </c>
    </row>
    <row r="783" spans="1:8">
      <c r="A783" s="5288" t="s">
        <v>1876</v>
      </c>
      <c r="B783" s="5240">
        <v>1</v>
      </c>
      <c r="C783" s="5240">
        <v>478</v>
      </c>
      <c r="E783" s="5283"/>
      <c r="F783" s="5283"/>
      <c r="G783" s="5289"/>
      <c r="H783" s="5287"/>
    </row>
    <row r="784" spans="1:8">
      <c r="A784" s="5288" t="s">
        <v>1877</v>
      </c>
      <c r="B784" s="5237">
        <f>1+1</f>
        <v>2</v>
      </c>
      <c r="C784" s="5238">
        <f>49+64</f>
        <v>113</v>
      </c>
      <c r="E784" s="5243" t="s">
        <v>71</v>
      </c>
      <c r="F784" s="5248">
        <v>10</v>
      </c>
      <c r="G784" s="5244">
        <f>SUM(G779:G783)</f>
        <v>6832</v>
      </c>
      <c r="H784" s="5244">
        <f>SUM(H779:H783)</f>
        <v>20205</v>
      </c>
    </row>
    <row r="785" spans="1:8">
      <c r="A785" s="5288" t="s">
        <v>1878</v>
      </c>
      <c r="B785" s="5240">
        <v>1</v>
      </c>
      <c r="C785" s="5240">
        <v>26</v>
      </c>
      <c r="E785" s="5287"/>
      <c r="F785" s="5287"/>
      <c r="G785" s="5287"/>
      <c r="H785" s="5287"/>
    </row>
    <row r="786" spans="1:8">
      <c r="A786" s="5288" t="s">
        <v>1879</v>
      </c>
      <c r="B786" s="5240">
        <v>1</v>
      </c>
      <c r="C786" s="5240">
        <v>16</v>
      </c>
      <c r="D786" s="5287"/>
      <c r="E786" s="5287"/>
      <c r="F786" s="5287"/>
      <c r="G786" s="5287"/>
    </row>
    <row r="787" spans="1:8">
      <c r="A787" s="5288" t="s">
        <v>1756</v>
      </c>
      <c r="B787" s="5240">
        <v>3</v>
      </c>
      <c r="C787" s="5240">
        <f>29+20+34</f>
        <v>83</v>
      </c>
      <c r="D787" s="5287"/>
      <c r="E787" s="5287"/>
      <c r="F787" s="5287"/>
      <c r="G787" s="5287"/>
    </row>
    <row r="788" spans="1:8">
      <c r="A788" s="5288" t="s">
        <v>1838</v>
      </c>
      <c r="B788" s="5240">
        <v>1</v>
      </c>
      <c r="C788" s="5240">
        <v>21</v>
      </c>
      <c r="D788" s="5287"/>
      <c r="E788" s="5287"/>
      <c r="F788" s="5287"/>
      <c r="G788" s="5287"/>
    </row>
    <row r="789" spans="1:8">
      <c r="A789" s="5288" t="s">
        <v>304</v>
      </c>
      <c r="B789" s="5240">
        <v>13</v>
      </c>
      <c r="C789" s="5240">
        <f>5407+75+580</f>
        <v>6062</v>
      </c>
      <c r="D789" s="5287"/>
      <c r="E789" s="5287"/>
      <c r="F789" s="5287"/>
      <c r="G789" s="5287"/>
    </row>
    <row r="790" spans="1:8">
      <c r="A790" s="5288" t="s">
        <v>1880</v>
      </c>
      <c r="B790" s="5240">
        <v>1</v>
      </c>
      <c r="C790" s="5240">
        <v>219</v>
      </c>
      <c r="D790" s="5287"/>
      <c r="E790" s="5287"/>
      <c r="F790" s="5287"/>
      <c r="G790" s="5287"/>
    </row>
    <row r="791" spans="1:8">
      <c r="A791" s="5288" t="s">
        <v>305</v>
      </c>
      <c r="B791" s="5240">
        <v>7</v>
      </c>
      <c r="C791" s="5240">
        <f>3285+838</f>
        <v>4123</v>
      </c>
      <c r="D791" s="5287"/>
      <c r="E791" s="5287"/>
      <c r="F791" s="5287"/>
      <c r="G791" s="5287"/>
    </row>
    <row r="792" spans="1:8">
      <c r="A792" s="5288" t="s">
        <v>1762</v>
      </c>
      <c r="B792" s="5240">
        <v>1</v>
      </c>
      <c r="C792" s="5240">
        <v>500</v>
      </c>
      <c r="D792" s="5287"/>
      <c r="E792" s="5287"/>
      <c r="F792" s="5287"/>
      <c r="G792" s="5287"/>
    </row>
    <row r="793" spans="1:8">
      <c r="A793" s="5288" t="s">
        <v>1881</v>
      </c>
      <c r="B793" s="5240">
        <v>3</v>
      </c>
      <c r="C793" s="5240">
        <f>56+46+22</f>
        <v>124</v>
      </c>
      <c r="D793" s="5287"/>
      <c r="E793" s="5287"/>
      <c r="F793" s="5287"/>
      <c r="G793" s="5287"/>
    </row>
    <row r="794" spans="1:8">
      <c r="A794" s="5288" t="s">
        <v>185</v>
      </c>
      <c r="B794" s="5240">
        <v>2</v>
      </c>
      <c r="C794" s="5240">
        <v>115</v>
      </c>
      <c r="D794" s="5287"/>
      <c r="E794" s="5287"/>
      <c r="F794" s="5287"/>
      <c r="G794" s="5287"/>
    </row>
    <row r="795" spans="1:8">
      <c r="A795" s="5288" t="s">
        <v>184</v>
      </c>
      <c r="B795" s="5240">
        <v>3</v>
      </c>
      <c r="C795" s="5240">
        <v>168</v>
      </c>
      <c r="D795" s="5287"/>
      <c r="E795" s="5287"/>
      <c r="F795" s="5287"/>
      <c r="G795" s="5287"/>
    </row>
    <row r="796" spans="1:8">
      <c r="A796" s="5288" t="s">
        <v>310</v>
      </c>
      <c r="B796" s="5240">
        <f>1+2+1+1</f>
        <v>5</v>
      </c>
      <c r="C796" s="5240">
        <f>18+30+24+32</f>
        <v>104</v>
      </c>
      <c r="D796" s="5287"/>
      <c r="E796" s="5287"/>
      <c r="F796" s="5287"/>
      <c r="G796" s="5287"/>
    </row>
    <row r="797" spans="1:8">
      <c r="A797" s="5288" t="s">
        <v>1882</v>
      </c>
      <c r="B797" s="5240">
        <v>3</v>
      </c>
      <c r="C797" s="5240">
        <v>834</v>
      </c>
      <c r="D797" s="5287"/>
      <c r="E797" s="5287"/>
      <c r="F797" s="5287"/>
      <c r="G797" s="5287"/>
    </row>
    <row r="798" spans="1:8">
      <c r="A798" s="5288" t="s">
        <v>1831</v>
      </c>
      <c r="B798" s="5240">
        <f>4+2</f>
        <v>6</v>
      </c>
      <c r="C798" s="5240">
        <f>98+80+172</f>
        <v>350</v>
      </c>
      <c r="D798" s="5287"/>
      <c r="E798" s="5287"/>
      <c r="F798" s="5287"/>
      <c r="G798" s="5287"/>
    </row>
    <row r="799" spans="1:8">
      <c r="A799" s="5283"/>
      <c r="B799" s="5283"/>
      <c r="C799" s="5289"/>
      <c r="D799" s="5290"/>
      <c r="E799" s="5287"/>
      <c r="F799" s="5287"/>
      <c r="G799" s="5287"/>
    </row>
    <row r="800" spans="1:8">
      <c r="A800" s="5243" t="s">
        <v>71</v>
      </c>
      <c r="B800" s="5248">
        <f>SUM(B780:B799)</f>
        <v>73</v>
      </c>
      <c r="C800" s="5248">
        <f>SUM(C780:C799)</f>
        <v>14623</v>
      </c>
      <c r="D800" s="5287"/>
      <c r="E800" s="5287"/>
      <c r="F800" s="5287"/>
      <c r="G800" s="5287"/>
    </row>
    <row r="801" spans="1:7">
      <c r="A801" s="3329" t="s">
        <v>311</v>
      </c>
      <c r="B801" s="5287"/>
      <c r="C801" s="5287"/>
      <c r="D801" s="5287"/>
      <c r="E801" s="5287"/>
      <c r="F801" s="5287"/>
      <c r="G801" s="5287"/>
    </row>
    <row r="802" spans="1:7">
      <c r="A802" s="5287"/>
      <c r="B802" s="2027"/>
      <c r="C802" s="2027"/>
      <c r="D802" s="5287"/>
      <c r="E802" s="5287"/>
      <c r="F802" s="5287"/>
      <c r="G802" s="5287"/>
    </row>
    <row r="803" spans="1:7" ht="15.6">
      <c r="A803" s="7493" t="s">
        <v>1885</v>
      </c>
      <c r="B803" s="7469"/>
      <c r="C803" s="7494"/>
    </row>
    <row r="804" spans="1:7">
      <c r="A804" s="7543" t="s">
        <v>301</v>
      </c>
      <c r="B804" s="7544"/>
      <c r="C804" s="7545"/>
    </row>
    <row r="805" spans="1:7">
      <c r="A805" s="7502" t="s">
        <v>302</v>
      </c>
      <c r="B805" s="7503" t="s">
        <v>1817</v>
      </c>
      <c r="C805" s="7503" t="s">
        <v>179</v>
      </c>
    </row>
    <row r="806" spans="1:7">
      <c r="A806" s="7502"/>
      <c r="B806" s="7504"/>
      <c r="C806" s="7504"/>
    </row>
    <row r="807" spans="1:7">
      <c r="A807" s="5283"/>
      <c r="B807" s="5283"/>
      <c r="C807" s="5283"/>
    </row>
    <row r="808" spans="1:7">
      <c r="A808" s="5288" t="s">
        <v>183</v>
      </c>
      <c r="B808" s="5240">
        <f>500+49+63+20</f>
        <v>632</v>
      </c>
      <c r="C808" s="5240">
        <f>1000+98+126+40</f>
        <v>1264</v>
      </c>
    </row>
    <row r="809" spans="1:7">
      <c r="A809" s="5288" t="s">
        <v>1860</v>
      </c>
      <c r="B809" s="5240">
        <v>11</v>
      </c>
      <c r="C809" s="5240">
        <v>111</v>
      </c>
    </row>
    <row r="810" spans="1:7">
      <c r="A810" s="5288" t="s">
        <v>1768</v>
      </c>
      <c r="B810" s="5240">
        <f>250+432</f>
        <v>682</v>
      </c>
      <c r="C810" s="5240">
        <f>750+2592</f>
        <v>3342</v>
      </c>
    </row>
    <row r="811" spans="1:7">
      <c r="A811" s="5288" t="s">
        <v>1756</v>
      </c>
      <c r="B811" s="5240">
        <f>4+19</f>
        <v>23</v>
      </c>
      <c r="C811" s="5240">
        <v>92</v>
      </c>
    </row>
    <row r="812" spans="1:7">
      <c r="A812" s="5288" t="s">
        <v>1883</v>
      </c>
      <c r="B812" s="5240">
        <v>6187</v>
      </c>
      <c r="C812" s="5240">
        <v>6187</v>
      </c>
    </row>
    <row r="813" spans="1:7">
      <c r="A813" s="5288" t="s">
        <v>304</v>
      </c>
      <c r="B813" s="5240">
        <f>1915+500+5+23</f>
        <v>2443</v>
      </c>
      <c r="C813" s="5240">
        <v>27448</v>
      </c>
    </row>
    <row r="814" spans="1:7">
      <c r="A814" s="5288" t="s">
        <v>305</v>
      </c>
      <c r="B814" s="5240">
        <f>209+500+20+154+33+167+17</f>
        <v>1100</v>
      </c>
      <c r="C814" s="5240">
        <v>19363</v>
      </c>
    </row>
    <row r="815" spans="1:7">
      <c r="A815" s="5288" t="s">
        <v>306</v>
      </c>
      <c r="B815" s="5240">
        <f>19672+105600</f>
        <v>125272</v>
      </c>
      <c r="C815" s="5240">
        <f>19672+105600</f>
        <v>125272</v>
      </c>
    </row>
    <row r="816" spans="1:7">
      <c r="A816" s="5288" t="s">
        <v>1870</v>
      </c>
      <c r="B816" s="5240">
        <v>90</v>
      </c>
      <c r="C816" s="5240">
        <v>90</v>
      </c>
    </row>
    <row r="817" spans="1:3">
      <c r="A817" s="5288" t="s">
        <v>701</v>
      </c>
      <c r="B817" s="5240">
        <v>3000</v>
      </c>
      <c r="C817" s="5240">
        <v>9000</v>
      </c>
    </row>
    <row r="818" spans="1:3">
      <c r="A818" s="5288" t="s">
        <v>1626</v>
      </c>
      <c r="B818" s="5240">
        <v>360</v>
      </c>
      <c r="C818" s="5240">
        <v>360</v>
      </c>
    </row>
    <row r="819" spans="1:3">
      <c r="A819" s="5288" t="s">
        <v>307</v>
      </c>
      <c r="B819" s="5240">
        <v>11000</v>
      </c>
      <c r="C819" s="5240">
        <v>11000</v>
      </c>
    </row>
    <row r="820" spans="1:3">
      <c r="A820" s="5288" t="s">
        <v>488</v>
      </c>
      <c r="B820" s="5237">
        <v>154</v>
      </c>
      <c r="C820" s="5238">
        <v>154</v>
      </c>
    </row>
    <row r="821" spans="1:3">
      <c r="A821" s="5288" t="s">
        <v>308</v>
      </c>
      <c r="B821" s="5240">
        <v>1357</v>
      </c>
      <c r="C821" s="5240">
        <v>1357</v>
      </c>
    </row>
    <row r="822" spans="1:3">
      <c r="A822" s="5288" t="s">
        <v>185</v>
      </c>
      <c r="B822" s="5240">
        <v>8815</v>
      </c>
      <c r="C822" s="5240">
        <v>17630</v>
      </c>
    </row>
    <row r="823" spans="1:3">
      <c r="A823" s="5288" t="s">
        <v>309</v>
      </c>
      <c r="B823" s="5240">
        <v>186</v>
      </c>
      <c r="C823" s="5240">
        <v>186</v>
      </c>
    </row>
    <row r="824" spans="1:3">
      <c r="A824" s="5288" t="s">
        <v>184</v>
      </c>
      <c r="B824" s="5240">
        <v>603</v>
      </c>
      <c r="C824" s="5240">
        <v>1206</v>
      </c>
    </row>
    <row r="825" spans="1:3">
      <c r="A825" s="5288" t="s">
        <v>310</v>
      </c>
      <c r="B825" s="5240">
        <v>2687</v>
      </c>
      <c r="C825" s="5240">
        <f>150+4000+508+550+166</f>
        <v>5374</v>
      </c>
    </row>
    <row r="826" spans="1:3">
      <c r="A826" s="5288" t="s">
        <v>1884</v>
      </c>
      <c r="B826" s="5240">
        <v>250</v>
      </c>
      <c r="C826" s="5240">
        <v>3250</v>
      </c>
    </row>
    <row r="827" spans="1:3">
      <c r="A827" s="5288" t="s">
        <v>1831</v>
      </c>
      <c r="B827" s="5240">
        <v>63</v>
      </c>
      <c r="C827" s="5240">
        <v>252</v>
      </c>
    </row>
    <row r="828" spans="1:3">
      <c r="A828" s="5288" t="s">
        <v>1560</v>
      </c>
      <c r="B828" s="5240">
        <v>118</v>
      </c>
      <c r="C828" s="5240">
        <v>118</v>
      </c>
    </row>
    <row r="829" spans="1:3">
      <c r="A829" s="5283"/>
      <c r="B829" s="5283"/>
      <c r="C829" s="5289"/>
    </row>
    <row r="830" spans="1:3">
      <c r="A830" s="5243" t="s">
        <v>71</v>
      </c>
      <c r="B830" s="5248">
        <f>SUM(B808:B829)</f>
        <v>165033</v>
      </c>
      <c r="C830" s="5244">
        <f>SUM(C808:C829)</f>
        <v>233056</v>
      </c>
    </row>
    <row r="831" spans="1:3">
      <c r="A831" s="3329" t="s">
        <v>311</v>
      </c>
    </row>
  </sheetData>
  <mergeCells count="240">
    <mergeCell ref="A3:C3"/>
    <mergeCell ref="E3:G3"/>
    <mergeCell ref="I3:L3"/>
    <mergeCell ref="A4:C4"/>
    <mergeCell ref="E4:G4"/>
    <mergeCell ref="A5:A6"/>
    <mergeCell ref="B5:B6"/>
    <mergeCell ref="C5:C6"/>
    <mergeCell ref="E5:E6"/>
    <mergeCell ref="F5:F6"/>
    <mergeCell ref="G5:G6"/>
    <mergeCell ref="K5:L5"/>
    <mergeCell ref="A212:C212"/>
    <mergeCell ref="A213:C213"/>
    <mergeCell ref="A214:A215"/>
    <mergeCell ref="B214:B215"/>
    <mergeCell ref="C214:C215"/>
    <mergeCell ref="A185:C185"/>
    <mergeCell ref="E185:H185"/>
    <mergeCell ref="A186:C186"/>
    <mergeCell ref="E186:E187"/>
    <mergeCell ref="F186:F187"/>
    <mergeCell ref="G186:H186"/>
    <mergeCell ref="A187:A188"/>
    <mergeCell ref="B187:B188"/>
    <mergeCell ref="C187:C188"/>
    <mergeCell ref="A269:C269"/>
    <mergeCell ref="A270:C270"/>
    <mergeCell ref="A271:A272"/>
    <mergeCell ref="B271:B272"/>
    <mergeCell ref="C271:C272"/>
    <mergeCell ref="E264:E265"/>
    <mergeCell ref="A242:C242"/>
    <mergeCell ref="E242:H242"/>
    <mergeCell ref="A243:C243"/>
    <mergeCell ref="E243:E244"/>
    <mergeCell ref="F243:F244"/>
    <mergeCell ref="G243:H243"/>
    <mergeCell ref="A244:A245"/>
    <mergeCell ref="B244:B245"/>
    <mergeCell ref="C244:C245"/>
    <mergeCell ref="A331:A332"/>
    <mergeCell ref="B331:B332"/>
    <mergeCell ref="C331:C332"/>
    <mergeCell ref="E301:H301"/>
    <mergeCell ref="E302:E303"/>
    <mergeCell ref="F302:F303"/>
    <mergeCell ref="G302:H302"/>
    <mergeCell ref="E324:E325"/>
    <mergeCell ref="F324:F325"/>
    <mergeCell ref="H305:H306"/>
    <mergeCell ref="A301:C301"/>
    <mergeCell ref="A302:C302"/>
    <mergeCell ref="A303:A304"/>
    <mergeCell ref="B303:B304"/>
    <mergeCell ref="C303:C304"/>
    <mergeCell ref="A329:C329"/>
    <mergeCell ref="A330:C330"/>
    <mergeCell ref="A803:C803"/>
    <mergeCell ref="A804:C804"/>
    <mergeCell ref="A805:A806"/>
    <mergeCell ref="B805:B806"/>
    <mergeCell ref="C805:C806"/>
    <mergeCell ref="A776:C776"/>
    <mergeCell ref="E776:E777"/>
    <mergeCell ref="A777:A778"/>
    <mergeCell ref="B777:B778"/>
    <mergeCell ref="C777:C778"/>
    <mergeCell ref="E775:H775"/>
    <mergeCell ref="A741:C741"/>
    <mergeCell ref="A742:A743"/>
    <mergeCell ref="B742:B743"/>
    <mergeCell ref="C742:C743"/>
    <mergeCell ref="A775:C775"/>
    <mergeCell ref="E712:E713"/>
    <mergeCell ref="F712:F713"/>
    <mergeCell ref="G712:G713"/>
    <mergeCell ref="H712:H713"/>
    <mergeCell ref="A740:C740"/>
    <mergeCell ref="A707:C707"/>
    <mergeCell ref="E707:H707"/>
    <mergeCell ref="A708:C708"/>
    <mergeCell ref="E708:E709"/>
    <mergeCell ref="F708:F709"/>
    <mergeCell ref="G708:H708"/>
    <mergeCell ref="A709:A710"/>
    <mergeCell ref="B709:B710"/>
    <mergeCell ref="C709:C710"/>
    <mergeCell ref="A667:C667"/>
    <mergeCell ref="A669:C669"/>
    <mergeCell ref="A670:C670"/>
    <mergeCell ref="A702:C702"/>
    <mergeCell ref="A703:C703"/>
    <mergeCell ref="E659:E660"/>
    <mergeCell ref="G659:G660"/>
    <mergeCell ref="H659:H660"/>
    <mergeCell ref="E661:E663"/>
    <mergeCell ref="G661:G663"/>
    <mergeCell ref="H661:H663"/>
    <mergeCell ref="F649:F650"/>
    <mergeCell ref="G649:G658"/>
    <mergeCell ref="H649:H658"/>
    <mergeCell ref="E650:E658"/>
    <mergeCell ref="F651:F658"/>
    <mergeCell ref="A636:C636"/>
    <mergeCell ref="E636:E637"/>
    <mergeCell ref="F636:F637"/>
    <mergeCell ref="G636:H636"/>
    <mergeCell ref="F638:F639"/>
    <mergeCell ref="G638:G648"/>
    <mergeCell ref="H638:H648"/>
    <mergeCell ref="E639:E642"/>
    <mergeCell ref="F640:F648"/>
    <mergeCell ref="E643:E648"/>
    <mergeCell ref="E588:E589"/>
    <mergeCell ref="A591:C591"/>
    <mergeCell ref="A593:C593"/>
    <mergeCell ref="A594:C594"/>
    <mergeCell ref="A635:C635"/>
    <mergeCell ref="E635:H635"/>
    <mergeCell ref="E577:E578"/>
    <mergeCell ref="G577:G578"/>
    <mergeCell ref="H577:H578"/>
    <mergeCell ref="E579:E581"/>
    <mergeCell ref="G579:G581"/>
    <mergeCell ref="H579:H581"/>
    <mergeCell ref="A564:C564"/>
    <mergeCell ref="E564:E565"/>
    <mergeCell ref="F564:F565"/>
    <mergeCell ref="G564:H564"/>
    <mergeCell ref="F566:F567"/>
    <mergeCell ref="G566:G576"/>
    <mergeCell ref="H566:H576"/>
    <mergeCell ref="E567:E570"/>
    <mergeCell ref="F568:F576"/>
    <mergeCell ref="E571:E576"/>
    <mergeCell ref="A528:A529"/>
    <mergeCell ref="B528:B529"/>
    <mergeCell ref="C528:C529"/>
    <mergeCell ref="A563:C563"/>
    <mergeCell ref="E563:H563"/>
    <mergeCell ref="H520:H522"/>
    <mergeCell ref="A524:C524"/>
    <mergeCell ref="A526:C526"/>
    <mergeCell ref="E526:E527"/>
    <mergeCell ref="A527:C527"/>
    <mergeCell ref="E514:E515"/>
    <mergeCell ref="E517:E518"/>
    <mergeCell ref="E520:E522"/>
    <mergeCell ref="F520:F522"/>
    <mergeCell ref="G520:G522"/>
    <mergeCell ref="F505:F508"/>
    <mergeCell ref="G505:G508"/>
    <mergeCell ref="H505:H508"/>
    <mergeCell ref="E506:E508"/>
    <mergeCell ref="F509:F513"/>
    <mergeCell ref="G509:G513"/>
    <mergeCell ref="H509:H513"/>
    <mergeCell ref="E510:E513"/>
    <mergeCell ref="A501:C501"/>
    <mergeCell ref="E501:H501"/>
    <mergeCell ref="A502:C502"/>
    <mergeCell ref="E502:E503"/>
    <mergeCell ref="F502:F503"/>
    <mergeCell ref="G502:H502"/>
    <mergeCell ref="A503:A504"/>
    <mergeCell ref="B503:B504"/>
    <mergeCell ref="C503:C504"/>
    <mergeCell ref="E458:E459"/>
    <mergeCell ref="A464:C464"/>
    <mergeCell ref="A465:C465"/>
    <mergeCell ref="A466:A467"/>
    <mergeCell ref="B466:B467"/>
    <mergeCell ref="C466:C467"/>
    <mergeCell ref="E440:E441"/>
    <mergeCell ref="E443:E445"/>
    <mergeCell ref="F443:F445"/>
    <mergeCell ref="G443:G445"/>
    <mergeCell ref="H443:H445"/>
    <mergeCell ref="A434:C434"/>
    <mergeCell ref="E434:H434"/>
    <mergeCell ref="A435:C435"/>
    <mergeCell ref="E435:E436"/>
    <mergeCell ref="F435:F436"/>
    <mergeCell ref="G435:H435"/>
    <mergeCell ref="A436:A437"/>
    <mergeCell ref="B436:B437"/>
    <mergeCell ref="C436:C437"/>
    <mergeCell ref="E437:E438"/>
    <mergeCell ref="E384:E385"/>
    <mergeCell ref="A390:C390"/>
    <mergeCell ref="A391:C391"/>
    <mergeCell ref="A392:A393"/>
    <mergeCell ref="B392:B393"/>
    <mergeCell ref="C392:C393"/>
    <mergeCell ref="A362:C362"/>
    <mergeCell ref="E362:H362"/>
    <mergeCell ref="A363:C363"/>
    <mergeCell ref="E363:E364"/>
    <mergeCell ref="F363:F364"/>
    <mergeCell ref="G363:H363"/>
    <mergeCell ref="A364:A365"/>
    <mergeCell ref="B364:B365"/>
    <mergeCell ref="C364:C365"/>
    <mergeCell ref="F384:F385"/>
    <mergeCell ref="A153:C153"/>
    <mergeCell ref="A154:C154"/>
    <mergeCell ref="A155:A156"/>
    <mergeCell ref="B155:B156"/>
    <mergeCell ref="C155:C156"/>
    <mergeCell ref="A123:C123"/>
    <mergeCell ref="E123:H123"/>
    <mergeCell ref="A124:C124"/>
    <mergeCell ref="E124:E125"/>
    <mergeCell ref="F124:F125"/>
    <mergeCell ref="G124:H124"/>
    <mergeCell ref="A125:A126"/>
    <mergeCell ref="B125:B126"/>
    <mergeCell ref="C125:C126"/>
    <mergeCell ref="A95:E95"/>
    <mergeCell ref="A87:C87"/>
    <mergeCell ref="E87:H87"/>
    <mergeCell ref="A88:C88"/>
    <mergeCell ref="G88:H88"/>
    <mergeCell ref="E88:E89"/>
    <mergeCell ref="F88:F89"/>
    <mergeCell ref="G37:G38"/>
    <mergeCell ref="A36:C36"/>
    <mergeCell ref="A37:C37"/>
    <mergeCell ref="A38:A39"/>
    <mergeCell ref="B38:B39"/>
    <mergeCell ref="C38:C39"/>
    <mergeCell ref="A62:C62"/>
    <mergeCell ref="A63:C63"/>
    <mergeCell ref="A64:A65"/>
    <mergeCell ref="B64:B65"/>
    <mergeCell ref="C64:C65"/>
    <mergeCell ref="E36:G36"/>
    <mergeCell ref="E37:E38"/>
    <mergeCell ref="F37:F38"/>
  </mergeCells>
  <printOptions horizontalCentered="1" verticalCentered="1"/>
  <pageMargins left="0.70866141732283472" right="0.70866141732283472" top="0.74803149606299213" bottom="0.74803149606299213" header="0.31496062992125984" footer="0.31496062992125984"/>
  <pageSetup scale="43" firstPageNumber="61" fitToHeight="2" orientation="landscape" useFirstPageNumber="1" r:id="rId1"/>
  <headerFooter scaleWithDoc="0" alignWithMargins="0">
    <oddFooter>&amp;R&amp;P</oddFooter>
  </headerFooter>
  <rowBreaks count="3" manualBreakCount="3">
    <brk id="34" max="11" man="1"/>
    <brk id="85" max="11" man="1"/>
    <brk id="120" max="7"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K293"/>
  <sheetViews>
    <sheetView showGridLines="0" zoomScaleNormal="100" workbookViewId="0"/>
  </sheetViews>
  <sheetFormatPr baseColWidth="10" defaultColWidth="11.44140625" defaultRowHeight="18" customHeight="1"/>
  <cols>
    <col min="1" max="1" width="5.6640625" style="122" customWidth="1"/>
    <col min="2" max="2" width="62.44140625" style="122" bestFit="1" customWidth="1"/>
    <col min="3" max="3" width="9.6640625" style="122" customWidth="1"/>
    <col min="4" max="4" width="13.44140625" style="122" bestFit="1" customWidth="1"/>
    <col min="5" max="5" width="9.6640625" style="122" customWidth="1"/>
    <col min="6" max="6" width="5.6640625" style="122" customWidth="1"/>
    <col min="7" max="7" width="62.44140625" style="122" bestFit="1" customWidth="1"/>
    <col min="8" max="8" width="9.6640625" style="122" customWidth="1"/>
    <col min="9" max="9" width="13.44140625" style="122" bestFit="1" customWidth="1"/>
    <col min="10" max="10" width="9.6640625" style="122" customWidth="1"/>
    <col min="11" max="11" width="11.44140625" style="122" customWidth="1"/>
    <col min="12" max="16384" width="11.44140625" style="122"/>
  </cols>
  <sheetData>
    <row r="1" spans="2:11" ht="36" customHeight="1">
      <c r="C1" s="56"/>
      <c r="D1" s="56"/>
      <c r="E1" s="56"/>
      <c r="G1" s="6946" t="s">
        <v>2512</v>
      </c>
      <c r="H1" s="6946"/>
      <c r="I1" s="6946"/>
      <c r="J1" s="6946"/>
    </row>
    <row r="2" spans="2:11" ht="18" customHeight="1">
      <c r="B2" s="213"/>
      <c r="G2" s="7606" t="s">
        <v>589</v>
      </c>
      <c r="H2" s="7606"/>
      <c r="I2" s="7606"/>
      <c r="J2" s="7606"/>
    </row>
    <row r="3" spans="2:11" ht="14.4">
      <c r="C3" s="3328"/>
      <c r="D3" s="3328"/>
      <c r="E3" s="3328"/>
      <c r="F3" s="156"/>
      <c r="G3" s="7606"/>
      <c r="H3" s="7606"/>
      <c r="I3" s="7606"/>
      <c r="J3" s="7606"/>
      <c r="K3" s="153"/>
    </row>
    <row r="4" spans="2:11" ht="14.4">
      <c r="C4" s="3328"/>
      <c r="D4" s="3328"/>
      <c r="E4" s="3328"/>
      <c r="F4" s="156"/>
      <c r="G4" s="6537"/>
      <c r="H4" s="6537"/>
      <c r="I4" s="6537"/>
      <c r="J4" s="6537"/>
      <c r="K4" s="153"/>
    </row>
    <row r="5" spans="2:11" ht="15.6">
      <c r="B5" s="6481" t="s">
        <v>3325</v>
      </c>
      <c r="C5" s="6481"/>
      <c r="D5" s="6481"/>
      <c r="E5" s="6481"/>
      <c r="F5" s="153"/>
      <c r="G5" s="7607" t="s">
        <v>3326</v>
      </c>
      <c r="H5" s="7607"/>
      <c r="I5" s="7607"/>
      <c r="J5" s="7607"/>
      <c r="K5" s="153"/>
    </row>
    <row r="6" spans="2:11" ht="29.4" thickBot="1">
      <c r="B6" s="6477" t="s">
        <v>88</v>
      </c>
      <c r="C6" s="6477" t="s">
        <v>89</v>
      </c>
      <c r="D6" s="2097" t="s">
        <v>554</v>
      </c>
      <c r="E6" s="6477" t="s">
        <v>90</v>
      </c>
      <c r="F6" s="153"/>
      <c r="G6" s="6477" t="s">
        <v>88</v>
      </c>
      <c r="H6" s="6477" t="s">
        <v>89</v>
      </c>
      <c r="I6" s="2097" t="s">
        <v>554</v>
      </c>
      <c r="J6" s="6477" t="s">
        <v>90</v>
      </c>
      <c r="K6" s="153"/>
    </row>
    <row r="7" spans="2:11" ht="14.4">
      <c r="B7" s="3507" t="s">
        <v>151</v>
      </c>
      <c r="C7" s="3508">
        <v>1</v>
      </c>
      <c r="D7" s="3508">
        <v>2</v>
      </c>
      <c r="E7" s="3503">
        <v>116</v>
      </c>
      <c r="F7" s="153"/>
      <c r="G7" s="3507" t="s">
        <v>151</v>
      </c>
      <c r="H7" s="3508">
        <v>1</v>
      </c>
      <c r="I7" s="3508">
        <v>2</v>
      </c>
      <c r="J7" s="3503">
        <v>108</v>
      </c>
      <c r="K7" s="153"/>
    </row>
    <row r="8" spans="2:11" ht="14.4">
      <c r="B8" s="3509" t="s">
        <v>1688</v>
      </c>
      <c r="C8" s="3505">
        <v>2</v>
      </c>
      <c r="D8" s="3489">
        <v>13</v>
      </c>
      <c r="E8" s="3489">
        <v>576</v>
      </c>
      <c r="F8" s="153"/>
      <c r="G8" s="3509" t="s">
        <v>1688</v>
      </c>
      <c r="H8" s="3505">
        <v>2</v>
      </c>
      <c r="I8" s="3489">
        <v>12</v>
      </c>
      <c r="J8" s="3489">
        <v>583</v>
      </c>
      <c r="K8" s="153"/>
    </row>
    <row r="9" spans="2:11" ht="14.4">
      <c r="B9" s="3509" t="s">
        <v>96</v>
      </c>
      <c r="C9" s="3505">
        <v>3</v>
      </c>
      <c r="D9" s="3505">
        <v>23</v>
      </c>
      <c r="E9" s="3489">
        <v>782</v>
      </c>
      <c r="F9" s="153"/>
      <c r="G9" s="3509" t="s">
        <v>96</v>
      </c>
      <c r="H9" s="3505">
        <v>3</v>
      </c>
      <c r="I9" s="3505">
        <v>22</v>
      </c>
      <c r="J9" s="3489">
        <v>783</v>
      </c>
      <c r="K9" s="153"/>
    </row>
    <row r="10" spans="2:11" ht="14.4">
      <c r="B10" s="3509" t="s">
        <v>1687</v>
      </c>
      <c r="C10" s="3505">
        <v>4</v>
      </c>
      <c r="D10" s="3505">
        <v>25</v>
      </c>
      <c r="E10" s="3489">
        <v>800</v>
      </c>
      <c r="F10" s="153"/>
      <c r="G10" s="3509" t="s">
        <v>1687</v>
      </c>
      <c r="H10" s="3505">
        <v>4</v>
      </c>
      <c r="I10" s="3505">
        <v>23</v>
      </c>
      <c r="J10" s="3489">
        <v>827</v>
      </c>
      <c r="K10" s="153"/>
    </row>
    <row r="11" spans="2:11" ht="14.4">
      <c r="B11" s="3510" t="s">
        <v>153</v>
      </c>
      <c r="C11" s="3505">
        <v>5</v>
      </c>
      <c r="D11" s="3505">
        <v>28</v>
      </c>
      <c r="E11" s="3511">
        <v>689</v>
      </c>
      <c r="F11" s="153"/>
      <c r="G11" s="3510" t="s">
        <v>153</v>
      </c>
      <c r="H11" s="3505">
        <v>5</v>
      </c>
      <c r="I11" s="3505">
        <v>28</v>
      </c>
      <c r="J11" s="3511">
        <v>892</v>
      </c>
      <c r="K11" s="153"/>
    </row>
    <row r="12" spans="2:11" ht="14.4">
      <c r="B12" s="3510" t="s">
        <v>555</v>
      </c>
      <c r="C12" s="3505">
        <v>6</v>
      </c>
      <c r="D12" s="3504">
        <v>37</v>
      </c>
      <c r="E12" s="3489">
        <v>1096</v>
      </c>
      <c r="F12" s="153"/>
      <c r="G12" s="1873" t="s">
        <v>95</v>
      </c>
      <c r="H12" s="1872">
        <v>6</v>
      </c>
      <c r="I12" s="1872">
        <v>32</v>
      </c>
      <c r="J12" s="1872">
        <v>1017</v>
      </c>
      <c r="K12" s="153"/>
    </row>
    <row r="13" spans="2:11" ht="14.4">
      <c r="B13" s="3510" t="s">
        <v>156</v>
      </c>
      <c r="C13" s="3504">
        <v>7</v>
      </c>
      <c r="D13" s="3504">
        <v>47</v>
      </c>
      <c r="E13" s="3489">
        <v>1253</v>
      </c>
      <c r="F13" s="153"/>
      <c r="G13" s="3510" t="s">
        <v>555</v>
      </c>
      <c r="H13" s="3504">
        <v>7</v>
      </c>
      <c r="I13" s="3504">
        <v>41</v>
      </c>
      <c r="J13" s="3489">
        <v>1177</v>
      </c>
      <c r="K13" s="153"/>
    </row>
    <row r="14" spans="2:11" ht="14.4">
      <c r="B14" s="3510" t="s">
        <v>325</v>
      </c>
      <c r="C14" s="3505">
        <v>8</v>
      </c>
      <c r="D14" s="1870">
        <v>63</v>
      </c>
      <c r="E14" s="3489">
        <v>1508</v>
      </c>
      <c r="F14" s="153"/>
      <c r="G14" s="3510" t="s">
        <v>156</v>
      </c>
      <c r="H14" s="3505">
        <v>8</v>
      </c>
      <c r="I14" s="1870">
        <v>44</v>
      </c>
      <c r="J14" s="3489">
        <v>1241</v>
      </c>
      <c r="K14" s="153"/>
    </row>
    <row r="15" spans="2:11" ht="14.4">
      <c r="B15" s="3509" t="s">
        <v>3052</v>
      </c>
      <c r="C15" s="3505">
        <v>9</v>
      </c>
      <c r="D15" s="3504">
        <v>66</v>
      </c>
      <c r="E15" s="3489">
        <v>1550</v>
      </c>
      <c r="F15" s="153"/>
      <c r="G15" s="3509" t="s">
        <v>2662</v>
      </c>
      <c r="H15" s="3505">
        <v>9</v>
      </c>
      <c r="I15" s="3504">
        <v>50</v>
      </c>
      <c r="J15" s="3489">
        <v>1340</v>
      </c>
      <c r="K15" s="153"/>
    </row>
    <row r="16" spans="2:11" ht="14.4">
      <c r="B16" s="3510" t="s">
        <v>634</v>
      </c>
      <c r="C16" s="3505">
        <v>10</v>
      </c>
      <c r="D16" s="3504">
        <v>68</v>
      </c>
      <c r="E16" s="3489">
        <v>1576</v>
      </c>
      <c r="F16" s="153"/>
      <c r="G16" s="3510" t="s">
        <v>324</v>
      </c>
      <c r="H16" s="3505">
        <v>10</v>
      </c>
      <c r="I16" s="3504">
        <v>65</v>
      </c>
      <c r="J16" s="3489">
        <v>1619</v>
      </c>
      <c r="K16" s="153"/>
    </row>
    <row r="17" spans="2:11" ht="14.4">
      <c r="B17" s="3510" t="s">
        <v>324</v>
      </c>
      <c r="C17" s="3504">
        <v>11</v>
      </c>
      <c r="D17" s="3504">
        <v>71</v>
      </c>
      <c r="E17" s="3489">
        <v>1592</v>
      </c>
      <c r="F17" s="153"/>
      <c r="G17" s="3510" t="s">
        <v>325</v>
      </c>
      <c r="H17" s="3504">
        <v>11</v>
      </c>
      <c r="I17" s="3504">
        <v>69</v>
      </c>
      <c r="J17" s="3489">
        <v>1703</v>
      </c>
      <c r="K17" s="153"/>
    </row>
    <row r="18" spans="2:11" ht="14.4">
      <c r="B18" s="3510" t="s">
        <v>2662</v>
      </c>
      <c r="C18" s="3504">
        <v>12</v>
      </c>
      <c r="D18" s="3504">
        <v>77</v>
      </c>
      <c r="E18" s="3489">
        <v>1711</v>
      </c>
      <c r="F18" s="153"/>
      <c r="G18" s="3510" t="s">
        <v>634</v>
      </c>
      <c r="H18" s="3504">
        <v>12</v>
      </c>
      <c r="I18" s="3504">
        <v>72</v>
      </c>
      <c r="J18" s="3489">
        <v>1751</v>
      </c>
      <c r="K18" s="153"/>
    </row>
    <row r="19" spans="2:11" ht="14.4">
      <c r="B19" s="3510" t="s">
        <v>472</v>
      </c>
      <c r="C19" s="3505">
        <v>13</v>
      </c>
      <c r="D19" s="1870">
        <v>78</v>
      </c>
      <c r="E19" s="3489">
        <v>1721</v>
      </c>
      <c r="F19" s="153"/>
      <c r="G19" s="3510" t="s">
        <v>641</v>
      </c>
      <c r="H19" s="3505">
        <v>13</v>
      </c>
      <c r="I19" s="1870">
        <v>98</v>
      </c>
      <c r="J19" s="3489">
        <v>2087</v>
      </c>
      <c r="K19" s="153"/>
    </row>
    <row r="20" spans="2:11" ht="14.4">
      <c r="B20" s="1873" t="s">
        <v>95</v>
      </c>
      <c r="C20" s="1872">
        <v>14</v>
      </c>
      <c r="D20" s="1872">
        <v>86</v>
      </c>
      <c r="E20" s="1872">
        <v>1776</v>
      </c>
      <c r="F20" s="153"/>
      <c r="G20" s="3510" t="s">
        <v>3329</v>
      </c>
      <c r="H20" s="3504">
        <v>14</v>
      </c>
      <c r="I20" s="3504">
        <v>101</v>
      </c>
      <c r="J20" s="3489">
        <v>2118</v>
      </c>
      <c r="K20" s="153"/>
    </row>
    <row r="21" spans="2:11" ht="14.4">
      <c r="B21" s="3510" t="s">
        <v>3329</v>
      </c>
      <c r="C21" s="3505">
        <v>15</v>
      </c>
      <c r="D21" s="1870">
        <v>99</v>
      </c>
      <c r="E21" s="3489">
        <v>1957</v>
      </c>
      <c r="F21" s="153"/>
      <c r="G21" s="3510" t="s">
        <v>3341</v>
      </c>
      <c r="H21" s="3504">
        <v>15</v>
      </c>
      <c r="I21" s="3504">
        <v>104</v>
      </c>
      <c r="J21" s="3489">
        <v>2153</v>
      </c>
      <c r="K21" s="153"/>
    </row>
    <row r="22" spans="2:11" ht="14.4">
      <c r="B22" s="3513" t="s">
        <v>641</v>
      </c>
      <c r="C22" s="3514">
        <v>16</v>
      </c>
      <c r="D22" s="3506">
        <v>106</v>
      </c>
      <c r="E22" s="3491">
        <v>2014</v>
      </c>
      <c r="F22" s="153"/>
      <c r="G22" s="3513"/>
      <c r="H22" s="3514"/>
      <c r="I22" s="3506"/>
      <c r="J22" s="3491"/>
      <c r="K22" s="153"/>
    </row>
    <row r="23" spans="2:11" ht="14.4">
      <c r="C23" s="3328"/>
      <c r="D23" s="3328"/>
      <c r="E23" s="3328"/>
      <c r="F23" s="156"/>
      <c r="G23" s="6537"/>
      <c r="H23" s="6537"/>
      <c r="I23" s="6537"/>
      <c r="J23" s="6537"/>
      <c r="K23" s="153"/>
    </row>
    <row r="24" spans="2:11" ht="14.4">
      <c r="C24" s="3328"/>
      <c r="D24" s="3328"/>
      <c r="E24" s="3328"/>
      <c r="F24" s="156"/>
      <c r="G24" s="6537"/>
      <c r="H24" s="6537"/>
      <c r="I24" s="6537"/>
      <c r="J24" s="6537"/>
      <c r="K24" s="153"/>
    </row>
    <row r="25" spans="2:11" ht="15.6">
      <c r="B25" s="6213" t="s">
        <v>3049</v>
      </c>
      <c r="C25" s="6213"/>
      <c r="D25" s="6213"/>
      <c r="E25" s="6213"/>
      <c r="F25" s="153"/>
      <c r="G25" s="7607" t="s">
        <v>3050</v>
      </c>
      <c r="H25" s="7607"/>
      <c r="I25" s="7607"/>
      <c r="J25" s="7607"/>
    </row>
    <row r="26" spans="2:11" ht="29.4" thickBot="1">
      <c r="B26" s="6210" t="s">
        <v>88</v>
      </c>
      <c r="C26" s="6210" t="s">
        <v>89</v>
      </c>
      <c r="D26" s="2097" t="s">
        <v>554</v>
      </c>
      <c r="E26" s="6210" t="s">
        <v>90</v>
      </c>
      <c r="F26" s="153"/>
      <c r="G26" s="5875" t="s">
        <v>88</v>
      </c>
      <c r="H26" s="5875" t="s">
        <v>89</v>
      </c>
      <c r="I26" s="2097" t="s">
        <v>554</v>
      </c>
      <c r="J26" s="5875" t="s">
        <v>90</v>
      </c>
    </row>
    <row r="27" spans="2:11" ht="18" customHeight="1">
      <c r="B27" s="3507" t="s">
        <v>151</v>
      </c>
      <c r="C27" s="3508">
        <v>1</v>
      </c>
      <c r="D27" s="3508">
        <v>2</v>
      </c>
      <c r="E27" s="3503">
        <v>142</v>
      </c>
      <c r="F27" s="153"/>
      <c r="G27" s="3507" t="s">
        <v>151</v>
      </c>
      <c r="H27" s="3508">
        <v>1</v>
      </c>
      <c r="I27" s="3508">
        <v>2</v>
      </c>
      <c r="J27" s="3503">
        <v>123</v>
      </c>
    </row>
    <row r="28" spans="2:11" ht="18" customHeight="1">
      <c r="B28" s="3509" t="s">
        <v>1688</v>
      </c>
      <c r="C28" s="3505">
        <v>2</v>
      </c>
      <c r="D28" s="3489">
        <v>19</v>
      </c>
      <c r="E28" s="3489">
        <v>740</v>
      </c>
      <c r="F28" s="153"/>
      <c r="G28" s="3509" t="s">
        <v>1688</v>
      </c>
      <c r="H28" s="3505">
        <v>2</v>
      </c>
      <c r="I28" s="3489">
        <v>15</v>
      </c>
      <c r="J28" s="3489">
        <v>647</v>
      </c>
    </row>
    <row r="29" spans="2:11" ht="18" customHeight="1">
      <c r="B29" s="3509" t="s">
        <v>1687</v>
      </c>
      <c r="C29" s="3505">
        <v>3</v>
      </c>
      <c r="D29" s="3505">
        <v>22</v>
      </c>
      <c r="E29" s="3489">
        <v>789</v>
      </c>
      <c r="F29" s="153"/>
      <c r="G29" s="3509" t="s">
        <v>96</v>
      </c>
      <c r="H29" s="3505">
        <v>3</v>
      </c>
      <c r="I29" s="3505">
        <v>23</v>
      </c>
      <c r="J29" s="3489">
        <v>826</v>
      </c>
    </row>
    <row r="30" spans="2:11" ht="18" customHeight="1">
      <c r="B30" s="3509" t="s">
        <v>96</v>
      </c>
      <c r="C30" s="3505">
        <v>4</v>
      </c>
      <c r="D30" s="3505">
        <v>27</v>
      </c>
      <c r="E30" s="3489">
        <v>883</v>
      </c>
      <c r="F30" s="153"/>
      <c r="G30" s="3509" t="s">
        <v>1687</v>
      </c>
      <c r="H30" s="3505">
        <v>4</v>
      </c>
      <c r="I30" s="3505">
        <v>25</v>
      </c>
      <c r="J30" s="3489">
        <v>836</v>
      </c>
    </row>
    <row r="31" spans="2:11" ht="18" customHeight="1">
      <c r="B31" s="3510" t="s">
        <v>153</v>
      </c>
      <c r="C31" s="3505">
        <v>5</v>
      </c>
      <c r="D31" s="3505">
        <v>28</v>
      </c>
      <c r="E31" s="3511">
        <v>88</v>
      </c>
      <c r="F31" s="153"/>
      <c r="G31" s="3510" t="s">
        <v>153</v>
      </c>
      <c r="H31" s="3505">
        <v>5</v>
      </c>
      <c r="I31" s="3505">
        <v>28</v>
      </c>
      <c r="J31" s="3511">
        <v>908</v>
      </c>
    </row>
    <row r="32" spans="2:11" ht="18" customHeight="1">
      <c r="B32" s="3510" t="s">
        <v>555</v>
      </c>
      <c r="C32" s="3505">
        <v>6</v>
      </c>
      <c r="D32" s="3504">
        <v>34</v>
      </c>
      <c r="E32" s="3489">
        <v>1012</v>
      </c>
      <c r="F32" s="153"/>
      <c r="G32" s="3510" t="s">
        <v>555</v>
      </c>
      <c r="H32" s="3505">
        <v>6</v>
      </c>
      <c r="I32" s="3504">
        <v>37</v>
      </c>
      <c r="J32" s="3489">
        <v>1122</v>
      </c>
    </row>
    <row r="33" spans="2:11" ht="18" customHeight="1">
      <c r="B33" s="3510" t="s">
        <v>156</v>
      </c>
      <c r="C33" s="3504">
        <v>7</v>
      </c>
      <c r="D33" s="3504">
        <v>46</v>
      </c>
      <c r="E33" s="3489">
        <v>1269</v>
      </c>
      <c r="F33" s="153"/>
      <c r="G33" s="3510" t="s">
        <v>156</v>
      </c>
      <c r="H33" s="3504">
        <v>7</v>
      </c>
      <c r="I33" s="3504">
        <v>48</v>
      </c>
      <c r="J33" s="3489">
        <v>1259</v>
      </c>
    </row>
    <row r="34" spans="2:11" ht="18" customHeight="1">
      <c r="B34" s="3510" t="s">
        <v>325</v>
      </c>
      <c r="C34" s="3505">
        <v>8</v>
      </c>
      <c r="D34" s="1870">
        <v>52</v>
      </c>
      <c r="E34" s="3489">
        <v>1404</v>
      </c>
      <c r="F34" s="153"/>
      <c r="G34" s="3510" t="s">
        <v>2662</v>
      </c>
      <c r="H34" s="3505">
        <v>8</v>
      </c>
      <c r="I34" s="1870">
        <v>51</v>
      </c>
      <c r="J34" s="3489">
        <v>1338</v>
      </c>
    </row>
    <row r="35" spans="2:11" ht="18" customHeight="1">
      <c r="B35" s="3509" t="s">
        <v>633</v>
      </c>
      <c r="C35" s="3505">
        <v>9</v>
      </c>
      <c r="D35" s="3504">
        <v>62</v>
      </c>
      <c r="E35" s="3489">
        <v>1498</v>
      </c>
      <c r="F35" s="153"/>
      <c r="G35" s="3509" t="s">
        <v>633</v>
      </c>
      <c r="H35" s="3505">
        <v>9</v>
      </c>
      <c r="I35" s="3504">
        <v>58</v>
      </c>
      <c r="J35" s="3489">
        <v>1450</v>
      </c>
    </row>
    <row r="36" spans="2:11" ht="18" customHeight="1">
      <c r="B36" s="3510" t="s">
        <v>634</v>
      </c>
      <c r="C36" s="3505">
        <v>10</v>
      </c>
      <c r="D36" s="3504">
        <v>66</v>
      </c>
      <c r="E36" s="3489">
        <v>1547</v>
      </c>
      <c r="F36" s="153"/>
      <c r="G36" s="3510" t="s">
        <v>3052</v>
      </c>
      <c r="H36" s="3505">
        <v>10</v>
      </c>
      <c r="I36" s="3504">
        <v>64</v>
      </c>
      <c r="J36" s="3489">
        <v>1541</v>
      </c>
    </row>
    <row r="37" spans="2:11" ht="18" customHeight="1">
      <c r="B37" s="3510" t="s">
        <v>2662</v>
      </c>
      <c r="C37" s="3504">
        <v>11</v>
      </c>
      <c r="D37" s="3504">
        <v>70</v>
      </c>
      <c r="E37" s="3489">
        <v>1615</v>
      </c>
      <c r="F37" s="153"/>
      <c r="G37" s="3510" t="s">
        <v>325</v>
      </c>
      <c r="H37" s="3504">
        <v>11</v>
      </c>
      <c r="I37" s="3504">
        <v>67</v>
      </c>
      <c r="J37" s="3489">
        <v>1563</v>
      </c>
    </row>
    <row r="38" spans="2:11" ht="18" customHeight="1">
      <c r="B38" s="3510" t="s">
        <v>324</v>
      </c>
      <c r="C38" s="3504">
        <v>12</v>
      </c>
      <c r="D38" s="3504">
        <v>73</v>
      </c>
      <c r="E38" s="3489">
        <v>1644</v>
      </c>
      <c r="F38" s="153"/>
      <c r="G38" s="3510" t="s">
        <v>634</v>
      </c>
      <c r="H38" s="3504">
        <v>12</v>
      </c>
      <c r="I38" s="3504">
        <v>78</v>
      </c>
      <c r="J38" s="3489">
        <v>1657</v>
      </c>
    </row>
    <row r="39" spans="2:11" ht="18" customHeight="1">
      <c r="B39" s="3510" t="s">
        <v>472</v>
      </c>
      <c r="C39" s="3505">
        <v>13</v>
      </c>
      <c r="D39" s="1870">
        <v>80</v>
      </c>
      <c r="E39" s="3489">
        <v>1724</v>
      </c>
      <c r="F39" s="153"/>
      <c r="G39" s="3510" t="s">
        <v>324</v>
      </c>
      <c r="H39" s="3505">
        <v>13</v>
      </c>
      <c r="I39" s="1870">
        <v>80</v>
      </c>
      <c r="J39" s="3489">
        <v>1690</v>
      </c>
    </row>
    <row r="40" spans="2:11" ht="18" customHeight="1">
      <c r="B40" s="1873" t="s">
        <v>95</v>
      </c>
      <c r="C40" s="1872">
        <v>14</v>
      </c>
      <c r="D40" s="1872">
        <v>87</v>
      </c>
      <c r="E40" s="1872">
        <v>1825</v>
      </c>
      <c r="F40" s="153"/>
      <c r="G40" s="3510" t="s">
        <v>472</v>
      </c>
      <c r="H40" s="3504">
        <v>14</v>
      </c>
      <c r="I40" s="3504">
        <v>87</v>
      </c>
      <c r="J40" s="3489">
        <v>1803</v>
      </c>
    </row>
    <row r="41" spans="2:11" ht="18" customHeight="1">
      <c r="B41" s="3510" t="s">
        <v>641</v>
      </c>
      <c r="C41" s="3505">
        <v>15</v>
      </c>
      <c r="D41" s="1870">
        <v>101</v>
      </c>
      <c r="E41" s="3489">
        <v>2009</v>
      </c>
      <c r="F41" s="153"/>
      <c r="G41" s="1873" t="s">
        <v>95</v>
      </c>
      <c r="H41" s="1872">
        <v>15</v>
      </c>
      <c r="I41" s="1872">
        <v>89</v>
      </c>
      <c r="J41" s="1872">
        <v>1806</v>
      </c>
    </row>
    <row r="42" spans="2:11" ht="18" customHeight="1">
      <c r="B42" s="3513" t="s">
        <v>632</v>
      </c>
      <c r="C42" s="3514">
        <v>16</v>
      </c>
      <c r="D42" s="3506">
        <v>107</v>
      </c>
      <c r="E42" s="3491">
        <v>2061</v>
      </c>
      <c r="F42" s="153"/>
      <c r="G42" s="3513" t="s">
        <v>641</v>
      </c>
      <c r="H42" s="3514">
        <v>16</v>
      </c>
      <c r="I42" s="3506">
        <v>106</v>
      </c>
      <c r="J42" s="3491">
        <v>2043</v>
      </c>
    </row>
    <row r="43" spans="2:11" ht="14.4">
      <c r="B43" s="5876"/>
      <c r="C43" s="5876"/>
      <c r="D43" s="5876"/>
      <c r="E43" s="5876"/>
      <c r="F43" s="156"/>
      <c r="G43" s="156"/>
      <c r="H43" s="156"/>
      <c r="I43" s="156"/>
      <c r="J43" s="156"/>
      <c r="K43" s="153"/>
    </row>
    <row r="44" spans="2:11" ht="14.4" customHeight="1">
      <c r="F44" s="156"/>
      <c r="G44" s="156"/>
      <c r="H44" s="156"/>
      <c r="I44" s="156"/>
      <c r="J44" s="156"/>
      <c r="K44" s="153"/>
    </row>
    <row r="45" spans="2:11" ht="15.6">
      <c r="B45" s="6213" t="s">
        <v>2663</v>
      </c>
      <c r="C45" s="6213"/>
      <c r="D45" s="6213"/>
      <c r="E45" s="6213"/>
      <c r="F45" s="153"/>
      <c r="G45" s="7607" t="s">
        <v>3048</v>
      </c>
      <c r="H45" s="7607"/>
      <c r="I45" s="7607"/>
      <c r="J45" s="7607"/>
    </row>
    <row r="46" spans="2:11" ht="29.4" thickBot="1">
      <c r="B46" s="6210" t="s">
        <v>88</v>
      </c>
      <c r="C46" s="6210" t="s">
        <v>89</v>
      </c>
      <c r="D46" s="2097" t="s">
        <v>554</v>
      </c>
      <c r="E46" s="6210" t="s">
        <v>90</v>
      </c>
      <c r="F46" s="153"/>
      <c r="G46" s="5084" t="s">
        <v>88</v>
      </c>
      <c r="H46" s="5084" t="s">
        <v>89</v>
      </c>
      <c r="I46" s="2097" t="s">
        <v>554</v>
      </c>
      <c r="J46" s="5084" t="s">
        <v>90</v>
      </c>
    </row>
    <row r="47" spans="2:11" ht="18" customHeight="1">
      <c r="B47" s="3507" t="s">
        <v>151</v>
      </c>
      <c r="C47" s="3508">
        <v>1</v>
      </c>
      <c r="D47" s="3508">
        <v>1</v>
      </c>
      <c r="E47" s="3503">
        <v>113</v>
      </c>
      <c r="F47" s="153"/>
      <c r="G47" s="3507" t="s">
        <v>151</v>
      </c>
      <c r="H47" s="3508">
        <v>1</v>
      </c>
      <c r="I47" s="3508">
        <v>2</v>
      </c>
      <c r="J47" s="3503">
        <v>162</v>
      </c>
    </row>
    <row r="48" spans="2:11" ht="14.4">
      <c r="B48" s="3509" t="s">
        <v>1687</v>
      </c>
      <c r="C48" s="3505">
        <v>2</v>
      </c>
      <c r="D48" s="3489">
        <v>17</v>
      </c>
      <c r="E48" s="3489">
        <v>685</v>
      </c>
      <c r="F48" s="153"/>
      <c r="G48" s="3509" t="s">
        <v>1687</v>
      </c>
      <c r="H48" s="3505">
        <v>2</v>
      </c>
      <c r="I48" s="3489">
        <v>19</v>
      </c>
      <c r="J48" s="3489">
        <v>717</v>
      </c>
    </row>
    <row r="49" spans="2:11" ht="18" customHeight="1">
      <c r="B49" s="3509" t="s">
        <v>1688</v>
      </c>
      <c r="C49" s="3505">
        <v>3</v>
      </c>
      <c r="D49" s="3505">
        <v>20</v>
      </c>
      <c r="E49" s="3489">
        <v>746</v>
      </c>
      <c r="F49" s="153"/>
      <c r="G49" s="3509" t="s">
        <v>1688</v>
      </c>
      <c r="H49" s="3505">
        <v>3</v>
      </c>
      <c r="I49" s="3505">
        <v>21</v>
      </c>
      <c r="J49" s="3489">
        <v>761</v>
      </c>
    </row>
    <row r="50" spans="2:11" ht="18" customHeight="1">
      <c r="B50" s="3509" t="s">
        <v>153</v>
      </c>
      <c r="C50" s="3505">
        <v>4</v>
      </c>
      <c r="D50" s="3505">
        <v>24</v>
      </c>
      <c r="E50" s="3489">
        <v>846</v>
      </c>
      <c r="F50" s="153"/>
      <c r="G50" s="3509" t="s">
        <v>153</v>
      </c>
      <c r="H50" s="3505">
        <v>4</v>
      </c>
      <c r="I50" s="3505">
        <v>24</v>
      </c>
      <c r="J50" s="3489">
        <v>853</v>
      </c>
    </row>
    <row r="51" spans="2:11" ht="18" customHeight="1">
      <c r="B51" s="3510" t="s">
        <v>96</v>
      </c>
      <c r="C51" s="3505">
        <v>5</v>
      </c>
      <c r="D51" s="3505">
        <v>25</v>
      </c>
      <c r="E51" s="3511">
        <v>867</v>
      </c>
      <c r="F51" s="153"/>
      <c r="G51" s="3510" t="s">
        <v>96</v>
      </c>
      <c r="H51" s="3505">
        <v>5</v>
      </c>
      <c r="I51" s="3505">
        <v>25</v>
      </c>
      <c r="J51" s="3511">
        <v>886</v>
      </c>
    </row>
    <row r="52" spans="2:11" ht="18" customHeight="1">
      <c r="B52" s="1873" t="s">
        <v>95</v>
      </c>
      <c r="C52" s="1872">
        <v>6</v>
      </c>
      <c r="D52" s="1872">
        <v>26</v>
      </c>
      <c r="E52" s="1872">
        <v>921</v>
      </c>
      <c r="F52" s="153"/>
      <c r="G52" s="1873" t="s">
        <v>95</v>
      </c>
      <c r="H52" s="1872">
        <v>6</v>
      </c>
      <c r="I52" s="1872">
        <v>26</v>
      </c>
      <c r="J52" s="1872">
        <v>937</v>
      </c>
    </row>
    <row r="53" spans="2:11" ht="18" customHeight="1">
      <c r="B53" s="3510" t="s">
        <v>555</v>
      </c>
      <c r="C53" s="3504">
        <v>7</v>
      </c>
      <c r="D53" s="3504">
        <v>29</v>
      </c>
      <c r="E53" s="3489">
        <v>1030</v>
      </c>
      <c r="F53" s="153"/>
      <c r="G53" s="3510" t="s">
        <v>555</v>
      </c>
      <c r="H53" s="3504">
        <v>7</v>
      </c>
      <c r="I53" s="3504">
        <v>28</v>
      </c>
      <c r="J53" s="3489">
        <v>986</v>
      </c>
    </row>
    <row r="54" spans="2:11" ht="18" customHeight="1">
      <c r="B54" s="3510" t="s">
        <v>156</v>
      </c>
      <c r="C54" s="3505">
        <v>8</v>
      </c>
      <c r="D54" s="1870">
        <v>34</v>
      </c>
      <c r="E54" s="3489">
        <v>1160</v>
      </c>
      <c r="F54" s="153"/>
      <c r="G54" s="3510" t="s">
        <v>156</v>
      </c>
      <c r="H54" s="3505">
        <v>8</v>
      </c>
      <c r="I54" s="1870">
        <v>40</v>
      </c>
      <c r="J54" s="3489">
        <v>1243</v>
      </c>
    </row>
    <row r="55" spans="2:11" ht="18" customHeight="1">
      <c r="B55" s="3509" t="s">
        <v>325</v>
      </c>
      <c r="C55" s="3505">
        <v>9</v>
      </c>
      <c r="D55" s="3504">
        <v>44</v>
      </c>
      <c r="E55" s="3489">
        <v>1359</v>
      </c>
      <c r="F55" s="153"/>
      <c r="G55" s="3509" t="s">
        <v>325</v>
      </c>
      <c r="H55" s="3505">
        <v>9</v>
      </c>
      <c r="I55" s="3504">
        <v>42</v>
      </c>
      <c r="J55" s="3489">
        <v>1309</v>
      </c>
    </row>
    <row r="56" spans="2:11" ht="18" customHeight="1">
      <c r="B56" s="3510" t="s">
        <v>633</v>
      </c>
      <c r="C56" s="3505">
        <v>10</v>
      </c>
      <c r="D56" s="3504">
        <v>51</v>
      </c>
      <c r="E56" s="3489">
        <v>1451</v>
      </c>
      <c r="F56" s="153"/>
      <c r="G56" s="3510" t="s">
        <v>633</v>
      </c>
      <c r="H56" s="3505">
        <v>10</v>
      </c>
      <c r="I56" s="3504">
        <v>48</v>
      </c>
      <c r="J56" s="3489">
        <v>1419</v>
      </c>
    </row>
    <row r="57" spans="2:11" ht="18" customHeight="1">
      <c r="B57" s="3510" t="s">
        <v>634</v>
      </c>
      <c r="C57" s="3504">
        <v>11</v>
      </c>
      <c r="D57" s="3504">
        <v>56</v>
      </c>
      <c r="E57" s="3489">
        <v>1516</v>
      </c>
      <c r="F57" s="153"/>
      <c r="G57" s="3510" t="s">
        <v>324</v>
      </c>
      <c r="H57" s="3504">
        <v>11</v>
      </c>
      <c r="I57" s="3504">
        <v>49</v>
      </c>
      <c r="J57" s="3489">
        <v>1458</v>
      </c>
    </row>
    <row r="58" spans="2:11" ht="18" customHeight="1">
      <c r="B58" s="3510" t="s">
        <v>324</v>
      </c>
      <c r="C58" s="3504">
        <v>12</v>
      </c>
      <c r="D58" s="3504">
        <v>57</v>
      </c>
      <c r="E58" s="3489">
        <v>1517</v>
      </c>
      <c r="F58" s="153"/>
      <c r="G58" s="3510" t="s">
        <v>634</v>
      </c>
      <c r="H58" s="3504">
        <v>12</v>
      </c>
      <c r="I58" s="3504">
        <v>56</v>
      </c>
      <c r="J58" s="3489">
        <v>1542</v>
      </c>
    </row>
    <row r="59" spans="2:11" ht="18" customHeight="1">
      <c r="B59" s="3510" t="s">
        <v>472</v>
      </c>
      <c r="C59" s="3505">
        <v>13</v>
      </c>
      <c r="D59" s="1870">
        <v>69</v>
      </c>
      <c r="E59" s="3489">
        <v>1650</v>
      </c>
      <c r="F59" s="153"/>
      <c r="G59" s="3510" t="s">
        <v>472</v>
      </c>
      <c r="H59" s="3505">
        <v>13</v>
      </c>
      <c r="I59" s="1870">
        <v>58</v>
      </c>
      <c r="J59" s="3489">
        <v>1564</v>
      </c>
    </row>
    <row r="60" spans="2:11" ht="18" customHeight="1">
      <c r="B60" s="3512" t="s">
        <v>2662</v>
      </c>
      <c r="C60" s="3505">
        <v>14</v>
      </c>
      <c r="D60" s="1870">
        <v>86</v>
      </c>
      <c r="E60" s="3489">
        <v>1796</v>
      </c>
      <c r="F60" s="153"/>
      <c r="G60" s="3512" t="s">
        <v>641</v>
      </c>
      <c r="H60" s="3505">
        <v>14</v>
      </c>
      <c r="I60" s="1870">
        <v>75</v>
      </c>
      <c r="J60" s="3489">
        <v>1765</v>
      </c>
    </row>
    <row r="61" spans="2:11" ht="18" customHeight="1">
      <c r="B61" s="3513" t="s">
        <v>641</v>
      </c>
      <c r="C61" s="3514">
        <v>15</v>
      </c>
      <c r="D61" s="3506">
        <v>91</v>
      </c>
      <c r="E61" s="3491">
        <v>1835</v>
      </c>
      <c r="F61" s="153"/>
      <c r="G61" s="3513" t="s">
        <v>632</v>
      </c>
      <c r="H61" s="3514">
        <v>15</v>
      </c>
      <c r="I61" s="3506">
        <v>76</v>
      </c>
      <c r="J61" s="3491">
        <v>1817</v>
      </c>
    </row>
    <row r="62" spans="2:11" ht="14.4">
      <c r="B62" s="5086"/>
      <c r="C62" s="5086"/>
      <c r="D62" s="5086"/>
      <c r="E62" s="5086"/>
      <c r="F62" s="156"/>
      <c r="G62" s="4138"/>
      <c r="H62" s="4138"/>
      <c r="I62" s="4138"/>
      <c r="J62" s="4138"/>
      <c r="K62" s="153"/>
    </row>
    <row r="63" spans="2:11" ht="14.4">
      <c r="F63" s="156"/>
      <c r="K63" s="153"/>
    </row>
    <row r="64" spans="2:11" ht="15.6">
      <c r="B64" s="7607" t="s">
        <v>2513</v>
      </c>
      <c r="C64" s="7607"/>
      <c r="D64" s="7607"/>
      <c r="E64" s="7607"/>
      <c r="F64" s="156"/>
      <c r="G64" s="7607" t="s">
        <v>3264</v>
      </c>
      <c r="H64" s="7607"/>
      <c r="I64" s="7607"/>
      <c r="J64" s="7607"/>
      <c r="K64" s="153"/>
    </row>
    <row r="65" spans="2:11" ht="29.4" thickBot="1">
      <c r="B65" s="3483" t="s">
        <v>88</v>
      </c>
      <c r="C65" s="3483" t="s">
        <v>89</v>
      </c>
      <c r="D65" s="2097" t="s">
        <v>554</v>
      </c>
      <c r="E65" s="3483" t="s">
        <v>90</v>
      </c>
      <c r="F65" s="156"/>
      <c r="G65" s="6210" t="s">
        <v>88</v>
      </c>
      <c r="H65" s="6210" t="s">
        <v>89</v>
      </c>
      <c r="I65" s="2097" t="s">
        <v>554</v>
      </c>
      <c r="J65" s="6210" t="s">
        <v>90</v>
      </c>
      <c r="K65" s="153"/>
    </row>
    <row r="66" spans="2:11" ht="19.2" customHeight="1">
      <c r="B66" s="3507" t="s">
        <v>151</v>
      </c>
      <c r="C66" s="3508">
        <v>1</v>
      </c>
      <c r="D66" s="3508">
        <v>2</v>
      </c>
      <c r="E66" s="3503">
        <v>152</v>
      </c>
      <c r="F66" s="156"/>
      <c r="G66" s="3507" t="s">
        <v>151</v>
      </c>
      <c r="H66" s="3508">
        <v>1</v>
      </c>
      <c r="I66" s="3508">
        <v>2</v>
      </c>
      <c r="J66" s="3503">
        <v>144</v>
      </c>
      <c r="K66" s="153"/>
    </row>
    <row r="67" spans="2:11" ht="14.4">
      <c r="B67" s="3509" t="s">
        <v>1687</v>
      </c>
      <c r="C67" s="3505">
        <v>2</v>
      </c>
      <c r="D67" s="3489">
        <v>19</v>
      </c>
      <c r="E67" s="3489">
        <v>752</v>
      </c>
      <c r="F67" s="156"/>
      <c r="G67" s="3509" t="s">
        <v>1687</v>
      </c>
      <c r="H67" s="3505">
        <v>2</v>
      </c>
      <c r="I67" s="3489">
        <v>20</v>
      </c>
      <c r="J67" s="3489">
        <v>750</v>
      </c>
      <c r="K67" s="153"/>
    </row>
    <row r="68" spans="2:11" ht="19.2" customHeight="1">
      <c r="B68" s="3509" t="s">
        <v>153</v>
      </c>
      <c r="C68" s="3505">
        <v>3</v>
      </c>
      <c r="D68" s="3505">
        <v>29</v>
      </c>
      <c r="E68" s="3489">
        <v>876</v>
      </c>
      <c r="F68" s="156"/>
      <c r="G68" s="3509" t="s">
        <v>1688</v>
      </c>
      <c r="H68" s="3505">
        <v>3</v>
      </c>
      <c r="I68" s="3505">
        <v>25</v>
      </c>
      <c r="J68" s="3489">
        <v>831</v>
      </c>
      <c r="K68" s="153"/>
    </row>
    <row r="69" spans="2:11" ht="19.2" customHeight="1">
      <c r="B69" s="3509" t="s">
        <v>96</v>
      </c>
      <c r="C69" s="3505">
        <v>4</v>
      </c>
      <c r="D69" s="3505">
        <v>34</v>
      </c>
      <c r="E69" s="3489">
        <v>920</v>
      </c>
      <c r="F69" s="156"/>
      <c r="G69" s="3509" t="s">
        <v>153</v>
      </c>
      <c r="H69" s="3505">
        <v>4</v>
      </c>
      <c r="I69" s="3505">
        <v>27</v>
      </c>
      <c r="J69" s="3489">
        <v>841</v>
      </c>
      <c r="K69" s="153"/>
    </row>
    <row r="70" spans="2:11" ht="19.2" customHeight="1">
      <c r="B70" s="3510" t="s">
        <v>1688</v>
      </c>
      <c r="C70" s="3505">
        <v>5</v>
      </c>
      <c r="D70" s="3505">
        <v>35</v>
      </c>
      <c r="E70" s="3511">
        <v>927</v>
      </c>
      <c r="F70" s="156"/>
      <c r="G70" s="3510" t="s">
        <v>96</v>
      </c>
      <c r="H70" s="3505">
        <v>5</v>
      </c>
      <c r="I70" s="3505">
        <v>28</v>
      </c>
      <c r="J70" s="3511">
        <v>844</v>
      </c>
      <c r="K70" s="153"/>
    </row>
    <row r="71" spans="2:11" ht="19.2" customHeight="1">
      <c r="B71" s="1873" t="s">
        <v>95</v>
      </c>
      <c r="C71" s="1872">
        <v>6</v>
      </c>
      <c r="D71" s="1872">
        <v>36</v>
      </c>
      <c r="E71" s="1872">
        <v>973</v>
      </c>
      <c r="F71" s="156"/>
      <c r="G71" s="1873" t="s">
        <v>95</v>
      </c>
      <c r="H71" s="1872">
        <v>6</v>
      </c>
      <c r="I71" s="1872">
        <v>29</v>
      </c>
      <c r="J71" s="1872">
        <v>917</v>
      </c>
      <c r="K71" s="153"/>
    </row>
    <row r="72" spans="2:11" ht="19.2" customHeight="1">
      <c r="B72" s="3510" t="s">
        <v>555</v>
      </c>
      <c r="C72" s="3504">
        <v>7</v>
      </c>
      <c r="D72" s="3504">
        <v>43</v>
      </c>
      <c r="E72" s="3489">
        <v>1096</v>
      </c>
      <c r="F72" s="156"/>
      <c r="G72" s="3510" t="s">
        <v>555</v>
      </c>
      <c r="H72" s="3504">
        <v>7</v>
      </c>
      <c r="I72" s="3504">
        <v>35</v>
      </c>
      <c r="J72" s="3489">
        <v>1059</v>
      </c>
      <c r="K72" s="153"/>
    </row>
    <row r="73" spans="2:11" ht="19.2" customHeight="1">
      <c r="B73" s="3510" t="s">
        <v>156</v>
      </c>
      <c r="C73" s="3505">
        <v>8</v>
      </c>
      <c r="D73" s="1870">
        <v>44</v>
      </c>
      <c r="E73" s="3489">
        <v>1102</v>
      </c>
      <c r="F73" s="156"/>
      <c r="G73" s="3510" t="s">
        <v>156</v>
      </c>
      <c r="H73" s="3505">
        <v>8</v>
      </c>
      <c r="I73" s="1870">
        <v>38</v>
      </c>
      <c r="J73" s="3489">
        <v>1082</v>
      </c>
      <c r="K73" s="153"/>
    </row>
    <row r="74" spans="2:11" ht="19.2" customHeight="1">
      <c r="B74" s="3509" t="s">
        <v>473</v>
      </c>
      <c r="C74" s="3505">
        <v>9</v>
      </c>
      <c r="D74" s="3504">
        <v>59</v>
      </c>
      <c r="E74" s="3489">
        <v>1393</v>
      </c>
      <c r="F74" s="156"/>
      <c r="G74" s="3509" t="s">
        <v>473</v>
      </c>
      <c r="H74" s="3505">
        <v>9</v>
      </c>
      <c r="I74" s="3504">
        <v>50</v>
      </c>
      <c r="J74" s="3489">
        <v>1348</v>
      </c>
      <c r="K74" s="153"/>
    </row>
    <row r="75" spans="2:11" ht="19.2" customHeight="1">
      <c r="B75" s="3510" t="s">
        <v>325</v>
      </c>
      <c r="C75" s="3505">
        <v>10</v>
      </c>
      <c r="D75" s="3504">
        <v>60</v>
      </c>
      <c r="E75" s="3489">
        <v>1430</v>
      </c>
      <c r="F75" s="156"/>
      <c r="G75" s="3510" t="s">
        <v>633</v>
      </c>
      <c r="H75" s="3505">
        <v>10</v>
      </c>
      <c r="I75" s="3504">
        <v>51</v>
      </c>
      <c r="J75" s="3489">
        <v>1351</v>
      </c>
      <c r="K75" s="153"/>
    </row>
    <row r="76" spans="2:11" ht="19.2" customHeight="1">
      <c r="B76" s="3510" t="s">
        <v>633</v>
      </c>
      <c r="C76" s="3504">
        <v>11</v>
      </c>
      <c r="D76" s="3504">
        <v>61</v>
      </c>
      <c r="E76" s="3489">
        <v>1448</v>
      </c>
      <c r="F76" s="156"/>
      <c r="G76" s="3510" t="s">
        <v>325</v>
      </c>
      <c r="H76" s="3504">
        <v>11</v>
      </c>
      <c r="I76" s="3504">
        <v>54</v>
      </c>
      <c r="J76" s="3489">
        <v>1377</v>
      </c>
      <c r="K76" s="153"/>
    </row>
    <row r="77" spans="2:11" ht="19.2" customHeight="1">
      <c r="B77" s="3510" t="s">
        <v>324</v>
      </c>
      <c r="C77" s="3504">
        <v>12</v>
      </c>
      <c r="D77" s="3504">
        <v>70</v>
      </c>
      <c r="E77" s="3489">
        <v>1536</v>
      </c>
      <c r="F77" s="156"/>
      <c r="G77" s="3510" t="s">
        <v>324</v>
      </c>
      <c r="H77" s="3504">
        <v>12</v>
      </c>
      <c r="I77" s="3504">
        <v>60</v>
      </c>
      <c r="J77" s="3489">
        <v>1462</v>
      </c>
      <c r="K77" s="153"/>
    </row>
    <row r="78" spans="2:11" ht="19.2" customHeight="1">
      <c r="B78" s="3510" t="s">
        <v>472</v>
      </c>
      <c r="C78" s="3505">
        <v>13</v>
      </c>
      <c r="D78" s="1870">
        <v>81</v>
      </c>
      <c r="E78" s="3489">
        <v>1666</v>
      </c>
      <c r="F78" s="156"/>
      <c r="G78" s="3510" t="s">
        <v>472</v>
      </c>
      <c r="H78" s="3505">
        <v>13</v>
      </c>
      <c r="I78" s="1870">
        <v>74</v>
      </c>
      <c r="J78" s="3489">
        <v>1597</v>
      </c>
      <c r="K78" s="153"/>
    </row>
    <row r="79" spans="2:11" ht="19.2" customHeight="1">
      <c r="B79" s="3512" t="s">
        <v>634</v>
      </c>
      <c r="C79" s="3505">
        <v>14</v>
      </c>
      <c r="D79" s="1870">
        <v>88</v>
      </c>
      <c r="E79" s="3489">
        <v>1720</v>
      </c>
      <c r="F79" s="156"/>
      <c r="G79" s="3512" t="s">
        <v>634</v>
      </c>
      <c r="H79" s="3505">
        <v>14</v>
      </c>
      <c r="I79" s="1870">
        <v>77</v>
      </c>
      <c r="J79" s="3489">
        <v>1644</v>
      </c>
      <c r="K79" s="153"/>
    </row>
    <row r="80" spans="2:11" ht="19.2" customHeight="1">
      <c r="B80" s="3513" t="s">
        <v>641</v>
      </c>
      <c r="C80" s="3514">
        <v>15</v>
      </c>
      <c r="D80" s="3506">
        <v>106</v>
      </c>
      <c r="E80" s="3491">
        <v>2011</v>
      </c>
      <c r="F80" s="156"/>
      <c r="G80" s="3513" t="s">
        <v>641</v>
      </c>
      <c r="H80" s="3514">
        <v>15</v>
      </c>
      <c r="I80" s="3506">
        <v>92</v>
      </c>
      <c r="J80" s="3491">
        <v>1892</v>
      </c>
      <c r="K80" s="153"/>
    </row>
    <row r="81" spans="2:11" ht="14.4">
      <c r="B81" s="3482"/>
      <c r="C81" s="3482"/>
      <c r="D81" s="3482"/>
      <c r="E81" s="3482"/>
      <c r="F81" s="156"/>
      <c r="G81" s="156"/>
      <c r="H81" s="156"/>
      <c r="I81" s="156"/>
      <c r="J81" s="156"/>
      <c r="K81" s="153"/>
    </row>
    <row r="82" spans="2:11" ht="14.4">
      <c r="B82" s="80"/>
      <c r="C82" s="80"/>
      <c r="D82" s="80"/>
      <c r="E82" s="80"/>
      <c r="F82" s="156"/>
      <c r="G82" s="156"/>
      <c r="H82" s="156"/>
      <c r="I82" s="156"/>
      <c r="J82" s="156"/>
      <c r="K82" s="153"/>
    </row>
    <row r="83" spans="2:11" ht="15.6">
      <c r="B83" s="7607" t="s">
        <v>2384</v>
      </c>
      <c r="C83" s="7607"/>
      <c r="D83" s="7607"/>
      <c r="E83" s="7607"/>
      <c r="F83" s="156"/>
      <c r="G83" s="7607" t="s">
        <v>3265</v>
      </c>
      <c r="H83" s="7607"/>
      <c r="I83" s="7607"/>
      <c r="J83" s="7607"/>
      <c r="K83" s="153"/>
    </row>
    <row r="84" spans="2:11" ht="29.4" thickBot="1">
      <c r="B84" s="1780" t="s">
        <v>88</v>
      </c>
      <c r="C84" s="1887" t="s">
        <v>89</v>
      </c>
      <c r="D84" s="1887" t="s">
        <v>554</v>
      </c>
      <c r="E84" s="1887" t="s">
        <v>90</v>
      </c>
      <c r="F84" s="156"/>
      <c r="G84" s="6210" t="s">
        <v>88</v>
      </c>
      <c r="H84" s="6210" t="s">
        <v>89</v>
      </c>
      <c r="I84" s="2097" t="s">
        <v>554</v>
      </c>
      <c r="J84" s="6210" t="s">
        <v>90</v>
      </c>
      <c r="K84" s="153"/>
    </row>
    <row r="85" spans="2:11" ht="20.100000000000001" customHeight="1">
      <c r="B85" s="1869" t="s">
        <v>151</v>
      </c>
      <c r="C85" s="1868">
        <v>1</v>
      </c>
      <c r="D85" s="1868">
        <v>2</v>
      </c>
      <c r="E85" s="1888">
        <v>155</v>
      </c>
      <c r="F85" s="156"/>
      <c r="G85" s="1869" t="s">
        <v>151</v>
      </c>
      <c r="H85" s="1868">
        <v>1</v>
      </c>
      <c r="I85" s="1868">
        <v>2</v>
      </c>
      <c r="J85" s="1888">
        <v>141</v>
      </c>
      <c r="K85" s="153"/>
    </row>
    <row r="86" spans="2:11" ht="14.4">
      <c r="B86" s="1871" t="s">
        <v>1687</v>
      </c>
      <c r="C86" s="1870">
        <v>2</v>
      </c>
      <c r="D86" s="1870">
        <v>18</v>
      </c>
      <c r="E86" s="1889">
        <v>670</v>
      </c>
      <c r="F86" s="156"/>
      <c r="G86" s="1871" t="s">
        <v>1687</v>
      </c>
      <c r="H86" s="1870">
        <v>2</v>
      </c>
      <c r="I86" s="1870">
        <v>18</v>
      </c>
      <c r="J86" s="1889">
        <v>719</v>
      </c>
      <c r="K86" s="153"/>
    </row>
    <row r="87" spans="2:11" ht="20.100000000000001" customHeight="1">
      <c r="B87" s="1871" t="s">
        <v>153</v>
      </c>
      <c r="C87" s="1870">
        <v>3</v>
      </c>
      <c r="D87" s="1870">
        <v>32</v>
      </c>
      <c r="E87" s="1889">
        <v>882</v>
      </c>
      <c r="F87" s="156"/>
      <c r="G87" s="1871" t="s">
        <v>96</v>
      </c>
      <c r="H87" s="1870">
        <v>3</v>
      </c>
      <c r="I87" s="1870">
        <v>30</v>
      </c>
      <c r="J87" s="1889">
        <v>855</v>
      </c>
      <c r="K87" s="153"/>
    </row>
    <row r="88" spans="2:11" ht="20.100000000000001" customHeight="1">
      <c r="B88" s="1871" t="s">
        <v>96</v>
      </c>
      <c r="C88" s="1870">
        <v>4</v>
      </c>
      <c r="D88" s="1870">
        <v>34</v>
      </c>
      <c r="E88" s="1889">
        <v>935</v>
      </c>
      <c r="F88" s="156"/>
      <c r="G88" s="1871" t="s">
        <v>153</v>
      </c>
      <c r="H88" s="1870">
        <v>4</v>
      </c>
      <c r="I88" s="1870">
        <v>33</v>
      </c>
      <c r="J88" s="1889">
        <v>903</v>
      </c>
      <c r="K88" s="153"/>
    </row>
    <row r="89" spans="2:11" ht="20.100000000000001" customHeight="1">
      <c r="B89" s="1873" t="s">
        <v>95</v>
      </c>
      <c r="C89" s="1872">
        <v>5</v>
      </c>
      <c r="D89" s="1872">
        <v>35</v>
      </c>
      <c r="E89" s="1891">
        <v>990</v>
      </c>
      <c r="F89" s="156"/>
      <c r="G89" s="1873" t="s">
        <v>95</v>
      </c>
      <c r="H89" s="1872">
        <v>5</v>
      </c>
      <c r="I89" s="1872">
        <v>37</v>
      </c>
      <c r="J89" s="1891">
        <v>984</v>
      </c>
      <c r="K89" s="153"/>
    </row>
    <row r="90" spans="2:11" ht="20.100000000000001" customHeight="1">
      <c r="B90" s="1871" t="s">
        <v>555</v>
      </c>
      <c r="C90" s="1870">
        <v>6</v>
      </c>
      <c r="D90" s="1870">
        <v>46</v>
      </c>
      <c r="E90" s="1889">
        <v>1132</v>
      </c>
      <c r="F90" s="156"/>
      <c r="G90" s="1871" t="s">
        <v>1688</v>
      </c>
      <c r="H90" s="1870">
        <v>6</v>
      </c>
      <c r="I90" s="1870">
        <v>40</v>
      </c>
      <c r="J90" s="1889">
        <v>1022</v>
      </c>
      <c r="K90" s="153"/>
    </row>
    <row r="91" spans="2:11" ht="20.100000000000001" customHeight="1">
      <c r="B91" s="1871" t="s">
        <v>156</v>
      </c>
      <c r="C91" s="1870">
        <v>7</v>
      </c>
      <c r="D91" s="1870">
        <v>50</v>
      </c>
      <c r="E91" s="1889">
        <v>1161</v>
      </c>
      <c r="F91" s="156"/>
      <c r="G91" s="1871" t="s">
        <v>555</v>
      </c>
      <c r="H91" s="1870">
        <v>7</v>
      </c>
      <c r="I91" s="1870">
        <v>45</v>
      </c>
      <c r="J91" s="1889">
        <v>1089</v>
      </c>
      <c r="K91" s="153"/>
    </row>
    <row r="92" spans="2:11" ht="20.100000000000001" customHeight="1">
      <c r="B92" s="1871" t="s">
        <v>1688</v>
      </c>
      <c r="C92" s="1870">
        <v>8</v>
      </c>
      <c r="D92" s="1870">
        <v>61</v>
      </c>
      <c r="E92" s="1870">
        <v>1393</v>
      </c>
      <c r="F92" s="156"/>
      <c r="G92" s="1871" t="s">
        <v>156</v>
      </c>
      <c r="H92" s="1870">
        <v>8</v>
      </c>
      <c r="I92" s="1870">
        <v>49</v>
      </c>
      <c r="J92" s="1870">
        <v>1161</v>
      </c>
      <c r="K92" s="153"/>
    </row>
    <row r="93" spans="2:11" ht="20.100000000000001" customHeight="1">
      <c r="B93" s="1871" t="s">
        <v>473</v>
      </c>
      <c r="C93" s="1870">
        <v>9</v>
      </c>
      <c r="D93" s="1870">
        <v>65</v>
      </c>
      <c r="E93" s="1889">
        <v>1463</v>
      </c>
      <c r="F93" s="156"/>
      <c r="G93" s="1871" t="s">
        <v>473</v>
      </c>
      <c r="H93" s="1870">
        <v>9</v>
      </c>
      <c r="I93" s="1870">
        <v>59</v>
      </c>
      <c r="J93" s="1889">
        <v>1368</v>
      </c>
      <c r="K93" s="153"/>
    </row>
    <row r="94" spans="2:11" ht="20.100000000000001" customHeight="1">
      <c r="B94" s="1871" t="s">
        <v>325</v>
      </c>
      <c r="C94" s="1870">
        <v>10</v>
      </c>
      <c r="D94" s="1870">
        <v>68</v>
      </c>
      <c r="E94" s="1889">
        <v>1519</v>
      </c>
      <c r="F94" s="156"/>
      <c r="G94" s="1871" t="s">
        <v>325</v>
      </c>
      <c r="H94" s="1870">
        <v>10</v>
      </c>
      <c r="I94" s="1870">
        <v>66</v>
      </c>
      <c r="J94" s="1889">
        <v>1436</v>
      </c>
      <c r="K94" s="153"/>
    </row>
    <row r="95" spans="2:11" ht="20.100000000000001" customHeight="1">
      <c r="B95" s="1871" t="s">
        <v>633</v>
      </c>
      <c r="C95" s="1870">
        <v>11</v>
      </c>
      <c r="D95" s="1870">
        <v>69</v>
      </c>
      <c r="E95" s="1889">
        <v>1562</v>
      </c>
      <c r="F95" s="156"/>
      <c r="G95" s="1871" t="s">
        <v>633</v>
      </c>
      <c r="H95" s="1870">
        <v>11</v>
      </c>
      <c r="I95" s="1870">
        <v>71</v>
      </c>
      <c r="J95" s="1889">
        <v>1540</v>
      </c>
      <c r="K95" s="153"/>
    </row>
    <row r="96" spans="2:11" ht="20.100000000000001" customHeight="1">
      <c r="B96" s="1871" t="s">
        <v>634</v>
      </c>
      <c r="C96" s="1870">
        <v>12</v>
      </c>
      <c r="D96" s="1870">
        <v>78</v>
      </c>
      <c r="E96" s="1889">
        <v>1664</v>
      </c>
      <c r="F96" s="156"/>
      <c r="G96" s="1871" t="s">
        <v>472</v>
      </c>
      <c r="H96" s="1870">
        <v>12</v>
      </c>
      <c r="I96" s="1870">
        <v>80</v>
      </c>
      <c r="J96" s="1889">
        <v>1619</v>
      </c>
      <c r="K96" s="153"/>
    </row>
    <row r="97" spans="2:11" ht="20.100000000000001" customHeight="1">
      <c r="B97" s="1871" t="s">
        <v>472</v>
      </c>
      <c r="C97" s="1870">
        <v>13</v>
      </c>
      <c r="D97" s="1870">
        <v>80</v>
      </c>
      <c r="E97" s="1870">
        <v>1693</v>
      </c>
      <c r="F97" s="156"/>
      <c r="G97" s="1871" t="s">
        <v>324</v>
      </c>
      <c r="H97" s="1870">
        <v>13</v>
      </c>
      <c r="I97" s="1870">
        <v>82</v>
      </c>
      <c r="J97" s="1870">
        <v>1630</v>
      </c>
      <c r="K97" s="153"/>
    </row>
    <row r="98" spans="2:11" ht="20.100000000000001" customHeight="1">
      <c r="B98" s="1871" t="s">
        <v>324</v>
      </c>
      <c r="C98" s="1870">
        <v>14</v>
      </c>
      <c r="D98" s="1870">
        <v>85</v>
      </c>
      <c r="E98" s="1870">
        <v>1730</v>
      </c>
      <c r="F98" s="156"/>
      <c r="G98" s="1871" t="s">
        <v>634</v>
      </c>
      <c r="H98" s="1870">
        <v>14</v>
      </c>
      <c r="I98" s="1870">
        <v>94</v>
      </c>
      <c r="J98" s="1870">
        <v>1735</v>
      </c>
      <c r="K98" s="153"/>
    </row>
    <row r="99" spans="2:11" ht="20.100000000000001" customHeight="1">
      <c r="B99" s="1877" t="s">
        <v>641</v>
      </c>
      <c r="C99" s="1876">
        <v>15</v>
      </c>
      <c r="D99" s="1876">
        <v>104</v>
      </c>
      <c r="E99" s="1890">
        <v>2016</v>
      </c>
      <c r="F99" s="156"/>
      <c r="G99" s="1877" t="s">
        <v>641</v>
      </c>
      <c r="H99" s="1876">
        <v>15</v>
      </c>
      <c r="I99" s="1876">
        <v>112</v>
      </c>
      <c r="J99" s="1890">
        <v>2055</v>
      </c>
      <c r="K99" s="153"/>
    </row>
    <row r="100" spans="2:11" ht="13.2" customHeight="1">
      <c r="B100" s="80"/>
      <c r="C100" s="80"/>
      <c r="D100" s="80"/>
      <c r="E100" s="80"/>
      <c r="F100" s="156"/>
      <c r="G100" s="156"/>
      <c r="H100" s="156"/>
      <c r="I100" s="156"/>
      <c r="J100" s="156"/>
      <c r="K100" s="153"/>
    </row>
    <row r="101" spans="2:11" ht="13.2" customHeight="1">
      <c r="B101" s="4138"/>
      <c r="C101" s="4138"/>
      <c r="D101" s="4138"/>
      <c r="E101" s="4138"/>
      <c r="F101" s="156"/>
      <c r="G101" s="156"/>
      <c r="H101" s="156"/>
      <c r="I101" s="156"/>
      <c r="J101" s="156"/>
      <c r="K101" s="153"/>
    </row>
    <row r="102" spans="2:11" ht="15" customHeight="1">
      <c r="B102" s="7608" t="s">
        <v>2307</v>
      </c>
      <c r="C102" s="7608"/>
      <c r="D102" s="7608"/>
      <c r="E102" s="7608"/>
      <c r="F102" s="156"/>
      <c r="G102" s="7608" t="s">
        <v>2381</v>
      </c>
      <c r="H102" s="7608"/>
      <c r="I102" s="7608"/>
      <c r="J102" s="7608"/>
      <c r="K102" s="153"/>
    </row>
    <row r="103" spans="2:11" ht="29.4" thickBot="1">
      <c r="B103" s="3776" t="s">
        <v>88</v>
      </c>
      <c r="C103" s="3777" t="s">
        <v>89</v>
      </c>
      <c r="D103" s="3777" t="s">
        <v>554</v>
      </c>
      <c r="E103" s="3777" t="s">
        <v>90</v>
      </c>
      <c r="F103" s="156"/>
      <c r="G103" s="1780" t="s">
        <v>88</v>
      </c>
      <c r="H103" s="1887" t="s">
        <v>89</v>
      </c>
      <c r="I103" s="1887" t="s">
        <v>554</v>
      </c>
      <c r="J103" s="1887" t="s">
        <v>90</v>
      </c>
      <c r="K103" s="153"/>
    </row>
    <row r="104" spans="2:11" ht="14.4">
      <c r="B104" s="3778" t="s">
        <v>92</v>
      </c>
      <c r="C104" s="3779">
        <v>1</v>
      </c>
      <c r="D104" s="3779">
        <v>2</v>
      </c>
      <c r="E104" s="3780">
        <v>128</v>
      </c>
      <c r="F104" s="156"/>
      <c r="G104" s="1869" t="s">
        <v>92</v>
      </c>
      <c r="H104" s="1868">
        <v>1</v>
      </c>
      <c r="I104" s="1868">
        <v>2</v>
      </c>
      <c r="J104" s="1888">
        <v>120</v>
      </c>
      <c r="K104" s="153"/>
    </row>
    <row r="105" spans="2:11" ht="14.4">
      <c r="B105" s="3781" t="s">
        <v>1687</v>
      </c>
      <c r="C105" s="3782">
        <v>2</v>
      </c>
      <c r="D105" s="3782">
        <v>14</v>
      </c>
      <c r="E105" s="3783">
        <v>615</v>
      </c>
      <c r="F105" s="156"/>
      <c r="G105" s="1871" t="s">
        <v>2380</v>
      </c>
      <c r="H105" s="1870">
        <v>2</v>
      </c>
      <c r="I105" s="1870">
        <v>19</v>
      </c>
      <c r="J105" s="1889">
        <v>659</v>
      </c>
      <c r="K105" s="153"/>
    </row>
    <row r="106" spans="2:11" ht="14.4">
      <c r="B106" s="3781" t="s">
        <v>153</v>
      </c>
      <c r="C106" s="3782">
        <v>3</v>
      </c>
      <c r="D106" s="3782">
        <v>32</v>
      </c>
      <c r="E106" s="3783">
        <v>892</v>
      </c>
      <c r="F106" s="156"/>
      <c r="G106" s="1871" t="s">
        <v>153</v>
      </c>
      <c r="H106" s="1870">
        <v>3</v>
      </c>
      <c r="I106" s="1870">
        <v>33</v>
      </c>
      <c r="J106" s="1889">
        <v>895</v>
      </c>
      <c r="K106" s="153"/>
    </row>
    <row r="107" spans="2:11" ht="14.4">
      <c r="B107" s="3784" t="s">
        <v>95</v>
      </c>
      <c r="C107" s="3785">
        <v>4</v>
      </c>
      <c r="D107" s="3785">
        <v>34</v>
      </c>
      <c r="E107" s="3786">
        <v>974</v>
      </c>
      <c r="F107" s="156"/>
      <c r="G107" s="1871" t="s">
        <v>96</v>
      </c>
      <c r="H107" s="1870">
        <v>4</v>
      </c>
      <c r="I107" s="1870">
        <v>34</v>
      </c>
      <c r="J107" s="1889">
        <v>943</v>
      </c>
      <c r="K107" s="153"/>
    </row>
    <row r="108" spans="2:11" ht="14.4">
      <c r="B108" s="3781" t="s">
        <v>96</v>
      </c>
      <c r="C108" s="3782">
        <v>5</v>
      </c>
      <c r="D108" s="3782">
        <v>36</v>
      </c>
      <c r="E108" s="3783">
        <v>1047</v>
      </c>
      <c r="F108" s="156"/>
      <c r="G108" s="1873" t="s">
        <v>95</v>
      </c>
      <c r="H108" s="1872">
        <v>5</v>
      </c>
      <c r="I108" s="1872">
        <v>35</v>
      </c>
      <c r="J108" s="1891">
        <v>991</v>
      </c>
      <c r="K108" s="153"/>
    </row>
    <row r="109" spans="2:11" ht="14.4">
      <c r="B109" s="3781" t="s">
        <v>555</v>
      </c>
      <c r="C109" s="3782">
        <v>6</v>
      </c>
      <c r="D109" s="3782">
        <v>45</v>
      </c>
      <c r="E109" s="3783">
        <v>1152</v>
      </c>
      <c r="F109" s="156"/>
      <c r="G109" s="1871" t="s">
        <v>555</v>
      </c>
      <c r="H109" s="1870">
        <v>6</v>
      </c>
      <c r="I109" s="1870">
        <v>43</v>
      </c>
      <c r="J109" s="1889">
        <v>1153</v>
      </c>
      <c r="K109" s="153"/>
    </row>
    <row r="110" spans="2:11" ht="14.4">
      <c r="B110" s="3781" t="s">
        <v>156</v>
      </c>
      <c r="C110" s="3782">
        <v>7</v>
      </c>
      <c r="D110" s="3782">
        <v>53</v>
      </c>
      <c r="E110" s="3783">
        <v>1320</v>
      </c>
      <c r="F110" s="156"/>
      <c r="G110" s="1871" t="s">
        <v>156</v>
      </c>
      <c r="H110" s="1870">
        <v>7</v>
      </c>
      <c r="I110" s="1870">
        <v>53</v>
      </c>
      <c r="J110" s="1889">
        <v>1288</v>
      </c>
      <c r="K110" s="153"/>
    </row>
    <row r="111" spans="2:11" ht="14.4">
      <c r="B111" s="3781" t="s">
        <v>473</v>
      </c>
      <c r="C111" s="3782">
        <v>8</v>
      </c>
      <c r="D111" s="3782">
        <v>55</v>
      </c>
      <c r="E111" s="3782">
        <v>1375</v>
      </c>
      <c r="F111" s="156"/>
      <c r="G111" s="1871" t="s">
        <v>473</v>
      </c>
      <c r="H111" s="1870">
        <v>8</v>
      </c>
      <c r="I111" s="1870">
        <v>62</v>
      </c>
      <c r="J111" s="1870">
        <v>1478</v>
      </c>
      <c r="K111" s="153"/>
    </row>
    <row r="112" spans="2:11" ht="14.4">
      <c r="B112" s="3781" t="s">
        <v>325</v>
      </c>
      <c r="C112" s="3782">
        <v>9</v>
      </c>
      <c r="D112" s="3782">
        <v>61</v>
      </c>
      <c r="E112" s="3783">
        <v>1480</v>
      </c>
      <c r="F112" s="156"/>
      <c r="G112" s="1871" t="s">
        <v>1688</v>
      </c>
      <c r="H112" s="1870">
        <v>9</v>
      </c>
      <c r="I112" s="1870">
        <v>63</v>
      </c>
      <c r="J112" s="1889">
        <v>1487</v>
      </c>
      <c r="K112" s="153"/>
    </row>
    <row r="113" spans="2:11" ht="14.4">
      <c r="B113" s="3781" t="s">
        <v>472</v>
      </c>
      <c r="C113" s="3782">
        <v>10</v>
      </c>
      <c r="D113" s="3782">
        <v>69</v>
      </c>
      <c r="E113" s="3783">
        <v>1571</v>
      </c>
      <c r="F113" s="156"/>
      <c r="G113" s="1871" t="s">
        <v>325</v>
      </c>
      <c r="H113" s="1870">
        <v>10</v>
      </c>
      <c r="I113" s="1870">
        <v>67</v>
      </c>
      <c r="J113" s="1889">
        <v>1522</v>
      </c>
      <c r="K113" s="153"/>
    </row>
    <row r="114" spans="2:11" ht="14.4">
      <c r="B114" s="3781" t="s">
        <v>633</v>
      </c>
      <c r="C114" s="3782">
        <v>11</v>
      </c>
      <c r="D114" s="3782">
        <v>74</v>
      </c>
      <c r="E114" s="3783">
        <v>1606</v>
      </c>
      <c r="F114" s="156"/>
      <c r="G114" s="1871" t="s">
        <v>633</v>
      </c>
      <c r="H114" s="1870">
        <v>11</v>
      </c>
      <c r="I114" s="1870">
        <v>73</v>
      </c>
      <c r="J114" s="1889">
        <v>1614</v>
      </c>
      <c r="K114" s="153"/>
    </row>
    <row r="115" spans="2:11" ht="14.4">
      <c r="B115" s="3781" t="s">
        <v>324</v>
      </c>
      <c r="C115" s="3782">
        <v>12</v>
      </c>
      <c r="D115" s="3782">
        <v>79</v>
      </c>
      <c r="E115" s="3783">
        <v>1702</v>
      </c>
      <c r="F115" s="156"/>
      <c r="G115" s="1871" t="s">
        <v>634</v>
      </c>
      <c r="H115" s="1870">
        <v>12</v>
      </c>
      <c r="I115" s="1870">
        <v>78</v>
      </c>
      <c r="J115" s="1889">
        <v>1677</v>
      </c>
      <c r="K115" s="153"/>
    </row>
    <row r="116" spans="2:11" ht="14.4">
      <c r="B116" s="3787" t="s">
        <v>2305</v>
      </c>
      <c r="C116" s="3782">
        <v>13</v>
      </c>
      <c r="D116" s="3782">
        <v>102</v>
      </c>
      <c r="E116" s="3783">
        <v>1991</v>
      </c>
      <c r="F116" s="156"/>
      <c r="G116" s="1871" t="s">
        <v>472</v>
      </c>
      <c r="H116" s="1870">
        <v>13</v>
      </c>
      <c r="I116" s="1870">
        <v>79</v>
      </c>
      <c r="J116" s="1870">
        <v>1685</v>
      </c>
      <c r="K116" s="153"/>
    </row>
    <row r="117" spans="2:11" ht="14.4">
      <c r="B117" s="3781" t="s">
        <v>2306</v>
      </c>
      <c r="C117" s="3782">
        <v>14</v>
      </c>
      <c r="D117" s="3782">
        <v>105</v>
      </c>
      <c r="E117" s="3782">
        <v>2022</v>
      </c>
      <c r="F117" s="156"/>
      <c r="G117" s="1871" t="s">
        <v>324</v>
      </c>
      <c r="H117" s="1870">
        <v>14</v>
      </c>
      <c r="I117" s="1870">
        <v>81</v>
      </c>
      <c r="J117" s="1870">
        <v>1716</v>
      </c>
      <c r="K117" s="153"/>
    </row>
    <row r="118" spans="2:11" ht="14.4">
      <c r="B118" s="3788" t="s">
        <v>641</v>
      </c>
      <c r="C118" s="3789">
        <v>15</v>
      </c>
      <c r="D118" s="3789">
        <v>108</v>
      </c>
      <c r="E118" s="3790">
        <v>2047</v>
      </c>
      <c r="F118" s="156"/>
      <c r="G118" s="1877" t="s">
        <v>2306</v>
      </c>
      <c r="H118" s="1876">
        <v>15</v>
      </c>
      <c r="I118" s="1876">
        <v>116</v>
      </c>
      <c r="J118" s="1890">
        <v>2114</v>
      </c>
      <c r="K118" s="153"/>
    </row>
    <row r="119" spans="2:11" ht="14.4">
      <c r="B119" s="955"/>
      <c r="C119" s="955"/>
      <c r="D119" s="955"/>
      <c r="E119" s="955"/>
      <c r="F119" s="156"/>
      <c r="G119" s="156"/>
      <c r="H119" s="156"/>
      <c r="I119" s="156"/>
      <c r="J119" s="156"/>
      <c r="K119" s="153"/>
    </row>
    <row r="120" spans="2:11" ht="15.6">
      <c r="B120" s="7608" t="s">
        <v>1686</v>
      </c>
      <c r="C120" s="7608"/>
      <c r="D120" s="7608"/>
      <c r="E120" s="7608"/>
      <c r="F120" s="156"/>
      <c r="G120" s="156"/>
      <c r="H120" s="156"/>
      <c r="I120" s="156"/>
      <c r="J120" s="156"/>
      <c r="K120" s="153"/>
    </row>
    <row r="121" spans="2:11" ht="29.4" thickBot="1">
      <c r="B121" s="3776" t="s">
        <v>88</v>
      </c>
      <c r="C121" s="3777" t="s">
        <v>89</v>
      </c>
      <c r="D121" s="3777" t="s">
        <v>554</v>
      </c>
      <c r="E121" s="3777" t="s">
        <v>90</v>
      </c>
      <c r="F121" s="156"/>
      <c r="G121" s="156"/>
      <c r="H121" s="156"/>
      <c r="I121" s="156"/>
      <c r="J121" s="156"/>
      <c r="K121" s="153"/>
    </row>
    <row r="122" spans="2:11" ht="14.4">
      <c r="B122" s="3778" t="s">
        <v>92</v>
      </c>
      <c r="C122" s="3779">
        <v>1</v>
      </c>
      <c r="D122" s="3779">
        <v>2</v>
      </c>
      <c r="E122" s="3780">
        <v>120</v>
      </c>
      <c r="F122" s="156"/>
      <c r="G122" s="156"/>
      <c r="H122" s="156"/>
      <c r="I122" s="156"/>
      <c r="J122" s="156"/>
      <c r="K122" s="153"/>
    </row>
    <row r="123" spans="2:11" ht="14.4">
      <c r="B123" s="3781" t="s">
        <v>1687</v>
      </c>
      <c r="C123" s="3782">
        <v>2</v>
      </c>
      <c r="D123" s="3782">
        <v>20</v>
      </c>
      <c r="E123" s="3783">
        <v>631</v>
      </c>
      <c r="F123" s="156"/>
      <c r="G123" s="156"/>
      <c r="H123" s="156"/>
      <c r="I123" s="156"/>
      <c r="J123" s="156"/>
      <c r="K123" s="153"/>
    </row>
    <row r="124" spans="2:11" ht="14.4">
      <c r="B124" s="3781" t="s">
        <v>1688</v>
      </c>
      <c r="C124" s="3782">
        <v>3</v>
      </c>
      <c r="D124" s="3782">
        <v>28</v>
      </c>
      <c r="E124" s="3783">
        <v>757</v>
      </c>
      <c r="F124" s="156"/>
      <c r="G124" s="156"/>
      <c r="H124" s="156"/>
      <c r="I124" s="156"/>
      <c r="J124" s="156"/>
      <c r="K124" s="153"/>
    </row>
    <row r="125" spans="2:11" ht="14.4">
      <c r="B125" s="3784" t="s">
        <v>95</v>
      </c>
      <c r="C125" s="3785">
        <v>4</v>
      </c>
      <c r="D125" s="3785">
        <v>31</v>
      </c>
      <c r="E125" s="3786">
        <v>809</v>
      </c>
      <c r="F125" s="156"/>
      <c r="G125" s="156"/>
      <c r="H125" s="156"/>
      <c r="I125" s="156"/>
      <c r="J125" s="156"/>
      <c r="K125" s="153"/>
    </row>
    <row r="126" spans="2:11" ht="14.4">
      <c r="B126" s="3781" t="s">
        <v>153</v>
      </c>
      <c r="C126" s="3782">
        <v>5</v>
      </c>
      <c r="D126" s="3782">
        <v>32</v>
      </c>
      <c r="E126" s="3783">
        <v>830</v>
      </c>
      <c r="F126" s="156"/>
      <c r="G126" s="156"/>
      <c r="H126" s="156"/>
      <c r="I126" s="156"/>
      <c r="J126" s="156"/>
      <c r="K126" s="153"/>
    </row>
    <row r="127" spans="2:11" ht="14.4">
      <c r="B127" s="3781" t="s">
        <v>96</v>
      </c>
      <c r="C127" s="3782">
        <v>6</v>
      </c>
      <c r="D127" s="3782">
        <v>36</v>
      </c>
      <c r="E127" s="3783">
        <v>888</v>
      </c>
      <c r="F127" s="156"/>
      <c r="G127" s="156"/>
      <c r="H127" s="156"/>
      <c r="I127" s="156"/>
      <c r="J127" s="156"/>
      <c r="K127" s="153"/>
    </row>
    <row r="128" spans="2:11" ht="14.4">
      <c r="B128" s="3781" t="s">
        <v>555</v>
      </c>
      <c r="C128" s="3782">
        <v>7</v>
      </c>
      <c r="D128" s="3782">
        <v>45</v>
      </c>
      <c r="E128" s="3783">
        <v>1147</v>
      </c>
      <c r="F128" s="156"/>
      <c r="G128" s="156"/>
      <c r="H128" s="156"/>
      <c r="I128" s="156"/>
      <c r="J128" s="156"/>
      <c r="K128" s="153"/>
    </row>
    <row r="129" spans="2:11" ht="14.4">
      <c r="B129" s="3781" t="s">
        <v>156</v>
      </c>
      <c r="C129" s="3782">
        <v>8</v>
      </c>
      <c r="D129" s="3782">
        <v>50</v>
      </c>
      <c r="E129" s="3782">
        <v>1228</v>
      </c>
      <c r="F129" s="156"/>
      <c r="G129" s="156"/>
      <c r="H129" s="156"/>
      <c r="I129" s="156"/>
      <c r="J129" s="156"/>
      <c r="K129" s="153"/>
    </row>
    <row r="130" spans="2:11" ht="14.4">
      <c r="B130" s="3781" t="s">
        <v>473</v>
      </c>
      <c r="C130" s="3782">
        <v>9</v>
      </c>
      <c r="D130" s="3782">
        <v>58</v>
      </c>
      <c r="E130" s="3783">
        <v>1406</v>
      </c>
      <c r="F130" s="156"/>
      <c r="G130" s="156"/>
      <c r="H130" s="156"/>
      <c r="I130" s="156"/>
      <c r="J130" s="156"/>
      <c r="K130" s="153"/>
    </row>
    <row r="131" spans="2:11" ht="14.4">
      <c r="B131" s="3781" t="s">
        <v>325</v>
      </c>
      <c r="C131" s="3782">
        <v>10</v>
      </c>
      <c r="D131" s="3782">
        <v>69</v>
      </c>
      <c r="E131" s="3783">
        <v>1484</v>
      </c>
      <c r="F131" s="156"/>
      <c r="G131" s="156"/>
      <c r="H131" s="156"/>
      <c r="I131" s="156"/>
      <c r="J131" s="156"/>
      <c r="K131" s="153"/>
    </row>
    <row r="132" spans="2:11" ht="14.4">
      <c r="B132" s="3781" t="s">
        <v>472</v>
      </c>
      <c r="C132" s="3782">
        <v>11</v>
      </c>
      <c r="D132" s="3782">
        <v>70</v>
      </c>
      <c r="E132" s="3783">
        <v>1484</v>
      </c>
      <c r="F132" s="156"/>
      <c r="G132" s="156"/>
      <c r="H132" s="156"/>
      <c r="I132" s="156"/>
      <c r="J132" s="156"/>
      <c r="K132" s="153"/>
    </row>
    <row r="133" spans="2:11" ht="14.4">
      <c r="B133" s="3781" t="s">
        <v>633</v>
      </c>
      <c r="C133" s="3782">
        <v>12</v>
      </c>
      <c r="D133" s="3782">
        <v>73</v>
      </c>
      <c r="E133" s="3783">
        <v>1493</v>
      </c>
      <c r="F133" s="156"/>
      <c r="G133" s="156"/>
      <c r="H133" s="156"/>
      <c r="I133" s="156"/>
      <c r="J133" s="156"/>
      <c r="K133" s="153"/>
    </row>
    <row r="134" spans="2:11" ht="14.4">
      <c r="B134" s="3787" t="s">
        <v>324</v>
      </c>
      <c r="C134" s="3782">
        <v>13</v>
      </c>
      <c r="D134" s="3782">
        <v>81</v>
      </c>
      <c r="E134" s="3783">
        <v>1631</v>
      </c>
      <c r="F134" s="156"/>
      <c r="G134" s="156"/>
      <c r="H134" s="156"/>
      <c r="I134" s="156"/>
      <c r="J134" s="156"/>
      <c r="K134" s="153"/>
    </row>
    <row r="135" spans="2:11" ht="14.4">
      <c r="B135" s="3781" t="s">
        <v>596</v>
      </c>
      <c r="C135" s="3782">
        <v>14</v>
      </c>
      <c r="D135" s="3782">
        <v>82</v>
      </c>
      <c r="E135" s="3782">
        <v>1642</v>
      </c>
      <c r="F135" s="156"/>
      <c r="G135" s="156"/>
      <c r="H135" s="156"/>
      <c r="I135" s="156"/>
      <c r="J135" s="156"/>
      <c r="K135" s="153"/>
    </row>
    <row r="136" spans="2:11" ht="12.6" customHeight="1">
      <c r="B136" s="3788" t="s">
        <v>539</v>
      </c>
      <c r="C136" s="3789">
        <v>15</v>
      </c>
      <c r="D136" s="3789">
        <v>84</v>
      </c>
      <c r="E136" s="3790">
        <v>1658</v>
      </c>
      <c r="F136" s="156"/>
      <c r="G136" s="156"/>
      <c r="H136" s="156"/>
      <c r="I136" s="156"/>
      <c r="J136" s="156"/>
      <c r="K136" s="153"/>
    </row>
    <row r="137" spans="2:11" ht="14.4">
      <c r="B137" s="955"/>
      <c r="C137" s="955"/>
      <c r="D137" s="955"/>
      <c r="E137" s="955"/>
      <c r="F137" s="156"/>
      <c r="G137" s="156"/>
      <c r="H137" s="156"/>
      <c r="I137" s="156"/>
      <c r="J137" s="156"/>
      <c r="K137" s="153"/>
    </row>
    <row r="138" spans="2:11" ht="14.4">
      <c r="B138" s="955"/>
      <c r="C138" s="955"/>
      <c r="D138" s="955"/>
      <c r="E138" s="955"/>
      <c r="F138" s="156"/>
      <c r="G138" s="156"/>
      <c r="H138" s="156"/>
      <c r="I138" s="156"/>
      <c r="J138" s="156"/>
      <c r="K138" s="153"/>
    </row>
    <row r="139" spans="2:11" ht="15.6">
      <c r="B139" s="7608" t="s">
        <v>1562</v>
      </c>
      <c r="C139" s="7608"/>
      <c r="D139" s="7608"/>
      <c r="E139" s="7608"/>
      <c r="F139" s="156"/>
      <c r="G139" s="156"/>
      <c r="H139" s="156"/>
      <c r="I139" s="156"/>
      <c r="J139" s="156"/>
      <c r="K139" s="153"/>
    </row>
    <row r="140" spans="2:11" ht="29.4" thickBot="1">
      <c r="B140" s="3776" t="s">
        <v>88</v>
      </c>
      <c r="C140" s="3777" t="s">
        <v>89</v>
      </c>
      <c r="D140" s="3777" t="s">
        <v>554</v>
      </c>
      <c r="E140" s="3777" t="s">
        <v>90</v>
      </c>
      <c r="F140" s="156"/>
      <c r="G140" s="156"/>
      <c r="H140" s="156"/>
      <c r="I140" s="156"/>
      <c r="J140" s="156"/>
      <c r="K140" s="153"/>
    </row>
    <row r="141" spans="2:11" ht="15" customHeight="1">
      <c r="B141" s="3778" t="s">
        <v>92</v>
      </c>
      <c r="C141" s="3779">
        <v>1</v>
      </c>
      <c r="D141" s="3779">
        <v>2</v>
      </c>
      <c r="E141" s="3780">
        <v>58</v>
      </c>
      <c r="F141" s="156"/>
      <c r="G141" s="156"/>
      <c r="H141" s="156"/>
      <c r="I141" s="156"/>
      <c r="J141" s="156"/>
      <c r="K141" s="153"/>
    </row>
    <row r="142" spans="2:11" ht="14.4">
      <c r="B142" s="3781" t="s">
        <v>717</v>
      </c>
      <c r="C142" s="3782">
        <v>2</v>
      </c>
      <c r="D142" s="3782">
        <v>21</v>
      </c>
      <c r="E142" s="3783">
        <v>663</v>
      </c>
      <c r="F142" s="156"/>
      <c r="G142" s="156"/>
      <c r="H142" s="156"/>
      <c r="I142" s="156"/>
      <c r="J142" s="156"/>
      <c r="K142" s="153"/>
    </row>
    <row r="143" spans="2:11" ht="15" customHeight="1">
      <c r="B143" s="3784" t="s">
        <v>471</v>
      </c>
      <c r="C143" s="3785">
        <v>3</v>
      </c>
      <c r="D143" s="3785">
        <v>26</v>
      </c>
      <c r="E143" s="3786">
        <v>739</v>
      </c>
      <c r="F143" s="156"/>
      <c r="G143" s="156"/>
      <c r="H143" s="156"/>
      <c r="I143" s="156"/>
      <c r="J143" s="156"/>
      <c r="K143" s="153"/>
    </row>
    <row r="144" spans="2:11" ht="15" customHeight="1">
      <c r="B144" s="3791" t="s">
        <v>399</v>
      </c>
      <c r="C144" s="3792">
        <v>4</v>
      </c>
      <c r="D144" s="3792">
        <v>27</v>
      </c>
      <c r="E144" s="3793">
        <v>744</v>
      </c>
      <c r="F144" s="156"/>
      <c r="G144" s="156"/>
      <c r="H144" s="156"/>
      <c r="I144" s="156"/>
      <c r="J144" s="156"/>
      <c r="K144" s="153"/>
    </row>
    <row r="145" spans="2:11" ht="15" customHeight="1">
      <c r="B145" s="3781" t="s">
        <v>718</v>
      </c>
      <c r="C145" s="3782">
        <v>5</v>
      </c>
      <c r="D145" s="3782">
        <v>30</v>
      </c>
      <c r="E145" s="3783">
        <v>772</v>
      </c>
      <c r="F145" s="156"/>
      <c r="G145" s="156"/>
      <c r="H145" s="156"/>
      <c r="I145" s="156"/>
      <c r="J145" s="156"/>
      <c r="K145" s="153"/>
    </row>
    <row r="146" spans="2:11" ht="15" customHeight="1">
      <c r="B146" s="3781" t="s">
        <v>96</v>
      </c>
      <c r="C146" s="3782">
        <v>6</v>
      </c>
      <c r="D146" s="3782">
        <v>31</v>
      </c>
      <c r="E146" s="3783">
        <v>779</v>
      </c>
      <c r="F146" s="156"/>
      <c r="G146" s="156"/>
      <c r="H146" s="156"/>
      <c r="I146" s="156"/>
      <c r="J146" s="156"/>
      <c r="K146" s="153"/>
    </row>
    <row r="147" spans="2:11" ht="15" customHeight="1">
      <c r="B147" s="3781" t="s">
        <v>321</v>
      </c>
      <c r="C147" s="3782">
        <v>7</v>
      </c>
      <c r="D147" s="3782">
        <v>42</v>
      </c>
      <c r="E147" s="3783">
        <v>1004</v>
      </c>
      <c r="F147" s="156"/>
      <c r="G147" s="156"/>
      <c r="H147" s="156"/>
      <c r="I147" s="156"/>
      <c r="J147" s="156"/>
      <c r="K147" s="153"/>
    </row>
    <row r="148" spans="2:11" ht="15" customHeight="1">
      <c r="B148" s="3781" t="s">
        <v>316</v>
      </c>
      <c r="C148" s="3782">
        <v>8</v>
      </c>
      <c r="D148" s="3782">
        <v>48</v>
      </c>
      <c r="E148" s="3782">
        <v>1093</v>
      </c>
      <c r="F148" s="156"/>
      <c r="G148" s="156"/>
      <c r="H148" s="156"/>
      <c r="I148" s="156"/>
      <c r="J148" s="156"/>
      <c r="K148" s="153"/>
    </row>
    <row r="149" spans="2:11" ht="15" customHeight="1">
      <c r="B149" s="3781" t="s">
        <v>473</v>
      </c>
      <c r="C149" s="3782">
        <v>9</v>
      </c>
      <c r="D149" s="3782">
        <v>59</v>
      </c>
      <c r="E149" s="3783">
        <v>1281</v>
      </c>
      <c r="F149" s="156"/>
      <c r="G149" s="156"/>
      <c r="H149" s="156"/>
      <c r="I149" s="156"/>
      <c r="J149" s="156"/>
      <c r="K149" s="153"/>
    </row>
    <row r="150" spans="2:11" ht="15" customHeight="1">
      <c r="B150" s="3781" t="s">
        <v>326</v>
      </c>
      <c r="C150" s="3782">
        <v>10</v>
      </c>
      <c r="D150" s="3782">
        <v>67</v>
      </c>
      <c r="E150" s="3783">
        <v>1343</v>
      </c>
      <c r="F150" s="156"/>
      <c r="G150" s="156"/>
      <c r="H150" s="156"/>
      <c r="I150" s="156"/>
      <c r="J150" s="156"/>
      <c r="K150" s="153"/>
    </row>
    <row r="151" spans="2:11" ht="15" customHeight="1">
      <c r="B151" s="3781" t="s">
        <v>634</v>
      </c>
      <c r="C151" s="3782">
        <v>11</v>
      </c>
      <c r="D151" s="3782">
        <v>69</v>
      </c>
      <c r="E151" s="3783">
        <v>1356</v>
      </c>
      <c r="F151" s="156"/>
      <c r="G151" s="156"/>
      <c r="H151" s="156"/>
      <c r="I151" s="156"/>
      <c r="J151" s="156"/>
      <c r="K151" s="153"/>
    </row>
    <row r="152" spans="2:11" ht="15" customHeight="1">
      <c r="B152" s="3781" t="s">
        <v>633</v>
      </c>
      <c r="C152" s="3782">
        <v>12</v>
      </c>
      <c r="D152" s="3782">
        <v>75</v>
      </c>
      <c r="E152" s="3783">
        <v>1405</v>
      </c>
      <c r="F152" s="156"/>
      <c r="G152" s="156"/>
      <c r="H152" s="156"/>
      <c r="I152" s="156"/>
      <c r="J152" s="156"/>
      <c r="K152" s="153"/>
    </row>
    <row r="153" spans="2:11" ht="15" customHeight="1">
      <c r="B153" s="3787" t="s">
        <v>636</v>
      </c>
      <c r="C153" s="3782">
        <v>13</v>
      </c>
      <c r="D153" s="3782">
        <v>78</v>
      </c>
      <c r="E153" s="3783">
        <v>1475</v>
      </c>
      <c r="F153" s="156"/>
      <c r="G153" s="156"/>
      <c r="H153" s="156"/>
      <c r="I153" s="156"/>
      <c r="J153" s="156"/>
      <c r="K153" s="153"/>
    </row>
    <row r="154" spans="2:11" ht="15" customHeight="1">
      <c r="B154" s="3781" t="s">
        <v>472</v>
      </c>
      <c r="C154" s="3782">
        <v>14</v>
      </c>
      <c r="D154" s="3782">
        <v>79</v>
      </c>
      <c r="E154" s="3782">
        <v>1482</v>
      </c>
      <c r="F154" s="156"/>
      <c r="G154" s="156"/>
      <c r="H154" s="156"/>
      <c r="I154" s="156"/>
      <c r="J154" s="156"/>
      <c r="K154" s="153"/>
    </row>
    <row r="155" spans="2:11" ht="15" customHeight="1">
      <c r="B155" s="3788" t="s">
        <v>325</v>
      </c>
      <c r="C155" s="3789">
        <v>15</v>
      </c>
      <c r="D155" s="3789">
        <v>84</v>
      </c>
      <c r="E155" s="3790">
        <v>1522</v>
      </c>
      <c r="F155" s="156"/>
      <c r="G155" s="156"/>
      <c r="H155" s="156"/>
      <c r="I155" s="156"/>
      <c r="J155" s="156"/>
      <c r="K155" s="153"/>
    </row>
    <row r="156" spans="2:11" ht="14.4">
      <c r="B156" s="1736" t="s">
        <v>1563</v>
      </c>
      <c r="C156" s="955"/>
      <c r="D156" s="955"/>
      <c r="E156" s="955"/>
      <c r="F156" s="156"/>
      <c r="G156" s="156"/>
      <c r="H156" s="156"/>
      <c r="I156" s="156"/>
      <c r="J156" s="156"/>
      <c r="K156" s="153"/>
    </row>
    <row r="157" spans="2:11" ht="14.4">
      <c r="B157" s="955"/>
      <c r="C157" s="955"/>
      <c r="D157" s="955"/>
      <c r="E157" s="955"/>
      <c r="F157" s="156"/>
      <c r="G157" s="156"/>
      <c r="H157" s="156"/>
      <c r="I157" s="156"/>
      <c r="J157" s="156"/>
      <c r="K157" s="153"/>
    </row>
    <row r="158" spans="2:11" ht="14.4">
      <c r="C158" s="80"/>
      <c r="D158" s="80"/>
      <c r="E158" s="80"/>
      <c r="F158" s="80"/>
      <c r="G158" s="80"/>
      <c r="H158" s="156"/>
      <c r="I158" s="156"/>
      <c r="J158" s="156"/>
      <c r="K158" s="153"/>
    </row>
    <row r="159" spans="2:11" ht="20.25" customHeight="1">
      <c r="B159" s="7608" t="s">
        <v>716</v>
      </c>
      <c r="C159" s="7608"/>
      <c r="D159" s="7608"/>
      <c r="E159" s="7608"/>
      <c r="F159" s="80"/>
      <c r="G159" s="80"/>
      <c r="H159" s="156"/>
      <c r="I159" s="156"/>
      <c r="J159" s="156"/>
      <c r="K159" s="153"/>
    </row>
    <row r="160" spans="2:11" ht="29.4" thickBot="1">
      <c r="B160" s="3776" t="s">
        <v>88</v>
      </c>
      <c r="C160" s="3777" t="s">
        <v>89</v>
      </c>
      <c r="D160" s="3777" t="s">
        <v>554</v>
      </c>
      <c r="E160" s="3777" t="s">
        <v>90</v>
      </c>
      <c r="F160" s="80"/>
      <c r="G160" s="80"/>
      <c r="H160" s="156"/>
      <c r="I160" s="156"/>
      <c r="J160" s="156"/>
      <c r="K160" s="153"/>
    </row>
    <row r="161" spans="2:11" ht="15" customHeight="1">
      <c r="B161" s="3778" t="s">
        <v>92</v>
      </c>
      <c r="C161" s="3779">
        <v>1</v>
      </c>
      <c r="D161" s="3779">
        <v>2</v>
      </c>
      <c r="E161" s="3780">
        <v>56</v>
      </c>
      <c r="F161" s="80"/>
      <c r="G161" s="80"/>
      <c r="H161" s="156"/>
      <c r="I161" s="156"/>
      <c r="J161" s="156"/>
      <c r="K161" s="153"/>
    </row>
    <row r="162" spans="2:11" ht="14.4">
      <c r="B162" s="3781" t="s">
        <v>717</v>
      </c>
      <c r="C162" s="3782">
        <v>2</v>
      </c>
      <c r="D162" s="3782">
        <v>22</v>
      </c>
      <c r="E162" s="3783">
        <v>597</v>
      </c>
      <c r="F162" s="80"/>
      <c r="G162" s="80"/>
      <c r="H162" s="156"/>
      <c r="I162" s="156"/>
      <c r="J162" s="156"/>
      <c r="K162" s="153"/>
    </row>
    <row r="163" spans="2:11" ht="15" customHeight="1">
      <c r="B163" s="3781" t="s">
        <v>96</v>
      </c>
      <c r="C163" s="3782">
        <v>3</v>
      </c>
      <c r="D163" s="3782">
        <v>25</v>
      </c>
      <c r="E163" s="3783">
        <v>683</v>
      </c>
      <c r="F163" s="80"/>
      <c r="G163" s="80"/>
      <c r="H163" s="156"/>
      <c r="I163" s="156"/>
      <c r="J163" s="156"/>
      <c r="K163" s="153"/>
    </row>
    <row r="164" spans="2:11" ht="15" customHeight="1">
      <c r="B164" s="3784" t="s">
        <v>471</v>
      </c>
      <c r="C164" s="3785">
        <v>4</v>
      </c>
      <c r="D164" s="3785">
        <v>29</v>
      </c>
      <c r="E164" s="3786">
        <v>742</v>
      </c>
      <c r="F164" s="80"/>
      <c r="G164" s="80"/>
      <c r="H164" s="156"/>
      <c r="I164" s="156"/>
      <c r="J164" s="156"/>
      <c r="K164" s="153"/>
    </row>
    <row r="165" spans="2:11" ht="15" customHeight="1">
      <c r="B165" s="3781" t="s">
        <v>399</v>
      </c>
      <c r="C165" s="3782">
        <v>5</v>
      </c>
      <c r="D165" s="3782">
        <v>34</v>
      </c>
      <c r="E165" s="3783">
        <v>791</v>
      </c>
      <c r="F165" s="80"/>
      <c r="G165" s="80"/>
      <c r="H165" s="156"/>
      <c r="I165" s="156"/>
      <c r="J165" s="156"/>
      <c r="K165" s="153"/>
    </row>
    <row r="166" spans="2:11" ht="15" customHeight="1">
      <c r="B166" s="3781" t="s">
        <v>316</v>
      </c>
      <c r="C166" s="3782">
        <v>6</v>
      </c>
      <c r="D166" s="3782">
        <v>41</v>
      </c>
      <c r="E166" s="3783">
        <v>878</v>
      </c>
      <c r="F166" s="80"/>
      <c r="G166" s="80"/>
      <c r="H166" s="156"/>
      <c r="I166" s="156"/>
      <c r="J166" s="156"/>
      <c r="K166" s="153"/>
    </row>
    <row r="167" spans="2:11" ht="15" customHeight="1">
      <c r="B167" s="3781" t="s">
        <v>718</v>
      </c>
      <c r="C167" s="3782">
        <v>7</v>
      </c>
      <c r="D167" s="3782">
        <v>46</v>
      </c>
      <c r="E167" s="3783">
        <v>912</v>
      </c>
      <c r="F167" s="80"/>
      <c r="G167" s="80"/>
      <c r="H167" s="156"/>
      <c r="I167" s="156"/>
      <c r="J167" s="156"/>
      <c r="K167" s="153"/>
    </row>
    <row r="168" spans="2:11" ht="15" customHeight="1">
      <c r="B168" s="3781" t="s">
        <v>326</v>
      </c>
      <c r="C168" s="3782">
        <v>8</v>
      </c>
      <c r="D168" s="3782">
        <v>62</v>
      </c>
      <c r="E168" s="3782">
        <v>1262</v>
      </c>
      <c r="F168" s="80"/>
      <c r="G168" s="80"/>
      <c r="H168" s="156"/>
      <c r="I168" s="156"/>
      <c r="J168" s="156"/>
      <c r="K168" s="153"/>
    </row>
    <row r="169" spans="2:11" ht="15" customHeight="1">
      <c r="B169" s="3781" t="s">
        <v>472</v>
      </c>
      <c r="C169" s="3782">
        <v>9</v>
      </c>
      <c r="D169" s="3782">
        <v>69</v>
      </c>
      <c r="E169" s="3783">
        <v>1358</v>
      </c>
      <c r="F169" s="80"/>
      <c r="G169" s="80"/>
      <c r="H169" s="156"/>
      <c r="I169" s="156"/>
      <c r="J169" s="156"/>
      <c r="K169" s="153"/>
    </row>
    <row r="170" spans="2:11" ht="15" customHeight="1">
      <c r="B170" s="3781" t="s">
        <v>473</v>
      </c>
      <c r="C170" s="3782">
        <v>10</v>
      </c>
      <c r="D170" s="3782">
        <v>71</v>
      </c>
      <c r="E170" s="3783">
        <v>1385</v>
      </c>
      <c r="F170" s="80"/>
      <c r="G170" s="80"/>
      <c r="H170" s="156"/>
      <c r="I170" s="156"/>
      <c r="J170" s="156"/>
      <c r="K170" s="153"/>
    </row>
    <row r="171" spans="2:11" ht="15" customHeight="1">
      <c r="B171" s="3781" t="s">
        <v>633</v>
      </c>
      <c r="C171" s="3782">
        <v>11</v>
      </c>
      <c r="D171" s="3782">
        <v>75</v>
      </c>
      <c r="E171" s="3783">
        <v>1436</v>
      </c>
      <c r="F171" s="80"/>
      <c r="G171" s="80"/>
      <c r="H171" s="156"/>
      <c r="I171" s="156"/>
      <c r="J171" s="156"/>
      <c r="K171" s="153"/>
    </row>
    <row r="172" spans="2:11" ht="15" customHeight="1">
      <c r="B172" s="3781" t="s">
        <v>321</v>
      </c>
      <c r="C172" s="3782">
        <v>12</v>
      </c>
      <c r="D172" s="3782">
        <v>76</v>
      </c>
      <c r="E172" s="3783">
        <v>1437</v>
      </c>
      <c r="F172" s="80"/>
      <c r="G172" s="80"/>
      <c r="H172" s="156"/>
      <c r="I172" s="156"/>
      <c r="J172" s="156"/>
      <c r="K172" s="153"/>
    </row>
    <row r="173" spans="2:11" ht="15" customHeight="1">
      <c r="B173" s="3787" t="s">
        <v>719</v>
      </c>
      <c r="C173" s="3782">
        <v>13</v>
      </c>
      <c r="D173" s="3782">
        <v>86</v>
      </c>
      <c r="E173" s="3783">
        <v>1522</v>
      </c>
      <c r="F173" s="80"/>
      <c r="G173" s="80"/>
      <c r="H173" s="156"/>
      <c r="I173" s="156"/>
      <c r="J173" s="156"/>
      <c r="K173" s="153"/>
    </row>
    <row r="174" spans="2:11" ht="15" customHeight="1">
      <c r="B174" s="3781" t="s">
        <v>634</v>
      </c>
      <c r="C174" s="3782">
        <v>14</v>
      </c>
      <c r="D174" s="3782">
        <v>87</v>
      </c>
      <c r="E174" s="3782">
        <v>1546</v>
      </c>
      <c r="F174" s="80"/>
      <c r="G174" s="80"/>
      <c r="H174" s="156"/>
      <c r="I174" s="156"/>
      <c r="J174" s="156"/>
      <c r="K174" s="153"/>
    </row>
    <row r="175" spans="2:11" ht="15" customHeight="1">
      <c r="B175" s="3788" t="s">
        <v>632</v>
      </c>
      <c r="C175" s="3789">
        <v>15</v>
      </c>
      <c r="D175" s="3789">
        <v>94</v>
      </c>
      <c r="E175" s="3790">
        <v>1638</v>
      </c>
      <c r="F175" s="80"/>
      <c r="G175" s="80"/>
      <c r="H175" s="156"/>
      <c r="I175" s="156"/>
      <c r="J175" s="156"/>
      <c r="K175" s="153"/>
    </row>
    <row r="176" spans="2:11" ht="14.4">
      <c r="C176" s="80"/>
      <c r="D176" s="80"/>
      <c r="E176" s="80"/>
      <c r="F176" s="80"/>
      <c r="G176" s="80"/>
      <c r="H176" s="156"/>
      <c r="I176" s="156"/>
      <c r="J176" s="156"/>
      <c r="K176" s="153"/>
    </row>
    <row r="177" spans="2:11" ht="14.4">
      <c r="G177" s="150"/>
      <c r="H177" s="150"/>
      <c r="I177" s="150"/>
      <c r="J177" s="150"/>
      <c r="K177" s="150"/>
    </row>
    <row r="178" spans="2:11" ht="18" customHeight="1">
      <c r="B178" s="7608" t="s">
        <v>628</v>
      </c>
      <c r="C178" s="7608"/>
      <c r="D178" s="7608"/>
      <c r="E178" s="7608"/>
    </row>
    <row r="179" spans="2:11" ht="29.4" thickBot="1">
      <c r="B179" s="3776" t="s">
        <v>88</v>
      </c>
      <c r="C179" s="3777" t="s">
        <v>89</v>
      </c>
      <c r="D179" s="3777" t="s">
        <v>554</v>
      </c>
      <c r="E179" s="3777" t="s">
        <v>90</v>
      </c>
    </row>
    <row r="180" spans="2:11" ht="14.4">
      <c r="B180" s="3778" t="s">
        <v>92</v>
      </c>
      <c r="C180" s="3779">
        <v>1</v>
      </c>
      <c r="D180" s="3779">
        <v>2</v>
      </c>
      <c r="E180" s="3780">
        <v>50</v>
      </c>
    </row>
    <row r="181" spans="2:11" ht="14.4">
      <c r="B181" s="3784" t="s">
        <v>471</v>
      </c>
      <c r="C181" s="3785">
        <v>2</v>
      </c>
      <c r="D181" s="3785">
        <v>15</v>
      </c>
      <c r="E181" s="3786">
        <v>503</v>
      </c>
    </row>
    <row r="182" spans="2:11" ht="14.4">
      <c r="B182" s="3781" t="s">
        <v>93</v>
      </c>
      <c r="C182" s="3782">
        <v>3</v>
      </c>
      <c r="D182" s="3782">
        <v>22</v>
      </c>
      <c r="E182" s="3783">
        <v>678</v>
      </c>
    </row>
    <row r="183" spans="2:11" ht="14.4">
      <c r="B183" s="3781" t="s">
        <v>399</v>
      </c>
      <c r="C183" s="3782">
        <v>4</v>
      </c>
      <c r="D183" s="3782">
        <v>23</v>
      </c>
      <c r="E183" s="3783">
        <v>693</v>
      </c>
    </row>
    <row r="184" spans="2:11" ht="14.4">
      <c r="B184" s="3781" t="s">
        <v>96</v>
      </c>
      <c r="C184" s="3782">
        <v>5</v>
      </c>
      <c r="D184" s="3782">
        <v>25</v>
      </c>
      <c r="E184" s="3783">
        <v>764</v>
      </c>
    </row>
    <row r="185" spans="2:11" ht="14.4">
      <c r="B185" s="3781" t="s">
        <v>322</v>
      </c>
      <c r="C185" s="3782">
        <v>6</v>
      </c>
      <c r="D185" s="3782">
        <v>28</v>
      </c>
      <c r="E185" s="3783">
        <v>785</v>
      </c>
    </row>
    <row r="186" spans="2:11" ht="14.4">
      <c r="B186" s="3781" t="s">
        <v>316</v>
      </c>
      <c r="C186" s="3782">
        <v>7</v>
      </c>
      <c r="D186" s="3782">
        <v>51</v>
      </c>
      <c r="E186" s="3783">
        <v>1150</v>
      </c>
    </row>
    <row r="187" spans="2:11" ht="14.4">
      <c r="B187" s="3781" t="s">
        <v>632</v>
      </c>
      <c r="C187" s="3782">
        <v>8</v>
      </c>
      <c r="D187" s="3782">
        <v>53</v>
      </c>
      <c r="E187" s="3782">
        <v>1167</v>
      </c>
    </row>
    <row r="188" spans="2:11" ht="14.4">
      <c r="B188" s="3781" t="s">
        <v>473</v>
      </c>
      <c r="C188" s="3782">
        <v>9</v>
      </c>
      <c r="D188" s="3782">
        <v>56</v>
      </c>
      <c r="E188" s="3783">
        <v>1218</v>
      </c>
    </row>
    <row r="189" spans="2:11" ht="14.4">
      <c r="B189" s="3781" t="s">
        <v>472</v>
      </c>
      <c r="C189" s="3782">
        <v>10</v>
      </c>
      <c r="D189" s="3782">
        <v>63</v>
      </c>
      <c r="E189" s="3783">
        <v>1309</v>
      </c>
    </row>
    <row r="190" spans="2:11" ht="14.4">
      <c r="B190" s="3781" t="s">
        <v>321</v>
      </c>
      <c r="C190" s="3782">
        <v>11</v>
      </c>
      <c r="D190" s="3782">
        <v>66</v>
      </c>
      <c r="E190" s="3783">
        <v>1395</v>
      </c>
    </row>
    <row r="191" spans="2:11" ht="14.4">
      <c r="B191" s="3781" t="s">
        <v>326</v>
      </c>
      <c r="C191" s="3782">
        <v>12</v>
      </c>
      <c r="D191" s="3782">
        <v>81</v>
      </c>
      <c r="E191" s="3783">
        <v>1536</v>
      </c>
    </row>
    <row r="192" spans="2:11" ht="14.4">
      <c r="B192" s="3781" t="s">
        <v>539</v>
      </c>
      <c r="C192" s="3782">
        <v>13</v>
      </c>
      <c r="D192" s="3782">
        <v>85</v>
      </c>
      <c r="E192" s="3783">
        <v>1600</v>
      </c>
    </row>
    <row r="193" spans="2:11" ht="14.4">
      <c r="B193" s="3781" t="s">
        <v>633</v>
      </c>
      <c r="C193" s="3782">
        <v>14</v>
      </c>
      <c r="D193" s="3782">
        <v>89</v>
      </c>
      <c r="E193" s="3783">
        <v>1624</v>
      </c>
    </row>
    <row r="194" spans="2:11" ht="14.4">
      <c r="B194" s="3787" t="s">
        <v>634</v>
      </c>
      <c r="C194" s="3782">
        <v>15</v>
      </c>
      <c r="D194" s="3782">
        <v>90</v>
      </c>
      <c r="E194" s="3783">
        <v>1627</v>
      </c>
    </row>
    <row r="195" spans="2:11" ht="15" customHeight="1">
      <c r="B195" s="3781" t="s">
        <v>324</v>
      </c>
      <c r="C195" s="3782">
        <v>16</v>
      </c>
      <c r="D195" s="3782">
        <v>95</v>
      </c>
      <c r="E195" s="3782">
        <v>1676</v>
      </c>
    </row>
    <row r="196" spans="2:11" ht="14.4">
      <c r="B196" s="149"/>
    </row>
    <row r="197" spans="2:11" ht="14.4">
      <c r="B197" s="333" t="s">
        <v>75</v>
      </c>
      <c r="C197" s="334"/>
      <c r="D197" s="270"/>
    </row>
    <row r="198" spans="2:11" ht="14.4">
      <c r="B198" s="335" t="s">
        <v>557</v>
      </c>
      <c r="C198" s="335" t="s">
        <v>558</v>
      </c>
      <c r="D198" s="335" t="s">
        <v>559</v>
      </c>
    </row>
    <row r="199" spans="2:11" ht="14.4">
      <c r="B199" s="215">
        <v>915</v>
      </c>
      <c r="C199" s="215">
        <v>352</v>
      </c>
      <c r="D199" s="215">
        <v>442</v>
      </c>
    </row>
    <row r="200" spans="2:11" ht="14.4">
      <c r="B200" s="123" t="s">
        <v>560</v>
      </c>
    </row>
    <row r="201" spans="2:11" ht="14.4">
      <c r="B201" s="124" t="s">
        <v>644</v>
      </c>
      <c r="D201" s="154">
        <v>41681</v>
      </c>
    </row>
    <row r="202" spans="2:11" ht="14.4"/>
    <row r="203" spans="2:11" ht="18" customHeight="1">
      <c r="B203" s="7609" t="s">
        <v>469</v>
      </c>
      <c r="C203" s="7610"/>
      <c r="D203" s="7610"/>
      <c r="E203" s="7611"/>
      <c r="G203" s="7609" t="s">
        <v>553</v>
      </c>
      <c r="H203" s="7610"/>
      <c r="I203" s="7610"/>
      <c r="J203" s="7611"/>
      <c r="K203" s="152"/>
    </row>
    <row r="204" spans="2:11" ht="28.8">
      <c r="B204" s="159" t="s">
        <v>88</v>
      </c>
      <c r="C204" s="181" t="s">
        <v>89</v>
      </c>
      <c r="D204" s="332" t="s">
        <v>554</v>
      </c>
      <c r="E204" s="181" t="s">
        <v>90</v>
      </c>
      <c r="G204" s="159" t="s">
        <v>88</v>
      </c>
      <c r="H204" s="181" t="s">
        <v>89</v>
      </c>
      <c r="I204" s="332" t="s">
        <v>554</v>
      </c>
      <c r="J204" s="181" t="s">
        <v>90</v>
      </c>
      <c r="K204" s="40"/>
    </row>
    <row r="205" spans="2:11" ht="18" customHeight="1">
      <c r="B205" s="176" t="s">
        <v>92</v>
      </c>
      <c r="C205" s="175">
        <v>1</v>
      </c>
      <c r="D205" s="175">
        <v>2</v>
      </c>
      <c r="E205" s="182">
        <v>36</v>
      </c>
      <c r="G205" s="176" t="s">
        <v>92</v>
      </c>
      <c r="H205" s="175">
        <v>1</v>
      </c>
      <c r="I205" s="175">
        <v>2</v>
      </c>
      <c r="J205" s="182">
        <v>70</v>
      </c>
      <c r="K205" s="40"/>
    </row>
    <row r="206" spans="2:11" ht="18" customHeight="1">
      <c r="B206" s="186" t="s">
        <v>471</v>
      </c>
      <c r="C206" s="183">
        <v>2</v>
      </c>
      <c r="D206" s="183">
        <v>20</v>
      </c>
      <c r="E206" s="184">
        <v>496</v>
      </c>
      <c r="G206" s="176" t="s">
        <v>93</v>
      </c>
      <c r="H206" s="175">
        <v>2</v>
      </c>
      <c r="I206" s="175">
        <v>19</v>
      </c>
      <c r="J206" s="175">
        <v>591</v>
      </c>
      <c r="K206" s="40"/>
    </row>
    <row r="207" spans="2:11" ht="18" customHeight="1">
      <c r="B207" s="176" t="s">
        <v>399</v>
      </c>
      <c r="C207" s="175">
        <v>3</v>
      </c>
      <c r="D207" s="175">
        <v>28</v>
      </c>
      <c r="E207" s="182">
        <v>660</v>
      </c>
      <c r="G207" s="186" t="s">
        <v>471</v>
      </c>
      <c r="H207" s="183">
        <v>3</v>
      </c>
      <c r="I207" s="183">
        <v>20</v>
      </c>
      <c r="J207" s="184">
        <v>592</v>
      </c>
      <c r="K207" s="40"/>
    </row>
    <row r="208" spans="2:11" ht="18" customHeight="1">
      <c r="B208" s="176" t="s">
        <v>96</v>
      </c>
      <c r="C208" s="175">
        <v>4</v>
      </c>
      <c r="D208" s="175">
        <v>30</v>
      </c>
      <c r="E208" s="182">
        <v>676</v>
      </c>
      <c r="G208" s="176" t="s">
        <v>96</v>
      </c>
      <c r="H208" s="175">
        <v>4</v>
      </c>
      <c r="I208" s="175">
        <v>30</v>
      </c>
      <c r="J208" s="182">
        <v>861</v>
      </c>
      <c r="K208" s="40"/>
    </row>
    <row r="209" spans="2:11" ht="18" customHeight="1">
      <c r="B209" s="176" t="s">
        <v>322</v>
      </c>
      <c r="C209" s="175">
        <v>5</v>
      </c>
      <c r="D209" s="175">
        <v>41</v>
      </c>
      <c r="E209" s="182">
        <v>799</v>
      </c>
      <c r="G209" s="176" t="s">
        <v>322</v>
      </c>
      <c r="H209" s="175">
        <v>5</v>
      </c>
      <c r="I209" s="175">
        <v>38</v>
      </c>
      <c r="J209" s="182">
        <v>950</v>
      </c>
      <c r="K209" s="40"/>
    </row>
    <row r="210" spans="2:11" ht="18" customHeight="1">
      <c r="B210" s="176" t="s">
        <v>93</v>
      </c>
      <c r="C210" s="175">
        <v>6</v>
      </c>
      <c r="D210" s="175">
        <v>51</v>
      </c>
      <c r="E210" s="182">
        <v>963</v>
      </c>
      <c r="G210" s="176" t="s">
        <v>399</v>
      </c>
      <c r="H210" s="175">
        <v>6</v>
      </c>
      <c r="I210" s="175">
        <v>39</v>
      </c>
      <c r="J210" s="182">
        <v>974</v>
      </c>
      <c r="K210" s="40"/>
    </row>
    <row r="211" spans="2:11" ht="18" customHeight="1">
      <c r="B211" s="176" t="s">
        <v>316</v>
      </c>
      <c r="C211" s="185">
        <v>7</v>
      </c>
      <c r="D211" s="175">
        <v>66</v>
      </c>
      <c r="E211" s="182">
        <v>1100</v>
      </c>
      <c r="G211" s="176" t="s">
        <v>473</v>
      </c>
      <c r="H211" s="175">
        <v>7</v>
      </c>
      <c r="I211" s="175">
        <v>49</v>
      </c>
      <c r="J211" s="182">
        <v>1120</v>
      </c>
      <c r="K211" s="40"/>
    </row>
    <row r="212" spans="2:11" ht="18" customHeight="1">
      <c r="B212" s="176" t="s">
        <v>472</v>
      </c>
      <c r="C212" s="175">
        <v>8</v>
      </c>
      <c r="D212" s="175">
        <v>68</v>
      </c>
      <c r="E212" s="182">
        <v>1129</v>
      </c>
      <c r="G212" s="176" t="s">
        <v>472</v>
      </c>
      <c r="H212" s="175">
        <v>8</v>
      </c>
      <c r="I212" s="175">
        <v>61</v>
      </c>
      <c r="J212" s="182">
        <v>1327</v>
      </c>
      <c r="K212" s="40"/>
    </row>
    <row r="213" spans="2:11" ht="18" customHeight="1">
      <c r="B213" s="176" t="s">
        <v>539</v>
      </c>
      <c r="C213" s="175">
        <v>9</v>
      </c>
      <c r="D213" s="175">
        <v>69</v>
      </c>
      <c r="E213" s="182">
        <v>1129</v>
      </c>
      <c r="G213" s="176" t="s">
        <v>539</v>
      </c>
      <c r="H213" s="175">
        <v>9</v>
      </c>
      <c r="I213" s="175">
        <v>62</v>
      </c>
      <c r="J213" s="182">
        <v>1327</v>
      </c>
      <c r="K213" s="40"/>
    </row>
    <row r="214" spans="2:11" ht="18" customHeight="1">
      <c r="B214" s="176" t="s">
        <v>157</v>
      </c>
      <c r="C214" s="175">
        <v>10</v>
      </c>
      <c r="D214" s="175">
        <v>75</v>
      </c>
      <c r="E214" s="182">
        <v>1221</v>
      </c>
      <c r="G214" s="176" t="s">
        <v>316</v>
      </c>
      <c r="H214" s="175">
        <v>10</v>
      </c>
      <c r="I214" s="175">
        <v>68</v>
      </c>
      <c r="J214" s="182">
        <v>1407</v>
      </c>
      <c r="K214" s="40"/>
    </row>
    <row r="215" spans="2:11" ht="18" customHeight="1">
      <c r="B215" s="176" t="s">
        <v>633</v>
      </c>
      <c r="C215" s="175">
        <v>11</v>
      </c>
      <c r="D215" s="175">
        <v>88</v>
      </c>
      <c r="E215" s="182">
        <v>1357</v>
      </c>
      <c r="G215" s="176" t="s">
        <v>326</v>
      </c>
      <c r="H215" s="175">
        <v>11</v>
      </c>
      <c r="I215" s="175">
        <v>70</v>
      </c>
      <c r="J215" s="182">
        <v>1434</v>
      </c>
      <c r="K215" s="40"/>
    </row>
    <row r="216" spans="2:11" ht="18" customHeight="1">
      <c r="B216" s="176" t="s">
        <v>632</v>
      </c>
      <c r="C216" s="175">
        <v>12</v>
      </c>
      <c r="D216" s="175">
        <v>91</v>
      </c>
      <c r="E216" s="182">
        <v>1390</v>
      </c>
      <c r="G216" s="176" t="s">
        <v>632</v>
      </c>
      <c r="H216" s="175">
        <v>12</v>
      </c>
      <c r="I216" s="175">
        <v>75</v>
      </c>
      <c r="J216" s="182">
        <v>1488</v>
      </c>
      <c r="K216" s="40"/>
    </row>
    <row r="217" spans="2:11" ht="18" customHeight="1">
      <c r="B217" s="176" t="s">
        <v>324</v>
      </c>
      <c r="C217" s="175">
        <v>13</v>
      </c>
      <c r="D217" s="175">
        <v>102</v>
      </c>
      <c r="E217" s="182">
        <v>1557</v>
      </c>
      <c r="G217" s="176" t="s">
        <v>634</v>
      </c>
      <c r="H217" s="175">
        <v>13</v>
      </c>
      <c r="I217" s="175">
        <v>77</v>
      </c>
      <c r="J217" s="182">
        <v>1542</v>
      </c>
      <c r="K217" s="40"/>
    </row>
    <row r="218" spans="2:11" ht="18" customHeight="1">
      <c r="B218" s="176" t="s">
        <v>635</v>
      </c>
      <c r="C218" s="175">
        <v>14</v>
      </c>
      <c r="D218" s="175">
        <v>104</v>
      </c>
      <c r="E218" s="182">
        <v>1564</v>
      </c>
      <c r="G218" s="176" t="s">
        <v>635</v>
      </c>
      <c r="H218" s="175">
        <v>14</v>
      </c>
      <c r="I218" s="175">
        <v>82</v>
      </c>
      <c r="J218" s="182">
        <v>1588</v>
      </c>
      <c r="K218" s="40"/>
    </row>
    <row r="219" spans="2:11" ht="18" customHeight="1">
      <c r="B219" s="176" t="s">
        <v>640</v>
      </c>
      <c r="C219" s="175">
        <v>15</v>
      </c>
      <c r="D219" s="175">
        <v>107</v>
      </c>
      <c r="E219" s="182">
        <v>1615</v>
      </c>
      <c r="G219" s="176" t="s">
        <v>636</v>
      </c>
      <c r="H219" s="175">
        <v>15</v>
      </c>
      <c r="I219" s="175">
        <v>85</v>
      </c>
      <c r="J219" s="182">
        <v>1652</v>
      </c>
      <c r="K219" s="40"/>
    </row>
    <row r="220" spans="2:11" ht="18" customHeight="1">
      <c r="B220" s="176" t="s">
        <v>326</v>
      </c>
      <c r="C220" s="175">
        <v>16</v>
      </c>
      <c r="D220" s="175">
        <v>111</v>
      </c>
      <c r="E220" s="182">
        <v>1650</v>
      </c>
      <c r="G220" s="176" t="s">
        <v>633</v>
      </c>
      <c r="H220" s="175">
        <v>16</v>
      </c>
      <c r="I220" s="336" t="s">
        <v>556</v>
      </c>
      <c r="J220" s="182">
        <v>1787</v>
      </c>
      <c r="K220" s="40"/>
    </row>
    <row r="221" spans="2:11" ht="18" customHeight="1">
      <c r="B221" s="176" t="s">
        <v>641</v>
      </c>
      <c r="C221" s="175">
        <v>17</v>
      </c>
      <c r="D221" s="175">
        <v>126</v>
      </c>
      <c r="E221" s="182">
        <v>1760</v>
      </c>
      <c r="G221" s="176" t="s">
        <v>326</v>
      </c>
      <c r="H221" s="175">
        <v>17</v>
      </c>
      <c r="I221" s="336" t="s">
        <v>556</v>
      </c>
      <c r="J221" s="182">
        <v>1911</v>
      </c>
      <c r="K221" s="40"/>
    </row>
    <row r="222" spans="2:11" ht="18" customHeight="1">
      <c r="B222" s="176" t="s">
        <v>473</v>
      </c>
      <c r="C222" s="175">
        <v>18</v>
      </c>
      <c r="D222" s="175">
        <v>132</v>
      </c>
      <c r="E222" s="182">
        <v>1800</v>
      </c>
      <c r="G222" s="176" t="s">
        <v>324</v>
      </c>
      <c r="H222" s="175">
        <v>18</v>
      </c>
      <c r="I222" s="336" t="s">
        <v>556</v>
      </c>
      <c r="J222" s="182">
        <v>1977</v>
      </c>
      <c r="K222" s="40"/>
    </row>
    <row r="223" spans="2:11" ht="18" customHeight="1">
      <c r="G223" s="337"/>
    </row>
    <row r="224" spans="2:11" ht="14.4">
      <c r="B224" s="333" t="s">
        <v>75</v>
      </c>
      <c r="C224" s="334"/>
      <c r="D224" s="270"/>
      <c r="E224" s="40"/>
      <c r="F224" s="40"/>
      <c r="G224" s="333" t="s">
        <v>75</v>
      </c>
      <c r="H224" s="334"/>
      <c r="I224" s="270"/>
    </row>
    <row r="225" spans="2:11" ht="14.4">
      <c r="B225" s="338" t="s">
        <v>557</v>
      </c>
      <c r="C225" s="338" t="s">
        <v>558</v>
      </c>
      <c r="D225" s="338" t="s">
        <v>559</v>
      </c>
      <c r="E225" s="40"/>
      <c r="F225" s="40"/>
      <c r="G225" s="338" t="s">
        <v>557</v>
      </c>
      <c r="H225" s="338" t="s">
        <v>558</v>
      </c>
      <c r="I225" s="338" t="s">
        <v>559</v>
      </c>
    </row>
    <row r="226" spans="2:11" ht="14.4">
      <c r="B226" s="215">
        <v>810</v>
      </c>
      <c r="C226" s="215">
        <v>599</v>
      </c>
      <c r="D226" s="215">
        <v>250</v>
      </c>
      <c r="E226" s="40"/>
      <c r="F226" s="40"/>
      <c r="G226" s="215">
        <v>926</v>
      </c>
      <c r="H226" s="215">
        <v>514</v>
      </c>
      <c r="I226" s="215">
        <v>467</v>
      </c>
    </row>
    <row r="227" spans="2:11" ht="14.4">
      <c r="B227" s="123" t="s">
        <v>560</v>
      </c>
      <c r="G227" s="124" t="s">
        <v>560</v>
      </c>
    </row>
    <row r="228" spans="2:11" ht="14.4">
      <c r="B228" s="124" t="s">
        <v>644</v>
      </c>
      <c r="D228" s="154">
        <v>41312</v>
      </c>
      <c r="G228" s="124" t="s">
        <v>644</v>
      </c>
      <c r="I228" s="154">
        <v>41505</v>
      </c>
    </row>
    <row r="230" spans="2:11" ht="18" customHeight="1">
      <c r="B230" s="7609" t="s">
        <v>362</v>
      </c>
      <c r="C230" s="7610"/>
      <c r="D230" s="7610"/>
      <c r="E230" s="7611"/>
      <c r="G230" s="7609" t="s">
        <v>584</v>
      </c>
      <c r="H230" s="7610"/>
      <c r="I230" s="7610"/>
      <c r="J230" s="7611"/>
      <c r="K230" s="152"/>
    </row>
    <row r="231" spans="2:11" ht="28.8">
      <c r="B231" s="159" t="s">
        <v>88</v>
      </c>
      <c r="C231" s="181" t="s">
        <v>89</v>
      </c>
      <c r="D231" s="332" t="s">
        <v>554</v>
      </c>
      <c r="E231" s="181" t="s">
        <v>90</v>
      </c>
      <c r="G231" s="159" t="s">
        <v>88</v>
      </c>
      <c r="H231" s="181" t="s">
        <v>89</v>
      </c>
      <c r="I231" s="332" t="s">
        <v>554</v>
      </c>
      <c r="J231" s="181" t="s">
        <v>90</v>
      </c>
      <c r="K231" s="40"/>
    </row>
    <row r="232" spans="2:11" ht="18" customHeight="1">
      <c r="B232" s="176" t="s">
        <v>92</v>
      </c>
      <c r="C232" s="175">
        <v>1</v>
      </c>
      <c r="D232" s="175">
        <v>2</v>
      </c>
      <c r="E232" s="182">
        <v>38</v>
      </c>
      <c r="G232" s="176" t="s">
        <v>92</v>
      </c>
      <c r="H232" s="175">
        <v>1</v>
      </c>
      <c r="I232" s="175">
        <v>2</v>
      </c>
      <c r="J232" s="182">
        <v>41</v>
      </c>
      <c r="K232" s="40"/>
    </row>
    <row r="233" spans="2:11" ht="18" customHeight="1">
      <c r="B233" s="176" t="s">
        <v>96</v>
      </c>
      <c r="C233" s="175">
        <v>2</v>
      </c>
      <c r="D233" s="175">
        <v>18</v>
      </c>
      <c r="E233" s="182">
        <v>493</v>
      </c>
      <c r="G233" s="176" t="s">
        <v>96</v>
      </c>
      <c r="H233" s="175">
        <v>2</v>
      </c>
      <c r="I233" s="175">
        <v>23</v>
      </c>
      <c r="J233" s="182">
        <v>575</v>
      </c>
      <c r="K233" s="40"/>
    </row>
    <row r="234" spans="2:11" ht="18" customHeight="1">
      <c r="B234" s="176" t="s">
        <v>322</v>
      </c>
      <c r="C234" s="175">
        <v>3</v>
      </c>
      <c r="D234" s="175">
        <v>24</v>
      </c>
      <c r="E234" s="182">
        <v>572</v>
      </c>
      <c r="G234" s="186" t="s">
        <v>471</v>
      </c>
      <c r="H234" s="183">
        <v>3</v>
      </c>
      <c r="I234" s="183">
        <v>27</v>
      </c>
      <c r="J234" s="184">
        <v>650</v>
      </c>
      <c r="K234" s="40"/>
    </row>
    <row r="235" spans="2:11" ht="18" customHeight="1">
      <c r="B235" s="176" t="s">
        <v>399</v>
      </c>
      <c r="C235" s="175">
        <v>4</v>
      </c>
      <c r="D235" s="175">
        <v>35</v>
      </c>
      <c r="E235" s="182">
        <v>685</v>
      </c>
      <c r="G235" s="176" t="s">
        <v>399</v>
      </c>
      <c r="H235" s="175">
        <v>4</v>
      </c>
      <c r="I235" s="175">
        <v>28</v>
      </c>
      <c r="J235" s="182">
        <v>658</v>
      </c>
      <c r="K235" s="40"/>
    </row>
    <row r="236" spans="2:11" ht="18" customHeight="1">
      <c r="B236" s="186" t="s">
        <v>471</v>
      </c>
      <c r="C236" s="183">
        <v>5</v>
      </c>
      <c r="D236" s="183">
        <v>36</v>
      </c>
      <c r="E236" s="184">
        <v>704</v>
      </c>
      <c r="G236" s="176" t="s">
        <v>316</v>
      </c>
      <c r="H236" s="175">
        <v>5</v>
      </c>
      <c r="I236" s="175">
        <v>37</v>
      </c>
      <c r="J236" s="182">
        <v>711</v>
      </c>
      <c r="K236" s="40"/>
    </row>
    <row r="237" spans="2:11" ht="18" customHeight="1">
      <c r="B237" s="176" t="s">
        <v>316</v>
      </c>
      <c r="C237" s="175">
        <v>6</v>
      </c>
      <c r="D237" s="175">
        <v>37</v>
      </c>
      <c r="E237" s="182">
        <v>718</v>
      </c>
      <c r="G237" s="176" t="s">
        <v>93</v>
      </c>
      <c r="H237" s="175">
        <v>6</v>
      </c>
      <c r="I237" s="175">
        <v>51</v>
      </c>
      <c r="J237" s="182">
        <v>951</v>
      </c>
      <c r="K237" s="40"/>
    </row>
    <row r="238" spans="2:11" ht="18" customHeight="1">
      <c r="B238" s="176" t="s">
        <v>93</v>
      </c>
      <c r="C238" s="175">
        <v>7</v>
      </c>
      <c r="D238" s="175">
        <v>47</v>
      </c>
      <c r="E238" s="182">
        <v>853</v>
      </c>
      <c r="G238" s="176" t="s">
        <v>539</v>
      </c>
      <c r="H238" s="175">
        <v>7</v>
      </c>
      <c r="I238" s="339">
        <v>62</v>
      </c>
      <c r="J238" s="182">
        <v>1078</v>
      </c>
      <c r="K238" s="40"/>
    </row>
    <row r="239" spans="2:11" ht="18" customHeight="1">
      <c r="B239" s="176" t="s">
        <v>539</v>
      </c>
      <c r="C239" s="175">
        <v>8</v>
      </c>
      <c r="D239" s="175">
        <v>48</v>
      </c>
      <c r="E239" s="182">
        <v>871</v>
      </c>
      <c r="G239" s="176" t="s">
        <v>472</v>
      </c>
      <c r="H239" s="175">
        <v>8</v>
      </c>
      <c r="I239" s="175">
        <v>68</v>
      </c>
      <c r="J239" s="182">
        <v>1162</v>
      </c>
      <c r="K239" s="40"/>
    </row>
    <row r="240" spans="2:11" ht="18" customHeight="1">
      <c r="B240" s="176" t="s">
        <v>472</v>
      </c>
      <c r="C240" s="175">
        <v>9</v>
      </c>
      <c r="D240" s="175">
        <v>56</v>
      </c>
      <c r="E240" s="182">
        <v>973</v>
      </c>
      <c r="G240" s="176" t="s">
        <v>157</v>
      </c>
      <c r="H240" s="175">
        <v>9</v>
      </c>
      <c r="I240" s="175">
        <v>70</v>
      </c>
      <c r="J240" s="182">
        <v>1171</v>
      </c>
      <c r="K240" s="40"/>
    </row>
    <row r="241" spans="2:11" ht="18" customHeight="1">
      <c r="B241" s="176" t="s">
        <v>473</v>
      </c>
      <c r="C241" s="175">
        <v>10</v>
      </c>
      <c r="D241" s="175">
        <v>62</v>
      </c>
      <c r="E241" s="182">
        <v>1079</v>
      </c>
      <c r="G241" s="176" t="s">
        <v>473</v>
      </c>
      <c r="H241" s="175">
        <v>10</v>
      </c>
      <c r="I241" s="175">
        <v>75</v>
      </c>
      <c r="J241" s="182">
        <v>1211</v>
      </c>
      <c r="K241" s="40"/>
    </row>
    <row r="242" spans="2:11" ht="18" customHeight="1">
      <c r="B242" s="176" t="s">
        <v>157</v>
      </c>
      <c r="C242" s="175">
        <v>11</v>
      </c>
      <c r="D242" s="175">
        <v>69</v>
      </c>
      <c r="E242" s="182">
        <v>1140</v>
      </c>
      <c r="G242" s="176" t="s">
        <v>633</v>
      </c>
      <c r="H242" s="175">
        <v>11</v>
      </c>
      <c r="I242" s="175">
        <v>80</v>
      </c>
      <c r="J242" s="182">
        <v>1240</v>
      </c>
      <c r="K242" s="40"/>
    </row>
    <row r="243" spans="2:11" ht="18" customHeight="1">
      <c r="B243" s="176" t="s">
        <v>640</v>
      </c>
      <c r="C243" s="175">
        <v>12</v>
      </c>
      <c r="D243" s="175">
        <v>70</v>
      </c>
      <c r="E243" s="182">
        <v>1143</v>
      </c>
      <c r="G243" s="176" t="s">
        <v>326</v>
      </c>
      <c r="H243" s="175">
        <v>12</v>
      </c>
      <c r="I243" s="175" t="s">
        <v>549</v>
      </c>
      <c r="J243" s="182">
        <v>1563</v>
      </c>
      <c r="K243" s="40"/>
    </row>
    <row r="244" spans="2:11" ht="18" customHeight="1">
      <c r="B244" s="176" t="s">
        <v>633</v>
      </c>
      <c r="C244" s="175">
        <v>13</v>
      </c>
      <c r="D244" s="175">
        <v>72</v>
      </c>
      <c r="E244" s="182">
        <v>1166</v>
      </c>
      <c r="G244" s="176" t="s">
        <v>638</v>
      </c>
      <c r="H244" s="175">
        <v>13</v>
      </c>
      <c r="I244" s="175" t="s">
        <v>549</v>
      </c>
      <c r="J244" s="182">
        <v>1602</v>
      </c>
      <c r="K244" s="40"/>
    </row>
    <row r="245" spans="2:11" ht="18" customHeight="1">
      <c r="B245" s="176" t="s">
        <v>326</v>
      </c>
      <c r="C245" s="175">
        <v>14</v>
      </c>
      <c r="D245" s="175">
        <v>78</v>
      </c>
      <c r="E245" s="182">
        <v>1193</v>
      </c>
      <c r="G245" s="176" t="s">
        <v>639</v>
      </c>
      <c r="H245" s="175">
        <v>14</v>
      </c>
      <c r="I245" s="175" t="s">
        <v>549</v>
      </c>
      <c r="J245" s="182">
        <v>1643</v>
      </c>
      <c r="K245" s="40"/>
    </row>
    <row r="246" spans="2:11" ht="18" customHeight="1">
      <c r="B246" s="176" t="s">
        <v>641</v>
      </c>
      <c r="C246" s="175">
        <v>15</v>
      </c>
      <c r="D246" s="175">
        <v>90</v>
      </c>
      <c r="E246" s="182">
        <v>1243</v>
      </c>
      <c r="G246" s="176" t="s">
        <v>324</v>
      </c>
      <c r="H246" s="175">
        <v>15</v>
      </c>
      <c r="I246" s="175" t="s">
        <v>549</v>
      </c>
      <c r="J246" s="182">
        <v>1666</v>
      </c>
      <c r="K246" s="40"/>
    </row>
    <row r="247" spans="2:11" ht="18" customHeight="1">
      <c r="B247" s="176" t="s">
        <v>632</v>
      </c>
      <c r="C247" s="175">
        <v>16</v>
      </c>
      <c r="D247" s="175">
        <v>97</v>
      </c>
      <c r="E247" s="182">
        <v>1327</v>
      </c>
      <c r="G247" s="176" t="s">
        <v>632</v>
      </c>
      <c r="H247" s="175">
        <v>16</v>
      </c>
      <c r="I247" s="175" t="s">
        <v>549</v>
      </c>
      <c r="J247" s="182">
        <v>1671</v>
      </c>
      <c r="K247" s="40"/>
    </row>
    <row r="248" spans="2:11" ht="18" customHeight="1">
      <c r="B248" s="176" t="s">
        <v>324</v>
      </c>
      <c r="C248" s="175">
        <v>17</v>
      </c>
      <c r="D248" s="175">
        <v>99</v>
      </c>
      <c r="E248" s="182">
        <v>1337</v>
      </c>
      <c r="G248" s="176" t="s">
        <v>637</v>
      </c>
      <c r="H248" s="175">
        <v>17</v>
      </c>
      <c r="I248" s="175" t="s">
        <v>549</v>
      </c>
      <c r="J248" s="182">
        <v>1217</v>
      </c>
      <c r="K248" s="40"/>
    </row>
    <row r="249" spans="2:11" ht="14.4">
      <c r="B249" s="155">
        <v>40947</v>
      </c>
      <c r="C249" s="40"/>
      <c r="E249" s="40"/>
      <c r="G249" s="39" t="s">
        <v>587</v>
      </c>
      <c r="H249" s="40"/>
      <c r="I249" s="40"/>
      <c r="J249" s="40"/>
      <c r="K249" s="40"/>
    </row>
    <row r="250" spans="2:11" ht="14.4">
      <c r="G250" s="121" t="s">
        <v>588</v>
      </c>
      <c r="H250" s="154">
        <v>41148</v>
      </c>
    </row>
    <row r="251" spans="2:11" ht="14.4"/>
    <row r="252" spans="2:11" ht="18" customHeight="1">
      <c r="B252" s="7612" t="s">
        <v>426</v>
      </c>
      <c r="C252" s="7612"/>
      <c r="D252" s="7612"/>
      <c r="E252" s="7612"/>
      <c r="G252" s="7609" t="s">
        <v>585</v>
      </c>
      <c r="H252" s="7610"/>
      <c r="I252" s="7610"/>
      <c r="J252" s="7611"/>
      <c r="K252" s="151"/>
    </row>
    <row r="253" spans="2:11" ht="28.8">
      <c r="B253" s="159" t="s">
        <v>88</v>
      </c>
      <c r="C253" s="181" t="s">
        <v>89</v>
      </c>
      <c r="D253" s="181" t="s">
        <v>554</v>
      </c>
      <c r="E253" s="181" t="s">
        <v>90</v>
      </c>
      <c r="G253" s="159" t="s">
        <v>88</v>
      </c>
      <c r="H253" s="181" t="s">
        <v>89</v>
      </c>
      <c r="I253" s="332" t="s">
        <v>554</v>
      </c>
      <c r="J253" s="181" t="s">
        <v>90</v>
      </c>
      <c r="K253" s="87"/>
    </row>
    <row r="254" spans="2:11" ht="18" customHeight="1">
      <c r="B254" s="176" t="s">
        <v>92</v>
      </c>
      <c r="C254" s="175">
        <v>1</v>
      </c>
      <c r="D254" s="175">
        <v>2</v>
      </c>
      <c r="E254" s="182">
        <v>66</v>
      </c>
      <c r="G254" s="176" t="s">
        <v>92</v>
      </c>
      <c r="H254" s="175">
        <v>1</v>
      </c>
      <c r="I254" s="175">
        <v>2</v>
      </c>
      <c r="J254" s="182">
        <v>49</v>
      </c>
      <c r="K254" s="141"/>
    </row>
    <row r="255" spans="2:11" ht="18" customHeight="1">
      <c r="B255" s="176" t="s">
        <v>96</v>
      </c>
      <c r="C255" s="175">
        <v>2</v>
      </c>
      <c r="D255" s="175">
        <v>22</v>
      </c>
      <c r="E255" s="182">
        <v>550</v>
      </c>
      <c r="G255" s="176" t="s">
        <v>96</v>
      </c>
      <c r="H255" s="175">
        <v>2</v>
      </c>
      <c r="I255" s="175">
        <v>19</v>
      </c>
      <c r="J255" s="182">
        <v>522</v>
      </c>
      <c r="K255" s="141"/>
    </row>
    <row r="256" spans="2:11" ht="18" customHeight="1">
      <c r="B256" s="176" t="s">
        <v>322</v>
      </c>
      <c r="C256" s="175">
        <v>3</v>
      </c>
      <c r="D256" s="175">
        <v>25</v>
      </c>
      <c r="E256" s="182">
        <v>593</v>
      </c>
      <c r="G256" s="186" t="s">
        <v>471</v>
      </c>
      <c r="H256" s="183">
        <v>3</v>
      </c>
      <c r="I256" s="183">
        <v>26</v>
      </c>
      <c r="J256" s="184">
        <v>593</v>
      </c>
      <c r="K256" s="41"/>
    </row>
    <row r="257" spans="2:11" ht="18" customHeight="1">
      <c r="B257" s="176" t="s">
        <v>473</v>
      </c>
      <c r="C257" s="175">
        <v>4</v>
      </c>
      <c r="D257" s="175">
        <v>38</v>
      </c>
      <c r="E257" s="182">
        <v>765</v>
      </c>
      <c r="G257" s="176" t="s">
        <v>399</v>
      </c>
      <c r="H257" s="175">
        <v>4</v>
      </c>
      <c r="I257" s="175">
        <v>27</v>
      </c>
      <c r="J257" s="182">
        <v>616</v>
      </c>
      <c r="K257" s="141"/>
    </row>
    <row r="258" spans="2:11" ht="18" customHeight="1">
      <c r="B258" s="186" t="s">
        <v>471</v>
      </c>
      <c r="C258" s="183">
        <v>5</v>
      </c>
      <c r="D258" s="183">
        <v>41</v>
      </c>
      <c r="E258" s="184">
        <v>823</v>
      </c>
      <c r="G258" s="176" t="s">
        <v>322</v>
      </c>
      <c r="H258" s="175">
        <v>5</v>
      </c>
      <c r="I258" s="175">
        <v>32</v>
      </c>
      <c r="J258" s="182">
        <v>737</v>
      </c>
      <c r="K258" s="141"/>
    </row>
    <row r="259" spans="2:11" ht="18" customHeight="1">
      <c r="B259" s="176" t="s">
        <v>399</v>
      </c>
      <c r="C259" s="175">
        <v>6</v>
      </c>
      <c r="D259" s="175">
        <v>52</v>
      </c>
      <c r="E259" s="182">
        <v>956</v>
      </c>
      <c r="G259" s="176" t="s">
        <v>316</v>
      </c>
      <c r="H259" s="175">
        <v>6</v>
      </c>
      <c r="I259" s="175">
        <v>45</v>
      </c>
      <c r="J259" s="182">
        <v>1017</v>
      </c>
      <c r="K259" s="141"/>
    </row>
    <row r="260" spans="2:11" ht="18" customHeight="1">
      <c r="B260" s="176" t="s">
        <v>640</v>
      </c>
      <c r="C260" s="175">
        <v>7</v>
      </c>
      <c r="D260" s="175">
        <v>60</v>
      </c>
      <c r="E260" s="182">
        <v>1019</v>
      </c>
      <c r="G260" s="176" t="s">
        <v>633</v>
      </c>
      <c r="H260" s="175">
        <v>7</v>
      </c>
      <c r="I260" s="175">
        <v>54</v>
      </c>
      <c r="J260" s="182">
        <v>1087</v>
      </c>
      <c r="K260" s="141"/>
    </row>
    <row r="261" spans="2:11" ht="18" customHeight="1">
      <c r="B261" s="176" t="s">
        <v>316</v>
      </c>
      <c r="C261" s="175">
        <v>8</v>
      </c>
      <c r="D261" s="175">
        <v>61</v>
      </c>
      <c r="E261" s="182">
        <v>1029</v>
      </c>
      <c r="G261" s="176" t="s">
        <v>157</v>
      </c>
      <c r="H261" s="175">
        <v>8</v>
      </c>
      <c r="I261" s="175">
        <v>56</v>
      </c>
      <c r="J261" s="182">
        <v>1094</v>
      </c>
      <c r="K261" s="141"/>
    </row>
    <row r="262" spans="2:11" ht="18" customHeight="1">
      <c r="B262" s="176" t="s">
        <v>633</v>
      </c>
      <c r="C262" s="175">
        <v>9</v>
      </c>
      <c r="D262" s="175">
        <v>62</v>
      </c>
      <c r="E262" s="182">
        <v>1066</v>
      </c>
      <c r="G262" s="176" t="s">
        <v>472</v>
      </c>
      <c r="H262" s="175">
        <v>9</v>
      </c>
      <c r="I262" s="175">
        <v>63</v>
      </c>
      <c r="J262" s="182">
        <v>1150</v>
      </c>
      <c r="K262" s="141"/>
    </row>
    <row r="263" spans="2:11" ht="18" customHeight="1">
      <c r="B263" s="176" t="s">
        <v>157</v>
      </c>
      <c r="C263" s="175">
        <v>10</v>
      </c>
      <c r="D263" s="175">
        <v>70</v>
      </c>
      <c r="E263" s="182">
        <v>1157</v>
      </c>
      <c r="G263" s="176" t="s">
        <v>539</v>
      </c>
      <c r="H263" s="175">
        <v>10</v>
      </c>
      <c r="I263" s="175">
        <v>68</v>
      </c>
      <c r="J263" s="182">
        <v>1189</v>
      </c>
      <c r="K263" s="141"/>
    </row>
    <row r="264" spans="2:11" ht="18" customHeight="1">
      <c r="B264" s="176" t="s">
        <v>93</v>
      </c>
      <c r="C264" s="175">
        <v>11</v>
      </c>
      <c r="D264" s="175">
        <v>76</v>
      </c>
      <c r="E264" s="182">
        <v>1172</v>
      </c>
      <c r="G264" s="176" t="s">
        <v>640</v>
      </c>
      <c r="H264" s="175">
        <v>11</v>
      </c>
      <c r="I264" s="175">
        <v>71</v>
      </c>
      <c r="J264" s="182">
        <v>1220</v>
      </c>
      <c r="K264" s="141"/>
    </row>
    <row r="265" spans="2:11" ht="18" customHeight="1">
      <c r="B265" s="176" t="s">
        <v>539</v>
      </c>
      <c r="C265" s="175">
        <v>12</v>
      </c>
      <c r="D265" s="175">
        <v>81</v>
      </c>
      <c r="E265" s="182">
        <v>1227</v>
      </c>
      <c r="G265" s="176" t="s">
        <v>473</v>
      </c>
      <c r="H265" s="175">
        <v>12</v>
      </c>
      <c r="I265" s="175">
        <v>76</v>
      </c>
      <c r="J265" s="182">
        <v>1256</v>
      </c>
      <c r="K265" s="141"/>
    </row>
    <row r="266" spans="2:11" ht="18" customHeight="1">
      <c r="B266" s="176" t="s">
        <v>472</v>
      </c>
      <c r="C266" s="175">
        <v>13</v>
      </c>
      <c r="D266" s="175">
        <v>84</v>
      </c>
      <c r="E266" s="182">
        <v>1251</v>
      </c>
      <c r="G266" s="176" t="s">
        <v>325</v>
      </c>
      <c r="H266" s="175">
        <v>13</v>
      </c>
      <c r="I266" s="175">
        <v>80</v>
      </c>
      <c r="J266" s="182">
        <v>1303</v>
      </c>
      <c r="K266" s="141"/>
    </row>
    <row r="267" spans="2:11" ht="18" customHeight="1">
      <c r="B267" s="176" t="s">
        <v>642</v>
      </c>
      <c r="C267" s="175">
        <v>14</v>
      </c>
      <c r="D267" s="175">
        <v>85</v>
      </c>
      <c r="E267" s="182">
        <v>1258</v>
      </c>
      <c r="G267" s="176" t="s">
        <v>326</v>
      </c>
      <c r="H267" s="175">
        <v>14</v>
      </c>
      <c r="I267" s="175">
        <v>81</v>
      </c>
      <c r="J267" s="182">
        <v>1309</v>
      </c>
      <c r="K267" s="141"/>
    </row>
    <row r="268" spans="2:11" ht="18" customHeight="1">
      <c r="B268" s="176" t="s">
        <v>326</v>
      </c>
      <c r="C268" s="175">
        <v>15</v>
      </c>
      <c r="D268" s="175">
        <v>92</v>
      </c>
      <c r="E268" s="182">
        <v>1355</v>
      </c>
      <c r="G268" s="176" t="s">
        <v>324</v>
      </c>
      <c r="H268" s="175">
        <v>15</v>
      </c>
      <c r="I268" s="175">
        <v>83</v>
      </c>
      <c r="J268" s="182">
        <v>1324</v>
      </c>
      <c r="K268" s="141"/>
    </row>
    <row r="269" spans="2:11" ht="18" customHeight="1">
      <c r="B269" s="176" t="s">
        <v>641</v>
      </c>
      <c r="C269" s="175">
        <v>16</v>
      </c>
      <c r="D269" s="175">
        <v>98</v>
      </c>
      <c r="E269" s="182">
        <v>1464</v>
      </c>
      <c r="G269" s="176" t="s">
        <v>641</v>
      </c>
      <c r="H269" s="175">
        <v>16</v>
      </c>
      <c r="I269" s="175">
        <v>89</v>
      </c>
      <c r="J269" s="182">
        <v>1367</v>
      </c>
      <c r="K269" s="141"/>
    </row>
    <row r="270" spans="2:11" ht="18" customHeight="1">
      <c r="B270" s="155">
        <v>40688</v>
      </c>
      <c r="C270" s="40"/>
      <c r="E270" s="40"/>
      <c r="G270" s="155">
        <v>40792</v>
      </c>
      <c r="H270" s="40"/>
      <c r="J270" s="40"/>
      <c r="K270" s="40"/>
    </row>
    <row r="272" spans="2:11" ht="18" customHeight="1">
      <c r="G272" s="7609" t="s">
        <v>586</v>
      </c>
      <c r="H272" s="7610"/>
      <c r="I272" s="7610"/>
      <c r="J272" s="7611"/>
    </row>
    <row r="273" spans="7:10" ht="28.8">
      <c r="G273" s="159" t="s">
        <v>88</v>
      </c>
      <c r="H273" s="181" t="s">
        <v>89</v>
      </c>
      <c r="I273" s="181" t="s">
        <v>554</v>
      </c>
      <c r="J273" s="181" t="s">
        <v>90</v>
      </c>
    </row>
    <row r="274" spans="7:10" ht="18" customHeight="1">
      <c r="G274" s="176" t="s">
        <v>92</v>
      </c>
      <c r="H274" s="175">
        <v>1</v>
      </c>
      <c r="I274" s="175">
        <v>1</v>
      </c>
      <c r="J274" s="339">
        <v>70</v>
      </c>
    </row>
    <row r="275" spans="7:10" ht="18" customHeight="1">
      <c r="G275" s="176" t="s">
        <v>322</v>
      </c>
      <c r="H275" s="175">
        <v>2</v>
      </c>
      <c r="I275" s="175">
        <v>8</v>
      </c>
      <c r="J275" s="339">
        <v>460</v>
      </c>
    </row>
    <row r="276" spans="7:10" ht="18" customHeight="1">
      <c r="G276" s="176" t="s">
        <v>96</v>
      </c>
      <c r="H276" s="175">
        <v>3</v>
      </c>
      <c r="I276" s="175">
        <v>20</v>
      </c>
      <c r="J276" s="339">
        <v>653</v>
      </c>
    </row>
    <row r="277" spans="7:10" ht="18" customHeight="1">
      <c r="G277" s="186" t="s">
        <v>471</v>
      </c>
      <c r="H277" s="183">
        <v>4</v>
      </c>
      <c r="I277" s="183">
        <v>24</v>
      </c>
      <c r="J277" s="340">
        <v>698</v>
      </c>
    </row>
    <row r="278" spans="7:10" ht="18" customHeight="1">
      <c r="G278" s="176" t="s">
        <v>399</v>
      </c>
      <c r="H278" s="175">
        <v>5</v>
      </c>
      <c r="I278" s="175">
        <v>38</v>
      </c>
      <c r="J278" s="339">
        <v>948</v>
      </c>
    </row>
    <row r="279" spans="7:10" ht="18" customHeight="1">
      <c r="G279" s="176" t="s">
        <v>316</v>
      </c>
      <c r="H279" s="175">
        <v>6</v>
      </c>
      <c r="I279" s="175">
        <v>40</v>
      </c>
      <c r="J279" s="339">
        <v>1026</v>
      </c>
    </row>
    <row r="280" spans="7:10" ht="18" customHeight="1">
      <c r="G280" s="176" t="s">
        <v>157</v>
      </c>
      <c r="H280" s="175">
        <v>7</v>
      </c>
      <c r="I280" s="175">
        <v>56</v>
      </c>
      <c r="J280" s="339">
        <v>1283</v>
      </c>
    </row>
    <row r="281" spans="7:10" ht="18" customHeight="1">
      <c r="G281" s="176" t="s">
        <v>632</v>
      </c>
      <c r="H281" s="175">
        <v>8</v>
      </c>
      <c r="I281" s="175">
        <v>62</v>
      </c>
      <c r="J281" s="339">
        <v>1347</v>
      </c>
    </row>
    <row r="282" spans="7:10" ht="18" customHeight="1">
      <c r="G282" s="176" t="s">
        <v>637</v>
      </c>
      <c r="H282" s="175">
        <v>9</v>
      </c>
      <c r="I282" s="175">
        <v>67</v>
      </c>
      <c r="J282" s="339">
        <v>1366</v>
      </c>
    </row>
    <row r="283" spans="7:10" ht="18" customHeight="1">
      <c r="G283" s="176" t="s">
        <v>472</v>
      </c>
      <c r="H283" s="175">
        <v>10</v>
      </c>
      <c r="I283" s="175">
        <v>69</v>
      </c>
      <c r="J283" s="339">
        <v>1381</v>
      </c>
    </row>
    <row r="284" spans="7:10" ht="18" customHeight="1">
      <c r="G284" s="176" t="s">
        <v>633</v>
      </c>
      <c r="H284" s="175">
        <v>11</v>
      </c>
      <c r="I284" s="175">
        <v>70</v>
      </c>
      <c r="J284" s="339">
        <v>1394</v>
      </c>
    </row>
    <row r="285" spans="7:10" ht="18" customHeight="1">
      <c r="G285" s="176" t="s">
        <v>539</v>
      </c>
      <c r="H285" s="175">
        <v>12</v>
      </c>
      <c r="I285" s="175">
        <v>72</v>
      </c>
      <c r="J285" s="339">
        <v>1412</v>
      </c>
    </row>
    <row r="286" spans="7:10" ht="18" customHeight="1">
      <c r="G286" s="176" t="s">
        <v>640</v>
      </c>
      <c r="H286" s="175">
        <v>13</v>
      </c>
      <c r="I286" s="175">
        <v>75</v>
      </c>
      <c r="J286" s="339">
        <v>1444</v>
      </c>
    </row>
    <row r="287" spans="7:10" ht="18" customHeight="1">
      <c r="G287" s="176" t="s">
        <v>326</v>
      </c>
      <c r="H287" s="175">
        <v>14</v>
      </c>
      <c r="I287" s="175">
        <v>79</v>
      </c>
      <c r="J287" s="339">
        <v>1550</v>
      </c>
    </row>
    <row r="288" spans="7:10" ht="18" customHeight="1">
      <c r="G288" s="176" t="s">
        <v>642</v>
      </c>
      <c r="H288" s="175">
        <v>15</v>
      </c>
      <c r="I288" s="175">
        <v>81</v>
      </c>
      <c r="J288" s="339">
        <v>1559</v>
      </c>
    </row>
    <row r="289" spans="7:10" ht="18" customHeight="1">
      <c r="G289" s="176" t="s">
        <v>473</v>
      </c>
      <c r="H289" s="175">
        <v>16</v>
      </c>
      <c r="I289" s="175">
        <v>86</v>
      </c>
      <c r="J289" s="339">
        <v>1589</v>
      </c>
    </row>
    <row r="290" spans="7:10" ht="18" customHeight="1">
      <c r="G290" s="176" t="s">
        <v>634</v>
      </c>
      <c r="H290" s="175">
        <v>17</v>
      </c>
      <c r="I290" s="175">
        <v>95</v>
      </c>
      <c r="J290" s="339">
        <v>1681</v>
      </c>
    </row>
    <row r="291" spans="7:10" ht="18" customHeight="1">
      <c r="G291" s="176" t="s">
        <v>325</v>
      </c>
      <c r="H291" s="175">
        <v>18</v>
      </c>
      <c r="I291" s="175">
        <v>96</v>
      </c>
      <c r="J291" s="339">
        <v>1689</v>
      </c>
    </row>
    <row r="292" spans="7:10" ht="18" customHeight="1">
      <c r="G292" s="176" t="s">
        <v>643</v>
      </c>
      <c r="H292" s="175">
        <v>19</v>
      </c>
      <c r="I292" s="175">
        <v>99</v>
      </c>
      <c r="J292" s="339">
        <v>1704</v>
      </c>
    </row>
    <row r="293" spans="7:10" ht="18" customHeight="1">
      <c r="G293" s="154">
        <v>40395</v>
      </c>
    </row>
  </sheetData>
  <mergeCells count="22">
    <mergeCell ref="G272:J272"/>
    <mergeCell ref="B159:E159"/>
    <mergeCell ref="B178:E178"/>
    <mergeCell ref="B203:E203"/>
    <mergeCell ref="G203:J203"/>
    <mergeCell ref="B230:E230"/>
    <mergeCell ref="G230:J230"/>
    <mergeCell ref="B252:E252"/>
    <mergeCell ref="G252:J252"/>
    <mergeCell ref="B139:E139"/>
    <mergeCell ref="B120:E120"/>
    <mergeCell ref="B102:E102"/>
    <mergeCell ref="B83:E83"/>
    <mergeCell ref="B64:E64"/>
    <mergeCell ref="G1:J1"/>
    <mergeCell ref="G2:J3"/>
    <mergeCell ref="G5:J5"/>
    <mergeCell ref="G25:J25"/>
    <mergeCell ref="G102:J102"/>
    <mergeCell ref="G45:J45"/>
    <mergeCell ref="G64:J64"/>
    <mergeCell ref="G83:J83"/>
  </mergeCells>
  <hyperlinks>
    <hyperlink ref="B156" r:id="rId1"/>
  </hyperlinks>
  <printOptions horizontalCentered="1" verticalCentered="1"/>
  <pageMargins left="0.70866141732283472" right="0.70866141732283472" top="0.74803149606299213" bottom="0.74803149606299213" header="0.31496062992125984" footer="0.31496062992125984"/>
  <pageSetup scale="60" firstPageNumber="64" orientation="landscape" useFirstPageNumber="1" r:id="rId2"/>
  <headerFooter scaleWithDoc="0" alignWithMargins="0">
    <oddFooter>&amp;R&amp;P</oddFooter>
  </headerFooter>
  <rowBreaks count="2" manualBreakCount="2">
    <brk id="43" max="9" man="1"/>
    <brk id="101" max="5" man="1"/>
  </rowBreaks>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E272"/>
  <sheetViews>
    <sheetView showGridLines="0" zoomScale="120" zoomScaleNormal="120" workbookViewId="0">
      <selection activeCell="F24" sqref="F24"/>
    </sheetView>
  </sheetViews>
  <sheetFormatPr baseColWidth="10" defaultRowHeight="14.4"/>
  <cols>
    <col min="1" max="1" width="2.44140625" customWidth="1"/>
    <col min="2" max="2" width="13.6640625" style="5317" customWidth="1"/>
    <col min="3" max="3" width="13.5546875" customWidth="1"/>
    <col min="4" max="4" width="66" customWidth="1"/>
    <col min="5" max="5" width="13.6640625" customWidth="1"/>
    <col min="6" max="6" width="5.33203125" customWidth="1"/>
    <col min="7" max="9" width="5.5546875" customWidth="1"/>
    <col min="10" max="10" width="5.33203125" customWidth="1"/>
    <col min="11" max="11" width="6.5546875" customWidth="1"/>
    <col min="12" max="12" width="4.5546875" customWidth="1"/>
    <col min="13" max="13" width="6" customWidth="1"/>
    <col min="14" max="14" width="5.44140625" customWidth="1"/>
    <col min="15" max="15" width="5.33203125" customWidth="1"/>
    <col min="16" max="16" width="6.33203125" customWidth="1"/>
    <col min="17" max="17" width="5.5546875" customWidth="1"/>
    <col min="18" max="18" width="5.33203125" customWidth="1"/>
    <col min="19" max="19" width="8.5546875" bestFit="1" customWidth="1"/>
    <col min="20" max="20" width="5.33203125" customWidth="1"/>
    <col min="22" max="22" width="45.5546875" bestFit="1" customWidth="1"/>
    <col min="23" max="23" width="7.6640625" bestFit="1" customWidth="1"/>
    <col min="24" max="24" width="3.5546875" customWidth="1"/>
    <col min="26" max="26" width="45.5546875" bestFit="1" customWidth="1"/>
    <col min="27" max="27" width="5.33203125" bestFit="1" customWidth="1"/>
  </cols>
  <sheetData>
    <row r="1" spans="2:4" ht="33" customHeight="1">
      <c r="D1" s="6483" t="s">
        <v>2456</v>
      </c>
    </row>
    <row r="2" spans="2:4" s="5317" customFormat="1" ht="15.6">
      <c r="D2" s="6483"/>
    </row>
    <row r="3" spans="2:4" s="5317" customFormat="1" ht="29.4" thickBot="1">
      <c r="B3" s="4460" t="s">
        <v>1685</v>
      </c>
      <c r="C3" s="6472" t="s">
        <v>1690</v>
      </c>
      <c r="D3" s="3364" t="s">
        <v>3327</v>
      </c>
    </row>
    <row r="4" spans="2:4" s="5317" customFormat="1">
      <c r="B4" s="3503">
        <v>1</v>
      </c>
      <c r="C4" s="3503">
        <v>4</v>
      </c>
      <c r="D4" s="3484" t="s">
        <v>1688</v>
      </c>
    </row>
    <row r="5" spans="2:4" s="5317" customFormat="1">
      <c r="B5" s="3489">
        <v>2</v>
      </c>
      <c r="C5" s="3489">
        <v>7</v>
      </c>
      <c r="D5" s="4122" t="s">
        <v>1567</v>
      </c>
    </row>
    <row r="6" spans="2:4" s="5317" customFormat="1">
      <c r="B6" s="3489">
        <v>3</v>
      </c>
      <c r="C6" s="3489">
        <v>28</v>
      </c>
      <c r="D6" s="4122" t="s">
        <v>1570</v>
      </c>
    </row>
    <row r="7" spans="2:4" s="5317" customFormat="1">
      <c r="B7" s="1872">
        <v>4</v>
      </c>
      <c r="C7" s="1872">
        <v>29</v>
      </c>
      <c r="D7" s="3486" t="s">
        <v>1571</v>
      </c>
    </row>
    <row r="8" spans="2:4" s="5317" customFormat="1">
      <c r="B8" s="3489">
        <v>5</v>
      </c>
      <c r="C8" s="3489">
        <v>41</v>
      </c>
      <c r="D8" s="4122" t="s">
        <v>1573</v>
      </c>
    </row>
    <row r="9" spans="2:4" s="5317" customFormat="1">
      <c r="B9" s="3489">
        <v>6</v>
      </c>
      <c r="C9" s="3489">
        <v>42</v>
      </c>
      <c r="D9" s="3488" t="s">
        <v>3342</v>
      </c>
    </row>
    <row r="10" spans="2:4" s="5317" customFormat="1">
      <c r="B10" s="3489">
        <v>7</v>
      </c>
      <c r="C10" s="3489">
        <v>44</v>
      </c>
      <c r="D10" s="3490" t="s">
        <v>1572</v>
      </c>
    </row>
    <row r="11" spans="2:4" s="5317" customFormat="1">
      <c r="B11" s="3489">
        <v>8</v>
      </c>
      <c r="C11" s="3489">
        <v>57</v>
      </c>
      <c r="D11" s="3490" t="s">
        <v>1576</v>
      </c>
    </row>
    <row r="12" spans="2:4" s="5317" customFormat="1">
      <c r="B12" s="3489">
        <v>9</v>
      </c>
      <c r="C12" s="3489">
        <v>58</v>
      </c>
      <c r="D12" s="3488" t="s">
        <v>1575</v>
      </c>
    </row>
    <row r="13" spans="2:4" s="5317" customFormat="1">
      <c r="B13" s="3489">
        <v>10</v>
      </c>
      <c r="C13" s="3489">
        <v>68</v>
      </c>
      <c r="D13" s="3490" t="s">
        <v>2643</v>
      </c>
    </row>
    <row r="14" spans="2:4" s="5317" customFormat="1">
      <c r="B14" s="3489">
        <v>11</v>
      </c>
      <c r="C14" s="3489">
        <v>74</v>
      </c>
      <c r="D14" s="3490" t="s">
        <v>1574</v>
      </c>
    </row>
    <row r="15" spans="2:4" s="5317" customFormat="1">
      <c r="B15" s="3489">
        <v>12</v>
      </c>
      <c r="C15" s="3489">
        <v>75</v>
      </c>
      <c r="D15" s="3490" t="s">
        <v>3343</v>
      </c>
    </row>
    <row r="16" spans="2:4" s="5317" customFormat="1">
      <c r="B16" s="3489">
        <v>13</v>
      </c>
      <c r="C16" s="3489">
        <v>79</v>
      </c>
      <c r="D16" s="3490" t="s">
        <v>555</v>
      </c>
    </row>
    <row r="17" spans="2:4" s="5317" customFormat="1">
      <c r="B17" s="3489">
        <v>14</v>
      </c>
      <c r="C17" s="3489">
        <v>80</v>
      </c>
      <c r="D17" s="3490" t="s">
        <v>2372</v>
      </c>
    </row>
    <row r="18" spans="2:4" s="5317" customFormat="1">
      <c r="B18" s="3491">
        <v>15</v>
      </c>
      <c r="C18" s="3491">
        <v>105</v>
      </c>
      <c r="D18" s="4123" t="s">
        <v>1588</v>
      </c>
    </row>
    <row r="19" spans="2:4" s="5317" customFormat="1">
      <c r="B19" s="6538"/>
      <c r="C19" s="6538"/>
      <c r="D19" s="6539"/>
    </row>
    <row r="20" spans="2:4" s="5317" customFormat="1" ht="15.6">
      <c r="C20" s="5878"/>
      <c r="D20" s="5878"/>
    </row>
    <row r="21" spans="2:4" s="5317" customFormat="1" ht="29.4" thickBot="1">
      <c r="B21" s="4460" t="s">
        <v>1685</v>
      </c>
      <c r="C21" s="5877" t="s">
        <v>1690</v>
      </c>
      <c r="D21" s="3364" t="s">
        <v>2932</v>
      </c>
    </row>
    <row r="22" spans="2:4" s="5317" customFormat="1" ht="18" customHeight="1">
      <c r="B22" s="3503">
        <v>1</v>
      </c>
      <c r="C22" s="3503">
        <v>4</v>
      </c>
      <c r="D22" s="3484" t="s">
        <v>1688</v>
      </c>
    </row>
    <row r="23" spans="2:4" s="5317" customFormat="1" ht="18" customHeight="1">
      <c r="B23" s="3489">
        <v>2</v>
      </c>
      <c r="C23" s="3489">
        <v>6</v>
      </c>
      <c r="D23" s="4122" t="s">
        <v>1567</v>
      </c>
    </row>
    <row r="24" spans="2:4" s="5317" customFormat="1" ht="18" customHeight="1">
      <c r="B24" s="3489">
        <v>3</v>
      </c>
      <c r="C24" s="3489">
        <v>25</v>
      </c>
      <c r="D24" s="4122" t="s">
        <v>1570</v>
      </c>
    </row>
    <row r="25" spans="2:4" s="5317" customFormat="1" ht="18" customHeight="1">
      <c r="B25" s="1872">
        <v>4</v>
      </c>
      <c r="C25" s="1872">
        <v>30</v>
      </c>
      <c r="D25" s="3486" t="s">
        <v>1571</v>
      </c>
    </row>
    <row r="26" spans="2:4" s="5317" customFormat="1" ht="18" customHeight="1">
      <c r="B26" s="3489">
        <v>5</v>
      </c>
      <c r="C26" s="3489">
        <v>39</v>
      </c>
      <c r="D26" s="4122" t="s">
        <v>2371</v>
      </c>
    </row>
    <row r="27" spans="2:4" s="5317" customFormat="1" ht="18" customHeight="1">
      <c r="B27" s="3489">
        <v>6</v>
      </c>
      <c r="C27" s="3489">
        <v>44</v>
      </c>
      <c r="D27" s="3488" t="s">
        <v>1573</v>
      </c>
    </row>
    <row r="28" spans="2:4" s="5317" customFormat="1" ht="18" customHeight="1">
      <c r="B28" s="3489">
        <v>7</v>
      </c>
      <c r="C28" s="3489">
        <v>46</v>
      </c>
      <c r="D28" s="3490" t="s">
        <v>1572</v>
      </c>
    </row>
    <row r="29" spans="2:4" s="5317" customFormat="1" ht="18" customHeight="1">
      <c r="B29" s="3489">
        <v>8</v>
      </c>
      <c r="C29" s="3489">
        <v>48</v>
      </c>
      <c r="D29" s="3490" t="s">
        <v>1576</v>
      </c>
    </row>
    <row r="30" spans="2:4" s="5317" customFormat="1" ht="18" customHeight="1">
      <c r="B30" s="3489">
        <v>9</v>
      </c>
      <c r="C30" s="3489">
        <v>53</v>
      </c>
      <c r="D30" s="3488" t="s">
        <v>1575</v>
      </c>
    </row>
    <row r="31" spans="2:4" s="5317" customFormat="1" ht="18" customHeight="1">
      <c r="B31" s="3489">
        <v>10</v>
      </c>
      <c r="C31" s="3489">
        <v>73</v>
      </c>
      <c r="D31" s="3490" t="s">
        <v>473</v>
      </c>
    </row>
    <row r="32" spans="2:4" s="5317" customFormat="1" ht="18" customHeight="1">
      <c r="B32" s="3489">
        <v>11</v>
      </c>
      <c r="C32" s="3489">
        <v>77</v>
      </c>
      <c r="D32" s="3490" t="s">
        <v>1574</v>
      </c>
    </row>
    <row r="33" spans="2:4" s="5317" customFormat="1" ht="18" customHeight="1">
      <c r="B33" s="3489">
        <v>12</v>
      </c>
      <c r="C33" s="3489">
        <v>78</v>
      </c>
      <c r="D33" s="3490" t="s">
        <v>555</v>
      </c>
    </row>
    <row r="34" spans="2:4" s="5317" customFormat="1" ht="18" customHeight="1">
      <c r="B34" s="3489">
        <v>13</v>
      </c>
      <c r="C34" s="3489">
        <v>82</v>
      </c>
      <c r="D34" s="3490" t="s">
        <v>2372</v>
      </c>
    </row>
    <row r="35" spans="2:4" s="5317" customFormat="1" ht="18" customHeight="1">
      <c r="B35" s="3489">
        <v>14</v>
      </c>
      <c r="C35" s="3489">
        <v>84</v>
      </c>
      <c r="D35" s="3490" t="s">
        <v>2643</v>
      </c>
    </row>
    <row r="36" spans="2:4" s="5317" customFormat="1" ht="18" customHeight="1">
      <c r="B36" s="3491">
        <v>15</v>
      </c>
      <c r="C36" s="3491">
        <v>99</v>
      </c>
      <c r="D36" s="4123" t="s">
        <v>324</v>
      </c>
    </row>
    <row r="37" spans="2:4" s="5317" customFormat="1" ht="15.6">
      <c r="C37" s="5878"/>
      <c r="D37" s="5878"/>
    </row>
    <row r="38" spans="2:4" s="5081" customFormat="1" ht="15.6">
      <c r="B38" s="5317"/>
      <c r="C38" s="5083"/>
      <c r="D38" s="5083"/>
    </row>
    <row r="39" spans="2:4" s="5081" customFormat="1" ht="29.4" thickBot="1">
      <c r="B39" s="4460" t="s">
        <v>1685</v>
      </c>
      <c r="C39" s="5082" t="s">
        <v>1690</v>
      </c>
      <c r="D39" s="3364" t="s">
        <v>3053</v>
      </c>
    </row>
    <row r="40" spans="2:4" s="5081" customFormat="1" ht="18" customHeight="1">
      <c r="B40" s="3503">
        <v>1</v>
      </c>
      <c r="C40" s="3503">
        <v>3</v>
      </c>
      <c r="D40" s="3484" t="s">
        <v>1688</v>
      </c>
    </row>
    <row r="41" spans="2:4" s="5081" customFormat="1" ht="18" customHeight="1">
      <c r="B41" s="3489">
        <v>2</v>
      </c>
      <c r="C41" s="3489">
        <v>7</v>
      </c>
      <c r="D41" s="4122" t="s">
        <v>1567</v>
      </c>
    </row>
    <row r="42" spans="2:4" s="5081" customFormat="1" ht="18" customHeight="1">
      <c r="B42" s="3489">
        <v>3</v>
      </c>
      <c r="C42" s="3489">
        <v>25</v>
      </c>
      <c r="D42" s="4122" t="s">
        <v>1570</v>
      </c>
    </row>
    <row r="43" spans="2:4" s="5081" customFormat="1" ht="18" customHeight="1">
      <c r="B43" s="1872">
        <v>4</v>
      </c>
      <c r="C43" s="1872">
        <v>27</v>
      </c>
      <c r="D43" s="3486" t="s">
        <v>1571</v>
      </c>
    </row>
    <row r="44" spans="2:4" s="5081" customFormat="1" ht="18" customHeight="1">
      <c r="B44" s="3489">
        <v>5</v>
      </c>
      <c r="C44" s="3489">
        <v>39</v>
      </c>
      <c r="D44" s="4122" t="s">
        <v>2371</v>
      </c>
    </row>
    <row r="45" spans="2:4" s="5081" customFormat="1" ht="18" customHeight="1">
      <c r="B45" s="3489">
        <v>6</v>
      </c>
      <c r="C45" s="3489">
        <v>42</v>
      </c>
      <c r="D45" s="3488" t="s">
        <v>1572</v>
      </c>
    </row>
    <row r="46" spans="2:4" s="5081" customFormat="1" ht="18" customHeight="1">
      <c r="B46" s="3489">
        <v>7</v>
      </c>
      <c r="C46" s="3489">
        <v>43</v>
      </c>
      <c r="D46" s="3490" t="s">
        <v>1573</v>
      </c>
    </row>
    <row r="47" spans="2:4" s="5081" customFormat="1" ht="18" customHeight="1">
      <c r="B47" s="3489">
        <v>8</v>
      </c>
      <c r="C47" s="3489">
        <v>44</v>
      </c>
      <c r="D47" s="3490" t="s">
        <v>1576</v>
      </c>
    </row>
    <row r="48" spans="2:4" s="5081" customFormat="1" ht="18" customHeight="1">
      <c r="B48" s="3489">
        <v>9</v>
      </c>
      <c r="C48" s="3489">
        <v>52</v>
      </c>
      <c r="D48" s="3488" t="s">
        <v>1575</v>
      </c>
    </row>
    <row r="49" spans="2:4" s="5081" customFormat="1" ht="18" customHeight="1">
      <c r="B49" s="3489">
        <v>10</v>
      </c>
      <c r="C49" s="3489">
        <v>70</v>
      </c>
      <c r="D49" s="3490" t="s">
        <v>473</v>
      </c>
    </row>
    <row r="50" spans="2:4" s="5081" customFormat="1" ht="18" customHeight="1">
      <c r="B50" s="3489">
        <v>11</v>
      </c>
      <c r="C50" s="3489">
        <v>82</v>
      </c>
      <c r="D50" s="3490" t="s">
        <v>2372</v>
      </c>
    </row>
    <row r="51" spans="2:4" s="5081" customFormat="1" ht="18" customHeight="1">
      <c r="B51" s="3489">
        <v>12</v>
      </c>
      <c r="C51" s="3489">
        <v>83</v>
      </c>
      <c r="D51" s="3490" t="s">
        <v>2643</v>
      </c>
    </row>
    <row r="52" spans="2:4" s="5081" customFormat="1" ht="18" customHeight="1">
      <c r="B52" s="3489">
        <v>13</v>
      </c>
      <c r="C52" s="3489">
        <v>84</v>
      </c>
      <c r="D52" s="3490" t="s">
        <v>1574</v>
      </c>
    </row>
    <row r="53" spans="2:4" s="5081" customFormat="1" ht="18" customHeight="1">
      <c r="B53" s="3489">
        <v>14</v>
      </c>
      <c r="C53" s="3489">
        <v>92</v>
      </c>
      <c r="D53" s="3490" t="s">
        <v>555</v>
      </c>
    </row>
    <row r="54" spans="2:4" s="5081" customFormat="1" ht="18" customHeight="1">
      <c r="B54" s="3491">
        <v>15</v>
      </c>
      <c r="C54" s="3491">
        <v>94</v>
      </c>
      <c r="D54" s="4123" t="s">
        <v>2644</v>
      </c>
    </row>
    <row r="55" spans="2:4" s="5081" customFormat="1" ht="15.6">
      <c r="B55" s="5317"/>
      <c r="C55" s="5083"/>
      <c r="D55" s="5083"/>
    </row>
    <row r="56" spans="2:4" s="5081" customFormat="1" ht="15.6">
      <c r="B56" s="5317"/>
      <c r="C56" s="5083"/>
      <c r="D56" s="5083"/>
    </row>
    <row r="57" spans="2:4" s="4103" customFormat="1" ht="29.4" thickBot="1">
      <c r="B57" s="4460" t="s">
        <v>1685</v>
      </c>
      <c r="C57" s="4104" t="s">
        <v>1690</v>
      </c>
      <c r="D57" s="3364" t="s">
        <v>2510</v>
      </c>
    </row>
    <row r="58" spans="2:4" s="4103" customFormat="1" ht="18" customHeight="1">
      <c r="B58" s="3503">
        <v>1</v>
      </c>
      <c r="C58" s="3503">
        <v>3</v>
      </c>
      <c r="D58" s="3484" t="s">
        <v>1688</v>
      </c>
    </row>
    <row r="59" spans="2:4" s="4103" customFormat="1" ht="18" customHeight="1">
      <c r="B59" s="3489">
        <v>2</v>
      </c>
      <c r="C59" s="3489">
        <v>6</v>
      </c>
      <c r="D59" s="4122" t="s">
        <v>1567</v>
      </c>
    </row>
    <row r="60" spans="2:4" s="4103" customFormat="1" ht="18" customHeight="1">
      <c r="B60" s="3489">
        <v>3</v>
      </c>
      <c r="C60" s="3489">
        <v>25</v>
      </c>
      <c r="D60" s="4122" t="s">
        <v>1570</v>
      </c>
    </row>
    <row r="61" spans="2:4" s="4103" customFormat="1" ht="18" customHeight="1">
      <c r="B61" s="1872">
        <v>4</v>
      </c>
      <c r="C61" s="1872">
        <v>28</v>
      </c>
      <c r="D61" s="3486" t="s">
        <v>1571</v>
      </c>
    </row>
    <row r="62" spans="2:4" s="4103" customFormat="1" ht="18" customHeight="1">
      <c r="B62" s="3489">
        <v>5</v>
      </c>
      <c r="C62" s="3489">
        <v>39</v>
      </c>
      <c r="D62" s="4122" t="s">
        <v>1572</v>
      </c>
    </row>
    <row r="63" spans="2:4" s="4103" customFormat="1" ht="18" customHeight="1">
      <c r="B63" s="3489">
        <v>6</v>
      </c>
      <c r="C63" s="3489">
        <v>42</v>
      </c>
      <c r="D63" s="3488" t="s">
        <v>2371</v>
      </c>
    </row>
    <row r="64" spans="2:4" s="4103" customFormat="1" ht="18" customHeight="1">
      <c r="B64" s="3489">
        <v>7</v>
      </c>
      <c r="C64" s="3489">
        <v>46</v>
      </c>
      <c r="D64" s="3490" t="s">
        <v>1573</v>
      </c>
    </row>
    <row r="65" spans="2:4" s="4103" customFormat="1" ht="18" customHeight="1">
      <c r="B65" s="3489">
        <v>8</v>
      </c>
      <c r="C65" s="3489">
        <v>48</v>
      </c>
      <c r="D65" s="3490" t="s">
        <v>1576</v>
      </c>
    </row>
    <row r="66" spans="2:4" s="4103" customFormat="1" ht="18" customHeight="1">
      <c r="B66" s="3489">
        <v>9</v>
      </c>
      <c r="C66" s="3489">
        <v>50</v>
      </c>
      <c r="D66" s="3488" t="s">
        <v>1575</v>
      </c>
    </row>
    <row r="67" spans="2:4" s="4103" customFormat="1" ht="18" customHeight="1">
      <c r="B67" s="3489">
        <v>10</v>
      </c>
      <c r="C67" s="3489">
        <v>66</v>
      </c>
      <c r="D67" s="3490" t="s">
        <v>473</v>
      </c>
    </row>
    <row r="68" spans="2:4" s="4103" customFormat="1" ht="18" customHeight="1">
      <c r="B68" s="3489">
        <v>11</v>
      </c>
      <c r="C68" s="3489">
        <v>75</v>
      </c>
      <c r="D68" s="3490" t="s">
        <v>1574</v>
      </c>
    </row>
    <row r="69" spans="2:4" s="4103" customFormat="1" ht="18" customHeight="1">
      <c r="B69" s="3489">
        <v>12</v>
      </c>
      <c r="C69" s="3489">
        <v>82</v>
      </c>
      <c r="D69" s="3490" t="s">
        <v>2372</v>
      </c>
    </row>
    <row r="70" spans="2:4" s="4103" customFormat="1" ht="18" customHeight="1">
      <c r="B70" s="3489">
        <v>13</v>
      </c>
      <c r="C70" s="3489">
        <v>88</v>
      </c>
      <c r="D70" s="3490" t="s">
        <v>325</v>
      </c>
    </row>
    <row r="71" spans="2:4" s="4103" customFormat="1" ht="18" customHeight="1">
      <c r="B71" s="3489">
        <v>14</v>
      </c>
      <c r="C71" s="3489">
        <v>89</v>
      </c>
      <c r="D71" s="3490" t="s">
        <v>555</v>
      </c>
    </row>
    <row r="72" spans="2:4" s="4103" customFormat="1" ht="18" customHeight="1">
      <c r="B72" s="3491">
        <v>15</v>
      </c>
      <c r="C72" s="3491">
        <v>98</v>
      </c>
      <c r="D72" s="4123" t="s">
        <v>324</v>
      </c>
    </row>
    <row r="73" spans="2:4" s="4103" customFormat="1" ht="15.6">
      <c r="B73" s="5317"/>
      <c r="C73" s="4105"/>
      <c r="D73" s="4105"/>
    </row>
    <row r="74" spans="2:4" s="4103" customFormat="1" ht="15.6">
      <c r="B74" s="5317"/>
      <c r="C74" s="4105"/>
      <c r="D74" s="4105"/>
    </row>
    <row r="75" spans="2:4" s="3478" customFormat="1" ht="29.4" thickBot="1">
      <c r="B75" s="4460" t="s">
        <v>1685</v>
      </c>
      <c r="C75" s="3479" t="s">
        <v>1690</v>
      </c>
      <c r="D75" s="3364" t="s">
        <v>2640</v>
      </c>
    </row>
    <row r="76" spans="2:4" s="3478" customFormat="1" ht="19.2" customHeight="1">
      <c r="B76" s="3503">
        <v>1</v>
      </c>
      <c r="C76" s="1868">
        <v>4</v>
      </c>
      <c r="D76" s="3484" t="s">
        <v>1567</v>
      </c>
    </row>
    <row r="77" spans="2:4" s="3478" customFormat="1" ht="19.2" customHeight="1">
      <c r="B77" s="3489">
        <v>2</v>
      </c>
      <c r="C77" s="1870">
        <v>6</v>
      </c>
      <c r="D77" s="3485" t="s">
        <v>322</v>
      </c>
    </row>
    <row r="78" spans="2:4" s="3478" customFormat="1" ht="19.2" customHeight="1">
      <c r="B78" s="3489">
        <v>3</v>
      </c>
      <c r="C78" s="1870">
        <v>23</v>
      </c>
      <c r="D78" s="3485" t="s">
        <v>1570</v>
      </c>
    </row>
    <row r="79" spans="2:4" s="3478" customFormat="1" ht="19.2" customHeight="1">
      <c r="B79" s="1872">
        <v>4</v>
      </c>
      <c r="C79" s="1872">
        <v>29</v>
      </c>
      <c r="D79" s="3486" t="s">
        <v>1571</v>
      </c>
    </row>
    <row r="80" spans="2:4" s="3478" customFormat="1" ht="19.2" customHeight="1">
      <c r="B80" s="3489">
        <v>5</v>
      </c>
      <c r="C80" s="1870">
        <v>39</v>
      </c>
      <c r="D80" s="1875" t="s">
        <v>2371</v>
      </c>
    </row>
    <row r="81" spans="2:4" s="3478" customFormat="1" ht="19.2" customHeight="1">
      <c r="B81" s="3489">
        <v>6</v>
      </c>
      <c r="C81" s="1870">
        <v>42</v>
      </c>
      <c r="D81" s="3485" t="s">
        <v>1572</v>
      </c>
    </row>
    <row r="82" spans="2:4" s="3478" customFormat="1" ht="19.2" customHeight="1">
      <c r="B82" s="3489">
        <v>7</v>
      </c>
      <c r="C82" s="1870">
        <v>47</v>
      </c>
      <c r="D82" s="3487" t="s">
        <v>1573</v>
      </c>
    </row>
    <row r="83" spans="2:4" s="3478" customFormat="1" ht="19.2" customHeight="1">
      <c r="B83" s="3489">
        <v>8</v>
      </c>
      <c r="C83" s="1870">
        <v>55</v>
      </c>
      <c r="D83" s="3487" t="s">
        <v>1576</v>
      </c>
    </row>
    <row r="84" spans="2:4" s="3478" customFormat="1" ht="19.2" customHeight="1">
      <c r="B84" s="3489">
        <v>9</v>
      </c>
      <c r="C84" s="1870">
        <v>56</v>
      </c>
      <c r="D84" s="3488" t="s">
        <v>1575</v>
      </c>
    </row>
    <row r="85" spans="2:4" s="3478" customFormat="1" ht="19.2" customHeight="1">
      <c r="B85" s="3489">
        <v>10</v>
      </c>
      <c r="C85" s="1870">
        <v>63</v>
      </c>
      <c r="D85" s="3487" t="s">
        <v>1574</v>
      </c>
    </row>
    <row r="86" spans="2:4" s="3478" customFormat="1" ht="19.2" customHeight="1">
      <c r="B86" s="3489">
        <v>11</v>
      </c>
      <c r="C86" s="1870">
        <v>66</v>
      </c>
      <c r="D86" s="3487" t="s">
        <v>473</v>
      </c>
    </row>
    <row r="87" spans="2:4" s="3478" customFormat="1" ht="19.2" customHeight="1">
      <c r="B87" s="3489">
        <v>12</v>
      </c>
      <c r="C87" s="1870">
        <v>86</v>
      </c>
      <c r="D87" s="3487" t="s">
        <v>2372</v>
      </c>
    </row>
    <row r="88" spans="2:4" s="3478" customFormat="1" ht="19.2" customHeight="1">
      <c r="B88" s="3489">
        <v>13</v>
      </c>
      <c r="C88" s="3489">
        <v>91</v>
      </c>
      <c r="D88" s="3490" t="s">
        <v>555</v>
      </c>
    </row>
    <row r="89" spans="2:4" s="3478" customFormat="1" ht="19.2" customHeight="1">
      <c r="B89" s="3489">
        <v>14</v>
      </c>
      <c r="C89" s="1870">
        <v>96</v>
      </c>
      <c r="D89" s="3487" t="s">
        <v>324</v>
      </c>
    </row>
    <row r="90" spans="2:4" s="3478" customFormat="1" ht="19.2" customHeight="1">
      <c r="B90" s="3491">
        <v>15</v>
      </c>
      <c r="C90" s="3491">
        <v>98</v>
      </c>
      <c r="D90" s="3492" t="s">
        <v>325</v>
      </c>
    </row>
    <row r="91" spans="2:4" s="3478" customFormat="1" ht="15.6">
      <c r="B91" s="5317"/>
      <c r="C91" s="3480"/>
      <c r="D91" s="3480"/>
    </row>
    <row r="92" spans="2:4" s="2417" customFormat="1" ht="20.100000000000001" customHeight="1">
      <c r="B92" s="5317"/>
      <c r="C92" s="1886"/>
      <c r="D92" s="1886"/>
    </row>
    <row r="93" spans="2:4" ht="31.2" customHeight="1" thickBot="1">
      <c r="C93" s="1780" t="s">
        <v>1690</v>
      </c>
      <c r="D93" s="1780" t="s">
        <v>2457</v>
      </c>
    </row>
    <row r="94" spans="2:4" ht="20.100000000000001" customHeight="1">
      <c r="C94" s="1868">
        <v>4</v>
      </c>
      <c r="D94" s="1869" t="s">
        <v>1567</v>
      </c>
    </row>
    <row r="95" spans="2:4" ht="20.100000000000001" customHeight="1">
      <c r="C95" s="1870">
        <v>5</v>
      </c>
      <c r="D95" s="1871" t="s">
        <v>1568</v>
      </c>
    </row>
    <row r="96" spans="2:4" ht="20.100000000000001" customHeight="1">
      <c r="C96" s="1870">
        <v>30</v>
      </c>
      <c r="D96" s="1871" t="s">
        <v>1570</v>
      </c>
    </row>
    <row r="97" spans="3:5" ht="20.100000000000001" customHeight="1">
      <c r="C97" s="1872">
        <v>32</v>
      </c>
      <c r="D97" s="1873" t="s">
        <v>1571</v>
      </c>
    </row>
    <row r="98" spans="3:5" ht="20.100000000000001" customHeight="1">
      <c r="C98" s="1870">
        <v>35</v>
      </c>
      <c r="D98" s="1871" t="s">
        <v>1569</v>
      </c>
    </row>
    <row r="99" spans="3:5" ht="20.100000000000001" customHeight="1">
      <c r="C99" s="1870">
        <v>37</v>
      </c>
      <c r="D99" s="1871" t="s">
        <v>1572</v>
      </c>
    </row>
    <row r="100" spans="3:5" ht="20.100000000000001" customHeight="1">
      <c r="C100" s="1870">
        <v>50</v>
      </c>
      <c r="D100" s="1871" t="s">
        <v>473</v>
      </c>
    </row>
    <row r="101" spans="3:5" ht="20.100000000000001" customHeight="1">
      <c r="C101" s="1870">
        <v>52</v>
      </c>
      <c r="D101" s="1871" t="s">
        <v>1573</v>
      </c>
    </row>
    <row r="102" spans="3:5" ht="20.100000000000001" customHeight="1">
      <c r="C102" s="1870">
        <v>56</v>
      </c>
      <c r="D102" s="1871" t="s">
        <v>1576</v>
      </c>
    </row>
    <row r="103" spans="3:5" ht="20.100000000000001" customHeight="1">
      <c r="C103" s="1870">
        <v>61</v>
      </c>
      <c r="D103" s="1737" t="s">
        <v>1574</v>
      </c>
    </row>
    <row r="104" spans="3:5" ht="20.100000000000001" customHeight="1">
      <c r="C104" s="1874">
        <v>62</v>
      </c>
      <c r="D104" s="1871" t="s">
        <v>1575</v>
      </c>
    </row>
    <row r="105" spans="3:5" ht="20.100000000000001" customHeight="1">
      <c r="C105" s="1870">
        <v>88</v>
      </c>
      <c r="D105" s="1871" t="s">
        <v>555</v>
      </c>
    </row>
    <row r="106" spans="3:5" ht="20.100000000000001" customHeight="1">
      <c r="C106" s="1870">
        <v>99</v>
      </c>
      <c r="D106" s="1875" t="s">
        <v>324</v>
      </c>
    </row>
    <row r="107" spans="3:5" ht="20.100000000000001" customHeight="1">
      <c r="C107" s="1870">
        <v>108</v>
      </c>
      <c r="D107" s="1871" t="s">
        <v>637</v>
      </c>
    </row>
    <row r="108" spans="3:5" ht="20.100000000000001" customHeight="1">
      <c r="C108" s="1876">
        <v>111</v>
      </c>
      <c r="D108" s="1877" t="s">
        <v>1588</v>
      </c>
    </row>
    <row r="109" spans="3:5" ht="26.25" customHeight="1">
      <c r="C109" s="7614" t="s">
        <v>2379</v>
      </c>
      <c r="D109" s="7614"/>
    </row>
    <row r="112" spans="3:5" ht="15.75" customHeight="1">
      <c r="C112" s="7615" t="s">
        <v>3054</v>
      </c>
      <c r="D112" s="7615"/>
      <c r="E112" s="7615"/>
    </row>
    <row r="113" spans="3:5" ht="28.8">
      <c r="C113" s="1101" t="s">
        <v>1690</v>
      </c>
      <c r="D113" s="1560" t="s">
        <v>1565</v>
      </c>
      <c r="E113" s="1424" t="s">
        <v>1566</v>
      </c>
    </row>
    <row r="114" spans="3:5">
      <c r="C114" s="1624">
        <v>4</v>
      </c>
      <c r="D114" s="1620" t="s">
        <v>1567</v>
      </c>
      <c r="E114" s="1627">
        <v>96.5</v>
      </c>
    </row>
    <row r="115" spans="3:5">
      <c r="C115" s="1624">
        <v>7</v>
      </c>
      <c r="D115" s="1620" t="s">
        <v>1568</v>
      </c>
      <c r="E115" s="1627">
        <v>93.7</v>
      </c>
    </row>
    <row r="116" spans="3:5">
      <c r="C116" s="1563">
        <v>23</v>
      </c>
      <c r="D116" s="1620" t="s">
        <v>1569</v>
      </c>
      <c r="E116" s="1564">
        <v>80.7</v>
      </c>
    </row>
    <row r="117" spans="3:5">
      <c r="C117" s="1566">
        <v>30</v>
      </c>
      <c r="D117" s="1567" t="s">
        <v>1571</v>
      </c>
      <c r="E117" s="1568">
        <v>77.599999999999994</v>
      </c>
    </row>
    <row r="118" spans="3:5">
      <c r="C118" s="1624">
        <v>32</v>
      </c>
      <c r="D118" s="1465" t="s">
        <v>1570</v>
      </c>
      <c r="E118" s="1627">
        <v>76.099999999999994</v>
      </c>
    </row>
    <row r="119" spans="3:5">
      <c r="C119" s="1563">
        <v>39</v>
      </c>
      <c r="D119" s="1465" t="s">
        <v>1572</v>
      </c>
      <c r="E119" s="1564">
        <v>69.5</v>
      </c>
    </row>
    <row r="120" spans="3:5">
      <c r="C120" s="1563">
        <v>51</v>
      </c>
      <c r="D120" s="1620" t="s">
        <v>1573</v>
      </c>
      <c r="E120" s="1564">
        <v>65.400000000000006</v>
      </c>
    </row>
    <row r="121" spans="3:5">
      <c r="C121" s="1624">
        <v>53</v>
      </c>
      <c r="D121" s="1465" t="s">
        <v>1576</v>
      </c>
      <c r="E121" s="1627">
        <v>64.2</v>
      </c>
    </row>
    <row r="122" spans="3:5">
      <c r="C122" s="1624">
        <v>55</v>
      </c>
      <c r="D122" s="1620" t="s">
        <v>473</v>
      </c>
      <c r="E122" s="1627">
        <v>63.6</v>
      </c>
    </row>
    <row r="123" spans="3:5">
      <c r="C123" s="1624">
        <v>56</v>
      </c>
      <c r="D123" s="1512" t="s">
        <v>1575</v>
      </c>
      <c r="E123" s="1627">
        <v>63.1</v>
      </c>
    </row>
    <row r="124" spans="3:5">
      <c r="C124" s="1442">
        <v>64</v>
      </c>
      <c r="D124" s="1621" t="s">
        <v>1574</v>
      </c>
      <c r="E124" s="1565">
        <v>60.8</v>
      </c>
    </row>
    <row r="125" spans="3:5">
      <c r="C125" s="1563">
        <v>72</v>
      </c>
      <c r="D125" s="1465" t="s">
        <v>555</v>
      </c>
      <c r="E125" s="1564">
        <v>57.9</v>
      </c>
    </row>
    <row r="126" spans="3:5">
      <c r="C126" s="1625">
        <v>96</v>
      </c>
      <c r="D126" s="1622" t="s">
        <v>1578</v>
      </c>
      <c r="E126" s="1628">
        <v>49.3</v>
      </c>
    </row>
    <row r="127" spans="3:5">
      <c r="C127" s="1563">
        <v>98</v>
      </c>
      <c r="D127" s="1465" t="s">
        <v>325</v>
      </c>
      <c r="E127" s="1564">
        <v>48.5</v>
      </c>
    </row>
    <row r="128" spans="3:5">
      <c r="C128" s="1626">
        <v>101</v>
      </c>
      <c r="D128" s="1623" t="s">
        <v>1588</v>
      </c>
      <c r="E128" s="1629">
        <v>47.9</v>
      </c>
    </row>
    <row r="131" spans="3:5" ht="15.75" customHeight="1">
      <c r="C131" s="7615" t="s">
        <v>1689</v>
      </c>
      <c r="D131" s="7615"/>
      <c r="E131" s="7615"/>
    </row>
    <row r="132" spans="3:5" ht="28.8">
      <c r="C132" s="1101" t="s">
        <v>1690</v>
      </c>
      <c r="D132" s="1560" t="s">
        <v>1565</v>
      </c>
      <c r="E132" s="1424" t="s">
        <v>1566</v>
      </c>
    </row>
    <row r="133" spans="3:5">
      <c r="C133" s="1426">
        <v>6</v>
      </c>
      <c r="D133" s="1439" t="s">
        <v>1567</v>
      </c>
      <c r="E133" s="1427">
        <v>94.9</v>
      </c>
    </row>
    <row r="134" spans="3:5" ht="30" customHeight="1">
      <c r="C134" s="1426">
        <v>9</v>
      </c>
      <c r="D134" s="1435" t="s">
        <v>1568</v>
      </c>
      <c r="E134" s="1427">
        <v>86.7</v>
      </c>
    </row>
    <row r="135" spans="3:5">
      <c r="C135" s="1425">
        <v>22</v>
      </c>
      <c r="D135" s="1436" t="s">
        <v>1569</v>
      </c>
      <c r="E135" s="1428">
        <v>75.8</v>
      </c>
    </row>
    <row r="136" spans="3:5">
      <c r="C136" s="1429">
        <v>35</v>
      </c>
      <c r="D136" s="1437" t="s">
        <v>1570</v>
      </c>
      <c r="E136" s="1430">
        <v>68.2</v>
      </c>
    </row>
    <row r="137" spans="3:5">
      <c r="C137" s="1426">
        <v>36</v>
      </c>
      <c r="D137" s="1436" t="s">
        <v>1571</v>
      </c>
      <c r="E137" s="1427">
        <v>68.099999999999994</v>
      </c>
    </row>
    <row r="138" spans="3:5">
      <c r="C138" s="1425">
        <v>37</v>
      </c>
      <c r="D138" s="1436" t="s">
        <v>1572</v>
      </c>
      <c r="E138" s="1428">
        <v>67.2</v>
      </c>
    </row>
    <row r="139" spans="3:5">
      <c r="C139" s="1425">
        <v>42</v>
      </c>
      <c r="D139" s="1436" t="s">
        <v>1573</v>
      </c>
      <c r="E139" s="1428">
        <v>62.2</v>
      </c>
    </row>
    <row r="140" spans="3:5">
      <c r="C140" s="1426">
        <v>51</v>
      </c>
      <c r="D140" s="1436" t="s">
        <v>1574</v>
      </c>
      <c r="E140" s="1427">
        <v>58.5</v>
      </c>
    </row>
    <row r="141" spans="3:5">
      <c r="C141" s="1426">
        <v>58</v>
      </c>
      <c r="D141" s="1436" t="s">
        <v>1575</v>
      </c>
      <c r="E141" s="1427">
        <v>55.8</v>
      </c>
    </row>
    <row r="142" spans="3:5">
      <c r="C142" s="1426">
        <v>59</v>
      </c>
      <c r="D142" s="1436" t="s">
        <v>473</v>
      </c>
      <c r="E142" s="1427">
        <v>55.6</v>
      </c>
    </row>
    <row r="143" spans="3:5">
      <c r="C143" s="1164">
        <v>65</v>
      </c>
      <c r="D143" s="1438" t="s">
        <v>1576</v>
      </c>
      <c r="E143" s="1431">
        <v>53.3</v>
      </c>
    </row>
    <row r="144" spans="3:5">
      <c r="C144" s="1425">
        <v>74</v>
      </c>
      <c r="D144" s="1436" t="s">
        <v>555</v>
      </c>
      <c r="E144" s="1428">
        <v>48.3</v>
      </c>
    </row>
    <row r="145" spans="3:5">
      <c r="C145" s="1432">
        <v>76</v>
      </c>
      <c r="D145" s="1436" t="s">
        <v>1577</v>
      </c>
      <c r="E145" s="1109">
        <v>47.9</v>
      </c>
    </row>
    <row r="146" spans="3:5">
      <c r="C146" s="1425">
        <v>82</v>
      </c>
      <c r="D146" s="1436" t="s">
        <v>1578</v>
      </c>
      <c r="E146" s="1428">
        <v>46.5</v>
      </c>
    </row>
    <row r="147" spans="3:5">
      <c r="C147" s="1433">
        <v>104</v>
      </c>
      <c r="D147" s="1436" t="s">
        <v>325</v>
      </c>
      <c r="E147" s="1434">
        <v>39.799999999999997</v>
      </c>
    </row>
    <row r="148" spans="3:5">
      <c r="C148" s="32" t="s">
        <v>2026</v>
      </c>
    </row>
    <row r="149" spans="3:5">
      <c r="C149" s="32"/>
    </row>
    <row r="151" spans="3:5" ht="15.6">
      <c r="C151" s="7615" t="s">
        <v>2049</v>
      </c>
      <c r="D151" s="7615"/>
      <c r="E151" s="7615"/>
    </row>
    <row r="152" spans="3:5" ht="43.2">
      <c r="C152" s="1101" t="s">
        <v>1564</v>
      </c>
      <c r="D152" s="1561" t="s">
        <v>1565</v>
      </c>
      <c r="E152" s="1101" t="s">
        <v>1566</v>
      </c>
    </row>
    <row r="153" spans="3:5">
      <c r="C153" s="1104">
        <v>7</v>
      </c>
      <c r="D153" s="1102" t="s">
        <v>1568</v>
      </c>
      <c r="E153" s="1105">
        <v>91.4</v>
      </c>
    </row>
    <row r="154" spans="3:5" ht="15" customHeight="1">
      <c r="C154" s="1104">
        <v>8</v>
      </c>
      <c r="D154" s="1102" t="s">
        <v>1567</v>
      </c>
      <c r="E154" s="1105">
        <v>91</v>
      </c>
    </row>
    <row r="155" spans="3:5">
      <c r="C155" s="1100">
        <v>26</v>
      </c>
      <c r="D155" s="1102" t="s">
        <v>1570</v>
      </c>
      <c r="E155" s="1106">
        <v>78</v>
      </c>
    </row>
    <row r="156" spans="3:5">
      <c r="C156" s="1104">
        <v>28</v>
      </c>
      <c r="D156" s="1102" t="s">
        <v>1569</v>
      </c>
      <c r="E156" s="1105">
        <v>77.8</v>
      </c>
    </row>
    <row r="157" spans="3:5">
      <c r="C157" s="1103">
        <v>35</v>
      </c>
      <c r="D157" s="1562" t="s">
        <v>1571</v>
      </c>
      <c r="E157" s="1107">
        <v>74.7</v>
      </c>
    </row>
    <row r="158" spans="3:5">
      <c r="C158" s="1100">
        <v>36</v>
      </c>
      <c r="D158" s="1102" t="s">
        <v>1572</v>
      </c>
      <c r="E158" s="1106">
        <v>73.8</v>
      </c>
    </row>
    <row r="159" spans="3:5">
      <c r="C159" s="1100">
        <v>50</v>
      </c>
      <c r="D159" s="1102" t="s">
        <v>1575</v>
      </c>
      <c r="E159" s="1106">
        <v>65.599999999999994</v>
      </c>
    </row>
    <row r="160" spans="3:5">
      <c r="C160" s="1099">
        <v>59</v>
      </c>
      <c r="D160" s="1119" t="s">
        <v>1573</v>
      </c>
      <c r="E160" s="1108">
        <v>63</v>
      </c>
    </row>
    <row r="161" spans="3:5">
      <c r="C161" s="1104">
        <v>64</v>
      </c>
      <c r="D161" s="1102" t="s">
        <v>1576</v>
      </c>
      <c r="E161" s="1105">
        <v>59.8</v>
      </c>
    </row>
    <row r="162" spans="3:5">
      <c r="C162" s="1104">
        <v>68</v>
      </c>
      <c r="D162" s="1102" t="s">
        <v>473</v>
      </c>
      <c r="E162" s="1105">
        <v>58.7</v>
      </c>
    </row>
    <row r="163" spans="3:5">
      <c r="C163" s="1104">
        <v>70</v>
      </c>
      <c r="D163" s="1102" t="s">
        <v>555</v>
      </c>
      <c r="E163" s="1105">
        <v>57.6</v>
      </c>
    </row>
    <row r="164" spans="3:5">
      <c r="C164" s="1100">
        <v>95</v>
      </c>
      <c r="D164" s="1102" t="s">
        <v>1574</v>
      </c>
      <c r="E164" s="1106">
        <v>50.4</v>
      </c>
    </row>
    <row r="165" spans="3:5">
      <c r="C165" s="1100">
        <v>98</v>
      </c>
      <c r="D165" s="1102" t="s">
        <v>325</v>
      </c>
      <c r="E165" s="1109">
        <v>50</v>
      </c>
    </row>
    <row r="166" spans="3:5">
      <c r="C166" s="1100">
        <v>99</v>
      </c>
      <c r="D166" s="1102" t="s">
        <v>1578</v>
      </c>
      <c r="E166" s="1109">
        <v>49.8</v>
      </c>
    </row>
    <row r="167" spans="3:5">
      <c r="C167" s="1100">
        <v>100</v>
      </c>
      <c r="D167" s="1102" t="s">
        <v>324</v>
      </c>
      <c r="E167" s="1106">
        <v>49.1</v>
      </c>
    </row>
    <row r="168" spans="3:5">
      <c r="C168" s="1110" t="s">
        <v>2027</v>
      </c>
      <c r="D168" s="87"/>
      <c r="E168" s="1111"/>
    </row>
    <row r="171" spans="3:5" ht="15.6">
      <c r="C171" s="7615" t="s">
        <v>2050</v>
      </c>
      <c r="D171" s="7615"/>
      <c r="E171" s="7615"/>
    </row>
    <row r="172" spans="3:5" ht="43.2">
      <c r="C172" s="1101" t="s">
        <v>2022</v>
      </c>
      <c r="D172" s="1554" t="s">
        <v>1565</v>
      </c>
      <c r="E172" s="1554" t="s">
        <v>1566</v>
      </c>
    </row>
    <row r="173" spans="3:5">
      <c r="C173" s="1563">
        <v>6</v>
      </c>
      <c r="D173" s="1465" t="s">
        <v>1567</v>
      </c>
      <c r="E173" s="1564">
        <v>93.1</v>
      </c>
    </row>
    <row r="174" spans="3:5">
      <c r="C174" s="1442">
        <v>7</v>
      </c>
      <c r="D174" s="1465" t="s">
        <v>2023</v>
      </c>
      <c r="E174" s="1564">
        <v>89.8</v>
      </c>
    </row>
    <row r="175" spans="3:5">
      <c r="C175" s="1563">
        <v>16</v>
      </c>
      <c r="D175" s="1465" t="s">
        <v>1570</v>
      </c>
      <c r="E175" s="1564">
        <v>78.599999999999994</v>
      </c>
    </row>
    <row r="176" spans="3:5">
      <c r="C176" s="1563">
        <v>27</v>
      </c>
      <c r="D176" s="1465" t="s">
        <v>1569</v>
      </c>
      <c r="E176" s="1564">
        <v>70.599999999999994</v>
      </c>
    </row>
    <row r="177" spans="3:5">
      <c r="C177" s="1566">
        <v>31</v>
      </c>
      <c r="D177" s="1567" t="s">
        <v>1572</v>
      </c>
      <c r="E177" s="1568">
        <v>72.2</v>
      </c>
    </row>
    <row r="178" spans="3:5">
      <c r="C178" s="1563">
        <v>33</v>
      </c>
      <c r="D178" s="1465" t="s">
        <v>1571</v>
      </c>
      <c r="E178" s="1564">
        <v>70.5</v>
      </c>
    </row>
    <row r="179" spans="3:5">
      <c r="C179" s="1563">
        <v>48</v>
      </c>
      <c r="D179" s="1465" t="s">
        <v>1575</v>
      </c>
      <c r="E179" s="1564">
        <v>60.7</v>
      </c>
    </row>
    <row r="180" spans="3:5">
      <c r="C180" s="1563">
        <v>60</v>
      </c>
      <c r="D180" s="1465" t="s">
        <v>1573</v>
      </c>
      <c r="E180" s="1564">
        <v>54.8</v>
      </c>
    </row>
    <row r="181" spans="3:5">
      <c r="C181" s="1563">
        <v>61</v>
      </c>
      <c r="D181" s="1465" t="s">
        <v>1576</v>
      </c>
      <c r="E181" s="1564">
        <v>54.5</v>
      </c>
    </row>
    <row r="182" spans="3:5">
      <c r="C182" s="1563">
        <v>74</v>
      </c>
      <c r="D182" s="1465" t="s">
        <v>1574</v>
      </c>
      <c r="E182" s="1564">
        <v>50.6</v>
      </c>
    </row>
    <row r="183" spans="3:5">
      <c r="C183" s="1563">
        <v>77</v>
      </c>
      <c r="D183" s="1465" t="s">
        <v>555</v>
      </c>
      <c r="E183" s="1564">
        <v>50</v>
      </c>
    </row>
    <row r="184" spans="3:5">
      <c r="C184" s="1442">
        <v>79</v>
      </c>
      <c r="D184" s="1512" t="s">
        <v>473</v>
      </c>
      <c r="E184" s="1565">
        <v>49.4</v>
      </c>
    </row>
    <row r="185" spans="3:5">
      <c r="C185" s="1563">
        <v>93</v>
      </c>
      <c r="D185" s="1465" t="s">
        <v>325</v>
      </c>
      <c r="E185" s="1564">
        <v>46.3</v>
      </c>
    </row>
    <row r="186" spans="3:5">
      <c r="C186" s="1563">
        <v>99</v>
      </c>
      <c r="D186" s="1465" t="s">
        <v>324</v>
      </c>
      <c r="E186" s="1564">
        <v>44.4</v>
      </c>
    </row>
    <row r="187" spans="3:5">
      <c r="C187" s="1563">
        <v>102</v>
      </c>
      <c r="D187" s="1465" t="s">
        <v>637</v>
      </c>
      <c r="E187" s="1564">
        <v>42.9</v>
      </c>
    </row>
    <row r="188" spans="3:5">
      <c r="C188" s="32" t="s">
        <v>2025</v>
      </c>
    </row>
    <row r="190" spans="3:5" ht="15.6">
      <c r="D190" s="18"/>
    </row>
    <row r="192" spans="3:5" ht="15.6">
      <c r="D192" s="18"/>
    </row>
    <row r="193" spans="3:5" ht="15.6">
      <c r="C193" s="7615" t="s">
        <v>2051</v>
      </c>
      <c r="D193" s="7615"/>
      <c r="E193" s="7615"/>
    </row>
    <row r="194" spans="3:5" ht="43.2">
      <c r="C194" s="1101" t="s">
        <v>2024</v>
      </c>
      <c r="D194" s="1554" t="s">
        <v>1565</v>
      </c>
      <c r="E194" s="1554" t="s">
        <v>1566</v>
      </c>
    </row>
    <row r="195" spans="3:5">
      <c r="C195" s="1559">
        <v>5</v>
      </c>
      <c r="D195" s="1569" t="s">
        <v>1567</v>
      </c>
      <c r="E195" s="1570">
        <v>92.83</v>
      </c>
    </row>
    <row r="196" spans="3:5">
      <c r="C196" s="1559">
        <v>7</v>
      </c>
      <c r="D196" s="1569" t="s">
        <v>2023</v>
      </c>
      <c r="E196" s="1570">
        <v>85.81</v>
      </c>
    </row>
    <row r="197" spans="3:5">
      <c r="C197" s="1559">
        <v>16</v>
      </c>
      <c r="D197" s="1569" t="s">
        <v>1570</v>
      </c>
      <c r="E197" s="1570">
        <v>78.44</v>
      </c>
    </row>
    <row r="198" spans="3:5">
      <c r="C198" s="1559">
        <v>19</v>
      </c>
      <c r="D198" s="1569" t="s">
        <v>1572</v>
      </c>
      <c r="E198" s="1570">
        <v>74.680000000000007</v>
      </c>
    </row>
    <row r="199" spans="3:5">
      <c r="C199" s="1566">
        <v>21</v>
      </c>
      <c r="D199" s="1567" t="s">
        <v>1571</v>
      </c>
      <c r="E199" s="1572">
        <v>73.58</v>
      </c>
    </row>
    <row r="200" spans="3:5">
      <c r="C200" s="1563">
        <v>30</v>
      </c>
      <c r="D200" s="1465" t="s">
        <v>1569</v>
      </c>
      <c r="E200" s="1571">
        <v>70.73</v>
      </c>
    </row>
    <row r="201" spans="3:5">
      <c r="C201" s="1563">
        <v>32</v>
      </c>
      <c r="D201" s="1465" t="s">
        <v>1575</v>
      </c>
      <c r="E201" s="1571">
        <v>68.81</v>
      </c>
    </row>
    <row r="202" spans="3:5">
      <c r="C202" s="1563">
        <v>50</v>
      </c>
      <c r="D202" s="1465" t="s">
        <v>1573</v>
      </c>
      <c r="E202" s="1571">
        <v>56.31</v>
      </c>
    </row>
    <row r="203" spans="3:5">
      <c r="C203" s="1563">
        <v>51</v>
      </c>
      <c r="D203" s="1465" t="s">
        <v>1576</v>
      </c>
      <c r="E203" s="1571">
        <v>55.34</v>
      </c>
    </row>
    <row r="204" spans="3:5">
      <c r="C204" s="1563">
        <v>58</v>
      </c>
      <c r="D204" s="1465" t="s">
        <v>555</v>
      </c>
      <c r="E204" s="1571">
        <v>52.18</v>
      </c>
    </row>
    <row r="205" spans="3:5">
      <c r="C205" s="1563">
        <v>61</v>
      </c>
      <c r="D205" s="1465" t="s">
        <v>473</v>
      </c>
      <c r="E205" s="1571">
        <v>50.71</v>
      </c>
    </row>
    <row r="206" spans="3:5">
      <c r="C206" s="1563">
        <v>88</v>
      </c>
      <c r="D206" s="1465" t="s">
        <v>637</v>
      </c>
      <c r="E206" s="1571">
        <v>43.83</v>
      </c>
    </row>
    <row r="207" spans="3:5">
      <c r="C207" s="1563">
        <v>90</v>
      </c>
      <c r="D207" s="1465" t="s">
        <v>325</v>
      </c>
      <c r="E207" s="1571">
        <v>42.93</v>
      </c>
    </row>
    <row r="208" spans="3:5">
      <c r="C208" s="32" t="s">
        <v>3056</v>
      </c>
    </row>
    <row r="210" spans="3:5">
      <c r="C210" s="125"/>
    </row>
    <row r="211" spans="3:5" ht="15.6">
      <c r="D211" s="18"/>
    </row>
    <row r="212" spans="3:5" ht="15.6">
      <c r="C212" s="7615" t="s">
        <v>2052</v>
      </c>
      <c r="D212" s="7615"/>
      <c r="E212" s="7615"/>
    </row>
    <row r="213" spans="3:5" ht="43.2">
      <c r="C213" s="1101" t="s">
        <v>2029</v>
      </c>
      <c r="D213" s="1554" t="s">
        <v>1565</v>
      </c>
      <c r="E213" s="1554" t="s">
        <v>1566</v>
      </c>
    </row>
    <row r="214" spans="3:5">
      <c r="C214" s="1559">
        <v>5</v>
      </c>
      <c r="D214" s="1569" t="s">
        <v>1567</v>
      </c>
      <c r="E214" s="1570">
        <v>92.1</v>
      </c>
    </row>
    <row r="215" spans="3:5">
      <c r="C215" s="1559">
        <v>7</v>
      </c>
      <c r="D215" s="1569" t="s">
        <v>2023</v>
      </c>
      <c r="E215" s="1570">
        <v>83</v>
      </c>
    </row>
    <row r="216" spans="3:5">
      <c r="C216" s="1559">
        <v>22</v>
      </c>
      <c r="D216" s="1569" t="s">
        <v>1570</v>
      </c>
      <c r="E216" s="1570">
        <v>68.400000000000006</v>
      </c>
    </row>
    <row r="217" spans="3:5">
      <c r="C217" s="1559">
        <v>24</v>
      </c>
      <c r="D217" s="1569" t="s">
        <v>1569</v>
      </c>
      <c r="E217" s="1570">
        <v>63.2</v>
      </c>
    </row>
    <row r="218" spans="3:5">
      <c r="C218" s="1566">
        <v>25</v>
      </c>
      <c r="D218" s="1567" t="s">
        <v>1571</v>
      </c>
      <c r="E218" s="1572">
        <v>62.6</v>
      </c>
    </row>
    <row r="219" spans="3:5">
      <c r="C219" s="1563">
        <v>29</v>
      </c>
      <c r="D219" s="1465" t="s">
        <v>1572</v>
      </c>
      <c r="E219" s="1571">
        <v>60.7</v>
      </c>
    </row>
    <row r="220" spans="3:5">
      <c r="C220" s="1563">
        <v>46</v>
      </c>
      <c r="D220" s="1465" t="s">
        <v>1575</v>
      </c>
      <c r="E220" s="1571">
        <v>50.5</v>
      </c>
    </row>
    <row r="221" spans="3:5">
      <c r="C221" s="1563">
        <v>51</v>
      </c>
      <c r="D221" s="1465" t="s">
        <v>1573</v>
      </c>
      <c r="E221" s="1571">
        <v>49.1</v>
      </c>
    </row>
    <row r="222" spans="3:5">
      <c r="C222" s="1563">
        <v>57</v>
      </c>
      <c r="D222" s="1465" t="s">
        <v>1576</v>
      </c>
      <c r="E222" s="1571">
        <v>46.2</v>
      </c>
    </row>
    <row r="223" spans="3:5">
      <c r="C223" s="1563">
        <v>63</v>
      </c>
      <c r="D223" s="1465" t="s">
        <v>473</v>
      </c>
      <c r="E223" s="1571">
        <v>44.3</v>
      </c>
    </row>
    <row r="224" spans="3:5">
      <c r="C224" s="1563">
        <v>70</v>
      </c>
      <c r="D224" s="1465" t="s">
        <v>555</v>
      </c>
      <c r="E224" s="1571">
        <v>42.1</v>
      </c>
    </row>
    <row r="225" spans="3:5">
      <c r="C225" s="1563">
        <v>78</v>
      </c>
      <c r="D225" s="1465" t="s">
        <v>325</v>
      </c>
      <c r="E225" s="1571">
        <v>39.4</v>
      </c>
    </row>
    <row r="226" spans="3:5">
      <c r="C226" s="32" t="s">
        <v>3057</v>
      </c>
    </row>
    <row r="227" spans="3:5" s="5317" customFormat="1">
      <c r="C227" s="32"/>
    </row>
    <row r="229" spans="3:5" s="5317" customFormat="1" ht="15.75" customHeight="1">
      <c r="C229" s="7613" t="s">
        <v>3055</v>
      </c>
      <c r="D229" s="7613"/>
      <c r="E229" s="7613"/>
    </row>
    <row r="230" spans="3:5" s="5317" customFormat="1" ht="28.8">
      <c r="C230" s="1101" t="s">
        <v>1690</v>
      </c>
      <c r="D230" s="5881" t="s">
        <v>1565</v>
      </c>
      <c r="E230" s="5881" t="s">
        <v>1566</v>
      </c>
    </row>
    <row r="231" spans="3:5" s="5317" customFormat="1">
      <c r="C231" s="5889">
        <v>5</v>
      </c>
      <c r="D231" s="5884" t="s">
        <v>1567</v>
      </c>
      <c r="E231" s="5886">
        <v>92.1</v>
      </c>
    </row>
    <row r="232" spans="3:5" s="5317" customFormat="1">
      <c r="C232" s="5889">
        <v>7</v>
      </c>
      <c r="D232" s="5884" t="s">
        <v>2023</v>
      </c>
      <c r="E232" s="5886">
        <v>83</v>
      </c>
    </row>
    <row r="233" spans="3:5" s="5317" customFormat="1">
      <c r="C233" s="5889">
        <v>22</v>
      </c>
      <c r="D233" s="5884" t="s">
        <v>1570</v>
      </c>
      <c r="E233" s="5886">
        <v>68.400000000000006</v>
      </c>
    </row>
    <row r="234" spans="3:5" s="5317" customFormat="1">
      <c r="C234" s="5889">
        <v>24</v>
      </c>
      <c r="D234" s="5884" t="s">
        <v>1569</v>
      </c>
      <c r="E234" s="5886">
        <v>63.2</v>
      </c>
    </row>
    <row r="235" spans="3:5" s="5317" customFormat="1">
      <c r="C235" s="5890">
        <v>25</v>
      </c>
      <c r="D235" s="5885" t="s">
        <v>1571</v>
      </c>
      <c r="E235" s="5887">
        <v>62.6</v>
      </c>
    </row>
    <row r="236" spans="3:5" s="5317" customFormat="1">
      <c r="C236" s="5882">
        <v>29</v>
      </c>
      <c r="D236" s="5883" t="s">
        <v>1572</v>
      </c>
      <c r="E236" s="5888">
        <v>60.7</v>
      </c>
    </row>
    <row r="237" spans="3:5" s="5317" customFormat="1">
      <c r="C237" s="5882">
        <v>46</v>
      </c>
      <c r="D237" s="5883" t="s">
        <v>1575</v>
      </c>
      <c r="E237" s="5888">
        <v>50.5</v>
      </c>
    </row>
    <row r="238" spans="3:5" s="5317" customFormat="1">
      <c r="C238" s="5882">
        <v>51</v>
      </c>
      <c r="D238" s="5883" t="s">
        <v>1573</v>
      </c>
      <c r="E238" s="5888">
        <v>49.1</v>
      </c>
    </row>
    <row r="239" spans="3:5" s="5317" customFormat="1">
      <c r="C239" s="5882">
        <v>57</v>
      </c>
      <c r="D239" s="5883" t="s">
        <v>1576</v>
      </c>
      <c r="E239" s="5888">
        <v>46.2</v>
      </c>
    </row>
    <row r="240" spans="3:5" s="5317" customFormat="1">
      <c r="C240" s="5882">
        <v>63</v>
      </c>
      <c r="D240" s="5883" t="s">
        <v>473</v>
      </c>
      <c r="E240" s="5888">
        <v>44.3</v>
      </c>
    </row>
    <row r="241" spans="3:5" s="5317" customFormat="1">
      <c r="C241" s="5882">
        <v>70</v>
      </c>
      <c r="D241" s="5883" t="s">
        <v>555</v>
      </c>
      <c r="E241" s="5888">
        <v>42.1</v>
      </c>
    </row>
    <row r="242" spans="3:5" s="5317" customFormat="1">
      <c r="C242" s="5882">
        <v>78</v>
      </c>
      <c r="D242" s="5883" t="s">
        <v>325</v>
      </c>
      <c r="E242" s="5888">
        <v>39.4</v>
      </c>
    </row>
    <row r="243" spans="3:5" s="5317" customFormat="1">
      <c r="C243" s="32" t="s">
        <v>2028</v>
      </c>
    </row>
    <row r="244" spans="3:5" s="5317" customFormat="1">
      <c r="C244" s="32"/>
    </row>
    <row r="246" spans="3:5" ht="15" customHeight="1">
      <c r="C246" s="7615" t="s">
        <v>2031</v>
      </c>
      <c r="D246" s="7615"/>
    </row>
    <row r="247" spans="3:5" ht="28.8">
      <c r="C247" s="1101" t="s">
        <v>1690</v>
      </c>
      <c r="D247" s="1554" t="s">
        <v>1565</v>
      </c>
    </row>
    <row r="248" spans="3:5">
      <c r="C248" s="1505">
        <v>1</v>
      </c>
      <c r="D248" s="1505" t="s">
        <v>573</v>
      </c>
    </row>
    <row r="249" spans="3:5">
      <c r="C249" s="1505">
        <v>2</v>
      </c>
      <c r="D249" s="1505" t="s">
        <v>151</v>
      </c>
    </row>
    <row r="250" spans="3:5">
      <c r="C250" s="1505">
        <v>3</v>
      </c>
      <c r="D250" s="1505" t="s">
        <v>470</v>
      </c>
    </row>
    <row r="251" spans="3:5">
      <c r="C251" s="1505">
        <v>4</v>
      </c>
      <c r="D251" s="1505" t="s">
        <v>562</v>
      </c>
    </row>
    <row r="252" spans="3:5">
      <c r="C252" s="1505">
        <v>5</v>
      </c>
      <c r="D252" s="1505" t="s">
        <v>574</v>
      </c>
    </row>
    <row r="253" spans="3:5">
      <c r="C253" s="1505">
        <v>6</v>
      </c>
      <c r="D253" s="1505" t="s">
        <v>564</v>
      </c>
    </row>
    <row r="254" spans="3:5">
      <c r="C254" s="1505">
        <v>7</v>
      </c>
      <c r="D254" s="1505" t="s">
        <v>575</v>
      </c>
    </row>
    <row r="255" spans="3:5">
      <c r="C255" s="1505">
        <v>8</v>
      </c>
      <c r="D255" s="1505" t="s">
        <v>565</v>
      </c>
    </row>
    <row r="256" spans="3:5">
      <c r="C256" s="1505">
        <v>9</v>
      </c>
      <c r="D256" s="1505" t="s">
        <v>567</v>
      </c>
    </row>
    <row r="257" spans="3:4">
      <c r="C257" s="1505">
        <v>10</v>
      </c>
      <c r="D257" s="1505" t="s">
        <v>566</v>
      </c>
    </row>
    <row r="258" spans="3:4">
      <c r="C258" s="1505">
        <v>11</v>
      </c>
      <c r="D258" s="1505" t="s">
        <v>576</v>
      </c>
    </row>
    <row r="259" spans="3:4">
      <c r="C259" s="1505">
        <v>12</v>
      </c>
      <c r="D259" s="1505" t="s">
        <v>577</v>
      </c>
    </row>
    <row r="260" spans="3:4">
      <c r="C260" s="1505">
        <v>13</v>
      </c>
      <c r="D260" s="1505" t="s">
        <v>568</v>
      </c>
    </row>
    <row r="261" spans="3:4">
      <c r="C261" s="1505">
        <v>15</v>
      </c>
      <c r="D261" s="1505" t="s">
        <v>578</v>
      </c>
    </row>
    <row r="262" spans="3:4">
      <c r="C262" s="1505">
        <v>16</v>
      </c>
      <c r="D262" s="1505" t="s">
        <v>153</v>
      </c>
    </row>
    <row r="263" spans="3:4">
      <c r="C263" s="1505">
        <v>17</v>
      </c>
      <c r="D263" s="1505" t="s">
        <v>579</v>
      </c>
    </row>
    <row r="264" spans="3:4">
      <c r="C264" s="1505">
        <v>18</v>
      </c>
      <c r="D264" s="1505" t="s">
        <v>580</v>
      </c>
    </row>
    <row r="265" spans="3:4">
      <c r="C265" s="1505">
        <v>19</v>
      </c>
      <c r="D265" s="1505" t="s">
        <v>569</v>
      </c>
    </row>
    <row r="266" spans="3:4">
      <c r="C266" s="1505">
        <v>20</v>
      </c>
      <c r="D266" s="1505" t="s">
        <v>570</v>
      </c>
    </row>
    <row r="267" spans="3:4">
      <c r="C267" s="1442">
        <v>21</v>
      </c>
      <c r="D267" s="1442" t="s">
        <v>581</v>
      </c>
    </row>
    <row r="268" spans="3:4">
      <c r="C268" s="1573">
        <v>22</v>
      </c>
      <c r="D268" s="1573" t="s">
        <v>95</v>
      </c>
    </row>
    <row r="269" spans="3:4">
      <c r="C269" s="1442">
        <v>23</v>
      </c>
      <c r="D269" s="1442" t="s">
        <v>571</v>
      </c>
    </row>
    <row r="270" spans="3:4">
      <c r="C270" s="1442">
        <v>24</v>
      </c>
      <c r="D270" s="1442" t="s">
        <v>582</v>
      </c>
    </row>
    <row r="271" spans="3:4">
      <c r="C271" s="1442">
        <v>25</v>
      </c>
      <c r="D271" s="1442" t="s">
        <v>583</v>
      </c>
    </row>
    <row r="272" spans="3:4">
      <c r="C272" s="1110" t="s">
        <v>2030</v>
      </c>
    </row>
  </sheetData>
  <mergeCells count="9">
    <mergeCell ref="C229:E229"/>
    <mergeCell ref="C109:D109"/>
    <mergeCell ref="C112:E112"/>
    <mergeCell ref="C246:D246"/>
    <mergeCell ref="C131:E131"/>
    <mergeCell ref="C151:E151"/>
    <mergeCell ref="C171:E171"/>
    <mergeCell ref="C193:E193"/>
    <mergeCell ref="C212:E212"/>
  </mergeCells>
  <hyperlinks>
    <hyperlink ref="C168" r:id="rId1" location="sorting=rank+region=+country=241+faculty=+stars=false+search=" display="http://www.topuniversities.com/university-rankings/latam-university-rankings/2015#sorting=rank+region=+country=241+faculty=+stars=false+search="/>
    <hyperlink ref="C272" r:id="rId2" display="http://www.scimagoir.com"/>
    <hyperlink ref="C109" r:id="rId3"/>
    <hyperlink ref="D79" r:id="rId4" location="922123"/>
    <hyperlink ref="D61" r:id="rId5" location="922123"/>
    <hyperlink ref="D25" r:id="rId6" location="922123"/>
    <hyperlink ref="D43" r:id="rId7" location="922123"/>
    <hyperlink ref="D94" r:id="rId8" location="889738" display="889738"/>
    <hyperlink ref="D95" r:id="rId9" location="889738" display="https://www.topuniversities.com/universities/instituto-tecnologico-y-de-estudios-superiores-de-monterrey - 889738"/>
    <hyperlink ref="D96" r:id="rId10" location="889738" display="https://www.topuniversities.com/universities/instituto-politecnico-nacional-ipn - 889738"/>
    <hyperlink ref="D97" r:id="rId11" location="889738" display="889738"/>
    <hyperlink ref="D98" r:id="rId12" location="889738" display="https://www.topuniversities.com/universities/universidad-iberoamericana-ibero - 889738"/>
  </hyperlinks>
  <printOptions horizontalCentered="1" verticalCentered="1"/>
  <pageMargins left="0.70866141732283472" right="0.70866141732283472" top="0.74803149606299213" bottom="0.74803149606299213" header="0.31496062992125984" footer="0.31496062992125984"/>
  <pageSetup scale="70" firstPageNumber="66" orientation="landscape" useFirstPageNumber="1" r:id="rId13"/>
  <headerFooter scaleWithDoc="0" alignWithMargins="0">
    <oddFooter>&amp;R&amp;P</oddFooter>
  </headerFooter>
  <rowBreaks count="2" manualBreakCount="2">
    <brk id="37" max="3" man="1"/>
    <brk id="91" max="4" man="1"/>
  </rowBreaks>
  <drawing r:id="rId1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17"/>
  <sheetViews>
    <sheetView showGridLines="0" zoomScale="120" zoomScaleNormal="120" workbookViewId="0">
      <selection activeCell="H15" sqref="H15"/>
    </sheetView>
  </sheetViews>
  <sheetFormatPr baseColWidth="10" defaultRowHeight="14.4"/>
  <cols>
    <col min="1" max="1" width="2.5546875" customWidth="1"/>
    <col min="2" max="3" width="10.44140625" customWidth="1"/>
    <col min="4" max="4" width="76.44140625" customWidth="1"/>
    <col min="5" max="5" width="5.44140625" customWidth="1"/>
    <col min="6" max="6" width="13.33203125" customWidth="1"/>
    <col min="7" max="7" width="3.33203125" bestFit="1" customWidth="1"/>
    <col min="8" max="8" width="46.33203125" customWidth="1"/>
    <col min="9" max="9" width="7.5546875" bestFit="1" customWidth="1"/>
    <col min="11" max="11" width="3.33203125" bestFit="1" customWidth="1"/>
    <col min="12" max="12" width="46.6640625" customWidth="1"/>
    <col min="13" max="13" width="5.5546875" bestFit="1" customWidth="1"/>
    <col min="14" max="14" width="7.5546875" customWidth="1"/>
    <col min="15" max="15" width="2.33203125" bestFit="1" customWidth="1"/>
    <col min="16" max="16" width="45.5546875" bestFit="1" customWidth="1"/>
    <col min="17" max="17" width="6.6640625" bestFit="1" customWidth="1"/>
    <col min="18" max="18" width="6.33203125" customWidth="1"/>
    <col min="19" max="19" width="2.33203125" bestFit="1" customWidth="1"/>
    <col min="20" max="20" width="42.6640625" customWidth="1"/>
  </cols>
  <sheetData>
    <row r="1" spans="2:4" ht="33" customHeight="1">
      <c r="C1" s="6510"/>
      <c r="D1" s="6487" t="s">
        <v>2454</v>
      </c>
    </row>
    <row r="2" spans="2:4" s="5317" customFormat="1" ht="15.6">
      <c r="C2" s="6510"/>
      <c r="D2" s="6487"/>
    </row>
    <row r="3" spans="2:4" s="5317" customFormat="1" ht="29.4" thickBot="1">
      <c r="B3" s="4107" t="s">
        <v>1685</v>
      </c>
      <c r="C3" s="4107" t="s">
        <v>720</v>
      </c>
      <c r="D3" s="3364" t="s">
        <v>3328</v>
      </c>
    </row>
    <row r="4" spans="2:4" s="5317" customFormat="1">
      <c r="B4" s="4108">
        <v>1</v>
      </c>
      <c r="C4" s="4108">
        <v>93</v>
      </c>
      <c r="D4" s="4109" t="s">
        <v>1567</v>
      </c>
    </row>
    <row r="5" spans="2:4" s="5317" customFormat="1">
      <c r="B5" s="4110">
        <v>2</v>
      </c>
      <c r="C5" s="4110">
        <v>184</v>
      </c>
      <c r="D5" s="4111" t="s">
        <v>1688</v>
      </c>
    </row>
    <row r="6" spans="2:4" s="5317" customFormat="1">
      <c r="B6" s="4110">
        <v>3</v>
      </c>
      <c r="C6" s="4110" t="s">
        <v>3344</v>
      </c>
      <c r="D6" s="4111" t="s">
        <v>1572</v>
      </c>
    </row>
    <row r="7" spans="2:4" s="5317" customFormat="1">
      <c r="B7" s="4110">
        <v>4</v>
      </c>
      <c r="C7" s="4110" t="s">
        <v>3345</v>
      </c>
      <c r="D7" s="4111" t="s">
        <v>1584</v>
      </c>
    </row>
    <row r="8" spans="2:4" s="5317" customFormat="1">
      <c r="B8" s="4110">
        <v>5</v>
      </c>
      <c r="C8" s="4110" t="s">
        <v>3346</v>
      </c>
      <c r="D8" s="4111" t="s">
        <v>2372</v>
      </c>
    </row>
    <row r="9" spans="2:4" s="5317" customFormat="1">
      <c r="B9" s="4110">
        <v>6</v>
      </c>
      <c r="C9" s="4110" t="s">
        <v>3347</v>
      </c>
      <c r="D9" s="4111" t="s">
        <v>2371</v>
      </c>
    </row>
    <row r="10" spans="2:4" s="5317" customFormat="1">
      <c r="B10" s="4110">
        <v>7</v>
      </c>
      <c r="C10" s="4110" t="s">
        <v>3348</v>
      </c>
      <c r="D10" s="4111" t="s">
        <v>1570</v>
      </c>
    </row>
    <row r="11" spans="2:4" s="5317" customFormat="1">
      <c r="B11" s="4110">
        <v>8</v>
      </c>
      <c r="C11" s="4110" t="s">
        <v>3349</v>
      </c>
      <c r="D11" s="4111" t="s">
        <v>3066</v>
      </c>
    </row>
    <row r="12" spans="2:4" s="5317" customFormat="1">
      <c r="B12" s="4110">
        <v>9</v>
      </c>
      <c r="C12" s="4110" t="s">
        <v>3350</v>
      </c>
      <c r="D12" s="4113" t="s">
        <v>1573</v>
      </c>
    </row>
    <row r="13" spans="2:4" s="5317" customFormat="1">
      <c r="B13" s="6553">
        <v>10</v>
      </c>
      <c r="C13" s="4116" t="s">
        <v>3351</v>
      </c>
      <c r="D13" s="5891" t="s">
        <v>1571</v>
      </c>
    </row>
    <row r="14" spans="2:4" s="5317" customFormat="1">
      <c r="B14" s="4114">
        <v>11</v>
      </c>
      <c r="C14" s="4110" t="s">
        <v>3352</v>
      </c>
      <c r="D14" s="4115" t="s">
        <v>1575</v>
      </c>
    </row>
    <row r="15" spans="2:4" s="5317" customFormat="1">
      <c r="B15" s="4114">
        <v>12</v>
      </c>
      <c r="C15" s="4110" t="s">
        <v>3353</v>
      </c>
      <c r="D15" s="4115" t="s">
        <v>3068</v>
      </c>
    </row>
    <row r="16" spans="2:4" s="5317" customFormat="1">
      <c r="B16" s="4114">
        <v>13</v>
      </c>
      <c r="C16" s="4110" t="s">
        <v>3353</v>
      </c>
      <c r="D16" s="4115" t="s">
        <v>3067</v>
      </c>
    </row>
    <row r="17" spans="2:4" s="5317" customFormat="1">
      <c r="B17" s="4112">
        <v>14</v>
      </c>
      <c r="C17" s="4110" t="s">
        <v>3353</v>
      </c>
      <c r="D17" s="4111" t="s">
        <v>3354</v>
      </c>
    </row>
    <row r="18" spans="2:4" s="5317" customFormat="1">
      <c r="B18" s="4118">
        <v>15</v>
      </c>
      <c r="C18" s="4119" t="s">
        <v>3353</v>
      </c>
      <c r="D18" s="4120" t="s">
        <v>3355</v>
      </c>
    </row>
    <row r="19" spans="2:4" s="5317" customFormat="1">
      <c r="B19" s="6559">
        <v>45106</v>
      </c>
      <c r="C19" s="5893"/>
      <c r="D19" s="5894"/>
    </row>
    <row r="20" spans="2:4" s="5317" customFormat="1">
      <c r="B20" s="1110" t="s">
        <v>3356</v>
      </c>
      <c r="C20" s="5893"/>
      <c r="D20" s="5894"/>
    </row>
    <row r="21" spans="2:4" s="5317" customFormat="1" ht="15.6">
      <c r="C21" s="6510"/>
      <c r="D21" s="6487"/>
    </row>
    <row r="22" spans="2:4" s="5317" customFormat="1" ht="15.6">
      <c r="B22" s="5880"/>
      <c r="C22" s="5880"/>
      <c r="D22" s="5880"/>
    </row>
    <row r="23" spans="2:4" s="5317" customFormat="1" ht="29.4" thickBot="1">
      <c r="B23" s="4107" t="s">
        <v>1685</v>
      </c>
      <c r="C23" s="4107" t="s">
        <v>720</v>
      </c>
      <c r="D23" s="3364" t="s">
        <v>3064</v>
      </c>
    </row>
    <row r="24" spans="2:4" s="5317" customFormat="1">
      <c r="B24" s="4108">
        <v>1</v>
      </c>
      <c r="C24" s="4108">
        <v>104</v>
      </c>
      <c r="D24" s="4109" t="s">
        <v>1567</v>
      </c>
    </row>
    <row r="25" spans="2:4" s="5317" customFormat="1">
      <c r="B25" s="4110">
        <v>2</v>
      </c>
      <c r="C25" s="4110">
        <v>170</v>
      </c>
      <c r="D25" s="4111" t="s">
        <v>1688</v>
      </c>
    </row>
    <row r="26" spans="2:4" s="5317" customFormat="1">
      <c r="B26" s="4110">
        <v>3</v>
      </c>
      <c r="C26" s="4110">
        <v>402</v>
      </c>
      <c r="D26" s="4111" t="s">
        <v>2372</v>
      </c>
    </row>
    <row r="27" spans="2:4" s="5317" customFormat="1">
      <c r="B27" s="4110">
        <v>4</v>
      </c>
      <c r="C27" s="4110" t="s">
        <v>3065</v>
      </c>
      <c r="D27" s="4111" t="s">
        <v>1584</v>
      </c>
    </row>
    <row r="28" spans="2:4" s="5317" customFormat="1">
      <c r="B28" s="4110">
        <v>5</v>
      </c>
      <c r="C28" s="4110" t="s">
        <v>1581</v>
      </c>
      <c r="D28" s="4111" t="s">
        <v>3066</v>
      </c>
    </row>
    <row r="29" spans="2:4" s="5317" customFormat="1">
      <c r="B29" s="4110">
        <v>6</v>
      </c>
      <c r="C29" s="4110" t="s">
        <v>2374</v>
      </c>
      <c r="D29" s="4111" t="s">
        <v>2371</v>
      </c>
    </row>
    <row r="30" spans="2:4" s="5317" customFormat="1">
      <c r="B30" s="4110">
        <v>7</v>
      </c>
      <c r="C30" s="4110" t="s">
        <v>2166</v>
      </c>
      <c r="D30" s="4111" t="s">
        <v>1570</v>
      </c>
    </row>
    <row r="31" spans="2:4" s="5317" customFormat="1">
      <c r="B31" s="4110">
        <v>8</v>
      </c>
      <c r="C31" s="4110" t="s">
        <v>2166</v>
      </c>
      <c r="D31" s="4111" t="s">
        <v>1572</v>
      </c>
    </row>
    <row r="32" spans="2:4" s="5317" customFormat="1">
      <c r="B32" s="4110">
        <v>9</v>
      </c>
      <c r="C32" s="4110" t="s">
        <v>2166</v>
      </c>
      <c r="D32" s="4113" t="s">
        <v>3067</v>
      </c>
    </row>
    <row r="33" spans="2:4" s="5317" customFormat="1">
      <c r="B33" s="4114">
        <v>10</v>
      </c>
      <c r="C33" s="4110" t="s">
        <v>2165</v>
      </c>
      <c r="D33" s="4115" t="s">
        <v>3068</v>
      </c>
    </row>
    <row r="34" spans="2:4" s="5317" customFormat="1">
      <c r="B34" s="6553">
        <v>11</v>
      </c>
      <c r="C34" s="4116" t="s">
        <v>2165</v>
      </c>
      <c r="D34" s="5891" t="s">
        <v>1571</v>
      </c>
    </row>
    <row r="35" spans="2:4" s="5317" customFormat="1">
      <c r="B35" s="4114">
        <v>12</v>
      </c>
      <c r="C35" s="4110" t="s">
        <v>2165</v>
      </c>
      <c r="D35" s="4115" t="s">
        <v>3069</v>
      </c>
    </row>
    <row r="36" spans="2:4" s="5317" customFormat="1">
      <c r="B36" s="4112">
        <v>13</v>
      </c>
      <c r="C36" s="4110" t="s">
        <v>2165</v>
      </c>
      <c r="D36" s="4111" t="s">
        <v>3070</v>
      </c>
    </row>
    <row r="37" spans="2:4" s="5317" customFormat="1">
      <c r="B37" s="4118">
        <v>14</v>
      </c>
      <c r="C37" s="4119" t="s">
        <v>2165</v>
      </c>
      <c r="D37" s="4120" t="s">
        <v>1573</v>
      </c>
    </row>
    <row r="38" spans="2:4" s="5317" customFormat="1">
      <c r="B38" s="5895" t="s">
        <v>3071</v>
      </c>
      <c r="C38" s="5893"/>
      <c r="D38" s="5894"/>
    </row>
    <row r="39" spans="2:4" s="5317" customFormat="1">
      <c r="B39" s="5896" t="s">
        <v>3073</v>
      </c>
      <c r="C39" s="5893"/>
      <c r="D39" s="5894"/>
    </row>
    <row r="40" spans="2:4" s="5317" customFormat="1">
      <c r="B40" s="5892"/>
      <c r="C40" s="5893"/>
      <c r="D40" s="5894"/>
    </row>
    <row r="41" spans="2:4" s="5317" customFormat="1">
      <c r="B41" s="5892"/>
      <c r="C41" s="5893"/>
      <c r="D41" s="5894"/>
    </row>
    <row r="42" spans="2:4" s="5317" customFormat="1" ht="29.4" thickBot="1">
      <c r="B42" s="4107" t="s">
        <v>1685</v>
      </c>
      <c r="C42" s="4107" t="s">
        <v>720</v>
      </c>
      <c r="D42" s="3364" t="s">
        <v>3058</v>
      </c>
    </row>
    <row r="43" spans="2:4" s="5317" customFormat="1" ht="16.5" customHeight="1">
      <c r="B43" s="4108">
        <v>1</v>
      </c>
      <c r="C43" s="4108">
        <v>105</v>
      </c>
      <c r="D43" s="4109" t="s">
        <v>1567</v>
      </c>
    </row>
    <row r="44" spans="2:4" s="5317" customFormat="1" ht="16.5" customHeight="1">
      <c r="B44" s="4110">
        <v>2</v>
      </c>
      <c r="C44" s="4110">
        <v>161</v>
      </c>
      <c r="D44" s="4111" t="s">
        <v>593</v>
      </c>
    </row>
    <row r="45" spans="2:4" s="5317" customFormat="1" ht="16.5" customHeight="1">
      <c r="B45" s="4110">
        <v>3</v>
      </c>
      <c r="C45" s="4110" t="s">
        <v>3059</v>
      </c>
      <c r="D45" s="4111" t="s">
        <v>1584</v>
      </c>
    </row>
    <row r="46" spans="2:4" s="5317" customFormat="1" ht="16.5" customHeight="1">
      <c r="B46" s="4110">
        <v>4</v>
      </c>
      <c r="C46" s="4110" t="s">
        <v>1581</v>
      </c>
      <c r="D46" s="4111" t="s">
        <v>1583</v>
      </c>
    </row>
    <row r="47" spans="2:4" s="5317" customFormat="1" ht="16.5" customHeight="1">
      <c r="B47" s="4110">
        <v>5</v>
      </c>
      <c r="C47" s="4110" t="s">
        <v>2374</v>
      </c>
      <c r="D47" s="4111" t="s">
        <v>1569</v>
      </c>
    </row>
    <row r="48" spans="2:4" s="5317" customFormat="1" ht="16.5" customHeight="1">
      <c r="B48" s="4110">
        <v>6</v>
      </c>
      <c r="C48" s="4110" t="s">
        <v>2166</v>
      </c>
      <c r="D48" s="4111" t="s">
        <v>1570</v>
      </c>
    </row>
    <row r="49" spans="2:4" s="5317" customFormat="1" ht="16.5" customHeight="1">
      <c r="B49" s="4110">
        <v>7</v>
      </c>
      <c r="C49" s="4110" t="s">
        <v>3060</v>
      </c>
      <c r="D49" s="4111" t="s">
        <v>1572</v>
      </c>
    </row>
    <row r="50" spans="2:4" s="5317" customFormat="1" ht="16.5" customHeight="1">
      <c r="B50" s="6553">
        <v>8</v>
      </c>
      <c r="C50" s="4116" t="s">
        <v>2165</v>
      </c>
      <c r="D50" s="5891" t="s">
        <v>1571</v>
      </c>
    </row>
    <row r="51" spans="2:4" s="5317" customFormat="1" ht="16.5" customHeight="1">
      <c r="B51" s="4110">
        <v>9</v>
      </c>
      <c r="C51" s="4110" t="s">
        <v>2165</v>
      </c>
      <c r="D51" s="4113" t="s">
        <v>2639</v>
      </c>
    </row>
    <row r="52" spans="2:4" s="5317" customFormat="1" ht="16.5" customHeight="1">
      <c r="B52" s="4114">
        <v>10</v>
      </c>
      <c r="C52" s="4110" t="s">
        <v>2165</v>
      </c>
      <c r="D52" s="4115" t="s">
        <v>3061</v>
      </c>
    </row>
    <row r="53" spans="2:4" s="5317" customFormat="1" ht="16.5" customHeight="1">
      <c r="B53" s="4112">
        <v>11</v>
      </c>
      <c r="C53" s="4110" t="s">
        <v>2165</v>
      </c>
      <c r="D53" s="4111" t="s">
        <v>1587</v>
      </c>
    </row>
    <row r="54" spans="2:4" s="5317" customFormat="1" ht="16.5" customHeight="1">
      <c r="B54" s="4118">
        <v>12</v>
      </c>
      <c r="C54" s="4119" t="s">
        <v>2165</v>
      </c>
      <c r="D54" s="4120" t="s">
        <v>1573</v>
      </c>
    </row>
    <row r="55" spans="2:4" s="5317" customFormat="1" ht="15.6">
      <c r="B55" s="1110" t="s">
        <v>3063</v>
      </c>
      <c r="C55" s="5879"/>
      <c r="D55" s="5879"/>
    </row>
    <row r="56" spans="2:4" s="5317" customFormat="1" ht="15.6">
      <c r="B56" s="32" t="s">
        <v>3072</v>
      </c>
      <c r="C56" s="5879"/>
      <c r="D56" s="5879"/>
    </row>
    <row r="57" spans="2:4" s="5317" customFormat="1" ht="15.6">
      <c r="B57" s="32"/>
      <c r="C57" s="5880"/>
      <c r="D57" s="5880"/>
    </row>
    <row r="58" spans="2:4" s="5081" customFormat="1" ht="15.6">
      <c r="B58" s="5085"/>
      <c r="C58" s="5085"/>
      <c r="D58" s="5085"/>
    </row>
    <row r="59" spans="2:4" s="5081" customFormat="1" ht="29.4" thickBot="1">
      <c r="B59" s="4107" t="s">
        <v>1685</v>
      </c>
      <c r="C59" s="4107" t="s">
        <v>720</v>
      </c>
      <c r="D59" s="3364" t="s">
        <v>2933</v>
      </c>
    </row>
    <row r="60" spans="2:4" s="5081" customFormat="1" ht="16.5" customHeight="1">
      <c r="B60" s="4108">
        <v>1</v>
      </c>
      <c r="C60" s="4108">
        <v>100</v>
      </c>
      <c r="D60" s="4109" t="s">
        <v>1567</v>
      </c>
    </row>
    <row r="61" spans="2:4" s="5081" customFormat="1" ht="16.5" customHeight="1">
      <c r="B61" s="4110">
        <v>2</v>
      </c>
      <c r="C61" s="4110">
        <v>155</v>
      </c>
      <c r="D61" s="4111" t="s">
        <v>593</v>
      </c>
    </row>
    <row r="62" spans="2:4" s="5081" customFormat="1" ht="16.5" customHeight="1">
      <c r="B62" s="4110">
        <v>3</v>
      </c>
      <c r="C62" s="4110" t="s">
        <v>2638</v>
      </c>
      <c r="D62" s="4111" t="s">
        <v>1584</v>
      </c>
    </row>
    <row r="63" spans="2:4" s="5081" customFormat="1" ht="16.5" customHeight="1">
      <c r="B63" s="4110">
        <v>4</v>
      </c>
      <c r="C63" s="4110" t="s">
        <v>1582</v>
      </c>
      <c r="D63" s="4111" t="s">
        <v>1583</v>
      </c>
    </row>
    <row r="64" spans="2:4" s="5081" customFormat="1" ht="16.5" customHeight="1">
      <c r="B64" s="4110">
        <v>5</v>
      </c>
      <c r="C64" s="4110" t="s">
        <v>2374</v>
      </c>
      <c r="D64" s="4111" t="s">
        <v>1570</v>
      </c>
    </row>
    <row r="65" spans="2:4" s="5081" customFormat="1" ht="16.5" customHeight="1">
      <c r="B65" s="4110">
        <v>6</v>
      </c>
      <c r="C65" s="4110" t="s">
        <v>2374</v>
      </c>
      <c r="D65" s="4111" t="s">
        <v>1572</v>
      </c>
    </row>
    <row r="66" spans="2:4" s="5081" customFormat="1" ht="16.5" customHeight="1">
      <c r="B66" s="4110">
        <v>7</v>
      </c>
      <c r="C66" s="4110" t="s">
        <v>2374</v>
      </c>
      <c r="D66" s="4111" t="s">
        <v>1569</v>
      </c>
    </row>
    <row r="67" spans="2:4" s="5081" customFormat="1" ht="16.5" customHeight="1">
      <c r="B67" s="4112">
        <v>8</v>
      </c>
      <c r="C67" s="4110" t="s">
        <v>2166</v>
      </c>
      <c r="D67" s="4111" t="s">
        <v>1573</v>
      </c>
    </row>
    <row r="68" spans="2:4" s="5081" customFormat="1" ht="16.5" customHeight="1">
      <c r="B68" s="4110">
        <v>9</v>
      </c>
      <c r="C68" s="4110" t="s">
        <v>2165</v>
      </c>
      <c r="D68" s="4113" t="s">
        <v>2639</v>
      </c>
    </row>
    <row r="69" spans="2:4" s="5081" customFormat="1" ht="16.5" customHeight="1">
      <c r="B69" s="4114">
        <v>10</v>
      </c>
      <c r="C69" s="4110" t="s">
        <v>2165</v>
      </c>
      <c r="D69" s="4115" t="s">
        <v>1587</v>
      </c>
    </row>
    <row r="70" spans="2:4" s="5081" customFormat="1" ht="16.5" customHeight="1">
      <c r="B70" s="4116">
        <v>11</v>
      </c>
      <c r="C70" s="4116" t="s">
        <v>2165</v>
      </c>
      <c r="D70" s="4117" t="s">
        <v>1571</v>
      </c>
    </row>
    <row r="71" spans="2:4" s="5081" customFormat="1" ht="16.5" customHeight="1">
      <c r="B71" s="4118">
        <v>12</v>
      </c>
      <c r="C71" s="4119" t="s">
        <v>2165</v>
      </c>
      <c r="D71" s="4120" t="s">
        <v>1575</v>
      </c>
    </row>
    <row r="72" spans="2:4" s="5081" customFormat="1" ht="15.6">
      <c r="B72" s="1110" t="s">
        <v>3062</v>
      </c>
      <c r="C72" s="5085"/>
      <c r="D72" s="5085"/>
    </row>
    <row r="73" spans="2:4" s="5081" customFormat="1" ht="15.6">
      <c r="B73" s="32" t="s">
        <v>3074</v>
      </c>
      <c r="C73" s="5085"/>
      <c r="D73" s="5085"/>
    </row>
    <row r="74" spans="2:4" s="5317" customFormat="1" ht="15.6">
      <c r="B74" s="32"/>
      <c r="C74" s="5880"/>
      <c r="D74" s="5880"/>
    </row>
    <row r="75" spans="2:4" s="5317" customFormat="1" ht="15.6">
      <c r="B75" s="32"/>
      <c r="C75" s="5880"/>
      <c r="D75" s="5880"/>
    </row>
    <row r="76" spans="2:4" s="4103" customFormat="1" ht="29.4" thickBot="1">
      <c r="B76" s="4107" t="s">
        <v>1685</v>
      </c>
      <c r="C76" s="4107" t="s">
        <v>720</v>
      </c>
      <c r="D76" s="3364" t="s">
        <v>2641</v>
      </c>
    </row>
    <row r="77" spans="2:4" s="4103" customFormat="1" ht="16.95" customHeight="1">
      <c r="B77" s="4108">
        <v>1</v>
      </c>
      <c r="C77" s="4108">
        <v>103</v>
      </c>
      <c r="D77" s="4109" t="s">
        <v>1567</v>
      </c>
    </row>
    <row r="78" spans="2:4" s="4103" customFormat="1" ht="16.95" customHeight="1">
      <c r="B78" s="4110">
        <v>2</v>
      </c>
      <c r="C78" s="4110">
        <v>158</v>
      </c>
      <c r="D78" s="4111" t="s">
        <v>593</v>
      </c>
    </row>
    <row r="79" spans="2:4" s="4103" customFormat="1" ht="16.95" customHeight="1">
      <c r="B79" s="4110">
        <v>3</v>
      </c>
      <c r="C79" s="4110" t="s">
        <v>2511</v>
      </c>
      <c r="D79" s="4111" t="s">
        <v>1583</v>
      </c>
    </row>
    <row r="80" spans="2:4" s="4103" customFormat="1" ht="16.95" customHeight="1">
      <c r="B80" s="4110">
        <v>4</v>
      </c>
      <c r="C80" s="4110" t="s">
        <v>1581</v>
      </c>
      <c r="D80" s="4111" t="s">
        <v>1584</v>
      </c>
    </row>
    <row r="81" spans="2:4" s="4103" customFormat="1" ht="16.95" customHeight="1">
      <c r="B81" s="4110">
        <v>5</v>
      </c>
      <c r="C81" s="4110" t="s">
        <v>1582</v>
      </c>
      <c r="D81" s="4111" t="s">
        <v>1570</v>
      </c>
    </row>
    <row r="82" spans="2:4" s="4103" customFormat="1" ht="16.95" customHeight="1">
      <c r="B82" s="4110">
        <v>6</v>
      </c>
      <c r="C82" s="4110" t="s">
        <v>1582</v>
      </c>
      <c r="D82" s="4111" t="s">
        <v>1572</v>
      </c>
    </row>
    <row r="83" spans="2:4" s="4103" customFormat="1" ht="16.95" customHeight="1">
      <c r="B83" s="4110">
        <v>7</v>
      </c>
      <c r="C83" s="4110" t="s">
        <v>1582</v>
      </c>
      <c r="D83" s="4111" t="s">
        <v>1569</v>
      </c>
    </row>
    <row r="84" spans="2:4" s="4103" customFormat="1" ht="16.95" customHeight="1">
      <c r="B84" s="4112">
        <v>8</v>
      </c>
      <c r="C84" s="4110" t="s">
        <v>2374</v>
      </c>
      <c r="D84" s="4111" t="s">
        <v>1573</v>
      </c>
    </row>
    <row r="85" spans="2:4" s="4103" customFormat="1" ht="16.95" customHeight="1">
      <c r="B85" s="4110">
        <v>9</v>
      </c>
      <c r="C85" s="4110" t="s">
        <v>2166</v>
      </c>
      <c r="D85" s="4113" t="s">
        <v>1575</v>
      </c>
    </row>
    <row r="86" spans="2:4" s="4103" customFormat="1" ht="16.95" customHeight="1">
      <c r="B86" s="4114">
        <v>10</v>
      </c>
      <c r="C86" s="4110" t="s">
        <v>2165</v>
      </c>
      <c r="D86" s="4115" t="s">
        <v>1586</v>
      </c>
    </row>
    <row r="87" spans="2:4" s="4103" customFormat="1" ht="16.95" customHeight="1">
      <c r="B87" s="4110">
        <v>11</v>
      </c>
      <c r="C87" s="4110" t="s">
        <v>2165</v>
      </c>
      <c r="D87" s="4113" t="s">
        <v>1587</v>
      </c>
    </row>
    <row r="88" spans="2:4" s="5317" customFormat="1" ht="16.95" customHeight="1">
      <c r="B88" s="4116">
        <v>12</v>
      </c>
      <c r="C88" s="4116" t="s">
        <v>2165</v>
      </c>
      <c r="D88" s="4117" t="s">
        <v>1571</v>
      </c>
    </row>
    <row r="89" spans="2:4" s="4103" customFormat="1" ht="16.95" customHeight="1">
      <c r="B89" s="4118">
        <v>13</v>
      </c>
      <c r="C89" s="4119" t="s">
        <v>2165</v>
      </c>
      <c r="D89" s="4120" t="s">
        <v>1588</v>
      </c>
    </row>
    <row r="90" spans="2:4" s="4103" customFormat="1" ht="15.6">
      <c r="B90" s="1110" t="s">
        <v>2375</v>
      </c>
      <c r="C90" s="4106"/>
      <c r="D90" s="4106"/>
    </row>
    <row r="91" spans="2:4" s="4103" customFormat="1" ht="15.6">
      <c r="B91" s="5897" t="s">
        <v>3075</v>
      </c>
      <c r="C91" s="4106"/>
      <c r="D91" s="4106"/>
    </row>
    <row r="92" spans="2:4" s="5317" customFormat="1" ht="15.6">
      <c r="B92" s="5897"/>
      <c r="C92" s="5880"/>
      <c r="D92" s="5880"/>
    </row>
    <row r="93" spans="2:4" s="2821" customFormat="1" ht="15.6">
      <c r="B93" s="3020"/>
      <c r="C93" s="3020"/>
      <c r="D93" s="4121"/>
    </row>
    <row r="94" spans="2:4" s="3478" customFormat="1" ht="29.4" thickBot="1">
      <c r="B94" s="3493" t="s">
        <v>1685</v>
      </c>
      <c r="C94" s="3493" t="s">
        <v>720</v>
      </c>
      <c r="D94" s="1795" t="s">
        <v>2642</v>
      </c>
    </row>
    <row r="95" spans="2:4" s="3478" customFormat="1" ht="19.2" customHeight="1">
      <c r="B95" s="1880">
        <v>1</v>
      </c>
      <c r="C95" s="1880">
        <v>113</v>
      </c>
      <c r="D95" s="3494" t="s">
        <v>1567</v>
      </c>
    </row>
    <row r="96" spans="2:4" s="3478" customFormat="1" ht="19.2" customHeight="1">
      <c r="B96" s="1881">
        <v>2</v>
      </c>
      <c r="C96" s="1881">
        <v>178</v>
      </c>
      <c r="D96" s="3495" t="s">
        <v>322</v>
      </c>
    </row>
    <row r="97" spans="2:4" s="3478" customFormat="1" ht="19.2" customHeight="1">
      <c r="B97" s="1881">
        <v>3</v>
      </c>
      <c r="C97" s="1881" t="s">
        <v>2373</v>
      </c>
      <c r="D97" s="3495" t="s">
        <v>1583</v>
      </c>
    </row>
    <row r="98" spans="2:4" s="3478" customFormat="1" ht="19.2" customHeight="1">
      <c r="B98" s="1881">
        <v>4</v>
      </c>
      <c r="C98" s="1881" t="s">
        <v>1582</v>
      </c>
      <c r="D98" s="3495" t="s">
        <v>1570</v>
      </c>
    </row>
    <row r="99" spans="2:4" s="3478" customFormat="1" ht="19.2" customHeight="1">
      <c r="B99" s="1881">
        <v>5</v>
      </c>
      <c r="C99" s="1881" t="s">
        <v>1582</v>
      </c>
      <c r="D99" s="3495" t="s">
        <v>1572</v>
      </c>
    </row>
    <row r="100" spans="2:4" s="3478" customFormat="1" ht="19.2" customHeight="1">
      <c r="B100" s="1881">
        <v>6</v>
      </c>
      <c r="C100" s="1881" t="s">
        <v>2374</v>
      </c>
      <c r="D100" s="3495" t="s">
        <v>1569</v>
      </c>
    </row>
    <row r="101" spans="2:4" s="3478" customFormat="1" ht="19.2" customHeight="1">
      <c r="B101" s="6552">
        <v>7</v>
      </c>
      <c r="C101" s="6552" t="s">
        <v>2166</v>
      </c>
      <c r="D101" s="3501" t="s">
        <v>1571</v>
      </c>
    </row>
    <row r="102" spans="2:4" s="3478" customFormat="1" ht="19.2" customHeight="1">
      <c r="B102" s="3496">
        <v>8</v>
      </c>
      <c r="C102" s="1881" t="s">
        <v>2166</v>
      </c>
      <c r="D102" s="3495" t="s">
        <v>1573</v>
      </c>
    </row>
    <row r="103" spans="2:4" s="3478" customFormat="1" ht="19.2" customHeight="1">
      <c r="B103" s="1881">
        <v>9</v>
      </c>
      <c r="C103" s="1881" t="s">
        <v>2166</v>
      </c>
      <c r="D103" s="3485" t="s">
        <v>1575</v>
      </c>
    </row>
    <row r="104" spans="2:4" s="3478" customFormat="1" ht="19.2" customHeight="1">
      <c r="B104" s="3498">
        <v>10</v>
      </c>
      <c r="C104" s="1881" t="s">
        <v>2166</v>
      </c>
      <c r="D104" s="3495" t="s">
        <v>1584</v>
      </c>
    </row>
    <row r="105" spans="2:4" s="3478" customFormat="1" ht="19.2" customHeight="1">
      <c r="B105" s="3499">
        <v>11</v>
      </c>
      <c r="C105" s="1881" t="s">
        <v>2165</v>
      </c>
      <c r="D105" s="3500" t="s">
        <v>555</v>
      </c>
    </row>
    <row r="106" spans="2:4" s="3478" customFormat="1" ht="19.2" customHeight="1">
      <c r="B106" s="3498">
        <v>12</v>
      </c>
      <c r="C106" s="1881" t="s">
        <v>2165</v>
      </c>
      <c r="D106" s="3495" t="s">
        <v>1586</v>
      </c>
    </row>
    <row r="107" spans="2:4" s="5317" customFormat="1" ht="19.2" customHeight="1">
      <c r="B107" s="3498">
        <v>13</v>
      </c>
      <c r="C107" s="1881" t="s">
        <v>2165</v>
      </c>
      <c r="D107" s="3495" t="s">
        <v>1587</v>
      </c>
    </row>
    <row r="108" spans="2:4" s="3478" customFormat="1" ht="19.2" customHeight="1">
      <c r="B108" s="3502">
        <v>14</v>
      </c>
      <c r="C108" s="1882" t="s">
        <v>2165</v>
      </c>
      <c r="D108" s="3497" t="s">
        <v>1588</v>
      </c>
    </row>
    <row r="109" spans="2:4" s="3478" customFormat="1" ht="15.6">
      <c r="B109" s="1110" t="s">
        <v>2375</v>
      </c>
      <c r="C109" s="3481"/>
      <c r="D109" s="3481"/>
    </row>
    <row r="110" spans="2:4" s="3478" customFormat="1" ht="15.6">
      <c r="B110" s="6556">
        <v>43259</v>
      </c>
      <c r="C110" s="3481"/>
      <c r="D110" s="3481"/>
    </row>
    <row r="111" spans="2:4" s="5317" customFormat="1" ht="15.6">
      <c r="B111" s="6555"/>
      <c r="C111" s="5880"/>
      <c r="D111" s="5880"/>
    </row>
    <row r="112" spans="2:4" s="5317" customFormat="1" ht="15.6">
      <c r="B112" s="6555"/>
      <c r="C112" s="5880"/>
      <c r="D112" s="5880"/>
    </row>
    <row r="113" spans="2:4" ht="29.4" thickBot="1">
      <c r="B113" s="1878" t="s">
        <v>1685</v>
      </c>
      <c r="C113" s="1878" t="s">
        <v>720</v>
      </c>
      <c r="D113" s="1795" t="s">
        <v>2455</v>
      </c>
    </row>
    <row r="114" spans="2:4" ht="20.100000000000001" customHeight="1">
      <c r="B114" s="1880">
        <v>1</v>
      </c>
      <c r="C114" s="1880">
        <v>113</v>
      </c>
      <c r="D114" s="1883" t="s">
        <v>1567</v>
      </c>
    </row>
    <row r="115" spans="2:4" ht="20.100000000000001" customHeight="1">
      <c r="B115" s="1881">
        <v>2</v>
      </c>
      <c r="C115" s="1881">
        <v>178</v>
      </c>
      <c r="D115" s="1884" t="s">
        <v>2376</v>
      </c>
    </row>
    <row r="116" spans="2:4" ht="20.100000000000001" customHeight="1">
      <c r="B116" s="1881">
        <v>3</v>
      </c>
      <c r="C116" s="1881" t="s">
        <v>2373</v>
      </c>
      <c r="D116" s="1884" t="s">
        <v>2378</v>
      </c>
    </row>
    <row r="117" spans="2:4" ht="20.100000000000001" customHeight="1">
      <c r="B117" s="1881">
        <v>4</v>
      </c>
      <c r="C117" s="1881" t="s">
        <v>1582</v>
      </c>
      <c r="D117" s="1884" t="s">
        <v>1570</v>
      </c>
    </row>
    <row r="118" spans="2:4" ht="20.100000000000001" customHeight="1">
      <c r="B118" s="1881">
        <v>5</v>
      </c>
      <c r="C118" s="1881" t="s">
        <v>1582</v>
      </c>
      <c r="D118" s="1884" t="s">
        <v>1572</v>
      </c>
    </row>
    <row r="119" spans="2:4" ht="20.100000000000001" customHeight="1">
      <c r="B119" s="1881">
        <v>6</v>
      </c>
      <c r="C119" s="1881" t="s">
        <v>2374</v>
      </c>
      <c r="D119" s="1884" t="s">
        <v>1569</v>
      </c>
    </row>
    <row r="120" spans="2:4" ht="20.100000000000001" customHeight="1">
      <c r="B120" s="6552">
        <v>7</v>
      </c>
      <c r="C120" s="6552" t="s">
        <v>2166</v>
      </c>
      <c r="D120" s="6554" t="s">
        <v>1571</v>
      </c>
    </row>
    <row r="121" spans="2:4" ht="20.100000000000001" customHeight="1">
      <c r="B121" s="1879">
        <v>8</v>
      </c>
      <c r="C121" s="1881" t="s">
        <v>2166</v>
      </c>
      <c r="D121" s="1884" t="s">
        <v>1573</v>
      </c>
    </row>
    <row r="122" spans="2:4" ht="20.100000000000001" customHeight="1">
      <c r="B122" s="1881">
        <v>9</v>
      </c>
      <c r="C122" s="1881" t="s">
        <v>2166</v>
      </c>
      <c r="D122" s="1884" t="s">
        <v>1575</v>
      </c>
    </row>
    <row r="123" spans="2:4" ht="20.100000000000001" customHeight="1">
      <c r="B123" s="1881">
        <v>10</v>
      </c>
      <c r="C123" s="1881" t="s">
        <v>2166</v>
      </c>
      <c r="D123" s="1884" t="s">
        <v>1584</v>
      </c>
    </row>
    <row r="124" spans="2:4" ht="20.100000000000001" customHeight="1">
      <c r="B124" s="1881">
        <v>11</v>
      </c>
      <c r="C124" s="1881" t="s">
        <v>2165</v>
      </c>
      <c r="D124" s="1884" t="s">
        <v>2377</v>
      </c>
    </row>
    <row r="125" spans="2:4" ht="20.100000000000001" customHeight="1">
      <c r="B125" s="1881">
        <v>12</v>
      </c>
      <c r="C125" s="1881" t="s">
        <v>2165</v>
      </c>
      <c r="D125" s="1884" t="s">
        <v>1586</v>
      </c>
    </row>
    <row r="126" spans="2:4" ht="20.100000000000001" customHeight="1">
      <c r="B126" s="1881">
        <v>13</v>
      </c>
      <c r="C126" s="1881" t="s">
        <v>2165</v>
      </c>
      <c r="D126" s="1884" t="s">
        <v>1587</v>
      </c>
    </row>
    <row r="127" spans="2:4" ht="20.100000000000001" customHeight="1">
      <c r="B127" s="1882">
        <v>14</v>
      </c>
      <c r="C127" s="1882" t="s">
        <v>2165</v>
      </c>
      <c r="D127" s="1885" t="s">
        <v>1588</v>
      </c>
    </row>
    <row r="128" spans="2:4">
      <c r="B128" s="6558" t="s">
        <v>3359</v>
      </c>
    </row>
    <row r="131" spans="2:4" ht="20.100000000000001" customHeight="1">
      <c r="B131" s="7617" t="s">
        <v>3357</v>
      </c>
      <c r="C131" s="7617"/>
      <c r="D131" s="7617"/>
    </row>
    <row r="132" spans="2:4" ht="28.8">
      <c r="B132" s="1440" t="s">
        <v>1685</v>
      </c>
      <c r="C132" s="1440" t="s">
        <v>720</v>
      </c>
      <c r="D132" s="1441" t="s">
        <v>561</v>
      </c>
    </row>
    <row r="133" spans="2:4">
      <c r="B133" s="1442">
        <v>1</v>
      </c>
      <c r="C133" s="1442">
        <v>128</v>
      </c>
      <c r="D133" s="1443" t="s">
        <v>1567</v>
      </c>
    </row>
    <row r="134" spans="2:4">
      <c r="B134" s="1442">
        <v>2</v>
      </c>
      <c r="C134" s="1442">
        <v>206</v>
      </c>
      <c r="D134" s="1443" t="s">
        <v>322</v>
      </c>
    </row>
    <row r="135" spans="2:4">
      <c r="B135" s="1442">
        <v>3</v>
      </c>
      <c r="C135" s="1442" t="s">
        <v>1581</v>
      </c>
      <c r="D135" s="1443" t="s">
        <v>1572</v>
      </c>
    </row>
    <row r="136" spans="2:4">
      <c r="B136" s="1442">
        <v>4</v>
      </c>
      <c r="C136" s="1442" t="s">
        <v>1582</v>
      </c>
      <c r="D136" s="1443" t="s">
        <v>1583</v>
      </c>
    </row>
    <row r="137" spans="2:4">
      <c r="B137" s="1442">
        <v>5</v>
      </c>
      <c r="C137" s="1442" t="s">
        <v>1582</v>
      </c>
      <c r="D137" s="1443" t="s">
        <v>1569</v>
      </c>
    </row>
    <row r="138" spans="2:4">
      <c r="B138" s="1442">
        <v>6</v>
      </c>
      <c r="C138" s="1442" t="s">
        <v>1585</v>
      </c>
      <c r="D138" s="1443" t="s">
        <v>555</v>
      </c>
    </row>
    <row r="139" spans="2:4">
      <c r="B139" s="1442">
        <v>7</v>
      </c>
      <c r="C139" s="1442" t="s">
        <v>1585</v>
      </c>
      <c r="D139" s="1443" t="s">
        <v>1570</v>
      </c>
    </row>
    <row r="140" spans="2:4">
      <c r="B140" s="1444">
        <v>8</v>
      </c>
      <c r="C140" s="1442" t="s">
        <v>1585</v>
      </c>
      <c r="D140" s="1443" t="s">
        <v>1586</v>
      </c>
    </row>
    <row r="141" spans="2:4">
      <c r="B141" s="1442">
        <v>9</v>
      </c>
      <c r="C141" s="1442" t="s">
        <v>1585</v>
      </c>
      <c r="D141" s="1443" t="s">
        <v>1587</v>
      </c>
    </row>
    <row r="142" spans="2:4">
      <c r="B142" s="6551">
        <v>10</v>
      </c>
      <c r="C142" s="6551" t="s">
        <v>1585</v>
      </c>
      <c r="D142" s="1575" t="s">
        <v>1571</v>
      </c>
    </row>
    <row r="143" spans="2:4">
      <c r="B143" s="1442">
        <v>11</v>
      </c>
      <c r="C143" s="1442" t="s">
        <v>1585</v>
      </c>
      <c r="D143" s="1443" t="s">
        <v>1573</v>
      </c>
    </row>
    <row r="144" spans="2:4">
      <c r="B144" s="1442">
        <v>12</v>
      </c>
      <c r="C144" s="1442" t="s">
        <v>1585</v>
      </c>
      <c r="D144" s="1446" t="s">
        <v>1575</v>
      </c>
    </row>
    <row r="145" spans="2:4">
      <c r="B145" s="1442">
        <v>13</v>
      </c>
      <c r="C145" s="1442" t="s">
        <v>1585</v>
      </c>
      <c r="D145" s="1443" t="s">
        <v>1588</v>
      </c>
    </row>
    <row r="146" spans="2:4">
      <c r="B146" s="1442">
        <v>14</v>
      </c>
      <c r="C146" s="1442" t="s">
        <v>1585</v>
      </c>
      <c r="D146" s="1443" t="s">
        <v>1584</v>
      </c>
    </row>
    <row r="147" spans="2:4">
      <c r="B147" s="1110" t="s">
        <v>3358</v>
      </c>
    </row>
    <row r="148" spans="2:4">
      <c r="B148" s="6556">
        <v>42895</v>
      </c>
    </row>
    <row r="149" spans="2:4" s="5317" customFormat="1">
      <c r="B149" s="6556"/>
    </row>
    <row r="150" spans="2:4" s="5317" customFormat="1">
      <c r="B150" s="6556"/>
    </row>
    <row r="151" spans="2:4" ht="20.100000000000001" customHeight="1">
      <c r="B151" s="7616" t="s">
        <v>2044</v>
      </c>
      <c r="C151" s="7616"/>
      <c r="D151" s="7616"/>
    </row>
    <row r="152" spans="2:4" ht="28.8">
      <c r="B152" s="1587" t="s">
        <v>1685</v>
      </c>
      <c r="C152" s="1587" t="s">
        <v>720</v>
      </c>
      <c r="D152" s="1588" t="s">
        <v>561</v>
      </c>
    </row>
    <row r="153" spans="2:4">
      <c r="B153" s="1442">
        <v>1</v>
      </c>
      <c r="C153" s="1442">
        <v>160</v>
      </c>
      <c r="D153" s="1443" t="s">
        <v>1567</v>
      </c>
    </row>
    <row r="154" spans="2:4">
      <c r="B154" s="1442">
        <v>2</v>
      </c>
      <c r="C154" s="1442">
        <v>238</v>
      </c>
      <c r="D154" s="1443" t="s">
        <v>322</v>
      </c>
    </row>
    <row r="155" spans="2:4">
      <c r="B155" s="1442">
        <v>3</v>
      </c>
      <c r="C155" s="1442" t="s">
        <v>1580</v>
      </c>
      <c r="D155" s="1443" t="s">
        <v>1572</v>
      </c>
    </row>
    <row r="156" spans="2:4">
      <c r="B156" s="1442">
        <v>4</v>
      </c>
      <c r="C156" s="1442" t="s">
        <v>1581</v>
      </c>
      <c r="D156" s="1443" t="s">
        <v>1570</v>
      </c>
    </row>
    <row r="157" spans="2:4">
      <c r="B157" s="1442">
        <v>5</v>
      </c>
      <c r="C157" s="1442" t="s">
        <v>1582</v>
      </c>
      <c r="D157" s="1443" t="s">
        <v>1583</v>
      </c>
    </row>
    <row r="158" spans="2:4">
      <c r="B158" s="1442">
        <v>6</v>
      </c>
      <c r="C158" s="1442" t="s">
        <v>1582</v>
      </c>
      <c r="D158" s="1443" t="s">
        <v>1573</v>
      </c>
    </row>
    <row r="159" spans="2:4">
      <c r="B159" s="1442">
        <v>7</v>
      </c>
      <c r="C159" s="1442" t="s">
        <v>1582</v>
      </c>
      <c r="D159" s="1443" t="s">
        <v>1569</v>
      </c>
    </row>
    <row r="160" spans="2:4">
      <c r="B160" s="1444">
        <v>8</v>
      </c>
      <c r="C160" s="1442" t="s">
        <v>1582</v>
      </c>
      <c r="D160" s="1443" t="s">
        <v>1584</v>
      </c>
    </row>
    <row r="161" spans="2:4">
      <c r="B161" s="1442">
        <v>9</v>
      </c>
      <c r="C161" s="1442" t="s">
        <v>1585</v>
      </c>
      <c r="D161" s="1443" t="s">
        <v>555</v>
      </c>
    </row>
    <row r="162" spans="2:4">
      <c r="B162" s="1442">
        <v>10</v>
      </c>
      <c r="C162" s="1442" t="s">
        <v>1585</v>
      </c>
      <c r="D162" s="1443" t="s">
        <v>1586</v>
      </c>
    </row>
    <row r="163" spans="2:4">
      <c r="B163" s="1442">
        <v>11</v>
      </c>
      <c r="C163" s="1442" t="s">
        <v>1585</v>
      </c>
      <c r="D163" s="1445" t="s">
        <v>1587</v>
      </c>
    </row>
    <row r="164" spans="2:4">
      <c r="B164" s="6551">
        <v>12</v>
      </c>
      <c r="C164" s="6551" t="s">
        <v>1585</v>
      </c>
      <c r="D164" s="1575" t="s">
        <v>1571</v>
      </c>
    </row>
    <row r="165" spans="2:4">
      <c r="B165" s="1442">
        <v>13</v>
      </c>
      <c r="C165" s="1442" t="s">
        <v>1585</v>
      </c>
      <c r="D165" s="1446" t="s">
        <v>1575</v>
      </c>
    </row>
    <row r="166" spans="2:4">
      <c r="B166" s="1442">
        <v>14</v>
      </c>
      <c r="C166" s="1442" t="s">
        <v>1585</v>
      </c>
      <c r="D166" s="1443" t="s">
        <v>1588</v>
      </c>
    </row>
    <row r="167" spans="2:4">
      <c r="B167" s="1110" t="s">
        <v>1589</v>
      </c>
    </row>
    <row r="169" spans="2:4" ht="15.6">
      <c r="D169" s="18"/>
    </row>
    <row r="170" spans="2:4" ht="20.100000000000001" customHeight="1">
      <c r="B170" s="7616" t="s">
        <v>2045</v>
      </c>
      <c r="C170" s="7616"/>
      <c r="D170" s="7616"/>
    </row>
    <row r="171" spans="2:4" ht="43.2">
      <c r="B171" s="1112" t="s">
        <v>1579</v>
      </c>
      <c r="C171" s="1112" t="s">
        <v>720</v>
      </c>
      <c r="D171" s="1113" t="s">
        <v>561</v>
      </c>
    </row>
    <row r="172" spans="2:4">
      <c r="B172" s="1099">
        <v>1</v>
      </c>
      <c r="C172" s="1099">
        <v>160</v>
      </c>
      <c r="D172" s="1114" t="s">
        <v>1567</v>
      </c>
    </row>
    <row r="173" spans="2:4">
      <c r="B173" s="1099">
        <v>2</v>
      </c>
      <c r="C173" s="1099">
        <v>238</v>
      </c>
      <c r="D173" s="1114" t="s">
        <v>322</v>
      </c>
    </row>
    <row r="174" spans="2:4">
      <c r="B174" s="1099">
        <v>3</v>
      </c>
      <c r="C174" s="1099" t="s">
        <v>1580</v>
      </c>
      <c r="D174" s="1114" t="s">
        <v>1572</v>
      </c>
    </row>
    <row r="175" spans="2:4">
      <c r="B175" s="1099">
        <v>4</v>
      </c>
      <c r="C175" s="1099" t="s">
        <v>1581</v>
      </c>
      <c r="D175" s="1114" t="s">
        <v>1570</v>
      </c>
    </row>
    <row r="176" spans="2:4">
      <c r="B176" s="1099">
        <v>5</v>
      </c>
      <c r="C176" s="1099" t="s">
        <v>1582</v>
      </c>
      <c r="D176" s="1114" t="s">
        <v>1583</v>
      </c>
    </row>
    <row r="177" spans="2:6">
      <c r="B177" s="1099">
        <v>6</v>
      </c>
      <c r="C177" s="1099" t="s">
        <v>1582</v>
      </c>
      <c r="D177" s="1114" t="s">
        <v>1573</v>
      </c>
    </row>
    <row r="178" spans="2:6">
      <c r="B178" s="1099">
        <v>7</v>
      </c>
      <c r="C178" s="1099" t="s">
        <v>1582</v>
      </c>
      <c r="D178" s="1114" t="s">
        <v>1569</v>
      </c>
    </row>
    <row r="179" spans="2:6">
      <c r="B179" s="1115">
        <v>8</v>
      </c>
      <c r="C179" s="1099" t="s">
        <v>1582</v>
      </c>
      <c r="D179" s="1114" t="s">
        <v>1584</v>
      </c>
    </row>
    <row r="180" spans="2:6">
      <c r="B180" s="1099">
        <v>9</v>
      </c>
      <c r="C180" s="1099" t="s">
        <v>1585</v>
      </c>
      <c r="D180" s="1114" t="s">
        <v>555</v>
      </c>
    </row>
    <row r="181" spans="2:6">
      <c r="B181" s="1099">
        <v>10</v>
      </c>
      <c r="C181" s="1099" t="s">
        <v>1585</v>
      </c>
      <c r="D181" s="1114" t="s">
        <v>1586</v>
      </c>
    </row>
    <row r="182" spans="2:6">
      <c r="B182" s="1099">
        <v>11</v>
      </c>
      <c r="C182" s="1099" t="s">
        <v>1585</v>
      </c>
      <c r="D182" s="1116" t="s">
        <v>1587</v>
      </c>
    </row>
    <row r="183" spans="2:6">
      <c r="B183" s="1117">
        <v>12</v>
      </c>
      <c r="C183" s="1117" t="s">
        <v>1585</v>
      </c>
      <c r="D183" s="1118" t="s">
        <v>1571</v>
      </c>
    </row>
    <row r="184" spans="2:6">
      <c r="B184" s="1099">
        <v>13</v>
      </c>
      <c r="C184" s="1099" t="s">
        <v>1585</v>
      </c>
      <c r="D184" s="1119" t="s">
        <v>1575</v>
      </c>
    </row>
    <row r="185" spans="2:6">
      <c r="B185" s="1099">
        <v>14</v>
      </c>
      <c r="C185" s="1099" t="s">
        <v>1585</v>
      </c>
      <c r="D185" s="1114" t="s">
        <v>1588</v>
      </c>
    </row>
    <row r="186" spans="2:6" ht="15" customHeight="1">
      <c r="B186" s="1110" t="s">
        <v>2033</v>
      </c>
      <c r="C186" s="1585"/>
      <c r="D186" s="1585"/>
    </row>
    <row r="189" spans="2:6" ht="20.100000000000001" customHeight="1">
      <c r="B189" s="7616" t="s">
        <v>2046</v>
      </c>
      <c r="C189" s="7616"/>
      <c r="D189" s="7616"/>
      <c r="E189" s="209"/>
      <c r="F189" s="209"/>
    </row>
    <row r="190" spans="2:6" ht="28.8">
      <c r="B190" s="1440" t="s">
        <v>1685</v>
      </c>
      <c r="C190" s="1440" t="s">
        <v>720</v>
      </c>
      <c r="D190" s="1441" t="s">
        <v>561</v>
      </c>
      <c r="E190" s="209"/>
      <c r="F190" s="209"/>
    </row>
    <row r="191" spans="2:6" ht="15.6">
      <c r="B191" s="1442">
        <v>1</v>
      </c>
      <c r="C191" s="1442">
        <v>175</v>
      </c>
      <c r="D191" s="1446" t="s">
        <v>2032</v>
      </c>
      <c r="E191" s="209"/>
      <c r="F191" s="209"/>
    </row>
    <row r="192" spans="2:6" ht="15.6">
      <c r="B192" s="1442">
        <v>2</v>
      </c>
      <c r="C192" s="1442">
        <v>253</v>
      </c>
      <c r="D192" s="1446" t="s">
        <v>322</v>
      </c>
      <c r="E192" s="209"/>
      <c r="F192" s="209"/>
    </row>
    <row r="193" spans="1:6" ht="15.6">
      <c r="B193" s="1442">
        <v>3</v>
      </c>
      <c r="C193" s="1442" t="s">
        <v>1580</v>
      </c>
      <c r="D193" s="1446" t="s">
        <v>1570</v>
      </c>
      <c r="E193" s="209"/>
      <c r="F193" s="209"/>
    </row>
    <row r="194" spans="1:6" ht="15.6">
      <c r="B194" s="1442">
        <v>4</v>
      </c>
      <c r="C194" s="1442" t="s">
        <v>1580</v>
      </c>
      <c r="D194" s="1446" t="s">
        <v>1569</v>
      </c>
      <c r="E194" s="209"/>
      <c r="F194" s="209"/>
    </row>
    <row r="195" spans="1:6" ht="15.6">
      <c r="B195" s="1442">
        <v>5</v>
      </c>
      <c r="C195" s="1442" t="s">
        <v>1580</v>
      </c>
      <c r="D195" s="1446" t="s">
        <v>1584</v>
      </c>
      <c r="E195" s="209"/>
      <c r="F195" s="209"/>
    </row>
    <row r="196" spans="1:6" ht="15.6">
      <c r="B196" s="1442">
        <v>6</v>
      </c>
      <c r="C196" s="1442" t="s">
        <v>1581</v>
      </c>
      <c r="D196" s="1446" t="s">
        <v>1583</v>
      </c>
      <c r="E196" s="209"/>
      <c r="F196" s="209"/>
    </row>
    <row r="197" spans="1:6" ht="15.6">
      <c r="B197" s="1442">
        <v>7</v>
      </c>
      <c r="C197" s="1442" t="s">
        <v>1581</v>
      </c>
      <c r="D197" s="1446" t="s">
        <v>1573</v>
      </c>
      <c r="E197" s="209"/>
      <c r="F197" s="209"/>
    </row>
    <row r="198" spans="1:6" ht="15.6">
      <c r="B198" s="1444">
        <v>8</v>
      </c>
      <c r="C198" s="1442" t="s">
        <v>1582</v>
      </c>
      <c r="D198" s="1446" t="s">
        <v>1572</v>
      </c>
      <c r="E198" s="209"/>
      <c r="F198" s="209"/>
    </row>
    <row r="199" spans="1:6" ht="15.6">
      <c r="B199" s="1442">
        <v>9</v>
      </c>
      <c r="C199" s="1442" t="s">
        <v>1585</v>
      </c>
      <c r="D199" s="1446" t="s">
        <v>555</v>
      </c>
      <c r="E199" s="209"/>
      <c r="F199" s="209"/>
    </row>
    <row r="200" spans="1:6" ht="15.6">
      <c r="B200" s="1442">
        <v>10</v>
      </c>
      <c r="C200" s="1442" t="s">
        <v>1585</v>
      </c>
      <c r="D200" s="1446" t="s">
        <v>1586</v>
      </c>
      <c r="E200" s="209"/>
      <c r="F200" s="209"/>
    </row>
    <row r="201" spans="1:6" ht="15.6">
      <c r="B201" s="1442">
        <v>11</v>
      </c>
      <c r="C201" s="1442" t="s">
        <v>1585</v>
      </c>
      <c r="D201" s="1446" t="s">
        <v>1587</v>
      </c>
      <c r="E201" s="209"/>
      <c r="F201" s="209"/>
    </row>
    <row r="202" spans="1:6" ht="15.6">
      <c r="B202" s="1574">
        <v>12</v>
      </c>
      <c r="C202" s="1574" t="s">
        <v>1585</v>
      </c>
      <c r="D202" s="1575" t="s">
        <v>1571</v>
      </c>
      <c r="E202" s="209"/>
      <c r="F202" s="209"/>
    </row>
    <row r="203" spans="1:6" ht="15.6">
      <c r="B203" s="1442">
        <v>13</v>
      </c>
      <c r="C203" s="1442" t="s">
        <v>1585</v>
      </c>
      <c r="D203" s="1446" t="s">
        <v>1575</v>
      </c>
      <c r="E203" s="209"/>
      <c r="F203" s="209"/>
    </row>
    <row r="204" spans="1:6" ht="15.6">
      <c r="B204" s="6557">
        <v>42569</v>
      </c>
      <c r="D204" s="18"/>
      <c r="E204" s="209"/>
      <c r="F204" s="209"/>
    </row>
    <row r="205" spans="1:6" ht="15.6">
      <c r="B205" s="1110" t="s">
        <v>1589</v>
      </c>
      <c r="D205" s="18"/>
      <c r="E205" s="209"/>
      <c r="F205" s="209"/>
    </row>
    <row r="206" spans="1:6" s="5317" customFormat="1" ht="15.6">
      <c r="B206" s="1110"/>
      <c r="D206" s="18"/>
      <c r="E206" s="5907"/>
      <c r="F206" s="5907"/>
    </row>
    <row r="207" spans="1:6" ht="15.6">
      <c r="B207" s="1110"/>
      <c r="D207" s="18"/>
      <c r="E207" s="209"/>
      <c r="F207" s="209"/>
    </row>
    <row r="208" spans="1:6" ht="20.100000000000001" customHeight="1">
      <c r="A208" s="180"/>
      <c r="B208" s="7616" t="s">
        <v>2047</v>
      </c>
      <c r="C208" s="7616"/>
      <c r="D208" s="7616"/>
    </row>
    <row r="209" spans="1:6" ht="28.8">
      <c r="A209" s="180"/>
      <c r="B209" s="1440" t="s">
        <v>1685</v>
      </c>
      <c r="C209" s="1440" t="s">
        <v>720</v>
      </c>
      <c r="D209" s="1441" t="s">
        <v>561</v>
      </c>
    </row>
    <row r="210" spans="1:6" ht="15.6">
      <c r="A210" s="180"/>
      <c r="B210" s="1442">
        <v>1</v>
      </c>
      <c r="C210" s="1576">
        <v>163</v>
      </c>
      <c r="D210" s="1577" t="s">
        <v>1567</v>
      </c>
    </row>
    <row r="211" spans="1:6" ht="15.6">
      <c r="A211" s="180"/>
      <c r="B211" s="1442">
        <v>2</v>
      </c>
      <c r="C211" s="1576">
        <v>279</v>
      </c>
      <c r="D211" s="1577" t="s">
        <v>2023</v>
      </c>
    </row>
    <row r="212" spans="1:6" ht="15.6">
      <c r="A212" s="180"/>
      <c r="B212" s="1442">
        <v>3</v>
      </c>
      <c r="C212" s="1576" t="s">
        <v>2034</v>
      </c>
      <c r="D212" s="1577" t="s">
        <v>1570</v>
      </c>
    </row>
    <row r="213" spans="1:6" ht="15.6">
      <c r="A213" s="180"/>
      <c r="B213" s="1442">
        <v>4</v>
      </c>
      <c r="C213" s="1442" t="s">
        <v>1581</v>
      </c>
      <c r="D213" s="1577" t="s">
        <v>1573</v>
      </c>
    </row>
    <row r="214" spans="1:6" ht="15.6">
      <c r="A214" s="180"/>
      <c r="B214" s="1442">
        <v>5</v>
      </c>
      <c r="C214" s="1442" t="s">
        <v>2035</v>
      </c>
      <c r="D214" s="1577" t="s">
        <v>1569</v>
      </c>
    </row>
    <row r="215" spans="1:6" ht="15.6">
      <c r="A215" s="180"/>
      <c r="B215" s="1442">
        <v>6</v>
      </c>
      <c r="C215" s="1576" t="s">
        <v>1582</v>
      </c>
      <c r="D215" s="1577" t="s">
        <v>2036</v>
      </c>
    </row>
    <row r="216" spans="1:6" ht="15.6">
      <c r="A216" s="180"/>
      <c r="B216" s="1442">
        <v>7</v>
      </c>
      <c r="C216" s="1576" t="s">
        <v>1582</v>
      </c>
      <c r="D216" s="1577" t="s">
        <v>473</v>
      </c>
    </row>
    <row r="217" spans="1:6" ht="15.6">
      <c r="A217" s="180"/>
      <c r="B217" s="1580">
        <v>8</v>
      </c>
      <c r="C217" s="1580" t="s">
        <v>1582</v>
      </c>
      <c r="D217" s="1581" t="s">
        <v>1571</v>
      </c>
    </row>
    <row r="218" spans="1:6" ht="15.6">
      <c r="A218" s="180"/>
      <c r="B218" s="1442">
        <v>9</v>
      </c>
      <c r="C218" s="1578" t="s">
        <v>1585</v>
      </c>
      <c r="D218" s="1579" t="s">
        <v>555</v>
      </c>
    </row>
    <row r="219" spans="1:6" ht="15.6">
      <c r="A219" s="180"/>
      <c r="B219" s="1442">
        <v>10</v>
      </c>
      <c r="C219" s="1576" t="s">
        <v>2037</v>
      </c>
      <c r="D219" s="1512" t="s">
        <v>1583</v>
      </c>
    </row>
    <row r="220" spans="1:6" ht="15.6">
      <c r="A220" s="180"/>
      <c r="B220" s="1442">
        <v>11</v>
      </c>
      <c r="C220" s="1466" t="s">
        <v>1585</v>
      </c>
      <c r="D220" s="1577" t="s">
        <v>2038</v>
      </c>
    </row>
    <row r="221" spans="1:6" ht="15.6">
      <c r="A221" s="180"/>
      <c r="B221" s="1442">
        <v>12</v>
      </c>
      <c r="C221" s="1466" t="s">
        <v>1585</v>
      </c>
      <c r="D221" s="1577" t="s">
        <v>1575</v>
      </c>
    </row>
    <row r="222" spans="1:6" ht="15.6">
      <c r="A222" s="180"/>
      <c r="B222" s="1110" t="s">
        <v>2043</v>
      </c>
      <c r="C222" s="180"/>
      <c r="D222" s="180"/>
      <c r="E222" s="180"/>
      <c r="F222" s="180"/>
    </row>
    <row r="223" spans="1:6" ht="15.6">
      <c r="A223" s="180"/>
      <c r="B223" s="180"/>
      <c r="C223" s="180"/>
      <c r="D223" s="180"/>
      <c r="E223" s="180"/>
      <c r="F223" s="180"/>
    </row>
    <row r="224" spans="1:6" ht="15.6">
      <c r="A224" s="180"/>
      <c r="B224" s="180"/>
      <c r="C224" s="180"/>
      <c r="D224" s="18"/>
      <c r="E224" s="180"/>
      <c r="F224" s="180"/>
    </row>
    <row r="225" spans="1:6" ht="15.6">
      <c r="A225" s="180"/>
      <c r="B225" s="7616" t="s">
        <v>2048</v>
      </c>
      <c r="C225" s="7616"/>
      <c r="D225" s="7616"/>
      <c r="E225" s="180"/>
      <c r="F225" s="180"/>
    </row>
    <row r="226" spans="1:6" ht="28.8">
      <c r="A226" s="180"/>
      <c r="B226" s="1440" t="s">
        <v>1685</v>
      </c>
      <c r="C226" s="1440" t="s">
        <v>720</v>
      </c>
      <c r="D226" s="1441" t="s">
        <v>561</v>
      </c>
      <c r="E226" s="180"/>
      <c r="F226" s="180"/>
    </row>
    <row r="227" spans="1:6" ht="15.6">
      <c r="A227" s="180"/>
      <c r="B227" s="1442">
        <v>1</v>
      </c>
      <c r="C227" s="1576">
        <v>146</v>
      </c>
      <c r="D227" s="1577" t="s">
        <v>1567</v>
      </c>
      <c r="E227" s="180"/>
      <c r="F227" s="180"/>
    </row>
    <row r="228" spans="1:6" ht="15.6">
      <c r="A228" s="180"/>
      <c r="B228" s="1442">
        <v>2</v>
      </c>
      <c r="C228" s="1576" t="s">
        <v>2039</v>
      </c>
      <c r="D228" s="1577" t="s">
        <v>2023</v>
      </c>
      <c r="E228" s="180"/>
      <c r="F228" s="180"/>
    </row>
    <row r="229" spans="1:6" ht="15.6">
      <c r="A229" s="180"/>
      <c r="B229" s="1442">
        <v>3</v>
      </c>
      <c r="C229" s="1576" t="s">
        <v>2040</v>
      </c>
      <c r="D229" s="1577" t="s">
        <v>1573</v>
      </c>
      <c r="E229" s="180"/>
      <c r="F229" s="180"/>
    </row>
    <row r="230" spans="1:6" ht="15.6">
      <c r="A230" s="180"/>
      <c r="B230" s="1442">
        <v>4</v>
      </c>
      <c r="C230" s="1576" t="s">
        <v>2034</v>
      </c>
      <c r="D230" s="1577" t="s">
        <v>1570</v>
      </c>
      <c r="E230" s="180"/>
      <c r="F230" s="180"/>
    </row>
    <row r="231" spans="1:6" ht="15.6">
      <c r="A231" s="180"/>
      <c r="B231" s="1442">
        <v>5</v>
      </c>
      <c r="C231" s="1576" t="s">
        <v>2034</v>
      </c>
      <c r="D231" s="1577" t="s">
        <v>1569</v>
      </c>
      <c r="E231" s="180"/>
      <c r="F231" s="180"/>
    </row>
    <row r="232" spans="1:6" ht="15.6">
      <c r="A232" s="180"/>
      <c r="B232" s="1442">
        <v>6</v>
      </c>
      <c r="C232" s="1576" t="s">
        <v>2037</v>
      </c>
      <c r="D232" s="1579" t="s">
        <v>555</v>
      </c>
      <c r="E232" s="180"/>
      <c r="F232" s="180"/>
    </row>
    <row r="233" spans="1:6" ht="15.6">
      <c r="A233" s="180"/>
      <c r="B233" s="1442">
        <v>7</v>
      </c>
      <c r="C233" s="1576" t="s">
        <v>2037</v>
      </c>
      <c r="D233" s="1577" t="s">
        <v>473</v>
      </c>
      <c r="E233" s="180"/>
      <c r="F233" s="180"/>
    </row>
    <row r="234" spans="1:6" ht="15.6">
      <c r="A234" s="180"/>
      <c r="B234" s="1580">
        <v>8</v>
      </c>
      <c r="C234" s="1583" t="s">
        <v>2037</v>
      </c>
      <c r="D234" s="1584" t="s">
        <v>1571</v>
      </c>
      <c r="E234" s="180"/>
      <c r="F234" s="180"/>
    </row>
    <row r="235" spans="1:6" ht="15.6">
      <c r="A235" s="180"/>
      <c r="B235" s="1442">
        <v>9</v>
      </c>
      <c r="C235" s="1578" t="s">
        <v>2037</v>
      </c>
      <c r="D235" s="1582" t="s">
        <v>1575</v>
      </c>
      <c r="E235" s="180"/>
      <c r="F235" s="180"/>
    </row>
    <row r="236" spans="1:6" ht="15.6">
      <c r="A236" s="180"/>
      <c r="B236" s="1442">
        <v>10</v>
      </c>
      <c r="C236" s="1576" t="s">
        <v>2037</v>
      </c>
      <c r="D236" s="1577" t="s">
        <v>2036</v>
      </c>
      <c r="E236" s="180"/>
      <c r="F236" s="180"/>
    </row>
    <row r="237" spans="1:6" ht="15.6">
      <c r="A237" s="180"/>
      <c r="B237" s="1442">
        <v>11</v>
      </c>
      <c r="C237" s="1467" t="s">
        <v>2041</v>
      </c>
      <c r="D237" s="1577" t="s">
        <v>637</v>
      </c>
      <c r="E237" s="180"/>
      <c r="F237" s="180"/>
    </row>
    <row r="238" spans="1:6" ht="15.6">
      <c r="A238" s="180"/>
      <c r="B238" s="1110" t="s">
        <v>2042</v>
      </c>
      <c r="C238" s="180"/>
      <c r="D238" s="180"/>
      <c r="E238" s="180"/>
      <c r="F238" s="180"/>
    </row>
    <row r="239" spans="1:6" ht="15.6">
      <c r="A239" s="180"/>
      <c r="B239" s="6556">
        <v>41402</v>
      </c>
      <c r="C239" s="180"/>
      <c r="D239" s="180"/>
      <c r="E239" s="180"/>
      <c r="F239" s="180"/>
    </row>
    <row r="241" spans="3:5" ht="15.6">
      <c r="C241" s="18" t="s">
        <v>590</v>
      </c>
      <c r="D241" s="18"/>
      <c r="E241" s="18"/>
    </row>
    <row r="242" spans="3:5" ht="15.6">
      <c r="C242" s="18" t="s">
        <v>363</v>
      </c>
      <c r="D242" s="18"/>
      <c r="E242" s="18"/>
    </row>
    <row r="243" spans="3:5" ht="15.6">
      <c r="D243" s="119"/>
      <c r="E243" s="18"/>
    </row>
    <row r="244" spans="3:5" ht="28.8">
      <c r="C244" s="172" t="s">
        <v>328</v>
      </c>
      <c r="D244" s="1515" t="s">
        <v>91</v>
      </c>
      <c r="E244" s="18"/>
    </row>
    <row r="245" spans="3:5" ht="15.6">
      <c r="C245" s="174">
        <v>1</v>
      </c>
      <c r="D245" s="178" t="s">
        <v>92</v>
      </c>
      <c r="E245" s="18"/>
    </row>
    <row r="246" spans="3:5" ht="15.6">
      <c r="C246" s="174">
        <v>2</v>
      </c>
      <c r="D246" s="178" t="s">
        <v>93</v>
      </c>
      <c r="E246" s="18"/>
    </row>
    <row r="247" spans="3:5" ht="15.6">
      <c r="C247" s="174">
        <v>3</v>
      </c>
      <c r="D247" s="178" t="s">
        <v>94</v>
      </c>
      <c r="E247" s="18"/>
    </row>
    <row r="248" spans="3:5" ht="15.6">
      <c r="C248" s="194">
        <v>4</v>
      </c>
      <c r="D248" s="1586" t="s">
        <v>95</v>
      </c>
      <c r="E248" s="18"/>
    </row>
    <row r="249" spans="3:5" ht="15.6">
      <c r="C249" s="174">
        <v>5</v>
      </c>
      <c r="D249" s="178" t="s">
        <v>96</v>
      </c>
      <c r="E249" s="18"/>
    </row>
    <row r="250" spans="3:5" ht="15.6">
      <c r="C250" s="174">
        <v>6</v>
      </c>
      <c r="D250" s="178" t="s">
        <v>321</v>
      </c>
      <c r="E250" s="18"/>
    </row>
    <row r="251" spans="3:5" ht="15.6">
      <c r="C251" s="174">
        <v>7</v>
      </c>
      <c r="D251" s="178" t="s">
        <v>322</v>
      </c>
      <c r="E251" s="18"/>
    </row>
    <row r="252" spans="3:5" ht="15.6">
      <c r="C252" s="174">
        <v>8</v>
      </c>
      <c r="D252" s="178" t="s">
        <v>316</v>
      </c>
      <c r="E252" s="18"/>
    </row>
    <row r="253" spans="3:5" ht="15.6">
      <c r="C253" s="174">
        <v>9</v>
      </c>
      <c r="D253" s="178" t="s">
        <v>323</v>
      </c>
      <c r="E253" s="18"/>
    </row>
    <row r="254" spans="3:5" ht="15.6">
      <c r="C254" s="174">
        <v>10</v>
      </c>
      <c r="D254" s="178" t="s">
        <v>324</v>
      </c>
      <c r="E254" s="18"/>
    </row>
    <row r="255" spans="3:5" ht="15.6">
      <c r="C255" s="174">
        <v>11</v>
      </c>
      <c r="D255" s="178" t="s">
        <v>591</v>
      </c>
      <c r="E255" s="18"/>
    </row>
    <row r="256" spans="3:5" ht="15.6">
      <c r="C256" s="174">
        <v>12</v>
      </c>
      <c r="D256" s="178" t="s">
        <v>325</v>
      </c>
      <c r="E256" s="18"/>
    </row>
    <row r="257" spans="3:6" ht="15.6">
      <c r="C257" s="174">
        <v>13</v>
      </c>
      <c r="D257" s="178" t="s">
        <v>326</v>
      </c>
      <c r="E257" s="18"/>
    </row>
    <row r="258" spans="3:6" ht="15.6">
      <c r="C258" s="174">
        <v>14</v>
      </c>
      <c r="D258" s="178" t="s">
        <v>327</v>
      </c>
      <c r="E258" s="18"/>
    </row>
    <row r="259" spans="3:6" ht="15.6">
      <c r="C259" s="174">
        <v>15</v>
      </c>
      <c r="D259" s="178" t="s">
        <v>539</v>
      </c>
      <c r="E259" s="18"/>
    </row>
    <row r="260" spans="3:6" ht="15.6">
      <c r="C260" s="39" t="s">
        <v>563</v>
      </c>
      <c r="D260" s="119"/>
      <c r="E260" s="18"/>
    </row>
    <row r="263" spans="3:6" ht="15.6">
      <c r="C263" s="18" t="s">
        <v>572</v>
      </c>
      <c r="D263" s="18"/>
      <c r="E263" s="18"/>
      <c r="F263" s="18"/>
    </row>
    <row r="264" spans="3:6" ht="15.6">
      <c r="C264" s="18" t="s">
        <v>363</v>
      </c>
      <c r="D264" s="18"/>
      <c r="E264" s="18"/>
      <c r="F264" s="18"/>
    </row>
    <row r="265" spans="3:6" ht="28.8">
      <c r="C265" s="172" t="s">
        <v>592</v>
      </c>
      <c r="D265" s="177" t="s">
        <v>91</v>
      </c>
      <c r="E265" s="18"/>
      <c r="F265" s="18"/>
    </row>
    <row r="266" spans="3:6" ht="15.6">
      <c r="C266" s="174">
        <v>1</v>
      </c>
      <c r="D266" s="331" t="s">
        <v>151</v>
      </c>
      <c r="E266" s="18"/>
      <c r="F266" s="18"/>
    </row>
    <row r="267" spans="3:6" ht="15.6">
      <c r="C267" s="174">
        <v>2</v>
      </c>
      <c r="D267" s="331" t="s">
        <v>576</v>
      </c>
      <c r="E267" s="18"/>
      <c r="F267" s="18"/>
    </row>
    <row r="268" spans="3:6" ht="15.6">
      <c r="C268" s="174">
        <v>3</v>
      </c>
      <c r="D268" s="331" t="s">
        <v>153</v>
      </c>
      <c r="E268" s="18"/>
      <c r="F268" s="18"/>
    </row>
    <row r="269" spans="3:6" ht="15.6">
      <c r="C269" s="194">
        <v>4</v>
      </c>
      <c r="D269" s="1586" t="s">
        <v>95</v>
      </c>
      <c r="E269" s="18"/>
      <c r="F269" s="18"/>
    </row>
    <row r="270" spans="3:6" ht="15.6">
      <c r="C270" s="174">
        <v>5</v>
      </c>
      <c r="D270" s="331" t="s">
        <v>555</v>
      </c>
      <c r="E270" s="18"/>
      <c r="F270" s="18"/>
    </row>
    <row r="271" spans="3:6" ht="15.6">
      <c r="C271" s="174">
        <v>6</v>
      </c>
      <c r="D271" s="331" t="s">
        <v>96</v>
      </c>
      <c r="E271" s="18"/>
      <c r="F271" s="18"/>
    </row>
    <row r="272" spans="3:6" ht="15.6">
      <c r="C272" s="174">
        <v>7</v>
      </c>
      <c r="D272" s="331" t="s">
        <v>316</v>
      </c>
      <c r="E272" s="18"/>
      <c r="F272" s="18"/>
    </row>
    <row r="273" spans="3:6" ht="15.6">
      <c r="C273" s="174">
        <v>8</v>
      </c>
      <c r="D273" s="331" t="s">
        <v>593</v>
      </c>
      <c r="E273" s="18"/>
      <c r="F273" s="18"/>
    </row>
    <row r="274" spans="3:6" ht="15.6">
      <c r="C274" s="174">
        <v>9</v>
      </c>
      <c r="D274" s="331" t="s">
        <v>594</v>
      </c>
      <c r="E274" s="18"/>
      <c r="F274" s="18"/>
    </row>
    <row r="275" spans="3:6" ht="15.6">
      <c r="C275" s="174">
        <v>10</v>
      </c>
      <c r="D275" s="331" t="s">
        <v>595</v>
      </c>
      <c r="E275" s="18"/>
      <c r="F275" s="18"/>
    </row>
    <row r="276" spans="3:6" ht="15.6">
      <c r="C276" s="174">
        <v>11</v>
      </c>
      <c r="D276" s="331" t="s">
        <v>325</v>
      </c>
      <c r="E276" s="18"/>
      <c r="F276" s="18"/>
    </row>
    <row r="277" spans="3:6" ht="15.6">
      <c r="C277" s="174">
        <v>12</v>
      </c>
      <c r="D277" s="331" t="s">
        <v>472</v>
      </c>
      <c r="E277" s="18"/>
      <c r="F277" s="18"/>
    </row>
    <row r="278" spans="3:6" ht="15.6">
      <c r="C278" s="174">
        <v>13</v>
      </c>
      <c r="D278" s="331" t="s">
        <v>596</v>
      </c>
      <c r="E278" s="18"/>
      <c r="F278" s="18"/>
    </row>
    <row r="279" spans="3:6" ht="15.6">
      <c r="C279" s="174">
        <v>14</v>
      </c>
      <c r="D279" s="331" t="s">
        <v>597</v>
      </c>
      <c r="E279" s="18"/>
      <c r="F279" s="18"/>
    </row>
    <row r="280" spans="3:6" ht="15.6">
      <c r="C280" s="174">
        <v>15</v>
      </c>
      <c r="D280" s="331" t="s">
        <v>598</v>
      </c>
      <c r="E280" s="18"/>
      <c r="F280" s="18"/>
    </row>
    <row r="281" spans="3:6" ht="15.6">
      <c r="C281" s="39" t="s">
        <v>563</v>
      </c>
      <c r="E281" s="18"/>
      <c r="F281" s="18"/>
    </row>
    <row r="287" spans="3:6" ht="6" customHeight="1"/>
    <row r="317" spans="3:7" ht="4.5" customHeight="1">
      <c r="C317" s="126"/>
      <c r="D317" s="126"/>
      <c r="E317" s="126"/>
      <c r="F317" s="126"/>
      <c r="G317" s="126"/>
    </row>
  </sheetData>
  <mergeCells count="6">
    <mergeCell ref="B225:D225"/>
    <mergeCell ref="B151:D151"/>
    <mergeCell ref="B131:D131"/>
    <mergeCell ref="B170:D170"/>
    <mergeCell ref="B189:D189"/>
    <mergeCell ref="B208:D208"/>
  </mergeCells>
  <hyperlinks>
    <hyperlink ref="D182" r:id="rId1" display="http://www.topuniversities.com/universities/universidad-aut%C3%B3noma-del-estado-de-mexico-uaemex/undergrad"/>
    <hyperlink ref="D183" r:id="rId2" display="http://www.topuniversities.com/universities/universidad-aut%C3%B3noma-metropolitana-uam/undergrad"/>
    <hyperlink ref="D184" r:id="rId3" display="http://www.topuniversities.com/universities/universidad-de-las-am%C3%A9ricas-puebla-udlap/undergrad"/>
    <hyperlink ref="D172" r:id="rId4" location="wur" display="http://www.topuniversities.com/universities/universidad-nacional-aut%C3%B3noma-de-m%C3%A9xico-unam - wur"/>
    <hyperlink ref="D173" r:id="rId5" location="wur" display="http://www.topuniversities.com/universities/instituto-tecnol%C3%B3gico-y-de-estudios-superiores-de-monterrey - wur"/>
    <hyperlink ref="D174" r:id="rId6" location="wur" display="http://www.topuniversities.com/universities/instituto-tecnol%C3%B3gico-aut%C3%B3nomo-de-m%C3%A9xico-itam - wur"/>
    <hyperlink ref="D175" r:id="rId7" location="wur" display="http://www.topuniversities.com/universities/instituto-polit%C3%A9cnico-nacional-ipn - wur"/>
    <hyperlink ref="D176" r:id="rId8" location="wur" display="http://www.topuniversities.com/universities/universidad-anahuac - wur"/>
    <hyperlink ref="D177" r:id="rId9" location="wur" display="http://www.topuniversities.com/universities/universidad-de-guadalajara-udg - wur"/>
    <hyperlink ref="D178" r:id="rId10" location="wur" display="http://www.topuniversities.com/universities/universidad-iberoamericana-uia - wur"/>
    <hyperlink ref="D179" r:id="rId11" location="wur-0" display="http://www.topuniversities.com/universities/universidad-panamericana - wur-0"/>
    <hyperlink ref="D180" r:id="rId12" location="wur" display="http://www.topuniversities.com/universities/benem%C3%A9rita-universidad-aut%C3%B3noma-de-puebla - wur"/>
    <hyperlink ref="D181" r:id="rId13" location="wur" display="http://www.topuniversities.com/universities/universidad-autonoma-de-nuevo-leon-uanl - wur"/>
    <hyperlink ref="D185" r:id="rId14" location="wur" display="http://www.topuniversities.com/universities/universidad-de-monterrey-udem - wur"/>
    <hyperlink ref="D163" r:id="rId15" display="http://www.topuniversities.com/universities/universidad-aut%C3%B3noma-del-estado-de-mexico-uaemex/undergrad"/>
    <hyperlink ref="D164" r:id="rId16" display="http://www.topuniversities.com/universities/universidad-aut%C3%B3noma-metropolitana-uam/undergrad"/>
    <hyperlink ref="D165" r:id="rId17" display="http://www.topuniversities.com/universities/universidad-de-las-am%C3%A9ricas-puebla-udlap/undergrad"/>
    <hyperlink ref="D153" r:id="rId18" location="wur" display="http://www.topuniversities.com/universities/universidad-nacional-aut%C3%B3noma-de-m%C3%A9xico-unam - wur"/>
    <hyperlink ref="D154" r:id="rId19" location="wur" display="http://www.topuniversities.com/universities/instituto-tecnol%C3%B3gico-y-de-estudios-superiores-de-monterrey - wur"/>
    <hyperlink ref="D155" r:id="rId20" location="wur" display="http://www.topuniversities.com/universities/instituto-tecnol%C3%B3gico-aut%C3%B3nomo-de-m%C3%A9xico-itam - wur"/>
    <hyperlink ref="D156" r:id="rId21" location="wur" display="http://www.topuniversities.com/universities/instituto-polit%C3%A9cnico-nacional-ipn - wur"/>
    <hyperlink ref="D157" r:id="rId22" location="wur" display="http://www.topuniversities.com/universities/universidad-anahuac - wur"/>
    <hyperlink ref="D158" r:id="rId23" location="wur" display="http://www.topuniversities.com/universities/universidad-de-guadalajara-udg - wur"/>
    <hyperlink ref="D159" r:id="rId24" location="wur" display="http://www.topuniversities.com/universities/universidad-iberoamericana-uia - wur"/>
    <hyperlink ref="D160" r:id="rId25" location="wur-0" display="http://www.topuniversities.com/universities/universidad-panamericana - wur-0"/>
    <hyperlink ref="D161" r:id="rId26" location="wur" display="http://www.topuniversities.com/universities/benem%C3%A9rita-universidad-aut%C3%B3noma-de-puebla - wur"/>
    <hyperlink ref="D162" r:id="rId27" location="wur" display="http://www.topuniversities.com/universities/universidad-autonoma-de-nuevo-leon-uanl - wur"/>
    <hyperlink ref="D166" r:id="rId28" location="wur" display="http://www.topuniversities.com/universities/universidad-de-monterrey-udem - wur"/>
    <hyperlink ref="D191" r:id="rId29" display="http://www.topuniversities.com/universities/universidad-nacional-aut%C3%B3noma-de-mexico-unam/undergrad"/>
    <hyperlink ref="D192" r:id="rId30" display="http://www.topuniversities.com/universities/instituto-tecnol%C3%B3gico-y-de-estudios-superiores-de-monterrey/undergrad"/>
    <hyperlink ref="D193" r:id="rId31" display="http://www.topuniversities.com/universities/instituto-polit%C3%A9cnico-nacional-ipn/undergrad"/>
    <hyperlink ref="D194" r:id="rId32" display="http://www.topuniversities.com/universities/universidad-iberoamericana-uia/undergrad"/>
    <hyperlink ref="D195" r:id="rId33" display="http://www.topuniversities.com/universities/universidad-panamericana/undergrad-0"/>
    <hyperlink ref="D196" r:id="rId34" display="http://www.topuniversities.com/universities/universidad-anahuac/undergrad"/>
    <hyperlink ref="D197" r:id="rId35" display="http://www.topuniversities.com/universities/universidad-de-guadalajara-udg/undergrad"/>
    <hyperlink ref="D198" r:id="rId36" display="http://www.topuniversities.com/universities/instituto-tecnol%C3%B3gico-aut%C3%B3nomo-de-m%C3%A9xico-itam/undergrad"/>
    <hyperlink ref="D199" r:id="rId37" display="http://www.topuniversities.com/universities/benem%C3%A9rita-universidad-aut%C3%B3noma-de-puebla/undergrad"/>
    <hyperlink ref="D200" r:id="rId38" display="http://www.topuniversities.com/universities/universidad-autonoma-de-nuevo-leon-uanl/undergrad"/>
    <hyperlink ref="D201" r:id="rId39" display="http://www.topuniversities.com/universities/universidad-aut%C3%B3noma-del-estado-de-mexico-uaemex/undergrad"/>
    <hyperlink ref="D202" r:id="rId40" display="http://www.topuniversities.com/universities/universidad-aut%C3%B3noma-metropolitana-uam/undergrad"/>
    <hyperlink ref="D203" r:id="rId41" display="http://www.topuniversities.com/universities/universidad-de-las-am%C3%A9ricas-puebla-udlap/undergrad"/>
    <hyperlink ref="D210" r:id="rId42" display="http://www.topuniversities.com/universities/universidad-nacional-aut%C3%B3noma-de-m%C3%A9xico-unam"/>
    <hyperlink ref="D211" r:id="rId43" display="http://www.topuniversities.com/universities/tecnol%C3%B3gico-de-monterrey-itesm"/>
    <hyperlink ref="D213" r:id="rId44" display="http://www.topuniversities.com/universities/universidad-de-guadalajara-udg"/>
    <hyperlink ref="D212" r:id="rId45" display="http://www.topuniversities.com/universities/instituto-polit%C3%A9cnico-nacional-ipn"/>
    <hyperlink ref="D214" r:id="rId46" display="http://www.topuniversities.com/universities/universidad-iberoamericana-uia"/>
    <hyperlink ref="D221" r:id="rId47" display="http://www.topuniversities.com/universities/universidad-de-las-am%C3%A9ricas-puebla-udlap"/>
    <hyperlink ref="D217" r:id="rId48" display="http://www.topuniversities.com/universities/universidad-aut%C3%B3noma-metropolitana-uam"/>
    <hyperlink ref="D216" r:id="rId49" display="http://www.topuniversities.com/universities/universidad-aut%C3%B3noma-del-estado-de-m%C3%A9xico-1"/>
    <hyperlink ref="D215" r:id="rId50" display="http://www.topuniversities.com/universities/instituto-tecnol%C3%B3gico-autonomo-de-m%C3%A9xico-itam"/>
    <hyperlink ref="D218" r:id="rId51" display="http://www.topuniversities.com/universities/benem%C3%A9rita-universidad-aut%C3%B3noma-de-puebla-0"/>
    <hyperlink ref="D227" r:id="rId52" display="http://www.topuniversities.com/universities/universidad-nacional-aut%C3%B3noma-de-m%C3%A9xico-unam"/>
    <hyperlink ref="D228" r:id="rId53" display="http://www.topuniversities.com/universities/tecnol%C3%B3gico-de-monterrey-itesm"/>
    <hyperlink ref="D229" r:id="rId54" display="http://www.topuniversities.com/universities/universidad-de-guadalajara-udg"/>
    <hyperlink ref="D230" r:id="rId55" display="http://www.topuniversities.com/universities/instituto-polit%C3%A9cnico-nacional-ipn"/>
    <hyperlink ref="D231" r:id="rId56" display="http://www.topuniversities.com/universities/universidad-iberoamericana-uia"/>
    <hyperlink ref="D235" r:id="rId57" display="http://www.topuniversities.com/universities/universidad-de-las-am%C3%A9ricas-puebla-udlap"/>
    <hyperlink ref="D234" r:id="rId58" display="http://www.topuniversities.com/universities/universidad-aut%C3%B3noma-metropolitana-uam"/>
    <hyperlink ref="D233" r:id="rId59" display="http://www.topuniversities.com/universities/universidad-aut%C3%B3noma-del-estado-de-m%C3%A9xico-1"/>
    <hyperlink ref="D236" r:id="rId60" display="http://www.topuniversities.com/universities/instituto-tecnol%C3%B3gico-autonomo-de-m%C3%A9xico-itam"/>
    <hyperlink ref="D232" r:id="rId61" display="http://www.topuniversities.com/universities/benem%C3%A9rita-universidad-aut%C3%B3noma-de-puebla-0"/>
    <hyperlink ref="D237" r:id="rId62" display="http://www.topuniversities.com/universities/colegio-de-m%C3%A9xico"/>
    <hyperlink ref="B167" r:id="rId63" location="sorting=rank+region=213+country=241+faculty=+stars=false+search="/>
    <hyperlink ref="D142" r:id="rId64" display="http://www.topuniversities.com/universities/universidad-aut%C3%B3noma-del-estado-de-mexico-uaemex/undergrad"/>
    <hyperlink ref="D139" r:id="rId65" display="http://www.topuniversities.com/universities/universidad-aut%C3%B3noma-metropolitana-uam/undergrad"/>
    <hyperlink ref="D144" r:id="rId66" display="http://www.topuniversities.com/universities/universidad-de-las-am%C3%A9ricas-puebla-udlap/undergrad"/>
    <hyperlink ref="D137" r:id="rId67" location="wur" display="http://www.topuniversities.com/universities/instituto-polit%C3%A9cnico-nacional-ipn - wur"/>
    <hyperlink ref="D143" r:id="rId68" location="wur" display="http://www.topuniversities.com/universities/universidad-de-guadalajara-udg - wur"/>
    <hyperlink ref="D146" r:id="rId69" location="wur-0" display="http://www.topuniversities.com/universities/universidad-panamericana - wur-0"/>
    <hyperlink ref="D141" r:id="rId70" location="wur" display="http://www.topuniversities.com/universities/universidad-autonoma-de-nuevo-leon-uanl - wur"/>
    <hyperlink ref="D145" r:id="rId71" location="wur" display="http://www.topuniversities.com/universities/universidad-de-monterrey-udem - wur"/>
    <hyperlink ref="D133" r:id="rId72" location="wur" display="http://www.topuniversities.com/universities/universidad-nacional-aut%C3%B3noma-de-m%C3%A9xico-unam - wur"/>
    <hyperlink ref="D134" r:id="rId73" location="wur" display="http://www.topuniversities.com/universities/instituto-tecnol%C3%B3gico-y-de-estudios-superiores-de-monterrey - wur"/>
    <hyperlink ref="D138" r:id="rId74" location="wur" display="http://www.topuniversities.com/universities/instituto-tecnol%C3%B3gico-aut%C3%B3nomo-de-m%C3%A9xico-itam - wur"/>
    <hyperlink ref="D135" r:id="rId75" location="wur" display="http://www.topuniversities.com/universities/universidad-anahuac - wur"/>
    <hyperlink ref="D136" r:id="rId76" location="wur" display="http://www.topuniversities.com/universities/universidad-iberoamericana-uia - wur"/>
    <hyperlink ref="D140" r:id="rId77" location="wur" display="http://www.topuniversities.com/universities/benem%C3%A9rita-universidad-aut%C3%B3noma-de-puebla - wur"/>
    <hyperlink ref="D105" r:id="rId78" display="http://www.topuniversities.com/universities/universidad-aut%C3%B3noma-del-estado-de-mexico-uaemex/undergrad"/>
    <hyperlink ref="D106" r:id="rId79" display="http://www.topuniversities.com/universities/universidad-aut%C3%B3noma-metropolitana-uam/undergrad"/>
    <hyperlink ref="D103" r:id="rId80" display="http://www.topuniversities.com/universities/universidad-de-las-am%C3%A9ricas-puebla-udlap/undergrad"/>
    <hyperlink ref="D99" r:id="rId81" location="wur" display="http://www.topuniversities.com/universities/instituto-polit%C3%A9cnico-nacional-ipn - wur"/>
    <hyperlink ref="D102" r:id="rId82" location="wur" display="http://www.topuniversities.com/universities/universidad-de-guadalajara-udg - wur"/>
    <hyperlink ref="D98" r:id="rId83" location="wur-0" display="http://www.topuniversities.com/universities/universidad-panamericana - wur-0"/>
    <hyperlink ref="D104" r:id="rId84" location="wur" display="http://www.topuniversities.com/universities/universidad-autonoma-de-nuevo-leon-uanl - wur"/>
    <hyperlink ref="D108" r:id="rId85" location="wur" display="http://www.topuniversities.com/universities/universidad-de-monterrey-udem - wur"/>
    <hyperlink ref="D95" r:id="rId86" location="wur" display="http://www.topuniversities.com/universities/universidad-nacional-aut%C3%B3noma-de-m%C3%A9xico-unam - wur"/>
    <hyperlink ref="D96" r:id="rId87" location="wur" display="http://www.topuniversities.com/universities/instituto-tecnol%C3%B3gico-y-de-estudios-superiores-de-monterrey - wur"/>
    <hyperlink ref="D100" r:id="rId88" location="wur" display="http://www.topuniversities.com/universities/instituto-tecnol%C3%B3gico-aut%C3%B3nomo-de-m%C3%A9xico-itam - wur"/>
    <hyperlink ref="D97" r:id="rId89" location="wur" display="http://www.topuniversities.com/universities/universidad-anahuac - wur"/>
    <hyperlink ref="D101" r:id="rId90" location="wur" display="http://www.topuniversities.com/universities/universidad-iberoamericana-uia - wur"/>
    <hyperlink ref="D83" r:id="rId91" location="wur" display="http://www.topuniversities.com/universities/universidad-iberoamericana-uia - wur"/>
    <hyperlink ref="D80" r:id="rId92" location="wur" display="http://www.topuniversities.com/universities/universidad-anahuac - wur"/>
    <hyperlink ref="D82" r:id="rId93" location="wur" display="http://www.topuniversities.com/universities/instituto-tecnol%C3%B3gico-aut%C3%B3nomo-de-m%C3%A9xico-itam - wur"/>
    <hyperlink ref="D78" r:id="rId94" location="wur" display="http://www.topuniversities.com/universities/instituto-tecnol%C3%B3gico-y-de-estudios-superiores-de-monterrey - wur"/>
    <hyperlink ref="D77" r:id="rId95" location="wur" display="http://www.topuniversities.com/universities/universidad-nacional-aut%C3%B3noma-de-m%C3%A9xico-unam - wur"/>
    <hyperlink ref="D79" r:id="rId96" location="wur-0" display="http://www.topuniversities.com/universities/universidad-panamericana - wur-0"/>
    <hyperlink ref="D84" r:id="rId97" location="wur" display="http://www.topuniversities.com/universities/universidad-de-guadalajara-udg - wur"/>
    <hyperlink ref="D81" r:id="rId98" location="wur" display="http://www.topuniversities.com/universities/instituto-polit%C3%A9cnico-nacional-ipn - wur"/>
    <hyperlink ref="D89" r:id="rId99" display="http://www.topuniversities.com/universities/universidad-de-las-am%C3%A9ricas-puebla-udlap/undergrad"/>
    <hyperlink ref="D87" r:id="rId100" display="http://www.topuniversities.com/universities/universidad-aut%C3%B3noma-metropolitana-uam/undergrad"/>
    <hyperlink ref="D86" r:id="rId101" display="http://www.topuniversities.com/universities/universidad-aut%C3%B3noma-del-estado-de-mexico-uaemex/undergrad"/>
    <hyperlink ref="D66" r:id="rId102" location="wur" display="http://www.topuniversities.com/universities/universidad-iberoamericana-uia - wur"/>
    <hyperlink ref="D63" r:id="rId103" location="wur" display="http://www.topuniversities.com/universities/universidad-anahuac - wur"/>
    <hyperlink ref="D65" r:id="rId104" location="wur" display="http://www.topuniversities.com/universities/instituto-tecnol%C3%B3gico-aut%C3%B3nomo-de-m%C3%A9xico-itam - wur"/>
    <hyperlink ref="D61" r:id="rId105" location="wur" display="http://www.topuniversities.com/universities/instituto-tecnol%C3%B3gico-y-de-estudios-superiores-de-monterrey - wur"/>
    <hyperlink ref="D60" r:id="rId106" location="wur" display="http://www.topuniversities.com/universities/universidad-nacional-aut%C3%B3noma-de-m%C3%A9xico-unam - wur"/>
    <hyperlink ref="D62" r:id="rId107" location="wur-0" display="http://www.topuniversities.com/universities/universidad-panamericana - wur-0"/>
    <hyperlink ref="D67" r:id="rId108" location="wur" display="http://www.topuniversities.com/universities/universidad-de-guadalajara-udg - wur"/>
    <hyperlink ref="D64" r:id="rId109" location="wur" display="http://www.topuniversities.com/universities/instituto-polit%C3%A9cnico-nacional-ipn - wur"/>
    <hyperlink ref="D71" r:id="rId110" display="http://www.topuniversities.com/universities/universidad-de-las-am%C3%A9ricas-puebla-udlap/undergrad"/>
    <hyperlink ref="D70" r:id="rId111" display="http://www.topuniversities.com/universities/universidad-aut%C3%B3noma-metropolitana-uam/undergrad"/>
    <hyperlink ref="D69" r:id="rId112" display="http://www.topuniversities.com/universities/universidad-aut%C3%B3noma-del-estado-de-mexico-uaemex/undergrad"/>
    <hyperlink ref="D47" r:id="rId113" location="wur" display="http://www.topuniversities.com/universities/universidad-iberoamericana-uia - wur"/>
    <hyperlink ref="D46" r:id="rId114" location="wur" display="http://www.topuniversities.com/universities/universidad-anahuac - wur"/>
    <hyperlink ref="D49" r:id="rId115" location="wur" display="http://www.topuniversities.com/universities/instituto-tecnol%C3%B3gico-aut%C3%B3nomo-de-m%C3%A9xico-itam - wur"/>
    <hyperlink ref="D44" r:id="rId116" location="wur" display="http://www.topuniversities.com/universities/instituto-tecnol%C3%B3gico-y-de-estudios-superiores-de-monterrey - wur"/>
    <hyperlink ref="D43" r:id="rId117" location="wur" display="http://www.topuniversities.com/universities/universidad-nacional-aut%C3%B3noma-de-m%C3%A9xico-unam - wur"/>
    <hyperlink ref="D45" r:id="rId118" location="wur-0" display="http://www.topuniversities.com/universities/universidad-panamericana - wur-0"/>
    <hyperlink ref="D54" r:id="rId119" location="wur" display="http://www.topuniversities.com/universities/universidad-de-guadalajara-udg - wur"/>
    <hyperlink ref="D48" r:id="rId120" location="wur" display="http://www.topuniversities.com/universities/instituto-polit%C3%A9cnico-nacional-ipn - wur"/>
    <hyperlink ref="D50" r:id="rId121" display="http://www.topuniversities.com/universities/universidad-aut%C3%B3noma-metropolitana-uam/undergrad"/>
    <hyperlink ref="D53" r:id="rId122" display="http://www.topuniversities.com/universities/universidad-aut%C3%B3noma-del-estado-de-mexico-uaemex/undergrad"/>
    <hyperlink ref="B55" r:id="rId123"/>
    <hyperlink ref="B38" r:id="rId124"/>
    <hyperlink ref="B72" r:id="rId125"/>
    <hyperlink ref="B90" r:id="rId126"/>
    <hyperlink ref="B238" r:id="rId127"/>
    <hyperlink ref="B222" r:id="rId128" location="sorting=rank+region=213+country=241+faculty=+stars=false+search="/>
    <hyperlink ref="B205" r:id="rId129" location="sorting=rank+region=213+country=241+faculty=+stars=false+search="/>
    <hyperlink ref="B186" r:id="rId130" location="sorting=rank+region=213+country=241+faculty=+stars=false+search="/>
    <hyperlink ref="B147" r:id="rId131"/>
    <hyperlink ref="B128" r:id="rId132"/>
    <hyperlink ref="B109" r:id="rId133"/>
    <hyperlink ref="B20" r:id="rId134" display="https://www.topuniversities.com/university-rankings/world-university-rankings/2024?&amp;countries=mx"/>
  </hyperlinks>
  <printOptions horizontalCentered="1" verticalCentered="1"/>
  <pageMargins left="0.70866141732283472" right="0.70866141732283472" top="0.74803149606299213" bottom="0.74803149606299213" header="0.31496062992125984" footer="0.31496062992125984"/>
  <pageSetup scale="70" firstPageNumber="68" orientation="landscape" useFirstPageNumber="1" r:id="rId135"/>
  <headerFooter scaleWithDoc="0" alignWithMargins="0">
    <oddFooter>&amp;R&amp;P</oddFooter>
  </headerFooter>
  <rowBreaks count="3" manualBreakCount="3">
    <brk id="40" max="3" man="1"/>
    <brk id="74" max="3" man="1"/>
    <brk id="91" max="3" man="1"/>
  </rowBreaks>
  <drawing r:id="rId13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2:U20"/>
  <sheetViews>
    <sheetView workbookViewId="0">
      <pane xSplit="1" topLeftCell="B1" activePane="topRight" state="frozen"/>
      <selection pane="topRight" activeCell="L24" sqref="L24"/>
    </sheetView>
  </sheetViews>
  <sheetFormatPr baseColWidth="10" defaultColWidth="8.6640625" defaultRowHeight="14.4"/>
  <cols>
    <col min="1" max="1" width="28.44140625" customWidth="1"/>
    <col min="2" max="5" width="8.6640625" customWidth="1"/>
    <col min="6" max="6" width="9.44140625" customWidth="1"/>
    <col min="7" max="8" width="8.6640625" customWidth="1"/>
    <col min="9" max="9" width="9.44140625" customWidth="1"/>
    <col min="10" max="11" width="8.6640625" customWidth="1"/>
    <col min="12" max="12" width="11.44140625" customWidth="1"/>
    <col min="13" max="14" width="8.6640625" customWidth="1"/>
    <col min="15" max="15" width="9.6640625" customWidth="1"/>
    <col min="16" max="24" width="8.6640625" customWidth="1"/>
    <col min="25" max="252" width="11.44140625" customWidth="1"/>
    <col min="253" max="253" width="25.44140625" bestFit="1" customWidth="1"/>
  </cols>
  <sheetData>
    <row r="2" spans="1:21" ht="18">
      <c r="A2" s="1508" t="s">
        <v>434</v>
      </c>
      <c r="B2" s="1508"/>
      <c r="C2" s="1508"/>
      <c r="D2" s="1508"/>
      <c r="E2" s="1508"/>
      <c r="F2" s="1508"/>
      <c r="G2" s="1508"/>
      <c r="H2" s="1508"/>
      <c r="I2" s="1508"/>
      <c r="L2" s="1589" t="s">
        <v>2053</v>
      </c>
    </row>
    <row r="3" spans="1:21" ht="15" customHeight="1">
      <c r="A3" s="1509" t="s">
        <v>241</v>
      </c>
    </row>
    <row r="4" spans="1:21" ht="15" customHeight="1">
      <c r="C4" s="341"/>
      <c r="D4" s="341"/>
      <c r="E4" s="341"/>
      <c r="F4" s="341"/>
      <c r="G4" s="341"/>
      <c r="H4" s="341"/>
      <c r="I4" s="341"/>
      <c r="J4" s="341"/>
      <c r="K4" s="341"/>
      <c r="L4" s="341"/>
    </row>
    <row r="5" spans="1:21" ht="14.7" customHeight="1">
      <c r="A5" s="342" t="s">
        <v>165</v>
      </c>
      <c r="B5" s="7621">
        <v>2009</v>
      </c>
      <c r="C5" s="7623"/>
      <c r="D5" s="7621">
        <v>2010</v>
      </c>
      <c r="E5" s="7622"/>
      <c r="F5" s="7623"/>
      <c r="G5" s="7621">
        <v>2011</v>
      </c>
      <c r="H5" s="7622"/>
      <c r="I5" s="7623"/>
      <c r="J5" s="7621">
        <v>2012</v>
      </c>
      <c r="K5" s="7622"/>
      <c r="L5" s="7623"/>
      <c r="M5" s="7621">
        <v>2013</v>
      </c>
      <c r="N5" s="7622"/>
      <c r="O5" s="7623"/>
      <c r="P5" s="7621">
        <v>2014</v>
      </c>
      <c r="Q5" s="7622"/>
      <c r="R5" s="7623"/>
      <c r="S5" s="7618">
        <v>2015</v>
      </c>
      <c r="T5" s="7619"/>
      <c r="U5" s="7620"/>
    </row>
    <row r="6" spans="1:21" ht="28.8">
      <c r="A6" s="342"/>
      <c r="B6" s="343" t="s">
        <v>166</v>
      </c>
      <c r="C6" s="344" t="s">
        <v>76</v>
      </c>
      <c r="D6" s="345" t="s">
        <v>166</v>
      </c>
      <c r="E6" s="345" t="s">
        <v>76</v>
      </c>
      <c r="F6" s="345" t="s">
        <v>449</v>
      </c>
      <c r="G6" s="345" t="s">
        <v>166</v>
      </c>
      <c r="H6" s="345" t="s">
        <v>76</v>
      </c>
      <c r="I6" s="345" t="s">
        <v>449</v>
      </c>
      <c r="J6" s="345" t="s">
        <v>166</v>
      </c>
      <c r="K6" s="345" t="s">
        <v>76</v>
      </c>
      <c r="L6" s="345" t="s">
        <v>449</v>
      </c>
      <c r="M6" s="345" t="s">
        <v>166</v>
      </c>
      <c r="N6" s="345" t="s">
        <v>76</v>
      </c>
      <c r="O6" s="345" t="s">
        <v>449</v>
      </c>
      <c r="P6" s="345" t="s">
        <v>166</v>
      </c>
      <c r="Q6" s="345" t="s">
        <v>76</v>
      </c>
      <c r="R6" s="345" t="s">
        <v>449</v>
      </c>
      <c r="S6" s="1120" t="s">
        <v>166</v>
      </c>
      <c r="T6" s="1120" t="s">
        <v>76</v>
      </c>
      <c r="U6" s="1120" t="s">
        <v>449</v>
      </c>
    </row>
    <row r="7" spans="1:21" ht="17.100000000000001" customHeight="1">
      <c r="A7" s="73" t="s">
        <v>167</v>
      </c>
      <c r="B7" s="73">
        <v>54</v>
      </c>
      <c r="C7" s="77">
        <f>(B7/B18)*100</f>
        <v>33.540372670807457</v>
      </c>
      <c r="D7" s="73">
        <v>42</v>
      </c>
      <c r="E7" s="74">
        <f>(D7/D18)*100</f>
        <v>26.582278481012654</v>
      </c>
      <c r="F7" s="91">
        <f>D7/B7-1</f>
        <v>-0.22222222222222221</v>
      </c>
      <c r="G7" s="73">
        <v>49</v>
      </c>
      <c r="H7" s="74">
        <f>(G7/G18)*100</f>
        <v>20.416666666666668</v>
      </c>
      <c r="I7" s="91">
        <f>G7/D7-1</f>
        <v>0.16666666666666674</v>
      </c>
      <c r="J7" s="73">
        <v>27</v>
      </c>
      <c r="K7" s="74">
        <f>(J7/J18)*100</f>
        <v>10.384615384615385</v>
      </c>
      <c r="L7" s="91">
        <f>J7/G7-1</f>
        <v>-0.44897959183673475</v>
      </c>
      <c r="M7" s="73">
        <v>29</v>
      </c>
      <c r="N7" s="74">
        <f>(M7/M18)*100</f>
        <v>14.009661835748794</v>
      </c>
      <c r="O7" s="91">
        <f>M7/J7-1</f>
        <v>7.4074074074074181E-2</v>
      </c>
      <c r="P7" s="73">
        <v>23</v>
      </c>
      <c r="Q7" s="74">
        <f>(P7/P18)*100</f>
        <v>14.935064935064934</v>
      </c>
      <c r="R7" s="91">
        <f>P7/M7-1</f>
        <v>-0.2068965517241379</v>
      </c>
      <c r="S7" s="73">
        <v>12</v>
      </c>
      <c r="T7" s="74">
        <f>(S7/S18)*100</f>
        <v>10.810810810810811</v>
      </c>
      <c r="U7" s="91">
        <f>S7/P7-1</f>
        <v>-0.47826086956521741</v>
      </c>
    </row>
    <row r="8" spans="1:21" ht="17.100000000000001" customHeight="1">
      <c r="A8" s="69" t="s">
        <v>168</v>
      </c>
      <c r="B8" s="69">
        <v>33</v>
      </c>
      <c r="C8" s="78">
        <f>(B8/B18)*100</f>
        <v>20.496894409937887</v>
      </c>
      <c r="D8" s="69">
        <v>37</v>
      </c>
      <c r="E8" s="75">
        <f>(D8/D18)*100</f>
        <v>23.417721518987342</v>
      </c>
      <c r="F8" s="92">
        <f t="shared" ref="F8:F18" si="0">D8/B8-1</f>
        <v>0.1212121212121211</v>
      </c>
      <c r="G8" s="69">
        <v>50</v>
      </c>
      <c r="H8" s="75">
        <f>(G8/G18)*100</f>
        <v>20.833333333333336</v>
      </c>
      <c r="I8" s="92">
        <f t="shared" ref="I8:I18" si="1">G8/D8-1</f>
        <v>0.35135135135135132</v>
      </c>
      <c r="J8" s="69">
        <v>74</v>
      </c>
      <c r="K8" s="75">
        <f>(J8/J18)*100</f>
        <v>28.46153846153846</v>
      </c>
      <c r="L8" s="92">
        <f t="shared" ref="L8:L18" si="2">J8/G8-1</f>
        <v>0.48</v>
      </c>
      <c r="M8" s="69">
        <v>59</v>
      </c>
      <c r="N8" s="75">
        <f>(M8/M18)*100</f>
        <v>28.502415458937197</v>
      </c>
      <c r="O8" s="92">
        <f t="shared" ref="O8:O15" si="3">M8/J8-1</f>
        <v>-0.20270270270270274</v>
      </c>
      <c r="P8" s="69">
        <v>40</v>
      </c>
      <c r="Q8" s="75">
        <f>(P8/P18)*100</f>
        <v>25.97402597402597</v>
      </c>
      <c r="R8" s="92">
        <f t="shared" ref="R8:R15" si="4">P8/M8-1</f>
        <v>-0.32203389830508478</v>
      </c>
      <c r="S8" s="69">
        <v>17</v>
      </c>
      <c r="T8" s="75">
        <f>(S8/S18)*100</f>
        <v>15.315315315315313</v>
      </c>
      <c r="U8" s="92">
        <f t="shared" ref="U8:U14" si="5">S8/P8-1</f>
        <v>-0.57499999999999996</v>
      </c>
    </row>
    <row r="9" spans="1:21" ht="17.100000000000001" customHeight="1">
      <c r="A9" s="70" t="s">
        <v>169</v>
      </c>
      <c r="B9" s="71">
        <v>8</v>
      </c>
      <c r="C9" s="78">
        <f>(B9/B18)*100</f>
        <v>4.9689440993788816</v>
      </c>
      <c r="D9" s="71">
        <v>7</v>
      </c>
      <c r="E9" s="75">
        <f>(D9/D18)*100</f>
        <v>4.4303797468354427</v>
      </c>
      <c r="F9" s="92">
        <f t="shared" si="0"/>
        <v>-0.125</v>
      </c>
      <c r="G9" s="71">
        <v>13</v>
      </c>
      <c r="H9" s="75">
        <f>(G9/G18)*100</f>
        <v>5.416666666666667</v>
      </c>
      <c r="I9" s="92">
        <f t="shared" si="1"/>
        <v>0.85714285714285721</v>
      </c>
      <c r="J9" s="71">
        <v>10</v>
      </c>
      <c r="K9" s="75">
        <f>(J9/J18)*100</f>
        <v>3.8461538461538463</v>
      </c>
      <c r="L9" s="92">
        <f t="shared" si="2"/>
        <v>-0.23076923076923073</v>
      </c>
      <c r="M9" s="71">
        <v>9</v>
      </c>
      <c r="N9" s="75">
        <f>(M9/M18)*100</f>
        <v>4.3478260869565215</v>
      </c>
      <c r="O9" s="92">
        <f t="shared" si="3"/>
        <v>-9.9999999999999978E-2</v>
      </c>
      <c r="P9" s="71">
        <v>2</v>
      </c>
      <c r="Q9" s="75">
        <f>(P9/P18)*100</f>
        <v>1.2987012987012987</v>
      </c>
      <c r="R9" s="92">
        <f t="shared" si="4"/>
        <v>-0.77777777777777779</v>
      </c>
      <c r="S9" s="71">
        <v>5</v>
      </c>
      <c r="T9" s="75">
        <f>(S9/S18)*100</f>
        <v>4.5045045045045047</v>
      </c>
      <c r="U9" s="92">
        <f t="shared" si="5"/>
        <v>1.5</v>
      </c>
    </row>
    <row r="10" spans="1:21" ht="17.100000000000001" customHeight="1">
      <c r="A10" s="69" t="s">
        <v>170</v>
      </c>
      <c r="B10" s="69">
        <v>18</v>
      </c>
      <c r="C10" s="78">
        <f>(B10/B18)*100</f>
        <v>11.180124223602485</v>
      </c>
      <c r="D10" s="69">
        <v>17</v>
      </c>
      <c r="E10" s="75">
        <f>(D10/D18)*100</f>
        <v>10.759493670886076</v>
      </c>
      <c r="F10" s="92">
        <f t="shared" si="0"/>
        <v>-5.555555555555558E-2</v>
      </c>
      <c r="G10" s="69">
        <v>9</v>
      </c>
      <c r="H10" s="75">
        <f>(G10/G18)*100</f>
        <v>3.75</v>
      </c>
      <c r="I10" s="92">
        <f t="shared" si="1"/>
        <v>-0.47058823529411764</v>
      </c>
      <c r="J10" s="69">
        <v>19</v>
      </c>
      <c r="K10" s="75">
        <f>(J10/J18)*100</f>
        <v>7.3076923076923084</v>
      </c>
      <c r="L10" s="92">
        <f t="shared" si="2"/>
        <v>1.1111111111111112</v>
      </c>
      <c r="M10" s="69">
        <v>8</v>
      </c>
      <c r="N10" s="75">
        <f>(M10/M18)*100</f>
        <v>3.8647342995169081</v>
      </c>
      <c r="O10" s="92">
        <f t="shared" si="3"/>
        <v>-0.57894736842105265</v>
      </c>
      <c r="P10" s="69">
        <v>40</v>
      </c>
      <c r="Q10" s="75">
        <f>(P10/P18)*100</f>
        <v>25.97402597402597</v>
      </c>
      <c r="R10" s="92">
        <f t="shared" si="4"/>
        <v>4</v>
      </c>
      <c r="S10" s="69">
        <v>13</v>
      </c>
      <c r="T10" s="75">
        <f>(S10/S18)*100</f>
        <v>11.711711711711711</v>
      </c>
      <c r="U10" s="92">
        <f t="shared" si="5"/>
        <v>-0.67500000000000004</v>
      </c>
    </row>
    <row r="11" spans="1:21" ht="16.5" customHeight="1">
      <c r="A11" s="71" t="s">
        <v>171</v>
      </c>
      <c r="B11" s="71">
        <v>11</v>
      </c>
      <c r="C11" s="78">
        <f>(B11/B18)*100</f>
        <v>6.8322981366459627</v>
      </c>
      <c r="D11" s="71">
        <v>13</v>
      </c>
      <c r="E11" s="75">
        <f>(D11/D18)*100</f>
        <v>8.2278481012658222</v>
      </c>
      <c r="F11" s="92">
        <f t="shared" si="0"/>
        <v>0.18181818181818188</v>
      </c>
      <c r="G11" s="71">
        <v>13</v>
      </c>
      <c r="H11" s="75">
        <f>(G11/G18)*100</f>
        <v>5.416666666666667</v>
      </c>
      <c r="I11" s="92">
        <f t="shared" si="1"/>
        <v>0</v>
      </c>
      <c r="J11" s="71">
        <v>48</v>
      </c>
      <c r="K11" s="75">
        <f>(J11/J18)*100</f>
        <v>18.461538461538463</v>
      </c>
      <c r="L11" s="92">
        <f t="shared" si="2"/>
        <v>2.6923076923076925</v>
      </c>
      <c r="M11" s="71">
        <v>36</v>
      </c>
      <c r="N11" s="75">
        <f>(M11/M18)*100</f>
        <v>17.391304347826086</v>
      </c>
      <c r="O11" s="92">
        <f t="shared" si="3"/>
        <v>-0.25</v>
      </c>
      <c r="P11" s="71">
        <v>21</v>
      </c>
      <c r="Q11" s="75">
        <f>(P11/P18)*100</f>
        <v>13.636363636363635</v>
      </c>
      <c r="R11" s="92">
        <f t="shared" si="4"/>
        <v>-0.41666666666666663</v>
      </c>
      <c r="S11" s="71">
        <v>18</v>
      </c>
      <c r="T11" s="75">
        <f>(S11/S18)*100</f>
        <v>16.216216216216218</v>
      </c>
      <c r="U11" s="92">
        <f t="shared" si="5"/>
        <v>-0.1428571428571429</v>
      </c>
    </row>
    <row r="12" spans="1:21" ht="17.100000000000001" customHeight="1">
      <c r="A12" s="69" t="s">
        <v>172</v>
      </c>
      <c r="B12" s="69">
        <v>16</v>
      </c>
      <c r="C12" s="78">
        <f>(B12/B18)*100</f>
        <v>9.9378881987577632</v>
      </c>
      <c r="D12" s="69">
        <v>9</v>
      </c>
      <c r="E12" s="75">
        <f>(D12/D18)*100</f>
        <v>5.6962025316455698</v>
      </c>
      <c r="F12" s="92">
        <f t="shared" si="0"/>
        <v>-0.4375</v>
      </c>
      <c r="G12" s="69">
        <v>16</v>
      </c>
      <c r="H12" s="75">
        <f>(G12/G18)*100</f>
        <v>6.666666666666667</v>
      </c>
      <c r="I12" s="92">
        <f t="shared" si="1"/>
        <v>0.77777777777777768</v>
      </c>
      <c r="J12" s="69">
        <v>11</v>
      </c>
      <c r="K12" s="75">
        <f>(J12/J18)*100</f>
        <v>4.2307692307692308</v>
      </c>
      <c r="L12" s="92">
        <f t="shared" si="2"/>
        <v>-0.3125</v>
      </c>
      <c r="M12" s="69">
        <v>13</v>
      </c>
      <c r="N12" s="75">
        <f>(M12/M18)*100</f>
        <v>6.2801932367149762</v>
      </c>
      <c r="O12" s="92">
        <f t="shared" si="3"/>
        <v>0.18181818181818188</v>
      </c>
      <c r="P12" s="69"/>
      <c r="Q12" s="75">
        <f>(P12/P18)*100</f>
        <v>0</v>
      </c>
      <c r="R12" s="92">
        <f t="shared" si="4"/>
        <v>-1</v>
      </c>
      <c r="S12" s="69">
        <v>2</v>
      </c>
      <c r="T12" s="75">
        <f>(S12/S18)*100</f>
        <v>1.8018018018018018</v>
      </c>
      <c r="U12" s="92"/>
    </row>
    <row r="13" spans="1:21" ht="17.100000000000001" customHeight="1">
      <c r="A13" s="71" t="s">
        <v>173</v>
      </c>
      <c r="B13" s="71">
        <v>4</v>
      </c>
      <c r="C13" s="78">
        <f>(B13/B18)*100</f>
        <v>2.4844720496894408</v>
      </c>
      <c r="D13" s="71">
        <v>18</v>
      </c>
      <c r="E13" s="75">
        <f>(D13/D18)*100</f>
        <v>11.39240506329114</v>
      </c>
      <c r="F13" s="92">
        <f t="shared" si="0"/>
        <v>3.5</v>
      </c>
      <c r="G13" s="71">
        <v>34</v>
      </c>
      <c r="H13" s="75">
        <f>(G13/G18)*100</f>
        <v>14.166666666666666</v>
      </c>
      <c r="I13" s="92">
        <f t="shared" si="1"/>
        <v>0.88888888888888884</v>
      </c>
      <c r="J13" s="71">
        <v>40</v>
      </c>
      <c r="K13" s="75">
        <f>(J13/J18)*100</f>
        <v>15.384615384615385</v>
      </c>
      <c r="L13" s="92">
        <f t="shared" si="2"/>
        <v>0.17647058823529416</v>
      </c>
      <c r="M13" s="71">
        <v>19</v>
      </c>
      <c r="N13" s="75">
        <f>(M13/M18)*100</f>
        <v>9.1787439613526569</v>
      </c>
      <c r="O13" s="92">
        <f t="shared" si="3"/>
        <v>-0.52500000000000002</v>
      </c>
      <c r="P13" s="71">
        <v>14</v>
      </c>
      <c r="Q13" s="75">
        <f>(P13/P18)*100</f>
        <v>9.0909090909090917</v>
      </c>
      <c r="R13" s="92">
        <f t="shared" si="4"/>
        <v>-0.26315789473684215</v>
      </c>
      <c r="S13" s="71">
        <v>25</v>
      </c>
      <c r="T13" s="75">
        <f>(S13/S18)*100</f>
        <v>22.522522522522522</v>
      </c>
      <c r="U13" s="92">
        <f t="shared" si="5"/>
        <v>0.78571428571428581</v>
      </c>
    </row>
    <row r="14" spans="1:21" ht="17.100000000000001" customHeight="1">
      <c r="A14" s="69" t="s">
        <v>174</v>
      </c>
      <c r="B14" s="69">
        <v>1</v>
      </c>
      <c r="C14" s="78">
        <f>(B14/B18)*100</f>
        <v>0.6211180124223602</v>
      </c>
      <c r="D14" s="69">
        <v>0</v>
      </c>
      <c r="E14" s="75">
        <f>(D14/D18)*100</f>
        <v>0</v>
      </c>
      <c r="F14" s="92">
        <f t="shared" si="0"/>
        <v>-1</v>
      </c>
      <c r="G14" s="69">
        <v>4</v>
      </c>
      <c r="H14" s="75">
        <f>(G14/G18)*100</f>
        <v>1.6666666666666667</v>
      </c>
      <c r="I14" s="92">
        <v>3</v>
      </c>
      <c r="J14" s="69">
        <v>2</v>
      </c>
      <c r="K14" s="75">
        <f>(J14/J18)*100</f>
        <v>0.76923076923076927</v>
      </c>
      <c r="L14" s="92">
        <f t="shared" si="2"/>
        <v>-0.5</v>
      </c>
      <c r="M14" s="69">
        <v>5</v>
      </c>
      <c r="N14" s="75">
        <f>(M14/M18)*100</f>
        <v>2.4154589371980677</v>
      </c>
      <c r="O14" s="92">
        <f t="shared" si="3"/>
        <v>1.5</v>
      </c>
      <c r="P14" s="69">
        <v>2</v>
      </c>
      <c r="Q14" s="75">
        <f>(P14/P18)*100</f>
        <v>1.2987012987012987</v>
      </c>
      <c r="R14" s="92">
        <f t="shared" si="4"/>
        <v>-0.6</v>
      </c>
      <c r="S14" s="69">
        <v>1</v>
      </c>
      <c r="T14" s="75">
        <f>(S14/S18)*100</f>
        <v>0.90090090090090091</v>
      </c>
      <c r="U14" s="92">
        <f t="shared" si="5"/>
        <v>-0.5</v>
      </c>
    </row>
    <row r="15" spans="1:21" ht="17.100000000000001" customHeight="1">
      <c r="A15" s="71" t="s">
        <v>175</v>
      </c>
      <c r="B15" s="71">
        <v>2</v>
      </c>
      <c r="C15" s="78">
        <f>(B15/B18)*100</f>
        <v>1.2422360248447204</v>
      </c>
      <c r="D15" s="71">
        <v>7</v>
      </c>
      <c r="E15" s="75">
        <f>(D15/D18)*100</f>
        <v>4.4303797468354427</v>
      </c>
      <c r="F15" s="92">
        <f t="shared" si="0"/>
        <v>2.5</v>
      </c>
      <c r="G15" s="71">
        <v>9</v>
      </c>
      <c r="H15" s="75">
        <f>(G15/G18)*100</f>
        <v>3.75</v>
      </c>
      <c r="I15" s="92">
        <f t="shared" si="1"/>
        <v>0.28571428571428581</v>
      </c>
      <c r="J15" s="71">
        <v>3</v>
      </c>
      <c r="K15" s="75">
        <f>(J15/J18)*100</f>
        <v>1.153846153846154</v>
      </c>
      <c r="L15" s="92">
        <f t="shared" si="2"/>
        <v>-0.66666666666666674</v>
      </c>
      <c r="M15" s="71">
        <v>1</v>
      </c>
      <c r="N15" s="75">
        <f>(M15/M18)*100</f>
        <v>0.48309178743961351</v>
      </c>
      <c r="O15" s="92">
        <f t="shared" si="3"/>
        <v>-0.66666666666666674</v>
      </c>
      <c r="P15" s="71"/>
      <c r="Q15" s="75">
        <f>(P15/P18)*100</f>
        <v>0</v>
      </c>
      <c r="R15" s="92">
        <f t="shared" si="4"/>
        <v>-1</v>
      </c>
      <c r="S15" s="71">
        <v>0</v>
      </c>
      <c r="T15" s="75">
        <f>(S15/S18)*100</f>
        <v>0</v>
      </c>
      <c r="U15" s="92"/>
    </row>
    <row r="16" spans="1:21" ht="17.100000000000001" customHeight="1">
      <c r="A16" s="69" t="s">
        <v>176</v>
      </c>
      <c r="B16" s="69">
        <v>2</v>
      </c>
      <c r="C16" s="78">
        <f>(B16/B18)*100</f>
        <v>1.2422360248447204</v>
      </c>
      <c r="D16" s="69">
        <v>2</v>
      </c>
      <c r="E16" s="75">
        <f>(D16/D18)*100</f>
        <v>1.2658227848101267</v>
      </c>
      <c r="F16" s="92">
        <f t="shared" si="0"/>
        <v>0</v>
      </c>
      <c r="G16" s="69">
        <v>0</v>
      </c>
      <c r="H16" s="75">
        <f>(G16/G18)*100</f>
        <v>0</v>
      </c>
      <c r="I16" s="92"/>
      <c r="J16" s="69">
        <v>0</v>
      </c>
      <c r="K16" s="75">
        <f>(J16/J18)*100</f>
        <v>0</v>
      </c>
      <c r="L16" s="92"/>
      <c r="M16" s="69">
        <v>0</v>
      </c>
      <c r="N16" s="75">
        <f>(M16/M18)*100</f>
        <v>0</v>
      </c>
      <c r="O16" s="92"/>
      <c r="P16" s="69"/>
      <c r="Q16" s="75">
        <f>(P16/P18)*100</f>
        <v>0</v>
      </c>
      <c r="R16" s="92"/>
      <c r="S16" s="69">
        <v>0</v>
      </c>
      <c r="T16" s="75">
        <f>(S16/S18)*100</f>
        <v>0</v>
      </c>
      <c r="U16" s="92"/>
    </row>
    <row r="17" spans="1:21" ht="17.100000000000001" customHeight="1">
      <c r="A17" s="72" t="s">
        <v>177</v>
      </c>
      <c r="B17" s="72">
        <v>12</v>
      </c>
      <c r="C17" s="79">
        <f>(B17/B18)*100</f>
        <v>7.4534161490683228</v>
      </c>
      <c r="D17" s="72">
        <v>6</v>
      </c>
      <c r="E17" s="76">
        <f>(D17/D18)*100</f>
        <v>3.79746835443038</v>
      </c>
      <c r="F17" s="93">
        <f t="shared" si="0"/>
        <v>-0.5</v>
      </c>
      <c r="G17" s="72">
        <v>43</v>
      </c>
      <c r="H17" s="76">
        <f>(G17/G18)*100</f>
        <v>17.916666666666668</v>
      </c>
      <c r="I17" s="93">
        <f t="shared" si="1"/>
        <v>6.166666666666667</v>
      </c>
      <c r="J17" s="72">
        <v>26</v>
      </c>
      <c r="K17" s="76">
        <f>(J17/J18)*100</f>
        <v>10</v>
      </c>
      <c r="L17" s="93">
        <f t="shared" si="2"/>
        <v>-0.39534883720930236</v>
      </c>
      <c r="M17" s="72">
        <v>28</v>
      </c>
      <c r="N17" s="76">
        <f>(M17/M18)*100</f>
        <v>13.526570048309178</v>
      </c>
      <c r="O17" s="93">
        <f>M17/J17-1</f>
        <v>7.6923076923076872E-2</v>
      </c>
      <c r="P17" s="72">
        <v>12</v>
      </c>
      <c r="Q17" s="76">
        <f>(P17/P18)*100</f>
        <v>7.7922077922077921</v>
      </c>
      <c r="R17" s="93">
        <f>P17/M17-1</f>
        <v>-0.5714285714285714</v>
      </c>
      <c r="S17" s="72">
        <v>18</v>
      </c>
      <c r="T17" s="76">
        <f>(S17/S18)*100</f>
        <v>16.216216216216218</v>
      </c>
      <c r="U17" s="93">
        <f>S17/P17-1</f>
        <v>0.5</v>
      </c>
    </row>
    <row r="18" spans="1:21" ht="17.100000000000001" customHeight="1">
      <c r="A18" s="343" t="s">
        <v>367</v>
      </c>
      <c r="B18" s="346">
        <v>161</v>
      </c>
      <c r="C18" s="347">
        <f>(B18/B18)*100</f>
        <v>100</v>
      </c>
      <c r="D18" s="346">
        <v>158</v>
      </c>
      <c r="E18" s="348">
        <f>(D18/D18)*100</f>
        <v>100</v>
      </c>
      <c r="F18" s="349">
        <f t="shared" si="0"/>
        <v>-1.8633540372670843E-2</v>
      </c>
      <c r="G18" s="346">
        <v>240</v>
      </c>
      <c r="H18" s="348">
        <f>(G18/G18)*100</f>
        <v>100</v>
      </c>
      <c r="I18" s="349">
        <f t="shared" si="1"/>
        <v>0.518987341772152</v>
      </c>
      <c r="J18" s="346">
        <f>SUM(J7:J17)</f>
        <v>260</v>
      </c>
      <c r="K18" s="348">
        <f>(J18/J18)*100</f>
        <v>100</v>
      </c>
      <c r="L18" s="349">
        <f t="shared" si="2"/>
        <v>8.3333333333333259E-2</v>
      </c>
      <c r="M18" s="346">
        <f>SUM(M7:M17)</f>
        <v>207</v>
      </c>
      <c r="N18" s="348">
        <f>(M18/M18)*100</f>
        <v>100</v>
      </c>
      <c r="O18" s="349">
        <f>M18/J18-1</f>
        <v>-0.2038461538461539</v>
      </c>
      <c r="P18" s="346">
        <f>SUM(P7:P17)</f>
        <v>154</v>
      </c>
      <c r="Q18" s="348">
        <f>(P18/P18)*100</f>
        <v>100</v>
      </c>
      <c r="R18" s="349">
        <f>P18/M18-1</f>
        <v>-0.2560386473429952</v>
      </c>
      <c r="S18" s="1121">
        <f>SUM(S7:S17)</f>
        <v>111</v>
      </c>
      <c r="T18" s="1122">
        <f>(S18/S18)*100</f>
        <v>100</v>
      </c>
      <c r="U18" s="1123">
        <f>S18/P18-1</f>
        <v>-0.27922077922077926</v>
      </c>
    </row>
    <row r="20" spans="1:21">
      <c r="A20" t="s">
        <v>239</v>
      </c>
    </row>
  </sheetData>
  <mergeCells count="7">
    <mergeCell ref="S5:U5"/>
    <mergeCell ref="P5:R5"/>
    <mergeCell ref="B5:C5"/>
    <mergeCell ref="D5:F5"/>
    <mergeCell ref="G5:I5"/>
    <mergeCell ref="J5:L5"/>
    <mergeCell ref="M5:O5"/>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L49"/>
  <sheetViews>
    <sheetView showGridLines="0" zoomScale="120" zoomScaleNormal="120" workbookViewId="0">
      <pane xSplit="3" ySplit="5" topLeftCell="D21" activePane="bottomRight" state="frozen"/>
      <selection pane="topRight" activeCell="D1" sqref="D1"/>
      <selection pane="bottomLeft" activeCell="A6" sqref="A6"/>
      <selection pane="bottomRight" activeCell="D49" sqref="D49"/>
    </sheetView>
  </sheetViews>
  <sheetFormatPr baseColWidth="10" defaultRowHeight="14.4"/>
  <cols>
    <col min="1" max="1" width="3.33203125" customWidth="1"/>
    <col min="2" max="2" width="4.33203125" customWidth="1"/>
    <col min="3" max="3" width="69.33203125" customWidth="1"/>
    <col min="4" max="4" width="11.6640625" customWidth="1"/>
    <col min="5" max="5" width="9.33203125" bestFit="1" customWidth="1"/>
    <col min="6" max="6" width="11.6640625" customWidth="1"/>
    <col min="7" max="7" width="5.6640625" customWidth="1"/>
    <col min="8" max="9" width="11.6640625" customWidth="1"/>
    <col min="10" max="10" width="5.6640625" customWidth="1"/>
    <col min="11" max="11" width="11.6640625" customWidth="1"/>
    <col min="12" max="12" width="11.44140625" customWidth="1"/>
    <col min="13" max="13" width="5.6640625" customWidth="1"/>
    <col min="14" max="14" width="11.6640625" customWidth="1"/>
    <col min="15" max="15" width="11.44140625" customWidth="1"/>
    <col min="16" max="16" width="5.6640625" customWidth="1"/>
    <col min="17" max="17" width="11.6640625" customWidth="1"/>
    <col min="18" max="18" width="11.44140625" customWidth="1"/>
    <col min="19" max="19" width="5.6640625" customWidth="1"/>
    <col min="20" max="20" width="11.6640625" customWidth="1"/>
    <col min="21" max="21" width="11.44140625" customWidth="1"/>
    <col min="22" max="22" width="5.6640625" customWidth="1"/>
    <col min="23" max="24" width="11.44140625" customWidth="1"/>
    <col min="25" max="25" width="5.6640625" customWidth="1"/>
    <col min="26" max="27" width="11.44140625" customWidth="1"/>
    <col min="28" max="28" width="5.6640625" customWidth="1"/>
    <col min="29" max="29" width="11.44140625" customWidth="1"/>
    <col min="31" max="31" width="5.6640625" customWidth="1"/>
    <col min="34" max="34" width="5.6640625" customWidth="1"/>
  </cols>
  <sheetData>
    <row r="1" spans="1:38" ht="15.6">
      <c r="B1" s="7627" t="s">
        <v>2445</v>
      </c>
      <c r="C1" s="7627"/>
      <c r="D1" s="140"/>
      <c r="E1" s="140"/>
      <c r="F1" s="140"/>
      <c r="G1" s="140"/>
      <c r="H1" s="140"/>
      <c r="I1" s="140"/>
      <c r="J1" s="140"/>
      <c r="K1" s="140"/>
      <c r="L1" s="140"/>
      <c r="M1" s="140"/>
      <c r="N1" s="118"/>
    </row>
    <row r="2" spans="1:38">
      <c r="B2" s="7627"/>
      <c r="C2" s="7627"/>
      <c r="L2" s="67"/>
    </row>
    <row r="3" spans="1:38" s="2417" customFormat="1" ht="15.6">
      <c r="B3" s="2420"/>
      <c r="C3" s="2908" t="s">
        <v>189</v>
      </c>
      <c r="L3" s="67"/>
    </row>
    <row r="4" spans="1:38" s="22" customFormat="1">
      <c r="D4" s="7624">
        <v>2008</v>
      </c>
      <c r="E4" s="7624"/>
      <c r="F4" s="7624">
        <v>2009</v>
      </c>
      <c r="G4" s="7624"/>
      <c r="H4" s="7624"/>
      <c r="I4" s="7624">
        <v>2010</v>
      </c>
      <c r="J4" s="7624"/>
      <c r="K4" s="7624"/>
      <c r="L4" s="7624">
        <v>2011</v>
      </c>
      <c r="M4" s="7624"/>
      <c r="N4" s="7624"/>
      <c r="O4" s="7624">
        <v>2012</v>
      </c>
      <c r="P4" s="7624"/>
      <c r="Q4" s="7624"/>
      <c r="R4" s="7624">
        <v>2013</v>
      </c>
      <c r="S4" s="7624"/>
      <c r="T4" s="7624"/>
      <c r="U4" s="7624">
        <v>2014</v>
      </c>
      <c r="V4" s="7624"/>
      <c r="W4" s="7624"/>
      <c r="X4" s="7628">
        <v>2015</v>
      </c>
      <c r="Y4" s="7628"/>
      <c r="Z4" s="7628"/>
      <c r="AA4" s="7628">
        <v>2016</v>
      </c>
      <c r="AB4" s="7628"/>
      <c r="AC4" s="7628"/>
      <c r="AD4" s="7628">
        <v>2017</v>
      </c>
      <c r="AE4" s="7628"/>
      <c r="AF4" s="7628"/>
      <c r="AG4" s="7628">
        <v>2018</v>
      </c>
      <c r="AH4" s="7628"/>
      <c r="AI4" s="7628"/>
    </row>
    <row r="5" spans="1:38" ht="34.5" customHeight="1" thickBot="1">
      <c r="A5" s="2026"/>
      <c r="B5" s="2873" t="s">
        <v>314</v>
      </c>
      <c r="C5" s="2114" t="s">
        <v>190</v>
      </c>
      <c r="D5" s="2874" t="s">
        <v>191</v>
      </c>
      <c r="E5" s="2875" t="s">
        <v>76</v>
      </c>
      <c r="F5" s="2876" t="s">
        <v>191</v>
      </c>
      <c r="G5" s="2875" t="s">
        <v>76</v>
      </c>
      <c r="H5" s="2877" t="s">
        <v>448</v>
      </c>
      <c r="I5" s="2876" t="s">
        <v>191</v>
      </c>
      <c r="J5" s="2875" t="s">
        <v>76</v>
      </c>
      <c r="K5" s="2877" t="s">
        <v>448</v>
      </c>
      <c r="L5" s="2876" t="s">
        <v>191</v>
      </c>
      <c r="M5" s="2875" t="s">
        <v>76</v>
      </c>
      <c r="N5" s="2877" t="s">
        <v>448</v>
      </c>
      <c r="O5" s="2878" t="s">
        <v>191</v>
      </c>
      <c r="P5" s="2875" t="s">
        <v>76</v>
      </c>
      <c r="Q5" s="2877" t="s">
        <v>448</v>
      </c>
      <c r="R5" s="2878" t="s">
        <v>191</v>
      </c>
      <c r="S5" s="2875" t="s">
        <v>76</v>
      </c>
      <c r="T5" s="2877" t="s">
        <v>448</v>
      </c>
      <c r="U5" s="2878" t="s">
        <v>191</v>
      </c>
      <c r="V5" s="2875" t="s">
        <v>76</v>
      </c>
      <c r="W5" s="2877" t="s">
        <v>448</v>
      </c>
      <c r="X5" s="2879" t="s">
        <v>191</v>
      </c>
      <c r="Y5" s="2880" t="s">
        <v>76</v>
      </c>
      <c r="Z5" s="2881" t="s">
        <v>448</v>
      </c>
      <c r="AA5" s="2879" t="s">
        <v>191</v>
      </c>
      <c r="AB5" s="2880" t="s">
        <v>76</v>
      </c>
      <c r="AC5" s="2881" t="s">
        <v>448</v>
      </c>
      <c r="AD5" s="2879" t="s">
        <v>191</v>
      </c>
      <c r="AE5" s="2880" t="s">
        <v>76</v>
      </c>
      <c r="AF5" s="2881" t="s">
        <v>448</v>
      </c>
      <c r="AG5" s="2879" t="s">
        <v>191</v>
      </c>
      <c r="AH5" s="2880" t="s">
        <v>76</v>
      </c>
      <c r="AI5" s="3724" t="s">
        <v>448</v>
      </c>
    </row>
    <row r="6" spans="1:38" ht="15" customHeight="1">
      <c r="B6" s="1880">
        <v>1</v>
      </c>
      <c r="C6" s="2906" t="s">
        <v>619</v>
      </c>
      <c r="D6" s="2827">
        <v>141335</v>
      </c>
      <c r="E6" s="2828">
        <v>0.39586198397338046</v>
      </c>
      <c r="F6" s="2829">
        <v>186400</v>
      </c>
      <c r="G6" s="2830">
        <v>48.81</v>
      </c>
      <c r="H6" s="2831">
        <f>F6/D6-1</f>
        <v>0.31885237202391492</v>
      </c>
      <c r="I6" s="2832">
        <v>251362</v>
      </c>
      <c r="J6" s="2833">
        <f>(I6/I31)*100</f>
        <v>49.867278231646104</v>
      </c>
      <c r="K6" s="2831">
        <f>I6/F6-1</f>
        <v>0.34850858369098714</v>
      </c>
      <c r="L6" s="2832">
        <v>417719</v>
      </c>
      <c r="M6" s="2833">
        <f>L6/$L$31*100</f>
        <v>61.610290235132048</v>
      </c>
      <c r="N6" s="2831">
        <f>L6/I6-1</f>
        <v>0.66182239161050593</v>
      </c>
      <c r="O6" s="2832">
        <v>314421</v>
      </c>
      <c r="P6" s="2833">
        <f t="shared" ref="P6:P26" si="0">O6/$O$31*100</f>
        <v>76.021837893774801</v>
      </c>
      <c r="Q6" s="2831">
        <f>O6/L6-1</f>
        <v>-0.24729064275266388</v>
      </c>
      <c r="R6" s="2832">
        <v>382020</v>
      </c>
      <c r="S6" s="2833">
        <f>R6/$R$31*100</f>
        <v>45.367690632299869</v>
      </c>
      <c r="T6" s="2831">
        <f>R6/O6-1</f>
        <v>0.21499518161954834</v>
      </c>
      <c r="U6" s="2832">
        <v>445896</v>
      </c>
      <c r="V6" s="2833">
        <f>U6/$U$31*100</f>
        <v>38.773093197126293</v>
      </c>
      <c r="W6" s="2831">
        <f>U6/R6-1</f>
        <v>0.16720590544997638</v>
      </c>
      <c r="X6" s="2834">
        <v>372734</v>
      </c>
      <c r="Y6" s="2835">
        <f>X6/$X$31*100</f>
        <v>46.669162473252506</v>
      </c>
      <c r="Z6" s="2836">
        <f>X6/U6-1</f>
        <v>-0.1640786192295961</v>
      </c>
      <c r="AA6" s="2834">
        <v>211973</v>
      </c>
      <c r="AB6" s="2835">
        <f>AA6/$AA$31*100</f>
        <v>31.899671782801782</v>
      </c>
      <c r="AC6" s="2836">
        <f>AA6/X6-1</f>
        <v>-0.43130221552098813</v>
      </c>
      <c r="AD6" s="2834">
        <v>144836</v>
      </c>
      <c r="AE6" s="2835">
        <f>AD6/$AD$31*100</f>
        <v>26.968911531185295</v>
      </c>
      <c r="AF6" s="2836">
        <f>AD6/AA6-1</f>
        <v>-0.31672429979289818</v>
      </c>
      <c r="AG6" s="2834">
        <v>169377</v>
      </c>
      <c r="AH6" s="2835">
        <f>AG6/$AG$31*100</f>
        <v>19.040344256600669</v>
      </c>
      <c r="AI6" s="2836">
        <f>AG6/AD6-1</f>
        <v>0.16943991825236826</v>
      </c>
      <c r="AJ6" s="7625" t="s">
        <v>2535</v>
      </c>
      <c r="AK6" s="7626"/>
      <c r="AL6" s="7626"/>
    </row>
    <row r="7" spans="1:38" ht="21" customHeight="1">
      <c r="B7" s="1881">
        <v>2</v>
      </c>
      <c r="C7" s="2851" t="s">
        <v>371</v>
      </c>
      <c r="D7" s="2837">
        <v>33416</v>
      </c>
      <c r="E7" s="2838">
        <v>9.3594113676403454E-2</v>
      </c>
      <c r="F7" s="2839">
        <v>43192</v>
      </c>
      <c r="G7" s="2840">
        <v>11.31</v>
      </c>
      <c r="H7" s="2841">
        <f>F7/D7-1</f>
        <v>0.29255446492698112</v>
      </c>
      <c r="I7" s="2842">
        <v>59571</v>
      </c>
      <c r="J7" s="2843">
        <f>(I7/I31)*100</f>
        <v>11.818189032301582</v>
      </c>
      <c r="K7" s="2841">
        <f t="shared" ref="K7:K31" si="1">I7/F7-1</f>
        <v>0.3792137432857936</v>
      </c>
      <c r="L7" s="2842">
        <v>73937</v>
      </c>
      <c r="M7" s="2843">
        <f>L7/$L$31*100</f>
        <v>10.905130073362615</v>
      </c>
      <c r="N7" s="2841">
        <f t="shared" ref="N7:N31" si="2">L7/I7-1</f>
        <v>0.24115761024659643</v>
      </c>
      <c r="O7" s="2842">
        <v>30888</v>
      </c>
      <c r="P7" s="2843">
        <f t="shared" si="0"/>
        <v>7.4682115026124718</v>
      </c>
      <c r="Q7" s="2841">
        <f t="shared" ref="Q7:Q26" si="3">O7/L7-1</f>
        <v>-0.58223893314578623</v>
      </c>
      <c r="R7" s="2842">
        <v>61997</v>
      </c>
      <c r="S7" s="2843">
        <f t="shared" ref="S7:S27" si="4">R7/$R$31*100</f>
        <v>7.3626006914054107</v>
      </c>
      <c r="T7" s="2841">
        <f t="shared" ref="T7:T12" si="5">R7/O7-1</f>
        <v>1.0071548821548824</v>
      </c>
      <c r="U7" s="2842">
        <v>68309</v>
      </c>
      <c r="V7" s="2843">
        <f t="shared" ref="V7:V27" si="6">U7/$U$31*100</f>
        <v>5.9398407323736926</v>
      </c>
      <c r="W7" s="2841">
        <f>U7/R7-1</f>
        <v>0.1018113779699017</v>
      </c>
      <c r="X7" s="2844">
        <v>52398</v>
      </c>
      <c r="Y7" s="2845">
        <f t="shared" ref="Y7:Y27" si="7">X7/$X$31*100</f>
        <v>6.5606324490749035</v>
      </c>
      <c r="Z7" s="2846">
        <f>X7/U7-1</f>
        <v>-0.23292684712116996</v>
      </c>
      <c r="AA7" s="2844">
        <v>66874</v>
      </c>
      <c r="AB7" s="2845">
        <f t="shared" ref="AB7:AB26" si="8">AA7/$AA$31*100</f>
        <v>10.063822518920269</v>
      </c>
      <c r="AC7" s="2846">
        <f>AA7/X7-1</f>
        <v>0.27627008664452846</v>
      </c>
      <c r="AD7" s="2844">
        <v>95979</v>
      </c>
      <c r="AE7" s="2845">
        <f t="shared" ref="AE7:AE28" si="9">AD7/$AD$31*100</f>
        <v>17.871586897260581</v>
      </c>
      <c r="AF7" s="2846">
        <f>AD7/AA7-1</f>
        <v>0.43522146125549543</v>
      </c>
      <c r="AG7" s="2844">
        <v>84488</v>
      </c>
      <c r="AH7" s="2845">
        <f t="shared" ref="AH7:AH29" si="10">AG7/$AG$31*100</f>
        <v>9.4976331234564153</v>
      </c>
      <c r="AI7" s="2846">
        <f>AG7/AD7-1</f>
        <v>-0.11972410631492303</v>
      </c>
      <c r="AJ7" s="7625"/>
      <c r="AK7" s="7626"/>
      <c r="AL7" s="7626"/>
    </row>
    <row r="8" spans="1:38" ht="28.8">
      <c r="B8" s="1881">
        <v>3</v>
      </c>
      <c r="C8" s="2851" t="s">
        <v>618</v>
      </c>
      <c r="D8" s="2837">
        <v>20880</v>
      </c>
      <c r="E8" s="2838">
        <v>5.848231666157841E-2</v>
      </c>
      <c r="F8" s="2839">
        <v>15020</v>
      </c>
      <c r="G8" s="2840">
        <v>3.93</v>
      </c>
      <c r="H8" s="2841">
        <f>F8/D8-1</f>
        <v>-0.28065134099616862</v>
      </c>
      <c r="I8" s="2842">
        <v>16997</v>
      </c>
      <c r="J8" s="2843">
        <f>(I8/I31)*100</f>
        <v>3.3720058246802971</v>
      </c>
      <c r="K8" s="2841">
        <f>I8/F8-1</f>
        <v>0.13162450066577902</v>
      </c>
      <c r="L8" s="2842">
        <v>65478</v>
      </c>
      <c r="M8" s="2843">
        <f>L8/$L$31*100</f>
        <v>9.6574936357119885</v>
      </c>
      <c r="N8" s="2841">
        <f>L8/I8-1</f>
        <v>2.8523268812143319</v>
      </c>
      <c r="O8" s="2842">
        <v>12816</v>
      </c>
      <c r="P8" s="2843">
        <f t="shared" si="0"/>
        <v>3.0986984789394407</v>
      </c>
      <c r="Q8" s="2841">
        <f>O8/L8-1</f>
        <v>-0.80427013653440849</v>
      </c>
      <c r="R8" s="2842">
        <v>115153</v>
      </c>
      <c r="S8" s="2843">
        <f t="shared" si="4"/>
        <v>13.675267471287436</v>
      </c>
      <c r="T8" s="2841">
        <f>R8/O8-1</f>
        <v>7.9850967540574285</v>
      </c>
      <c r="U8" s="2842">
        <v>83690</v>
      </c>
      <c r="V8" s="2843">
        <f t="shared" si="6"/>
        <v>7.2773027110974304</v>
      </c>
      <c r="W8" s="2841">
        <f>U8/R8-1</f>
        <v>-0.27322779258899033</v>
      </c>
      <c r="X8" s="2844">
        <v>68235</v>
      </c>
      <c r="Y8" s="2845">
        <f t="shared" si="7"/>
        <v>8.5435466079359124</v>
      </c>
      <c r="Z8" s="2846">
        <f>X8/U8-1</f>
        <v>-0.184669614051858</v>
      </c>
      <c r="AA8" s="2844">
        <v>80346</v>
      </c>
      <c r="AB8" s="2845">
        <f t="shared" si="8"/>
        <v>12.091214584220593</v>
      </c>
      <c r="AC8" s="2846">
        <f>AA8/X8-1</f>
        <v>0.17748955814464717</v>
      </c>
      <c r="AD8" s="2844">
        <v>50124</v>
      </c>
      <c r="AE8" s="2845">
        <f t="shared" si="9"/>
        <v>9.3332439558475215</v>
      </c>
      <c r="AF8" s="2846">
        <f>AD8/AA8-1</f>
        <v>-0.37614815921141065</v>
      </c>
      <c r="AG8" s="2844">
        <v>34383</v>
      </c>
      <c r="AH8" s="2845">
        <f t="shared" si="10"/>
        <v>3.8651301922616463</v>
      </c>
      <c r="AI8" s="2846">
        <f>AG8/AD8-1</f>
        <v>-0.31404117787886043</v>
      </c>
      <c r="AJ8" s="7625"/>
      <c r="AK8" s="7626"/>
      <c r="AL8" s="7626"/>
    </row>
    <row r="9" spans="1:38">
      <c r="B9" s="1881"/>
      <c r="C9" s="2907" t="s">
        <v>614</v>
      </c>
      <c r="D9" s="2847"/>
      <c r="E9" s="2848"/>
      <c r="F9" s="2839">
        <v>4749</v>
      </c>
      <c r="G9" s="2840">
        <v>1.24</v>
      </c>
      <c r="H9" s="2841"/>
      <c r="I9" s="2842">
        <v>12349</v>
      </c>
      <c r="J9" s="2843">
        <f>(I9/I31)*100</f>
        <v>2.4498970364756718</v>
      </c>
      <c r="K9" s="2841">
        <f>I9/F9-1</f>
        <v>1.6003369130343228</v>
      </c>
      <c r="L9" s="2842"/>
      <c r="M9" s="2843"/>
      <c r="N9" s="2841"/>
      <c r="O9" s="2842"/>
      <c r="P9" s="2843"/>
      <c r="Q9" s="2841"/>
      <c r="R9" s="2842"/>
      <c r="S9" s="2843"/>
      <c r="T9" s="2841"/>
      <c r="U9" s="2842"/>
      <c r="V9" s="2843"/>
      <c r="W9" s="2841"/>
      <c r="X9" s="2844"/>
      <c r="Y9" s="2845"/>
      <c r="Z9" s="2846"/>
      <c r="AA9" s="2844"/>
      <c r="AB9" s="2845"/>
      <c r="AC9" s="2846"/>
      <c r="AD9" s="2844"/>
      <c r="AE9" s="2845"/>
      <c r="AF9" s="2846"/>
      <c r="AG9" s="2844"/>
      <c r="AH9" s="2845"/>
      <c r="AI9" s="2846"/>
      <c r="AJ9" s="7625"/>
      <c r="AK9" s="7626"/>
      <c r="AL9" s="7626"/>
    </row>
    <row r="10" spans="1:38">
      <c r="B10" s="1881">
        <v>4</v>
      </c>
      <c r="C10" s="2851" t="s">
        <v>368</v>
      </c>
      <c r="D10" s="2837">
        <v>27220</v>
      </c>
      <c r="E10" s="2838">
        <v>7.6239878329892916E-2</v>
      </c>
      <c r="F10" s="2839">
        <v>28820</v>
      </c>
      <c r="G10" s="2840">
        <v>7.55</v>
      </c>
      <c r="H10" s="2841">
        <f>F10/D10-1</f>
        <v>5.878030859662009E-2</v>
      </c>
      <c r="I10" s="2842">
        <v>46252</v>
      </c>
      <c r="J10" s="2843">
        <f>(I10/I31)*100</f>
        <v>9.1758553511274403</v>
      </c>
      <c r="K10" s="2841">
        <f t="shared" si="1"/>
        <v>0.60485773768216511</v>
      </c>
      <c r="L10" s="2842">
        <v>30824</v>
      </c>
      <c r="M10" s="2843">
        <f t="shared" ref="M10:M26" si="11">L10/$L$31*100</f>
        <v>4.5462992734534708</v>
      </c>
      <c r="N10" s="2841">
        <f t="shared" si="2"/>
        <v>-0.33356395399117877</v>
      </c>
      <c r="O10" s="2842">
        <v>20776</v>
      </c>
      <c r="P10" s="2843">
        <f t="shared" si="0"/>
        <v>5.0232958488175568</v>
      </c>
      <c r="Q10" s="2841">
        <f t="shared" si="3"/>
        <v>-0.32597975603425899</v>
      </c>
      <c r="R10" s="2842">
        <v>166030</v>
      </c>
      <c r="S10" s="2843">
        <f t="shared" si="4"/>
        <v>19.717286204075041</v>
      </c>
      <c r="T10" s="2841">
        <f t="shared" si="5"/>
        <v>6.9914324220254143</v>
      </c>
      <c r="U10" s="2842">
        <v>328614</v>
      </c>
      <c r="V10" s="2843">
        <f t="shared" si="6"/>
        <v>28.574782567864393</v>
      </c>
      <c r="W10" s="2841">
        <f t="shared" ref="W10:W22" si="12">U10/R10-1</f>
        <v>0.97924471481057651</v>
      </c>
      <c r="X10" s="2844">
        <v>186308</v>
      </c>
      <c r="Y10" s="2845">
        <f t="shared" si="7"/>
        <v>23.327193983019335</v>
      </c>
      <c r="Z10" s="2846">
        <f t="shared" ref="Z10:Z22" si="13">X10/U10-1</f>
        <v>-0.43304910928931817</v>
      </c>
      <c r="AA10" s="2844">
        <v>86316</v>
      </c>
      <c r="AB10" s="2845">
        <f t="shared" si="8"/>
        <v>12.989635800806321</v>
      </c>
      <c r="AC10" s="2846">
        <f t="shared" ref="AC10:AC22" si="14">AA10/X10-1</f>
        <v>-0.53670266440517844</v>
      </c>
      <c r="AD10" s="2844">
        <v>71249</v>
      </c>
      <c r="AE10" s="2845">
        <f t="shared" si="9"/>
        <v>13.266784347022986</v>
      </c>
      <c r="AF10" s="2846">
        <f t="shared" ref="AF10:AF27" si="15">AD10/AA10-1</f>
        <v>-0.17455628157004499</v>
      </c>
      <c r="AG10" s="2844">
        <v>74436</v>
      </c>
      <c r="AH10" s="2845">
        <f t="shared" si="10"/>
        <v>8.367647703550821</v>
      </c>
      <c r="AI10" s="2846">
        <f t="shared" ref="AI10:AI22" si="16">AG10/AD10-1</f>
        <v>4.4730452357226058E-2</v>
      </c>
      <c r="AJ10" s="7625"/>
      <c r="AK10" s="7626"/>
      <c r="AL10" s="7626"/>
    </row>
    <row r="11" spans="1:38">
      <c r="B11" s="1881">
        <v>5</v>
      </c>
      <c r="C11" s="2851" t="s">
        <v>617</v>
      </c>
      <c r="D11" s="2847"/>
      <c r="E11" s="2848"/>
      <c r="F11" s="2839">
        <v>20565</v>
      </c>
      <c r="G11" s="2840">
        <v>5.39</v>
      </c>
      <c r="H11" s="2841"/>
      <c r="I11" s="2842">
        <v>24319</v>
      </c>
      <c r="J11" s="2843">
        <f>(I11/I31)*100</f>
        <v>4.8246049097134875</v>
      </c>
      <c r="K11" s="2841">
        <f t="shared" si="1"/>
        <v>0.1825431558473134</v>
      </c>
      <c r="L11" s="2842">
        <v>20982</v>
      </c>
      <c r="M11" s="2843">
        <f t="shared" si="11"/>
        <v>3.0946811366338154</v>
      </c>
      <c r="N11" s="2841">
        <f t="shared" si="2"/>
        <v>-0.13721781323245197</v>
      </c>
      <c r="O11" s="2842">
        <v>9805</v>
      </c>
      <c r="P11" s="2843">
        <f t="shared" si="0"/>
        <v>2.3706880919164495</v>
      </c>
      <c r="Q11" s="2841">
        <f t="shared" si="3"/>
        <v>-0.53269469068725572</v>
      </c>
      <c r="R11" s="2842">
        <v>34045</v>
      </c>
      <c r="S11" s="2843">
        <f t="shared" si="4"/>
        <v>4.0430946745632399</v>
      </c>
      <c r="T11" s="2841">
        <f t="shared" si="5"/>
        <v>2.4722080571137175</v>
      </c>
      <c r="U11" s="2842">
        <v>27193</v>
      </c>
      <c r="V11" s="2843">
        <f t="shared" si="6"/>
        <v>2.3645799094619715</v>
      </c>
      <c r="W11" s="2841">
        <f t="shared" si="12"/>
        <v>-0.20126303421941549</v>
      </c>
      <c r="X11" s="2844">
        <v>29308</v>
      </c>
      <c r="Y11" s="2845">
        <f t="shared" si="7"/>
        <v>3.6695869273156849</v>
      </c>
      <c r="Z11" s="2846">
        <f t="shared" si="13"/>
        <v>7.7777369175890954E-2</v>
      </c>
      <c r="AA11" s="2844">
        <v>38302</v>
      </c>
      <c r="AB11" s="2845">
        <f t="shared" si="8"/>
        <v>5.7640417818536971</v>
      </c>
      <c r="AC11" s="2846">
        <f t="shared" si="14"/>
        <v>0.30687866794049401</v>
      </c>
      <c r="AD11" s="2844">
        <v>34136</v>
      </c>
      <c r="AE11" s="2845">
        <f t="shared" si="9"/>
        <v>6.3562288659486681</v>
      </c>
      <c r="AF11" s="2846">
        <f t="shared" si="15"/>
        <v>-0.10876716620542004</v>
      </c>
      <c r="AG11" s="2844">
        <v>52114</v>
      </c>
      <c r="AH11" s="2845">
        <f t="shared" si="10"/>
        <v>5.8583426355909438</v>
      </c>
      <c r="AI11" s="2846">
        <f t="shared" si="16"/>
        <v>0.52665807358800087</v>
      </c>
      <c r="AJ11" s="7625"/>
      <c r="AK11" s="7626"/>
      <c r="AL11" s="7626"/>
    </row>
    <row r="12" spans="1:38">
      <c r="B12" s="1881">
        <v>6</v>
      </c>
      <c r="C12" s="2851" t="s">
        <v>376</v>
      </c>
      <c r="D12" s="2837">
        <v>18995</v>
      </c>
      <c r="E12" s="2838">
        <v>5.3202663074074799E-2</v>
      </c>
      <c r="F12" s="2839">
        <v>17255</v>
      </c>
      <c r="G12" s="2840">
        <v>4.5199999999999996</v>
      </c>
      <c r="H12" s="2841">
        <f>F12/D12-1</f>
        <v>-9.1603053435114545E-2</v>
      </c>
      <c r="I12" s="2842">
        <v>22165</v>
      </c>
      <c r="J12" s="2843">
        <f>(I12/I31)*100</f>
        <v>4.3972765255067836</v>
      </c>
      <c r="K12" s="2841">
        <f t="shared" si="1"/>
        <v>0.28455520139090118</v>
      </c>
      <c r="L12" s="2842">
        <v>19876</v>
      </c>
      <c r="M12" s="2843">
        <f t="shared" si="11"/>
        <v>2.9315547741747072</v>
      </c>
      <c r="N12" s="2841">
        <f t="shared" si="2"/>
        <v>-0.10327092262576132</v>
      </c>
      <c r="O12" s="2842">
        <v>3670</v>
      </c>
      <c r="P12" s="2843">
        <f t="shared" si="0"/>
        <v>0.88734577229305134</v>
      </c>
      <c r="Q12" s="2841">
        <f t="shared" si="3"/>
        <v>-0.81535520225397462</v>
      </c>
      <c r="R12" s="2842">
        <v>18529</v>
      </c>
      <c r="S12" s="2843">
        <f t="shared" si="4"/>
        <v>2.2004553157580342</v>
      </c>
      <c r="T12" s="2841">
        <f t="shared" si="5"/>
        <v>4.0487738419618529</v>
      </c>
      <c r="U12" s="2842">
        <v>8754</v>
      </c>
      <c r="V12" s="2843">
        <f t="shared" si="6"/>
        <v>0.76120812442283303</v>
      </c>
      <c r="W12" s="2841">
        <f t="shared" si="12"/>
        <v>-0.5275514059042582</v>
      </c>
      <c r="X12" s="2844">
        <v>3135</v>
      </c>
      <c r="Y12" s="2845">
        <f t="shared" si="7"/>
        <v>0.39252610267280852</v>
      </c>
      <c r="Z12" s="2846">
        <f t="shared" si="13"/>
        <v>-0.64187799862919803</v>
      </c>
      <c r="AA12" s="2844">
        <v>14341</v>
      </c>
      <c r="AB12" s="2845">
        <f t="shared" si="8"/>
        <v>2.1581672809138914</v>
      </c>
      <c r="AC12" s="2846">
        <f t="shared" si="14"/>
        <v>3.5744816586921848</v>
      </c>
      <c r="AD12" s="2844">
        <v>18840</v>
      </c>
      <c r="AE12" s="2845">
        <f t="shared" si="9"/>
        <v>3.5080663180944724</v>
      </c>
      <c r="AF12" s="2846">
        <f t="shared" si="15"/>
        <v>0.3137159193919532</v>
      </c>
      <c r="AG12" s="2844">
        <v>44293</v>
      </c>
      <c r="AH12" s="2845">
        <f t="shared" si="10"/>
        <v>4.979152825694241</v>
      </c>
      <c r="AI12" s="2846">
        <f t="shared" si="16"/>
        <v>1.3510084925690022</v>
      </c>
      <c r="AJ12" s="7625"/>
      <c r="AK12" s="7626"/>
      <c r="AL12" s="7626"/>
    </row>
    <row r="13" spans="1:38">
      <c r="B13" s="1881">
        <v>7</v>
      </c>
      <c r="C13" s="2851" t="s">
        <v>370</v>
      </c>
      <c r="D13" s="2837">
        <v>13349</v>
      </c>
      <c r="E13" s="2838">
        <v>3.7388910206676729E-2</v>
      </c>
      <c r="F13" s="2839">
        <v>22023</v>
      </c>
      <c r="G13" s="2840">
        <v>5.77</v>
      </c>
      <c r="H13" s="2841">
        <f>F13/D13-1</f>
        <v>0.64978650086148781</v>
      </c>
      <c r="I13" s="2842">
        <v>27875</v>
      </c>
      <c r="J13" s="2843">
        <f>(I13/I31)*100</f>
        <v>5.5300736814122073</v>
      </c>
      <c r="K13" s="2841">
        <f>I13/F13-1</f>
        <v>0.26572219951868492</v>
      </c>
      <c r="L13" s="2842">
        <v>15677</v>
      </c>
      <c r="M13" s="2843">
        <f t="shared" si="11"/>
        <v>2.3122350671531939</v>
      </c>
      <c r="N13" s="2841">
        <f>L13/I13-1</f>
        <v>-0.43759641255605386</v>
      </c>
      <c r="O13" s="2842">
        <v>3388</v>
      </c>
      <c r="P13" s="2843">
        <f t="shared" si="0"/>
        <v>0.81916280014410303</v>
      </c>
      <c r="Q13" s="2841">
        <f>O13/L13-1</f>
        <v>-0.78388722332078842</v>
      </c>
      <c r="R13" s="2842">
        <v>3337</v>
      </c>
      <c r="S13" s="2843">
        <f t="shared" si="4"/>
        <v>0.39629334495572127</v>
      </c>
      <c r="T13" s="2841">
        <f>R13/O13-1</f>
        <v>-1.5053128689492379E-2</v>
      </c>
      <c r="U13" s="2842">
        <v>3726</v>
      </c>
      <c r="V13" s="2843">
        <f t="shared" si="6"/>
        <v>0.32399605570019147</v>
      </c>
      <c r="W13" s="2841">
        <f t="shared" si="12"/>
        <v>0.11657177105184302</v>
      </c>
      <c r="X13" s="2844">
        <v>2203</v>
      </c>
      <c r="Y13" s="2845">
        <f t="shared" si="7"/>
        <v>0.27583253722111556</v>
      </c>
      <c r="Z13" s="2846">
        <f t="shared" si="13"/>
        <v>-0.40874932903918415</v>
      </c>
      <c r="AA13" s="2844">
        <v>9645</v>
      </c>
      <c r="AB13" s="2845">
        <f t="shared" si="8"/>
        <v>1.4514694529261896</v>
      </c>
      <c r="AC13" s="2846">
        <f t="shared" si="14"/>
        <v>3.3781207444394008</v>
      </c>
      <c r="AD13" s="2844">
        <v>14126</v>
      </c>
      <c r="AE13" s="2845">
        <f t="shared" si="9"/>
        <v>2.6303049261890932</v>
      </c>
      <c r="AF13" s="2846">
        <f t="shared" si="15"/>
        <v>0.4645930533955418</v>
      </c>
      <c r="AG13" s="2844">
        <v>12420</v>
      </c>
      <c r="AH13" s="2845">
        <f t="shared" si="10"/>
        <v>1.396181746441254</v>
      </c>
      <c r="AI13" s="2846">
        <f t="shared" si="16"/>
        <v>-0.12077021095851626</v>
      </c>
      <c r="AJ13" s="7625"/>
      <c r="AK13" s="7626"/>
      <c r="AL13" s="7626"/>
    </row>
    <row r="14" spans="1:38">
      <c r="B14" s="1881">
        <v>8</v>
      </c>
      <c r="C14" s="2851" t="s">
        <v>369</v>
      </c>
      <c r="D14" s="2837">
        <v>24509</v>
      </c>
      <c r="E14" s="2838">
        <v>6.8646700146485884E-2</v>
      </c>
      <c r="F14" s="2839">
        <v>16911</v>
      </c>
      <c r="G14" s="2840">
        <v>4.43</v>
      </c>
      <c r="H14" s="2841">
        <f>F14/D14-1</f>
        <v>-0.31000856828103962</v>
      </c>
      <c r="I14" s="2842">
        <v>19255</v>
      </c>
      <c r="J14" s="2843">
        <f>(I14/I31)*100</f>
        <v>3.8199665914113736</v>
      </c>
      <c r="K14" s="2841">
        <f>I14/F14-1</f>
        <v>0.13860800662290806</v>
      </c>
      <c r="L14" s="2842">
        <v>9533</v>
      </c>
      <c r="M14" s="2843">
        <f t="shared" si="11"/>
        <v>1.4060430500205012</v>
      </c>
      <c r="N14" s="2841">
        <f>L14/I14-1</f>
        <v>-0.50490781615164892</v>
      </c>
      <c r="O14" s="2842">
        <v>5138</v>
      </c>
      <c r="P14" s="2843">
        <f t="shared" si="0"/>
        <v>1.242284081210272</v>
      </c>
      <c r="Q14" s="2841">
        <f>O14/L14-1</f>
        <v>-0.46103010594776039</v>
      </c>
      <c r="R14" s="2842">
        <v>39569</v>
      </c>
      <c r="S14" s="2843">
        <f t="shared" si="4"/>
        <v>4.6991103885384886</v>
      </c>
      <c r="T14" s="2841">
        <f>R14/O14-1</f>
        <v>6.7012456208641495</v>
      </c>
      <c r="U14" s="2842">
        <v>144836</v>
      </c>
      <c r="V14" s="2843">
        <f t="shared" si="6"/>
        <v>12.594281460921344</v>
      </c>
      <c r="W14" s="2841">
        <f t="shared" si="12"/>
        <v>2.6603401652809016</v>
      </c>
      <c r="X14" s="2844">
        <v>29418</v>
      </c>
      <c r="Y14" s="2845">
        <f t="shared" si="7"/>
        <v>3.6833597730235028</v>
      </c>
      <c r="Z14" s="2846">
        <f t="shared" si="13"/>
        <v>-0.79688751415393966</v>
      </c>
      <c r="AA14" s="2844">
        <v>32308</v>
      </c>
      <c r="AB14" s="2845">
        <f t="shared" si="8"/>
        <v>4.8620088216837045</v>
      </c>
      <c r="AC14" s="2846">
        <f t="shared" si="14"/>
        <v>9.8239173295261439E-2</v>
      </c>
      <c r="AD14" s="2844">
        <v>12980</v>
      </c>
      <c r="AE14" s="2845">
        <f t="shared" si="9"/>
        <v>2.4169161788145566</v>
      </c>
      <c r="AF14" s="2846">
        <f t="shared" si="15"/>
        <v>-0.59824192150550948</v>
      </c>
      <c r="AG14" s="2844">
        <v>13990</v>
      </c>
      <c r="AH14" s="2845">
        <f t="shared" si="10"/>
        <v>1.5726717095582241</v>
      </c>
      <c r="AI14" s="2846">
        <f t="shared" si="16"/>
        <v>7.7812018489984647E-2</v>
      </c>
      <c r="AJ14" s="7625"/>
      <c r="AK14" s="7626"/>
      <c r="AL14" s="7626"/>
    </row>
    <row r="15" spans="1:38">
      <c r="B15" s="1881">
        <v>9</v>
      </c>
      <c r="C15" s="2851" t="s">
        <v>193</v>
      </c>
      <c r="D15" s="2847"/>
      <c r="E15" s="2848"/>
      <c r="F15" s="2839">
        <v>2247</v>
      </c>
      <c r="G15" s="2840">
        <v>0.59</v>
      </c>
      <c r="H15" s="2841"/>
      <c r="I15" s="2842">
        <v>1967</v>
      </c>
      <c r="J15" s="2843">
        <f>(I15/I31)*100</f>
        <v>0.39022977332153586</v>
      </c>
      <c r="K15" s="2841">
        <f>I15/F15-1</f>
        <v>-0.12461059190031154</v>
      </c>
      <c r="L15" s="2842">
        <v>4379</v>
      </c>
      <c r="M15" s="2843">
        <f t="shared" si="11"/>
        <v>0.64586830127344752</v>
      </c>
      <c r="N15" s="2841">
        <f>L15/I15-1</f>
        <v>1.2262328418912047</v>
      </c>
      <c r="O15" s="2842">
        <v>3658</v>
      </c>
      <c r="P15" s="2843">
        <f t="shared" si="0"/>
        <v>0.88444436922288339</v>
      </c>
      <c r="Q15" s="2841">
        <f>O15/L15-1</f>
        <v>-0.16464946334779629</v>
      </c>
      <c r="R15" s="2842">
        <v>3983</v>
      </c>
      <c r="S15" s="2843">
        <f t="shared" si="4"/>
        <v>0.47301060622074859</v>
      </c>
      <c r="T15" s="2841">
        <f>R15/O15-1</f>
        <v>8.8846364133406297E-2</v>
      </c>
      <c r="U15" s="2842">
        <v>6146</v>
      </c>
      <c r="V15" s="2843">
        <f t="shared" si="6"/>
        <v>0.53442827652532932</v>
      </c>
      <c r="W15" s="2841">
        <f t="shared" si="12"/>
        <v>0.54305799648506148</v>
      </c>
      <c r="X15" s="2844">
        <v>10501</v>
      </c>
      <c r="Y15" s="2845">
        <f t="shared" si="7"/>
        <v>1.3148059343435925</v>
      </c>
      <c r="Z15" s="2846">
        <f t="shared" si="13"/>
        <v>0.70859095346566869</v>
      </c>
      <c r="AA15" s="2844">
        <v>5967</v>
      </c>
      <c r="AB15" s="2845">
        <f t="shared" si="8"/>
        <v>0.89796974863769541</v>
      </c>
      <c r="AC15" s="2846">
        <f t="shared" si="14"/>
        <v>-0.43176840300923724</v>
      </c>
      <c r="AD15" s="2844">
        <v>6630</v>
      </c>
      <c r="AE15" s="2845">
        <f t="shared" si="9"/>
        <v>1.2345265227689144</v>
      </c>
      <c r="AF15" s="2846">
        <f t="shared" si="15"/>
        <v>0.11111111111111116</v>
      </c>
      <c r="AG15" s="2844">
        <v>1731</v>
      </c>
      <c r="AH15" s="2845">
        <f t="shared" si="10"/>
        <v>0.19458861538565306</v>
      </c>
      <c r="AI15" s="2846">
        <f t="shared" si="16"/>
        <v>-0.73891402714932131</v>
      </c>
      <c r="AJ15" s="7625"/>
      <c r="AK15" s="7626"/>
      <c r="AL15" s="7626"/>
    </row>
    <row r="16" spans="1:38">
      <c r="B16" s="1881">
        <v>10</v>
      </c>
      <c r="C16" s="2851" t="s">
        <v>375</v>
      </c>
      <c r="D16" s="2847"/>
      <c r="E16" s="2848"/>
      <c r="F16" s="2839">
        <v>2691</v>
      </c>
      <c r="G16" s="2840">
        <v>0.7</v>
      </c>
      <c r="H16" s="2841"/>
      <c r="I16" s="2842">
        <v>2552</v>
      </c>
      <c r="J16" s="2843">
        <f>(I16/I31)*100</f>
        <v>0.50628692502112838</v>
      </c>
      <c r="K16" s="2841">
        <f>I16/F16-1</f>
        <v>-5.1653660349312513E-2</v>
      </c>
      <c r="L16" s="2842">
        <v>3355</v>
      </c>
      <c r="M16" s="2843">
        <f t="shared" si="11"/>
        <v>0.49483629841799881</v>
      </c>
      <c r="N16" s="2841">
        <f>L16/I16-1</f>
        <v>0.31465517241379315</v>
      </c>
      <c r="O16" s="2842">
        <v>1078</v>
      </c>
      <c r="P16" s="2843">
        <f t="shared" si="0"/>
        <v>0.26064270913676008</v>
      </c>
      <c r="Q16" s="2841">
        <f>O16/L16-1</f>
        <v>-0.67868852459016393</v>
      </c>
      <c r="R16" s="2842">
        <v>847</v>
      </c>
      <c r="S16" s="2843">
        <f t="shared" si="4"/>
        <v>0.10058749271126639</v>
      </c>
      <c r="T16" s="2841">
        <f>R16/O16-1</f>
        <v>-0.2142857142857143</v>
      </c>
      <c r="U16" s="2842">
        <v>1514</v>
      </c>
      <c r="V16" s="2843">
        <f t="shared" si="6"/>
        <v>0.13165057121043744</v>
      </c>
      <c r="W16" s="2841">
        <f t="shared" si="12"/>
        <v>0.78748524203069659</v>
      </c>
      <c r="X16" s="2844">
        <v>1620</v>
      </c>
      <c r="Y16" s="2845">
        <f t="shared" si="7"/>
        <v>0.20283645496968097</v>
      </c>
      <c r="Z16" s="2846">
        <f t="shared" si="13"/>
        <v>7.0013210039630014E-2</v>
      </c>
      <c r="AA16" s="2844">
        <v>2697</v>
      </c>
      <c r="AB16" s="2845">
        <f t="shared" si="8"/>
        <v>0.40586968528169337</v>
      </c>
      <c r="AC16" s="2846">
        <f t="shared" si="14"/>
        <v>0.66481481481481475</v>
      </c>
      <c r="AD16" s="2844">
        <v>1660</v>
      </c>
      <c r="AE16" s="2845">
        <f t="shared" si="9"/>
        <v>0.30909713843082925</v>
      </c>
      <c r="AF16" s="2846">
        <f t="shared" si="15"/>
        <v>-0.38450129773822761</v>
      </c>
      <c r="AG16" s="2844">
        <v>1632</v>
      </c>
      <c r="AH16" s="2845">
        <f t="shared" si="10"/>
        <v>0.18345963045025176</v>
      </c>
      <c r="AI16" s="2846">
        <f t="shared" si="16"/>
        <v>-1.6867469879518038E-2</v>
      </c>
    </row>
    <row r="17" spans="2:35" ht="28.8">
      <c r="B17" s="1881">
        <v>11</v>
      </c>
      <c r="C17" s="2851" t="s">
        <v>616</v>
      </c>
      <c r="D17" s="2847"/>
      <c r="E17" s="2848"/>
      <c r="F17" s="2839">
        <v>3975</v>
      </c>
      <c r="G17" s="2840">
        <v>1.04</v>
      </c>
      <c r="H17" s="2841"/>
      <c r="I17" s="2842">
        <v>4353</v>
      </c>
      <c r="J17" s="2843">
        <f>(I17/I31)*100</f>
        <v>0.86358424162107039</v>
      </c>
      <c r="K17" s="2841">
        <f t="shared" si="1"/>
        <v>9.5094339622641577E-2</v>
      </c>
      <c r="L17" s="2842">
        <v>3097</v>
      </c>
      <c r="M17" s="2843">
        <f t="shared" si="11"/>
        <v>0.45678331332355948</v>
      </c>
      <c r="N17" s="2841">
        <f t="shared" si="2"/>
        <v>-0.28853664139673785</v>
      </c>
      <c r="O17" s="2842">
        <v>1245</v>
      </c>
      <c r="P17" s="2843">
        <f t="shared" si="0"/>
        <v>0.30102056852993164</v>
      </c>
      <c r="Q17" s="2841">
        <f t="shared" si="3"/>
        <v>-0.59799806264126576</v>
      </c>
      <c r="R17" s="2842">
        <v>7679</v>
      </c>
      <c r="S17" s="2843">
        <f t="shared" si="4"/>
        <v>0.91193784714263837</v>
      </c>
      <c r="T17" s="2841">
        <f t="shared" ref="T17:T31" si="17">R17/O17-1</f>
        <v>5.1678714859437749</v>
      </c>
      <c r="U17" s="2842">
        <v>17816</v>
      </c>
      <c r="V17" s="2843">
        <f t="shared" si="6"/>
        <v>1.5491985314961383</v>
      </c>
      <c r="W17" s="2841">
        <f t="shared" si="12"/>
        <v>1.3200937622086211</v>
      </c>
      <c r="X17" s="2844">
        <v>29270</v>
      </c>
      <c r="Y17" s="2845">
        <f t="shared" si="7"/>
        <v>3.6648290351620751</v>
      </c>
      <c r="Z17" s="2846">
        <f t="shared" si="13"/>
        <v>0.64290525370453522</v>
      </c>
      <c r="AA17" s="2844">
        <v>87833</v>
      </c>
      <c r="AB17" s="2845">
        <f t="shared" si="8"/>
        <v>13.217928093195026</v>
      </c>
      <c r="AC17" s="2846">
        <f t="shared" si="14"/>
        <v>2.0007857874957296</v>
      </c>
      <c r="AD17" s="2844">
        <v>18038</v>
      </c>
      <c r="AE17" s="2845">
        <f t="shared" si="9"/>
        <v>3.3587314355513849</v>
      </c>
      <c r="AF17" s="2846">
        <f t="shared" si="15"/>
        <v>-0.79463299670966492</v>
      </c>
      <c r="AG17" s="2844">
        <v>161383</v>
      </c>
      <c r="AH17" s="2845">
        <f t="shared" si="10"/>
        <v>18.141706826564324</v>
      </c>
      <c r="AI17" s="2846">
        <f t="shared" si="16"/>
        <v>7.9468344605832133</v>
      </c>
    </row>
    <row r="18" spans="2:35">
      <c r="B18" s="1881">
        <v>12</v>
      </c>
      <c r="C18" s="2851" t="s">
        <v>372</v>
      </c>
      <c r="D18" s="2847"/>
      <c r="E18" s="2848"/>
      <c r="F18" s="2839">
        <v>3523</v>
      </c>
      <c r="G18" s="2840">
        <v>0.92</v>
      </c>
      <c r="H18" s="2841"/>
      <c r="I18" s="2842">
        <v>3640</v>
      </c>
      <c r="J18" s="2843">
        <f>(I18/I31)*100</f>
        <v>0.72213338835301999</v>
      </c>
      <c r="K18" s="2841">
        <f t="shared" si="1"/>
        <v>3.3210332103321027E-2</v>
      </c>
      <c r="L18" s="2842">
        <v>2384</v>
      </c>
      <c r="M18" s="2843">
        <f t="shared" si="11"/>
        <v>0.35162138164784179</v>
      </c>
      <c r="N18" s="2841">
        <f t="shared" si="2"/>
        <v>-0.34505494505494505</v>
      </c>
      <c r="O18" s="2842">
        <v>1047</v>
      </c>
      <c r="P18" s="2843">
        <f t="shared" si="0"/>
        <v>0.25314741787215939</v>
      </c>
      <c r="Q18" s="2841">
        <f t="shared" si="3"/>
        <v>-0.56082214765100669</v>
      </c>
      <c r="R18" s="2842">
        <v>1481</v>
      </c>
      <c r="S18" s="2843">
        <f t="shared" si="4"/>
        <v>0.17587966553174209</v>
      </c>
      <c r="T18" s="2841">
        <f t="shared" si="17"/>
        <v>0.41451766953199609</v>
      </c>
      <c r="U18" s="2842">
        <v>733</v>
      </c>
      <c r="V18" s="2843">
        <f t="shared" si="6"/>
        <v>6.3738354489597512E-2</v>
      </c>
      <c r="W18" s="2841">
        <f t="shared" si="12"/>
        <v>-0.50506414584740034</v>
      </c>
      <c r="X18" s="2844">
        <v>1601</v>
      </c>
      <c r="Y18" s="2845">
        <f t="shared" si="7"/>
        <v>0.20045750889287603</v>
      </c>
      <c r="Z18" s="2846">
        <f t="shared" si="13"/>
        <v>1.1841746248294678</v>
      </c>
      <c r="AA18" s="2844">
        <v>2474</v>
      </c>
      <c r="AB18" s="2845">
        <f t="shared" si="8"/>
        <v>0.37231056781123822</v>
      </c>
      <c r="AC18" s="2846">
        <f t="shared" si="14"/>
        <v>0.54528419737663958</v>
      </c>
      <c r="AD18" s="2844">
        <v>2700</v>
      </c>
      <c r="AE18" s="2845">
        <f t="shared" si="9"/>
        <v>0.50274835768869819</v>
      </c>
      <c r="AF18" s="2846">
        <f t="shared" si="15"/>
        <v>9.1350040420371759E-2</v>
      </c>
      <c r="AG18" s="2844">
        <v>3328</v>
      </c>
      <c r="AH18" s="2845">
        <f t="shared" si="10"/>
        <v>0.3741137562122781</v>
      </c>
      <c r="AI18" s="2846">
        <f t="shared" si="16"/>
        <v>0.23259259259259268</v>
      </c>
    </row>
    <row r="19" spans="2:35">
      <c r="B19" s="1881">
        <v>13</v>
      </c>
      <c r="C19" s="2851" t="s">
        <v>192</v>
      </c>
      <c r="D19" s="2847"/>
      <c r="E19" s="2848"/>
      <c r="F19" s="2839">
        <v>3419</v>
      </c>
      <c r="G19" s="2840">
        <v>0.9</v>
      </c>
      <c r="H19" s="2841"/>
      <c r="I19" s="2842">
        <v>3313</v>
      </c>
      <c r="J19" s="2843">
        <f>(I19/I31)*100</f>
        <v>0.65726041637735044</v>
      </c>
      <c r="K19" s="2841">
        <f t="shared" si="1"/>
        <v>-3.1003217315004439E-2</v>
      </c>
      <c r="L19" s="2842">
        <v>2323</v>
      </c>
      <c r="M19" s="2843">
        <f t="shared" si="11"/>
        <v>0.34262435804024177</v>
      </c>
      <c r="N19" s="2841">
        <f t="shared" si="2"/>
        <v>-0.2988228191971023</v>
      </c>
      <c r="O19" s="2842">
        <v>759</v>
      </c>
      <c r="P19" s="2843">
        <f t="shared" si="0"/>
        <v>0.18351374418812696</v>
      </c>
      <c r="Q19" s="2841">
        <f t="shared" si="3"/>
        <v>-0.6732673267326732</v>
      </c>
      <c r="R19" s="2842">
        <v>402</v>
      </c>
      <c r="S19" s="2843">
        <f t="shared" si="4"/>
        <v>4.7740462892478262E-2</v>
      </c>
      <c r="T19" s="2841">
        <f t="shared" si="17"/>
        <v>-0.47035573122529639</v>
      </c>
      <c r="U19" s="2842">
        <v>3096</v>
      </c>
      <c r="V19" s="2843">
        <f t="shared" si="6"/>
        <v>0.26921411391513494</v>
      </c>
      <c r="W19" s="2841">
        <f t="shared" si="12"/>
        <v>6.7014925373134329</v>
      </c>
      <c r="X19" s="2844">
        <v>937</v>
      </c>
      <c r="Y19" s="2845">
        <f t="shared" si="7"/>
        <v>0.11731960389295745</v>
      </c>
      <c r="Z19" s="2846">
        <f t="shared" si="13"/>
        <v>-0.69735142118863047</v>
      </c>
      <c r="AA19" s="2844">
        <v>1159</v>
      </c>
      <c r="AB19" s="2845">
        <f t="shared" si="8"/>
        <v>0.17441711725676035</v>
      </c>
      <c r="AC19" s="2846">
        <f t="shared" si="14"/>
        <v>0.23692636072572038</v>
      </c>
      <c r="AD19" s="2844">
        <v>1044</v>
      </c>
      <c r="AE19" s="2845">
        <f t="shared" si="9"/>
        <v>0.19439603163962998</v>
      </c>
      <c r="AF19" s="2846">
        <f t="shared" si="15"/>
        <v>-9.9223468507333878E-2</v>
      </c>
      <c r="AG19" s="2844">
        <v>1973</v>
      </c>
      <c r="AH19" s="2845">
        <f t="shared" si="10"/>
        <v>0.22179280078330069</v>
      </c>
      <c r="AI19" s="2846">
        <f t="shared" si="16"/>
        <v>0.88984674329501923</v>
      </c>
    </row>
    <row r="20" spans="2:35">
      <c r="B20" s="1881">
        <v>14</v>
      </c>
      <c r="C20" s="2851" t="s">
        <v>615</v>
      </c>
      <c r="D20" s="2837">
        <v>71847</v>
      </c>
      <c r="E20" s="2838">
        <v>0.20123462668507777</v>
      </c>
      <c r="F20" s="2839"/>
      <c r="G20" s="2840"/>
      <c r="H20" s="2841">
        <f>F20/D20-1</f>
        <v>-1</v>
      </c>
      <c r="I20" s="2842"/>
      <c r="J20" s="2843"/>
      <c r="K20" s="2841"/>
      <c r="L20" s="2842">
        <v>2411</v>
      </c>
      <c r="M20" s="2843">
        <f t="shared" si="11"/>
        <v>0.35560367078563188</v>
      </c>
      <c r="N20" s="2841"/>
      <c r="O20" s="2842">
        <v>1059</v>
      </c>
      <c r="P20" s="2843">
        <f t="shared" si="0"/>
        <v>0.25604882094232734</v>
      </c>
      <c r="Q20" s="2841">
        <f>O20/L20-1</f>
        <v>-0.56076316880962263</v>
      </c>
      <c r="R20" s="2842">
        <v>737</v>
      </c>
      <c r="S20" s="2843">
        <f t="shared" si="4"/>
        <v>8.752418196954348E-2</v>
      </c>
      <c r="T20" s="2841">
        <f>R20/O20-1</f>
        <v>-0.3040604343720491</v>
      </c>
      <c r="U20" s="2842">
        <v>1105</v>
      </c>
      <c r="V20" s="2843">
        <f t="shared" si="6"/>
        <v>9.6085786781726135E-2</v>
      </c>
      <c r="W20" s="2841">
        <f t="shared" si="12"/>
        <v>0.49932157394843957</v>
      </c>
      <c r="X20" s="2844">
        <v>933</v>
      </c>
      <c r="Y20" s="2845">
        <f t="shared" si="7"/>
        <v>0.11681877313994588</v>
      </c>
      <c r="Z20" s="2846">
        <f t="shared" si="13"/>
        <v>-0.15565610859728507</v>
      </c>
      <c r="AA20" s="2844">
        <v>1115</v>
      </c>
      <c r="AB20" s="2845">
        <f t="shared" si="8"/>
        <v>0.16779558735227593</v>
      </c>
      <c r="AC20" s="2846">
        <f t="shared" si="14"/>
        <v>0.195069667738478</v>
      </c>
      <c r="AD20" s="2844">
        <v>1274</v>
      </c>
      <c r="AE20" s="2845">
        <f t="shared" si="9"/>
        <v>0.23722274359088946</v>
      </c>
      <c r="AF20" s="2846">
        <f t="shared" si="15"/>
        <v>0.14260089686098665</v>
      </c>
      <c r="AG20" s="2844">
        <v>1314</v>
      </c>
      <c r="AH20" s="2845">
        <f t="shared" si="10"/>
        <v>0.14771198186987183</v>
      </c>
      <c r="AI20" s="2846">
        <f t="shared" si="16"/>
        <v>3.1397174254317095E-2</v>
      </c>
    </row>
    <row r="21" spans="2:35">
      <c r="B21" s="1881">
        <v>15</v>
      </c>
      <c r="C21" s="2851" t="s">
        <v>373</v>
      </c>
      <c r="D21" s="2837">
        <v>5480</v>
      </c>
      <c r="E21" s="2838">
        <v>1.5348807246429582E-2</v>
      </c>
      <c r="F21" s="2839">
        <v>2446</v>
      </c>
      <c r="G21" s="2840">
        <v>0.64</v>
      </c>
      <c r="H21" s="2841">
        <f>F21/D21-1</f>
        <v>-0.55364963503649633</v>
      </c>
      <c r="I21" s="2842">
        <v>2297</v>
      </c>
      <c r="J21" s="2843">
        <f>(I21/I31)*100</f>
        <v>0.45569791017771621</v>
      </c>
      <c r="K21" s="2841">
        <f t="shared" si="1"/>
        <v>-6.0915780866721225E-2</v>
      </c>
      <c r="L21" s="2842">
        <v>1981</v>
      </c>
      <c r="M21" s="2843">
        <f t="shared" si="11"/>
        <v>0.29218202896156648</v>
      </c>
      <c r="N21" s="2841">
        <f t="shared" si="2"/>
        <v>-0.13757074444928163</v>
      </c>
      <c r="O21" s="2842">
        <v>1009</v>
      </c>
      <c r="P21" s="2843">
        <f t="shared" si="0"/>
        <v>0.24395964148329397</v>
      </c>
      <c r="Q21" s="2841">
        <f t="shared" si="3"/>
        <v>-0.49066128218071681</v>
      </c>
      <c r="R21" s="2842">
        <v>972</v>
      </c>
      <c r="S21" s="2843">
        <f t="shared" si="4"/>
        <v>0.11543216400867878</v>
      </c>
      <c r="T21" s="2841">
        <f t="shared" si="17"/>
        <v>-3.6669970267591667E-2</v>
      </c>
      <c r="U21" s="2842">
        <v>1939</v>
      </c>
      <c r="V21" s="2843">
        <f t="shared" si="6"/>
        <v>0.16860664304956285</v>
      </c>
      <c r="W21" s="2841">
        <f t="shared" si="12"/>
        <v>0.99485596707818935</v>
      </c>
      <c r="X21" s="2844">
        <v>2677</v>
      </c>
      <c r="Y21" s="2845">
        <f t="shared" si="7"/>
        <v>0.33518098145298514</v>
      </c>
      <c r="Z21" s="2846">
        <f t="shared" si="13"/>
        <v>0.38060856111397623</v>
      </c>
      <c r="AA21" s="2844">
        <v>2545</v>
      </c>
      <c r="AB21" s="2845">
        <f t="shared" si="8"/>
        <v>0.38299530924801994</v>
      </c>
      <c r="AC21" s="2846">
        <f t="shared" si="14"/>
        <v>-4.9308927904370581E-2</v>
      </c>
      <c r="AD21" s="2844">
        <v>2697</v>
      </c>
      <c r="AE21" s="2845">
        <f t="shared" si="9"/>
        <v>0.5021897484023774</v>
      </c>
      <c r="AF21" s="2846">
        <f t="shared" si="15"/>
        <v>5.972495088408647E-2</v>
      </c>
      <c r="AG21" s="2844">
        <v>1415</v>
      </c>
      <c r="AH21" s="2845">
        <f t="shared" si="10"/>
        <v>0.15906579478376606</v>
      </c>
      <c r="AI21" s="2846">
        <f t="shared" si="16"/>
        <v>-0.47534297367445311</v>
      </c>
    </row>
    <row r="22" spans="2:35">
      <c r="B22" s="1881">
        <v>16</v>
      </c>
      <c r="C22" s="2851" t="s">
        <v>194</v>
      </c>
      <c r="D22" s="2849"/>
      <c r="E22" s="2850"/>
      <c r="F22" s="2839">
        <v>2005</v>
      </c>
      <c r="G22" s="2840">
        <v>0.53</v>
      </c>
      <c r="H22" s="2841"/>
      <c r="I22" s="2842">
        <v>1132</v>
      </c>
      <c r="J22" s="2843">
        <f>(I22/I31)*100</f>
        <v>0.22457554824604911</v>
      </c>
      <c r="K22" s="2841">
        <f>I22/F22-1</f>
        <v>-0.43541147132169578</v>
      </c>
      <c r="L22" s="2842">
        <v>1236</v>
      </c>
      <c r="M22" s="2843">
        <f t="shared" si="11"/>
        <v>0.18230034719661595</v>
      </c>
      <c r="N22" s="2841">
        <f>L22/I22-1</f>
        <v>9.1872791519434616E-2</v>
      </c>
      <c r="O22" s="2842">
        <v>1195</v>
      </c>
      <c r="P22" s="2843">
        <f t="shared" si="0"/>
        <v>0.28893138907089821</v>
      </c>
      <c r="Q22" s="2841">
        <f>O22/L22-1</f>
        <v>-3.3171521035598728E-2</v>
      </c>
      <c r="R22" s="2842">
        <v>1397</v>
      </c>
      <c r="S22" s="2843">
        <f t="shared" si="4"/>
        <v>0.16590404641988094</v>
      </c>
      <c r="T22" s="2841">
        <f>R22/O22-1</f>
        <v>0.16903765690376571</v>
      </c>
      <c r="U22" s="2842">
        <v>1996</v>
      </c>
      <c r="V22" s="2843">
        <f t="shared" si="6"/>
        <v>0.17356310444916323</v>
      </c>
      <c r="W22" s="2841">
        <f t="shared" si="12"/>
        <v>0.42877594846098788</v>
      </c>
      <c r="X22" s="2844">
        <v>2185</v>
      </c>
      <c r="Y22" s="2845">
        <f t="shared" si="7"/>
        <v>0.27357879883256353</v>
      </c>
      <c r="Z22" s="2846">
        <f t="shared" si="13"/>
        <v>9.468937875751493E-2</v>
      </c>
      <c r="AA22" s="2844">
        <v>3005</v>
      </c>
      <c r="AB22" s="2845">
        <f t="shared" si="8"/>
        <v>0.45222039461308444</v>
      </c>
      <c r="AC22" s="2846">
        <f t="shared" si="14"/>
        <v>0.37528604118993125</v>
      </c>
      <c r="AD22" s="2844">
        <v>2055</v>
      </c>
      <c r="AE22" s="2845">
        <f t="shared" si="9"/>
        <v>0.38264736112973141</v>
      </c>
      <c r="AF22" s="2846">
        <f t="shared" si="15"/>
        <v>-0.31613976705490854</v>
      </c>
      <c r="AG22" s="2844">
        <v>1582</v>
      </c>
      <c r="AH22" s="2845">
        <f t="shared" si="10"/>
        <v>0.17783893098792788</v>
      </c>
      <c r="AI22" s="2846">
        <f t="shared" si="16"/>
        <v>-0.23017031630170315</v>
      </c>
    </row>
    <row r="23" spans="2:35">
      <c r="B23" s="1881">
        <v>17</v>
      </c>
      <c r="C23" s="2851" t="s">
        <v>374</v>
      </c>
      <c r="D23" s="2847"/>
      <c r="E23" s="2848"/>
      <c r="F23" s="2839">
        <v>2205</v>
      </c>
      <c r="G23" s="2840">
        <v>0.57999999999999996</v>
      </c>
      <c r="H23" s="2841"/>
      <c r="I23" s="2842">
        <v>2486</v>
      </c>
      <c r="J23" s="2843">
        <f>(I23/I31)*100</f>
        <v>0.49319329764989223</v>
      </c>
      <c r="K23" s="2841">
        <f t="shared" si="1"/>
        <v>0.12743764172335603</v>
      </c>
      <c r="L23" s="2842">
        <v>953</v>
      </c>
      <c r="M23" s="2843">
        <f t="shared" si="11"/>
        <v>0.14056005734496357</v>
      </c>
      <c r="N23" s="2841">
        <f t="shared" si="2"/>
        <v>-0.61665325824617856</v>
      </c>
      <c r="O23" s="2842">
        <v>564</v>
      </c>
      <c r="P23" s="2843">
        <f t="shared" si="0"/>
        <v>0.13636594429789672</v>
      </c>
      <c r="Q23" s="2841">
        <f t="shared" si="3"/>
        <v>-0.40818467995802732</v>
      </c>
      <c r="R23" s="2842">
        <v>588</v>
      </c>
      <c r="S23" s="2843">
        <f t="shared" si="4"/>
        <v>6.98293337830279E-2</v>
      </c>
      <c r="T23" s="2841">
        <f t="shared" si="17"/>
        <v>4.2553191489361764E-2</v>
      </c>
      <c r="U23" s="2842">
        <v>1146</v>
      </c>
      <c r="V23" s="2843">
        <f t="shared" si="6"/>
        <v>9.9650960770912345E-2</v>
      </c>
      <c r="W23" s="2841">
        <f t="shared" ref="W23:W31" si="18">U23/R23-1</f>
        <v>0.94897959183673475</v>
      </c>
      <c r="X23" s="2844">
        <v>1152</v>
      </c>
      <c r="Y23" s="2845">
        <f t="shared" si="7"/>
        <v>0.14423925686732869</v>
      </c>
      <c r="Z23" s="2846">
        <f t="shared" ref="Z23:Z31" si="19">X23/U23-1</f>
        <v>5.2356020942407877E-3</v>
      </c>
      <c r="AA23" s="2844">
        <v>2773</v>
      </c>
      <c r="AB23" s="2845">
        <f t="shared" si="8"/>
        <v>0.41730687329853022</v>
      </c>
      <c r="AC23" s="2846">
        <f t="shared" ref="AC23:AC31" si="20">AA23/X23-1</f>
        <v>1.4071180555555554</v>
      </c>
      <c r="AD23" s="2844">
        <v>4026</v>
      </c>
      <c r="AE23" s="2845">
        <f t="shared" si="9"/>
        <v>0.74965366224248109</v>
      </c>
      <c r="AF23" s="2846">
        <f t="shared" si="15"/>
        <v>0.45185719437432392</v>
      </c>
      <c r="AG23" s="2844">
        <v>2495</v>
      </c>
      <c r="AH23" s="2845">
        <f t="shared" si="10"/>
        <v>0.2804729031699621</v>
      </c>
      <c r="AI23" s="2846">
        <f t="shared" ref="AI23:AI28" si="21">AG23/AD23-1</f>
        <v>-0.38027819175360156</v>
      </c>
    </row>
    <row r="24" spans="2:35">
      <c r="B24" s="1881">
        <v>18</v>
      </c>
      <c r="C24" s="2851" t="s">
        <v>195</v>
      </c>
      <c r="D24" s="2847"/>
      <c r="E24" s="2848"/>
      <c r="F24" s="2839">
        <v>1721</v>
      </c>
      <c r="G24" s="2840">
        <v>0.45</v>
      </c>
      <c r="H24" s="2841"/>
      <c r="I24" s="2842">
        <v>968</v>
      </c>
      <c r="J24" s="2843">
        <f>(I24/I31)*100</f>
        <v>0.19203986811146248</v>
      </c>
      <c r="K24" s="2841">
        <f t="shared" si="1"/>
        <v>-0.43753631609529342</v>
      </c>
      <c r="L24" s="2842">
        <v>777</v>
      </c>
      <c r="M24" s="2843">
        <f t="shared" si="11"/>
        <v>0.11460143185418332</v>
      </c>
      <c r="N24" s="2841">
        <f t="shared" si="2"/>
        <v>-0.1973140495867769</v>
      </c>
      <c r="O24" s="2842">
        <v>353</v>
      </c>
      <c r="P24" s="2843">
        <f t="shared" si="0"/>
        <v>8.5349606980775788E-2</v>
      </c>
      <c r="Q24" s="2841">
        <f t="shared" si="3"/>
        <v>-0.54568854568854563</v>
      </c>
      <c r="R24" s="2842">
        <v>294</v>
      </c>
      <c r="S24" s="2843">
        <f t="shared" si="4"/>
        <v>3.491466689151395E-2</v>
      </c>
      <c r="T24" s="2841">
        <f t="shared" si="17"/>
        <v>-0.16713881019830024</v>
      </c>
      <c r="U24" s="2842">
        <v>522</v>
      </c>
      <c r="V24" s="2843">
        <f t="shared" si="6"/>
        <v>4.5390751764761122E-2</v>
      </c>
      <c r="W24" s="2841">
        <f t="shared" si="18"/>
        <v>0.77551020408163263</v>
      </c>
      <c r="X24" s="2844">
        <v>780</v>
      </c>
      <c r="Y24" s="2845">
        <f t="shared" si="7"/>
        <v>9.7661996837253795E-2</v>
      </c>
      <c r="Z24" s="2846">
        <f t="shared" si="19"/>
        <v>0.49425287356321834</v>
      </c>
      <c r="AA24" s="2844">
        <v>1194</v>
      </c>
      <c r="AB24" s="2845">
        <f t="shared" si="8"/>
        <v>0.17968424331714569</v>
      </c>
      <c r="AC24" s="2846">
        <f t="shared" si="20"/>
        <v>0.53076923076923066</v>
      </c>
      <c r="AD24" s="2844">
        <v>1087</v>
      </c>
      <c r="AE24" s="2845">
        <f t="shared" si="9"/>
        <v>0.20240276474356111</v>
      </c>
      <c r="AF24" s="2846">
        <f t="shared" si="15"/>
        <v>-8.9614740368509249E-2</v>
      </c>
      <c r="AG24" s="2844">
        <v>991</v>
      </c>
      <c r="AH24" s="2845">
        <f t="shared" si="10"/>
        <v>0.11140226334325949</v>
      </c>
      <c r="AI24" s="2846">
        <f t="shared" si="21"/>
        <v>-8.8316467341306382E-2</v>
      </c>
    </row>
    <row r="25" spans="2:35">
      <c r="B25" s="1881">
        <v>19</v>
      </c>
      <c r="C25" s="2851" t="s">
        <v>196</v>
      </c>
      <c r="D25" s="2847"/>
      <c r="E25" s="2848"/>
      <c r="F25" s="2839">
        <v>1582</v>
      </c>
      <c r="G25" s="2840">
        <v>0.41</v>
      </c>
      <c r="H25" s="2841"/>
      <c r="I25" s="2842">
        <v>757</v>
      </c>
      <c r="J25" s="2843">
        <f>(I25/I31)*100</f>
        <v>0.15017993818220776</v>
      </c>
      <c r="K25" s="2841">
        <f t="shared" si="1"/>
        <v>-0.52149178255372952</v>
      </c>
      <c r="L25" s="2842">
        <v>725</v>
      </c>
      <c r="M25" s="2843">
        <f t="shared" si="11"/>
        <v>0.10693183795918006</v>
      </c>
      <c r="N25" s="2841">
        <f t="shared" si="2"/>
        <v>-4.2272126816380484E-2</v>
      </c>
      <c r="O25" s="2842">
        <v>283</v>
      </c>
      <c r="P25" s="2843">
        <f t="shared" si="0"/>
        <v>6.8424755738129034E-2</v>
      </c>
      <c r="Q25" s="2841">
        <f t="shared" si="3"/>
        <v>-0.60965517241379308</v>
      </c>
      <c r="R25" s="2842">
        <v>2048</v>
      </c>
      <c r="S25" s="2843">
        <f t="shared" si="4"/>
        <v>0.2432150945368047</v>
      </c>
      <c r="T25" s="2841">
        <f t="shared" si="17"/>
        <v>6.2367491166077738</v>
      </c>
      <c r="U25" s="2842">
        <v>1379</v>
      </c>
      <c r="V25" s="2843">
        <f t="shared" si="6"/>
        <v>0.11991158368506818</v>
      </c>
      <c r="W25" s="2841">
        <f t="shared" si="18"/>
        <v>-0.32666015625</v>
      </c>
      <c r="X25" s="2844">
        <v>1561</v>
      </c>
      <c r="Y25" s="2845">
        <f t="shared" si="7"/>
        <v>0.19544920136276045</v>
      </c>
      <c r="Z25" s="2846">
        <f t="shared" si="19"/>
        <v>0.13197969543147203</v>
      </c>
      <c r="AA25" s="2844">
        <v>5972</v>
      </c>
      <c r="AB25" s="2845">
        <f t="shared" si="8"/>
        <v>0.89872219521775054</v>
      </c>
      <c r="AC25" s="2846">
        <f t="shared" si="20"/>
        <v>2.8257527226137094</v>
      </c>
      <c r="AD25" s="2844">
        <v>4506</v>
      </c>
      <c r="AE25" s="2845">
        <f t="shared" si="9"/>
        <v>0.8390311480538053</v>
      </c>
      <c r="AF25" s="2846">
        <f t="shared" si="15"/>
        <v>-0.24547890154052243</v>
      </c>
      <c r="AG25" s="2844">
        <v>9184</v>
      </c>
      <c r="AH25" s="2845">
        <f t="shared" si="10"/>
        <v>1.0324100772396518</v>
      </c>
      <c r="AI25" s="2846">
        <f t="shared" si="21"/>
        <v>1.0381713271193962</v>
      </c>
    </row>
    <row r="26" spans="2:35">
      <c r="B26" s="1881">
        <v>20</v>
      </c>
      <c r="C26" s="2851" t="s">
        <v>197</v>
      </c>
      <c r="D26" s="2847"/>
      <c r="E26" s="2848"/>
      <c r="F26" s="2839">
        <v>1141</v>
      </c>
      <c r="G26" s="2840">
        <v>0.3</v>
      </c>
      <c r="H26" s="2841"/>
      <c r="I26" s="2842">
        <v>452</v>
      </c>
      <c r="J26" s="2843">
        <f>(I26/I31)*100</f>
        <v>8.9671508663616784E-2</v>
      </c>
      <c r="K26" s="2841">
        <f t="shared" si="1"/>
        <v>-0.60385626643295354</v>
      </c>
      <c r="L26" s="2842">
        <v>355</v>
      </c>
      <c r="M26" s="2843">
        <f t="shared" si="11"/>
        <v>5.2359727552426093E-2</v>
      </c>
      <c r="N26" s="2841">
        <f t="shared" si="2"/>
        <v>-0.21460176991150437</v>
      </c>
      <c r="O26" s="2842">
        <v>441</v>
      </c>
      <c r="P26" s="2843">
        <f t="shared" si="0"/>
        <v>0.10662656282867455</v>
      </c>
      <c r="Q26" s="2841">
        <f t="shared" si="3"/>
        <v>0.24225352112676046</v>
      </c>
      <c r="R26" s="2842">
        <v>776</v>
      </c>
      <c r="S26" s="2843">
        <f t="shared" si="4"/>
        <v>9.2155719414336146E-2</v>
      </c>
      <c r="T26" s="2841">
        <f t="shared" si="17"/>
        <v>0.75963718820861681</v>
      </c>
      <c r="U26" s="2842">
        <v>1023</v>
      </c>
      <c r="V26" s="2843">
        <f t="shared" si="6"/>
        <v>8.8955438803353701E-2</v>
      </c>
      <c r="W26" s="2841">
        <f t="shared" si="18"/>
        <v>0.31829896907216493</v>
      </c>
      <c r="X26" s="2844">
        <v>1146</v>
      </c>
      <c r="Y26" s="2845">
        <f t="shared" si="7"/>
        <v>0.14348801073781134</v>
      </c>
      <c r="Z26" s="2846">
        <f t="shared" si="19"/>
        <v>0.12023460410557174</v>
      </c>
      <c r="AA26" s="2844">
        <v>3037</v>
      </c>
      <c r="AB26" s="2845">
        <f t="shared" si="8"/>
        <v>0.45703605272543679</v>
      </c>
      <c r="AC26" s="2846">
        <f t="shared" si="20"/>
        <v>1.6500872600349039</v>
      </c>
      <c r="AD26" s="2844">
        <v>4798</v>
      </c>
      <c r="AE26" s="2845">
        <f t="shared" si="9"/>
        <v>0.89340245192236067</v>
      </c>
      <c r="AF26" s="2846">
        <f t="shared" si="15"/>
        <v>0.5798485347382285</v>
      </c>
      <c r="AG26" s="2844">
        <v>3146</v>
      </c>
      <c r="AH26" s="2845">
        <f t="shared" si="10"/>
        <v>0.35365441016941912</v>
      </c>
      <c r="AI26" s="2846">
        <f t="shared" si="21"/>
        <v>-0.34431012922050852</v>
      </c>
    </row>
    <row r="27" spans="2:35">
      <c r="B27" s="1881">
        <v>21</v>
      </c>
      <c r="C27" s="2851" t="s">
        <v>613</v>
      </c>
      <c r="D27" s="2837"/>
      <c r="E27" s="2838"/>
      <c r="F27" s="2839"/>
      <c r="G27" s="2840"/>
      <c r="H27" s="2841"/>
      <c r="I27" s="2842"/>
      <c r="J27" s="2843"/>
      <c r="K27" s="2841"/>
      <c r="L27" s="2842"/>
      <c r="M27" s="2843"/>
      <c r="N27" s="2841"/>
      <c r="O27" s="2842"/>
      <c r="P27" s="2843"/>
      <c r="Q27" s="2841"/>
      <c r="R27" s="2842">
        <v>169</v>
      </c>
      <c r="S27" s="2843">
        <f t="shared" si="4"/>
        <v>2.006999559410156E-2</v>
      </c>
      <c r="T27" s="2841"/>
      <c r="U27" s="2842">
        <v>581</v>
      </c>
      <c r="V27" s="2843">
        <f t="shared" si="6"/>
        <v>5.0521124090663241E-2</v>
      </c>
      <c r="W27" s="2841">
        <f t="shared" si="18"/>
        <v>2.4378698224852071</v>
      </c>
      <c r="X27" s="2844">
        <v>571</v>
      </c>
      <c r="Y27" s="2845">
        <f t="shared" si="7"/>
        <v>7.1493589992399895E-2</v>
      </c>
      <c r="Z27" s="2846">
        <f t="shared" si="19"/>
        <v>-1.7211703958691871E-2</v>
      </c>
      <c r="AA27" s="2844">
        <v>4623</v>
      </c>
      <c r="AB27" s="2845">
        <f>AA27/$AA$31*100</f>
        <v>0.69571210791889826</v>
      </c>
      <c r="AC27" s="2846">
        <f t="shared" si="20"/>
        <v>7.0963222416812606</v>
      </c>
      <c r="AD27" s="2844">
        <v>2955</v>
      </c>
      <c r="AE27" s="2845">
        <f t="shared" si="9"/>
        <v>0.55023014702596418</v>
      </c>
      <c r="AF27" s="2846">
        <f t="shared" si="15"/>
        <v>-0.36080467229072033</v>
      </c>
      <c r="AG27" s="2844">
        <v>3499</v>
      </c>
      <c r="AH27" s="2845">
        <f t="shared" si="10"/>
        <v>0.3933365483734258</v>
      </c>
      <c r="AI27" s="2846">
        <f t="shared" si="21"/>
        <v>0.18409475465313019</v>
      </c>
    </row>
    <row r="28" spans="2:35">
      <c r="B28" s="1881">
        <v>22</v>
      </c>
      <c r="C28" s="2851" t="s">
        <v>2259</v>
      </c>
      <c r="D28" s="2837"/>
      <c r="E28" s="2838"/>
      <c r="F28" s="2839"/>
      <c r="G28" s="2840"/>
      <c r="H28" s="2841"/>
      <c r="I28" s="2842"/>
      <c r="J28" s="2843"/>
      <c r="K28" s="2841"/>
      <c r="L28" s="2842"/>
      <c r="M28" s="2843"/>
      <c r="N28" s="2841"/>
      <c r="O28" s="2842"/>
      <c r="P28" s="2843"/>
      <c r="Q28" s="2841"/>
      <c r="R28" s="2842"/>
      <c r="S28" s="2843"/>
      <c r="T28" s="2841"/>
      <c r="U28" s="2842"/>
      <c r="V28" s="2843"/>
      <c r="W28" s="2841"/>
      <c r="X28" s="2844"/>
      <c r="Y28" s="2845"/>
      <c r="Z28" s="2846"/>
      <c r="AA28" s="2844"/>
      <c r="AB28" s="2845"/>
      <c r="AC28" s="2846"/>
      <c r="AD28" s="2844">
        <v>41308</v>
      </c>
      <c r="AE28" s="2845">
        <f t="shared" si="9"/>
        <v>7.691677466446202</v>
      </c>
      <c r="AF28" s="2846"/>
      <c r="AG28" s="2844">
        <v>181695</v>
      </c>
      <c r="AH28" s="2845">
        <f t="shared" si="10"/>
        <v>20.425059776138781</v>
      </c>
      <c r="AI28" s="2846">
        <f t="shared" si="21"/>
        <v>3.3985426551757527</v>
      </c>
    </row>
    <row r="29" spans="2:35" ht="26.4">
      <c r="B29" s="1882">
        <v>23</v>
      </c>
      <c r="C29" s="2852" t="s">
        <v>2389</v>
      </c>
      <c r="D29" s="2853"/>
      <c r="E29" s="2854"/>
      <c r="F29" s="2855"/>
      <c r="G29" s="2856"/>
      <c r="H29" s="2857"/>
      <c r="I29" s="2858"/>
      <c r="J29" s="2859"/>
      <c r="K29" s="2857"/>
      <c r="L29" s="2858"/>
      <c r="M29" s="2859"/>
      <c r="N29" s="2857"/>
      <c r="O29" s="2858"/>
      <c r="P29" s="2859"/>
      <c r="Q29" s="2857"/>
      <c r="R29" s="2858"/>
      <c r="S29" s="2859"/>
      <c r="T29" s="2857"/>
      <c r="U29" s="2858"/>
      <c r="V29" s="2859"/>
      <c r="W29" s="2857"/>
      <c r="X29" s="2860"/>
      <c r="Y29" s="2861"/>
      <c r="Z29" s="2862"/>
      <c r="AA29" s="2860"/>
      <c r="AB29" s="2861"/>
      <c r="AC29" s="2862"/>
      <c r="AD29" s="2860"/>
      <c r="AE29" s="2861"/>
      <c r="AF29" s="2862"/>
      <c r="AG29" s="2860">
        <v>28700</v>
      </c>
      <c r="AH29" s="2861">
        <f t="shared" si="10"/>
        <v>3.2262814913739128</v>
      </c>
      <c r="AI29" s="2862"/>
    </row>
    <row r="30" spans="2:35" s="2417" customFormat="1">
      <c r="B30" s="2137"/>
    </row>
    <row r="31" spans="2:35">
      <c r="B31" s="7630" t="s">
        <v>15</v>
      </c>
      <c r="C31" s="7630"/>
      <c r="D31" s="2863">
        <f>SUM(D6:D27)</f>
        <v>357031</v>
      </c>
      <c r="E31" s="2864">
        <f>SUM(E6:E27)</f>
        <v>1</v>
      </c>
      <c r="F31" s="2872">
        <f>SUM(F6:F27)</f>
        <v>381890</v>
      </c>
      <c r="G31" s="2865">
        <f>SUM(G6:G27)</f>
        <v>100.01</v>
      </c>
      <c r="H31" s="2866">
        <f>F31/D31-1</f>
        <v>6.9627007178648448E-2</v>
      </c>
      <c r="I31" s="2871">
        <f>SUM(I6:I26)</f>
        <v>504062</v>
      </c>
      <c r="J31" s="2867">
        <f>(I31/I31)*100</f>
        <v>100</v>
      </c>
      <c r="K31" s="2866">
        <f t="shared" si="1"/>
        <v>0.31991411139333326</v>
      </c>
      <c r="L31" s="2871">
        <f>SUM(L6:L27)</f>
        <v>678002</v>
      </c>
      <c r="M31" s="2867">
        <f>L31/$L$31*100</f>
        <v>100</v>
      </c>
      <c r="N31" s="2866">
        <f t="shared" si="2"/>
        <v>0.34507659772012178</v>
      </c>
      <c r="O31" s="2871">
        <f>SUM(O6:O27)</f>
        <v>413593</v>
      </c>
      <c r="P31" s="2863">
        <f>SUM(P6:P26)</f>
        <v>100</v>
      </c>
      <c r="Q31" s="2866">
        <f>O31/L31-1</f>
        <v>-0.38998262541998396</v>
      </c>
      <c r="R31" s="2871">
        <f>SUM(R6:R27)</f>
        <v>842053</v>
      </c>
      <c r="S31" s="2863">
        <f>SUM(S6:S27)</f>
        <v>100</v>
      </c>
      <c r="T31" s="2866">
        <f t="shared" si="17"/>
        <v>1.03594596620349</v>
      </c>
      <c r="U31" s="2871">
        <f>SUM(U6:U27)</f>
        <v>1150014</v>
      </c>
      <c r="V31" s="2863">
        <f>SUM(V6:V27)</f>
        <v>100</v>
      </c>
      <c r="W31" s="2866">
        <f t="shared" si="18"/>
        <v>0.36572638539379354</v>
      </c>
      <c r="X31" s="2870">
        <f>SUM(X6:X27)</f>
        <v>798673</v>
      </c>
      <c r="Y31" s="2868">
        <f>SUM(Y6:Y27)</f>
        <v>100</v>
      </c>
      <c r="Z31" s="2869">
        <f t="shared" si="19"/>
        <v>-0.30551019378894517</v>
      </c>
      <c r="AA31" s="2870">
        <f>SUM(AA6:AA27)</f>
        <v>664499</v>
      </c>
      <c r="AB31" s="2868">
        <f>SUM(AB6:AB27)</f>
        <v>99.999999999999972</v>
      </c>
      <c r="AC31" s="2869">
        <f t="shared" si="20"/>
        <v>-0.16799616363643188</v>
      </c>
      <c r="AD31" s="2870">
        <f>SUM(AD6:AD28)</f>
        <v>537048</v>
      </c>
      <c r="AE31" s="2868">
        <f>SUM(AE6:AE28)</f>
        <v>100.00000000000003</v>
      </c>
      <c r="AF31" s="2869">
        <f>AD31/AA31-1</f>
        <v>-0.19180013814919206</v>
      </c>
      <c r="AG31" s="2870">
        <f>SUM(AG6:AG29)</f>
        <v>889569</v>
      </c>
      <c r="AH31" s="2868">
        <f>SUM(AH6:AH29)</f>
        <v>100.00000000000003</v>
      </c>
      <c r="AI31" s="3725">
        <f>AG31/AD31-1</f>
        <v>0.65640501407695395</v>
      </c>
    </row>
    <row r="32" spans="2:35">
      <c r="C32" s="129" t="s">
        <v>198</v>
      </c>
      <c r="D32" s="130"/>
      <c r="E32" s="130"/>
      <c r="F32" s="130"/>
      <c r="G32" s="130"/>
      <c r="H32" s="130"/>
      <c r="I32" s="131"/>
      <c r="J32" s="132"/>
      <c r="K32" s="132"/>
    </row>
    <row r="33" spans="2:5">
      <c r="B33" s="36" t="s">
        <v>239</v>
      </c>
    </row>
    <row r="35" spans="2:5" ht="15" customHeight="1">
      <c r="C35" s="7626" t="s">
        <v>2535</v>
      </c>
      <c r="D35" s="3726"/>
      <c r="E35" s="3726"/>
    </row>
    <row r="36" spans="2:5">
      <c r="C36" s="7626"/>
      <c r="D36" s="3726"/>
      <c r="E36" s="3726"/>
    </row>
    <row r="37" spans="2:5">
      <c r="C37" s="7626"/>
      <c r="D37" s="3726"/>
      <c r="E37" s="3726"/>
    </row>
    <row r="38" spans="2:5">
      <c r="C38" s="7626"/>
      <c r="D38" s="3726"/>
      <c r="E38" s="3726"/>
    </row>
    <row r="39" spans="2:5">
      <c r="C39" s="7626"/>
      <c r="D39" s="3726"/>
      <c r="E39" s="3726"/>
    </row>
    <row r="40" spans="2:5">
      <c r="C40" s="7626"/>
      <c r="D40" s="3726"/>
      <c r="E40" s="3726"/>
    </row>
    <row r="41" spans="2:5">
      <c r="C41" s="3727" t="s">
        <v>2536</v>
      </c>
      <c r="D41" s="7629">
        <v>2019</v>
      </c>
      <c r="E41" s="7629"/>
    </row>
    <row r="42" spans="2:5" ht="15" thickBot="1">
      <c r="C42" s="3728" t="s">
        <v>2537</v>
      </c>
      <c r="D42" s="2091" t="s">
        <v>71</v>
      </c>
      <c r="E42" s="1904" t="s">
        <v>76</v>
      </c>
    </row>
    <row r="43" spans="2:5">
      <c r="C43" s="3729" t="s">
        <v>2538</v>
      </c>
      <c r="D43" s="3730">
        <v>18729</v>
      </c>
      <c r="E43" s="3731">
        <f>D43*100/D49</f>
        <v>35.379791072406825</v>
      </c>
    </row>
    <row r="44" spans="2:5">
      <c r="C44" s="3732" t="s">
        <v>2539</v>
      </c>
      <c r="D44" s="3733">
        <v>3913</v>
      </c>
      <c r="E44" s="3734">
        <f>D44*100/D49</f>
        <v>7.3918053535334458</v>
      </c>
    </row>
    <row r="45" spans="2:5">
      <c r="C45" s="3732" t="s">
        <v>2540</v>
      </c>
      <c r="D45" s="3733">
        <v>1979</v>
      </c>
      <c r="E45" s="3734">
        <f>D45*100/D49</f>
        <v>3.7384060298090183</v>
      </c>
    </row>
    <row r="46" spans="2:5">
      <c r="C46" s="3732" t="s">
        <v>2541</v>
      </c>
      <c r="D46" s="3733">
        <v>2723</v>
      </c>
      <c r="E46" s="3734">
        <f>D46*100/D49</f>
        <v>5.1438502370742585</v>
      </c>
    </row>
    <row r="47" spans="2:5">
      <c r="C47" s="3732" t="s">
        <v>2542</v>
      </c>
      <c r="D47" s="3733">
        <v>22624</v>
      </c>
      <c r="E47" s="3734">
        <f>D47*100/D49</f>
        <v>42.73759374350643</v>
      </c>
    </row>
    <row r="48" spans="2:5">
      <c r="C48" s="3735" t="s">
        <v>2543</v>
      </c>
      <c r="D48" s="3736">
        <v>2969</v>
      </c>
      <c r="E48" s="3737">
        <f>D48*100/D49</f>
        <v>5.6085535636700232</v>
      </c>
    </row>
    <row r="49" spans="3:5">
      <c r="C49" s="3738" t="s">
        <v>71</v>
      </c>
      <c r="D49" s="3739">
        <f>SUM(D43:D48)</f>
        <v>52937</v>
      </c>
      <c r="E49" s="3740">
        <f>SUM(E43:E48)</f>
        <v>100.00000000000001</v>
      </c>
    </row>
  </sheetData>
  <mergeCells count="16">
    <mergeCell ref="C35:C40"/>
    <mergeCell ref="D41:E41"/>
    <mergeCell ref="B31:C31"/>
    <mergeCell ref="D4:E4"/>
    <mergeCell ref="F4:H4"/>
    <mergeCell ref="I4:K4"/>
    <mergeCell ref="L4:N4"/>
    <mergeCell ref="AJ6:AL15"/>
    <mergeCell ref="B1:C2"/>
    <mergeCell ref="AG4:AI4"/>
    <mergeCell ref="AD4:AF4"/>
    <mergeCell ref="AA4:AC4"/>
    <mergeCell ref="X4:Z4"/>
    <mergeCell ref="U4:W4"/>
    <mergeCell ref="O4:Q4"/>
    <mergeCell ref="R4:T4"/>
  </mergeCells>
  <pageMargins left="0.7" right="0.7" top="0.75" bottom="0.75" header="0.3" footer="0.3"/>
  <pageSetup orientation="portrait" r:id="rId1"/>
  <ignoredErrors>
    <ignoredError sqref="T31:Z31 AF3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P176"/>
  <sheetViews>
    <sheetView showGridLines="0" zoomScale="110" zoomScaleNormal="110" workbookViewId="0">
      <pane xSplit="2" ySplit="5" topLeftCell="E101" activePane="bottomRight" state="frozen"/>
      <selection activeCell="C65" sqref="C65:C67"/>
      <selection pane="topRight" activeCell="C65" sqref="C65:C67"/>
      <selection pane="bottomLeft" activeCell="C65" sqref="C65:C67"/>
      <selection pane="bottomRight" activeCell="K124" sqref="K124"/>
    </sheetView>
  </sheetViews>
  <sheetFormatPr baseColWidth="10" defaultColWidth="11.44140625" defaultRowHeight="13.8"/>
  <cols>
    <col min="1" max="1" width="4" style="381" customWidth="1"/>
    <col min="2" max="2" width="45.33203125" style="379" bestFit="1" customWidth="1"/>
    <col min="3" max="8" width="12.6640625" style="379" customWidth="1"/>
    <col min="9" max="9" width="12.6640625" style="381" customWidth="1"/>
    <col min="10" max="16384" width="11.44140625" style="381"/>
  </cols>
  <sheetData>
    <row r="1" spans="2:16" ht="44.25" customHeight="1">
      <c r="L1" s="6946" t="s">
        <v>1114</v>
      </c>
      <c r="M1" s="6946"/>
      <c r="N1" s="6946"/>
      <c r="O1" s="6946"/>
      <c r="P1" s="6946"/>
    </row>
    <row r="2" spans="2:16" ht="39" customHeight="1">
      <c r="C2" s="383"/>
      <c r="D2" s="383"/>
      <c r="E2" s="383"/>
      <c r="F2" s="383"/>
      <c r="I2" s="140"/>
      <c r="L2" s="6974" t="s">
        <v>725</v>
      </c>
      <c r="M2" s="6974"/>
      <c r="N2" s="6974"/>
      <c r="O2" s="6974"/>
      <c r="P2" s="6974"/>
    </row>
    <row r="3" spans="2:16">
      <c r="B3" s="384"/>
      <c r="C3" s="384"/>
      <c r="D3" s="384"/>
      <c r="E3" s="384"/>
      <c r="F3" s="384"/>
    </row>
    <row r="4" spans="2:16" ht="15" customHeight="1">
      <c r="B4" s="6972" t="s">
        <v>3305</v>
      </c>
      <c r="C4" s="3268">
        <v>2010</v>
      </c>
      <c r="D4" s="3269">
        <v>2011</v>
      </c>
      <c r="E4" s="3270">
        <v>2012</v>
      </c>
      <c r="F4" s="3270">
        <v>2013</v>
      </c>
      <c r="G4" s="3270">
        <v>2014</v>
      </c>
      <c r="H4" s="3270">
        <v>2015</v>
      </c>
      <c r="I4" s="3270">
        <v>2016</v>
      </c>
      <c r="J4" s="3270">
        <v>2017</v>
      </c>
      <c r="K4" s="3270">
        <v>2018</v>
      </c>
      <c r="L4" s="3270">
        <v>2019</v>
      </c>
      <c r="M4" s="3270">
        <v>2020</v>
      </c>
      <c r="N4" s="3270">
        <v>2021</v>
      </c>
      <c r="O4" s="3270">
        <v>2022</v>
      </c>
      <c r="P4" s="3270" t="s">
        <v>3365</v>
      </c>
    </row>
    <row r="5" spans="2:16" s="382" customFormat="1" ht="15" thickBot="1">
      <c r="B5" s="6973"/>
      <c r="C5" s="3271" t="s">
        <v>1113</v>
      </c>
      <c r="D5" s="1794" t="s">
        <v>1112</v>
      </c>
      <c r="E5" s="3272" t="s">
        <v>876</v>
      </c>
      <c r="F5" s="2885" t="s">
        <v>1111</v>
      </c>
      <c r="G5" s="3273" t="s">
        <v>1110</v>
      </c>
      <c r="H5" s="3273" t="s">
        <v>1453</v>
      </c>
      <c r="I5" s="3273" t="s">
        <v>1658</v>
      </c>
      <c r="J5" s="3273" t="s">
        <v>2254</v>
      </c>
      <c r="K5" s="3273" t="s">
        <v>2404</v>
      </c>
      <c r="L5" s="3273" t="s">
        <v>2460</v>
      </c>
      <c r="M5" s="3273" t="s">
        <v>2679</v>
      </c>
      <c r="N5" s="3273" t="s">
        <v>2813</v>
      </c>
      <c r="O5" s="3273" t="s">
        <v>3047</v>
      </c>
      <c r="P5" s="3273" t="s">
        <v>3288</v>
      </c>
    </row>
    <row r="6" spans="2:16" ht="14.4">
      <c r="B6" s="3274" t="s">
        <v>5</v>
      </c>
      <c r="C6" s="3275">
        <v>0.17515274949083504</v>
      </c>
      <c r="D6" s="3275">
        <v>0.2049335863377609</v>
      </c>
      <c r="E6" s="3275">
        <v>0.21473354231974923</v>
      </c>
      <c r="F6" s="3275">
        <v>0.23387096774193547</v>
      </c>
      <c r="G6" s="3275">
        <v>0.22259887005649717</v>
      </c>
      <c r="H6" s="3275">
        <v>0.24552160168598525</v>
      </c>
      <c r="I6" s="3275">
        <v>0.26197757390417942</v>
      </c>
      <c r="J6" s="3275">
        <v>0.34200000000000003</v>
      </c>
      <c r="K6" s="3276">
        <v>0.37605042016806722</v>
      </c>
      <c r="L6" s="3276">
        <v>0.4164989939637827</v>
      </c>
      <c r="M6" s="3276">
        <v>0.34295612009237875</v>
      </c>
      <c r="N6" s="3276">
        <v>0.31417112299465239</v>
      </c>
      <c r="O6" s="3276">
        <v>0.33106267029972752</v>
      </c>
      <c r="P6" s="3276">
        <v>0.29199999999999998</v>
      </c>
    </row>
    <row r="7" spans="2:16" ht="14.4">
      <c r="B7" s="3277" t="s">
        <v>6</v>
      </c>
      <c r="C7" s="3278">
        <v>0.13060686015831136</v>
      </c>
      <c r="D7" s="3278">
        <v>0.14171122994652408</v>
      </c>
      <c r="E7" s="3278">
        <v>0.1293833131801693</v>
      </c>
      <c r="F7" s="3278">
        <v>0.16097023153252479</v>
      </c>
      <c r="G7" s="3278">
        <v>0.15217391304347827</v>
      </c>
      <c r="H7" s="3278">
        <v>0.17899543378995433</v>
      </c>
      <c r="I7" s="3278">
        <v>0.21062106210621062</v>
      </c>
      <c r="J7" s="3278">
        <v>0.25985663082437277</v>
      </c>
      <c r="K7" s="3279">
        <v>0.30542340627973358</v>
      </c>
      <c r="L7" s="3279">
        <v>0.33486238532110091</v>
      </c>
      <c r="M7" s="3279">
        <v>0.31545064377682402</v>
      </c>
      <c r="N7" s="3279">
        <v>0.31795511221945139</v>
      </c>
      <c r="O7" s="3279">
        <v>0.30864197530864196</v>
      </c>
      <c r="P7" s="3279">
        <v>0.26900000000000002</v>
      </c>
    </row>
    <row r="8" spans="2:16" ht="14.4">
      <c r="B8" s="3277" t="s">
        <v>7</v>
      </c>
      <c r="C8" s="3278">
        <v>6.7757009345794386E-2</v>
      </c>
      <c r="D8" s="3278">
        <v>8.7155963302752298E-2</v>
      </c>
      <c r="E8" s="3278">
        <v>8.3155650319829424E-2</v>
      </c>
      <c r="F8" s="3278">
        <v>9.4488188976377951E-2</v>
      </c>
      <c r="G8" s="3278">
        <v>9.9236641221374045E-2</v>
      </c>
      <c r="H8" s="3278">
        <v>0.10178571428571428</v>
      </c>
      <c r="I8" s="3278">
        <v>0.11551155115511551</v>
      </c>
      <c r="J8" s="3278">
        <v>0.15372670807453417</v>
      </c>
      <c r="K8" s="3279">
        <v>0.17713365539452497</v>
      </c>
      <c r="L8" s="3279">
        <v>0.20579268292682926</v>
      </c>
      <c r="M8" s="3279">
        <v>0.17953020134228187</v>
      </c>
      <c r="N8" s="3279">
        <v>0.1825938566552901</v>
      </c>
      <c r="O8" s="3279">
        <v>0.16754850088183421</v>
      </c>
      <c r="P8" s="3279">
        <v>0.13700000000000001</v>
      </c>
    </row>
    <row r="9" spans="2:16" ht="14.4">
      <c r="B9" s="3277" t="s">
        <v>8</v>
      </c>
      <c r="C9" s="3278">
        <v>0.20891364902506965</v>
      </c>
      <c r="D9" s="3278">
        <v>0.21052631578947367</v>
      </c>
      <c r="E9" s="3278">
        <v>0.21067415730337077</v>
      </c>
      <c r="F9" s="3278">
        <v>0.20526315789473684</v>
      </c>
      <c r="G9" s="3278">
        <v>0.21212121212121213</v>
      </c>
      <c r="H9" s="3278">
        <v>0.18032786885245902</v>
      </c>
      <c r="I9" s="3278">
        <v>0.16237623762376238</v>
      </c>
      <c r="J9" s="3278">
        <v>0.15689655172413794</v>
      </c>
      <c r="K9" s="3279">
        <v>0.18959731543624161</v>
      </c>
      <c r="L9" s="3279">
        <v>0.2361111111111111</v>
      </c>
      <c r="M9" s="3279">
        <v>0.20549927641099855</v>
      </c>
      <c r="N9" s="3279">
        <v>0.21652421652421652</v>
      </c>
      <c r="O9" s="3279">
        <v>0.2288488210818308</v>
      </c>
      <c r="P9" s="3279">
        <v>0.21299999999999999</v>
      </c>
    </row>
    <row r="10" spans="2:16" ht="14.4">
      <c r="B10" s="3277" t="s">
        <v>9</v>
      </c>
      <c r="C10" s="3278">
        <v>0.21616541353383459</v>
      </c>
      <c r="D10" s="3278">
        <v>0.21957340025094102</v>
      </c>
      <c r="E10" s="3278">
        <v>0.21698113207547171</v>
      </c>
      <c r="F10" s="3278">
        <v>0.25743855109961189</v>
      </c>
      <c r="G10" s="3278">
        <v>0.26462938881664499</v>
      </c>
      <c r="H10" s="3278">
        <v>0.26476868327402137</v>
      </c>
      <c r="I10" s="3278">
        <v>0.28647822765469827</v>
      </c>
      <c r="J10" s="3278">
        <v>0.32380151387720774</v>
      </c>
      <c r="K10" s="3279">
        <v>0.36078431372549019</v>
      </c>
      <c r="L10" s="3279">
        <v>0.4062205466540999</v>
      </c>
      <c r="M10" s="3279">
        <v>0.35812356979405036</v>
      </c>
      <c r="N10" s="3279">
        <v>0.35050251256281406</v>
      </c>
      <c r="O10" s="3279">
        <v>0.31341463414634146</v>
      </c>
      <c r="P10" s="3279">
        <v>0.27200000000000002</v>
      </c>
    </row>
    <row r="11" spans="2:16" ht="14.4">
      <c r="B11" s="3277" t="s">
        <v>10</v>
      </c>
      <c r="C11" s="3278">
        <v>0.13443830570902393</v>
      </c>
      <c r="D11" s="3278">
        <v>0.13912231559290383</v>
      </c>
      <c r="E11" s="3278">
        <v>0.14804469273743018</v>
      </c>
      <c r="F11" s="3278">
        <v>0.16135084427767354</v>
      </c>
      <c r="G11" s="3278">
        <v>0.14561403508771931</v>
      </c>
      <c r="H11" s="3278">
        <v>0.16010733452593917</v>
      </c>
      <c r="I11" s="3278">
        <v>0.17166979362101314</v>
      </c>
      <c r="J11" s="3278">
        <v>0.20874751491053678</v>
      </c>
      <c r="K11" s="3279">
        <v>0.24312431243124313</v>
      </c>
      <c r="L11" s="3279">
        <v>0.28406708595387842</v>
      </c>
      <c r="M11" s="3279">
        <v>0.26477541371158392</v>
      </c>
      <c r="N11" s="3279">
        <v>0.26253298153034299</v>
      </c>
      <c r="O11" s="3279">
        <v>0.24680306905370844</v>
      </c>
      <c r="P11" s="3279">
        <v>0.21199999999999999</v>
      </c>
    </row>
    <row r="12" spans="2:16" ht="14.4">
      <c r="B12" s="3277" t="s">
        <v>11</v>
      </c>
      <c r="C12" s="3278">
        <v>0.13548387096774195</v>
      </c>
      <c r="D12" s="3278">
        <v>0.12804878048780488</v>
      </c>
      <c r="E12" s="3278">
        <v>0.125</v>
      </c>
      <c r="F12" s="3278">
        <v>0.13122171945701358</v>
      </c>
      <c r="G12" s="3278">
        <v>0.16538461538461538</v>
      </c>
      <c r="H12" s="3278">
        <v>0.16408668730650156</v>
      </c>
      <c r="I12" s="3278">
        <v>0.14248021108179421</v>
      </c>
      <c r="J12" s="3278">
        <v>0.15144766146993319</v>
      </c>
      <c r="K12" s="3279">
        <v>0.15495867768595042</v>
      </c>
      <c r="L12" s="3279">
        <v>0.2058252427184466</v>
      </c>
      <c r="M12" s="3279">
        <v>0.1490125673249551</v>
      </c>
      <c r="N12" s="3279">
        <v>0.14840989399293286</v>
      </c>
      <c r="O12" s="3279">
        <v>0.18739352640545145</v>
      </c>
      <c r="P12" s="3279">
        <v>0.20399999999999999</v>
      </c>
    </row>
    <row r="13" spans="2:16" ht="14.4">
      <c r="B13" s="3277" t="s">
        <v>12</v>
      </c>
      <c r="C13" s="3278">
        <v>0.19656283566058003</v>
      </c>
      <c r="D13" s="3278">
        <v>0.19804134929270947</v>
      </c>
      <c r="E13" s="3278">
        <v>0.20267489711934156</v>
      </c>
      <c r="F13" s="3278">
        <v>0.20317145688800792</v>
      </c>
      <c r="G13" s="3278">
        <v>0.2300469483568075</v>
      </c>
      <c r="H13" s="3278">
        <v>0.24904580152671757</v>
      </c>
      <c r="I13" s="3278">
        <v>0.26937984496124029</v>
      </c>
      <c r="J13" s="3278">
        <v>0.28741328047571851</v>
      </c>
      <c r="K13" s="3279">
        <v>0.32075471698113206</v>
      </c>
      <c r="L13" s="3279">
        <v>0.34984193888303478</v>
      </c>
      <c r="M13" s="3279">
        <v>0.28417266187050361</v>
      </c>
      <c r="N13" s="3279">
        <v>0.27545691906005221</v>
      </c>
      <c r="O13" s="3279">
        <v>0.31757575757575757</v>
      </c>
      <c r="P13" s="3279">
        <v>0.30099999999999999</v>
      </c>
    </row>
    <row r="14" spans="2:16" ht="14.4">
      <c r="B14" s="3277" t="s">
        <v>13</v>
      </c>
      <c r="C14" s="3278">
        <v>0.1488469601677149</v>
      </c>
      <c r="D14" s="3278">
        <v>0.14347590687601516</v>
      </c>
      <c r="E14" s="3278">
        <v>0.14827586206896551</v>
      </c>
      <c r="F14" s="3278">
        <v>0.15393866506313891</v>
      </c>
      <c r="G14" s="3278">
        <v>0.15119047619047618</v>
      </c>
      <c r="H14" s="3278">
        <v>0.15246338215712382</v>
      </c>
      <c r="I14" s="3278">
        <v>0.1643330876934414</v>
      </c>
      <c r="J14" s="3278">
        <v>0.18362282878411912</v>
      </c>
      <c r="K14" s="3279">
        <v>0.20194174757281552</v>
      </c>
      <c r="L14" s="3279">
        <v>0.23902894491129786</v>
      </c>
      <c r="M14" s="3279">
        <v>0.19503945885005636</v>
      </c>
      <c r="N14" s="3279">
        <v>0.1848404255319149</v>
      </c>
      <c r="O14" s="3279">
        <v>0.16026490066225166</v>
      </c>
      <c r="P14" s="3279">
        <v>0.12944162436548223</v>
      </c>
    </row>
    <row r="15" spans="2:16" ht="14.4">
      <c r="B15" s="3277" t="s">
        <v>14</v>
      </c>
      <c r="C15" s="3278">
        <v>7.7952755905511817E-2</v>
      </c>
      <c r="D15" s="3278">
        <v>0.10605074821080027</v>
      </c>
      <c r="E15" s="3278">
        <v>0.11848601206801974</v>
      </c>
      <c r="F15" s="3278">
        <v>0.14004914004914004</v>
      </c>
      <c r="G15" s="3278">
        <v>0.17739694302918019</v>
      </c>
      <c r="H15" s="3278">
        <v>0.18327117741076185</v>
      </c>
      <c r="I15" s="3278">
        <v>0.19645042839657284</v>
      </c>
      <c r="J15" s="3278">
        <v>0.22970007315288954</v>
      </c>
      <c r="K15" s="3279">
        <v>0.2549526270456503</v>
      </c>
      <c r="L15" s="3279">
        <v>0.26926263463131733</v>
      </c>
      <c r="M15" s="3279">
        <v>0.23265741728922093</v>
      </c>
      <c r="N15" s="3279">
        <v>0.23381294964028776</v>
      </c>
      <c r="O15" s="3279">
        <v>0.22020431328036322</v>
      </c>
      <c r="P15" s="3279">
        <v>0.1942800788954635</v>
      </c>
    </row>
    <row r="16" spans="2:16" ht="14.4">
      <c r="B16" s="3280" t="s">
        <v>482</v>
      </c>
      <c r="C16" s="3281">
        <v>0.15219327543976843</v>
      </c>
      <c r="D16" s="3281">
        <v>0.15830157866086009</v>
      </c>
      <c r="E16" s="3281">
        <v>0.16088980858768753</v>
      </c>
      <c r="F16" s="3281">
        <v>0.17769620001984324</v>
      </c>
      <c r="G16" s="3281">
        <v>0.18616129633078785</v>
      </c>
      <c r="H16" s="3281">
        <v>0.19411480945489629</v>
      </c>
      <c r="I16" s="3281">
        <v>0.20811623246492986</v>
      </c>
      <c r="J16" s="3281">
        <v>0.24150903960706449</v>
      </c>
      <c r="K16" s="3282">
        <v>0.27037249283667619</v>
      </c>
      <c r="L16" s="3282">
        <v>0.30486604702022962</v>
      </c>
      <c r="M16" s="3282">
        <v>0.26034912718204489</v>
      </c>
      <c r="N16" s="3282">
        <v>0.25389876880984952</v>
      </c>
      <c r="O16" s="3282">
        <v>0.253</v>
      </c>
      <c r="P16" s="3282">
        <v>0.22700000000000001</v>
      </c>
    </row>
    <row r="17" spans="2:16" ht="14.4">
      <c r="B17" s="3277" t="s">
        <v>17</v>
      </c>
      <c r="C17" s="3278">
        <v>0.49312169312169313</v>
      </c>
      <c r="D17" s="3278">
        <v>0.47207303974221265</v>
      </c>
      <c r="E17" s="3278">
        <v>0.47120418848167539</v>
      </c>
      <c r="F17" s="3278">
        <v>0.49844398340248963</v>
      </c>
      <c r="G17" s="3278">
        <v>0.5179593961478397</v>
      </c>
      <c r="H17" s="3278">
        <v>0.56949152542372883</v>
      </c>
      <c r="I17" s="3278">
        <v>0.57760532150776056</v>
      </c>
      <c r="J17" s="3278">
        <v>0.58934337997847153</v>
      </c>
      <c r="K17" s="3279">
        <v>0.61430119176598053</v>
      </c>
      <c r="L17" s="3279">
        <v>0.64737121614445037</v>
      </c>
      <c r="M17" s="3279">
        <v>0.58782701548318206</v>
      </c>
      <c r="N17" s="3279">
        <v>0.57925223802001058</v>
      </c>
      <c r="O17" s="3279">
        <v>0.51904761904761909</v>
      </c>
      <c r="P17" s="3279">
        <v>0.47890588780713955</v>
      </c>
    </row>
    <row r="18" spans="2:16" ht="14.4">
      <c r="B18" s="3277" t="s">
        <v>18</v>
      </c>
      <c r="C18" s="3278">
        <v>0.47844019497562806</v>
      </c>
      <c r="D18" s="3278">
        <v>0.47212475633528267</v>
      </c>
      <c r="E18" s="3278">
        <v>0.46901300688599845</v>
      </c>
      <c r="F18" s="3278">
        <v>0.51156617368221469</v>
      </c>
      <c r="G18" s="3278">
        <v>0.51145324821629745</v>
      </c>
      <c r="H18" s="3278">
        <v>0.54517254749903066</v>
      </c>
      <c r="I18" s="3278">
        <v>0.5505742867728789</v>
      </c>
      <c r="J18" s="3278">
        <v>0.56676036542515806</v>
      </c>
      <c r="K18" s="3279">
        <v>0.59516513449097719</v>
      </c>
      <c r="L18" s="3279">
        <v>0.62920973657885959</v>
      </c>
      <c r="M18" s="3279">
        <v>0.59114927344782031</v>
      </c>
      <c r="N18" s="3279">
        <v>0.59475409836065574</v>
      </c>
      <c r="O18" s="3279">
        <v>0.51778774289985052</v>
      </c>
      <c r="P18" s="3279">
        <v>0.47298884321785084</v>
      </c>
    </row>
    <row r="19" spans="2:16" ht="14.4">
      <c r="B19" s="3277" t="s">
        <v>19</v>
      </c>
      <c r="C19" s="3278">
        <v>0.24616626311541565</v>
      </c>
      <c r="D19" s="3278">
        <v>0.24552845528455283</v>
      </c>
      <c r="E19" s="3278">
        <v>0.24019215372297839</v>
      </c>
      <c r="F19" s="3278">
        <v>0.25604996096799376</v>
      </c>
      <c r="G19" s="3278">
        <v>0.23899848254931716</v>
      </c>
      <c r="H19" s="3278">
        <v>0.26750000000000002</v>
      </c>
      <c r="I19" s="3278">
        <v>0.26586345381526105</v>
      </c>
      <c r="J19" s="3278">
        <v>0.27538461538461539</v>
      </c>
      <c r="K19" s="3279">
        <v>0.28821656050955413</v>
      </c>
      <c r="L19" s="3279">
        <v>0.31910112359550563</v>
      </c>
      <c r="M19" s="3279">
        <v>0.24197002141327623</v>
      </c>
      <c r="N19" s="3279">
        <v>0.19853431045969352</v>
      </c>
      <c r="O19" s="3279">
        <v>0.1726457399103139</v>
      </c>
      <c r="P19" s="3279">
        <v>0.15851063829787235</v>
      </c>
    </row>
    <row r="20" spans="2:16" ht="14.4">
      <c r="B20" s="3277" t="s">
        <v>20</v>
      </c>
      <c r="C20" s="3278">
        <v>0.21460843373493976</v>
      </c>
      <c r="D20" s="3278">
        <v>0.22427035330261136</v>
      </c>
      <c r="E20" s="3278">
        <v>0.21667907669396871</v>
      </c>
      <c r="F20" s="3278">
        <v>0.24084919472913616</v>
      </c>
      <c r="G20" s="3278">
        <v>0.25478645066273931</v>
      </c>
      <c r="H20" s="3278">
        <v>0.2935560859188544</v>
      </c>
      <c r="I20" s="3278">
        <v>0.28375286041189929</v>
      </c>
      <c r="J20" s="3278">
        <v>0.30524759793052475</v>
      </c>
      <c r="K20" s="3279">
        <v>0.32030075187969925</v>
      </c>
      <c r="L20" s="3279">
        <v>0.35761107064821557</v>
      </c>
      <c r="M20" s="3279">
        <v>0.2923760177646188</v>
      </c>
      <c r="N20" s="3279">
        <v>0.29686360320933625</v>
      </c>
      <c r="O20" s="3279">
        <v>0.26975832789026782</v>
      </c>
      <c r="P20" s="3279">
        <v>0.25933075933075933</v>
      </c>
    </row>
    <row r="21" spans="2:16" ht="14.4">
      <c r="B21" s="3280" t="s">
        <v>483</v>
      </c>
      <c r="C21" s="3281">
        <v>0.39275687815833799</v>
      </c>
      <c r="D21" s="3281">
        <v>0.38568759879293002</v>
      </c>
      <c r="E21" s="3281">
        <v>0.38181562675660485</v>
      </c>
      <c r="F21" s="3281">
        <v>0.41139767054908488</v>
      </c>
      <c r="G21" s="3281">
        <v>0.41570247933884297</v>
      </c>
      <c r="H21" s="3281">
        <v>0.4560681751395827</v>
      </c>
      <c r="I21" s="3281">
        <v>0.45771355716107098</v>
      </c>
      <c r="J21" s="3281">
        <v>0.47288296860133205</v>
      </c>
      <c r="K21" s="3282">
        <v>0.49803229746234223</v>
      </c>
      <c r="L21" s="3282">
        <v>0.53003952569169965</v>
      </c>
      <c r="M21" s="3282">
        <v>0.47367045603031493</v>
      </c>
      <c r="N21" s="3282">
        <v>0.46272855133614627</v>
      </c>
      <c r="O21" s="3282">
        <v>0.40400000000000003</v>
      </c>
      <c r="P21" s="3282">
        <v>0.372</v>
      </c>
    </row>
    <row r="22" spans="2:16" ht="14.4">
      <c r="B22" s="3277" t="s">
        <v>22</v>
      </c>
      <c r="C22" s="3278">
        <v>0.40179104477611938</v>
      </c>
      <c r="D22" s="3278">
        <v>0.38416075650118203</v>
      </c>
      <c r="E22" s="3278">
        <v>0.36225975538730343</v>
      </c>
      <c r="F22" s="3278">
        <v>0.38242142025611175</v>
      </c>
      <c r="G22" s="3278">
        <v>0.37815126050420167</v>
      </c>
      <c r="H22" s="3278">
        <v>0.40509725016767273</v>
      </c>
      <c r="I22" s="3278">
        <v>0.40697674418604651</v>
      </c>
      <c r="J22" s="3278">
        <v>0.44788732394366199</v>
      </c>
      <c r="K22" s="3279">
        <v>0.4708554125662377</v>
      </c>
      <c r="L22" s="3279">
        <v>0.51130561633843907</v>
      </c>
      <c r="M22" s="3279">
        <v>0.48837209302325579</v>
      </c>
      <c r="N22" s="3279">
        <v>0.44284632853898559</v>
      </c>
      <c r="O22" s="3279">
        <v>0.40352020860495436</v>
      </c>
      <c r="P22" s="3279">
        <v>0.37515299877600977</v>
      </c>
    </row>
    <row r="23" spans="2:16" ht="14.4">
      <c r="B23" s="3277" t="s">
        <v>23</v>
      </c>
      <c r="C23" s="3278">
        <v>0.53054448871181936</v>
      </c>
      <c r="D23" s="3278">
        <v>0.5332446808510638</v>
      </c>
      <c r="E23" s="3278">
        <v>0.52649690295939433</v>
      </c>
      <c r="F23" s="3278">
        <v>0.52536231884057971</v>
      </c>
      <c r="G23" s="3278">
        <v>0.53276131045241815</v>
      </c>
      <c r="H23" s="3278">
        <v>0.53621981681931719</v>
      </c>
      <c r="I23" s="3278">
        <v>0.53255425709515858</v>
      </c>
      <c r="J23" s="3278">
        <v>0.55564142194744981</v>
      </c>
      <c r="K23" s="3279">
        <v>0.56175595238095233</v>
      </c>
      <c r="L23" s="3279">
        <v>0.60847333820306793</v>
      </c>
      <c r="M23" s="3279">
        <v>0.57401422107304456</v>
      </c>
      <c r="N23" s="3279">
        <v>0.58940809968847352</v>
      </c>
      <c r="O23" s="3279">
        <v>0.57340241796200342</v>
      </c>
      <c r="P23" s="3279">
        <v>0.53773584905660377</v>
      </c>
    </row>
    <row r="24" spans="2:16" ht="14.4">
      <c r="B24" s="3277" t="s">
        <v>24</v>
      </c>
      <c r="C24" s="3278">
        <v>0.39897435897435896</v>
      </c>
      <c r="D24" s="3278">
        <v>0.41675503711558853</v>
      </c>
      <c r="E24" s="3278">
        <v>0.42173913043478262</v>
      </c>
      <c r="F24" s="3278">
        <v>0.43970893970893971</v>
      </c>
      <c r="G24" s="3278">
        <v>0.46129707112970714</v>
      </c>
      <c r="H24" s="3278">
        <v>0.48537378114842905</v>
      </c>
      <c r="I24" s="3278">
        <v>0.49410503751339763</v>
      </c>
      <c r="J24" s="3278">
        <v>0.51530612244897955</v>
      </c>
      <c r="K24" s="3279">
        <v>0.54913880445795338</v>
      </c>
      <c r="L24" s="3279">
        <v>0.59507389162561575</v>
      </c>
      <c r="M24" s="3279">
        <v>0.53923357664233573</v>
      </c>
      <c r="N24" s="3279">
        <v>0.5669920141969832</v>
      </c>
      <c r="O24" s="3279">
        <v>0.52903225806451615</v>
      </c>
      <c r="P24" s="3279">
        <v>0.48880000000000001</v>
      </c>
    </row>
    <row r="25" spans="2:16" ht="14.4">
      <c r="B25" s="3280" t="s">
        <v>484</v>
      </c>
      <c r="C25" s="3281">
        <v>0.44778633301251203</v>
      </c>
      <c r="D25" s="3281">
        <v>0.44575984537327856</v>
      </c>
      <c r="E25" s="3281">
        <v>0.43398533007334961</v>
      </c>
      <c r="F25" s="3281">
        <v>0.44458128078817732</v>
      </c>
      <c r="G25" s="3281">
        <v>0.44928278688524592</v>
      </c>
      <c r="H25" s="3281">
        <v>0.46915629322268326</v>
      </c>
      <c r="I25" s="3281">
        <v>0.4714723072641247</v>
      </c>
      <c r="J25" s="3281">
        <v>0.50351922035733621</v>
      </c>
      <c r="K25" s="3282">
        <v>0.52546549835706458</v>
      </c>
      <c r="L25" s="3282">
        <v>0.56937416777629823</v>
      </c>
      <c r="M25" s="3282">
        <v>0.53676092544987142</v>
      </c>
      <c r="N25" s="3282">
        <v>0.53540587219343694</v>
      </c>
      <c r="O25" s="3282">
        <v>0.503</v>
      </c>
      <c r="P25" s="3282">
        <v>0.46800000000000003</v>
      </c>
    </row>
    <row r="26" spans="2:16" ht="15" customHeight="1">
      <c r="B26" s="3283" t="s">
        <v>105</v>
      </c>
      <c r="C26" s="2518">
        <v>0.29740400750172735</v>
      </c>
      <c r="D26" s="2518">
        <v>0.29497608834984962</v>
      </c>
      <c r="E26" s="2518">
        <v>0.28973216424704135</v>
      </c>
      <c r="F26" s="2518">
        <v>0.30738607091002762</v>
      </c>
      <c r="G26" s="2518">
        <v>0.30914984932882844</v>
      </c>
      <c r="H26" s="2518">
        <v>0.32772058116039643</v>
      </c>
      <c r="I26" s="2518">
        <v>0.33937572702597907</v>
      </c>
      <c r="J26" s="2518">
        <v>0.37099903006789525</v>
      </c>
      <c r="K26" s="2519">
        <v>0.40251190114453561</v>
      </c>
      <c r="L26" s="2519">
        <v>0.43674963396778915</v>
      </c>
      <c r="M26" s="2519">
        <v>0.39876297091448143</v>
      </c>
      <c r="N26" s="2519">
        <v>0.39850917431192662</v>
      </c>
      <c r="O26" s="2519">
        <v>0.371</v>
      </c>
      <c r="P26" s="2519">
        <v>0.33900000000000002</v>
      </c>
    </row>
    <row r="27" spans="2:16" ht="15" customHeight="1">
      <c r="B27" s="3284" t="s">
        <v>17</v>
      </c>
      <c r="C27" s="3285">
        <v>0.50467289719626163</v>
      </c>
      <c r="D27" s="3285">
        <v>0.54285714285714282</v>
      </c>
      <c r="E27" s="3285">
        <v>0.52301255230125521</v>
      </c>
      <c r="F27" s="3285">
        <v>0.59245283018867922</v>
      </c>
      <c r="G27" s="3285">
        <v>0.62962962962962965</v>
      </c>
      <c r="H27" s="3285">
        <v>0.64556962025316456</v>
      </c>
      <c r="I27" s="3285">
        <v>0.66319444444444442</v>
      </c>
      <c r="J27" s="3285">
        <v>0.63829787234042556</v>
      </c>
      <c r="K27" s="3286">
        <v>0.63043478260869568</v>
      </c>
      <c r="L27" s="3286">
        <v>0.6630824372759857</v>
      </c>
      <c r="M27" s="3286">
        <v>0.5714285714285714</v>
      </c>
      <c r="N27" s="3286">
        <v>0.57060518731988474</v>
      </c>
      <c r="O27" s="3286">
        <v>0.55867346938775508</v>
      </c>
      <c r="P27" s="3286">
        <v>0.57242990654205606</v>
      </c>
    </row>
    <row r="28" spans="2:16" ht="15" customHeight="1">
      <c r="B28" s="3277" t="s">
        <v>18</v>
      </c>
      <c r="C28" s="3278">
        <v>0.67647058823529416</v>
      </c>
      <c r="D28" s="3278">
        <v>0.67647058823529416</v>
      </c>
      <c r="E28" s="3278">
        <v>0.67647058823529416</v>
      </c>
      <c r="F28" s="3278">
        <v>0.67647058823529416</v>
      </c>
      <c r="G28" s="3278">
        <v>0.73529411764705888</v>
      </c>
      <c r="H28" s="3278">
        <v>0.75757575757575757</v>
      </c>
      <c r="I28" s="3278"/>
      <c r="J28" s="3278"/>
      <c r="K28" s="3279">
        <v>0.32596685082872928</v>
      </c>
      <c r="L28" s="3279"/>
      <c r="M28" s="3279">
        <v>0.5</v>
      </c>
      <c r="N28" s="3279">
        <v>0.56074766355140182</v>
      </c>
      <c r="O28" s="3279">
        <v>0.49006622516556292</v>
      </c>
      <c r="P28" s="3279">
        <v>0.45833333333333331</v>
      </c>
    </row>
    <row r="29" spans="2:16" ht="15" customHeight="1">
      <c r="B29" s="3277" t="s">
        <v>60</v>
      </c>
      <c r="C29" s="3278">
        <v>0</v>
      </c>
      <c r="D29" s="3278">
        <v>0.34782608695652173</v>
      </c>
      <c r="E29" s="3278">
        <v>0.56818181818181823</v>
      </c>
      <c r="F29" s="3278">
        <v>0.4838709677419355</v>
      </c>
      <c r="G29" s="3278">
        <v>0.43181818181818182</v>
      </c>
      <c r="H29" s="3278">
        <v>0.42268041237113402</v>
      </c>
      <c r="I29" s="3278">
        <v>0.38333333333333336</v>
      </c>
      <c r="J29" s="3278">
        <v>0.38666666666666666</v>
      </c>
      <c r="K29" s="3279">
        <v>0.19444444444444445</v>
      </c>
      <c r="L29" s="3279">
        <v>0.421875</v>
      </c>
      <c r="M29" s="3279">
        <v>0.32462686567164178</v>
      </c>
      <c r="N29" s="3279">
        <v>0.36451612903225805</v>
      </c>
      <c r="O29" s="3279">
        <v>0.34340659340659341</v>
      </c>
      <c r="P29" s="3279">
        <v>0.34085213032581452</v>
      </c>
    </row>
    <row r="30" spans="2:16" ht="15" customHeight="1">
      <c r="B30" s="3277" t="s">
        <v>384</v>
      </c>
      <c r="C30" s="3278"/>
      <c r="D30" s="3278">
        <v>0.1111111111111111</v>
      </c>
      <c r="E30" s="3278">
        <v>0.17241379310344829</v>
      </c>
      <c r="F30" s="3278">
        <v>0.19318181818181818</v>
      </c>
      <c r="G30" s="3278">
        <v>0.17094017094017094</v>
      </c>
      <c r="H30" s="3278">
        <v>0.23308270676691728</v>
      </c>
      <c r="I30" s="3278">
        <v>0.23749999999999999</v>
      </c>
      <c r="J30" s="3278">
        <v>0.24479166666666666</v>
      </c>
      <c r="K30" s="3279">
        <v>0.40861812778603268</v>
      </c>
      <c r="L30" s="3279">
        <v>0.23245614035087719</v>
      </c>
      <c r="M30" s="3279">
        <v>0.17375886524822695</v>
      </c>
      <c r="N30" s="3279">
        <v>0.17320261437908496</v>
      </c>
      <c r="O30" s="3279">
        <v>0.18508287292817679</v>
      </c>
      <c r="P30" s="3279">
        <v>0.17721518987341772</v>
      </c>
    </row>
    <row r="31" spans="2:16" ht="15" customHeight="1">
      <c r="B31" s="3280" t="s">
        <v>483</v>
      </c>
      <c r="C31" s="3281">
        <v>0.53846153846153844</v>
      </c>
      <c r="D31" s="3281">
        <v>0.49806949806949807</v>
      </c>
      <c r="E31" s="3281">
        <v>0.48799999999999999</v>
      </c>
      <c r="F31" s="3281">
        <v>0.50556792873051226</v>
      </c>
      <c r="G31" s="3281">
        <v>0.50373134328358204</v>
      </c>
      <c r="H31" s="3281">
        <v>0.51986183074265979</v>
      </c>
      <c r="I31" s="3281">
        <v>0.48415492957746481</v>
      </c>
      <c r="J31" s="3281">
        <v>0.45673076923076922</v>
      </c>
      <c r="K31" s="3282">
        <v>0.36749116607773852</v>
      </c>
      <c r="L31" s="3282">
        <v>0.4563662374821173</v>
      </c>
      <c r="M31" s="3282">
        <v>0.37566702241195304</v>
      </c>
      <c r="N31" s="3282">
        <v>0.39626168224299063</v>
      </c>
      <c r="O31" s="3282">
        <v>0.38200000000000001</v>
      </c>
      <c r="P31" s="3282">
        <v>0.38100000000000001</v>
      </c>
    </row>
    <row r="32" spans="2:16" ht="14.4">
      <c r="B32" s="3277" t="s">
        <v>62</v>
      </c>
      <c r="C32" s="3278">
        <v>0.34782608695652173</v>
      </c>
      <c r="D32" s="3278">
        <v>0.312</v>
      </c>
      <c r="E32" s="3278">
        <v>0.33519553072625696</v>
      </c>
      <c r="F32" s="3278">
        <v>0.32692307692307693</v>
      </c>
      <c r="G32" s="3278">
        <v>0.316</v>
      </c>
      <c r="H32" s="3278">
        <v>0.33948339483394835</v>
      </c>
      <c r="I32" s="3278">
        <v>0.32490974729241878</v>
      </c>
      <c r="J32" s="3278">
        <v>0.3611111111111111</v>
      </c>
      <c r="K32" s="3279">
        <v>0.2132701421800948</v>
      </c>
      <c r="L32" s="3279">
        <v>0.45051194539249145</v>
      </c>
      <c r="M32" s="3279">
        <v>0.38</v>
      </c>
      <c r="N32" s="3279">
        <v>0.42857142857142855</v>
      </c>
      <c r="O32" s="3279">
        <v>0.39635535307517084</v>
      </c>
      <c r="P32" s="3279">
        <v>0.35099999999999998</v>
      </c>
    </row>
    <row r="33" spans="2:16" ht="14.4">
      <c r="B33" s="3277" t="s">
        <v>385</v>
      </c>
      <c r="C33" s="3278"/>
      <c r="D33" s="3278">
        <v>7.1428571428571425E-2</v>
      </c>
      <c r="E33" s="3278">
        <v>0.08</v>
      </c>
      <c r="F33" s="3278">
        <v>5.5555555555555552E-2</v>
      </c>
      <c r="G33" s="3278">
        <v>6.3492063492063489E-2</v>
      </c>
      <c r="H33" s="3278">
        <v>0.1310344827586207</v>
      </c>
      <c r="I33" s="3278">
        <v>0.15083798882681565</v>
      </c>
      <c r="J33" s="3278">
        <v>0.16431924882629109</v>
      </c>
      <c r="K33" s="3279">
        <v>0.52160493827160492</v>
      </c>
      <c r="L33" s="3279">
        <v>0.25</v>
      </c>
      <c r="M33" s="3279">
        <v>0.18450184501845018</v>
      </c>
      <c r="N33" s="3279">
        <v>0.1870748299319728</v>
      </c>
      <c r="O33" s="3279">
        <v>0.16422287390029325</v>
      </c>
      <c r="P33" s="3279">
        <v>0.16</v>
      </c>
    </row>
    <row r="34" spans="2:16" ht="14.4">
      <c r="B34" s="3277" t="s">
        <v>63</v>
      </c>
      <c r="C34" s="3278">
        <v>0</v>
      </c>
      <c r="D34" s="3278">
        <v>0.27272727272727271</v>
      </c>
      <c r="E34" s="3278">
        <v>0.3925233644859813</v>
      </c>
      <c r="F34" s="3278">
        <v>0.39860139860139859</v>
      </c>
      <c r="G34" s="3278">
        <v>0.43010752688172044</v>
      </c>
      <c r="H34" s="3278">
        <v>0.41991341991341991</v>
      </c>
      <c r="I34" s="3278">
        <v>0.43369175627240142</v>
      </c>
      <c r="J34" s="3278">
        <v>0.50467289719626163</v>
      </c>
      <c r="K34" s="3279">
        <v>0.38875305623471884</v>
      </c>
      <c r="L34" s="3279">
        <v>0.57831325301204817</v>
      </c>
      <c r="M34" s="3279">
        <v>0.49880668257756561</v>
      </c>
      <c r="N34" s="3279">
        <v>0.52723311546840956</v>
      </c>
      <c r="O34" s="3279">
        <v>0.52362204724409445</v>
      </c>
      <c r="P34" s="3279">
        <v>0.50800000000000001</v>
      </c>
    </row>
    <row r="35" spans="2:16" ht="14.4">
      <c r="B35" s="3280" t="s">
        <v>486</v>
      </c>
      <c r="C35" s="3281">
        <v>0.34285714285714286</v>
      </c>
      <c r="D35" s="3281">
        <v>0.26923076923076922</v>
      </c>
      <c r="E35" s="3281">
        <v>0.31547619047619047</v>
      </c>
      <c r="F35" s="3281">
        <v>0.29478458049886619</v>
      </c>
      <c r="G35" s="3281">
        <v>0.29715302491103202</v>
      </c>
      <c r="H35" s="3281">
        <v>0.321483771251932</v>
      </c>
      <c r="I35" s="3281">
        <v>0.32380952380952382</v>
      </c>
      <c r="J35" s="3281">
        <v>0.36618004866180048</v>
      </c>
      <c r="K35" s="3282">
        <v>0.30801687763713081</v>
      </c>
      <c r="L35" s="3282">
        <v>0.44758539458186103</v>
      </c>
      <c r="M35" s="3282">
        <v>0.37692307692307692</v>
      </c>
      <c r="N35" s="3282">
        <v>0.40583554376657827</v>
      </c>
      <c r="O35" s="3282">
        <v>0.38500000000000001</v>
      </c>
      <c r="P35" s="3282">
        <v>0.36499999999999999</v>
      </c>
    </row>
    <row r="36" spans="2:16" ht="14.4">
      <c r="B36" s="3277" t="s">
        <v>14</v>
      </c>
      <c r="C36" s="3278">
        <v>0.32758620689655171</v>
      </c>
      <c r="D36" s="3278">
        <v>0.30208333333333331</v>
      </c>
      <c r="E36" s="3278">
        <v>0.28187919463087246</v>
      </c>
      <c r="F36" s="3278">
        <v>0.28888888888888886</v>
      </c>
      <c r="G36" s="3278">
        <v>0.30882352941176472</v>
      </c>
      <c r="H36" s="3278">
        <v>0.34975369458128081</v>
      </c>
      <c r="I36" s="3278">
        <v>0.30243902439024389</v>
      </c>
      <c r="J36" s="3278">
        <v>0.26666666666666666</v>
      </c>
      <c r="K36" s="3279">
        <v>0.24657534246575341</v>
      </c>
      <c r="L36" s="3279">
        <v>0.33333333333333331</v>
      </c>
      <c r="M36" s="3279">
        <v>0.19863013698630136</v>
      </c>
      <c r="N36" s="3279">
        <v>0.20060790273556231</v>
      </c>
      <c r="O36" s="3279">
        <v>0.21578947368421053</v>
      </c>
      <c r="P36" s="3279">
        <v>0.19500000000000001</v>
      </c>
    </row>
    <row r="37" spans="2:16" ht="14.4">
      <c r="B37" s="3277" t="s">
        <v>65</v>
      </c>
      <c r="C37" s="3278">
        <v>0.13333333333333333</v>
      </c>
      <c r="D37" s="3278">
        <v>9.0909090909090912E-2</v>
      </c>
      <c r="E37" s="3278">
        <v>0.11290322580645161</v>
      </c>
      <c r="F37" s="3278">
        <v>0.11627906976744186</v>
      </c>
      <c r="G37" s="3278">
        <v>0.11818181818181818</v>
      </c>
      <c r="H37" s="3278">
        <v>0.17699115044247787</v>
      </c>
      <c r="I37" s="3278">
        <v>0.1796875</v>
      </c>
      <c r="J37" s="3278">
        <v>0.21917808219178081</v>
      </c>
      <c r="K37" s="3279">
        <v>0.34193548387096773</v>
      </c>
      <c r="L37" s="3279">
        <v>0.28930817610062892</v>
      </c>
      <c r="M37" s="3279">
        <v>0.22560975609756098</v>
      </c>
      <c r="N37" s="3279">
        <v>0.30409356725146197</v>
      </c>
      <c r="O37" s="3279">
        <v>0.29064039408866993</v>
      </c>
      <c r="P37" s="3279">
        <v>0.309</v>
      </c>
    </row>
    <row r="38" spans="2:16" ht="14.4">
      <c r="B38" s="3277" t="s">
        <v>386</v>
      </c>
      <c r="C38" s="3278"/>
      <c r="D38" s="3278">
        <v>0</v>
      </c>
      <c r="E38" s="3278">
        <v>4.1666666666666664E-2</v>
      </c>
      <c r="F38" s="3278">
        <v>6.25E-2</v>
      </c>
      <c r="G38" s="3278">
        <v>0.11842105263157894</v>
      </c>
      <c r="H38" s="3278">
        <v>0.18604651162790697</v>
      </c>
      <c r="I38" s="3278">
        <v>0.29166666666666669</v>
      </c>
      <c r="J38" s="3278">
        <v>0.34745762711864409</v>
      </c>
      <c r="K38" s="3279">
        <v>0.4218009478672986</v>
      </c>
      <c r="L38" s="3279">
        <v>0.39156626506024095</v>
      </c>
      <c r="M38" s="3279">
        <v>0.33333333333333331</v>
      </c>
      <c r="N38" s="3279">
        <v>0.35686274509803922</v>
      </c>
      <c r="O38" s="3279">
        <v>0.30188679245283018</v>
      </c>
      <c r="P38" s="3279">
        <v>0.34300000000000003</v>
      </c>
    </row>
    <row r="39" spans="2:16" ht="14.4">
      <c r="B39" s="3277" t="s">
        <v>81</v>
      </c>
      <c r="C39" s="3278"/>
      <c r="D39" s="3278">
        <v>0</v>
      </c>
      <c r="E39" s="3278">
        <v>0</v>
      </c>
      <c r="F39" s="3278">
        <v>0</v>
      </c>
      <c r="G39" s="3278">
        <v>0.12121212121212122</v>
      </c>
      <c r="H39" s="3278">
        <v>0.15384615384615385</v>
      </c>
      <c r="I39" s="3278">
        <v>0.26666666666666666</v>
      </c>
      <c r="J39" s="3278">
        <v>0.36809815950920244</v>
      </c>
      <c r="K39" s="3279">
        <v>0.33511348464619495</v>
      </c>
      <c r="L39" s="3279">
        <v>0.51327433628318586</v>
      </c>
      <c r="M39" s="3279">
        <v>0.42105263157894735</v>
      </c>
      <c r="N39" s="3279">
        <v>0.48941798941798942</v>
      </c>
      <c r="O39" s="3279">
        <v>0.46681922196796338</v>
      </c>
      <c r="P39" s="3279">
        <v>0.443</v>
      </c>
    </row>
    <row r="40" spans="2:16" ht="14.4">
      <c r="B40" s="3280" t="s">
        <v>487</v>
      </c>
      <c r="C40" s="3281">
        <v>0.28767123287671231</v>
      </c>
      <c r="D40" s="3281">
        <v>0.23880597014925373</v>
      </c>
      <c r="E40" s="3281">
        <v>0.2109704641350211</v>
      </c>
      <c r="F40" s="3281">
        <v>0.20504731861198738</v>
      </c>
      <c r="G40" s="3281">
        <v>0.21040189125295508</v>
      </c>
      <c r="H40" s="3281">
        <v>0.25053533190578159</v>
      </c>
      <c r="I40" s="3281">
        <v>0.26411657559198543</v>
      </c>
      <c r="J40" s="3281">
        <v>0.29601226993865032</v>
      </c>
      <c r="K40" s="3282">
        <v>0.37678571428571428</v>
      </c>
      <c r="L40" s="3282">
        <v>0.38729763387297633</v>
      </c>
      <c r="M40" s="3282">
        <v>0.30701754385964913</v>
      </c>
      <c r="N40" s="3282">
        <v>0.34774933804060015</v>
      </c>
      <c r="O40" s="3282">
        <v>0.33</v>
      </c>
      <c r="P40" s="3282">
        <v>0.32600000000000001</v>
      </c>
    </row>
    <row r="41" spans="2:16" ht="14.4">
      <c r="B41" s="3283" t="s">
        <v>256</v>
      </c>
      <c r="C41" s="2518">
        <v>0.42657342657342656</v>
      </c>
      <c r="D41" s="2518">
        <v>0.36106489184692181</v>
      </c>
      <c r="E41" s="2518">
        <v>0.35759493670886078</v>
      </c>
      <c r="F41" s="2518">
        <v>0.3496271748135874</v>
      </c>
      <c r="G41" s="2518">
        <v>0.34582511505588431</v>
      </c>
      <c r="H41" s="2518">
        <v>0.36975782634376847</v>
      </c>
      <c r="I41" s="2518">
        <v>0.35529157667386607</v>
      </c>
      <c r="J41" s="2518">
        <v>0.3713060057197331</v>
      </c>
      <c r="K41" s="2519">
        <v>0.40151515151515149</v>
      </c>
      <c r="L41" s="2519">
        <v>0.42960442364951085</v>
      </c>
      <c r="M41" s="2519">
        <v>0.35264735264735264</v>
      </c>
      <c r="N41" s="2519">
        <v>0.38302339532093582</v>
      </c>
      <c r="O41" s="2519">
        <v>0.36499999999999999</v>
      </c>
      <c r="P41" s="2519">
        <v>0.35699999999999998</v>
      </c>
    </row>
    <row r="42" spans="2:16" ht="14.4">
      <c r="B42" s="3284" t="s">
        <v>26</v>
      </c>
      <c r="C42" s="3285">
        <v>0.23314606741573032</v>
      </c>
      <c r="D42" s="3285">
        <v>0.2341678939617084</v>
      </c>
      <c r="E42" s="3285">
        <v>0.22222222222222221</v>
      </c>
      <c r="F42" s="3285">
        <v>0.20792079207920791</v>
      </c>
      <c r="G42" s="3285">
        <v>0.21509971509971509</v>
      </c>
      <c r="H42" s="3285">
        <v>0.20930232558139536</v>
      </c>
      <c r="I42" s="3285">
        <v>0.17107309486780714</v>
      </c>
      <c r="J42" s="3285">
        <v>0.16220238095238096</v>
      </c>
      <c r="K42" s="3286">
        <v>0.22748815165876776</v>
      </c>
      <c r="L42" s="3286">
        <v>0.28125</v>
      </c>
      <c r="M42" s="3286">
        <v>0.22826086956521738</v>
      </c>
      <c r="N42" s="3286">
        <v>0.26519337016574585</v>
      </c>
      <c r="O42" s="3286">
        <v>0.26295336787564766</v>
      </c>
      <c r="P42" s="3286">
        <v>0.24299999999999999</v>
      </c>
    </row>
    <row r="43" spans="2:16" ht="14.4">
      <c r="B43" s="3277" t="s">
        <v>27</v>
      </c>
      <c r="C43" s="3278">
        <v>0.22222222222222221</v>
      </c>
      <c r="D43" s="3278">
        <v>0.20754716981132076</v>
      </c>
      <c r="E43" s="3278">
        <v>0.21008403361344538</v>
      </c>
      <c r="F43" s="3278">
        <v>0.18253968253968253</v>
      </c>
      <c r="G43" s="3278">
        <v>0.2421875</v>
      </c>
      <c r="H43" s="3278">
        <v>0.26771653543307089</v>
      </c>
      <c r="I43" s="3278">
        <v>0.24342105263157895</v>
      </c>
      <c r="J43" s="3278">
        <v>0.24848484848484848</v>
      </c>
      <c r="K43" s="3279">
        <v>0.19736842105263158</v>
      </c>
      <c r="L43" s="3279">
        <v>0.21511627906976744</v>
      </c>
      <c r="M43" s="3279">
        <v>0.14457831325301204</v>
      </c>
      <c r="N43" s="3279">
        <v>0.18518518518518517</v>
      </c>
      <c r="O43" s="3279">
        <v>0.20786516853932585</v>
      </c>
      <c r="P43" s="3279">
        <v>0.17499999999999999</v>
      </c>
    </row>
    <row r="44" spans="2:16" ht="14.4">
      <c r="B44" s="3277" t="s">
        <v>12</v>
      </c>
      <c r="C44" s="3278">
        <v>0.21852731591448932</v>
      </c>
      <c r="D44" s="3278">
        <v>0.23076923076923078</v>
      </c>
      <c r="E44" s="3278">
        <v>0.23076923076923078</v>
      </c>
      <c r="F44" s="3278">
        <v>0.24242424242424243</v>
      </c>
      <c r="G44" s="3278">
        <v>0.20080321285140562</v>
      </c>
      <c r="H44" s="3278">
        <v>0.20449897750511248</v>
      </c>
      <c r="I44" s="3278">
        <v>0.21212121212121213</v>
      </c>
      <c r="J44" s="3278">
        <v>0.20666666666666667</v>
      </c>
      <c r="K44" s="3279">
        <v>0.25850340136054423</v>
      </c>
      <c r="L44" s="3279">
        <v>0.32558139534883723</v>
      </c>
      <c r="M44" s="3279">
        <v>0.30144927536231886</v>
      </c>
      <c r="N44" s="3279">
        <v>0.34072900158478603</v>
      </c>
      <c r="O44" s="3279">
        <v>0.31539611360239161</v>
      </c>
      <c r="P44" s="3279">
        <v>0.28000000000000003</v>
      </c>
    </row>
    <row r="45" spans="2:16" ht="14.4">
      <c r="B45" s="3277" t="s">
        <v>28</v>
      </c>
      <c r="C45" s="3278">
        <v>0.203125</v>
      </c>
      <c r="D45" s="3278">
        <v>0.20952380952380953</v>
      </c>
      <c r="E45" s="3278">
        <v>0.21008403361344538</v>
      </c>
      <c r="F45" s="3278">
        <v>0.21108179419525067</v>
      </c>
      <c r="G45" s="3278">
        <v>0.1875</v>
      </c>
      <c r="H45" s="3278">
        <v>0.19362186788154898</v>
      </c>
      <c r="I45" s="3278">
        <v>0.18297872340425531</v>
      </c>
      <c r="J45" s="3278">
        <v>0.16489361702127658</v>
      </c>
      <c r="K45" s="3279">
        <v>0.22140221402214022</v>
      </c>
      <c r="L45" s="3279">
        <v>0.23809523809523808</v>
      </c>
      <c r="M45" s="3279">
        <v>0.21770682148040638</v>
      </c>
      <c r="N45" s="3279">
        <v>0.23413897280966767</v>
      </c>
      <c r="O45" s="3279">
        <v>0.23625557206537889</v>
      </c>
      <c r="P45" s="3279">
        <v>0.21199999999999999</v>
      </c>
    </row>
    <row r="46" spans="2:16" ht="14.4">
      <c r="B46" s="3277" t="s">
        <v>29</v>
      </c>
      <c r="C46" s="3278">
        <v>0.14736842105263157</v>
      </c>
      <c r="D46" s="3278">
        <v>0.15555555555555556</v>
      </c>
      <c r="E46" s="3278">
        <v>0.156794425087108</v>
      </c>
      <c r="F46" s="3278">
        <v>0.1366906474820144</v>
      </c>
      <c r="G46" s="3278">
        <v>0.14117647058823529</v>
      </c>
      <c r="H46" s="3278">
        <v>0.16402116402116401</v>
      </c>
      <c r="I46" s="3278">
        <v>0.17456896551724138</v>
      </c>
      <c r="J46" s="3278">
        <v>0.19038461538461537</v>
      </c>
      <c r="K46" s="3279">
        <v>0.2283464566929134</v>
      </c>
      <c r="L46" s="3279">
        <v>0.24020442930153321</v>
      </c>
      <c r="M46" s="3279">
        <v>0.2050919377652051</v>
      </c>
      <c r="N46" s="3279">
        <v>0.24647887323943662</v>
      </c>
      <c r="O46" s="3279">
        <v>0.23626373626373626</v>
      </c>
      <c r="P46" s="3279">
        <v>0.23400000000000001</v>
      </c>
    </row>
    <row r="47" spans="2:16" ht="14.4">
      <c r="B47" s="3277" t="s">
        <v>13</v>
      </c>
      <c r="C47" s="3278">
        <v>0.19887005649717515</v>
      </c>
      <c r="D47" s="3278">
        <v>0.19202898550724637</v>
      </c>
      <c r="E47" s="3278">
        <v>0.20519159456118666</v>
      </c>
      <c r="F47" s="3278">
        <v>0.18863049095607234</v>
      </c>
      <c r="G47" s="3278">
        <v>0.19894598155467721</v>
      </c>
      <c r="H47" s="3278">
        <v>0.22839506172839505</v>
      </c>
      <c r="I47" s="3278">
        <v>0.22968749999999999</v>
      </c>
      <c r="J47" s="3278">
        <v>0.20472440944881889</v>
      </c>
      <c r="K47" s="3279">
        <v>0.22500000000000001</v>
      </c>
      <c r="L47" s="3279">
        <v>0.25728155339805825</v>
      </c>
      <c r="M47" s="3279">
        <v>0.24607329842931938</v>
      </c>
      <c r="N47" s="3279">
        <v>0.21869158878504674</v>
      </c>
      <c r="O47" s="3279">
        <v>0.19823008849557522</v>
      </c>
      <c r="P47" s="3279">
        <v>0.17499999999999999</v>
      </c>
    </row>
    <row r="48" spans="2:16" ht="14.4">
      <c r="B48" s="3277" t="s">
        <v>30</v>
      </c>
      <c r="C48" s="3278">
        <v>8.9316987740805598E-2</v>
      </c>
      <c r="D48" s="3278">
        <v>0.10246679316888045</v>
      </c>
      <c r="E48" s="3278">
        <v>0.10912343470483005</v>
      </c>
      <c r="F48" s="3278">
        <v>0.14519056261343014</v>
      </c>
      <c r="G48" s="3278">
        <v>0.17803030303030304</v>
      </c>
      <c r="H48" s="3278">
        <v>0.22332506203473945</v>
      </c>
      <c r="I48" s="3278">
        <v>0.21707317073170732</v>
      </c>
      <c r="J48" s="3278">
        <v>0.2052505966587112</v>
      </c>
      <c r="K48" s="3279">
        <v>0.24040920716112532</v>
      </c>
      <c r="L48" s="3279">
        <v>0.25507900677200901</v>
      </c>
      <c r="M48" s="3279">
        <v>0.20245398773006135</v>
      </c>
      <c r="N48" s="3279">
        <v>0.18837675350701402</v>
      </c>
      <c r="O48" s="3279">
        <v>0.16840277777777779</v>
      </c>
      <c r="P48" s="3279">
        <v>0.16700000000000001</v>
      </c>
    </row>
    <row r="49" spans="2:16" ht="14.4">
      <c r="B49" s="3277" t="s">
        <v>31</v>
      </c>
      <c r="C49" s="3278">
        <v>0.21666666666666667</v>
      </c>
      <c r="D49" s="3278">
        <v>0.24031007751937986</v>
      </c>
      <c r="E49" s="3278">
        <v>0.24096385542168675</v>
      </c>
      <c r="F49" s="3278">
        <v>0.25842696629213485</v>
      </c>
      <c r="G49" s="3278">
        <v>0.24401913875598086</v>
      </c>
      <c r="H49" s="3278">
        <v>0.24215246636771301</v>
      </c>
      <c r="I49" s="3278">
        <v>0.23484848484848486</v>
      </c>
      <c r="J49" s="3278">
        <v>0.22085889570552147</v>
      </c>
      <c r="K49" s="3279">
        <v>0.27272727272727271</v>
      </c>
      <c r="L49" s="3279">
        <v>0.29914529914529914</v>
      </c>
      <c r="M49" s="3279">
        <v>0.21666666666666667</v>
      </c>
      <c r="N49" s="3279">
        <v>0.2413793103448276</v>
      </c>
      <c r="O49" s="3279">
        <v>0.22764227642276422</v>
      </c>
      <c r="P49" s="3279">
        <v>0.219</v>
      </c>
    </row>
    <row r="50" spans="2:16" ht="14.4">
      <c r="B50" s="3277" t="s">
        <v>32</v>
      </c>
      <c r="C50" s="3278">
        <v>0.1720524017467249</v>
      </c>
      <c r="D50" s="3278">
        <v>0.17715827338129497</v>
      </c>
      <c r="E50" s="3278">
        <v>0.18123275068997241</v>
      </c>
      <c r="F50" s="3278">
        <v>0.18731988472622479</v>
      </c>
      <c r="G50" s="3278">
        <v>0.17948717948717949</v>
      </c>
      <c r="H50" s="3278">
        <v>0.19018404907975461</v>
      </c>
      <c r="I50" s="3278">
        <v>0.18527918781725888</v>
      </c>
      <c r="J50" s="3278">
        <v>0.2050955414012739</v>
      </c>
      <c r="K50" s="3279">
        <v>0.25534950071326679</v>
      </c>
      <c r="L50" s="3279">
        <v>0.29319371727748689</v>
      </c>
      <c r="M50" s="3279">
        <v>0.26591230551626593</v>
      </c>
      <c r="N50" s="3279">
        <v>0.28527607361963192</v>
      </c>
      <c r="O50" s="3279">
        <v>0.24251497005988024</v>
      </c>
      <c r="P50" s="3279">
        <v>0.221</v>
      </c>
    </row>
    <row r="51" spans="2:16" ht="14.4">
      <c r="B51" s="2423" t="s">
        <v>2659</v>
      </c>
      <c r="C51" s="3278"/>
      <c r="D51" s="3278"/>
      <c r="E51" s="3278"/>
      <c r="F51" s="3278"/>
      <c r="G51" s="3278"/>
      <c r="H51" s="3278"/>
      <c r="I51" s="3278"/>
      <c r="J51" s="3278"/>
      <c r="K51" s="3279"/>
      <c r="L51" s="3279"/>
      <c r="M51" s="3279">
        <v>0</v>
      </c>
      <c r="N51" s="3279">
        <v>0</v>
      </c>
      <c r="O51" s="3279">
        <v>1.5384615384615385E-2</v>
      </c>
      <c r="P51" s="3279">
        <v>2.1999999999999999E-2</v>
      </c>
    </row>
    <row r="52" spans="2:16" ht="14.4">
      <c r="B52" s="3280" t="s">
        <v>482</v>
      </c>
      <c r="C52" s="3281">
        <v>0.18363317244405442</v>
      </c>
      <c r="D52" s="3281">
        <v>0.18837262531471732</v>
      </c>
      <c r="E52" s="3281">
        <v>0.19118628978410862</v>
      </c>
      <c r="F52" s="3281">
        <v>0.19247143177235043</v>
      </c>
      <c r="G52" s="3281">
        <v>0.19286025250326513</v>
      </c>
      <c r="H52" s="3281">
        <v>0.20710343172546197</v>
      </c>
      <c r="I52" s="3281">
        <v>0.19958706125258086</v>
      </c>
      <c r="J52" s="3281">
        <v>0.19526248399487836</v>
      </c>
      <c r="K52" s="3282">
        <v>0.23842117271275381</v>
      </c>
      <c r="L52" s="3282">
        <v>0.27207977207977208</v>
      </c>
      <c r="M52" s="3282">
        <v>0.23341665064410691</v>
      </c>
      <c r="N52" s="3282">
        <v>0.25123737873688379</v>
      </c>
      <c r="O52" s="3282">
        <v>0.23499999999999999</v>
      </c>
      <c r="P52" s="3282">
        <v>0.216</v>
      </c>
    </row>
    <row r="53" spans="2:16" ht="14.4">
      <c r="B53" s="3277" t="s">
        <v>17</v>
      </c>
      <c r="C53" s="3278">
        <v>0.47701149425287354</v>
      </c>
      <c r="D53" s="3278">
        <v>0.46097560975609758</v>
      </c>
      <c r="E53" s="3278">
        <v>0.44503862150920975</v>
      </c>
      <c r="F53" s="3278">
        <v>0.48390871854885897</v>
      </c>
      <c r="G53" s="3278">
        <v>0.50058139534883717</v>
      </c>
      <c r="H53" s="3278">
        <v>0.5425330812854442</v>
      </c>
      <c r="I53" s="3278">
        <v>0.53409090909090906</v>
      </c>
      <c r="J53" s="3278">
        <v>0.53417721518987338</v>
      </c>
      <c r="K53" s="3279">
        <v>0.55771812080536909</v>
      </c>
      <c r="L53" s="3279">
        <v>0.59605263157894739</v>
      </c>
      <c r="M53" s="3279">
        <v>0.55904961565338929</v>
      </c>
      <c r="N53" s="3279">
        <v>0.57224199288256228</v>
      </c>
      <c r="O53" s="3279">
        <v>0.51817580964970256</v>
      </c>
      <c r="P53" s="3279">
        <v>0.497</v>
      </c>
    </row>
    <row r="54" spans="2:16" ht="14.4">
      <c r="B54" s="3277" t="s">
        <v>33</v>
      </c>
      <c r="C54" s="3278">
        <v>0.22631578947368422</v>
      </c>
      <c r="D54" s="3278">
        <v>0.23658536585365852</v>
      </c>
      <c r="E54" s="3278">
        <v>0.27166276346604218</v>
      </c>
      <c r="F54" s="3278">
        <v>0.28411633109619688</v>
      </c>
      <c r="G54" s="3278">
        <v>0.28144989339019189</v>
      </c>
      <c r="H54" s="3278">
        <v>0.30979498861047838</v>
      </c>
      <c r="I54" s="3278">
        <v>0.33874709976798145</v>
      </c>
      <c r="J54" s="3278">
        <v>0.33554083885209712</v>
      </c>
      <c r="K54" s="3279">
        <v>0.33333333333333331</v>
      </c>
      <c r="L54" s="3279">
        <v>0.36926605504587157</v>
      </c>
      <c r="M54" s="3279">
        <v>0.29656862745098039</v>
      </c>
      <c r="N54" s="3279">
        <v>0.26075949367088608</v>
      </c>
      <c r="O54" s="3279">
        <v>0.22388059701492538</v>
      </c>
      <c r="P54" s="3279">
        <v>0.188</v>
      </c>
    </row>
    <row r="55" spans="2:16" ht="14.4">
      <c r="B55" s="3277" t="s">
        <v>34</v>
      </c>
      <c r="C55" s="3278">
        <v>0.24660633484162897</v>
      </c>
      <c r="D55" s="3278">
        <v>0.26813186813186812</v>
      </c>
      <c r="E55" s="3278">
        <v>0.27982646420824298</v>
      </c>
      <c r="F55" s="3278">
        <v>0.31847133757961782</v>
      </c>
      <c r="G55" s="3278">
        <v>0.32285115303983231</v>
      </c>
      <c r="H55" s="3278">
        <v>0.32882882882882886</v>
      </c>
      <c r="I55" s="3278">
        <v>0.3</v>
      </c>
      <c r="J55" s="3278">
        <v>0.26898047722342733</v>
      </c>
      <c r="K55" s="3279">
        <v>0.2930232558139535</v>
      </c>
      <c r="L55" s="3279">
        <v>0.32959641255605382</v>
      </c>
      <c r="M55" s="3279">
        <v>0.2863741339491917</v>
      </c>
      <c r="N55" s="3279">
        <v>0.2791762013729977</v>
      </c>
      <c r="O55" s="3279">
        <v>0.28628230616302186</v>
      </c>
      <c r="P55" s="3279">
        <v>0.27300000000000002</v>
      </c>
    </row>
    <row r="56" spans="2:16" ht="14.4">
      <c r="B56" s="3277" t="s">
        <v>35</v>
      </c>
      <c r="C56" s="3278">
        <v>0.2753303964757709</v>
      </c>
      <c r="D56" s="3278">
        <v>0.29764453961456105</v>
      </c>
      <c r="E56" s="3278">
        <v>0.27766179540709812</v>
      </c>
      <c r="F56" s="3278">
        <v>0.30443548387096775</v>
      </c>
      <c r="G56" s="3278">
        <v>0.30360531309297911</v>
      </c>
      <c r="H56" s="3278">
        <v>0.32525252525252524</v>
      </c>
      <c r="I56" s="3278">
        <v>0.33603238866396762</v>
      </c>
      <c r="J56" s="3278">
        <v>0.2950191570881226</v>
      </c>
      <c r="K56" s="3279">
        <v>0.29317269076305219</v>
      </c>
      <c r="L56" s="3279">
        <v>0.33269961977186313</v>
      </c>
      <c r="M56" s="3279">
        <v>0.27380952380952384</v>
      </c>
      <c r="N56" s="3279">
        <v>0.24505928853754941</v>
      </c>
      <c r="O56" s="3279">
        <v>0.18855218855218855</v>
      </c>
      <c r="P56" s="3279">
        <v>0.17799999999999999</v>
      </c>
    </row>
    <row r="57" spans="2:16" ht="14.4">
      <c r="B57" s="3277" t="s">
        <v>19</v>
      </c>
      <c r="C57" s="3278">
        <v>0.375</v>
      </c>
      <c r="D57" s="3278">
        <v>0.3716216216216216</v>
      </c>
      <c r="E57" s="3278">
        <v>0.35164835164835168</v>
      </c>
      <c r="F57" s="3278">
        <v>0.35809806835066865</v>
      </c>
      <c r="G57" s="3278">
        <v>0.34357541899441341</v>
      </c>
      <c r="H57" s="3278">
        <v>0.38461538461538464</v>
      </c>
      <c r="I57" s="3278">
        <v>0.36737588652482267</v>
      </c>
      <c r="J57" s="3278">
        <v>0.37823129251700682</v>
      </c>
      <c r="K57" s="3279">
        <v>0.35655737704918034</v>
      </c>
      <c r="L57" s="3279">
        <v>0.38910505836575876</v>
      </c>
      <c r="M57" s="3279">
        <v>0.35347043701799485</v>
      </c>
      <c r="N57" s="3279">
        <v>0.35324015247776364</v>
      </c>
      <c r="O57" s="3279">
        <v>0.30968468468468469</v>
      </c>
      <c r="P57" s="3279">
        <v>0.29199999999999998</v>
      </c>
    </row>
    <row r="58" spans="2:16" ht="14.4">
      <c r="B58" s="3277" t="s">
        <v>20</v>
      </c>
      <c r="C58" s="3278">
        <v>0.30782918149466193</v>
      </c>
      <c r="D58" s="3278">
        <v>0.3172905525846702</v>
      </c>
      <c r="E58" s="3278">
        <v>0.29609929078014185</v>
      </c>
      <c r="F58" s="3278">
        <v>0.3127208480565371</v>
      </c>
      <c r="G58" s="3278">
        <v>0.33333333333333331</v>
      </c>
      <c r="H58" s="3278">
        <v>0.34179357021996615</v>
      </c>
      <c r="I58" s="3278">
        <v>0.34285714285714286</v>
      </c>
      <c r="J58" s="3278">
        <v>0.35008103727714751</v>
      </c>
      <c r="K58" s="3279">
        <v>0.35284552845528455</v>
      </c>
      <c r="L58" s="3279">
        <v>0.38141025641025639</v>
      </c>
      <c r="M58" s="3279">
        <v>0.31612903225806449</v>
      </c>
      <c r="N58" s="3279">
        <v>0.3395585738539898</v>
      </c>
      <c r="O58" s="3279">
        <v>0.28460342146189738</v>
      </c>
      <c r="P58" s="3279">
        <v>0.25600000000000001</v>
      </c>
    </row>
    <row r="59" spans="2:16" ht="14.4">
      <c r="B59" s="3277" t="s">
        <v>36</v>
      </c>
      <c r="C59" s="3278">
        <v>0.23851590106007067</v>
      </c>
      <c r="D59" s="3278">
        <v>0.22280701754385965</v>
      </c>
      <c r="E59" s="3278">
        <v>0.22608695652173913</v>
      </c>
      <c r="F59" s="3278">
        <v>0.23378839590443687</v>
      </c>
      <c r="G59" s="3278">
        <v>0.23688663282571912</v>
      </c>
      <c r="H59" s="3278">
        <v>0.28007889546351084</v>
      </c>
      <c r="I59" s="3278">
        <v>0.27843137254901962</v>
      </c>
      <c r="J59" s="3278">
        <v>0.28544423440453687</v>
      </c>
      <c r="K59" s="3279">
        <v>0.30367504835589942</v>
      </c>
      <c r="L59" s="3279">
        <v>0.33024118738404451</v>
      </c>
      <c r="M59" s="3279">
        <v>0.24293785310734464</v>
      </c>
      <c r="N59" s="3279">
        <v>0.24225865209471767</v>
      </c>
      <c r="O59" s="3279">
        <v>0.20743034055727555</v>
      </c>
      <c r="P59" s="3279">
        <v>0.17499999999999999</v>
      </c>
    </row>
    <row r="60" spans="2:16" ht="14.4">
      <c r="B60" s="3277" t="s">
        <v>37</v>
      </c>
      <c r="C60" s="3278">
        <v>0.29184549356223177</v>
      </c>
      <c r="D60" s="3278">
        <v>0.27542372881355931</v>
      </c>
      <c r="E60" s="3278">
        <v>0.27906976744186046</v>
      </c>
      <c r="F60" s="3278">
        <v>0.2808988764044944</v>
      </c>
      <c r="G60" s="3278">
        <v>0.25418060200668896</v>
      </c>
      <c r="H60" s="3278">
        <v>0.29432624113475175</v>
      </c>
      <c r="I60" s="3278">
        <v>0.29702970297029702</v>
      </c>
      <c r="J60" s="3278">
        <v>0.31661442006269591</v>
      </c>
      <c r="K60" s="3279">
        <v>0.34146341463414637</v>
      </c>
      <c r="L60" s="3279">
        <v>0.35942028985507246</v>
      </c>
      <c r="M60" s="3279">
        <v>0.33918128654970758</v>
      </c>
      <c r="N60" s="3279">
        <v>0.31805157593123207</v>
      </c>
      <c r="O60" s="3279">
        <v>0.26777251184834122</v>
      </c>
      <c r="P60" s="3279">
        <v>0.27400000000000002</v>
      </c>
    </row>
    <row r="61" spans="2:16" ht="14.4">
      <c r="B61" s="3277" t="s">
        <v>38</v>
      </c>
      <c r="C61" s="3278">
        <v>0.27611940298507465</v>
      </c>
      <c r="D61" s="3278">
        <v>0.25299401197604793</v>
      </c>
      <c r="E61" s="3278">
        <v>0.27101449275362322</v>
      </c>
      <c r="F61" s="3278">
        <v>0.33518005540166207</v>
      </c>
      <c r="G61" s="3278">
        <v>0.34501347708894881</v>
      </c>
      <c r="H61" s="3278">
        <v>0.37872340425531914</v>
      </c>
      <c r="I61" s="3278">
        <v>0.36338418862690708</v>
      </c>
      <c r="J61" s="3278">
        <v>0.38147138964577659</v>
      </c>
      <c r="K61" s="3279">
        <v>0.40117130307467058</v>
      </c>
      <c r="L61" s="3279">
        <v>0.43839541547277938</v>
      </c>
      <c r="M61" s="3279">
        <v>0.37790697674418605</v>
      </c>
      <c r="N61" s="3279">
        <v>0.37700145560407566</v>
      </c>
      <c r="O61" s="3279">
        <v>0.34672021419009369</v>
      </c>
      <c r="P61" s="3279">
        <v>0.311</v>
      </c>
    </row>
    <row r="62" spans="2:16" ht="15" customHeight="1">
      <c r="B62" s="3277" t="s">
        <v>39</v>
      </c>
      <c r="C62" s="3278">
        <v>0.39731437598736175</v>
      </c>
      <c r="D62" s="3278">
        <v>0.39035418236623964</v>
      </c>
      <c r="E62" s="3278">
        <v>0.43284671532846714</v>
      </c>
      <c r="F62" s="3278">
        <v>0.45130813953488375</v>
      </c>
      <c r="G62" s="3278">
        <v>0.47244094488188976</v>
      </c>
      <c r="H62" s="3278">
        <v>0.48540706605222733</v>
      </c>
      <c r="I62" s="3278">
        <v>0.51036070606293171</v>
      </c>
      <c r="J62" s="3278">
        <v>0.51834862385321101</v>
      </c>
      <c r="K62" s="3279">
        <v>0.51470588235294112</v>
      </c>
      <c r="L62" s="3279">
        <v>0.55582137161084533</v>
      </c>
      <c r="M62" s="3279">
        <v>0.48835274542429286</v>
      </c>
      <c r="N62" s="3279">
        <v>0.50460251046025106</v>
      </c>
      <c r="O62" s="3279">
        <v>0.4450341167551175</v>
      </c>
      <c r="P62" s="3279">
        <v>0.434</v>
      </c>
    </row>
    <row r="63" spans="2:16" ht="14.4">
      <c r="B63" s="3277" t="s">
        <v>40</v>
      </c>
      <c r="C63" s="3278">
        <v>0.15428571428571428</v>
      </c>
      <c r="D63" s="3278">
        <v>0.15048543689320387</v>
      </c>
      <c r="E63" s="3278">
        <v>0.15767634854771784</v>
      </c>
      <c r="F63" s="3278">
        <v>0.1440329218106996</v>
      </c>
      <c r="G63" s="3278">
        <v>0.12903225806451613</v>
      </c>
      <c r="H63" s="3278">
        <v>0.13596491228070176</v>
      </c>
      <c r="I63" s="3278">
        <v>0.14225941422594143</v>
      </c>
      <c r="J63" s="3278">
        <v>0.16</v>
      </c>
      <c r="K63" s="3279">
        <v>0.19444444444444445</v>
      </c>
      <c r="L63" s="3279">
        <v>0.2265625</v>
      </c>
      <c r="M63" s="3279">
        <v>0.23193916349809887</v>
      </c>
      <c r="N63" s="3279">
        <v>0.20599250936329588</v>
      </c>
      <c r="O63" s="3279">
        <v>0.17152103559870549</v>
      </c>
      <c r="P63" s="3279">
        <v>0.16200000000000001</v>
      </c>
    </row>
    <row r="64" spans="2:16" ht="14.4">
      <c r="B64" s="3280" t="s">
        <v>483</v>
      </c>
      <c r="C64" s="3281">
        <v>0.34455732946298984</v>
      </c>
      <c r="D64" s="3281">
        <v>0.33959618620302862</v>
      </c>
      <c r="E64" s="3281">
        <v>0.34366960054163848</v>
      </c>
      <c r="F64" s="3281">
        <v>0.36831656961355214</v>
      </c>
      <c r="G64" s="3281">
        <v>0.37459910198845414</v>
      </c>
      <c r="H64" s="3281">
        <v>0.40253129728986103</v>
      </c>
      <c r="I64" s="3281">
        <v>0.4020449897750511</v>
      </c>
      <c r="J64" s="3281">
        <v>0.40197123068726692</v>
      </c>
      <c r="K64" s="3282">
        <v>0.40934371523915464</v>
      </c>
      <c r="L64" s="3282">
        <v>0.44369521240728255</v>
      </c>
      <c r="M64" s="3282">
        <v>0.3898611111111111</v>
      </c>
      <c r="N64" s="3282">
        <v>0.38961763885012557</v>
      </c>
      <c r="O64" s="3282">
        <v>0.34100000000000003</v>
      </c>
      <c r="P64" s="3282">
        <v>0.32100000000000001</v>
      </c>
    </row>
    <row r="65" spans="2:16" ht="14.4">
      <c r="B65" s="3277" t="s">
        <v>42</v>
      </c>
      <c r="C65" s="3278">
        <v>0.34922861150070128</v>
      </c>
      <c r="D65" s="3278">
        <v>0.32379713914174252</v>
      </c>
      <c r="E65" s="3278">
        <v>0.33291457286432163</v>
      </c>
      <c r="F65" s="3278">
        <v>0.35450346420323325</v>
      </c>
      <c r="G65" s="3278">
        <v>0.379492600422833</v>
      </c>
      <c r="H65" s="3278">
        <v>0.42633228840125392</v>
      </c>
      <c r="I65" s="3278">
        <v>0.45726055612770339</v>
      </c>
      <c r="J65" s="3278">
        <v>0.47160243407707908</v>
      </c>
      <c r="K65" s="3279">
        <v>0.49840933191940617</v>
      </c>
      <c r="L65" s="3279">
        <v>0.56020408163265301</v>
      </c>
      <c r="M65" s="3279">
        <v>0.48936170212765956</v>
      </c>
      <c r="N65" s="3279">
        <v>0.51002227171492209</v>
      </c>
      <c r="O65" s="3279">
        <v>0.48965517241379308</v>
      </c>
      <c r="P65" s="3279">
        <v>0.47099999999999997</v>
      </c>
    </row>
    <row r="66" spans="2:16" ht="14.4">
      <c r="B66" s="3277" t="s">
        <v>43</v>
      </c>
      <c r="C66" s="3278">
        <v>0.32075471698113206</v>
      </c>
      <c r="D66" s="3278">
        <v>0.3492753623188406</v>
      </c>
      <c r="E66" s="3278">
        <v>0.34122562674094709</v>
      </c>
      <c r="F66" s="3278">
        <v>0.34135977337110479</v>
      </c>
      <c r="G66" s="3278">
        <v>0.36029411764705882</v>
      </c>
      <c r="H66" s="3278">
        <v>0.37920489296636084</v>
      </c>
      <c r="I66" s="3278">
        <v>0.37774524158125916</v>
      </c>
      <c r="J66" s="3278">
        <v>0.36325966850828728</v>
      </c>
      <c r="K66" s="3279">
        <v>0.4</v>
      </c>
      <c r="L66" s="3279">
        <v>0.44768211920529799</v>
      </c>
      <c r="M66" s="3279">
        <v>0.41357234314980795</v>
      </c>
      <c r="N66" s="3279">
        <v>0.40547263681592038</v>
      </c>
      <c r="O66" s="3279">
        <v>0.39901477832512317</v>
      </c>
      <c r="P66" s="3279">
        <v>0.41</v>
      </c>
    </row>
    <row r="67" spans="2:16" ht="14.4">
      <c r="B67" s="3277" t="s">
        <v>44</v>
      </c>
      <c r="C67" s="3278">
        <v>0.35153583617747441</v>
      </c>
      <c r="D67" s="3278">
        <v>0.32786885245901637</v>
      </c>
      <c r="E67" s="3278">
        <v>0.33021806853582553</v>
      </c>
      <c r="F67" s="3278">
        <v>0.33152173913043476</v>
      </c>
      <c r="G67" s="3278">
        <v>0.26463700234192039</v>
      </c>
      <c r="H67" s="3278">
        <v>0.28631578947368419</v>
      </c>
      <c r="I67" s="3278">
        <v>0.28927203065134099</v>
      </c>
      <c r="J67" s="3278">
        <v>0.36234458259325042</v>
      </c>
      <c r="K67" s="3279">
        <v>0.40924657534246578</v>
      </c>
      <c r="L67" s="3279">
        <v>0.46622734761120266</v>
      </c>
      <c r="M67" s="3279">
        <v>0.43648208469055377</v>
      </c>
      <c r="N67" s="3279">
        <v>0.47894736842105262</v>
      </c>
      <c r="O67" s="3279">
        <v>0.45620437956204379</v>
      </c>
      <c r="P67" s="3279">
        <v>0.41499999999999998</v>
      </c>
    </row>
    <row r="68" spans="2:16" ht="14.4">
      <c r="B68" s="3277" t="s">
        <v>45</v>
      </c>
      <c r="C68" s="3278">
        <v>0.25806451612903225</v>
      </c>
      <c r="D68" s="3278">
        <v>0.24817518248175183</v>
      </c>
      <c r="E68" s="3278">
        <v>0.28476821192052981</v>
      </c>
      <c r="F68" s="3278">
        <v>0.27108433734939757</v>
      </c>
      <c r="G68" s="3278">
        <v>0.23966942148760331</v>
      </c>
      <c r="H68" s="3278">
        <v>0.28685258964143429</v>
      </c>
      <c r="I68" s="3278">
        <v>0.27831715210355989</v>
      </c>
      <c r="J68" s="3278">
        <v>0.31978319783197834</v>
      </c>
      <c r="K68" s="3279">
        <v>0.4020356234096692</v>
      </c>
      <c r="L68" s="3279">
        <v>0.49636803874092011</v>
      </c>
      <c r="M68" s="3279">
        <v>0.52744630071599041</v>
      </c>
      <c r="N68" s="3279">
        <v>0.59530026109660572</v>
      </c>
      <c r="O68" s="3279">
        <v>0.58376963350785338</v>
      </c>
      <c r="P68" s="3279">
        <v>0.53200000000000003</v>
      </c>
    </row>
    <row r="69" spans="2:16" ht="14.4">
      <c r="B69" s="3277" t="s">
        <v>46</v>
      </c>
      <c r="C69" s="3278">
        <v>0.36478711162255467</v>
      </c>
      <c r="D69" s="3278">
        <v>0.34030197444831589</v>
      </c>
      <c r="E69" s="3278">
        <v>0.33153347732181426</v>
      </c>
      <c r="F69" s="3278">
        <v>0.32777232580961729</v>
      </c>
      <c r="G69" s="3278">
        <v>0.32350230414746545</v>
      </c>
      <c r="H69" s="3278">
        <v>0.34762348555452005</v>
      </c>
      <c r="I69" s="3278">
        <v>0.3469210754553339</v>
      </c>
      <c r="J69" s="3278">
        <v>0.35906040268456374</v>
      </c>
      <c r="K69" s="3279">
        <v>0.39347079037800686</v>
      </c>
      <c r="L69" s="3279">
        <v>0.4567901234567901</v>
      </c>
      <c r="M69" s="3279">
        <v>0.40275387263339069</v>
      </c>
      <c r="N69" s="3279">
        <v>0.423407917383821</v>
      </c>
      <c r="O69" s="3279">
        <v>0.41093620546810272</v>
      </c>
      <c r="P69" s="3279">
        <v>0.38100000000000001</v>
      </c>
    </row>
    <row r="70" spans="2:16" ht="14.4">
      <c r="B70" s="3277" t="s">
        <v>47</v>
      </c>
      <c r="C70" s="3278">
        <v>0.30836575875486383</v>
      </c>
      <c r="D70" s="3278">
        <v>0.30635838150289019</v>
      </c>
      <c r="E70" s="3278">
        <v>0.30914231856738927</v>
      </c>
      <c r="F70" s="3278">
        <v>0.3045045045045045</v>
      </c>
      <c r="G70" s="3278">
        <v>0.30704697986577179</v>
      </c>
      <c r="H70" s="3278">
        <v>0.30677966101694915</v>
      </c>
      <c r="I70" s="3278">
        <v>0.31851253031527887</v>
      </c>
      <c r="J70" s="3278">
        <v>0.31224655312246552</v>
      </c>
      <c r="K70" s="3279">
        <v>0.33475661827497866</v>
      </c>
      <c r="L70" s="3279">
        <v>0.38717532467532467</v>
      </c>
      <c r="M70" s="3279">
        <v>0.36457437661220982</v>
      </c>
      <c r="N70" s="3279">
        <v>0.35612788632326819</v>
      </c>
      <c r="O70" s="3279">
        <v>0.35315645013723695</v>
      </c>
      <c r="P70" s="3279">
        <v>0.38100000000000001</v>
      </c>
    </row>
    <row r="71" spans="2:16" ht="14.4">
      <c r="B71" s="3280" t="s">
        <v>485</v>
      </c>
      <c r="C71" s="3281">
        <v>0.33342303552206676</v>
      </c>
      <c r="D71" s="3281">
        <v>0.32500000000000001</v>
      </c>
      <c r="E71" s="3281">
        <v>0.32569846463629498</v>
      </c>
      <c r="F71" s="3281">
        <v>0.32750885478158204</v>
      </c>
      <c r="G71" s="3281">
        <v>0.32633420822397202</v>
      </c>
      <c r="H71" s="3281">
        <v>0.34836601307189541</v>
      </c>
      <c r="I71" s="3281">
        <v>0.35548717948717951</v>
      </c>
      <c r="J71" s="3281">
        <v>0.36767317939609234</v>
      </c>
      <c r="K71" s="3282">
        <v>0.40301204819277109</v>
      </c>
      <c r="L71" s="3282">
        <v>0.46270665128796618</v>
      </c>
      <c r="M71" s="3282">
        <v>0.42606812364638708</v>
      </c>
      <c r="N71" s="3282">
        <v>0.44062310337851507</v>
      </c>
      <c r="O71" s="3282">
        <v>0.42799999999999999</v>
      </c>
      <c r="P71" s="3282">
        <v>0.41</v>
      </c>
    </row>
    <row r="72" spans="2:16" ht="14.4">
      <c r="B72" s="3283" t="s">
        <v>109</v>
      </c>
      <c r="C72" s="2518">
        <v>0.2934581904510683</v>
      </c>
      <c r="D72" s="2518">
        <v>0.29279132082870402</v>
      </c>
      <c r="E72" s="2518">
        <v>0.29594347359788026</v>
      </c>
      <c r="F72" s="2518">
        <v>0.30940076288913498</v>
      </c>
      <c r="G72" s="2518">
        <v>0.31236365780319558</v>
      </c>
      <c r="H72" s="2518">
        <v>0.33620366903781357</v>
      </c>
      <c r="I72" s="2518">
        <v>0.33508358983644154</v>
      </c>
      <c r="J72" s="2518">
        <v>0.33578587567348356</v>
      </c>
      <c r="K72" s="2519">
        <v>0.36218665055874361</v>
      </c>
      <c r="L72" s="2519">
        <v>0.40123210313159546</v>
      </c>
      <c r="M72" s="2519">
        <v>0.35383295194508008</v>
      </c>
      <c r="N72" s="2519">
        <v>0.3635780885780886</v>
      </c>
      <c r="O72" s="2519">
        <v>0.33400000000000002</v>
      </c>
      <c r="P72" s="2519">
        <v>0.313</v>
      </c>
    </row>
    <row r="73" spans="2:16" ht="14.4">
      <c r="B73" s="3287" t="s">
        <v>1450</v>
      </c>
      <c r="C73" s="3288"/>
      <c r="D73" s="3288"/>
      <c r="E73" s="3288"/>
      <c r="F73" s="3288"/>
      <c r="G73" s="3288"/>
      <c r="H73" s="3285">
        <v>0.45454545454545453</v>
      </c>
      <c r="I73" s="3285">
        <v>0.42857142857142855</v>
      </c>
      <c r="J73" s="3285">
        <v>0.39090909090909093</v>
      </c>
      <c r="K73" s="3286">
        <v>0.40151515151515149</v>
      </c>
      <c r="L73" s="3286">
        <v>0.44295302013422821</v>
      </c>
      <c r="M73" s="3286">
        <v>0.34251968503937008</v>
      </c>
      <c r="N73" s="3286">
        <v>0.32764505119453924</v>
      </c>
      <c r="O73" s="3286">
        <v>0.23880597014925373</v>
      </c>
      <c r="P73" s="3286">
        <v>0.251</v>
      </c>
    </row>
    <row r="74" spans="2:16" ht="14.4">
      <c r="B74" s="3287" t="s">
        <v>2786</v>
      </c>
      <c r="C74" s="3288"/>
      <c r="D74" s="3288"/>
      <c r="E74" s="3288"/>
      <c r="F74" s="3288"/>
      <c r="G74" s="3288"/>
      <c r="H74" s="3285"/>
      <c r="I74" s="3285"/>
      <c r="J74" s="3285"/>
      <c r="K74" s="3286"/>
      <c r="L74" s="3286"/>
      <c r="M74" s="3286"/>
      <c r="N74" s="3286">
        <v>0</v>
      </c>
      <c r="O74" s="3286">
        <v>1.9801980198019802E-2</v>
      </c>
      <c r="P74" s="3286">
        <v>5.1999999999999998E-2</v>
      </c>
    </row>
    <row r="75" spans="2:16" ht="14.4">
      <c r="B75" s="3277" t="s">
        <v>3364</v>
      </c>
      <c r="C75" s="3288"/>
      <c r="D75" s="3288"/>
      <c r="E75" s="3288"/>
      <c r="F75" s="3288"/>
      <c r="G75" s="3288"/>
      <c r="H75" s="3285"/>
      <c r="I75" s="3285"/>
      <c r="J75" s="3285"/>
      <c r="K75" s="3286"/>
      <c r="L75" s="3286"/>
      <c r="M75" s="3286"/>
      <c r="N75" s="3286"/>
      <c r="O75" s="3286"/>
      <c r="P75" s="3286">
        <v>7.5999999999999998E-2</v>
      </c>
    </row>
    <row r="76" spans="2:16" ht="14.4">
      <c r="B76" s="3280" t="s">
        <v>482</v>
      </c>
      <c r="C76" s="3281"/>
      <c r="D76" s="3281"/>
      <c r="E76" s="3281"/>
      <c r="F76" s="3281"/>
      <c r="G76" s="3281"/>
      <c r="H76" s="3281">
        <v>0.45454545454545453</v>
      </c>
      <c r="I76" s="3281">
        <v>0.42857142857142855</v>
      </c>
      <c r="J76" s="3281">
        <v>0.39090909090909093</v>
      </c>
      <c r="K76" s="3282">
        <v>0.64539007092198586</v>
      </c>
      <c r="L76" s="3282">
        <v>0.44295302013422821</v>
      </c>
      <c r="M76" s="3282">
        <v>0.34251968503937008</v>
      </c>
      <c r="N76" s="3282">
        <v>0.28152492668621704</v>
      </c>
      <c r="O76" s="3282">
        <v>0.17599999999999999</v>
      </c>
      <c r="P76" s="3282">
        <v>0.17499999999999999</v>
      </c>
    </row>
    <row r="77" spans="2:16" ht="14.4">
      <c r="B77" s="3289" t="s">
        <v>679</v>
      </c>
      <c r="C77" s="3281"/>
      <c r="D77" s="3281"/>
      <c r="E77" s="3281"/>
      <c r="F77" s="3281"/>
      <c r="G77" s="3281"/>
      <c r="H77" s="3278">
        <v>0.68085106382978722</v>
      </c>
      <c r="I77" s="3278">
        <v>0.55844155844155841</v>
      </c>
      <c r="J77" s="3278">
        <v>0.6198347107438017</v>
      </c>
      <c r="K77" s="3279">
        <v>0.40625</v>
      </c>
      <c r="L77" s="3279">
        <v>0.65540540540540537</v>
      </c>
      <c r="M77" s="3279">
        <v>0.55309734513274333</v>
      </c>
      <c r="N77" s="3279">
        <v>0.5357142857142857</v>
      </c>
      <c r="O77" s="3279">
        <v>0.45911949685534592</v>
      </c>
      <c r="P77" s="3279">
        <v>0.40100000000000002</v>
      </c>
    </row>
    <row r="78" spans="2:16" ht="14.4">
      <c r="B78" s="3289" t="s">
        <v>489</v>
      </c>
      <c r="C78" s="3281"/>
      <c r="D78" s="3281"/>
      <c r="E78" s="3281"/>
      <c r="F78" s="3281"/>
      <c r="G78" s="3281"/>
      <c r="H78" s="3278"/>
      <c r="I78" s="3278"/>
      <c r="J78" s="3278">
        <v>0.46666666666666667</v>
      </c>
      <c r="K78" s="3279">
        <v>0.60115606936416188</v>
      </c>
      <c r="L78" s="3279">
        <v>0.54545454545454541</v>
      </c>
      <c r="M78" s="3279">
        <v>0.625</v>
      </c>
      <c r="N78" s="3279">
        <v>0.5</v>
      </c>
      <c r="O78" s="3279">
        <v>0.39436619718309857</v>
      </c>
      <c r="P78" s="3279">
        <v>0.371</v>
      </c>
    </row>
    <row r="79" spans="2:16" ht="14.4">
      <c r="B79" s="3289" t="s">
        <v>2309</v>
      </c>
      <c r="C79" s="3281"/>
      <c r="D79" s="3281"/>
      <c r="E79" s="3281"/>
      <c r="F79" s="3281"/>
      <c r="G79" s="3281"/>
      <c r="H79" s="3278"/>
      <c r="I79" s="3278"/>
      <c r="J79" s="3278"/>
      <c r="K79" s="3279"/>
      <c r="L79" s="3279"/>
      <c r="M79" s="3279">
        <v>0</v>
      </c>
      <c r="N79" s="3279">
        <v>0</v>
      </c>
      <c r="O79" s="3279">
        <v>0.1864406779661017</v>
      </c>
      <c r="P79" s="3279">
        <v>0.28299999999999997</v>
      </c>
    </row>
    <row r="80" spans="2:16" ht="14.4">
      <c r="B80" s="3280" t="s">
        <v>483</v>
      </c>
      <c r="C80" s="3281"/>
      <c r="D80" s="3281"/>
      <c r="E80" s="3281"/>
      <c r="F80" s="3281"/>
      <c r="G80" s="3281"/>
      <c r="H80" s="3281">
        <v>0.68085106382978722</v>
      </c>
      <c r="I80" s="3281">
        <v>0.55844155844155841</v>
      </c>
      <c r="J80" s="3281">
        <v>0.6029411764705882</v>
      </c>
      <c r="K80" s="3282">
        <v>0.57333333333333336</v>
      </c>
      <c r="L80" s="3282">
        <v>0.63535911602209949</v>
      </c>
      <c r="M80" s="3282">
        <v>0.5670103092783505</v>
      </c>
      <c r="N80" s="3282">
        <v>0.51978891820580475</v>
      </c>
      <c r="O80" s="3282">
        <v>0.41</v>
      </c>
      <c r="P80" s="3282">
        <v>0.375</v>
      </c>
    </row>
    <row r="81" spans="2:16" ht="14.4">
      <c r="B81" s="3289" t="s">
        <v>680</v>
      </c>
      <c r="C81" s="3281"/>
      <c r="D81" s="3281"/>
      <c r="E81" s="3281"/>
      <c r="F81" s="3281"/>
      <c r="G81" s="3281"/>
      <c r="H81" s="3278">
        <v>0.51111111111111107</v>
      </c>
      <c r="I81" s="3278">
        <v>0.53731343283582089</v>
      </c>
      <c r="J81" s="3278">
        <v>0.60360360360360366</v>
      </c>
      <c r="K81" s="3279">
        <v>0</v>
      </c>
      <c r="L81" s="3279">
        <v>0.58441558441558439</v>
      </c>
      <c r="M81" s="3279">
        <v>0.40138408304498269</v>
      </c>
      <c r="N81" s="3279">
        <v>0.39705882352941174</v>
      </c>
      <c r="O81" s="3279">
        <v>0.3306878306878307</v>
      </c>
      <c r="P81" s="3279">
        <v>0.312</v>
      </c>
    </row>
    <row r="82" spans="2:16" ht="14.4">
      <c r="B82" s="4184" t="s">
        <v>2681</v>
      </c>
      <c r="C82" s="3291"/>
      <c r="D82" s="3291"/>
      <c r="E82" s="3291"/>
      <c r="F82" s="3291"/>
      <c r="G82" s="3291"/>
      <c r="H82" s="3697"/>
      <c r="I82" s="3697"/>
      <c r="J82" s="3697"/>
      <c r="K82" s="3698"/>
      <c r="L82" s="3698"/>
      <c r="M82" s="3698">
        <v>0</v>
      </c>
      <c r="N82" s="3698">
        <v>0.48</v>
      </c>
      <c r="O82" s="3698">
        <v>0.27027027027027029</v>
      </c>
      <c r="P82" s="3698">
        <v>0.60899999999999999</v>
      </c>
    </row>
    <row r="83" spans="2:16" ht="14.4">
      <c r="B83" s="3696" t="s">
        <v>2408</v>
      </c>
      <c r="C83" s="3291"/>
      <c r="D83" s="3291"/>
      <c r="E83" s="3291"/>
      <c r="F83" s="3291"/>
      <c r="G83" s="3291"/>
      <c r="H83" s="3697"/>
      <c r="I83" s="3697"/>
      <c r="J83" s="3697"/>
      <c r="K83" s="3698"/>
      <c r="L83" s="3698">
        <v>0</v>
      </c>
      <c r="M83" s="3698">
        <v>0</v>
      </c>
      <c r="N83" s="3698">
        <v>0</v>
      </c>
      <c r="O83" s="3698">
        <v>0.4838709677419355</v>
      </c>
      <c r="P83" s="3698">
        <v>0.29799999999999999</v>
      </c>
    </row>
    <row r="84" spans="2:16" ht="14.4">
      <c r="B84" s="3290" t="s">
        <v>485</v>
      </c>
      <c r="C84" s="3291"/>
      <c r="D84" s="3291"/>
      <c r="E84" s="3291"/>
      <c r="F84" s="3291"/>
      <c r="G84" s="3291"/>
      <c r="H84" s="3291">
        <v>0.51111111111111107</v>
      </c>
      <c r="I84" s="3291">
        <v>0.53731343283582089</v>
      </c>
      <c r="J84" s="3291">
        <v>0.60360360360360366</v>
      </c>
      <c r="K84" s="3292">
        <v>0.56953642384105962</v>
      </c>
      <c r="L84" s="3292">
        <v>0.58064516129032262</v>
      </c>
      <c r="M84" s="3292">
        <v>0.39590443686006827</v>
      </c>
      <c r="N84" s="3292">
        <v>0.3983739837398374</v>
      </c>
      <c r="O84" s="3292">
        <v>0.33100000000000002</v>
      </c>
      <c r="P84" s="3292">
        <v>0.34499999999999997</v>
      </c>
    </row>
    <row r="85" spans="2:16" ht="14.4">
      <c r="B85" s="3293" t="s">
        <v>1017</v>
      </c>
      <c r="C85" s="2124"/>
      <c r="D85" s="2124"/>
      <c r="E85" s="2124"/>
      <c r="F85" s="2124"/>
      <c r="G85" s="2124"/>
      <c r="H85" s="2124">
        <v>0.55147058823529416</v>
      </c>
      <c r="I85" s="2124">
        <v>0.50934579439252337</v>
      </c>
      <c r="J85" s="2124">
        <v>0.53781512605042014</v>
      </c>
      <c r="K85" s="2125">
        <v>0.53289473684210531</v>
      </c>
      <c r="L85" s="2125">
        <v>0.55876288659793816</v>
      </c>
      <c r="M85" s="2125">
        <v>0.43914081145584727</v>
      </c>
      <c r="N85" s="2125">
        <v>0.40404040404040403</v>
      </c>
      <c r="O85" s="2125">
        <v>0.31</v>
      </c>
      <c r="P85" s="2125">
        <v>0.29899999999999999</v>
      </c>
    </row>
    <row r="86" spans="2:16" ht="14.4">
      <c r="B86" s="3284" t="s">
        <v>17</v>
      </c>
      <c r="C86" s="3285">
        <v>0.46443514644351463</v>
      </c>
      <c r="D86" s="3285">
        <v>0.46617548559946415</v>
      </c>
      <c r="E86" s="3285">
        <v>0.47701532311792139</v>
      </c>
      <c r="F86" s="3285">
        <v>0.5121293800539084</v>
      </c>
      <c r="G86" s="3285">
        <v>0.503693754197448</v>
      </c>
      <c r="H86" s="3285">
        <v>0.53254437869822491</v>
      </c>
      <c r="I86" s="3285">
        <v>0.53988183161004433</v>
      </c>
      <c r="J86" s="3285">
        <v>0.52512745812090311</v>
      </c>
      <c r="K86" s="3286">
        <v>0.54980988593155888</v>
      </c>
      <c r="L86" s="3286">
        <v>0.5920177383592018</v>
      </c>
      <c r="M86" s="3286">
        <v>0.56997824510514861</v>
      </c>
      <c r="N86" s="3286">
        <v>0.59031791907514453</v>
      </c>
      <c r="O86" s="3286">
        <v>0.52783109404990403</v>
      </c>
      <c r="P86" s="3286">
        <v>0.54974489795918369</v>
      </c>
    </row>
    <row r="87" spans="2:16" ht="14.4">
      <c r="B87" s="3277" t="s">
        <v>49</v>
      </c>
      <c r="C87" s="3278">
        <v>0.66415313225058004</v>
      </c>
      <c r="D87" s="3278">
        <v>0.67976878612716762</v>
      </c>
      <c r="E87" s="3278">
        <v>0.6910662824207493</v>
      </c>
      <c r="F87" s="3278">
        <v>0.71029668411867364</v>
      </c>
      <c r="G87" s="3278">
        <v>0.70745920745920743</v>
      </c>
      <c r="H87" s="3278">
        <v>0.7508090614886731</v>
      </c>
      <c r="I87" s="3278">
        <v>0.75033025099075301</v>
      </c>
      <c r="J87" s="3278">
        <v>0.74983585029546951</v>
      </c>
      <c r="K87" s="3279">
        <v>0.75549633577614927</v>
      </c>
      <c r="L87" s="3279">
        <v>0.775310254735467</v>
      </c>
      <c r="M87" s="3279">
        <v>0.72312703583061888</v>
      </c>
      <c r="N87" s="3279">
        <v>0.71299288946347772</v>
      </c>
      <c r="O87" s="3279">
        <v>0.68424170616113744</v>
      </c>
      <c r="P87" s="3279">
        <v>0.68963486454652534</v>
      </c>
    </row>
    <row r="88" spans="2:16" ht="14.4">
      <c r="B88" s="3277" t="s">
        <v>19</v>
      </c>
      <c r="C88" s="3278">
        <v>0.33915806195393167</v>
      </c>
      <c r="D88" s="3278">
        <v>0.34245504300234558</v>
      </c>
      <c r="E88" s="3278">
        <v>0.35366795366795367</v>
      </c>
      <c r="F88" s="3278">
        <v>0.35362095531587057</v>
      </c>
      <c r="G88" s="3278">
        <v>0.35071806500377928</v>
      </c>
      <c r="H88" s="3278">
        <v>0.37563025210084033</v>
      </c>
      <c r="I88" s="3278">
        <v>0.37615449202350965</v>
      </c>
      <c r="J88" s="3278">
        <v>0.3577981651376147</v>
      </c>
      <c r="K88" s="3279">
        <v>0.42643171806167401</v>
      </c>
      <c r="L88" s="3279">
        <v>0.44214876033057854</v>
      </c>
      <c r="M88" s="3279">
        <v>0.42753623188405798</v>
      </c>
      <c r="N88" s="3279">
        <v>0.43385826771653541</v>
      </c>
      <c r="O88" s="3279">
        <v>0.4082599864590386</v>
      </c>
      <c r="P88" s="3279">
        <v>0.41066666666666668</v>
      </c>
    </row>
    <row r="89" spans="2:16" ht="14.4">
      <c r="B89" s="3277" t="s">
        <v>50</v>
      </c>
      <c r="C89" s="3278">
        <v>0.65544041450777202</v>
      </c>
      <c r="D89" s="3278">
        <v>0.66019736842105259</v>
      </c>
      <c r="E89" s="3278">
        <v>0.65848806366047741</v>
      </c>
      <c r="F89" s="3278">
        <v>0.67817633255112308</v>
      </c>
      <c r="G89" s="3278">
        <v>0.68102288021534318</v>
      </c>
      <c r="H89" s="3278">
        <v>0.73189230185817211</v>
      </c>
      <c r="I89" s="3278">
        <v>0.73293885601577913</v>
      </c>
      <c r="J89" s="3278">
        <v>0.73253570050173678</v>
      </c>
      <c r="K89" s="3279">
        <v>0.75358280254777066</v>
      </c>
      <c r="L89" s="3279">
        <v>0.75948377004301915</v>
      </c>
      <c r="M89" s="3279">
        <v>0.74323215750615257</v>
      </c>
      <c r="N89" s="3279">
        <v>0.745</v>
      </c>
      <c r="O89" s="3279">
        <v>0.67708333333333337</v>
      </c>
      <c r="P89" s="3279">
        <v>0.67700000000000005</v>
      </c>
    </row>
    <row r="90" spans="2:16" ht="14.4">
      <c r="B90" s="3277" t="s">
        <v>20</v>
      </c>
      <c r="C90" s="3278">
        <v>0.49515190691661282</v>
      </c>
      <c r="D90" s="3278">
        <v>0.50985545335085414</v>
      </c>
      <c r="E90" s="3278">
        <v>0.5124077800134138</v>
      </c>
      <c r="F90" s="3278">
        <v>0.54023792862141362</v>
      </c>
      <c r="G90" s="3278">
        <v>0.5473309608540925</v>
      </c>
      <c r="H90" s="3278">
        <v>0.60411718131433101</v>
      </c>
      <c r="I90" s="3278">
        <v>0.61093247588424437</v>
      </c>
      <c r="J90" s="3278">
        <v>0.58550488599348538</v>
      </c>
      <c r="K90" s="3279">
        <v>0.61492281303602059</v>
      </c>
      <c r="L90" s="3279">
        <v>0.62315270935960587</v>
      </c>
      <c r="M90" s="3279">
        <v>0.58326359832635988</v>
      </c>
      <c r="N90" s="3279">
        <v>0.55684647302904566</v>
      </c>
      <c r="O90" s="3279">
        <v>0.49597069597069599</v>
      </c>
      <c r="P90" s="3279">
        <v>0.5</v>
      </c>
    </row>
    <row r="91" spans="2:16" ht="14.4">
      <c r="B91" s="3277" t="s">
        <v>51</v>
      </c>
      <c r="C91" s="3278">
        <v>0.44400785854616898</v>
      </c>
      <c r="D91" s="3278">
        <v>0.46542056074766353</v>
      </c>
      <c r="E91" s="3278">
        <v>0.48892988929889297</v>
      </c>
      <c r="F91" s="3278">
        <v>0.53090909090909089</v>
      </c>
      <c r="G91" s="3278">
        <v>0.53649635036496346</v>
      </c>
      <c r="H91" s="3278">
        <v>0.57809330628803246</v>
      </c>
      <c r="I91" s="3278">
        <v>0.57991803278688525</v>
      </c>
      <c r="J91" s="3278">
        <v>0.58246346555323592</v>
      </c>
      <c r="K91" s="3279">
        <v>0.55623721881390598</v>
      </c>
      <c r="L91" s="3279">
        <v>0.59009900990099007</v>
      </c>
      <c r="M91" s="3279">
        <v>0.48949919224555732</v>
      </c>
      <c r="N91" s="3279">
        <v>0.5075075075075075</v>
      </c>
      <c r="O91" s="3279">
        <v>0.47215189873417723</v>
      </c>
      <c r="P91" s="3279">
        <v>0.47899999999999998</v>
      </c>
    </row>
    <row r="92" spans="2:16" ht="14.4">
      <c r="B92" s="3280" t="s">
        <v>483</v>
      </c>
      <c r="C92" s="3281">
        <v>0.54952410835686649</v>
      </c>
      <c r="D92" s="3281">
        <v>0.55651630378164396</v>
      </c>
      <c r="E92" s="3281">
        <v>0.56242171189979118</v>
      </c>
      <c r="F92" s="3281">
        <v>0.5840642502377682</v>
      </c>
      <c r="G92" s="3281">
        <v>0.58341267322543111</v>
      </c>
      <c r="H92" s="3281">
        <v>0.62558962264150941</v>
      </c>
      <c r="I92" s="3281">
        <v>0.62647129473937069</v>
      </c>
      <c r="J92" s="3281">
        <v>0.61813415941856309</v>
      </c>
      <c r="K92" s="3282">
        <v>0.64338507021433855</v>
      </c>
      <c r="L92" s="3282">
        <v>0.65942202053976595</v>
      </c>
      <c r="M92" s="3282">
        <v>0.62309705042816366</v>
      </c>
      <c r="N92" s="3282">
        <v>0.62181303116147313</v>
      </c>
      <c r="O92" s="3282">
        <v>0.56899999999999995</v>
      </c>
      <c r="P92" s="3282">
        <v>0.57299999999999995</v>
      </c>
    </row>
    <row r="93" spans="2:16" ht="14.4">
      <c r="B93" s="3277" t="s">
        <v>42</v>
      </c>
      <c r="C93" s="3278">
        <v>0.57910228108903605</v>
      </c>
      <c r="D93" s="3278">
        <v>0.59346126510305619</v>
      </c>
      <c r="E93" s="3278">
        <v>0.61522346368715086</v>
      </c>
      <c r="F93" s="3278">
        <v>0.63944636678200695</v>
      </c>
      <c r="G93" s="3278">
        <v>0.65944482058226139</v>
      </c>
      <c r="H93" s="3278">
        <v>0.69366715758468334</v>
      </c>
      <c r="I93" s="3278">
        <v>0.68586387434554974</v>
      </c>
      <c r="J93" s="3278">
        <v>0.69885057471264367</v>
      </c>
      <c r="K93" s="3279">
        <v>0.76022453889334407</v>
      </c>
      <c r="L93" s="3279">
        <v>0.75343511450381684</v>
      </c>
      <c r="M93" s="3279">
        <v>0.69117647058823528</v>
      </c>
      <c r="N93" s="3279">
        <v>0.69782608695652171</v>
      </c>
      <c r="O93" s="3279">
        <v>0.65921052631578947</v>
      </c>
      <c r="P93" s="3279">
        <v>0.64600000000000002</v>
      </c>
    </row>
    <row r="94" spans="2:16" ht="14.4">
      <c r="B94" s="3277" t="s">
        <v>52</v>
      </c>
      <c r="C94" s="3278">
        <v>0.60232067510548526</v>
      </c>
      <c r="D94" s="3278">
        <v>0.63119834710743805</v>
      </c>
      <c r="E94" s="3278">
        <v>0.67757459095283923</v>
      </c>
      <c r="F94" s="3278">
        <v>0.68778280542986425</v>
      </c>
      <c r="G94" s="3278">
        <v>0.69224062772449868</v>
      </c>
      <c r="H94" s="3278">
        <v>0.73709369024856597</v>
      </c>
      <c r="I94" s="3278">
        <v>0.75992063492063489</v>
      </c>
      <c r="J94" s="3278">
        <v>0.76165803108808294</v>
      </c>
      <c r="K94" s="3279">
        <v>0.80509413067552604</v>
      </c>
      <c r="L94" s="3279">
        <v>0.78151260504201681</v>
      </c>
      <c r="M94" s="3279">
        <v>0.7611607142857143</v>
      </c>
      <c r="N94" s="3279">
        <v>0.73839184597961494</v>
      </c>
      <c r="O94" s="3279">
        <v>0.66396761133603244</v>
      </c>
      <c r="P94" s="3279">
        <v>0.68400000000000005</v>
      </c>
    </row>
    <row r="95" spans="2:16" ht="14.4">
      <c r="B95" s="3277" t="s">
        <v>53</v>
      </c>
      <c r="C95" s="3278">
        <v>0.75414691943127965</v>
      </c>
      <c r="D95" s="3278">
        <v>0.76950565812983918</v>
      </c>
      <c r="E95" s="3278">
        <v>0.78271308523409366</v>
      </c>
      <c r="F95" s="3278">
        <v>0.79408138101109738</v>
      </c>
      <c r="G95" s="3278">
        <v>0.77854889589905363</v>
      </c>
      <c r="H95" s="3278">
        <v>0.81263776634827334</v>
      </c>
      <c r="I95" s="3278">
        <v>0.81440000000000001</v>
      </c>
      <c r="J95" s="3278">
        <v>0.81239669421487604</v>
      </c>
      <c r="K95" s="3279">
        <v>0.83250414593698174</v>
      </c>
      <c r="L95" s="3279">
        <v>0.84729064039408863</v>
      </c>
      <c r="M95" s="3279">
        <v>0.79365079365079361</v>
      </c>
      <c r="N95" s="3279">
        <v>0.78391167192429023</v>
      </c>
      <c r="O95" s="3279">
        <v>0.7020818377602297</v>
      </c>
      <c r="P95" s="3279">
        <v>0.66600000000000004</v>
      </c>
    </row>
    <row r="96" spans="2:16" ht="14.4">
      <c r="B96" s="3277" t="s">
        <v>54</v>
      </c>
      <c r="C96" s="3278">
        <v>0.5662285136501517</v>
      </c>
      <c r="D96" s="3278">
        <v>0.57651245551601427</v>
      </c>
      <c r="E96" s="3278">
        <v>0.61471640265712824</v>
      </c>
      <c r="F96" s="3278">
        <v>0.62519521082769391</v>
      </c>
      <c r="G96" s="3278">
        <v>0.62447257383966248</v>
      </c>
      <c r="H96" s="3278">
        <v>0.66956521739130437</v>
      </c>
      <c r="I96" s="3278">
        <v>0.66327751196172247</v>
      </c>
      <c r="J96" s="3278">
        <v>0.67598784194528871</v>
      </c>
      <c r="K96" s="3279">
        <v>0.7034990791896869</v>
      </c>
      <c r="L96" s="3279">
        <v>0.71847507331378302</v>
      </c>
      <c r="M96" s="3279">
        <v>0.6566998892580288</v>
      </c>
      <c r="N96" s="3279">
        <v>0.68247202983484279</v>
      </c>
      <c r="O96" s="3279">
        <v>0.63568075117370892</v>
      </c>
      <c r="P96" s="3279">
        <v>0.623</v>
      </c>
    </row>
    <row r="97" spans="2:16" ht="15" customHeight="1">
      <c r="B97" s="3277" t="s">
        <v>55</v>
      </c>
      <c r="C97" s="3278">
        <v>0.53360768175582995</v>
      </c>
      <c r="D97" s="3278">
        <v>0.55283446712018136</v>
      </c>
      <c r="E97" s="3278">
        <v>0.56209453197405002</v>
      </c>
      <c r="F97" s="3278">
        <v>0.56484149855907784</v>
      </c>
      <c r="G97" s="3278">
        <v>0.56618740704015869</v>
      </c>
      <c r="H97" s="3278">
        <v>0.60343839541547273</v>
      </c>
      <c r="I97" s="3278">
        <v>0.60011743981209631</v>
      </c>
      <c r="J97" s="3278">
        <v>0.56071428571428572</v>
      </c>
      <c r="K97" s="3279">
        <v>0.56613418530351434</v>
      </c>
      <c r="L97" s="3279">
        <v>0.63680682510664233</v>
      </c>
      <c r="M97" s="3279">
        <v>0.55152224824355967</v>
      </c>
      <c r="N97" s="3279">
        <v>0.55664174813110978</v>
      </c>
      <c r="O97" s="3279">
        <v>0.49721518987341773</v>
      </c>
      <c r="P97" s="3279">
        <v>0.45800000000000002</v>
      </c>
    </row>
    <row r="98" spans="2:16" ht="14.4">
      <c r="B98" s="3277" t="s">
        <v>56</v>
      </c>
      <c r="C98" s="3278">
        <v>0.43014705882352944</v>
      </c>
      <c r="D98" s="3278">
        <v>0.43046357615894038</v>
      </c>
      <c r="E98" s="3278">
        <v>0.4619188921859545</v>
      </c>
      <c r="F98" s="3278">
        <v>0.4872549019607843</v>
      </c>
      <c r="G98" s="3278">
        <v>0.49105545617173524</v>
      </c>
      <c r="H98" s="3278">
        <v>0.58310376492194671</v>
      </c>
      <c r="I98" s="3278">
        <v>0.59473237043330496</v>
      </c>
      <c r="J98" s="3278">
        <v>0.59548751007252221</v>
      </c>
      <c r="K98" s="3279">
        <v>0.67093235831809872</v>
      </c>
      <c r="L98" s="3279">
        <v>0.61954765751211627</v>
      </c>
      <c r="M98" s="3279">
        <v>0.59479251423921886</v>
      </c>
      <c r="N98" s="3279">
        <v>0.58048780487804874</v>
      </c>
      <c r="O98" s="3279">
        <v>0.53038259564891221</v>
      </c>
      <c r="P98" s="3279">
        <v>0.51700000000000002</v>
      </c>
    </row>
    <row r="99" spans="2:16" ht="14.4">
      <c r="B99" s="3277" t="s">
        <v>255</v>
      </c>
      <c r="C99" s="3278">
        <v>0.57095926412614983</v>
      </c>
      <c r="D99" s="3278">
        <v>0.59570181329751515</v>
      </c>
      <c r="E99" s="3278">
        <v>0.58800773694390718</v>
      </c>
      <c r="F99" s="3278">
        <v>0.60790667530784182</v>
      </c>
      <c r="G99" s="3278">
        <v>0.61212886923562859</v>
      </c>
      <c r="H99" s="3278">
        <v>0.69493941553813254</v>
      </c>
      <c r="I99" s="3278">
        <v>0.67623252391464317</v>
      </c>
      <c r="J99" s="3278">
        <v>0.68569254185692541</v>
      </c>
      <c r="K99" s="3279">
        <v>0.69111969111969107</v>
      </c>
      <c r="L99" s="3279">
        <v>0.76183320811419986</v>
      </c>
      <c r="M99" s="3279">
        <v>0.65202702702702697</v>
      </c>
      <c r="N99" s="3279">
        <v>0.63132363132363134</v>
      </c>
      <c r="O99" s="3279">
        <v>0.52071823204419887</v>
      </c>
      <c r="P99" s="3279">
        <v>0.46800000000000003</v>
      </c>
    </row>
    <row r="100" spans="2:16" ht="14.4">
      <c r="B100" s="3277" t="s">
        <v>264</v>
      </c>
      <c r="C100" s="3278">
        <v>0.74716981132075466</v>
      </c>
      <c r="D100" s="3278">
        <v>0.76792452830188684</v>
      </c>
      <c r="E100" s="3278">
        <v>0.77362020579981294</v>
      </c>
      <c r="F100" s="3278">
        <v>0.77962962962962967</v>
      </c>
      <c r="G100" s="3278">
        <v>0.77318640955004592</v>
      </c>
      <c r="H100" s="3278">
        <v>0.82492581602373882</v>
      </c>
      <c r="I100" s="3278">
        <v>0.80694586312563843</v>
      </c>
      <c r="J100" s="3278">
        <v>0.80776892430278879</v>
      </c>
      <c r="K100" s="3279">
        <v>0.82376237623762372</v>
      </c>
      <c r="L100" s="3279">
        <v>0.82591876208897486</v>
      </c>
      <c r="M100" s="3279">
        <v>0.79640151515151514</v>
      </c>
      <c r="N100" s="3279">
        <v>0.78887841658812441</v>
      </c>
      <c r="O100" s="3279">
        <v>0.72680412371134018</v>
      </c>
      <c r="P100" s="3279">
        <v>0.70499999999999996</v>
      </c>
    </row>
    <row r="101" spans="2:16" ht="14.4">
      <c r="B101" s="3280" t="s">
        <v>485</v>
      </c>
      <c r="C101" s="3281">
        <v>0.599584703235854</v>
      </c>
      <c r="D101" s="3281">
        <v>0.61484461946751134</v>
      </c>
      <c r="E101" s="3281">
        <v>0.63207944121854753</v>
      </c>
      <c r="F101" s="3281">
        <v>0.6452868505669318</v>
      </c>
      <c r="G101" s="3281">
        <v>0.64539959704499661</v>
      </c>
      <c r="H101" s="3281">
        <v>0.69575339914322964</v>
      </c>
      <c r="I101" s="3281">
        <v>0.69060562708631379</v>
      </c>
      <c r="J101" s="3281">
        <v>0.6884407564646855</v>
      </c>
      <c r="K101" s="3282">
        <v>0.72087646999698463</v>
      </c>
      <c r="L101" s="3282">
        <v>0.73525745517307506</v>
      </c>
      <c r="M101" s="3282">
        <v>0.67503473830477068</v>
      </c>
      <c r="N101" s="3282">
        <v>0.67273228563551146</v>
      </c>
      <c r="O101" s="3282">
        <v>0.60899999999999999</v>
      </c>
      <c r="P101" s="3282">
        <v>0.58599999999999997</v>
      </c>
    </row>
    <row r="102" spans="2:16" ht="14.4">
      <c r="B102" s="3277" t="s">
        <v>22</v>
      </c>
      <c r="C102" s="3278">
        <v>0.47960108794197642</v>
      </c>
      <c r="D102" s="3278">
        <v>0.48805147058823528</v>
      </c>
      <c r="E102" s="3278">
        <v>0.50336473755047106</v>
      </c>
      <c r="F102" s="3278">
        <v>0.51627693718477763</v>
      </c>
      <c r="G102" s="3278">
        <v>0.53795688847235235</v>
      </c>
      <c r="H102" s="3278">
        <v>0.56505961638154489</v>
      </c>
      <c r="I102" s="3278">
        <v>0.55448717948717952</v>
      </c>
      <c r="J102" s="3278">
        <v>0.54824797843665773</v>
      </c>
      <c r="K102" s="3279">
        <v>0.59953837276399302</v>
      </c>
      <c r="L102" s="3279">
        <v>0.63575418994413413</v>
      </c>
      <c r="M102" s="3279">
        <v>0.58850313033579971</v>
      </c>
      <c r="N102" s="3279">
        <v>0.60986547085201792</v>
      </c>
      <c r="O102" s="3279">
        <v>0.59223300970873782</v>
      </c>
      <c r="P102" s="3279">
        <v>0.60030241935483875</v>
      </c>
    </row>
    <row r="103" spans="2:16" ht="14.4">
      <c r="B103" s="3277" t="s">
        <v>23</v>
      </c>
      <c r="C103" s="3278">
        <v>0.65491651205936918</v>
      </c>
      <c r="D103" s="3278">
        <v>0.64163498098859317</v>
      </c>
      <c r="E103" s="3278">
        <v>0.63459669582118561</v>
      </c>
      <c r="F103" s="3278">
        <v>0.65705765407554673</v>
      </c>
      <c r="G103" s="3278">
        <v>0.67323651452282163</v>
      </c>
      <c r="H103" s="3278">
        <v>0.70370370370370372</v>
      </c>
      <c r="I103" s="3278">
        <v>0.72330654420206664</v>
      </c>
      <c r="J103" s="3278">
        <v>0.72055427251732107</v>
      </c>
      <c r="K103" s="3279">
        <v>0.74970760233918132</v>
      </c>
      <c r="L103" s="3279">
        <v>0.76693455797933408</v>
      </c>
      <c r="M103" s="3279">
        <v>0.74141876430205955</v>
      </c>
      <c r="N103" s="3279">
        <v>0.73804100227790437</v>
      </c>
      <c r="O103" s="3279">
        <v>0.68353067814854684</v>
      </c>
      <c r="P103" s="3279">
        <v>0.69631236442516264</v>
      </c>
    </row>
    <row r="104" spans="2:16" ht="14.4">
      <c r="B104" s="3277" t="s">
        <v>24</v>
      </c>
      <c r="C104" s="3278">
        <v>0.53615023474178403</v>
      </c>
      <c r="D104" s="3278">
        <v>0.54807692307692313</v>
      </c>
      <c r="E104" s="3278">
        <v>0.51448551448551449</v>
      </c>
      <c r="F104" s="3278">
        <v>0.50566426364572603</v>
      </c>
      <c r="G104" s="3278">
        <v>0.48856548856548859</v>
      </c>
      <c r="H104" s="3278">
        <v>0.50580046403712298</v>
      </c>
      <c r="I104" s="3278">
        <v>0.5140845070422535</v>
      </c>
      <c r="J104" s="3278">
        <v>0.53480278422273786</v>
      </c>
      <c r="K104" s="3279">
        <v>0.58212560386473433</v>
      </c>
      <c r="L104" s="3279">
        <v>0.61449942462600693</v>
      </c>
      <c r="M104" s="3279">
        <v>0.5840807174887892</v>
      </c>
      <c r="N104" s="3279">
        <v>0.55655095184770442</v>
      </c>
      <c r="O104" s="3279">
        <v>0.53389830508474578</v>
      </c>
      <c r="P104" s="3279">
        <v>0.51201671891327061</v>
      </c>
    </row>
    <row r="105" spans="2:16" ht="14.4">
      <c r="B105" s="3277" t="s">
        <v>58</v>
      </c>
      <c r="C105" s="3278">
        <v>0.4152777777777778</v>
      </c>
      <c r="D105" s="3278">
        <v>0.39550264550264552</v>
      </c>
      <c r="E105" s="3278">
        <v>0.40433673469387754</v>
      </c>
      <c r="F105" s="3278">
        <v>0.43711083437110837</v>
      </c>
      <c r="G105" s="3278">
        <v>0.43373493975903615</v>
      </c>
      <c r="H105" s="3278">
        <v>0.54215116279069764</v>
      </c>
      <c r="I105" s="3278">
        <v>0.57994186046511631</v>
      </c>
      <c r="J105" s="3278">
        <v>0.58985507246376812</v>
      </c>
      <c r="K105" s="3279">
        <v>0.67980295566502458</v>
      </c>
      <c r="L105" s="3279">
        <v>0.66214177978883859</v>
      </c>
      <c r="M105" s="3279">
        <v>0.64687975646879758</v>
      </c>
      <c r="N105" s="3279">
        <v>0.64751552795031053</v>
      </c>
      <c r="O105" s="3279">
        <v>0.58224163027656473</v>
      </c>
      <c r="P105" s="3279">
        <v>0.58357348703170031</v>
      </c>
    </row>
    <row r="106" spans="2:16" ht="14.4">
      <c r="B106" s="3280" t="s">
        <v>484</v>
      </c>
      <c r="C106" s="3281">
        <v>0.51962911816926416</v>
      </c>
      <c r="D106" s="3281">
        <v>0.51871019108280259</v>
      </c>
      <c r="E106" s="3281">
        <v>0.51695419393218323</v>
      </c>
      <c r="F106" s="3281">
        <v>0.52993348115299332</v>
      </c>
      <c r="G106" s="3281">
        <v>0.53721881390593051</v>
      </c>
      <c r="H106" s="3281">
        <v>0.57803203661327229</v>
      </c>
      <c r="I106" s="3281">
        <v>0.58487041793135652</v>
      </c>
      <c r="J106" s="3281">
        <v>0.58717528668382868</v>
      </c>
      <c r="K106" s="3282">
        <v>0.64</v>
      </c>
      <c r="L106" s="3282">
        <v>0.662771285475793</v>
      </c>
      <c r="M106" s="3282">
        <v>0.62870813397129188</v>
      </c>
      <c r="N106" s="3282">
        <v>0.63110264348654443</v>
      </c>
      <c r="O106" s="3282">
        <v>0.59699999999999998</v>
      </c>
      <c r="P106" s="3282">
        <v>0.59899999999999998</v>
      </c>
    </row>
    <row r="107" spans="2:16" ht="14.4">
      <c r="B107" s="3283" t="s">
        <v>412</v>
      </c>
      <c r="C107" s="2518">
        <v>0.56583167863143424</v>
      </c>
      <c r="D107" s="2518">
        <v>0.57519768856447684</v>
      </c>
      <c r="E107" s="2518">
        <v>0.58499962272692974</v>
      </c>
      <c r="F107" s="2518">
        <v>0.6014023321393186</v>
      </c>
      <c r="G107" s="2518">
        <v>0.60293277470957918</v>
      </c>
      <c r="H107" s="2518">
        <v>0.64871968797693746</v>
      </c>
      <c r="I107" s="2518">
        <v>0.64787390664241795</v>
      </c>
      <c r="J107" s="2518">
        <v>0.64402952670429869</v>
      </c>
      <c r="K107" s="2519">
        <v>0.67766612348361399</v>
      </c>
      <c r="L107" s="2519">
        <v>0.69442511741172375</v>
      </c>
      <c r="M107" s="2519">
        <v>0.64807766325963312</v>
      </c>
      <c r="N107" s="2519">
        <v>0.64699388586956519</v>
      </c>
      <c r="O107" s="2519">
        <v>0.59199999999999997</v>
      </c>
      <c r="P107" s="2519">
        <v>0.58399999999999996</v>
      </c>
    </row>
    <row r="108" spans="2:16" ht="14.4">
      <c r="B108" s="1041"/>
      <c r="C108" s="1041"/>
      <c r="D108" s="1041"/>
      <c r="E108" s="1041"/>
      <c r="F108" s="1041"/>
      <c r="G108" s="1041"/>
      <c r="H108" s="1041"/>
      <c r="I108" s="1041"/>
      <c r="J108" s="1041"/>
      <c r="K108" s="1041"/>
      <c r="L108" s="1041"/>
      <c r="M108" s="1041"/>
      <c r="N108" s="1041"/>
      <c r="O108" s="1041"/>
      <c r="P108" s="1041"/>
    </row>
    <row r="109" spans="2:16" ht="14.4">
      <c r="B109" s="2130" t="s">
        <v>724</v>
      </c>
      <c r="C109" s="2120">
        <v>0.41059773828756058</v>
      </c>
      <c r="D109" s="3104">
        <v>0.41303269375410073</v>
      </c>
      <c r="E109" s="3104">
        <v>0.41422026925953626</v>
      </c>
      <c r="F109" s="2124">
        <v>0.42727580164171303</v>
      </c>
      <c r="G109" s="2124">
        <v>0.42655201908792151</v>
      </c>
      <c r="H109" s="2124">
        <v>0.4532131321409632</v>
      </c>
      <c r="I109" s="2124">
        <v>0.45353666554417021</v>
      </c>
      <c r="J109" s="2124">
        <v>0.46158823343749011</v>
      </c>
      <c r="K109" s="2125">
        <v>0.49111951415148392</v>
      </c>
      <c r="L109" s="2125">
        <v>0.52046105899487882</v>
      </c>
      <c r="M109" s="2125">
        <v>0.47562512642569282</v>
      </c>
      <c r="N109" s="2125">
        <v>0.47946951911565788</v>
      </c>
      <c r="O109" s="2125">
        <v>0.441</v>
      </c>
      <c r="P109" s="2125">
        <v>0.42199999999999999</v>
      </c>
    </row>
    <row r="110" spans="2:16" ht="24">
      <c r="B110" s="6587" t="s">
        <v>3370</v>
      </c>
      <c r="I110" s="379"/>
      <c r="N110" s="4825"/>
      <c r="P110" s="6580" t="s">
        <v>3366</v>
      </c>
    </row>
    <row r="111" spans="2:16" ht="14.4">
      <c r="I111" s="379"/>
      <c r="M111" s="4826"/>
      <c r="O111" s="6118"/>
    </row>
    <row r="112" spans="2:16">
      <c r="I112" s="379"/>
      <c r="L112" s="3862"/>
      <c r="M112" s="3862"/>
    </row>
    <row r="113" spans="9:9">
      <c r="I113" s="379"/>
    </row>
    <row r="114" spans="9:9">
      <c r="I114" s="379"/>
    </row>
    <row r="115" spans="9:9">
      <c r="I115" s="379"/>
    </row>
    <row r="116" spans="9:9">
      <c r="I116" s="379"/>
    </row>
    <row r="117" spans="9:9">
      <c r="I117" s="379"/>
    </row>
    <row r="118" spans="9:9">
      <c r="I118" s="379"/>
    </row>
    <row r="119" spans="9:9">
      <c r="I119" s="379"/>
    </row>
    <row r="120" spans="9:9">
      <c r="I120" s="379"/>
    </row>
    <row r="121" spans="9:9">
      <c r="I121" s="379"/>
    </row>
    <row r="128" spans="9:9">
      <c r="I128" s="379"/>
    </row>
    <row r="129" spans="9:9">
      <c r="I129" s="379"/>
    </row>
    <row r="130" spans="9:9">
      <c r="I130" s="379"/>
    </row>
    <row r="131" spans="9:9">
      <c r="I131" s="379"/>
    </row>
    <row r="132" spans="9:9">
      <c r="I132" s="379"/>
    </row>
    <row r="133" spans="9:9">
      <c r="I133" s="379"/>
    </row>
    <row r="134" spans="9:9">
      <c r="I134" s="379"/>
    </row>
    <row r="135" spans="9:9">
      <c r="I135" s="379"/>
    </row>
    <row r="136" spans="9:9">
      <c r="I136" s="379"/>
    </row>
    <row r="137" spans="9:9">
      <c r="I137" s="379"/>
    </row>
    <row r="138" spans="9:9">
      <c r="I138" s="379"/>
    </row>
    <row r="139" spans="9:9">
      <c r="I139" s="379"/>
    </row>
    <row r="140" spans="9:9">
      <c r="I140" s="379"/>
    </row>
    <row r="141" spans="9:9">
      <c r="I141" s="379"/>
    </row>
    <row r="142" spans="9:9">
      <c r="I142" s="379"/>
    </row>
    <row r="143" spans="9:9">
      <c r="I143" s="379"/>
    </row>
    <row r="144" spans="9:9">
      <c r="I144" s="379"/>
    </row>
    <row r="145" spans="9:9">
      <c r="I145" s="379"/>
    </row>
    <row r="146" spans="9:9">
      <c r="I146" s="379"/>
    </row>
    <row r="147" spans="9:9">
      <c r="I147" s="379"/>
    </row>
    <row r="148" spans="9:9">
      <c r="I148" s="379"/>
    </row>
    <row r="149" spans="9:9">
      <c r="I149" s="379"/>
    </row>
    <row r="150" spans="9:9">
      <c r="I150" s="379"/>
    </row>
    <row r="151" spans="9:9">
      <c r="I151" s="379"/>
    </row>
    <row r="152" spans="9:9">
      <c r="I152" s="379"/>
    </row>
    <row r="153" spans="9:9">
      <c r="I153" s="379"/>
    </row>
    <row r="154" spans="9:9">
      <c r="I154" s="379"/>
    </row>
    <row r="155" spans="9:9">
      <c r="I155" s="379"/>
    </row>
    <row r="156" spans="9:9">
      <c r="I156" s="379"/>
    </row>
    <row r="157" spans="9:9">
      <c r="I157" s="379"/>
    </row>
    <row r="158" spans="9:9">
      <c r="I158" s="379"/>
    </row>
    <row r="159" spans="9:9">
      <c r="I159" s="379"/>
    </row>
    <row r="160" spans="9:9">
      <c r="I160" s="379"/>
    </row>
    <row r="161" spans="9:9">
      <c r="I161" s="379"/>
    </row>
    <row r="162" spans="9:9">
      <c r="I162" s="379"/>
    </row>
    <row r="163" spans="9:9">
      <c r="I163" s="379"/>
    </row>
    <row r="164" spans="9:9">
      <c r="I164" s="379"/>
    </row>
    <row r="165" spans="9:9">
      <c r="I165" s="379"/>
    </row>
    <row r="166" spans="9:9">
      <c r="I166" s="379"/>
    </row>
    <row r="167" spans="9:9">
      <c r="I167" s="379"/>
    </row>
    <row r="168" spans="9:9">
      <c r="I168" s="379"/>
    </row>
    <row r="169" spans="9:9">
      <c r="I169" s="379"/>
    </row>
    <row r="170" spans="9:9">
      <c r="I170" s="379"/>
    </row>
    <row r="171" spans="9:9">
      <c r="I171" s="379"/>
    </row>
    <row r="172" spans="9:9">
      <c r="I172" s="379"/>
    </row>
    <row r="173" spans="9:9">
      <c r="I173" s="379"/>
    </row>
    <row r="174" spans="9:9">
      <c r="I174" s="379"/>
    </row>
    <row r="175" spans="9:9">
      <c r="I175" s="379"/>
    </row>
    <row r="176" spans="9:9">
      <c r="I176" s="379"/>
    </row>
  </sheetData>
  <mergeCells count="3">
    <mergeCell ref="B4:B5"/>
    <mergeCell ref="L1:P1"/>
    <mergeCell ref="L2:P2"/>
  </mergeCells>
  <printOptions horizontalCentered="1" verticalCentered="1"/>
  <pageMargins left="0.70866141732283472" right="0.70866141732283472" top="0.74803149606299213" bottom="0.74803149606299213" header="0.31496062992125984" footer="0.31496062992125984"/>
  <pageSetup scale="50" firstPageNumber="3" orientation="landscape" useFirstPageNumber="1" r:id="rId1"/>
  <headerFooter scaleWithDoc="0" alignWithMargins="0">
    <oddFooter>&amp;R&amp;P</oddFooter>
  </headerFooter>
  <rowBreaks count="1" manualBreakCount="1">
    <brk id="64" min="11" max="15" man="1"/>
  </rowBreaks>
  <colBreaks count="1" manualBreakCount="1">
    <brk id="5" max="10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P110"/>
  <sheetViews>
    <sheetView showGridLines="0" zoomScale="110" zoomScaleNormal="110" workbookViewId="0">
      <pane xSplit="2" ySplit="3" topLeftCell="C78" activePane="bottomRight" state="frozen"/>
      <selection activeCell="C65" sqref="C65:C67"/>
      <selection pane="topRight" activeCell="C65" sqref="C65:C67"/>
      <selection pane="bottomLeft" activeCell="C65" sqref="C65:C67"/>
      <selection pane="bottomRight" activeCell="L105" sqref="L105"/>
    </sheetView>
  </sheetViews>
  <sheetFormatPr baseColWidth="10" defaultRowHeight="14.4"/>
  <cols>
    <col min="1" max="1" width="2.6640625" style="935" customWidth="1"/>
    <col min="2" max="2" width="46.6640625" style="2026" customWidth="1"/>
    <col min="3" max="7" width="9.33203125" style="2027" bestFit="1" customWidth="1"/>
    <col min="8" max="8" width="9.33203125" style="2027" customWidth="1"/>
    <col min="9" max="11" width="11.44140625" style="2027"/>
    <col min="12" max="246" width="11.44140625" style="935"/>
    <col min="247" max="247" width="18.33203125" style="935" customWidth="1"/>
    <col min="248" max="248" width="13" style="935" customWidth="1"/>
    <col min="249" max="249" width="41.6640625" style="935" customWidth="1"/>
    <col min="250" max="250" width="14" style="935" customWidth="1"/>
    <col min="251" max="251" width="13" style="935" customWidth="1"/>
    <col min="252" max="252" width="13.6640625" style="935" customWidth="1"/>
    <col min="253" max="502" width="11.44140625" style="935"/>
    <col min="503" max="503" width="18.33203125" style="935" customWidth="1"/>
    <col min="504" max="504" width="13" style="935" customWidth="1"/>
    <col min="505" max="505" width="41.6640625" style="935" customWidth="1"/>
    <col min="506" max="506" width="14" style="935" customWidth="1"/>
    <col min="507" max="507" width="13" style="935" customWidth="1"/>
    <col min="508" max="508" width="13.6640625" style="935" customWidth="1"/>
    <col min="509" max="758" width="11.44140625" style="935"/>
    <col min="759" max="759" width="18.33203125" style="935" customWidth="1"/>
    <col min="760" max="760" width="13" style="935" customWidth="1"/>
    <col min="761" max="761" width="41.6640625" style="935" customWidth="1"/>
    <col min="762" max="762" width="14" style="935" customWidth="1"/>
    <col min="763" max="763" width="13" style="935" customWidth="1"/>
    <col min="764" max="764" width="13.6640625" style="935" customWidth="1"/>
    <col min="765" max="1014" width="11.44140625" style="935"/>
    <col min="1015" max="1015" width="18.33203125" style="935" customWidth="1"/>
    <col min="1016" max="1016" width="13" style="935" customWidth="1"/>
    <col min="1017" max="1017" width="41.6640625" style="935" customWidth="1"/>
    <col min="1018" max="1018" width="14" style="935" customWidth="1"/>
    <col min="1019" max="1019" width="13" style="935" customWidth="1"/>
    <col min="1020" max="1020" width="13.6640625" style="935" customWidth="1"/>
    <col min="1021" max="1270" width="11.44140625" style="935"/>
    <col min="1271" max="1271" width="18.33203125" style="935" customWidth="1"/>
    <col min="1272" max="1272" width="13" style="935" customWidth="1"/>
    <col min="1273" max="1273" width="41.6640625" style="935" customWidth="1"/>
    <col min="1274" max="1274" width="14" style="935" customWidth="1"/>
    <col min="1275" max="1275" width="13" style="935" customWidth="1"/>
    <col min="1276" max="1276" width="13.6640625" style="935" customWidth="1"/>
    <col min="1277" max="1526" width="11.44140625" style="935"/>
    <col min="1527" max="1527" width="18.33203125" style="935" customWidth="1"/>
    <col min="1528" max="1528" width="13" style="935" customWidth="1"/>
    <col min="1529" max="1529" width="41.6640625" style="935" customWidth="1"/>
    <col min="1530" max="1530" width="14" style="935" customWidth="1"/>
    <col min="1531" max="1531" width="13" style="935" customWidth="1"/>
    <col min="1532" max="1532" width="13.6640625" style="935" customWidth="1"/>
    <col min="1533" max="1782" width="11.44140625" style="935"/>
    <col min="1783" max="1783" width="18.33203125" style="935" customWidth="1"/>
    <col min="1784" max="1784" width="13" style="935" customWidth="1"/>
    <col min="1785" max="1785" width="41.6640625" style="935" customWidth="1"/>
    <col min="1786" max="1786" width="14" style="935" customWidth="1"/>
    <col min="1787" max="1787" width="13" style="935" customWidth="1"/>
    <col min="1788" max="1788" width="13.6640625" style="935" customWidth="1"/>
    <col min="1789" max="2038" width="11.44140625" style="935"/>
    <col min="2039" max="2039" width="18.33203125" style="935" customWidth="1"/>
    <col min="2040" max="2040" width="13" style="935" customWidth="1"/>
    <col min="2041" max="2041" width="41.6640625" style="935" customWidth="1"/>
    <col min="2042" max="2042" width="14" style="935" customWidth="1"/>
    <col min="2043" max="2043" width="13" style="935" customWidth="1"/>
    <col min="2044" max="2044" width="13.6640625" style="935" customWidth="1"/>
    <col min="2045" max="2294" width="11.44140625" style="935"/>
    <col min="2295" max="2295" width="18.33203125" style="935" customWidth="1"/>
    <col min="2296" max="2296" width="13" style="935" customWidth="1"/>
    <col min="2297" max="2297" width="41.6640625" style="935" customWidth="1"/>
    <col min="2298" max="2298" width="14" style="935" customWidth="1"/>
    <col min="2299" max="2299" width="13" style="935" customWidth="1"/>
    <col min="2300" max="2300" width="13.6640625" style="935" customWidth="1"/>
    <col min="2301" max="2550" width="11.44140625" style="935"/>
    <col min="2551" max="2551" width="18.33203125" style="935" customWidth="1"/>
    <col min="2552" max="2552" width="13" style="935" customWidth="1"/>
    <col min="2553" max="2553" width="41.6640625" style="935" customWidth="1"/>
    <col min="2554" max="2554" width="14" style="935" customWidth="1"/>
    <col min="2555" max="2555" width="13" style="935" customWidth="1"/>
    <col min="2556" max="2556" width="13.6640625" style="935" customWidth="1"/>
    <col min="2557" max="2806" width="11.44140625" style="935"/>
    <col min="2807" max="2807" width="18.33203125" style="935" customWidth="1"/>
    <col min="2808" max="2808" width="13" style="935" customWidth="1"/>
    <col min="2809" max="2809" width="41.6640625" style="935" customWidth="1"/>
    <col min="2810" max="2810" width="14" style="935" customWidth="1"/>
    <col min="2811" max="2811" width="13" style="935" customWidth="1"/>
    <col min="2812" max="2812" width="13.6640625" style="935" customWidth="1"/>
    <col min="2813" max="3062" width="11.44140625" style="935"/>
    <col min="3063" max="3063" width="18.33203125" style="935" customWidth="1"/>
    <col min="3064" max="3064" width="13" style="935" customWidth="1"/>
    <col min="3065" max="3065" width="41.6640625" style="935" customWidth="1"/>
    <col min="3066" max="3066" width="14" style="935" customWidth="1"/>
    <col min="3067" max="3067" width="13" style="935" customWidth="1"/>
    <col min="3068" max="3068" width="13.6640625" style="935" customWidth="1"/>
    <col min="3069" max="3318" width="11.44140625" style="935"/>
    <col min="3319" max="3319" width="18.33203125" style="935" customWidth="1"/>
    <col min="3320" max="3320" width="13" style="935" customWidth="1"/>
    <col min="3321" max="3321" width="41.6640625" style="935" customWidth="1"/>
    <col min="3322" max="3322" width="14" style="935" customWidth="1"/>
    <col min="3323" max="3323" width="13" style="935" customWidth="1"/>
    <col min="3324" max="3324" width="13.6640625" style="935" customWidth="1"/>
    <col min="3325" max="3574" width="11.44140625" style="935"/>
    <col min="3575" max="3575" width="18.33203125" style="935" customWidth="1"/>
    <col min="3576" max="3576" width="13" style="935" customWidth="1"/>
    <col min="3577" max="3577" width="41.6640625" style="935" customWidth="1"/>
    <col min="3578" max="3578" width="14" style="935" customWidth="1"/>
    <col min="3579" max="3579" width="13" style="935" customWidth="1"/>
    <col min="3580" max="3580" width="13.6640625" style="935" customWidth="1"/>
    <col min="3581" max="3830" width="11.44140625" style="935"/>
    <col min="3831" max="3831" width="18.33203125" style="935" customWidth="1"/>
    <col min="3832" max="3832" width="13" style="935" customWidth="1"/>
    <col min="3833" max="3833" width="41.6640625" style="935" customWidth="1"/>
    <col min="3834" max="3834" width="14" style="935" customWidth="1"/>
    <col min="3835" max="3835" width="13" style="935" customWidth="1"/>
    <col min="3836" max="3836" width="13.6640625" style="935" customWidth="1"/>
    <col min="3837" max="4086" width="11.44140625" style="935"/>
    <col min="4087" max="4087" width="18.33203125" style="935" customWidth="1"/>
    <col min="4088" max="4088" width="13" style="935" customWidth="1"/>
    <col min="4089" max="4089" width="41.6640625" style="935" customWidth="1"/>
    <col min="4090" max="4090" width="14" style="935" customWidth="1"/>
    <col min="4091" max="4091" width="13" style="935" customWidth="1"/>
    <col min="4092" max="4092" width="13.6640625" style="935" customWidth="1"/>
    <col min="4093" max="4342" width="11.44140625" style="935"/>
    <col min="4343" max="4343" width="18.33203125" style="935" customWidth="1"/>
    <col min="4344" max="4344" width="13" style="935" customWidth="1"/>
    <col min="4345" max="4345" width="41.6640625" style="935" customWidth="1"/>
    <col min="4346" max="4346" width="14" style="935" customWidth="1"/>
    <col min="4347" max="4347" width="13" style="935" customWidth="1"/>
    <col min="4348" max="4348" width="13.6640625" style="935" customWidth="1"/>
    <col min="4349" max="4598" width="11.44140625" style="935"/>
    <col min="4599" max="4599" width="18.33203125" style="935" customWidth="1"/>
    <col min="4600" max="4600" width="13" style="935" customWidth="1"/>
    <col min="4601" max="4601" width="41.6640625" style="935" customWidth="1"/>
    <col min="4602" max="4602" width="14" style="935" customWidth="1"/>
    <col min="4603" max="4603" width="13" style="935" customWidth="1"/>
    <col min="4604" max="4604" width="13.6640625" style="935" customWidth="1"/>
    <col min="4605" max="4854" width="11.44140625" style="935"/>
    <col min="4855" max="4855" width="18.33203125" style="935" customWidth="1"/>
    <col min="4856" max="4856" width="13" style="935" customWidth="1"/>
    <col min="4857" max="4857" width="41.6640625" style="935" customWidth="1"/>
    <col min="4858" max="4858" width="14" style="935" customWidth="1"/>
    <col min="4859" max="4859" width="13" style="935" customWidth="1"/>
    <col min="4860" max="4860" width="13.6640625" style="935" customWidth="1"/>
    <col min="4861" max="5110" width="11.44140625" style="935"/>
    <col min="5111" max="5111" width="18.33203125" style="935" customWidth="1"/>
    <col min="5112" max="5112" width="13" style="935" customWidth="1"/>
    <col min="5113" max="5113" width="41.6640625" style="935" customWidth="1"/>
    <col min="5114" max="5114" width="14" style="935" customWidth="1"/>
    <col min="5115" max="5115" width="13" style="935" customWidth="1"/>
    <col min="5116" max="5116" width="13.6640625" style="935" customWidth="1"/>
    <col min="5117" max="5366" width="11.44140625" style="935"/>
    <col min="5367" max="5367" width="18.33203125" style="935" customWidth="1"/>
    <col min="5368" max="5368" width="13" style="935" customWidth="1"/>
    <col min="5369" max="5369" width="41.6640625" style="935" customWidth="1"/>
    <col min="5370" max="5370" width="14" style="935" customWidth="1"/>
    <col min="5371" max="5371" width="13" style="935" customWidth="1"/>
    <col min="5372" max="5372" width="13.6640625" style="935" customWidth="1"/>
    <col min="5373" max="5622" width="11.44140625" style="935"/>
    <col min="5623" max="5623" width="18.33203125" style="935" customWidth="1"/>
    <col min="5624" max="5624" width="13" style="935" customWidth="1"/>
    <col min="5625" max="5625" width="41.6640625" style="935" customWidth="1"/>
    <col min="5626" max="5626" width="14" style="935" customWidth="1"/>
    <col min="5627" max="5627" width="13" style="935" customWidth="1"/>
    <col min="5628" max="5628" width="13.6640625" style="935" customWidth="1"/>
    <col min="5629" max="5878" width="11.44140625" style="935"/>
    <col min="5879" max="5879" width="18.33203125" style="935" customWidth="1"/>
    <col min="5880" max="5880" width="13" style="935" customWidth="1"/>
    <col min="5881" max="5881" width="41.6640625" style="935" customWidth="1"/>
    <col min="5882" max="5882" width="14" style="935" customWidth="1"/>
    <col min="5883" max="5883" width="13" style="935" customWidth="1"/>
    <col min="5884" max="5884" width="13.6640625" style="935" customWidth="1"/>
    <col min="5885" max="6134" width="11.44140625" style="935"/>
    <col min="6135" max="6135" width="18.33203125" style="935" customWidth="1"/>
    <col min="6136" max="6136" width="13" style="935" customWidth="1"/>
    <col min="6137" max="6137" width="41.6640625" style="935" customWidth="1"/>
    <col min="6138" max="6138" width="14" style="935" customWidth="1"/>
    <col min="6139" max="6139" width="13" style="935" customWidth="1"/>
    <col min="6140" max="6140" width="13.6640625" style="935" customWidth="1"/>
    <col min="6141" max="6390" width="11.44140625" style="935"/>
    <col min="6391" max="6391" width="18.33203125" style="935" customWidth="1"/>
    <col min="6392" max="6392" width="13" style="935" customWidth="1"/>
    <col min="6393" max="6393" width="41.6640625" style="935" customWidth="1"/>
    <col min="6394" max="6394" width="14" style="935" customWidth="1"/>
    <col min="6395" max="6395" width="13" style="935" customWidth="1"/>
    <col min="6396" max="6396" width="13.6640625" style="935" customWidth="1"/>
    <col min="6397" max="6646" width="11.44140625" style="935"/>
    <col min="6647" max="6647" width="18.33203125" style="935" customWidth="1"/>
    <col min="6648" max="6648" width="13" style="935" customWidth="1"/>
    <col min="6649" max="6649" width="41.6640625" style="935" customWidth="1"/>
    <col min="6650" max="6650" width="14" style="935" customWidth="1"/>
    <col min="6651" max="6651" width="13" style="935" customWidth="1"/>
    <col min="6652" max="6652" width="13.6640625" style="935" customWidth="1"/>
    <col min="6653" max="6902" width="11.44140625" style="935"/>
    <col min="6903" max="6903" width="18.33203125" style="935" customWidth="1"/>
    <col min="6904" max="6904" width="13" style="935" customWidth="1"/>
    <col min="6905" max="6905" width="41.6640625" style="935" customWidth="1"/>
    <col min="6906" max="6906" width="14" style="935" customWidth="1"/>
    <col min="6907" max="6907" width="13" style="935" customWidth="1"/>
    <col min="6908" max="6908" width="13.6640625" style="935" customWidth="1"/>
    <col min="6909" max="7158" width="11.44140625" style="935"/>
    <col min="7159" max="7159" width="18.33203125" style="935" customWidth="1"/>
    <col min="7160" max="7160" width="13" style="935" customWidth="1"/>
    <col min="7161" max="7161" width="41.6640625" style="935" customWidth="1"/>
    <col min="7162" max="7162" width="14" style="935" customWidth="1"/>
    <col min="7163" max="7163" width="13" style="935" customWidth="1"/>
    <col min="7164" max="7164" width="13.6640625" style="935" customWidth="1"/>
    <col min="7165" max="7414" width="11.44140625" style="935"/>
    <col min="7415" max="7415" width="18.33203125" style="935" customWidth="1"/>
    <col min="7416" max="7416" width="13" style="935" customWidth="1"/>
    <col min="7417" max="7417" width="41.6640625" style="935" customWidth="1"/>
    <col min="7418" max="7418" width="14" style="935" customWidth="1"/>
    <col min="7419" max="7419" width="13" style="935" customWidth="1"/>
    <col min="7420" max="7420" width="13.6640625" style="935" customWidth="1"/>
    <col min="7421" max="7670" width="11.44140625" style="935"/>
    <col min="7671" max="7671" width="18.33203125" style="935" customWidth="1"/>
    <col min="7672" max="7672" width="13" style="935" customWidth="1"/>
    <col min="7673" max="7673" width="41.6640625" style="935" customWidth="1"/>
    <col min="7674" max="7674" width="14" style="935" customWidth="1"/>
    <col min="7675" max="7675" width="13" style="935" customWidth="1"/>
    <col min="7676" max="7676" width="13.6640625" style="935" customWidth="1"/>
    <col min="7677" max="7926" width="11.44140625" style="935"/>
    <col min="7927" max="7927" width="18.33203125" style="935" customWidth="1"/>
    <col min="7928" max="7928" width="13" style="935" customWidth="1"/>
    <col min="7929" max="7929" width="41.6640625" style="935" customWidth="1"/>
    <col min="7930" max="7930" width="14" style="935" customWidth="1"/>
    <col min="7931" max="7931" width="13" style="935" customWidth="1"/>
    <col min="7932" max="7932" width="13.6640625" style="935" customWidth="1"/>
    <col min="7933" max="8182" width="11.44140625" style="935"/>
    <col min="8183" max="8183" width="18.33203125" style="935" customWidth="1"/>
    <col min="8184" max="8184" width="13" style="935" customWidth="1"/>
    <col min="8185" max="8185" width="41.6640625" style="935" customWidth="1"/>
    <col min="8186" max="8186" width="14" style="935" customWidth="1"/>
    <col min="8187" max="8187" width="13" style="935" customWidth="1"/>
    <col min="8188" max="8188" width="13.6640625" style="935" customWidth="1"/>
    <col min="8189" max="8438" width="11.44140625" style="935"/>
    <col min="8439" max="8439" width="18.33203125" style="935" customWidth="1"/>
    <col min="8440" max="8440" width="13" style="935" customWidth="1"/>
    <col min="8441" max="8441" width="41.6640625" style="935" customWidth="1"/>
    <col min="8442" max="8442" width="14" style="935" customWidth="1"/>
    <col min="8443" max="8443" width="13" style="935" customWidth="1"/>
    <col min="8444" max="8444" width="13.6640625" style="935" customWidth="1"/>
    <col min="8445" max="8694" width="11.44140625" style="935"/>
    <col min="8695" max="8695" width="18.33203125" style="935" customWidth="1"/>
    <col min="8696" max="8696" width="13" style="935" customWidth="1"/>
    <col min="8697" max="8697" width="41.6640625" style="935" customWidth="1"/>
    <col min="8698" max="8698" width="14" style="935" customWidth="1"/>
    <col min="8699" max="8699" width="13" style="935" customWidth="1"/>
    <col min="8700" max="8700" width="13.6640625" style="935" customWidth="1"/>
    <col min="8701" max="8950" width="11.44140625" style="935"/>
    <col min="8951" max="8951" width="18.33203125" style="935" customWidth="1"/>
    <col min="8952" max="8952" width="13" style="935" customWidth="1"/>
    <col min="8953" max="8953" width="41.6640625" style="935" customWidth="1"/>
    <col min="8954" max="8954" width="14" style="935" customWidth="1"/>
    <col min="8955" max="8955" width="13" style="935" customWidth="1"/>
    <col min="8956" max="8956" width="13.6640625" style="935" customWidth="1"/>
    <col min="8957" max="9206" width="11.44140625" style="935"/>
    <col min="9207" max="9207" width="18.33203125" style="935" customWidth="1"/>
    <col min="9208" max="9208" width="13" style="935" customWidth="1"/>
    <col min="9209" max="9209" width="41.6640625" style="935" customWidth="1"/>
    <col min="9210" max="9210" width="14" style="935" customWidth="1"/>
    <col min="9211" max="9211" width="13" style="935" customWidth="1"/>
    <col min="9212" max="9212" width="13.6640625" style="935" customWidth="1"/>
    <col min="9213" max="9462" width="11.44140625" style="935"/>
    <col min="9463" max="9463" width="18.33203125" style="935" customWidth="1"/>
    <col min="9464" max="9464" width="13" style="935" customWidth="1"/>
    <col min="9465" max="9465" width="41.6640625" style="935" customWidth="1"/>
    <col min="9466" max="9466" width="14" style="935" customWidth="1"/>
    <col min="9467" max="9467" width="13" style="935" customWidth="1"/>
    <col min="9468" max="9468" width="13.6640625" style="935" customWidth="1"/>
    <col min="9469" max="9718" width="11.44140625" style="935"/>
    <col min="9719" max="9719" width="18.33203125" style="935" customWidth="1"/>
    <col min="9720" max="9720" width="13" style="935" customWidth="1"/>
    <col min="9721" max="9721" width="41.6640625" style="935" customWidth="1"/>
    <col min="9722" max="9722" width="14" style="935" customWidth="1"/>
    <col min="9723" max="9723" width="13" style="935" customWidth="1"/>
    <col min="9724" max="9724" width="13.6640625" style="935" customWidth="1"/>
    <col min="9725" max="9974" width="11.44140625" style="935"/>
    <col min="9975" max="9975" width="18.33203125" style="935" customWidth="1"/>
    <col min="9976" max="9976" width="13" style="935" customWidth="1"/>
    <col min="9977" max="9977" width="41.6640625" style="935" customWidth="1"/>
    <col min="9978" max="9978" width="14" style="935" customWidth="1"/>
    <col min="9979" max="9979" width="13" style="935" customWidth="1"/>
    <col min="9980" max="9980" width="13.6640625" style="935" customWidth="1"/>
    <col min="9981" max="10230" width="11.44140625" style="935"/>
    <col min="10231" max="10231" width="18.33203125" style="935" customWidth="1"/>
    <col min="10232" max="10232" width="13" style="935" customWidth="1"/>
    <col min="10233" max="10233" width="41.6640625" style="935" customWidth="1"/>
    <col min="10234" max="10234" width="14" style="935" customWidth="1"/>
    <col min="10235" max="10235" width="13" style="935" customWidth="1"/>
    <col min="10236" max="10236" width="13.6640625" style="935" customWidth="1"/>
    <col min="10237" max="10486" width="11.44140625" style="935"/>
    <col min="10487" max="10487" width="18.33203125" style="935" customWidth="1"/>
    <col min="10488" max="10488" width="13" style="935" customWidth="1"/>
    <col min="10489" max="10489" width="41.6640625" style="935" customWidth="1"/>
    <col min="10490" max="10490" width="14" style="935" customWidth="1"/>
    <col min="10491" max="10491" width="13" style="935" customWidth="1"/>
    <col min="10492" max="10492" width="13.6640625" style="935" customWidth="1"/>
    <col min="10493" max="10742" width="11.44140625" style="935"/>
    <col min="10743" max="10743" width="18.33203125" style="935" customWidth="1"/>
    <col min="10744" max="10744" width="13" style="935" customWidth="1"/>
    <col min="10745" max="10745" width="41.6640625" style="935" customWidth="1"/>
    <col min="10746" max="10746" width="14" style="935" customWidth="1"/>
    <col min="10747" max="10747" width="13" style="935" customWidth="1"/>
    <col min="10748" max="10748" width="13.6640625" style="935" customWidth="1"/>
    <col min="10749" max="10998" width="11.44140625" style="935"/>
    <col min="10999" max="10999" width="18.33203125" style="935" customWidth="1"/>
    <col min="11000" max="11000" width="13" style="935" customWidth="1"/>
    <col min="11001" max="11001" width="41.6640625" style="935" customWidth="1"/>
    <col min="11002" max="11002" width="14" style="935" customWidth="1"/>
    <col min="11003" max="11003" width="13" style="935" customWidth="1"/>
    <col min="11004" max="11004" width="13.6640625" style="935" customWidth="1"/>
    <col min="11005" max="11254" width="11.44140625" style="935"/>
    <col min="11255" max="11255" width="18.33203125" style="935" customWidth="1"/>
    <col min="11256" max="11256" width="13" style="935" customWidth="1"/>
    <col min="11257" max="11257" width="41.6640625" style="935" customWidth="1"/>
    <col min="11258" max="11258" width="14" style="935" customWidth="1"/>
    <col min="11259" max="11259" width="13" style="935" customWidth="1"/>
    <col min="11260" max="11260" width="13.6640625" style="935" customWidth="1"/>
    <col min="11261" max="11510" width="11.44140625" style="935"/>
    <col min="11511" max="11511" width="18.33203125" style="935" customWidth="1"/>
    <col min="11512" max="11512" width="13" style="935" customWidth="1"/>
    <col min="11513" max="11513" width="41.6640625" style="935" customWidth="1"/>
    <col min="11514" max="11514" width="14" style="935" customWidth="1"/>
    <col min="11515" max="11515" width="13" style="935" customWidth="1"/>
    <col min="11516" max="11516" width="13.6640625" style="935" customWidth="1"/>
    <col min="11517" max="11766" width="11.44140625" style="935"/>
    <col min="11767" max="11767" width="18.33203125" style="935" customWidth="1"/>
    <col min="11768" max="11768" width="13" style="935" customWidth="1"/>
    <col min="11769" max="11769" width="41.6640625" style="935" customWidth="1"/>
    <col min="11770" max="11770" width="14" style="935" customWidth="1"/>
    <col min="11771" max="11771" width="13" style="935" customWidth="1"/>
    <col min="11772" max="11772" width="13.6640625" style="935" customWidth="1"/>
    <col min="11773" max="12022" width="11.44140625" style="935"/>
    <col min="12023" max="12023" width="18.33203125" style="935" customWidth="1"/>
    <col min="12024" max="12024" width="13" style="935" customWidth="1"/>
    <col min="12025" max="12025" width="41.6640625" style="935" customWidth="1"/>
    <col min="12026" max="12026" width="14" style="935" customWidth="1"/>
    <col min="12027" max="12027" width="13" style="935" customWidth="1"/>
    <col min="12028" max="12028" width="13.6640625" style="935" customWidth="1"/>
    <col min="12029" max="12278" width="11.44140625" style="935"/>
    <col min="12279" max="12279" width="18.33203125" style="935" customWidth="1"/>
    <col min="12280" max="12280" width="13" style="935" customWidth="1"/>
    <col min="12281" max="12281" width="41.6640625" style="935" customWidth="1"/>
    <col min="12282" max="12282" width="14" style="935" customWidth="1"/>
    <col min="12283" max="12283" width="13" style="935" customWidth="1"/>
    <col min="12284" max="12284" width="13.6640625" style="935" customWidth="1"/>
    <col min="12285" max="12534" width="11.44140625" style="935"/>
    <col min="12535" max="12535" width="18.33203125" style="935" customWidth="1"/>
    <col min="12536" max="12536" width="13" style="935" customWidth="1"/>
    <col min="12537" max="12537" width="41.6640625" style="935" customWidth="1"/>
    <col min="12538" max="12538" width="14" style="935" customWidth="1"/>
    <col min="12539" max="12539" width="13" style="935" customWidth="1"/>
    <col min="12540" max="12540" width="13.6640625" style="935" customWidth="1"/>
    <col min="12541" max="12790" width="11.44140625" style="935"/>
    <col min="12791" max="12791" width="18.33203125" style="935" customWidth="1"/>
    <col min="12792" max="12792" width="13" style="935" customWidth="1"/>
    <col min="12793" max="12793" width="41.6640625" style="935" customWidth="1"/>
    <col min="12794" max="12794" width="14" style="935" customWidth="1"/>
    <col min="12795" max="12795" width="13" style="935" customWidth="1"/>
    <col min="12796" max="12796" width="13.6640625" style="935" customWidth="1"/>
    <col min="12797" max="13046" width="11.44140625" style="935"/>
    <col min="13047" max="13047" width="18.33203125" style="935" customWidth="1"/>
    <col min="13048" max="13048" width="13" style="935" customWidth="1"/>
    <col min="13049" max="13049" width="41.6640625" style="935" customWidth="1"/>
    <col min="13050" max="13050" width="14" style="935" customWidth="1"/>
    <col min="13051" max="13051" width="13" style="935" customWidth="1"/>
    <col min="13052" max="13052" width="13.6640625" style="935" customWidth="1"/>
    <col min="13053" max="13302" width="11.44140625" style="935"/>
    <col min="13303" max="13303" width="18.33203125" style="935" customWidth="1"/>
    <col min="13304" max="13304" width="13" style="935" customWidth="1"/>
    <col min="13305" max="13305" width="41.6640625" style="935" customWidth="1"/>
    <col min="13306" max="13306" width="14" style="935" customWidth="1"/>
    <col min="13307" max="13307" width="13" style="935" customWidth="1"/>
    <col min="13308" max="13308" width="13.6640625" style="935" customWidth="1"/>
    <col min="13309" max="13558" width="11.44140625" style="935"/>
    <col min="13559" max="13559" width="18.33203125" style="935" customWidth="1"/>
    <col min="13560" max="13560" width="13" style="935" customWidth="1"/>
    <col min="13561" max="13561" width="41.6640625" style="935" customWidth="1"/>
    <col min="13562" max="13562" width="14" style="935" customWidth="1"/>
    <col min="13563" max="13563" width="13" style="935" customWidth="1"/>
    <col min="13564" max="13564" width="13.6640625" style="935" customWidth="1"/>
    <col min="13565" max="13814" width="11.44140625" style="935"/>
    <col min="13815" max="13815" width="18.33203125" style="935" customWidth="1"/>
    <col min="13816" max="13816" width="13" style="935" customWidth="1"/>
    <col min="13817" max="13817" width="41.6640625" style="935" customWidth="1"/>
    <col min="13818" max="13818" width="14" style="935" customWidth="1"/>
    <col min="13819" max="13819" width="13" style="935" customWidth="1"/>
    <col min="13820" max="13820" width="13.6640625" style="935" customWidth="1"/>
    <col min="13821" max="14070" width="11.44140625" style="935"/>
    <col min="14071" max="14071" width="18.33203125" style="935" customWidth="1"/>
    <col min="14072" max="14072" width="13" style="935" customWidth="1"/>
    <col min="14073" max="14073" width="41.6640625" style="935" customWidth="1"/>
    <col min="14074" max="14074" width="14" style="935" customWidth="1"/>
    <col min="14075" max="14075" width="13" style="935" customWidth="1"/>
    <col min="14076" max="14076" width="13.6640625" style="935" customWidth="1"/>
    <col min="14077" max="14326" width="11.44140625" style="935"/>
    <col min="14327" max="14327" width="18.33203125" style="935" customWidth="1"/>
    <col min="14328" max="14328" width="13" style="935" customWidth="1"/>
    <col min="14329" max="14329" width="41.6640625" style="935" customWidth="1"/>
    <col min="14330" max="14330" width="14" style="935" customWidth="1"/>
    <col min="14331" max="14331" width="13" style="935" customWidth="1"/>
    <col min="14332" max="14332" width="13.6640625" style="935" customWidth="1"/>
    <col min="14333" max="14582" width="11.44140625" style="935"/>
    <col min="14583" max="14583" width="18.33203125" style="935" customWidth="1"/>
    <col min="14584" max="14584" width="13" style="935" customWidth="1"/>
    <col min="14585" max="14585" width="41.6640625" style="935" customWidth="1"/>
    <col min="14586" max="14586" width="14" style="935" customWidth="1"/>
    <col min="14587" max="14587" width="13" style="935" customWidth="1"/>
    <col min="14588" max="14588" width="13.6640625" style="935" customWidth="1"/>
    <col min="14589" max="14838" width="11.44140625" style="935"/>
    <col min="14839" max="14839" width="18.33203125" style="935" customWidth="1"/>
    <col min="14840" max="14840" width="13" style="935" customWidth="1"/>
    <col min="14841" max="14841" width="41.6640625" style="935" customWidth="1"/>
    <col min="14842" max="14842" width="14" style="935" customWidth="1"/>
    <col min="14843" max="14843" width="13" style="935" customWidth="1"/>
    <col min="14844" max="14844" width="13.6640625" style="935" customWidth="1"/>
    <col min="14845" max="15094" width="11.44140625" style="935"/>
    <col min="15095" max="15095" width="18.33203125" style="935" customWidth="1"/>
    <col min="15096" max="15096" width="13" style="935" customWidth="1"/>
    <col min="15097" max="15097" width="41.6640625" style="935" customWidth="1"/>
    <col min="15098" max="15098" width="14" style="935" customWidth="1"/>
    <col min="15099" max="15099" width="13" style="935" customWidth="1"/>
    <col min="15100" max="15100" width="13.6640625" style="935" customWidth="1"/>
    <col min="15101" max="15350" width="11.44140625" style="935"/>
    <col min="15351" max="15351" width="18.33203125" style="935" customWidth="1"/>
    <col min="15352" max="15352" width="13" style="935" customWidth="1"/>
    <col min="15353" max="15353" width="41.6640625" style="935" customWidth="1"/>
    <col min="15354" max="15354" width="14" style="935" customWidth="1"/>
    <col min="15355" max="15355" width="13" style="935" customWidth="1"/>
    <col min="15356" max="15356" width="13.6640625" style="935" customWidth="1"/>
    <col min="15357" max="15606" width="11.44140625" style="935"/>
    <col min="15607" max="15607" width="18.33203125" style="935" customWidth="1"/>
    <col min="15608" max="15608" width="13" style="935" customWidth="1"/>
    <col min="15609" max="15609" width="41.6640625" style="935" customWidth="1"/>
    <col min="15610" max="15610" width="14" style="935" customWidth="1"/>
    <col min="15611" max="15611" width="13" style="935" customWidth="1"/>
    <col min="15612" max="15612" width="13.6640625" style="935" customWidth="1"/>
    <col min="15613" max="15862" width="11.44140625" style="935"/>
    <col min="15863" max="15863" width="18.33203125" style="935" customWidth="1"/>
    <col min="15864" max="15864" width="13" style="935" customWidth="1"/>
    <col min="15865" max="15865" width="41.6640625" style="935" customWidth="1"/>
    <col min="15866" max="15866" width="14" style="935" customWidth="1"/>
    <col min="15867" max="15867" width="13" style="935" customWidth="1"/>
    <col min="15868" max="15868" width="13.6640625" style="935" customWidth="1"/>
    <col min="15869" max="16118" width="11.44140625" style="935"/>
    <col min="16119" max="16119" width="18.33203125" style="935" customWidth="1"/>
    <col min="16120" max="16120" width="13" style="935" customWidth="1"/>
    <col min="16121" max="16121" width="41.6640625" style="935" customWidth="1"/>
    <col min="16122" max="16122" width="14" style="935" customWidth="1"/>
    <col min="16123" max="16123" width="13" style="935" customWidth="1"/>
    <col min="16124" max="16124" width="13.6640625" style="935" customWidth="1"/>
    <col min="16125" max="16383" width="11.44140625" style="935"/>
    <col min="16384" max="16384" width="11.44140625" style="935" customWidth="1"/>
  </cols>
  <sheetData>
    <row r="1" spans="2:16" ht="37.5" customHeight="1">
      <c r="L1" s="6946" t="s">
        <v>3306</v>
      </c>
      <c r="M1" s="6946"/>
      <c r="N1" s="6946"/>
      <c r="O1" s="6946"/>
      <c r="P1" s="6946"/>
    </row>
    <row r="2" spans="2:16" ht="15" customHeight="1"/>
    <row r="3" spans="2:16" ht="15" thickBot="1">
      <c r="B3" s="2091" t="s">
        <v>2439</v>
      </c>
      <c r="C3" s="2114">
        <v>2010</v>
      </c>
      <c r="D3" s="2114">
        <v>2011</v>
      </c>
      <c r="E3" s="2114">
        <v>2012</v>
      </c>
      <c r="F3" s="2114">
        <v>2013</v>
      </c>
      <c r="G3" s="2114">
        <v>2014</v>
      </c>
      <c r="H3" s="2114">
        <v>2015</v>
      </c>
      <c r="I3" s="2114">
        <v>2016</v>
      </c>
      <c r="J3" s="2114">
        <v>2017</v>
      </c>
      <c r="K3" s="2114">
        <v>2018</v>
      </c>
      <c r="L3" s="2114">
        <v>2019</v>
      </c>
      <c r="M3" s="2114">
        <v>2020</v>
      </c>
      <c r="N3" s="3270">
        <v>2021</v>
      </c>
      <c r="O3" s="3270">
        <v>2022</v>
      </c>
      <c r="P3" s="3270">
        <v>2023</v>
      </c>
    </row>
    <row r="4" spans="2:16" ht="15" customHeight="1">
      <c r="B4" s="2429" t="s">
        <v>5</v>
      </c>
      <c r="C4" s="2430">
        <v>8.6296296296296298</v>
      </c>
      <c r="D4" s="2430">
        <v>8.2857142857142847</v>
      </c>
      <c r="E4" s="2431">
        <v>7.6750000000000007</v>
      </c>
      <c r="F4" s="2431">
        <v>6.2363636363636381</v>
      </c>
      <c r="G4" s="2430">
        <v>6.1896551724137971</v>
      </c>
      <c r="H4" s="2432">
        <v>6.8124999999999964</v>
      </c>
      <c r="I4" s="2432">
        <v>7.59</v>
      </c>
      <c r="J4" s="2432">
        <v>7.9699999999999989</v>
      </c>
      <c r="K4" s="2433">
        <v>7.120000000000001</v>
      </c>
      <c r="L4" s="3049">
        <v>9.23</v>
      </c>
      <c r="M4" s="3049">
        <v>10.574074074074073</v>
      </c>
      <c r="N4" s="3049">
        <v>9.4702380952380913</v>
      </c>
      <c r="O4" s="3049">
        <v>7.4415584415584419</v>
      </c>
      <c r="P4" s="3049">
        <v>7.2249999999999996</v>
      </c>
    </row>
    <row r="5" spans="2:16" ht="15" customHeight="1">
      <c r="B5" s="2434" t="s">
        <v>6</v>
      </c>
      <c r="C5" s="2435">
        <v>9.375</v>
      </c>
      <c r="D5" s="2435">
        <v>8.6944444444444464</v>
      </c>
      <c r="E5" s="2436">
        <v>9.4285714285714306</v>
      </c>
      <c r="F5" s="2436">
        <v>8.4576271186440621</v>
      </c>
      <c r="G5" s="2435">
        <v>7.2325581395348912</v>
      </c>
      <c r="H5" s="2437">
        <v>7.8000000000000007</v>
      </c>
      <c r="I5" s="2437">
        <v>8.25</v>
      </c>
      <c r="J5" s="2437">
        <v>8.879999999999999</v>
      </c>
      <c r="K5" s="2438">
        <v>7.2399999999999984</v>
      </c>
      <c r="L5" s="3050">
        <v>8.7399999999999984</v>
      </c>
      <c r="M5" s="3050">
        <v>7.5394179894179949</v>
      </c>
      <c r="N5" s="3050">
        <v>9.8788433788433814</v>
      </c>
      <c r="O5" s="3050">
        <v>7.4629629629629619</v>
      </c>
      <c r="P5" s="3050">
        <v>6.85</v>
      </c>
    </row>
    <row r="6" spans="2:16" ht="15" customHeight="1">
      <c r="B6" s="2434" t="s">
        <v>7</v>
      </c>
      <c r="C6" s="2435">
        <v>8.3333333333333321</v>
      </c>
      <c r="D6" s="2435">
        <v>11.066666666666666</v>
      </c>
      <c r="E6" s="2436">
        <v>9.1000000000000014</v>
      </c>
      <c r="F6" s="2436">
        <v>11.411764705882351</v>
      </c>
      <c r="G6" s="2435">
        <v>11.904761904761905</v>
      </c>
      <c r="H6" s="2437">
        <v>8.0952380952380985</v>
      </c>
      <c r="I6" s="2437">
        <v>9.57</v>
      </c>
      <c r="J6" s="2437">
        <v>8.6700000000000017</v>
      </c>
      <c r="K6" s="2438">
        <v>6.7600000000000016</v>
      </c>
      <c r="L6" s="3050">
        <v>8.32</v>
      </c>
      <c r="M6" s="3050">
        <v>10.199999999999999</v>
      </c>
      <c r="N6" s="3050">
        <v>8.0480769230769234</v>
      </c>
      <c r="O6" s="3050">
        <v>8.125</v>
      </c>
      <c r="P6" s="3050">
        <v>9.85</v>
      </c>
    </row>
    <row r="7" spans="2:16" ht="15" customHeight="1">
      <c r="B7" s="2434" t="s">
        <v>8</v>
      </c>
      <c r="C7" s="2435">
        <v>9.8823529411764675</v>
      </c>
      <c r="D7" s="2435">
        <v>7.4615384615384599</v>
      </c>
      <c r="E7" s="2436">
        <v>9.411764705882355</v>
      </c>
      <c r="F7" s="2436">
        <v>9.1500000000000021</v>
      </c>
      <c r="G7" s="2435">
        <v>9.088235294117645</v>
      </c>
      <c r="H7" s="2437">
        <v>8.3500000000000014</v>
      </c>
      <c r="I7" s="2437">
        <v>7.41</v>
      </c>
      <c r="J7" s="2437">
        <v>8.9600000000000009</v>
      </c>
      <c r="K7" s="2438">
        <v>6.75</v>
      </c>
      <c r="L7" s="3050">
        <v>8.43</v>
      </c>
      <c r="M7" s="3050">
        <v>7.6740740740740776</v>
      </c>
      <c r="N7" s="3050">
        <v>9.9232905982906026</v>
      </c>
      <c r="O7" s="3050">
        <v>8.3249999999999993</v>
      </c>
      <c r="P7" s="3050">
        <v>8.69</v>
      </c>
    </row>
    <row r="8" spans="2:16" ht="15" customHeight="1">
      <c r="B8" s="2434" t="s">
        <v>9</v>
      </c>
      <c r="C8" s="2435">
        <v>8.0898876404494331</v>
      </c>
      <c r="D8" s="2435">
        <v>8.5774647887324029</v>
      </c>
      <c r="E8" s="2436">
        <v>8.2318840579710013</v>
      </c>
      <c r="F8" s="2436">
        <v>7.8198198198198234</v>
      </c>
      <c r="G8" s="2435">
        <v>8.5154639175257785</v>
      </c>
      <c r="H8" s="2437">
        <v>9.0235294117647094</v>
      </c>
      <c r="I8" s="2437">
        <v>7.879999999999999</v>
      </c>
      <c r="J8" s="2437">
        <v>8.98</v>
      </c>
      <c r="K8" s="2438">
        <v>9.27</v>
      </c>
      <c r="L8" s="3050">
        <v>7.7199999999999989</v>
      </c>
      <c r="M8" s="3050">
        <v>10.407738095238091</v>
      </c>
      <c r="N8" s="3050">
        <v>5.1379148629148652</v>
      </c>
      <c r="O8" s="3050">
        <v>5.9183673469387763</v>
      </c>
      <c r="P8" s="3050">
        <v>4.9000000000000004</v>
      </c>
    </row>
    <row r="9" spans="2:16" ht="15" customHeight="1">
      <c r="B9" s="2434" t="s">
        <v>10</v>
      </c>
      <c r="C9" s="2435">
        <v>10.206896551724135</v>
      </c>
      <c r="D9" s="2435">
        <v>8.9523809523809526</v>
      </c>
      <c r="E9" s="2436">
        <v>9.3421052631578938</v>
      </c>
      <c r="F9" s="2436">
        <v>9.7962962962962941</v>
      </c>
      <c r="G9" s="2435">
        <v>9.9743589743589745</v>
      </c>
      <c r="H9" s="2437">
        <v>9.6046511627906952</v>
      </c>
      <c r="I9" s="2437">
        <v>8.4699999999999989</v>
      </c>
      <c r="J9" s="2437">
        <v>9.39</v>
      </c>
      <c r="K9" s="2438">
        <v>8.1999999999999993</v>
      </c>
      <c r="L9" s="3050">
        <v>8.75</v>
      </c>
      <c r="M9" s="3050">
        <v>9.3187830687830697</v>
      </c>
      <c r="N9" s="3050">
        <v>6.0230769230769212</v>
      </c>
      <c r="O9" s="3050">
        <v>9.3898305084745779</v>
      </c>
      <c r="P9" s="3050">
        <v>6.9</v>
      </c>
    </row>
    <row r="10" spans="2:16" ht="15" customHeight="1">
      <c r="B10" s="2434" t="s">
        <v>11</v>
      </c>
      <c r="C10" s="2435">
        <v>4.8000000000000007</v>
      </c>
      <c r="D10" s="2435">
        <v>9</v>
      </c>
      <c r="E10" s="2436">
        <v>9</v>
      </c>
      <c r="F10" s="2436">
        <v>9.4444444444444429</v>
      </c>
      <c r="G10" s="2435">
        <v>10.473684210526315</v>
      </c>
      <c r="H10" s="2437">
        <v>9.764705882352942</v>
      </c>
      <c r="I10" s="2437">
        <v>8.43</v>
      </c>
      <c r="J10" s="2437">
        <v>6.1700000000000017</v>
      </c>
      <c r="K10" s="2438">
        <v>7.9499999999999993</v>
      </c>
      <c r="L10" s="3050">
        <v>7.4499999999999993</v>
      </c>
      <c r="M10" s="3050">
        <v>9.25</v>
      </c>
      <c r="N10" s="3050">
        <v>8.966666666666665</v>
      </c>
      <c r="O10" s="3050">
        <v>9.5094339622641506</v>
      </c>
      <c r="P10" s="3050">
        <v>12.73</v>
      </c>
    </row>
    <row r="11" spans="2:16" ht="15" customHeight="1">
      <c r="B11" s="2434" t="s">
        <v>12</v>
      </c>
      <c r="C11" s="2435">
        <v>7.9782608695652151</v>
      </c>
      <c r="D11" s="2435">
        <v>7.6222222222222129</v>
      </c>
      <c r="E11" s="2436">
        <v>6.216216216216214</v>
      </c>
      <c r="F11" s="2436">
        <v>7.1851851851851833</v>
      </c>
      <c r="G11" s="2435">
        <v>8.7261904761904852</v>
      </c>
      <c r="H11" s="2437">
        <v>8.3835616438356126</v>
      </c>
      <c r="I11" s="2437">
        <v>8.32</v>
      </c>
      <c r="J11" s="2437">
        <v>8.5799999999999983</v>
      </c>
      <c r="K11" s="2438">
        <v>7.7800000000000011</v>
      </c>
      <c r="L11" s="3050">
        <v>8.9600000000000009</v>
      </c>
      <c r="M11" s="3050">
        <v>8.93333333333333</v>
      </c>
      <c r="N11" s="3050">
        <v>7.5940836940836931</v>
      </c>
      <c r="O11" s="3050">
        <v>6.8623853211009163</v>
      </c>
      <c r="P11" s="3050">
        <v>6.12</v>
      </c>
    </row>
    <row r="12" spans="2:16" ht="15" customHeight="1">
      <c r="B12" s="2434" t="s">
        <v>13</v>
      </c>
      <c r="C12" s="2435">
        <v>10.672727272727272</v>
      </c>
      <c r="D12" s="2435">
        <v>11.253521126760575</v>
      </c>
      <c r="E12" s="2436">
        <v>9.0845070422535166</v>
      </c>
      <c r="F12" s="2436">
        <v>10.592105263157901</v>
      </c>
      <c r="G12" s="2435">
        <v>10.338983050847457</v>
      </c>
      <c r="H12" s="2437">
        <v>11.280701754385969</v>
      </c>
      <c r="I12" s="2437">
        <v>10.91</v>
      </c>
      <c r="J12" s="2437">
        <v>10.969999999999999</v>
      </c>
      <c r="K12" s="2438">
        <v>10.71</v>
      </c>
      <c r="L12" s="3050">
        <v>11.940000000000001</v>
      </c>
      <c r="M12" s="3050">
        <v>14.646224146224149</v>
      </c>
      <c r="N12" s="3050">
        <v>7.2986111111111107</v>
      </c>
      <c r="O12" s="3050">
        <v>9.4482758620689644</v>
      </c>
      <c r="P12" s="3050">
        <v>14.14</v>
      </c>
    </row>
    <row r="13" spans="2:16" ht="15" customHeight="1">
      <c r="B13" s="2434" t="s">
        <v>14</v>
      </c>
      <c r="C13" s="2435">
        <v>5.1016949152542388</v>
      </c>
      <c r="D13" s="2435">
        <v>6.75</v>
      </c>
      <c r="E13" s="2436">
        <v>6.8000000000000078</v>
      </c>
      <c r="F13" s="2436">
        <v>8.8507462686567138</v>
      </c>
      <c r="G13" s="2435">
        <v>9.4583333333333179</v>
      </c>
      <c r="H13" s="2437">
        <v>8.779220779220779</v>
      </c>
      <c r="I13" s="2437">
        <v>10.780000000000001</v>
      </c>
      <c r="J13" s="2437">
        <v>11.120000000000001</v>
      </c>
      <c r="K13" s="2438">
        <v>10.309999999999999</v>
      </c>
      <c r="L13" s="3050">
        <v>10.41</v>
      </c>
      <c r="M13" s="3050">
        <v>8.8154761904761898</v>
      </c>
      <c r="N13" s="3050">
        <v>6.6958333333333329</v>
      </c>
      <c r="O13" s="3050">
        <v>6.7291666666666679</v>
      </c>
      <c r="P13" s="3050">
        <v>6.84</v>
      </c>
    </row>
    <row r="14" spans="2:16" ht="15" customHeight="1">
      <c r="B14" s="2439" t="s">
        <v>482</v>
      </c>
      <c r="C14" s="2440">
        <v>8.3451086956522005</v>
      </c>
      <c r="D14" s="2440">
        <v>8.7326732673267387</v>
      </c>
      <c r="E14" s="2441">
        <v>8.1878453038674266</v>
      </c>
      <c r="F14" s="2441">
        <v>8.6000000000000014</v>
      </c>
      <c r="G14" s="2435">
        <v>8.9216027874564432</v>
      </c>
      <c r="H14" s="2442">
        <v>8.7210626185958091</v>
      </c>
      <c r="I14" s="2442">
        <v>8.879999999999999</v>
      </c>
      <c r="J14" s="2442">
        <v>9.1700000000000017</v>
      </c>
      <c r="K14" s="2443">
        <v>8.34</v>
      </c>
      <c r="L14" s="3051">
        <v>9</v>
      </c>
      <c r="M14" s="3051">
        <v>9.6838999236058037</v>
      </c>
      <c r="N14" s="3051">
        <v>7.8404301758847161</v>
      </c>
      <c r="O14" s="3051">
        <v>7.7378277153558059</v>
      </c>
      <c r="P14" s="3051">
        <v>7.7</v>
      </c>
    </row>
    <row r="15" spans="2:16" ht="15" customHeight="1">
      <c r="B15" s="2434" t="s">
        <v>17</v>
      </c>
      <c r="C15" s="2435">
        <v>3.2647058823529385</v>
      </c>
      <c r="D15" s="2435">
        <v>3.2836879432624144</v>
      </c>
      <c r="E15" s="2436">
        <v>2.5856353591160186</v>
      </c>
      <c r="F15" s="2436">
        <v>3.5571428571428552</v>
      </c>
      <c r="G15" s="2435">
        <v>2.9497206703910717</v>
      </c>
      <c r="H15" s="2437">
        <v>3.7315789473684262</v>
      </c>
      <c r="I15" s="2437">
        <v>2.92</v>
      </c>
      <c r="J15" s="2437">
        <v>3.3200000000000003</v>
      </c>
      <c r="K15" s="2438">
        <v>2.9299999999999997</v>
      </c>
      <c r="L15" s="3050">
        <v>3.01</v>
      </c>
      <c r="M15" s="3050">
        <v>2.2942115822630527</v>
      </c>
      <c r="N15" s="3050">
        <v>2.2519257201865912</v>
      </c>
      <c r="O15" s="3050">
        <v>2.8510638297872344</v>
      </c>
      <c r="P15" s="3050">
        <v>2.12</v>
      </c>
    </row>
    <row r="16" spans="2:16" ht="15" customHeight="1">
      <c r="B16" s="2434" t="s">
        <v>18</v>
      </c>
      <c r="C16" s="2435">
        <v>3.873417721518992</v>
      </c>
      <c r="D16" s="2435">
        <v>4.1005917159763214</v>
      </c>
      <c r="E16" s="2436">
        <v>3.8347826086956669</v>
      </c>
      <c r="F16" s="2436">
        <v>3.2824207492795452</v>
      </c>
      <c r="G16" s="2435">
        <v>2.797468354430384</v>
      </c>
      <c r="H16" s="2437">
        <v>3.5461254612546114</v>
      </c>
      <c r="I16" s="2437">
        <v>3.26</v>
      </c>
      <c r="J16" s="2437">
        <v>3.1400000000000006</v>
      </c>
      <c r="K16" s="2438">
        <v>3.42</v>
      </c>
      <c r="L16" s="3050">
        <v>3.16</v>
      </c>
      <c r="M16" s="3050">
        <v>4.8850862956334566</v>
      </c>
      <c r="N16" s="3050">
        <v>2.6231112617940742</v>
      </c>
      <c r="O16" s="3050">
        <v>3.5336787564766841</v>
      </c>
      <c r="P16" s="3050">
        <v>2.5824742268041234</v>
      </c>
    </row>
    <row r="17" spans="2:16" ht="15" customHeight="1">
      <c r="B17" s="2434" t="s">
        <v>19</v>
      </c>
      <c r="C17" s="2435">
        <v>7.4262295081967267</v>
      </c>
      <c r="D17" s="2435">
        <v>6.8431372549019613</v>
      </c>
      <c r="E17" s="2436">
        <v>6.928571428571427</v>
      </c>
      <c r="F17" s="2436">
        <v>6.216216216216214</v>
      </c>
      <c r="G17" s="2435">
        <v>7</v>
      </c>
      <c r="H17" s="2437">
        <v>5.9189189189189229</v>
      </c>
      <c r="I17" s="2437">
        <v>6</v>
      </c>
      <c r="J17" s="2437">
        <v>6.5100000000000016</v>
      </c>
      <c r="K17" s="2438">
        <v>7.0799999999999983</v>
      </c>
      <c r="L17" s="3050">
        <v>9.0599999999999987</v>
      </c>
      <c r="M17" s="3050">
        <v>7.353219696969699</v>
      </c>
      <c r="N17" s="3050">
        <v>6.918716931216931</v>
      </c>
      <c r="O17" s="3050">
        <v>5.4642857142857153</v>
      </c>
      <c r="P17" s="3050">
        <v>5.5967741935483879</v>
      </c>
    </row>
    <row r="18" spans="2:16" ht="15" customHeight="1">
      <c r="B18" s="2434" t="s">
        <v>20</v>
      </c>
      <c r="C18" s="2435">
        <v>5.623188405797098</v>
      </c>
      <c r="D18" s="2435">
        <v>5.5384615384615365</v>
      </c>
      <c r="E18" s="2436">
        <v>6.3684210526315788</v>
      </c>
      <c r="F18" s="2436">
        <v>6.2258064516128933</v>
      </c>
      <c r="G18" s="2435">
        <v>5.3999999999999986</v>
      </c>
      <c r="H18" s="2437">
        <v>5.8617021276595729</v>
      </c>
      <c r="I18" s="2437">
        <v>4.82</v>
      </c>
      <c r="J18" s="2437">
        <v>6.84</v>
      </c>
      <c r="K18" s="2438">
        <v>6.620000000000001</v>
      </c>
      <c r="L18" s="3050">
        <v>6.1499999999999986</v>
      </c>
      <c r="M18" s="3050">
        <v>5.713782051282049</v>
      </c>
      <c r="N18" s="3050">
        <v>5.3488802756244631</v>
      </c>
      <c r="O18" s="3050">
        <v>6.3809523809523796</v>
      </c>
      <c r="P18" s="3050">
        <v>4.8539325842696641</v>
      </c>
    </row>
    <row r="19" spans="2:16" ht="15" customHeight="1">
      <c r="B19" s="2439" t="s">
        <v>483</v>
      </c>
      <c r="C19" s="2440">
        <v>4.3797216699801105</v>
      </c>
      <c r="D19" s="2440">
        <v>4.4123006833712957</v>
      </c>
      <c r="E19" s="2441">
        <v>4.0095419847328309</v>
      </c>
      <c r="F19" s="2441">
        <v>4.0399999999999991</v>
      </c>
      <c r="G19" s="2435">
        <v>3.6755793226381375</v>
      </c>
      <c r="H19" s="2442">
        <v>4.2273449920508845</v>
      </c>
      <c r="I19" s="2442">
        <v>3.6199999999999992</v>
      </c>
      <c r="J19" s="2442">
        <v>4.07</v>
      </c>
      <c r="K19" s="2443">
        <v>4.0100000000000016</v>
      </c>
      <c r="L19" s="3051">
        <v>4.2199999999999989</v>
      </c>
      <c r="M19" s="3051">
        <v>5.0615749065370643</v>
      </c>
      <c r="N19" s="3051">
        <v>4.285658547205518</v>
      </c>
      <c r="O19" s="3051">
        <v>4.1414342629482057</v>
      </c>
      <c r="P19" s="3051">
        <v>3.25</v>
      </c>
    </row>
    <row r="20" spans="2:16" ht="15" customHeight="1">
      <c r="B20" s="2434" t="s">
        <v>22</v>
      </c>
      <c r="C20" s="2435">
        <v>5.6068376068376118</v>
      </c>
      <c r="D20" s="2435">
        <v>4.131868131868135</v>
      </c>
      <c r="E20" s="2436">
        <v>4.7764705882352878</v>
      </c>
      <c r="F20" s="2436">
        <v>4.6934306569343072</v>
      </c>
      <c r="G20" s="2435">
        <v>5.415254237288142</v>
      </c>
      <c r="H20" s="2437">
        <v>6.1617647058823479</v>
      </c>
      <c r="I20" s="2437">
        <v>6.620000000000001</v>
      </c>
      <c r="J20" s="2437">
        <v>6.23</v>
      </c>
      <c r="K20" s="2438">
        <v>5.3500000000000014</v>
      </c>
      <c r="L20" s="3050">
        <v>4.3900000000000006</v>
      </c>
      <c r="M20" s="3050">
        <v>7.3912999037999043</v>
      </c>
      <c r="N20" s="3050">
        <v>2.3491954607046068</v>
      </c>
      <c r="O20" s="3050">
        <v>3.5217391304347831</v>
      </c>
      <c r="P20" s="3050">
        <v>3.4270833333333339</v>
      </c>
    </row>
    <row r="21" spans="2:16" ht="15" customHeight="1">
      <c r="B21" s="2434" t="s">
        <v>23</v>
      </c>
      <c r="C21" s="2435">
        <v>3.2083333333333357</v>
      </c>
      <c r="D21" s="2435">
        <v>3.5662650602409673</v>
      </c>
      <c r="E21" s="2436">
        <v>4.0380952380952309</v>
      </c>
      <c r="F21" s="2436">
        <v>3.2056074766355227</v>
      </c>
      <c r="G21" s="2435">
        <v>3.3543307086614185</v>
      </c>
      <c r="H21" s="2437">
        <v>3.7363636363636274</v>
      </c>
      <c r="I21" s="2437">
        <v>2.5199999999999996</v>
      </c>
      <c r="J21" s="2437">
        <v>3.1400000000000006</v>
      </c>
      <c r="K21" s="2438">
        <v>3.0500000000000007</v>
      </c>
      <c r="L21" s="3050">
        <v>2.5199999999999996</v>
      </c>
      <c r="M21" s="3050">
        <v>3.6135885071390401</v>
      </c>
      <c r="N21" s="3050">
        <v>3.7335139747484405</v>
      </c>
      <c r="O21" s="3050">
        <v>2.4662921348314608</v>
      </c>
      <c r="P21" s="3050">
        <v>2.9099099099099099</v>
      </c>
    </row>
    <row r="22" spans="2:16" ht="15" customHeight="1">
      <c r="B22" s="2434" t="s">
        <v>24</v>
      </c>
      <c r="C22" s="2435">
        <v>4.7142857142857082</v>
      </c>
      <c r="D22" s="2435">
        <v>4.9705882352941195</v>
      </c>
      <c r="E22" s="2436">
        <v>6.603174603174601</v>
      </c>
      <c r="F22" s="2436">
        <v>4.1573033707865115</v>
      </c>
      <c r="G22" s="2435">
        <v>3.91</v>
      </c>
      <c r="H22" s="2437">
        <v>4.9278350515463956</v>
      </c>
      <c r="I22" s="2437">
        <v>3.6999999999999993</v>
      </c>
      <c r="J22" s="2437">
        <v>4.2899999999999991</v>
      </c>
      <c r="K22" s="2438">
        <v>3.26</v>
      </c>
      <c r="L22" s="3050">
        <v>4.5500000000000007</v>
      </c>
      <c r="M22" s="3050">
        <v>2.9015638393864212</v>
      </c>
      <c r="N22" s="3050">
        <v>2.1725088183421519</v>
      </c>
      <c r="O22" s="3050">
        <v>2.2336448598130847</v>
      </c>
      <c r="P22" s="3050">
        <v>4.0689655172413808</v>
      </c>
    </row>
    <row r="23" spans="2:16" ht="15" customHeight="1">
      <c r="B23" s="2439" t="s">
        <v>484</v>
      </c>
      <c r="C23" s="2440">
        <v>4.476635514018696</v>
      </c>
      <c r="D23" s="2440">
        <v>4.1735537190082503</v>
      </c>
      <c r="E23" s="2441">
        <v>4.9249011857707465</v>
      </c>
      <c r="F23" s="2441">
        <v>4.07</v>
      </c>
      <c r="G23" s="2435">
        <v>4.2202898550724406</v>
      </c>
      <c r="H23" s="2442">
        <v>5.0349854227405189</v>
      </c>
      <c r="I23" s="2442">
        <v>4.1999999999999993</v>
      </c>
      <c r="J23" s="2442">
        <v>4.4899999999999984</v>
      </c>
      <c r="K23" s="2443">
        <v>3.83</v>
      </c>
      <c r="L23" s="3051">
        <v>3.6799999999999997</v>
      </c>
      <c r="M23" s="3051">
        <v>4.7374793919156275</v>
      </c>
      <c r="N23" s="3051">
        <v>2.7517394179317343</v>
      </c>
      <c r="O23" s="3051">
        <v>2.75177304964539</v>
      </c>
      <c r="P23" s="3051">
        <v>3.35</v>
      </c>
    </row>
    <row r="24" spans="2:16" ht="15" customHeight="1">
      <c r="B24" s="2462" t="s">
        <v>105</v>
      </c>
      <c r="C24" s="2454">
        <v>5.6300335570469962</v>
      </c>
      <c r="D24" s="2454">
        <v>5.9677419354838612</v>
      </c>
      <c r="E24" s="2463">
        <v>5.5408252853380233</v>
      </c>
      <c r="F24" s="2463">
        <v>5.5500000000000007</v>
      </c>
      <c r="G24" s="2464">
        <v>5.8371621621621941</v>
      </c>
      <c r="H24" s="2465">
        <v>5.9919946631087164</v>
      </c>
      <c r="I24" s="2465">
        <v>5.68</v>
      </c>
      <c r="J24" s="2465">
        <v>6.0300000000000011</v>
      </c>
      <c r="K24" s="2466">
        <v>5.4400000000000013</v>
      </c>
      <c r="L24" s="3052">
        <v>5.6000000000000014</v>
      </c>
      <c r="M24" s="3052">
        <v>6.5</v>
      </c>
      <c r="N24" s="3052">
        <v>6.0166059209212612</v>
      </c>
      <c r="O24" s="3052">
        <v>5.0548320767649066</v>
      </c>
      <c r="P24" s="3052">
        <v>4.6900000000000004</v>
      </c>
    </row>
    <row r="25" spans="2:16" ht="15" customHeight="1">
      <c r="B25" s="2467" t="s">
        <v>17</v>
      </c>
      <c r="C25" s="2460">
        <v>1.3333333333333357</v>
      </c>
      <c r="D25" s="2460">
        <v>1.1999999999999993</v>
      </c>
      <c r="E25" s="2468">
        <v>0.93333333333333535</v>
      </c>
      <c r="F25" s="2468">
        <v>2.3437499999999982</v>
      </c>
      <c r="G25" s="2460">
        <v>2.9583333333333339</v>
      </c>
      <c r="H25" s="2469">
        <v>2.7333333333333325</v>
      </c>
      <c r="I25" s="2469">
        <v>1.4499999999999993</v>
      </c>
      <c r="J25" s="2469">
        <v>2.2200000000000006</v>
      </c>
      <c r="K25" s="2470">
        <v>1.0500000000000007</v>
      </c>
      <c r="L25" s="3053">
        <v>1.2799999999999994</v>
      </c>
      <c r="M25" s="3053">
        <v>2.105820105820106</v>
      </c>
      <c r="N25" s="3053">
        <v>1.5309523809523817</v>
      </c>
      <c r="O25" s="3053">
        <v>1.4749999999999996</v>
      </c>
      <c r="P25" s="3053">
        <v>1.3863636363636367</v>
      </c>
    </row>
    <row r="26" spans="2:16" ht="15" customHeight="1">
      <c r="B26" s="2467" t="s">
        <v>18</v>
      </c>
      <c r="C26" s="2460"/>
      <c r="D26" s="2460"/>
      <c r="E26" s="2468"/>
      <c r="F26" s="2468"/>
      <c r="G26" s="2460"/>
      <c r="H26" s="2469"/>
      <c r="I26" s="2469"/>
      <c r="J26" s="2469"/>
      <c r="K26" s="2470"/>
      <c r="L26" s="3053">
        <v>1.08</v>
      </c>
      <c r="M26" s="3053">
        <v>0.79444444444444429</v>
      </c>
      <c r="N26" s="3053">
        <v>0.80000000000000071</v>
      </c>
      <c r="O26" s="3053">
        <v>1.5</v>
      </c>
      <c r="P26" s="3053">
        <v>3.454545454545455</v>
      </c>
    </row>
    <row r="27" spans="2:16" ht="15" customHeight="1">
      <c r="B27" s="2434" t="s">
        <v>60</v>
      </c>
      <c r="C27" s="2435">
        <v>2.75</v>
      </c>
      <c r="D27" s="2435">
        <v>0.125</v>
      </c>
      <c r="E27" s="2436">
        <v>0.52941176470588225</v>
      </c>
      <c r="F27" s="2436">
        <v>2.25</v>
      </c>
      <c r="G27" s="2435">
        <v>0.75</v>
      </c>
      <c r="H27" s="2437">
        <v>1.5</v>
      </c>
      <c r="I27" s="2437">
        <v>4.3299999999999983</v>
      </c>
      <c r="J27" s="2437">
        <v>2.4499999999999993</v>
      </c>
      <c r="K27" s="2438">
        <v>3.17</v>
      </c>
      <c r="L27" s="3050">
        <v>3.42</v>
      </c>
      <c r="M27" s="3050">
        <v>4.15625</v>
      </c>
      <c r="N27" s="3050">
        <v>3.4002645502645503</v>
      </c>
      <c r="O27" s="3050">
        <v>4.5</v>
      </c>
      <c r="P27" s="3050">
        <v>3.3157894736842106</v>
      </c>
    </row>
    <row r="28" spans="2:16" ht="15" customHeight="1">
      <c r="B28" s="2434" t="s">
        <v>384</v>
      </c>
      <c r="C28" s="2435"/>
      <c r="D28" s="2435">
        <v>0.66666666666666607</v>
      </c>
      <c r="E28" s="2436">
        <v>2.2857142857142865</v>
      </c>
      <c r="F28" s="2436">
        <v>3.1428571428571423</v>
      </c>
      <c r="G28" s="2435">
        <v>2</v>
      </c>
      <c r="H28" s="2437">
        <v>4.0909090909090899</v>
      </c>
      <c r="I28" s="2437">
        <v>4.8599999999999994</v>
      </c>
      <c r="J28" s="2437">
        <v>6.7100000000000009</v>
      </c>
      <c r="K28" s="2438">
        <v>5.2899999999999991</v>
      </c>
      <c r="L28" s="3050">
        <v>5.1700000000000017</v>
      </c>
      <c r="M28" s="3050">
        <v>4.8000000000000007</v>
      </c>
      <c r="N28" s="3050">
        <v>7.1233333333333348</v>
      </c>
      <c r="O28" s="3050">
        <v>6.875</v>
      </c>
      <c r="P28" s="3050">
        <v>8.3846153846153832</v>
      </c>
    </row>
    <row r="29" spans="2:16" ht="15" customHeight="1">
      <c r="B29" s="2439" t="s">
        <v>483</v>
      </c>
      <c r="C29" s="2440">
        <v>1.5357142857142865</v>
      </c>
      <c r="D29" s="2440">
        <v>1</v>
      </c>
      <c r="E29" s="2441">
        <v>0.98148148148148096</v>
      </c>
      <c r="F29" s="2441">
        <v>2.4700000000000006</v>
      </c>
      <c r="G29" s="2435">
        <v>3</v>
      </c>
      <c r="H29" s="2442">
        <v>3.1785714285714306</v>
      </c>
      <c r="I29" s="2442">
        <v>2.4700000000000006</v>
      </c>
      <c r="J29" s="2442">
        <v>3.17</v>
      </c>
      <c r="K29" s="2443">
        <v>1.9800000000000004</v>
      </c>
      <c r="L29" s="3051">
        <v>2.1999999999999993</v>
      </c>
      <c r="M29" s="3051">
        <v>3.0530830280830301</v>
      </c>
      <c r="N29" s="3051">
        <v>3.307103174603176</v>
      </c>
      <c r="O29" s="3051">
        <v>3.0833333333333339</v>
      </c>
      <c r="P29" s="3051">
        <v>3.11</v>
      </c>
    </row>
    <row r="30" spans="2:16" ht="15" customHeight="1">
      <c r="B30" s="2434" t="s">
        <v>62</v>
      </c>
      <c r="C30" s="2435">
        <v>1.5999999999999996</v>
      </c>
      <c r="D30" s="2435">
        <v>1.8666666666666689</v>
      </c>
      <c r="E30" s="2436">
        <v>2.9473684210526336</v>
      </c>
      <c r="F30" s="2436">
        <v>4.5</v>
      </c>
      <c r="G30" s="2435">
        <v>5.2727272727272698</v>
      </c>
      <c r="H30" s="2437">
        <v>5.8888888888888893</v>
      </c>
      <c r="I30" s="2437">
        <v>5.5</v>
      </c>
      <c r="J30" s="2437">
        <v>5.32</v>
      </c>
      <c r="K30" s="2438">
        <v>7.1400000000000006</v>
      </c>
      <c r="L30" s="3050">
        <v>3.6099999999999994</v>
      </c>
      <c r="M30" s="3050">
        <v>7.4583333333333321</v>
      </c>
      <c r="N30" s="3050">
        <v>2.9315384615384623</v>
      </c>
      <c r="O30" s="3050">
        <v>3.8888888888888893</v>
      </c>
      <c r="P30" s="3050">
        <v>4.2300000000000004</v>
      </c>
    </row>
    <row r="31" spans="2:16" ht="15" customHeight="1">
      <c r="B31" s="2434" t="s">
        <v>385</v>
      </c>
      <c r="C31" s="2435"/>
      <c r="D31" s="2435">
        <v>0.5</v>
      </c>
      <c r="E31" s="2436">
        <v>3.5</v>
      </c>
      <c r="F31" s="2436"/>
      <c r="G31" s="2435">
        <v>2.5</v>
      </c>
      <c r="H31" s="2437">
        <v>5.0000000000000036</v>
      </c>
      <c r="I31" s="2437">
        <v>7.2899999999999991</v>
      </c>
      <c r="J31" s="2437">
        <v>6.1400000000000006</v>
      </c>
      <c r="K31" s="2438">
        <v>7.0799999999999983</v>
      </c>
      <c r="L31" s="3050">
        <v>5.5799999999999983</v>
      </c>
      <c r="M31" s="3050">
        <v>6.25</v>
      </c>
      <c r="N31" s="3050">
        <v>5.0138888888888893</v>
      </c>
      <c r="O31" s="3050">
        <v>6.875</v>
      </c>
      <c r="P31" s="3050">
        <v>7</v>
      </c>
    </row>
    <row r="32" spans="2:16" ht="15" customHeight="1">
      <c r="B32" s="2434" t="s">
        <v>63</v>
      </c>
      <c r="C32" s="2435"/>
      <c r="D32" s="2435">
        <v>0.26666666666666572</v>
      </c>
      <c r="E32" s="2436">
        <v>1.1481481481481488</v>
      </c>
      <c r="F32" s="2436">
        <v>1.2000000000000011</v>
      </c>
      <c r="G32" s="2435">
        <v>1.2777777777777803</v>
      </c>
      <c r="H32" s="2437">
        <v>3.3846153846153868</v>
      </c>
      <c r="I32" s="2437">
        <v>2.8900000000000006</v>
      </c>
      <c r="J32" s="2437">
        <v>3.4499999999999993</v>
      </c>
      <c r="K32" s="2438">
        <v>2.33</v>
      </c>
      <c r="L32" s="3050">
        <v>2.5999999999999996</v>
      </c>
      <c r="M32" s="3050">
        <v>3.5445075757575761</v>
      </c>
      <c r="N32" s="3050">
        <v>3.0882352941176467</v>
      </c>
      <c r="O32" s="3050">
        <v>0.85714285714285765</v>
      </c>
      <c r="P32" s="3050">
        <v>2.8</v>
      </c>
    </row>
    <row r="33" spans="2:16" ht="15" customHeight="1">
      <c r="B33" s="2439" t="s">
        <v>486</v>
      </c>
      <c r="C33" s="2440">
        <v>1.5999999999999996</v>
      </c>
      <c r="D33" s="2440">
        <v>1.0312500000000018</v>
      </c>
      <c r="E33" s="2441">
        <v>1.9583333333333339</v>
      </c>
      <c r="F33" s="2441">
        <v>2.1400000000000006</v>
      </c>
      <c r="G33" s="2435">
        <v>2.7741935483870996</v>
      </c>
      <c r="H33" s="2442">
        <v>4.5517241379310391</v>
      </c>
      <c r="I33" s="2442">
        <v>4.620000000000001</v>
      </c>
      <c r="J33" s="2442">
        <v>4.4400000000000013</v>
      </c>
      <c r="K33" s="2443">
        <v>4.879999999999999</v>
      </c>
      <c r="L33" s="3051">
        <v>3.34</v>
      </c>
      <c r="M33" s="3051">
        <v>5.6511363636363612</v>
      </c>
      <c r="N33" s="3051">
        <v>3.620476079978344</v>
      </c>
      <c r="O33" s="3051">
        <v>2.9529411764705884</v>
      </c>
      <c r="P33" s="3051">
        <v>3.77</v>
      </c>
    </row>
    <row r="34" spans="2:16" ht="15" customHeight="1">
      <c r="B34" s="2434" t="s">
        <v>14</v>
      </c>
      <c r="C34" s="2435">
        <v>1.8888888888888893</v>
      </c>
      <c r="D34" s="2435">
        <v>1.6000000000000014</v>
      </c>
      <c r="E34" s="2436">
        <v>2.1538461538461533</v>
      </c>
      <c r="F34" s="2436">
        <v>4.3000000000000007</v>
      </c>
      <c r="G34" s="2435">
        <v>6.1000000000000014</v>
      </c>
      <c r="H34" s="2437">
        <v>2.6666666666666661</v>
      </c>
      <c r="I34" s="2437">
        <v>7.129999999999999</v>
      </c>
      <c r="J34" s="2437">
        <v>8.3999999999999986</v>
      </c>
      <c r="K34" s="2438">
        <v>5.8900000000000006</v>
      </c>
      <c r="L34" s="3050">
        <v>3.5999999999999996</v>
      </c>
      <c r="M34" s="3050">
        <v>8.875</v>
      </c>
      <c r="N34" s="3050">
        <v>4.9166666666666679</v>
      </c>
      <c r="O34" s="3050">
        <v>5</v>
      </c>
      <c r="P34" s="3050">
        <v>8.75</v>
      </c>
    </row>
    <row r="35" spans="2:16" ht="15" customHeight="1">
      <c r="B35" s="2434" t="s">
        <v>65</v>
      </c>
      <c r="C35" s="2435">
        <v>0</v>
      </c>
      <c r="D35" s="2435">
        <v>7</v>
      </c>
      <c r="E35" s="2436">
        <v>2.75</v>
      </c>
      <c r="F35" s="2436">
        <v>3.3333333333333339</v>
      </c>
      <c r="G35" s="2435">
        <v>6.3333333333333321</v>
      </c>
      <c r="H35" s="2437">
        <v>7.2857142857142847</v>
      </c>
      <c r="I35" s="2437">
        <v>8.5</v>
      </c>
      <c r="J35" s="2437">
        <v>6.1099999999999994</v>
      </c>
      <c r="K35" s="2438">
        <v>6</v>
      </c>
      <c r="L35" s="3050">
        <v>6.18</v>
      </c>
      <c r="M35" s="3050">
        <v>11.75</v>
      </c>
      <c r="N35" s="3050">
        <v>6.1458333333333321</v>
      </c>
      <c r="O35" s="3050">
        <v>4.1111111111111107</v>
      </c>
      <c r="P35" s="3050">
        <v>6</v>
      </c>
    </row>
    <row r="36" spans="2:16" ht="15" customHeight="1">
      <c r="B36" s="2434" t="s">
        <v>386</v>
      </c>
      <c r="C36" s="2435"/>
      <c r="D36" s="2435"/>
      <c r="E36" s="2436">
        <v>1</v>
      </c>
      <c r="F36" s="2436">
        <v>1.5</v>
      </c>
      <c r="G36" s="2435">
        <v>5.3999999999999986</v>
      </c>
      <c r="H36" s="2437">
        <v>4.1428571428571423</v>
      </c>
      <c r="I36" s="2437">
        <v>6.2199999999999989</v>
      </c>
      <c r="J36" s="2437">
        <v>6.75</v>
      </c>
      <c r="K36" s="2438">
        <v>2.8599999999999994</v>
      </c>
      <c r="L36" s="3050">
        <v>6.43</v>
      </c>
      <c r="M36" s="3050">
        <v>5.1969696969696955</v>
      </c>
      <c r="N36" s="3050">
        <v>2.6412037037037042</v>
      </c>
      <c r="O36" s="3050">
        <v>4.375</v>
      </c>
      <c r="P36" s="3050">
        <v>6.2</v>
      </c>
    </row>
    <row r="37" spans="2:16" ht="15" customHeight="1">
      <c r="B37" s="2434" t="s">
        <v>81</v>
      </c>
      <c r="C37" s="2435"/>
      <c r="D37" s="2435"/>
      <c r="E37" s="2436"/>
      <c r="F37" s="2436"/>
      <c r="G37" s="2435">
        <v>1</v>
      </c>
      <c r="H37" s="2437">
        <v>1.25</v>
      </c>
      <c r="I37" s="2437">
        <v>2.5299999999999994</v>
      </c>
      <c r="J37" s="2437">
        <v>3.2899999999999991</v>
      </c>
      <c r="K37" s="2438">
        <v>2.7799999999999994</v>
      </c>
      <c r="L37" s="3050">
        <v>3.1099999999999994</v>
      </c>
      <c r="M37" s="3050">
        <v>3.2142857142857135</v>
      </c>
      <c r="N37" s="3050">
        <v>4.6387301587301586</v>
      </c>
      <c r="O37" s="3050">
        <v>4.717948717948719</v>
      </c>
      <c r="P37" s="3050">
        <v>3.26</v>
      </c>
    </row>
    <row r="38" spans="2:16" ht="15" customHeight="1">
      <c r="B38" s="2439" t="s">
        <v>487</v>
      </c>
      <c r="C38" s="2440">
        <v>1.6999999999999993</v>
      </c>
      <c r="D38" s="2440">
        <v>2.0909090909090917</v>
      </c>
      <c r="E38" s="2441">
        <v>2.2222222222222232</v>
      </c>
      <c r="F38" s="2441">
        <v>3.7300000000000004</v>
      </c>
      <c r="G38" s="2435">
        <v>5.0454545454545432</v>
      </c>
      <c r="H38" s="2442">
        <v>4.2083333333333393</v>
      </c>
      <c r="I38" s="2442">
        <v>5.0500000000000007</v>
      </c>
      <c r="J38" s="2442">
        <v>5.120000000000001</v>
      </c>
      <c r="K38" s="2443">
        <v>4.2399999999999984</v>
      </c>
      <c r="L38" s="3051">
        <v>4.4800000000000004</v>
      </c>
      <c r="M38" s="3051">
        <v>6.237179487179489</v>
      </c>
      <c r="N38" s="3051">
        <v>4.3541225749559089</v>
      </c>
      <c r="O38" s="3051">
        <v>4.6923076923076934</v>
      </c>
      <c r="P38" s="3051">
        <v>5.95</v>
      </c>
    </row>
    <row r="39" spans="2:16" ht="15" customHeight="1">
      <c r="B39" s="2462" t="s">
        <v>256</v>
      </c>
      <c r="C39" s="2454">
        <v>1.5849056603773573</v>
      </c>
      <c r="D39" s="2454">
        <v>1.13829787234042</v>
      </c>
      <c r="E39" s="2463">
        <v>1.5583333333333318</v>
      </c>
      <c r="F39" s="2463">
        <v>2.6199999999999992</v>
      </c>
      <c r="G39" s="2464">
        <v>3.4418604651162763</v>
      </c>
      <c r="H39" s="2465">
        <v>3.9753086419753139</v>
      </c>
      <c r="I39" s="2465">
        <v>4.1700000000000017</v>
      </c>
      <c r="J39" s="2465">
        <v>4.3099999999999987</v>
      </c>
      <c r="K39" s="2466">
        <v>3.7699999999999996</v>
      </c>
      <c r="L39" s="3052">
        <v>3.2100000000000009</v>
      </c>
      <c r="M39" s="3052">
        <v>4.9245771204104543</v>
      </c>
      <c r="N39" s="3052">
        <v>3.7565188015880082</v>
      </c>
      <c r="O39" s="3052">
        <v>3.5465587044534406</v>
      </c>
      <c r="P39" s="3052">
        <v>4.1399999999999997</v>
      </c>
    </row>
    <row r="40" spans="2:16" ht="15" customHeight="1">
      <c r="B40" s="2467" t="s">
        <v>26</v>
      </c>
      <c r="C40" s="2460">
        <v>5.375</v>
      </c>
      <c r="D40" s="2460">
        <v>6.6428571428571388</v>
      </c>
      <c r="E40" s="2468">
        <v>8.3703703703703702</v>
      </c>
      <c r="F40" s="2468">
        <v>9.4090909090909065</v>
      </c>
      <c r="G40" s="2460">
        <v>9.818181818181813</v>
      </c>
      <c r="H40" s="2469">
        <v>8.7727272727272698</v>
      </c>
      <c r="I40" s="2469">
        <v>9.2399999999999984</v>
      </c>
      <c r="J40" s="2469">
        <v>8.379999999999999</v>
      </c>
      <c r="K40" s="2470">
        <v>7.7100000000000009</v>
      </c>
      <c r="L40" s="3053">
        <v>10.199999999999999</v>
      </c>
      <c r="M40" s="3053">
        <v>8.2932098765432087</v>
      </c>
      <c r="N40" s="3053">
        <v>8.5176830966304635</v>
      </c>
      <c r="O40" s="3053">
        <v>8.1632653061224474</v>
      </c>
      <c r="P40" s="3053">
        <v>9.34</v>
      </c>
    </row>
    <row r="41" spans="2:16" ht="15" customHeight="1">
      <c r="B41" s="2434" t="s">
        <v>27</v>
      </c>
      <c r="C41" s="2435">
        <v>7</v>
      </c>
      <c r="D41" s="2435">
        <v>3.5999999999999996</v>
      </c>
      <c r="E41" s="2436">
        <v>8.1666666666666679</v>
      </c>
      <c r="F41" s="2436"/>
      <c r="G41" s="2435">
        <v>7.1333333333333329</v>
      </c>
      <c r="H41" s="2437">
        <v>7.7000000000000028</v>
      </c>
      <c r="I41" s="2437">
        <v>6.1700000000000017</v>
      </c>
      <c r="J41" s="2437">
        <v>8.43</v>
      </c>
      <c r="K41" s="2438">
        <v>17</v>
      </c>
      <c r="L41" s="3050">
        <v>9.43</v>
      </c>
      <c r="M41" s="3050">
        <v>8.875</v>
      </c>
      <c r="N41" s="3050">
        <v>12.555555555555557</v>
      </c>
      <c r="O41" s="3050">
        <v>13.066666666666666</v>
      </c>
      <c r="P41" s="3050">
        <v>10.75</v>
      </c>
    </row>
    <row r="42" spans="2:16" ht="15" customHeight="1">
      <c r="B42" s="2434" t="s">
        <v>12</v>
      </c>
      <c r="C42" s="2435">
        <v>4.8571428571428541</v>
      </c>
      <c r="D42" s="2435">
        <v>9.2000000000000028</v>
      </c>
      <c r="E42" s="2436">
        <v>6.6363636363636367</v>
      </c>
      <c r="F42" s="2436">
        <v>8.3809523809523832</v>
      </c>
      <c r="G42" s="2435">
        <v>4.9166666666666679</v>
      </c>
      <c r="H42" s="2437">
        <v>6.5789473684210513</v>
      </c>
      <c r="I42" s="2437">
        <v>5.8900000000000006</v>
      </c>
      <c r="J42" s="2437">
        <v>6.82</v>
      </c>
      <c r="K42" s="2438">
        <v>7.6000000000000014</v>
      </c>
      <c r="L42" s="3050">
        <v>7.66</v>
      </c>
      <c r="M42" s="3050">
        <v>6.6889610389610397</v>
      </c>
      <c r="N42" s="3050">
        <v>6.0157617845117848</v>
      </c>
      <c r="O42" s="3050">
        <v>10.44736842105263</v>
      </c>
      <c r="P42" s="3050">
        <v>8.64</v>
      </c>
    </row>
    <row r="43" spans="2:16" ht="15" customHeight="1">
      <c r="B43" s="2434" t="s">
        <v>28</v>
      </c>
      <c r="C43" s="2435">
        <v>6.7058823529411775</v>
      </c>
      <c r="D43" s="2435">
        <v>6.2941176470588225</v>
      </c>
      <c r="E43" s="2436">
        <v>7.9999999999999964</v>
      </c>
      <c r="F43" s="2436">
        <v>6.6428571428571423</v>
      </c>
      <c r="G43" s="2435">
        <v>7.3076923076923066</v>
      </c>
      <c r="H43" s="2437">
        <v>6.1249999999999964</v>
      </c>
      <c r="I43" s="2437">
        <v>7.2100000000000009</v>
      </c>
      <c r="J43" s="2437">
        <v>7.1000000000000014</v>
      </c>
      <c r="K43" s="2438">
        <v>6.34</v>
      </c>
      <c r="L43" s="3050">
        <v>6.7600000000000016</v>
      </c>
      <c r="M43" s="3050">
        <v>7.0775132275132293</v>
      </c>
      <c r="N43" s="3050">
        <v>8.0320879120879098</v>
      </c>
      <c r="O43" s="3050">
        <v>11</v>
      </c>
      <c r="P43" s="3050">
        <v>11.35</v>
      </c>
    </row>
    <row r="44" spans="2:16" ht="15" customHeight="1">
      <c r="B44" s="2434" t="s">
        <v>29</v>
      </c>
      <c r="C44" s="2435">
        <v>12.230769230769234</v>
      </c>
      <c r="D44" s="2435">
        <v>4.3000000000000007</v>
      </c>
      <c r="E44" s="2436">
        <v>11.555555555555557</v>
      </c>
      <c r="F44" s="2436">
        <v>6.3636363636363633</v>
      </c>
      <c r="G44" s="2435">
        <v>6.0588235294117609</v>
      </c>
      <c r="H44" s="2437">
        <v>6.4761904761904745</v>
      </c>
      <c r="I44" s="2437">
        <v>3.74</v>
      </c>
      <c r="J44" s="2437">
        <v>6.8099999999999987</v>
      </c>
      <c r="K44" s="2438">
        <v>7.5</v>
      </c>
      <c r="L44" s="3050">
        <v>7.4600000000000009</v>
      </c>
      <c r="M44" s="3050">
        <v>7.8851190476190496</v>
      </c>
      <c r="N44" s="3050">
        <v>7.0818452380952372</v>
      </c>
      <c r="O44" s="3050">
        <v>6.3421052631578938</v>
      </c>
      <c r="P44" s="3050">
        <v>7.57</v>
      </c>
    </row>
    <row r="45" spans="2:16" ht="15" customHeight="1">
      <c r="B45" s="2434" t="s">
        <v>13</v>
      </c>
      <c r="C45" s="2435">
        <v>7.5531914893617049</v>
      </c>
      <c r="D45" s="2435">
        <v>6.9285714285714342</v>
      </c>
      <c r="E45" s="2436">
        <v>9.0444444444444478</v>
      </c>
      <c r="F45" s="2436">
        <v>9.0909090909090899</v>
      </c>
      <c r="G45" s="2435">
        <v>7.6756756756756772</v>
      </c>
      <c r="H45" s="2437">
        <v>6.7407407407407369</v>
      </c>
      <c r="I45" s="2437">
        <v>8.86</v>
      </c>
      <c r="J45" s="2437">
        <v>9.68</v>
      </c>
      <c r="K45" s="2438">
        <v>7.8900000000000006</v>
      </c>
      <c r="L45" s="3050">
        <v>8.14</v>
      </c>
      <c r="M45" s="3050">
        <v>10.298412698412701</v>
      </c>
      <c r="N45" s="3050">
        <v>7.0060606060606077</v>
      </c>
      <c r="O45" s="3050">
        <v>9.695652173913043</v>
      </c>
      <c r="P45" s="3050">
        <v>8</v>
      </c>
    </row>
    <row r="46" spans="2:16" ht="15" customHeight="1">
      <c r="B46" s="2434" t="s">
        <v>30</v>
      </c>
      <c r="C46" s="2435">
        <v>6.764705882352942</v>
      </c>
      <c r="D46" s="2435">
        <v>8.1999999999999993</v>
      </c>
      <c r="E46" s="2436">
        <v>9.4375</v>
      </c>
      <c r="F46" s="2436">
        <v>10.36</v>
      </c>
      <c r="G46" s="2435">
        <v>8.0526315789473735</v>
      </c>
      <c r="H46" s="2437">
        <v>10.916666666666668</v>
      </c>
      <c r="I46" s="2437">
        <v>7.6099999999999994</v>
      </c>
      <c r="J46" s="2437">
        <v>7.6499999999999986</v>
      </c>
      <c r="K46" s="2438">
        <v>6</v>
      </c>
      <c r="L46" s="3050">
        <v>9.1999999999999993</v>
      </c>
      <c r="M46" s="3050">
        <v>9.7424242424242422</v>
      </c>
      <c r="N46" s="3050">
        <v>7.5416666666666679</v>
      </c>
      <c r="O46" s="3050">
        <v>9.5384615384615401</v>
      </c>
      <c r="P46" s="3050">
        <v>7.05</v>
      </c>
    </row>
    <row r="47" spans="2:16" ht="15" customHeight="1">
      <c r="B47" s="2434" t="s">
        <v>31</v>
      </c>
      <c r="C47" s="2435">
        <v>4.2857142857142847</v>
      </c>
      <c r="D47" s="2435">
        <v>6.7272727272727266</v>
      </c>
      <c r="E47" s="2436">
        <v>5.2142857142857153</v>
      </c>
      <c r="F47" s="2436">
        <v>3.5</v>
      </c>
      <c r="G47" s="2435">
        <v>7.0000000000000036</v>
      </c>
      <c r="H47" s="2437">
        <v>6</v>
      </c>
      <c r="I47" s="2437">
        <v>5.41</v>
      </c>
      <c r="J47" s="2437">
        <v>5.7899999999999991</v>
      </c>
      <c r="K47" s="2438">
        <v>8</v>
      </c>
      <c r="L47" s="3050">
        <v>8.41</v>
      </c>
      <c r="M47" s="3050">
        <v>8.7738095238095255</v>
      </c>
      <c r="N47" s="3050">
        <v>8.7103174603174587</v>
      </c>
      <c r="O47" s="3050">
        <v>9.3793103448275872</v>
      </c>
      <c r="P47" s="3050">
        <v>8.16</v>
      </c>
    </row>
    <row r="48" spans="2:16" ht="15" customHeight="1">
      <c r="B48" s="2434" t="s">
        <v>32</v>
      </c>
      <c r="C48" s="2435">
        <v>7.5333333333333385</v>
      </c>
      <c r="D48" s="2435">
        <v>7.4999999999999929</v>
      </c>
      <c r="E48" s="2436">
        <v>7.7209302325581319</v>
      </c>
      <c r="F48" s="2436">
        <v>9.9736842105263186</v>
      </c>
      <c r="G48" s="2435">
        <v>8.6666666666666643</v>
      </c>
      <c r="H48" s="2437">
        <v>7.740740740740744</v>
      </c>
      <c r="I48" s="2437">
        <v>7.129999999999999</v>
      </c>
      <c r="J48" s="2437">
        <v>8.5599999999999987</v>
      </c>
      <c r="K48" s="2438">
        <v>8.23</v>
      </c>
      <c r="L48" s="3050">
        <v>7.7600000000000016</v>
      </c>
      <c r="M48" s="3050">
        <v>8.1333333333333329</v>
      </c>
      <c r="N48" s="3050">
        <v>6.896031746031742</v>
      </c>
      <c r="O48" s="3050">
        <v>8.1666666666666679</v>
      </c>
      <c r="P48" s="3050">
        <v>6.57</v>
      </c>
    </row>
    <row r="49" spans="2:16" ht="15" customHeight="1">
      <c r="B49" s="2434" t="s">
        <v>1616</v>
      </c>
      <c r="C49" s="2435"/>
      <c r="D49" s="2435"/>
      <c r="E49" s="2436"/>
      <c r="F49" s="2436"/>
      <c r="G49" s="2435"/>
      <c r="H49" s="2437"/>
      <c r="I49" s="2437"/>
      <c r="J49" s="2437"/>
      <c r="K49" s="2438"/>
      <c r="L49" s="3050"/>
      <c r="M49" s="3050"/>
      <c r="N49" s="3050">
        <v>0</v>
      </c>
      <c r="O49" s="3050"/>
      <c r="P49" s="3050">
        <v>6</v>
      </c>
    </row>
    <row r="50" spans="2:16" ht="15" customHeight="1">
      <c r="B50" s="2439" t="s">
        <v>482</v>
      </c>
      <c r="C50" s="2440">
        <v>6.895397489539743</v>
      </c>
      <c r="D50" s="2440">
        <v>7.1229050279329584</v>
      </c>
      <c r="E50" s="2441">
        <v>8.1584158415841515</v>
      </c>
      <c r="F50" s="2441">
        <v>8.7100000000000009</v>
      </c>
      <c r="G50" s="2435">
        <v>7.8632075471698357</v>
      </c>
      <c r="H50" s="2442">
        <v>7.3179190751444949</v>
      </c>
      <c r="I50" s="2442">
        <v>6.91</v>
      </c>
      <c r="J50" s="2442">
        <v>7.870000000000001</v>
      </c>
      <c r="K50" s="2443">
        <v>7.59</v>
      </c>
      <c r="L50" s="3051">
        <v>8.3000000000000007</v>
      </c>
      <c r="M50" s="3051">
        <v>8.3637381957002219</v>
      </c>
      <c r="N50" s="3051">
        <v>7.6287449042185891</v>
      </c>
      <c r="O50" s="3051">
        <v>9.3000000000000007</v>
      </c>
      <c r="P50" s="3051">
        <v>8.2200000000000006</v>
      </c>
    </row>
    <row r="51" spans="2:16" ht="15" customHeight="1">
      <c r="B51" s="2434" t="s">
        <v>17</v>
      </c>
      <c r="C51" s="2435">
        <v>4.2434210526315823</v>
      </c>
      <c r="D51" s="2435">
        <v>3.8479999999999954</v>
      </c>
      <c r="E51" s="2436">
        <v>3.2631578947368425</v>
      </c>
      <c r="F51" s="2436">
        <v>2.9157894736842032</v>
      </c>
      <c r="G51" s="2435">
        <v>3.5782312925170032</v>
      </c>
      <c r="H51" s="2437">
        <v>4.1854304635761643</v>
      </c>
      <c r="I51" s="2437">
        <v>3.3900000000000006</v>
      </c>
      <c r="J51" s="2437">
        <v>3.0500000000000007</v>
      </c>
      <c r="K51" s="2438">
        <v>3.2899999999999991</v>
      </c>
      <c r="L51" s="3050">
        <v>4.0399999999999991</v>
      </c>
      <c r="M51" s="3050">
        <v>3.154202918541154</v>
      </c>
      <c r="N51" s="3050">
        <v>3.2837056523489156</v>
      </c>
      <c r="O51" s="3050">
        <v>3.6639999999999997</v>
      </c>
      <c r="P51" s="3050">
        <v>2.95</v>
      </c>
    </row>
    <row r="52" spans="2:16" ht="15" customHeight="1">
      <c r="B52" s="2434" t="s">
        <v>33</v>
      </c>
      <c r="C52" s="2435">
        <v>5.5263157894736814</v>
      </c>
      <c r="D52" s="2435">
        <v>7.695652173913043</v>
      </c>
      <c r="E52" s="2436">
        <v>5.1250000000000036</v>
      </c>
      <c r="F52" s="2436">
        <v>5.411764705882355</v>
      </c>
      <c r="G52" s="2435">
        <v>4.6785714285714306</v>
      </c>
      <c r="H52" s="2437">
        <v>5.75</v>
      </c>
      <c r="I52" s="2437">
        <v>5.5</v>
      </c>
      <c r="J52" s="2437">
        <v>5.2800000000000011</v>
      </c>
      <c r="K52" s="2438">
        <v>7.0799999999999983</v>
      </c>
      <c r="L52" s="3050">
        <v>7.48</v>
      </c>
      <c r="M52" s="3050">
        <v>6.5648148148148167</v>
      </c>
      <c r="N52" s="3050">
        <v>8.5833333333333357</v>
      </c>
      <c r="O52" s="3050">
        <v>8.2608695652173907</v>
      </c>
      <c r="P52" s="3050">
        <v>4</v>
      </c>
    </row>
    <row r="53" spans="2:16" ht="15" customHeight="1">
      <c r="B53" s="2434" t="s">
        <v>34</v>
      </c>
      <c r="C53" s="2435">
        <v>6.1999999999999993</v>
      </c>
      <c r="D53" s="2435">
        <v>6.34375</v>
      </c>
      <c r="E53" s="2436">
        <v>5.4358974358974343</v>
      </c>
      <c r="F53" s="2436">
        <v>5.5853658536585407</v>
      </c>
      <c r="G53" s="2435">
        <v>7.9166666666666679</v>
      </c>
      <c r="H53" s="2437">
        <v>6.7333333333333378</v>
      </c>
      <c r="I53" s="2437">
        <v>8.89</v>
      </c>
      <c r="J53" s="2437">
        <v>6.879999999999999</v>
      </c>
      <c r="K53" s="2438">
        <v>6</v>
      </c>
      <c r="L53" s="3050">
        <v>6.23</v>
      </c>
      <c r="M53" s="3050">
        <v>6.2848484848484851</v>
      </c>
      <c r="N53" s="3050">
        <v>6.9166666666666679</v>
      </c>
      <c r="O53" s="3050">
        <v>4.1428571428571423</v>
      </c>
      <c r="P53" s="3050">
        <v>4.3600000000000003</v>
      </c>
    </row>
    <row r="54" spans="2:16" ht="15" customHeight="1">
      <c r="B54" s="2434" t="s">
        <v>35</v>
      </c>
      <c r="C54" s="2435">
        <v>7.9743589743589745</v>
      </c>
      <c r="D54" s="2435">
        <v>4.5897435897435912</v>
      </c>
      <c r="E54" s="2436">
        <v>5.9200000000000017</v>
      </c>
      <c r="F54" s="2436">
        <v>6.4651162790697683</v>
      </c>
      <c r="G54" s="2435">
        <v>7.724137931034484</v>
      </c>
      <c r="H54" s="2437">
        <v>6.7857142857142847</v>
      </c>
      <c r="I54" s="2437">
        <v>7.8000000000000007</v>
      </c>
      <c r="J54" s="2437">
        <v>7.7899999999999991</v>
      </c>
      <c r="K54" s="2438">
        <v>7.16</v>
      </c>
      <c r="L54" s="3050">
        <v>6.7399999999999984</v>
      </c>
      <c r="M54" s="3050">
        <v>7.7575757575757542</v>
      </c>
      <c r="N54" s="3050">
        <v>10.666666666666668</v>
      </c>
      <c r="O54" s="3050">
        <v>5.9444444444444429</v>
      </c>
      <c r="P54" s="3050">
        <v>7.85</v>
      </c>
    </row>
    <row r="55" spans="2:16" ht="15" customHeight="1">
      <c r="B55" s="2434" t="s">
        <v>19</v>
      </c>
      <c r="C55" s="2435">
        <v>5.589041095890412</v>
      </c>
      <c r="D55" s="2435">
        <v>3.7058823529411722</v>
      </c>
      <c r="E55" s="2436">
        <v>5.1578947368421062</v>
      </c>
      <c r="F55" s="2436">
        <v>4.5084745762711904</v>
      </c>
      <c r="G55" s="2435">
        <v>4.7380952380952408</v>
      </c>
      <c r="H55" s="2437">
        <v>4.4333333333333265</v>
      </c>
      <c r="I55" s="2437">
        <v>6.370000000000001</v>
      </c>
      <c r="J55" s="2437">
        <v>3.8200000000000003</v>
      </c>
      <c r="K55" s="2438">
        <v>4.0300000000000011</v>
      </c>
      <c r="L55" s="3050">
        <v>5.9400000000000013</v>
      </c>
      <c r="M55" s="3050">
        <v>5.6324404761904781</v>
      </c>
      <c r="N55" s="3050">
        <v>3.9379827688651208</v>
      </c>
      <c r="O55" s="3050">
        <v>5.84</v>
      </c>
      <c r="P55" s="3050">
        <v>5.53</v>
      </c>
    </row>
    <row r="56" spans="2:16" ht="15" customHeight="1">
      <c r="B56" s="2434" t="s">
        <v>20</v>
      </c>
      <c r="C56" s="2435">
        <v>5.3333333333333357</v>
      </c>
      <c r="D56" s="2435">
        <v>3.9999999999999964</v>
      </c>
      <c r="E56" s="2436">
        <v>5.7037037037037059</v>
      </c>
      <c r="F56" s="2436">
        <v>6.0869565217391326</v>
      </c>
      <c r="G56" s="2435">
        <v>6.6730769230769234</v>
      </c>
      <c r="H56" s="2437">
        <v>5.4146341463414629</v>
      </c>
      <c r="I56" s="2437">
        <v>5.6999999999999993</v>
      </c>
      <c r="J56" s="2437">
        <v>4.879999999999999</v>
      </c>
      <c r="K56" s="2438">
        <v>6.5300000000000011</v>
      </c>
      <c r="L56" s="3050">
        <v>5.2800000000000011</v>
      </c>
      <c r="M56" s="3050">
        <v>7.2070707070707059</v>
      </c>
      <c r="N56" s="3050">
        <v>6.5024675324675307</v>
      </c>
      <c r="O56" s="3050">
        <v>5.4444444444444429</v>
      </c>
      <c r="P56" s="3050">
        <v>6.18</v>
      </c>
    </row>
    <row r="57" spans="2:16" ht="15" customHeight="1">
      <c r="B57" s="2434" t="s">
        <v>36</v>
      </c>
      <c r="C57" s="2435">
        <v>6.9166666666666679</v>
      </c>
      <c r="D57" s="2435">
        <v>8.0399999999999956</v>
      </c>
      <c r="E57" s="2436">
        <v>7.6285714285714299</v>
      </c>
      <c r="F57" s="2436">
        <v>6.441176470588232</v>
      </c>
      <c r="G57" s="2435">
        <v>5.2571428571428527</v>
      </c>
      <c r="H57" s="2437">
        <v>7.3249999999999993</v>
      </c>
      <c r="I57" s="2437">
        <v>6.370000000000001</v>
      </c>
      <c r="J57" s="2437">
        <v>5.48</v>
      </c>
      <c r="K57" s="2438">
        <v>6.9200000000000017</v>
      </c>
      <c r="L57" s="3050">
        <v>7.1700000000000017</v>
      </c>
      <c r="M57" s="3050">
        <v>7.5812499999999972</v>
      </c>
      <c r="N57" s="3050">
        <v>7.2676190476190463</v>
      </c>
      <c r="O57" s="3050">
        <v>6.4642857142857153</v>
      </c>
      <c r="P57" s="3050">
        <v>5.26</v>
      </c>
    </row>
    <row r="58" spans="2:16" ht="15" customHeight="1">
      <c r="B58" s="2434" t="s">
        <v>37</v>
      </c>
      <c r="C58" s="2435">
        <v>3.5999999999999996</v>
      </c>
      <c r="D58" s="2435">
        <v>6.4615384615384599</v>
      </c>
      <c r="E58" s="2436">
        <v>2.294117647058826</v>
      </c>
      <c r="F58" s="2436">
        <v>5.3124999999999964</v>
      </c>
      <c r="G58" s="2435">
        <v>3.0769230769230766</v>
      </c>
      <c r="H58" s="2437">
        <v>4.7619047619047628</v>
      </c>
      <c r="I58" s="2437">
        <v>3.5199999999999996</v>
      </c>
      <c r="J58" s="2437">
        <v>5.7800000000000011</v>
      </c>
      <c r="K58" s="2438">
        <v>3.9600000000000009</v>
      </c>
      <c r="L58" s="3050">
        <v>7.129999999999999</v>
      </c>
      <c r="M58" s="3050">
        <v>4.8174603174603163</v>
      </c>
      <c r="N58" s="3050">
        <v>4.7476190476190467</v>
      </c>
      <c r="O58" s="3050">
        <v>2.5600000000000005</v>
      </c>
      <c r="P58" s="3050">
        <v>3</v>
      </c>
    </row>
    <row r="59" spans="2:16" ht="15" customHeight="1">
      <c r="B59" s="2434" t="s">
        <v>38</v>
      </c>
      <c r="C59" s="2435">
        <v>5.0681818181818237</v>
      </c>
      <c r="D59" s="2435">
        <v>6.6363636363636296</v>
      </c>
      <c r="E59" s="2436">
        <v>5.3999999999999915</v>
      </c>
      <c r="F59" s="2436">
        <v>5.1666666666666607</v>
      </c>
      <c r="G59" s="2435">
        <v>5.5192307692307701</v>
      </c>
      <c r="H59" s="2437">
        <v>5.672413793103452</v>
      </c>
      <c r="I59" s="2437">
        <v>3.5600000000000005</v>
      </c>
      <c r="J59" s="2437">
        <v>5.3299999999999983</v>
      </c>
      <c r="K59" s="2438">
        <v>6.3099999999999987</v>
      </c>
      <c r="L59" s="3050">
        <v>4.3599999999999994</v>
      </c>
      <c r="M59" s="3050">
        <v>4.7357864357864372</v>
      </c>
      <c r="N59" s="3050">
        <v>4.4525252525252519</v>
      </c>
      <c r="O59" s="3050">
        <v>5.6734693877551017</v>
      </c>
      <c r="P59" s="3050">
        <v>5.19</v>
      </c>
    </row>
    <row r="60" spans="2:16" ht="15" customHeight="1">
      <c r="B60" s="2434" t="s">
        <v>39</v>
      </c>
      <c r="C60" s="2435">
        <v>3.5806451612903256</v>
      </c>
      <c r="D60" s="2435">
        <v>3.3904761904761944</v>
      </c>
      <c r="E60" s="2436">
        <v>2.7315436241610698</v>
      </c>
      <c r="F60" s="2436">
        <v>2.625</v>
      </c>
      <c r="G60" s="2435">
        <v>4.1557377049180317</v>
      </c>
      <c r="H60" s="2437">
        <v>4.4204545454545432</v>
      </c>
      <c r="I60" s="2437">
        <v>3.1899999999999995</v>
      </c>
      <c r="J60" s="2437">
        <v>3.7100000000000009</v>
      </c>
      <c r="K60" s="2438">
        <v>3.51</v>
      </c>
      <c r="L60" s="3050">
        <v>2.6999999999999993</v>
      </c>
      <c r="M60" s="3050">
        <v>4.6916600790513812</v>
      </c>
      <c r="N60" s="3050">
        <v>4.5883404676849757</v>
      </c>
      <c r="O60" s="3050">
        <v>5.3085106382978715</v>
      </c>
      <c r="P60" s="3050">
        <v>4.5199999999999996</v>
      </c>
    </row>
    <row r="61" spans="2:16" ht="15" customHeight="1">
      <c r="B61" s="2434" t="s">
        <v>40</v>
      </c>
      <c r="C61" s="2435">
        <v>3.3333333333333339</v>
      </c>
      <c r="D61" s="2435">
        <v>6.25</v>
      </c>
      <c r="E61" s="2436">
        <v>9.7142857142857153</v>
      </c>
      <c r="F61" s="2436">
        <v>7.1428571428571423</v>
      </c>
      <c r="G61" s="2435">
        <v>7.7500000000000036</v>
      </c>
      <c r="H61" s="2437">
        <v>9.7272727272727266</v>
      </c>
      <c r="I61" s="2437">
        <v>9</v>
      </c>
      <c r="J61" s="2437">
        <v>10.190000000000001</v>
      </c>
      <c r="K61" s="2438">
        <v>9.0500000000000007</v>
      </c>
      <c r="L61" s="3050">
        <v>10.89</v>
      </c>
      <c r="M61" s="3050">
        <v>9.033333333333335</v>
      </c>
      <c r="N61" s="3050">
        <v>9.1000000000000014</v>
      </c>
      <c r="O61" s="3050">
        <v>8.9090909090909101</v>
      </c>
      <c r="P61" s="3050">
        <v>5.375</v>
      </c>
    </row>
    <row r="62" spans="2:16" ht="15" customHeight="1">
      <c r="B62" s="2439" t="s">
        <v>483</v>
      </c>
      <c r="C62" s="2440">
        <v>5.0493601462522761</v>
      </c>
      <c r="D62" s="2440">
        <v>4.7219917012448143</v>
      </c>
      <c r="E62" s="2441">
        <v>4.2955752212389378</v>
      </c>
      <c r="F62" s="2441">
        <v>4.2899999999999991</v>
      </c>
      <c r="G62" s="2435">
        <v>4.88586956521738</v>
      </c>
      <c r="H62" s="2442">
        <v>5.2421602787456294</v>
      </c>
      <c r="I62" s="2442">
        <v>4.6999999999999993</v>
      </c>
      <c r="J62" s="2442">
        <v>4.6499999999999986</v>
      </c>
      <c r="K62" s="2443">
        <v>5.0300000000000011</v>
      </c>
      <c r="L62" s="3051">
        <v>4.870000000000001</v>
      </c>
      <c r="M62" s="3051">
        <v>6.0668265463964808</v>
      </c>
      <c r="N62" s="3051">
        <v>6.296401961536727</v>
      </c>
      <c r="O62" s="3051">
        <v>5.0638722554890236</v>
      </c>
      <c r="P62" s="3051">
        <v>4.49</v>
      </c>
    </row>
    <row r="63" spans="2:16" ht="15" customHeight="1">
      <c r="B63" s="2434" t="s">
        <v>42</v>
      </c>
      <c r="C63" s="2435">
        <v>5.1320754716981121</v>
      </c>
      <c r="D63" s="2435">
        <v>4.8510638297872362</v>
      </c>
      <c r="E63" s="2436">
        <v>4.80555555555555</v>
      </c>
      <c r="F63" s="2436">
        <v>5.9239130434782652</v>
      </c>
      <c r="G63" s="2435">
        <v>5.566265060240962</v>
      </c>
      <c r="H63" s="2437">
        <v>5.7578947368421041</v>
      </c>
      <c r="I63" s="2437">
        <v>7.2800000000000011</v>
      </c>
      <c r="J63" s="2437">
        <v>6.4600000000000009</v>
      </c>
      <c r="K63" s="2438">
        <v>6.0500000000000007</v>
      </c>
      <c r="L63" s="3050">
        <v>5.8000000000000007</v>
      </c>
      <c r="M63" s="3050">
        <v>8.3838492063492041</v>
      </c>
      <c r="N63" s="3050">
        <v>7.344487179487178</v>
      </c>
      <c r="O63" s="3050">
        <v>6.3000000000000007</v>
      </c>
      <c r="P63" s="3050">
        <v>5.7173913043478244</v>
      </c>
    </row>
    <row r="64" spans="2:16" ht="15" customHeight="1">
      <c r="B64" s="2434" t="s">
        <v>43</v>
      </c>
      <c r="C64" s="2435">
        <v>6.9166666666666643</v>
      </c>
      <c r="D64" s="2435">
        <v>6.7692307692307665</v>
      </c>
      <c r="E64" s="2436">
        <v>7.0243902439024382</v>
      </c>
      <c r="F64" s="2436">
        <v>7.1730769230769305</v>
      </c>
      <c r="G64" s="2435">
        <v>7.7812499999999893</v>
      </c>
      <c r="H64" s="2437">
        <v>7.428571428571427</v>
      </c>
      <c r="I64" s="2437">
        <v>5.4600000000000009</v>
      </c>
      <c r="J64" s="2437">
        <v>6.8299999999999983</v>
      </c>
      <c r="K64" s="2438">
        <v>6.1700000000000017</v>
      </c>
      <c r="L64" s="3050">
        <v>6.0300000000000011</v>
      </c>
      <c r="M64" s="3050">
        <v>8.1032738095238095</v>
      </c>
      <c r="N64" s="3050">
        <v>7.0390989729225062</v>
      </c>
      <c r="O64" s="3050">
        <v>7.264705882352942</v>
      </c>
      <c r="P64" s="3050">
        <v>7.1774193548387082</v>
      </c>
    </row>
    <row r="65" spans="2:16" ht="15" customHeight="1">
      <c r="B65" s="2434" t="s">
        <v>44</v>
      </c>
      <c r="C65" s="2435">
        <v>6.1739130434782652</v>
      </c>
      <c r="D65" s="2435">
        <v>6.1764705882352935</v>
      </c>
      <c r="E65" s="2436">
        <v>8.4838709677419359</v>
      </c>
      <c r="F65" s="2436">
        <v>7.7142857142857117</v>
      </c>
      <c r="G65" s="2435">
        <v>4.7000000000000028</v>
      </c>
      <c r="H65" s="2437">
        <v>6.8292682926829222</v>
      </c>
      <c r="I65" s="2437">
        <v>7.5399999999999991</v>
      </c>
      <c r="J65" s="2437">
        <v>5.9899999999999984</v>
      </c>
      <c r="K65" s="2438">
        <v>5.8999999999999986</v>
      </c>
      <c r="L65" s="3050">
        <v>7.8000000000000007</v>
      </c>
      <c r="M65" s="3050">
        <v>6.745932539682542</v>
      </c>
      <c r="N65" s="3050">
        <v>6.7952932098765437</v>
      </c>
      <c r="O65" s="3050">
        <v>8.28125</v>
      </c>
      <c r="P65" s="3050">
        <v>8.9523809523809526</v>
      </c>
    </row>
    <row r="66" spans="2:16" ht="15" customHeight="1">
      <c r="B66" s="2434" t="s">
        <v>45</v>
      </c>
      <c r="C66" s="2435">
        <v>5</v>
      </c>
      <c r="D66" s="2435">
        <v>6.75</v>
      </c>
      <c r="E66" s="2436">
        <v>6.6428571428571459</v>
      </c>
      <c r="F66" s="2436">
        <v>4.7333333333333307</v>
      </c>
      <c r="G66" s="2435">
        <v>4.2142857142857117</v>
      </c>
      <c r="H66" s="2437">
        <v>5.7600000000000016</v>
      </c>
      <c r="I66" s="2437">
        <v>4.6700000000000017</v>
      </c>
      <c r="J66" s="2437">
        <v>4.8000000000000007</v>
      </c>
      <c r="K66" s="2438">
        <v>3.7899999999999991</v>
      </c>
      <c r="L66" s="3050">
        <v>5.8999999999999986</v>
      </c>
      <c r="M66" s="3050">
        <v>5.6090909090909058</v>
      </c>
      <c r="N66" s="3050">
        <v>6.6184615384615384</v>
      </c>
      <c r="O66" s="3050">
        <v>5.7199999999999989</v>
      </c>
      <c r="P66" s="3050">
        <v>4.72</v>
      </c>
    </row>
    <row r="67" spans="2:16" ht="15" customHeight="1">
      <c r="B67" s="2434" t="s">
        <v>46</v>
      </c>
      <c r="C67" s="2435">
        <v>6.1386138613861441</v>
      </c>
      <c r="D67" s="2435">
        <v>6.5087719298245652</v>
      </c>
      <c r="E67" s="2436">
        <v>6.9848484848484915</v>
      </c>
      <c r="F67" s="2436">
        <v>5.316455696202528</v>
      </c>
      <c r="G67" s="2435">
        <v>6.026315789473685</v>
      </c>
      <c r="H67" s="2437">
        <v>7.4117647058823479</v>
      </c>
      <c r="I67" s="2437">
        <v>7.3000000000000007</v>
      </c>
      <c r="J67" s="2437">
        <v>7.4200000000000017</v>
      </c>
      <c r="K67" s="2438">
        <v>6.379999999999999</v>
      </c>
      <c r="L67" s="3050">
        <v>7.5</v>
      </c>
      <c r="M67" s="3050">
        <v>7.2458994708994702</v>
      </c>
      <c r="N67" s="3050">
        <v>7.1448790627362051</v>
      </c>
      <c r="O67" s="3050">
        <v>7.3402061855670091</v>
      </c>
      <c r="P67" s="3050">
        <v>5.78</v>
      </c>
    </row>
    <row r="68" spans="2:16" ht="15" customHeight="1">
      <c r="B68" s="2434" t="s">
        <v>47</v>
      </c>
      <c r="C68" s="2435">
        <v>7.3582089552238834</v>
      </c>
      <c r="D68" s="2435">
        <v>7.378378378378379</v>
      </c>
      <c r="E68" s="2436">
        <v>7.5342465753424612</v>
      </c>
      <c r="F68" s="2436">
        <v>7.4074074074074048</v>
      </c>
      <c r="G68" s="2435">
        <v>7.9090909090909136</v>
      </c>
      <c r="H68" s="2437">
        <v>6.2771084337349379</v>
      </c>
      <c r="I68" s="2437">
        <v>8.27</v>
      </c>
      <c r="J68" s="2437">
        <v>7.3500000000000014</v>
      </c>
      <c r="K68" s="2438">
        <v>7.2600000000000016</v>
      </c>
      <c r="L68" s="3050">
        <v>8.5399999999999991</v>
      </c>
      <c r="M68" s="3050">
        <v>9.0802106201332222</v>
      </c>
      <c r="N68" s="3050">
        <v>7.447140822140824</v>
      </c>
      <c r="O68" s="3050">
        <v>7.2134831460674143</v>
      </c>
      <c r="P68" s="3050">
        <v>8.11</v>
      </c>
    </row>
    <row r="69" spans="2:16" ht="15" customHeight="1">
      <c r="B69" s="2439" t="s">
        <v>485</v>
      </c>
      <c r="C69" s="2440">
        <v>6.31683168316831</v>
      </c>
      <c r="D69" s="2440">
        <v>6.4941176470588076</v>
      </c>
      <c r="E69" s="2441">
        <v>6.7373737373737335</v>
      </c>
      <c r="F69" s="2441">
        <v>6.4400000000000013</v>
      </c>
      <c r="G69" s="2435">
        <v>6.5710144927536334</v>
      </c>
      <c r="H69" s="2442">
        <v>6.5922077922077875</v>
      </c>
      <c r="I69" s="2442">
        <v>7.120000000000001</v>
      </c>
      <c r="J69" s="2442">
        <v>6.6499999999999986</v>
      </c>
      <c r="K69" s="2443">
        <v>6.07</v>
      </c>
      <c r="L69" s="3051">
        <v>6.9499999999999993</v>
      </c>
      <c r="M69" s="3051">
        <v>7.4848040015834911</v>
      </c>
      <c r="N69" s="3051">
        <v>7.0776486621510628</v>
      </c>
      <c r="O69" s="3051">
        <v>7.0588235294117645</v>
      </c>
      <c r="P69" s="3051">
        <v>6.84</v>
      </c>
    </row>
    <row r="70" spans="2:16" ht="15" customHeight="1">
      <c r="B70" s="2462" t="s">
        <v>109</v>
      </c>
      <c r="C70" s="2454">
        <v>5.8071625344352711</v>
      </c>
      <c r="D70" s="2454">
        <v>5.6844978165938898</v>
      </c>
      <c r="E70" s="2463">
        <v>5.7105263157894974</v>
      </c>
      <c r="F70" s="2463">
        <v>5.5399999999999991</v>
      </c>
      <c r="G70" s="2464">
        <v>5.9792605951307536</v>
      </c>
      <c r="H70" s="2465">
        <v>6.0185512367491434</v>
      </c>
      <c r="I70" s="2465">
        <v>6</v>
      </c>
      <c r="J70" s="2465">
        <v>5.9899999999999984</v>
      </c>
      <c r="K70" s="2466">
        <v>5.9899999999999984</v>
      </c>
      <c r="L70" s="3052">
        <v>6.4499999999999993</v>
      </c>
      <c r="M70" s="3052">
        <v>7.1301361994446424</v>
      </c>
      <c r="N70" s="3052">
        <v>6.9399689591777864</v>
      </c>
      <c r="O70" s="3052">
        <v>6.7448979591836746</v>
      </c>
      <c r="P70" s="3052">
        <v>6.02</v>
      </c>
    </row>
    <row r="71" spans="2:16" ht="15" customHeight="1">
      <c r="B71" s="2456" t="s">
        <v>1450</v>
      </c>
      <c r="C71" s="2457"/>
      <c r="D71" s="2457"/>
      <c r="E71" s="2458"/>
      <c r="F71" s="2458"/>
      <c r="G71" s="2459"/>
      <c r="H71" s="2459">
        <v>0.34999999999999964</v>
      </c>
      <c r="I71" s="2460">
        <v>0.59999999999999964</v>
      </c>
      <c r="J71" s="2460">
        <v>1.3100000000000005</v>
      </c>
      <c r="K71" s="2461">
        <v>3</v>
      </c>
      <c r="L71" s="3054">
        <v>3.1999999999999993</v>
      </c>
      <c r="M71" s="3054">
        <v>2.9625000000000004</v>
      </c>
      <c r="N71" s="3054">
        <v>5.9583333333333321</v>
      </c>
      <c r="O71" s="3054">
        <v>6.5384615384615401</v>
      </c>
      <c r="P71" s="3054">
        <v>6.35</v>
      </c>
    </row>
    <row r="72" spans="2:16" ht="15" customHeight="1">
      <c r="B72" s="2456" t="s">
        <v>3273</v>
      </c>
      <c r="C72" s="2457"/>
      <c r="D72" s="2457"/>
      <c r="E72" s="2458"/>
      <c r="F72" s="2458"/>
      <c r="G72" s="2459"/>
      <c r="H72" s="2459"/>
      <c r="I72" s="2460"/>
      <c r="J72" s="2460"/>
      <c r="K72" s="2461"/>
      <c r="L72" s="3054"/>
      <c r="M72" s="3054"/>
      <c r="N72" s="3054"/>
      <c r="O72" s="3054">
        <v>4</v>
      </c>
      <c r="P72" s="3054">
        <v>5.8</v>
      </c>
    </row>
    <row r="73" spans="2:16" ht="15" customHeight="1">
      <c r="B73" s="2444" t="s">
        <v>3364</v>
      </c>
      <c r="C73" s="2457"/>
      <c r="D73" s="2457"/>
      <c r="E73" s="2458"/>
      <c r="F73" s="2458"/>
      <c r="G73" s="2459"/>
      <c r="H73" s="2459"/>
      <c r="I73" s="2460"/>
      <c r="J73" s="2460"/>
      <c r="K73" s="2461"/>
      <c r="L73" s="3054"/>
      <c r="M73" s="3054"/>
      <c r="N73" s="3054"/>
      <c r="O73" s="3054"/>
      <c r="P73" s="3054">
        <v>2.16</v>
      </c>
    </row>
    <row r="74" spans="2:16" ht="15" customHeight="1">
      <c r="B74" s="2439" t="s">
        <v>482</v>
      </c>
      <c r="C74" s="2445"/>
      <c r="D74" s="2445"/>
      <c r="E74" s="2446"/>
      <c r="F74" s="2446"/>
      <c r="G74" s="2447"/>
      <c r="H74" s="2445">
        <v>0.34999999999999964</v>
      </c>
      <c r="I74" s="2440">
        <v>0.59999999999999964</v>
      </c>
      <c r="J74" s="2440">
        <v>1.3100000000000005</v>
      </c>
      <c r="K74" s="2449">
        <v>3</v>
      </c>
      <c r="L74" s="3055">
        <v>3.1999999999999993</v>
      </c>
      <c r="M74" s="3055">
        <v>2.9625000000000004</v>
      </c>
      <c r="N74" s="3055">
        <v>5.9583333333333321</v>
      </c>
      <c r="O74" s="3055">
        <v>6.1999999999999993</v>
      </c>
      <c r="P74" s="3055">
        <v>5.35</v>
      </c>
    </row>
    <row r="75" spans="2:16" ht="15" customHeight="1">
      <c r="B75" s="2444" t="s">
        <v>679</v>
      </c>
      <c r="C75" s="2445"/>
      <c r="D75" s="2445"/>
      <c r="E75" s="2446"/>
      <c r="F75" s="2446"/>
      <c r="G75" s="2447"/>
      <c r="H75" s="2447">
        <v>0.21874999999999645</v>
      </c>
      <c r="I75" s="2435">
        <v>0.5</v>
      </c>
      <c r="J75" s="2435">
        <v>0.86999999999999922</v>
      </c>
      <c r="K75" s="2448">
        <v>1.8800000000000008</v>
      </c>
      <c r="L75" s="3056">
        <v>2.3800000000000008</v>
      </c>
      <c r="M75" s="3056">
        <v>1.6809523809523803</v>
      </c>
      <c r="N75" s="3056">
        <v>1.6704545454545467</v>
      </c>
      <c r="O75" s="3056">
        <v>1.3125</v>
      </c>
      <c r="P75" s="3056">
        <v>1.58</v>
      </c>
    </row>
    <row r="76" spans="2:16" ht="15" customHeight="1">
      <c r="B76" s="2444" t="s">
        <v>489</v>
      </c>
      <c r="C76" s="2445"/>
      <c r="D76" s="2445"/>
      <c r="E76" s="2446"/>
      <c r="F76" s="2446"/>
      <c r="G76" s="2447"/>
      <c r="H76" s="2447"/>
      <c r="I76" s="2435"/>
      <c r="J76" s="2435">
        <v>1</v>
      </c>
      <c r="K76" s="2448">
        <v>1</v>
      </c>
      <c r="L76" s="3056">
        <v>1</v>
      </c>
      <c r="M76" s="3056">
        <v>1</v>
      </c>
      <c r="N76" s="3056">
        <v>0.66666666666666607</v>
      </c>
      <c r="O76" s="3056">
        <v>1.5555555555555554</v>
      </c>
      <c r="P76" s="3056">
        <v>0.56999999999999995</v>
      </c>
    </row>
    <row r="77" spans="2:16" ht="15" customHeight="1">
      <c r="B77" s="2444" t="s">
        <v>2309</v>
      </c>
      <c r="C77" s="2445"/>
      <c r="D77" s="2445"/>
      <c r="E77" s="2446"/>
      <c r="F77" s="2446"/>
      <c r="G77" s="2447"/>
      <c r="H77" s="2447"/>
      <c r="I77" s="2435"/>
      <c r="J77" s="2435"/>
      <c r="K77" s="2448"/>
      <c r="L77" s="3056"/>
      <c r="M77" s="3056"/>
      <c r="N77" s="3056"/>
      <c r="O77" s="3056">
        <v>0</v>
      </c>
      <c r="P77" s="3056">
        <v>1.1299999999999999</v>
      </c>
    </row>
    <row r="78" spans="2:16" ht="15" customHeight="1">
      <c r="B78" s="2439" t="s">
        <v>483</v>
      </c>
      <c r="C78" s="2445"/>
      <c r="D78" s="2445"/>
      <c r="E78" s="2446"/>
      <c r="F78" s="2446"/>
      <c r="G78" s="2447"/>
      <c r="H78" s="2445">
        <v>0.21874999999999645</v>
      </c>
      <c r="I78" s="2440">
        <v>0.5</v>
      </c>
      <c r="J78" s="2440">
        <v>0.89000000000000057</v>
      </c>
      <c r="K78" s="2449">
        <v>1.6400000000000006</v>
      </c>
      <c r="L78" s="3055">
        <v>1.5500000000000007</v>
      </c>
      <c r="M78" s="3055">
        <v>1.4766666666666648</v>
      </c>
      <c r="N78" s="3055">
        <v>1.3358585858585865</v>
      </c>
      <c r="O78" s="3055">
        <v>1.0769230769230766</v>
      </c>
      <c r="P78" s="3055">
        <v>3.1</v>
      </c>
    </row>
    <row r="79" spans="2:16" ht="15" customHeight="1">
      <c r="B79" s="2444" t="s">
        <v>680</v>
      </c>
      <c r="C79" s="2445"/>
      <c r="D79" s="2445"/>
      <c r="E79" s="2446"/>
      <c r="F79" s="2446"/>
      <c r="G79" s="2447"/>
      <c r="H79" s="2447">
        <v>0.13043478260869534</v>
      </c>
      <c r="I79" s="2435">
        <v>1.1400000000000006</v>
      </c>
      <c r="J79" s="2435">
        <v>1.1300000000000008</v>
      </c>
      <c r="K79" s="2448">
        <v>1.7899999999999991</v>
      </c>
      <c r="L79" s="3056">
        <v>2.4299999999999997</v>
      </c>
      <c r="M79" s="3056">
        <v>2.0952380952380967</v>
      </c>
      <c r="N79" s="3056">
        <v>4.4047619047619051</v>
      </c>
      <c r="O79" s="3056">
        <v>5.6190476190476204</v>
      </c>
      <c r="P79" s="3056">
        <v>4.0999999999999996</v>
      </c>
    </row>
    <row r="80" spans="2:16" ht="15" customHeight="1">
      <c r="B80" s="2444" t="s">
        <v>2056</v>
      </c>
      <c r="C80" s="2445"/>
      <c r="D80" s="2445"/>
      <c r="E80" s="2446"/>
      <c r="F80" s="2446"/>
      <c r="G80" s="2447"/>
      <c r="H80" s="2447"/>
      <c r="I80" s="2435"/>
      <c r="J80" s="2435"/>
      <c r="K80" s="2448"/>
      <c r="L80" s="3056"/>
      <c r="M80" s="3056"/>
      <c r="N80" s="3056">
        <v>4.1666666666666075E-2</v>
      </c>
      <c r="O80" s="3056">
        <v>0.125</v>
      </c>
      <c r="P80" s="3056">
        <v>0.55000000000000004</v>
      </c>
    </row>
    <row r="81" spans="2:16" ht="15" customHeight="1">
      <c r="B81" s="2444" t="s">
        <v>2331</v>
      </c>
      <c r="C81" s="2445"/>
      <c r="D81" s="2445"/>
      <c r="E81" s="2446"/>
      <c r="F81" s="2446"/>
      <c r="G81" s="2447"/>
      <c r="H81" s="2447"/>
      <c r="I81" s="2435"/>
      <c r="J81" s="2435"/>
      <c r="K81" s="2448"/>
      <c r="L81" s="3056"/>
      <c r="M81" s="3056"/>
      <c r="N81" s="3056"/>
      <c r="O81" s="3056">
        <v>1.6666666666666661</v>
      </c>
      <c r="P81" s="3056">
        <v>1.21</v>
      </c>
    </row>
    <row r="82" spans="2:16" ht="15" customHeight="1">
      <c r="B82" s="2439" t="s">
        <v>485</v>
      </c>
      <c r="C82" s="2445"/>
      <c r="D82" s="2445"/>
      <c r="E82" s="2446"/>
      <c r="F82" s="2446"/>
      <c r="G82" s="2447"/>
      <c r="H82" s="2445">
        <v>0.13043478260869534</v>
      </c>
      <c r="I82" s="2440">
        <v>1.1400000000000006</v>
      </c>
      <c r="J82" s="2440">
        <v>1.1300000000000008</v>
      </c>
      <c r="K82" s="2449">
        <v>1.7899999999999991</v>
      </c>
      <c r="L82" s="3055">
        <v>2.4299999999999997</v>
      </c>
      <c r="M82" s="3055">
        <v>2.0952380952380967</v>
      </c>
      <c r="N82" s="3055">
        <v>2.5348639455782322</v>
      </c>
      <c r="O82" s="3055">
        <v>3.2727272727272734</v>
      </c>
      <c r="P82" s="3055">
        <v>1.43</v>
      </c>
    </row>
    <row r="83" spans="2:16" ht="15" customHeight="1">
      <c r="B83" s="2450" t="s">
        <v>1017</v>
      </c>
      <c r="C83" s="2451"/>
      <c r="D83" s="2451"/>
      <c r="E83" s="2452"/>
      <c r="F83" s="2452"/>
      <c r="G83" s="2453"/>
      <c r="H83" s="2451">
        <v>0.22666666666666657</v>
      </c>
      <c r="I83" s="2454">
        <v>0.83000000000000007</v>
      </c>
      <c r="J83" s="2454">
        <v>1.0500000000000007</v>
      </c>
      <c r="K83" s="2455">
        <v>1.9800000000000004</v>
      </c>
      <c r="L83" s="3057">
        <v>2.2899999999999991</v>
      </c>
      <c r="M83" s="3057">
        <v>2.1253333333333355</v>
      </c>
      <c r="N83" s="3057">
        <v>2.6800054112554115</v>
      </c>
      <c r="O83" s="3057">
        <v>4</v>
      </c>
      <c r="P83" s="3057">
        <v>2.3199999999999998</v>
      </c>
    </row>
    <row r="84" spans="2:16" ht="15" customHeight="1">
      <c r="B84" s="2467" t="s">
        <v>17</v>
      </c>
      <c r="C84" s="2460">
        <v>2</v>
      </c>
      <c r="D84" s="2460">
        <v>2.2773109243697469</v>
      </c>
      <c r="E84" s="2468">
        <v>2.4461538461538463</v>
      </c>
      <c r="F84" s="2468">
        <v>2.19463087248322</v>
      </c>
      <c r="G84" s="2460">
        <v>2.4339622641509493</v>
      </c>
      <c r="H84" s="2469">
        <v>2.3303571428571441</v>
      </c>
      <c r="I84" s="2469">
        <v>2.4000000000000004</v>
      </c>
      <c r="J84" s="2469">
        <v>2.41</v>
      </c>
      <c r="K84" s="2470">
        <v>2.6999999999999993</v>
      </c>
      <c r="L84" s="3053">
        <v>2.0299999999999994</v>
      </c>
      <c r="M84" s="3053">
        <v>1.6018875313283196</v>
      </c>
      <c r="N84" s="3053">
        <v>2.2601075454336339</v>
      </c>
      <c r="O84" s="3053">
        <v>0.93984962406014994</v>
      </c>
      <c r="P84" s="3053">
        <v>0.70481927710843451</v>
      </c>
    </row>
    <row r="85" spans="2:16" ht="15" customHeight="1">
      <c r="B85" s="2434" t="s">
        <v>49</v>
      </c>
      <c r="C85" s="2435">
        <v>1.1658031088082943</v>
      </c>
      <c r="D85" s="2435">
        <v>0.97727272727273018</v>
      </c>
      <c r="E85" s="2436">
        <v>0.74117647058823088</v>
      </c>
      <c r="F85" s="2436">
        <v>0.82485875706214706</v>
      </c>
      <c r="G85" s="2435">
        <v>0.71264367816091756</v>
      </c>
      <c r="H85" s="2437">
        <v>1.0643274853801223</v>
      </c>
      <c r="I85" s="2437">
        <v>0.98000000000000043</v>
      </c>
      <c r="J85" s="2437">
        <v>0.98000000000000043</v>
      </c>
      <c r="K85" s="2438">
        <v>0.91000000000000014</v>
      </c>
      <c r="L85" s="3050">
        <v>0.53999999999999915</v>
      </c>
      <c r="M85" s="3050">
        <v>-0.69858693565083918</v>
      </c>
      <c r="N85" s="3050">
        <v>0.97818896198830352</v>
      </c>
      <c r="O85" s="3050">
        <v>0.4411764705882355</v>
      </c>
      <c r="P85" s="3050">
        <v>-0.22842639593908665</v>
      </c>
    </row>
    <row r="86" spans="2:16" ht="15" customHeight="1">
      <c r="B86" s="2434" t="s">
        <v>19</v>
      </c>
      <c r="C86" s="2435">
        <v>3.2857142857142776</v>
      </c>
      <c r="D86" s="2435">
        <v>3.1025641025641022</v>
      </c>
      <c r="E86" s="2436">
        <v>2.8395061728395046</v>
      </c>
      <c r="F86" s="2436">
        <v>3.7419354838709662</v>
      </c>
      <c r="G86" s="2435">
        <v>3.7837837837837842</v>
      </c>
      <c r="H86" s="2437">
        <v>4.0123456790123377</v>
      </c>
      <c r="I86" s="2437">
        <v>3.42</v>
      </c>
      <c r="J86" s="2437">
        <v>3.9700000000000006</v>
      </c>
      <c r="K86" s="2438">
        <v>4.8299999999999983</v>
      </c>
      <c r="L86" s="3050">
        <v>3.3000000000000007</v>
      </c>
      <c r="M86" s="3050">
        <v>3.8375610251954342</v>
      </c>
      <c r="N86" s="3050">
        <v>3.2649966235520225</v>
      </c>
      <c r="O86" s="3050">
        <v>2.3918918918918912</v>
      </c>
      <c r="P86" s="3050">
        <v>2.0999999999999996</v>
      </c>
    </row>
    <row r="87" spans="2:16" ht="15" customHeight="1">
      <c r="B87" s="2434" t="s">
        <v>50</v>
      </c>
      <c r="C87" s="2435">
        <v>0.875</v>
      </c>
      <c r="D87" s="2435">
        <v>0.93795620437956018</v>
      </c>
      <c r="E87" s="2436">
        <v>0.73461538461538467</v>
      </c>
      <c r="F87" s="2436">
        <v>0.84084084084083877</v>
      </c>
      <c r="G87" s="2435">
        <v>0.64745762711864963</v>
      </c>
      <c r="H87" s="2437">
        <v>0.8105263157894651</v>
      </c>
      <c r="I87" s="2437">
        <v>0.80000000000000071</v>
      </c>
      <c r="J87" s="2437">
        <v>0.94999999999999929</v>
      </c>
      <c r="K87" s="2438">
        <v>0.77999999999999936</v>
      </c>
      <c r="L87" s="3050">
        <v>0.75</v>
      </c>
      <c r="M87" s="3050">
        <v>0.75659440905956288</v>
      </c>
      <c r="N87" s="3050">
        <v>0.56679699719472332</v>
      </c>
      <c r="O87" s="3050">
        <v>0.41493775933609989</v>
      </c>
      <c r="P87" s="3050">
        <v>0.24</v>
      </c>
    </row>
    <row r="88" spans="2:16" ht="15" customHeight="1">
      <c r="B88" s="2434" t="s">
        <v>20</v>
      </c>
      <c r="C88" s="2435">
        <v>1.1428571428571388</v>
      </c>
      <c r="D88" s="2435">
        <v>1.2327586206896584</v>
      </c>
      <c r="E88" s="2436">
        <v>1.5607476635514015</v>
      </c>
      <c r="F88" s="2436">
        <v>1.5223880597014965</v>
      </c>
      <c r="G88" s="2435">
        <v>1.4017094017094021</v>
      </c>
      <c r="H88" s="2437">
        <v>1.3307086614173222</v>
      </c>
      <c r="I88" s="2437">
        <v>1.7799999999999994</v>
      </c>
      <c r="J88" s="2437">
        <v>1.3200000000000003</v>
      </c>
      <c r="K88" s="2438">
        <v>2.0299999999999994</v>
      </c>
      <c r="L88" s="3050">
        <v>1.6799999999999997</v>
      </c>
      <c r="M88" s="3050">
        <v>0.61449800023407875</v>
      </c>
      <c r="N88" s="3050">
        <v>1.2297628458498018</v>
      </c>
      <c r="O88" s="3050">
        <v>0.92913385826771666</v>
      </c>
      <c r="P88" s="3050">
        <v>-0.76</v>
      </c>
    </row>
    <row r="89" spans="2:16" ht="15" customHeight="1">
      <c r="B89" s="2434" t="s">
        <v>51</v>
      </c>
      <c r="C89" s="2435">
        <v>1.6956521739130412</v>
      </c>
      <c r="D89" s="2435">
        <v>1.6792452830188651</v>
      </c>
      <c r="E89" s="2436">
        <v>1.9782608695652151</v>
      </c>
      <c r="F89" s="2436">
        <v>1.8181818181818183</v>
      </c>
      <c r="G89" s="2435">
        <v>1.4047619047619015</v>
      </c>
      <c r="H89" s="2437">
        <v>1.5757575757575761</v>
      </c>
      <c r="I89" s="2437">
        <v>1.8000000000000007</v>
      </c>
      <c r="J89" s="2437">
        <v>2.1099999999999994</v>
      </c>
      <c r="K89" s="2438">
        <v>0.76999999999999957</v>
      </c>
      <c r="L89" s="3050">
        <v>1.5700000000000003</v>
      </c>
      <c r="M89" s="3050">
        <v>2.6447418322418308</v>
      </c>
      <c r="N89" s="3050">
        <v>2.1536969696969699</v>
      </c>
      <c r="O89" s="3050">
        <v>1.3974358974358978</v>
      </c>
      <c r="P89" s="3050">
        <v>-0.56000000000000005</v>
      </c>
    </row>
    <row r="90" spans="2:16" ht="15" customHeight="1">
      <c r="B90" s="2439" t="s">
        <v>483</v>
      </c>
      <c r="C90" s="2440">
        <v>1.5039548022598783</v>
      </c>
      <c r="D90" s="2440">
        <v>1.4387254901960649</v>
      </c>
      <c r="E90" s="2441">
        <v>1.4143576826196416</v>
      </c>
      <c r="F90" s="2441">
        <v>1.42</v>
      </c>
      <c r="G90" s="2435">
        <v>1.3316831683168306</v>
      </c>
      <c r="H90" s="2442">
        <v>1.5080346106304248</v>
      </c>
      <c r="I90" s="2442">
        <v>1.5399999999999991</v>
      </c>
      <c r="J90" s="2442">
        <v>1.5299999999999994</v>
      </c>
      <c r="K90" s="2443">
        <v>1.9100000000000001</v>
      </c>
      <c r="L90" s="3051">
        <v>1.3800000000000008</v>
      </c>
      <c r="M90" s="3051">
        <v>1.5127523089595769</v>
      </c>
      <c r="N90" s="3051">
        <v>1.7452305837278228</v>
      </c>
      <c r="O90" s="3051">
        <v>0.96240601503759393</v>
      </c>
      <c r="P90" s="3051">
        <v>0.23</v>
      </c>
    </row>
    <row r="91" spans="2:16" ht="15" customHeight="1">
      <c r="B91" s="2434" t="s">
        <v>42</v>
      </c>
      <c r="C91" s="2435">
        <v>1.0896551724137939</v>
      </c>
      <c r="D91" s="2435">
        <v>1.9194630872483192</v>
      </c>
      <c r="E91" s="2436">
        <v>1.5629139072847646</v>
      </c>
      <c r="F91" s="2436">
        <v>1.551724137931032</v>
      </c>
      <c r="G91" s="2435">
        <v>1.3875000000000011</v>
      </c>
      <c r="H91" s="2437">
        <v>1.0900900900900883</v>
      </c>
      <c r="I91" s="2437">
        <v>1.5299999999999994</v>
      </c>
      <c r="J91" s="2437">
        <v>1.6400000000000006</v>
      </c>
      <c r="K91" s="2438">
        <v>1.5600000000000005</v>
      </c>
      <c r="L91" s="3050">
        <v>1.0600000000000005</v>
      </c>
      <c r="M91" s="3050">
        <v>-1.0007224750171471</v>
      </c>
      <c r="N91" s="3050">
        <v>1.5301616822893411</v>
      </c>
      <c r="O91" s="3050">
        <v>-2.3786982248520712</v>
      </c>
      <c r="P91" s="3050">
        <v>-1.85</v>
      </c>
    </row>
    <row r="92" spans="2:16" ht="15" customHeight="1">
      <c r="B92" s="2434" t="s">
        <v>52</v>
      </c>
      <c r="C92" s="2435">
        <v>0.80530973451327093</v>
      </c>
      <c r="D92" s="2435">
        <v>1.392857142857137</v>
      </c>
      <c r="E92" s="2436">
        <v>1.25</v>
      </c>
      <c r="F92" s="2436">
        <v>0.69047619047618625</v>
      </c>
      <c r="G92" s="2435">
        <v>0.73214285714285943</v>
      </c>
      <c r="H92" s="2437">
        <v>1.0642201834862419</v>
      </c>
      <c r="I92" s="2437">
        <v>0.89000000000000057</v>
      </c>
      <c r="J92" s="2437">
        <v>0.73000000000000043</v>
      </c>
      <c r="K92" s="2438">
        <v>0.65000000000000036</v>
      </c>
      <c r="L92" s="3050">
        <v>-0.74000000000000021</v>
      </c>
      <c r="M92" s="3050">
        <v>-1.3690170940170923</v>
      </c>
      <c r="N92" s="3050">
        <v>0.60944873444873515</v>
      </c>
      <c r="O92" s="3050">
        <v>-0.53846153846153832</v>
      </c>
      <c r="P92" s="3050">
        <v>-0.93</v>
      </c>
    </row>
    <row r="93" spans="2:16" ht="15" customHeight="1">
      <c r="B93" s="2434" t="s">
        <v>53</v>
      </c>
      <c r="C93" s="2435">
        <v>1.0523560209424065</v>
      </c>
      <c r="D93" s="2435">
        <v>0.71895424836600874</v>
      </c>
      <c r="E93" s="2436">
        <v>0.76687116564417046</v>
      </c>
      <c r="F93" s="2436">
        <v>0.89473684210526194</v>
      </c>
      <c r="G93" s="2435">
        <v>0.61379310344826976</v>
      </c>
      <c r="H93" s="2437">
        <v>0.95512820512820618</v>
      </c>
      <c r="I93" s="2437">
        <v>0.77999999999999936</v>
      </c>
      <c r="J93" s="2437">
        <v>0.99000000000000021</v>
      </c>
      <c r="K93" s="2438">
        <v>1.1500000000000004</v>
      </c>
      <c r="L93" s="3050">
        <v>0.92999999999999972</v>
      </c>
      <c r="M93" s="3050">
        <v>-0.69834602552134584</v>
      </c>
      <c r="N93" s="3050">
        <v>0.73409090909090935</v>
      </c>
      <c r="O93" s="3050">
        <v>-1.4565217391304355</v>
      </c>
      <c r="P93" s="3050">
        <v>-1.1000000000000001</v>
      </c>
    </row>
    <row r="94" spans="2:16" ht="15" customHeight="1">
      <c r="B94" s="2434" t="s">
        <v>54</v>
      </c>
      <c r="C94" s="2435">
        <v>2.1225490196078542</v>
      </c>
      <c r="D94" s="2435">
        <v>2.5689655172413914</v>
      </c>
      <c r="E94" s="2436">
        <v>2.4736842105263168</v>
      </c>
      <c r="F94" s="2436">
        <v>2.1741573033707962</v>
      </c>
      <c r="G94" s="2435">
        <v>2.2468354430379698</v>
      </c>
      <c r="H94" s="2437">
        <v>2.1453488372092959</v>
      </c>
      <c r="I94" s="2437">
        <v>2.4299999999999997</v>
      </c>
      <c r="J94" s="2437">
        <v>2.0999999999999996</v>
      </c>
      <c r="K94" s="2438">
        <v>1.7799999999999994</v>
      </c>
      <c r="L94" s="3050">
        <v>1.5099999999999998</v>
      </c>
      <c r="M94" s="3050">
        <v>-0.94840890590890581</v>
      </c>
      <c r="N94" s="3050">
        <v>2.1200967634300962</v>
      </c>
      <c r="O94" s="3050">
        <v>1.0625</v>
      </c>
      <c r="P94" s="3050">
        <v>-0.14899999999999999</v>
      </c>
    </row>
    <row r="95" spans="2:16" ht="15" customHeight="1">
      <c r="B95" s="2434" t="s">
        <v>55</v>
      </c>
      <c r="C95" s="2435">
        <v>2.3108808290155487</v>
      </c>
      <c r="D95" s="2435">
        <v>2.3465346534653477</v>
      </c>
      <c r="E95" s="2436">
        <v>1.9801324503311228</v>
      </c>
      <c r="F95" s="2436">
        <v>2.7619047619047716</v>
      </c>
      <c r="G95" s="2435">
        <v>2.1006289308176065</v>
      </c>
      <c r="H95" s="2437">
        <v>2.3825503355704605</v>
      </c>
      <c r="I95" s="2437">
        <v>1.8499999999999996</v>
      </c>
      <c r="J95" s="2437">
        <v>2.8900000000000006</v>
      </c>
      <c r="K95" s="2438">
        <v>4.8900000000000006</v>
      </c>
      <c r="L95" s="3050">
        <v>4.7600000000000016</v>
      </c>
      <c r="M95" s="3050">
        <v>5.3057280954339774</v>
      </c>
      <c r="N95" s="3050">
        <v>4.0593596059113324</v>
      </c>
      <c r="O95" s="3050">
        <v>-0.92397660818713412</v>
      </c>
      <c r="P95" s="3050">
        <v>-1.56</v>
      </c>
    </row>
    <row r="96" spans="2:16" ht="15" customHeight="1">
      <c r="B96" s="2434" t="s">
        <v>56</v>
      </c>
      <c r="C96" s="2435">
        <v>1.4347826086956523</v>
      </c>
      <c r="D96" s="2435">
        <v>1.1666666666666696</v>
      </c>
      <c r="E96" s="2436">
        <v>1.1981981981982006</v>
      </c>
      <c r="F96" s="2436">
        <v>1.6902654867256626</v>
      </c>
      <c r="G96" s="2435">
        <v>1.127272727272727</v>
      </c>
      <c r="H96" s="2437">
        <v>1.0944881889763796</v>
      </c>
      <c r="I96" s="2437">
        <v>1.2799999999999994</v>
      </c>
      <c r="J96" s="2437">
        <v>1.4499999999999993</v>
      </c>
      <c r="K96" s="2438">
        <v>1.1600000000000001</v>
      </c>
      <c r="L96" s="3050">
        <v>0.85999999999999943</v>
      </c>
      <c r="M96" s="3050">
        <v>0.14131016042780864</v>
      </c>
      <c r="N96" s="3050">
        <v>0.72879427341939795</v>
      </c>
      <c r="O96" s="3050">
        <v>0.15887850467289688</v>
      </c>
      <c r="P96" s="3050">
        <v>-0.75</v>
      </c>
    </row>
    <row r="97" spans="2:16" ht="15" customHeight="1">
      <c r="B97" s="2434" t="s">
        <v>255</v>
      </c>
      <c r="C97" s="2435">
        <v>1.3473684210526358</v>
      </c>
      <c r="D97" s="2435">
        <v>1.2256097560975583</v>
      </c>
      <c r="E97" s="2436">
        <v>1.4850746268656749</v>
      </c>
      <c r="F97" s="2436">
        <v>1.6944444444444464</v>
      </c>
      <c r="G97" s="2435">
        <v>1.9761904761904709</v>
      </c>
      <c r="H97" s="2437">
        <v>4.5691489361702011</v>
      </c>
      <c r="I97" s="2437">
        <v>1.8200000000000003</v>
      </c>
      <c r="J97" s="2437">
        <v>1.75</v>
      </c>
      <c r="K97" s="2438">
        <v>1.7699999999999996</v>
      </c>
      <c r="L97" s="3050">
        <v>0.90000000000000036</v>
      </c>
      <c r="M97" s="3050">
        <v>0.40196705922512344</v>
      </c>
      <c r="N97" s="3050">
        <v>6.6875787351977856</v>
      </c>
      <c r="O97" s="3050">
        <v>2.4658385093167716</v>
      </c>
      <c r="P97" s="3050">
        <v>1.64</v>
      </c>
    </row>
    <row r="98" spans="2:16" ht="15" customHeight="1">
      <c r="B98" s="2434" t="s">
        <v>264</v>
      </c>
      <c r="C98" s="2435">
        <v>-4.705882352941515E-2</v>
      </c>
      <c r="D98" s="2435">
        <v>1.0819672131147531</v>
      </c>
      <c r="E98" s="2436">
        <v>0.74766355140186924</v>
      </c>
      <c r="F98" s="2436">
        <v>0.93495934959349292</v>
      </c>
      <c r="G98" s="2435">
        <v>0.83478260869565091</v>
      </c>
      <c r="H98" s="2437">
        <v>1.3282442748091636</v>
      </c>
      <c r="I98" s="2437">
        <v>0.71000000000000085</v>
      </c>
      <c r="J98" s="2437">
        <v>0.86999999999999922</v>
      </c>
      <c r="K98" s="2438">
        <v>0.73000000000000043</v>
      </c>
      <c r="L98" s="3050">
        <v>-0.16999999999999993</v>
      </c>
      <c r="M98" s="3050">
        <v>-1.522883533578721</v>
      </c>
      <c r="N98" s="3050">
        <v>0.86900172612197935</v>
      </c>
      <c r="O98" s="3050">
        <v>-5.833333333333357E-2</v>
      </c>
      <c r="P98" s="3050">
        <v>-1.62</v>
      </c>
    </row>
    <row r="99" spans="2:16" ht="15" customHeight="1">
      <c r="B99" s="2439" t="s">
        <v>485</v>
      </c>
      <c r="C99" s="2440">
        <v>1.8907563025210123</v>
      </c>
      <c r="D99" s="2440">
        <v>2.0655172413793181</v>
      </c>
      <c r="E99" s="2441">
        <v>1.8675105485232137</v>
      </c>
      <c r="F99" s="2441">
        <v>2.0700000000000003</v>
      </c>
      <c r="G99" s="2435">
        <v>1.8970718722271549</v>
      </c>
      <c r="H99" s="2442">
        <v>1.9965004374453077</v>
      </c>
      <c r="I99" s="2442">
        <v>1.8399999999999999</v>
      </c>
      <c r="J99" s="2442">
        <v>1.9900000000000002</v>
      </c>
      <c r="K99" s="2443">
        <v>2.0700000000000003</v>
      </c>
      <c r="L99" s="3051">
        <v>1.6999999999999993</v>
      </c>
      <c r="M99" s="3051">
        <v>0.29469276144360101</v>
      </c>
      <c r="N99" s="3051">
        <v>2.2551389329474851</v>
      </c>
      <c r="O99" s="3051">
        <v>0.69504132231404903</v>
      </c>
      <c r="P99" s="3051">
        <v>-0.18</v>
      </c>
    </row>
    <row r="100" spans="2:16" ht="15" customHeight="1">
      <c r="B100" s="2434" t="s">
        <v>22</v>
      </c>
      <c r="C100" s="2435">
        <v>2.4423076923076881</v>
      </c>
      <c r="D100" s="2435">
        <v>2.6931216931216806</v>
      </c>
      <c r="E100" s="2436">
        <v>2.2928176795580129</v>
      </c>
      <c r="F100" s="2436">
        <v>2.1823529411764628</v>
      </c>
      <c r="G100" s="2435">
        <v>2.2200956937799035</v>
      </c>
      <c r="H100" s="2437">
        <v>1.7559523809523814</v>
      </c>
      <c r="I100" s="2437">
        <v>2.0600000000000005</v>
      </c>
      <c r="J100" s="2437">
        <v>1.7799999999999994</v>
      </c>
      <c r="K100" s="2438">
        <v>1.9600000000000009</v>
      </c>
      <c r="L100" s="3050">
        <v>1.9000000000000004</v>
      </c>
      <c r="M100" s="3050">
        <v>0.57680508633633565</v>
      </c>
      <c r="N100" s="3050">
        <v>1.6578593552481227</v>
      </c>
      <c r="O100" s="3050">
        <v>1.3549783549783552</v>
      </c>
      <c r="P100" s="3050">
        <v>0.13265306122448983</v>
      </c>
    </row>
    <row r="101" spans="2:16" ht="15" customHeight="1">
      <c r="B101" s="2434" t="s">
        <v>23</v>
      </c>
      <c r="C101" s="2435">
        <v>1.5</v>
      </c>
      <c r="D101" s="2435">
        <v>1.5416666666666661</v>
      </c>
      <c r="E101" s="2436">
        <v>1.7659574468085104</v>
      </c>
      <c r="F101" s="2436">
        <v>1.5495495495495408</v>
      </c>
      <c r="G101" s="2435">
        <v>1.0413223140495909</v>
      </c>
      <c r="H101" s="2437">
        <v>1.2315789473684227</v>
      </c>
      <c r="I101" s="2437">
        <v>0.94999999999999929</v>
      </c>
      <c r="J101" s="2437">
        <v>1.0700000000000003</v>
      </c>
      <c r="K101" s="2438">
        <v>0.9399999999999995</v>
      </c>
      <c r="L101" s="3050">
        <v>0.46000000000000085</v>
      </c>
      <c r="M101" s="3050">
        <v>-0.42220126687038473</v>
      </c>
      <c r="N101" s="3050">
        <v>0.70428571428571374</v>
      </c>
      <c r="O101" s="3050">
        <v>0.48863636363636331</v>
      </c>
      <c r="P101" s="3050">
        <v>-0.88235294117647101</v>
      </c>
    </row>
    <row r="102" spans="2:16" ht="15" customHeight="1">
      <c r="B102" s="2434" t="s">
        <v>24</v>
      </c>
      <c r="C102" s="2435">
        <v>2.0506329113924089</v>
      </c>
      <c r="D102" s="2435">
        <v>2.4666666666666703</v>
      </c>
      <c r="E102" s="2436">
        <v>1.9782608695652169</v>
      </c>
      <c r="F102" s="2436">
        <v>1.5921052631578938</v>
      </c>
      <c r="G102" s="2435">
        <v>1.6027397260274014</v>
      </c>
      <c r="H102" s="2437">
        <v>1.6944444444444429</v>
      </c>
      <c r="I102" s="2437">
        <v>2.1099999999999994</v>
      </c>
      <c r="J102" s="2437">
        <v>1.9299999999999997</v>
      </c>
      <c r="K102" s="2438">
        <v>1.5</v>
      </c>
      <c r="L102" s="3050">
        <v>1.2100000000000009</v>
      </c>
      <c r="M102" s="3050">
        <v>0.50317821207430313</v>
      </c>
      <c r="N102" s="3050">
        <v>1.918099647266315</v>
      </c>
      <c r="O102" s="3050">
        <v>0.88372093023255793</v>
      </c>
      <c r="P102" s="3050">
        <v>0.2666666666666675</v>
      </c>
    </row>
    <row r="103" spans="2:16" ht="15" customHeight="1">
      <c r="B103" s="2434" t="s">
        <v>58</v>
      </c>
      <c r="C103" s="2435">
        <v>1.5151515151515138</v>
      </c>
      <c r="D103" s="2435">
        <v>1.5609756097560989</v>
      </c>
      <c r="E103" s="2436">
        <v>2.0196078431372566</v>
      </c>
      <c r="F103" s="2436">
        <v>1.8734177215189867</v>
      </c>
      <c r="G103" s="2435">
        <v>0.96000000000000263</v>
      </c>
      <c r="H103" s="2437">
        <v>2.1095890410958891</v>
      </c>
      <c r="I103" s="2437">
        <v>1.9600000000000009</v>
      </c>
      <c r="J103" s="2437">
        <v>0.91999999999999993</v>
      </c>
      <c r="K103" s="2438">
        <v>1.3000000000000007</v>
      </c>
      <c r="L103" s="3050">
        <v>1.2200000000000006</v>
      </c>
      <c r="M103" s="3050">
        <v>0.79722222222222427</v>
      </c>
      <c r="N103" s="3050">
        <v>1.5072960372960384</v>
      </c>
      <c r="O103" s="3050">
        <v>0.67213114754098413</v>
      </c>
      <c r="P103" s="3050">
        <v>0.1904761904761898</v>
      </c>
    </row>
    <row r="104" spans="2:16" ht="15" customHeight="1">
      <c r="B104" s="2439" t="s">
        <v>484</v>
      </c>
      <c r="C104" s="2440">
        <v>2.0404494382022413</v>
      </c>
      <c r="D104" s="2440">
        <v>2.3050397877984086</v>
      </c>
      <c r="E104" s="2441">
        <v>2.0833333333333339</v>
      </c>
      <c r="F104" s="2441">
        <v>1.8623853211009163</v>
      </c>
      <c r="G104" s="2435">
        <v>1.6666666666666714</v>
      </c>
      <c r="H104" s="2442">
        <v>1.6862745098039245</v>
      </c>
      <c r="I104" s="2442">
        <v>1.75</v>
      </c>
      <c r="J104" s="2442">
        <v>1.5299999999999994</v>
      </c>
      <c r="K104" s="2443">
        <v>1.5600000000000005</v>
      </c>
      <c r="L104" s="3051">
        <v>1.3599999999999994</v>
      </c>
      <c r="M104" s="3051">
        <v>0.36375106344061869</v>
      </c>
      <c r="N104" s="3051">
        <v>1.4778937624088826</v>
      </c>
      <c r="O104" s="3051">
        <v>1.0150214592274676</v>
      </c>
      <c r="P104" s="3051">
        <v>-0.10299999999999999</v>
      </c>
    </row>
    <row r="105" spans="2:16" ht="15" customHeight="1">
      <c r="B105" s="2462" t="s">
        <v>412</v>
      </c>
      <c r="C105" s="2454">
        <v>1.7813492063491854</v>
      </c>
      <c r="D105" s="2454">
        <v>1.8865278368041025</v>
      </c>
      <c r="E105" s="2463">
        <v>1.748617609527864</v>
      </c>
      <c r="F105" s="2463">
        <v>1.8000000000000007</v>
      </c>
      <c r="G105" s="2464">
        <v>1.6620603015075446</v>
      </c>
      <c r="H105" s="2465">
        <v>1.775423728813557</v>
      </c>
      <c r="I105" s="2465">
        <v>1.7100000000000009</v>
      </c>
      <c r="J105" s="2465">
        <v>1.7599999999999998</v>
      </c>
      <c r="K105" s="2466">
        <v>1.92</v>
      </c>
      <c r="L105" s="3052">
        <v>1.5299999999999994</v>
      </c>
      <c r="M105" s="3052">
        <v>0.69179709840174297</v>
      </c>
      <c r="N105" s="3052">
        <v>1.8808315674548979</v>
      </c>
      <c r="O105" s="3052">
        <v>0.84771768316072027</v>
      </c>
      <c r="P105" s="3052">
        <v>2E-3</v>
      </c>
    </row>
    <row r="106" spans="2:16" ht="15.75" customHeight="1">
      <c r="B106" s="935"/>
      <c r="C106" s="935"/>
      <c r="D106" s="935"/>
      <c r="E106" s="935"/>
      <c r="F106" s="935"/>
      <c r="G106" s="935"/>
      <c r="H106" s="935"/>
      <c r="I106" s="935"/>
      <c r="J106" s="935"/>
      <c r="K106" s="935"/>
    </row>
    <row r="107" spans="2:16">
      <c r="B107" s="2130" t="s">
        <v>724</v>
      </c>
      <c r="C107" s="2115">
        <v>3.6275236918006364</v>
      </c>
      <c r="D107" s="2115">
        <v>3.6483812949640946</v>
      </c>
      <c r="E107" s="2028">
        <v>3.5697475395806606</v>
      </c>
      <c r="F107" s="2028">
        <v>3.751781027371603</v>
      </c>
      <c r="G107" s="2115">
        <v>3.8583843571006149</v>
      </c>
      <c r="H107" s="2116">
        <v>3.9487079852341136</v>
      </c>
      <c r="I107" s="2116">
        <v>3.8599999999999994</v>
      </c>
      <c r="J107" s="2128">
        <v>4.1099999999999994</v>
      </c>
      <c r="K107" s="2129">
        <v>3.93</v>
      </c>
      <c r="L107" s="2129">
        <v>3.9700000000000006</v>
      </c>
      <c r="M107" s="2129">
        <v>4.3000000000000007</v>
      </c>
      <c r="N107" s="2129">
        <v>4.3000000000000007</v>
      </c>
      <c r="O107" s="2129">
        <v>3.336785714285714</v>
      </c>
      <c r="P107" s="2129">
        <v>2.4500000000000002</v>
      </c>
    </row>
    <row r="108" spans="2:16" ht="24">
      <c r="B108" s="6587" t="s">
        <v>3370</v>
      </c>
      <c r="L108" s="3862"/>
      <c r="M108" s="3862"/>
      <c r="N108" s="4913"/>
      <c r="P108" s="6580" t="s">
        <v>3366</v>
      </c>
    </row>
    <row r="109" spans="2:16" ht="21.75" customHeight="1">
      <c r="L109" s="6975" t="s">
        <v>3303</v>
      </c>
      <c r="M109" s="6975"/>
      <c r="N109" s="6975"/>
      <c r="O109" s="6975"/>
      <c r="P109" s="6975"/>
    </row>
    <row r="110" spans="2:16">
      <c r="L110" s="6890"/>
      <c r="M110" s="6890"/>
      <c r="N110" s="6890"/>
      <c r="O110" s="6890"/>
      <c r="P110" s="6890"/>
    </row>
  </sheetData>
  <mergeCells count="2">
    <mergeCell ref="L1:P1"/>
    <mergeCell ref="L109:P109"/>
  </mergeCells>
  <printOptions horizontalCentered="1" verticalCentered="1"/>
  <pageMargins left="0.70866141732283472" right="0.70866141732283472" top="0.74803149606299213" bottom="0.74803149606299213" header="0.31496062992125984" footer="0.31496062992125984"/>
  <pageSetup scale="50" firstPageNumber="5" orientation="landscape" useFirstPageNumber="1" r:id="rId1"/>
  <headerFooter scaleWithDoc="0" alignWithMargins="0">
    <oddFooter>&amp;R&amp;P</oddFooter>
  </headerFooter>
  <rowBreaks count="1" manualBreakCount="1">
    <brk id="62" min="1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DX214"/>
  <sheetViews>
    <sheetView topLeftCell="A82" workbookViewId="0">
      <selection activeCell="H14" sqref="H14"/>
    </sheetView>
  </sheetViews>
  <sheetFormatPr baseColWidth="10" defaultRowHeight="14.4"/>
  <cols>
    <col min="1" max="1" width="7.88671875" style="5317" customWidth="1"/>
    <col min="2" max="2" width="6.6640625" style="5317" bestFit="1" customWidth="1"/>
    <col min="3" max="3" width="7.88671875" style="5317" customWidth="1"/>
    <col min="4" max="4" width="4.88671875" style="5317" bestFit="1" customWidth="1"/>
    <col min="5" max="5" width="4.44140625" style="5317" bestFit="1" customWidth="1"/>
    <col min="6" max="6" width="8.33203125" style="5317" bestFit="1" customWidth="1"/>
    <col min="7" max="7" width="9.88671875" style="5317" customWidth="1"/>
    <col min="8" max="8" width="11.44140625" style="5317"/>
    <col min="9" max="9" width="6.109375" style="5317" customWidth="1"/>
    <col min="10" max="10" width="6.6640625" style="5317" bestFit="1" customWidth="1"/>
    <col min="11" max="11" width="14.109375" style="5317" bestFit="1" customWidth="1"/>
    <col min="12" max="12" width="4.88671875" style="5317" bestFit="1" customWidth="1"/>
    <col min="13" max="13" width="4.44140625" style="5317" bestFit="1" customWidth="1"/>
    <col min="14" max="14" width="8.33203125" style="5317" bestFit="1" customWidth="1"/>
    <col min="15" max="15" width="8.88671875" style="5317" customWidth="1"/>
    <col min="16" max="16" width="11.44140625" style="5317"/>
    <col min="17" max="17" width="6.33203125" style="5317" customWidth="1"/>
    <col min="18" max="18" width="6.6640625" style="5317" bestFit="1" customWidth="1"/>
    <col min="19" max="19" width="15.33203125" style="5317" customWidth="1"/>
    <col min="20" max="21" width="5.6640625" style="5317" customWidth="1"/>
    <col min="22" max="22" width="8.33203125" style="5317" bestFit="1" customWidth="1"/>
    <col min="23" max="23" width="10.33203125" style="5317" customWidth="1"/>
    <col min="24" max="24" width="11.44140625" style="5317"/>
    <col min="25" max="25" width="6.88671875" style="4815" customWidth="1"/>
    <col min="26" max="26" width="6.6640625" style="4815" bestFit="1" customWidth="1"/>
    <col min="27" max="27" width="31.88671875" style="4815" bestFit="1" customWidth="1"/>
    <col min="28" max="28" width="5.44140625" style="4815" bestFit="1" customWidth="1"/>
    <col min="29" max="29" width="4.6640625" style="4815" customWidth="1"/>
    <col min="30" max="30" width="8.44140625" style="4815" bestFit="1" customWidth="1"/>
    <col min="31" max="31" width="9.44140625" style="4815" customWidth="1"/>
    <col min="32" max="32" width="11.44140625" style="4815"/>
    <col min="33" max="33" width="5.6640625" style="36" bestFit="1" customWidth="1"/>
    <col min="34" max="34" width="6.33203125" style="36" bestFit="1" customWidth="1"/>
    <col min="35" max="35" width="27.44140625" style="4245" bestFit="1" customWidth="1"/>
    <col min="36" max="36" width="5.33203125" style="1346" bestFit="1" customWidth="1"/>
    <col min="37" max="37" width="5.33203125" style="4625" customWidth="1"/>
    <col min="38" max="38" width="7.88671875" style="1346" bestFit="1" customWidth="1"/>
    <col min="39" max="39" width="9" style="4326" customWidth="1"/>
    <col min="40" max="40" width="11.5546875" style="4211"/>
    <col min="41" max="41" width="9.6640625" style="2110" bestFit="1" customWidth="1"/>
    <col min="42" max="42" width="6.33203125" style="2110" bestFit="1" customWidth="1"/>
    <col min="43" max="43" width="27.44140625" style="4163" bestFit="1" customWidth="1"/>
    <col min="44" max="44" width="9.33203125" style="4163" bestFit="1" customWidth="1"/>
    <col min="45" max="45" width="4.44140625" style="4163" bestFit="1" customWidth="1"/>
    <col min="46" max="46" width="7.88671875" style="4163" bestFit="1" customWidth="1"/>
    <col min="47" max="47" width="10.6640625" style="4163" bestFit="1" customWidth="1"/>
    <col min="48" max="48" width="11.5546875" style="4163"/>
    <col min="49" max="50" width="10.6640625" style="3797"/>
    <col min="51" max="51" width="23.6640625" style="3797" bestFit="1" customWidth="1"/>
    <col min="52" max="55" width="10.6640625" style="3797"/>
    <col min="56" max="56" width="11.44140625" style="3695"/>
    <col min="57" max="57" width="8.6640625" style="39" customWidth="1"/>
    <col min="58" max="58" width="5.5546875" style="39" bestFit="1" customWidth="1"/>
    <col min="59" max="59" width="23.6640625" style="39" bestFit="1" customWidth="1"/>
    <col min="60" max="60" width="4.33203125" style="39" bestFit="1" customWidth="1"/>
    <col min="61" max="61" width="4.44140625" style="39" bestFit="1" customWidth="1"/>
    <col min="62" max="62" width="6.6640625" style="39" bestFit="1" customWidth="1"/>
    <col min="63" max="63" width="8" style="39" bestFit="1" customWidth="1"/>
    <col min="64" max="64" width="11.44140625" style="3695"/>
    <col min="65" max="66" width="11.44140625" style="2016"/>
    <col min="67" max="67" width="31.6640625" style="2016" bestFit="1" customWidth="1"/>
    <col min="68" max="68" width="9" style="2016" bestFit="1" customWidth="1"/>
    <col min="69" max="69" width="8.6640625" style="2016" bestFit="1" customWidth="1"/>
    <col min="70" max="70" width="8.33203125" style="2016" bestFit="1" customWidth="1"/>
    <col min="71" max="71" width="11.33203125" style="2016" bestFit="1" customWidth="1"/>
    <col min="72" max="72" width="11.44140625" style="2016"/>
    <col min="75" max="75" width="31.6640625" bestFit="1" customWidth="1"/>
    <col min="80" max="80" width="11.44140625" style="36"/>
    <col min="81" max="81" width="6.6640625" style="36" bestFit="1" customWidth="1"/>
    <col min="82" max="82" width="31.6640625" style="36" bestFit="1" customWidth="1"/>
    <col min="83" max="84" width="7.6640625" style="36" bestFit="1" customWidth="1"/>
    <col min="85" max="85" width="8.33203125" style="36" bestFit="1" customWidth="1"/>
    <col min="87" max="87" width="11" style="157" bestFit="1" customWidth="1"/>
    <col min="88" max="88" width="6.6640625" style="157" bestFit="1" customWidth="1"/>
    <col min="89" max="89" width="31.6640625" bestFit="1" customWidth="1"/>
    <col min="90" max="90" width="8.44140625" bestFit="1" customWidth="1"/>
    <col min="91" max="91" width="7.6640625" bestFit="1" customWidth="1"/>
    <col min="94" max="94" width="10.6640625" customWidth="1"/>
    <col min="95" max="95" width="6.6640625" bestFit="1" customWidth="1"/>
    <col min="96" max="96" width="32.5546875" bestFit="1" customWidth="1"/>
    <col min="97" max="98" width="10.6640625" customWidth="1"/>
    <col min="99" max="99" width="10.6640625" style="157" customWidth="1"/>
    <col min="100" max="100" width="10.6640625" customWidth="1"/>
    <col min="101" max="101" width="11.44140625" customWidth="1"/>
    <col min="102" max="102" width="8.33203125" customWidth="1"/>
    <col min="103" max="103" width="35.44140625" customWidth="1"/>
    <col min="104" max="104" width="9.5546875" customWidth="1"/>
    <col min="105" max="105" width="11.44140625" customWidth="1"/>
    <col min="106" max="106" width="10.33203125" customWidth="1"/>
    <col min="107" max="107" width="11.44140625" customWidth="1"/>
    <col min="108" max="108" width="12.44140625" style="157" customWidth="1"/>
    <col min="109" max="109" width="8.33203125" style="157" customWidth="1"/>
    <col min="110" max="110" width="35.6640625" customWidth="1"/>
    <col min="111" max="114" width="11.44140625" customWidth="1"/>
    <col min="115" max="115" width="12.44140625" style="119" customWidth="1"/>
    <col min="116" max="116" width="8.33203125" style="119" customWidth="1"/>
    <col min="117" max="117" width="35.6640625" customWidth="1"/>
    <col min="118" max="123" width="11.44140625" customWidth="1"/>
    <col min="124" max="124" width="33.33203125" customWidth="1"/>
    <col min="125" max="125" width="11.44140625" customWidth="1"/>
    <col min="126" max="126" width="12.6640625" customWidth="1"/>
    <col min="128" max="128" width="9.5546875" style="157" bestFit="1" customWidth="1"/>
    <col min="371" max="371" width="18.33203125" customWidth="1"/>
    <col min="372" max="372" width="13" customWidth="1"/>
    <col min="373" max="373" width="41.6640625" customWidth="1"/>
    <col min="374" max="374" width="14" customWidth="1"/>
    <col min="375" max="375" width="13" customWidth="1"/>
    <col min="376" max="376" width="13.6640625" customWidth="1"/>
    <col min="627" max="627" width="18.33203125" customWidth="1"/>
    <col min="628" max="628" width="13" customWidth="1"/>
    <col min="629" max="629" width="41.6640625" customWidth="1"/>
    <col min="630" max="630" width="14" customWidth="1"/>
    <col min="631" max="631" width="13" customWidth="1"/>
    <col min="632" max="632" width="13.6640625" customWidth="1"/>
    <col min="883" max="883" width="18.33203125" customWidth="1"/>
    <col min="884" max="884" width="13" customWidth="1"/>
    <col min="885" max="885" width="41.6640625" customWidth="1"/>
    <col min="886" max="886" width="14" customWidth="1"/>
    <col min="887" max="887" width="13" customWidth="1"/>
    <col min="888" max="888" width="13.6640625" customWidth="1"/>
    <col min="1139" max="1139" width="18.33203125" customWidth="1"/>
    <col min="1140" max="1140" width="13" customWidth="1"/>
    <col min="1141" max="1141" width="41.6640625" customWidth="1"/>
    <col min="1142" max="1142" width="14" customWidth="1"/>
    <col min="1143" max="1143" width="13" customWidth="1"/>
    <col min="1144" max="1144" width="13.6640625" customWidth="1"/>
    <col min="1395" max="1395" width="18.33203125" customWidth="1"/>
    <col min="1396" max="1396" width="13" customWidth="1"/>
    <col min="1397" max="1397" width="41.6640625" customWidth="1"/>
    <col min="1398" max="1398" width="14" customWidth="1"/>
    <col min="1399" max="1399" width="13" customWidth="1"/>
    <col min="1400" max="1400" width="13.6640625" customWidth="1"/>
    <col min="1651" max="1651" width="18.33203125" customWidth="1"/>
    <col min="1652" max="1652" width="13" customWidth="1"/>
    <col min="1653" max="1653" width="41.6640625" customWidth="1"/>
    <col min="1654" max="1654" width="14" customWidth="1"/>
    <col min="1655" max="1655" width="13" customWidth="1"/>
    <col min="1656" max="1656" width="13.6640625" customWidth="1"/>
    <col min="1907" max="1907" width="18.33203125" customWidth="1"/>
    <col min="1908" max="1908" width="13" customWidth="1"/>
    <col min="1909" max="1909" width="41.6640625" customWidth="1"/>
    <col min="1910" max="1910" width="14" customWidth="1"/>
    <col min="1911" max="1911" width="13" customWidth="1"/>
    <col min="1912" max="1912" width="13.6640625" customWidth="1"/>
    <col min="2163" max="2163" width="18.33203125" customWidth="1"/>
    <col min="2164" max="2164" width="13" customWidth="1"/>
    <col min="2165" max="2165" width="41.6640625" customWidth="1"/>
    <col min="2166" max="2166" width="14" customWidth="1"/>
    <col min="2167" max="2167" width="13" customWidth="1"/>
    <col min="2168" max="2168" width="13.6640625" customWidth="1"/>
    <col min="2419" max="2419" width="18.33203125" customWidth="1"/>
    <col min="2420" max="2420" width="13" customWidth="1"/>
    <col min="2421" max="2421" width="41.6640625" customWidth="1"/>
    <col min="2422" max="2422" width="14" customWidth="1"/>
    <col min="2423" max="2423" width="13" customWidth="1"/>
    <col min="2424" max="2424" width="13.6640625" customWidth="1"/>
    <col min="2675" max="2675" width="18.33203125" customWidth="1"/>
    <col min="2676" max="2676" width="13" customWidth="1"/>
    <col min="2677" max="2677" width="41.6640625" customWidth="1"/>
    <col min="2678" max="2678" width="14" customWidth="1"/>
    <col min="2679" max="2679" width="13" customWidth="1"/>
    <col min="2680" max="2680" width="13.6640625" customWidth="1"/>
    <col min="2931" max="2931" width="18.33203125" customWidth="1"/>
    <col min="2932" max="2932" width="13" customWidth="1"/>
    <col min="2933" max="2933" width="41.6640625" customWidth="1"/>
    <col min="2934" max="2934" width="14" customWidth="1"/>
    <col min="2935" max="2935" width="13" customWidth="1"/>
    <col min="2936" max="2936" width="13.6640625" customWidth="1"/>
    <col min="3187" max="3187" width="18.33203125" customWidth="1"/>
    <col min="3188" max="3188" width="13" customWidth="1"/>
    <col min="3189" max="3189" width="41.6640625" customWidth="1"/>
    <col min="3190" max="3190" width="14" customWidth="1"/>
    <col min="3191" max="3191" width="13" customWidth="1"/>
    <col min="3192" max="3192" width="13.6640625" customWidth="1"/>
    <col min="3443" max="3443" width="18.33203125" customWidth="1"/>
    <col min="3444" max="3444" width="13" customWidth="1"/>
    <col min="3445" max="3445" width="41.6640625" customWidth="1"/>
    <col min="3446" max="3446" width="14" customWidth="1"/>
    <col min="3447" max="3447" width="13" customWidth="1"/>
    <col min="3448" max="3448" width="13.6640625" customWidth="1"/>
    <col min="3699" max="3699" width="18.33203125" customWidth="1"/>
    <col min="3700" max="3700" width="13" customWidth="1"/>
    <col min="3701" max="3701" width="41.6640625" customWidth="1"/>
    <col min="3702" max="3702" width="14" customWidth="1"/>
    <col min="3703" max="3703" width="13" customWidth="1"/>
    <col min="3704" max="3704" width="13.6640625" customWidth="1"/>
    <col min="3955" max="3955" width="18.33203125" customWidth="1"/>
    <col min="3956" max="3956" width="13" customWidth="1"/>
    <col min="3957" max="3957" width="41.6640625" customWidth="1"/>
    <col min="3958" max="3958" width="14" customWidth="1"/>
    <col min="3959" max="3959" width="13" customWidth="1"/>
    <col min="3960" max="3960" width="13.6640625" customWidth="1"/>
    <col min="4211" max="4211" width="18.33203125" customWidth="1"/>
    <col min="4212" max="4212" width="13" customWidth="1"/>
    <col min="4213" max="4213" width="41.6640625" customWidth="1"/>
    <col min="4214" max="4214" width="14" customWidth="1"/>
    <col min="4215" max="4215" width="13" customWidth="1"/>
    <col min="4216" max="4216" width="13.6640625" customWidth="1"/>
    <col min="4467" max="4467" width="18.33203125" customWidth="1"/>
    <col min="4468" max="4468" width="13" customWidth="1"/>
    <col min="4469" max="4469" width="41.6640625" customWidth="1"/>
    <col min="4470" max="4470" width="14" customWidth="1"/>
    <col min="4471" max="4471" width="13" customWidth="1"/>
    <col min="4472" max="4472" width="13.6640625" customWidth="1"/>
    <col min="4723" max="4723" width="18.33203125" customWidth="1"/>
    <col min="4724" max="4724" width="13" customWidth="1"/>
    <col min="4725" max="4725" width="41.6640625" customWidth="1"/>
    <col min="4726" max="4726" width="14" customWidth="1"/>
    <col min="4727" max="4727" width="13" customWidth="1"/>
    <col min="4728" max="4728" width="13.6640625" customWidth="1"/>
    <col min="4979" max="4979" width="18.33203125" customWidth="1"/>
    <col min="4980" max="4980" width="13" customWidth="1"/>
    <col min="4981" max="4981" width="41.6640625" customWidth="1"/>
    <col min="4982" max="4982" width="14" customWidth="1"/>
    <col min="4983" max="4983" width="13" customWidth="1"/>
    <col min="4984" max="4984" width="13.6640625" customWidth="1"/>
    <col min="5235" max="5235" width="18.33203125" customWidth="1"/>
    <col min="5236" max="5236" width="13" customWidth="1"/>
    <col min="5237" max="5237" width="41.6640625" customWidth="1"/>
    <col min="5238" max="5238" width="14" customWidth="1"/>
    <col min="5239" max="5239" width="13" customWidth="1"/>
    <col min="5240" max="5240" width="13.6640625" customWidth="1"/>
    <col min="5491" max="5491" width="18.33203125" customWidth="1"/>
    <col min="5492" max="5492" width="13" customWidth="1"/>
    <col min="5493" max="5493" width="41.6640625" customWidth="1"/>
    <col min="5494" max="5494" width="14" customWidth="1"/>
    <col min="5495" max="5495" width="13" customWidth="1"/>
    <col min="5496" max="5496" width="13.6640625" customWidth="1"/>
    <col min="5747" max="5747" width="18.33203125" customWidth="1"/>
    <col min="5748" max="5748" width="13" customWidth="1"/>
    <col min="5749" max="5749" width="41.6640625" customWidth="1"/>
    <col min="5750" max="5750" width="14" customWidth="1"/>
    <col min="5751" max="5751" width="13" customWidth="1"/>
    <col min="5752" max="5752" width="13.6640625" customWidth="1"/>
    <col min="6003" max="6003" width="18.33203125" customWidth="1"/>
    <col min="6004" max="6004" width="13" customWidth="1"/>
    <col min="6005" max="6005" width="41.6640625" customWidth="1"/>
    <col min="6006" max="6006" width="14" customWidth="1"/>
    <col min="6007" max="6007" width="13" customWidth="1"/>
    <col min="6008" max="6008" width="13.6640625" customWidth="1"/>
    <col min="6259" max="6259" width="18.33203125" customWidth="1"/>
    <col min="6260" max="6260" width="13" customWidth="1"/>
    <col min="6261" max="6261" width="41.6640625" customWidth="1"/>
    <col min="6262" max="6262" width="14" customWidth="1"/>
    <col min="6263" max="6263" width="13" customWidth="1"/>
    <col min="6264" max="6264" width="13.6640625" customWidth="1"/>
    <col min="6515" max="6515" width="18.33203125" customWidth="1"/>
    <col min="6516" max="6516" width="13" customWidth="1"/>
    <col min="6517" max="6517" width="41.6640625" customWidth="1"/>
    <col min="6518" max="6518" width="14" customWidth="1"/>
    <col min="6519" max="6519" width="13" customWidth="1"/>
    <col min="6520" max="6520" width="13.6640625" customWidth="1"/>
    <col min="6771" max="6771" width="18.33203125" customWidth="1"/>
    <col min="6772" max="6772" width="13" customWidth="1"/>
    <col min="6773" max="6773" width="41.6640625" customWidth="1"/>
    <col min="6774" max="6774" width="14" customWidth="1"/>
    <col min="6775" max="6775" width="13" customWidth="1"/>
    <col min="6776" max="6776" width="13.6640625" customWidth="1"/>
    <col min="7027" max="7027" width="18.33203125" customWidth="1"/>
    <col min="7028" max="7028" width="13" customWidth="1"/>
    <col min="7029" max="7029" width="41.6640625" customWidth="1"/>
    <col min="7030" max="7030" width="14" customWidth="1"/>
    <col min="7031" max="7031" width="13" customWidth="1"/>
    <col min="7032" max="7032" width="13.6640625" customWidth="1"/>
    <col min="7283" max="7283" width="18.33203125" customWidth="1"/>
    <col min="7284" max="7284" width="13" customWidth="1"/>
    <col min="7285" max="7285" width="41.6640625" customWidth="1"/>
    <col min="7286" max="7286" width="14" customWidth="1"/>
    <col min="7287" max="7287" width="13" customWidth="1"/>
    <col min="7288" max="7288" width="13.6640625" customWidth="1"/>
    <col min="7539" max="7539" width="18.33203125" customWidth="1"/>
    <col min="7540" max="7540" width="13" customWidth="1"/>
    <col min="7541" max="7541" width="41.6640625" customWidth="1"/>
    <col min="7542" max="7542" width="14" customWidth="1"/>
    <col min="7543" max="7543" width="13" customWidth="1"/>
    <col min="7544" max="7544" width="13.6640625" customWidth="1"/>
    <col min="7795" max="7795" width="18.33203125" customWidth="1"/>
    <col min="7796" max="7796" width="13" customWidth="1"/>
    <col min="7797" max="7797" width="41.6640625" customWidth="1"/>
    <col min="7798" max="7798" width="14" customWidth="1"/>
    <col min="7799" max="7799" width="13" customWidth="1"/>
    <col min="7800" max="7800" width="13.6640625" customWidth="1"/>
    <col min="8051" max="8051" width="18.33203125" customWidth="1"/>
    <col min="8052" max="8052" width="13" customWidth="1"/>
    <col min="8053" max="8053" width="41.6640625" customWidth="1"/>
    <col min="8054" max="8054" width="14" customWidth="1"/>
    <col min="8055" max="8055" width="13" customWidth="1"/>
    <col min="8056" max="8056" width="13.6640625" customWidth="1"/>
    <col min="8307" max="8307" width="18.33203125" customWidth="1"/>
    <col min="8308" max="8308" width="13" customWidth="1"/>
    <col min="8309" max="8309" width="41.6640625" customWidth="1"/>
    <col min="8310" max="8310" width="14" customWidth="1"/>
    <col min="8311" max="8311" width="13" customWidth="1"/>
    <col min="8312" max="8312" width="13.6640625" customWidth="1"/>
    <col min="8563" max="8563" width="18.33203125" customWidth="1"/>
    <col min="8564" max="8564" width="13" customWidth="1"/>
    <col min="8565" max="8565" width="41.6640625" customWidth="1"/>
    <col min="8566" max="8566" width="14" customWidth="1"/>
    <col min="8567" max="8567" width="13" customWidth="1"/>
    <col min="8568" max="8568" width="13.6640625" customWidth="1"/>
    <col min="8819" max="8819" width="18.33203125" customWidth="1"/>
    <col min="8820" max="8820" width="13" customWidth="1"/>
    <col min="8821" max="8821" width="41.6640625" customWidth="1"/>
    <col min="8822" max="8822" width="14" customWidth="1"/>
    <col min="8823" max="8823" width="13" customWidth="1"/>
    <col min="8824" max="8824" width="13.6640625" customWidth="1"/>
    <col min="9075" max="9075" width="18.33203125" customWidth="1"/>
    <col min="9076" max="9076" width="13" customWidth="1"/>
    <col min="9077" max="9077" width="41.6640625" customWidth="1"/>
    <col min="9078" max="9078" width="14" customWidth="1"/>
    <col min="9079" max="9079" width="13" customWidth="1"/>
    <col min="9080" max="9080" width="13.6640625" customWidth="1"/>
    <col min="9331" max="9331" width="18.33203125" customWidth="1"/>
    <col min="9332" max="9332" width="13" customWidth="1"/>
    <col min="9333" max="9333" width="41.6640625" customWidth="1"/>
    <col min="9334" max="9334" width="14" customWidth="1"/>
    <col min="9335" max="9335" width="13" customWidth="1"/>
    <col min="9336" max="9336" width="13.6640625" customWidth="1"/>
    <col min="9587" max="9587" width="18.33203125" customWidth="1"/>
    <col min="9588" max="9588" width="13" customWidth="1"/>
    <col min="9589" max="9589" width="41.6640625" customWidth="1"/>
    <col min="9590" max="9590" width="14" customWidth="1"/>
    <col min="9591" max="9591" width="13" customWidth="1"/>
    <col min="9592" max="9592" width="13.6640625" customWidth="1"/>
    <col min="9843" max="9843" width="18.33203125" customWidth="1"/>
    <col min="9844" max="9844" width="13" customWidth="1"/>
    <col min="9845" max="9845" width="41.6640625" customWidth="1"/>
    <col min="9846" max="9846" width="14" customWidth="1"/>
    <col min="9847" max="9847" width="13" customWidth="1"/>
    <col min="9848" max="9848" width="13.6640625" customWidth="1"/>
    <col min="10099" max="10099" width="18.33203125" customWidth="1"/>
    <col min="10100" max="10100" width="13" customWidth="1"/>
    <col min="10101" max="10101" width="41.6640625" customWidth="1"/>
    <col min="10102" max="10102" width="14" customWidth="1"/>
    <col min="10103" max="10103" width="13" customWidth="1"/>
    <col min="10104" max="10104" width="13.6640625" customWidth="1"/>
    <col min="10355" max="10355" width="18.33203125" customWidth="1"/>
    <col min="10356" max="10356" width="13" customWidth="1"/>
    <col min="10357" max="10357" width="41.6640625" customWidth="1"/>
    <col min="10358" max="10358" width="14" customWidth="1"/>
    <col min="10359" max="10359" width="13" customWidth="1"/>
    <col min="10360" max="10360" width="13.6640625" customWidth="1"/>
    <col min="10611" max="10611" width="18.33203125" customWidth="1"/>
    <col min="10612" max="10612" width="13" customWidth="1"/>
    <col min="10613" max="10613" width="41.6640625" customWidth="1"/>
    <col min="10614" max="10614" width="14" customWidth="1"/>
    <col min="10615" max="10615" width="13" customWidth="1"/>
    <col min="10616" max="10616" width="13.6640625" customWidth="1"/>
    <col min="10867" max="10867" width="18.33203125" customWidth="1"/>
    <col min="10868" max="10868" width="13" customWidth="1"/>
    <col min="10869" max="10869" width="41.6640625" customWidth="1"/>
    <col min="10870" max="10870" width="14" customWidth="1"/>
    <col min="10871" max="10871" width="13" customWidth="1"/>
    <col min="10872" max="10872" width="13.6640625" customWidth="1"/>
    <col min="11123" max="11123" width="18.33203125" customWidth="1"/>
    <col min="11124" max="11124" width="13" customWidth="1"/>
    <col min="11125" max="11125" width="41.6640625" customWidth="1"/>
    <col min="11126" max="11126" width="14" customWidth="1"/>
    <col min="11127" max="11127" width="13" customWidth="1"/>
    <col min="11128" max="11128" width="13.6640625" customWidth="1"/>
    <col min="11379" max="11379" width="18.33203125" customWidth="1"/>
    <col min="11380" max="11380" width="13" customWidth="1"/>
    <col min="11381" max="11381" width="41.6640625" customWidth="1"/>
    <col min="11382" max="11382" width="14" customWidth="1"/>
    <col min="11383" max="11383" width="13" customWidth="1"/>
    <col min="11384" max="11384" width="13.6640625" customWidth="1"/>
    <col min="11635" max="11635" width="18.33203125" customWidth="1"/>
    <col min="11636" max="11636" width="13" customWidth="1"/>
    <col min="11637" max="11637" width="41.6640625" customWidth="1"/>
    <col min="11638" max="11638" width="14" customWidth="1"/>
    <col min="11639" max="11639" width="13" customWidth="1"/>
    <col min="11640" max="11640" width="13.6640625" customWidth="1"/>
    <col min="11891" max="11891" width="18.33203125" customWidth="1"/>
    <col min="11892" max="11892" width="13" customWidth="1"/>
    <col min="11893" max="11893" width="41.6640625" customWidth="1"/>
    <col min="11894" max="11894" width="14" customWidth="1"/>
    <col min="11895" max="11895" width="13" customWidth="1"/>
    <col min="11896" max="11896" width="13.6640625" customWidth="1"/>
    <col min="12147" max="12147" width="18.33203125" customWidth="1"/>
    <col min="12148" max="12148" width="13" customWidth="1"/>
    <col min="12149" max="12149" width="41.6640625" customWidth="1"/>
    <col min="12150" max="12150" width="14" customWidth="1"/>
    <col min="12151" max="12151" width="13" customWidth="1"/>
    <col min="12152" max="12152" width="13.6640625" customWidth="1"/>
    <col min="12403" max="12403" width="18.33203125" customWidth="1"/>
    <col min="12404" max="12404" width="13" customWidth="1"/>
    <col min="12405" max="12405" width="41.6640625" customWidth="1"/>
    <col min="12406" max="12406" width="14" customWidth="1"/>
    <col min="12407" max="12407" width="13" customWidth="1"/>
    <col min="12408" max="12408" width="13.6640625" customWidth="1"/>
    <col min="12659" max="12659" width="18.33203125" customWidth="1"/>
    <col min="12660" max="12660" width="13" customWidth="1"/>
    <col min="12661" max="12661" width="41.6640625" customWidth="1"/>
    <col min="12662" max="12662" width="14" customWidth="1"/>
    <col min="12663" max="12663" width="13" customWidth="1"/>
    <col min="12664" max="12664" width="13.6640625" customWidth="1"/>
    <col min="12915" max="12915" width="18.33203125" customWidth="1"/>
    <col min="12916" max="12916" width="13" customWidth="1"/>
    <col min="12917" max="12917" width="41.6640625" customWidth="1"/>
    <col min="12918" max="12918" width="14" customWidth="1"/>
    <col min="12919" max="12919" width="13" customWidth="1"/>
    <col min="12920" max="12920" width="13.6640625" customWidth="1"/>
    <col min="13171" max="13171" width="18.33203125" customWidth="1"/>
    <col min="13172" max="13172" width="13" customWidth="1"/>
    <col min="13173" max="13173" width="41.6640625" customWidth="1"/>
    <col min="13174" max="13174" width="14" customWidth="1"/>
    <col min="13175" max="13175" width="13" customWidth="1"/>
    <col min="13176" max="13176" width="13.6640625" customWidth="1"/>
    <col min="13427" max="13427" width="18.33203125" customWidth="1"/>
    <col min="13428" max="13428" width="13" customWidth="1"/>
    <col min="13429" max="13429" width="41.6640625" customWidth="1"/>
    <col min="13430" max="13430" width="14" customWidth="1"/>
    <col min="13431" max="13431" width="13" customWidth="1"/>
    <col min="13432" max="13432" width="13.6640625" customWidth="1"/>
    <col min="13683" max="13683" width="18.33203125" customWidth="1"/>
    <col min="13684" max="13684" width="13" customWidth="1"/>
    <col min="13685" max="13685" width="41.6640625" customWidth="1"/>
    <col min="13686" max="13686" width="14" customWidth="1"/>
    <col min="13687" max="13687" width="13" customWidth="1"/>
    <col min="13688" max="13688" width="13.6640625" customWidth="1"/>
    <col min="13939" max="13939" width="18.33203125" customWidth="1"/>
    <col min="13940" max="13940" width="13" customWidth="1"/>
    <col min="13941" max="13941" width="41.6640625" customWidth="1"/>
    <col min="13942" max="13942" width="14" customWidth="1"/>
    <col min="13943" max="13943" width="13" customWidth="1"/>
    <col min="13944" max="13944" width="13.6640625" customWidth="1"/>
    <col min="14195" max="14195" width="18.33203125" customWidth="1"/>
    <col min="14196" max="14196" width="13" customWidth="1"/>
    <col min="14197" max="14197" width="41.6640625" customWidth="1"/>
    <col min="14198" max="14198" width="14" customWidth="1"/>
    <col min="14199" max="14199" width="13" customWidth="1"/>
    <col min="14200" max="14200" width="13.6640625" customWidth="1"/>
    <col min="14451" max="14451" width="18.33203125" customWidth="1"/>
    <col min="14452" max="14452" width="13" customWidth="1"/>
    <col min="14453" max="14453" width="41.6640625" customWidth="1"/>
    <col min="14454" max="14454" width="14" customWidth="1"/>
    <col min="14455" max="14455" width="13" customWidth="1"/>
    <col min="14456" max="14456" width="13.6640625" customWidth="1"/>
    <col min="14707" max="14707" width="18.33203125" customWidth="1"/>
    <col min="14708" max="14708" width="13" customWidth="1"/>
    <col min="14709" max="14709" width="41.6640625" customWidth="1"/>
    <col min="14710" max="14710" width="14" customWidth="1"/>
    <col min="14711" max="14711" width="13" customWidth="1"/>
    <col min="14712" max="14712" width="13.6640625" customWidth="1"/>
    <col min="14963" max="14963" width="18.33203125" customWidth="1"/>
    <col min="14964" max="14964" width="13" customWidth="1"/>
    <col min="14965" max="14965" width="41.6640625" customWidth="1"/>
    <col min="14966" max="14966" width="14" customWidth="1"/>
    <col min="14967" max="14967" width="13" customWidth="1"/>
    <col min="14968" max="14968" width="13.6640625" customWidth="1"/>
    <col min="15219" max="15219" width="18.33203125" customWidth="1"/>
    <col min="15220" max="15220" width="13" customWidth="1"/>
    <col min="15221" max="15221" width="41.6640625" customWidth="1"/>
    <col min="15222" max="15222" width="14" customWidth="1"/>
    <col min="15223" max="15223" width="13" customWidth="1"/>
    <col min="15224" max="15224" width="13.6640625" customWidth="1"/>
    <col min="15475" max="15475" width="18.33203125" customWidth="1"/>
    <col min="15476" max="15476" width="13" customWidth="1"/>
    <col min="15477" max="15477" width="41.6640625" customWidth="1"/>
    <col min="15478" max="15478" width="14" customWidth="1"/>
    <col min="15479" max="15479" width="13" customWidth="1"/>
    <col min="15480" max="15480" width="13.6640625" customWidth="1"/>
    <col min="15731" max="15731" width="18.33203125" customWidth="1"/>
    <col min="15732" max="15732" width="13" customWidth="1"/>
    <col min="15733" max="15733" width="41.6640625" customWidth="1"/>
    <col min="15734" max="15734" width="14" customWidth="1"/>
    <col min="15735" max="15735" width="13" customWidth="1"/>
    <col min="15736" max="15736" width="13.6640625" customWidth="1"/>
    <col min="15987" max="15987" width="18.33203125" customWidth="1"/>
    <col min="15988" max="15988" width="13" customWidth="1"/>
    <col min="15989" max="15989" width="41.6640625" customWidth="1"/>
    <col min="15990" max="15990" width="14" customWidth="1"/>
    <col min="15991" max="15991" width="13" customWidth="1"/>
    <col min="15992" max="15992" width="13.6640625" customWidth="1"/>
    <col min="16243" max="16243" width="18.33203125" customWidth="1"/>
    <col min="16244" max="16244" width="13" customWidth="1"/>
    <col min="16245" max="16245" width="41.6640625" customWidth="1"/>
    <col min="16246" max="16246" width="14" customWidth="1"/>
    <col min="16247" max="16247" width="13" customWidth="1"/>
    <col min="16248" max="16248" width="13.6640625" customWidth="1"/>
  </cols>
  <sheetData>
    <row r="1" spans="1:128" ht="15" customHeight="1">
      <c r="A1" s="6976" t="s">
        <v>2526</v>
      </c>
      <c r="B1" s="6976"/>
      <c r="C1" s="6976"/>
      <c r="D1" s="6976"/>
      <c r="E1" s="6976"/>
      <c r="F1" s="6976"/>
      <c r="G1" s="6976"/>
      <c r="H1" s="6263"/>
      <c r="I1" s="6976" t="s">
        <v>2526</v>
      </c>
      <c r="J1" s="6976"/>
      <c r="K1" s="6976"/>
      <c r="L1" s="6976"/>
      <c r="M1" s="6976"/>
      <c r="N1" s="6976"/>
      <c r="O1" s="6976"/>
      <c r="Q1" s="6976" t="s">
        <v>2526</v>
      </c>
      <c r="R1" s="6976"/>
      <c r="S1" s="6976"/>
      <c r="T1" s="6976"/>
      <c r="U1" s="6976"/>
      <c r="V1" s="6976"/>
      <c r="W1" s="6976"/>
      <c r="Y1" s="6976" t="s">
        <v>2526</v>
      </c>
      <c r="Z1" s="6976"/>
      <c r="AA1" s="6976"/>
      <c r="AB1" s="6976"/>
      <c r="AC1" s="6976"/>
      <c r="AD1" s="6976"/>
      <c r="AE1" s="6976"/>
      <c r="AG1" s="6978" t="s">
        <v>2526</v>
      </c>
      <c r="AH1" s="6978"/>
      <c r="AI1" s="6978"/>
      <c r="AJ1" s="6978"/>
      <c r="AK1" s="6978"/>
      <c r="AL1" s="6978"/>
      <c r="AM1" s="6978"/>
      <c r="CB1" s="27" t="s">
        <v>1721</v>
      </c>
      <c r="CX1" s="1325"/>
      <c r="CY1" s="1325"/>
      <c r="CZ1" s="1325"/>
      <c r="DA1" s="1325"/>
      <c r="DB1" s="1325"/>
    </row>
    <row r="2" spans="1:128" ht="15.6">
      <c r="A2" s="6976"/>
      <c r="B2" s="6976"/>
      <c r="C2" s="6976"/>
      <c r="D2" s="6976"/>
      <c r="E2" s="6976"/>
      <c r="F2" s="6976"/>
      <c r="G2" s="6976"/>
      <c r="H2" s="6263"/>
      <c r="I2" s="6976"/>
      <c r="J2" s="6976"/>
      <c r="K2" s="6976"/>
      <c r="L2" s="6976"/>
      <c r="M2" s="6976"/>
      <c r="N2" s="6976"/>
      <c r="O2" s="6976"/>
      <c r="Q2" s="6976"/>
      <c r="R2" s="6976"/>
      <c r="S2" s="6976"/>
      <c r="T2" s="6976"/>
      <c r="U2" s="6976"/>
      <c r="V2" s="6976"/>
      <c r="W2" s="6976"/>
      <c r="Y2" s="6976"/>
      <c r="Z2" s="6976"/>
      <c r="AA2" s="6976"/>
      <c r="AB2" s="6976"/>
      <c r="AC2" s="6976"/>
      <c r="AD2" s="6976"/>
      <c r="AE2" s="6976"/>
      <c r="AG2" s="6978"/>
      <c r="AH2" s="6978"/>
      <c r="AI2" s="6978"/>
      <c r="AJ2" s="6978"/>
      <c r="AK2" s="6978"/>
      <c r="AL2" s="6978"/>
      <c r="AM2" s="6978"/>
      <c r="AO2" s="6979" t="s">
        <v>2667</v>
      </c>
      <c r="AP2" s="6979"/>
      <c r="AQ2" s="6979"/>
      <c r="AR2" s="6979"/>
      <c r="AS2" s="6979"/>
      <c r="AT2" s="6979"/>
      <c r="AU2" s="6979"/>
      <c r="AW2" s="1689" t="s">
        <v>2526</v>
      </c>
      <c r="AX2" s="39"/>
      <c r="AY2" s="39"/>
      <c r="AZ2" s="39"/>
      <c r="BA2" s="39"/>
      <c r="BB2" s="39"/>
      <c r="BC2" s="39"/>
      <c r="BE2" s="4257" t="s">
        <v>2526</v>
      </c>
      <c r="BF2" s="4258"/>
      <c r="BG2" s="4258"/>
      <c r="BH2" s="4258"/>
      <c r="BI2" s="4258"/>
      <c r="BJ2" s="4258"/>
      <c r="BK2" s="4258"/>
      <c r="BM2" s="27" t="s">
        <v>2528</v>
      </c>
      <c r="BU2" s="27" t="s">
        <v>2257</v>
      </c>
      <c r="BV2" s="27"/>
      <c r="BW2" s="27"/>
      <c r="BX2" s="27"/>
      <c r="BY2" s="27"/>
      <c r="CB2" s="393" t="s">
        <v>1722</v>
      </c>
      <c r="CI2" s="1326" t="s">
        <v>427</v>
      </c>
      <c r="CP2" s="1326" t="s">
        <v>427</v>
      </c>
      <c r="CW2" s="1326" t="s">
        <v>427</v>
      </c>
      <c r="DD2" s="1325" t="s">
        <v>427</v>
      </c>
      <c r="DK2" s="1325" t="s">
        <v>427</v>
      </c>
      <c r="DL2" s="213"/>
      <c r="DM2" s="213"/>
      <c r="DN2" s="213"/>
      <c r="DO2" s="213"/>
      <c r="DP2" s="213"/>
      <c r="DR2" s="1325" t="s">
        <v>427</v>
      </c>
    </row>
    <row r="3" spans="1:128" ht="15.6">
      <c r="A3" s="3821" t="s">
        <v>3173</v>
      </c>
      <c r="B3" s="6264"/>
      <c r="C3" s="4245"/>
      <c r="D3" s="1346"/>
      <c r="E3" s="4625"/>
      <c r="F3" s="6977" t="s">
        <v>3271</v>
      </c>
      <c r="G3" s="6977"/>
      <c r="H3" s="6263"/>
      <c r="I3" s="3821" t="s">
        <v>3173</v>
      </c>
      <c r="J3" s="6065"/>
      <c r="K3" s="4245"/>
      <c r="L3" s="1346"/>
      <c r="M3" s="4625"/>
      <c r="N3" s="6969" t="s">
        <v>2810</v>
      </c>
      <c r="O3" s="6969"/>
      <c r="Q3" s="3821" t="s">
        <v>2816</v>
      </c>
      <c r="R3" s="5825"/>
      <c r="S3" s="4245"/>
      <c r="T3" s="1346"/>
      <c r="U3" s="4625"/>
      <c r="V3" s="6977" t="s">
        <v>3030</v>
      </c>
      <c r="W3" s="6977"/>
      <c r="Y3" s="3821" t="s">
        <v>2816</v>
      </c>
      <c r="Z3" s="36"/>
      <c r="AA3" s="4245"/>
      <c r="AB3" s="1346"/>
      <c r="AC3" s="4625"/>
      <c r="AD3" s="6969" t="s">
        <v>2810</v>
      </c>
      <c r="AE3" s="6969"/>
      <c r="AG3" s="3821" t="s">
        <v>2715</v>
      </c>
      <c r="AO3" s="6979"/>
      <c r="AP3" s="6979"/>
      <c r="AQ3" s="6979"/>
      <c r="AR3" s="6979"/>
      <c r="AS3" s="6979"/>
      <c r="AT3" s="6979"/>
      <c r="AU3" s="6979"/>
      <c r="AW3" s="3821" t="s">
        <v>2564</v>
      </c>
      <c r="AX3" s="39"/>
      <c r="AY3" s="39"/>
      <c r="AZ3" s="39"/>
      <c r="BA3" s="39"/>
      <c r="BB3" s="39"/>
      <c r="BC3" s="39"/>
      <c r="BE3" s="4259" t="s">
        <v>2562</v>
      </c>
      <c r="BF3" s="4258"/>
      <c r="BG3" s="4258"/>
      <c r="BH3" s="4258"/>
      <c r="BI3" s="4258"/>
      <c r="BJ3" s="4258"/>
      <c r="BK3" s="4258"/>
      <c r="BM3" s="27" t="s">
        <v>2405</v>
      </c>
      <c r="BU3" s="27" t="s">
        <v>2253</v>
      </c>
      <c r="CB3" s="393" t="s">
        <v>1723</v>
      </c>
      <c r="DK3" s="213"/>
      <c r="DL3" s="213"/>
      <c r="DM3" s="213"/>
      <c r="DN3" s="213"/>
      <c r="DO3" s="213"/>
      <c r="DP3" s="1327"/>
    </row>
    <row r="4" spans="1:128" ht="16.2" thickBot="1">
      <c r="A4" s="4831" t="s">
        <v>3272</v>
      </c>
      <c r="B4" s="6264"/>
      <c r="C4" s="4245"/>
      <c r="D4" s="1346"/>
      <c r="E4" s="4625"/>
      <c r="F4" s="1346"/>
      <c r="G4" s="4326"/>
      <c r="H4" s="6263"/>
      <c r="I4" s="4831" t="s">
        <v>3174</v>
      </c>
      <c r="J4" s="6065"/>
      <c r="K4" s="4245"/>
      <c r="L4" s="1346"/>
      <c r="M4" s="4625"/>
      <c r="N4" s="1346"/>
      <c r="O4" s="4326"/>
      <c r="Q4" s="4831" t="s">
        <v>3039</v>
      </c>
      <c r="R4" s="5825"/>
      <c r="S4" s="4245"/>
      <c r="T4" s="1346"/>
      <c r="U4" s="4625"/>
      <c r="V4" s="1346"/>
      <c r="W4" s="4326"/>
      <c r="Y4" s="4831" t="s">
        <v>2814</v>
      </c>
      <c r="Z4" s="36"/>
      <c r="AA4" s="4245"/>
      <c r="AB4" s="1346"/>
      <c r="AC4" s="4625"/>
      <c r="AD4" s="1346"/>
      <c r="AE4" s="4326"/>
      <c r="AG4" s="1689" t="s">
        <v>2716</v>
      </c>
      <c r="AO4" s="4288"/>
      <c r="AP4" s="4314" t="s">
        <v>2713</v>
      </c>
      <c r="AQ4" s="4289"/>
      <c r="AR4" s="4289"/>
      <c r="AS4" s="4289"/>
      <c r="AT4" s="4289"/>
      <c r="AU4" s="4289"/>
      <c r="AW4" s="1689" t="s">
        <v>2563</v>
      </c>
      <c r="AX4" s="39"/>
      <c r="AY4" s="39"/>
      <c r="AZ4" s="6981" t="s">
        <v>2529</v>
      </c>
      <c r="BA4" s="6981"/>
      <c r="BB4" s="39"/>
      <c r="BC4" s="39"/>
      <c r="BE4" s="4257" t="s">
        <v>2527</v>
      </c>
      <c r="BF4" s="4258"/>
      <c r="BG4" s="4258"/>
      <c r="BH4" s="6982" t="s">
        <v>2529</v>
      </c>
      <c r="BI4" s="6982"/>
      <c r="BJ4" s="4258"/>
      <c r="BK4" s="4258"/>
      <c r="BP4" s="6980" t="s">
        <v>2406</v>
      </c>
      <c r="BQ4" s="6980"/>
      <c r="BR4" s="6980"/>
      <c r="BX4" s="6980" t="s">
        <v>2258</v>
      </c>
      <c r="BY4" s="6980"/>
      <c r="BZ4" s="6980"/>
      <c r="CB4" s="393"/>
      <c r="CE4" s="6980" t="s">
        <v>1724</v>
      </c>
      <c r="CF4" s="6980"/>
      <c r="CG4" s="6980"/>
      <c r="CL4" s="6980" t="s">
        <v>1675</v>
      </c>
      <c r="CM4" s="6980"/>
      <c r="CN4" s="6980"/>
      <c r="CP4" s="157"/>
      <c r="CQ4" s="157"/>
      <c r="CS4" s="6980" t="s">
        <v>1676</v>
      </c>
      <c r="CT4" s="6980"/>
      <c r="CU4" s="6980"/>
      <c r="CW4" s="157"/>
      <c r="CX4" s="157"/>
      <c r="CZ4" s="6980" t="s">
        <v>1677</v>
      </c>
      <c r="DA4" s="6980"/>
      <c r="DB4" s="6980"/>
      <c r="DG4" s="6980" t="s">
        <v>1678</v>
      </c>
      <c r="DH4" s="6980"/>
      <c r="DI4" s="6980"/>
      <c r="DN4" s="6980" t="s">
        <v>1679</v>
      </c>
      <c r="DO4" s="6980"/>
      <c r="DP4" s="6980"/>
      <c r="DR4" s="1328"/>
      <c r="DS4" s="1328"/>
      <c r="DT4" s="1329"/>
      <c r="DU4" s="6980" t="s">
        <v>1680</v>
      </c>
      <c r="DV4" s="6980"/>
      <c r="DW4" s="6980"/>
      <c r="DX4" s="6980"/>
    </row>
    <row r="5" spans="1:128" ht="37.200000000000003" thickBot="1">
      <c r="A5" s="4315" t="s">
        <v>0</v>
      </c>
      <c r="B5" s="4315" t="s">
        <v>1</v>
      </c>
      <c r="C5" s="4409" t="s">
        <v>2</v>
      </c>
      <c r="D5" s="4324" t="s">
        <v>2815</v>
      </c>
      <c r="E5" s="4633" t="s">
        <v>1185</v>
      </c>
      <c r="F5" s="5850" t="s">
        <v>1122</v>
      </c>
      <c r="G5" s="4623" t="s">
        <v>1123</v>
      </c>
      <c r="H5" s="6263"/>
      <c r="I5" s="4315" t="s">
        <v>0</v>
      </c>
      <c r="J5" s="4315" t="s">
        <v>1</v>
      </c>
      <c r="K5" s="4315" t="s">
        <v>2</v>
      </c>
      <c r="L5" s="4324" t="s">
        <v>2815</v>
      </c>
      <c r="M5" s="4633" t="s">
        <v>1185</v>
      </c>
      <c r="N5" s="5850" t="s">
        <v>1122</v>
      </c>
      <c r="O5" s="4623" t="s">
        <v>1123</v>
      </c>
      <c r="Q5" s="4315" t="s">
        <v>0</v>
      </c>
      <c r="R5" s="4315" t="s">
        <v>1</v>
      </c>
      <c r="S5" s="4315" t="s">
        <v>2</v>
      </c>
      <c r="T5" s="4324" t="s">
        <v>2815</v>
      </c>
      <c r="U5" s="4633" t="s">
        <v>1185</v>
      </c>
      <c r="V5" s="5850" t="s">
        <v>1122</v>
      </c>
      <c r="W5" s="4623" t="s">
        <v>1123</v>
      </c>
      <c r="Y5" s="4315" t="s">
        <v>0</v>
      </c>
      <c r="Z5" s="4315" t="s">
        <v>1</v>
      </c>
      <c r="AA5" s="4315" t="s">
        <v>2</v>
      </c>
      <c r="AB5" s="4324" t="s">
        <v>2815</v>
      </c>
      <c r="AC5" s="4633" t="s">
        <v>1185</v>
      </c>
      <c r="AD5" s="4325" t="s">
        <v>1122</v>
      </c>
      <c r="AE5" s="4623" t="s">
        <v>1123</v>
      </c>
      <c r="AG5" s="4315" t="s">
        <v>0</v>
      </c>
      <c r="AH5" s="4315" t="s">
        <v>1</v>
      </c>
      <c r="AI5" s="4315" t="s">
        <v>2</v>
      </c>
      <c r="AJ5" s="4324" t="s">
        <v>2815</v>
      </c>
      <c r="AK5" s="4633" t="s">
        <v>1185</v>
      </c>
      <c r="AL5" s="4325" t="s">
        <v>1122</v>
      </c>
      <c r="AM5" s="4623" t="s">
        <v>1123</v>
      </c>
      <c r="AO5" s="4290" t="s">
        <v>0</v>
      </c>
      <c r="AP5" s="4290" t="s">
        <v>1</v>
      </c>
      <c r="AQ5" s="4290" t="s">
        <v>2</v>
      </c>
      <c r="AR5" s="4291" t="s">
        <v>2666</v>
      </c>
      <c r="AS5" s="4290" t="s">
        <v>1185</v>
      </c>
      <c r="AT5" s="4292" t="s">
        <v>1122</v>
      </c>
      <c r="AU5" s="4293" t="s">
        <v>1123</v>
      </c>
      <c r="AW5" s="388" t="s">
        <v>0</v>
      </c>
      <c r="AX5" s="388" t="s">
        <v>1</v>
      </c>
      <c r="AY5" s="388" t="s">
        <v>2</v>
      </c>
      <c r="AZ5" s="388" t="s">
        <v>1138</v>
      </c>
      <c r="BA5" s="388" t="s">
        <v>1185</v>
      </c>
      <c r="BB5" s="1330" t="s">
        <v>1122</v>
      </c>
      <c r="BC5" s="3718" t="s">
        <v>1123</v>
      </c>
      <c r="BE5" s="4260" t="s">
        <v>0</v>
      </c>
      <c r="BF5" s="4260" t="s">
        <v>1</v>
      </c>
      <c r="BG5" s="4260" t="s">
        <v>2</v>
      </c>
      <c r="BH5" s="4260" t="s">
        <v>1138</v>
      </c>
      <c r="BI5" s="4260" t="s">
        <v>1185</v>
      </c>
      <c r="BJ5" s="4261" t="s">
        <v>1122</v>
      </c>
      <c r="BK5" s="4262" t="s">
        <v>1123</v>
      </c>
      <c r="BM5" s="398" t="s">
        <v>0</v>
      </c>
      <c r="BN5" s="398" t="s">
        <v>1</v>
      </c>
      <c r="BO5" s="398" t="s">
        <v>2</v>
      </c>
      <c r="BP5" s="398" t="s">
        <v>1014</v>
      </c>
      <c r="BQ5" s="398" t="s">
        <v>1185</v>
      </c>
      <c r="BR5" s="1475" t="s">
        <v>1122</v>
      </c>
      <c r="BS5" s="3705" t="s">
        <v>1123</v>
      </c>
      <c r="BT5" s="2106"/>
      <c r="BU5" s="398" t="s">
        <v>0</v>
      </c>
      <c r="BV5" s="398" t="s">
        <v>1</v>
      </c>
      <c r="BW5" s="398" t="s">
        <v>2</v>
      </c>
      <c r="BX5" s="1469" t="s">
        <v>2255</v>
      </c>
      <c r="BY5" s="398" t="s">
        <v>2256</v>
      </c>
      <c r="BZ5" s="1475" t="s">
        <v>1122</v>
      </c>
      <c r="CB5" s="398" t="s">
        <v>0</v>
      </c>
      <c r="CC5" s="398" t="s">
        <v>1</v>
      </c>
      <c r="CD5" s="398" t="s">
        <v>2</v>
      </c>
      <c r="CE5" s="398" t="s">
        <v>1670</v>
      </c>
      <c r="CF5" s="597" t="s">
        <v>1121</v>
      </c>
      <c r="CG5" s="1475" t="s">
        <v>1122</v>
      </c>
      <c r="CI5" s="863" t="s">
        <v>0</v>
      </c>
      <c r="CJ5" s="863" t="s">
        <v>1</v>
      </c>
      <c r="CK5" s="863" t="s">
        <v>2</v>
      </c>
      <c r="CL5" s="597" t="s">
        <v>1681</v>
      </c>
      <c r="CM5" s="597" t="s">
        <v>1121</v>
      </c>
      <c r="CN5" s="1330" t="s">
        <v>1122</v>
      </c>
      <c r="CP5" s="388" t="s">
        <v>0</v>
      </c>
      <c r="CQ5" s="388" t="s">
        <v>1</v>
      </c>
      <c r="CR5" s="388" t="s">
        <v>2</v>
      </c>
      <c r="CS5" s="388" t="s">
        <v>1121</v>
      </c>
      <c r="CT5" s="388" t="s">
        <v>1682</v>
      </c>
      <c r="CU5" s="1330" t="s">
        <v>1122</v>
      </c>
      <c r="CW5" s="388" t="s">
        <v>0</v>
      </c>
      <c r="CX5" s="388" t="s">
        <v>1</v>
      </c>
      <c r="CY5" s="388" t="s">
        <v>2</v>
      </c>
      <c r="CZ5" s="388" t="s">
        <v>1121</v>
      </c>
      <c r="DA5" s="388" t="s">
        <v>1682</v>
      </c>
      <c r="DB5" s="1330" t="s">
        <v>1122</v>
      </c>
      <c r="DC5" s="36"/>
      <c r="DD5" s="388" t="s">
        <v>0</v>
      </c>
      <c r="DE5" s="388" t="s">
        <v>1</v>
      </c>
      <c r="DF5" s="388" t="s">
        <v>2</v>
      </c>
      <c r="DG5" s="388" t="s">
        <v>1121</v>
      </c>
      <c r="DH5" s="388" t="s">
        <v>1682</v>
      </c>
      <c r="DI5" s="388" t="s">
        <v>1122</v>
      </c>
      <c r="DJ5" s="36"/>
      <c r="DK5" s="388" t="s">
        <v>0</v>
      </c>
      <c r="DL5" s="388" t="s">
        <v>1</v>
      </c>
      <c r="DM5" s="388" t="s">
        <v>2</v>
      </c>
      <c r="DN5" s="388" t="s">
        <v>1121</v>
      </c>
      <c r="DO5" s="388" t="s">
        <v>1682</v>
      </c>
      <c r="DP5" s="388" t="s">
        <v>1122</v>
      </c>
      <c r="DQ5" s="36"/>
      <c r="DR5" s="1331" t="s">
        <v>0</v>
      </c>
      <c r="DS5" s="1331" t="s">
        <v>1</v>
      </c>
      <c r="DT5" s="1331" t="s">
        <v>2</v>
      </c>
      <c r="DU5" s="1332" t="s">
        <v>1121</v>
      </c>
      <c r="DV5" s="1332" t="s">
        <v>1683</v>
      </c>
      <c r="DW5" s="1332" t="s">
        <v>1123</v>
      </c>
      <c r="DX5" s="1333" t="s">
        <v>1124</v>
      </c>
    </row>
    <row r="6" spans="1:128">
      <c r="A6" s="6391">
        <v>1</v>
      </c>
      <c r="B6" s="6391">
        <v>1</v>
      </c>
      <c r="C6" s="6391">
        <v>1</v>
      </c>
      <c r="D6" s="6392">
        <v>19.239285714285714</v>
      </c>
      <c r="E6" s="6391">
        <v>77</v>
      </c>
      <c r="F6" s="6076">
        <f>D6-G6</f>
        <v>7.2392857142857139</v>
      </c>
      <c r="G6" s="4318">
        <v>12</v>
      </c>
      <c r="H6" s="6263"/>
      <c r="I6" s="6073">
        <v>1</v>
      </c>
      <c r="J6" s="6073">
        <v>1</v>
      </c>
      <c r="K6" s="6074">
        <v>1</v>
      </c>
      <c r="L6" s="6075">
        <v>20.924528301886792</v>
      </c>
      <c r="M6" s="6073">
        <v>42</v>
      </c>
      <c r="N6" s="6076">
        <f>L6-O6</f>
        <v>8.9245283018867916</v>
      </c>
      <c r="O6" s="4318">
        <v>12</v>
      </c>
      <c r="Q6" s="5832">
        <v>1</v>
      </c>
      <c r="R6" s="5832">
        <v>1</v>
      </c>
      <c r="S6" s="5840">
        <v>1</v>
      </c>
      <c r="T6" s="5833">
        <v>21.470238095238091</v>
      </c>
      <c r="U6" s="5832">
        <v>42</v>
      </c>
      <c r="V6" s="1346">
        <f>T6-W6</f>
        <v>9.4702380952380913</v>
      </c>
      <c r="W6" s="4318">
        <v>12</v>
      </c>
      <c r="Y6" s="4316">
        <v>1</v>
      </c>
      <c r="Z6" s="4316">
        <v>1</v>
      </c>
      <c r="AA6" s="4245" t="s">
        <v>5</v>
      </c>
      <c r="AB6" s="4327">
        <v>19.687878787878788</v>
      </c>
      <c r="AC6" s="4626">
        <v>24</v>
      </c>
      <c r="AD6" s="1346">
        <f>AB6-AE6</f>
        <v>7.6878787878787875</v>
      </c>
      <c r="AE6" s="4318">
        <v>12</v>
      </c>
      <c r="AG6" s="4316">
        <v>1</v>
      </c>
      <c r="AH6" s="4316">
        <v>1</v>
      </c>
      <c r="AI6" s="4245" t="s">
        <v>5</v>
      </c>
      <c r="AJ6" s="4327">
        <v>22.574074074074073</v>
      </c>
      <c r="AK6" s="4626">
        <v>19</v>
      </c>
      <c r="AL6" s="1346">
        <f>AJ6-AM6</f>
        <v>10.574074074074073</v>
      </c>
      <c r="AM6" s="4318">
        <v>12</v>
      </c>
      <c r="AO6" s="4237" t="s">
        <v>3</v>
      </c>
      <c r="AP6" s="4237" t="s">
        <v>4</v>
      </c>
      <c r="AQ6" s="4236" t="s">
        <v>5</v>
      </c>
      <c r="AR6" s="4237">
        <v>23</v>
      </c>
      <c r="AS6" s="4237">
        <v>14</v>
      </c>
      <c r="AT6" s="4294">
        <f>AR6-AU6</f>
        <v>11</v>
      </c>
      <c r="AU6" s="4295">
        <v>12</v>
      </c>
      <c r="AW6" s="97" t="s">
        <v>3</v>
      </c>
      <c r="AX6" s="97" t="s">
        <v>4</v>
      </c>
      <c r="AY6" s="42" t="s">
        <v>5</v>
      </c>
      <c r="AZ6" s="97">
        <v>21.23</v>
      </c>
      <c r="BA6" s="97">
        <v>60</v>
      </c>
      <c r="BB6" s="1281">
        <f>AZ6-BC6</f>
        <v>9.23</v>
      </c>
      <c r="BC6" s="3706">
        <v>12</v>
      </c>
      <c r="BE6" s="4263" t="s">
        <v>3</v>
      </c>
      <c r="BF6" s="4263" t="s">
        <v>4</v>
      </c>
      <c r="BG6" s="4258" t="s">
        <v>5</v>
      </c>
      <c r="BH6" s="4263">
        <v>21.4</v>
      </c>
      <c r="BI6" s="4263">
        <v>55</v>
      </c>
      <c r="BJ6" s="4264">
        <f>BH6-BK6</f>
        <v>9.3999999999999986</v>
      </c>
      <c r="BK6" s="4265">
        <v>12</v>
      </c>
      <c r="BM6" s="36" t="s">
        <v>3</v>
      </c>
      <c r="BN6" s="36" t="s">
        <v>4</v>
      </c>
      <c r="BO6" s="36" t="s">
        <v>5</v>
      </c>
      <c r="BP6" s="1345">
        <v>19.12</v>
      </c>
      <c r="BQ6" s="95">
        <v>59</v>
      </c>
      <c r="BR6" s="1281">
        <f>BP6-BS6</f>
        <v>7.120000000000001</v>
      </c>
      <c r="BS6" s="1349">
        <v>12</v>
      </c>
      <c r="BT6" s="2106"/>
      <c r="BU6" s="97" t="s">
        <v>3</v>
      </c>
      <c r="BV6" s="97" t="s">
        <v>4</v>
      </c>
      <c r="BW6" s="36" t="s">
        <v>5</v>
      </c>
      <c r="BX6" s="95">
        <v>19.97</v>
      </c>
      <c r="BY6" s="95">
        <v>100</v>
      </c>
      <c r="BZ6" s="1281">
        <f>BX6-DW6</f>
        <v>7.9699999999999989</v>
      </c>
      <c r="CB6" s="95" t="s">
        <v>3</v>
      </c>
      <c r="CC6" s="95" t="s">
        <v>4</v>
      </c>
      <c r="CD6" s="36" t="s">
        <v>5</v>
      </c>
      <c r="CE6" s="1345">
        <v>19.59</v>
      </c>
      <c r="CF6" s="95">
        <v>58</v>
      </c>
      <c r="CG6" s="1335">
        <f t="shared" ref="CG6:CG37" si="0">CE6-DW6</f>
        <v>7.59</v>
      </c>
      <c r="CI6" s="742" t="s">
        <v>3</v>
      </c>
      <c r="CJ6" s="742" t="s">
        <v>4</v>
      </c>
      <c r="CK6" s="1334" t="s">
        <v>5</v>
      </c>
      <c r="CL6" s="1265">
        <v>18.812499999999996</v>
      </c>
      <c r="CM6" s="1266">
        <v>64</v>
      </c>
      <c r="CN6" s="1335">
        <f>CL6-DW6</f>
        <v>6.8124999999999964</v>
      </c>
      <c r="CP6" s="1336" t="s">
        <v>3</v>
      </c>
      <c r="CQ6" s="1336" t="s">
        <v>4</v>
      </c>
      <c r="CR6" s="1337" t="s">
        <v>5</v>
      </c>
      <c r="CS6" s="1338">
        <v>58</v>
      </c>
      <c r="CT6" s="1339">
        <v>18.189655172413797</v>
      </c>
      <c r="CU6" s="1281">
        <f>CT6-12</f>
        <v>6.1896551724137971</v>
      </c>
      <c r="CW6" s="1340" t="s">
        <v>3</v>
      </c>
      <c r="CX6" s="1340" t="s">
        <v>4</v>
      </c>
      <c r="CY6" s="389" t="s">
        <v>5</v>
      </c>
      <c r="CZ6" s="390">
        <v>55</v>
      </c>
      <c r="DA6" s="391">
        <v>18.236363636363638</v>
      </c>
      <c r="DB6" s="1341">
        <f>+DA6-12</f>
        <v>6.2363636363636381</v>
      </c>
      <c r="DC6" s="36"/>
      <c r="DD6" s="1340" t="s">
        <v>3</v>
      </c>
      <c r="DE6" s="1340" t="s">
        <v>4</v>
      </c>
      <c r="DF6" s="1342" t="s">
        <v>5</v>
      </c>
      <c r="DG6" s="1343">
        <v>40</v>
      </c>
      <c r="DH6" s="1344">
        <v>19.675000000000001</v>
      </c>
      <c r="DI6" s="1341">
        <f>+DH6-12</f>
        <v>7.6750000000000007</v>
      </c>
      <c r="DJ6" s="36"/>
      <c r="DK6" s="95" t="s">
        <v>3</v>
      </c>
      <c r="DL6" s="95" t="s">
        <v>4</v>
      </c>
      <c r="DM6" s="36" t="s">
        <v>5</v>
      </c>
      <c r="DN6" s="95">
        <v>42</v>
      </c>
      <c r="DO6" s="1345">
        <v>20.285714285714285</v>
      </c>
      <c r="DP6" s="1346">
        <f>+DO6-12</f>
        <v>8.2857142857142847</v>
      </c>
      <c r="DQ6" s="36"/>
      <c r="DR6" s="1347" t="s">
        <v>3</v>
      </c>
      <c r="DS6" s="1347" t="s">
        <v>4</v>
      </c>
      <c r="DT6" s="392" t="s">
        <v>5</v>
      </c>
      <c r="DU6" s="1347">
        <v>27</v>
      </c>
      <c r="DV6" s="1348">
        <v>20.62962962962963</v>
      </c>
      <c r="DW6" s="1349">
        <v>12</v>
      </c>
      <c r="DX6" s="1667">
        <f>DV6-DW6</f>
        <v>8.6296296296296298</v>
      </c>
    </row>
    <row r="7" spans="1:128">
      <c r="A7" s="6391">
        <v>1</v>
      </c>
      <c r="B7" s="6391">
        <v>1</v>
      </c>
      <c r="C7" s="6391">
        <v>2</v>
      </c>
      <c r="D7" s="6392">
        <v>18.718272005772008</v>
      </c>
      <c r="E7" s="6391">
        <v>54</v>
      </c>
      <c r="F7" s="6076">
        <f t="shared" ref="F7:F70" si="1">D7-G7</f>
        <v>6.7182720057720076</v>
      </c>
      <c r="G7" s="4318">
        <v>12</v>
      </c>
      <c r="H7" s="6263"/>
      <c r="I7" s="6073">
        <v>1</v>
      </c>
      <c r="J7" s="6073">
        <v>1</v>
      </c>
      <c r="K7" s="6074">
        <v>2</v>
      </c>
      <c r="L7" s="6075">
        <v>20.580645161290324</v>
      </c>
      <c r="M7" s="6073">
        <v>54</v>
      </c>
      <c r="N7" s="6076">
        <f t="shared" ref="N7:N70" si="2">L7-O7</f>
        <v>8.5806451612903238</v>
      </c>
      <c r="O7" s="4318">
        <v>12</v>
      </c>
      <c r="Q7" s="5832">
        <v>1</v>
      </c>
      <c r="R7" s="5832">
        <v>1</v>
      </c>
      <c r="S7" s="5840">
        <v>2</v>
      </c>
      <c r="T7" s="5833">
        <v>21.878843378843381</v>
      </c>
      <c r="U7" s="5832">
        <v>54</v>
      </c>
      <c r="V7" s="1346">
        <f t="shared" ref="V7:V70" si="3">T7-W7</f>
        <v>9.8788433788433814</v>
      </c>
      <c r="W7" s="4318">
        <v>12</v>
      </c>
      <c r="Y7" s="4316">
        <v>1</v>
      </c>
      <c r="Z7" s="4316">
        <v>1</v>
      </c>
      <c r="AA7" s="4245" t="s">
        <v>6</v>
      </c>
      <c r="AB7" s="4327">
        <v>20.677731092436971</v>
      </c>
      <c r="AC7" s="4626">
        <v>36</v>
      </c>
      <c r="AD7" s="1346">
        <f t="shared" ref="AD7:AD71" si="4">AB7-AE7</f>
        <v>8.6777310924369715</v>
      </c>
      <c r="AE7" s="4318">
        <v>12</v>
      </c>
      <c r="AG7" s="4316">
        <v>1</v>
      </c>
      <c r="AH7" s="4316">
        <v>1</v>
      </c>
      <c r="AI7" s="4245" t="s">
        <v>6</v>
      </c>
      <c r="AJ7" s="4327">
        <v>19.539417989417995</v>
      </c>
      <c r="AK7" s="4626">
        <v>52</v>
      </c>
      <c r="AL7" s="1346">
        <f t="shared" ref="AL7:AL70" si="5">AJ7-AM7</f>
        <v>7.5394179894179949</v>
      </c>
      <c r="AM7" s="4318">
        <v>12</v>
      </c>
      <c r="AO7" s="4237"/>
      <c r="AP7" s="4237"/>
      <c r="AQ7" s="4236" t="s">
        <v>6</v>
      </c>
      <c r="AR7" s="4237">
        <v>18.97</v>
      </c>
      <c r="AS7" s="4237">
        <v>36</v>
      </c>
      <c r="AT7" s="4294">
        <f t="shared" ref="AT7:AT70" si="6">AR7-AU7</f>
        <v>6.9699999999999989</v>
      </c>
      <c r="AU7" s="4295">
        <v>12</v>
      </c>
      <c r="AW7" s="97"/>
      <c r="AX7" s="97"/>
      <c r="AY7" s="42" t="s">
        <v>6</v>
      </c>
      <c r="AZ7" s="97">
        <v>20.74</v>
      </c>
      <c r="BA7" s="97">
        <v>47</v>
      </c>
      <c r="BB7" s="1281">
        <f t="shared" ref="BB7:BB70" si="7">AZ7-BC7</f>
        <v>8.7399999999999984</v>
      </c>
      <c r="BC7" s="3706">
        <v>12</v>
      </c>
      <c r="BE7" s="4263"/>
      <c r="BF7" s="4263"/>
      <c r="BG7" s="4258" t="s">
        <v>6</v>
      </c>
      <c r="BH7" s="4263">
        <v>20.74</v>
      </c>
      <c r="BI7" s="4263">
        <v>34</v>
      </c>
      <c r="BJ7" s="4264">
        <f t="shared" ref="BJ7:BJ70" si="8">BH7-BK7</f>
        <v>8.7399999999999984</v>
      </c>
      <c r="BK7" s="4265">
        <v>12</v>
      </c>
      <c r="BM7" s="36"/>
      <c r="BN7" s="36"/>
      <c r="BO7" s="36" t="s">
        <v>6</v>
      </c>
      <c r="BP7" s="1345">
        <v>19.239999999999998</v>
      </c>
      <c r="BQ7" s="95">
        <v>75</v>
      </c>
      <c r="BR7" s="1281">
        <f t="shared" ref="BR7:BR70" si="9">BP7-BS7</f>
        <v>7.2399999999999984</v>
      </c>
      <c r="BS7" s="1349">
        <v>12</v>
      </c>
      <c r="BT7" s="2106"/>
      <c r="BU7" s="97"/>
      <c r="BV7" s="97"/>
      <c r="BW7" s="36" t="s">
        <v>6</v>
      </c>
      <c r="BX7" s="95">
        <v>20.88</v>
      </c>
      <c r="BY7" s="95">
        <v>83</v>
      </c>
      <c r="BZ7" s="1281">
        <f t="shared" ref="BZ7:BZ70" si="10">BX7-DW7</f>
        <v>8.879999999999999</v>
      </c>
      <c r="CB7" s="95"/>
      <c r="CC7" s="95"/>
      <c r="CD7" s="36" t="s">
        <v>6</v>
      </c>
      <c r="CE7" s="1345">
        <v>20.25</v>
      </c>
      <c r="CF7" s="95">
        <v>64</v>
      </c>
      <c r="CG7" s="1335">
        <f t="shared" si="0"/>
        <v>8.25</v>
      </c>
      <c r="CI7" s="742"/>
      <c r="CJ7" s="742"/>
      <c r="CK7" s="1334" t="s">
        <v>6</v>
      </c>
      <c r="CL7" s="1265">
        <v>19.8</v>
      </c>
      <c r="CM7" s="1266">
        <v>70</v>
      </c>
      <c r="CN7" s="1335">
        <f t="shared" ref="CN7:CN70" si="11">CL7-DW7</f>
        <v>7.8000000000000007</v>
      </c>
      <c r="CP7" s="1336"/>
      <c r="CQ7" s="1336"/>
      <c r="CR7" s="1337" t="s">
        <v>6</v>
      </c>
      <c r="CS7" s="1338">
        <v>43</v>
      </c>
      <c r="CT7" s="1339">
        <v>19.232558139534891</v>
      </c>
      <c r="CU7" s="1281">
        <f t="shared" ref="CU7:CU69" si="12">CT7-12</f>
        <v>7.2325581395348912</v>
      </c>
      <c r="CW7" s="1340"/>
      <c r="CX7" s="1340"/>
      <c r="CY7" s="389" t="s">
        <v>6</v>
      </c>
      <c r="CZ7" s="390">
        <v>59</v>
      </c>
      <c r="DA7" s="391">
        <v>20.457627118644062</v>
      </c>
      <c r="DB7" s="1341">
        <f t="shared" ref="DB7:DB69" si="13">+DA7-12</f>
        <v>8.4576271186440621</v>
      </c>
      <c r="DC7" s="36"/>
      <c r="DD7" s="1340"/>
      <c r="DE7" s="1340"/>
      <c r="DF7" s="1342" t="s">
        <v>6</v>
      </c>
      <c r="DG7" s="1343">
        <v>21</v>
      </c>
      <c r="DH7" s="1344">
        <v>21.428571428571431</v>
      </c>
      <c r="DI7" s="1341">
        <f t="shared" ref="DI7:DI69" si="14">+DH7-12</f>
        <v>9.4285714285714306</v>
      </c>
      <c r="DJ7" s="36"/>
      <c r="DK7" s="95"/>
      <c r="DL7" s="95"/>
      <c r="DM7" s="36" t="s">
        <v>6</v>
      </c>
      <c r="DN7" s="95">
        <v>36</v>
      </c>
      <c r="DO7" s="1345">
        <v>20.694444444444446</v>
      </c>
      <c r="DP7" s="1346">
        <f t="shared" ref="DP7:DP69" si="15">+DO7-12</f>
        <v>8.6944444444444464</v>
      </c>
      <c r="DQ7" s="36"/>
      <c r="DR7" s="1347"/>
      <c r="DS7" s="1347"/>
      <c r="DT7" s="392" t="s">
        <v>6</v>
      </c>
      <c r="DU7" s="1347">
        <v>32</v>
      </c>
      <c r="DV7" s="1348">
        <v>21.375</v>
      </c>
      <c r="DW7" s="1349">
        <v>12</v>
      </c>
      <c r="DX7" s="1667">
        <f t="shared" ref="DX7:DX70" si="16">DV7-DW7</f>
        <v>9.375</v>
      </c>
    </row>
    <row r="8" spans="1:128">
      <c r="A8" s="6391">
        <v>1</v>
      </c>
      <c r="B8" s="6391">
        <v>1</v>
      </c>
      <c r="C8" s="6391">
        <v>3</v>
      </c>
      <c r="D8" s="6392">
        <v>18.625</v>
      </c>
      <c r="E8" s="6391">
        <v>16</v>
      </c>
      <c r="F8" s="6076">
        <f t="shared" si="1"/>
        <v>6.625</v>
      </c>
      <c r="G8" s="4318">
        <v>12</v>
      </c>
      <c r="I8" s="6073">
        <v>1</v>
      </c>
      <c r="J8" s="6073">
        <v>1</v>
      </c>
      <c r="K8" s="6074">
        <v>3</v>
      </c>
      <c r="L8" s="6075">
        <v>20.25</v>
      </c>
      <c r="M8" s="6073">
        <v>27</v>
      </c>
      <c r="N8" s="6076">
        <f t="shared" si="2"/>
        <v>8.25</v>
      </c>
      <c r="O8" s="4318">
        <v>12</v>
      </c>
      <c r="Q8" s="5832">
        <v>1</v>
      </c>
      <c r="R8" s="5832">
        <v>1</v>
      </c>
      <c r="S8" s="5840">
        <v>3</v>
      </c>
      <c r="T8" s="5833">
        <v>20.048076923076923</v>
      </c>
      <c r="U8" s="5832">
        <v>27</v>
      </c>
      <c r="V8" s="1346">
        <f t="shared" si="3"/>
        <v>8.0480769230769234</v>
      </c>
      <c r="W8" s="4318">
        <v>12</v>
      </c>
      <c r="Y8" s="4316">
        <v>1</v>
      </c>
      <c r="Z8" s="4316">
        <v>1</v>
      </c>
      <c r="AA8" s="4245" t="s">
        <v>7</v>
      </c>
      <c r="AB8" s="4327">
        <v>19.875</v>
      </c>
      <c r="AC8" s="4626">
        <v>18</v>
      </c>
      <c r="AD8" s="1346">
        <f t="shared" si="4"/>
        <v>7.875</v>
      </c>
      <c r="AE8" s="4318">
        <v>12</v>
      </c>
      <c r="AG8" s="4316">
        <v>1</v>
      </c>
      <c r="AH8" s="4316">
        <v>1</v>
      </c>
      <c r="AI8" s="4245" t="s">
        <v>7</v>
      </c>
      <c r="AJ8" s="4327">
        <v>22.2</v>
      </c>
      <c r="AK8" s="4626">
        <v>7</v>
      </c>
      <c r="AL8" s="1346">
        <f t="shared" si="5"/>
        <v>10.199999999999999</v>
      </c>
      <c r="AM8" s="4318">
        <v>12</v>
      </c>
      <c r="AO8" s="4237"/>
      <c r="AP8" s="4237"/>
      <c r="AQ8" s="4236" t="s">
        <v>7</v>
      </c>
      <c r="AR8" s="4237">
        <v>21.71</v>
      </c>
      <c r="AS8" s="4237">
        <v>7</v>
      </c>
      <c r="AT8" s="4294">
        <f t="shared" si="6"/>
        <v>9.7100000000000009</v>
      </c>
      <c r="AU8" s="4295">
        <v>12</v>
      </c>
      <c r="AW8" s="97"/>
      <c r="AX8" s="97"/>
      <c r="AY8" s="42" t="s">
        <v>7</v>
      </c>
      <c r="AZ8" s="97">
        <v>20.32</v>
      </c>
      <c r="BA8" s="97">
        <v>25</v>
      </c>
      <c r="BB8" s="1281">
        <f t="shared" si="7"/>
        <v>8.32</v>
      </c>
      <c r="BC8" s="3706">
        <v>12</v>
      </c>
      <c r="BE8" s="4263"/>
      <c r="BF8" s="4263"/>
      <c r="BG8" s="4258" t="s">
        <v>7</v>
      </c>
      <c r="BH8" s="4263">
        <v>19.899999999999999</v>
      </c>
      <c r="BI8" s="4263">
        <v>21</v>
      </c>
      <c r="BJ8" s="4264">
        <f t="shared" si="8"/>
        <v>7.8999999999999986</v>
      </c>
      <c r="BK8" s="4265">
        <v>12</v>
      </c>
      <c r="BM8" s="36"/>
      <c r="BN8" s="36"/>
      <c r="BO8" s="36" t="s">
        <v>7</v>
      </c>
      <c r="BP8" s="1345">
        <v>18.760000000000002</v>
      </c>
      <c r="BQ8" s="95">
        <v>29</v>
      </c>
      <c r="BR8" s="1281">
        <f t="shared" si="9"/>
        <v>6.7600000000000016</v>
      </c>
      <c r="BS8" s="1349">
        <v>12</v>
      </c>
      <c r="BT8" s="2106"/>
      <c r="BU8" s="97"/>
      <c r="BV8" s="97"/>
      <c r="BW8" s="36" t="s">
        <v>7</v>
      </c>
      <c r="BX8" s="95">
        <v>20.67</v>
      </c>
      <c r="BY8" s="95">
        <v>33</v>
      </c>
      <c r="BZ8" s="1281">
        <f t="shared" si="10"/>
        <v>8.6700000000000017</v>
      </c>
      <c r="CB8" s="95"/>
      <c r="CC8" s="95"/>
      <c r="CD8" s="36" t="s">
        <v>7</v>
      </c>
      <c r="CE8" s="1345">
        <v>21.57</v>
      </c>
      <c r="CF8" s="95">
        <v>30</v>
      </c>
      <c r="CG8" s="1335">
        <f t="shared" si="0"/>
        <v>9.57</v>
      </c>
      <c r="CI8" s="742"/>
      <c r="CJ8" s="742"/>
      <c r="CK8" s="1334" t="s">
        <v>7</v>
      </c>
      <c r="CL8" s="1265">
        <v>20.095238095238098</v>
      </c>
      <c r="CM8" s="1266">
        <v>21</v>
      </c>
      <c r="CN8" s="1335">
        <f t="shared" si="11"/>
        <v>8.0952380952380985</v>
      </c>
      <c r="CP8" s="1336"/>
      <c r="CQ8" s="1336"/>
      <c r="CR8" s="1337" t="s">
        <v>7</v>
      </c>
      <c r="CS8" s="1338">
        <v>21</v>
      </c>
      <c r="CT8" s="1339">
        <v>23.904761904761905</v>
      </c>
      <c r="CU8" s="1281">
        <f t="shared" si="12"/>
        <v>11.904761904761905</v>
      </c>
      <c r="CW8" s="1340"/>
      <c r="CX8" s="1340"/>
      <c r="CY8" s="389" t="s">
        <v>7</v>
      </c>
      <c r="CZ8" s="390">
        <v>17</v>
      </c>
      <c r="DA8" s="391">
        <v>23.411764705882351</v>
      </c>
      <c r="DB8" s="1341">
        <f t="shared" si="13"/>
        <v>11.411764705882351</v>
      </c>
      <c r="DC8" s="36"/>
      <c r="DD8" s="1340"/>
      <c r="DE8" s="1340"/>
      <c r="DF8" s="1342" t="s">
        <v>7</v>
      </c>
      <c r="DG8" s="1343">
        <v>10</v>
      </c>
      <c r="DH8" s="1344">
        <v>21.1</v>
      </c>
      <c r="DI8" s="1341">
        <f t="shared" si="14"/>
        <v>9.1000000000000014</v>
      </c>
      <c r="DJ8" s="36"/>
      <c r="DK8" s="95"/>
      <c r="DL8" s="95"/>
      <c r="DM8" s="36" t="s">
        <v>7</v>
      </c>
      <c r="DN8" s="95">
        <v>15</v>
      </c>
      <c r="DO8" s="1345">
        <v>23.066666666666666</v>
      </c>
      <c r="DP8" s="1346">
        <f t="shared" si="15"/>
        <v>11.066666666666666</v>
      </c>
      <c r="DQ8" s="36"/>
      <c r="DR8" s="1347"/>
      <c r="DS8" s="1347"/>
      <c r="DT8" s="392" t="s">
        <v>7</v>
      </c>
      <c r="DU8" s="1347">
        <v>9</v>
      </c>
      <c r="DV8" s="1348">
        <v>20.333333333333332</v>
      </c>
      <c r="DW8" s="1349">
        <v>12</v>
      </c>
      <c r="DX8" s="1667">
        <f t="shared" si="16"/>
        <v>8.3333333333333321</v>
      </c>
    </row>
    <row r="9" spans="1:128">
      <c r="A9" s="6391">
        <v>1</v>
      </c>
      <c r="B9" s="6391">
        <v>1</v>
      </c>
      <c r="C9" s="6391">
        <v>4</v>
      </c>
      <c r="D9" s="6392">
        <v>19.522222222222222</v>
      </c>
      <c r="E9" s="6391">
        <v>40</v>
      </c>
      <c r="F9" s="6076">
        <f t="shared" si="1"/>
        <v>7.5222222222222221</v>
      </c>
      <c r="G9" s="4318">
        <v>12</v>
      </c>
      <c r="I9" s="6073">
        <v>1</v>
      </c>
      <c r="J9" s="6073">
        <v>1</v>
      </c>
      <c r="K9" s="6074">
        <v>4</v>
      </c>
      <c r="L9" s="6075">
        <v>22.09090909090909</v>
      </c>
      <c r="M9" s="6073">
        <v>38</v>
      </c>
      <c r="N9" s="6076">
        <f t="shared" si="2"/>
        <v>10.09090909090909</v>
      </c>
      <c r="O9" s="4318">
        <v>12</v>
      </c>
      <c r="Q9" s="5832">
        <v>1</v>
      </c>
      <c r="R9" s="5832">
        <v>1</v>
      </c>
      <c r="S9" s="5840">
        <v>4</v>
      </c>
      <c r="T9" s="5833">
        <v>21.923290598290603</v>
      </c>
      <c r="U9" s="5832">
        <v>38</v>
      </c>
      <c r="V9" s="1346">
        <f t="shared" si="3"/>
        <v>9.9232905982906026</v>
      </c>
      <c r="W9" s="4318">
        <v>12</v>
      </c>
      <c r="Y9" s="4316">
        <v>1</v>
      </c>
      <c r="Z9" s="4316">
        <v>1</v>
      </c>
      <c r="AA9" s="4245" t="s">
        <v>8</v>
      </c>
      <c r="AB9" s="4327">
        <v>21.437575757575758</v>
      </c>
      <c r="AC9" s="4626">
        <v>24</v>
      </c>
      <c r="AD9" s="1346">
        <f t="shared" si="4"/>
        <v>9.4375757575757575</v>
      </c>
      <c r="AE9" s="4318">
        <v>12</v>
      </c>
      <c r="AG9" s="4316">
        <v>1</v>
      </c>
      <c r="AH9" s="4316">
        <v>1</v>
      </c>
      <c r="AI9" s="4245" t="s">
        <v>8</v>
      </c>
      <c r="AJ9" s="4327">
        <v>19.674074074074078</v>
      </c>
      <c r="AK9" s="4626">
        <v>29</v>
      </c>
      <c r="AL9" s="1346">
        <f t="shared" si="5"/>
        <v>7.6740740740740776</v>
      </c>
      <c r="AM9" s="4318">
        <v>12</v>
      </c>
      <c r="AO9" s="4237"/>
      <c r="AP9" s="4237"/>
      <c r="AQ9" s="4236" t="s">
        <v>8</v>
      </c>
      <c r="AR9" s="4237">
        <v>18.649999999999999</v>
      </c>
      <c r="AS9" s="4237">
        <v>20</v>
      </c>
      <c r="AT9" s="4294">
        <f t="shared" si="6"/>
        <v>6.6499999999999986</v>
      </c>
      <c r="AU9" s="4295">
        <v>12</v>
      </c>
      <c r="AW9" s="97"/>
      <c r="AX9" s="97"/>
      <c r="AY9" s="42" t="s">
        <v>8</v>
      </c>
      <c r="AZ9" s="97">
        <v>20.43</v>
      </c>
      <c r="BA9" s="97">
        <v>46</v>
      </c>
      <c r="BB9" s="1281">
        <f t="shared" si="7"/>
        <v>8.43</v>
      </c>
      <c r="BC9" s="3706">
        <v>12</v>
      </c>
      <c r="BE9" s="4263"/>
      <c r="BF9" s="4263"/>
      <c r="BG9" s="4258" t="s">
        <v>8</v>
      </c>
      <c r="BH9" s="4263">
        <v>21.36</v>
      </c>
      <c r="BI9" s="4263">
        <v>28</v>
      </c>
      <c r="BJ9" s="4264">
        <f t="shared" si="8"/>
        <v>9.36</v>
      </c>
      <c r="BK9" s="4265">
        <v>12</v>
      </c>
      <c r="BM9" s="36"/>
      <c r="BN9" s="36"/>
      <c r="BO9" s="36" t="s">
        <v>8</v>
      </c>
      <c r="BP9" s="1345">
        <v>18.75</v>
      </c>
      <c r="BQ9" s="95">
        <v>36</v>
      </c>
      <c r="BR9" s="1281">
        <f t="shared" si="9"/>
        <v>6.75</v>
      </c>
      <c r="BS9" s="1349">
        <v>12</v>
      </c>
      <c r="BT9" s="2106"/>
      <c r="BU9" s="97"/>
      <c r="BV9" s="97"/>
      <c r="BW9" s="36" t="s">
        <v>8</v>
      </c>
      <c r="BX9" s="95">
        <v>20.96</v>
      </c>
      <c r="BY9" s="95">
        <v>23</v>
      </c>
      <c r="BZ9" s="1281">
        <f t="shared" si="10"/>
        <v>8.9600000000000009</v>
      </c>
      <c r="CB9" s="95"/>
      <c r="CC9" s="95"/>
      <c r="CD9" s="36" t="s">
        <v>8</v>
      </c>
      <c r="CE9" s="1345">
        <v>19.41</v>
      </c>
      <c r="CF9" s="95">
        <v>17</v>
      </c>
      <c r="CG9" s="1335">
        <f t="shared" si="0"/>
        <v>7.41</v>
      </c>
      <c r="CI9" s="742"/>
      <c r="CJ9" s="742"/>
      <c r="CK9" s="1334" t="s">
        <v>8</v>
      </c>
      <c r="CL9" s="1265">
        <v>20.350000000000001</v>
      </c>
      <c r="CM9" s="1266">
        <v>20</v>
      </c>
      <c r="CN9" s="1335">
        <f t="shared" si="11"/>
        <v>8.3500000000000014</v>
      </c>
      <c r="CP9" s="1336"/>
      <c r="CQ9" s="1336"/>
      <c r="CR9" s="1337" t="s">
        <v>8</v>
      </c>
      <c r="CS9" s="1338">
        <v>34</v>
      </c>
      <c r="CT9" s="1339">
        <v>21.088235294117645</v>
      </c>
      <c r="CU9" s="1281">
        <f t="shared" si="12"/>
        <v>9.088235294117645</v>
      </c>
      <c r="CW9" s="1340"/>
      <c r="CX9" s="1340"/>
      <c r="CY9" s="389" t="s">
        <v>8</v>
      </c>
      <c r="CZ9" s="390">
        <v>20</v>
      </c>
      <c r="DA9" s="391">
        <v>21.150000000000002</v>
      </c>
      <c r="DB9" s="1341">
        <f t="shared" si="13"/>
        <v>9.1500000000000021</v>
      </c>
      <c r="DC9" s="36"/>
      <c r="DD9" s="1340"/>
      <c r="DE9" s="1340"/>
      <c r="DF9" s="1342" t="s">
        <v>8</v>
      </c>
      <c r="DG9" s="1343">
        <v>17</v>
      </c>
      <c r="DH9" s="1344">
        <v>21.411764705882355</v>
      </c>
      <c r="DI9" s="1341">
        <f t="shared" si="14"/>
        <v>9.411764705882355</v>
      </c>
      <c r="DJ9" s="36"/>
      <c r="DK9" s="95"/>
      <c r="DL9" s="95"/>
      <c r="DM9" s="36" t="s">
        <v>8</v>
      </c>
      <c r="DN9" s="95">
        <v>13</v>
      </c>
      <c r="DO9" s="1345">
        <v>19.46153846153846</v>
      </c>
      <c r="DP9" s="1346">
        <f t="shared" si="15"/>
        <v>7.4615384615384599</v>
      </c>
      <c r="DQ9" s="36"/>
      <c r="DR9" s="1347"/>
      <c r="DS9" s="1347"/>
      <c r="DT9" s="392" t="s">
        <v>8</v>
      </c>
      <c r="DU9" s="1347">
        <v>17</v>
      </c>
      <c r="DV9" s="1348">
        <v>21.882352941176467</v>
      </c>
      <c r="DW9" s="1349">
        <v>12</v>
      </c>
      <c r="DX9" s="1667">
        <f t="shared" si="16"/>
        <v>9.8823529411764675</v>
      </c>
    </row>
    <row r="10" spans="1:128">
      <c r="A10" s="6391">
        <v>1</v>
      </c>
      <c r="B10" s="6391">
        <v>1</v>
      </c>
      <c r="C10" s="6391">
        <v>5</v>
      </c>
      <c r="D10" s="6392">
        <v>17.3991045991046</v>
      </c>
      <c r="E10" s="6391">
        <v>49</v>
      </c>
      <c r="F10" s="6076">
        <f t="shared" si="1"/>
        <v>5.3991045991046001</v>
      </c>
      <c r="G10" s="4318">
        <v>12</v>
      </c>
      <c r="I10" s="6073">
        <v>1</v>
      </c>
      <c r="J10" s="6073">
        <v>1</v>
      </c>
      <c r="K10" s="6074">
        <v>5</v>
      </c>
      <c r="L10" s="6075">
        <v>18.560975609756099</v>
      </c>
      <c r="M10" s="6073">
        <v>57</v>
      </c>
      <c r="N10" s="6076">
        <f t="shared" si="2"/>
        <v>6.5609756097560989</v>
      </c>
      <c r="O10" s="4318">
        <v>12</v>
      </c>
      <c r="Q10" s="5832">
        <v>1</v>
      </c>
      <c r="R10" s="5832">
        <v>1</v>
      </c>
      <c r="S10" s="5840">
        <v>5</v>
      </c>
      <c r="T10" s="5833">
        <v>17.137914862914865</v>
      </c>
      <c r="U10" s="5832">
        <v>57</v>
      </c>
      <c r="V10" s="1346">
        <f t="shared" si="3"/>
        <v>5.1379148629148652</v>
      </c>
      <c r="W10" s="4318">
        <v>12</v>
      </c>
      <c r="Y10" s="4316">
        <v>1</v>
      </c>
      <c r="Z10" s="4316">
        <v>1</v>
      </c>
      <c r="AA10" s="4245" t="s">
        <v>9</v>
      </c>
      <c r="AB10" s="4327">
        <v>17.119444444444444</v>
      </c>
      <c r="AC10" s="4626">
        <v>40</v>
      </c>
      <c r="AD10" s="1346">
        <f t="shared" si="4"/>
        <v>5.1194444444444436</v>
      </c>
      <c r="AE10" s="4318">
        <v>12</v>
      </c>
      <c r="AG10" s="4316">
        <v>1</v>
      </c>
      <c r="AH10" s="4316">
        <v>1</v>
      </c>
      <c r="AI10" s="4245" t="s">
        <v>9</v>
      </c>
      <c r="AJ10" s="4327">
        <v>22.407738095238091</v>
      </c>
      <c r="AK10" s="4626">
        <v>38</v>
      </c>
      <c r="AL10" s="1346">
        <f t="shared" si="5"/>
        <v>10.407738095238091</v>
      </c>
      <c r="AM10" s="4318">
        <v>12</v>
      </c>
      <c r="AO10" s="4237"/>
      <c r="AP10" s="4237"/>
      <c r="AQ10" s="4236" t="s">
        <v>9</v>
      </c>
      <c r="AR10" s="4237">
        <v>23.32</v>
      </c>
      <c r="AS10" s="4237">
        <v>22</v>
      </c>
      <c r="AT10" s="4294">
        <f t="shared" si="6"/>
        <v>11.32</v>
      </c>
      <c r="AU10" s="4295">
        <v>12</v>
      </c>
      <c r="AW10" s="97"/>
      <c r="AX10" s="97"/>
      <c r="AY10" s="42" t="s">
        <v>9</v>
      </c>
      <c r="AZ10" s="97">
        <v>19.72</v>
      </c>
      <c r="BA10" s="97">
        <v>78</v>
      </c>
      <c r="BB10" s="1281">
        <f t="shared" si="7"/>
        <v>7.7199999999999989</v>
      </c>
      <c r="BC10" s="3706">
        <v>12</v>
      </c>
      <c r="BE10" s="4263"/>
      <c r="BF10" s="4263"/>
      <c r="BG10" s="4258" t="s">
        <v>9</v>
      </c>
      <c r="BH10" s="4263">
        <v>19.739999999999998</v>
      </c>
      <c r="BI10" s="4263">
        <v>58</v>
      </c>
      <c r="BJ10" s="4264">
        <f t="shared" si="8"/>
        <v>7.7399999999999984</v>
      </c>
      <c r="BK10" s="4265">
        <v>12</v>
      </c>
      <c r="BM10" s="36"/>
      <c r="BN10" s="36"/>
      <c r="BO10" s="36" t="s">
        <v>9</v>
      </c>
      <c r="BP10" s="1345">
        <v>21.27</v>
      </c>
      <c r="BQ10" s="95">
        <v>74</v>
      </c>
      <c r="BR10" s="1281">
        <f t="shared" si="9"/>
        <v>9.27</v>
      </c>
      <c r="BS10" s="1349">
        <v>12</v>
      </c>
      <c r="BT10" s="2106"/>
      <c r="BU10" s="97"/>
      <c r="BV10" s="97"/>
      <c r="BW10" s="36" t="s">
        <v>9</v>
      </c>
      <c r="BX10" s="95">
        <v>20.98</v>
      </c>
      <c r="BY10" s="95">
        <v>83</v>
      </c>
      <c r="BZ10" s="1281">
        <f t="shared" si="10"/>
        <v>8.98</v>
      </c>
      <c r="CB10" s="95"/>
      <c r="CC10" s="95"/>
      <c r="CD10" s="36" t="s">
        <v>9</v>
      </c>
      <c r="CE10" s="1345">
        <v>19.88</v>
      </c>
      <c r="CF10" s="95">
        <v>90</v>
      </c>
      <c r="CG10" s="1335">
        <f t="shared" si="0"/>
        <v>7.879999999999999</v>
      </c>
      <c r="CI10" s="742"/>
      <c r="CJ10" s="742"/>
      <c r="CK10" s="1334" t="s">
        <v>9</v>
      </c>
      <c r="CL10" s="1265">
        <v>21.023529411764709</v>
      </c>
      <c r="CM10" s="1266">
        <v>85</v>
      </c>
      <c r="CN10" s="1335">
        <f t="shared" si="11"/>
        <v>9.0235294117647094</v>
      </c>
      <c r="CP10" s="1336"/>
      <c r="CQ10" s="1336"/>
      <c r="CR10" s="1337" t="s">
        <v>9</v>
      </c>
      <c r="CS10" s="1338">
        <v>97</v>
      </c>
      <c r="CT10" s="1339">
        <v>20.515463917525778</v>
      </c>
      <c r="CU10" s="1281">
        <f t="shared" si="12"/>
        <v>8.5154639175257785</v>
      </c>
      <c r="CW10" s="1340"/>
      <c r="CX10" s="1340"/>
      <c r="CY10" s="389" t="s">
        <v>9</v>
      </c>
      <c r="CZ10" s="390">
        <v>111</v>
      </c>
      <c r="DA10" s="391">
        <v>19.819819819819823</v>
      </c>
      <c r="DB10" s="1341">
        <f t="shared" si="13"/>
        <v>7.8198198198198234</v>
      </c>
      <c r="DC10" s="36"/>
      <c r="DD10" s="1340"/>
      <c r="DE10" s="1340"/>
      <c r="DF10" s="1342" t="s">
        <v>9</v>
      </c>
      <c r="DG10" s="1343">
        <v>69</v>
      </c>
      <c r="DH10" s="1344">
        <v>20.231884057971001</v>
      </c>
      <c r="DI10" s="1341">
        <f t="shared" si="14"/>
        <v>8.2318840579710013</v>
      </c>
      <c r="DJ10" s="36"/>
      <c r="DK10" s="95"/>
      <c r="DL10" s="95"/>
      <c r="DM10" s="36" t="s">
        <v>9</v>
      </c>
      <c r="DN10" s="95">
        <v>71</v>
      </c>
      <c r="DO10" s="1345">
        <v>20.577464788732403</v>
      </c>
      <c r="DP10" s="1346">
        <f t="shared" si="15"/>
        <v>8.5774647887324029</v>
      </c>
      <c r="DQ10" s="36"/>
      <c r="DR10" s="1347"/>
      <c r="DS10" s="1347"/>
      <c r="DT10" s="392" t="s">
        <v>9</v>
      </c>
      <c r="DU10" s="1347">
        <v>89</v>
      </c>
      <c r="DV10" s="1348">
        <v>20.089887640449433</v>
      </c>
      <c r="DW10" s="1349">
        <v>12</v>
      </c>
      <c r="DX10" s="1667">
        <f t="shared" si="16"/>
        <v>8.0898876404494331</v>
      </c>
    </row>
    <row r="11" spans="1:128">
      <c r="A11" s="6391">
        <v>1</v>
      </c>
      <c r="B11" s="6391">
        <v>1</v>
      </c>
      <c r="C11" s="6391">
        <v>6</v>
      </c>
      <c r="D11" s="6392">
        <v>21.177689594356263</v>
      </c>
      <c r="E11" s="6391">
        <v>59</v>
      </c>
      <c r="F11" s="6076">
        <f t="shared" si="1"/>
        <v>9.1776895943562629</v>
      </c>
      <c r="G11" s="4318">
        <v>12</v>
      </c>
      <c r="I11" s="6073">
        <v>1</v>
      </c>
      <c r="J11" s="6073">
        <v>1</v>
      </c>
      <c r="K11" s="6074">
        <v>6</v>
      </c>
      <c r="L11" s="6075">
        <v>21.575757575757574</v>
      </c>
      <c r="M11" s="6073">
        <v>41</v>
      </c>
      <c r="N11" s="6076">
        <f t="shared" si="2"/>
        <v>9.5757575757575744</v>
      </c>
      <c r="O11" s="4318">
        <v>12</v>
      </c>
      <c r="Q11" s="5832">
        <v>1</v>
      </c>
      <c r="R11" s="5832">
        <v>1</v>
      </c>
      <c r="S11" s="5840">
        <v>6</v>
      </c>
      <c r="T11" s="5833">
        <v>18.023076923076921</v>
      </c>
      <c r="U11" s="5832">
        <v>41</v>
      </c>
      <c r="V11" s="1346">
        <f t="shared" si="3"/>
        <v>6.0230769230769212</v>
      </c>
      <c r="W11" s="4318">
        <v>12</v>
      </c>
      <c r="Y11" s="4316">
        <v>1</v>
      </c>
      <c r="Z11" s="4316">
        <v>1</v>
      </c>
      <c r="AA11" s="4245" t="s">
        <v>10</v>
      </c>
      <c r="AB11" s="4327">
        <v>18.105555555555554</v>
      </c>
      <c r="AC11" s="4626">
        <v>25</v>
      </c>
      <c r="AD11" s="1346">
        <f t="shared" si="4"/>
        <v>6.1055555555555543</v>
      </c>
      <c r="AE11" s="4318">
        <v>12</v>
      </c>
      <c r="AG11" s="4316">
        <v>1</v>
      </c>
      <c r="AH11" s="4316">
        <v>1</v>
      </c>
      <c r="AI11" s="4245" t="s">
        <v>10</v>
      </c>
      <c r="AJ11" s="4327">
        <v>21.31878306878307</v>
      </c>
      <c r="AK11" s="4626">
        <v>26</v>
      </c>
      <c r="AL11" s="1346">
        <f t="shared" si="5"/>
        <v>9.3187830687830697</v>
      </c>
      <c r="AM11" s="4318">
        <v>12</v>
      </c>
      <c r="AO11" s="4237"/>
      <c r="AP11" s="4237"/>
      <c r="AQ11" s="4236" t="s">
        <v>10</v>
      </c>
      <c r="AR11" s="4237">
        <v>23.94</v>
      </c>
      <c r="AS11" s="4237">
        <v>17</v>
      </c>
      <c r="AT11" s="4294">
        <f t="shared" si="6"/>
        <v>11.940000000000001</v>
      </c>
      <c r="AU11" s="4295">
        <v>12</v>
      </c>
      <c r="AW11" s="97"/>
      <c r="AX11" s="97"/>
      <c r="AY11" s="42" t="s">
        <v>10</v>
      </c>
      <c r="AZ11" s="97">
        <v>20.75</v>
      </c>
      <c r="BA11" s="97">
        <v>53</v>
      </c>
      <c r="BB11" s="1281">
        <f t="shared" si="7"/>
        <v>8.75</v>
      </c>
      <c r="BC11" s="3706">
        <v>12</v>
      </c>
      <c r="BE11" s="4263"/>
      <c r="BF11" s="4263"/>
      <c r="BG11" s="4258" t="s">
        <v>10</v>
      </c>
      <c r="BH11" s="4263">
        <v>20.64</v>
      </c>
      <c r="BI11" s="4263">
        <v>39</v>
      </c>
      <c r="BJ11" s="4264">
        <f t="shared" si="8"/>
        <v>8.64</v>
      </c>
      <c r="BK11" s="4265">
        <v>12</v>
      </c>
      <c r="BM11" s="36"/>
      <c r="BN11" s="36"/>
      <c r="BO11" s="36" t="s">
        <v>10</v>
      </c>
      <c r="BP11" s="1345">
        <v>20.2</v>
      </c>
      <c r="BQ11" s="95">
        <v>60</v>
      </c>
      <c r="BR11" s="1281">
        <f t="shared" si="9"/>
        <v>8.1999999999999993</v>
      </c>
      <c r="BS11" s="1349">
        <v>12</v>
      </c>
      <c r="BT11" s="2106"/>
      <c r="BU11" s="97"/>
      <c r="BV11" s="97"/>
      <c r="BW11" s="36" t="s">
        <v>10</v>
      </c>
      <c r="BX11" s="95">
        <v>21.39</v>
      </c>
      <c r="BY11" s="95">
        <v>62</v>
      </c>
      <c r="BZ11" s="1281">
        <f t="shared" si="10"/>
        <v>9.39</v>
      </c>
      <c r="CB11" s="95"/>
      <c r="CC11" s="95"/>
      <c r="CD11" s="36" t="s">
        <v>10</v>
      </c>
      <c r="CE11" s="1345">
        <v>20.47</v>
      </c>
      <c r="CF11" s="95">
        <v>55</v>
      </c>
      <c r="CG11" s="1335">
        <f t="shared" si="0"/>
        <v>8.4699999999999989</v>
      </c>
      <c r="CI11" s="742"/>
      <c r="CJ11" s="742"/>
      <c r="CK11" s="1334" t="s">
        <v>10</v>
      </c>
      <c r="CL11" s="1265">
        <v>21.604651162790695</v>
      </c>
      <c r="CM11" s="1266">
        <v>43</v>
      </c>
      <c r="CN11" s="1335">
        <f t="shared" si="11"/>
        <v>9.6046511627906952</v>
      </c>
      <c r="CP11" s="1336"/>
      <c r="CQ11" s="1336"/>
      <c r="CR11" s="1337" t="s">
        <v>10</v>
      </c>
      <c r="CS11" s="1338">
        <v>39</v>
      </c>
      <c r="CT11" s="1339">
        <v>21.974358974358974</v>
      </c>
      <c r="CU11" s="1281">
        <f t="shared" si="12"/>
        <v>9.9743589743589745</v>
      </c>
      <c r="CW11" s="1340"/>
      <c r="CX11" s="1340"/>
      <c r="CY11" s="389" t="s">
        <v>10</v>
      </c>
      <c r="CZ11" s="390">
        <v>54</v>
      </c>
      <c r="DA11" s="391">
        <v>21.796296296296294</v>
      </c>
      <c r="DB11" s="1341">
        <f t="shared" si="13"/>
        <v>9.7962962962962941</v>
      </c>
      <c r="DC11" s="36"/>
      <c r="DD11" s="1340"/>
      <c r="DE11" s="1340"/>
      <c r="DF11" s="1342" t="s">
        <v>10</v>
      </c>
      <c r="DG11" s="1343">
        <v>38</v>
      </c>
      <c r="DH11" s="1344">
        <v>21.342105263157894</v>
      </c>
      <c r="DI11" s="1341">
        <f t="shared" si="14"/>
        <v>9.3421052631578938</v>
      </c>
      <c r="DJ11" s="36"/>
      <c r="DK11" s="95"/>
      <c r="DL11" s="95"/>
      <c r="DM11" s="36" t="s">
        <v>10</v>
      </c>
      <c r="DN11" s="95">
        <v>42</v>
      </c>
      <c r="DO11" s="1345">
        <v>20.952380952380953</v>
      </c>
      <c r="DP11" s="1346">
        <f t="shared" si="15"/>
        <v>8.9523809523809526</v>
      </c>
      <c r="DQ11" s="36"/>
      <c r="DR11" s="1347"/>
      <c r="DS11" s="1347"/>
      <c r="DT11" s="392" t="s">
        <v>10</v>
      </c>
      <c r="DU11" s="1347">
        <v>29</v>
      </c>
      <c r="DV11" s="1348">
        <v>22.206896551724135</v>
      </c>
      <c r="DW11" s="1349">
        <v>12</v>
      </c>
      <c r="DX11" s="1667">
        <f t="shared" si="16"/>
        <v>10.206896551724135</v>
      </c>
    </row>
    <row r="12" spans="1:128">
      <c r="A12" s="6391">
        <v>1</v>
      </c>
      <c r="B12" s="6391">
        <v>1</v>
      </c>
      <c r="C12" s="6391">
        <v>7</v>
      </c>
      <c r="D12" s="6392">
        <v>21.086868686868687</v>
      </c>
      <c r="E12" s="6391">
        <v>53</v>
      </c>
      <c r="F12" s="6076">
        <f t="shared" si="1"/>
        <v>9.0868686868686872</v>
      </c>
      <c r="G12" s="4318">
        <v>12</v>
      </c>
      <c r="I12" s="6073">
        <v>1</v>
      </c>
      <c r="J12" s="6073">
        <v>1</v>
      </c>
      <c r="K12" s="6074">
        <v>7</v>
      </c>
      <c r="L12" s="6075">
        <v>22.96875</v>
      </c>
      <c r="M12" s="6073">
        <v>15</v>
      </c>
      <c r="N12" s="6076">
        <f t="shared" si="2"/>
        <v>10.96875</v>
      </c>
      <c r="O12" s="4318">
        <v>12</v>
      </c>
      <c r="Q12" s="5832">
        <v>1</v>
      </c>
      <c r="R12" s="5832">
        <v>1</v>
      </c>
      <c r="S12" s="5840">
        <v>7</v>
      </c>
      <c r="T12" s="5833">
        <v>20.966666666666665</v>
      </c>
      <c r="U12" s="5832">
        <v>15</v>
      </c>
      <c r="V12" s="1346">
        <f t="shared" si="3"/>
        <v>8.966666666666665</v>
      </c>
      <c r="W12" s="4318">
        <v>12</v>
      </c>
      <c r="Y12" s="4316">
        <v>1</v>
      </c>
      <c r="Z12" s="4316">
        <v>1</v>
      </c>
      <c r="AA12" s="4245" t="s">
        <v>11</v>
      </c>
      <c r="AB12" s="4327">
        <v>22.166666666666668</v>
      </c>
      <c r="AC12" s="4626">
        <v>4</v>
      </c>
      <c r="AD12" s="1346">
        <f t="shared" si="4"/>
        <v>10.166666666666668</v>
      </c>
      <c r="AE12" s="4318">
        <v>12</v>
      </c>
      <c r="AG12" s="4316">
        <v>1</v>
      </c>
      <c r="AH12" s="4316">
        <v>1</v>
      </c>
      <c r="AI12" s="4245" t="s">
        <v>11</v>
      </c>
      <c r="AJ12" s="4327">
        <v>21.25</v>
      </c>
      <c r="AK12" s="4626">
        <v>3</v>
      </c>
      <c r="AL12" s="1346">
        <f t="shared" si="5"/>
        <v>9.25</v>
      </c>
      <c r="AM12" s="4318">
        <v>12</v>
      </c>
      <c r="AO12" s="4237"/>
      <c r="AP12" s="4237"/>
      <c r="AQ12" s="4236" t="s">
        <v>11</v>
      </c>
      <c r="AR12" s="4237">
        <v>21.33</v>
      </c>
      <c r="AS12" s="4237">
        <v>3</v>
      </c>
      <c r="AT12" s="4294">
        <f t="shared" si="6"/>
        <v>9.3299999999999983</v>
      </c>
      <c r="AU12" s="4295">
        <v>12</v>
      </c>
      <c r="AW12" s="97"/>
      <c r="AX12" s="97"/>
      <c r="AY12" s="42" t="s">
        <v>11</v>
      </c>
      <c r="AZ12" s="97">
        <v>19.45</v>
      </c>
      <c r="BA12" s="97">
        <v>31</v>
      </c>
      <c r="BB12" s="1281">
        <f t="shared" si="7"/>
        <v>7.4499999999999993</v>
      </c>
      <c r="BC12" s="3706">
        <v>12</v>
      </c>
      <c r="BE12" s="4263"/>
      <c r="BF12" s="4263"/>
      <c r="BG12" s="4258" t="s">
        <v>11</v>
      </c>
      <c r="BH12" s="4263">
        <v>19.309999999999999</v>
      </c>
      <c r="BI12" s="4263">
        <v>26</v>
      </c>
      <c r="BJ12" s="4264">
        <f t="shared" si="8"/>
        <v>7.3099999999999987</v>
      </c>
      <c r="BK12" s="4265">
        <v>12</v>
      </c>
      <c r="BM12" s="36"/>
      <c r="BN12" s="36"/>
      <c r="BO12" s="36" t="s">
        <v>11</v>
      </c>
      <c r="BP12" s="1345">
        <v>19.95</v>
      </c>
      <c r="BQ12" s="95">
        <v>19</v>
      </c>
      <c r="BR12" s="1281">
        <f t="shared" si="9"/>
        <v>7.9499999999999993</v>
      </c>
      <c r="BS12" s="1349">
        <v>12</v>
      </c>
      <c r="BT12" s="2106"/>
      <c r="BU12" s="97"/>
      <c r="BV12" s="97"/>
      <c r="BW12" s="36" t="s">
        <v>11</v>
      </c>
      <c r="BX12" s="95">
        <v>18.170000000000002</v>
      </c>
      <c r="BY12" s="95">
        <v>23</v>
      </c>
      <c r="BZ12" s="1281">
        <f t="shared" si="10"/>
        <v>6.1700000000000017</v>
      </c>
      <c r="CB12" s="95"/>
      <c r="CC12" s="95"/>
      <c r="CD12" s="36" t="s">
        <v>11</v>
      </c>
      <c r="CE12" s="1345">
        <v>20.43</v>
      </c>
      <c r="CF12" s="95">
        <v>14</v>
      </c>
      <c r="CG12" s="1335">
        <f t="shared" si="0"/>
        <v>8.43</v>
      </c>
      <c r="CI12" s="742"/>
      <c r="CJ12" s="742"/>
      <c r="CK12" s="1334" t="s">
        <v>11</v>
      </c>
      <c r="CL12" s="1265">
        <v>21.764705882352942</v>
      </c>
      <c r="CM12" s="1266">
        <v>17</v>
      </c>
      <c r="CN12" s="1335">
        <f t="shared" si="11"/>
        <v>9.764705882352942</v>
      </c>
      <c r="CP12" s="1336"/>
      <c r="CQ12" s="1336"/>
      <c r="CR12" s="1337" t="s">
        <v>11</v>
      </c>
      <c r="CS12" s="1338">
        <v>19</v>
      </c>
      <c r="CT12" s="1339">
        <v>22.473684210526315</v>
      </c>
      <c r="CU12" s="1281">
        <f t="shared" si="12"/>
        <v>10.473684210526315</v>
      </c>
      <c r="CW12" s="1340"/>
      <c r="CX12" s="1340"/>
      <c r="CY12" s="389" t="s">
        <v>11</v>
      </c>
      <c r="CZ12" s="390">
        <v>9</v>
      </c>
      <c r="DA12" s="391">
        <v>21.444444444444443</v>
      </c>
      <c r="DB12" s="1341">
        <f t="shared" si="13"/>
        <v>9.4444444444444429</v>
      </c>
      <c r="DC12" s="36"/>
      <c r="DD12" s="1340"/>
      <c r="DE12" s="1340"/>
      <c r="DF12" s="1342" t="s">
        <v>11</v>
      </c>
      <c r="DG12" s="1343">
        <v>4</v>
      </c>
      <c r="DH12" s="1344">
        <v>21</v>
      </c>
      <c r="DI12" s="1341">
        <f t="shared" si="14"/>
        <v>9</v>
      </c>
      <c r="DJ12" s="36"/>
      <c r="DK12" s="95"/>
      <c r="DL12" s="95"/>
      <c r="DM12" s="36" t="s">
        <v>11</v>
      </c>
      <c r="DN12" s="95">
        <v>5</v>
      </c>
      <c r="DO12" s="1345">
        <v>21</v>
      </c>
      <c r="DP12" s="1346">
        <f t="shared" si="15"/>
        <v>9</v>
      </c>
      <c r="DQ12" s="36"/>
      <c r="DR12" s="1347"/>
      <c r="DS12" s="1347"/>
      <c r="DT12" s="392" t="s">
        <v>11</v>
      </c>
      <c r="DU12" s="1347">
        <v>5</v>
      </c>
      <c r="DV12" s="1348">
        <v>16.8</v>
      </c>
      <c r="DW12" s="1349">
        <v>12</v>
      </c>
      <c r="DX12" s="1667">
        <f t="shared" si="16"/>
        <v>4.8000000000000007</v>
      </c>
    </row>
    <row r="13" spans="1:128">
      <c r="A13" s="6391">
        <v>1</v>
      </c>
      <c r="B13" s="6391">
        <v>1</v>
      </c>
      <c r="C13" s="6391">
        <v>8</v>
      </c>
      <c r="D13" s="6392">
        <v>18.878099755994494</v>
      </c>
      <c r="E13" s="6391">
        <v>109</v>
      </c>
      <c r="F13" s="6076">
        <f t="shared" si="1"/>
        <v>6.8780997559944943</v>
      </c>
      <c r="G13" s="4318">
        <v>12</v>
      </c>
      <c r="I13" s="6073">
        <v>1</v>
      </c>
      <c r="J13" s="6073">
        <v>1</v>
      </c>
      <c r="K13" s="6074">
        <v>8</v>
      </c>
      <c r="L13" s="6075">
        <v>18.971830985915492</v>
      </c>
      <c r="M13" s="6073">
        <v>55</v>
      </c>
      <c r="N13" s="6076">
        <f t="shared" si="2"/>
        <v>6.9718309859154921</v>
      </c>
      <c r="O13" s="4318">
        <v>12</v>
      </c>
      <c r="Q13" s="5832">
        <v>1</v>
      </c>
      <c r="R13" s="5832">
        <v>1</v>
      </c>
      <c r="S13" s="5840">
        <v>8</v>
      </c>
      <c r="T13" s="5833">
        <v>19.594083694083693</v>
      </c>
      <c r="U13" s="5832">
        <v>55</v>
      </c>
      <c r="V13" s="1346">
        <f t="shared" si="3"/>
        <v>7.5940836940836931</v>
      </c>
      <c r="W13" s="4318">
        <v>12</v>
      </c>
      <c r="Y13" s="4316">
        <v>1</v>
      </c>
      <c r="Z13" s="4316">
        <v>1</v>
      </c>
      <c r="AA13" s="4245" t="s">
        <v>12</v>
      </c>
      <c r="AB13" s="4327">
        <v>19.950198412698413</v>
      </c>
      <c r="AC13" s="4626">
        <v>42</v>
      </c>
      <c r="AD13" s="1346">
        <f t="shared" si="4"/>
        <v>7.9501984126984127</v>
      </c>
      <c r="AE13" s="4318">
        <v>12</v>
      </c>
      <c r="AG13" s="4316">
        <v>1</v>
      </c>
      <c r="AH13" s="4316">
        <v>1</v>
      </c>
      <c r="AI13" s="4245" t="s">
        <v>12</v>
      </c>
      <c r="AJ13" s="4327">
        <v>20.93333333333333</v>
      </c>
      <c r="AK13" s="4626">
        <v>24</v>
      </c>
      <c r="AL13" s="1346">
        <f t="shared" si="5"/>
        <v>8.93333333333333</v>
      </c>
      <c r="AM13" s="4318">
        <v>12</v>
      </c>
      <c r="AO13" s="4237"/>
      <c r="AP13" s="4237"/>
      <c r="AQ13" s="4236" t="s">
        <v>12</v>
      </c>
      <c r="AR13" s="4237">
        <v>21.25</v>
      </c>
      <c r="AS13" s="4237">
        <v>16</v>
      </c>
      <c r="AT13" s="4294">
        <f t="shared" si="6"/>
        <v>9.25</v>
      </c>
      <c r="AU13" s="4295">
        <v>12</v>
      </c>
      <c r="AW13" s="97"/>
      <c r="AX13" s="97"/>
      <c r="AY13" s="42" t="s">
        <v>12</v>
      </c>
      <c r="AZ13" s="97">
        <v>20.96</v>
      </c>
      <c r="BA13" s="97">
        <v>49</v>
      </c>
      <c r="BB13" s="1281">
        <f t="shared" si="7"/>
        <v>8.9600000000000009</v>
      </c>
      <c r="BC13" s="3706">
        <v>12</v>
      </c>
      <c r="BE13" s="4263"/>
      <c r="BF13" s="4263"/>
      <c r="BG13" s="4258" t="s">
        <v>12</v>
      </c>
      <c r="BH13" s="4263">
        <v>21.45</v>
      </c>
      <c r="BI13" s="4263">
        <v>38</v>
      </c>
      <c r="BJ13" s="4264">
        <f t="shared" si="8"/>
        <v>9.4499999999999993</v>
      </c>
      <c r="BK13" s="4265">
        <v>12</v>
      </c>
      <c r="BM13" s="36"/>
      <c r="BN13" s="36"/>
      <c r="BO13" s="36" t="s">
        <v>12</v>
      </c>
      <c r="BP13" s="1345">
        <v>19.78</v>
      </c>
      <c r="BQ13" s="95">
        <v>58</v>
      </c>
      <c r="BR13" s="1281">
        <f t="shared" si="9"/>
        <v>7.7800000000000011</v>
      </c>
      <c r="BS13" s="1349">
        <v>12</v>
      </c>
      <c r="BT13" s="2106"/>
      <c r="BU13" s="97"/>
      <c r="BV13" s="97"/>
      <c r="BW13" s="36" t="s">
        <v>12</v>
      </c>
      <c r="BX13" s="95">
        <v>20.58</v>
      </c>
      <c r="BY13" s="95">
        <v>60</v>
      </c>
      <c r="BZ13" s="1281">
        <f t="shared" si="10"/>
        <v>8.5799999999999983</v>
      </c>
      <c r="CB13" s="95"/>
      <c r="CC13" s="95"/>
      <c r="CD13" s="36" t="s">
        <v>12</v>
      </c>
      <c r="CE13" s="1345">
        <v>20.32</v>
      </c>
      <c r="CF13" s="95">
        <v>56</v>
      </c>
      <c r="CG13" s="1335">
        <f t="shared" si="0"/>
        <v>8.32</v>
      </c>
      <c r="CI13" s="742"/>
      <c r="CJ13" s="742"/>
      <c r="CK13" s="1334" t="s">
        <v>12</v>
      </c>
      <c r="CL13" s="1265">
        <v>20.383561643835613</v>
      </c>
      <c r="CM13" s="1266">
        <v>73</v>
      </c>
      <c r="CN13" s="1335">
        <f t="shared" si="11"/>
        <v>8.3835616438356126</v>
      </c>
      <c r="CP13" s="1336"/>
      <c r="CQ13" s="1336"/>
      <c r="CR13" s="1337" t="s">
        <v>12</v>
      </c>
      <c r="CS13" s="1338">
        <v>84</v>
      </c>
      <c r="CT13" s="1339">
        <v>20.726190476190485</v>
      </c>
      <c r="CU13" s="1281">
        <f t="shared" si="12"/>
        <v>8.7261904761904852</v>
      </c>
      <c r="CW13" s="1340"/>
      <c r="CX13" s="1340"/>
      <c r="CY13" s="389" t="s">
        <v>12</v>
      </c>
      <c r="CZ13" s="390">
        <v>54</v>
      </c>
      <c r="DA13" s="391">
        <v>19.185185185185183</v>
      </c>
      <c r="DB13" s="1341">
        <f t="shared" si="13"/>
        <v>7.1851851851851833</v>
      </c>
      <c r="DC13" s="36"/>
      <c r="DD13" s="1340"/>
      <c r="DE13" s="1340"/>
      <c r="DF13" s="1342" t="s">
        <v>12</v>
      </c>
      <c r="DG13" s="1343">
        <v>37</v>
      </c>
      <c r="DH13" s="1344">
        <v>18.216216216216214</v>
      </c>
      <c r="DI13" s="1341">
        <f t="shared" si="14"/>
        <v>6.216216216216214</v>
      </c>
      <c r="DJ13" s="36"/>
      <c r="DK13" s="95"/>
      <c r="DL13" s="95"/>
      <c r="DM13" s="36" t="s">
        <v>12</v>
      </c>
      <c r="DN13" s="95">
        <v>45</v>
      </c>
      <c r="DO13" s="1345">
        <v>19.622222222222213</v>
      </c>
      <c r="DP13" s="1346">
        <f t="shared" si="15"/>
        <v>7.6222222222222129</v>
      </c>
      <c r="DQ13" s="36"/>
      <c r="DR13" s="1347"/>
      <c r="DS13" s="1347"/>
      <c r="DT13" s="392" t="s">
        <v>12</v>
      </c>
      <c r="DU13" s="1347">
        <v>46</v>
      </c>
      <c r="DV13" s="1348">
        <v>19.978260869565215</v>
      </c>
      <c r="DW13" s="1349">
        <v>12</v>
      </c>
      <c r="DX13" s="1667">
        <f t="shared" si="16"/>
        <v>7.9782608695652151</v>
      </c>
    </row>
    <row r="14" spans="1:128">
      <c r="A14" s="6391">
        <v>1</v>
      </c>
      <c r="B14" s="6391">
        <v>1</v>
      </c>
      <c r="C14" s="6391">
        <v>9</v>
      </c>
      <c r="D14" s="6392">
        <v>21.469230769230766</v>
      </c>
      <c r="E14" s="6391">
        <v>29</v>
      </c>
      <c r="F14" s="6076">
        <f t="shared" si="1"/>
        <v>9.4692307692307658</v>
      </c>
      <c r="G14" s="4318">
        <v>12</v>
      </c>
      <c r="I14" s="6073">
        <v>1</v>
      </c>
      <c r="J14" s="6073">
        <v>1</v>
      </c>
      <c r="K14" s="6074">
        <v>9</v>
      </c>
      <c r="L14" s="6075">
        <v>21.25</v>
      </c>
      <c r="M14" s="6073">
        <v>30</v>
      </c>
      <c r="N14" s="6076">
        <f t="shared" si="2"/>
        <v>9.25</v>
      </c>
      <c r="O14" s="4318">
        <v>12</v>
      </c>
      <c r="Q14" s="5832">
        <v>1</v>
      </c>
      <c r="R14" s="5832">
        <v>1</v>
      </c>
      <c r="S14" s="5840">
        <v>9</v>
      </c>
      <c r="T14" s="5833">
        <v>19.298611111111111</v>
      </c>
      <c r="U14" s="5832">
        <v>30</v>
      </c>
      <c r="V14" s="1346">
        <f t="shared" si="3"/>
        <v>7.2986111111111107</v>
      </c>
      <c r="W14" s="4318">
        <v>12</v>
      </c>
      <c r="Y14" s="4316">
        <v>1</v>
      </c>
      <c r="Z14" s="4316">
        <v>1</v>
      </c>
      <c r="AA14" s="4245" t="s">
        <v>13</v>
      </c>
      <c r="AB14" s="4327">
        <v>19.776428571428575</v>
      </c>
      <c r="AC14" s="4626">
        <v>22</v>
      </c>
      <c r="AD14" s="1346">
        <f t="shared" si="4"/>
        <v>7.7764285714285748</v>
      </c>
      <c r="AE14" s="4318">
        <v>12</v>
      </c>
      <c r="AG14" s="4316">
        <v>1</v>
      </c>
      <c r="AH14" s="4316">
        <v>1</v>
      </c>
      <c r="AI14" s="4245" t="s">
        <v>13</v>
      </c>
      <c r="AJ14" s="4327">
        <v>26.646224146224149</v>
      </c>
      <c r="AK14" s="4626">
        <v>37</v>
      </c>
      <c r="AL14" s="1346">
        <f t="shared" si="5"/>
        <v>14.646224146224149</v>
      </c>
      <c r="AM14" s="4318">
        <v>12</v>
      </c>
      <c r="AO14" s="4237"/>
      <c r="AP14" s="4237"/>
      <c r="AQ14" s="4236" t="s">
        <v>13</v>
      </c>
      <c r="AR14" s="4237">
        <v>23.8</v>
      </c>
      <c r="AS14" s="4237">
        <v>20</v>
      </c>
      <c r="AT14" s="4294">
        <f t="shared" si="6"/>
        <v>11.8</v>
      </c>
      <c r="AU14" s="4295">
        <v>12</v>
      </c>
      <c r="AW14" s="97"/>
      <c r="AX14" s="97"/>
      <c r="AY14" s="42" t="s">
        <v>13</v>
      </c>
      <c r="AZ14" s="97">
        <v>23.94</v>
      </c>
      <c r="BA14" s="97">
        <v>52</v>
      </c>
      <c r="BB14" s="1281">
        <f t="shared" si="7"/>
        <v>11.940000000000001</v>
      </c>
      <c r="BC14" s="3706">
        <v>12</v>
      </c>
      <c r="BE14" s="4263"/>
      <c r="BF14" s="4263"/>
      <c r="BG14" s="4258" t="s">
        <v>13</v>
      </c>
      <c r="BH14" s="4263">
        <v>23.56</v>
      </c>
      <c r="BI14" s="4263">
        <v>36</v>
      </c>
      <c r="BJ14" s="4264">
        <f t="shared" si="8"/>
        <v>11.559999999999999</v>
      </c>
      <c r="BK14" s="4265">
        <v>12</v>
      </c>
      <c r="BM14" s="36"/>
      <c r="BN14" s="36"/>
      <c r="BO14" s="36" t="s">
        <v>13</v>
      </c>
      <c r="BP14" s="1345">
        <v>22.71</v>
      </c>
      <c r="BQ14" s="95">
        <v>51</v>
      </c>
      <c r="BR14" s="1281">
        <f t="shared" si="9"/>
        <v>10.71</v>
      </c>
      <c r="BS14" s="1349">
        <v>12</v>
      </c>
      <c r="BT14" s="2106"/>
      <c r="BU14" s="97"/>
      <c r="BV14" s="97"/>
      <c r="BW14" s="36" t="s">
        <v>13</v>
      </c>
      <c r="BX14" s="95">
        <v>22.97</v>
      </c>
      <c r="BY14" s="95">
        <v>62</v>
      </c>
      <c r="BZ14" s="1281">
        <f t="shared" si="10"/>
        <v>10.969999999999999</v>
      </c>
      <c r="CB14" s="95"/>
      <c r="CC14" s="95"/>
      <c r="CD14" s="36" t="s">
        <v>13</v>
      </c>
      <c r="CE14" s="1345">
        <v>22.91</v>
      </c>
      <c r="CF14" s="95">
        <v>57</v>
      </c>
      <c r="CG14" s="1335">
        <f t="shared" si="0"/>
        <v>10.91</v>
      </c>
      <c r="CI14" s="742"/>
      <c r="CJ14" s="742"/>
      <c r="CK14" s="1334" t="s">
        <v>13</v>
      </c>
      <c r="CL14" s="1265">
        <v>23.280701754385969</v>
      </c>
      <c r="CM14" s="1266">
        <v>57</v>
      </c>
      <c r="CN14" s="1335">
        <f t="shared" si="11"/>
        <v>11.280701754385969</v>
      </c>
      <c r="CP14" s="1336"/>
      <c r="CQ14" s="1336"/>
      <c r="CR14" s="1337" t="s">
        <v>13</v>
      </c>
      <c r="CS14" s="1338">
        <v>59</v>
      </c>
      <c r="CT14" s="1339">
        <v>22.338983050847457</v>
      </c>
      <c r="CU14" s="1281">
        <f t="shared" si="12"/>
        <v>10.338983050847457</v>
      </c>
      <c r="CW14" s="1340"/>
      <c r="CX14" s="1340"/>
      <c r="CY14" s="389" t="s">
        <v>13</v>
      </c>
      <c r="CZ14" s="390">
        <v>76</v>
      </c>
      <c r="DA14" s="391">
        <v>22.592105263157901</v>
      </c>
      <c r="DB14" s="1341">
        <f t="shared" si="13"/>
        <v>10.592105263157901</v>
      </c>
      <c r="DC14" s="36"/>
      <c r="DD14" s="1340"/>
      <c r="DE14" s="1340"/>
      <c r="DF14" s="1342" t="s">
        <v>13</v>
      </c>
      <c r="DG14" s="1343">
        <v>71</v>
      </c>
      <c r="DH14" s="1344">
        <v>21.084507042253517</v>
      </c>
      <c r="DI14" s="1341">
        <f t="shared" si="14"/>
        <v>9.0845070422535166</v>
      </c>
      <c r="DJ14" s="36"/>
      <c r="DK14" s="95"/>
      <c r="DL14" s="95"/>
      <c r="DM14" s="36" t="s">
        <v>13</v>
      </c>
      <c r="DN14" s="95">
        <v>71</v>
      </c>
      <c r="DO14" s="1345">
        <v>23.253521126760575</v>
      </c>
      <c r="DP14" s="1346">
        <f t="shared" si="15"/>
        <v>11.253521126760575</v>
      </c>
      <c r="DQ14" s="36"/>
      <c r="DR14" s="1347"/>
      <c r="DS14" s="1347"/>
      <c r="DT14" s="392" t="s">
        <v>13</v>
      </c>
      <c r="DU14" s="1347">
        <v>55</v>
      </c>
      <c r="DV14" s="1348">
        <v>22.672727272727272</v>
      </c>
      <c r="DW14" s="1349">
        <v>12</v>
      </c>
      <c r="DX14" s="1667">
        <f t="shared" si="16"/>
        <v>10.672727272727272</v>
      </c>
    </row>
    <row r="15" spans="1:128">
      <c r="A15" s="6391">
        <v>1</v>
      </c>
      <c r="B15" s="6391">
        <v>1</v>
      </c>
      <c r="C15" s="6391">
        <v>122</v>
      </c>
      <c r="D15" s="6392">
        <v>17.477261904761907</v>
      </c>
      <c r="E15" s="6391">
        <v>48</v>
      </c>
      <c r="F15" s="6076">
        <f t="shared" si="1"/>
        <v>5.4772619047619067</v>
      </c>
      <c r="G15" s="4318">
        <v>12</v>
      </c>
      <c r="I15" s="6073">
        <v>1</v>
      </c>
      <c r="J15" s="6073">
        <v>1</v>
      </c>
      <c r="K15" s="6074">
        <v>122</v>
      </c>
      <c r="L15" s="6075">
        <v>19.642857142857142</v>
      </c>
      <c r="M15" s="6073">
        <v>47</v>
      </c>
      <c r="N15" s="6076">
        <f t="shared" si="2"/>
        <v>7.6428571428571423</v>
      </c>
      <c r="O15" s="4318">
        <v>12</v>
      </c>
      <c r="Q15" s="5832">
        <v>1</v>
      </c>
      <c r="R15" s="5832">
        <v>1</v>
      </c>
      <c r="S15" s="5840">
        <v>122</v>
      </c>
      <c r="T15" s="5833">
        <v>18.695833333333333</v>
      </c>
      <c r="U15" s="5832">
        <v>47</v>
      </c>
      <c r="V15" s="1346">
        <f t="shared" si="3"/>
        <v>6.6958333333333329</v>
      </c>
      <c r="W15" s="4318">
        <v>12</v>
      </c>
      <c r="Y15" s="4316">
        <v>1</v>
      </c>
      <c r="Z15" s="4316">
        <v>1</v>
      </c>
      <c r="AA15" s="4245" t="s">
        <v>14</v>
      </c>
      <c r="AB15" s="4327">
        <v>20.251984126984127</v>
      </c>
      <c r="AC15" s="4626">
        <v>29</v>
      </c>
      <c r="AD15" s="1346">
        <f t="shared" si="4"/>
        <v>8.2519841269841265</v>
      </c>
      <c r="AE15" s="4318">
        <v>12</v>
      </c>
      <c r="AG15" s="4316">
        <v>1</v>
      </c>
      <c r="AH15" s="4316">
        <v>1</v>
      </c>
      <c r="AI15" s="4245" t="s">
        <v>14</v>
      </c>
      <c r="AJ15" s="4327">
        <v>20.81547619047619</v>
      </c>
      <c r="AK15" s="4626">
        <v>44</v>
      </c>
      <c r="AL15" s="1346">
        <f t="shared" si="5"/>
        <v>8.8154761904761898</v>
      </c>
      <c r="AM15" s="4318">
        <v>12</v>
      </c>
      <c r="AO15" s="4237"/>
      <c r="AP15" s="4237"/>
      <c r="AQ15" s="4236" t="s">
        <v>14</v>
      </c>
      <c r="AR15" s="4237">
        <v>20.09</v>
      </c>
      <c r="AS15" s="4237">
        <v>34</v>
      </c>
      <c r="AT15" s="4294">
        <f t="shared" si="6"/>
        <v>8.09</v>
      </c>
      <c r="AU15" s="4295">
        <v>12</v>
      </c>
      <c r="AW15" s="97"/>
      <c r="AX15" s="97"/>
      <c r="AY15" s="42" t="s">
        <v>14</v>
      </c>
      <c r="AZ15" s="97">
        <v>22.41</v>
      </c>
      <c r="BA15" s="97">
        <v>37</v>
      </c>
      <c r="BB15" s="1281">
        <f t="shared" si="7"/>
        <v>10.41</v>
      </c>
      <c r="BC15" s="3706">
        <v>12</v>
      </c>
      <c r="BE15" s="4263"/>
      <c r="BF15" s="4263"/>
      <c r="BG15" s="4258" t="s">
        <v>14</v>
      </c>
      <c r="BH15" s="4263">
        <v>22.64</v>
      </c>
      <c r="BI15" s="4263">
        <v>28</v>
      </c>
      <c r="BJ15" s="4264">
        <f t="shared" si="8"/>
        <v>10.64</v>
      </c>
      <c r="BK15" s="4265">
        <v>12</v>
      </c>
      <c r="BM15" s="36"/>
      <c r="BN15" s="36"/>
      <c r="BO15" s="36" t="s">
        <v>14</v>
      </c>
      <c r="BP15" s="1345">
        <v>22.31</v>
      </c>
      <c r="BQ15" s="95">
        <v>59</v>
      </c>
      <c r="BR15" s="1281">
        <f t="shared" si="9"/>
        <v>10.309999999999999</v>
      </c>
      <c r="BS15" s="1349">
        <v>12</v>
      </c>
      <c r="BT15" s="2106"/>
      <c r="BU15" s="97"/>
      <c r="BV15" s="97"/>
      <c r="BW15" s="36" t="s">
        <v>14</v>
      </c>
      <c r="BX15" s="95">
        <v>23.12</v>
      </c>
      <c r="BY15" s="95">
        <v>81</v>
      </c>
      <c r="BZ15" s="1281">
        <f t="shared" si="10"/>
        <v>11.120000000000001</v>
      </c>
      <c r="CB15" s="95"/>
      <c r="CC15" s="95"/>
      <c r="CD15" s="36" t="s">
        <v>14</v>
      </c>
      <c r="CE15" s="1345">
        <v>22.78</v>
      </c>
      <c r="CF15" s="95">
        <v>81</v>
      </c>
      <c r="CG15" s="1335">
        <f t="shared" si="0"/>
        <v>10.780000000000001</v>
      </c>
      <c r="CI15" s="742"/>
      <c r="CJ15" s="742"/>
      <c r="CK15" s="1334" t="s">
        <v>14</v>
      </c>
      <c r="CL15" s="1265">
        <v>20.779220779220779</v>
      </c>
      <c r="CM15" s="1266">
        <v>77</v>
      </c>
      <c r="CN15" s="1335">
        <f t="shared" si="11"/>
        <v>8.779220779220779</v>
      </c>
      <c r="CP15" s="1336"/>
      <c r="CQ15" s="1336"/>
      <c r="CR15" s="1337" t="s">
        <v>14</v>
      </c>
      <c r="CS15" s="1338">
        <v>120</v>
      </c>
      <c r="CT15" s="1339">
        <v>21.458333333333318</v>
      </c>
      <c r="CU15" s="1281">
        <f t="shared" si="12"/>
        <v>9.4583333333333179</v>
      </c>
      <c r="CW15" s="1340"/>
      <c r="CX15" s="1340"/>
      <c r="CY15" s="389" t="s">
        <v>14</v>
      </c>
      <c r="CZ15" s="390">
        <v>67</v>
      </c>
      <c r="DA15" s="391">
        <v>20.850746268656714</v>
      </c>
      <c r="DB15" s="1341">
        <f t="shared" si="13"/>
        <v>8.8507462686567138</v>
      </c>
      <c r="DC15" s="36"/>
      <c r="DD15" s="1340"/>
      <c r="DE15" s="1340"/>
      <c r="DF15" s="1342" t="s">
        <v>14</v>
      </c>
      <c r="DG15" s="1343">
        <v>55</v>
      </c>
      <c r="DH15" s="1344">
        <v>18.800000000000008</v>
      </c>
      <c r="DI15" s="1341">
        <f t="shared" si="14"/>
        <v>6.8000000000000078</v>
      </c>
      <c r="DJ15" s="36"/>
      <c r="DK15" s="95"/>
      <c r="DL15" s="95"/>
      <c r="DM15" s="36" t="s">
        <v>14</v>
      </c>
      <c r="DN15" s="95">
        <v>64</v>
      </c>
      <c r="DO15" s="1345">
        <v>18.75</v>
      </c>
      <c r="DP15" s="1346">
        <f t="shared" si="15"/>
        <v>6.75</v>
      </c>
      <c r="DQ15" s="36"/>
      <c r="DR15" s="1347"/>
      <c r="DS15" s="1347"/>
      <c r="DT15" s="392" t="s">
        <v>14</v>
      </c>
      <c r="DU15" s="1347">
        <v>59</v>
      </c>
      <c r="DV15" s="1348">
        <v>17.101694915254239</v>
      </c>
      <c r="DW15" s="1349">
        <v>12</v>
      </c>
      <c r="DX15" s="1667">
        <f t="shared" si="16"/>
        <v>5.1016949152542388</v>
      </c>
    </row>
    <row r="16" spans="1:128">
      <c r="A16" s="6391">
        <v>1</v>
      </c>
      <c r="B16" s="6391">
        <v>2</v>
      </c>
      <c r="C16" s="6391">
        <v>11</v>
      </c>
      <c r="D16" s="6392">
        <v>15.143852519574414</v>
      </c>
      <c r="E16" s="6391">
        <v>141</v>
      </c>
      <c r="F16" s="6076">
        <f t="shared" si="1"/>
        <v>3.1438525195744145</v>
      </c>
      <c r="G16" s="4318">
        <v>12</v>
      </c>
      <c r="I16" s="6073"/>
      <c r="J16" s="6073"/>
      <c r="K16" s="4424" t="s">
        <v>482</v>
      </c>
      <c r="L16" s="6075">
        <v>20.7</v>
      </c>
      <c r="M16" s="6077">
        <f>SUM(M6:M15)</f>
        <v>406</v>
      </c>
      <c r="N16" s="6076">
        <f t="shared" si="2"/>
        <v>8.6999999999999993</v>
      </c>
      <c r="O16" s="4319">
        <v>12</v>
      </c>
      <c r="Q16" s="5832"/>
      <c r="R16" s="5832"/>
      <c r="S16" s="4424" t="s">
        <v>482</v>
      </c>
      <c r="T16" s="5843">
        <v>19.840430175884716</v>
      </c>
      <c r="U16" s="5838">
        <f>SUM(U6:U15)</f>
        <v>406</v>
      </c>
      <c r="V16" s="1346">
        <f t="shared" si="3"/>
        <v>7.8404301758847161</v>
      </c>
      <c r="W16" s="4319">
        <v>12</v>
      </c>
      <c r="Y16" s="4316"/>
      <c r="Z16" s="4316"/>
      <c r="AA16" s="4246" t="s">
        <v>482</v>
      </c>
      <c r="AB16" s="4828">
        <v>19.767112214582802</v>
      </c>
      <c r="AC16" s="4627">
        <f>SUM(AC6:AC15)</f>
        <v>264</v>
      </c>
      <c r="AD16" s="1361">
        <f>AB16-AE16</f>
        <v>7.7671122145828022</v>
      </c>
      <c r="AE16" s="4319">
        <v>12</v>
      </c>
      <c r="AF16" s="4317"/>
      <c r="AG16" s="4316"/>
      <c r="AH16" s="4316"/>
      <c r="AI16" s="4246" t="s">
        <v>482</v>
      </c>
      <c r="AJ16" s="4328">
        <v>21.683899923605804</v>
      </c>
      <c r="AK16" s="4627">
        <f>SUM(AK6:AK15)</f>
        <v>279</v>
      </c>
      <c r="AL16" s="1361">
        <f t="shared" si="5"/>
        <v>9.6838999236058037</v>
      </c>
      <c r="AM16" s="4319">
        <v>12</v>
      </c>
      <c r="AO16" s="4237"/>
      <c r="AP16" s="4237"/>
      <c r="AQ16" s="4214" t="s">
        <v>482</v>
      </c>
      <c r="AR16" s="4239">
        <v>21.23</v>
      </c>
      <c r="AS16" s="4239">
        <v>189</v>
      </c>
      <c r="AT16" s="4296">
        <f t="shared" si="6"/>
        <v>9.23</v>
      </c>
      <c r="AU16" s="4295">
        <v>12</v>
      </c>
      <c r="AW16" s="97"/>
      <c r="AX16" s="97"/>
      <c r="AY16" s="893" t="s">
        <v>482</v>
      </c>
      <c r="AZ16" s="135">
        <v>21</v>
      </c>
      <c r="BA16" s="135">
        <v>478</v>
      </c>
      <c r="BB16" s="1675">
        <f t="shared" si="7"/>
        <v>9</v>
      </c>
      <c r="BC16" s="3706">
        <v>12</v>
      </c>
      <c r="BE16" s="4263"/>
      <c r="BF16" s="4263"/>
      <c r="BG16" s="4257" t="s">
        <v>482</v>
      </c>
      <c r="BH16" s="4266">
        <v>21.07</v>
      </c>
      <c r="BI16" s="4266">
        <v>363</v>
      </c>
      <c r="BJ16" s="4267">
        <f t="shared" si="8"/>
        <v>9.07</v>
      </c>
      <c r="BK16" s="4265">
        <v>12</v>
      </c>
      <c r="BM16" s="36"/>
      <c r="BN16" s="36"/>
      <c r="BO16" s="393" t="s">
        <v>482</v>
      </c>
      <c r="BP16" s="1360">
        <v>20.34</v>
      </c>
      <c r="BQ16" s="2015">
        <v>520</v>
      </c>
      <c r="BR16" s="1675">
        <f t="shared" si="9"/>
        <v>8.34</v>
      </c>
      <c r="BS16" s="1349">
        <v>12</v>
      </c>
      <c r="BT16" s="2106"/>
      <c r="BU16" s="97"/>
      <c r="BV16" s="97"/>
      <c r="BW16" s="393" t="s">
        <v>482</v>
      </c>
      <c r="BX16" s="86">
        <v>21.17</v>
      </c>
      <c r="BY16" s="86">
        <v>610</v>
      </c>
      <c r="BZ16" s="1675">
        <f t="shared" si="10"/>
        <v>9.1700000000000017</v>
      </c>
      <c r="CB16" s="95"/>
      <c r="CC16" s="95"/>
      <c r="CD16" s="393" t="s">
        <v>482</v>
      </c>
      <c r="CE16" s="1360">
        <v>20.88</v>
      </c>
      <c r="CF16" s="86">
        <v>522</v>
      </c>
      <c r="CG16" s="1480">
        <f t="shared" si="0"/>
        <v>8.879999999999999</v>
      </c>
      <c r="CI16" s="742"/>
      <c r="CJ16" s="742"/>
      <c r="CK16" s="1350" t="s">
        <v>482</v>
      </c>
      <c r="CL16" s="1351">
        <v>20.721062618595809</v>
      </c>
      <c r="CM16" s="1352">
        <v>527</v>
      </c>
      <c r="CN16" s="1335">
        <f t="shared" si="11"/>
        <v>8.7210626185958091</v>
      </c>
      <c r="CP16" s="1336"/>
      <c r="CQ16" s="1336"/>
      <c r="CR16" s="1353" t="s">
        <v>482</v>
      </c>
      <c r="CS16" s="1354">
        <v>574</v>
      </c>
      <c r="CT16" s="1355">
        <v>20.921602787456443</v>
      </c>
      <c r="CU16" s="1281">
        <f t="shared" si="12"/>
        <v>8.9216027874564432</v>
      </c>
      <c r="CW16" s="1340"/>
      <c r="CX16" s="1340"/>
      <c r="CY16" s="1356" t="s">
        <v>482</v>
      </c>
      <c r="CZ16" s="1357">
        <f>SUM(CZ6:CZ15)</f>
        <v>522</v>
      </c>
      <c r="DA16" s="1358">
        <v>20.6</v>
      </c>
      <c r="DB16" s="1359">
        <f t="shared" si="13"/>
        <v>8.6000000000000014</v>
      </c>
      <c r="DC16" s="36"/>
      <c r="DD16" s="1340"/>
      <c r="DE16" s="1340"/>
      <c r="DF16" s="1356" t="s">
        <v>482</v>
      </c>
      <c r="DG16" s="1357">
        <v>362</v>
      </c>
      <c r="DH16" s="1358">
        <v>20.187845303867427</v>
      </c>
      <c r="DI16" s="1359">
        <f t="shared" si="14"/>
        <v>8.1878453038674266</v>
      </c>
      <c r="DJ16" s="36"/>
      <c r="DK16" s="95"/>
      <c r="DL16" s="95"/>
      <c r="DM16" s="393" t="s">
        <v>15</v>
      </c>
      <c r="DN16" s="86">
        <v>404</v>
      </c>
      <c r="DO16" s="1360">
        <v>20.732673267326739</v>
      </c>
      <c r="DP16" s="1361">
        <f t="shared" si="15"/>
        <v>8.7326732673267387</v>
      </c>
      <c r="DQ16" s="36"/>
      <c r="DR16" s="1347"/>
      <c r="DS16" s="1347"/>
      <c r="DT16" s="1362" t="s">
        <v>15</v>
      </c>
      <c r="DU16" s="1363">
        <v>368</v>
      </c>
      <c r="DV16" s="1364">
        <v>20.3451086956522</v>
      </c>
      <c r="DW16" s="1349">
        <v>12</v>
      </c>
      <c r="DX16" s="1668">
        <f t="shared" si="16"/>
        <v>8.3451086956522005</v>
      </c>
    </row>
    <row r="17" spans="1:128">
      <c r="A17" s="6391">
        <v>1</v>
      </c>
      <c r="B17" s="6391">
        <v>2</v>
      </c>
      <c r="C17" s="6391">
        <v>12</v>
      </c>
      <c r="D17" s="6392">
        <v>15.037491103667575</v>
      </c>
      <c r="E17" s="6391">
        <v>193</v>
      </c>
      <c r="F17" s="6076">
        <f t="shared" si="1"/>
        <v>3.0374911036675751</v>
      </c>
      <c r="G17" s="4318">
        <v>12</v>
      </c>
      <c r="I17" s="6073">
        <v>1</v>
      </c>
      <c r="J17" s="6073">
        <v>2</v>
      </c>
      <c r="K17" s="6074">
        <v>11</v>
      </c>
      <c r="L17" s="6075">
        <v>15.09433962264151</v>
      </c>
      <c r="M17" s="6073">
        <v>160</v>
      </c>
      <c r="N17" s="6076">
        <f t="shared" si="2"/>
        <v>3.0943396226415096</v>
      </c>
      <c r="O17" s="4318">
        <v>12</v>
      </c>
      <c r="Q17" s="5832">
        <v>1</v>
      </c>
      <c r="R17" s="5832">
        <v>2</v>
      </c>
      <c r="S17" s="5840">
        <v>11</v>
      </c>
      <c r="T17" s="5833">
        <v>14.251925720186591</v>
      </c>
      <c r="U17" s="5832">
        <v>160</v>
      </c>
      <c r="V17" s="1346">
        <f t="shared" si="3"/>
        <v>2.2519257201865912</v>
      </c>
      <c r="W17" s="4318">
        <v>12</v>
      </c>
      <c r="Y17" s="4316">
        <v>1</v>
      </c>
      <c r="Z17" s="4316">
        <v>2</v>
      </c>
      <c r="AA17" s="4245" t="s">
        <v>17</v>
      </c>
      <c r="AB17" s="4327">
        <v>14.121570657248405</v>
      </c>
      <c r="AC17" s="4628">
        <v>116</v>
      </c>
      <c r="AD17" s="1346">
        <f t="shared" si="4"/>
        <v>2.1215706572484052</v>
      </c>
      <c r="AE17" s="4318">
        <v>12</v>
      </c>
      <c r="AF17" s="4317"/>
      <c r="AG17" s="4316">
        <v>1</v>
      </c>
      <c r="AH17" s="4316">
        <v>2</v>
      </c>
      <c r="AI17" s="4245" t="s">
        <v>17</v>
      </c>
      <c r="AJ17" s="4327">
        <v>14.294211582263053</v>
      </c>
      <c r="AK17" s="4628">
        <v>180</v>
      </c>
      <c r="AL17" s="1346">
        <f t="shared" si="5"/>
        <v>2.2942115822630527</v>
      </c>
      <c r="AM17" s="4318">
        <v>12</v>
      </c>
      <c r="AO17" s="4237"/>
      <c r="AP17" s="4237" t="s">
        <v>16</v>
      </c>
      <c r="AQ17" s="4236" t="s">
        <v>17</v>
      </c>
      <c r="AR17" s="4237">
        <v>13.88</v>
      </c>
      <c r="AS17" s="4237">
        <v>137</v>
      </c>
      <c r="AT17" s="4294">
        <f t="shared" si="6"/>
        <v>1.8800000000000008</v>
      </c>
      <c r="AU17" s="4295">
        <v>12</v>
      </c>
      <c r="AW17" s="97"/>
      <c r="AX17" s="97" t="s">
        <v>16</v>
      </c>
      <c r="AY17" s="42" t="s">
        <v>17</v>
      </c>
      <c r="AZ17" s="97">
        <v>15.01</v>
      </c>
      <c r="BA17" s="97">
        <v>181</v>
      </c>
      <c r="BB17" s="1281">
        <f t="shared" si="7"/>
        <v>3.01</v>
      </c>
      <c r="BC17" s="3706">
        <v>12</v>
      </c>
      <c r="BE17" s="4263"/>
      <c r="BF17" s="4263" t="s">
        <v>16</v>
      </c>
      <c r="BG17" s="4258" t="s">
        <v>17</v>
      </c>
      <c r="BH17" s="4263">
        <v>14.67</v>
      </c>
      <c r="BI17" s="4263">
        <v>125</v>
      </c>
      <c r="BJ17" s="4264">
        <f t="shared" si="8"/>
        <v>2.67</v>
      </c>
      <c r="BK17" s="4265">
        <v>12</v>
      </c>
      <c r="BM17" s="36"/>
      <c r="BN17" s="36" t="s">
        <v>16</v>
      </c>
      <c r="BO17" s="36" t="s">
        <v>17</v>
      </c>
      <c r="BP17" s="1345">
        <v>14.93</v>
      </c>
      <c r="BQ17" s="95">
        <v>205</v>
      </c>
      <c r="BR17" s="1281">
        <f t="shared" si="9"/>
        <v>2.9299999999999997</v>
      </c>
      <c r="BS17" s="1349">
        <v>12</v>
      </c>
      <c r="BT17" s="2106"/>
      <c r="BU17" s="97"/>
      <c r="BV17" s="97" t="s">
        <v>16</v>
      </c>
      <c r="BW17" s="36" t="s">
        <v>17</v>
      </c>
      <c r="BX17" s="95">
        <v>15.32</v>
      </c>
      <c r="BY17" s="95">
        <v>196</v>
      </c>
      <c r="BZ17" s="1281">
        <f t="shared" si="10"/>
        <v>3.3200000000000003</v>
      </c>
      <c r="CB17" s="95"/>
      <c r="CC17" s="95" t="s">
        <v>16</v>
      </c>
      <c r="CD17" s="36" t="s">
        <v>17</v>
      </c>
      <c r="CE17" s="1345">
        <v>14.92</v>
      </c>
      <c r="CF17" s="95">
        <v>169</v>
      </c>
      <c r="CG17" s="1335">
        <f t="shared" si="0"/>
        <v>2.92</v>
      </c>
      <c r="CI17" s="742"/>
      <c r="CJ17" s="742" t="s">
        <v>16</v>
      </c>
      <c r="CK17" s="1334" t="s">
        <v>17</v>
      </c>
      <c r="CL17" s="1265">
        <v>15.731578947368426</v>
      </c>
      <c r="CM17" s="1266">
        <v>190</v>
      </c>
      <c r="CN17" s="1335">
        <f t="shared" si="11"/>
        <v>3.7315789473684262</v>
      </c>
      <c r="CP17" s="1336"/>
      <c r="CQ17" s="1336" t="s">
        <v>16</v>
      </c>
      <c r="CR17" s="1337" t="s">
        <v>17</v>
      </c>
      <c r="CS17" s="1338">
        <v>179</v>
      </c>
      <c r="CT17" s="1339">
        <v>14.949720670391072</v>
      </c>
      <c r="CU17" s="1281">
        <f t="shared" si="12"/>
        <v>2.9497206703910717</v>
      </c>
      <c r="CW17" s="1340"/>
      <c r="CX17" s="1340" t="s">
        <v>16</v>
      </c>
      <c r="CY17" s="1342" t="s">
        <v>17</v>
      </c>
      <c r="CZ17" s="1343">
        <v>210</v>
      </c>
      <c r="DA17" s="1344">
        <v>15.557142857142855</v>
      </c>
      <c r="DB17" s="1341">
        <f t="shared" si="13"/>
        <v>3.5571428571428552</v>
      </c>
      <c r="DC17" s="36"/>
      <c r="DD17" s="1340"/>
      <c r="DE17" s="1340" t="s">
        <v>16</v>
      </c>
      <c r="DF17" s="1342" t="s">
        <v>17</v>
      </c>
      <c r="DG17" s="1343">
        <v>181</v>
      </c>
      <c r="DH17" s="1344">
        <v>14.585635359116019</v>
      </c>
      <c r="DI17" s="1341">
        <f t="shared" si="14"/>
        <v>2.5856353591160186</v>
      </c>
      <c r="DJ17" s="36"/>
      <c r="DK17" s="95"/>
      <c r="DL17" s="95" t="s">
        <v>16</v>
      </c>
      <c r="DM17" s="36" t="s">
        <v>17</v>
      </c>
      <c r="DN17" s="95">
        <v>141</v>
      </c>
      <c r="DO17" s="1345">
        <v>15.283687943262414</v>
      </c>
      <c r="DP17" s="1346">
        <f t="shared" si="15"/>
        <v>3.2836879432624144</v>
      </c>
      <c r="DQ17" s="36"/>
      <c r="DR17" s="1347"/>
      <c r="DS17" s="1347" t="s">
        <v>16</v>
      </c>
      <c r="DT17" s="392" t="s">
        <v>17</v>
      </c>
      <c r="DU17" s="1347">
        <v>136</v>
      </c>
      <c r="DV17" s="1348">
        <v>15.264705882352938</v>
      </c>
      <c r="DW17" s="1349">
        <v>12</v>
      </c>
      <c r="DX17" s="1667">
        <f t="shared" si="16"/>
        <v>3.2647058823529385</v>
      </c>
    </row>
    <row r="18" spans="1:128">
      <c r="A18" s="6391">
        <v>1</v>
      </c>
      <c r="B18" s="6391">
        <v>2</v>
      </c>
      <c r="C18" s="6391">
        <v>13</v>
      </c>
      <c r="D18" s="6392">
        <v>17.917067382508559</v>
      </c>
      <c r="E18" s="6391">
        <v>84</v>
      </c>
      <c r="F18" s="6076">
        <f t="shared" si="1"/>
        <v>5.9170673825085593</v>
      </c>
      <c r="G18" s="4318">
        <v>12</v>
      </c>
      <c r="I18" s="6073">
        <v>1</v>
      </c>
      <c r="J18" s="6073">
        <v>2</v>
      </c>
      <c r="K18" s="6074">
        <v>12</v>
      </c>
      <c r="L18" s="6075">
        <v>15.841726618705035</v>
      </c>
      <c r="M18" s="6073">
        <v>288</v>
      </c>
      <c r="N18" s="6076">
        <f t="shared" si="2"/>
        <v>3.8417266187050352</v>
      </c>
      <c r="O18" s="4318">
        <v>12</v>
      </c>
      <c r="Q18" s="5832">
        <v>1</v>
      </c>
      <c r="R18" s="5832">
        <v>2</v>
      </c>
      <c r="S18" s="5840">
        <v>12</v>
      </c>
      <c r="T18" s="5833">
        <v>14.623111261794074</v>
      </c>
      <c r="U18" s="5832">
        <v>288</v>
      </c>
      <c r="V18" s="1346">
        <f t="shared" si="3"/>
        <v>2.6231112617940742</v>
      </c>
      <c r="W18" s="4318">
        <v>12</v>
      </c>
      <c r="Y18" s="4316">
        <v>1</v>
      </c>
      <c r="Z18" s="4316">
        <v>2</v>
      </c>
      <c r="AA18" s="4245" t="s">
        <v>18</v>
      </c>
      <c r="AB18" s="4327">
        <v>14.636290322580646</v>
      </c>
      <c r="AC18" s="4628">
        <v>210</v>
      </c>
      <c r="AD18" s="1346">
        <f t="shared" si="4"/>
        <v>2.6362903225806456</v>
      </c>
      <c r="AE18" s="4318">
        <v>12</v>
      </c>
      <c r="AF18" s="4317"/>
      <c r="AG18" s="4316">
        <v>1</v>
      </c>
      <c r="AH18" s="4316">
        <v>2</v>
      </c>
      <c r="AI18" s="4245" t="s">
        <v>18</v>
      </c>
      <c r="AJ18" s="4327">
        <v>16.885086295633457</v>
      </c>
      <c r="AK18" s="4628">
        <v>324</v>
      </c>
      <c r="AL18" s="1346">
        <f t="shared" si="5"/>
        <v>4.8850862956334566</v>
      </c>
      <c r="AM18" s="4318">
        <v>12</v>
      </c>
      <c r="AO18" s="4237"/>
      <c r="AP18" s="4237"/>
      <c r="AQ18" s="4236" t="s">
        <v>18</v>
      </c>
      <c r="AR18" s="4237">
        <v>15.33</v>
      </c>
      <c r="AS18" s="4237">
        <v>228</v>
      </c>
      <c r="AT18" s="4294">
        <f t="shared" si="6"/>
        <v>3.33</v>
      </c>
      <c r="AU18" s="4295">
        <v>12</v>
      </c>
      <c r="AW18" s="97"/>
      <c r="AX18" s="97"/>
      <c r="AY18" s="42" t="s">
        <v>18</v>
      </c>
      <c r="AZ18" s="97">
        <v>15.16</v>
      </c>
      <c r="BA18" s="97">
        <v>282</v>
      </c>
      <c r="BB18" s="1281">
        <f t="shared" si="7"/>
        <v>3.16</v>
      </c>
      <c r="BC18" s="3706">
        <v>12</v>
      </c>
      <c r="BE18" s="4263"/>
      <c r="BF18" s="4263"/>
      <c r="BG18" s="4258" t="s">
        <v>18</v>
      </c>
      <c r="BH18" s="4263">
        <v>15.04</v>
      </c>
      <c r="BI18" s="4263">
        <v>207</v>
      </c>
      <c r="BJ18" s="4264">
        <f t="shared" si="8"/>
        <v>3.0399999999999991</v>
      </c>
      <c r="BK18" s="4265">
        <v>12</v>
      </c>
      <c r="BM18" s="36"/>
      <c r="BN18" s="36"/>
      <c r="BO18" s="36" t="s">
        <v>18</v>
      </c>
      <c r="BP18" s="1345">
        <v>15.42</v>
      </c>
      <c r="BQ18" s="95">
        <v>326</v>
      </c>
      <c r="BR18" s="1281">
        <f t="shared" si="9"/>
        <v>3.42</v>
      </c>
      <c r="BS18" s="1349">
        <v>12</v>
      </c>
      <c r="BT18" s="2106"/>
      <c r="BU18" s="97"/>
      <c r="BV18" s="97"/>
      <c r="BW18" s="36" t="s">
        <v>18</v>
      </c>
      <c r="BX18" s="95">
        <v>15.14</v>
      </c>
      <c r="BY18" s="95">
        <v>298</v>
      </c>
      <c r="BZ18" s="1281">
        <f t="shared" si="10"/>
        <v>3.1400000000000006</v>
      </c>
      <c r="CB18" s="95"/>
      <c r="CC18" s="95"/>
      <c r="CD18" s="36" t="s">
        <v>18</v>
      </c>
      <c r="CE18" s="1345">
        <v>15.26</v>
      </c>
      <c r="CF18" s="95">
        <v>284</v>
      </c>
      <c r="CG18" s="1335">
        <f t="shared" si="0"/>
        <v>3.26</v>
      </c>
      <c r="CI18" s="742"/>
      <c r="CJ18" s="742"/>
      <c r="CK18" s="1334" t="s">
        <v>18</v>
      </c>
      <c r="CL18" s="1265">
        <v>15.546125461254611</v>
      </c>
      <c r="CM18" s="1266">
        <v>271</v>
      </c>
      <c r="CN18" s="1335">
        <f t="shared" si="11"/>
        <v>3.5461254612546114</v>
      </c>
      <c r="CP18" s="1336"/>
      <c r="CQ18" s="1336"/>
      <c r="CR18" s="1337" t="s">
        <v>18</v>
      </c>
      <c r="CS18" s="1338">
        <v>237</v>
      </c>
      <c r="CT18" s="1339">
        <v>14.797468354430384</v>
      </c>
      <c r="CU18" s="1281">
        <f t="shared" si="12"/>
        <v>2.797468354430384</v>
      </c>
      <c r="CW18" s="1340"/>
      <c r="CX18" s="1340"/>
      <c r="CY18" s="1342" t="s">
        <v>18</v>
      </c>
      <c r="CZ18" s="1343">
        <v>347</v>
      </c>
      <c r="DA18" s="1344">
        <v>15.282420749279545</v>
      </c>
      <c r="DB18" s="1341">
        <f t="shared" si="13"/>
        <v>3.2824207492795452</v>
      </c>
      <c r="DC18" s="36"/>
      <c r="DD18" s="1340"/>
      <c r="DE18" s="1340"/>
      <c r="DF18" s="1342" t="s">
        <v>18</v>
      </c>
      <c r="DG18" s="1343">
        <v>230</v>
      </c>
      <c r="DH18" s="1344">
        <v>15.834782608695667</v>
      </c>
      <c r="DI18" s="1341">
        <f t="shared" si="14"/>
        <v>3.8347826086956669</v>
      </c>
      <c r="DJ18" s="36"/>
      <c r="DK18" s="95"/>
      <c r="DL18" s="95"/>
      <c r="DM18" s="36" t="s">
        <v>18</v>
      </c>
      <c r="DN18" s="95">
        <v>169</v>
      </c>
      <c r="DO18" s="1345">
        <v>16.100591715976321</v>
      </c>
      <c r="DP18" s="1346">
        <f t="shared" si="15"/>
        <v>4.1005917159763214</v>
      </c>
      <c r="DQ18" s="36"/>
      <c r="DR18" s="1347"/>
      <c r="DS18" s="1347"/>
      <c r="DT18" s="392" t="s">
        <v>18</v>
      </c>
      <c r="DU18" s="1347">
        <v>237</v>
      </c>
      <c r="DV18" s="1348">
        <v>15.873417721518992</v>
      </c>
      <c r="DW18" s="1349">
        <v>12</v>
      </c>
      <c r="DX18" s="1667">
        <f t="shared" si="16"/>
        <v>3.873417721518992</v>
      </c>
    </row>
    <row r="19" spans="1:128">
      <c r="A19" s="6391">
        <v>1</v>
      </c>
      <c r="B19" s="6391">
        <v>2</v>
      </c>
      <c r="C19" s="6391">
        <v>14</v>
      </c>
      <c r="D19" s="6392">
        <v>18.45</v>
      </c>
      <c r="E19" s="6391">
        <v>84</v>
      </c>
      <c r="F19" s="6076">
        <f t="shared" si="1"/>
        <v>6.4499999999999993</v>
      </c>
      <c r="G19" s="4318">
        <v>12</v>
      </c>
      <c r="I19" s="6073">
        <v>1</v>
      </c>
      <c r="J19" s="6073">
        <v>2</v>
      </c>
      <c r="K19" s="6074">
        <v>13</v>
      </c>
      <c r="L19" s="6075">
        <v>19.5</v>
      </c>
      <c r="M19" s="6073">
        <v>58</v>
      </c>
      <c r="N19" s="6076">
        <f t="shared" si="2"/>
        <v>7.5</v>
      </c>
      <c r="O19" s="4318">
        <v>12</v>
      </c>
      <c r="Q19" s="5832">
        <v>1</v>
      </c>
      <c r="R19" s="5832">
        <v>2</v>
      </c>
      <c r="S19" s="5840">
        <v>13</v>
      </c>
      <c r="T19" s="5833">
        <v>18.918716931216931</v>
      </c>
      <c r="U19" s="5832">
        <v>58</v>
      </c>
      <c r="V19" s="1346">
        <f t="shared" si="3"/>
        <v>6.918716931216931</v>
      </c>
      <c r="W19" s="4318">
        <v>12</v>
      </c>
      <c r="Y19" s="4316">
        <v>1</v>
      </c>
      <c r="Z19" s="4316">
        <v>2</v>
      </c>
      <c r="AA19" s="4245" t="s">
        <v>19</v>
      </c>
      <c r="AB19" s="4327">
        <v>17.904040404040405</v>
      </c>
      <c r="AC19" s="4628">
        <v>39</v>
      </c>
      <c r="AD19" s="1346">
        <f t="shared" si="4"/>
        <v>5.9040404040404049</v>
      </c>
      <c r="AE19" s="4318">
        <v>12</v>
      </c>
      <c r="AG19" s="4316">
        <v>1</v>
      </c>
      <c r="AH19" s="4316">
        <v>2</v>
      </c>
      <c r="AI19" s="4245" t="s">
        <v>19</v>
      </c>
      <c r="AJ19" s="4327">
        <v>19.353219696969699</v>
      </c>
      <c r="AK19" s="4628">
        <v>63</v>
      </c>
      <c r="AL19" s="1346">
        <f t="shared" si="5"/>
        <v>7.353219696969699</v>
      </c>
      <c r="AM19" s="4318">
        <v>12</v>
      </c>
      <c r="AO19" s="4237"/>
      <c r="AP19" s="4237"/>
      <c r="AQ19" s="4236" t="s">
        <v>19</v>
      </c>
      <c r="AR19" s="4237">
        <v>19.559999999999999</v>
      </c>
      <c r="AS19" s="4237">
        <v>36</v>
      </c>
      <c r="AT19" s="4294">
        <f t="shared" si="6"/>
        <v>7.5599999999999987</v>
      </c>
      <c r="AU19" s="4295">
        <v>12</v>
      </c>
      <c r="AW19" s="97"/>
      <c r="AX19" s="97"/>
      <c r="AY19" s="42" t="s">
        <v>19</v>
      </c>
      <c r="AZ19" s="97">
        <v>21.06</v>
      </c>
      <c r="BA19" s="97">
        <v>69</v>
      </c>
      <c r="BB19" s="1281">
        <f t="shared" si="7"/>
        <v>9.0599999999999987</v>
      </c>
      <c r="BC19" s="3706">
        <v>12</v>
      </c>
      <c r="BE19" s="4263"/>
      <c r="BF19" s="4263"/>
      <c r="BG19" s="4258" t="s">
        <v>19</v>
      </c>
      <c r="BH19" s="4263">
        <v>20.47</v>
      </c>
      <c r="BI19" s="4263">
        <v>47</v>
      </c>
      <c r="BJ19" s="4264">
        <f t="shared" si="8"/>
        <v>8.4699999999999989</v>
      </c>
      <c r="BK19" s="4265">
        <v>12</v>
      </c>
      <c r="BM19" s="36"/>
      <c r="BN19" s="36"/>
      <c r="BO19" s="36" t="s">
        <v>19</v>
      </c>
      <c r="BP19" s="1345">
        <v>19.079999999999998</v>
      </c>
      <c r="BQ19" s="95">
        <v>65</v>
      </c>
      <c r="BR19" s="1281">
        <f t="shared" si="9"/>
        <v>7.0799999999999983</v>
      </c>
      <c r="BS19" s="1349">
        <v>12</v>
      </c>
      <c r="BT19" s="2106"/>
      <c r="BU19" s="97"/>
      <c r="BV19" s="97"/>
      <c r="BW19" s="36" t="s">
        <v>19</v>
      </c>
      <c r="BX19" s="95">
        <v>18.510000000000002</v>
      </c>
      <c r="BY19" s="95">
        <v>72</v>
      </c>
      <c r="BZ19" s="1281">
        <f t="shared" si="10"/>
        <v>6.5100000000000016</v>
      </c>
      <c r="CB19" s="95"/>
      <c r="CC19" s="95"/>
      <c r="CD19" s="36" t="s">
        <v>19</v>
      </c>
      <c r="CE19" s="1345">
        <v>18</v>
      </c>
      <c r="CF19" s="95">
        <v>63</v>
      </c>
      <c r="CG19" s="1335">
        <f t="shared" si="0"/>
        <v>6</v>
      </c>
      <c r="CI19" s="742"/>
      <c r="CJ19" s="742"/>
      <c r="CK19" s="1334" t="s">
        <v>19</v>
      </c>
      <c r="CL19" s="1265">
        <v>17.918918918918923</v>
      </c>
      <c r="CM19" s="1266">
        <v>74</v>
      </c>
      <c r="CN19" s="1335">
        <f t="shared" si="11"/>
        <v>5.9189189189189229</v>
      </c>
      <c r="CP19" s="1336"/>
      <c r="CQ19" s="1336"/>
      <c r="CR19" s="1337" t="s">
        <v>19</v>
      </c>
      <c r="CS19" s="1338">
        <v>55</v>
      </c>
      <c r="CT19" s="1339">
        <v>19</v>
      </c>
      <c r="CU19" s="1281">
        <f t="shared" si="12"/>
        <v>7</v>
      </c>
      <c r="CW19" s="1340"/>
      <c r="CX19" s="1340"/>
      <c r="CY19" s="1342" t="s">
        <v>19</v>
      </c>
      <c r="CZ19" s="1343">
        <v>74</v>
      </c>
      <c r="DA19" s="1344">
        <v>18.216216216216214</v>
      </c>
      <c r="DB19" s="1341">
        <f t="shared" si="13"/>
        <v>6.216216216216214</v>
      </c>
      <c r="DC19" s="36"/>
      <c r="DD19" s="1340"/>
      <c r="DE19" s="1340"/>
      <c r="DF19" s="1342" t="s">
        <v>19</v>
      </c>
      <c r="DG19" s="1343">
        <v>56</v>
      </c>
      <c r="DH19" s="1344">
        <v>18.928571428571427</v>
      </c>
      <c r="DI19" s="1341">
        <f t="shared" si="14"/>
        <v>6.928571428571427</v>
      </c>
      <c r="DJ19" s="36"/>
      <c r="DK19" s="95"/>
      <c r="DL19" s="95"/>
      <c r="DM19" s="36" t="s">
        <v>19</v>
      </c>
      <c r="DN19" s="95">
        <v>51</v>
      </c>
      <c r="DO19" s="1345">
        <v>18.843137254901961</v>
      </c>
      <c r="DP19" s="1346">
        <f t="shared" si="15"/>
        <v>6.8431372549019613</v>
      </c>
      <c r="DQ19" s="36"/>
      <c r="DR19" s="1347"/>
      <c r="DS19" s="1347"/>
      <c r="DT19" s="392" t="s">
        <v>19</v>
      </c>
      <c r="DU19" s="1347">
        <v>61</v>
      </c>
      <c r="DV19" s="1348">
        <v>19.426229508196727</v>
      </c>
      <c r="DW19" s="1349">
        <v>12</v>
      </c>
      <c r="DX19" s="1667">
        <f t="shared" si="16"/>
        <v>7.4262295081967267</v>
      </c>
    </row>
    <row r="20" spans="1:128">
      <c r="A20" s="6391">
        <v>1</v>
      </c>
      <c r="B20" s="6391">
        <v>4</v>
      </c>
      <c r="C20" s="6391">
        <v>17</v>
      </c>
      <c r="D20" s="6392">
        <v>15.102689594356262</v>
      </c>
      <c r="E20" s="6391">
        <v>138</v>
      </c>
      <c r="F20" s="6076">
        <f t="shared" si="1"/>
        <v>3.1026895943562618</v>
      </c>
      <c r="G20" s="4318">
        <v>12</v>
      </c>
      <c r="I20" s="6073">
        <v>1</v>
      </c>
      <c r="J20" s="6073">
        <v>2</v>
      </c>
      <c r="K20" s="6074">
        <v>14</v>
      </c>
      <c r="L20" s="6075">
        <v>18.603174603174605</v>
      </c>
      <c r="M20" s="6073">
        <v>95</v>
      </c>
      <c r="N20" s="6076">
        <f t="shared" si="2"/>
        <v>6.6031746031746046</v>
      </c>
      <c r="O20" s="4318">
        <v>12</v>
      </c>
      <c r="Q20" s="5832">
        <v>1</v>
      </c>
      <c r="R20" s="5832">
        <v>2</v>
      </c>
      <c r="S20" s="5840">
        <v>14</v>
      </c>
      <c r="T20" s="5833">
        <v>17.348880275624463</v>
      </c>
      <c r="U20" s="5832">
        <v>95</v>
      </c>
      <c r="V20" s="1346">
        <f t="shared" si="3"/>
        <v>5.3488802756244631</v>
      </c>
      <c r="W20" s="4318">
        <v>12</v>
      </c>
      <c r="Y20" s="4316">
        <v>1</v>
      </c>
      <c r="Z20" s="4316">
        <v>2</v>
      </c>
      <c r="AA20" s="4245" t="s">
        <v>20</v>
      </c>
      <c r="AB20" s="4327">
        <v>16.855246913580245</v>
      </c>
      <c r="AC20" s="4628">
        <v>68</v>
      </c>
      <c r="AD20" s="1346">
        <f t="shared" si="4"/>
        <v>4.8552469135802454</v>
      </c>
      <c r="AE20" s="4318">
        <v>12</v>
      </c>
      <c r="AG20" s="4316">
        <v>1</v>
      </c>
      <c r="AH20" s="4316">
        <v>2</v>
      </c>
      <c r="AI20" s="4245" t="s">
        <v>20</v>
      </c>
      <c r="AJ20" s="4327">
        <v>17.713782051282049</v>
      </c>
      <c r="AK20" s="4628">
        <v>69</v>
      </c>
      <c r="AL20" s="1346">
        <f t="shared" si="5"/>
        <v>5.713782051282049</v>
      </c>
      <c r="AM20" s="4318">
        <v>12</v>
      </c>
      <c r="AO20" s="4237"/>
      <c r="AP20" s="4237"/>
      <c r="AQ20" s="4236" t="s">
        <v>20</v>
      </c>
      <c r="AR20" s="4237">
        <v>17.43</v>
      </c>
      <c r="AS20" s="4237">
        <v>53</v>
      </c>
      <c r="AT20" s="4294">
        <f t="shared" si="6"/>
        <v>5.43</v>
      </c>
      <c r="AU20" s="4295">
        <v>12</v>
      </c>
      <c r="AW20" s="97"/>
      <c r="AX20" s="97"/>
      <c r="AY20" s="42" t="s">
        <v>20</v>
      </c>
      <c r="AZ20" s="97">
        <v>18.149999999999999</v>
      </c>
      <c r="BA20" s="97">
        <v>96</v>
      </c>
      <c r="BB20" s="1281">
        <f t="shared" si="7"/>
        <v>6.1499999999999986</v>
      </c>
      <c r="BC20" s="3706">
        <v>12</v>
      </c>
      <c r="BE20" s="4263"/>
      <c r="BF20" s="4263"/>
      <c r="BG20" s="4258" t="s">
        <v>20</v>
      </c>
      <c r="BH20" s="4263">
        <v>17.829999999999998</v>
      </c>
      <c r="BI20" s="4263">
        <v>72</v>
      </c>
      <c r="BJ20" s="4264">
        <f t="shared" si="8"/>
        <v>5.8299999999999983</v>
      </c>
      <c r="BK20" s="4265">
        <v>12</v>
      </c>
      <c r="BM20" s="36"/>
      <c r="BN20" s="36"/>
      <c r="BO20" s="36" t="s">
        <v>20</v>
      </c>
      <c r="BP20" s="1345">
        <v>18.62</v>
      </c>
      <c r="BQ20" s="95">
        <v>82</v>
      </c>
      <c r="BR20" s="1281">
        <f t="shared" si="9"/>
        <v>6.620000000000001</v>
      </c>
      <c r="BS20" s="1349">
        <v>12</v>
      </c>
      <c r="BT20" s="2106"/>
      <c r="BU20" s="97"/>
      <c r="BV20" s="97"/>
      <c r="BW20" s="36" t="s">
        <v>20</v>
      </c>
      <c r="BX20" s="95">
        <v>18.84</v>
      </c>
      <c r="BY20" s="95">
        <v>90</v>
      </c>
      <c r="BZ20" s="1281">
        <f t="shared" si="10"/>
        <v>6.84</v>
      </c>
      <c r="CB20" s="95"/>
      <c r="CC20" s="95"/>
      <c r="CD20" s="36" t="s">
        <v>20</v>
      </c>
      <c r="CE20" s="1345">
        <v>16.82</v>
      </c>
      <c r="CF20" s="95">
        <v>62</v>
      </c>
      <c r="CG20" s="1335">
        <f t="shared" si="0"/>
        <v>4.82</v>
      </c>
      <c r="CI20" s="742"/>
      <c r="CJ20" s="742"/>
      <c r="CK20" s="1334" t="s">
        <v>20</v>
      </c>
      <c r="CL20" s="1265">
        <v>17.861702127659573</v>
      </c>
      <c r="CM20" s="1266">
        <v>94</v>
      </c>
      <c r="CN20" s="1335">
        <f t="shared" si="11"/>
        <v>5.8617021276595729</v>
      </c>
      <c r="CP20" s="1336"/>
      <c r="CQ20" s="1336"/>
      <c r="CR20" s="1337" t="s">
        <v>20</v>
      </c>
      <c r="CS20" s="1338">
        <v>90</v>
      </c>
      <c r="CT20" s="1339">
        <v>17.399999999999999</v>
      </c>
      <c r="CU20" s="1281">
        <f t="shared" si="12"/>
        <v>5.3999999999999986</v>
      </c>
      <c r="CW20" s="1340"/>
      <c r="CX20" s="1340"/>
      <c r="CY20" s="1342" t="s">
        <v>20</v>
      </c>
      <c r="CZ20" s="1343">
        <v>93</v>
      </c>
      <c r="DA20" s="1344">
        <v>18.225806451612893</v>
      </c>
      <c r="DB20" s="1341">
        <f t="shared" si="13"/>
        <v>6.2258064516128933</v>
      </c>
      <c r="DC20" s="36"/>
      <c r="DD20" s="1340"/>
      <c r="DE20" s="1340"/>
      <c r="DF20" s="1342" t="s">
        <v>20</v>
      </c>
      <c r="DG20" s="1343">
        <v>57</v>
      </c>
      <c r="DH20" s="1344">
        <v>18.368421052631579</v>
      </c>
      <c r="DI20" s="1341">
        <f t="shared" si="14"/>
        <v>6.3684210526315788</v>
      </c>
      <c r="DJ20" s="36"/>
      <c r="DK20" s="95"/>
      <c r="DL20" s="95"/>
      <c r="DM20" s="36" t="s">
        <v>20</v>
      </c>
      <c r="DN20" s="95">
        <v>78</v>
      </c>
      <c r="DO20" s="1345">
        <v>17.538461538461537</v>
      </c>
      <c r="DP20" s="1346">
        <f t="shared" si="15"/>
        <v>5.5384615384615365</v>
      </c>
      <c r="DQ20" s="36"/>
      <c r="DR20" s="1347"/>
      <c r="DS20" s="1347"/>
      <c r="DT20" s="392" t="s">
        <v>20</v>
      </c>
      <c r="DU20" s="1347">
        <v>69</v>
      </c>
      <c r="DV20" s="1348">
        <v>17.623188405797098</v>
      </c>
      <c r="DW20" s="1349">
        <v>12</v>
      </c>
      <c r="DX20" s="1667">
        <f t="shared" si="16"/>
        <v>5.623188405797098</v>
      </c>
    </row>
    <row r="21" spans="1:128">
      <c r="A21" s="6391">
        <v>1</v>
      </c>
      <c r="B21" s="6391">
        <v>4</v>
      </c>
      <c r="C21" s="6391">
        <v>18</v>
      </c>
      <c r="D21" s="6392">
        <v>14.347482931745418</v>
      </c>
      <c r="E21" s="6391">
        <v>178</v>
      </c>
      <c r="F21" s="6076">
        <f t="shared" si="1"/>
        <v>2.347482931745418</v>
      </c>
      <c r="G21" s="4318">
        <v>12</v>
      </c>
      <c r="I21" s="6073"/>
      <c r="J21" s="6073"/>
      <c r="K21" s="4424" t="s">
        <v>483</v>
      </c>
      <c r="L21" s="6075">
        <v>17.3</v>
      </c>
      <c r="M21" s="6077">
        <f>SUM(M17:M20)</f>
        <v>601</v>
      </c>
      <c r="N21" s="6076">
        <f t="shared" si="2"/>
        <v>5.3000000000000007</v>
      </c>
      <c r="O21" s="4319">
        <v>12</v>
      </c>
      <c r="Q21" s="5832"/>
      <c r="R21" s="5832"/>
      <c r="S21" s="4424" t="s">
        <v>483</v>
      </c>
      <c r="T21" s="5843">
        <v>16.285658547205518</v>
      </c>
      <c r="U21" s="5838">
        <f>SUM(U17:U20)</f>
        <v>601</v>
      </c>
      <c r="V21" s="1346">
        <f t="shared" si="3"/>
        <v>4.285658547205518</v>
      </c>
      <c r="W21" s="4319">
        <v>12</v>
      </c>
      <c r="Y21" s="4316"/>
      <c r="Z21" s="4316"/>
      <c r="AA21" s="4246" t="s">
        <v>483</v>
      </c>
      <c r="AB21" s="4828">
        <v>15.992286779069861</v>
      </c>
      <c r="AC21" s="4627">
        <f>SUM(AC17:AC20)</f>
        <v>433</v>
      </c>
      <c r="AD21" s="1361">
        <f t="shared" si="4"/>
        <v>3.9922867790698611</v>
      </c>
      <c r="AE21" s="4319">
        <v>12</v>
      </c>
      <c r="AG21" s="4316"/>
      <c r="AH21" s="4316"/>
      <c r="AI21" s="4246" t="s">
        <v>483</v>
      </c>
      <c r="AJ21" s="4328">
        <v>17.061574906537064</v>
      </c>
      <c r="AK21" s="4627">
        <f>SUM(AK17:AK20)</f>
        <v>636</v>
      </c>
      <c r="AL21" s="1361">
        <f t="shared" si="5"/>
        <v>5.0615749065370643</v>
      </c>
      <c r="AM21" s="4319">
        <v>12</v>
      </c>
      <c r="AO21" s="4237"/>
      <c r="AP21" s="4237"/>
      <c r="AQ21" s="4214" t="s">
        <v>483</v>
      </c>
      <c r="AR21" s="4239">
        <v>15.48</v>
      </c>
      <c r="AS21" s="4239">
        <v>454</v>
      </c>
      <c r="AT21" s="4296">
        <f t="shared" si="6"/>
        <v>3.4800000000000004</v>
      </c>
      <c r="AU21" s="4295">
        <v>12</v>
      </c>
      <c r="AW21" s="97"/>
      <c r="AX21" s="97"/>
      <c r="AY21" s="893" t="s">
        <v>483</v>
      </c>
      <c r="AZ21" s="135">
        <v>16.22</v>
      </c>
      <c r="BA21" s="135">
        <v>628</v>
      </c>
      <c r="BB21" s="1675">
        <f t="shared" si="7"/>
        <v>4.2199999999999989</v>
      </c>
      <c r="BC21" s="3706">
        <v>12</v>
      </c>
      <c r="BE21" s="4263"/>
      <c r="BF21" s="4263"/>
      <c r="BG21" s="4257" t="s">
        <v>483</v>
      </c>
      <c r="BH21" s="4266">
        <v>15.95</v>
      </c>
      <c r="BI21" s="4266">
        <v>451</v>
      </c>
      <c r="BJ21" s="4267">
        <f t="shared" si="8"/>
        <v>3.9499999999999993</v>
      </c>
      <c r="BK21" s="4265">
        <v>12</v>
      </c>
      <c r="BM21" s="36"/>
      <c r="BN21" s="36"/>
      <c r="BO21" s="393" t="s">
        <v>483</v>
      </c>
      <c r="BP21" s="1360">
        <v>16.010000000000002</v>
      </c>
      <c r="BQ21" s="2015">
        <v>678</v>
      </c>
      <c r="BR21" s="1675">
        <f t="shared" si="9"/>
        <v>4.0100000000000016</v>
      </c>
      <c r="BS21" s="1349">
        <v>12</v>
      </c>
      <c r="BT21" s="2106"/>
      <c r="BU21" s="97"/>
      <c r="BV21" s="97"/>
      <c r="BW21" s="393" t="s">
        <v>483</v>
      </c>
      <c r="BX21" s="86">
        <v>16.07</v>
      </c>
      <c r="BY21" s="86">
        <v>656</v>
      </c>
      <c r="BZ21" s="1675">
        <f t="shared" si="10"/>
        <v>4.07</v>
      </c>
      <c r="CB21" s="95"/>
      <c r="CC21" s="95"/>
      <c r="CD21" s="393" t="s">
        <v>483</v>
      </c>
      <c r="CE21" s="1360">
        <v>15.62</v>
      </c>
      <c r="CF21" s="86">
        <v>578</v>
      </c>
      <c r="CG21" s="1480">
        <f t="shared" si="0"/>
        <v>3.6199999999999992</v>
      </c>
      <c r="CI21" s="742"/>
      <c r="CJ21" s="742"/>
      <c r="CK21" s="1350" t="s">
        <v>483</v>
      </c>
      <c r="CL21" s="1351">
        <v>16.227344992050885</v>
      </c>
      <c r="CM21" s="1352">
        <v>629</v>
      </c>
      <c r="CN21" s="1335">
        <f t="shared" si="11"/>
        <v>4.2273449920508845</v>
      </c>
      <c r="CP21" s="1336"/>
      <c r="CQ21" s="1336"/>
      <c r="CR21" s="1353" t="s">
        <v>483</v>
      </c>
      <c r="CS21" s="1354">
        <v>561</v>
      </c>
      <c r="CT21" s="1355">
        <v>15.675579322638137</v>
      </c>
      <c r="CU21" s="1281">
        <f t="shared" si="12"/>
        <v>3.6755793226381375</v>
      </c>
      <c r="CW21" s="1340"/>
      <c r="CX21" s="1340"/>
      <c r="CY21" s="1356" t="s">
        <v>483</v>
      </c>
      <c r="CZ21" s="1357">
        <f>SUM(CZ17:CZ20)</f>
        <v>724</v>
      </c>
      <c r="DA21" s="1358">
        <v>16.04</v>
      </c>
      <c r="DB21" s="1359">
        <f t="shared" si="13"/>
        <v>4.0399999999999991</v>
      </c>
      <c r="DC21" s="36"/>
      <c r="DD21" s="1340"/>
      <c r="DE21" s="1340"/>
      <c r="DF21" s="1356" t="s">
        <v>483</v>
      </c>
      <c r="DG21" s="1357">
        <v>524</v>
      </c>
      <c r="DH21" s="1358">
        <v>16.009541984732831</v>
      </c>
      <c r="DI21" s="1359">
        <f t="shared" si="14"/>
        <v>4.0095419847328309</v>
      </c>
      <c r="DJ21" s="36"/>
      <c r="DK21" s="95"/>
      <c r="DL21" s="95"/>
      <c r="DM21" s="393" t="s">
        <v>15</v>
      </c>
      <c r="DN21" s="86">
        <v>439</v>
      </c>
      <c r="DO21" s="1360">
        <v>16.412300683371296</v>
      </c>
      <c r="DP21" s="1361">
        <f t="shared" si="15"/>
        <v>4.4123006833712957</v>
      </c>
      <c r="DQ21" s="36"/>
      <c r="DR21" s="1347"/>
      <c r="DS21" s="1347"/>
      <c r="DT21" s="1362" t="s">
        <v>15</v>
      </c>
      <c r="DU21" s="1363">
        <v>503</v>
      </c>
      <c r="DV21" s="1364">
        <v>16.37972166998011</v>
      </c>
      <c r="DW21" s="1349">
        <v>12</v>
      </c>
      <c r="DX21" s="1668">
        <f t="shared" si="16"/>
        <v>4.3797216699801105</v>
      </c>
    </row>
    <row r="22" spans="1:128">
      <c r="A22" s="6391">
        <v>1</v>
      </c>
      <c r="B22" s="6391">
        <v>4</v>
      </c>
      <c r="C22" s="6391">
        <v>19</v>
      </c>
      <c r="D22" s="6392">
        <v>14.172008547008547</v>
      </c>
      <c r="E22" s="6391">
        <v>107</v>
      </c>
      <c r="F22" s="6076">
        <f t="shared" si="1"/>
        <v>2.1720085470085468</v>
      </c>
      <c r="G22" s="4318">
        <v>12</v>
      </c>
      <c r="I22" s="6073">
        <v>1</v>
      </c>
      <c r="J22" s="6073">
        <v>4</v>
      </c>
      <c r="K22" s="6074">
        <v>17</v>
      </c>
      <c r="L22" s="6075">
        <v>15.628571428571428</v>
      </c>
      <c r="M22" s="6073">
        <v>108</v>
      </c>
      <c r="N22" s="6076">
        <f t="shared" si="2"/>
        <v>3.6285714285714281</v>
      </c>
      <c r="O22" s="4318">
        <v>12</v>
      </c>
      <c r="Q22" s="5832">
        <v>1</v>
      </c>
      <c r="R22" s="5832">
        <v>4</v>
      </c>
      <c r="S22" s="5840">
        <v>17</v>
      </c>
      <c r="T22" s="5833">
        <v>14.349195460704607</v>
      </c>
      <c r="U22" s="5832">
        <v>108</v>
      </c>
      <c r="V22" s="1346">
        <f t="shared" si="3"/>
        <v>2.3491954607046068</v>
      </c>
      <c r="W22" s="4318">
        <v>12</v>
      </c>
      <c r="Y22" s="4316">
        <v>1</v>
      </c>
      <c r="Z22" s="4316">
        <v>4</v>
      </c>
      <c r="AA22" s="4245" t="s">
        <v>22</v>
      </c>
      <c r="AB22" s="4327">
        <v>14.559289215686274</v>
      </c>
      <c r="AC22" s="4628">
        <v>88</v>
      </c>
      <c r="AD22" s="1346">
        <f t="shared" si="4"/>
        <v>2.5592892156862739</v>
      </c>
      <c r="AE22" s="4318">
        <v>12</v>
      </c>
      <c r="AG22" s="4316">
        <v>1</v>
      </c>
      <c r="AH22" s="4316">
        <v>4</v>
      </c>
      <c r="AI22" s="4245" t="s">
        <v>22</v>
      </c>
      <c r="AJ22" s="4327">
        <v>19.391299903799904</v>
      </c>
      <c r="AK22" s="4628">
        <v>112</v>
      </c>
      <c r="AL22" s="1346">
        <f t="shared" si="5"/>
        <v>7.3912999037999043</v>
      </c>
      <c r="AM22" s="4318">
        <v>12</v>
      </c>
      <c r="AO22" s="4237"/>
      <c r="AP22" s="4237" t="s">
        <v>21</v>
      </c>
      <c r="AQ22" s="4236" t="s">
        <v>22</v>
      </c>
      <c r="AR22" s="4237">
        <v>18.27</v>
      </c>
      <c r="AS22" s="4237">
        <v>85</v>
      </c>
      <c r="AT22" s="4294">
        <f t="shared" si="6"/>
        <v>6.27</v>
      </c>
      <c r="AU22" s="4295">
        <v>12</v>
      </c>
      <c r="AW22" s="97"/>
      <c r="AX22" s="97" t="s">
        <v>21</v>
      </c>
      <c r="AY22" s="42" t="s">
        <v>22</v>
      </c>
      <c r="AZ22" s="97">
        <v>16.39</v>
      </c>
      <c r="BA22" s="97">
        <v>130</v>
      </c>
      <c r="BB22" s="1281">
        <f t="shared" si="7"/>
        <v>4.3900000000000006</v>
      </c>
      <c r="BC22" s="3706">
        <v>12</v>
      </c>
      <c r="BE22" s="4263"/>
      <c r="BF22" s="4263" t="s">
        <v>21</v>
      </c>
      <c r="BG22" s="4258" t="s">
        <v>22</v>
      </c>
      <c r="BH22" s="4263">
        <v>15.79</v>
      </c>
      <c r="BI22" s="4263">
        <v>99</v>
      </c>
      <c r="BJ22" s="4264">
        <f t="shared" si="8"/>
        <v>3.7899999999999991</v>
      </c>
      <c r="BK22" s="4265">
        <v>12</v>
      </c>
      <c r="BM22" s="36"/>
      <c r="BN22" s="36" t="s">
        <v>21</v>
      </c>
      <c r="BO22" s="36" t="s">
        <v>22</v>
      </c>
      <c r="BP22" s="1345">
        <v>17.350000000000001</v>
      </c>
      <c r="BQ22" s="95">
        <v>104</v>
      </c>
      <c r="BR22" s="1281">
        <f t="shared" si="9"/>
        <v>5.3500000000000014</v>
      </c>
      <c r="BS22" s="1349">
        <v>12</v>
      </c>
      <c r="BT22" s="2106"/>
      <c r="BU22" s="97"/>
      <c r="BV22" s="97" t="s">
        <v>21</v>
      </c>
      <c r="BW22" s="36" t="s">
        <v>22</v>
      </c>
      <c r="BX22" s="95">
        <v>18.23</v>
      </c>
      <c r="BY22" s="95">
        <v>137</v>
      </c>
      <c r="BZ22" s="1281">
        <f t="shared" si="10"/>
        <v>6.23</v>
      </c>
      <c r="CB22" s="95"/>
      <c r="CC22" s="95" t="s">
        <v>21</v>
      </c>
      <c r="CD22" s="36" t="s">
        <v>22</v>
      </c>
      <c r="CE22" s="1345">
        <v>18.62</v>
      </c>
      <c r="CF22" s="95">
        <v>106</v>
      </c>
      <c r="CG22" s="1335">
        <f t="shared" si="0"/>
        <v>6.620000000000001</v>
      </c>
      <c r="CI22" s="742"/>
      <c r="CJ22" s="742" t="s">
        <v>21</v>
      </c>
      <c r="CK22" s="1334" t="s">
        <v>22</v>
      </c>
      <c r="CL22" s="1265">
        <v>18.161764705882348</v>
      </c>
      <c r="CM22" s="1266">
        <v>136</v>
      </c>
      <c r="CN22" s="1335">
        <f t="shared" si="11"/>
        <v>6.1617647058823479</v>
      </c>
      <c r="CP22" s="1336"/>
      <c r="CQ22" s="1336" t="s">
        <v>21</v>
      </c>
      <c r="CR22" s="1337" t="s">
        <v>22</v>
      </c>
      <c r="CS22" s="1338">
        <v>118</v>
      </c>
      <c r="CT22" s="1339">
        <v>17.415254237288142</v>
      </c>
      <c r="CU22" s="1281">
        <f t="shared" si="12"/>
        <v>5.415254237288142</v>
      </c>
      <c r="CW22" s="1340"/>
      <c r="CX22" s="1340" t="s">
        <v>21</v>
      </c>
      <c r="CY22" s="1342" t="s">
        <v>22</v>
      </c>
      <c r="CZ22" s="1343">
        <v>137</v>
      </c>
      <c r="DA22" s="1344">
        <v>16.693430656934307</v>
      </c>
      <c r="DB22" s="1341">
        <f t="shared" si="13"/>
        <v>4.6934306569343072</v>
      </c>
      <c r="DC22" s="36"/>
      <c r="DD22" s="1340"/>
      <c r="DE22" s="1340" t="s">
        <v>21</v>
      </c>
      <c r="DF22" s="1342" t="s">
        <v>22</v>
      </c>
      <c r="DG22" s="1343">
        <v>85</v>
      </c>
      <c r="DH22" s="1344">
        <v>16.776470588235288</v>
      </c>
      <c r="DI22" s="1341">
        <f t="shared" si="14"/>
        <v>4.7764705882352878</v>
      </c>
      <c r="DJ22" s="36"/>
      <c r="DK22" s="95"/>
      <c r="DL22" s="95" t="s">
        <v>21</v>
      </c>
      <c r="DM22" s="36" t="s">
        <v>22</v>
      </c>
      <c r="DN22" s="95">
        <v>91</v>
      </c>
      <c r="DO22" s="1345">
        <v>16.131868131868135</v>
      </c>
      <c r="DP22" s="1346">
        <f t="shared" si="15"/>
        <v>4.131868131868135</v>
      </c>
      <c r="DQ22" s="36"/>
      <c r="DR22" s="1347"/>
      <c r="DS22" s="1347" t="s">
        <v>21</v>
      </c>
      <c r="DT22" s="392" t="s">
        <v>22</v>
      </c>
      <c r="DU22" s="1347">
        <v>117</v>
      </c>
      <c r="DV22" s="1348">
        <v>17.606837606837612</v>
      </c>
      <c r="DW22" s="1349">
        <v>12</v>
      </c>
      <c r="DX22" s="1667">
        <f t="shared" si="16"/>
        <v>5.6068376068376118</v>
      </c>
    </row>
    <row r="23" spans="1:128">
      <c r="A23" s="6391">
        <v>2</v>
      </c>
      <c r="B23" s="6391">
        <v>1</v>
      </c>
      <c r="C23" s="6391">
        <v>22</v>
      </c>
      <c r="D23" s="6392">
        <v>21.268560606060607</v>
      </c>
      <c r="E23" s="6391">
        <v>49</v>
      </c>
      <c r="F23" s="6076">
        <f t="shared" si="1"/>
        <v>9.2685606060606069</v>
      </c>
      <c r="G23" s="4318">
        <v>12</v>
      </c>
      <c r="I23" s="6073">
        <v>1</v>
      </c>
      <c r="J23" s="6073">
        <v>4</v>
      </c>
      <c r="K23" s="6074">
        <v>18</v>
      </c>
      <c r="L23" s="6075">
        <v>14.422818791946309</v>
      </c>
      <c r="M23" s="6073">
        <v>168</v>
      </c>
      <c r="N23" s="6076">
        <f t="shared" si="2"/>
        <v>2.4228187919463089</v>
      </c>
      <c r="O23" s="4318">
        <v>12</v>
      </c>
      <c r="Q23" s="5832">
        <v>1</v>
      </c>
      <c r="R23" s="5832">
        <v>4</v>
      </c>
      <c r="S23" s="5840">
        <v>18</v>
      </c>
      <c r="T23" s="5833">
        <v>15.73351397474844</v>
      </c>
      <c r="U23" s="5832">
        <v>168</v>
      </c>
      <c r="V23" s="1346">
        <f t="shared" si="3"/>
        <v>3.7335139747484405</v>
      </c>
      <c r="W23" s="4318">
        <v>12</v>
      </c>
      <c r="Y23" s="4316">
        <v>1</v>
      </c>
      <c r="Z23" s="4316">
        <v>4</v>
      </c>
      <c r="AA23" s="4245" t="s">
        <v>23</v>
      </c>
      <c r="AB23" s="4327">
        <v>15.384439634439635</v>
      </c>
      <c r="AC23" s="4628">
        <v>148</v>
      </c>
      <c r="AD23" s="1346">
        <f t="shared" si="4"/>
        <v>3.3844396344396355</v>
      </c>
      <c r="AE23" s="4318">
        <v>12</v>
      </c>
      <c r="AG23" s="4316">
        <v>1</v>
      </c>
      <c r="AH23" s="4316">
        <v>4</v>
      </c>
      <c r="AI23" s="4245" t="s">
        <v>23</v>
      </c>
      <c r="AJ23" s="4327">
        <v>15.61358850713904</v>
      </c>
      <c r="AK23" s="4628">
        <v>199</v>
      </c>
      <c r="AL23" s="1346">
        <f t="shared" si="5"/>
        <v>3.6135885071390401</v>
      </c>
      <c r="AM23" s="4318">
        <v>12</v>
      </c>
      <c r="AO23" s="4237"/>
      <c r="AP23" s="4237"/>
      <c r="AQ23" s="4236" t="s">
        <v>23</v>
      </c>
      <c r="AR23" s="4237">
        <v>14.56</v>
      </c>
      <c r="AS23" s="4237">
        <v>179</v>
      </c>
      <c r="AT23" s="4294">
        <f t="shared" si="6"/>
        <v>2.5600000000000005</v>
      </c>
      <c r="AU23" s="4295">
        <v>12</v>
      </c>
      <c r="AW23" s="97"/>
      <c r="AX23" s="97"/>
      <c r="AY23" s="42" t="s">
        <v>23</v>
      </c>
      <c r="AZ23" s="97">
        <v>14.52</v>
      </c>
      <c r="BA23" s="97">
        <v>161</v>
      </c>
      <c r="BB23" s="1281">
        <f t="shared" si="7"/>
        <v>2.5199999999999996</v>
      </c>
      <c r="BC23" s="3706">
        <v>12</v>
      </c>
      <c r="BE23" s="4263"/>
      <c r="BF23" s="4263"/>
      <c r="BG23" s="4258" t="s">
        <v>23</v>
      </c>
      <c r="BH23" s="4263">
        <v>14.09</v>
      </c>
      <c r="BI23" s="4263">
        <v>143</v>
      </c>
      <c r="BJ23" s="4264">
        <f t="shared" si="8"/>
        <v>2.09</v>
      </c>
      <c r="BK23" s="4265">
        <v>12</v>
      </c>
      <c r="BM23" s="36"/>
      <c r="BN23" s="36"/>
      <c r="BO23" s="36" t="s">
        <v>23</v>
      </c>
      <c r="BP23" s="1345">
        <v>15.05</v>
      </c>
      <c r="BQ23" s="95">
        <v>136</v>
      </c>
      <c r="BR23" s="1281">
        <f t="shared" si="9"/>
        <v>3.0500000000000007</v>
      </c>
      <c r="BS23" s="1349">
        <v>12</v>
      </c>
      <c r="BT23" s="2106"/>
      <c r="BU23" s="97"/>
      <c r="BV23" s="97"/>
      <c r="BW23" s="36" t="s">
        <v>23</v>
      </c>
      <c r="BX23" s="95">
        <v>15.14</v>
      </c>
      <c r="BY23" s="95">
        <v>160</v>
      </c>
      <c r="BZ23" s="1281">
        <f t="shared" si="10"/>
        <v>3.1400000000000006</v>
      </c>
      <c r="CB23" s="95"/>
      <c r="CC23" s="95"/>
      <c r="CD23" s="36" t="s">
        <v>23</v>
      </c>
      <c r="CE23" s="1345">
        <v>14.52</v>
      </c>
      <c r="CF23" s="95">
        <v>122</v>
      </c>
      <c r="CG23" s="1335">
        <f t="shared" si="0"/>
        <v>2.5199999999999996</v>
      </c>
      <c r="CI23" s="742"/>
      <c r="CJ23" s="742"/>
      <c r="CK23" s="1334" t="s">
        <v>23</v>
      </c>
      <c r="CL23" s="1265">
        <v>15.736363636363627</v>
      </c>
      <c r="CM23" s="1266">
        <v>110</v>
      </c>
      <c r="CN23" s="1335">
        <f t="shared" si="11"/>
        <v>3.7363636363636274</v>
      </c>
      <c r="CP23" s="1336"/>
      <c r="CQ23" s="1336"/>
      <c r="CR23" s="1337" t="s">
        <v>23</v>
      </c>
      <c r="CS23" s="1338">
        <v>127</v>
      </c>
      <c r="CT23" s="1339">
        <v>15.354330708661418</v>
      </c>
      <c r="CU23" s="1281">
        <f t="shared" si="12"/>
        <v>3.3543307086614185</v>
      </c>
      <c r="CW23" s="1340"/>
      <c r="CX23" s="1340"/>
      <c r="CY23" s="1342" t="s">
        <v>23</v>
      </c>
      <c r="CZ23" s="1343">
        <v>107</v>
      </c>
      <c r="DA23" s="1344">
        <v>15.205607476635523</v>
      </c>
      <c r="DB23" s="1341">
        <f t="shared" si="13"/>
        <v>3.2056074766355227</v>
      </c>
      <c r="DC23" s="36"/>
      <c r="DD23" s="1340"/>
      <c r="DE23" s="1340"/>
      <c r="DF23" s="1342" t="s">
        <v>23</v>
      </c>
      <c r="DG23" s="1343">
        <v>105</v>
      </c>
      <c r="DH23" s="1344">
        <v>16.038095238095231</v>
      </c>
      <c r="DI23" s="1341">
        <f t="shared" si="14"/>
        <v>4.0380952380952309</v>
      </c>
      <c r="DJ23" s="36"/>
      <c r="DK23" s="95"/>
      <c r="DL23" s="95"/>
      <c r="DM23" s="36" t="s">
        <v>23</v>
      </c>
      <c r="DN23" s="95">
        <v>83</v>
      </c>
      <c r="DO23" s="1345">
        <v>15.566265060240967</v>
      </c>
      <c r="DP23" s="1346">
        <f t="shared" si="15"/>
        <v>3.5662650602409673</v>
      </c>
      <c r="DQ23" s="36"/>
      <c r="DR23" s="1347"/>
      <c r="DS23" s="1347"/>
      <c r="DT23" s="392" t="s">
        <v>23</v>
      </c>
      <c r="DU23" s="1347">
        <v>120</v>
      </c>
      <c r="DV23" s="1348">
        <v>15.208333333333336</v>
      </c>
      <c r="DW23" s="1349">
        <v>12</v>
      </c>
      <c r="DX23" s="1667">
        <f t="shared" si="16"/>
        <v>3.2083333333333357</v>
      </c>
    </row>
    <row r="24" spans="1:128">
      <c r="A24" s="6391">
        <v>2</v>
      </c>
      <c r="B24" s="6391">
        <v>1</v>
      </c>
      <c r="C24" s="6391">
        <v>23</v>
      </c>
      <c r="D24" s="6392">
        <v>25.138888888888886</v>
      </c>
      <c r="E24" s="6391">
        <v>15</v>
      </c>
      <c r="F24" s="6076">
        <f t="shared" si="1"/>
        <v>13.138888888888886</v>
      </c>
      <c r="G24" s="4318">
        <v>12</v>
      </c>
      <c r="I24" s="6073">
        <v>1</v>
      </c>
      <c r="J24" s="6073">
        <v>4</v>
      </c>
      <c r="K24" s="6074">
        <v>19</v>
      </c>
      <c r="L24" s="6075">
        <v>15.380952380952381</v>
      </c>
      <c r="M24" s="6073">
        <v>141</v>
      </c>
      <c r="N24" s="6076">
        <f t="shared" si="2"/>
        <v>3.3809523809523814</v>
      </c>
      <c r="O24" s="4318">
        <v>12</v>
      </c>
      <c r="Q24" s="5832">
        <v>1</v>
      </c>
      <c r="R24" s="5832">
        <v>4</v>
      </c>
      <c r="S24" s="5840">
        <v>19</v>
      </c>
      <c r="T24" s="5833">
        <v>14.172508818342152</v>
      </c>
      <c r="U24" s="5832">
        <v>141</v>
      </c>
      <c r="V24" s="1346">
        <f t="shared" si="3"/>
        <v>2.1725088183421519</v>
      </c>
      <c r="W24" s="4318">
        <v>12</v>
      </c>
      <c r="Y24" s="4316">
        <v>1</v>
      </c>
      <c r="Z24" s="4316">
        <v>4</v>
      </c>
      <c r="AA24" s="4245" t="s">
        <v>24</v>
      </c>
      <c r="AB24" s="4327">
        <v>13.78374125874126</v>
      </c>
      <c r="AC24" s="4628">
        <v>111</v>
      </c>
      <c r="AD24" s="1346">
        <f t="shared" si="4"/>
        <v>1.7837412587412604</v>
      </c>
      <c r="AE24" s="4318">
        <v>12</v>
      </c>
      <c r="AG24" s="4316">
        <v>1</v>
      </c>
      <c r="AH24" s="4316">
        <v>4</v>
      </c>
      <c r="AI24" s="4245" t="s">
        <v>24</v>
      </c>
      <c r="AJ24" s="4327">
        <v>14.901563839386421</v>
      </c>
      <c r="AK24" s="4628">
        <v>112</v>
      </c>
      <c r="AL24" s="1346">
        <f t="shared" si="5"/>
        <v>2.9015638393864212</v>
      </c>
      <c r="AM24" s="4318">
        <v>12</v>
      </c>
      <c r="AO24" s="4237"/>
      <c r="AP24" s="4237"/>
      <c r="AQ24" s="4236" t="s">
        <v>24</v>
      </c>
      <c r="AR24" s="4237">
        <v>14.45</v>
      </c>
      <c r="AS24" s="4237">
        <v>87</v>
      </c>
      <c r="AT24" s="4294">
        <f t="shared" si="6"/>
        <v>2.4499999999999993</v>
      </c>
      <c r="AU24" s="4295">
        <v>12</v>
      </c>
      <c r="AW24" s="97"/>
      <c r="AX24" s="97"/>
      <c r="AY24" s="42" t="s">
        <v>24</v>
      </c>
      <c r="AZ24" s="97">
        <v>16.55</v>
      </c>
      <c r="BA24" s="97">
        <v>107</v>
      </c>
      <c r="BB24" s="1281">
        <f t="shared" si="7"/>
        <v>4.5500000000000007</v>
      </c>
      <c r="BC24" s="3706">
        <v>12</v>
      </c>
      <c r="BE24" s="4263"/>
      <c r="BF24" s="4263"/>
      <c r="BG24" s="4258" t="s">
        <v>24</v>
      </c>
      <c r="BH24" s="4263">
        <v>16.21</v>
      </c>
      <c r="BI24" s="4263">
        <v>80</v>
      </c>
      <c r="BJ24" s="4264">
        <f t="shared" si="8"/>
        <v>4.2100000000000009</v>
      </c>
      <c r="BK24" s="4265">
        <v>12</v>
      </c>
      <c r="BM24" s="36"/>
      <c r="BN24" s="36"/>
      <c r="BO24" s="36" t="s">
        <v>24</v>
      </c>
      <c r="BP24" s="1345">
        <v>15.26</v>
      </c>
      <c r="BQ24" s="95">
        <v>91</v>
      </c>
      <c r="BR24" s="1281">
        <f t="shared" si="9"/>
        <v>3.26</v>
      </c>
      <c r="BS24" s="1349">
        <v>12</v>
      </c>
      <c r="BT24" s="2106"/>
      <c r="BU24" s="97"/>
      <c r="BV24" s="97"/>
      <c r="BW24" s="36" t="s">
        <v>24</v>
      </c>
      <c r="BX24" s="95">
        <v>16.29</v>
      </c>
      <c r="BY24" s="95">
        <v>112</v>
      </c>
      <c r="BZ24" s="1281">
        <f t="shared" si="10"/>
        <v>4.2899999999999991</v>
      </c>
      <c r="CB24" s="95"/>
      <c r="CC24" s="95"/>
      <c r="CD24" s="36" t="s">
        <v>24</v>
      </c>
      <c r="CE24" s="1345">
        <v>15.7</v>
      </c>
      <c r="CF24" s="95">
        <v>100</v>
      </c>
      <c r="CG24" s="1335">
        <f t="shared" si="0"/>
        <v>3.6999999999999993</v>
      </c>
      <c r="CI24" s="742"/>
      <c r="CJ24" s="742"/>
      <c r="CK24" s="1334" t="s">
        <v>24</v>
      </c>
      <c r="CL24" s="1265">
        <v>16.927835051546396</v>
      </c>
      <c r="CM24" s="1266">
        <v>97</v>
      </c>
      <c r="CN24" s="1335">
        <f t="shared" si="11"/>
        <v>4.9278350515463956</v>
      </c>
      <c r="CP24" s="1336"/>
      <c r="CQ24" s="1336"/>
      <c r="CR24" s="1337" t="s">
        <v>24</v>
      </c>
      <c r="CS24" s="1338">
        <v>100</v>
      </c>
      <c r="CT24" s="1339">
        <v>15.91</v>
      </c>
      <c r="CU24" s="1281">
        <f t="shared" si="12"/>
        <v>3.91</v>
      </c>
      <c r="CW24" s="1340"/>
      <c r="CX24" s="1340"/>
      <c r="CY24" s="1342" t="s">
        <v>24</v>
      </c>
      <c r="CZ24" s="1343">
        <v>89</v>
      </c>
      <c r="DA24" s="1344">
        <v>16.157303370786511</v>
      </c>
      <c r="DB24" s="1341">
        <f t="shared" si="13"/>
        <v>4.1573033707865115</v>
      </c>
      <c r="DC24" s="36"/>
      <c r="DD24" s="1340"/>
      <c r="DE24" s="1340"/>
      <c r="DF24" s="1342" t="s">
        <v>24</v>
      </c>
      <c r="DG24" s="1343">
        <v>63</v>
      </c>
      <c r="DH24" s="1344">
        <v>18.603174603174601</v>
      </c>
      <c r="DI24" s="1341">
        <f t="shared" si="14"/>
        <v>6.603174603174601</v>
      </c>
      <c r="DJ24" s="36"/>
      <c r="DK24" s="95"/>
      <c r="DL24" s="95"/>
      <c r="DM24" s="36" t="s">
        <v>24</v>
      </c>
      <c r="DN24" s="95">
        <v>68</v>
      </c>
      <c r="DO24" s="1345">
        <v>16.97058823529412</v>
      </c>
      <c r="DP24" s="1346">
        <f t="shared" si="15"/>
        <v>4.9705882352941195</v>
      </c>
      <c r="DQ24" s="36"/>
      <c r="DR24" s="1347"/>
      <c r="DS24" s="1347"/>
      <c r="DT24" s="392" t="s">
        <v>24</v>
      </c>
      <c r="DU24" s="1347">
        <v>84</v>
      </c>
      <c r="DV24" s="1348">
        <v>16.714285714285708</v>
      </c>
      <c r="DW24" s="1349">
        <v>12</v>
      </c>
      <c r="DX24" s="1667">
        <f t="shared" si="16"/>
        <v>4.7142857142857082</v>
      </c>
    </row>
    <row r="25" spans="1:128">
      <c r="A25" s="6391">
        <v>2</v>
      </c>
      <c r="B25" s="6391">
        <v>1</v>
      </c>
      <c r="C25" s="6391">
        <v>24</v>
      </c>
      <c r="D25" s="6392">
        <v>22.725000000000001</v>
      </c>
      <c r="E25" s="6391">
        <v>38</v>
      </c>
      <c r="F25" s="6076">
        <f t="shared" si="1"/>
        <v>10.725000000000001</v>
      </c>
      <c r="G25" s="4318">
        <v>12</v>
      </c>
      <c r="I25" s="6073"/>
      <c r="J25" s="6073"/>
      <c r="K25" s="4424" t="s">
        <v>484</v>
      </c>
      <c r="L25" s="6075">
        <v>15.1</v>
      </c>
      <c r="M25" s="6077">
        <f>SUM(M22:M24)</f>
        <v>417</v>
      </c>
      <c r="N25" s="6076">
        <f t="shared" si="2"/>
        <v>3.0999999999999996</v>
      </c>
      <c r="O25" s="4319">
        <v>12</v>
      </c>
      <c r="Q25" s="5832"/>
      <c r="R25" s="5832"/>
      <c r="S25" s="4424" t="s">
        <v>484</v>
      </c>
      <c r="T25" s="5843">
        <v>14.751739417931734</v>
      </c>
      <c r="U25" s="5838">
        <f>SUM(U22:U24)</f>
        <v>417</v>
      </c>
      <c r="V25" s="1346">
        <f t="shared" si="3"/>
        <v>2.7517394179317343</v>
      </c>
      <c r="W25" s="4319">
        <v>12</v>
      </c>
      <c r="Y25" s="4316"/>
      <c r="Z25" s="4316"/>
      <c r="AA25" s="4246" t="s">
        <v>484</v>
      </c>
      <c r="AB25" s="4828">
        <v>14.576795966912746</v>
      </c>
      <c r="AC25" s="4627">
        <f>SUM(AC22:AC24)</f>
        <v>347</v>
      </c>
      <c r="AD25" s="1361">
        <f t="shared" si="4"/>
        <v>2.576795966912746</v>
      </c>
      <c r="AE25" s="4319">
        <v>12</v>
      </c>
      <c r="AG25" s="4316"/>
      <c r="AH25" s="4316"/>
      <c r="AI25" s="4246" t="s">
        <v>484</v>
      </c>
      <c r="AJ25" s="4328">
        <v>16.737479391915628</v>
      </c>
      <c r="AK25" s="4627">
        <f>SUM(AK22:AK24)</f>
        <v>423</v>
      </c>
      <c r="AL25" s="1361">
        <f t="shared" si="5"/>
        <v>4.7374793919156275</v>
      </c>
      <c r="AM25" s="4319">
        <v>12</v>
      </c>
      <c r="AO25" s="4237"/>
      <c r="AP25" s="4237"/>
      <c r="AQ25" s="4214" t="s">
        <v>484</v>
      </c>
      <c r="AR25" s="4239">
        <v>15.43</v>
      </c>
      <c r="AS25" s="4239">
        <v>351</v>
      </c>
      <c r="AT25" s="4296">
        <f t="shared" si="6"/>
        <v>3.4299999999999997</v>
      </c>
      <c r="AU25" s="4295">
        <v>12</v>
      </c>
      <c r="AW25" s="97"/>
      <c r="AX25" s="97"/>
      <c r="AY25" s="893" t="s">
        <v>484</v>
      </c>
      <c r="AZ25" s="135">
        <v>15.68</v>
      </c>
      <c r="BA25" s="135">
        <v>398</v>
      </c>
      <c r="BB25" s="1675">
        <f t="shared" si="7"/>
        <v>3.6799999999999997</v>
      </c>
      <c r="BC25" s="3706">
        <v>12</v>
      </c>
      <c r="BE25" s="4263"/>
      <c r="BF25" s="4263"/>
      <c r="BG25" s="4257" t="s">
        <v>484</v>
      </c>
      <c r="BH25" s="4266">
        <v>15.14</v>
      </c>
      <c r="BI25" s="4266">
        <v>322</v>
      </c>
      <c r="BJ25" s="4267">
        <f t="shared" si="8"/>
        <v>3.1400000000000006</v>
      </c>
      <c r="BK25" s="4265">
        <v>12</v>
      </c>
      <c r="BM25" s="36"/>
      <c r="BN25" s="36"/>
      <c r="BO25" s="393" t="s">
        <v>484</v>
      </c>
      <c r="BP25" s="1360">
        <v>15.83</v>
      </c>
      <c r="BQ25" s="2015">
        <v>331</v>
      </c>
      <c r="BR25" s="1675">
        <f t="shared" si="9"/>
        <v>3.83</v>
      </c>
      <c r="BS25" s="1349">
        <v>12</v>
      </c>
      <c r="BT25" s="2106"/>
      <c r="BU25" s="97"/>
      <c r="BV25" s="97"/>
      <c r="BW25" s="393" t="s">
        <v>484</v>
      </c>
      <c r="BX25" s="86">
        <v>16.489999999999998</v>
      </c>
      <c r="BY25" s="86">
        <v>409</v>
      </c>
      <c r="BZ25" s="1675">
        <f t="shared" si="10"/>
        <v>4.4899999999999984</v>
      </c>
      <c r="CB25" s="95"/>
      <c r="CC25" s="95"/>
      <c r="CD25" s="393" t="s">
        <v>484</v>
      </c>
      <c r="CE25" s="1360">
        <v>16.2</v>
      </c>
      <c r="CF25" s="86">
        <v>328</v>
      </c>
      <c r="CG25" s="1480">
        <f t="shared" si="0"/>
        <v>4.1999999999999993</v>
      </c>
      <c r="CI25" s="742"/>
      <c r="CJ25" s="742"/>
      <c r="CK25" s="1350" t="s">
        <v>484</v>
      </c>
      <c r="CL25" s="1351">
        <v>17.034985422740519</v>
      </c>
      <c r="CM25" s="1352">
        <v>343</v>
      </c>
      <c r="CN25" s="1335">
        <f t="shared" si="11"/>
        <v>5.0349854227405189</v>
      </c>
      <c r="CP25" s="1336"/>
      <c r="CQ25" s="1336"/>
      <c r="CR25" s="1353" t="s">
        <v>484</v>
      </c>
      <c r="CS25" s="1354">
        <v>345</v>
      </c>
      <c r="CT25" s="1355">
        <v>16.220289855072441</v>
      </c>
      <c r="CU25" s="1281">
        <f t="shared" si="12"/>
        <v>4.2202898550724406</v>
      </c>
      <c r="CW25" s="1340"/>
      <c r="CX25" s="1340"/>
      <c r="CY25" s="1356" t="s">
        <v>484</v>
      </c>
      <c r="CZ25" s="1357">
        <f>SUM(CZ22:CZ24)</f>
        <v>333</v>
      </c>
      <c r="DA25" s="1358">
        <v>16.07</v>
      </c>
      <c r="DB25" s="1359">
        <f t="shared" si="13"/>
        <v>4.07</v>
      </c>
      <c r="DC25" s="36"/>
      <c r="DD25" s="1340"/>
      <c r="DE25" s="1340"/>
      <c r="DF25" s="1356" t="s">
        <v>484</v>
      </c>
      <c r="DG25" s="1357">
        <v>253</v>
      </c>
      <c r="DH25" s="1358">
        <v>16.924901185770747</v>
      </c>
      <c r="DI25" s="1359">
        <f t="shared" si="14"/>
        <v>4.9249011857707465</v>
      </c>
      <c r="DJ25" s="36"/>
      <c r="DK25" s="95"/>
      <c r="DL25" s="95"/>
      <c r="DM25" s="393" t="s">
        <v>15</v>
      </c>
      <c r="DN25" s="86">
        <v>242</v>
      </c>
      <c r="DO25" s="1360">
        <v>16.17355371900825</v>
      </c>
      <c r="DP25" s="1361">
        <f t="shared" si="15"/>
        <v>4.1735537190082503</v>
      </c>
      <c r="DQ25" s="36"/>
      <c r="DR25" s="1347"/>
      <c r="DS25" s="1347"/>
      <c r="DT25" s="1362" t="s">
        <v>15</v>
      </c>
      <c r="DU25" s="1363">
        <v>321</v>
      </c>
      <c r="DV25" s="1364">
        <v>16.476635514018696</v>
      </c>
      <c r="DW25" s="1349">
        <v>12</v>
      </c>
      <c r="DX25" s="1668">
        <f t="shared" si="16"/>
        <v>4.476635514018696</v>
      </c>
    </row>
    <row r="26" spans="1:128">
      <c r="A26" s="6391">
        <v>2</v>
      </c>
      <c r="B26" s="6391">
        <v>1</v>
      </c>
      <c r="C26" s="6391">
        <v>25</v>
      </c>
      <c r="D26" s="6392">
        <v>22.334249084249084</v>
      </c>
      <c r="E26" s="6391">
        <v>42</v>
      </c>
      <c r="F26" s="6076">
        <f t="shared" si="1"/>
        <v>10.334249084249084</v>
      </c>
      <c r="G26" s="4318">
        <v>12</v>
      </c>
      <c r="I26" s="6078"/>
      <c r="J26" s="6078"/>
      <c r="K26" s="4425" t="s">
        <v>105</v>
      </c>
      <c r="L26" s="6075">
        <v>17.7</v>
      </c>
      <c r="M26" s="6079">
        <f>SUM(M25,M21,M16)</f>
        <v>1424</v>
      </c>
      <c r="N26" s="6080">
        <f t="shared" si="2"/>
        <v>5.6999999999999993</v>
      </c>
      <c r="O26" s="4322">
        <v>12</v>
      </c>
      <c r="Q26" s="5836"/>
      <c r="R26" s="5836"/>
      <c r="S26" s="5841" t="s">
        <v>105</v>
      </c>
      <c r="T26" s="5845">
        <v>18.016605920921261</v>
      </c>
      <c r="U26" s="5839">
        <f>SUM(U25,U21,U16)</f>
        <v>1424</v>
      </c>
      <c r="V26" s="5846">
        <f t="shared" si="3"/>
        <v>6.0166059209212612</v>
      </c>
      <c r="W26" s="4320">
        <v>12</v>
      </c>
      <c r="Y26" s="4316"/>
      <c r="Z26" s="4316"/>
      <c r="AA26" s="4253" t="s">
        <v>105</v>
      </c>
      <c r="AB26" s="4329">
        <v>17.842600576474091</v>
      </c>
      <c r="AC26" s="4629">
        <f>SUM(AC16,AC21,AC25)</f>
        <v>1044</v>
      </c>
      <c r="AD26" s="4330">
        <f t="shared" si="4"/>
        <v>5.8426005764740907</v>
      </c>
      <c r="AE26" s="4320">
        <v>12</v>
      </c>
      <c r="AG26" s="4316"/>
      <c r="AH26" s="4316"/>
      <c r="AI26" s="4253" t="s">
        <v>105</v>
      </c>
      <c r="AJ26" s="4329">
        <v>18.5</v>
      </c>
      <c r="AK26" s="4629">
        <f>SUM(AK16,AK21,AK25)</f>
        <v>1338</v>
      </c>
      <c r="AL26" s="4330">
        <f t="shared" si="5"/>
        <v>6.5</v>
      </c>
      <c r="AM26" s="4320">
        <v>12</v>
      </c>
      <c r="AO26" s="4237"/>
      <c r="AP26" s="4237"/>
      <c r="AQ26" s="4297" t="s">
        <v>105</v>
      </c>
      <c r="AR26" s="4298">
        <v>16.559999999999999</v>
      </c>
      <c r="AS26" s="4298">
        <v>994</v>
      </c>
      <c r="AT26" s="4299">
        <f t="shared" si="6"/>
        <v>4.5599999999999987</v>
      </c>
      <c r="AU26" s="4300">
        <v>12</v>
      </c>
      <c r="AW26" s="97"/>
      <c r="AX26" s="97"/>
      <c r="AY26" s="3707" t="s">
        <v>105</v>
      </c>
      <c r="AZ26" s="3708">
        <v>17.600000000000001</v>
      </c>
      <c r="BA26" s="3708">
        <v>1504</v>
      </c>
      <c r="BB26" s="1676">
        <f t="shared" si="7"/>
        <v>5.6000000000000014</v>
      </c>
      <c r="BC26" s="3709">
        <v>12</v>
      </c>
      <c r="BE26" s="4263"/>
      <c r="BF26" s="4263"/>
      <c r="BG26" s="4268" t="s">
        <v>105</v>
      </c>
      <c r="BH26" s="4269">
        <v>17.350000000000001</v>
      </c>
      <c r="BI26" s="4269">
        <v>1136</v>
      </c>
      <c r="BJ26" s="4270">
        <f t="shared" si="8"/>
        <v>5.3500000000000014</v>
      </c>
      <c r="BK26" s="4271">
        <v>12</v>
      </c>
      <c r="BM26" s="2022"/>
      <c r="BN26" s="2022"/>
      <c r="BO26" s="2023" t="s">
        <v>105</v>
      </c>
      <c r="BP26" s="2024">
        <v>17.440000000000001</v>
      </c>
      <c r="BQ26" s="2025">
        <v>1529</v>
      </c>
      <c r="BR26" s="1676">
        <f t="shared" si="9"/>
        <v>5.4400000000000013</v>
      </c>
      <c r="BS26" s="1380">
        <v>12</v>
      </c>
      <c r="BT26" s="2106"/>
      <c r="BU26" s="1501"/>
      <c r="BV26" s="1501"/>
      <c r="BW26" s="1477" t="s">
        <v>105</v>
      </c>
      <c r="BX26" s="1479">
        <v>18.03</v>
      </c>
      <c r="BY26" s="1479">
        <v>1675</v>
      </c>
      <c r="BZ26" s="1676">
        <f t="shared" si="10"/>
        <v>6.0300000000000011</v>
      </c>
      <c r="CB26" s="1482"/>
      <c r="CC26" s="1482"/>
      <c r="CD26" s="1477" t="s">
        <v>105</v>
      </c>
      <c r="CE26" s="1478">
        <v>17.68</v>
      </c>
      <c r="CF26" s="1479">
        <v>1428</v>
      </c>
      <c r="CG26" s="1481">
        <f t="shared" si="0"/>
        <v>5.68</v>
      </c>
      <c r="CI26" s="742"/>
      <c r="CJ26" s="742"/>
      <c r="CK26" s="1350" t="s">
        <v>105</v>
      </c>
      <c r="CL26" s="1351">
        <v>17.991994663108716</v>
      </c>
      <c r="CM26" s="1352">
        <v>1499</v>
      </c>
      <c r="CN26" s="1365">
        <f t="shared" si="11"/>
        <v>5.9919946631087164</v>
      </c>
      <c r="CP26" s="1366"/>
      <c r="CQ26" s="1366"/>
      <c r="CR26" s="1367" t="s">
        <v>105</v>
      </c>
      <c r="CS26" s="1368">
        <v>1480</v>
      </c>
      <c r="CT26" s="1369">
        <v>17.837162162162194</v>
      </c>
      <c r="CU26" s="1370">
        <f t="shared" si="12"/>
        <v>5.8371621621621941</v>
      </c>
      <c r="CW26" s="1340"/>
      <c r="CX26" s="1340"/>
      <c r="CY26" s="1356" t="s">
        <v>105</v>
      </c>
      <c r="CZ26" s="1357">
        <f>SUM(CZ25,CZ21,CZ16)</f>
        <v>1579</v>
      </c>
      <c r="DA26" s="1358">
        <v>17.55</v>
      </c>
      <c r="DB26" s="1359">
        <f t="shared" si="13"/>
        <v>5.5500000000000007</v>
      </c>
      <c r="DC26" s="36"/>
      <c r="DD26" s="1340"/>
      <c r="DE26" s="1340"/>
      <c r="DF26" s="1356" t="s">
        <v>105</v>
      </c>
      <c r="DG26" s="1357">
        <v>1139</v>
      </c>
      <c r="DH26" s="1358">
        <v>17.540825285338023</v>
      </c>
      <c r="DI26" s="1359">
        <f t="shared" si="14"/>
        <v>5.5408252853380233</v>
      </c>
      <c r="DJ26" s="36"/>
      <c r="DK26" s="1371"/>
      <c r="DL26" s="1371"/>
      <c r="DM26" s="1372" t="s">
        <v>105</v>
      </c>
      <c r="DN26" s="1373">
        <v>1085</v>
      </c>
      <c r="DO26" s="1374">
        <v>17.967741935483861</v>
      </c>
      <c r="DP26" s="1375">
        <f t="shared" si="15"/>
        <v>5.9677419354838612</v>
      </c>
      <c r="DQ26" s="36"/>
      <c r="DR26" s="1376"/>
      <c r="DS26" s="1376"/>
      <c r="DT26" s="1377" t="s">
        <v>105</v>
      </c>
      <c r="DU26" s="1378">
        <v>1192</v>
      </c>
      <c r="DV26" s="1379">
        <v>17.630033557046996</v>
      </c>
      <c r="DW26" s="1380">
        <v>12</v>
      </c>
      <c r="DX26" s="1669">
        <f t="shared" si="16"/>
        <v>5.6300335570469962</v>
      </c>
    </row>
    <row r="27" spans="1:128">
      <c r="A27" s="6391">
        <v>2</v>
      </c>
      <c r="B27" s="6391">
        <v>1</v>
      </c>
      <c r="C27" s="6391">
        <v>26</v>
      </c>
      <c r="D27" s="6392">
        <v>19.791666666666664</v>
      </c>
      <c r="E27" s="6391">
        <v>38</v>
      </c>
      <c r="F27" s="6076">
        <f t="shared" si="1"/>
        <v>7.7916666666666643</v>
      </c>
      <c r="G27" s="4318">
        <v>12</v>
      </c>
      <c r="I27" s="6081">
        <v>2</v>
      </c>
      <c r="J27" s="6081">
        <v>1</v>
      </c>
      <c r="K27" s="6082">
        <v>22</v>
      </c>
      <c r="L27" s="6075">
        <v>21</v>
      </c>
      <c r="M27" s="6081">
        <v>54</v>
      </c>
      <c r="N27" s="6076">
        <f t="shared" si="2"/>
        <v>9</v>
      </c>
      <c r="O27" s="4318">
        <v>12</v>
      </c>
      <c r="Q27" s="5834">
        <v>2</v>
      </c>
      <c r="R27" s="5834">
        <v>1</v>
      </c>
      <c r="S27" s="5842">
        <v>22</v>
      </c>
      <c r="T27" s="5835">
        <v>20.517683096630464</v>
      </c>
      <c r="U27" s="5834">
        <v>54</v>
      </c>
      <c r="V27" s="1346">
        <f t="shared" si="3"/>
        <v>8.5176830966304635</v>
      </c>
      <c r="W27" s="4318">
        <v>12</v>
      </c>
      <c r="Y27" s="4316">
        <v>2</v>
      </c>
      <c r="Z27" s="4316">
        <v>1</v>
      </c>
      <c r="AA27" s="4245" t="s">
        <v>26</v>
      </c>
      <c r="AB27" s="4331">
        <v>19.995726495726498</v>
      </c>
      <c r="AC27" s="4628">
        <v>31</v>
      </c>
      <c r="AD27" s="1346">
        <f t="shared" si="4"/>
        <v>7.9957264957264975</v>
      </c>
      <c r="AE27" s="4318">
        <v>12</v>
      </c>
      <c r="AG27" s="4316">
        <v>2</v>
      </c>
      <c r="AH27" s="4316">
        <v>1</v>
      </c>
      <c r="AI27" s="4245" t="s">
        <v>26</v>
      </c>
      <c r="AJ27" s="4331">
        <v>20.293209876543209</v>
      </c>
      <c r="AK27" s="4628">
        <v>34</v>
      </c>
      <c r="AL27" s="1346">
        <f t="shared" si="5"/>
        <v>8.2932098765432087</v>
      </c>
      <c r="AM27" s="4318">
        <v>12</v>
      </c>
      <c r="AO27" s="4237" t="s">
        <v>25</v>
      </c>
      <c r="AP27" s="4237" t="s">
        <v>4</v>
      </c>
      <c r="AQ27" s="4236" t="s">
        <v>26</v>
      </c>
      <c r="AR27" s="4237">
        <v>18.89</v>
      </c>
      <c r="AS27" s="4237">
        <v>27</v>
      </c>
      <c r="AT27" s="4294">
        <f t="shared" si="6"/>
        <v>6.8900000000000006</v>
      </c>
      <c r="AU27" s="4295">
        <v>12</v>
      </c>
      <c r="AW27" s="97" t="s">
        <v>25</v>
      </c>
      <c r="AX27" s="97" t="s">
        <v>4</v>
      </c>
      <c r="AY27" s="42" t="s">
        <v>26</v>
      </c>
      <c r="AZ27" s="97">
        <v>22.2</v>
      </c>
      <c r="BA27" s="97">
        <v>61</v>
      </c>
      <c r="BB27" s="1281">
        <f t="shared" si="7"/>
        <v>10.199999999999999</v>
      </c>
      <c r="BC27" s="3706">
        <v>12</v>
      </c>
      <c r="BE27" s="4263" t="s">
        <v>25</v>
      </c>
      <c r="BF27" s="4263" t="s">
        <v>4</v>
      </c>
      <c r="BG27" s="4258" t="s">
        <v>26</v>
      </c>
      <c r="BH27" s="4263">
        <v>22.79</v>
      </c>
      <c r="BI27" s="4263">
        <v>38</v>
      </c>
      <c r="BJ27" s="4264">
        <f t="shared" si="8"/>
        <v>10.79</v>
      </c>
      <c r="BK27" s="4265">
        <v>12</v>
      </c>
      <c r="BM27" s="36" t="s">
        <v>25</v>
      </c>
      <c r="BN27" s="36" t="s">
        <v>4</v>
      </c>
      <c r="BO27" s="36" t="s">
        <v>26</v>
      </c>
      <c r="BP27" s="1345">
        <v>19.71</v>
      </c>
      <c r="BQ27" s="95">
        <v>56</v>
      </c>
      <c r="BR27" s="1281">
        <f t="shared" si="9"/>
        <v>7.7100000000000009</v>
      </c>
      <c r="BS27" s="1349">
        <v>12</v>
      </c>
      <c r="BT27" s="2106"/>
      <c r="BU27" s="97" t="s">
        <v>25</v>
      </c>
      <c r="BV27" s="97" t="s">
        <v>4</v>
      </c>
      <c r="BW27" s="36" t="s">
        <v>26</v>
      </c>
      <c r="BX27" s="95">
        <v>20.38</v>
      </c>
      <c r="BY27" s="95">
        <v>37</v>
      </c>
      <c r="BZ27" s="1281">
        <f t="shared" si="10"/>
        <v>8.379999999999999</v>
      </c>
      <c r="CB27" s="95" t="s">
        <v>25</v>
      </c>
      <c r="CC27" s="95" t="s">
        <v>4</v>
      </c>
      <c r="CD27" s="36" t="s">
        <v>26</v>
      </c>
      <c r="CE27" s="1345">
        <v>21.24</v>
      </c>
      <c r="CF27" s="95">
        <v>29</v>
      </c>
      <c r="CG27" s="1335">
        <f t="shared" si="0"/>
        <v>9.2399999999999984</v>
      </c>
      <c r="CI27" s="1254" t="s">
        <v>25</v>
      </c>
      <c r="CJ27" s="1254" t="s">
        <v>4</v>
      </c>
      <c r="CK27" s="1381" t="s">
        <v>26</v>
      </c>
      <c r="CL27" s="1382">
        <v>20.77272727272727</v>
      </c>
      <c r="CM27" s="1383">
        <v>22</v>
      </c>
      <c r="CN27" s="1335">
        <f t="shared" si="11"/>
        <v>8.7727272727272698</v>
      </c>
      <c r="CP27" s="1336" t="s">
        <v>25</v>
      </c>
      <c r="CQ27" s="1336" t="s">
        <v>4</v>
      </c>
      <c r="CR27" s="1337" t="s">
        <v>26</v>
      </c>
      <c r="CS27" s="1338">
        <v>33</v>
      </c>
      <c r="CT27" s="1339">
        <v>21.818181818181813</v>
      </c>
      <c r="CU27" s="1281">
        <f t="shared" si="12"/>
        <v>9.818181818181813</v>
      </c>
      <c r="CW27" s="1384" t="s">
        <v>25</v>
      </c>
      <c r="CX27" s="1384" t="s">
        <v>4</v>
      </c>
      <c r="CY27" s="1385" t="s">
        <v>26</v>
      </c>
      <c r="CZ27" s="1386">
        <v>22</v>
      </c>
      <c r="DA27" s="1387">
        <v>21.409090909090907</v>
      </c>
      <c r="DB27" s="1388">
        <f t="shared" si="13"/>
        <v>9.4090909090909065</v>
      </c>
      <c r="DC27" s="36"/>
      <c r="DD27" s="1384" t="s">
        <v>25</v>
      </c>
      <c r="DE27" s="1384" t="s">
        <v>4</v>
      </c>
      <c r="DF27" s="1385" t="s">
        <v>26</v>
      </c>
      <c r="DG27" s="1386">
        <v>27</v>
      </c>
      <c r="DH27" s="1387">
        <v>20.37037037037037</v>
      </c>
      <c r="DI27" s="1388">
        <f t="shared" si="14"/>
        <v>8.3703703703703702</v>
      </c>
      <c r="DJ27" s="36"/>
      <c r="DK27" s="95" t="s">
        <v>25</v>
      </c>
      <c r="DL27" s="95" t="s">
        <v>4</v>
      </c>
      <c r="DM27" s="36" t="s">
        <v>26</v>
      </c>
      <c r="DN27" s="95">
        <v>28</v>
      </c>
      <c r="DO27" s="1345">
        <v>18.642857142857139</v>
      </c>
      <c r="DP27" s="1346">
        <f t="shared" si="15"/>
        <v>6.6428571428571388</v>
      </c>
      <c r="DQ27" s="36"/>
      <c r="DR27" s="1347" t="s">
        <v>25</v>
      </c>
      <c r="DS27" s="1347" t="s">
        <v>4</v>
      </c>
      <c r="DT27" s="392" t="s">
        <v>26</v>
      </c>
      <c r="DU27" s="1347">
        <v>48</v>
      </c>
      <c r="DV27" s="1348">
        <v>17.375</v>
      </c>
      <c r="DW27" s="1349">
        <v>12</v>
      </c>
      <c r="DX27" s="1667">
        <f t="shared" si="16"/>
        <v>5.375</v>
      </c>
    </row>
    <row r="28" spans="1:128">
      <c r="A28" s="6391">
        <v>2</v>
      </c>
      <c r="B28" s="6391">
        <v>1</v>
      </c>
      <c r="C28" s="6391">
        <v>27</v>
      </c>
      <c r="D28" s="6392">
        <v>19.979166666666664</v>
      </c>
      <c r="E28" s="6391">
        <v>23</v>
      </c>
      <c r="F28" s="6076">
        <f t="shared" si="1"/>
        <v>7.9791666666666643</v>
      </c>
      <c r="G28" s="4318">
        <v>12</v>
      </c>
      <c r="I28" s="6073">
        <v>2</v>
      </c>
      <c r="J28" s="6073">
        <v>1</v>
      </c>
      <c r="K28" s="6074">
        <v>23</v>
      </c>
      <c r="L28" s="6075">
        <v>26.666666666666668</v>
      </c>
      <c r="M28" s="6073">
        <v>11</v>
      </c>
      <c r="N28" s="6076">
        <f t="shared" si="2"/>
        <v>14.666666666666668</v>
      </c>
      <c r="O28" s="4318">
        <v>12</v>
      </c>
      <c r="Q28" s="5832">
        <v>2</v>
      </c>
      <c r="R28" s="5832">
        <v>1</v>
      </c>
      <c r="S28" s="5840">
        <v>23</v>
      </c>
      <c r="T28" s="5833">
        <v>24.555555555555557</v>
      </c>
      <c r="U28" s="5832">
        <v>11</v>
      </c>
      <c r="V28" s="1346">
        <f t="shared" si="3"/>
        <v>12.555555555555557</v>
      </c>
      <c r="W28" s="4318">
        <v>12</v>
      </c>
      <c r="Y28" s="4316">
        <v>2</v>
      </c>
      <c r="Z28" s="4316">
        <v>1</v>
      </c>
      <c r="AA28" s="4245" t="s">
        <v>27</v>
      </c>
      <c r="AB28" s="4327">
        <v>25.333333333333332</v>
      </c>
      <c r="AC28" s="4628">
        <v>8</v>
      </c>
      <c r="AD28" s="1346">
        <f t="shared" si="4"/>
        <v>13.333333333333332</v>
      </c>
      <c r="AE28" s="4318">
        <v>12</v>
      </c>
      <c r="AG28" s="4316">
        <v>2</v>
      </c>
      <c r="AH28" s="4316">
        <v>1</v>
      </c>
      <c r="AI28" s="4245" t="s">
        <v>27</v>
      </c>
      <c r="AJ28" s="4327">
        <v>20.875</v>
      </c>
      <c r="AK28" s="4628">
        <v>8</v>
      </c>
      <c r="AL28" s="1346">
        <f t="shared" si="5"/>
        <v>8.875</v>
      </c>
      <c r="AM28" s="4318">
        <v>12</v>
      </c>
      <c r="AO28" s="4237"/>
      <c r="AP28" s="4237"/>
      <c r="AQ28" s="4236" t="s">
        <v>27</v>
      </c>
      <c r="AR28" s="4237">
        <v>21.5</v>
      </c>
      <c r="AS28" s="4237">
        <v>6</v>
      </c>
      <c r="AT28" s="4294">
        <f t="shared" si="6"/>
        <v>9.5</v>
      </c>
      <c r="AU28" s="4295">
        <v>12</v>
      </c>
      <c r="AW28" s="97"/>
      <c r="AX28" s="97"/>
      <c r="AY28" s="42" t="s">
        <v>27</v>
      </c>
      <c r="AZ28" s="97">
        <v>21.43</v>
      </c>
      <c r="BA28" s="97">
        <v>7</v>
      </c>
      <c r="BB28" s="1281">
        <f t="shared" si="7"/>
        <v>9.43</v>
      </c>
      <c r="BC28" s="3706">
        <v>12</v>
      </c>
      <c r="BE28" s="4263"/>
      <c r="BF28" s="4263"/>
      <c r="BG28" s="4258" t="s">
        <v>27</v>
      </c>
      <c r="BH28" s="4263">
        <v>21.33</v>
      </c>
      <c r="BI28" s="4263">
        <v>3</v>
      </c>
      <c r="BJ28" s="4264">
        <f t="shared" si="8"/>
        <v>9.3299999999999983</v>
      </c>
      <c r="BK28" s="4265">
        <v>12</v>
      </c>
      <c r="BM28" s="36"/>
      <c r="BN28" s="36"/>
      <c r="BO28" s="36" t="s">
        <v>27</v>
      </c>
      <c r="BP28" s="1345">
        <v>29</v>
      </c>
      <c r="BQ28" s="95">
        <v>3</v>
      </c>
      <c r="BR28" s="1281">
        <f t="shared" si="9"/>
        <v>17</v>
      </c>
      <c r="BS28" s="1349">
        <v>12</v>
      </c>
      <c r="BT28" s="2106"/>
      <c r="BU28" s="97"/>
      <c r="BV28" s="97"/>
      <c r="BW28" s="36" t="s">
        <v>27</v>
      </c>
      <c r="BX28" s="95">
        <v>20.43</v>
      </c>
      <c r="BY28" s="95">
        <v>7</v>
      </c>
      <c r="BZ28" s="1281">
        <f t="shared" si="10"/>
        <v>8.43</v>
      </c>
      <c r="CB28" s="95"/>
      <c r="CC28" s="95"/>
      <c r="CD28" s="36" t="s">
        <v>27</v>
      </c>
      <c r="CE28" s="1345">
        <v>18.170000000000002</v>
      </c>
      <c r="CF28" s="95">
        <v>6</v>
      </c>
      <c r="CG28" s="1335">
        <f t="shared" si="0"/>
        <v>6.1700000000000017</v>
      </c>
      <c r="CI28" s="742"/>
      <c r="CJ28" s="742"/>
      <c r="CK28" s="1334" t="s">
        <v>27</v>
      </c>
      <c r="CL28" s="1265">
        <v>19.700000000000003</v>
      </c>
      <c r="CM28" s="1266">
        <v>10</v>
      </c>
      <c r="CN28" s="1335">
        <f t="shared" si="11"/>
        <v>7.7000000000000028</v>
      </c>
      <c r="CP28" s="1336"/>
      <c r="CQ28" s="1336"/>
      <c r="CR28" s="1337" t="s">
        <v>27</v>
      </c>
      <c r="CS28" s="1338">
        <v>15</v>
      </c>
      <c r="CT28" s="1339">
        <v>19.133333333333333</v>
      </c>
      <c r="CU28" s="1281">
        <f t="shared" si="12"/>
        <v>7.1333333333333329</v>
      </c>
      <c r="CW28" s="1340"/>
      <c r="CX28" s="1340"/>
      <c r="CY28" s="1342" t="s">
        <v>27</v>
      </c>
      <c r="CZ28" s="1343">
        <v>0</v>
      </c>
      <c r="DA28" s="1344"/>
      <c r="DB28" s="1341"/>
      <c r="DC28" s="36"/>
      <c r="DD28" s="1340"/>
      <c r="DE28" s="1340"/>
      <c r="DF28" s="1342" t="s">
        <v>27</v>
      </c>
      <c r="DG28" s="1343">
        <v>6</v>
      </c>
      <c r="DH28" s="1344">
        <v>20.166666666666668</v>
      </c>
      <c r="DI28" s="1341">
        <f t="shared" si="14"/>
        <v>8.1666666666666679</v>
      </c>
      <c r="DJ28" s="36"/>
      <c r="DK28" s="95"/>
      <c r="DL28" s="95"/>
      <c r="DM28" s="36" t="s">
        <v>27</v>
      </c>
      <c r="DN28" s="95">
        <v>5</v>
      </c>
      <c r="DO28" s="1345">
        <v>15.6</v>
      </c>
      <c r="DP28" s="1346">
        <f t="shared" si="15"/>
        <v>3.5999999999999996</v>
      </c>
      <c r="DQ28" s="36"/>
      <c r="DR28" s="1347"/>
      <c r="DS28" s="1347"/>
      <c r="DT28" s="392" t="s">
        <v>27</v>
      </c>
      <c r="DU28" s="1347">
        <v>9</v>
      </c>
      <c r="DV28" s="1348">
        <v>19</v>
      </c>
      <c r="DW28" s="1349">
        <v>12</v>
      </c>
      <c r="DX28" s="1667">
        <f t="shared" si="16"/>
        <v>7</v>
      </c>
    </row>
    <row r="29" spans="1:128">
      <c r="A29" s="6391">
        <v>2</v>
      </c>
      <c r="B29" s="6391">
        <v>1</v>
      </c>
      <c r="C29" s="6391">
        <v>28</v>
      </c>
      <c r="D29" s="6392">
        <v>20.962962962962965</v>
      </c>
      <c r="E29" s="6391">
        <v>26</v>
      </c>
      <c r="F29" s="6076">
        <f t="shared" si="1"/>
        <v>8.9629629629629655</v>
      </c>
      <c r="G29" s="4318">
        <v>12</v>
      </c>
      <c r="I29" s="6073">
        <v>2</v>
      </c>
      <c r="J29" s="6073">
        <v>1</v>
      </c>
      <c r="K29" s="6074">
        <v>24</v>
      </c>
      <c r="L29" s="6075">
        <v>23.56</v>
      </c>
      <c r="M29" s="6073">
        <v>54</v>
      </c>
      <c r="N29" s="6076">
        <f t="shared" si="2"/>
        <v>11.559999999999999</v>
      </c>
      <c r="O29" s="4318">
        <v>12</v>
      </c>
      <c r="Q29" s="5832">
        <v>2</v>
      </c>
      <c r="R29" s="5832">
        <v>1</v>
      </c>
      <c r="S29" s="5840">
        <v>24</v>
      </c>
      <c r="T29" s="5833">
        <v>18.015761784511785</v>
      </c>
      <c r="U29" s="5832">
        <v>54</v>
      </c>
      <c r="V29" s="1346">
        <f t="shared" si="3"/>
        <v>6.0157617845117848</v>
      </c>
      <c r="W29" s="4318">
        <v>12</v>
      </c>
      <c r="Y29" s="4316">
        <v>2</v>
      </c>
      <c r="Z29" s="4316">
        <v>1</v>
      </c>
      <c r="AA29" s="4245" t="s">
        <v>12</v>
      </c>
      <c r="AB29" s="4327">
        <v>18.099999999999998</v>
      </c>
      <c r="AC29" s="4628">
        <v>38</v>
      </c>
      <c r="AD29" s="1346">
        <f t="shared" si="4"/>
        <v>6.0999999999999979</v>
      </c>
      <c r="AE29" s="4318">
        <v>12</v>
      </c>
      <c r="AG29" s="4316">
        <v>2</v>
      </c>
      <c r="AH29" s="4316">
        <v>1</v>
      </c>
      <c r="AI29" s="4245" t="s">
        <v>12</v>
      </c>
      <c r="AJ29" s="4327">
        <v>18.68896103896104</v>
      </c>
      <c r="AK29" s="4628">
        <v>43</v>
      </c>
      <c r="AL29" s="1346">
        <f t="shared" si="5"/>
        <v>6.6889610389610397</v>
      </c>
      <c r="AM29" s="4318">
        <v>12</v>
      </c>
      <c r="AO29" s="4237"/>
      <c r="AP29" s="4237"/>
      <c r="AQ29" s="4236" t="s">
        <v>12</v>
      </c>
      <c r="AR29" s="4237">
        <v>19</v>
      </c>
      <c r="AS29" s="4237">
        <v>28</v>
      </c>
      <c r="AT29" s="4294">
        <f t="shared" si="6"/>
        <v>7</v>
      </c>
      <c r="AU29" s="4295">
        <v>12</v>
      </c>
      <c r="AW29" s="97"/>
      <c r="AX29" s="97"/>
      <c r="AY29" s="42" t="s">
        <v>12</v>
      </c>
      <c r="AZ29" s="97">
        <v>19.66</v>
      </c>
      <c r="BA29" s="97">
        <v>59</v>
      </c>
      <c r="BB29" s="1281">
        <f t="shared" si="7"/>
        <v>7.66</v>
      </c>
      <c r="BC29" s="3706">
        <v>12</v>
      </c>
      <c r="BE29" s="4263"/>
      <c r="BF29" s="4263"/>
      <c r="BG29" s="4258" t="s">
        <v>12</v>
      </c>
      <c r="BH29" s="4263">
        <v>18.91</v>
      </c>
      <c r="BI29" s="4263">
        <v>45</v>
      </c>
      <c r="BJ29" s="4264">
        <f t="shared" si="8"/>
        <v>6.91</v>
      </c>
      <c r="BK29" s="4265">
        <v>12</v>
      </c>
      <c r="BM29" s="36"/>
      <c r="BN29" s="36"/>
      <c r="BO29" s="36" t="s">
        <v>12</v>
      </c>
      <c r="BP29" s="1345">
        <v>19.600000000000001</v>
      </c>
      <c r="BQ29" s="95">
        <v>43</v>
      </c>
      <c r="BR29" s="1281">
        <f t="shared" si="9"/>
        <v>7.6000000000000014</v>
      </c>
      <c r="BS29" s="1349">
        <v>12</v>
      </c>
      <c r="BT29" s="2106"/>
      <c r="BU29" s="97"/>
      <c r="BV29" s="97"/>
      <c r="BW29" s="36" t="s">
        <v>12</v>
      </c>
      <c r="BX29" s="95">
        <v>18.82</v>
      </c>
      <c r="BY29" s="95">
        <v>34</v>
      </c>
      <c r="BZ29" s="1281">
        <f t="shared" si="10"/>
        <v>6.82</v>
      </c>
      <c r="CB29" s="95"/>
      <c r="CC29" s="95"/>
      <c r="CD29" s="36" t="s">
        <v>12</v>
      </c>
      <c r="CE29" s="1345">
        <v>17.89</v>
      </c>
      <c r="CF29" s="95">
        <v>35</v>
      </c>
      <c r="CG29" s="1335">
        <f t="shared" si="0"/>
        <v>5.8900000000000006</v>
      </c>
      <c r="CI29" s="742"/>
      <c r="CJ29" s="742"/>
      <c r="CK29" s="1334" t="s">
        <v>12</v>
      </c>
      <c r="CL29" s="1265">
        <v>18.578947368421051</v>
      </c>
      <c r="CM29" s="1266">
        <v>19</v>
      </c>
      <c r="CN29" s="1335">
        <f t="shared" si="11"/>
        <v>6.5789473684210513</v>
      </c>
      <c r="CP29" s="1336"/>
      <c r="CQ29" s="1336"/>
      <c r="CR29" s="1337" t="s">
        <v>12</v>
      </c>
      <c r="CS29" s="1338">
        <v>12</v>
      </c>
      <c r="CT29" s="1339">
        <v>16.916666666666668</v>
      </c>
      <c r="CU29" s="1281">
        <f t="shared" si="12"/>
        <v>4.9166666666666679</v>
      </c>
      <c r="CW29" s="1340"/>
      <c r="CX29" s="1340"/>
      <c r="CY29" s="1342" t="s">
        <v>12</v>
      </c>
      <c r="CZ29" s="1343">
        <v>21</v>
      </c>
      <c r="DA29" s="391">
        <v>20.380952380952383</v>
      </c>
      <c r="DB29" s="1341">
        <f t="shared" si="13"/>
        <v>8.3809523809523832</v>
      </c>
      <c r="DC29" s="36"/>
      <c r="DD29" s="1340"/>
      <c r="DE29" s="1340"/>
      <c r="DF29" s="1342" t="s">
        <v>12</v>
      </c>
      <c r="DG29" s="1343">
        <v>22</v>
      </c>
      <c r="DH29" s="1344">
        <v>18.636363636363637</v>
      </c>
      <c r="DI29" s="1341">
        <f t="shared" si="14"/>
        <v>6.6363636363636367</v>
      </c>
      <c r="DJ29" s="36"/>
      <c r="DK29" s="95"/>
      <c r="DL29" s="95"/>
      <c r="DM29" s="36" t="s">
        <v>12</v>
      </c>
      <c r="DN29" s="95">
        <v>25</v>
      </c>
      <c r="DO29" s="1345">
        <v>21.200000000000003</v>
      </c>
      <c r="DP29" s="1346">
        <f t="shared" si="15"/>
        <v>9.2000000000000028</v>
      </c>
      <c r="DQ29" s="36"/>
      <c r="DR29" s="1347"/>
      <c r="DS29" s="1347"/>
      <c r="DT29" s="392" t="s">
        <v>12</v>
      </c>
      <c r="DU29" s="1347">
        <v>21</v>
      </c>
      <c r="DV29" s="1348">
        <v>16.857142857142854</v>
      </c>
      <c r="DW29" s="1349">
        <v>12</v>
      </c>
      <c r="DX29" s="1667">
        <f t="shared" si="16"/>
        <v>4.8571428571428541</v>
      </c>
    </row>
    <row r="30" spans="1:128">
      <c r="A30" s="6391">
        <v>2</v>
      </c>
      <c r="B30" s="6391">
        <v>1</v>
      </c>
      <c r="C30" s="6391">
        <v>29</v>
      </c>
      <c r="D30" s="6392">
        <v>20.574206349206353</v>
      </c>
      <c r="E30" s="6391">
        <v>29</v>
      </c>
      <c r="F30" s="6076">
        <f t="shared" si="1"/>
        <v>8.5742063492063529</v>
      </c>
      <c r="G30" s="4318">
        <v>12</v>
      </c>
      <c r="I30" s="6073">
        <v>2</v>
      </c>
      <c r="J30" s="6073">
        <v>1</v>
      </c>
      <c r="K30" s="6074">
        <v>25</v>
      </c>
      <c r="L30" s="6075">
        <v>23.166666666666668</v>
      </c>
      <c r="M30" s="6073">
        <v>35</v>
      </c>
      <c r="N30" s="6076">
        <f t="shared" si="2"/>
        <v>11.166666666666668</v>
      </c>
      <c r="O30" s="4318">
        <v>12</v>
      </c>
      <c r="Q30" s="5832">
        <v>2</v>
      </c>
      <c r="R30" s="5832">
        <v>1</v>
      </c>
      <c r="S30" s="5840">
        <v>25</v>
      </c>
      <c r="T30" s="5833">
        <v>20.03208791208791</v>
      </c>
      <c r="U30" s="5832">
        <v>35</v>
      </c>
      <c r="V30" s="1346">
        <f t="shared" si="3"/>
        <v>8.0320879120879098</v>
      </c>
      <c r="W30" s="4318">
        <v>12</v>
      </c>
      <c r="Y30" s="4316">
        <v>2</v>
      </c>
      <c r="Z30" s="4316">
        <v>1</v>
      </c>
      <c r="AA30" s="4245" t="s">
        <v>28</v>
      </c>
      <c r="AB30" s="4327">
        <v>21.4</v>
      </c>
      <c r="AC30" s="4628">
        <v>27</v>
      </c>
      <c r="AD30" s="1346">
        <f t="shared" si="4"/>
        <v>9.3999999999999986</v>
      </c>
      <c r="AE30" s="4318">
        <v>12</v>
      </c>
      <c r="AG30" s="4316">
        <v>2</v>
      </c>
      <c r="AH30" s="4316">
        <v>1</v>
      </c>
      <c r="AI30" s="4245" t="s">
        <v>28</v>
      </c>
      <c r="AJ30" s="4327">
        <v>19.077513227513229</v>
      </c>
      <c r="AK30" s="4628">
        <v>33</v>
      </c>
      <c r="AL30" s="1346">
        <f t="shared" si="5"/>
        <v>7.0775132275132293</v>
      </c>
      <c r="AM30" s="4318">
        <v>12</v>
      </c>
      <c r="AO30" s="4237"/>
      <c r="AP30" s="4237"/>
      <c r="AQ30" s="4236" t="s">
        <v>28</v>
      </c>
      <c r="AR30" s="4237">
        <v>19.04</v>
      </c>
      <c r="AS30" s="4237">
        <v>24</v>
      </c>
      <c r="AT30" s="4294">
        <f t="shared" si="6"/>
        <v>7.0399999999999991</v>
      </c>
      <c r="AU30" s="4295">
        <v>12</v>
      </c>
      <c r="AW30" s="97"/>
      <c r="AX30" s="97"/>
      <c r="AY30" s="42" t="s">
        <v>28</v>
      </c>
      <c r="AZ30" s="97">
        <v>18.760000000000002</v>
      </c>
      <c r="BA30" s="97">
        <v>33</v>
      </c>
      <c r="BB30" s="1281">
        <f t="shared" si="7"/>
        <v>6.7600000000000016</v>
      </c>
      <c r="BC30" s="3706">
        <v>12</v>
      </c>
      <c r="BE30" s="4263"/>
      <c r="BF30" s="4263"/>
      <c r="BG30" s="4258" t="s">
        <v>28</v>
      </c>
      <c r="BH30" s="4263">
        <v>18.73</v>
      </c>
      <c r="BI30" s="4263">
        <v>22</v>
      </c>
      <c r="BJ30" s="4264">
        <f t="shared" si="8"/>
        <v>6.73</v>
      </c>
      <c r="BK30" s="4265">
        <v>12</v>
      </c>
      <c r="BM30" s="36"/>
      <c r="BN30" s="36"/>
      <c r="BO30" s="36" t="s">
        <v>28</v>
      </c>
      <c r="BP30" s="1345">
        <v>18.34</v>
      </c>
      <c r="BQ30" s="95">
        <v>41</v>
      </c>
      <c r="BR30" s="1281">
        <f t="shared" si="9"/>
        <v>6.34</v>
      </c>
      <c r="BS30" s="1349">
        <v>12</v>
      </c>
      <c r="BT30" s="2106"/>
      <c r="BU30" s="97"/>
      <c r="BV30" s="97"/>
      <c r="BW30" s="36" t="s">
        <v>28</v>
      </c>
      <c r="BX30" s="95">
        <v>19.100000000000001</v>
      </c>
      <c r="BY30" s="95">
        <v>20</v>
      </c>
      <c r="BZ30" s="1281">
        <f t="shared" si="10"/>
        <v>7.1000000000000014</v>
      </c>
      <c r="CB30" s="95"/>
      <c r="CC30" s="95"/>
      <c r="CD30" s="36" t="s">
        <v>28</v>
      </c>
      <c r="CE30" s="1345">
        <v>19.21</v>
      </c>
      <c r="CF30" s="95">
        <v>29</v>
      </c>
      <c r="CG30" s="1335">
        <f t="shared" si="0"/>
        <v>7.2100000000000009</v>
      </c>
      <c r="CI30" s="742"/>
      <c r="CJ30" s="742"/>
      <c r="CK30" s="1334" t="s">
        <v>28</v>
      </c>
      <c r="CL30" s="1265">
        <v>18.124999999999996</v>
      </c>
      <c r="CM30" s="1266">
        <v>24</v>
      </c>
      <c r="CN30" s="1335">
        <f t="shared" si="11"/>
        <v>6.1249999999999964</v>
      </c>
      <c r="CP30" s="1336"/>
      <c r="CQ30" s="1336"/>
      <c r="CR30" s="1337" t="s">
        <v>28</v>
      </c>
      <c r="CS30" s="1338">
        <v>13</v>
      </c>
      <c r="CT30" s="1339">
        <v>19.307692307692307</v>
      </c>
      <c r="CU30" s="1281">
        <f t="shared" si="12"/>
        <v>7.3076923076923066</v>
      </c>
      <c r="CW30" s="1340"/>
      <c r="CX30" s="1340"/>
      <c r="CY30" s="1342" t="s">
        <v>28</v>
      </c>
      <c r="CZ30" s="1343">
        <v>14</v>
      </c>
      <c r="DA30" s="391">
        <v>18.642857142857142</v>
      </c>
      <c r="DB30" s="1341">
        <f t="shared" si="13"/>
        <v>6.6428571428571423</v>
      </c>
      <c r="DC30" s="36"/>
      <c r="DD30" s="1340"/>
      <c r="DE30" s="1340"/>
      <c r="DF30" s="1342" t="s">
        <v>28</v>
      </c>
      <c r="DG30" s="1343">
        <v>20</v>
      </c>
      <c r="DH30" s="1344">
        <v>19.999999999999996</v>
      </c>
      <c r="DI30" s="1341">
        <f t="shared" si="14"/>
        <v>7.9999999999999964</v>
      </c>
      <c r="DJ30" s="36"/>
      <c r="DK30" s="95"/>
      <c r="DL30" s="95"/>
      <c r="DM30" s="36" t="s">
        <v>28</v>
      </c>
      <c r="DN30" s="95">
        <v>17</v>
      </c>
      <c r="DO30" s="1345">
        <v>18.294117647058822</v>
      </c>
      <c r="DP30" s="1346">
        <f t="shared" si="15"/>
        <v>6.2941176470588225</v>
      </c>
      <c r="DQ30" s="36"/>
      <c r="DR30" s="1347"/>
      <c r="DS30" s="1347"/>
      <c r="DT30" s="392" t="s">
        <v>28</v>
      </c>
      <c r="DU30" s="1347">
        <v>17</v>
      </c>
      <c r="DV30" s="1348">
        <v>18.705882352941178</v>
      </c>
      <c r="DW30" s="1349">
        <v>12</v>
      </c>
      <c r="DX30" s="1667">
        <f t="shared" si="16"/>
        <v>6.7058823529411775</v>
      </c>
    </row>
    <row r="31" spans="1:128">
      <c r="A31" s="6391">
        <v>2</v>
      </c>
      <c r="B31" s="6391">
        <v>1</v>
      </c>
      <c r="C31" s="6391">
        <v>30</v>
      </c>
      <c r="D31" s="6392">
        <v>20.666666666666664</v>
      </c>
      <c r="E31" s="6391">
        <v>24</v>
      </c>
      <c r="F31" s="6076">
        <f t="shared" si="1"/>
        <v>8.6666666666666643</v>
      </c>
      <c r="G31" s="4318">
        <v>12</v>
      </c>
      <c r="I31" s="6073">
        <v>2</v>
      </c>
      <c r="J31" s="6073">
        <v>1</v>
      </c>
      <c r="K31" s="6074">
        <v>26</v>
      </c>
      <c r="L31" s="6075">
        <v>17.225806451612904</v>
      </c>
      <c r="M31" s="6073">
        <v>56</v>
      </c>
      <c r="N31" s="6076">
        <f t="shared" si="2"/>
        <v>5.2258064516129039</v>
      </c>
      <c r="O31" s="4318">
        <v>12</v>
      </c>
      <c r="Q31" s="5832">
        <v>2</v>
      </c>
      <c r="R31" s="5832">
        <v>1</v>
      </c>
      <c r="S31" s="5840">
        <v>26</v>
      </c>
      <c r="T31" s="5833">
        <v>19.081845238095237</v>
      </c>
      <c r="U31" s="5832">
        <v>56</v>
      </c>
      <c r="V31" s="1346">
        <f t="shared" si="3"/>
        <v>7.0818452380952372</v>
      </c>
      <c r="W31" s="4318">
        <v>12</v>
      </c>
      <c r="Y31" s="4316">
        <v>2</v>
      </c>
      <c r="Z31" s="4316">
        <v>1</v>
      </c>
      <c r="AA31" s="4245" t="s">
        <v>29</v>
      </c>
      <c r="AB31" s="4327">
        <v>20.142857142857142</v>
      </c>
      <c r="AC31" s="4628">
        <v>39</v>
      </c>
      <c r="AD31" s="1346">
        <f t="shared" si="4"/>
        <v>8.1428571428571423</v>
      </c>
      <c r="AE31" s="4318">
        <v>12</v>
      </c>
      <c r="AG31" s="4316">
        <v>2</v>
      </c>
      <c r="AH31" s="4316">
        <v>1</v>
      </c>
      <c r="AI31" s="4245" t="s">
        <v>29</v>
      </c>
      <c r="AJ31" s="4327">
        <v>19.88511904761905</v>
      </c>
      <c r="AK31" s="4628">
        <v>35</v>
      </c>
      <c r="AL31" s="1346">
        <f t="shared" si="5"/>
        <v>7.8851190476190496</v>
      </c>
      <c r="AM31" s="4318">
        <v>12</v>
      </c>
      <c r="AO31" s="4237"/>
      <c r="AP31" s="4237"/>
      <c r="AQ31" s="4236" t="s">
        <v>29</v>
      </c>
      <c r="AR31" s="4237">
        <v>19.329999999999998</v>
      </c>
      <c r="AS31" s="4237">
        <v>21</v>
      </c>
      <c r="AT31" s="4294">
        <f t="shared" si="6"/>
        <v>7.3299999999999983</v>
      </c>
      <c r="AU31" s="4295">
        <v>12</v>
      </c>
      <c r="AW31" s="97"/>
      <c r="AX31" s="97"/>
      <c r="AY31" s="42" t="s">
        <v>29</v>
      </c>
      <c r="AZ31" s="97">
        <v>19.46</v>
      </c>
      <c r="BA31" s="97">
        <v>28</v>
      </c>
      <c r="BB31" s="1281">
        <f t="shared" si="7"/>
        <v>7.4600000000000009</v>
      </c>
      <c r="BC31" s="3706">
        <v>12</v>
      </c>
      <c r="BE31" s="4263"/>
      <c r="BF31" s="4263"/>
      <c r="BG31" s="4258" t="s">
        <v>29</v>
      </c>
      <c r="BH31" s="4263">
        <v>19.21</v>
      </c>
      <c r="BI31" s="4263">
        <v>19</v>
      </c>
      <c r="BJ31" s="4264">
        <f t="shared" si="8"/>
        <v>7.2100000000000009</v>
      </c>
      <c r="BK31" s="4265">
        <v>12</v>
      </c>
      <c r="BM31" s="36"/>
      <c r="BN31" s="36"/>
      <c r="BO31" s="36" t="s">
        <v>29</v>
      </c>
      <c r="BP31" s="1345">
        <v>19.5</v>
      </c>
      <c r="BQ31" s="95">
        <v>28</v>
      </c>
      <c r="BR31" s="1281">
        <f t="shared" si="9"/>
        <v>7.5</v>
      </c>
      <c r="BS31" s="1349">
        <v>12</v>
      </c>
      <c r="BT31" s="2106"/>
      <c r="BU31" s="97"/>
      <c r="BV31" s="97"/>
      <c r="BW31" s="36" t="s">
        <v>29</v>
      </c>
      <c r="BX31" s="95">
        <v>18.809999999999999</v>
      </c>
      <c r="BY31" s="95">
        <v>26</v>
      </c>
      <c r="BZ31" s="1281">
        <f t="shared" si="10"/>
        <v>6.8099999999999987</v>
      </c>
      <c r="CB31" s="95"/>
      <c r="CC31" s="95"/>
      <c r="CD31" s="36" t="s">
        <v>29</v>
      </c>
      <c r="CE31" s="1345">
        <v>15.74</v>
      </c>
      <c r="CF31" s="95">
        <v>27</v>
      </c>
      <c r="CG31" s="1335">
        <f t="shared" si="0"/>
        <v>3.74</v>
      </c>
      <c r="CI31" s="742"/>
      <c r="CJ31" s="742"/>
      <c r="CK31" s="1334" t="s">
        <v>29</v>
      </c>
      <c r="CL31" s="1265">
        <v>18.476190476190474</v>
      </c>
      <c r="CM31" s="1266">
        <v>21</v>
      </c>
      <c r="CN31" s="1335">
        <f t="shared" si="11"/>
        <v>6.4761904761904745</v>
      </c>
      <c r="CP31" s="1336"/>
      <c r="CQ31" s="1336"/>
      <c r="CR31" s="1337" t="s">
        <v>29</v>
      </c>
      <c r="CS31" s="1338">
        <v>17</v>
      </c>
      <c r="CT31" s="1339">
        <v>18.058823529411761</v>
      </c>
      <c r="CU31" s="1281">
        <f t="shared" si="12"/>
        <v>6.0588235294117609</v>
      </c>
      <c r="CW31" s="1340"/>
      <c r="CX31" s="1340"/>
      <c r="CY31" s="1342" t="s">
        <v>29</v>
      </c>
      <c r="CZ31" s="1343">
        <v>11</v>
      </c>
      <c r="DA31" s="391">
        <v>18.363636363636363</v>
      </c>
      <c r="DB31" s="1341">
        <f t="shared" si="13"/>
        <v>6.3636363636363633</v>
      </c>
      <c r="DC31" s="36"/>
      <c r="DD31" s="1340"/>
      <c r="DE31" s="1340"/>
      <c r="DF31" s="1342" t="s">
        <v>29</v>
      </c>
      <c r="DG31" s="1343">
        <v>9</v>
      </c>
      <c r="DH31" s="1344">
        <v>23.555555555555557</v>
      </c>
      <c r="DI31" s="1341">
        <f t="shared" si="14"/>
        <v>11.555555555555557</v>
      </c>
      <c r="DJ31" s="36"/>
      <c r="DK31" s="95"/>
      <c r="DL31" s="95"/>
      <c r="DM31" s="36" t="s">
        <v>29</v>
      </c>
      <c r="DN31" s="95">
        <v>10</v>
      </c>
      <c r="DO31" s="1345">
        <v>16.3</v>
      </c>
      <c r="DP31" s="1346">
        <f t="shared" si="15"/>
        <v>4.3000000000000007</v>
      </c>
      <c r="DQ31" s="36"/>
      <c r="DR31" s="1347"/>
      <c r="DS31" s="1347"/>
      <c r="DT31" s="392" t="s">
        <v>29</v>
      </c>
      <c r="DU31" s="1347">
        <v>13</v>
      </c>
      <c r="DV31" s="1348">
        <v>24.230769230769234</v>
      </c>
      <c r="DW31" s="1349">
        <v>12</v>
      </c>
      <c r="DX31" s="1667">
        <f t="shared" si="16"/>
        <v>12.230769230769234</v>
      </c>
    </row>
    <row r="32" spans="1:128">
      <c r="A32" s="6391">
        <v>2</v>
      </c>
      <c r="B32" s="6391">
        <v>2</v>
      </c>
      <c r="C32" s="6391">
        <v>37</v>
      </c>
      <c r="D32" s="6392">
        <v>15.993637566137567</v>
      </c>
      <c r="E32" s="6391">
        <v>125</v>
      </c>
      <c r="F32" s="6076">
        <f t="shared" si="1"/>
        <v>3.9936375661375667</v>
      </c>
      <c r="G32" s="4318">
        <v>12</v>
      </c>
      <c r="I32" s="6073">
        <v>2</v>
      </c>
      <c r="J32" s="6073">
        <v>1</v>
      </c>
      <c r="K32" s="6074">
        <v>27</v>
      </c>
      <c r="L32" s="6075">
        <v>21.625</v>
      </c>
      <c r="M32" s="6073">
        <v>19</v>
      </c>
      <c r="N32" s="6076">
        <f t="shared" si="2"/>
        <v>9.625</v>
      </c>
      <c r="O32" s="4318">
        <v>12</v>
      </c>
      <c r="Q32" s="5832">
        <v>2</v>
      </c>
      <c r="R32" s="5832">
        <v>1</v>
      </c>
      <c r="S32" s="5840">
        <v>27</v>
      </c>
      <c r="T32" s="5833">
        <v>19.006060606060608</v>
      </c>
      <c r="U32" s="5832">
        <v>19</v>
      </c>
      <c r="V32" s="1346">
        <f t="shared" si="3"/>
        <v>7.0060606060606077</v>
      </c>
      <c r="W32" s="4318">
        <v>12</v>
      </c>
      <c r="Y32" s="4316">
        <v>2</v>
      </c>
      <c r="Z32" s="4316">
        <v>1</v>
      </c>
      <c r="AA32" s="4245" t="s">
        <v>13</v>
      </c>
      <c r="AB32" s="4327">
        <v>19.666666666666668</v>
      </c>
      <c r="AC32" s="4628">
        <v>11</v>
      </c>
      <c r="AD32" s="1346">
        <f t="shared" si="4"/>
        <v>7.6666666666666679</v>
      </c>
      <c r="AE32" s="4318">
        <v>12</v>
      </c>
      <c r="AG32" s="4316">
        <v>2</v>
      </c>
      <c r="AH32" s="4316">
        <v>1</v>
      </c>
      <c r="AI32" s="4245" t="s">
        <v>13</v>
      </c>
      <c r="AJ32" s="4327">
        <v>22.298412698412701</v>
      </c>
      <c r="AK32" s="4628">
        <v>35</v>
      </c>
      <c r="AL32" s="1346">
        <f t="shared" si="5"/>
        <v>10.298412698412701</v>
      </c>
      <c r="AM32" s="4318">
        <v>12</v>
      </c>
      <c r="AO32" s="4237"/>
      <c r="AP32" s="4237"/>
      <c r="AQ32" s="4236" t="s">
        <v>13</v>
      </c>
      <c r="AR32" s="4237">
        <v>21.93</v>
      </c>
      <c r="AS32" s="4237">
        <v>27</v>
      </c>
      <c r="AT32" s="4294">
        <f t="shared" si="6"/>
        <v>9.93</v>
      </c>
      <c r="AU32" s="4295">
        <v>12</v>
      </c>
      <c r="AW32" s="97"/>
      <c r="AX32" s="97"/>
      <c r="AY32" s="42" t="s">
        <v>13</v>
      </c>
      <c r="AZ32" s="97">
        <v>20.14</v>
      </c>
      <c r="BA32" s="97">
        <v>35</v>
      </c>
      <c r="BB32" s="1281">
        <f t="shared" si="7"/>
        <v>8.14</v>
      </c>
      <c r="BC32" s="3706">
        <v>12</v>
      </c>
      <c r="BE32" s="4263"/>
      <c r="BF32" s="4263"/>
      <c r="BG32" s="4258" t="s">
        <v>13</v>
      </c>
      <c r="BH32" s="4263">
        <v>19.46</v>
      </c>
      <c r="BI32" s="4263">
        <v>28</v>
      </c>
      <c r="BJ32" s="4264">
        <f t="shared" si="8"/>
        <v>7.4600000000000009</v>
      </c>
      <c r="BK32" s="4265">
        <v>12</v>
      </c>
      <c r="BM32" s="36"/>
      <c r="BN32" s="36"/>
      <c r="BO32" s="36" t="s">
        <v>13</v>
      </c>
      <c r="BP32" s="1345">
        <v>19.89</v>
      </c>
      <c r="BQ32" s="95">
        <v>27</v>
      </c>
      <c r="BR32" s="1281">
        <f t="shared" si="9"/>
        <v>7.8900000000000006</v>
      </c>
      <c r="BS32" s="1349">
        <v>12</v>
      </c>
      <c r="BT32" s="2106"/>
      <c r="BU32" s="97"/>
      <c r="BV32" s="97"/>
      <c r="BW32" s="36" t="s">
        <v>13</v>
      </c>
      <c r="BX32" s="95">
        <v>21.68</v>
      </c>
      <c r="BY32" s="95">
        <v>31</v>
      </c>
      <c r="BZ32" s="1281">
        <f t="shared" si="10"/>
        <v>9.68</v>
      </c>
      <c r="CB32" s="95"/>
      <c r="CC32" s="95"/>
      <c r="CD32" s="36" t="s">
        <v>13</v>
      </c>
      <c r="CE32" s="1345">
        <v>20.86</v>
      </c>
      <c r="CF32" s="95">
        <v>28</v>
      </c>
      <c r="CG32" s="1335">
        <f t="shared" si="0"/>
        <v>8.86</v>
      </c>
      <c r="CI32" s="742"/>
      <c r="CJ32" s="742"/>
      <c r="CK32" s="1334" t="s">
        <v>13</v>
      </c>
      <c r="CL32" s="1265">
        <v>18.740740740740737</v>
      </c>
      <c r="CM32" s="1266">
        <v>27</v>
      </c>
      <c r="CN32" s="1335">
        <f t="shared" si="11"/>
        <v>6.7407407407407369</v>
      </c>
      <c r="CP32" s="1336"/>
      <c r="CQ32" s="1336"/>
      <c r="CR32" s="1337" t="s">
        <v>13</v>
      </c>
      <c r="CS32" s="1338">
        <v>37</v>
      </c>
      <c r="CT32" s="1339">
        <v>19.675675675675677</v>
      </c>
      <c r="CU32" s="1281">
        <f t="shared" si="12"/>
        <v>7.6756756756756772</v>
      </c>
      <c r="CW32" s="1340"/>
      <c r="CX32" s="1340"/>
      <c r="CY32" s="1342" t="s">
        <v>13</v>
      </c>
      <c r="CZ32" s="1343">
        <v>22</v>
      </c>
      <c r="DA32" s="391">
        <v>21.09090909090909</v>
      </c>
      <c r="DB32" s="1341">
        <f t="shared" si="13"/>
        <v>9.0909090909090899</v>
      </c>
      <c r="DC32" s="36"/>
      <c r="DD32" s="1340"/>
      <c r="DE32" s="1340"/>
      <c r="DF32" s="1342" t="s">
        <v>13</v>
      </c>
      <c r="DG32" s="1343">
        <v>45</v>
      </c>
      <c r="DH32" s="1344">
        <v>21.044444444444448</v>
      </c>
      <c r="DI32" s="1341">
        <f t="shared" si="14"/>
        <v>9.0444444444444478</v>
      </c>
      <c r="DJ32" s="36"/>
      <c r="DK32" s="95"/>
      <c r="DL32" s="95"/>
      <c r="DM32" s="36" t="s">
        <v>13</v>
      </c>
      <c r="DN32" s="95">
        <v>28</v>
      </c>
      <c r="DO32" s="1345">
        <v>18.928571428571434</v>
      </c>
      <c r="DP32" s="1346">
        <f t="shared" si="15"/>
        <v>6.9285714285714342</v>
      </c>
      <c r="DQ32" s="36"/>
      <c r="DR32" s="1347"/>
      <c r="DS32" s="1347"/>
      <c r="DT32" s="392" t="s">
        <v>13</v>
      </c>
      <c r="DU32" s="1347">
        <v>47</v>
      </c>
      <c r="DV32" s="1348">
        <v>19.553191489361705</v>
      </c>
      <c r="DW32" s="1349">
        <v>12</v>
      </c>
      <c r="DX32" s="1667">
        <f t="shared" si="16"/>
        <v>7.5531914893617049</v>
      </c>
    </row>
    <row r="33" spans="1:128">
      <c r="A33" s="6391">
        <v>2</v>
      </c>
      <c r="B33" s="6391">
        <v>2</v>
      </c>
      <c r="C33" s="6391">
        <v>38</v>
      </c>
      <c r="D33" s="6392">
        <v>19.513888888888889</v>
      </c>
      <c r="E33" s="6391">
        <v>23</v>
      </c>
      <c r="F33" s="6076">
        <f t="shared" si="1"/>
        <v>7.5138888888888893</v>
      </c>
      <c r="G33" s="4318">
        <v>12</v>
      </c>
      <c r="I33" s="6073">
        <v>2</v>
      </c>
      <c r="J33" s="6073">
        <v>1</v>
      </c>
      <c r="K33" s="6074">
        <v>28</v>
      </c>
      <c r="L33" s="6075">
        <v>20.25</v>
      </c>
      <c r="M33" s="6073">
        <v>21</v>
      </c>
      <c r="N33" s="6076">
        <f t="shared" si="2"/>
        <v>8.25</v>
      </c>
      <c r="O33" s="4318">
        <v>12</v>
      </c>
      <c r="Q33" s="5832">
        <v>2</v>
      </c>
      <c r="R33" s="5832">
        <v>1</v>
      </c>
      <c r="S33" s="5840">
        <v>28</v>
      </c>
      <c r="T33" s="5833">
        <v>19.541666666666668</v>
      </c>
      <c r="U33" s="5832">
        <v>21</v>
      </c>
      <c r="V33" s="1346">
        <f t="shared" si="3"/>
        <v>7.5416666666666679</v>
      </c>
      <c r="W33" s="4318">
        <v>12</v>
      </c>
      <c r="Y33" s="4316">
        <v>2</v>
      </c>
      <c r="Z33" s="4316">
        <v>1</v>
      </c>
      <c r="AA33" s="4245" t="s">
        <v>30</v>
      </c>
      <c r="AB33" s="4327">
        <v>19.861111111111111</v>
      </c>
      <c r="AC33" s="4628">
        <v>15</v>
      </c>
      <c r="AD33" s="1346">
        <f t="shared" si="4"/>
        <v>7.8611111111111107</v>
      </c>
      <c r="AE33" s="4318">
        <v>12</v>
      </c>
      <c r="AG33" s="4316">
        <v>2</v>
      </c>
      <c r="AH33" s="4316">
        <v>1</v>
      </c>
      <c r="AI33" s="4245" t="s">
        <v>30</v>
      </c>
      <c r="AJ33" s="4327">
        <v>21.742424242424242</v>
      </c>
      <c r="AK33" s="4628">
        <v>30</v>
      </c>
      <c r="AL33" s="1346">
        <f t="shared" si="5"/>
        <v>9.7424242424242422</v>
      </c>
      <c r="AM33" s="4318">
        <v>12</v>
      </c>
      <c r="AO33" s="4237"/>
      <c r="AP33" s="4237"/>
      <c r="AQ33" s="4236" t="s">
        <v>30</v>
      </c>
      <c r="AR33" s="4237">
        <v>22.62</v>
      </c>
      <c r="AS33" s="4237">
        <v>21</v>
      </c>
      <c r="AT33" s="4294">
        <f t="shared" si="6"/>
        <v>10.620000000000001</v>
      </c>
      <c r="AU33" s="4295">
        <v>12</v>
      </c>
      <c r="AW33" s="97"/>
      <c r="AX33" s="97"/>
      <c r="AY33" s="42" t="s">
        <v>30</v>
      </c>
      <c r="AZ33" s="97">
        <v>21.2</v>
      </c>
      <c r="BA33" s="97">
        <v>20</v>
      </c>
      <c r="BB33" s="1281">
        <f t="shared" si="7"/>
        <v>9.1999999999999993</v>
      </c>
      <c r="BC33" s="3706">
        <v>12</v>
      </c>
      <c r="BE33" s="4263"/>
      <c r="BF33" s="4263"/>
      <c r="BG33" s="4258" t="s">
        <v>30</v>
      </c>
      <c r="BH33" s="4263">
        <v>20.67</v>
      </c>
      <c r="BI33" s="4263">
        <v>12</v>
      </c>
      <c r="BJ33" s="4264">
        <f t="shared" si="8"/>
        <v>8.6700000000000017</v>
      </c>
      <c r="BK33" s="4265">
        <v>12</v>
      </c>
      <c r="BM33" s="36"/>
      <c r="BN33" s="36"/>
      <c r="BO33" s="36" t="s">
        <v>30</v>
      </c>
      <c r="BP33" s="1345">
        <v>18</v>
      </c>
      <c r="BQ33" s="95">
        <v>22</v>
      </c>
      <c r="BR33" s="1281">
        <f t="shared" si="9"/>
        <v>6</v>
      </c>
      <c r="BS33" s="1349">
        <v>12</v>
      </c>
      <c r="BT33" s="2106"/>
      <c r="BU33" s="97"/>
      <c r="BV33" s="97"/>
      <c r="BW33" s="36" t="s">
        <v>30</v>
      </c>
      <c r="BX33" s="95">
        <v>19.649999999999999</v>
      </c>
      <c r="BY33" s="95">
        <v>23</v>
      </c>
      <c r="BZ33" s="1281">
        <f t="shared" si="10"/>
        <v>7.6499999999999986</v>
      </c>
      <c r="CB33" s="95"/>
      <c r="CC33" s="95"/>
      <c r="CD33" s="36" t="s">
        <v>30</v>
      </c>
      <c r="CE33" s="1345">
        <v>19.61</v>
      </c>
      <c r="CF33" s="95">
        <v>18</v>
      </c>
      <c r="CG33" s="1335">
        <f t="shared" si="0"/>
        <v>7.6099999999999994</v>
      </c>
      <c r="CI33" s="742"/>
      <c r="CJ33" s="742"/>
      <c r="CK33" s="1334" t="s">
        <v>30</v>
      </c>
      <c r="CL33" s="1265">
        <v>22.916666666666668</v>
      </c>
      <c r="CM33" s="1266">
        <v>12</v>
      </c>
      <c r="CN33" s="1335">
        <f t="shared" si="11"/>
        <v>10.916666666666668</v>
      </c>
      <c r="CP33" s="1336"/>
      <c r="CQ33" s="1336"/>
      <c r="CR33" s="1337" t="s">
        <v>30</v>
      </c>
      <c r="CS33" s="1338">
        <v>38</v>
      </c>
      <c r="CT33" s="1339">
        <v>20.052631578947373</v>
      </c>
      <c r="CU33" s="1281">
        <f t="shared" si="12"/>
        <v>8.0526315789473735</v>
      </c>
      <c r="CW33" s="1340"/>
      <c r="CX33" s="1340"/>
      <c r="CY33" s="1342" t="s">
        <v>30</v>
      </c>
      <c r="CZ33" s="1343">
        <v>25</v>
      </c>
      <c r="DA33" s="391">
        <v>22.36</v>
      </c>
      <c r="DB33" s="1341">
        <f t="shared" si="13"/>
        <v>10.36</v>
      </c>
      <c r="DC33" s="36"/>
      <c r="DD33" s="1340"/>
      <c r="DE33" s="1340"/>
      <c r="DF33" s="1342" t="s">
        <v>30</v>
      </c>
      <c r="DG33" s="1343">
        <v>16</v>
      </c>
      <c r="DH33" s="1344">
        <v>21.4375</v>
      </c>
      <c r="DI33" s="1341">
        <f t="shared" si="14"/>
        <v>9.4375</v>
      </c>
      <c r="DJ33" s="36"/>
      <c r="DK33" s="95"/>
      <c r="DL33" s="95"/>
      <c r="DM33" s="36" t="s">
        <v>30</v>
      </c>
      <c r="DN33" s="95">
        <v>15</v>
      </c>
      <c r="DO33" s="1345">
        <v>20.2</v>
      </c>
      <c r="DP33" s="1346">
        <f t="shared" si="15"/>
        <v>8.1999999999999993</v>
      </c>
      <c r="DQ33" s="36"/>
      <c r="DR33" s="1347"/>
      <c r="DS33" s="1347"/>
      <c r="DT33" s="392" t="s">
        <v>30</v>
      </c>
      <c r="DU33" s="1347">
        <v>17</v>
      </c>
      <c r="DV33" s="1348">
        <v>18.764705882352942</v>
      </c>
      <c r="DW33" s="1349">
        <v>12</v>
      </c>
      <c r="DX33" s="1667">
        <f t="shared" si="16"/>
        <v>6.764705882352942</v>
      </c>
    </row>
    <row r="34" spans="1:128">
      <c r="A34" s="6391">
        <v>2</v>
      </c>
      <c r="B34" s="6391">
        <v>2</v>
      </c>
      <c r="C34" s="6391">
        <v>39</v>
      </c>
      <c r="D34" s="6392">
        <v>16.175213675213676</v>
      </c>
      <c r="E34" s="6391">
        <v>42</v>
      </c>
      <c r="F34" s="6076">
        <f t="shared" si="1"/>
        <v>4.1752136752136764</v>
      </c>
      <c r="G34" s="4318">
        <v>12</v>
      </c>
      <c r="I34" s="6073">
        <v>2</v>
      </c>
      <c r="J34" s="6073">
        <v>1</v>
      </c>
      <c r="K34" s="6074">
        <v>29</v>
      </c>
      <c r="L34" s="6075">
        <v>24</v>
      </c>
      <c r="M34" s="6073">
        <v>33</v>
      </c>
      <c r="N34" s="6076">
        <f t="shared" si="2"/>
        <v>12</v>
      </c>
      <c r="O34" s="4318">
        <v>12</v>
      </c>
      <c r="Q34" s="5832">
        <v>2</v>
      </c>
      <c r="R34" s="5832">
        <v>1</v>
      </c>
      <c r="S34" s="5840">
        <v>29</v>
      </c>
      <c r="T34" s="5833">
        <v>20.710317460317459</v>
      </c>
      <c r="U34" s="5832">
        <v>33</v>
      </c>
      <c r="V34" s="1346">
        <f t="shared" si="3"/>
        <v>8.7103174603174587</v>
      </c>
      <c r="W34" s="4318">
        <v>12</v>
      </c>
      <c r="Y34" s="4316">
        <v>2</v>
      </c>
      <c r="Z34" s="4316">
        <v>1</v>
      </c>
      <c r="AA34" s="4245" t="s">
        <v>31</v>
      </c>
      <c r="AB34" s="4327">
        <v>21.345238095238091</v>
      </c>
      <c r="AC34" s="4628">
        <v>18</v>
      </c>
      <c r="AD34" s="1346">
        <f t="shared" si="4"/>
        <v>9.3452380952380913</v>
      </c>
      <c r="AE34" s="4318">
        <v>12</v>
      </c>
      <c r="AG34" s="4316">
        <v>2</v>
      </c>
      <c r="AH34" s="4316">
        <v>1</v>
      </c>
      <c r="AI34" s="4245" t="s">
        <v>31</v>
      </c>
      <c r="AJ34" s="4327">
        <v>20.773809523809526</v>
      </c>
      <c r="AK34" s="4628">
        <v>15</v>
      </c>
      <c r="AL34" s="1346">
        <f t="shared" si="5"/>
        <v>8.7738095238095255</v>
      </c>
      <c r="AM34" s="4318">
        <v>12</v>
      </c>
      <c r="AO34" s="4237"/>
      <c r="AP34" s="4237"/>
      <c r="AQ34" s="4236" t="s">
        <v>31</v>
      </c>
      <c r="AR34" s="4237">
        <v>22.45</v>
      </c>
      <c r="AS34" s="4237">
        <v>11</v>
      </c>
      <c r="AT34" s="4294">
        <f t="shared" si="6"/>
        <v>10.45</v>
      </c>
      <c r="AU34" s="4295">
        <v>12</v>
      </c>
      <c r="AW34" s="97"/>
      <c r="AX34" s="97"/>
      <c r="AY34" s="42" t="s">
        <v>31</v>
      </c>
      <c r="AZ34" s="97">
        <v>20.41</v>
      </c>
      <c r="BA34" s="97">
        <v>22</v>
      </c>
      <c r="BB34" s="1281">
        <f t="shared" si="7"/>
        <v>8.41</v>
      </c>
      <c r="BC34" s="3706">
        <v>12</v>
      </c>
      <c r="BE34" s="4263"/>
      <c r="BF34" s="4263"/>
      <c r="BG34" s="4258" t="s">
        <v>31</v>
      </c>
      <c r="BH34" s="4263">
        <v>19.53</v>
      </c>
      <c r="BI34" s="4263">
        <v>15</v>
      </c>
      <c r="BJ34" s="4264">
        <f t="shared" si="8"/>
        <v>7.5300000000000011</v>
      </c>
      <c r="BK34" s="4265">
        <v>12</v>
      </c>
      <c r="BM34" s="36"/>
      <c r="BN34" s="36"/>
      <c r="BO34" s="36" t="s">
        <v>31</v>
      </c>
      <c r="BP34" s="1345">
        <v>20</v>
      </c>
      <c r="BQ34" s="95">
        <v>26</v>
      </c>
      <c r="BR34" s="1281">
        <f t="shared" si="9"/>
        <v>8</v>
      </c>
      <c r="BS34" s="1349">
        <v>12</v>
      </c>
      <c r="BT34" s="2106"/>
      <c r="BU34" s="97"/>
      <c r="BV34" s="97"/>
      <c r="BW34" s="36" t="s">
        <v>31</v>
      </c>
      <c r="BX34" s="95">
        <v>17.79</v>
      </c>
      <c r="BY34" s="95">
        <v>14</v>
      </c>
      <c r="BZ34" s="1281">
        <f t="shared" si="10"/>
        <v>5.7899999999999991</v>
      </c>
      <c r="CB34" s="95"/>
      <c r="CC34" s="95"/>
      <c r="CD34" s="36" t="s">
        <v>31</v>
      </c>
      <c r="CE34" s="1345">
        <v>17.41</v>
      </c>
      <c r="CF34" s="95">
        <v>17</v>
      </c>
      <c r="CG34" s="1335">
        <f t="shared" si="0"/>
        <v>5.41</v>
      </c>
      <c r="CI34" s="742"/>
      <c r="CJ34" s="742"/>
      <c r="CK34" s="1334" t="s">
        <v>31</v>
      </c>
      <c r="CL34" s="1265">
        <v>18</v>
      </c>
      <c r="CM34" s="1266">
        <v>11</v>
      </c>
      <c r="CN34" s="1335">
        <f t="shared" si="11"/>
        <v>6</v>
      </c>
      <c r="CP34" s="1336"/>
      <c r="CQ34" s="1336"/>
      <c r="CR34" s="1337" t="s">
        <v>31</v>
      </c>
      <c r="CS34" s="1338">
        <v>11</v>
      </c>
      <c r="CT34" s="1339">
        <v>19.000000000000004</v>
      </c>
      <c r="CU34" s="1281">
        <f t="shared" si="12"/>
        <v>7.0000000000000036</v>
      </c>
      <c r="CW34" s="1340"/>
      <c r="CX34" s="1340"/>
      <c r="CY34" s="1342" t="s">
        <v>31</v>
      </c>
      <c r="CZ34" s="1343">
        <v>10</v>
      </c>
      <c r="DA34" s="391">
        <v>15.5</v>
      </c>
      <c r="DB34" s="1341">
        <f t="shared" si="13"/>
        <v>3.5</v>
      </c>
      <c r="DC34" s="36"/>
      <c r="DD34" s="1340"/>
      <c r="DE34" s="1340"/>
      <c r="DF34" s="1342" t="s">
        <v>31</v>
      </c>
      <c r="DG34" s="1343">
        <v>14</v>
      </c>
      <c r="DH34" s="1344">
        <v>17.214285714285715</v>
      </c>
      <c r="DI34" s="1341">
        <f t="shared" si="14"/>
        <v>5.2142857142857153</v>
      </c>
      <c r="DJ34" s="36"/>
      <c r="DK34" s="95"/>
      <c r="DL34" s="95"/>
      <c r="DM34" s="36" t="s">
        <v>31</v>
      </c>
      <c r="DN34" s="95">
        <v>11</v>
      </c>
      <c r="DO34" s="1345">
        <v>18.727272727272727</v>
      </c>
      <c r="DP34" s="1346">
        <f t="shared" si="15"/>
        <v>6.7272727272727266</v>
      </c>
      <c r="DQ34" s="36"/>
      <c r="DR34" s="1347"/>
      <c r="DS34" s="1347"/>
      <c r="DT34" s="392" t="s">
        <v>31</v>
      </c>
      <c r="DU34" s="1347">
        <v>7</v>
      </c>
      <c r="DV34" s="1348">
        <v>16.285714285714285</v>
      </c>
      <c r="DW34" s="1349">
        <v>12</v>
      </c>
      <c r="DX34" s="1667">
        <f t="shared" si="16"/>
        <v>4.2857142857142847</v>
      </c>
    </row>
    <row r="35" spans="1:128">
      <c r="A35" s="6391">
        <v>2</v>
      </c>
      <c r="B35" s="6391">
        <v>2</v>
      </c>
      <c r="C35" s="6391">
        <v>40</v>
      </c>
      <c r="D35" s="6392">
        <v>16.986111111111111</v>
      </c>
      <c r="E35" s="6391">
        <v>18</v>
      </c>
      <c r="F35" s="6076">
        <f t="shared" si="1"/>
        <v>4.9861111111111107</v>
      </c>
      <c r="G35" s="4318">
        <v>12</v>
      </c>
      <c r="I35" s="6073">
        <v>2</v>
      </c>
      <c r="J35" s="6073">
        <v>1</v>
      </c>
      <c r="K35" s="6074">
        <v>30</v>
      </c>
      <c r="L35" s="6075">
        <v>21.470588235294116</v>
      </c>
      <c r="M35" s="6073">
        <v>47</v>
      </c>
      <c r="N35" s="6076">
        <f t="shared" si="2"/>
        <v>9.470588235294116</v>
      </c>
      <c r="O35" s="4318">
        <v>12</v>
      </c>
      <c r="Q35" s="5832">
        <v>2</v>
      </c>
      <c r="R35" s="5832">
        <v>1</v>
      </c>
      <c r="S35" s="5840">
        <v>30</v>
      </c>
      <c r="T35" s="5833">
        <v>18.896031746031742</v>
      </c>
      <c r="U35" s="5832">
        <v>47</v>
      </c>
      <c r="V35" s="1346">
        <f t="shared" si="3"/>
        <v>6.896031746031742</v>
      </c>
      <c r="W35" s="4318">
        <v>12</v>
      </c>
      <c r="Y35" s="4316">
        <v>2</v>
      </c>
      <c r="Z35" s="4316">
        <v>1</v>
      </c>
      <c r="AA35" s="4245" t="s">
        <v>32</v>
      </c>
      <c r="AB35" s="4327">
        <v>19.716117216117215</v>
      </c>
      <c r="AC35" s="4628">
        <v>30</v>
      </c>
      <c r="AD35" s="1346">
        <f t="shared" si="4"/>
        <v>7.7161172161172153</v>
      </c>
      <c r="AE35" s="4318">
        <v>12</v>
      </c>
      <c r="AG35" s="4316">
        <v>2</v>
      </c>
      <c r="AH35" s="4316">
        <v>1</v>
      </c>
      <c r="AI35" s="4245" t="s">
        <v>32</v>
      </c>
      <c r="AJ35" s="4327">
        <v>20.133333333333333</v>
      </c>
      <c r="AK35" s="4628">
        <v>30</v>
      </c>
      <c r="AL35" s="1346">
        <f t="shared" si="5"/>
        <v>8.1333333333333329</v>
      </c>
      <c r="AM35" s="4318">
        <v>12</v>
      </c>
      <c r="AO35" s="4237"/>
      <c r="AP35" s="4237"/>
      <c r="AQ35" s="4236" t="s">
        <v>32</v>
      </c>
      <c r="AR35" s="4237">
        <v>20.149999999999999</v>
      </c>
      <c r="AS35" s="4237">
        <v>20</v>
      </c>
      <c r="AT35" s="4294">
        <f t="shared" si="6"/>
        <v>8.1499999999999986</v>
      </c>
      <c r="AU35" s="4295">
        <v>12</v>
      </c>
      <c r="AW35" s="97"/>
      <c r="AX35" s="97"/>
      <c r="AY35" s="42" t="s">
        <v>32</v>
      </c>
      <c r="AZ35" s="97">
        <v>19.760000000000002</v>
      </c>
      <c r="BA35" s="97">
        <v>49</v>
      </c>
      <c r="BB35" s="1281">
        <f t="shared" si="7"/>
        <v>7.7600000000000016</v>
      </c>
      <c r="BC35" s="3706">
        <v>12</v>
      </c>
      <c r="BE35" s="4263"/>
      <c r="BF35" s="4263"/>
      <c r="BG35" s="4258" t="s">
        <v>32</v>
      </c>
      <c r="BH35" s="4263">
        <v>19.350000000000001</v>
      </c>
      <c r="BI35" s="4263">
        <v>34</v>
      </c>
      <c r="BJ35" s="4264">
        <f t="shared" si="8"/>
        <v>7.3500000000000014</v>
      </c>
      <c r="BK35" s="4265">
        <v>12</v>
      </c>
      <c r="BM35" s="36"/>
      <c r="BN35" s="36"/>
      <c r="BO35" s="36" t="s">
        <v>32</v>
      </c>
      <c r="BP35" s="1345">
        <v>20.23</v>
      </c>
      <c r="BQ35" s="95">
        <v>52</v>
      </c>
      <c r="BR35" s="1281">
        <f t="shared" si="9"/>
        <v>8.23</v>
      </c>
      <c r="BS35" s="1349">
        <v>12</v>
      </c>
      <c r="BT35" s="2106"/>
      <c r="BU35" s="97"/>
      <c r="BV35" s="97"/>
      <c r="BW35" s="36" t="s">
        <v>32</v>
      </c>
      <c r="BX35" s="95">
        <v>20.56</v>
      </c>
      <c r="BY35" s="95">
        <v>50</v>
      </c>
      <c r="BZ35" s="1281">
        <f t="shared" si="10"/>
        <v>8.5599999999999987</v>
      </c>
      <c r="CB35" s="95"/>
      <c r="CC35" s="95"/>
      <c r="CD35" s="36" t="s">
        <v>32</v>
      </c>
      <c r="CE35" s="1345">
        <v>19.13</v>
      </c>
      <c r="CF35" s="95">
        <v>39</v>
      </c>
      <c r="CG35" s="1335">
        <f t="shared" si="0"/>
        <v>7.129999999999999</v>
      </c>
      <c r="CI35" s="742"/>
      <c r="CJ35" s="742"/>
      <c r="CK35" s="1334" t="s">
        <v>32</v>
      </c>
      <c r="CL35" s="1265">
        <v>19.740740740740744</v>
      </c>
      <c r="CM35" s="1266">
        <v>27</v>
      </c>
      <c r="CN35" s="1335">
        <f t="shared" si="11"/>
        <v>7.740740740740744</v>
      </c>
      <c r="CP35" s="1336"/>
      <c r="CQ35" s="1336"/>
      <c r="CR35" s="1337" t="s">
        <v>32</v>
      </c>
      <c r="CS35" s="1338">
        <v>36</v>
      </c>
      <c r="CT35" s="1339">
        <v>20.666666666666664</v>
      </c>
      <c r="CU35" s="1281">
        <f t="shared" si="12"/>
        <v>8.6666666666666643</v>
      </c>
      <c r="CW35" s="1340"/>
      <c r="CX35" s="1340"/>
      <c r="CY35" s="1342" t="s">
        <v>32</v>
      </c>
      <c r="CZ35" s="1343">
        <v>38</v>
      </c>
      <c r="DA35" s="391">
        <v>21.973684210526319</v>
      </c>
      <c r="DB35" s="1341">
        <f t="shared" si="13"/>
        <v>9.9736842105263186</v>
      </c>
      <c r="DC35" s="36"/>
      <c r="DD35" s="1340"/>
      <c r="DE35" s="1340"/>
      <c r="DF35" s="1342" t="s">
        <v>32</v>
      </c>
      <c r="DG35" s="1343">
        <v>43</v>
      </c>
      <c r="DH35" s="1344">
        <v>19.720930232558132</v>
      </c>
      <c r="DI35" s="1341">
        <f t="shared" si="14"/>
        <v>7.7209302325581319</v>
      </c>
      <c r="DJ35" s="36"/>
      <c r="DK35" s="95"/>
      <c r="DL35" s="95"/>
      <c r="DM35" s="36" t="s">
        <v>32</v>
      </c>
      <c r="DN35" s="95">
        <v>40</v>
      </c>
      <c r="DO35" s="1345">
        <v>19.499999999999993</v>
      </c>
      <c r="DP35" s="1346">
        <f t="shared" si="15"/>
        <v>7.4999999999999929</v>
      </c>
      <c r="DQ35" s="36"/>
      <c r="DR35" s="1347"/>
      <c r="DS35" s="1347"/>
      <c r="DT35" s="392" t="s">
        <v>32</v>
      </c>
      <c r="DU35" s="1347">
        <v>60</v>
      </c>
      <c r="DV35" s="1348">
        <v>19.533333333333339</v>
      </c>
      <c r="DW35" s="1349">
        <v>12</v>
      </c>
      <c r="DX35" s="1667">
        <f t="shared" si="16"/>
        <v>7.5333333333333385</v>
      </c>
    </row>
    <row r="36" spans="1:128">
      <c r="A36" s="6391">
        <v>2</v>
      </c>
      <c r="B36" s="6391">
        <v>2</v>
      </c>
      <c r="C36" s="6391">
        <v>41</v>
      </c>
      <c r="D36" s="6392">
        <v>18.671861471861472</v>
      </c>
      <c r="E36" s="6391">
        <v>50</v>
      </c>
      <c r="F36" s="6076">
        <f t="shared" si="1"/>
        <v>6.6718614718614724</v>
      </c>
      <c r="G36" s="4318">
        <v>12</v>
      </c>
      <c r="I36" s="6073">
        <v>2</v>
      </c>
      <c r="J36" s="6073">
        <v>1</v>
      </c>
      <c r="K36" s="6074">
        <v>174</v>
      </c>
      <c r="L36" s="6075">
        <v>0</v>
      </c>
      <c r="M36" s="6073">
        <v>1</v>
      </c>
      <c r="N36" s="6076">
        <f t="shared" si="2"/>
        <v>-12</v>
      </c>
      <c r="O36" s="4318">
        <v>12</v>
      </c>
      <c r="Q36" s="5832">
        <v>2</v>
      </c>
      <c r="R36" s="5832">
        <v>1</v>
      </c>
      <c r="S36" s="5840">
        <v>174</v>
      </c>
      <c r="T36" s="5833">
        <v>12</v>
      </c>
      <c r="U36" s="5832">
        <v>1</v>
      </c>
      <c r="V36" s="1346">
        <f t="shared" si="3"/>
        <v>0</v>
      </c>
      <c r="W36" s="4318">
        <v>12</v>
      </c>
      <c r="Y36" s="4316">
        <v>2</v>
      </c>
      <c r="Z36" s="4316">
        <v>1</v>
      </c>
      <c r="AA36" s="4245" t="s">
        <v>1616</v>
      </c>
      <c r="AB36" s="4327">
        <v>12</v>
      </c>
      <c r="AC36" s="4628">
        <v>1</v>
      </c>
      <c r="AD36" s="1346">
        <f t="shared" ref="AD36" si="17">AB36-AE36</f>
        <v>0</v>
      </c>
      <c r="AE36" s="4318">
        <v>12</v>
      </c>
      <c r="AG36" s="4316"/>
      <c r="AH36" s="4316"/>
      <c r="AI36" s="4246" t="s">
        <v>482</v>
      </c>
      <c r="AJ36" s="4328">
        <v>20.363738195700222</v>
      </c>
      <c r="AK36" s="4627">
        <f>SUM(AK27:AK35)</f>
        <v>263</v>
      </c>
      <c r="AL36" s="1361">
        <f t="shared" si="5"/>
        <v>8.3637381957002219</v>
      </c>
      <c r="AM36" s="4319">
        <v>12</v>
      </c>
      <c r="AO36" s="4237"/>
      <c r="AP36" s="4237"/>
      <c r="AQ36" s="4214" t="s">
        <v>482</v>
      </c>
      <c r="AR36" s="4239">
        <v>20.28</v>
      </c>
      <c r="AS36" s="4239">
        <v>185</v>
      </c>
      <c r="AT36" s="4296">
        <f t="shared" si="6"/>
        <v>8.2800000000000011</v>
      </c>
      <c r="AU36" s="4295">
        <v>12</v>
      </c>
      <c r="AW36" s="97"/>
      <c r="AX36" s="97"/>
      <c r="AY36" s="893" t="s">
        <v>482</v>
      </c>
      <c r="AZ36" s="135">
        <v>20.3</v>
      </c>
      <c r="BA36" s="135">
        <v>314</v>
      </c>
      <c r="BB36" s="1675">
        <f t="shared" si="7"/>
        <v>8.3000000000000007</v>
      </c>
      <c r="BC36" s="3706">
        <v>12</v>
      </c>
      <c r="BE36" s="4263"/>
      <c r="BF36" s="4263"/>
      <c r="BG36" s="4257" t="s">
        <v>482</v>
      </c>
      <c r="BH36" s="4266">
        <v>19.920000000000002</v>
      </c>
      <c r="BI36" s="4266">
        <v>216</v>
      </c>
      <c r="BJ36" s="4267">
        <f t="shared" si="8"/>
        <v>7.9200000000000017</v>
      </c>
      <c r="BK36" s="4265">
        <v>12</v>
      </c>
      <c r="BM36" s="36"/>
      <c r="BN36" s="36"/>
      <c r="BO36" s="393" t="s">
        <v>482</v>
      </c>
      <c r="BP36" s="1360">
        <v>19.59</v>
      </c>
      <c r="BQ36" s="2015">
        <v>298</v>
      </c>
      <c r="BR36" s="1675">
        <f t="shared" si="9"/>
        <v>7.59</v>
      </c>
      <c r="BS36" s="1349">
        <v>12</v>
      </c>
      <c r="BT36" s="2106"/>
      <c r="BU36" s="97"/>
      <c r="BV36" s="97"/>
      <c r="BW36" s="393" t="s">
        <v>482</v>
      </c>
      <c r="BX36" s="86">
        <v>19.87</v>
      </c>
      <c r="BY36" s="86">
        <v>242</v>
      </c>
      <c r="BZ36" s="1675">
        <f t="shared" si="10"/>
        <v>7.870000000000001</v>
      </c>
      <c r="CB36" s="95"/>
      <c r="CC36" s="95"/>
      <c r="CD36" s="393" t="s">
        <v>482</v>
      </c>
      <c r="CE36" s="1360">
        <v>18.91</v>
      </c>
      <c r="CF36" s="86">
        <v>228</v>
      </c>
      <c r="CG36" s="1480">
        <f t="shared" si="0"/>
        <v>6.91</v>
      </c>
      <c r="CI36" s="742"/>
      <c r="CJ36" s="742"/>
      <c r="CK36" s="1350" t="s">
        <v>482</v>
      </c>
      <c r="CL36" s="1351">
        <v>19.317919075144495</v>
      </c>
      <c r="CM36" s="1352">
        <v>173</v>
      </c>
      <c r="CN36" s="1335">
        <f t="shared" si="11"/>
        <v>7.3179190751444949</v>
      </c>
      <c r="CP36" s="1336"/>
      <c r="CQ36" s="1336"/>
      <c r="CR36" s="1353" t="s">
        <v>482</v>
      </c>
      <c r="CS36" s="1354">
        <v>212</v>
      </c>
      <c r="CT36" s="1355">
        <v>19.863207547169836</v>
      </c>
      <c r="CU36" s="1281">
        <f t="shared" si="12"/>
        <v>7.8632075471698357</v>
      </c>
      <c r="CW36" s="1340"/>
      <c r="CX36" s="1340"/>
      <c r="CY36" s="1356" t="s">
        <v>482</v>
      </c>
      <c r="CZ36" s="1357">
        <f>SUM(CZ27:CZ35)</f>
        <v>163</v>
      </c>
      <c r="DA36" s="394">
        <v>20.71</v>
      </c>
      <c r="DB36" s="1359">
        <f t="shared" si="13"/>
        <v>8.7100000000000009</v>
      </c>
      <c r="DC36" s="36"/>
      <c r="DD36" s="1340"/>
      <c r="DE36" s="1340"/>
      <c r="DF36" s="1356" t="s">
        <v>482</v>
      </c>
      <c r="DG36" s="1357">
        <v>202</v>
      </c>
      <c r="DH36" s="1358">
        <v>20.158415841584151</v>
      </c>
      <c r="DI36" s="1359">
        <f t="shared" si="14"/>
        <v>8.1584158415841515</v>
      </c>
      <c r="DJ36" s="36"/>
      <c r="DK36" s="95"/>
      <c r="DL36" s="95"/>
      <c r="DM36" s="393" t="s">
        <v>15</v>
      </c>
      <c r="DN36" s="86">
        <v>179</v>
      </c>
      <c r="DO36" s="1360">
        <v>19.122905027932958</v>
      </c>
      <c r="DP36" s="1361">
        <f t="shared" si="15"/>
        <v>7.1229050279329584</v>
      </c>
      <c r="DQ36" s="36"/>
      <c r="DR36" s="1347"/>
      <c r="DS36" s="1347"/>
      <c r="DT36" s="1362" t="s">
        <v>15</v>
      </c>
      <c r="DU36" s="1363">
        <v>239</v>
      </c>
      <c r="DV36" s="1364">
        <v>18.895397489539743</v>
      </c>
      <c r="DW36" s="1349">
        <v>12</v>
      </c>
      <c r="DX36" s="1668">
        <f t="shared" si="16"/>
        <v>6.895397489539743</v>
      </c>
    </row>
    <row r="37" spans="1:128">
      <c r="A37" s="6391">
        <v>2</v>
      </c>
      <c r="B37" s="6391">
        <v>2</v>
      </c>
      <c r="C37" s="6391">
        <v>42</v>
      </c>
      <c r="D37" s="6392">
        <v>17.7</v>
      </c>
      <c r="E37" s="6391">
        <v>36</v>
      </c>
      <c r="F37" s="6076">
        <f t="shared" si="1"/>
        <v>5.6999999999999993</v>
      </c>
      <c r="G37" s="4318">
        <v>12</v>
      </c>
      <c r="I37" s="6073"/>
      <c r="J37" s="6073"/>
      <c r="K37" s="6083" t="s">
        <v>482</v>
      </c>
      <c r="L37" s="6075">
        <v>19.899999999999999</v>
      </c>
      <c r="M37" s="6077">
        <f>SUM(M27:M36)</f>
        <v>331</v>
      </c>
      <c r="N37" s="6084">
        <f t="shared" si="2"/>
        <v>7.8999999999999986</v>
      </c>
      <c r="O37" s="4319">
        <v>12</v>
      </c>
      <c r="Q37" s="5832"/>
      <c r="R37" s="5832"/>
      <c r="S37" s="5847" t="s">
        <v>482</v>
      </c>
      <c r="T37" s="5843">
        <v>19.628744904218589</v>
      </c>
      <c r="U37" s="5838">
        <f>SUM(U27:U36)</f>
        <v>331</v>
      </c>
      <c r="V37" s="1361">
        <f t="shared" si="3"/>
        <v>7.6287449042185891</v>
      </c>
      <c r="W37" s="4319">
        <v>12</v>
      </c>
      <c r="Y37" s="4316"/>
      <c r="Z37" s="4316"/>
      <c r="AA37" s="4246" t="s">
        <v>482</v>
      </c>
      <c r="AB37" s="4328">
        <v>20.185767704517705</v>
      </c>
      <c r="AC37" s="4627">
        <f>SUM(AC27:AC36)</f>
        <v>218</v>
      </c>
      <c r="AD37" s="1361">
        <f t="shared" si="4"/>
        <v>8.1857677045177049</v>
      </c>
      <c r="AE37" s="4319">
        <v>12</v>
      </c>
      <c r="AF37" s="4817"/>
      <c r="AG37" s="4316">
        <v>2</v>
      </c>
      <c r="AH37" s="4316">
        <v>2</v>
      </c>
      <c r="AI37" s="4245" t="s">
        <v>17</v>
      </c>
      <c r="AJ37" s="4327">
        <v>15.154202918541154</v>
      </c>
      <c r="AK37" s="4628">
        <v>143</v>
      </c>
      <c r="AL37" s="1346">
        <f t="shared" si="5"/>
        <v>3.154202918541154</v>
      </c>
      <c r="AM37" s="4318">
        <v>12</v>
      </c>
      <c r="AO37" s="4237"/>
      <c r="AP37" s="4237" t="s">
        <v>16</v>
      </c>
      <c r="AQ37" s="4236" t="s">
        <v>17</v>
      </c>
      <c r="AR37" s="4237">
        <v>14.07</v>
      </c>
      <c r="AS37" s="4237">
        <v>103</v>
      </c>
      <c r="AT37" s="4294">
        <f t="shared" si="6"/>
        <v>2.0700000000000003</v>
      </c>
      <c r="AU37" s="4295">
        <v>12</v>
      </c>
      <c r="AW37" s="97"/>
      <c r="AX37" s="97" t="s">
        <v>16</v>
      </c>
      <c r="AY37" s="42" t="s">
        <v>17</v>
      </c>
      <c r="AZ37" s="97">
        <v>16.04</v>
      </c>
      <c r="BA37" s="97">
        <v>128</v>
      </c>
      <c r="BB37" s="1281">
        <f t="shared" si="7"/>
        <v>4.0399999999999991</v>
      </c>
      <c r="BC37" s="3706">
        <v>12</v>
      </c>
      <c r="BE37" s="4263"/>
      <c r="BF37" s="4263" t="s">
        <v>16</v>
      </c>
      <c r="BG37" s="4258" t="s">
        <v>17</v>
      </c>
      <c r="BH37" s="4263">
        <v>16</v>
      </c>
      <c r="BI37" s="4263">
        <v>78</v>
      </c>
      <c r="BJ37" s="4264">
        <f t="shared" si="8"/>
        <v>4</v>
      </c>
      <c r="BK37" s="4265">
        <v>12</v>
      </c>
      <c r="BM37" s="36"/>
      <c r="BN37" s="36" t="s">
        <v>16</v>
      </c>
      <c r="BO37" s="36" t="s">
        <v>17</v>
      </c>
      <c r="BP37" s="1345">
        <v>15.29</v>
      </c>
      <c r="BQ37" s="95">
        <v>138</v>
      </c>
      <c r="BR37" s="1281">
        <f t="shared" si="9"/>
        <v>3.2899999999999991</v>
      </c>
      <c r="BS37" s="1349">
        <v>12</v>
      </c>
      <c r="BT37" s="2106"/>
      <c r="BU37" s="97"/>
      <c r="BV37" s="97" t="s">
        <v>16</v>
      </c>
      <c r="BW37" s="36" t="s">
        <v>17</v>
      </c>
      <c r="BX37" s="95">
        <v>15.05</v>
      </c>
      <c r="BY37" s="95">
        <v>130</v>
      </c>
      <c r="BZ37" s="1281">
        <f t="shared" si="10"/>
        <v>3.0500000000000007</v>
      </c>
      <c r="CB37" s="95"/>
      <c r="CC37" s="95" t="s">
        <v>16</v>
      </c>
      <c r="CD37" s="36" t="s">
        <v>17</v>
      </c>
      <c r="CE37" s="1345">
        <v>15.39</v>
      </c>
      <c r="CF37" s="95">
        <v>123</v>
      </c>
      <c r="CG37" s="1335">
        <f t="shared" si="0"/>
        <v>3.3900000000000006</v>
      </c>
      <c r="CI37" s="742"/>
      <c r="CJ37" s="742" t="s">
        <v>16</v>
      </c>
      <c r="CK37" s="1334" t="s">
        <v>17</v>
      </c>
      <c r="CL37" s="1265">
        <v>16.185430463576164</v>
      </c>
      <c r="CM37" s="1266">
        <v>151</v>
      </c>
      <c r="CN37" s="1335">
        <f t="shared" si="11"/>
        <v>4.1854304635761643</v>
      </c>
      <c r="CP37" s="1336"/>
      <c r="CQ37" s="1336" t="s">
        <v>16</v>
      </c>
      <c r="CR37" s="1337" t="s">
        <v>17</v>
      </c>
      <c r="CS37" s="1338">
        <v>147</v>
      </c>
      <c r="CT37" s="1339">
        <v>15.578231292517003</v>
      </c>
      <c r="CU37" s="1281">
        <f t="shared" si="12"/>
        <v>3.5782312925170032</v>
      </c>
      <c r="CW37" s="1340"/>
      <c r="CX37" s="1340" t="s">
        <v>16</v>
      </c>
      <c r="CY37" s="1342" t="s">
        <v>17</v>
      </c>
      <c r="CZ37" s="1343">
        <v>190</v>
      </c>
      <c r="DA37" s="391">
        <v>14.915789473684203</v>
      </c>
      <c r="DB37" s="1341">
        <f t="shared" si="13"/>
        <v>2.9157894736842032</v>
      </c>
      <c r="DC37" s="36"/>
      <c r="DD37" s="1340"/>
      <c r="DE37" s="1340" t="s">
        <v>16</v>
      </c>
      <c r="DF37" s="1342" t="s">
        <v>17</v>
      </c>
      <c r="DG37" s="1343">
        <v>133</v>
      </c>
      <c r="DH37" s="1344">
        <v>15.263157894736842</v>
      </c>
      <c r="DI37" s="1341">
        <f t="shared" si="14"/>
        <v>3.2631578947368425</v>
      </c>
      <c r="DJ37" s="36"/>
      <c r="DK37" s="95"/>
      <c r="DL37" s="95" t="s">
        <v>16</v>
      </c>
      <c r="DM37" s="36" t="s">
        <v>17</v>
      </c>
      <c r="DN37" s="95">
        <v>125</v>
      </c>
      <c r="DO37" s="1345">
        <v>15.847999999999995</v>
      </c>
      <c r="DP37" s="1346">
        <f t="shared" si="15"/>
        <v>3.8479999999999954</v>
      </c>
      <c r="DQ37" s="36"/>
      <c r="DR37" s="1347"/>
      <c r="DS37" s="1347" t="s">
        <v>16</v>
      </c>
      <c r="DT37" s="392" t="s">
        <v>17</v>
      </c>
      <c r="DU37" s="1347">
        <v>152</v>
      </c>
      <c r="DV37" s="1348">
        <v>16.243421052631582</v>
      </c>
      <c r="DW37" s="1349">
        <v>12</v>
      </c>
      <c r="DX37" s="1667">
        <f t="shared" si="16"/>
        <v>4.2434210526315823</v>
      </c>
    </row>
    <row r="38" spans="1:128">
      <c r="A38" s="6391">
        <v>2</v>
      </c>
      <c r="B38" s="6391">
        <v>2</v>
      </c>
      <c r="C38" s="6391">
        <v>43</v>
      </c>
      <c r="D38" s="6392">
        <v>18.25</v>
      </c>
      <c r="E38" s="6391">
        <v>28</v>
      </c>
      <c r="F38" s="6076">
        <f t="shared" si="1"/>
        <v>6.25</v>
      </c>
      <c r="G38" s="4318">
        <v>12</v>
      </c>
      <c r="I38" s="6073">
        <v>2</v>
      </c>
      <c r="J38" s="6073">
        <v>2</v>
      </c>
      <c r="K38" s="6074">
        <v>37</v>
      </c>
      <c r="L38" s="6075">
        <v>16.177215189873419</v>
      </c>
      <c r="M38" s="6073">
        <v>138</v>
      </c>
      <c r="N38" s="6076">
        <f t="shared" si="2"/>
        <v>4.1772151898734187</v>
      </c>
      <c r="O38" s="4318">
        <v>12</v>
      </c>
      <c r="Q38" s="5832">
        <v>2</v>
      </c>
      <c r="R38" s="5832">
        <v>2</v>
      </c>
      <c r="S38" s="5840">
        <v>37</v>
      </c>
      <c r="T38" s="5833">
        <v>15.283705652348916</v>
      </c>
      <c r="U38" s="5832">
        <v>138</v>
      </c>
      <c r="V38" s="1346">
        <f t="shared" si="3"/>
        <v>3.2837056523489156</v>
      </c>
      <c r="W38" s="4318">
        <v>12</v>
      </c>
      <c r="Y38" s="4316">
        <v>2</v>
      </c>
      <c r="Z38" s="4316">
        <v>2</v>
      </c>
      <c r="AA38" s="4245" t="s">
        <v>17</v>
      </c>
      <c r="AB38" s="4327">
        <v>14.736846405228759</v>
      </c>
      <c r="AC38" s="4628">
        <v>81</v>
      </c>
      <c r="AD38" s="1346">
        <f t="shared" si="4"/>
        <v>2.7368464052287589</v>
      </c>
      <c r="AE38" s="4318">
        <v>12</v>
      </c>
      <c r="AF38" s="4817"/>
      <c r="AG38" s="4316">
        <v>2</v>
      </c>
      <c r="AH38" s="4316">
        <v>2</v>
      </c>
      <c r="AI38" s="4245" t="s">
        <v>33</v>
      </c>
      <c r="AJ38" s="4327">
        <v>18.564814814814817</v>
      </c>
      <c r="AK38" s="4628">
        <v>26</v>
      </c>
      <c r="AL38" s="1346">
        <f t="shared" si="5"/>
        <v>6.5648148148148167</v>
      </c>
      <c r="AM38" s="4318">
        <v>12</v>
      </c>
      <c r="AO38" s="4237"/>
      <c r="AP38" s="4237"/>
      <c r="AQ38" s="4236" t="s">
        <v>33</v>
      </c>
      <c r="AR38" s="4237">
        <v>20.28</v>
      </c>
      <c r="AS38" s="4237">
        <v>18</v>
      </c>
      <c r="AT38" s="4294">
        <f t="shared" si="6"/>
        <v>8.2800000000000011</v>
      </c>
      <c r="AU38" s="4295">
        <v>12</v>
      </c>
      <c r="AW38" s="97"/>
      <c r="AX38" s="97"/>
      <c r="AY38" s="42" t="s">
        <v>33</v>
      </c>
      <c r="AZ38" s="97">
        <v>19.48</v>
      </c>
      <c r="BA38" s="97">
        <v>25</v>
      </c>
      <c r="BB38" s="1281">
        <f t="shared" si="7"/>
        <v>7.48</v>
      </c>
      <c r="BC38" s="3706">
        <v>12</v>
      </c>
      <c r="BE38" s="4263"/>
      <c r="BF38" s="4263"/>
      <c r="BG38" s="4258" t="s">
        <v>33</v>
      </c>
      <c r="BH38" s="4263">
        <v>19.8</v>
      </c>
      <c r="BI38" s="4263">
        <v>20</v>
      </c>
      <c r="BJ38" s="4264">
        <f t="shared" si="8"/>
        <v>7.8000000000000007</v>
      </c>
      <c r="BK38" s="4265">
        <v>12</v>
      </c>
      <c r="BM38" s="36"/>
      <c r="BN38" s="36"/>
      <c r="BO38" s="36" t="s">
        <v>33</v>
      </c>
      <c r="BP38" s="1345">
        <v>19.079999999999998</v>
      </c>
      <c r="BQ38" s="95">
        <v>24</v>
      </c>
      <c r="BR38" s="1281">
        <f t="shared" si="9"/>
        <v>7.0799999999999983</v>
      </c>
      <c r="BS38" s="1349">
        <v>12</v>
      </c>
      <c r="BT38" s="2106"/>
      <c r="BU38" s="97"/>
      <c r="BV38" s="97"/>
      <c r="BW38" s="36" t="s">
        <v>33</v>
      </c>
      <c r="BX38" s="95">
        <v>17.28</v>
      </c>
      <c r="BY38" s="95">
        <v>29</v>
      </c>
      <c r="BZ38" s="1281">
        <f t="shared" si="10"/>
        <v>5.2800000000000011</v>
      </c>
      <c r="CB38" s="95"/>
      <c r="CC38" s="95"/>
      <c r="CD38" s="36" t="s">
        <v>33</v>
      </c>
      <c r="CE38" s="1345">
        <v>17.5</v>
      </c>
      <c r="CF38" s="95">
        <v>34</v>
      </c>
      <c r="CG38" s="1335">
        <f t="shared" ref="CG38:CG69" si="18">CE38-DW38</f>
        <v>5.5</v>
      </c>
      <c r="CI38" s="742"/>
      <c r="CJ38" s="742"/>
      <c r="CK38" s="1334" t="s">
        <v>33</v>
      </c>
      <c r="CL38" s="1265">
        <v>17.75</v>
      </c>
      <c r="CM38" s="1266">
        <v>32</v>
      </c>
      <c r="CN38" s="1335">
        <f t="shared" si="11"/>
        <v>5.75</v>
      </c>
      <c r="CP38" s="1336"/>
      <c r="CQ38" s="1336"/>
      <c r="CR38" s="1337" t="s">
        <v>33</v>
      </c>
      <c r="CS38" s="1338">
        <v>28</v>
      </c>
      <c r="CT38" s="1339">
        <v>16.678571428571431</v>
      </c>
      <c r="CU38" s="1281">
        <f t="shared" si="12"/>
        <v>4.6785714285714306</v>
      </c>
      <c r="CW38" s="1340"/>
      <c r="CX38" s="1340"/>
      <c r="CY38" s="1342" t="s">
        <v>33</v>
      </c>
      <c r="CZ38" s="1343">
        <v>34</v>
      </c>
      <c r="DA38" s="391">
        <v>17.411764705882355</v>
      </c>
      <c r="DB38" s="1341">
        <f t="shared" si="13"/>
        <v>5.411764705882355</v>
      </c>
      <c r="DC38" s="36"/>
      <c r="DD38" s="1340"/>
      <c r="DE38" s="1340"/>
      <c r="DF38" s="1342" t="s">
        <v>33</v>
      </c>
      <c r="DG38" s="1343">
        <v>40</v>
      </c>
      <c r="DH38" s="1344">
        <v>17.125000000000004</v>
      </c>
      <c r="DI38" s="1341">
        <f t="shared" si="14"/>
        <v>5.1250000000000036</v>
      </c>
      <c r="DJ38" s="36"/>
      <c r="DK38" s="95"/>
      <c r="DL38" s="95"/>
      <c r="DM38" s="36" t="s">
        <v>33</v>
      </c>
      <c r="DN38" s="95">
        <v>23</v>
      </c>
      <c r="DO38" s="1345">
        <v>19.695652173913043</v>
      </c>
      <c r="DP38" s="1346">
        <f t="shared" si="15"/>
        <v>7.695652173913043</v>
      </c>
      <c r="DQ38" s="36"/>
      <c r="DR38" s="1347"/>
      <c r="DS38" s="1347"/>
      <c r="DT38" s="392" t="s">
        <v>33</v>
      </c>
      <c r="DU38" s="1347">
        <v>19</v>
      </c>
      <c r="DV38" s="1348">
        <v>17.526315789473681</v>
      </c>
      <c r="DW38" s="1349">
        <v>12</v>
      </c>
      <c r="DX38" s="1667">
        <f t="shared" si="16"/>
        <v>5.5263157894736814</v>
      </c>
    </row>
    <row r="39" spans="1:128">
      <c r="A39" s="6391">
        <v>2</v>
      </c>
      <c r="B39" s="6391">
        <v>2</v>
      </c>
      <c r="C39" s="6391">
        <v>44</v>
      </c>
      <c r="D39" s="6392">
        <v>15.344444444444443</v>
      </c>
      <c r="E39" s="6391">
        <v>25</v>
      </c>
      <c r="F39" s="6076">
        <f t="shared" si="1"/>
        <v>3.3444444444444432</v>
      </c>
      <c r="G39" s="4318">
        <v>12</v>
      </c>
      <c r="I39" s="6073">
        <v>2</v>
      </c>
      <c r="J39" s="6073">
        <v>2</v>
      </c>
      <c r="K39" s="6074">
        <v>38</v>
      </c>
      <c r="L39" s="6075">
        <v>22.76923076923077</v>
      </c>
      <c r="M39" s="6073">
        <v>17</v>
      </c>
      <c r="N39" s="6076">
        <f t="shared" si="2"/>
        <v>10.76923076923077</v>
      </c>
      <c r="O39" s="4318">
        <v>12</v>
      </c>
      <c r="Q39" s="5832">
        <v>2</v>
      </c>
      <c r="R39" s="5832">
        <v>2</v>
      </c>
      <c r="S39" s="5840">
        <v>38</v>
      </c>
      <c r="T39" s="5833">
        <v>20.583333333333336</v>
      </c>
      <c r="U39" s="5832">
        <v>17</v>
      </c>
      <c r="V39" s="1346">
        <f t="shared" si="3"/>
        <v>8.5833333333333357</v>
      </c>
      <c r="W39" s="4318">
        <v>12</v>
      </c>
      <c r="Y39" s="4316">
        <v>2</v>
      </c>
      <c r="Z39" s="4316">
        <v>2</v>
      </c>
      <c r="AA39" s="4245" t="s">
        <v>33</v>
      </c>
      <c r="AB39" s="4327">
        <v>21</v>
      </c>
      <c r="AC39" s="4628">
        <v>10</v>
      </c>
      <c r="AD39" s="1346">
        <f t="shared" si="4"/>
        <v>9</v>
      </c>
      <c r="AE39" s="4318">
        <v>12</v>
      </c>
      <c r="AF39" s="4817"/>
      <c r="AG39" s="4316">
        <v>2</v>
      </c>
      <c r="AH39" s="4316">
        <v>2</v>
      </c>
      <c r="AI39" s="4245" t="s">
        <v>34</v>
      </c>
      <c r="AJ39" s="4327">
        <v>18.284848484848485</v>
      </c>
      <c r="AK39" s="4628">
        <v>32</v>
      </c>
      <c r="AL39" s="1346">
        <f t="shared" si="5"/>
        <v>6.2848484848484851</v>
      </c>
      <c r="AM39" s="4318">
        <v>12</v>
      </c>
      <c r="AO39" s="4237"/>
      <c r="AP39" s="4237"/>
      <c r="AQ39" s="4236" t="s">
        <v>34</v>
      </c>
      <c r="AR39" s="4237">
        <v>18.73</v>
      </c>
      <c r="AS39" s="4237">
        <v>26</v>
      </c>
      <c r="AT39" s="4294">
        <f t="shared" si="6"/>
        <v>6.73</v>
      </c>
      <c r="AU39" s="4295">
        <v>12</v>
      </c>
      <c r="AW39" s="97"/>
      <c r="AX39" s="97"/>
      <c r="AY39" s="42" t="s">
        <v>34</v>
      </c>
      <c r="AZ39" s="97">
        <v>18.23</v>
      </c>
      <c r="BA39" s="97">
        <v>31</v>
      </c>
      <c r="BB39" s="1281">
        <f t="shared" si="7"/>
        <v>6.23</v>
      </c>
      <c r="BC39" s="3706">
        <v>12</v>
      </c>
      <c r="BE39" s="4263"/>
      <c r="BF39" s="4263"/>
      <c r="BG39" s="4258" t="s">
        <v>34</v>
      </c>
      <c r="BH39" s="4263">
        <v>18.29</v>
      </c>
      <c r="BI39" s="4263">
        <v>24</v>
      </c>
      <c r="BJ39" s="4264">
        <f t="shared" si="8"/>
        <v>6.2899999999999991</v>
      </c>
      <c r="BK39" s="4265">
        <v>12</v>
      </c>
      <c r="BM39" s="36"/>
      <c r="BN39" s="36"/>
      <c r="BO39" s="36" t="s">
        <v>34</v>
      </c>
      <c r="BP39" s="1345">
        <v>18</v>
      </c>
      <c r="BQ39" s="95">
        <v>33</v>
      </c>
      <c r="BR39" s="1281">
        <f t="shared" si="9"/>
        <v>6</v>
      </c>
      <c r="BS39" s="1349">
        <v>12</v>
      </c>
      <c r="BT39" s="2106"/>
      <c r="BU39" s="97"/>
      <c r="BV39" s="97"/>
      <c r="BW39" s="36" t="s">
        <v>34</v>
      </c>
      <c r="BX39" s="95">
        <v>18.88</v>
      </c>
      <c r="BY39" s="95">
        <v>25</v>
      </c>
      <c r="BZ39" s="1281">
        <f t="shared" si="10"/>
        <v>6.879999999999999</v>
      </c>
      <c r="CB39" s="95"/>
      <c r="CC39" s="95"/>
      <c r="CD39" s="36" t="s">
        <v>34</v>
      </c>
      <c r="CE39" s="1345">
        <v>20.89</v>
      </c>
      <c r="CF39" s="95">
        <v>18</v>
      </c>
      <c r="CG39" s="1335">
        <f t="shared" si="18"/>
        <v>8.89</v>
      </c>
      <c r="CI39" s="742"/>
      <c r="CJ39" s="742"/>
      <c r="CK39" s="1334" t="s">
        <v>34</v>
      </c>
      <c r="CL39" s="1265">
        <v>18.733333333333338</v>
      </c>
      <c r="CM39" s="1266">
        <v>30</v>
      </c>
      <c r="CN39" s="1335">
        <f t="shared" si="11"/>
        <v>6.7333333333333378</v>
      </c>
      <c r="CP39" s="1336"/>
      <c r="CQ39" s="1336"/>
      <c r="CR39" s="1337" t="s">
        <v>34</v>
      </c>
      <c r="CS39" s="1338">
        <v>24</v>
      </c>
      <c r="CT39" s="1339">
        <v>19.916666666666668</v>
      </c>
      <c r="CU39" s="1281">
        <f t="shared" si="12"/>
        <v>7.9166666666666679</v>
      </c>
      <c r="CW39" s="1340"/>
      <c r="CX39" s="1340"/>
      <c r="CY39" s="1342" t="s">
        <v>34</v>
      </c>
      <c r="CZ39" s="1343">
        <v>41</v>
      </c>
      <c r="DA39" s="391">
        <v>17.585365853658541</v>
      </c>
      <c r="DB39" s="1341">
        <f t="shared" si="13"/>
        <v>5.5853658536585407</v>
      </c>
      <c r="DC39" s="36"/>
      <c r="DD39" s="1340"/>
      <c r="DE39" s="1340"/>
      <c r="DF39" s="1342" t="s">
        <v>34</v>
      </c>
      <c r="DG39" s="1343">
        <v>39</v>
      </c>
      <c r="DH39" s="1344">
        <v>17.435897435897434</v>
      </c>
      <c r="DI39" s="1341">
        <f t="shared" si="14"/>
        <v>5.4358974358974343</v>
      </c>
      <c r="DJ39" s="36"/>
      <c r="DK39" s="95"/>
      <c r="DL39" s="95"/>
      <c r="DM39" s="36" t="s">
        <v>34</v>
      </c>
      <c r="DN39" s="95">
        <v>32</v>
      </c>
      <c r="DO39" s="1345">
        <v>18.34375</v>
      </c>
      <c r="DP39" s="1346">
        <f t="shared" si="15"/>
        <v>6.34375</v>
      </c>
      <c r="DQ39" s="36"/>
      <c r="DR39" s="1347"/>
      <c r="DS39" s="1347"/>
      <c r="DT39" s="392" t="s">
        <v>34</v>
      </c>
      <c r="DU39" s="1347">
        <v>30</v>
      </c>
      <c r="DV39" s="1348">
        <v>18.2</v>
      </c>
      <c r="DW39" s="1349">
        <v>12</v>
      </c>
      <c r="DX39" s="1667">
        <f t="shared" si="16"/>
        <v>6.1999999999999993</v>
      </c>
    </row>
    <row r="40" spans="1:128">
      <c r="A40" s="6391">
        <v>2</v>
      </c>
      <c r="B40" s="6391">
        <v>2</v>
      </c>
      <c r="C40" s="6391">
        <v>45</v>
      </c>
      <c r="D40" s="6392">
        <v>17.878968253968257</v>
      </c>
      <c r="E40" s="6391">
        <v>49</v>
      </c>
      <c r="F40" s="6076">
        <f t="shared" si="1"/>
        <v>5.8789682539682566</v>
      </c>
      <c r="G40" s="4318">
        <v>12</v>
      </c>
      <c r="I40" s="6073">
        <v>2</v>
      </c>
      <c r="J40" s="6073">
        <v>2</v>
      </c>
      <c r="K40" s="6074">
        <v>39</v>
      </c>
      <c r="L40" s="6075">
        <v>17.06451612903226</v>
      </c>
      <c r="M40" s="6073">
        <v>19</v>
      </c>
      <c r="N40" s="6076">
        <f t="shared" si="2"/>
        <v>5.0645161290322598</v>
      </c>
      <c r="O40" s="4318">
        <v>12</v>
      </c>
      <c r="Q40" s="5832">
        <v>2</v>
      </c>
      <c r="R40" s="5832">
        <v>2</v>
      </c>
      <c r="S40" s="5840">
        <v>39</v>
      </c>
      <c r="T40" s="5833">
        <v>18.916666666666668</v>
      </c>
      <c r="U40" s="5832">
        <v>19</v>
      </c>
      <c r="V40" s="1346">
        <f t="shared" si="3"/>
        <v>6.9166666666666679</v>
      </c>
      <c r="W40" s="4318">
        <v>12</v>
      </c>
      <c r="Y40" s="4316">
        <v>2</v>
      </c>
      <c r="Z40" s="4316">
        <v>2</v>
      </c>
      <c r="AA40" s="4245" t="s">
        <v>34</v>
      </c>
      <c r="AB40" s="4327">
        <v>18.399999999999999</v>
      </c>
      <c r="AC40" s="4628">
        <v>12</v>
      </c>
      <c r="AD40" s="1346">
        <f t="shared" si="4"/>
        <v>6.3999999999999986</v>
      </c>
      <c r="AE40" s="4318">
        <v>12</v>
      </c>
      <c r="AF40" s="4817"/>
      <c r="AG40" s="4316">
        <v>2</v>
      </c>
      <c r="AH40" s="4316">
        <v>2</v>
      </c>
      <c r="AI40" s="4245" t="s">
        <v>35</v>
      </c>
      <c r="AJ40" s="4327">
        <v>19.757575757575754</v>
      </c>
      <c r="AK40" s="4628">
        <v>25</v>
      </c>
      <c r="AL40" s="1346">
        <f t="shared" si="5"/>
        <v>7.7575757575757542</v>
      </c>
      <c r="AM40" s="4318">
        <v>12</v>
      </c>
      <c r="AO40" s="4237"/>
      <c r="AP40" s="4237"/>
      <c r="AQ40" s="4236" t="s">
        <v>35</v>
      </c>
      <c r="AR40" s="4237">
        <v>18.600000000000001</v>
      </c>
      <c r="AS40" s="4237">
        <v>15</v>
      </c>
      <c r="AT40" s="4294">
        <f t="shared" si="6"/>
        <v>6.6000000000000014</v>
      </c>
      <c r="AU40" s="4295">
        <v>12</v>
      </c>
      <c r="AW40" s="97"/>
      <c r="AX40" s="97"/>
      <c r="AY40" s="42" t="s">
        <v>35</v>
      </c>
      <c r="AZ40" s="97">
        <v>18.739999999999998</v>
      </c>
      <c r="BA40" s="97">
        <v>34</v>
      </c>
      <c r="BB40" s="1281">
        <f t="shared" si="7"/>
        <v>6.7399999999999984</v>
      </c>
      <c r="BC40" s="3706">
        <v>12</v>
      </c>
      <c r="BE40" s="4263"/>
      <c r="BF40" s="4263"/>
      <c r="BG40" s="4258" t="s">
        <v>35</v>
      </c>
      <c r="BH40" s="4263">
        <v>19.11</v>
      </c>
      <c r="BI40" s="4263">
        <v>28</v>
      </c>
      <c r="BJ40" s="4264">
        <f t="shared" si="8"/>
        <v>7.1099999999999994</v>
      </c>
      <c r="BK40" s="4265">
        <v>12</v>
      </c>
      <c r="BM40" s="36"/>
      <c r="BN40" s="36"/>
      <c r="BO40" s="36" t="s">
        <v>35</v>
      </c>
      <c r="BP40" s="1345">
        <v>19.16</v>
      </c>
      <c r="BQ40" s="95">
        <v>32</v>
      </c>
      <c r="BR40" s="1281">
        <f t="shared" si="9"/>
        <v>7.16</v>
      </c>
      <c r="BS40" s="1349">
        <v>12</v>
      </c>
      <c r="BT40" s="2106"/>
      <c r="BU40" s="97"/>
      <c r="BV40" s="97"/>
      <c r="BW40" s="36" t="s">
        <v>35</v>
      </c>
      <c r="BX40" s="95">
        <v>19.79</v>
      </c>
      <c r="BY40" s="95">
        <v>28</v>
      </c>
      <c r="BZ40" s="1281">
        <f t="shared" si="10"/>
        <v>7.7899999999999991</v>
      </c>
      <c r="CB40" s="95"/>
      <c r="CC40" s="95"/>
      <c r="CD40" s="36" t="s">
        <v>35</v>
      </c>
      <c r="CE40" s="1345">
        <v>19.8</v>
      </c>
      <c r="CF40" s="95">
        <v>40</v>
      </c>
      <c r="CG40" s="1335">
        <f t="shared" si="18"/>
        <v>7.8000000000000007</v>
      </c>
      <c r="CI40" s="742"/>
      <c r="CJ40" s="742"/>
      <c r="CK40" s="1334" t="s">
        <v>35</v>
      </c>
      <c r="CL40" s="1265">
        <v>18.785714285714285</v>
      </c>
      <c r="CM40" s="1266">
        <v>42</v>
      </c>
      <c r="CN40" s="1335">
        <f t="shared" si="11"/>
        <v>6.7857142857142847</v>
      </c>
      <c r="CP40" s="1336"/>
      <c r="CQ40" s="1336"/>
      <c r="CR40" s="1337" t="s">
        <v>35</v>
      </c>
      <c r="CS40" s="1338">
        <v>29</v>
      </c>
      <c r="CT40" s="1339">
        <v>19.724137931034484</v>
      </c>
      <c r="CU40" s="1281">
        <f t="shared" si="12"/>
        <v>7.724137931034484</v>
      </c>
      <c r="CW40" s="1340"/>
      <c r="CX40" s="1340"/>
      <c r="CY40" s="1342" t="s">
        <v>35</v>
      </c>
      <c r="CZ40" s="1343">
        <v>43</v>
      </c>
      <c r="DA40" s="391">
        <v>18.465116279069768</v>
      </c>
      <c r="DB40" s="1341">
        <f t="shared" si="13"/>
        <v>6.4651162790697683</v>
      </c>
      <c r="DC40" s="36"/>
      <c r="DD40" s="1340"/>
      <c r="DE40" s="1340"/>
      <c r="DF40" s="1342" t="s">
        <v>35</v>
      </c>
      <c r="DG40" s="1343">
        <v>25</v>
      </c>
      <c r="DH40" s="1344">
        <v>17.920000000000002</v>
      </c>
      <c r="DI40" s="1341">
        <f t="shared" si="14"/>
        <v>5.9200000000000017</v>
      </c>
      <c r="DJ40" s="36"/>
      <c r="DK40" s="95"/>
      <c r="DL40" s="95"/>
      <c r="DM40" s="36" t="s">
        <v>35</v>
      </c>
      <c r="DN40" s="95">
        <v>39</v>
      </c>
      <c r="DO40" s="1345">
        <v>16.589743589743591</v>
      </c>
      <c r="DP40" s="1346">
        <f t="shared" si="15"/>
        <v>4.5897435897435912</v>
      </c>
      <c r="DQ40" s="36"/>
      <c r="DR40" s="1347"/>
      <c r="DS40" s="1347"/>
      <c r="DT40" s="392" t="s">
        <v>35</v>
      </c>
      <c r="DU40" s="1347">
        <v>39</v>
      </c>
      <c r="DV40" s="1348">
        <v>19.974358974358974</v>
      </c>
      <c r="DW40" s="1349">
        <v>12</v>
      </c>
      <c r="DX40" s="1667">
        <f t="shared" si="16"/>
        <v>7.9743589743589745</v>
      </c>
    </row>
    <row r="41" spans="1:128">
      <c r="A41" s="6391">
        <v>2</v>
      </c>
      <c r="B41" s="6391">
        <v>2</v>
      </c>
      <c r="C41" s="6391">
        <v>46</v>
      </c>
      <c r="D41" s="6392">
        <v>17.357736369910285</v>
      </c>
      <c r="E41" s="6391">
        <v>94</v>
      </c>
      <c r="F41" s="6076">
        <f t="shared" si="1"/>
        <v>5.3577363699102847</v>
      </c>
      <c r="G41" s="4318">
        <v>12</v>
      </c>
      <c r="I41" s="6073">
        <v>2</v>
      </c>
      <c r="J41" s="6073">
        <v>2</v>
      </c>
      <c r="K41" s="6074">
        <v>40</v>
      </c>
      <c r="L41" s="6075">
        <v>17.555555555555557</v>
      </c>
      <c r="M41" s="6073">
        <v>22</v>
      </c>
      <c r="N41" s="6076">
        <f t="shared" si="2"/>
        <v>5.5555555555555571</v>
      </c>
      <c r="O41" s="4318">
        <v>12</v>
      </c>
      <c r="Q41" s="5832">
        <v>2</v>
      </c>
      <c r="R41" s="5832">
        <v>2</v>
      </c>
      <c r="S41" s="5840">
        <v>40</v>
      </c>
      <c r="T41" s="5833">
        <v>22.666666666666668</v>
      </c>
      <c r="U41" s="5832">
        <v>22</v>
      </c>
      <c r="V41" s="1346">
        <f t="shared" si="3"/>
        <v>10.666666666666668</v>
      </c>
      <c r="W41" s="4318">
        <v>12</v>
      </c>
      <c r="Y41" s="4316">
        <v>2</v>
      </c>
      <c r="Z41" s="4316">
        <v>2</v>
      </c>
      <c r="AA41" s="4245" t="s">
        <v>35</v>
      </c>
      <c r="AB41" s="4327">
        <v>22.308333333333334</v>
      </c>
      <c r="AC41" s="4628">
        <v>17</v>
      </c>
      <c r="AD41" s="1346">
        <f t="shared" si="4"/>
        <v>10.308333333333334</v>
      </c>
      <c r="AE41" s="4318">
        <v>12</v>
      </c>
      <c r="AF41" s="4817"/>
      <c r="AG41" s="4316">
        <v>2</v>
      </c>
      <c r="AH41" s="4316">
        <v>2</v>
      </c>
      <c r="AI41" s="4245" t="s">
        <v>19</v>
      </c>
      <c r="AJ41" s="4327">
        <v>17.632440476190478</v>
      </c>
      <c r="AK41" s="4628">
        <v>76</v>
      </c>
      <c r="AL41" s="1346">
        <f t="shared" si="5"/>
        <v>5.6324404761904781</v>
      </c>
      <c r="AM41" s="4318">
        <v>12</v>
      </c>
      <c r="AO41" s="4237"/>
      <c r="AP41" s="4237"/>
      <c r="AQ41" s="4236" t="s">
        <v>19</v>
      </c>
      <c r="AR41" s="4237">
        <v>17.2</v>
      </c>
      <c r="AS41" s="4237">
        <v>49</v>
      </c>
      <c r="AT41" s="4294">
        <f t="shared" si="6"/>
        <v>5.1999999999999993</v>
      </c>
      <c r="AU41" s="4295">
        <v>12</v>
      </c>
      <c r="AW41" s="97"/>
      <c r="AX41" s="97"/>
      <c r="AY41" s="42" t="s">
        <v>19</v>
      </c>
      <c r="AZ41" s="97">
        <v>17.940000000000001</v>
      </c>
      <c r="BA41" s="97">
        <v>50</v>
      </c>
      <c r="BB41" s="1281">
        <f t="shared" si="7"/>
        <v>5.9400000000000013</v>
      </c>
      <c r="BC41" s="3706">
        <v>12</v>
      </c>
      <c r="BE41" s="4263"/>
      <c r="BF41" s="4263"/>
      <c r="BG41" s="4258" t="s">
        <v>19</v>
      </c>
      <c r="BH41" s="4263">
        <v>18.64</v>
      </c>
      <c r="BI41" s="4263">
        <v>28</v>
      </c>
      <c r="BJ41" s="4264">
        <f t="shared" si="8"/>
        <v>6.6400000000000006</v>
      </c>
      <c r="BK41" s="4265">
        <v>12</v>
      </c>
      <c r="BM41" s="36"/>
      <c r="BN41" s="36"/>
      <c r="BO41" s="36" t="s">
        <v>19</v>
      </c>
      <c r="BP41" s="1345">
        <v>16.03</v>
      </c>
      <c r="BQ41" s="95">
        <v>29</v>
      </c>
      <c r="BR41" s="1281">
        <f t="shared" si="9"/>
        <v>4.0300000000000011</v>
      </c>
      <c r="BS41" s="1349">
        <v>12</v>
      </c>
      <c r="BT41" s="2106"/>
      <c r="BU41" s="97"/>
      <c r="BV41" s="97"/>
      <c r="BW41" s="36" t="s">
        <v>19</v>
      </c>
      <c r="BX41" s="95">
        <v>15.82</v>
      </c>
      <c r="BY41" s="95">
        <v>60</v>
      </c>
      <c r="BZ41" s="1281">
        <f t="shared" si="10"/>
        <v>3.8200000000000003</v>
      </c>
      <c r="CB41" s="95"/>
      <c r="CC41" s="95"/>
      <c r="CD41" s="36" t="s">
        <v>19</v>
      </c>
      <c r="CE41" s="1345">
        <v>18.37</v>
      </c>
      <c r="CF41" s="95">
        <v>41</v>
      </c>
      <c r="CG41" s="1335">
        <f t="shared" si="18"/>
        <v>6.370000000000001</v>
      </c>
      <c r="CI41" s="742"/>
      <c r="CJ41" s="742"/>
      <c r="CK41" s="1334" t="s">
        <v>19</v>
      </c>
      <c r="CL41" s="1265">
        <v>16.433333333333326</v>
      </c>
      <c r="CM41" s="1266">
        <v>60</v>
      </c>
      <c r="CN41" s="1335">
        <f t="shared" si="11"/>
        <v>4.4333333333333265</v>
      </c>
      <c r="CP41" s="1336"/>
      <c r="CQ41" s="1336"/>
      <c r="CR41" s="1337" t="s">
        <v>19</v>
      </c>
      <c r="CS41" s="1338">
        <v>42</v>
      </c>
      <c r="CT41" s="1339">
        <v>16.738095238095241</v>
      </c>
      <c r="CU41" s="1281">
        <f t="shared" si="12"/>
        <v>4.7380952380952408</v>
      </c>
      <c r="CW41" s="1340"/>
      <c r="CX41" s="1340"/>
      <c r="CY41" s="1342" t="s">
        <v>19</v>
      </c>
      <c r="CZ41" s="1343">
        <v>59</v>
      </c>
      <c r="DA41" s="391">
        <v>16.50847457627119</v>
      </c>
      <c r="DB41" s="1341">
        <f t="shared" si="13"/>
        <v>4.5084745762711904</v>
      </c>
      <c r="DC41" s="36"/>
      <c r="DD41" s="1340"/>
      <c r="DE41" s="1340"/>
      <c r="DF41" s="1342" t="s">
        <v>19</v>
      </c>
      <c r="DG41" s="1343">
        <v>38</v>
      </c>
      <c r="DH41" s="1344">
        <v>17.157894736842106</v>
      </c>
      <c r="DI41" s="1341">
        <f t="shared" si="14"/>
        <v>5.1578947368421062</v>
      </c>
      <c r="DJ41" s="36"/>
      <c r="DK41" s="95"/>
      <c r="DL41" s="95"/>
      <c r="DM41" s="36" t="s">
        <v>19</v>
      </c>
      <c r="DN41" s="95">
        <v>34</v>
      </c>
      <c r="DO41" s="1345">
        <v>15.705882352941172</v>
      </c>
      <c r="DP41" s="1346">
        <f t="shared" si="15"/>
        <v>3.7058823529411722</v>
      </c>
      <c r="DQ41" s="36"/>
      <c r="DR41" s="1347"/>
      <c r="DS41" s="1347"/>
      <c r="DT41" s="392" t="s">
        <v>19</v>
      </c>
      <c r="DU41" s="1347">
        <v>73</v>
      </c>
      <c r="DV41" s="1348">
        <v>17.589041095890412</v>
      </c>
      <c r="DW41" s="1349">
        <v>12</v>
      </c>
      <c r="DX41" s="1667">
        <f t="shared" si="16"/>
        <v>5.589041095890412</v>
      </c>
    </row>
    <row r="42" spans="1:128">
      <c r="A42" s="6391">
        <v>2</v>
      </c>
      <c r="B42" s="6391">
        <v>2</v>
      </c>
      <c r="C42" s="6391">
        <v>121</v>
      </c>
      <c r="D42" s="6392">
        <v>20.033333333333335</v>
      </c>
      <c r="E42" s="6391">
        <v>11</v>
      </c>
      <c r="F42" s="6076">
        <f t="shared" si="1"/>
        <v>8.033333333333335</v>
      </c>
      <c r="G42" s="4318">
        <v>12</v>
      </c>
      <c r="I42" s="6073">
        <v>2</v>
      </c>
      <c r="J42" s="6073">
        <v>2</v>
      </c>
      <c r="K42" s="6074">
        <v>41</v>
      </c>
      <c r="L42" s="6075">
        <v>19.033333333333335</v>
      </c>
      <c r="M42" s="6073">
        <v>54</v>
      </c>
      <c r="N42" s="6076">
        <f t="shared" si="2"/>
        <v>7.033333333333335</v>
      </c>
      <c r="O42" s="4318">
        <v>12</v>
      </c>
      <c r="Q42" s="5832">
        <v>2</v>
      </c>
      <c r="R42" s="5832">
        <v>2</v>
      </c>
      <c r="S42" s="5840">
        <v>41</v>
      </c>
      <c r="T42" s="5833">
        <v>15.937982768865121</v>
      </c>
      <c r="U42" s="5832">
        <v>54</v>
      </c>
      <c r="V42" s="1346">
        <f t="shared" si="3"/>
        <v>3.9379827688651208</v>
      </c>
      <c r="W42" s="4318">
        <v>12</v>
      </c>
      <c r="Y42" s="4316">
        <v>2</v>
      </c>
      <c r="Z42" s="4316">
        <v>2</v>
      </c>
      <c r="AA42" s="4245" t="s">
        <v>19</v>
      </c>
      <c r="AB42" s="4327">
        <v>16.166666666666668</v>
      </c>
      <c r="AC42" s="4628">
        <v>39</v>
      </c>
      <c r="AD42" s="1346">
        <f t="shared" si="4"/>
        <v>4.1666666666666679</v>
      </c>
      <c r="AE42" s="4318">
        <v>12</v>
      </c>
      <c r="AF42" s="4817"/>
      <c r="AG42" s="4316">
        <v>2</v>
      </c>
      <c r="AH42" s="4316">
        <v>2</v>
      </c>
      <c r="AI42" s="4245" t="s">
        <v>20</v>
      </c>
      <c r="AJ42" s="4327">
        <v>19.207070707070706</v>
      </c>
      <c r="AK42" s="4628">
        <v>35</v>
      </c>
      <c r="AL42" s="1346">
        <f t="shared" si="5"/>
        <v>7.2070707070707059</v>
      </c>
      <c r="AM42" s="4318">
        <v>12</v>
      </c>
      <c r="AO42" s="4237"/>
      <c r="AP42" s="4237"/>
      <c r="AQ42" s="4236" t="s">
        <v>20</v>
      </c>
      <c r="AR42" s="4237">
        <v>19.670000000000002</v>
      </c>
      <c r="AS42" s="4237">
        <v>21</v>
      </c>
      <c r="AT42" s="4294">
        <f t="shared" si="6"/>
        <v>7.6700000000000017</v>
      </c>
      <c r="AU42" s="4295">
        <v>12</v>
      </c>
      <c r="AW42" s="97"/>
      <c r="AX42" s="97"/>
      <c r="AY42" s="42" t="s">
        <v>20</v>
      </c>
      <c r="AZ42" s="97">
        <v>17.28</v>
      </c>
      <c r="BA42" s="97">
        <v>40</v>
      </c>
      <c r="BB42" s="1281">
        <f t="shared" si="7"/>
        <v>5.2800000000000011</v>
      </c>
      <c r="BC42" s="3706">
        <v>12</v>
      </c>
      <c r="BE42" s="4263"/>
      <c r="BF42" s="4263"/>
      <c r="BG42" s="4258" t="s">
        <v>20</v>
      </c>
      <c r="BH42" s="4263">
        <v>17.829999999999998</v>
      </c>
      <c r="BI42" s="4263">
        <v>23</v>
      </c>
      <c r="BJ42" s="4264">
        <f t="shared" si="8"/>
        <v>5.8299999999999983</v>
      </c>
      <c r="BK42" s="4265">
        <v>12</v>
      </c>
      <c r="BM42" s="36"/>
      <c r="BN42" s="36"/>
      <c r="BO42" s="36" t="s">
        <v>20</v>
      </c>
      <c r="BP42" s="1345">
        <v>18.53</v>
      </c>
      <c r="BQ42" s="95">
        <v>43</v>
      </c>
      <c r="BR42" s="1281">
        <f t="shared" si="9"/>
        <v>6.5300000000000011</v>
      </c>
      <c r="BS42" s="1349">
        <v>12</v>
      </c>
      <c r="BT42" s="2106"/>
      <c r="BU42" s="97"/>
      <c r="BV42" s="97"/>
      <c r="BW42" s="36" t="s">
        <v>20</v>
      </c>
      <c r="BX42" s="95">
        <v>16.88</v>
      </c>
      <c r="BY42" s="95">
        <v>48</v>
      </c>
      <c r="BZ42" s="1281">
        <f t="shared" si="10"/>
        <v>4.879999999999999</v>
      </c>
      <c r="CB42" s="95"/>
      <c r="CC42" s="95"/>
      <c r="CD42" s="36" t="s">
        <v>20</v>
      </c>
      <c r="CE42" s="1345">
        <v>17.7</v>
      </c>
      <c r="CF42" s="95">
        <v>40</v>
      </c>
      <c r="CG42" s="1335">
        <f t="shared" si="18"/>
        <v>5.6999999999999993</v>
      </c>
      <c r="CI42" s="742"/>
      <c r="CJ42" s="742"/>
      <c r="CK42" s="1334" t="s">
        <v>20</v>
      </c>
      <c r="CL42" s="1265">
        <v>17.414634146341463</v>
      </c>
      <c r="CM42" s="1266">
        <v>41</v>
      </c>
      <c r="CN42" s="1335">
        <f t="shared" si="11"/>
        <v>5.4146341463414629</v>
      </c>
      <c r="CP42" s="1336"/>
      <c r="CQ42" s="1336"/>
      <c r="CR42" s="1337" t="s">
        <v>20</v>
      </c>
      <c r="CS42" s="1338">
        <v>52</v>
      </c>
      <c r="CT42" s="1339">
        <v>18.673076923076923</v>
      </c>
      <c r="CU42" s="1281">
        <f t="shared" si="12"/>
        <v>6.6730769230769234</v>
      </c>
      <c r="CW42" s="1340"/>
      <c r="CX42" s="1340"/>
      <c r="CY42" s="1342" t="s">
        <v>20</v>
      </c>
      <c r="CZ42" s="1343">
        <v>46</v>
      </c>
      <c r="DA42" s="391">
        <v>18.086956521739133</v>
      </c>
      <c r="DB42" s="1341">
        <f t="shared" si="13"/>
        <v>6.0869565217391326</v>
      </c>
      <c r="DC42" s="36"/>
      <c r="DD42" s="1340"/>
      <c r="DE42" s="1340"/>
      <c r="DF42" s="1342" t="s">
        <v>20</v>
      </c>
      <c r="DG42" s="1343">
        <v>27</v>
      </c>
      <c r="DH42" s="1344">
        <v>17.703703703703706</v>
      </c>
      <c r="DI42" s="1341">
        <f t="shared" si="14"/>
        <v>5.7037037037037059</v>
      </c>
      <c r="DJ42" s="36"/>
      <c r="DK42" s="95"/>
      <c r="DL42" s="95"/>
      <c r="DM42" s="36" t="s">
        <v>20</v>
      </c>
      <c r="DN42" s="95">
        <v>38</v>
      </c>
      <c r="DO42" s="1345">
        <v>15.999999999999996</v>
      </c>
      <c r="DP42" s="1346">
        <f t="shared" si="15"/>
        <v>3.9999999999999964</v>
      </c>
      <c r="DQ42" s="36"/>
      <c r="DR42" s="1347"/>
      <c r="DS42" s="1347"/>
      <c r="DT42" s="392" t="s">
        <v>20</v>
      </c>
      <c r="DU42" s="1347">
        <v>48</v>
      </c>
      <c r="DV42" s="1348">
        <v>17.333333333333336</v>
      </c>
      <c r="DW42" s="1349">
        <v>12</v>
      </c>
      <c r="DX42" s="1667">
        <f t="shared" si="16"/>
        <v>5.3333333333333357</v>
      </c>
    </row>
    <row r="43" spans="1:128">
      <c r="A43" s="6391">
        <v>2</v>
      </c>
      <c r="B43" s="6391">
        <v>3</v>
      </c>
      <c r="C43" s="6391">
        <v>52</v>
      </c>
      <c r="D43" s="6392">
        <v>17.801587301587301</v>
      </c>
      <c r="E43" s="6391">
        <v>80</v>
      </c>
      <c r="F43" s="6076">
        <f t="shared" si="1"/>
        <v>5.8015873015873005</v>
      </c>
      <c r="G43" s="4318">
        <v>12</v>
      </c>
      <c r="I43" s="6073">
        <v>2</v>
      </c>
      <c r="J43" s="6073">
        <v>2</v>
      </c>
      <c r="K43" s="6074">
        <v>42</v>
      </c>
      <c r="L43" s="6075">
        <v>19.421052631578949</v>
      </c>
      <c r="M43" s="6073">
        <v>36</v>
      </c>
      <c r="N43" s="6076">
        <f t="shared" si="2"/>
        <v>7.4210526315789487</v>
      </c>
      <c r="O43" s="4318">
        <v>12</v>
      </c>
      <c r="Q43" s="5832">
        <v>2</v>
      </c>
      <c r="R43" s="5832">
        <v>2</v>
      </c>
      <c r="S43" s="5840">
        <v>42</v>
      </c>
      <c r="T43" s="5833">
        <v>18.502467532467531</v>
      </c>
      <c r="U43" s="5832">
        <v>36</v>
      </c>
      <c r="V43" s="1346">
        <f t="shared" si="3"/>
        <v>6.5024675324675307</v>
      </c>
      <c r="W43" s="4318">
        <v>12</v>
      </c>
      <c r="Y43" s="4316">
        <v>2</v>
      </c>
      <c r="Z43" s="4316">
        <v>2</v>
      </c>
      <c r="AA43" s="4245" t="s">
        <v>20</v>
      </c>
      <c r="AB43" s="4327">
        <v>21.443750000000001</v>
      </c>
      <c r="AC43" s="4628">
        <v>20</v>
      </c>
      <c r="AD43" s="1346">
        <f t="shared" si="4"/>
        <v>9.4437500000000014</v>
      </c>
      <c r="AE43" s="4318">
        <v>12</v>
      </c>
      <c r="AG43" s="4316">
        <v>2</v>
      </c>
      <c r="AH43" s="4316">
        <v>2</v>
      </c>
      <c r="AI43" s="4245" t="s">
        <v>36</v>
      </c>
      <c r="AJ43" s="4327">
        <v>19.581249999999997</v>
      </c>
      <c r="AK43" s="4628">
        <v>21</v>
      </c>
      <c r="AL43" s="1346">
        <f t="shared" si="5"/>
        <v>7.5812499999999972</v>
      </c>
      <c r="AM43" s="4318">
        <v>12</v>
      </c>
      <c r="AO43" s="4237"/>
      <c r="AP43" s="4237"/>
      <c r="AQ43" s="4236" t="s">
        <v>36</v>
      </c>
      <c r="AR43" s="4237">
        <v>20</v>
      </c>
      <c r="AS43" s="4237">
        <v>15</v>
      </c>
      <c r="AT43" s="4294">
        <f t="shared" si="6"/>
        <v>8</v>
      </c>
      <c r="AU43" s="4295">
        <v>12</v>
      </c>
      <c r="AW43" s="97"/>
      <c r="AX43" s="97"/>
      <c r="AY43" s="42" t="s">
        <v>36</v>
      </c>
      <c r="AZ43" s="97">
        <v>19.170000000000002</v>
      </c>
      <c r="BA43" s="97">
        <v>24</v>
      </c>
      <c r="BB43" s="1281">
        <f t="shared" si="7"/>
        <v>7.1700000000000017</v>
      </c>
      <c r="BC43" s="3706">
        <v>12</v>
      </c>
      <c r="BE43" s="4263"/>
      <c r="BF43" s="4263"/>
      <c r="BG43" s="4258" t="s">
        <v>36</v>
      </c>
      <c r="BH43" s="4263">
        <v>19.38</v>
      </c>
      <c r="BI43" s="4263">
        <v>16</v>
      </c>
      <c r="BJ43" s="4264">
        <f t="shared" si="8"/>
        <v>7.379999999999999</v>
      </c>
      <c r="BK43" s="4265">
        <v>12</v>
      </c>
      <c r="BM43" s="36"/>
      <c r="BN43" s="36"/>
      <c r="BO43" s="36" t="s">
        <v>36</v>
      </c>
      <c r="BP43" s="1345">
        <v>18.920000000000002</v>
      </c>
      <c r="BQ43" s="95">
        <v>38</v>
      </c>
      <c r="BR43" s="1281">
        <f t="shared" si="9"/>
        <v>6.9200000000000017</v>
      </c>
      <c r="BS43" s="1349">
        <v>12</v>
      </c>
      <c r="BT43" s="2106"/>
      <c r="BU43" s="97"/>
      <c r="BV43" s="97"/>
      <c r="BW43" s="36" t="s">
        <v>36</v>
      </c>
      <c r="BX43" s="95">
        <v>17.48</v>
      </c>
      <c r="BY43" s="95">
        <v>33</v>
      </c>
      <c r="BZ43" s="1281">
        <f t="shared" si="10"/>
        <v>5.48</v>
      </c>
      <c r="CB43" s="95"/>
      <c r="CC43" s="95"/>
      <c r="CD43" s="36" t="s">
        <v>36</v>
      </c>
      <c r="CE43" s="1345">
        <v>18.37</v>
      </c>
      <c r="CF43" s="95">
        <v>30</v>
      </c>
      <c r="CG43" s="1335">
        <f t="shared" si="18"/>
        <v>6.370000000000001</v>
      </c>
      <c r="CI43" s="742"/>
      <c r="CJ43" s="742"/>
      <c r="CK43" s="1334" t="s">
        <v>36</v>
      </c>
      <c r="CL43" s="1265">
        <v>19.324999999999999</v>
      </c>
      <c r="CM43" s="1266">
        <v>40</v>
      </c>
      <c r="CN43" s="1335">
        <f t="shared" si="11"/>
        <v>7.3249999999999993</v>
      </c>
      <c r="CP43" s="1336"/>
      <c r="CQ43" s="1336"/>
      <c r="CR43" s="1337" t="s">
        <v>36</v>
      </c>
      <c r="CS43" s="1338">
        <v>35</v>
      </c>
      <c r="CT43" s="1339">
        <v>17.257142857142853</v>
      </c>
      <c r="CU43" s="1281">
        <f t="shared" si="12"/>
        <v>5.2571428571428527</v>
      </c>
      <c r="CW43" s="1340"/>
      <c r="CX43" s="1340"/>
      <c r="CY43" s="1342" t="s">
        <v>36</v>
      </c>
      <c r="CZ43" s="1343">
        <v>34</v>
      </c>
      <c r="DA43" s="391">
        <v>18.441176470588232</v>
      </c>
      <c r="DB43" s="1341">
        <f t="shared" si="13"/>
        <v>6.441176470588232</v>
      </c>
      <c r="DC43" s="36"/>
      <c r="DD43" s="1340"/>
      <c r="DE43" s="1340"/>
      <c r="DF43" s="1342" t="s">
        <v>36</v>
      </c>
      <c r="DG43" s="1343">
        <v>35</v>
      </c>
      <c r="DH43" s="1344">
        <v>19.62857142857143</v>
      </c>
      <c r="DI43" s="1341">
        <f t="shared" si="14"/>
        <v>7.6285714285714299</v>
      </c>
      <c r="DJ43" s="36"/>
      <c r="DK43" s="95"/>
      <c r="DL43" s="95"/>
      <c r="DM43" s="36" t="s">
        <v>36</v>
      </c>
      <c r="DN43" s="95">
        <v>25</v>
      </c>
      <c r="DO43" s="1345">
        <v>20.039999999999996</v>
      </c>
      <c r="DP43" s="1346">
        <f t="shared" si="15"/>
        <v>8.0399999999999956</v>
      </c>
      <c r="DQ43" s="36"/>
      <c r="DR43" s="1347"/>
      <c r="DS43" s="1347"/>
      <c r="DT43" s="392" t="s">
        <v>36</v>
      </c>
      <c r="DU43" s="1347">
        <v>36</v>
      </c>
      <c r="DV43" s="1348">
        <v>18.916666666666668</v>
      </c>
      <c r="DW43" s="1349">
        <v>12</v>
      </c>
      <c r="DX43" s="1667">
        <f t="shared" si="16"/>
        <v>6.9166666666666679</v>
      </c>
    </row>
    <row r="44" spans="1:128">
      <c r="A44" s="6391">
        <v>2</v>
      </c>
      <c r="B44" s="6391">
        <v>3</v>
      </c>
      <c r="C44" s="6391">
        <v>53</v>
      </c>
      <c r="D44" s="6392">
        <v>19.174900793650792</v>
      </c>
      <c r="E44" s="6391">
        <v>68</v>
      </c>
      <c r="F44" s="6076">
        <f t="shared" si="1"/>
        <v>7.1749007936507923</v>
      </c>
      <c r="G44" s="4318">
        <v>12</v>
      </c>
      <c r="I44" s="6073">
        <v>2</v>
      </c>
      <c r="J44" s="6073">
        <v>2</v>
      </c>
      <c r="K44" s="6074">
        <v>43</v>
      </c>
      <c r="L44" s="6075">
        <v>18.916666666666668</v>
      </c>
      <c r="M44" s="6073">
        <v>28</v>
      </c>
      <c r="N44" s="6076">
        <f t="shared" si="2"/>
        <v>6.9166666666666679</v>
      </c>
      <c r="O44" s="4318">
        <v>12</v>
      </c>
      <c r="Q44" s="5832">
        <v>2</v>
      </c>
      <c r="R44" s="5832">
        <v>2</v>
      </c>
      <c r="S44" s="5840">
        <v>43</v>
      </c>
      <c r="T44" s="5833">
        <v>19.267619047619046</v>
      </c>
      <c r="U44" s="5832">
        <v>28</v>
      </c>
      <c r="V44" s="1346">
        <f t="shared" si="3"/>
        <v>7.2676190476190463</v>
      </c>
      <c r="W44" s="4318">
        <v>12</v>
      </c>
      <c r="Y44" s="4316">
        <v>2</v>
      </c>
      <c r="Z44" s="4316">
        <v>2</v>
      </c>
      <c r="AA44" s="4245" t="s">
        <v>36</v>
      </c>
      <c r="AB44" s="4327">
        <v>18.861111111111111</v>
      </c>
      <c r="AC44" s="4628">
        <v>21</v>
      </c>
      <c r="AD44" s="1346">
        <f t="shared" si="4"/>
        <v>6.8611111111111107</v>
      </c>
      <c r="AE44" s="4318">
        <v>12</v>
      </c>
      <c r="AG44" s="4316">
        <v>2</v>
      </c>
      <c r="AH44" s="4316">
        <v>2</v>
      </c>
      <c r="AI44" s="4245" t="s">
        <v>37</v>
      </c>
      <c r="AJ44" s="4327">
        <v>16.817460317460316</v>
      </c>
      <c r="AK44" s="4628">
        <v>27</v>
      </c>
      <c r="AL44" s="1346">
        <f t="shared" si="5"/>
        <v>4.8174603174603163</v>
      </c>
      <c r="AM44" s="4318">
        <v>12</v>
      </c>
      <c r="AO44" s="4237"/>
      <c r="AP44" s="4237"/>
      <c r="AQ44" s="4236" t="s">
        <v>37</v>
      </c>
      <c r="AR44" s="4237">
        <v>18.88</v>
      </c>
      <c r="AS44" s="4237">
        <v>17</v>
      </c>
      <c r="AT44" s="4294">
        <f t="shared" si="6"/>
        <v>6.879999999999999</v>
      </c>
      <c r="AU44" s="4295">
        <v>12</v>
      </c>
      <c r="AW44" s="97"/>
      <c r="AX44" s="97"/>
      <c r="AY44" s="42" t="s">
        <v>37</v>
      </c>
      <c r="AZ44" s="97">
        <v>19.13</v>
      </c>
      <c r="BA44" s="97">
        <v>16</v>
      </c>
      <c r="BB44" s="1281">
        <f t="shared" si="7"/>
        <v>7.129999999999999</v>
      </c>
      <c r="BC44" s="3706">
        <v>12</v>
      </c>
      <c r="BE44" s="4263"/>
      <c r="BF44" s="4263"/>
      <c r="BG44" s="4258" t="s">
        <v>37</v>
      </c>
      <c r="BH44" s="4263">
        <v>18.09</v>
      </c>
      <c r="BI44" s="4263">
        <v>11</v>
      </c>
      <c r="BJ44" s="4264">
        <f t="shared" si="8"/>
        <v>6.09</v>
      </c>
      <c r="BK44" s="4265">
        <v>12</v>
      </c>
      <c r="BM44" s="36"/>
      <c r="BN44" s="36"/>
      <c r="BO44" s="36" t="s">
        <v>37</v>
      </c>
      <c r="BP44" s="1345">
        <v>15.96</v>
      </c>
      <c r="BQ44" s="95">
        <v>24</v>
      </c>
      <c r="BR44" s="1281">
        <f t="shared" si="9"/>
        <v>3.9600000000000009</v>
      </c>
      <c r="BS44" s="1349">
        <v>12</v>
      </c>
      <c r="BT44" s="2106"/>
      <c r="BU44" s="97"/>
      <c r="BV44" s="97"/>
      <c r="BW44" s="36" t="s">
        <v>37</v>
      </c>
      <c r="BX44" s="95">
        <v>17.78</v>
      </c>
      <c r="BY44" s="95">
        <v>23</v>
      </c>
      <c r="BZ44" s="1281">
        <f t="shared" si="10"/>
        <v>5.7800000000000011</v>
      </c>
      <c r="CB44" s="95"/>
      <c r="CC44" s="95"/>
      <c r="CD44" s="36" t="s">
        <v>37</v>
      </c>
      <c r="CE44" s="1345">
        <v>15.52</v>
      </c>
      <c r="CF44" s="95">
        <v>21</v>
      </c>
      <c r="CG44" s="1335">
        <f t="shared" si="18"/>
        <v>3.5199999999999996</v>
      </c>
      <c r="CI44" s="742"/>
      <c r="CJ44" s="742"/>
      <c r="CK44" s="1334" t="s">
        <v>37</v>
      </c>
      <c r="CL44" s="1265">
        <v>16.761904761904763</v>
      </c>
      <c r="CM44" s="1266">
        <v>21</v>
      </c>
      <c r="CN44" s="1335">
        <f t="shared" si="11"/>
        <v>4.7619047619047628</v>
      </c>
      <c r="CP44" s="1336"/>
      <c r="CQ44" s="1336"/>
      <c r="CR44" s="1337" t="s">
        <v>37</v>
      </c>
      <c r="CS44" s="1338">
        <v>13</v>
      </c>
      <c r="CT44" s="1339">
        <v>15.076923076923077</v>
      </c>
      <c r="CU44" s="1281">
        <f t="shared" si="12"/>
        <v>3.0769230769230766</v>
      </c>
      <c r="CW44" s="1340"/>
      <c r="CX44" s="1340"/>
      <c r="CY44" s="1342" t="s">
        <v>37</v>
      </c>
      <c r="CZ44" s="1343">
        <v>16</v>
      </c>
      <c r="DA44" s="391">
        <v>17.312499999999996</v>
      </c>
      <c r="DB44" s="1341">
        <f t="shared" si="13"/>
        <v>5.3124999999999964</v>
      </c>
      <c r="DC44" s="36"/>
      <c r="DD44" s="1340"/>
      <c r="DE44" s="1340"/>
      <c r="DF44" s="1342" t="s">
        <v>37</v>
      </c>
      <c r="DG44" s="1343">
        <v>17</v>
      </c>
      <c r="DH44" s="1344">
        <v>14.294117647058826</v>
      </c>
      <c r="DI44" s="1341">
        <f t="shared" si="14"/>
        <v>2.294117647058826</v>
      </c>
      <c r="DJ44" s="36"/>
      <c r="DK44" s="95"/>
      <c r="DL44" s="95"/>
      <c r="DM44" s="36" t="s">
        <v>37</v>
      </c>
      <c r="DN44" s="95">
        <v>13</v>
      </c>
      <c r="DO44" s="1345">
        <v>18.46153846153846</v>
      </c>
      <c r="DP44" s="1346">
        <f t="shared" si="15"/>
        <v>6.4615384615384599</v>
      </c>
      <c r="DQ44" s="36"/>
      <c r="DR44" s="1347"/>
      <c r="DS44" s="1347"/>
      <c r="DT44" s="392" t="s">
        <v>37</v>
      </c>
      <c r="DU44" s="1347">
        <v>10</v>
      </c>
      <c r="DV44" s="1348">
        <v>15.6</v>
      </c>
      <c r="DW44" s="1349">
        <v>12</v>
      </c>
      <c r="DX44" s="1667">
        <f t="shared" si="16"/>
        <v>3.5999999999999996</v>
      </c>
    </row>
    <row r="45" spans="1:128">
      <c r="A45" s="6391">
        <v>2</v>
      </c>
      <c r="B45" s="6391">
        <v>3</v>
      </c>
      <c r="C45" s="6391">
        <v>54</v>
      </c>
      <c r="D45" s="6392">
        <v>21.266666666666666</v>
      </c>
      <c r="E45" s="6391">
        <v>32</v>
      </c>
      <c r="F45" s="6076">
        <f t="shared" si="1"/>
        <v>9.2666666666666657</v>
      </c>
      <c r="G45" s="4318">
        <v>12</v>
      </c>
      <c r="I45" s="6073">
        <v>2</v>
      </c>
      <c r="J45" s="6073">
        <v>2</v>
      </c>
      <c r="K45" s="6074">
        <v>44</v>
      </c>
      <c r="L45" s="6075">
        <v>15</v>
      </c>
      <c r="M45" s="6073">
        <v>23</v>
      </c>
      <c r="N45" s="6076">
        <f t="shared" si="2"/>
        <v>3</v>
      </c>
      <c r="O45" s="4318">
        <v>12</v>
      </c>
      <c r="Q45" s="5832">
        <v>2</v>
      </c>
      <c r="R45" s="5832">
        <v>2</v>
      </c>
      <c r="S45" s="5840">
        <v>44</v>
      </c>
      <c r="T45" s="5833">
        <v>16.747619047619047</v>
      </c>
      <c r="U45" s="5832">
        <v>23</v>
      </c>
      <c r="V45" s="1346">
        <f t="shared" si="3"/>
        <v>4.7476190476190467</v>
      </c>
      <c r="W45" s="4318">
        <v>12</v>
      </c>
      <c r="Y45" s="4316">
        <v>2</v>
      </c>
      <c r="Z45" s="4316">
        <v>2</v>
      </c>
      <c r="AA45" s="4245" t="s">
        <v>37</v>
      </c>
      <c r="AB45" s="4327">
        <v>15.7</v>
      </c>
      <c r="AC45" s="4628">
        <v>12</v>
      </c>
      <c r="AD45" s="1346">
        <f t="shared" si="4"/>
        <v>3.6999999999999993</v>
      </c>
      <c r="AE45" s="4318">
        <v>12</v>
      </c>
      <c r="AG45" s="4316">
        <v>2</v>
      </c>
      <c r="AH45" s="4316">
        <v>2</v>
      </c>
      <c r="AI45" s="4245" t="s">
        <v>38</v>
      </c>
      <c r="AJ45" s="4327">
        <v>16.735786435786437</v>
      </c>
      <c r="AK45" s="4628">
        <v>44</v>
      </c>
      <c r="AL45" s="1346">
        <f t="shared" si="5"/>
        <v>4.7357864357864372</v>
      </c>
      <c r="AM45" s="4318">
        <v>12</v>
      </c>
      <c r="AO45" s="4237"/>
      <c r="AP45" s="4237"/>
      <c r="AQ45" s="4236" t="s">
        <v>38</v>
      </c>
      <c r="AR45" s="4237">
        <v>17.13</v>
      </c>
      <c r="AS45" s="4237">
        <v>32</v>
      </c>
      <c r="AT45" s="4294">
        <f t="shared" si="6"/>
        <v>5.129999999999999</v>
      </c>
      <c r="AU45" s="4295">
        <v>12</v>
      </c>
      <c r="AW45" s="97"/>
      <c r="AX45" s="97"/>
      <c r="AY45" s="42" t="s">
        <v>38</v>
      </c>
      <c r="AZ45" s="97">
        <v>16.36</v>
      </c>
      <c r="BA45" s="97">
        <v>47</v>
      </c>
      <c r="BB45" s="1281">
        <f t="shared" si="7"/>
        <v>4.3599999999999994</v>
      </c>
      <c r="BC45" s="3706">
        <v>12</v>
      </c>
      <c r="BE45" s="4263"/>
      <c r="BF45" s="4263"/>
      <c r="BG45" s="4258" t="s">
        <v>38</v>
      </c>
      <c r="BH45" s="4263">
        <v>16.46</v>
      </c>
      <c r="BI45" s="4263">
        <v>41</v>
      </c>
      <c r="BJ45" s="4264">
        <f t="shared" si="8"/>
        <v>4.4600000000000009</v>
      </c>
      <c r="BK45" s="4265">
        <v>12</v>
      </c>
      <c r="BM45" s="36"/>
      <c r="BN45" s="36"/>
      <c r="BO45" s="36" t="s">
        <v>38</v>
      </c>
      <c r="BP45" s="1345">
        <v>18.309999999999999</v>
      </c>
      <c r="BQ45" s="95">
        <v>52</v>
      </c>
      <c r="BR45" s="1281">
        <f t="shared" si="9"/>
        <v>6.3099999999999987</v>
      </c>
      <c r="BS45" s="1349">
        <v>12</v>
      </c>
      <c r="BT45" s="2106"/>
      <c r="BU45" s="97"/>
      <c r="BV45" s="97"/>
      <c r="BW45" s="36" t="s">
        <v>38</v>
      </c>
      <c r="BX45" s="95">
        <v>17.329999999999998</v>
      </c>
      <c r="BY45" s="95">
        <v>61</v>
      </c>
      <c r="BZ45" s="1281">
        <f t="shared" si="10"/>
        <v>5.3299999999999983</v>
      </c>
      <c r="CB45" s="95"/>
      <c r="CC45" s="95"/>
      <c r="CD45" s="36" t="s">
        <v>38</v>
      </c>
      <c r="CE45" s="1345">
        <v>15.56</v>
      </c>
      <c r="CF45" s="95">
        <v>36</v>
      </c>
      <c r="CG45" s="1335">
        <f t="shared" si="18"/>
        <v>3.5600000000000005</v>
      </c>
      <c r="CI45" s="742"/>
      <c r="CJ45" s="742"/>
      <c r="CK45" s="1334" t="s">
        <v>38</v>
      </c>
      <c r="CL45" s="1265">
        <v>17.672413793103452</v>
      </c>
      <c r="CM45" s="1266">
        <v>58</v>
      </c>
      <c r="CN45" s="1335">
        <f t="shared" si="11"/>
        <v>5.672413793103452</v>
      </c>
      <c r="CP45" s="1336"/>
      <c r="CQ45" s="1336"/>
      <c r="CR45" s="1337" t="s">
        <v>38</v>
      </c>
      <c r="CS45" s="1338">
        <v>52</v>
      </c>
      <c r="CT45" s="1339">
        <v>17.51923076923077</v>
      </c>
      <c r="CU45" s="1281">
        <f t="shared" si="12"/>
        <v>5.5192307692307701</v>
      </c>
      <c r="CW45" s="1340"/>
      <c r="CX45" s="1340"/>
      <c r="CY45" s="1342" t="s">
        <v>38</v>
      </c>
      <c r="CZ45" s="1343">
        <v>78</v>
      </c>
      <c r="DA45" s="391">
        <v>17.166666666666661</v>
      </c>
      <c r="DB45" s="1341">
        <f t="shared" si="13"/>
        <v>5.1666666666666607</v>
      </c>
      <c r="DC45" s="36"/>
      <c r="DD45" s="1340"/>
      <c r="DE45" s="1340"/>
      <c r="DF45" s="1342" t="s">
        <v>38</v>
      </c>
      <c r="DG45" s="1343">
        <v>55</v>
      </c>
      <c r="DH45" s="1344">
        <v>17.399999999999991</v>
      </c>
      <c r="DI45" s="1341">
        <f t="shared" si="14"/>
        <v>5.3999999999999915</v>
      </c>
      <c r="DJ45" s="36"/>
      <c r="DK45" s="95"/>
      <c r="DL45" s="95"/>
      <c r="DM45" s="36" t="s">
        <v>38</v>
      </c>
      <c r="DN45" s="95">
        <v>44</v>
      </c>
      <c r="DO45" s="1345">
        <v>18.63636363636363</v>
      </c>
      <c r="DP45" s="1346">
        <f t="shared" si="15"/>
        <v>6.6363636363636296</v>
      </c>
      <c r="DQ45" s="36"/>
      <c r="DR45" s="1347"/>
      <c r="DS45" s="1347"/>
      <c r="DT45" s="392" t="s">
        <v>38</v>
      </c>
      <c r="DU45" s="1347">
        <v>44</v>
      </c>
      <c r="DV45" s="1348">
        <v>17.068181818181824</v>
      </c>
      <c r="DW45" s="1349">
        <v>12</v>
      </c>
      <c r="DX45" s="1667">
        <f t="shared" si="16"/>
        <v>5.0681818181818237</v>
      </c>
    </row>
    <row r="46" spans="1:128">
      <c r="A46" s="6391">
        <v>2</v>
      </c>
      <c r="B46" s="6391">
        <v>3</v>
      </c>
      <c r="C46" s="6391">
        <v>55</v>
      </c>
      <c r="D46" s="6392">
        <v>18.813333333333336</v>
      </c>
      <c r="E46" s="6391">
        <v>25</v>
      </c>
      <c r="F46" s="6076">
        <f t="shared" si="1"/>
        <v>6.8133333333333361</v>
      </c>
      <c r="G46" s="4318">
        <v>12</v>
      </c>
      <c r="I46" s="6073">
        <v>2</v>
      </c>
      <c r="J46" s="6073">
        <v>2</v>
      </c>
      <c r="K46" s="6074">
        <v>45</v>
      </c>
      <c r="L46" s="6075">
        <v>19</v>
      </c>
      <c r="M46" s="6073">
        <v>51</v>
      </c>
      <c r="N46" s="6076">
        <f t="shared" si="2"/>
        <v>7</v>
      </c>
      <c r="O46" s="4318">
        <v>12</v>
      </c>
      <c r="Q46" s="5832">
        <v>2</v>
      </c>
      <c r="R46" s="5832">
        <v>2</v>
      </c>
      <c r="S46" s="5840">
        <v>45</v>
      </c>
      <c r="T46" s="5833">
        <v>16.452525252525252</v>
      </c>
      <c r="U46" s="5832">
        <v>51</v>
      </c>
      <c r="V46" s="1346">
        <f t="shared" si="3"/>
        <v>4.4525252525252519</v>
      </c>
      <c r="W46" s="4318">
        <v>12</v>
      </c>
      <c r="Y46" s="4316">
        <v>2</v>
      </c>
      <c r="Z46" s="4316">
        <v>2</v>
      </c>
      <c r="AA46" s="4245" t="s">
        <v>38</v>
      </c>
      <c r="AB46" s="4327">
        <v>17.01642857142857</v>
      </c>
      <c r="AC46" s="4628">
        <v>37</v>
      </c>
      <c r="AD46" s="1346">
        <f t="shared" si="4"/>
        <v>5.0164285714285697</v>
      </c>
      <c r="AE46" s="4318">
        <v>12</v>
      </c>
      <c r="AG46" s="4316">
        <v>2</v>
      </c>
      <c r="AH46" s="4316">
        <v>2</v>
      </c>
      <c r="AI46" s="4245" t="s">
        <v>39</v>
      </c>
      <c r="AJ46" s="4327">
        <v>16.691660079051381</v>
      </c>
      <c r="AK46" s="4628">
        <v>92</v>
      </c>
      <c r="AL46" s="1346">
        <f t="shared" si="5"/>
        <v>4.6916600790513812</v>
      </c>
      <c r="AM46" s="4318">
        <v>12</v>
      </c>
      <c r="AO46" s="4237"/>
      <c r="AP46" s="4237"/>
      <c r="AQ46" s="4236" t="s">
        <v>39</v>
      </c>
      <c r="AR46" s="4237">
        <v>15.17</v>
      </c>
      <c r="AS46" s="4237">
        <v>88</v>
      </c>
      <c r="AT46" s="4294">
        <f t="shared" si="6"/>
        <v>3.17</v>
      </c>
      <c r="AU46" s="4295">
        <v>12</v>
      </c>
      <c r="AW46" s="97"/>
      <c r="AX46" s="97"/>
      <c r="AY46" s="42" t="s">
        <v>39</v>
      </c>
      <c r="AZ46" s="97">
        <v>14.7</v>
      </c>
      <c r="BA46" s="97">
        <v>117</v>
      </c>
      <c r="BB46" s="1281">
        <f t="shared" si="7"/>
        <v>2.6999999999999993</v>
      </c>
      <c r="BC46" s="3706">
        <v>12</v>
      </c>
      <c r="BE46" s="4263"/>
      <c r="BF46" s="4263"/>
      <c r="BG46" s="4258" t="s">
        <v>39</v>
      </c>
      <c r="BH46" s="4263">
        <v>14.28</v>
      </c>
      <c r="BI46" s="4263">
        <v>105</v>
      </c>
      <c r="BJ46" s="4264">
        <f t="shared" si="8"/>
        <v>2.2799999999999994</v>
      </c>
      <c r="BK46" s="4265">
        <v>12</v>
      </c>
      <c r="BM46" s="36"/>
      <c r="BN46" s="36"/>
      <c r="BO46" s="36" t="s">
        <v>39</v>
      </c>
      <c r="BP46" s="1345">
        <v>15.51</v>
      </c>
      <c r="BQ46" s="95">
        <v>95</v>
      </c>
      <c r="BR46" s="1281">
        <f t="shared" si="9"/>
        <v>3.51</v>
      </c>
      <c r="BS46" s="1349">
        <v>12</v>
      </c>
      <c r="BT46" s="2106"/>
      <c r="BU46" s="97"/>
      <c r="BV46" s="97"/>
      <c r="BW46" s="36" t="s">
        <v>39</v>
      </c>
      <c r="BX46" s="95">
        <v>15.71</v>
      </c>
      <c r="BY46" s="95">
        <v>106</v>
      </c>
      <c r="BZ46" s="1281">
        <f t="shared" si="10"/>
        <v>3.7100000000000009</v>
      </c>
      <c r="CB46" s="95"/>
      <c r="CC46" s="95"/>
      <c r="CD46" s="36" t="s">
        <v>39</v>
      </c>
      <c r="CE46" s="1345">
        <v>15.19</v>
      </c>
      <c r="CF46" s="95">
        <v>137</v>
      </c>
      <c r="CG46" s="1335">
        <f t="shared" si="18"/>
        <v>3.1899999999999995</v>
      </c>
      <c r="CI46" s="742"/>
      <c r="CJ46" s="742"/>
      <c r="CK46" s="1334" t="s">
        <v>39</v>
      </c>
      <c r="CL46" s="1265">
        <v>16.420454545454543</v>
      </c>
      <c r="CM46" s="1266">
        <v>88</v>
      </c>
      <c r="CN46" s="1335">
        <f t="shared" si="11"/>
        <v>4.4204545454545432</v>
      </c>
      <c r="CP46" s="1336"/>
      <c r="CQ46" s="1336"/>
      <c r="CR46" s="1337" t="s">
        <v>39</v>
      </c>
      <c r="CS46" s="1338">
        <v>122</v>
      </c>
      <c r="CT46" s="1339">
        <v>16.155737704918032</v>
      </c>
      <c r="CU46" s="1281">
        <f t="shared" si="12"/>
        <v>4.1557377049180317</v>
      </c>
      <c r="CW46" s="1340"/>
      <c r="CX46" s="1340"/>
      <c r="CY46" s="1342" t="s">
        <v>39</v>
      </c>
      <c r="CZ46" s="1343">
        <v>120</v>
      </c>
      <c r="DA46" s="391">
        <v>14.625</v>
      </c>
      <c r="DB46" s="1341">
        <f t="shared" si="13"/>
        <v>2.625</v>
      </c>
      <c r="DC46" s="36"/>
      <c r="DD46" s="1340"/>
      <c r="DE46" s="1340"/>
      <c r="DF46" s="1342" t="s">
        <v>39</v>
      </c>
      <c r="DG46" s="1343">
        <v>149</v>
      </c>
      <c r="DH46" s="1344">
        <v>14.73154362416107</v>
      </c>
      <c r="DI46" s="1341">
        <f t="shared" si="14"/>
        <v>2.7315436241610698</v>
      </c>
      <c r="DJ46" s="36"/>
      <c r="DK46" s="95"/>
      <c r="DL46" s="95"/>
      <c r="DM46" s="36" t="s">
        <v>39</v>
      </c>
      <c r="DN46" s="95">
        <v>105</v>
      </c>
      <c r="DO46" s="1345">
        <v>15.390476190476194</v>
      </c>
      <c r="DP46" s="1346">
        <f t="shared" si="15"/>
        <v>3.3904761904761944</v>
      </c>
      <c r="DQ46" s="36"/>
      <c r="DR46" s="1347"/>
      <c r="DS46" s="1347"/>
      <c r="DT46" s="392" t="s">
        <v>39</v>
      </c>
      <c r="DU46" s="1347">
        <v>93</v>
      </c>
      <c r="DV46" s="1348">
        <v>15.580645161290326</v>
      </c>
      <c r="DW46" s="1349">
        <v>12</v>
      </c>
      <c r="DX46" s="1667">
        <f t="shared" si="16"/>
        <v>3.5806451612903256</v>
      </c>
    </row>
    <row r="47" spans="1:128">
      <c r="A47" s="6391">
        <v>2</v>
      </c>
      <c r="B47" s="6391">
        <v>3</v>
      </c>
      <c r="C47" s="6391">
        <v>56</v>
      </c>
      <c r="D47" s="6392">
        <v>19.050911131996656</v>
      </c>
      <c r="E47" s="6391">
        <v>97</v>
      </c>
      <c r="F47" s="6076">
        <f t="shared" si="1"/>
        <v>7.0509111319966564</v>
      </c>
      <c r="G47" s="4318">
        <v>12</v>
      </c>
      <c r="I47" s="6073">
        <v>2</v>
      </c>
      <c r="J47" s="6073">
        <v>2</v>
      </c>
      <c r="K47" s="6074">
        <v>46</v>
      </c>
      <c r="L47" s="6075">
        <v>18.333333333333332</v>
      </c>
      <c r="M47" s="6073">
        <v>121</v>
      </c>
      <c r="N47" s="6076">
        <f t="shared" si="2"/>
        <v>6.3333333333333321</v>
      </c>
      <c r="O47" s="4318">
        <v>12</v>
      </c>
      <c r="Q47" s="5832">
        <v>2</v>
      </c>
      <c r="R47" s="5832">
        <v>2</v>
      </c>
      <c r="S47" s="5840">
        <v>46</v>
      </c>
      <c r="T47" s="5833">
        <v>16.588340467684976</v>
      </c>
      <c r="U47" s="5832">
        <v>121</v>
      </c>
      <c r="V47" s="1346">
        <f t="shared" si="3"/>
        <v>4.5883404676849757</v>
      </c>
      <c r="W47" s="4318">
        <v>12</v>
      </c>
      <c r="Y47" s="4316">
        <v>2</v>
      </c>
      <c r="Z47" s="4316">
        <v>2</v>
      </c>
      <c r="AA47" s="4245" t="s">
        <v>39</v>
      </c>
      <c r="AB47" s="4327">
        <v>16.15333781362007</v>
      </c>
      <c r="AC47" s="4628">
        <v>112</v>
      </c>
      <c r="AD47" s="1346">
        <f t="shared" si="4"/>
        <v>4.1533378136200696</v>
      </c>
      <c r="AE47" s="4318">
        <v>12</v>
      </c>
      <c r="AG47" s="4316">
        <v>2</v>
      </c>
      <c r="AH47" s="4316">
        <v>2</v>
      </c>
      <c r="AI47" s="4245" t="s">
        <v>40</v>
      </c>
      <c r="AJ47" s="4327">
        <v>21.033333333333335</v>
      </c>
      <c r="AK47" s="4628">
        <v>24</v>
      </c>
      <c r="AL47" s="1346">
        <f t="shared" si="5"/>
        <v>9.033333333333335</v>
      </c>
      <c r="AM47" s="4318">
        <v>12</v>
      </c>
      <c r="AO47" s="4237"/>
      <c r="AP47" s="4237"/>
      <c r="AQ47" s="4236" t="s">
        <v>40</v>
      </c>
      <c r="AR47" s="4237">
        <v>23.93</v>
      </c>
      <c r="AS47" s="4237">
        <v>14</v>
      </c>
      <c r="AT47" s="4294">
        <f t="shared" si="6"/>
        <v>11.93</v>
      </c>
      <c r="AU47" s="4295">
        <v>12</v>
      </c>
      <c r="AW47" s="97"/>
      <c r="AX47" s="97"/>
      <c r="AY47" s="42" t="s">
        <v>40</v>
      </c>
      <c r="AZ47" s="97">
        <v>22.89</v>
      </c>
      <c r="BA47" s="97">
        <v>9</v>
      </c>
      <c r="BB47" s="1281">
        <f t="shared" si="7"/>
        <v>10.89</v>
      </c>
      <c r="BC47" s="3706">
        <v>12</v>
      </c>
      <c r="BE47" s="4263"/>
      <c r="BF47" s="4263"/>
      <c r="BG47" s="4258" t="s">
        <v>40</v>
      </c>
      <c r="BH47" s="4263">
        <v>24</v>
      </c>
      <c r="BI47" s="4263">
        <v>5</v>
      </c>
      <c r="BJ47" s="4264">
        <f t="shared" si="8"/>
        <v>12</v>
      </c>
      <c r="BK47" s="4265">
        <v>12</v>
      </c>
      <c r="BM47" s="36"/>
      <c r="BN47" s="36"/>
      <c r="BO47" s="36" t="s">
        <v>40</v>
      </c>
      <c r="BP47" s="1345">
        <v>21.05</v>
      </c>
      <c r="BQ47" s="95">
        <v>22</v>
      </c>
      <c r="BR47" s="1281">
        <f t="shared" si="9"/>
        <v>9.0500000000000007</v>
      </c>
      <c r="BS47" s="1349">
        <v>12</v>
      </c>
      <c r="BT47" s="2106"/>
      <c r="BU47" s="97"/>
      <c r="BV47" s="97"/>
      <c r="BW47" s="36" t="s">
        <v>40</v>
      </c>
      <c r="BX47" s="95">
        <v>22.19</v>
      </c>
      <c r="BY47" s="95">
        <v>16</v>
      </c>
      <c r="BZ47" s="1281">
        <f t="shared" si="10"/>
        <v>10.190000000000001</v>
      </c>
      <c r="CB47" s="95"/>
      <c r="CC47" s="95"/>
      <c r="CD47" s="36" t="s">
        <v>40</v>
      </c>
      <c r="CE47" s="1345">
        <v>21</v>
      </c>
      <c r="CF47" s="95">
        <v>11</v>
      </c>
      <c r="CG47" s="1335">
        <f t="shared" si="18"/>
        <v>9</v>
      </c>
      <c r="CI47" s="742"/>
      <c r="CJ47" s="742"/>
      <c r="CK47" s="1334" t="s">
        <v>40</v>
      </c>
      <c r="CL47" s="1265">
        <v>21.727272727272727</v>
      </c>
      <c r="CM47" s="1266">
        <v>11</v>
      </c>
      <c r="CN47" s="1335">
        <f t="shared" si="11"/>
        <v>9.7272727272727266</v>
      </c>
      <c r="CP47" s="1336"/>
      <c r="CQ47" s="1336"/>
      <c r="CR47" s="1337" t="s">
        <v>40</v>
      </c>
      <c r="CS47" s="1338">
        <v>8</v>
      </c>
      <c r="CT47" s="1339">
        <v>19.750000000000004</v>
      </c>
      <c r="CU47" s="1281">
        <f t="shared" si="12"/>
        <v>7.7500000000000036</v>
      </c>
      <c r="CW47" s="1340"/>
      <c r="CX47" s="1340"/>
      <c r="CY47" s="1342" t="s">
        <v>40</v>
      </c>
      <c r="CZ47" s="1343">
        <v>7</v>
      </c>
      <c r="DA47" s="391">
        <v>19.142857142857142</v>
      </c>
      <c r="DB47" s="1341">
        <f t="shared" si="13"/>
        <v>7.1428571428571423</v>
      </c>
      <c r="DC47" s="36"/>
      <c r="DD47" s="1340"/>
      <c r="DE47" s="1340"/>
      <c r="DF47" s="1342" t="s">
        <v>40</v>
      </c>
      <c r="DG47" s="1343">
        <v>7</v>
      </c>
      <c r="DH47" s="1344">
        <v>21.714285714285715</v>
      </c>
      <c r="DI47" s="1341">
        <f t="shared" si="14"/>
        <v>9.7142857142857153</v>
      </c>
      <c r="DJ47" s="36"/>
      <c r="DK47" s="95"/>
      <c r="DL47" s="95"/>
      <c r="DM47" s="36" t="s">
        <v>40</v>
      </c>
      <c r="DN47" s="95">
        <v>4</v>
      </c>
      <c r="DO47" s="1345">
        <v>18.25</v>
      </c>
      <c r="DP47" s="1346">
        <f t="shared" si="15"/>
        <v>6.25</v>
      </c>
      <c r="DQ47" s="36"/>
      <c r="DR47" s="1347"/>
      <c r="DS47" s="1347"/>
      <c r="DT47" s="392" t="s">
        <v>40</v>
      </c>
      <c r="DU47" s="1347">
        <v>3</v>
      </c>
      <c r="DV47" s="1348">
        <v>15.333333333333334</v>
      </c>
      <c r="DW47" s="1349">
        <v>12</v>
      </c>
      <c r="DX47" s="1667">
        <f t="shared" si="16"/>
        <v>3.3333333333333339</v>
      </c>
    </row>
    <row r="48" spans="1:128">
      <c r="A48" s="6391">
        <v>2</v>
      </c>
      <c r="B48" s="6391">
        <v>3</v>
      </c>
      <c r="C48" s="6391">
        <v>57</v>
      </c>
      <c r="D48" s="6392">
        <v>20.354612376351508</v>
      </c>
      <c r="E48" s="6391">
        <v>89</v>
      </c>
      <c r="F48" s="6076">
        <f t="shared" si="1"/>
        <v>8.3546123763515077</v>
      </c>
      <c r="G48" s="4318">
        <v>12</v>
      </c>
      <c r="I48" s="6073">
        <v>2</v>
      </c>
      <c r="J48" s="6073">
        <v>2</v>
      </c>
      <c r="K48" s="6074">
        <v>121</v>
      </c>
      <c r="L48" s="6075">
        <v>18.166666666666668</v>
      </c>
      <c r="M48" s="6073">
        <v>10</v>
      </c>
      <c r="N48" s="6076">
        <f t="shared" si="2"/>
        <v>6.1666666666666679</v>
      </c>
      <c r="O48" s="4318">
        <v>12</v>
      </c>
      <c r="Q48" s="5832">
        <v>2</v>
      </c>
      <c r="R48" s="5832">
        <v>2</v>
      </c>
      <c r="S48" s="5840">
        <v>121</v>
      </c>
      <c r="T48" s="5833">
        <v>21.1</v>
      </c>
      <c r="U48" s="5832">
        <v>10</v>
      </c>
      <c r="V48" s="1346">
        <f t="shared" si="3"/>
        <v>9.1000000000000014</v>
      </c>
      <c r="W48" s="4318">
        <v>12</v>
      </c>
      <c r="Y48" s="4316">
        <v>2</v>
      </c>
      <c r="Z48" s="4316">
        <v>2</v>
      </c>
      <c r="AA48" s="4245" t="s">
        <v>40</v>
      </c>
      <c r="AB48" s="4327">
        <v>20.3</v>
      </c>
      <c r="AC48" s="4628">
        <v>8</v>
      </c>
      <c r="AD48" s="1346">
        <f t="shared" si="4"/>
        <v>8.3000000000000007</v>
      </c>
      <c r="AE48" s="4318">
        <v>12</v>
      </c>
      <c r="AG48" s="4316"/>
      <c r="AH48" s="4316"/>
      <c r="AI48" s="4246" t="s">
        <v>483</v>
      </c>
      <c r="AJ48" s="4328">
        <v>18.066826546396481</v>
      </c>
      <c r="AK48" s="4627">
        <f>SUM(AK37:AK47)</f>
        <v>545</v>
      </c>
      <c r="AL48" s="1361">
        <f t="shared" si="5"/>
        <v>6.0668265463964808</v>
      </c>
      <c r="AM48" s="4319">
        <v>12</v>
      </c>
      <c r="AO48" s="4237"/>
      <c r="AP48" s="4237"/>
      <c r="AQ48" s="4214" t="s">
        <v>483</v>
      </c>
      <c r="AR48" s="4239">
        <v>16.77</v>
      </c>
      <c r="AS48" s="4239">
        <v>398</v>
      </c>
      <c r="AT48" s="4296">
        <f t="shared" si="6"/>
        <v>4.7699999999999996</v>
      </c>
      <c r="AU48" s="4295">
        <v>12</v>
      </c>
      <c r="AW48" s="97"/>
      <c r="AX48" s="97"/>
      <c r="AY48" s="893" t="s">
        <v>483</v>
      </c>
      <c r="AZ48" s="135">
        <v>16.87</v>
      </c>
      <c r="BA48" s="135">
        <v>521</v>
      </c>
      <c r="BB48" s="1675">
        <f t="shared" si="7"/>
        <v>4.870000000000001</v>
      </c>
      <c r="BC48" s="3706">
        <v>12</v>
      </c>
      <c r="BE48" s="4263"/>
      <c r="BF48" s="4263"/>
      <c r="BG48" s="4257" t="s">
        <v>483</v>
      </c>
      <c r="BH48" s="4266">
        <v>16.760000000000002</v>
      </c>
      <c r="BI48" s="4266">
        <v>379</v>
      </c>
      <c r="BJ48" s="4267">
        <f t="shared" si="8"/>
        <v>4.7600000000000016</v>
      </c>
      <c r="BK48" s="4265">
        <v>12</v>
      </c>
      <c r="BM48" s="36"/>
      <c r="BN48" s="36"/>
      <c r="BO48" s="393" t="s">
        <v>483</v>
      </c>
      <c r="BP48" s="1360">
        <v>17.03</v>
      </c>
      <c r="BQ48" s="2015">
        <v>530</v>
      </c>
      <c r="BR48" s="1675">
        <f t="shared" si="9"/>
        <v>5.0300000000000011</v>
      </c>
      <c r="BS48" s="1349">
        <v>12</v>
      </c>
      <c r="BT48" s="2106"/>
      <c r="BU48" s="97"/>
      <c r="BV48" s="97"/>
      <c r="BW48" s="393" t="s">
        <v>483</v>
      </c>
      <c r="BX48" s="86">
        <v>16.649999999999999</v>
      </c>
      <c r="BY48" s="86">
        <v>559</v>
      </c>
      <c r="BZ48" s="1675">
        <f t="shared" si="10"/>
        <v>4.6499999999999986</v>
      </c>
      <c r="CB48" s="95"/>
      <c r="CC48" s="95"/>
      <c r="CD48" s="393" t="s">
        <v>483</v>
      </c>
      <c r="CE48" s="1360">
        <v>16.7</v>
      </c>
      <c r="CF48" s="86">
        <v>531</v>
      </c>
      <c r="CG48" s="1480">
        <f t="shared" si="18"/>
        <v>4.6999999999999993</v>
      </c>
      <c r="CI48" s="742"/>
      <c r="CJ48" s="742"/>
      <c r="CK48" s="1350" t="s">
        <v>483</v>
      </c>
      <c r="CL48" s="1351">
        <v>17.242160278745629</v>
      </c>
      <c r="CM48" s="1352">
        <v>574</v>
      </c>
      <c r="CN48" s="1335">
        <f t="shared" si="11"/>
        <v>5.2421602787456294</v>
      </c>
      <c r="CP48" s="1336"/>
      <c r="CQ48" s="1336"/>
      <c r="CR48" s="1353" t="s">
        <v>483</v>
      </c>
      <c r="CS48" s="1354">
        <v>552</v>
      </c>
      <c r="CT48" s="1355">
        <v>16.88586956521738</v>
      </c>
      <c r="CU48" s="1281">
        <f t="shared" si="12"/>
        <v>4.88586956521738</v>
      </c>
      <c r="CW48" s="1340"/>
      <c r="CX48" s="1340"/>
      <c r="CY48" s="1356" t="s">
        <v>483</v>
      </c>
      <c r="CZ48" s="1357">
        <f>SUM(CZ37:CZ47)</f>
        <v>668</v>
      </c>
      <c r="DA48" s="394">
        <v>16.29</v>
      </c>
      <c r="DB48" s="1359">
        <f t="shared" si="13"/>
        <v>4.2899999999999991</v>
      </c>
      <c r="DC48" s="36"/>
      <c r="DD48" s="1340"/>
      <c r="DE48" s="1340"/>
      <c r="DF48" s="1356" t="s">
        <v>483</v>
      </c>
      <c r="DG48" s="1357">
        <v>565</v>
      </c>
      <c r="DH48" s="1358">
        <v>16.295575221238938</v>
      </c>
      <c r="DI48" s="1359">
        <f t="shared" si="14"/>
        <v>4.2955752212389378</v>
      </c>
      <c r="DJ48" s="36"/>
      <c r="DK48" s="95"/>
      <c r="DL48" s="95"/>
      <c r="DM48" s="393" t="s">
        <v>15</v>
      </c>
      <c r="DN48" s="86">
        <v>482</v>
      </c>
      <c r="DO48" s="1360">
        <v>16.721991701244814</v>
      </c>
      <c r="DP48" s="1361">
        <f t="shared" si="15"/>
        <v>4.7219917012448143</v>
      </c>
      <c r="DQ48" s="36"/>
      <c r="DR48" s="1347"/>
      <c r="DS48" s="1347"/>
      <c r="DT48" s="1362" t="s">
        <v>15</v>
      </c>
      <c r="DU48" s="1363">
        <v>547</v>
      </c>
      <c r="DV48" s="1364">
        <v>17.049360146252276</v>
      </c>
      <c r="DW48" s="1349">
        <v>12</v>
      </c>
      <c r="DX48" s="1668">
        <f t="shared" si="16"/>
        <v>5.0493601462522761</v>
      </c>
    </row>
    <row r="49" spans="1:128">
      <c r="A49" s="6391">
        <v>3</v>
      </c>
      <c r="B49" s="6391">
        <v>2</v>
      </c>
      <c r="C49" s="6391">
        <v>63</v>
      </c>
      <c r="D49" s="6392">
        <v>12.95917913105413</v>
      </c>
      <c r="E49" s="6391">
        <v>133</v>
      </c>
      <c r="F49" s="6076">
        <f t="shared" si="1"/>
        <v>0.95917913105413</v>
      </c>
      <c r="G49" s="4318">
        <v>12</v>
      </c>
      <c r="I49" s="6073"/>
      <c r="J49" s="6073"/>
      <c r="K49" s="6083" t="s">
        <v>483</v>
      </c>
      <c r="L49" s="6075">
        <v>18.3</v>
      </c>
      <c r="M49" s="6077">
        <f>SUM(M38:M48)</f>
        <v>519</v>
      </c>
      <c r="N49" s="6084">
        <f t="shared" si="2"/>
        <v>6.3000000000000007</v>
      </c>
      <c r="O49" s="4319">
        <v>12</v>
      </c>
      <c r="Q49" s="5832"/>
      <c r="R49" s="5832"/>
      <c r="S49" s="5847" t="s">
        <v>483</v>
      </c>
      <c r="T49" s="5843">
        <v>18.296401961536727</v>
      </c>
      <c r="U49" s="5838">
        <f>SUM(U38:U48)</f>
        <v>519</v>
      </c>
      <c r="V49" s="1361">
        <f t="shared" si="3"/>
        <v>6.296401961536727</v>
      </c>
      <c r="W49" s="4319">
        <v>12</v>
      </c>
      <c r="Y49" s="4316"/>
      <c r="Z49" s="4316"/>
      <c r="AA49" s="4246" t="s">
        <v>483</v>
      </c>
      <c r="AB49" s="4328">
        <v>18.19918953904897</v>
      </c>
      <c r="AC49" s="4627">
        <f>SUM(AC38:AC48)</f>
        <v>369</v>
      </c>
      <c r="AD49" s="1361">
        <f t="shared" si="4"/>
        <v>6.1991895390489695</v>
      </c>
      <c r="AE49" s="4319">
        <v>12</v>
      </c>
      <c r="AG49" s="4316">
        <v>2</v>
      </c>
      <c r="AH49" s="4316">
        <v>3</v>
      </c>
      <c r="AI49" s="4245" t="s">
        <v>42</v>
      </c>
      <c r="AJ49" s="4327">
        <v>20.383849206349204</v>
      </c>
      <c r="AK49" s="4624">
        <v>75</v>
      </c>
      <c r="AL49" s="1346">
        <f t="shared" si="5"/>
        <v>8.3838492063492041</v>
      </c>
      <c r="AM49" s="4318">
        <v>12</v>
      </c>
      <c r="AO49" s="4237"/>
      <c r="AP49" s="4237" t="s">
        <v>41</v>
      </c>
      <c r="AQ49" s="4236" t="s">
        <v>42</v>
      </c>
      <c r="AR49" s="4237">
        <v>19.2</v>
      </c>
      <c r="AS49" s="4237">
        <v>45</v>
      </c>
      <c r="AT49" s="4294">
        <f t="shared" si="6"/>
        <v>7.1999999999999993</v>
      </c>
      <c r="AU49" s="4295">
        <v>12</v>
      </c>
      <c r="AW49" s="97"/>
      <c r="AX49" s="97" t="s">
        <v>41</v>
      </c>
      <c r="AY49" s="42" t="s">
        <v>42</v>
      </c>
      <c r="AZ49" s="97">
        <v>17.8</v>
      </c>
      <c r="BA49" s="97">
        <v>114</v>
      </c>
      <c r="BB49" s="1281">
        <f t="shared" si="7"/>
        <v>5.8000000000000007</v>
      </c>
      <c r="BC49" s="3706">
        <v>12</v>
      </c>
      <c r="BE49" s="4263"/>
      <c r="BF49" s="4263" t="s">
        <v>41</v>
      </c>
      <c r="BG49" s="4258" t="s">
        <v>42</v>
      </c>
      <c r="BH49" s="4263">
        <v>17.649999999999999</v>
      </c>
      <c r="BI49" s="4263">
        <v>79</v>
      </c>
      <c r="BJ49" s="4264">
        <f t="shared" si="8"/>
        <v>5.6499999999999986</v>
      </c>
      <c r="BK49" s="4265">
        <v>12</v>
      </c>
      <c r="BM49" s="36"/>
      <c r="BN49" s="36" t="s">
        <v>41</v>
      </c>
      <c r="BO49" s="36" t="s">
        <v>42</v>
      </c>
      <c r="BP49" s="1345">
        <v>18.05</v>
      </c>
      <c r="BQ49" s="95">
        <v>84</v>
      </c>
      <c r="BR49" s="1281">
        <f t="shared" si="9"/>
        <v>6.0500000000000007</v>
      </c>
      <c r="BS49" s="1349">
        <v>12</v>
      </c>
      <c r="BT49" s="2106"/>
      <c r="BU49" s="97"/>
      <c r="BV49" s="97" t="s">
        <v>41</v>
      </c>
      <c r="BW49" s="36" t="s">
        <v>42</v>
      </c>
      <c r="BX49" s="95">
        <v>18.46</v>
      </c>
      <c r="BY49" s="95">
        <v>94</v>
      </c>
      <c r="BZ49" s="1281">
        <f t="shared" si="10"/>
        <v>6.4600000000000009</v>
      </c>
      <c r="CB49" s="95"/>
      <c r="CC49" s="95" t="s">
        <v>41</v>
      </c>
      <c r="CD49" s="36" t="s">
        <v>42</v>
      </c>
      <c r="CE49" s="1345">
        <v>19.28</v>
      </c>
      <c r="CF49" s="95">
        <v>110</v>
      </c>
      <c r="CG49" s="1335">
        <f t="shared" si="18"/>
        <v>7.2800000000000011</v>
      </c>
      <c r="CI49" s="742"/>
      <c r="CJ49" s="742" t="s">
        <v>41</v>
      </c>
      <c r="CK49" s="1334" t="s">
        <v>42</v>
      </c>
      <c r="CL49" s="1265">
        <v>17.757894736842104</v>
      </c>
      <c r="CM49" s="1266">
        <v>95</v>
      </c>
      <c r="CN49" s="1335">
        <f t="shared" si="11"/>
        <v>5.7578947368421041</v>
      </c>
      <c r="CP49" s="1336"/>
      <c r="CQ49" s="1336" t="s">
        <v>41</v>
      </c>
      <c r="CR49" s="1337" t="s">
        <v>42</v>
      </c>
      <c r="CS49" s="1338">
        <v>83</v>
      </c>
      <c r="CT49" s="1339">
        <v>17.566265060240962</v>
      </c>
      <c r="CU49" s="1281">
        <f t="shared" si="12"/>
        <v>5.566265060240962</v>
      </c>
      <c r="CW49" s="1340"/>
      <c r="CX49" s="1340" t="s">
        <v>41</v>
      </c>
      <c r="CY49" s="1342" t="s">
        <v>42</v>
      </c>
      <c r="CZ49" s="1343">
        <v>92</v>
      </c>
      <c r="DA49" s="391">
        <v>17.923913043478265</v>
      </c>
      <c r="DB49" s="1341">
        <f t="shared" si="13"/>
        <v>5.9239130434782652</v>
      </c>
      <c r="DC49" s="36"/>
      <c r="DD49" s="1340"/>
      <c r="DE49" s="1340" t="s">
        <v>41</v>
      </c>
      <c r="DF49" s="1342" t="s">
        <v>42</v>
      </c>
      <c r="DG49" s="1343">
        <v>72</v>
      </c>
      <c r="DH49" s="1344">
        <v>16.80555555555555</v>
      </c>
      <c r="DI49" s="1341">
        <f t="shared" si="14"/>
        <v>4.80555555555555</v>
      </c>
      <c r="DJ49" s="36"/>
      <c r="DK49" s="95"/>
      <c r="DL49" s="95" t="s">
        <v>41</v>
      </c>
      <c r="DM49" s="36" t="s">
        <v>42</v>
      </c>
      <c r="DN49" s="95">
        <v>47</v>
      </c>
      <c r="DO49" s="1345">
        <v>16.851063829787236</v>
      </c>
      <c r="DP49" s="1346">
        <f t="shared" si="15"/>
        <v>4.8510638297872362</v>
      </c>
      <c r="DQ49" s="36"/>
      <c r="DR49" s="1347"/>
      <c r="DS49" s="1347" t="s">
        <v>41</v>
      </c>
      <c r="DT49" s="392" t="s">
        <v>42</v>
      </c>
      <c r="DU49" s="1347">
        <v>53</v>
      </c>
      <c r="DV49" s="1348">
        <v>17.132075471698112</v>
      </c>
      <c r="DW49" s="1349">
        <v>12</v>
      </c>
      <c r="DX49" s="1667">
        <f t="shared" si="16"/>
        <v>5.1320754716981121</v>
      </c>
    </row>
    <row r="50" spans="1:128">
      <c r="A50" s="6391">
        <v>3</v>
      </c>
      <c r="B50" s="6391">
        <v>2</v>
      </c>
      <c r="C50" s="6391">
        <v>64</v>
      </c>
      <c r="D50" s="6392">
        <v>12.49713753162029</v>
      </c>
      <c r="E50" s="6391">
        <v>204</v>
      </c>
      <c r="F50" s="6076">
        <f t="shared" si="1"/>
        <v>0.49713753162028951</v>
      </c>
      <c r="G50" s="4318">
        <v>12</v>
      </c>
      <c r="I50" s="6073">
        <v>2</v>
      </c>
      <c r="J50" s="6073">
        <v>3</v>
      </c>
      <c r="K50" s="6074">
        <v>52</v>
      </c>
      <c r="L50" s="6075">
        <v>19.428571428571427</v>
      </c>
      <c r="M50" s="6073">
        <v>88</v>
      </c>
      <c r="N50" s="6076">
        <f t="shared" si="2"/>
        <v>7.428571428571427</v>
      </c>
      <c r="O50" s="4318">
        <v>12</v>
      </c>
      <c r="Q50" s="5832">
        <v>2</v>
      </c>
      <c r="R50" s="5832">
        <v>3</v>
      </c>
      <c r="S50" s="5840">
        <v>52</v>
      </c>
      <c r="T50" s="5833">
        <v>19.344487179487178</v>
      </c>
      <c r="U50" s="5832">
        <v>88</v>
      </c>
      <c r="V50" s="1346">
        <f t="shared" si="3"/>
        <v>7.344487179487178</v>
      </c>
      <c r="W50" s="4318">
        <v>12</v>
      </c>
      <c r="Y50" s="4316">
        <v>2</v>
      </c>
      <c r="Z50" s="4316">
        <v>3</v>
      </c>
      <c r="AA50" s="4245" t="s">
        <v>42</v>
      </c>
      <c r="AB50" s="4327">
        <v>20.506873015873019</v>
      </c>
      <c r="AC50" s="4624">
        <v>60</v>
      </c>
      <c r="AD50" s="1346">
        <f t="shared" si="4"/>
        <v>8.506873015873019</v>
      </c>
      <c r="AE50" s="4318">
        <v>12</v>
      </c>
      <c r="AG50" s="4316">
        <v>2</v>
      </c>
      <c r="AH50" s="4316">
        <v>3</v>
      </c>
      <c r="AI50" s="4245" t="s">
        <v>43</v>
      </c>
      <c r="AJ50" s="4327">
        <v>20.103273809523809</v>
      </c>
      <c r="AK50" s="4624">
        <v>81</v>
      </c>
      <c r="AL50" s="1346">
        <f t="shared" si="5"/>
        <v>8.1032738095238095</v>
      </c>
      <c r="AM50" s="4318">
        <v>12</v>
      </c>
      <c r="AO50" s="4237"/>
      <c r="AP50" s="4237"/>
      <c r="AQ50" s="4236" t="s">
        <v>43</v>
      </c>
      <c r="AR50" s="4237">
        <v>20.36</v>
      </c>
      <c r="AS50" s="4237">
        <v>55</v>
      </c>
      <c r="AT50" s="4294">
        <f t="shared" si="6"/>
        <v>8.36</v>
      </c>
      <c r="AU50" s="4295">
        <v>12</v>
      </c>
      <c r="AW50" s="97"/>
      <c r="AX50" s="97"/>
      <c r="AY50" s="42" t="s">
        <v>43</v>
      </c>
      <c r="AZ50" s="97">
        <v>18.03</v>
      </c>
      <c r="BA50" s="97">
        <v>60</v>
      </c>
      <c r="BB50" s="1281">
        <f t="shared" si="7"/>
        <v>6.0300000000000011</v>
      </c>
      <c r="BC50" s="3706">
        <v>12</v>
      </c>
      <c r="BE50" s="4263"/>
      <c r="BF50" s="4263"/>
      <c r="BG50" s="4258" t="s">
        <v>43</v>
      </c>
      <c r="BH50" s="4263">
        <v>18.36</v>
      </c>
      <c r="BI50" s="4263">
        <v>42</v>
      </c>
      <c r="BJ50" s="4264">
        <f t="shared" si="8"/>
        <v>6.3599999999999994</v>
      </c>
      <c r="BK50" s="4265">
        <v>12</v>
      </c>
      <c r="BM50" s="36"/>
      <c r="BN50" s="36"/>
      <c r="BO50" s="36" t="s">
        <v>43</v>
      </c>
      <c r="BP50" s="1345">
        <v>18.170000000000002</v>
      </c>
      <c r="BQ50" s="95">
        <v>72</v>
      </c>
      <c r="BR50" s="1281">
        <f t="shared" si="9"/>
        <v>6.1700000000000017</v>
      </c>
      <c r="BS50" s="1349">
        <v>12</v>
      </c>
      <c r="BT50" s="2106"/>
      <c r="BU50" s="97"/>
      <c r="BV50" s="97"/>
      <c r="BW50" s="36" t="s">
        <v>43</v>
      </c>
      <c r="BX50" s="95">
        <v>18.829999999999998</v>
      </c>
      <c r="BY50" s="95">
        <v>59</v>
      </c>
      <c r="BZ50" s="1281">
        <f t="shared" si="10"/>
        <v>6.8299999999999983</v>
      </c>
      <c r="CB50" s="95"/>
      <c r="CC50" s="95"/>
      <c r="CD50" s="36" t="s">
        <v>43</v>
      </c>
      <c r="CE50" s="1345">
        <v>17.46</v>
      </c>
      <c r="CF50" s="95">
        <v>63</v>
      </c>
      <c r="CG50" s="1335">
        <f t="shared" si="18"/>
        <v>5.4600000000000009</v>
      </c>
      <c r="CI50" s="742"/>
      <c r="CJ50" s="742"/>
      <c r="CK50" s="1334" t="s">
        <v>43</v>
      </c>
      <c r="CL50" s="1265">
        <v>19.428571428571427</v>
      </c>
      <c r="CM50" s="1266">
        <v>56</v>
      </c>
      <c r="CN50" s="1335">
        <f t="shared" si="11"/>
        <v>7.428571428571427</v>
      </c>
      <c r="CP50" s="1336"/>
      <c r="CQ50" s="1336"/>
      <c r="CR50" s="1337" t="s">
        <v>43</v>
      </c>
      <c r="CS50" s="1338">
        <v>64</v>
      </c>
      <c r="CT50" s="1339">
        <v>19.781249999999989</v>
      </c>
      <c r="CU50" s="1281">
        <f t="shared" si="12"/>
        <v>7.7812499999999893</v>
      </c>
      <c r="CW50" s="1340"/>
      <c r="CX50" s="1340"/>
      <c r="CY50" s="1342" t="s">
        <v>43</v>
      </c>
      <c r="CZ50" s="1343">
        <v>52</v>
      </c>
      <c r="DA50" s="391">
        <v>19.17307692307693</v>
      </c>
      <c r="DB50" s="1341">
        <f t="shared" si="13"/>
        <v>7.1730769230769305</v>
      </c>
      <c r="DC50" s="36"/>
      <c r="DD50" s="1340"/>
      <c r="DE50" s="1340"/>
      <c r="DF50" s="1342" t="s">
        <v>43</v>
      </c>
      <c r="DG50" s="1343">
        <v>41</v>
      </c>
      <c r="DH50" s="1344">
        <v>19.024390243902438</v>
      </c>
      <c r="DI50" s="1341">
        <f t="shared" si="14"/>
        <v>7.0243902439024382</v>
      </c>
      <c r="DJ50" s="36"/>
      <c r="DK50" s="95"/>
      <c r="DL50" s="95"/>
      <c r="DM50" s="36" t="s">
        <v>43</v>
      </c>
      <c r="DN50" s="95">
        <v>52</v>
      </c>
      <c r="DO50" s="1345">
        <v>18.769230769230766</v>
      </c>
      <c r="DP50" s="1346">
        <f t="shared" si="15"/>
        <v>6.7692307692307665</v>
      </c>
      <c r="DQ50" s="36"/>
      <c r="DR50" s="1347"/>
      <c r="DS50" s="1347"/>
      <c r="DT50" s="392" t="s">
        <v>43</v>
      </c>
      <c r="DU50" s="1347">
        <v>48</v>
      </c>
      <c r="DV50" s="1348">
        <v>18.916666666666664</v>
      </c>
      <c r="DW50" s="1349">
        <v>12</v>
      </c>
      <c r="DX50" s="1667">
        <f t="shared" si="16"/>
        <v>6.9166666666666643</v>
      </c>
    </row>
    <row r="51" spans="1:128">
      <c r="A51" s="6391">
        <v>3</v>
      </c>
      <c r="B51" s="6391">
        <v>2</v>
      </c>
      <c r="C51" s="6391">
        <v>65</v>
      </c>
      <c r="D51" s="6392">
        <v>14.288542540470901</v>
      </c>
      <c r="E51" s="6391">
        <v>148</v>
      </c>
      <c r="F51" s="6076">
        <f t="shared" si="1"/>
        <v>2.2885425404709014</v>
      </c>
      <c r="G51" s="4318">
        <v>12</v>
      </c>
      <c r="I51" s="6073">
        <v>2</v>
      </c>
      <c r="J51" s="6073">
        <v>3</v>
      </c>
      <c r="K51" s="6074">
        <v>53</v>
      </c>
      <c r="L51" s="6075">
        <v>19.934782608695652</v>
      </c>
      <c r="M51" s="6073">
        <v>54</v>
      </c>
      <c r="N51" s="6076">
        <f t="shared" si="2"/>
        <v>7.9347826086956523</v>
      </c>
      <c r="O51" s="4318">
        <v>12</v>
      </c>
      <c r="Q51" s="5832">
        <v>2</v>
      </c>
      <c r="R51" s="5832">
        <v>3</v>
      </c>
      <c r="S51" s="5840">
        <v>53</v>
      </c>
      <c r="T51" s="5833">
        <v>19.039098972922506</v>
      </c>
      <c r="U51" s="5832">
        <v>54</v>
      </c>
      <c r="V51" s="1346">
        <f t="shared" si="3"/>
        <v>7.0390989729225062</v>
      </c>
      <c r="W51" s="4318">
        <v>12</v>
      </c>
      <c r="Y51" s="4316">
        <v>2</v>
      </c>
      <c r="Z51" s="4316">
        <v>3</v>
      </c>
      <c r="AA51" s="4245" t="s">
        <v>43</v>
      </c>
      <c r="AB51" s="4327">
        <v>20.085317460317462</v>
      </c>
      <c r="AC51" s="4624">
        <v>32</v>
      </c>
      <c r="AD51" s="1346">
        <f t="shared" si="4"/>
        <v>8.0853174603174622</v>
      </c>
      <c r="AE51" s="4318">
        <v>12</v>
      </c>
      <c r="AG51" s="4316">
        <v>2</v>
      </c>
      <c r="AH51" s="4316">
        <v>3</v>
      </c>
      <c r="AI51" s="4245" t="s">
        <v>44</v>
      </c>
      <c r="AJ51" s="4327">
        <v>18.745932539682542</v>
      </c>
      <c r="AK51" s="4624">
        <v>59</v>
      </c>
      <c r="AL51" s="1346">
        <f t="shared" si="5"/>
        <v>6.745932539682542</v>
      </c>
      <c r="AM51" s="4318">
        <v>12</v>
      </c>
      <c r="AO51" s="4237"/>
      <c r="AP51" s="4237"/>
      <c r="AQ51" s="4236" t="s">
        <v>44</v>
      </c>
      <c r="AR51" s="4237">
        <v>19.600000000000001</v>
      </c>
      <c r="AS51" s="4237">
        <v>40</v>
      </c>
      <c r="AT51" s="4294">
        <f t="shared" si="6"/>
        <v>7.6000000000000014</v>
      </c>
      <c r="AU51" s="4295">
        <v>12</v>
      </c>
      <c r="AW51" s="97"/>
      <c r="AX51" s="97"/>
      <c r="AY51" s="42" t="s">
        <v>44</v>
      </c>
      <c r="AZ51" s="97">
        <v>19.8</v>
      </c>
      <c r="BA51" s="97">
        <v>46</v>
      </c>
      <c r="BB51" s="1281">
        <f t="shared" si="7"/>
        <v>7.8000000000000007</v>
      </c>
      <c r="BC51" s="3706">
        <v>12</v>
      </c>
      <c r="BE51" s="4263"/>
      <c r="BF51" s="4263"/>
      <c r="BG51" s="4258" t="s">
        <v>44</v>
      </c>
      <c r="BH51" s="4263">
        <v>19.84</v>
      </c>
      <c r="BI51" s="4263">
        <v>37</v>
      </c>
      <c r="BJ51" s="4264">
        <f t="shared" si="8"/>
        <v>7.84</v>
      </c>
      <c r="BK51" s="4265">
        <v>12</v>
      </c>
      <c r="BM51" s="36"/>
      <c r="BN51" s="36"/>
      <c r="BO51" s="36" t="s">
        <v>44</v>
      </c>
      <c r="BP51" s="1345">
        <v>17.899999999999999</v>
      </c>
      <c r="BQ51" s="95">
        <v>58</v>
      </c>
      <c r="BR51" s="1281">
        <f t="shared" si="9"/>
        <v>5.8999999999999986</v>
      </c>
      <c r="BS51" s="1349">
        <v>12</v>
      </c>
      <c r="BT51" s="2106"/>
      <c r="BU51" s="97"/>
      <c r="BV51" s="97"/>
      <c r="BW51" s="36" t="s">
        <v>44</v>
      </c>
      <c r="BX51" s="95">
        <v>17.989999999999998</v>
      </c>
      <c r="BY51" s="95">
        <v>78</v>
      </c>
      <c r="BZ51" s="1281">
        <f t="shared" si="10"/>
        <v>5.9899999999999984</v>
      </c>
      <c r="CB51" s="95"/>
      <c r="CC51" s="95"/>
      <c r="CD51" s="36" t="s">
        <v>44</v>
      </c>
      <c r="CE51" s="1345">
        <v>19.54</v>
      </c>
      <c r="CF51" s="95">
        <v>46</v>
      </c>
      <c r="CG51" s="1335">
        <f t="shared" si="18"/>
        <v>7.5399999999999991</v>
      </c>
      <c r="CI51" s="742"/>
      <c r="CJ51" s="742"/>
      <c r="CK51" s="1334" t="s">
        <v>44</v>
      </c>
      <c r="CL51" s="1265">
        <v>18.829268292682922</v>
      </c>
      <c r="CM51" s="1266">
        <v>41</v>
      </c>
      <c r="CN51" s="1335">
        <f t="shared" si="11"/>
        <v>6.8292682926829222</v>
      </c>
      <c r="CP51" s="1336"/>
      <c r="CQ51" s="1336"/>
      <c r="CR51" s="1337" t="s">
        <v>44</v>
      </c>
      <c r="CS51" s="1338">
        <v>20</v>
      </c>
      <c r="CT51" s="1339">
        <v>16.700000000000003</v>
      </c>
      <c r="CU51" s="1281">
        <f t="shared" si="12"/>
        <v>4.7000000000000028</v>
      </c>
      <c r="CW51" s="1340"/>
      <c r="CX51" s="1340"/>
      <c r="CY51" s="1342" t="s">
        <v>44</v>
      </c>
      <c r="CZ51" s="1343">
        <v>35</v>
      </c>
      <c r="DA51" s="391">
        <v>19.714285714285712</v>
      </c>
      <c r="DB51" s="1341">
        <f t="shared" si="13"/>
        <v>7.7142857142857117</v>
      </c>
      <c r="DC51" s="36"/>
      <c r="DD51" s="1340"/>
      <c r="DE51" s="1340"/>
      <c r="DF51" s="1342" t="s">
        <v>44</v>
      </c>
      <c r="DG51" s="1343">
        <v>31</v>
      </c>
      <c r="DH51" s="1344">
        <v>20.483870967741936</v>
      </c>
      <c r="DI51" s="1341">
        <f t="shared" si="14"/>
        <v>8.4838709677419359</v>
      </c>
      <c r="DJ51" s="36"/>
      <c r="DK51" s="95"/>
      <c r="DL51" s="95"/>
      <c r="DM51" s="36" t="s">
        <v>44</v>
      </c>
      <c r="DN51" s="95">
        <v>17</v>
      </c>
      <c r="DO51" s="1345">
        <v>18.176470588235293</v>
      </c>
      <c r="DP51" s="1346">
        <f t="shared" si="15"/>
        <v>6.1764705882352935</v>
      </c>
      <c r="DQ51" s="36"/>
      <c r="DR51" s="1347"/>
      <c r="DS51" s="1347"/>
      <c r="DT51" s="392" t="s">
        <v>44</v>
      </c>
      <c r="DU51" s="1347">
        <v>23</v>
      </c>
      <c r="DV51" s="1348">
        <v>18.173913043478265</v>
      </c>
      <c r="DW51" s="1349">
        <v>12</v>
      </c>
      <c r="DX51" s="1667">
        <f t="shared" si="16"/>
        <v>6.1739130434782652</v>
      </c>
    </row>
    <row r="52" spans="1:128">
      <c r="A52" s="6391">
        <v>3</v>
      </c>
      <c r="B52" s="6391">
        <v>2</v>
      </c>
      <c r="C52" s="6391">
        <v>66</v>
      </c>
      <c r="D52" s="6392">
        <v>12.468562534997703</v>
      </c>
      <c r="E52" s="6391">
        <v>241</v>
      </c>
      <c r="F52" s="6076">
        <f t="shared" si="1"/>
        <v>0.46856253499770339</v>
      </c>
      <c r="G52" s="4318">
        <v>12</v>
      </c>
      <c r="I52" s="6073">
        <v>2</v>
      </c>
      <c r="J52" s="6073">
        <v>3</v>
      </c>
      <c r="K52" s="6074">
        <v>54</v>
      </c>
      <c r="L52" s="6075">
        <v>21.285714285714285</v>
      </c>
      <c r="M52" s="6073">
        <v>63</v>
      </c>
      <c r="N52" s="6076">
        <f t="shared" si="2"/>
        <v>9.2857142857142847</v>
      </c>
      <c r="O52" s="4318">
        <v>12</v>
      </c>
      <c r="Q52" s="5832">
        <v>2</v>
      </c>
      <c r="R52" s="5832">
        <v>3</v>
      </c>
      <c r="S52" s="5840">
        <v>54</v>
      </c>
      <c r="T52" s="5833">
        <v>18.795293209876544</v>
      </c>
      <c r="U52" s="5832">
        <v>63</v>
      </c>
      <c r="V52" s="1346">
        <f t="shared" si="3"/>
        <v>6.7952932098765437</v>
      </c>
      <c r="W52" s="4318">
        <v>12</v>
      </c>
      <c r="Y52" s="4316">
        <v>2</v>
      </c>
      <c r="Z52" s="4316">
        <v>3</v>
      </c>
      <c r="AA52" s="4245" t="s">
        <v>44</v>
      </c>
      <c r="AB52" s="4327">
        <v>19.330256410256411</v>
      </c>
      <c r="AC52" s="4624">
        <v>50</v>
      </c>
      <c r="AD52" s="1346">
        <f t="shared" si="4"/>
        <v>7.3302564102564105</v>
      </c>
      <c r="AE52" s="4318">
        <v>12</v>
      </c>
      <c r="AG52" s="4316">
        <v>2</v>
      </c>
      <c r="AH52" s="4316">
        <v>3</v>
      </c>
      <c r="AI52" s="4245" t="s">
        <v>45</v>
      </c>
      <c r="AJ52" s="4327">
        <v>17.609090909090906</v>
      </c>
      <c r="AK52" s="4624">
        <v>38</v>
      </c>
      <c r="AL52" s="1346">
        <f t="shared" si="5"/>
        <v>5.6090909090909058</v>
      </c>
      <c r="AM52" s="4318">
        <v>12</v>
      </c>
      <c r="AO52" s="4237"/>
      <c r="AP52" s="4237"/>
      <c r="AQ52" s="4236" t="s">
        <v>45</v>
      </c>
      <c r="AR52" s="4237">
        <v>18.079999999999998</v>
      </c>
      <c r="AS52" s="4237">
        <v>26</v>
      </c>
      <c r="AT52" s="4294">
        <f t="shared" si="6"/>
        <v>6.0799999999999983</v>
      </c>
      <c r="AU52" s="4295">
        <v>12</v>
      </c>
      <c r="AW52" s="97"/>
      <c r="AX52" s="97"/>
      <c r="AY52" s="42" t="s">
        <v>45</v>
      </c>
      <c r="AZ52" s="97">
        <v>17.899999999999999</v>
      </c>
      <c r="BA52" s="97">
        <v>58</v>
      </c>
      <c r="BB52" s="1281">
        <f t="shared" si="7"/>
        <v>5.8999999999999986</v>
      </c>
      <c r="BC52" s="3706">
        <v>12</v>
      </c>
      <c r="BE52" s="4263"/>
      <c r="BF52" s="4263"/>
      <c r="BG52" s="4258" t="s">
        <v>45</v>
      </c>
      <c r="BH52" s="4263">
        <v>17.53</v>
      </c>
      <c r="BI52" s="4263">
        <v>40</v>
      </c>
      <c r="BJ52" s="4264">
        <f t="shared" si="8"/>
        <v>5.5300000000000011</v>
      </c>
      <c r="BK52" s="4265">
        <v>12</v>
      </c>
      <c r="BM52" s="36"/>
      <c r="BN52" s="36"/>
      <c r="BO52" s="36" t="s">
        <v>45</v>
      </c>
      <c r="BP52" s="1345">
        <v>15.79</v>
      </c>
      <c r="BQ52" s="95">
        <v>53</v>
      </c>
      <c r="BR52" s="1281">
        <f t="shared" si="9"/>
        <v>3.7899999999999991</v>
      </c>
      <c r="BS52" s="1349">
        <v>12</v>
      </c>
      <c r="BT52" s="2106"/>
      <c r="BU52" s="97"/>
      <c r="BV52" s="97"/>
      <c r="BW52" s="36" t="s">
        <v>45</v>
      </c>
      <c r="BX52" s="95">
        <v>16.8</v>
      </c>
      <c r="BY52" s="95">
        <v>41</v>
      </c>
      <c r="BZ52" s="1281">
        <f t="shared" si="10"/>
        <v>4.8000000000000007</v>
      </c>
      <c r="CB52" s="95"/>
      <c r="CC52" s="95"/>
      <c r="CD52" s="36" t="s">
        <v>45</v>
      </c>
      <c r="CE52" s="1345">
        <v>16.670000000000002</v>
      </c>
      <c r="CF52" s="95">
        <v>24</v>
      </c>
      <c r="CG52" s="1335">
        <f t="shared" si="18"/>
        <v>4.6700000000000017</v>
      </c>
      <c r="CI52" s="742"/>
      <c r="CJ52" s="742"/>
      <c r="CK52" s="1334" t="s">
        <v>45</v>
      </c>
      <c r="CL52" s="1265">
        <v>17.760000000000002</v>
      </c>
      <c r="CM52" s="1266">
        <v>25</v>
      </c>
      <c r="CN52" s="1335">
        <f t="shared" si="11"/>
        <v>5.7600000000000016</v>
      </c>
      <c r="CP52" s="1336"/>
      <c r="CQ52" s="1336"/>
      <c r="CR52" s="1337" t="s">
        <v>45</v>
      </c>
      <c r="CS52" s="1338">
        <v>14</v>
      </c>
      <c r="CT52" s="1339">
        <v>16.214285714285712</v>
      </c>
      <c r="CU52" s="1281">
        <f t="shared" si="12"/>
        <v>4.2142857142857117</v>
      </c>
      <c r="CW52" s="1340"/>
      <c r="CX52" s="1340"/>
      <c r="CY52" s="1342" t="s">
        <v>45</v>
      </c>
      <c r="CZ52" s="1343">
        <v>15</v>
      </c>
      <c r="DA52" s="391">
        <v>16.733333333333331</v>
      </c>
      <c r="DB52" s="1341">
        <f t="shared" si="13"/>
        <v>4.7333333333333307</v>
      </c>
      <c r="DC52" s="36"/>
      <c r="DD52" s="1340"/>
      <c r="DE52" s="1340"/>
      <c r="DF52" s="1342" t="s">
        <v>45</v>
      </c>
      <c r="DG52" s="1343">
        <v>14</v>
      </c>
      <c r="DH52" s="1344">
        <v>18.642857142857146</v>
      </c>
      <c r="DI52" s="1341">
        <f t="shared" si="14"/>
        <v>6.6428571428571459</v>
      </c>
      <c r="DJ52" s="36"/>
      <c r="DK52" s="95"/>
      <c r="DL52" s="95"/>
      <c r="DM52" s="36" t="s">
        <v>45</v>
      </c>
      <c r="DN52" s="95">
        <v>8</v>
      </c>
      <c r="DO52" s="1345">
        <v>18.75</v>
      </c>
      <c r="DP52" s="1346">
        <f t="shared" si="15"/>
        <v>6.75</v>
      </c>
      <c r="DQ52" s="36"/>
      <c r="DR52" s="1347"/>
      <c r="DS52" s="1347"/>
      <c r="DT52" s="392" t="s">
        <v>45</v>
      </c>
      <c r="DU52" s="1347">
        <v>11</v>
      </c>
      <c r="DV52" s="1348">
        <v>17</v>
      </c>
      <c r="DW52" s="1349">
        <v>12</v>
      </c>
      <c r="DX52" s="1667">
        <f t="shared" si="16"/>
        <v>5</v>
      </c>
    </row>
    <row r="53" spans="1:128">
      <c r="A53" s="6391">
        <v>3</v>
      </c>
      <c r="B53" s="6391">
        <v>2</v>
      </c>
      <c r="C53" s="6391">
        <v>67</v>
      </c>
      <c r="D53" s="6392">
        <v>12.784471288515405</v>
      </c>
      <c r="E53" s="6391">
        <v>127</v>
      </c>
      <c r="F53" s="6076">
        <f t="shared" si="1"/>
        <v>0.78447128851540526</v>
      </c>
      <c r="G53" s="4318">
        <v>12</v>
      </c>
      <c r="I53" s="6073">
        <v>2</v>
      </c>
      <c r="J53" s="6073">
        <v>3</v>
      </c>
      <c r="K53" s="6074">
        <v>55</v>
      </c>
      <c r="L53" s="6075">
        <v>18.533333333333335</v>
      </c>
      <c r="M53" s="6073">
        <v>41</v>
      </c>
      <c r="N53" s="6076">
        <f t="shared" si="2"/>
        <v>6.533333333333335</v>
      </c>
      <c r="O53" s="4318">
        <v>12</v>
      </c>
      <c r="Q53" s="5832">
        <v>2</v>
      </c>
      <c r="R53" s="5832">
        <v>3</v>
      </c>
      <c r="S53" s="5840">
        <v>55</v>
      </c>
      <c r="T53" s="5833">
        <v>18.618461538461538</v>
      </c>
      <c r="U53" s="5832">
        <v>41</v>
      </c>
      <c r="V53" s="1346">
        <f t="shared" si="3"/>
        <v>6.6184615384615384</v>
      </c>
      <c r="W53" s="4318">
        <v>12</v>
      </c>
      <c r="Y53" s="4316">
        <v>2</v>
      </c>
      <c r="Z53" s="4316">
        <v>3</v>
      </c>
      <c r="AA53" s="4245" t="s">
        <v>45</v>
      </c>
      <c r="AB53" s="4327">
        <v>19.848824786324784</v>
      </c>
      <c r="AC53" s="4624">
        <v>29</v>
      </c>
      <c r="AD53" s="1346">
        <f t="shared" si="4"/>
        <v>7.8488247863247835</v>
      </c>
      <c r="AE53" s="4318">
        <v>12</v>
      </c>
      <c r="AG53" s="4316">
        <v>2</v>
      </c>
      <c r="AH53" s="4316">
        <v>3</v>
      </c>
      <c r="AI53" s="4245" t="s">
        <v>46</v>
      </c>
      <c r="AJ53" s="4327">
        <v>19.24589947089947</v>
      </c>
      <c r="AK53" s="4624">
        <v>102</v>
      </c>
      <c r="AL53" s="1346">
        <f t="shared" si="5"/>
        <v>7.2458994708994702</v>
      </c>
      <c r="AM53" s="4318">
        <v>12</v>
      </c>
      <c r="AO53" s="4237"/>
      <c r="AP53" s="4237"/>
      <c r="AQ53" s="4236" t="s">
        <v>46</v>
      </c>
      <c r="AR53" s="4237">
        <v>20.010000000000002</v>
      </c>
      <c r="AS53" s="4237">
        <v>72</v>
      </c>
      <c r="AT53" s="4294">
        <f t="shared" si="6"/>
        <v>8.0100000000000016</v>
      </c>
      <c r="AU53" s="4295">
        <v>12</v>
      </c>
      <c r="AW53" s="97"/>
      <c r="AX53" s="97"/>
      <c r="AY53" s="42" t="s">
        <v>46</v>
      </c>
      <c r="AZ53" s="97">
        <v>19.5</v>
      </c>
      <c r="BA53" s="97">
        <v>111</v>
      </c>
      <c r="BB53" s="1281">
        <f t="shared" si="7"/>
        <v>7.5</v>
      </c>
      <c r="BC53" s="3706">
        <v>12</v>
      </c>
      <c r="BE53" s="4263"/>
      <c r="BF53" s="4263"/>
      <c r="BG53" s="4258" t="s">
        <v>46</v>
      </c>
      <c r="BH53" s="4263">
        <v>19.329999999999998</v>
      </c>
      <c r="BI53" s="4263">
        <v>81</v>
      </c>
      <c r="BJ53" s="4264">
        <f t="shared" si="8"/>
        <v>7.3299999999999983</v>
      </c>
      <c r="BK53" s="4265">
        <v>12</v>
      </c>
      <c r="BM53" s="36"/>
      <c r="BN53" s="36"/>
      <c r="BO53" s="36" t="s">
        <v>46</v>
      </c>
      <c r="BP53" s="1345">
        <v>18.38</v>
      </c>
      <c r="BQ53" s="95">
        <v>103</v>
      </c>
      <c r="BR53" s="1281">
        <f t="shared" si="9"/>
        <v>6.379999999999999</v>
      </c>
      <c r="BS53" s="1349">
        <v>12</v>
      </c>
      <c r="BT53" s="2106"/>
      <c r="BU53" s="97"/>
      <c r="BV53" s="97"/>
      <c r="BW53" s="36" t="s">
        <v>46</v>
      </c>
      <c r="BX53" s="95">
        <v>19.420000000000002</v>
      </c>
      <c r="BY53" s="95">
        <v>104</v>
      </c>
      <c r="BZ53" s="1281">
        <f t="shared" si="10"/>
        <v>7.4200000000000017</v>
      </c>
      <c r="CB53" s="95"/>
      <c r="CC53" s="95"/>
      <c r="CD53" s="36" t="s">
        <v>46</v>
      </c>
      <c r="CE53" s="1345">
        <v>19.3</v>
      </c>
      <c r="CF53" s="95">
        <v>94</v>
      </c>
      <c r="CG53" s="1335">
        <f t="shared" si="18"/>
        <v>7.3000000000000007</v>
      </c>
      <c r="CI53" s="742"/>
      <c r="CJ53" s="742"/>
      <c r="CK53" s="1334" t="s">
        <v>46</v>
      </c>
      <c r="CL53" s="1265">
        <v>19.411764705882348</v>
      </c>
      <c r="CM53" s="1266">
        <v>85</v>
      </c>
      <c r="CN53" s="1335">
        <f t="shared" si="11"/>
        <v>7.4117647058823479</v>
      </c>
      <c r="CP53" s="1336"/>
      <c r="CQ53" s="1336"/>
      <c r="CR53" s="1337" t="s">
        <v>46</v>
      </c>
      <c r="CS53" s="1338">
        <v>76</v>
      </c>
      <c r="CT53" s="1339">
        <v>18.026315789473685</v>
      </c>
      <c r="CU53" s="1281">
        <f t="shared" si="12"/>
        <v>6.026315789473685</v>
      </c>
      <c r="CW53" s="1340"/>
      <c r="CX53" s="1340"/>
      <c r="CY53" s="1342" t="s">
        <v>46</v>
      </c>
      <c r="CZ53" s="1343">
        <v>79</v>
      </c>
      <c r="DA53" s="391">
        <v>17.316455696202528</v>
      </c>
      <c r="DB53" s="1341">
        <f t="shared" si="13"/>
        <v>5.316455696202528</v>
      </c>
      <c r="DC53" s="36"/>
      <c r="DD53" s="1340"/>
      <c r="DE53" s="1340"/>
      <c r="DF53" s="1342" t="s">
        <v>46</v>
      </c>
      <c r="DG53" s="1343">
        <v>66</v>
      </c>
      <c r="DH53" s="1344">
        <v>18.984848484848492</v>
      </c>
      <c r="DI53" s="1341">
        <f t="shared" si="14"/>
        <v>6.9848484848484915</v>
      </c>
      <c r="DJ53" s="36"/>
      <c r="DK53" s="95"/>
      <c r="DL53" s="95"/>
      <c r="DM53" s="36" t="s">
        <v>46</v>
      </c>
      <c r="DN53" s="95">
        <v>57</v>
      </c>
      <c r="DO53" s="1345">
        <v>18.508771929824565</v>
      </c>
      <c r="DP53" s="1346">
        <f t="shared" si="15"/>
        <v>6.5087719298245652</v>
      </c>
      <c r="DQ53" s="36"/>
      <c r="DR53" s="1347"/>
      <c r="DS53" s="1347"/>
      <c r="DT53" s="392" t="s">
        <v>46</v>
      </c>
      <c r="DU53" s="1347">
        <v>101</v>
      </c>
      <c r="DV53" s="1348">
        <v>18.138613861386144</v>
      </c>
      <c r="DW53" s="1349">
        <v>12</v>
      </c>
      <c r="DX53" s="1667">
        <f t="shared" si="16"/>
        <v>6.1386138613861441</v>
      </c>
    </row>
    <row r="54" spans="1:128">
      <c r="A54" s="6391">
        <v>3</v>
      </c>
      <c r="B54" s="6391">
        <v>2</v>
      </c>
      <c r="C54" s="6391">
        <v>101</v>
      </c>
      <c r="D54" s="6392">
        <v>13.307870370370372</v>
      </c>
      <c r="E54" s="6391">
        <v>78</v>
      </c>
      <c r="F54" s="6076">
        <f t="shared" si="1"/>
        <v>1.307870370370372</v>
      </c>
      <c r="G54" s="4318">
        <v>12</v>
      </c>
      <c r="I54" s="6073">
        <v>2</v>
      </c>
      <c r="J54" s="6073">
        <v>3</v>
      </c>
      <c r="K54" s="6074">
        <v>56</v>
      </c>
      <c r="L54" s="6075">
        <v>19.882352941176471</v>
      </c>
      <c r="M54" s="6073">
        <v>117</v>
      </c>
      <c r="N54" s="6076">
        <f t="shared" si="2"/>
        <v>7.882352941176471</v>
      </c>
      <c r="O54" s="4318">
        <v>12</v>
      </c>
      <c r="Q54" s="5832">
        <v>2</v>
      </c>
      <c r="R54" s="5832">
        <v>3</v>
      </c>
      <c r="S54" s="5840">
        <v>56</v>
      </c>
      <c r="T54" s="5833">
        <v>19.144879062736205</v>
      </c>
      <c r="U54" s="5832">
        <v>117</v>
      </c>
      <c r="V54" s="1346">
        <f t="shared" si="3"/>
        <v>7.1448790627362051</v>
      </c>
      <c r="W54" s="4318">
        <v>12</v>
      </c>
      <c r="Y54" s="4316">
        <v>2</v>
      </c>
      <c r="Z54" s="4316">
        <v>3</v>
      </c>
      <c r="AA54" s="4245" t="s">
        <v>46</v>
      </c>
      <c r="AB54" s="4327">
        <v>19.840277777777779</v>
      </c>
      <c r="AC54" s="4624">
        <v>73</v>
      </c>
      <c r="AD54" s="1346">
        <f t="shared" si="4"/>
        <v>7.8402777777777786</v>
      </c>
      <c r="AE54" s="4318">
        <v>12</v>
      </c>
      <c r="AG54" s="4316">
        <v>2</v>
      </c>
      <c r="AH54" s="4316">
        <v>3</v>
      </c>
      <c r="AI54" s="4245" t="s">
        <v>47</v>
      </c>
      <c r="AJ54" s="4327">
        <v>21.080210620133222</v>
      </c>
      <c r="AK54" s="4624">
        <v>112</v>
      </c>
      <c r="AL54" s="1346">
        <f t="shared" si="5"/>
        <v>9.0802106201332222</v>
      </c>
      <c r="AM54" s="4318">
        <v>12</v>
      </c>
      <c r="AO54" s="4237"/>
      <c r="AP54" s="4237"/>
      <c r="AQ54" s="4236" t="s">
        <v>47</v>
      </c>
      <c r="AR54" s="4237">
        <v>21.08</v>
      </c>
      <c r="AS54" s="4237">
        <v>87</v>
      </c>
      <c r="AT54" s="4294">
        <f t="shared" si="6"/>
        <v>9.0799999999999983</v>
      </c>
      <c r="AU54" s="4295">
        <v>12</v>
      </c>
      <c r="AW54" s="97"/>
      <c r="AX54" s="97"/>
      <c r="AY54" s="42" t="s">
        <v>47</v>
      </c>
      <c r="AZ54" s="97">
        <v>20.54</v>
      </c>
      <c r="BA54" s="97">
        <v>92</v>
      </c>
      <c r="BB54" s="1281">
        <f t="shared" si="7"/>
        <v>8.5399999999999991</v>
      </c>
      <c r="BC54" s="3706">
        <v>12</v>
      </c>
      <c r="BE54" s="4263"/>
      <c r="BF54" s="4263"/>
      <c r="BG54" s="4258" t="s">
        <v>47</v>
      </c>
      <c r="BH54" s="4263">
        <v>20.98</v>
      </c>
      <c r="BI54" s="4263">
        <v>60</v>
      </c>
      <c r="BJ54" s="4264">
        <f t="shared" si="8"/>
        <v>8.98</v>
      </c>
      <c r="BK54" s="4265">
        <v>12</v>
      </c>
      <c r="BM54" s="36"/>
      <c r="BN54" s="36"/>
      <c r="BO54" s="36" t="s">
        <v>47</v>
      </c>
      <c r="BP54" s="1345">
        <v>19.260000000000002</v>
      </c>
      <c r="BQ54" s="95">
        <v>78</v>
      </c>
      <c r="BR54" s="1281">
        <f t="shared" si="9"/>
        <v>7.2600000000000016</v>
      </c>
      <c r="BS54" s="1349">
        <v>12</v>
      </c>
      <c r="BT54" s="2106"/>
      <c r="BU54" s="97"/>
      <c r="BV54" s="97"/>
      <c r="BW54" s="36" t="s">
        <v>47</v>
      </c>
      <c r="BX54" s="95">
        <v>19.350000000000001</v>
      </c>
      <c r="BY54" s="95">
        <v>79</v>
      </c>
      <c r="BZ54" s="1281">
        <f t="shared" si="10"/>
        <v>7.3500000000000014</v>
      </c>
      <c r="CB54" s="95"/>
      <c r="CC54" s="95"/>
      <c r="CD54" s="36" t="s">
        <v>47</v>
      </c>
      <c r="CE54" s="1345">
        <v>20.27</v>
      </c>
      <c r="CF54" s="95">
        <v>96</v>
      </c>
      <c r="CG54" s="1335">
        <f t="shared" si="18"/>
        <v>8.27</v>
      </c>
      <c r="CI54" s="742"/>
      <c r="CJ54" s="742"/>
      <c r="CK54" s="1334" t="s">
        <v>47</v>
      </c>
      <c r="CL54" s="1265">
        <v>18.277108433734938</v>
      </c>
      <c r="CM54" s="1266">
        <v>83</v>
      </c>
      <c r="CN54" s="1335">
        <f t="shared" si="11"/>
        <v>6.2771084337349379</v>
      </c>
      <c r="CP54" s="1336"/>
      <c r="CQ54" s="1336"/>
      <c r="CR54" s="1337" t="s">
        <v>47</v>
      </c>
      <c r="CS54" s="1338">
        <v>88</v>
      </c>
      <c r="CT54" s="1339">
        <v>19.909090909090914</v>
      </c>
      <c r="CU54" s="1281">
        <f t="shared" si="12"/>
        <v>7.9090909090909136</v>
      </c>
      <c r="CW54" s="1340"/>
      <c r="CX54" s="1340"/>
      <c r="CY54" s="1342" t="s">
        <v>47</v>
      </c>
      <c r="CZ54" s="1343">
        <v>81</v>
      </c>
      <c r="DA54" s="391">
        <v>19.407407407407405</v>
      </c>
      <c r="DB54" s="1341">
        <f t="shared" si="13"/>
        <v>7.4074074074074048</v>
      </c>
      <c r="DC54" s="36"/>
      <c r="DD54" s="1340"/>
      <c r="DE54" s="1340"/>
      <c r="DF54" s="1342" t="s">
        <v>47</v>
      </c>
      <c r="DG54" s="1343">
        <v>73</v>
      </c>
      <c r="DH54" s="1344">
        <v>19.534246575342461</v>
      </c>
      <c r="DI54" s="1341">
        <f t="shared" si="14"/>
        <v>7.5342465753424612</v>
      </c>
      <c r="DJ54" s="36"/>
      <c r="DK54" s="95"/>
      <c r="DL54" s="95"/>
      <c r="DM54" s="36" t="s">
        <v>47</v>
      </c>
      <c r="DN54" s="95">
        <v>74</v>
      </c>
      <c r="DO54" s="1345">
        <v>19.378378378378379</v>
      </c>
      <c r="DP54" s="1346">
        <f t="shared" si="15"/>
        <v>7.378378378378379</v>
      </c>
      <c r="DQ54" s="36"/>
      <c r="DR54" s="1347"/>
      <c r="DS54" s="1347"/>
      <c r="DT54" s="392" t="s">
        <v>47</v>
      </c>
      <c r="DU54" s="1347">
        <v>67</v>
      </c>
      <c r="DV54" s="1348">
        <v>19.358208955223883</v>
      </c>
      <c r="DW54" s="1349">
        <v>12</v>
      </c>
      <c r="DX54" s="1667">
        <f t="shared" si="16"/>
        <v>7.3582089552238834</v>
      </c>
    </row>
    <row r="55" spans="1:128">
      <c r="A55" s="6391">
        <v>3</v>
      </c>
      <c r="B55" s="6391">
        <v>3</v>
      </c>
      <c r="C55" s="6391">
        <v>73</v>
      </c>
      <c r="D55" s="6392">
        <v>11.952111122130214</v>
      </c>
      <c r="E55" s="6391">
        <v>169</v>
      </c>
      <c r="F55" s="6076">
        <f t="shared" si="1"/>
        <v>-4.7888877869786128E-2</v>
      </c>
      <c r="G55" s="4318">
        <v>12</v>
      </c>
      <c r="I55" s="6073">
        <v>2</v>
      </c>
      <c r="J55" s="6073">
        <v>3</v>
      </c>
      <c r="K55" s="6074">
        <v>57</v>
      </c>
      <c r="L55" s="6075">
        <v>20</v>
      </c>
      <c r="M55" s="6073">
        <v>72</v>
      </c>
      <c r="N55" s="6076">
        <f t="shared" si="2"/>
        <v>8</v>
      </c>
      <c r="O55" s="4318">
        <v>12</v>
      </c>
      <c r="Q55" s="5832">
        <v>2</v>
      </c>
      <c r="R55" s="5832">
        <v>3</v>
      </c>
      <c r="S55" s="5840">
        <v>57</v>
      </c>
      <c r="T55" s="5833">
        <v>19.447140822140824</v>
      </c>
      <c r="U55" s="5832">
        <v>72</v>
      </c>
      <c r="V55" s="1346">
        <f t="shared" si="3"/>
        <v>7.447140822140824</v>
      </c>
      <c r="W55" s="4318">
        <v>12</v>
      </c>
      <c r="Y55" s="4316">
        <v>2</v>
      </c>
      <c r="Z55" s="4316">
        <v>3</v>
      </c>
      <c r="AA55" s="4245" t="s">
        <v>47</v>
      </c>
      <c r="AB55" s="4327">
        <v>21.066000000000003</v>
      </c>
      <c r="AC55" s="4624">
        <v>51</v>
      </c>
      <c r="AD55" s="1346">
        <f t="shared" si="4"/>
        <v>9.0660000000000025</v>
      </c>
      <c r="AE55" s="4318">
        <v>12</v>
      </c>
      <c r="AG55" s="4316"/>
      <c r="AH55" s="4316"/>
      <c r="AI55" s="4246" t="s">
        <v>485</v>
      </c>
      <c r="AJ55" s="4328">
        <v>19.484804001583491</v>
      </c>
      <c r="AK55" s="4627">
        <f>SUM(AK49:AK54)</f>
        <v>467</v>
      </c>
      <c r="AL55" s="1346">
        <f t="shared" si="5"/>
        <v>7.4848040015834911</v>
      </c>
      <c r="AM55" s="4319">
        <v>12</v>
      </c>
      <c r="AO55" s="4237"/>
      <c r="AP55" s="4237"/>
      <c r="AQ55" s="4214" t="s">
        <v>485</v>
      </c>
      <c r="AR55" s="4239">
        <v>20.04</v>
      </c>
      <c r="AS55" s="4239">
        <v>325</v>
      </c>
      <c r="AT55" s="4296">
        <f t="shared" si="6"/>
        <v>8.0399999999999991</v>
      </c>
      <c r="AU55" s="4295">
        <v>12</v>
      </c>
      <c r="AW55" s="97"/>
      <c r="AX55" s="97"/>
      <c r="AY55" s="893" t="s">
        <v>485</v>
      </c>
      <c r="AZ55" s="135">
        <v>18.95</v>
      </c>
      <c r="BA55" s="135">
        <v>481</v>
      </c>
      <c r="BB55" s="1675">
        <f t="shared" si="7"/>
        <v>6.9499999999999993</v>
      </c>
      <c r="BC55" s="3706">
        <v>12</v>
      </c>
      <c r="BE55" s="4263"/>
      <c r="BF55" s="4263"/>
      <c r="BG55" s="4257" t="s">
        <v>485</v>
      </c>
      <c r="BH55" s="4266">
        <v>18.95</v>
      </c>
      <c r="BI55" s="4266">
        <v>339</v>
      </c>
      <c r="BJ55" s="4267">
        <f t="shared" si="8"/>
        <v>6.9499999999999993</v>
      </c>
      <c r="BK55" s="4265">
        <v>12</v>
      </c>
      <c r="BM55" s="36"/>
      <c r="BN55" s="36"/>
      <c r="BO55" s="393" t="s">
        <v>485</v>
      </c>
      <c r="BP55" s="1360">
        <v>18.07</v>
      </c>
      <c r="BQ55" s="2015">
        <v>448</v>
      </c>
      <c r="BR55" s="1675">
        <f t="shared" si="9"/>
        <v>6.07</v>
      </c>
      <c r="BS55" s="1349">
        <v>12</v>
      </c>
      <c r="BT55" s="2106"/>
      <c r="BU55" s="97"/>
      <c r="BV55" s="97"/>
      <c r="BW55" s="393" t="s">
        <v>485</v>
      </c>
      <c r="BX55" s="86">
        <v>18.649999999999999</v>
      </c>
      <c r="BY55" s="86">
        <v>455</v>
      </c>
      <c r="BZ55" s="1675">
        <f t="shared" si="10"/>
        <v>6.6499999999999986</v>
      </c>
      <c r="CB55" s="95"/>
      <c r="CC55" s="95"/>
      <c r="CD55" s="393" t="s">
        <v>485</v>
      </c>
      <c r="CE55" s="1360">
        <v>19.12</v>
      </c>
      <c r="CF55" s="86">
        <v>433</v>
      </c>
      <c r="CG55" s="1480">
        <f t="shared" si="18"/>
        <v>7.120000000000001</v>
      </c>
      <c r="CI55" s="742"/>
      <c r="CJ55" s="742"/>
      <c r="CK55" s="1350" t="s">
        <v>485</v>
      </c>
      <c r="CL55" s="1351">
        <v>18.592207792207788</v>
      </c>
      <c r="CM55" s="1352">
        <v>385</v>
      </c>
      <c r="CN55" s="1335">
        <f t="shared" si="11"/>
        <v>6.5922077922077875</v>
      </c>
      <c r="CP55" s="1336"/>
      <c r="CQ55" s="1336"/>
      <c r="CR55" s="1353" t="s">
        <v>485</v>
      </c>
      <c r="CS55" s="1354">
        <v>345</v>
      </c>
      <c r="CT55" s="1355">
        <v>18.571014492753633</v>
      </c>
      <c r="CU55" s="1281">
        <f t="shared" si="12"/>
        <v>6.5710144927536334</v>
      </c>
      <c r="CW55" s="1340"/>
      <c r="CX55" s="1340"/>
      <c r="CY55" s="1356" t="s">
        <v>485</v>
      </c>
      <c r="CZ55" s="1357">
        <f>SUM(CZ49:CZ54)</f>
        <v>354</v>
      </c>
      <c r="DA55" s="394">
        <v>18.440000000000001</v>
      </c>
      <c r="DB55" s="1359">
        <f t="shared" si="13"/>
        <v>6.4400000000000013</v>
      </c>
      <c r="DC55" s="36"/>
      <c r="DD55" s="1340"/>
      <c r="DE55" s="1340"/>
      <c r="DF55" s="1356" t="s">
        <v>485</v>
      </c>
      <c r="DG55" s="1357">
        <v>297</v>
      </c>
      <c r="DH55" s="1358">
        <v>18.737373737373733</v>
      </c>
      <c r="DI55" s="1359">
        <f t="shared" si="14"/>
        <v>6.7373737373737335</v>
      </c>
      <c r="DJ55" s="36"/>
      <c r="DK55" s="95"/>
      <c r="DL55" s="95"/>
      <c r="DM55" s="393" t="s">
        <v>15</v>
      </c>
      <c r="DN55" s="86">
        <v>255</v>
      </c>
      <c r="DO55" s="1360">
        <v>18.494117647058808</v>
      </c>
      <c r="DP55" s="1361">
        <f t="shared" si="15"/>
        <v>6.4941176470588076</v>
      </c>
      <c r="DQ55" s="36"/>
      <c r="DR55" s="1347"/>
      <c r="DS55" s="1347"/>
      <c r="DT55" s="1362" t="s">
        <v>15</v>
      </c>
      <c r="DU55" s="1363">
        <v>303</v>
      </c>
      <c r="DV55" s="1364">
        <v>18.31683168316831</v>
      </c>
      <c r="DW55" s="1349">
        <v>12</v>
      </c>
      <c r="DX55" s="1668">
        <f t="shared" si="16"/>
        <v>6.31683168316831</v>
      </c>
    </row>
    <row r="56" spans="1:128">
      <c r="A56" s="6391">
        <v>3</v>
      </c>
      <c r="B56" s="6391">
        <v>3</v>
      </c>
      <c r="C56" s="6391">
        <v>74</v>
      </c>
      <c r="D56" s="6392">
        <v>11.793684210526317</v>
      </c>
      <c r="E56" s="6391">
        <v>104</v>
      </c>
      <c r="F56" s="6076">
        <f t="shared" si="1"/>
        <v>-0.2063157894736829</v>
      </c>
      <c r="G56" s="4318">
        <v>12</v>
      </c>
      <c r="I56" s="6073"/>
      <c r="J56" s="6073"/>
      <c r="K56" s="6083" t="s">
        <v>485</v>
      </c>
      <c r="L56" s="6075">
        <v>19.8</v>
      </c>
      <c r="M56" s="6077">
        <f>SUM(M50:M55)</f>
        <v>435</v>
      </c>
      <c r="N56" s="6084">
        <f t="shared" si="2"/>
        <v>7.8000000000000007</v>
      </c>
      <c r="O56" s="4319">
        <v>12</v>
      </c>
      <c r="Q56" s="5832"/>
      <c r="R56" s="5832"/>
      <c r="S56" s="5847" t="s">
        <v>485</v>
      </c>
      <c r="T56" s="5843">
        <v>19.077648662151063</v>
      </c>
      <c r="U56" s="5838">
        <f>SUM(U50:U55)</f>
        <v>435</v>
      </c>
      <c r="V56" s="1361">
        <f t="shared" si="3"/>
        <v>7.0776486621510628</v>
      </c>
      <c r="W56" s="4319">
        <v>12</v>
      </c>
      <c r="Y56" s="4316"/>
      <c r="Z56" s="4316"/>
      <c r="AA56" s="4246" t="s">
        <v>485</v>
      </c>
      <c r="AB56" s="4328">
        <v>20.111758635629606</v>
      </c>
      <c r="AC56" s="4627">
        <f>SUM(AC50:AC55)</f>
        <v>295</v>
      </c>
      <c r="AD56" s="1346">
        <f t="shared" si="4"/>
        <v>8.1117586356296059</v>
      </c>
      <c r="AE56" s="4319">
        <v>12</v>
      </c>
      <c r="AG56" s="4316"/>
      <c r="AH56" s="4316"/>
      <c r="AI56" s="4253" t="s">
        <v>109</v>
      </c>
      <c r="AJ56" s="4329">
        <v>19.130136199444642</v>
      </c>
      <c r="AK56" s="4629">
        <f>SUM(AK36,AK48,AK55)</f>
        <v>1275</v>
      </c>
      <c r="AL56" s="4330">
        <f t="shared" si="5"/>
        <v>7.1301361994446424</v>
      </c>
      <c r="AM56" s="4320">
        <v>12</v>
      </c>
      <c r="AO56" s="4237"/>
      <c r="AP56" s="4237"/>
      <c r="AQ56" s="4297" t="s">
        <v>109</v>
      </c>
      <c r="AR56" s="4298">
        <v>18.66</v>
      </c>
      <c r="AS56" s="4298">
        <v>908</v>
      </c>
      <c r="AT56" s="4299">
        <f t="shared" si="6"/>
        <v>6.66</v>
      </c>
      <c r="AU56" s="4300">
        <v>12</v>
      </c>
      <c r="AW56" s="97"/>
      <c r="AX56" s="97"/>
      <c r="AY56" s="3707" t="s">
        <v>109</v>
      </c>
      <c r="AZ56" s="3708">
        <v>18.45</v>
      </c>
      <c r="BA56" s="3708">
        <v>1316</v>
      </c>
      <c r="BB56" s="1676">
        <f t="shared" si="7"/>
        <v>6.4499999999999993</v>
      </c>
      <c r="BC56" s="3709">
        <v>12</v>
      </c>
      <c r="BE56" s="4263"/>
      <c r="BF56" s="4263"/>
      <c r="BG56" s="4268" t="s">
        <v>109</v>
      </c>
      <c r="BH56" s="4269">
        <v>18.29</v>
      </c>
      <c r="BI56" s="4269">
        <v>934</v>
      </c>
      <c r="BJ56" s="4270">
        <f t="shared" si="8"/>
        <v>6.2899999999999991</v>
      </c>
      <c r="BK56" s="4271">
        <v>12</v>
      </c>
      <c r="BM56" s="2022"/>
      <c r="BN56" s="2022"/>
      <c r="BO56" s="2023" t="s">
        <v>109</v>
      </c>
      <c r="BP56" s="2024">
        <v>17.989999999999998</v>
      </c>
      <c r="BQ56" s="2025">
        <v>1276</v>
      </c>
      <c r="BR56" s="1676">
        <f t="shared" si="9"/>
        <v>5.9899999999999984</v>
      </c>
      <c r="BS56" s="1380">
        <v>12</v>
      </c>
      <c r="BT56" s="2106"/>
      <c r="BU56" s="1501"/>
      <c r="BV56" s="1501"/>
      <c r="BW56" s="1477" t="s">
        <v>109</v>
      </c>
      <c r="BX56" s="1479">
        <v>17.989999999999998</v>
      </c>
      <c r="BY56" s="1479">
        <v>1256</v>
      </c>
      <c r="BZ56" s="1676">
        <f t="shared" si="10"/>
        <v>5.9899999999999984</v>
      </c>
      <c r="CB56" s="1482"/>
      <c r="CC56" s="1482"/>
      <c r="CD56" s="1477" t="s">
        <v>109</v>
      </c>
      <c r="CE56" s="1478">
        <v>18</v>
      </c>
      <c r="CF56" s="1479">
        <v>1192</v>
      </c>
      <c r="CG56" s="1481">
        <f t="shared" si="18"/>
        <v>6</v>
      </c>
      <c r="CI56" s="742"/>
      <c r="CJ56" s="742"/>
      <c r="CK56" s="1350" t="s">
        <v>109</v>
      </c>
      <c r="CL56" s="1351">
        <v>18.018551236749143</v>
      </c>
      <c r="CM56" s="1352">
        <v>1132</v>
      </c>
      <c r="CN56" s="1365">
        <f t="shared" si="11"/>
        <v>6.0185512367491434</v>
      </c>
      <c r="CP56" s="1366"/>
      <c r="CQ56" s="1366"/>
      <c r="CR56" s="1367" t="s">
        <v>109</v>
      </c>
      <c r="CS56" s="1368">
        <v>1109</v>
      </c>
      <c r="CT56" s="1369">
        <v>17.979260595130754</v>
      </c>
      <c r="CU56" s="1370">
        <f t="shared" si="12"/>
        <v>5.9792605951307536</v>
      </c>
      <c r="CW56" s="1340"/>
      <c r="CX56" s="1340"/>
      <c r="CY56" s="1356" t="s">
        <v>109</v>
      </c>
      <c r="CZ56" s="1357">
        <f>SUM(CZ55,CZ48,CZ36)</f>
        <v>1185</v>
      </c>
      <c r="DA56" s="394">
        <v>17.54</v>
      </c>
      <c r="DB56" s="1359">
        <f t="shared" si="13"/>
        <v>5.5399999999999991</v>
      </c>
      <c r="DC56" s="36"/>
      <c r="DD56" s="1340"/>
      <c r="DE56" s="1340"/>
      <c r="DF56" s="1356" t="s">
        <v>109</v>
      </c>
      <c r="DG56" s="1357">
        <v>1064</v>
      </c>
      <c r="DH56" s="1358">
        <v>17.710526315789497</v>
      </c>
      <c r="DI56" s="1359">
        <f t="shared" si="14"/>
        <v>5.7105263157894974</v>
      </c>
      <c r="DJ56" s="36"/>
      <c r="DK56" s="1371"/>
      <c r="DL56" s="1371"/>
      <c r="DM56" s="1372" t="s">
        <v>109</v>
      </c>
      <c r="DN56" s="1373">
        <v>916</v>
      </c>
      <c r="DO56" s="1374">
        <v>17.68449781659389</v>
      </c>
      <c r="DP56" s="1375">
        <f t="shared" si="15"/>
        <v>5.6844978165938898</v>
      </c>
      <c r="DQ56" s="36"/>
      <c r="DR56" s="1376"/>
      <c r="DS56" s="1376"/>
      <c r="DT56" s="1377" t="s">
        <v>109</v>
      </c>
      <c r="DU56" s="1378">
        <v>1089</v>
      </c>
      <c r="DV56" s="1379">
        <v>17.807162534435271</v>
      </c>
      <c r="DW56" s="1380">
        <v>12</v>
      </c>
      <c r="DX56" s="1669">
        <f t="shared" si="16"/>
        <v>5.8071625344352711</v>
      </c>
    </row>
    <row r="57" spans="1:128">
      <c r="A57" s="6391">
        <v>3</v>
      </c>
      <c r="B57" s="6391">
        <v>3</v>
      </c>
      <c r="C57" s="6391">
        <v>75</v>
      </c>
      <c r="D57" s="6392">
        <v>12.478555718475073</v>
      </c>
      <c r="E57" s="6391">
        <v>138</v>
      </c>
      <c r="F57" s="6076">
        <f t="shared" si="1"/>
        <v>0.47855571847507328</v>
      </c>
      <c r="G57" s="4318">
        <v>12</v>
      </c>
      <c r="I57" s="6078"/>
      <c r="J57" s="6078"/>
      <c r="K57" s="6085" t="s">
        <v>109</v>
      </c>
      <c r="L57" s="6075">
        <v>19.3</v>
      </c>
      <c r="M57" s="6079">
        <f>SUM(M56,M49,M37)</f>
        <v>1285</v>
      </c>
      <c r="N57" s="6086">
        <f t="shared" si="2"/>
        <v>7.3000000000000007</v>
      </c>
      <c r="O57" s="4322">
        <v>12</v>
      </c>
      <c r="Q57" s="5836"/>
      <c r="R57" s="5836"/>
      <c r="S57" s="5848" t="s">
        <v>109</v>
      </c>
      <c r="T57" s="5845">
        <v>18.939968959177786</v>
      </c>
      <c r="U57" s="5839">
        <f>SUM(U56,U49,U37)</f>
        <v>1285</v>
      </c>
      <c r="V57" s="5844">
        <f t="shared" si="3"/>
        <v>6.9399689591777864</v>
      </c>
      <c r="W57" s="5849">
        <v>12</v>
      </c>
      <c r="Y57" s="4316"/>
      <c r="Z57" s="4316"/>
      <c r="AA57" s="4253" t="s">
        <v>109</v>
      </c>
      <c r="AB57" s="4329">
        <v>19.336288023876165</v>
      </c>
      <c r="AC57" s="4629">
        <f>SUM(AC37,AC49,AC56)</f>
        <v>882</v>
      </c>
      <c r="AD57" s="4330">
        <f t="shared" si="4"/>
        <v>7.3362880238761647</v>
      </c>
      <c r="AE57" s="4320">
        <v>12</v>
      </c>
      <c r="AF57" s="4817"/>
      <c r="AG57" s="4316">
        <v>3</v>
      </c>
      <c r="AH57" s="4316">
        <v>2</v>
      </c>
      <c r="AI57" s="4245" t="s">
        <v>17</v>
      </c>
      <c r="AJ57" s="4331">
        <v>13.60188753132832</v>
      </c>
      <c r="AK57" s="4628">
        <v>152</v>
      </c>
      <c r="AL57" s="1346">
        <f t="shared" si="5"/>
        <v>1.6018875313283196</v>
      </c>
      <c r="AM57" s="4318">
        <v>12</v>
      </c>
      <c r="AO57" s="4237" t="s">
        <v>48</v>
      </c>
      <c r="AP57" s="4237" t="s">
        <v>16</v>
      </c>
      <c r="AQ57" s="4236" t="s">
        <v>17</v>
      </c>
      <c r="AR57" s="4237">
        <v>13.63</v>
      </c>
      <c r="AS57" s="4237">
        <v>152</v>
      </c>
      <c r="AT57" s="4294">
        <f t="shared" si="6"/>
        <v>1.6300000000000008</v>
      </c>
      <c r="AU57" s="4295">
        <v>12</v>
      </c>
      <c r="AW57" s="97" t="s">
        <v>48</v>
      </c>
      <c r="AX57" s="97" t="s">
        <v>16</v>
      </c>
      <c r="AY57" s="42" t="s">
        <v>17</v>
      </c>
      <c r="AZ57" s="97">
        <v>14.03</v>
      </c>
      <c r="BA57" s="97">
        <v>145</v>
      </c>
      <c r="BB57" s="1281">
        <f t="shared" si="7"/>
        <v>2.0299999999999994</v>
      </c>
      <c r="BC57" s="3706">
        <v>12</v>
      </c>
      <c r="BE57" s="4263" t="s">
        <v>48</v>
      </c>
      <c r="BF57" s="4263" t="s">
        <v>16</v>
      </c>
      <c r="BG57" s="4258" t="s">
        <v>17</v>
      </c>
      <c r="BH57" s="4263">
        <v>14.11</v>
      </c>
      <c r="BI57" s="4263">
        <v>143</v>
      </c>
      <c r="BJ57" s="4264">
        <f t="shared" si="8"/>
        <v>2.1099999999999994</v>
      </c>
      <c r="BK57" s="4265">
        <v>12</v>
      </c>
      <c r="BM57" s="36" t="s">
        <v>48</v>
      </c>
      <c r="BN57" s="36" t="s">
        <v>16</v>
      </c>
      <c r="BO57" s="36" t="s">
        <v>17</v>
      </c>
      <c r="BP57" s="1345">
        <v>14.7</v>
      </c>
      <c r="BQ57" s="95">
        <v>140</v>
      </c>
      <c r="BR57" s="1281">
        <f t="shared" si="9"/>
        <v>2.6999999999999993</v>
      </c>
      <c r="BS57" s="1349">
        <v>12</v>
      </c>
      <c r="BT57" s="2106"/>
      <c r="BU57" s="97" t="s">
        <v>48</v>
      </c>
      <c r="BV57" s="97" t="s">
        <v>16</v>
      </c>
      <c r="BW57" s="36" t="s">
        <v>17</v>
      </c>
      <c r="BX57" s="95">
        <v>14.41</v>
      </c>
      <c r="BY57" s="95">
        <v>103</v>
      </c>
      <c r="BZ57" s="1281">
        <f t="shared" si="10"/>
        <v>2.41</v>
      </c>
      <c r="CB57" s="95" t="s">
        <v>48</v>
      </c>
      <c r="CC57" s="95" t="s">
        <v>16</v>
      </c>
      <c r="CD57" s="36" t="s">
        <v>17</v>
      </c>
      <c r="CE57" s="1345">
        <v>14.4</v>
      </c>
      <c r="CF57" s="95">
        <v>124</v>
      </c>
      <c r="CG57" s="1335">
        <f t="shared" si="18"/>
        <v>2.4000000000000004</v>
      </c>
      <c r="CI57" s="1254" t="s">
        <v>48</v>
      </c>
      <c r="CJ57" s="1254" t="s">
        <v>16</v>
      </c>
      <c r="CK57" s="1381" t="s">
        <v>17</v>
      </c>
      <c r="CL57" s="1382">
        <v>14.330357142857144</v>
      </c>
      <c r="CM57" s="1383">
        <v>112</v>
      </c>
      <c r="CN57" s="1335">
        <f t="shared" si="11"/>
        <v>2.3303571428571441</v>
      </c>
      <c r="CP57" s="1336" t="s">
        <v>48</v>
      </c>
      <c r="CQ57" s="1336" t="s">
        <v>16</v>
      </c>
      <c r="CR57" s="1337" t="s">
        <v>17</v>
      </c>
      <c r="CS57" s="1338">
        <v>106</v>
      </c>
      <c r="CT57" s="1339">
        <v>14.433962264150949</v>
      </c>
      <c r="CU57" s="1281">
        <f t="shared" si="12"/>
        <v>2.4339622641509493</v>
      </c>
      <c r="CW57" s="1384" t="s">
        <v>48</v>
      </c>
      <c r="CX57" s="1384" t="s">
        <v>16</v>
      </c>
      <c r="CY57" s="1385" t="s">
        <v>17</v>
      </c>
      <c r="CZ57" s="1386">
        <v>149</v>
      </c>
      <c r="DA57" s="1387">
        <v>14.19463087248322</v>
      </c>
      <c r="DB57" s="1388">
        <f t="shared" si="13"/>
        <v>2.19463087248322</v>
      </c>
      <c r="DC57" s="36"/>
      <c r="DD57" s="1384" t="s">
        <v>48</v>
      </c>
      <c r="DE57" s="1384" t="s">
        <v>16</v>
      </c>
      <c r="DF57" s="1385" t="s">
        <v>17</v>
      </c>
      <c r="DG57" s="1386">
        <v>130</v>
      </c>
      <c r="DH57" s="1387">
        <v>14.446153846153846</v>
      </c>
      <c r="DI57" s="1388">
        <f t="shared" si="14"/>
        <v>2.4461538461538463</v>
      </c>
      <c r="DJ57" s="36"/>
      <c r="DK57" s="95" t="s">
        <v>48</v>
      </c>
      <c r="DL57" s="95" t="s">
        <v>16</v>
      </c>
      <c r="DM57" s="36" t="s">
        <v>17</v>
      </c>
      <c r="DN57" s="95">
        <v>119</v>
      </c>
      <c r="DO57" s="1345">
        <v>14.277310924369747</v>
      </c>
      <c r="DP57" s="1346">
        <f t="shared" si="15"/>
        <v>2.2773109243697469</v>
      </c>
      <c r="DQ57" s="36"/>
      <c r="DR57" s="1347" t="s">
        <v>48</v>
      </c>
      <c r="DS57" s="1347" t="s">
        <v>16</v>
      </c>
      <c r="DT57" s="392" t="s">
        <v>17</v>
      </c>
      <c r="DU57" s="1347">
        <v>113</v>
      </c>
      <c r="DV57" s="1348">
        <v>14</v>
      </c>
      <c r="DW57" s="1349">
        <v>12</v>
      </c>
      <c r="DX57" s="1667">
        <f t="shared" si="16"/>
        <v>2</v>
      </c>
    </row>
    <row r="58" spans="1:128">
      <c r="A58" s="6391">
        <v>3</v>
      </c>
      <c r="B58" s="6391">
        <v>3</v>
      </c>
      <c r="C58" s="6391">
        <v>76</v>
      </c>
      <c r="D58" s="6392">
        <v>12.916860414489724</v>
      </c>
      <c r="E58" s="6391">
        <v>240</v>
      </c>
      <c r="F58" s="6076">
        <f t="shared" si="1"/>
        <v>0.91686041448972411</v>
      </c>
      <c r="G58" s="4318">
        <v>12</v>
      </c>
      <c r="I58" s="6081">
        <v>3</v>
      </c>
      <c r="J58" s="6081">
        <v>2</v>
      </c>
      <c r="K58" s="6082">
        <v>63</v>
      </c>
      <c r="L58" s="6075">
        <v>13.706766917293233</v>
      </c>
      <c r="M58" s="6081">
        <v>149</v>
      </c>
      <c r="N58" s="6076">
        <f t="shared" si="2"/>
        <v>1.7067669172932334</v>
      </c>
      <c r="O58" s="4318">
        <v>12</v>
      </c>
      <c r="Q58" s="5834">
        <v>3</v>
      </c>
      <c r="R58" s="5834">
        <v>2</v>
      </c>
      <c r="S58" s="5842">
        <v>63</v>
      </c>
      <c r="T58" s="5835">
        <v>14.260107545433634</v>
      </c>
      <c r="U58" s="5834">
        <v>149</v>
      </c>
      <c r="V58" s="1346">
        <f t="shared" si="3"/>
        <v>2.2601075454336339</v>
      </c>
      <c r="W58" s="4318">
        <v>12</v>
      </c>
      <c r="Y58" s="4316">
        <v>3</v>
      </c>
      <c r="Z58" s="4316">
        <v>2</v>
      </c>
      <c r="AA58" s="4245" t="s">
        <v>17</v>
      </c>
      <c r="AB58" s="4331">
        <v>14.214071325499896</v>
      </c>
      <c r="AC58" s="4628">
        <v>149</v>
      </c>
      <c r="AD58" s="1346">
        <f t="shared" si="4"/>
        <v>2.214071325499896</v>
      </c>
      <c r="AE58" s="4318">
        <v>12</v>
      </c>
      <c r="AF58" s="4817"/>
      <c r="AG58" s="4316">
        <v>3</v>
      </c>
      <c r="AH58" s="4316">
        <v>2</v>
      </c>
      <c r="AI58" s="4245" t="s">
        <v>49</v>
      </c>
      <c r="AJ58" s="4327">
        <v>11.301413064349161</v>
      </c>
      <c r="AK58" s="4628">
        <v>179</v>
      </c>
      <c r="AL58" s="1346">
        <f t="shared" si="5"/>
        <v>-0.69858693565083918</v>
      </c>
      <c r="AM58" s="4318">
        <v>12</v>
      </c>
      <c r="AO58" s="4237"/>
      <c r="AP58" s="4237"/>
      <c r="AQ58" s="4236" t="s">
        <v>49</v>
      </c>
      <c r="AR58" s="4237">
        <v>11.23</v>
      </c>
      <c r="AS58" s="4237">
        <v>176</v>
      </c>
      <c r="AT58" s="4294">
        <f t="shared" si="6"/>
        <v>-0.76999999999999957</v>
      </c>
      <c r="AU58" s="4295">
        <v>12</v>
      </c>
      <c r="AW58" s="97"/>
      <c r="AX58" s="97"/>
      <c r="AY58" s="42" t="s">
        <v>49</v>
      </c>
      <c r="AZ58" s="97">
        <v>12.54</v>
      </c>
      <c r="BA58" s="97">
        <v>153</v>
      </c>
      <c r="BB58" s="1281">
        <f t="shared" si="7"/>
        <v>0.53999999999999915</v>
      </c>
      <c r="BC58" s="3706">
        <v>12</v>
      </c>
      <c r="BE58" s="4263"/>
      <c r="BF58" s="4263"/>
      <c r="BG58" s="4258" t="s">
        <v>49</v>
      </c>
      <c r="BH58" s="4263">
        <v>12.96</v>
      </c>
      <c r="BI58" s="4263">
        <v>153</v>
      </c>
      <c r="BJ58" s="4264">
        <f t="shared" si="8"/>
        <v>0.96000000000000085</v>
      </c>
      <c r="BK58" s="4265">
        <v>12</v>
      </c>
      <c r="BM58" s="36"/>
      <c r="BN58" s="36"/>
      <c r="BO58" s="36" t="s">
        <v>49</v>
      </c>
      <c r="BP58" s="1345">
        <v>12.91</v>
      </c>
      <c r="BQ58" s="95">
        <v>160</v>
      </c>
      <c r="BR58" s="1281">
        <f t="shared" si="9"/>
        <v>0.91000000000000014</v>
      </c>
      <c r="BS58" s="1349">
        <v>12</v>
      </c>
      <c r="BT58" s="2106"/>
      <c r="BU58" s="97"/>
      <c r="BV58" s="97"/>
      <c r="BW58" s="36" t="s">
        <v>49</v>
      </c>
      <c r="BX58" s="95">
        <v>12.98</v>
      </c>
      <c r="BY58" s="95">
        <v>172</v>
      </c>
      <c r="BZ58" s="1281">
        <f t="shared" si="10"/>
        <v>0.98000000000000043</v>
      </c>
      <c r="CB58" s="95"/>
      <c r="CC58" s="95"/>
      <c r="CD58" s="36" t="s">
        <v>49</v>
      </c>
      <c r="CE58" s="1345">
        <v>12.98</v>
      </c>
      <c r="CF58" s="95">
        <v>182</v>
      </c>
      <c r="CG58" s="1335">
        <f t="shared" si="18"/>
        <v>0.98000000000000043</v>
      </c>
      <c r="CI58" s="742"/>
      <c r="CJ58" s="742"/>
      <c r="CK58" s="1334" t="s">
        <v>49</v>
      </c>
      <c r="CL58" s="1265">
        <v>13.064327485380122</v>
      </c>
      <c r="CM58" s="1266">
        <v>171</v>
      </c>
      <c r="CN58" s="1335">
        <f t="shared" si="11"/>
        <v>1.0643274853801223</v>
      </c>
      <c r="CP58" s="1336"/>
      <c r="CQ58" s="1336"/>
      <c r="CR58" s="1337" t="s">
        <v>49</v>
      </c>
      <c r="CS58" s="1338">
        <v>174</v>
      </c>
      <c r="CT58" s="1339">
        <v>12.712643678160918</v>
      </c>
      <c r="CU58" s="1281">
        <f t="shared" si="12"/>
        <v>0.71264367816091756</v>
      </c>
      <c r="CW58" s="1340"/>
      <c r="CX58" s="1340"/>
      <c r="CY58" s="1342" t="s">
        <v>49</v>
      </c>
      <c r="CZ58" s="1343">
        <v>177</v>
      </c>
      <c r="DA58" s="1344">
        <v>12.824858757062147</v>
      </c>
      <c r="DB58" s="1341">
        <f t="shared" si="13"/>
        <v>0.82485875706214706</v>
      </c>
      <c r="DC58" s="36"/>
      <c r="DD58" s="1340"/>
      <c r="DE58" s="1340"/>
      <c r="DF58" s="1342" t="s">
        <v>49</v>
      </c>
      <c r="DG58" s="1343">
        <v>170</v>
      </c>
      <c r="DH58" s="1344">
        <v>12.741176470588231</v>
      </c>
      <c r="DI58" s="1341">
        <f t="shared" si="14"/>
        <v>0.74117647058823088</v>
      </c>
      <c r="DJ58" s="36"/>
      <c r="DK58" s="95"/>
      <c r="DL58" s="95"/>
      <c r="DM58" s="36" t="s">
        <v>49</v>
      </c>
      <c r="DN58" s="95">
        <v>176</v>
      </c>
      <c r="DO58" s="1345">
        <v>12.97727272727273</v>
      </c>
      <c r="DP58" s="1346">
        <f t="shared" si="15"/>
        <v>0.97727272727273018</v>
      </c>
      <c r="DQ58" s="36"/>
      <c r="DR58" s="1347"/>
      <c r="DS58" s="1347"/>
      <c r="DT58" s="392" t="s">
        <v>49</v>
      </c>
      <c r="DU58" s="1347">
        <v>193</v>
      </c>
      <c r="DV58" s="1348">
        <v>13.165803108808294</v>
      </c>
      <c r="DW58" s="1349">
        <v>12</v>
      </c>
      <c r="DX58" s="1667">
        <f t="shared" si="16"/>
        <v>1.1658031088082943</v>
      </c>
    </row>
    <row r="59" spans="1:128">
      <c r="A59" s="6391">
        <v>3</v>
      </c>
      <c r="B59" s="6391">
        <v>3</v>
      </c>
      <c r="C59" s="6391">
        <v>77</v>
      </c>
      <c r="D59" s="6392">
        <v>11.942241919946207</v>
      </c>
      <c r="E59" s="6391">
        <v>171</v>
      </c>
      <c r="F59" s="6076">
        <f t="shared" si="1"/>
        <v>-3.0577580800537927</v>
      </c>
      <c r="G59" s="4318">
        <v>15</v>
      </c>
      <c r="I59" s="6073">
        <v>3</v>
      </c>
      <c r="J59" s="6073">
        <v>2</v>
      </c>
      <c r="K59" s="6074">
        <v>64</v>
      </c>
      <c r="L59" s="6075">
        <v>13.330049261083744</v>
      </c>
      <c r="M59" s="6073">
        <v>174</v>
      </c>
      <c r="N59" s="6076">
        <f t="shared" si="2"/>
        <v>1.3300492610837438</v>
      </c>
      <c r="O59" s="4318">
        <v>12</v>
      </c>
      <c r="Q59" s="5832">
        <v>3</v>
      </c>
      <c r="R59" s="5832">
        <v>2</v>
      </c>
      <c r="S59" s="5840">
        <v>64</v>
      </c>
      <c r="T59" s="5833">
        <v>12.978188961988304</v>
      </c>
      <c r="U59" s="5832">
        <v>174</v>
      </c>
      <c r="V59" s="1346">
        <f t="shared" si="3"/>
        <v>0.97818896198830352</v>
      </c>
      <c r="W59" s="4318">
        <v>12</v>
      </c>
      <c r="Y59" s="4316">
        <v>3</v>
      </c>
      <c r="Z59" s="4316">
        <v>2</v>
      </c>
      <c r="AA59" s="4245" t="s">
        <v>49</v>
      </c>
      <c r="AB59" s="4327">
        <v>12.943727598566307</v>
      </c>
      <c r="AC59" s="4628">
        <v>174</v>
      </c>
      <c r="AD59" s="1346">
        <f t="shared" si="4"/>
        <v>0.94372759856630672</v>
      </c>
      <c r="AE59" s="4318">
        <v>12</v>
      </c>
      <c r="AF59" s="4817"/>
      <c r="AG59" s="4316">
        <v>3</v>
      </c>
      <c r="AH59" s="4316">
        <v>2</v>
      </c>
      <c r="AI59" s="4245" t="s">
        <v>19</v>
      </c>
      <c r="AJ59" s="4327">
        <v>15.837561025195434</v>
      </c>
      <c r="AK59" s="4628">
        <v>142</v>
      </c>
      <c r="AL59" s="1346">
        <f t="shared" si="5"/>
        <v>3.8375610251954342</v>
      </c>
      <c r="AM59" s="4318">
        <v>12</v>
      </c>
      <c r="AO59" s="4237"/>
      <c r="AP59" s="4237"/>
      <c r="AQ59" s="4236" t="s">
        <v>19</v>
      </c>
      <c r="AR59" s="4237">
        <v>15.14</v>
      </c>
      <c r="AS59" s="4237">
        <v>111</v>
      </c>
      <c r="AT59" s="4294">
        <f t="shared" si="6"/>
        <v>3.1400000000000006</v>
      </c>
      <c r="AU59" s="4295">
        <v>12</v>
      </c>
      <c r="AW59" s="97"/>
      <c r="AX59" s="97"/>
      <c r="AY59" s="42" t="s">
        <v>19</v>
      </c>
      <c r="AZ59" s="97">
        <v>15.3</v>
      </c>
      <c r="BA59" s="97">
        <v>74</v>
      </c>
      <c r="BB59" s="1281">
        <f t="shared" si="7"/>
        <v>3.3000000000000007</v>
      </c>
      <c r="BC59" s="3706">
        <v>12</v>
      </c>
      <c r="BE59" s="4263"/>
      <c r="BF59" s="4263"/>
      <c r="BG59" s="4258" t="s">
        <v>19</v>
      </c>
      <c r="BH59" s="4263">
        <v>15.2</v>
      </c>
      <c r="BI59" s="4263">
        <v>70</v>
      </c>
      <c r="BJ59" s="4264">
        <f t="shared" si="8"/>
        <v>3.1999999999999993</v>
      </c>
      <c r="BK59" s="4265">
        <v>12</v>
      </c>
      <c r="BM59" s="36"/>
      <c r="BN59" s="36"/>
      <c r="BO59" s="36" t="s">
        <v>19</v>
      </c>
      <c r="BP59" s="1345">
        <v>16.829999999999998</v>
      </c>
      <c r="BQ59" s="95">
        <v>130</v>
      </c>
      <c r="BR59" s="1281">
        <f t="shared" si="9"/>
        <v>4.8299999999999983</v>
      </c>
      <c r="BS59" s="1349">
        <v>12</v>
      </c>
      <c r="BT59" s="2106"/>
      <c r="BU59" s="97"/>
      <c r="BV59" s="97"/>
      <c r="BW59" s="36" t="s">
        <v>19</v>
      </c>
      <c r="BX59" s="95">
        <v>15.97</v>
      </c>
      <c r="BY59" s="95">
        <v>66</v>
      </c>
      <c r="BZ59" s="1281">
        <f t="shared" si="10"/>
        <v>3.9700000000000006</v>
      </c>
      <c r="CB59" s="95"/>
      <c r="CC59" s="95"/>
      <c r="CD59" s="36" t="s">
        <v>19</v>
      </c>
      <c r="CE59" s="1345">
        <v>15.42</v>
      </c>
      <c r="CF59" s="95">
        <v>95</v>
      </c>
      <c r="CG59" s="1335">
        <f t="shared" si="18"/>
        <v>3.42</v>
      </c>
      <c r="CI59" s="742"/>
      <c r="CJ59" s="742"/>
      <c r="CK59" s="1334" t="s">
        <v>19</v>
      </c>
      <c r="CL59" s="1265">
        <v>16.012345679012338</v>
      </c>
      <c r="CM59" s="1266">
        <v>81</v>
      </c>
      <c r="CN59" s="1335">
        <f t="shared" si="11"/>
        <v>4.0123456790123377</v>
      </c>
      <c r="CP59" s="1336"/>
      <c r="CQ59" s="1336"/>
      <c r="CR59" s="1337" t="s">
        <v>19</v>
      </c>
      <c r="CS59" s="1338">
        <v>74</v>
      </c>
      <c r="CT59" s="1339">
        <v>15.783783783783784</v>
      </c>
      <c r="CU59" s="1281">
        <f t="shared" si="12"/>
        <v>3.7837837837837842</v>
      </c>
      <c r="CW59" s="1340"/>
      <c r="CX59" s="1340"/>
      <c r="CY59" s="1342" t="s">
        <v>19</v>
      </c>
      <c r="CZ59" s="1343">
        <v>62</v>
      </c>
      <c r="DA59" s="1344">
        <v>15.741935483870966</v>
      </c>
      <c r="DB59" s="1341">
        <f t="shared" si="13"/>
        <v>3.7419354838709662</v>
      </c>
      <c r="DC59" s="36"/>
      <c r="DD59" s="1340"/>
      <c r="DE59" s="1340"/>
      <c r="DF59" s="1342" t="s">
        <v>19</v>
      </c>
      <c r="DG59" s="1343">
        <v>81</v>
      </c>
      <c r="DH59" s="1344">
        <v>14.839506172839505</v>
      </c>
      <c r="DI59" s="1341">
        <f t="shared" si="14"/>
        <v>2.8395061728395046</v>
      </c>
      <c r="DJ59" s="36"/>
      <c r="DK59" s="95"/>
      <c r="DL59" s="95"/>
      <c r="DM59" s="36" t="s">
        <v>19</v>
      </c>
      <c r="DN59" s="95">
        <v>78</v>
      </c>
      <c r="DO59" s="1345">
        <v>15.102564102564102</v>
      </c>
      <c r="DP59" s="1346">
        <f t="shared" si="15"/>
        <v>3.1025641025641022</v>
      </c>
      <c r="DQ59" s="36"/>
      <c r="DR59" s="1347"/>
      <c r="DS59" s="1347"/>
      <c r="DT59" s="392" t="s">
        <v>19</v>
      </c>
      <c r="DU59" s="1347">
        <v>126</v>
      </c>
      <c r="DV59" s="1348">
        <v>15.285714285714278</v>
      </c>
      <c r="DW59" s="1349">
        <v>12</v>
      </c>
      <c r="DX59" s="1667">
        <f t="shared" si="16"/>
        <v>3.2857142857142776</v>
      </c>
    </row>
    <row r="60" spans="1:128">
      <c r="A60" s="6391">
        <v>3</v>
      </c>
      <c r="B60" s="6391">
        <v>3</v>
      </c>
      <c r="C60" s="6391">
        <v>78</v>
      </c>
      <c r="D60" s="6392">
        <v>11.995192307692307</v>
      </c>
      <c r="E60" s="6391">
        <v>107</v>
      </c>
      <c r="F60" s="6076">
        <f t="shared" si="1"/>
        <v>-4.8076923076934008E-3</v>
      </c>
      <c r="G60" s="4318">
        <v>12</v>
      </c>
      <c r="I60" s="6073">
        <v>3</v>
      </c>
      <c r="J60" s="6073">
        <v>2</v>
      </c>
      <c r="K60" s="6074">
        <v>65</v>
      </c>
      <c r="L60" s="6075">
        <v>15.074324324324325</v>
      </c>
      <c r="M60" s="6073">
        <v>109</v>
      </c>
      <c r="N60" s="6076">
        <f t="shared" si="2"/>
        <v>3.0743243243243246</v>
      </c>
      <c r="O60" s="4318">
        <v>12</v>
      </c>
      <c r="Q60" s="5832">
        <v>3</v>
      </c>
      <c r="R60" s="5832">
        <v>2</v>
      </c>
      <c r="S60" s="5840">
        <v>65</v>
      </c>
      <c r="T60" s="5833">
        <v>15.264996623552022</v>
      </c>
      <c r="U60" s="5832">
        <v>109</v>
      </c>
      <c r="V60" s="1346">
        <f t="shared" si="3"/>
        <v>3.2649966235520225</v>
      </c>
      <c r="W60" s="4318">
        <v>12</v>
      </c>
      <c r="Y60" s="4316">
        <v>3</v>
      </c>
      <c r="Z60" s="4316">
        <v>2</v>
      </c>
      <c r="AA60" s="4245" t="s">
        <v>19</v>
      </c>
      <c r="AB60" s="4327">
        <v>14.480075757575756</v>
      </c>
      <c r="AC60" s="4628">
        <v>107</v>
      </c>
      <c r="AD60" s="1346">
        <f t="shared" si="4"/>
        <v>2.4800757575757562</v>
      </c>
      <c r="AE60" s="4318">
        <v>12</v>
      </c>
      <c r="AF60" s="4817"/>
      <c r="AG60" s="4316">
        <v>3</v>
      </c>
      <c r="AH60" s="4316">
        <v>2</v>
      </c>
      <c r="AI60" s="4245" t="s">
        <v>50</v>
      </c>
      <c r="AJ60" s="4327">
        <v>12.756594409059563</v>
      </c>
      <c r="AK60" s="4628">
        <v>279</v>
      </c>
      <c r="AL60" s="1346">
        <f t="shared" si="5"/>
        <v>0.75659440905956288</v>
      </c>
      <c r="AM60" s="4318">
        <v>12</v>
      </c>
      <c r="AO60" s="4237"/>
      <c r="AP60" s="4237"/>
      <c r="AQ60" s="4236" t="s">
        <v>50</v>
      </c>
      <c r="AR60" s="4237">
        <v>12.64</v>
      </c>
      <c r="AS60" s="4237">
        <v>269</v>
      </c>
      <c r="AT60" s="4294">
        <f t="shared" si="6"/>
        <v>0.64000000000000057</v>
      </c>
      <c r="AU60" s="4295">
        <v>12</v>
      </c>
      <c r="AW60" s="97"/>
      <c r="AX60" s="97"/>
      <c r="AY60" s="42" t="s">
        <v>50</v>
      </c>
      <c r="AZ60" s="97">
        <v>12.75</v>
      </c>
      <c r="BA60" s="97">
        <v>230</v>
      </c>
      <c r="BB60" s="1281">
        <f t="shared" si="7"/>
        <v>0.75</v>
      </c>
      <c r="BC60" s="3706">
        <v>12</v>
      </c>
      <c r="BE60" s="4263"/>
      <c r="BF60" s="4263"/>
      <c r="BG60" s="4258" t="s">
        <v>50</v>
      </c>
      <c r="BH60" s="4263">
        <v>12.75</v>
      </c>
      <c r="BI60" s="4263">
        <v>229</v>
      </c>
      <c r="BJ60" s="4264">
        <f t="shared" si="8"/>
        <v>0.75</v>
      </c>
      <c r="BK60" s="4265">
        <v>12</v>
      </c>
      <c r="BM60" s="36"/>
      <c r="BN60" s="36"/>
      <c r="BO60" s="36" t="s">
        <v>50</v>
      </c>
      <c r="BP60" s="1345">
        <v>12.78</v>
      </c>
      <c r="BQ60" s="95">
        <v>258</v>
      </c>
      <c r="BR60" s="1281">
        <f t="shared" si="9"/>
        <v>0.77999999999999936</v>
      </c>
      <c r="BS60" s="1349">
        <v>12</v>
      </c>
      <c r="BT60" s="2106"/>
      <c r="BU60" s="97"/>
      <c r="BV60" s="97"/>
      <c r="BW60" s="36" t="s">
        <v>50</v>
      </c>
      <c r="BX60" s="95">
        <v>12.95</v>
      </c>
      <c r="BY60" s="95">
        <v>282</v>
      </c>
      <c r="BZ60" s="1281">
        <f t="shared" si="10"/>
        <v>0.94999999999999929</v>
      </c>
      <c r="CB60" s="95"/>
      <c r="CC60" s="95"/>
      <c r="CD60" s="36" t="s">
        <v>50</v>
      </c>
      <c r="CE60" s="1345">
        <v>12.8</v>
      </c>
      <c r="CF60" s="95">
        <v>304</v>
      </c>
      <c r="CG60" s="1335">
        <f t="shared" si="18"/>
        <v>0.80000000000000071</v>
      </c>
      <c r="CI60" s="742"/>
      <c r="CJ60" s="742"/>
      <c r="CK60" s="1334" t="s">
        <v>50</v>
      </c>
      <c r="CL60" s="1265">
        <v>12.810526315789465</v>
      </c>
      <c r="CM60" s="1266">
        <v>285</v>
      </c>
      <c r="CN60" s="1335">
        <f t="shared" si="11"/>
        <v>0.8105263157894651</v>
      </c>
      <c r="CP60" s="1336"/>
      <c r="CQ60" s="1336"/>
      <c r="CR60" s="1337" t="s">
        <v>50</v>
      </c>
      <c r="CS60" s="1338">
        <v>295</v>
      </c>
      <c r="CT60" s="1339">
        <v>12.64745762711865</v>
      </c>
      <c r="CU60" s="1281">
        <f t="shared" si="12"/>
        <v>0.64745762711864963</v>
      </c>
      <c r="CW60" s="1340"/>
      <c r="CX60" s="1340"/>
      <c r="CY60" s="1342" t="s">
        <v>50</v>
      </c>
      <c r="CZ60" s="1343">
        <v>333</v>
      </c>
      <c r="DA60" s="1344">
        <v>12.840840840840839</v>
      </c>
      <c r="DB60" s="1341">
        <f t="shared" si="13"/>
        <v>0.84084084084083877</v>
      </c>
      <c r="DC60" s="36"/>
      <c r="DD60" s="1340"/>
      <c r="DE60" s="1340"/>
      <c r="DF60" s="1342" t="s">
        <v>50</v>
      </c>
      <c r="DG60" s="1343">
        <v>260</v>
      </c>
      <c r="DH60" s="1344">
        <v>12.734615384615385</v>
      </c>
      <c r="DI60" s="1341">
        <f t="shared" si="14"/>
        <v>0.73461538461538467</v>
      </c>
      <c r="DJ60" s="36"/>
      <c r="DK60" s="95"/>
      <c r="DL60" s="95"/>
      <c r="DM60" s="36" t="s">
        <v>50</v>
      </c>
      <c r="DN60" s="95">
        <v>274</v>
      </c>
      <c r="DO60" s="1345">
        <v>12.93795620437956</v>
      </c>
      <c r="DP60" s="1346">
        <f t="shared" si="15"/>
        <v>0.93795620437956018</v>
      </c>
      <c r="DQ60" s="36"/>
      <c r="DR60" s="1347"/>
      <c r="DS60" s="1347"/>
      <c r="DT60" s="392" t="s">
        <v>50</v>
      </c>
      <c r="DU60" s="1347">
        <v>288</v>
      </c>
      <c r="DV60" s="1348">
        <v>12.875</v>
      </c>
      <c r="DW60" s="1349">
        <v>12</v>
      </c>
      <c r="DX60" s="1667">
        <f t="shared" si="16"/>
        <v>0.875</v>
      </c>
    </row>
    <row r="61" spans="1:128">
      <c r="A61" s="6391">
        <v>3</v>
      </c>
      <c r="B61" s="6391">
        <v>3</v>
      </c>
      <c r="C61" s="6391">
        <v>79</v>
      </c>
      <c r="D61" s="6392">
        <v>17.353098665730336</v>
      </c>
      <c r="E61" s="6391">
        <v>161</v>
      </c>
      <c r="F61" s="6076">
        <f t="shared" si="1"/>
        <v>2.3530986657303359</v>
      </c>
      <c r="G61" s="4318">
        <v>15</v>
      </c>
      <c r="I61" s="6073">
        <v>3</v>
      </c>
      <c r="J61" s="6073">
        <v>2</v>
      </c>
      <c r="K61" s="6074">
        <v>66</v>
      </c>
      <c r="L61" s="6075">
        <v>12.834024896265561</v>
      </c>
      <c r="M61" s="6073">
        <v>281</v>
      </c>
      <c r="N61" s="6076">
        <f t="shared" si="2"/>
        <v>0.83402489626556076</v>
      </c>
      <c r="O61" s="4318">
        <v>12</v>
      </c>
      <c r="Q61" s="5832">
        <v>3</v>
      </c>
      <c r="R61" s="5832">
        <v>2</v>
      </c>
      <c r="S61" s="5840">
        <v>66</v>
      </c>
      <c r="T61" s="5833">
        <v>12.566796997194723</v>
      </c>
      <c r="U61" s="5832">
        <v>281</v>
      </c>
      <c r="V61" s="1346">
        <f t="shared" si="3"/>
        <v>0.56679699719472332</v>
      </c>
      <c r="W61" s="4318">
        <v>12</v>
      </c>
      <c r="Y61" s="4316">
        <v>3</v>
      </c>
      <c r="Z61" s="4316">
        <v>2</v>
      </c>
      <c r="AA61" s="4245" t="s">
        <v>50</v>
      </c>
      <c r="AB61" s="4327">
        <v>12.576396436012606</v>
      </c>
      <c r="AC61" s="4628">
        <v>282</v>
      </c>
      <c r="AD61" s="1346">
        <f t="shared" si="4"/>
        <v>0.57639643601260637</v>
      </c>
      <c r="AE61" s="4318">
        <v>12</v>
      </c>
      <c r="AF61" s="4817"/>
      <c r="AG61" s="4316">
        <v>3</v>
      </c>
      <c r="AH61" s="4316">
        <v>2</v>
      </c>
      <c r="AI61" s="4245" t="s">
        <v>20</v>
      </c>
      <c r="AJ61" s="4327">
        <v>12.614498000234079</v>
      </c>
      <c r="AK61" s="4628">
        <v>127</v>
      </c>
      <c r="AL61" s="1346">
        <f t="shared" si="5"/>
        <v>0.61449800023407875</v>
      </c>
      <c r="AM61" s="4318">
        <v>12</v>
      </c>
      <c r="AO61" s="4237"/>
      <c r="AP61" s="4237"/>
      <c r="AQ61" s="4236" t="s">
        <v>20</v>
      </c>
      <c r="AR61" s="4237">
        <v>12.45</v>
      </c>
      <c r="AS61" s="4237">
        <v>110</v>
      </c>
      <c r="AT61" s="4294">
        <f t="shared" si="6"/>
        <v>0.44999999999999929</v>
      </c>
      <c r="AU61" s="4295">
        <v>12</v>
      </c>
      <c r="AW61" s="97"/>
      <c r="AX61" s="97"/>
      <c r="AY61" s="42" t="s">
        <v>20</v>
      </c>
      <c r="AZ61" s="97">
        <v>13.68</v>
      </c>
      <c r="BA61" s="97">
        <v>98</v>
      </c>
      <c r="BB61" s="1281">
        <f t="shared" si="7"/>
        <v>1.6799999999999997</v>
      </c>
      <c r="BC61" s="3706">
        <v>12</v>
      </c>
      <c r="BE61" s="4263"/>
      <c r="BF61" s="4263"/>
      <c r="BG61" s="4258" t="s">
        <v>20</v>
      </c>
      <c r="BH61" s="4263">
        <v>13.88</v>
      </c>
      <c r="BI61" s="4263">
        <v>97</v>
      </c>
      <c r="BJ61" s="4264">
        <f t="shared" si="8"/>
        <v>1.8800000000000008</v>
      </c>
      <c r="BK61" s="4265">
        <v>12</v>
      </c>
      <c r="BM61" s="36"/>
      <c r="BN61" s="36"/>
      <c r="BO61" s="36" t="s">
        <v>20</v>
      </c>
      <c r="BP61" s="1345">
        <v>14.03</v>
      </c>
      <c r="BQ61" s="95">
        <v>121</v>
      </c>
      <c r="BR61" s="1281">
        <f t="shared" si="9"/>
        <v>2.0299999999999994</v>
      </c>
      <c r="BS61" s="1349">
        <v>12</v>
      </c>
      <c r="BT61" s="2106"/>
      <c r="BU61" s="97"/>
      <c r="BV61" s="97"/>
      <c r="BW61" s="36" t="s">
        <v>20</v>
      </c>
      <c r="BX61" s="95">
        <v>13.32</v>
      </c>
      <c r="BY61" s="95">
        <v>90</v>
      </c>
      <c r="BZ61" s="1281">
        <f t="shared" si="10"/>
        <v>1.3200000000000003</v>
      </c>
      <c r="CB61" s="95"/>
      <c r="CC61" s="95"/>
      <c r="CD61" s="36" t="s">
        <v>20</v>
      </c>
      <c r="CE61" s="1345">
        <v>13.78</v>
      </c>
      <c r="CF61" s="95">
        <v>115</v>
      </c>
      <c r="CG61" s="1335">
        <f t="shared" si="18"/>
        <v>1.7799999999999994</v>
      </c>
      <c r="CI61" s="742"/>
      <c r="CJ61" s="742"/>
      <c r="CK61" s="1334" t="s">
        <v>20</v>
      </c>
      <c r="CL61" s="1265">
        <v>13.330708661417322</v>
      </c>
      <c r="CM61" s="1266">
        <v>127</v>
      </c>
      <c r="CN61" s="1335">
        <f t="shared" si="11"/>
        <v>1.3307086614173222</v>
      </c>
      <c r="CP61" s="1336"/>
      <c r="CQ61" s="1336"/>
      <c r="CR61" s="1337" t="s">
        <v>20</v>
      </c>
      <c r="CS61" s="1338">
        <v>117</v>
      </c>
      <c r="CT61" s="1339">
        <v>13.401709401709402</v>
      </c>
      <c r="CU61" s="1281">
        <f t="shared" si="12"/>
        <v>1.4017094017094021</v>
      </c>
      <c r="CW61" s="1340"/>
      <c r="CX61" s="1340"/>
      <c r="CY61" s="1342" t="s">
        <v>20</v>
      </c>
      <c r="CZ61" s="1343">
        <v>134</v>
      </c>
      <c r="DA61" s="1344">
        <v>13.522388059701496</v>
      </c>
      <c r="DB61" s="1341">
        <f t="shared" si="13"/>
        <v>1.5223880597014965</v>
      </c>
      <c r="DC61" s="36"/>
      <c r="DD61" s="1340"/>
      <c r="DE61" s="1340"/>
      <c r="DF61" s="1342" t="s">
        <v>20</v>
      </c>
      <c r="DG61" s="1343">
        <v>107</v>
      </c>
      <c r="DH61" s="1344">
        <v>13.560747663551401</v>
      </c>
      <c r="DI61" s="1341">
        <f t="shared" si="14"/>
        <v>1.5607476635514015</v>
      </c>
      <c r="DJ61" s="36"/>
      <c r="DK61" s="95"/>
      <c r="DL61" s="95"/>
      <c r="DM61" s="36" t="s">
        <v>20</v>
      </c>
      <c r="DN61" s="95">
        <v>116</v>
      </c>
      <c r="DO61" s="1345">
        <v>13.232758620689658</v>
      </c>
      <c r="DP61" s="1346">
        <f t="shared" si="15"/>
        <v>1.2327586206896584</v>
      </c>
      <c r="DQ61" s="36"/>
      <c r="DR61" s="1347"/>
      <c r="DS61" s="1347"/>
      <c r="DT61" s="392" t="s">
        <v>20</v>
      </c>
      <c r="DU61" s="1347">
        <v>119</v>
      </c>
      <c r="DV61" s="1348">
        <v>13.142857142857139</v>
      </c>
      <c r="DW61" s="1349">
        <v>12</v>
      </c>
      <c r="DX61" s="1667">
        <f t="shared" si="16"/>
        <v>1.1428571428571388</v>
      </c>
    </row>
    <row r="62" spans="1:128">
      <c r="A62" s="6391">
        <v>3</v>
      </c>
      <c r="B62" s="6391">
        <v>3</v>
      </c>
      <c r="C62" s="6391">
        <v>80</v>
      </c>
      <c r="D62" s="6392">
        <v>12.519439322093431</v>
      </c>
      <c r="E62" s="6391">
        <v>120</v>
      </c>
      <c r="F62" s="6076">
        <f t="shared" si="1"/>
        <v>0.51943932209343124</v>
      </c>
      <c r="G62" s="4318">
        <v>12</v>
      </c>
      <c r="I62" s="6073">
        <v>3</v>
      </c>
      <c r="J62" s="6073">
        <v>2</v>
      </c>
      <c r="K62" s="6074">
        <v>67</v>
      </c>
      <c r="L62" s="6075">
        <v>14.65079365079365</v>
      </c>
      <c r="M62" s="6073">
        <v>99</v>
      </c>
      <c r="N62" s="6076">
        <f t="shared" si="2"/>
        <v>2.6507936507936503</v>
      </c>
      <c r="O62" s="4318">
        <v>12</v>
      </c>
      <c r="Q62" s="5832">
        <v>3</v>
      </c>
      <c r="R62" s="5832">
        <v>2</v>
      </c>
      <c r="S62" s="5840">
        <v>67</v>
      </c>
      <c r="T62" s="5833">
        <v>13.229762845849802</v>
      </c>
      <c r="U62" s="5832">
        <v>99</v>
      </c>
      <c r="V62" s="1346">
        <f t="shared" si="3"/>
        <v>1.2297628458498018</v>
      </c>
      <c r="W62" s="4318">
        <v>12</v>
      </c>
      <c r="Y62" s="4316">
        <v>3</v>
      </c>
      <c r="Z62" s="4316">
        <v>2</v>
      </c>
      <c r="AA62" s="4245" t="s">
        <v>20</v>
      </c>
      <c r="AB62" s="4327">
        <v>13.681355932203392</v>
      </c>
      <c r="AC62" s="4628">
        <v>99</v>
      </c>
      <c r="AD62" s="1346">
        <f t="shared" si="4"/>
        <v>1.6813559322033917</v>
      </c>
      <c r="AE62" s="4318">
        <v>12</v>
      </c>
      <c r="AF62" s="4817"/>
      <c r="AG62" s="4316">
        <v>3</v>
      </c>
      <c r="AH62" s="4316">
        <v>2</v>
      </c>
      <c r="AI62" s="4245" t="s">
        <v>51</v>
      </c>
      <c r="AJ62" s="4327">
        <v>14.644741832241831</v>
      </c>
      <c r="AK62" s="4628">
        <v>62</v>
      </c>
      <c r="AL62" s="1346">
        <f t="shared" si="5"/>
        <v>2.6447418322418308</v>
      </c>
      <c r="AM62" s="4318">
        <v>12</v>
      </c>
      <c r="AO62" s="4237"/>
      <c r="AP62" s="4237"/>
      <c r="AQ62" s="4236" t="s">
        <v>51</v>
      </c>
      <c r="AR62" s="4237">
        <v>12.2</v>
      </c>
      <c r="AS62" s="4237">
        <v>46</v>
      </c>
      <c r="AT62" s="4294">
        <f t="shared" si="6"/>
        <v>0.19999999999999929</v>
      </c>
      <c r="AU62" s="4295">
        <v>12</v>
      </c>
      <c r="AW62" s="97"/>
      <c r="AX62" s="97"/>
      <c r="AY62" s="42" t="s">
        <v>51</v>
      </c>
      <c r="AZ62" s="97">
        <v>13.57</v>
      </c>
      <c r="BA62" s="97">
        <v>60</v>
      </c>
      <c r="BB62" s="1281">
        <f t="shared" si="7"/>
        <v>1.5700000000000003</v>
      </c>
      <c r="BC62" s="3706">
        <v>12</v>
      </c>
      <c r="BE62" s="4263"/>
      <c r="BF62" s="4263"/>
      <c r="BG62" s="4258" t="s">
        <v>51</v>
      </c>
      <c r="BH62" s="4263">
        <v>13.58</v>
      </c>
      <c r="BI62" s="4263">
        <v>59</v>
      </c>
      <c r="BJ62" s="4264">
        <f t="shared" si="8"/>
        <v>1.58</v>
      </c>
      <c r="BK62" s="4265">
        <v>12</v>
      </c>
      <c r="BM62" s="36"/>
      <c r="BN62" s="36"/>
      <c r="BO62" s="36" t="s">
        <v>51</v>
      </c>
      <c r="BP62" s="1345">
        <v>12.77</v>
      </c>
      <c r="BQ62" s="95">
        <v>44</v>
      </c>
      <c r="BR62" s="1281">
        <f t="shared" si="9"/>
        <v>0.76999999999999957</v>
      </c>
      <c r="BS62" s="1349">
        <v>12</v>
      </c>
      <c r="BT62" s="2106"/>
      <c r="BU62" s="97"/>
      <c r="BV62" s="97"/>
      <c r="BW62" s="36" t="s">
        <v>51</v>
      </c>
      <c r="BX62" s="95">
        <v>14.11</v>
      </c>
      <c r="BY62" s="95">
        <v>47</v>
      </c>
      <c r="BZ62" s="1281">
        <f t="shared" si="10"/>
        <v>2.1099999999999994</v>
      </c>
      <c r="CB62" s="95"/>
      <c r="CC62" s="95"/>
      <c r="CD62" s="36" t="s">
        <v>51</v>
      </c>
      <c r="CE62" s="1345">
        <v>13.8</v>
      </c>
      <c r="CF62" s="95">
        <v>45</v>
      </c>
      <c r="CG62" s="1335">
        <f t="shared" si="18"/>
        <v>1.8000000000000007</v>
      </c>
      <c r="CI62" s="742"/>
      <c r="CJ62" s="742"/>
      <c r="CK62" s="1334" t="s">
        <v>51</v>
      </c>
      <c r="CL62" s="1265">
        <v>13.575757575757576</v>
      </c>
      <c r="CM62" s="1266">
        <v>33</v>
      </c>
      <c r="CN62" s="1335">
        <f t="shared" si="11"/>
        <v>1.5757575757575761</v>
      </c>
      <c r="CP62" s="1336"/>
      <c r="CQ62" s="1336"/>
      <c r="CR62" s="1337" t="s">
        <v>51</v>
      </c>
      <c r="CS62" s="1338">
        <v>42</v>
      </c>
      <c r="CT62" s="1339">
        <v>13.404761904761902</v>
      </c>
      <c r="CU62" s="1281">
        <f t="shared" si="12"/>
        <v>1.4047619047619015</v>
      </c>
      <c r="CW62" s="1340"/>
      <c r="CX62" s="1340"/>
      <c r="CY62" s="1342" t="s">
        <v>51</v>
      </c>
      <c r="CZ62" s="1343">
        <v>55</v>
      </c>
      <c r="DA62" s="1344">
        <v>13.818181818181818</v>
      </c>
      <c r="DB62" s="1341">
        <f t="shared" si="13"/>
        <v>1.8181818181818183</v>
      </c>
      <c r="DC62" s="36"/>
      <c r="DD62" s="1340"/>
      <c r="DE62" s="1340"/>
      <c r="DF62" s="1342" t="s">
        <v>51</v>
      </c>
      <c r="DG62" s="1343">
        <v>46</v>
      </c>
      <c r="DH62" s="1344">
        <v>13.978260869565215</v>
      </c>
      <c r="DI62" s="1341">
        <f t="shared" si="14"/>
        <v>1.9782608695652151</v>
      </c>
      <c r="DJ62" s="36"/>
      <c r="DK62" s="95"/>
      <c r="DL62" s="95"/>
      <c r="DM62" s="36" t="s">
        <v>51</v>
      </c>
      <c r="DN62" s="95">
        <v>53</v>
      </c>
      <c r="DO62" s="1345">
        <v>13.679245283018865</v>
      </c>
      <c r="DP62" s="1346">
        <f t="shared" si="15"/>
        <v>1.6792452830188651</v>
      </c>
      <c r="DQ62" s="36"/>
      <c r="DR62" s="1347"/>
      <c r="DS62" s="1347"/>
      <c r="DT62" s="392" t="s">
        <v>51</v>
      </c>
      <c r="DU62" s="1347">
        <v>46</v>
      </c>
      <c r="DV62" s="1348">
        <v>13.695652173913041</v>
      </c>
      <c r="DW62" s="1349">
        <v>12</v>
      </c>
      <c r="DX62" s="1667">
        <f t="shared" si="16"/>
        <v>1.6956521739130412</v>
      </c>
    </row>
    <row r="63" spans="1:128">
      <c r="A63" s="6391">
        <v>3</v>
      </c>
      <c r="B63" s="6391">
        <v>4</v>
      </c>
      <c r="C63" s="6391">
        <v>85</v>
      </c>
      <c r="D63" s="6392">
        <v>13.241912744480913</v>
      </c>
      <c r="E63" s="6391">
        <v>231</v>
      </c>
      <c r="F63" s="6076">
        <f t="shared" si="1"/>
        <v>1.2419127444809135</v>
      </c>
      <c r="G63" s="4318">
        <v>12</v>
      </c>
      <c r="I63" s="6073">
        <v>3</v>
      </c>
      <c r="J63" s="6073">
        <v>2</v>
      </c>
      <c r="K63" s="6074">
        <v>101</v>
      </c>
      <c r="L63" s="6075">
        <v>14.303030303030303</v>
      </c>
      <c r="M63" s="6073">
        <v>76</v>
      </c>
      <c r="N63" s="6076">
        <f t="shared" si="2"/>
        <v>2.3030303030303028</v>
      </c>
      <c r="O63" s="4318">
        <v>12</v>
      </c>
      <c r="Q63" s="5832">
        <v>3</v>
      </c>
      <c r="R63" s="5832">
        <v>2</v>
      </c>
      <c r="S63" s="5840">
        <v>101</v>
      </c>
      <c r="T63" s="5833">
        <v>14.15369696969697</v>
      </c>
      <c r="U63" s="5832">
        <v>76</v>
      </c>
      <c r="V63" s="1346">
        <f t="shared" si="3"/>
        <v>2.1536969696969699</v>
      </c>
      <c r="W63" s="4318">
        <v>12</v>
      </c>
      <c r="Y63" s="4316">
        <v>3</v>
      </c>
      <c r="Z63" s="4316">
        <v>2</v>
      </c>
      <c r="AA63" s="4245" t="s">
        <v>51</v>
      </c>
      <c r="AB63" s="4327">
        <v>15.03003003003003</v>
      </c>
      <c r="AC63" s="4628">
        <v>72</v>
      </c>
      <c r="AD63" s="1346">
        <f t="shared" si="4"/>
        <v>3.03003003003003</v>
      </c>
      <c r="AE63" s="4318">
        <v>12</v>
      </c>
      <c r="AF63" s="4817"/>
      <c r="AG63" s="4316"/>
      <c r="AH63" s="4316"/>
      <c r="AI63" s="4246" t="s">
        <v>483</v>
      </c>
      <c r="AJ63" s="4328">
        <v>13.512752308959577</v>
      </c>
      <c r="AK63" s="4627">
        <f>SUM(AK57:AK62)</f>
        <v>941</v>
      </c>
      <c r="AL63" s="1361">
        <f t="shared" si="5"/>
        <v>1.5127523089595769</v>
      </c>
      <c r="AM63" s="4319">
        <v>12</v>
      </c>
      <c r="AO63" s="4237"/>
      <c r="AP63" s="4237"/>
      <c r="AQ63" s="4214" t="s">
        <v>483</v>
      </c>
      <c r="AR63" s="4239">
        <v>12.8</v>
      </c>
      <c r="AS63" s="4239">
        <v>864</v>
      </c>
      <c r="AT63" s="4296">
        <f t="shared" si="6"/>
        <v>0.80000000000000071</v>
      </c>
      <c r="AU63" s="4295">
        <v>12</v>
      </c>
      <c r="AW63" s="97"/>
      <c r="AX63" s="97"/>
      <c r="AY63" s="893" t="s">
        <v>483</v>
      </c>
      <c r="AZ63" s="135">
        <v>13.38</v>
      </c>
      <c r="BA63" s="135">
        <v>760</v>
      </c>
      <c r="BB63" s="1675">
        <f t="shared" si="7"/>
        <v>1.3800000000000008</v>
      </c>
      <c r="BC63" s="3706">
        <v>12</v>
      </c>
      <c r="BE63" s="4263"/>
      <c r="BF63" s="4263"/>
      <c r="BG63" s="4257" t="s">
        <v>483</v>
      </c>
      <c r="BH63" s="4266">
        <v>13.49</v>
      </c>
      <c r="BI63" s="4266">
        <v>751</v>
      </c>
      <c r="BJ63" s="4267">
        <f t="shared" si="8"/>
        <v>1.4900000000000002</v>
      </c>
      <c r="BK63" s="4265">
        <v>12</v>
      </c>
      <c r="BM63" s="36"/>
      <c r="BN63" s="36"/>
      <c r="BO63" s="393" t="s">
        <v>483</v>
      </c>
      <c r="BP63" s="1360">
        <v>13.91</v>
      </c>
      <c r="BQ63" s="2015">
        <v>853</v>
      </c>
      <c r="BR63" s="1675">
        <f t="shared" si="9"/>
        <v>1.9100000000000001</v>
      </c>
      <c r="BS63" s="1349">
        <v>12</v>
      </c>
      <c r="BT63" s="2106"/>
      <c r="BU63" s="97"/>
      <c r="BV63" s="97"/>
      <c r="BW63" s="393" t="s">
        <v>483</v>
      </c>
      <c r="BX63" s="86">
        <v>13.53</v>
      </c>
      <c r="BY63" s="86">
        <v>760</v>
      </c>
      <c r="BZ63" s="1675">
        <f t="shared" si="10"/>
        <v>1.5299999999999994</v>
      </c>
      <c r="CB63" s="95"/>
      <c r="CC63" s="95"/>
      <c r="CD63" s="393" t="s">
        <v>483</v>
      </c>
      <c r="CE63" s="1360">
        <v>13.54</v>
      </c>
      <c r="CF63" s="86">
        <v>865</v>
      </c>
      <c r="CG63" s="1480">
        <f t="shared" si="18"/>
        <v>1.5399999999999991</v>
      </c>
      <c r="CI63" s="742"/>
      <c r="CJ63" s="742"/>
      <c r="CK63" s="1350" t="s">
        <v>483</v>
      </c>
      <c r="CL63" s="1351">
        <v>13.508034610630425</v>
      </c>
      <c r="CM63" s="1352">
        <v>809</v>
      </c>
      <c r="CN63" s="1335">
        <f t="shared" si="11"/>
        <v>1.5080346106304248</v>
      </c>
      <c r="CP63" s="1336"/>
      <c r="CQ63" s="1336"/>
      <c r="CR63" s="1353" t="s">
        <v>483</v>
      </c>
      <c r="CS63" s="1354">
        <v>808</v>
      </c>
      <c r="CT63" s="1355">
        <v>13.331683168316831</v>
      </c>
      <c r="CU63" s="1281">
        <f t="shared" si="12"/>
        <v>1.3316831683168306</v>
      </c>
      <c r="CW63" s="1340"/>
      <c r="CX63" s="1340"/>
      <c r="CY63" s="1356" t="s">
        <v>483</v>
      </c>
      <c r="CZ63" s="1357">
        <f>SUM(CZ57:CZ62)</f>
        <v>910</v>
      </c>
      <c r="DA63" s="1358">
        <v>13.42</v>
      </c>
      <c r="DB63" s="1359">
        <f t="shared" si="13"/>
        <v>1.42</v>
      </c>
      <c r="DC63" s="36"/>
      <c r="DD63" s="1340"/>
      <c r="DE63" s="1340"/>
      <c r="DF63" s="1356" t="s">
        <v>483</v>
      </c>
      <c r="DG63" s="1357">
        <v>794</v>
      </c>
      <c r="DH63" s="1358">
        <v>13.414357682619642</v>
      </c>
      <c r="DI63" s="1359">
        <f t="shared" si="14"/>
        <v>1.4143576826196416</v>
      </c>
      <c r="DJ63" s="36"/>
      <c r="DK63" s="95"/>
      <c r="DL63" s="95"/>
      <c r="DM63" s="393" t="s">
        <v>15</v>
      </c>
      <c r="DN63" s="86">
        <v>816</v>
      </c>
      <c r="DO63" s="1360">
        <v>13.438725490196065</v>
      </c>
      <c r="DP63" s="1361">
        <f t="shared" si="15"/>
        <v>1.4387254901960649</v>
      </c>
      <c r="DQ63" s="36"/>
      <c r="DR63" s="1347"/>
      <c r="DS63" s="1347"/>
      <c r="DT63" s="1362" t="s">
        <v>15</v>
      </c>
      <c r="DU63" s="1363">
        <v>885</v>
      </c>
      <c r="DV63" s="1364">
        <v>13.503954802259878</v>
      </c>
      <c r="DW63" s="1349">
        <v>12</v>
      </c>
      <c r="DX63" s="1668">
        <f t="shared" si="16"/>
        <v>1.5039548022598783</v>
      </c>
    </row>
    <row r="64" spans="1:128">
      <c r="A64" s="6391">
        <v>3</v>
      </c>
      <c r="B64" s="6391">
        <v>4</v>
      </c>
      <c r="C64" s="6391">
        <v>86</v>
      </c>
      <c r="D64" s="6392">
        <v>9.9299924924924934</v>
      </c>
      <c r="E64" s="6391">
        <v>88</v>
      </c>
      <c r="F64" s="6076">
        <f t="shared" si="1"/>
        <v>-2.0700075075075066</v>
      </c>
      <c r="G64" s="4318">
        <v>12</v>
      </c>
      <c r="I64" s="6073"/>
      <c r="J64" s="6073"/>
      <c r="K64" s="4424" t="s">
        <v>483</v>
      </c>
      <c r="L64" s="6075">
        <v>14</v>
      </c>
      <c r="M64" s="6077">
        <f>SUM(M58:M63)</f>
        <v>888</v>
      </c>
      <c r="N64" s="6084">
        <f t="shared" si="2"/>
        <v>2</v>
      </c>
      <c r="O64" s="4319">
        <v>12</v>
      </c>
      <c r="Q64" s="5832"/>
      <c r="R64" s="5832"/>
      <c r="S64" s="4424" t="s">
        <v>483</v>
      </c>
      <c r="T64" s="5843">
        <v>13.745230583727823</v>
      </c>
      <c r="U64" s="5838">
        <f>SUM(U58:U63)</f>
        <v>888</v>
      </c>
      <c r="V64" s="1361">
        <f t="shared" si="3"/>
        <v>1.7452305837278228</v>
      </c>
      <c r="W64" s="4319">
        <v>12</v>
      </c>
      <c r="Y64" s="4316"/>
      <c r="Z64" s="4316"/>
      <c r="AA64" s="4246" t="s">
        <v>483</v>
      </c>
      <c r="AB64" s="4328">
        <v>13.789486956385129</v>
      </c>
      <c r="AC64" s="4627">
        <f>SUM(AC58:AC63)</f>
        <v>883</v>
      </c>
      <c r="AD64" s="1361">
        <f t="shared" si="4"/>
        <v>1.7894869563851294</v>
      </c>
      <c r="AE64" s="4319">
        <v>12</v>
      </c>
      <c r="AF64" s="4817"/>
      <c r="AG64" s="4316">
        <v>3</v>
      </c>
      <c r="AH64" s="4316">
        <v>3</v>
      </c>
      <c r="AI64" s="4245" t="s">
        <v>42</v>
      </c>
      <c r="AJ64" s="4327">
        <v>10.999277524982853</v>
      </c>
      <c r="AK64" s="4628">
        <v>136</v>
      </c>
      <c r="AL64" s="1346">
        <f t="shared" si="5"/>
        <v>-1.0007224750171471</v>
      </c>
      <c r="AM64" s="4318">
        <v>12</v>
      </c>
      <c r="AO64" s="4237"/>
      <c r="AP64" s="4237" t="s">
        <v>41</v>
      </c>
      <c r="AQ64" s="4236" t="s">
        <v>42</v>
      </c>
      <c r="AR64" s="4237">
        <v>10.24</v>
      </c>
      <c r="AS64" s="4237">
        <v>106</v>
      </c>
      <c r="AT64" s="4294">
        <f t="shared" si="6"/>
        <v>-1.7599999999999998</v>
      </c>
      <c r="AU64" s="4295">
        <v>12</v>
      </c>
      <c r="AW64" s="97"/>
      <c r="AX64" s="97" t="s">
        <v>41</v>
      </c>
      <c r="AY64" s="42" t="s">
        <v>42</v>
      </c>
      <c r="AZ64" s="97">
        <v>13.06</v>
      </c>
      <c r="BA64" s="97">
        <v>130</v>
      </c>
      <c r="BB64" s="1281">
        <f t="shared" si="7"/>
        <v>1.0600000000000005</v>
      </c>
      <c r="BC64" s="3706">
        <v>12</v>
      </c>
      <c r="BE64" s="4263"/>
      <c r="BF64" s="4263" t="s">
        <v>41</v>
      </c>
      <c r="BG64" s="4258" t="s">
        <v>42</v>
      </c>
      <c r="BH64" s="4263">
        <v>13.17</v>
      </c>
      <c r="BI64" s="4263">
        <v>98</v>
      </c>
      <c r="BJ64" s="4264">
        <f t="shared" si="8"/>
        <v>1.17</v>
      </c>
      <c r="BK64" s="4265">
        <v>12</v>
      </c>
      <c r="BM64" s="36"/>
      <c r="BN64" s="36" t="s">
        <v>41</v>
      </c>
      <c r="BO64" s="36" t="s">
        <v>42</v>
      </c>
      <c r="BP64" s="1345">
        <v>13.56</v>
      </c>
      <c r="BQ64" s="95">
        <v>166</v>
      </c>
      <c r="BR64" s="1281">
        <f t="shared" si="9"/>
        <v>1.5600000000000005</v>
      </c>
      <c r="BS64" s="1349">
        <v>12</v>
      </c>
      <c r="BT64" s="2106"/>
      <c r="BU64" s="97"/>
      <c r="BV64" s="97" t="s">
        <v>41</v>
      </c>
      <c r="BW64" s="36" t="s">
        <v>42</v>
      </c>
      <c r="BX64" s="95">
        <v>13.64</v>
      </c>
      <c r="BY64" s="95">
        <v>160</v>
      </c>
      <c r="BZ64" s="1281">
        <f t="shared" si="10"/>
        <v>1.6400000000000006</v>
      </c>
      <c r="CB64" s="95"/>
      <c r="CC64" s="95" t="s">
        <v>41</v>
      </c>
      <c r="CD64" s="36" t="s">
        <v>42</v>
      </c>
      <c r="CE64" s="1345">
        <v>13.53</v>
      </c>
      <c r="CF64" s="95">
        <v>130</v>
      </c>
      <c r="CG64" s="1335">
        <f t="shared" si="18"/>
        <v>1.5299999999999994</v>
      </c>
      <c r="CI64" s="742"/>
      <c r="CJ64" s="742" t="s">
        <v>41</v>
      </c>
      <c r="CK64" s="1334" t="s">
        <v>42</v>
      </c>
      <c r="CL64" s="1265">
        <v>13.090090090090088</v>
      </c>
      <c r="CM64" s="1266">
        <v>111</v>
      </c>
      <c r="CN64" s="1335">
        <f t="shared" si="11"/>
        <v>1.0900900900900883</v>
      </c>
      <c r="CP64" s="1336"/>
      <c r="CQ64" s="1336" t="s">
        <v>41</v>
      </c>
      <c r="CR64" s="1337" t="s">
        <v>42</v>
      </c>
      <c r="CS64" s="1338">
        <v>160</v>
      </c>
      <c r="CT64" s="1339">
        <v>13.387500000000001</v>
      </c>
      <c r="CU64" s="1281">
        <f t="shared" si="12"/>
        <v>1.3875000000000011</v>
      </c>
      <c r="CW64" s="1340"/>
      <c r="CX64" s="1340" t="s">
        <v>41</v>
      </c>
      <c r="CY64" s="1342" t="s">
        <v>42</v>
      </c>
      <c r="CZ64" s="1343">
        <v>145</v>
      </c>
      <c r="DA64" s="1344">
        <v>13.551724137931032</v>
      </c>
      <c r="DB64" s="1341">
        <f t="shared" si="13"/>
        <v>1.551724137931032</v>
      </c>
      <c r="DC64" s="36"/>
      <c r="DD64" s="1340"/>
      <c r="DE64" s="1340" t="s">
        <v>41</v>
      </c>
      <c r="DF64" s="1342" t="s">
        <v>42</v>
      </c>
      <c r="DG64" s="1343">
        <v>151</v>
      </c>
      <c r="DH64" s="1344">
        <v>13.562913907284765</v>
      </c>
      <c r="DI64" s="1341">
        <f t="shared" si="14"/>
        <v>1.5629139072847646</v>
      </c>
      <c r="DJ64" s="36"/>
      <c r="DK64" s="95"/>
      <c r="DL64" s="95" t="s">
        <v>41</v>
      </c>
      <c r="DM64" s="36" t="s">
        <v>42</v>
      </c>
      <c r="DN64" s="95">
        <v>149</v>
      </c>
      <c r="DO64" s="1345">
        <v>13.919463087248319</v>
      </c>
      <c r="DP64" s="1346">
        <f t="shared" si="15"/>
        <v>1.9194630872483192</v>
      </c>
      <c r="DQ64" s="36"/>
      <c r="DR64" s="1347"/>
      <c r="DS64" s="1347" t="s">
        <v>41</v>
      </c>
      <c r="DT64" s="392" t="s">
        <v>42</v>
      </c>
      <c r="DU64" s="1347">
        <v>145</v>
      </c>
      <c r="DV64" s="1348">
        <v>13.089655172413794</v>
      </c>
      <c r="DW64" s="1349">
        <v>12</v>
      </c>
      <c r="DX64" s="1667">
        <f t="shared" si="16"/>
        <v>1.0896551724137939</v>
      </c>
    </row>
    <row r="65" spans="1:128">
      <c r="A65" s="6391">
        <v>3</v>
      </c>
      <c r="B65" s="6391">
        <v>4</v>
      </c>
      <c r="C65" s="6391">
        <v>87</v>
      </c>
      <c r="D65" s="6392">
        <v>13.02209595959596</v>
      </c>
      <c r="E65" s="6391">
        <v>86</v>
      </c>
      <c r="F65" s="6076">
        <f t="shared" si="1"/>
        <v>1.0220959595959602</v>
      </c>
      <c r="G65" s="4318">
        <v>12</v>
      </c>
      <c r="I65" s="6073">
        <v>3</v>
      </c>
      <c r="J65" s="6073">
        <v>3</v>
      </c>
      <c r="K65" s="6074">
        <v>73</v>
      </c>
      <c r="L65" s="6075">
        <v>13.661016949152541</v>
      </c>
      <c r="M65" s="6073">
        <v>176</v>
      </c>
      <c r="N65" s="6076">
        <f t="shared" si="2"/>
        <v>1.6610169491525415</v>
      </c>
      <c r="O65" s="4318">
        <v>12</v>
      </c>
      <c r="Q65" s="5832">
        <v>3</v>
      </c>
      <c r="R65" s="5832">
        <v>3</v>
      </c>
      <c r="S65" s="5840">
        <v>73</v>
      </c>
      <c r="T65" s="5833">
        <v>13.530161682289341</v>
      </c>
      <c r="U65" s="5832">
        <v>176</v>
      </c>
      <c r="V65" s="1346">
        <f t="shared" si="3"/>
        <v>1.5301616822893411</v>
      </c>
      <c r="W65" s="4318">
        <v>12</v>
      </c>
      <c r="Y65" s="4316">
        <v>3</v>
      </c>
      <c r="Z65" s="4316">
        <v>3</v>
      </c>
      <c r="AA65" s="4245" t="s">
        <v>42</v>
      </c>
      <c r="AB65" s="4327">
        <v>13.990422077922076</v>
      </c>
      <c r="AC65" s="4628">
        <v>121</v>
      </c>
      <c r="AD65" s="1346">
        <f t="shared" si="4"/>
        <v>1.9904220779220765</v>
      </c>
      <c r="AE65" s="4318">
        <v>12</v>
      </c>
      <c r="AF65" s="4817"/>
      <c r="AG65" s="4316">
        <v>3</v>
      </c>
      <c r="AH65" s="4316">
        <v>3</v>
      </c>
      <c r="AI65" s="4245" t="s">
        <v>52</v>
      </c>
      <c r="AJ65" s="4327">
        <v>10.630982905982908</v>
      </c>
      <c r="AK65" s="4628">
        <v>99</v>
      </c>
      <c r="AL65" s="1346">
        <f t="shared" si="5"/>
        <v>-1.3690170940170923</v>
      </c>
      <c r="AM65" s="4318">
        <v>12</v>
      </c>
      <c r="AO65" s="4237"/>
      <c r="AP65" s="4237"/>
      <c r="AQ65" s="4236" t="s">
        <v>52</v>
      </c>
      <c r="AR65" s="4237">
        <v>11.91</v>
      </c>
      <c r="AS65" s="4237">
        <v>80</v>
      </c>
      <c r="AT65" s="4294">
        <f t="shared" si="6"/>
        <v>-8.9999999999999858E-2</v>
      </c>
      <c r="AU65" s="4295">
        <v>12</v>
      </c>
      <c r="AW65" s="97"/>
      <c r="AX65" s="97"/>
      <c r="AY65" s="42" t="s">
        <v>52</v>
      </c>
      <c r="AZ65" s="97">
        <v>11.26</v>
      </c>
      <c r="BA65" s="97">
        <v>93</v>
      </c>
      <c r="BB65" s="1281">
        <f t="shared" si="7"/>
        <v>-0.74000000000000021</v>
      </c>
      <c r="BC65" s="3706">
        <v>12</v>
      </c>
      <c r="BE65" s="4263"/>
      <c r="BF65" s="4263"/>
      <c r="BG65" s="4258" t="s">
        <v>52</v>
      </c>
      <c r="BH65" s="4263">
        <v>12.64</v>
      </c>
      <c r="BI65" s="4263">
        <v>76</v>
      </c>
      <c r="BJ65" s="4264">
        <f t="shared" si="8"/>
        <v>0.64000000000000057</v>
      </c>
      <c r="BK65" s="4265">
        <v>12</v>
      </c>
      <c r="BM65" s="36"/>
      <c r="BN65" s="36"/>
      <c r="BO65" s="36" t="s">
        <v>52</v>
      </c>
      <c r="BP65" s="1345">
        <v>12.65</v>
      </c>
      <c r="BQ65" s="95">
        <v>92</v>
      </c>
      <c r="BR65" s="1281">
        <f t="shared" si="9"/>
        <v>0.65000000000000036</v>
      </c>
      <c r="BS65" s="1349">
        <v>12</v>
      </c>
      <c r="BT65" s="2106"/>
      <c r="BU65" s="97"/>
      <c r="BV65" s="97"/>
      <c r="BW65" s="36" t="s">
        <v>52</v>
      </c>
      <c r="BX65" s="95">
        <v>12.73</v>
      </c>
      <c r="BY65" s="95">
        <v>101</v>
      </c>
      <c r="BZ65" s="1281">
        <f t="shared" si="10"/>
        <v>0.73000000000000043</v>
      </c>
      <c r="CB65" s="95"/>
      <c r="CC65" s="95"/>
      <c r="CD65" s="36" t="s">
        <v>52</v>
      </c>
      <c r="CE65" s="1345">
        <v>12.89</v>
      </c>
      <c r="CF65" s="95">
        <v>101</v>
      </c>
      <c r="CG65" s="1335">
        <f t="shared" si="18"/>
        <v>0.89000000000000057</v>
      </c>
      <c r="CI65" s="742"/>
      <c r="CJ65" s="742"/>
      <c r="CK65" s="1334" t="s">
        <v>52</v>
      </c>
      <c r="CL65" s="1265">
        <v>13.064220183486242</v>
      </c>
      <c r="CM65" s="1266">
        <v>109</v>
      </c>
      <c r="CN65" s="1335">
        <f t="shared" si="11"/>
        <v>1.0642201834862419</v>
      </c>
      <c r="CP65" s="1336"/>
      <c r="CQ65" s="1336"/>
      <c r="CR65" s="1337" t="s">
        <v>52</v>
      </c>
      <c r="CS65" s="1338">
        <v>112</v>
      </c>
      <c r="CT65" s="1339">
        <v>12.732142857142859</v>
      </c>
      <c r="CU65" s="1281">
        <f t="shared" si="12"/>
        <v>0.73214285714285943</v>
      </c>
      <c r="CW65" s="1340"/>
      <c r="CX65" s="1340"/>
      <c r="CY65" s="1342" t="s">
        <v>52</v>
      </c>
      <c r="CZ65" s="1343">
        <v>126</v>
      </c>
      <c r="DA65" s="1344">
        <v>12.690476190476186</v>
      </c>
      <c r="DB65" s="1341">
        <f t="shared" si="13"/>
        <v>0.69047619047618625</v>
      </c>
      <c r="DC65" s="36"/>
      <c r="DD65" s="1340"/>
      <c r="DE65" s="1340"/>
      <c r="DF65" s="1342" t="s">
        <v>52</v>
      </c>
      <c r="DG65" s="1343">
        <v>140</v>
      </c>
      <c r="DH65" s="1344">
        <v>13.25</v>
      </c>
      <c r="DI65" s="1341">
        <f t="shared" si="14"/>
        <v>1.25</v>
      </c>
      <c r="DJ65" s="36"/>
      <c r="DK65" s="95"/>
      <c r="DL65" s="95"/>
      <c r="DM65" s="36" t="s">
        <v>52</v>
      </c>
      <c r="DN65" s="95">
        <v>112</v>
      </c>
      <c r="DO65" s="1345">
        <v>13.392857142857137</v>
      </c>
      <c r="DP65" s="1346">
        <f t="shared" si="15"/>
        <v>1.392857142857137</v>
      </c>
      <c r="DQ65" s="36"/>
      <c r="DR65" s="1347"/>
      <c r="DS65" s="1347"/>
      <c r="DT65" s="392" t="s">
        <v>52</v>
      </c>
      <c r="DU65" s="1347">
        <v>113</v>
      </c>
      <c r="DV65" s="1348">
        <v>12.805309734513271</v>
      </c>
      <c r="DW65" s="1349">
        <v>12</v>
      </c>
      <c r="DX65" s="1667">
        <f t="shared" si="16"/>
        <v>0.80530973451327093</v>
      </c>
    </row>
    <row r="66" spans="1:128">
      <c r="A66" s="6391">
        <v>3</v>
      </c>
      <c r="B66" s="6391">
        <v>4</v>
      </c>
      <c r="C66" s="6391">
        <v>88</v>
      </c>
      <c r="D66" s="6392">
        <v>12.605693489517021</v>
      </c>
      <c r="E66" s="6391">
        <v>61</v>
      </c>
      <c r="F66" s="6076">
        <f t="shared" si="1"/>
        <v>0.60569348951702118</v>
      </c>
      <c r="G66" s="4318">
        <v>12</v>
      </c>
      <c r="I66" s="6073">
        <v>3</v>
      </c>
      <c r="J66" s="6073">
        <v>3</v>
      </c>
      <c r="K66" s="6074">
        <v>74</v>
      </c>
      <c r="L66" s="6075">
        <v>12.607142857142858</v>
      </c>
      <c r="M66" s="6073">
        <v>97</v>
      </c>
      <c r="N66" s="6076">
        <f t="shared" si="2"/>
        <v>0.60714285714285765</v>
      </c>
      <c r="O66" s="4318">
        <v>12</v>
      </c>
      <c r="Q66" s="5832">
        <v>3</v>
      </c>
      <c r="R66" s="5832">
        <v>3</v>
      </c>
      <c r="S66" s="5840">
        <v>74</v>
      </c>
      <c r="T66" s="5833">
        <v>12.609448734448735</v>
      </c>
      <c r="U66" s="5832">
        <v>97</v>
      </c>
      <c r="V66" s="1346">
        <f t="shared" si="3"/>
        <v>0.60944873444873515</v>
      </c>
      <c r="W66" s="4318">
        <v>12</v>
      </c>
      <c r="Y66" s="4316">
        <v>3</v>
      </c>
      <c r="Z66" s="4316">
        <v>3</v>
      </c>
      <c r="AA66" s="4245" t="s">
        <v>52</v>
      </c>
      <c r="AB66" s="4327">
        <v>13.273333333333335</v>
      </c>
      <c r="AC66" s="4628">
        <v>75</v>
      </c>
      <c r="AD66" s="1346">
        <f t="shared" si="4"/>
        <v>1.2733333333333352</v>
      </c>
      <c r="AE66" s="4318">
        <v>12</v>
      </c>
      <c r="AF66" s="4817"/>
      <c r="AG66" s="4316">
        <v>3</v>
      </c>
      <c r="AH66" s="4316">
        <v>3</v>
      </c>
      <c r="AI66" s="4245" t="s">
        <v>53</v>
      </c>
      <c r="AJ66" s="4327">
        <v>11.301653974478654</v>
      </c>
      <c r="AK66" s="4628">
        <v>162</v>
      </c>
      <c r="AL66" s="1346">
        <f t="shared" si="5"/>
        <v>-0.69834602552134584</v>
      </c>
      <c r="AM66" s="4318">
        <v>12</v>
      </c>
      <c r="AO66" s="4237"/>
      <c r="AP66" s="4237"/>
      <c r="AQ66" s="4236" t="s">
        <v>53</v>
      </c>
      <c r="AR66" s="4237">
        <v>12.13</v>
      </c>
      <c r="AS66" s="4237">
        <v>133</v>
      </c>
      <c r="AT66" s="4294">
        <f t="shared" si="6"/>
        <v>0.13000000000000078</v>
      </c>
      <c r="AU66" s="4295">
        <v>12</v>
      </c>
      <c r="AW66" s="97"/>
      <c r="AX66" s="97"/>
      <c r="AY66" s="42" t="s">
        <v>53</v>
      </c>
      <c r="AZ66" s="97">
        <v>12.93</v>
      </c>
      <c r="BA66" s="97">
        <v>122</v>
      </c>
      <c r="BB66" s="1281">
        <f t="shared" si="7"/>
        <v>0.92999999999999972</v>
      </c>
      <c r="BC66" s="3706">
        <v>12</v>
      </c>
      <c r="BE66" s="4263"/>
      <c r="BF66" s="4263"/>
      <c r="BG66" s="4258" t="s">
        <v>53</v>
      </c>
      <c r="BH66" s="4263">
        <v>12.85</v>
      </c>
      <c r="BI66" s="4263">
        <v>101</v>
      </c>
      <c r="BJ66" s="4264">
        <f t="shared" si="8"/>
        <v>0.84999999999999964</v>
      </c>
      <c r="BK66" s="4265">
        <v>12</v>
      </c>
      <c r="BM66" s="36"/>
      <c r="BN66" s="36"/>
      <c r="BO66" s="36" t="s">
        <v>53</v>
      </c>
      <c r="BP66" s="1345">
        <v>13.15</v>
      </c>
      <c r="BQ66" s="95">
        <v>171</v>
      </c>
      <c r="BR66" s="1281">
        <f t="shared" si="9"/>
        <v>1.1500000000000004</v>
      </c>
      <c r="BS66" s="1349">
        <v>12</v>
      </c>
      <c r="BT66" s="2106"/>
      <c r="BU66" s="97"/>
      <c r="BV66" s="97"/>
      <c r="BW66" s="36" t="s">
        <v>53</v>
      </c>
      <c r="BX66" s="95">
        <v>12.99</v>
      </c>
      <c r="BY66" s="95">
        <v>137</v>
      </c>
      <c r="BZ66" s="1281">
        <f t="shared" si="10"/>
        <v>0.99000000000000021</v>
      </c>
      <c r="CB66" s="95"/>
      <c r="CC66" s="95"/>
      <c r="CD66" s="36" t="s">
        <v>53</v>
      </c>
      <c r="CE66" s="1345">
        <v>12.78</v>
      </c>
      <c r="CF66" s="95">
        <v>144</v>
      </c>
      <c r="CG66" s="1335">
        <f t="shared" si="18"/>
        <v>0.77999999999999936</v>
      </c>
      <c r="CI66" s="742"/>
      <c r="CJ66" s="742"/>
      <c r="CK66" s="1334" t="s">
        <v>53</v>
      </c>
      <c r="CL66" s="1265">
        <v>12.955128205128206</v>
      </c>
      <c r="CM66" s="1266">
        <v>156</v>
      </c>
      <c r="CN66" s="1335">
        <f t="shared" si="11"/>
        <v>0.95512820512820618</v>
      </c>
      <c r="CP66" s="1336"/>
      <c r="CQ66" s="1336"/>
      <c r="CR66" s="1337" t="s">
        <v>53</v>
      </c>
      <c r="CS66" s="1338">
        <v>145</v>
      </c>
      <c r="CT66" s="1339">
        <v>12.61379310344827</v>
      </c>
      <c r="CU66" s="1281">
        <f t="shared" si="12"/>
        <v>0.61379310344826976</v>
      </c>
      <c r="CW66" s="1340"/>
      <c r="CX66" s="1340"/>
      <c r="CY66" s="1342" t="s">
        <v>53</v>
      </c>
      <c r="CZ66" s="1343">
        <v>133</v>
      </c>
      <c r="DA66" s="1344">
        <v>12.894736842105262</v>
      </c>
      <c r="DB66" s="1341">
        <f t="shared" si="13"/>
        <v>0.89473684210526194</v>
      </c>
      <c r="DC66" s="36"/>
      <c r="DD66" s="1340"/>
      <c r="DE66" s="1340"/>
      <c r="DF66" s="1342" t="s">
        <v>53</v>
      </c>
      <c r="DG66" s="1343">
        <v>163</v>
      </c>
      <c r="DH66" s="1344">
        <v>12.76687116564417</v>
      </c>
      <c r="DI66" s="1341">
        <f t="shared" si="14"/>
        <v>0.76687116564417046</v>
      </c>
      <c r="DJ66" s="36"/>
      <c r="DK66" s="95"/>
      <c r="DL66" s="95"/>
      <c r="DM66" s="36" t="s">
        <v>53</v>
      </c>
      <c r="DN66" s="95">
        <v>153</v>
      </c>
      <c r="DO66" s="1345">
        <v>12.718954248366009</v>
      </c>
      <c r="DP66" s="1346">
        <f t="shared" si="15"/>
        <v>0.71895424836600874</v>
      </c>
      <c r="DQ66" s="36"/>
      <c r="DR66" s="1347"/>
      <c r="DS66" s="1347"/>
      <c r="DT66" s="392" t="s">
        <v>53</v>
      </c>
      <c r="DU66" s="1347">
        <v>191</v>
      </c>
      <c r="DV66" s="1348">
        <v>13.052356020942407</v>
      </c>
      <c r="DW66" s="1349">
        <v>12</v>
      </c>
      <c r="DX66" s="1667">
        <f t="shared" si="16"/>
        <v>1.0523560209424065</v>
      </c>
    </row>
    <row r="67" spans="1:128">
      <c r="A67" s="6391">
        <v>4</v>
      </c>
      <c r="B67" s="6391">
        <v>2</v>
      </c>
      <c r="C67" s="6391">
        <v>128</v>
      </c>
      <c r="D67" s="6392">
        <v>13.240476190476189</v>
      </c>
      <c r="E67" s="6391">
        <v>40</v>
      </c>
      <c r="F67" s="6076">
        <f t="shared" si="1"/>
        <v>1.2404761904761887</v>
      </c>
      <c r="G67" s="4318">
        <v>12</v>
      </c>
      <c r="I67" s="6073">
        <v>3</v>
      </c>
      <c r="J67" s="6073">
        <v>3</v>
      </c>
      <c r="K67" s="6074">
        <v>75</v>
      </c>
      <c r="L67" s="6075">
        <v>13.728070175438596</v>
      </c>
      <c r="M67" s="6073">
        <v>154</v>
      </c>
      <c r="N67" s="6076">
        <f t="shared" si="2"/>
        <v>1.7280701754385959</v>
      </c>
      <c r="O67" s="4318">
        <v>12</v>
      </c>
      <c r="Q67" s="5832">
        <v>3</v>
      </c>
      <c r="R67" s="5832">
        <v>3</v>
      </c>
      <c r="S67" s="5840">
        <v>75</v>
      </c>
      <c r="T67" s="5833">
        <v>12.734090909090909</v>
      </c>
      <c r="U67" s="5832">
        <v>154</v>
      </c>
      <c r="V67" s="1346">
        <f t="shared" si="3"/>
        <v>0.73409090909090935</v>
      </c>
      <c r="W67" s="4318">
        <v>12</v>
      </c>
      <c r="Y67" s="4316">
        <v>3</v>
      </c>
      <c r="Z67" s="4316">
        <v>3</v>
      </c>
      <c r="AA67" s="4245" t="s">
        <v>53</v>
      </c>
      <c r="AB67" s="4327">
        <v>13.146103896103895</v>
      </c>
      <c r="AC67" s="4628">
        <v>136</v>
      </c>
      <c r="AD67" s="1346">
        <f t="shared" si="4"/>
        <v>1.1461038961038952</v>
      </c>
      <c r="AE67" s="4318">
        <v>12</v>
      </c>
      <c r="AF67" s="4817"/>
      <c r="AG67" s="4316">
        <v>3</v>
      </c>
      <c r="AH67" s="4316">
        <v>3</v>
      </c>
      <c r="AI67" s="4245" t="s">
        <v>54</v>
      </c>
      <c r="AJ67" s="4327">
        <v>11.051591094091094</v>
      </c>
      <c r="AK67" s="4628">
        <v>187</v>
      </c>
      <c r="AL67" s="1346">
        <f t="shared" si="5"/>
        <v>-0.94840890590890581</v>
      </c>
      <c r="AM67" s="4318">
        <v>12</v>
      </c>
      <c r="AO67" s="4237"/>
      <c r="AP67" s="4237"/>
      <c r="AQ67" s="4236" t="s">
        <v>54</v>
      </c>
      <c r="AR67" s="4237">
        <v>11.84</v>
      </c>
      <c r="AS67" s="4237">
        <v>123</v>
      </c>
      <c r="AT67" s="4294">
        <f t="shared" si="6"/>
        <v>-0.16000000000000014</v>
      </c>
      <c r="AU67" s="4295">
        <v>12</v>
      </c>
      <c r="AW67" s="97"/>
      <c r="AX67" s="97"/>
      <c r="AY67" s="42" t="s">
        <v>54</v>
      </c>
      <c r="AZ67" s="97">
        <v>13.51</v>
      </c>
      <c r="BA67" s="97">
        <v>198</v>
      </c>
      <c r="BB67" s="1281">
        <f t="shared" si="7"/>
        <v>1.5099999999999998</v>
      </c>
      <c r="BC67" s="3706">
        <v>12</v>
      </c>
      <c r="BE67" s="4263"/>
      <c r="BF67" s="4263"/>
      <c r="BG67" s="4258" t="s">
        <v>54</v>
      </c>
      <c r="BH67" s="4263">
        <v>13.73</v>
      </c>
      <c r="BI67" s="4263">
        <v>135</v>
      </c>
      <c r="BJ67" s="4264">
        <f t="shared" si="8"/>
        <v>1.7300000000000004</v>
      </c>
      <c r="BK67" s="4265">
        <v>12</v>
      </c>
      <c r="BM67" s="36"/>
      <c r="BN67" s="36"/>
      <c r="BO67" s="36" t="s">
        <v>54</v>
      </c>
      <c r="BP67" s="1345">
        <v>13.78</v>
      </c>
      <c r="BQ67" s="95">
        <v>209</v>
      </c>
      <c r="BR67" s="1281">
        <f t="shared" si="9"/>
        <v>1.7799999999999994</v>
      </c>
      <c r="BS67" s="1349">
        <v>12</v>
      </c>
      <c r="BT67" s="2106"/>
      <c r="BU67" s="97"/>
      <c r="BV67" s="97"/>
      <c r="BW67" s="36" t="s">
        <v>54</v>
      </c>
      <c r="BX67" s="95">
        <v>14.1</v>
      </c>
      <c r="BY67" s="95">
        <v>206</v>
      </c>
      <c r="BZ67" s="1281">
        <f t="shared" si="10"/>
        <v>2.0999999999999996</v>
      </c>
      <c r="CB67" s="95"/>
      <c r="CC67" s="95"/>
      <c r="CD67" s="36" t="s">
        <v>54</v>
      </c>
      <c r="CE67" s="1345">
        <v>14.43</v>
      </c>
      <c r="CF67" s="95">
        <v>151</v>
      </c>
      <c r="CG67" s="1335">
        <f t="shared" si="18"/>
        <v>2.4299999999999997</v>
      </c>
      <c r="CI67" s="742"/>
      <c r="CJ67" s="742"/>
      <c r="CK67" s="1334" t="s">
        <v>54</v>
      </c>
      <c r="CL67" s="1265">
        <v>14.145348837209296</v>
      </c>
      <c r="CM67" s="1266">
        <v>172</v>
      </c>
      <c r="CN67" s="1335">
        <f t="shared" si="11"/>
        <v>2.1453488372092959</v>
      </c>
      <c r="CP67" s="1336"/>
      <c r="CQ67" s="1336"/>
      <c r="CR67" s="1337" t="s">
        <v>54</v>
      </c>
      <c r="CS67" s="1338">
        <v>158</v>
      </c>
      <c r="CT67" s="1339">
        <v>14.24683544303797</v>
      </c>
      <c r="CU67" s="1281">
        <f t="shared" si="12"/>
        <v>2.2468354430379698</v>
      </c>
      <c r="CW67" s="1340"/>
      <c r="CX67" s="1340"/>
      <c r="CY67" s="1342" t="s">
        <v>54</v>
      </c>
      <c r="CZ67" s="1343">
        <v>178</v>
      </c>
      <c r="DA67" s="1344">
        <v>14.174157303370796</v>
      </c>
      <c r="DB67" s="1341">
        <f t="shared" si="13"/>
        <v>2.1741573033707962</v>
      </c>
      <c r="DC67" s="36"/>
      <c r="DD67" s="1340"/>
      <c r="DE67" s="1340"/>
      <c r="DF67" s="1342" t="s">
        <v>54</v>
      </c>
      <c r="DG67" s="1343">
        <v>228</v>
      </c>
      <c r="DH67" s="1344">
        <v>14.473684210526317</v>
      </c>
      <c r="DI67" s="1341">
        <f t="shared" si="14"/>
        <v>2.4736842105263168</v>
      </c>
      <c r="DJ67" s="36"/>
      <c r="DK67" s="95"/>
      <c r="DL67" s="95"/>
      <c r="DM67" s="36" t="s">
        <v>54</v>
      </c>
      <c r="DN67" s="95">
        <v>174</v>
      </c>
      <c r="DO67" s="1345">
        <v>14.568965517241391</v>
      </c>
      <c r="DP67" s="1346">
        <f t="shared" si="15"/>
        <v>2.5689655172413914</v>
      </c>
      <c r="DQ67" s="36"/>
      <c r="DR67" s="1347"/>
      <c r="DS67" s="1347"/>
      <c r="DT67" s="392" t="s">
        <v>54</v>
      </c>
      <c r="DU67" s="1347">
        <v>204</v>
      </c>
      <c r="DV67" s="1348">
        <v>14.122549019607854</v>
      </c>
      <c r="DW67" s="1349">
        <v>12</v>
      </c>
      <c r="DX67" s="1667">
        <f t="shared" si="16"/>
        <v>2.1225490196078542</v>
      </c>
    </row>
    <row r="68" spans="1:128">
      <c r="A68" s="6391">
        <v>4</v>
      </c>
      <c r="B68" s="6391">
        <v>2</v>
      </c>
      <c r="C68" s="6391">
        <v>129</v>
      </c>
      <c r="D68" s="6392">
        <v>13.580000000000002</v>
      </c>
      <c r="E68" s="6391">
        <v>12</v>
      </c>
      <c r="F68" s="6076">
        <f t="shared" si="1"/>
        <v>1.5800000000000018</v>
      </c>
      <c r="G68" s="4318">
        <v>12</v>
      </c>
      <c r="I68" s="6073">
        <v>3</v>
      </c>
      <c r="J68" s="6073">
        <v>3</v>
      </c>
      <c r="K68" s="6074">
        <v>76</v>
      </c>
      <c r="L68" s="6075">
        <v>13.888888888888889</v>
      </c>
      <c r="M68" s="6073">
        <v>265</v>
      </c>
      <c r="N68" s="6076">
        <f t="shared" si="2"/>
        <v>1.8888888888888893</v>
      </c>
      <c r="O68" s="4318">
        <v>12</v>
      </c>
      <c r="Q68" s="5832">
        <v>3</v>
      </c>
      <c r="R68" s="5832">
        <v>3</v>
      </c>
      <c r="S68" s="5840">
        <v>76</v>
      </c>
      <c r="T68" s="5833">
        <v>14.120096763430096</v>
      </c>
      <c r="U68" s="5832">
        <v>265</v>
      </c>
      <c r="V68" s="1346">
        <f t="shared" si="3"/>
        <v>2.1200967634300962</v>
      </c>
      <c r="W68" s="4318">
        <v>12</v>
      </c>
      <c r="Y68" s="4316">
        <v>3</v>
      </c>
      <c r="Z68" s="4316">
        <v>3</v>
      </c>
      <c r="AA68" s="4245" t="s">
        <v>54</v>
      </c>
      <c r="AB68" s="4327">
        <v>14.039235190097259</v>
      </c>
      <c r="AC68" s="4628">
        <v>199</v>
      </c>
      <c r="AD68" s="1346">
        <f t="shared" si="4"/>
        <v>2.0392351900972585</v>
      </c>
      <c r="AE68" s="4318">
        <v>12</v>
      </c>
      <c r="AF68" s="4817"/>
      <c r="AG68" s="4316">
        <v>3</v>
      </c>
      <c r="AH68" s="4316">
        <v>3</v>
      </c>
      <c r="AI68" s="4245" t="s">
        <v>55</v>
      </c>
      <c r="AJ68" s="4327">
        <v>17.305728095433977</v>
      </c>
      <c r="AK68" s="4628">
        <v>180</v>
      </c>
      <c r="AL68" s="1346">
        <f t="shared" si="5"/>
        <v>5.3057280954339774</v>
      </c>
      <c r="AM68" s="4318">
        <v>12</v>
      </c>
      <c r="AO68" s="4237"/>
      <c r="AP68" s="4237"/>
      <c r="AQ68" s="4236" t="s">
        <v>55</v>
      </c>
      <c r="AR68" s="4237">
        <v>16.55</v>
      </c>
      <c r="AS68" s="4237">
        <v>119</v>
      </c>
      <c r="AT68" s="4294">
        <f t="shared" si="6"/>
        <v>4.5500000000000007</v>
      </c>
      <c r="AU68" s="4295">
        <v>12</v>
      </c>
      <c r="AW68" s="97"/>
      <c r="AX68" s="97"/>
      <c r="AY68" s="42" t="s">
        <v>55</v>
      </c>
      <c r="AZ68" s="97">
        <v>16.760000000000002</v>
      </c>
      <c r="BA68" s="97">
        <v>161</v>
      </c>
      <c r="BB68" s="1281">
        <f t="shared" si="7"/>
        <v>4.7600000000000016</v>
      </c>
      <c r="BC68" s="3706">
        <v>12</v>
      </c>
      <c r="BE68" s="4263"/>
      <c r="BF68" s="4263"/>
      <c r="BG68" s="4258" t="s">
        <v>55</v>
      </c>
      <c r="BH68" s="4263">
        <v>16.350000000000001</v>
      </c>
      <c r="BI68" s="4263">
        <v>108</v>
      </c>
      <c r="BJ68" s="4264">
        <f t="shared" si="8"/>
        <v>4.3500000000000014</v>
      </c>
      <c r="BK68" s="4265">
        <v>12</v>
      </c>
      <c r="BM68" s="36"/>
      <c r="BN68" s="36"/>
      <c r="BO68" s="36" t="s">
        <v>55</v>
      </c>
      <c r="BP68" s="1345">
        <v>16.89</v>
      </c>
      <c r="BQ68" s="95">
        <v>118</v>
      </c>
      <c r="BR68" s="1281">
        <f t="shared" si="9"/>
        <v>4.8900000000000006</v>
      </c>
      <c r="BS68" s="1349">
        <v>12</v>
      </c>
      <c r="BT68" s="2106"/>
      <c r="BU68" s="97"/>
      <c r="BV68" s="97"/>
      <c r="BW68" s="36" t="s">
        <v>55</v>
      </c>
      <c r="BX68" s="95">
        <v>14.89</v>
      </c>
      <c r="BY68" s="95">
        <v>116</v>
      </c>
      <c r="BZ68" s="1281">
        <f t="shared" si="10"/>
        <v>2.8900000000000006</v>
      </c>
      <c r="CB68" s="95"/>
      <c r="CC68" s="95"/>
      <c r="CD68" s="36" t="s">
        <v>55</v>
      </c>
      <c r="CE68" s="1345">
        <v>13.85</v>
      </c>
      <c r="CF68" s="95">
        <v>182</v>
      </c>
      <c r="CG68" s="1335">
        <f t="shared" si="18"/>
        <v>1.8499999999999996</v>
      </c>
      <c r="CI68" s="742"/>
      <c r="CJ68" s="742"/>
      <c r="CK68" s="1334" t="s">
        <v>55</v>
      </c>
      <c r="CL68" s="1265">
        <v>14.38255033557046</v>
      </c>
      <c r="CM68" s="1266">
        <v>149</v>
      </c>
      <c r="CN68" s="1335">
        <f t="shared" si="11"/>
        <v>2.3825503355704605</v>
      </c>
      <c r="CP68" s="1336"/>
      <c r="CQ68" s="1336"/>
      <c r="CR68" s="1337" t="s">
        <v>55</v>
      </c>
      <c r="CS68" s="1338">
        <v>159</v>
      </c>
      <c r="CT68" s="1339">
        <v>14.100628930817606</v>
      </c>
      <c r="CU68" s="1281">
        <f t="shared" si="12"/>
        <v>2.1006289308176065</v>
      </c>
      <c r="CW68" s="1340"/>
      <c r="CX68" s="1340"/>
      <c r="CY68" s="1342" t="s">
        <v>55</v>
      </c>
      <c r="CZ68" s="1343">
        <v>147</v>
      </c>
      <c r="DA68" s="1344">
        <v>14.761904761904772</v>
      </c>
      <c r="DB68" s="1341">
        <f t="shared" si="13"/>
        <v>2.7619047619047716</v>
      </c>
      <c r="DC68" s="36"/>
      <c r="DD68" s="1340"/>
      <c r="DE68" s="1340"/>
      <c r="DF68" s="1342" t="s">
        <v>55</v>
      </c>
      <c r="DG68" s="1343">
        <v>151</v>
      </c>
      <c r="DH68" s="1344">
        <v>13.980132450331123</v>
      </c>
      <c r="DI68" s="1341">
        <f t="shared" si="14"/>
        <v>1.9801324503311228</v>
      </c>
      <c r="DJ68" s="36"/>
      <c r="DK68" s="95"/>
      <c r="DL68" s="95"/>
      <c r="DM68" s="36" t="s">
        <v>55</v>
      </c>
      <c r="DN68" s="95">
        <v>202</v>
      </c>
      <c r="DO68" s="1345">
        <v>14.346534653465348</v>
      </c>
      <c r="DP68" s="1346">
        <f t="shared" si="15"/>
        <v>2.3465346534653477</v>
      </c>
      <c r="DQ68" s="36"/>
      <c r="DR68" s="1347"/>
      <c r="DS68" s="1347"/>
      <c r="DT68" s="392" t="s">
        <v>55</v>
      </c>
      <c r="DU68" s="1347">
        <v>193</v>
      </c>
      <c r="DV68" s="1348">
        <v>14.310880829015549</v>
      </c>
      <c r="DW68" s="1349">
        <v>12</v>
      </c>
      <c r="DX68" s="1667">
        <f t="shared" si="16"/>
        <v>2.3108808290155487</v>
      </c>
    </row>
    <row r="69" spans="1:128">
      <c r="A69" s="6391">
        <v>4</v>
      </c>
      <c r="B69" s="6391">
        <v>2</v>
      </c>
      <c r="C69" s="6391">
        <v>135</v>
      </c>
      <c r="D69" s="6392">
        <v>16.872222222222224</v>
      </c>
      <c r="E69" s="6391">
        <v>16</v>
      </c>
      <c r="F69" s="6076">
        <f t="shared" si="1"/>
        <v>4.8722222222222236</v>
      </c>
      <c r="G69" s="4318">
        <v>12</v>
      </c>
      <c r="I69" s="6073">
        <v>3</v>
      </c>
      <c r="J69" s="6073">
        <v>3</v>
      </c>
      <c r="K69" s="6074">
        <v>77</v>
      </c>
      <c r="L69" s="6075">
        <v>16.605042016806724</v>
      </c>
      <c r="M69" s="6073">
        <v>188</v>
      </c>
      <c r="N69" s="6076">
        <f t="shared" si="2"/>
        <v>1.6050420168067241</v>
      </c>
      <c r="O69" s="4318">
        <v>15</v>
      </c>
      <c r="Q69" s="5832">
        <v>3</v>
      </c>
      <c r="R69" s="5832">
        <v>3</v>
      </c>
      <c r="S69" s="5840">
        <v>77</v>
      </c>
      <c r="T69" s="5833">
        <v>16.059359605911332</v>
      </c>
      <c r="U69" s="5832">
        <v>188</v>
      </c>
      <c r="V69" s="1346">
        <f t="shared" si="3"/>
        <v>4.0593596059113324</v>
      </c>
      <c r="W69" s="4318">
        <v>12</v>
      </c>
      <c r="Y69" s="4316">
        <v>3</v>
      </c>
      <c r="Z69" s="4316">
        <v>3</v>
      </c>
      <c r="AA69" s="4245" t="s">
        <v>55</v>
      </c>
      <c r="AB69" s="4327">
        <v>16.111645299145298</v>
      </c>
      <c r="AC69" s="4628">
        <v>123</v>
      </c>
      <c r="AD69" s="1346">
        <f t="shared" si="4"/>
        <v>4.1116452991452981</v>
      </c>
      <c r="AE69" s="4318">
        <v>12</v>
      </c>
      <c r="AF69" s="4817"/>
      <c r="AG69" s="4316">
        <v>3</v>
      </c>
      <c r="AH69" s="4316">
        <v>3</v>
      </c>
      <c r="AI69" s="4245" t="s">
        <v>56</v>
      </c>
      <c r="AJ69" s="4327">
        <v>12.141310160427809</v>
      </c>
      <c r="AK69" s="4628">
        <v>102</v>
      </c>
      <c r="AL69" s="1346">
        <f t="shared" si="5"/>
        <v>0.14131016042780864</v>
      </c>
      <c r="AM69" s="4318">
        <v>12</v>
      </c>
      <c r="AO69" s="4237"/>
      <c r="AP69" s="4237"/>
      <c r="AQ69" s="4236" t="s">
        <v>56</v>
      </c>
      <c r="AR69" s="4237">
        <v>11.61</v>
      </c>
      <c r="AS69" s="4237">
        <v>76</v>
      </c>
      <c r="AT69" s="4294">
        <f t="shared" si="6"/>
        <v>-0.39000000000000057</v>
      </c>
      <c r="AU69" s="4295">
        <v>12</v>
      </c>
      <c r="AW69" s="97"/>
      <c r="AX69" s="97"/>
      <c r="AY69" s="42" t="s">
        <v>56</v>
      </c>
      <c r="AZ69" s="97">
        <v>12.86</v>
      </c>
      <c r="BA69" s="97">
        <v>112</v>
      </c>
      <c r="BB69" s="1281">
        <f t="shared" si="7"/>
        <v>0.85999999999999943</v>
      </c>
      <c r="BC69" s="3706">
        <v>12</v>
      </c>
      <c r="BE69" s="4263"/>
      <c r="BF69" s="4263"/>
      <c r="BG69" s="4258" t="s">
        <v>56</v>
      </c>
      <c r="BH69" s="4263">
        <v>13.24</v>
      </c>
      <c r="BI69" s="4263">
        <v>92</v>
      </c>
      <c r="BJ69" s="4264">
        <f t="shared" si="8"/>
        <v>1.2400000000000002</v>
      </c>
      <c r="BK69" s="4265">
        <v>12</v>
      </c>
      <c r="BM69" s="36"/>
      <c r="BN69" s="36"/>
      <c r="BO69" s="36" t="s">
        <v>56</v>
      </c>
      <c r="BP69" s="1345">
        <v>13.16</v>
      </c>
      <c r="BQ69" s="95">
        <v>94</v>
      </c>
      <c r="BR69" s="1281">
        <f t="shared" si="9"/>
        <v>1.1600000000000001</v>
      </c>
      <c r="BS69" s="1349">
        <v>12</v>
      </c>
      <c r="BT69" s="2106"/>
      <c r="BU69" s="97"/>
      <c r="BV69" s="97"/>
      <c r="BW69" s="36" t="s">
        <v>56</v>
      </c>
      <c r="BX69" s="95">
        <v>13.45</v>
      </c>
      <c r="BY69" s="95">
        <v>104</v>
      </c>
      <c r="BZ69" s="1281">
        <f t="shared" si="10"/>
        <v>1.4499999999999993</v>
      </c>
      <c r="CB69" s="95"/>
      <c r="CC69" s="95"/>
      <c r="CD69" s="36" t="s">
        <v>56</v>
      </c>
      <c r="CE69" s="1345">
        <v>13.28</v>
      </c>
      <c r="CF69" s="95">
        <v>119</v>
      </c>
      <c r="CG69" s="1335">
        <f t="shared" si="18"/>
        <v>1.2799999999999994</v>
      </c>
      <c r="CI69" s="742"/>
      <c r="CJ69" s="742"/>
      <c r="CK69" s="1334" t="s">
        <v>56</v>
      </c>
      <c r="CL69" s="1265">
        <v>13.09448818897638</v>
      </c>
      <c r="CM69" s="1266">
        <v>127</v>
      </c>
      <c r="CN69" s="1335">
        <f t="shared" si="11"/>
        <v>1.0944881889763796</v>
      </c>
      <c r="CP69" s="1336"/>
      <c r="CQ69" s="1336"/>
      <c r="CR69" s="1337" t="s">
        <v>56</v>
      </c>
      <c r="CS69" s="1338">
        <v>110</v>
      </c>
      <c r="CT69" s="1339">
        <v>13.127272727272727</v>
      </c>
      <c r="CU69" s="1281">
        <f t="shared" si="12"/>
        <v>1.127272727272727</v>
      </c>
      <c r="CW69" s="1340"/>
      <c r="CX69" s="1340"/>
      <c r="CY69" s="1342" t="s">
        <v>56</v>
      </c>
      <c r="CZ69" s="1343">
        <v>113</v>
      </c>
      <c r="DA69" s="1344">
        <v>13.690265486725663</v>
      </c>
      <c r="DB69" s="1341">
        <f t="shared" si="13"/>
        <v>1.6902654867256626</v>
      </c>
      <c r="DC69" s="36"/>
      <c r="DD69" s="1340"/>
      <c r="DE69" s="1340"/>
      <c r="DF69" s="1342" t="s">
        <v>56</v>
      </c>
      <c r="DG69" s="1343">
        <v>111</v>
      </c>
      <c r="DH69" s="1344">
        <v>13.198198198198201</v>
      </c>
      <c r="DI69" s="1341">
        <f t="shared" si="14"/>
        <v>1.1981981981982006</v>
      </c>
      <c r="DJ69" s="36"/>
      <c r="DK69" s="95"/>
      <c r="DL69" s="95"/>
      <c r="DM69" s="36" t="s">
        <v>56</v>
      </c>
      <c r="DN69" s="95">
        <v>84</v>
      </c>
      <c r="DO69" s="1345">
        <v>13.16666666666667</v>
      </c>
      <c r="DP69" s="1346">
        <f t="shared" si="15"/>
        <v>1.1666666666666696</v>
      </c>
      <c r="DQ69" s="36"/>
      <c r="DR69" s="1347"/>
      <c r="DS69" s="1347"/>
      <c r="DT69" s="392" t="s">
        <v>56</v>
      </c>
      <c r="DU69" s="1347">
        <v>69</v>
      </c>
      <c r="DV69" s="1348">
        <v>13.434782608695652</v>
      </c>
      <c r="DW69" s="1349">
        <v>12</v>
      </c>
      <c r="DX69" s="1667">
        <f t="shared" si="16"/>
        <v>1.4347826086956523</v>
      </c>
    </row>
    <row r="70" spans="1:128">
      <c r="A70" s="6391">
        <v>4</v>
      </c>
      <c r="B70" s="6391">
        <v>2</v>
      </c>
      <c r="C70" s="6391">
        <v>136</v>
      </c>
      <c r="D70" s="6392">
        <v>18.672222222222221</v>
      </c>
      <c r="E70" s="6391">
        <v>16</v>
      </c>
      <c r="F70" s="6076">
        <f t="shared" si="1"/>
        <v>6.6722222222222207</v>
      </c>
      <c r="G70" s="4318">
        <v>12</v>
      </c>
      <c r="I70" s="6073">
        <v>3</v>
      </c>
      <c r="J70" s="6073">
        <v>3</v>
      </c>
      <c r="K70" s="6074">
        <v>78</v>
      </c>
      <c r="L70" s="6075">
        <v>13.183098591549296</v>
      </c>
      <c r="M70" s="6073">
        <v>116</v>
      </c>
      <c r="N70" s="6076">
        <f t="shared" si="2"/>
        <v>1.183098591549296</v>
      </c>
      <c r="O70" s="4318">
        <v>12</v>
      </c>
      <c r="Q70" s="5832">
        <v>3</v>
      </c>
      <c r="R70" s="5832">
        <v>3</v>
      </c>
      <c r="S70" s="5840">
        <v>78</v>
      </c>
      <c r="T70" s="5833">
        <v>12.728794273419398</v>
      </c>
      <c r="U70" s="5832">
        <v>116</v>
      </c>
      <c r="V70" s="1346">
        <f t="shared" si="3"/>
        <v>0.72879427341939795</v>
      </c>
      <c r="W70" s="4318">
        <v>12</v>
      </c>
      <c r="Y70" s="4316">
        <v>3</v>
      </c>
      <c r="Z70" s="4316">
        <v>3</v>
      </c>
      <c r="AA70" s="4245" t="s">
        <v>56</v>
      </c>
      <c r="AB70" s="4327">
        <v>12.891523867809056</v>
      </c>
      <c r="AC70" s="4628">
        <v>85</v>
      </c>
      <c r="AD70" s="1346">
        <f t="shared" si="4"/>
        <v>0.89152386780905601</v>
      </c>
      <c r="AE70" s="4318">
        <v>12</v>
      </c>
      <c r="AF70" s="4817"/>
      <c r="AG70" s="4316">
        <v>3</v>
      </c>
      <c r="AH70" s="4316">
        <v>3</v>
      </c>
      <c r="AI70" s="4245" t="s">
        <v>255</v>
      </c>
      <c r="AJ70" s="4327">
        <v>15.401967059225123</v>
      </c>
      <c r="AK70" s="4628">
        <v>132</v>
      </c>
      <c r="AL70" s="1346">
        <f t="shared" si="5"/>
        <v>0.40196705922512344</v>
      </c>
      <c r="AM70" s="4318">
        <v>15</v>
      </c>
      <c r="AO70" s="4237"/>
      <c r="AP70" s="4237"/>
      <c r="AQ70" s="4236" t="s">
        <v>255</v>
      </c>
      <c r="AR70" s="4237">
        <v>15.52</v>
      </c>
      <c r="AS70" s="4237">
        <v>132</v>
      </c>
      <c r="AT70" s="4294">
        <f t="shared" si="6"/>
        <v>0.51999999999999957</v>
      </c>
      <c r="AU70" s="4295">
        <v>15</v>
      </c>
      <c r="AW70" s="97"/>
      <c r="AX70" s="97"/>
      <c r="AY70" s="42" t="s">
        <v>255</v>
      </c>
      <c r="AZ70" s="97">
        <v>15.9</v>
      </c>
      <c r="BA70" s="97">
        <v>120</v>
      </c>
      <c r="BB70" s="1281">
        <f t="shared" si="7"/>
        <v>0.90000000000000036</v>
      </c>
      <c r="BC70" s="3706">
        <v>15</v>
      </c>
      <c r="BE70" s="4263"/>
      <c r="BF70" s="4263"/>
      <c r="BG70" s="4258" t="s">
        <v>255</v>
      </c>
      <c r="BH70" s="4263">
        <v>15.9</v>
      </c>
      <c r="BI70" s="4263">
        <v>120</v>
      </c>
      <c r="BJ70" s="4264">
        <f t="shared" si="8"/>
        <v>0.90000000000000036</v>
      </c>
      <c r="BK70" s="4265">
        <v>15</v>
      </c>
      <c r="BM70" s="36"/>
      <c r="BN70" s="36"/>
      <c r="BO70" s="36" t="s">
        <v>255</v>
      </c>
      <c r="BP70" s="1345">
        <v>16.77</v>
      </c>
      <c r="BQ70" s="95">
        <v>131</v>
      </c>
      <c r="BR70" s="1281">
        <f t="shared" si="9"/>
        <v>1.7699999999999996</v>
      </c>
      <c r="BS70" s="1349">
        <v>15</v>
      </c>
      <c r="BT70" s="2106"/>
      <c r="BU70" s="97"/>
      <c r="BV70" s="97"/>
      <c r="BW70" s="36" t="s">
        <v>255</v>
      </c>
      <c r="BX70" s="95">
        <v>16.75</v>
      </c>
      <c r="BY70" s="95">
        <v>151</v>
      </c>
      <c r="BZ70" s="1281">
        <f t="shared" si="10"/>
        <v>1.75</v>
      </c>
      <c r="CB70" s="95"/>
      <c r="CC70" s="95"/>
      <c r="CD70" s="36" t="s">
        <v>255</v>
      </c>
      <c r="CE70" s="1345">
        <v>16.82</v>
      </c>
      <c r="CF70" s="95">
        <v>131</v>
      </c>
      <c r="CG70" s="1335">
        <f t="shared" ref="CG70:CG92" si="19">CE70-DW70</f>
        <v>1.8200000000000003</v>
      </c>
      <c r="CI70" s="742"/>
      <c r="CJ70" s="742"/>
      <c r="CK70" s="1334" t="s">
        <v>255</v>
      </c>
      <c r="CL70" s="1265">
        <v>16.569148936170201</v>
      </c>
      <c r="CM70" s="1266">
        <v>188</v>
      </c>
      <c r="CN70" s="1335">
        <f t="shared" si="11"/>
        <v>1.5691489361702011</v>
      </c>
      <c r="CP70" s="1336"/>
      <c r="CQ70" s="1336"/>
      <c r="CR70" s="1337" t="s">
        <v>255</v>
      </c>
      <c r="CS70" s="1338">
        <v>168</v>
      </c>
      <c r="CT70" s="1339">
        <v>16.976190476190471</v>
      </c>
      <c r="CU70" s="1281">
        <f>CT70-15</f>
        <v>1.9761904761904709</v>
      </c>
      <c r="CW70" s="1340"/>
      <c r="CX70" s="1340"/>
      <c r="CY70" s="1342" t="s">
        <v>255</v>
      </c>
      <c r="CZ70" s="1343">
        <v>180</v>
      </c>
      <c r="DA70" s="1344">
        <v>16.694444444444446</v>
      </c>
      <c r="DB70" s="1341">
        <f>+DA70-15</f>
        <v>1.6944444444444464</v>
      </c>
      <c r="DC70" s="36"/>
      <c r="DD70" s="1340"/>
      <c r="DE70" s="1340"/>
      <c r="DF70" s="1342" t="s">
        <v>255</v>
      </c>
      <c r="DG70" s="1343">
        <v>134</v>
      </c>
      <c r="DH70" s="1344">
        <v>16.485074626865675</v>
      </c>
      <c r="DI70" s="1341">
        <f>+DH70-15</f>
        <v>1.4850746268656749</v>
      </c>
      <c r="DJ70" s="36"/>
      <c r="DK70" s="95"/>
      <c r="DL70" s="95"/>
      <c r="DM70" s="36" t="s">
        <v>255</v>
      </c>
      <c r="DN70" s="95">
        <v>164</v>
      </c>
      <c r="DO70" s="1345">
        <v>16.225609756097558</v>
      </c>
      <c r="DP70" s="1346">
        <f>+DO70-15</f>
        <v>1.2256097560975583</v>
      </c>
      <c r="DQ70" s="36"/>
      <c r="DR70" s="1347"/>
      <c r="DS70" s="1347"/>
      <c r="DT70" s="392" t="s">
        <v>255</v>
      </c>
      <c r="DU70" s="1347">
        <v>190</v>
      </c>
      <c r="DV70" s="1348">
        <v>16.347368421052636</v>
      </c>
      <c r="DW70" s="1349">
        <v>15</v>
      </c>
      <c r="DX70" s="1667">
        <f t="shared" si="16"/>
        <v>1.3473684210526358</v>
      </c>
    </row>
    <row r="71" spans="1:128">
      <c r="A71" s="6391">
        <v>4</v>
      </c>
      <c r="B71" s="6391">
        <v>5</v>
      </c>
      <c r="C71" s="6391">
        <v>130</v>
      </c>
      <c r="D71" s="6392">
        <v>16.276923076923076</v>
      </c>
      <c r="E71" s="6391">
        <v>27</v>
      </c>
      <c r="F71" s="6076">
        <f t="shared" ref="F71:F85" si="20">D71-G71</f>
        <v>4.2769230769230759</v>
      </c>
      <c r="G71" s="4318">
        <v>12</v>
      </c>
      <c r="I71" s="6073">
        <v>3</v>
      </c>
      <c r="J71" s="6073">
        <v>3</v>
      </c>
      <c r="K71" s="6074">
        <v>79</v>
      </c>
      <c r="L71" s="6075">
        <v>17.88</v>
      </c>
      <c r="M71" s="6073">
        <v>104</v>
      </c>
      <c r="N71" s="6076">
        <f t="shared" ref="N71:N79" si="21">L71-O71</f>
        <v>2.879999999999999</v>
      </c>
      <c r="O71" s="4319">
        <v>15</v>
      </c>
      <c r="Q71" s="5832">
        <v>3</v>
      </c>
      <c r="R71" s="5832">
        <v>3</v>
      </c>
      <c r="S71" s="5840">
        <v>79</v>
      </c>
      <c r="T71" s="5833">
        <v>21.687578735197786</v>
      </c>
      <c r="U71" s="5832">
        <v>104</v>
      </c>
      <c r="V71" s="1346">
        <f t="shared" ref="V71:V79" si="22">T71-W71</f>
        <v>6.6875787351977856</v>
      </c>
      <c r="W71" s="4319">
        <v>15</v>
      </c>
      <c r="Y71" s="4316">
        <v>3</v>
      </c>
      <c r="Z71" s="4316">
        <v>3</v>
      </c>
      <c r="AA71" s="4245" t="s">
        <v>255</v>
      </c>
      <c r="AB71" s="4327">
        <v>17.036814725890356</v>
      </c>
      <c r="AC71" s="4628">
        <v>100</v>
      </c>
      <c r="AD71" s="1346">
        <f t="shared" si="4"/>
        <v>2.0368147258903555</v>
      </c>
      <c r="AE71" s="4319">
        <v>15</v>
      </c>
      <c r="AF71" s="4817"/>
      <c r="AG71" s="4316">
        <v>3</v>
      </c>
      <c r="AH71" s="4316">
        <v>3</v>
      </c>
      <c r="AI71" s="4245" t="s">
        <v>264</v>
      </c>
      <c r="AJ71" s="4327">
        <v>10.477116466421279</v>
      </c>
      <c r="AK71" s="4628">
        <v>133</v>
      </c>
      <c r="AL71" s="1346">
        <f t="shared" ref="AL71:AL103" si="23">AJ71-AM71</f>
        <v>-1.522883533578721</v>
      </c>
      <c r="AM71" s="4318">
        <v>12</v>
      </c>
      <c r="AO71" s="4237"/>
      <c r="AP71" s="4237"/>
      <c r="AQ71" s="4236" t="s">
        <v>264</v>
      </c>
      <c r="AR71" s="4237">
        <v>11.53</v>
      </c>
      <c r="AS71" s="4237">
        <v>106</v>
      </c>
      <c r="AT71" s="4294">
        <f t="shared" ref="AT71:AT79" si="24">AR71-AU71</f>
        <v>-0.47000000000000064</v>
      </c>
      <c r="AU71" s="4295">
        <v>12</v>
      </c>
      <c r="AW71" s="97"/>
      <c r="AX71" s="97"/>
      <c r="AY71" s="42" t="s">
        <v>264</v>
      </c>
      <c r="AZ71" s="97">
        <v>11.83</v>
      </c>
      <c r="BA71" s="97">
        <v>120</v>
      </c>
      <c r="BB71" s="1281">
        <f t="shared" ref="BB71:BB79" si="25">AZ71-BC71</f>
        <v>-0.16999999999999993</v>
      </c>
      <c r="BC71" s="3706">
        <v>12</v>
      </c>
      <c r="BE71" s="4263"/>
      <c r="BF71" s="4263"/>
      <c r="BG71" s="4258" t="s">
        <v>264</v>
      </c>
      <c r="BH71" s="4263">
        <v>12.76</v>
      </c>
      <c r="BI71" s="4263">
        <v>99</v>
      </c>
      <c r="BJ71" s="4264">
        <f t="shared" ref="BJ71:BJ79" si="26">BH71-BK71</f>
        <v>0.75999999999999979</v>
      </c>
      <c r="BK71" s="4265">
        <v>12</v>
      </c>
      <c r="BM71" s="36"/>
      <c r="BN71" s="36"/>
      <c r="BO71" s="36" t="s">
        <v>264</v>
      </c>
      <c r="BP71" s="1345">
        <v>12.73</v>
      </c>
      <c r="BQ71" s="95">
        <v>123</v>
      </c>
      <c r="BR71" s="1281">
        <f t="shared" ref="BR71:BR101" si="27">BP71-BS71</f>
        <v>0.73000000000000043</v>
      </c>
      <c r="BS71" s="1349">
        <v>12</v>
      </c>
      <c r="BT71" s="2106"/>
      <c r="BU71" s="97"/>
      <c r="BV71" s="97"/>
      <c r="BW71" s="36" t="s">
        <v>264</v>
      </c>
      <c r="BX71" s="95">
        <v>12.87</v>
      </c>
      <c r="BY71" s="95">
        <v>146</v>
      </c>
      <c r="BZ71" s="1281">
        <f t="shared" ref="BZ71:BZ101" si="28">BX71-DW71</f>
        <v>0.86999999999999922</v>
      </c>
      <c r="CB71" s="95"/>
      <c r="CC71" s="95"/>
      <c r="CD71" s="36" t="s">
        <v>264</v>
      </c>
      <c r="CE71" s="1345">
        <v>12.71</v>
      </c>
      <c r="CF71" s="95">
        <v>112</v>
      </c>
      <c r="CG71" s="1335">
        <f t="shared" si="19"/>
        <v>0.71000000000000085</v>
      </c>
      <c r="CI71" s="742"/>
      <c r="CJ71" s="742"/>
      <c r="CK71" s="1334" t="s">
        <v>264</v>
      </c>
      <c r="CL71" s="1265">
        <v>13.328244274809164</v>
      </c>
      <c r="CM71" s="1266">
        <v>131</v>
      </c>
      <c r="CN71" s="1335">
        <f t="shared" ref="CN71:CN92" si="29">CL71-DW71</f>
        <v>1.3282442748091636</v>
      </c>
      <c r="CP71" s="1336"/>
      <c r="CQ71" s="1336"/>
      <c r="CR71" s="1337" t="s">
        <v>264</v>
      </c>
      <c r="CS71" s="1338">
        <v>115</v>
      </c>
      <c r="CT71" s="1339">
        <v>12.834782608695651</v>
      </c>
      <c r="CU71" s="1281">
        <f t="shared" ref="CU71:CU92" si="30">CT71-12</f>
        <v>0.83478260869565091</v>
      </c>
      <c r="CW71" s="1340"/>
      <c r="CX71" s="1340"/>
      <c r="CY71" s="1342" t="s">
        <v>264</v>
      </c>
      <c r="CZ71" s="1343">
        <v>123</v>
      </c>
      <c r="DA71" s="1344">
        <v>12.934959349593493</v>
      </c>
      <c r="DB71" s="1341">
        <f t="shared" ref="DB71:DB91" si="31">+DA71-12</f>
        <v>0.93495934959349292</v>
      </c>
      <c r="DC71" s="36"/>
      <c r="DD71" s="1340"/>
      <c r="DE71" s="1340"/>
      <c r="DF71" s="1342" t="s">
        <v>264</v>
      </c>
      <c r="DG71" s="1343">
        <v>107</v>
      </c>
      <c r="DH71" s="1344">
        <v>12.747663551401869</v>
      </c>
      <c r="DI71" s="1341">
        <f t="shared" ref="DI71:DI91" si="32">+DH71-12</f>
        <v>0.74766355140186924</v>
      </c>
      <c r="DJ71" s="36"/>
      <c r="DK71" s="95"/>
      <c r="DL71" s="95"/>
      <c r="DM71" s="36" t="s">
        <v>264</v>
      </c>
      <c r="DN71" s="95">
        <v>122</v>
      </c>
      <c r="DO71" s="1345">
        <v>13.081967213114753</v>
      </c>
      <c r="DP71" s="1346">
        <f t="shared" ref="DP71:DP90" si="33">+DO71-12</f>
        <v>1.0819672131147531</v>
      </c>
      <c r="DQ71" s="36"/>
      <c r="DR71" s="1347"/>
      <c r="DS71" s="1347"/>
      <c r="DT71" s="392" t="s">
        <v>57</v>
      </c>
      <c r="DU71" s="1347">
        <v>85</v>
      </c>
      <c r="DV71" s="1348">
        <v>11.952941176470585</v>
      </c>
      <c r="DW71" s="1349">
        <v>12</v>
      </c>
      <c r="DX71" s="1667">
        <f t="shared" ref="DX71:DX90" si="34">DV71-DW71</f>
        <v>-4.705882352941515E-2</v>
      </c>
    </row>
    <row r="72" spans="1:128">
      <c r="A72" s="6391">
        <v>4</v>
      </c>
      <c r="B72" s="6391">
        <v>5</v>
      </c>
      <c r="C72" s="6391">
        <v>137</v>
      </c>
      <c r="D72" s="6392">
        <v>18.763888888888889</v>
      </c>
      <c r="E72" s="6391">
        <v>16</v>
      </c>
      <c r="F72" s="6076">
        <f t="shared" si="20"/>
        <v>6.7638888888888893</v>
      </c>
      <c r="G72" s="4318">
        <v>12</v>
      </c>
      <c r="I72" s="6073">
        <v>3</v>
      </c>
      <c r="J72" s="6073">
        <v>3</v>
      </c>
      <c r="K72" s="6074">
        <v>80</v>
      </c>
      <c r="L72" s="6075">
        <v>13.393617021276595</v>
      </c>
      <c r="M72" s="6073">
        <v>122</v>
      </c>
      <c r="N72" s="6076">
        <f t="shared" si="21"/>
        <v>1.3936170212765955</v>
      </c>
      <c r="O72" s="4318">
        <v>12</v>
      </c>
      <c r="Q72" s="5832">
        <v>3</v>
      </c>
      <c r="R72" s="5832">
        <v>3</v>
      </c>
      <c r="S72" s="5840">
        <v>80</v>
      </c>
      <c r="T72" s="5833">
        <v>12.869001726121979</v>
      </c>
      <c r="U72" s="5832">
        <v>122</v>
      </c>
      <c r="V72" s="1346">
        <f t="shared" si="22"/>
        <v>0.86900172612197935</v>
      </c>
      <c r="W72" s="4318">
        <v>12</v>
      </c>
      <c r="Y72" s="4316">
        <v>3</v>
      </c>
      <c r="Z72" s="4316">
        <v>3</v>
      </c>
      <c r="AA72" s="4245" t="s">
        <v>264</v>
      </c>
      <c r="AB72" s="4327">
        <v>13.35248550124275</v>
      </c>
      <c r="AC72" s="4628">
        <v>99</v>
      </c>
      <c r="AD72" s="1346">
        <f t="shared" ref="AD72:AD103" si="35">AB72-AE72</f>
        <v>1.3524855012427501</v>
      </c>
      <c r="AE72" s="4318">
        <v>12</v>
      </c>
      <c r="AF72" s="4817"/>
      <c r="AG72" s="4316"/>
      <c r="AH72" s="4316"/>
      <c r="AI72" s="4246" t="s">
        <v>485</v>
      </c>
      <c r="AJ72" s="4328">
        <v>12.294692761443601</v>
      </c>
      <c r="AK72" s="4627">
        <f>SUM(AK64:AK71)</f>
        <v>1131</v>
      </c>
      <c r="AL72" s="1361">
        <f t="shared" si="23"/>
        <v>0.29469276144360101</v>
      </c>
      <c r="AM72" s="4319">
        <v>12</v>
      </c>
      <c r="AO72" s="4237"/>
      <c r="AP72" s="4237"/>
      <c r="AQ72" s="4214" t="s">
        <v>485</v>
      </c>
      <c r="AR72" s="4239">
        <v>12.83</v>
      </c>
      <c r="AS72" s="4239">
        <v>875</v>
      </c>
      <c r="AT72" s="4296">
        <f t="shared" si="24"/>
        <v>0.83000000000000007</v>
      </c>
      <c r="AU72" s="4295">
        <v>12</v>
      </c>
      <c r="AW72" s="97"/>
      <c r="AX72" s="97"/>
      <c r="AY72" s="893" t="s">
        <v>485</v>
      </c>
      <c r="AZ72" s="135">
        <v>13.7</v>
      </c>
      <c r="BA72" s="135">
        <v>1056</v>
      </c>
      <c r="BB72" s="1675">
        <f t="shared" si="25"/>
        <v>1.6999999999999993</v>
      </c>
      <c r="BC72" s="3706">
        <v>12</v>
      </c>
      <c r="BE72" s="4263"/>
      <c r="BF72" s="4263"/>
      <c r="BG72" s="4257" t="s">
        <v>485</v>
      </c>
      <c r="BH72" s="4266">
        <v>13.94</v>
      </c>
      <c r="BI72" s="4266">
        <v>829</v>
      </c>
      <c r="BJ72" s="4267">
        <f t="shared" si="26"/>
        <v>1.9399999999999995</v>
      </c>
      <c r="BK72" s="4265">
        <v>12</v>
      </c>
      <c r="BM72" s="36"/>
      <c r="BN72" s="36"/>
      <c r="BO72" s="393" t="s">
        <v>485</v>
      </c>
      <c r="BP72" s="1360">
        <v>14.07</v>
      </c>
      <c r="BQ72" s="2015">
        <v>1104</v>
      </c>
      <c r="BR72" s="1675">
        <f t="shared" si="27"/>
        <v>2.0700000000000003</v>
      </c>
      <c r="BS72" s="1349">
        <v>12</v>
      </c>
      <c r="BT72" s="2106"/>
      <c r="BU72" s="97"/>
      <c r="BV72" s="97"/>
      <c r="BW72" s="393" t="s">
        <v>485</v>
      </c>
      <c r="BX72" s="86">
        <v>13.99</v>
      </c>
      <c r="BY72" s="86">
        <v>1121</v>
      </c>
      <c r="BZ72" s="1675">
        <f t="shared" si="28"/>
        <v>1.9900000000000002</v>
      </c>
      <c r="CB72" s="95"/>
      <c r="CC72" s="95"/>
      <c r="CD72" s="393" t="s">
        <v>485</v>
      </c>
      <c r="CE72" s="1360">
        <v>13.84</v>
      </c>
      <c r="CF72" s="86">
        <v>1070</v>
      </c>
      <c r="CG72" s="1480">
        <f t="shared" si="19"/>
        <v>1.8399999999999999</v>
      </c>
      <c r="CI72" s="742"/>
      <c r="CJ72" s="742"/>
      <c r="CK72" s="1350" t="s">
        <v>485</v>
      </c>
      <c r="CL72" s="1351">
        <v>13.996500437445308</v>
      </c>
      <c r="CM72" s="1352">
        <v>1143</v>
      </c>
      <c r="CN72" s="1335">
        <f t="shared" si="29"/>
        <v>1.9965004374453077</v>
      </c>
      <c r="CP72" s="1336"/>
      <c r="CQ72" s="1336"/>
      <c r="CR72" s="1353" t="s">
        <v>485</v>
      </c>
      <c r="CS72" s="1354">
        <v>1127</v>
      </c>
      <c r="CT72" s="1355">
        <v>13.897071872227155</v>
      </c>
      <c r="CU72" s="1281">
        <f t="shared" si="30"/>
        <v>1.8970718722271549</v>
      </c>
      <c r="CW72" s="1340"/>
      <c r="CX72" s="1340"/>
      <c r="CY72" s="1356" t="s">
        <v>485</v>
      </c>
      <c r="CZ72" s="1357">
        <f>SUM(CZ64:CZ71)</f>
        <v>1145</v>
      </c>
      <c r="DA72" s="1358">
        <v>14.07</v>
      </c>
      <c r="DB72" s="1359">
        <f t="shared" si="31"/>
        <v>2.0700000000000003</v>
      </c>
      <c r="DC72" s="36"/>
      <c r="DD72" s="1340"/>
      <c r="DE72" s="1340"/>
      <c r="DF72" s="1356" t="s">
        <v>485</v>
      </c>
      <c r="DG72" s="1357">
        <v>1185</v>
      </c>
      <c r="DH72" s="1358">
        <v>13.867510548523214</v>
      </c>
      <c r="DI72" s="1359">
        <f t="shared" si="32"/>
        <v>1.8675105485232137</v>
      </c>
      <c r="DJ72" s="36"/>
      <c r="DK72" s="95"/>
      <c r="DL72" s="95"/>
      <c r="DM72" s="393" t="s">
        <v>15</v>
      </c>
      <c r="DN72" s="86">
        <v>1160</v>
      </c>
      <c r="DO72" s="1360">
        <v>14.065517241379318</v>
      </c>
      <c r="DP72" s="1361">
        <f t="shared" si="33"/>
        <v>2.0655172413793181</v>
      </c>
      <c r="DQ72" s="36"/>
      <c r="DR72" s="1347"/>
      <c r="DS72" s="1347"/>
      <c r="DT72" s="1362" t="s">
        <v>15</v>
      </c>
      <c r="DU72" s="1363">
        <v>1190</v>
      </c>
      <c r="DV72" s="1364">
        <v>13.890756302521012</v>
      </c>
      <c r="DW72" s="1349">
        <v>12</v>
      </c>
      <c r="DX72" s="1668">
        <f t="shared" si="34"/>
        <v>1.8907563025210123</v>
      </c>
    </row>
    <row r="73" spans="1:128">
      <c r="A73" s="6391">
        <v>4</v>
      </c>
      <c r="B73" s="6391">
        <v>5</v>
      </c>
      <c r="C73" s="6391">
        <v>138</v>
      </c>
      <c r="D73" s="6392">
        <v>13.253529411764706</v>
      </c>
      <c r="E73" s="6391">
        <v>42</v>
      </c>
      <c r="F73" s="6076">
        <f t="shared" si="20"/>
        <v>1.2535294117647062</v>
      </c>
      <c r="G73" s="4318">
        <v>12</v>
      </c>
      <c r="I73" s="6073"/>
      <c r="J73" s="6073"/>
      <c r="K73" s="6083" t="s">
        <v>485</v>
      </c>
      <c r="L73" s="6075">
        <v>14.4</v>
      </c>
      <c r="M73" s="6077">
        <f>SUM(M65:M72)</f>
        <v>1222</v>
      </c>
      <c r="N73" s="6084">
        <f t="shared" si="21"/>
        <v>2.4000000000000004</v>
      </c>
      <c r="O73" s="4319">
        <v>12</v>
      </c>
      <c r="Q73" s="5832"/>
      <c r="R73" s="5832"/>
      <c r="S73" s="5847" t="s">
        <v>485</v>
      </c>
      <c r="T73" s="5843">
        <v>14.255138932947485</v>
      </c>
      <c r="U73" s="5838">
        <f>SUM(U65:U72)</f>
        <v>1222</v>
      </c>
      <c r="V73" s="1361">
        <f t="shared" si="22"/>
        <v>2.2551389329474851</v>
      </c>
      <c r="W73" s="4319">
        <v>12</v>
      </c>
      <c r="Y73" s="4316"/>
      <c r="Z73" s="4316"/>
      <c r="AA73" s="4246" t="s">
        <v>485</v>
      </c>
      <c r="AB73" s="4328">
        <v>14.018912332432063</v>
      </c>
      <c r="AC73" s="4627">
        <f>SUM(AC65:AC72)</f>
        <v>938</v>
      </c>
      <c r="AD73" s="1361">
        <f t="shared" si="35"/>
        <v>2.0189123324320626</v>
      </c>
      <c r="AE73" s="4319">
        <v>12</v>
      </c>
      <c r="AF73" s="4817"/>
      <c r="AG73" s="4316">
        <v>3</v>
      </c>
      <c r="AH73" s="4316">
        <v>4</v>
      </c>
      <c r="AI73" s="4245" t="s">
        <v>22</v>
      </c>
      <c r="AJ73" s="4327">
        <v>12.576805086336336</v>
      </c>
      <c r="AK73" s="4624">
        <v>181</v>
      </c>
      <c r="AL73" s="1346">
        <f t="shared" si="23"/>
        <v>0.57680508633633565</v>
      </c>
      <c r="AM73" s="4318">
        <v>12</v>
      </c>
      <c r="AO73" s="4237"/>
      <c r="AP73" s="4237" t="s">
        <v>21</v>
      </c>
      <c r="AQ73" s="4236" t="s">
        <v>22</v>
      </c>
      <c r="AR73" s="4237">
        <v>13.14</v>
      </c>
      <c r="AS73" s="4237">
        <v>175</v>
      </c>
      <c r="AT73" s="4294">
        <f t="shared" si="24"/>
        <v>1.1400000000000006</v>
      </c>
      <c r="AU73" s="4295">
        <v>12</v>
      </c>
      <c r="AW73" s="97"/>
      <c r="AX73" s="97" t="s">
        <v>21</v>
      </c>
      <c r="AY73" s="42" t="s">
        <v>22</v>
      </c>
      <c r="AZ73" s="97">
        <v>13.9</v>
      </c>
      <c r="BA73" s="97">
        <v>180</v>
      </c>
      <c r="BB73" s="1281">
        <f t="shared" si="25"/>
        <v>1.9000000000000004</v>
      </c>
      <c r="BC73" s="3706">
        <v>12</v>
      </c>
      <c r="BE73" s="4263"/>
      <c r="BF73" s="4263" t="s">
        <v>21</v>
      </c>
      <c r="BG73" s="4258" t="s">
        <v>22</v>
      </c>
      <c r="BH73" s="4263">
        <v>14.25</v>
      </c>
      <c r="BI73" s="4263">
        <v>174</v>
      </c>
      <c r="BJ73" s="4264">
        <f t="shared" si="26"/>
        <v>2.25</v>
      </c>
      <c r="BK73" s="4265">
        <v>12</v>
      </c>
      <c r="BM73" s="36"/>
      <c r="BN73" s="36" t="s">
        <v>21</v>
      </c>
      <c r="BO73" s="36" t="s">
        <v>22</v>
      </c>
      <c r="BP73" s="1345">
        <v>13.96</v>
      </c>
      <c r="BQ73" s="95">
        <v>200</v>
      </c>
      <c r="BR73" s="1281">
        <f t="shared" si="27"/>
        <v>1.9600000000000009</v>
      </c>
      <c r="BS73" s="1349">
        <v>12</v>
      </c>
      <c r="BT73" s="2106"/>
      <c r="BU73" s="97"/>
      <c r="BV73" s="97" t="s">
        <v>21</v>
      </c>
      <c r="BW73" s="36" t="s">
        <v>22</v>
      </c>
      <c r="BX73" s="95">
        <v>13.78</v>
      </c>
      <c r="BY73" s="95">
        <v>161</v>
      </c>
      <c r="BZ73" s="1281">
        <f t="shared" si="28"/>
        <v>1.7799999999999994</v>
      </c>
      <c r="CB73" s="95"/>
      <c r="CC73" s="95" t="s">
        <v>21</v>
      </c>
      <c r="CD73" s="36" t="s">
        <v>22</v>
      </c>
      <c r="CE73" s="1345">
        <v>14.06</v>
      </c>
      <c r="CF73" s="95">
        <v>145</v>
      </c>
      <c r="CG73" s="1335">
        <f t="shared" si="19"/>
        <v>2.0600000000000005</v>
      </c>
      <c r="CI73" s="742"/>
      <c r="CJ73" s="742" t="s">
        <v>21</v>
      </c>
      <c r="CK73" s="1334" t="s">
        <v>22</v>
      </c>
      <c r="CL73" s="1265">
        <v>13.755952380952381</v>
      </c>
      <c r="CM73" s="1266">
        <v>168</v>
      </c>
      <c r="CN73" s="1335">
        <f t="shared" si="29"/>
        <v>1.7559523809523814</v>
      </c>
      <c r="CP73" s="1336"/>
      <c r="CQ73" s="1336" t="s">
        <v>21</v>
      </c>
      <c r="CR73" s="1337" t="s">
        <v>22</v>
      </c>
      <c r="CS73" s="1338">
        <v>209</v>
      </c>
      <c r="CT73" s="1339">
        <v>14.220095693779903</v>
      </c>
      <c r="CU73" s="1281">
        <f t="shared" si="30"/>
        <v>2.2200956937799035</v>
      </c>
      <c r="CW73" s="1340"/>
      <c r="CX73" s="1340" t="s">
        <v>21</v>
      </c>
      <c r="CY73" s="1342" t="s">
        <v>22</v>
      </c>
      <c r="CZ73" s="1343">
        <v>170</v>
      </c>
      <c r="DA73" s="1344">
        <v>14.182352941176463</v>
      </c>
      <c r="DB73" s="1341">
        <f t="shared" si="31"/>
        <v>2.1823529411764628</v>
      </c>
      <c r="DC73" s="36"/>
      <c r="DD73" s="1340"/>
      <c r="DE73" s="1340" t="s">
        <v>21</v>
      </c>
      <c r="DF73" s="1342" t="s">
        <v>22</v>
      </c>
      <c r="DG73" s="1343">
        <v>181</v>
      </c>
      <c r="DH73" s="1344">
        <v>14.292817679558013</v>
      </c>
      <c r="DI73" s="1341">
        <f t="shared" si="32"/>
        <v>2.2928176795580129</v>
      </c>
      <c r="DJ73" s="36"/>
      <c r="DK73" s="95"/>
      <c r="DL73" s="95" t="s">
        <v>21</v>
      </c>
      <c r="DM73" s="36" t="s">
        <v>22</v>
      </c>
      <c r="DN73" s="95">
        <v>189</v>
      </c>
      <c r="DO73" s="1345">
        <v>14.693121693121681</v>
      </c>
      <c r="DP73" s="1346">
        <f t="shared" si="33"/>
        <v>2.6931216931216806</v>
      </c>
      <c r="DQ73" s="36"/>
      <c r="DR73" s="1347"/>
      <c r="DS73" s="1347" t="s">
        <v>21</v>
      </c>
      <c r="DT73" s="392" t="s">
        <v>22</v>
      </c>
      <c r="DU73" s="1347">
        <v>208</v>
      </c>
      <c r="DV73" s="1348">
        <v>14.442307692307688</v>
      </c>
      <c r="DW73" s="1349">
        <v>12</v>
      </c>
      <c r="DX73" s="1667">
        <f t="shared" si="34"/>
        <v>2.4423076923076881</v>
      </c>
    </row>
    <row r="74" spans="1:128">
      <c r="A74" s="6391">
        <v>4</v>
      </c>
      <c r="B74" s="6391">
        <v>6</v>
      </c>
      <c r="C74" s="6391">
        <v>131</v>
      </c>
      <c r="D74" s="6392">
        <v>16.851428571428574</v>
      </c>
      <c r="E74" s="6391">
        <v>22</v>
      </c>
      <c r="F74" s="6076">
        <f t="shared" si="20"/>
        <v>4.8514285714285741</v>
      </c>
      <c r="G74" s="4318">
        <v>12</v>
      </c>
      <c r="I74" s="6073">
        <v>3</v>
      </c>
      <c r="J74" s="6073">
        <v>4</v>
      </c>
      <c r="K74" s="6074">
        <v>85</v>
      </c>
      <c r="L74" s="6075">
        <v>14.051948051948052</v>
      </c>
      <c r="M74" s="6073">
        <v>218</v>
      </c>
      <c r="N74" s="6076">
        <f t="shared" si="21"/>
        <v>2.0519480519480524</v>
      </c>
      <c r="O74" s="4318">
        <v>12</v>
      </c>
      <c r="Q74" s="5832">
        <v>3</v>
      </c>
      <c r="R74" s="5832">
        <v>4</v>
      </c>
      <c r="S74" s="5840">
        <v>85</v>
      </c>
      <c r="T74" s="5833">
        <v>13.657859355248123</v>
      </c>
      <c r="U74" s="5832">
        <v>218</v>
      </c>
      <c r="V74" s="1346">
        <f t="shared" si="22"/>
        <v>1.6578593552481227</v>
      </c>
      <c r="W74" s="4318">
        <v>12</v>
      </c>
      <c r="Y74" s="4316">
        <v>3</v>
      </c>
      <c r="Z74" s="4316">
        <v>4</v>
      </c>
      <c r="AA74" s="4245" t="s">
        <v>22</v>
      </c>
      <c r="AB74" s="4327">
        <v>13.607962838993766</v>
      </c>
      <c r="AC74" s="4624">
        <v>218</v>
      </c>
      <c r="AD74" s="1346">
        <f t="shared" si="35"/>
        <v>1.6079628389937657</v>
      </c>
      <c r="AE74" s="4318">
        <v>12</v>
      </c>
      <c r="AF74" s="4817"/>
      <c r="AG74" s="4316">
        <v>3</v>
      </c>
      <c r="AH74" s="4316">
        <v>4</v>
      </c>
      <c r="AI74" s="4245" t="s">
        <v>23</v>
      </c>
      <c r="AJ74" s="4327">
        <v>11.577798733129615</v>
      </c>
      <c r="AK74" s="4624">
        <v>113</v>
      </c>
      <c r="AL74" s="1346">
        <f t="shared" si="23"/>
        <v>-0.42220126687038473</v>
      </c>
      <c r="AM74" s="4318">
        <v>12</v>
      </c>
      <c r="AO74" s="4237"/>
      <c r="AP74" s="4237"/>
      <c r="AQ74" s="4236" t="s">
        <v>23</v>
      </c>
      <c r="AR74" s="4237">
        <v>12.21</v>
      </c>
      <c r="AS74" s="4237">
        <v>89</v>
      </c>
      <c r="AT74" s="4294">
        <f t="shared" si="24"/>
        <v>0.21000000000000085</v>
      </c>
      <c r="AU74" s="4295">
        <v>12</v>
      </c>
      <c r="AW74" s="97"/>
      <c r="AX74" s="97"/>
      <c r="AY74" s="42" t="s">
        <v>23</v>
      </c>
      <c r="AZ74" s="97">
        <v>12.46</v>
      </c>
      <c r="BA74" s="97">
        <v>84</v>
      </c>
      <c r="BB74" s="1281">
        <f t="shared" si="25"/>
        <v>0.46000000000000085</v>
      </c>
      <c r="BC74" s="3706">
        <v>12</v>
      </c>
      <c r="BE74" s="4263"/>
      <c r="BF74" s="4263"/>
      <c r="BG74" s="4258" t="s">
        <v>23</v>
      </c>
      <c r="BH74" s="4263">
        <v>12.9</v>
      </c>
      <c r="BI74" s="4263">
        <v>82</v>
      </c>
      <c r="BJ74" s="4264">
        <f t="shared" si="26"/>
        <v>0.90000000000000036</v>
      </c>
      <c r="BK74" s="4265">
        <v>12</v>
      </c>
      <c r="BM74" s="36"/>
      <c r="BN74" s="36"/>
      <c r="BO74" s="36" t="s">
        <v>23</v>
      </c>
      <c r="BP74" s="1345">
        <v>12.94</v>
      </c>
      <c r="BQ74" s="95">
        <v>96</v>
      </c>
      <c r="BR74" s="1281">
        <f t="shared" si="27"/>
        <v>0.9399999999999995</v>
      </c>
      <c r="BS74" s="1349">
        <v>12</v>
      </c>
      <c r="BT74" s="2106"/>
      <c r="BU74" s="97"/>
      <c r="BV74" s="97"/>
      <c r="BW74" s="36" t="s">
        <v>23</v>
      </c>
      <c r="BX74" s="95">
        <v>13.07</v>
      </c>
      <c r="BY74" s="95">
        <v>85</v>
      </c>
      <c r="BZ74" s="1281">
        <f t="shared" si="28"/>
        <v>1.0700000000000003</v>
      </c>
      <c r="CB74" s="95"/>
      <c r="CC74" s="95"/>
      <c r="CD74" s="36" t="s">
        <v>23</v>
      </c>
      <c r="CE74" s="1345">
        <v>12.95</v>
      </c>
      <c r="CF74" s="95">
        <v>124</v>
      </c>
      <c r="CG74" s="1335">
        <f t="shared" si="19"/>
        <v>0.94999999999999929</v>
      </c>
      <c r="CI74" s="742"/>
      <c r="CJ74" s="742"/>
      <c r="CK74" s="1334" t="s">
        <v>23</v>
      </c>
      <c r="CL74" s="1265">
        <v>13.231578947368423</v>
      </c>
      <c r="CM74" s="1266">
        <v>95</v>
      </c>
      <c r="CN74" s="1335">
        <f t="shared" si="29"/>
        <v>1.2315789473684227</v>
      </c>
      <c r="CP74" s="1336"/>
      <c r="CQ74" s="1336"/>
      <c r="CR74" s="1337" t="s">
        <v>23</v>
      </c>
      <c r="CS74" s="1338">
        <v>121</v>
      </c>
      <c r="CT74" s="1339">
        <v>13.041322314049591</v>
      </c>
      <c r="CU74" s="1281">
        <f t="shared" si="30"/>
        <v>1.0413223140495909</v>
      </c>
      <c r="CW74" s="1340"/>
      <c r="CX74" s="1340"/>
      <c r="CY74" s="1342" t="s">
        <v>23</v>
      </c>
      <c r="CZ74" s="1343">
        <v>111</v>
      </c>
      <c r="DA74" s="1344">
        <v>13.549549549549541</v>
      </c>
      <c r="DB74" s="1341">
        <f t="shared" si="31"/>
        <v>1.5495495495495408</v>
      </c>
      <c r="DC74" s="36"/>
      <c r="DD74" s="1340"/>
      <c r="DE74" s="1340"/>
      <c r="DF74" s="1342" t="s">
        <v>23</v>
      </c>
      <c r="DG74" s="1343">
        <v>94</v>
      </c>
      <c r="DH74" s="1344">
        <v>13.76595744680851</v>
      </c>
      <c r="DI74" s="1341">
        <f t="shared" si="32"/>
        <v>1.7659574468085104</v>
      </c>
      <c r="DJ74" s="36"/>
      <c r="DK74" s="95"/>
      <c r="DL74" s="95"/>
      <c r="DM74" s="36" t="s">
        <v>23</v>
      </c>
      <c r="DN74" s="95">
        <v>72</v>
      </c>
      <c r="DO74" s="1345">
        <v>13.541666666666666</v>
      </c>
      <c r="DP74" s="1346">
        <f t="shared" si="33"/>
        <v>1.5416666666666661</v>
      </c>
      <c r="DQ74" s="36"/>
      <c r="DR74" s="1347"/>
      <c r="DS74" s="1347"/>
      <c r="DT74" s="392" t="s">
        <v>23</v>
      </c>
      <c r="DU74" s="1347">
        <v>92</v>
      </c>
      <c r="DV74" s="1348">
        <v>13.5</v>
      </c>
      <c r="DW74" s="1349">
        <v>12</v>
      </c>
      <c r="DX74" s="1667">
        <f t="shared" si="34"/>
        <v>1.5</v>
      </c>
    </row>
    <row r="75" spans="1:128">
      <c r="A75" s="6391">
        <v>4</v>
      </c>
      <c r="B75" s="6391">
        <v>6</v>
      </c>
      <c r="C75" s="6391">
        <v>132</v>
      </c>
      <c r="D75" s="6392">
        <v>15.875</v>
      </c>
      <c r="E75" s="6391">
        <v>9</v>
      </c>
      <c r="F75" s="6076">
        <f t="shared" si="20"/>
        <v>3.875</v>
      </c>
      <c r="G75" s="4318">
        <v>12</v>
      </c>
      <c r="I75" s="6073">
        <v>3</v>
      </c>
      <c r="J75" s="6073">
        <v>4</v>
      </c>
      <c r="K75" s="6074">
        <v>86</v>
      </c>
      <c r="L75" s="6075">
        <v>13.761363636363637</v>
      </c>
      <c r="M75" s="6073">
        <v>98</v>
      </c>
      <c r="N75" s="6076">
        <f t="shared" si="21"/>
        <v>1.7613636363636367</v>
      </c>
      <c r="O75" s="4318">
        <v>12</v>
      </c>
      <c r="Q75" s="5832">
        <v>3</v>
      </c>
      <c r="R75" s="5832">
        <v>4</v>
      </c>
      <c r="S75" s="5840">
        <v>86</v>
      </c>
      <c r="T75" s="5833">
        <v>12.704285714285714</v>
      </c>
      <c r="U75" s="5832">
        <v>98</v>
      </c>
      <c r="V75" s="1346">
        <f t="shared" si="22"/>
        <v>0.70428571428571374</v>
      </c>
      <c r="W75" s="4318">
        <v>12</v>
      </c>
      <c r="Y75" s="4316">
        <v>3</v>
      </c>
      <c r="Z75" s="4316">
        <v>4</v>
      </c>
      <c r="AA75" s="4245" t="s">
        <v>23</v>
      </c>
      <c r="AB75" s="4327">
        <v>12.735400696864112</v>
      </c>
      <c r="AC75" s="4624">
        <v>97</v>
      </c>
      <c r="AD75" s="1346">
        <f t="shared" si="35"/>
        <v>0.73540069686411158</v>
      </c>
      <c r="AE75" s="4318">
        <v>12</v>
      </c>
      <c r="AF75" s="4817"/>
      <c r="AG75" s="4316">
        <v>3</v>
      </c>
      <c r="AH75" s="4316">
        <v>4</v>
      </c>
      <c r="AI75" s="4245" t="s">
        <v>24</v>
      </c>
      <c r="AJ75" s="4327">
        <v>12.503178212074303</v>
      </c>
      <c r="AK75" s="4624">
        <v>74</v>
      </c>
      <c r="AL75" s="1346">
        <f t="shared" si="23"/>
        <v>0.50317821207430313</v>
      </c>
      <c r="AM75" s="4318">
        <v>12</v>
      </c>
      <c r="AO75" s="4237"/>
      <c r="AP75" s="4237"/>
      <c r="AQ75" s="4236" t="s">
        <v>24</v>
      </c>
      <c r="AR75" s="4237">
        <v>11.71</v>
      </c>
      <c r="AS75" s="4237">
        <v>69</v>
      </c>
      <c r="AT75" s="4294">
        <f t="shared" si="24"/>
        <v>-0.28999999999999915</v>
      </c>
      <c r="AU75" s="4295">
        <v>12</v>
      </c>
      <c r="AW75" s="97"/>
      <c r="AX75" s="97"/>
      <c r="AY75" s="42" t="s">
        <v>24</v>
      </c>
      <c r="AZ75" s="97">
        <v>13.21</v>
      </c>
      <c r="BA75" s="97">
        <v>94</v>
      </c>
      <c r="BB75" s="1281">
        <f t="shared" si="25"/>
        <v>1.2100000000000009</v>
      </c>
      <c r="BC75" s="3706">
        <v>12</v>
      </c>
      <c r="BE75" s="4263"/>
      <c r="BF75" s="4263"/>
      <c r="BG75" s="4258" t="s">
        <v>24</v>
      </c>
      <c r="BH75" s="4263">
        <v>13.63</v>
      </c>
      <c r="BI75" s="4263">
        <v>94</v>
      </c>
      <c r="BJ75" s="4264">
        <f t="shared" si="26"/>
        <v>1.6300000000000008</v>
      </c>
      <c r="BK75" s="4265">
        <v>12</v>
      </c>
      <c r="BM75" s="36"/>
      <c r="BN75" s="36"/>
      <c r="BO75" s="36" t="s">
        <v>24</v>
      </c>
      <c r="BP75" s="1345">
        <v>13.5</v>
      </c>
      <c r="BQ75" s="95">
        <v>80</v>
      </c>
      <c r="BR75" s="1281">
        <f t="shared" si="27"/>
        <v>1.5</v>
      </c>
      <c r="BS75" s="1349">
        <v>12</v>
      </c>
      <c r="BT75" s="2106"/>
      <c r="BU75" s="97"/>
      <c r="BV75" s="97"/>
      <c r="BW75" s="36" t="s">
        <v>24</v>
      </c>
      <c r="BX75" s="95">
        <v>13.93</v>
      </c>
      <c r="BY75" s="95">
        <v>91</v>
      </c>
      <c r="BZ75" s="1281">
        <f t="shared" si="28"/>
        <v>1.9299999999999997</v>
      </c>
      <c r="CB75" s="95"/>
      <c r="CC75" s="95"/>
      <c r="CD75" s="36" t="s">
        <v>24</v>
      </c>
      <c r="CE75" s="1345">
        <v>14.11</v>
      </c>
      <c r="CF75" s="95">
        <v>95</v>
      </c>
      <c r="CG75" s="1335">
        <f t="shared" si="19"/>
        <v>2.1099999999999994</v>
      </c>
      <c r="CI75" s="742"/>
      <c r="CJ75" s="742"/>
      <c r="CK75" s="1334" t="s">
        <v>24</v>
      </c>
      <c r="CL75" s="1265">
        <v>13.694444444444443</v>
      </c>
      <c r="CM75" s="1266">
        <v>72</v>
      </c>
      <c r="CN75" s="1335">
        <f t="shared" si="29"/>
        <v>1.6944444444444429</v>
      </c>
      <c r="CP75" s="1336"/>
      <c r="CQ75" s="1336"/>
      <c r="CR75" s="1337" t="s">
        <v>24</v>
      </c>
      <c r="CS75" s="1338">
        <v>73</v>
      </c>
      <c r="CT75" s="1339">
        <v>13.602739726027401</v>
      </c>
      <c r="CU75" s="1281">
        <f t="shared" si="30"/>
        <v>1.6027397260274014</v>
      </c>
      <c r="CW75" s="1340"/>
      <c r="CX75" s="1340"/>
      <c r="CY75" s="1342" t="s">
        <v>24</v>
      </c>
      <c r="CZ75" s="1343">
        <v>76</v>
      </c>
      <c r="DA75" s="1344">
        <v>13.592105263157894</v>
      </c>
      <c r="DB75" s="1341">
        <f t="shared" si="31"/>
        <v>1.5921052631578938</v>
      </c>
      <c r="DC75" s="36"/>
      <c r="DD75" s="1340"/>
      <c r="DE75" s="1340"/>
      <c r="DF75" s="1342" t="s">
        <v>24</v>
      </c>
      <c r="DG75" s="1343">
        <v>46</v>
      </c>
      <c r="DH75" s="1344">
        <v>13.978260869565217</v>
      </c>
      <c r="DI75" s="1341">
        <f t="shared" si="32"/>
        <v>1.9782608695652169</v>
      </c>
      <c r="DJ75" s="36"/>
      <c r="DK75" s="95"/>
      <c r="DL75" s="95"/>
      <c r="DM75" s="36" t="s">
        <v>24</v>
      </c>
      <c r="DN75" s="95">
        <v>75</v>
      </c>
      <c r="DO75" s="1345">
        <v>14.46666666666667</v>
      </c>
      <c r="DP75" s="1346">
        <f t="shared" si="33"/>
        <v>2.4666666666666703</v>
      </c>
      <c r="DQ75" s="36"/>
      <c r="DR75" s="1347"/>
      <c r="DS75" s="1347"/>
      <c r="DT75" s="392" t="s">
        <v>24</v>
      </c>
      <c r="DU75" s="1347">
        <v>79</v>
      </c>
      <c r="DV75" s="1348">
        <v>14.050632911392409</v>
      </c>
      <c r="DW75" s="1349">
        <v>12</v>
      </c>
      <c r="DX75" s="1667">
        <f t="shared" si="34"/>
        <v>2.0506329113924089</v>
      </c>
    </row>
    <row r="76" spans="1:128">
      <c r="A76" s="6391">
        <v>4</v>
      </c>
      <c r="B76" s="6391">
        <v>6</v>
      </c>
      <c r="C76" s="6391">
        <v>141</v>
      </c>
      <c r="D76" s="6392">
        <v>15.25</v>
      </c>
      <c r="E76" s="6391">
        <v>8</v>
      </c>
      <c r="F76" s="6076">
        <f t="shared" si="20"/>
        <v>3.25</v>
      </c>
      <c r="G76" s="4318">
        <v>12</v>
      </c>
      <c r="I76" s="6073">
        <v>3</v>
      </c>
      <c r="J76" s="6073">
        <v>4</v>
      </c>
      <c r="K76" s="6074">
        <v>87</v>
      </c>
      <c r="L76" s="6075">
        <v>14.388235294117647</v>
      </c>
      <c r="M76" s="6073">
        <v>64</v>
      </c>
      <c r="N76" s="6076">
        <f t="shared" si="21"/>
        <v>2.3882352941176475</v>
      </c>
      <c r="O76" s="4318">
        <v>12</v>
      </c>
      <c r="Q76" s="5832">
        <v>3</v>
      </c>
      <c r="R76" s="5832">
        <v>4</v>
      </c>
      <c r="S76" s="5840">
        <v>87</v>
      </c>
      <c r="T76" s="5833">
        <v>13.918099647266315</v>
      </c>
      <c r="U76" s="5832">
        <v>64</v>
      </c>
      <c r="V76" s="1346">
        <f t="shared" si="22"/>
        <v>1.918099647266315</v>
      </c>
      <c r="W76" s="4318">
        <v>12</v>
      </c>
      <c r="Y76" s="4316">
        <v>3</v>
      </c>
      <c r="Z76" s="4316">
        <v>4</v>
      </c>
      <c r="AA76" s="4245" t="s">
        <v>24</v>
      </c>
      <c r="AB76" s="4327">
        <v>13.676388888888887</v>
      </c>
      <c r="AC76" s="4624">
        <v>64</v>
      </c>
      <c r="AD76" s="1346">
        <f t="shared" si="35"/>
        <v>1.6763888888888872</v>
      </c>
      <c r="AE76" s="4318">
        <v>12</v>
      </c>
      <c r="AF76" s="4817"/>
      <c r="AG76" s="4316">
        <v>3</v>
      </c>
      <c r="AH76" s="4316">
        <v>4</v>
      </c>
      <c r="AI76" s="4245" t="s">
        <v>58</v>
      </c>
      <c r="AJ76" s="4327">
        <v>12.797222222222224</v>
      </c>
      <c r="AK76" s="4624">
        <v>70</v>
      </c>
      <c r="AL76" s="1346">
        <f t="shared" si="23"/>
        <v>0.79722222222222427</v>
      </c>
      <c r="AM76" s="4318">
        <v>12</v>
      </c>
      <c r="AO76" s="4237"/>
      <c r="AP76" s="4237"/>
      <c r="AQ76" s="4236" t="s">
        <v>58</v>
      </c>
      <c r="AR76" s="4237">
        <v>12.96</v>
      </c>
      <c r="AS76" s="4237">
        <v>70</v>
      </c>
      <c r="AT76" s="4294">
        <f t="shared" si="24"/>
        <v>0.96000000000000085</v>
      </c>
      <c r="AU76" s="4295">
        <v>12</v>
      </c>
      <c r="AW76" s="97"/>
      <c r="AX76" s="97"/>
      <c r="AY76" s="42" t="s">
        <v>58</v>
      </c>
      <c r="AZ76" s="97">
        <v>13.22</v>
      </c>
      <c r="BA76" s="97">
        <v>69</v>
      </c>
      <c r="BB76" s="1281">
        <f t="shared" si="25"/>
        <v>1.2200000000000006</v>
      </c>
      <c r="BC76" s="3706">
        <v>12</v>
      </c>
      <c r="BE76" s="4263"/>
      <c r="BF76" s="4263"/>
      <c r="BG76" s="4258" t="s">
        <v>58</v>
      </c>
      <c r="BH76" s="4263">
        <v>13.22</v>
      </c>
      <c r="BI76" s="4263">
        <v>69</v>
      </c>
      <c r="BJ76" s="4264">
        <f t="shared" si="26"/>
        <v>1.2200000000000006</v>
      </c>
      <c r="BK76" s="4265">
        <v>12</v>
      </c>
      <c r="BM76" s="36"/>
      <c r="BN76" s="36"/>
      <c r="BO76" s="36" t="s">
        <v>58</v>
      </c>
      <c r="BP76" s="1345">
        <v>13.3</v>
      </c>
      <c r="BQ76" s="95">
        <v>61</v>
      </c>
      <c r="BR76" s="1281">
        <f t="shared" si="27"/>
        <v>1.3000000000000007</v>
      </c>
      <c r="BS76" s="1349">
        <v>12</v>
      </c>
      <c r="BT76" s="2106"/>
      <c r="BU76" s="97"/>
      <c r="BV76" s="97"/>
      <c r="BW76" s="36" t="s">
        <v>58</v>
      </c>
      <c r="BX76" s="95">
        <v>12.92</v>
      </c>
      <c r="BY76" s="95">
        <v>63</v>
      </c>
      <c r="BZ76" s="1281">
        <f t="shared" si="28"/>
        <v>0.91999999999999993</v>
      </c>
      <c r="CB76" s="95"/>
      <c r="CC76" s="95"/>
      <c r="CD76" s="36" t="s">
        <v>58</v>
      </c>
      <c r="CE76" s="1345">
        <v>13.96</v>
      </c>
      <c r="CF76" s="95">
        <v>84</v>
      </c>
      <c r="CG76" s="1335">
        <f t="shared" si="19"/>
        <v>1.9600000000000009</v>
      </c>
      <c r="CI76" s="742"/>
      <c r="CJ76" s="742"/>
      <c r="CK76" s="1334" t="s">
        <v>58</v>
      </c>
      <c r="CL76" s="1265">
        <v>14.109589041095889</v>
      </c>
      <c r="CM76" s="1266">
        <v>73</v>
      </c>
      <c r="CN76" s="1335">
        <f t="shared" si="29"/>
        <v>2.1095890410958891</v>
      </c>
      <c r="CP76" s="1336"/>
      <c r="CQ76" s="1336"/>
      <c r="CR76" s="1337" t="s">
        <v>58</v>
      </c>
      <c r="CS76" s="1338">
        <v>50</v>
      </c>
      <c r="CT76" s="1339">
        <v>12.960000000000003</v>
      </c>
      <c r="CU76" s="1281">
        <f t="shared" si="30"/>
        <v>0.96000000000000263</v>
      </c>
      <c r="CW76" s="1340"/>
      <c r="CX76" s="1340"/>
      <c r="CY76" s="1342" t="s">
        <v>58</v>
      </c>
      <c r="CZ76" s="1343">
        <v>79</v>
      </c>
      <c r="DA76" s="1344">
        <v>13.873417721518987</v>
      </c>
      <c r="DB76" s="1341">
        <f t="shared" si="31"/>
        <v>1.8734177215189867</v>
      </c>
      <c r="DC76" s="36"/>
      <c r="DD76" s="1340"/>
      <c r="DE76" s="1340"/>
      <c r="DF76" s="1342" t="s">
        <v>58</v>
      </c>
      <c r="DG76" s="1343">
        <v>51</v>
      </c>
      <c r="DH76" s="1344">
        <v>14.019607843137257</v>
      </c>
      <c r="DI76" s="1341">
        <f t="shared" si="32"/>
        <v>2.0196078431372566</v>
      </c>
      <c r="DJ76" s="36"/>
      <c r="DK76" s="95"/>
      <c r="DL76" s="95"/>
      <c r="DM76" s="36" t="s">
        <v>58</v>
      </c>
      <c r="DN76" s="95">
        <v>41</v>
      </c>
      <c r="DO76" s="1345">
        <v>13.560975609756099</v>
      </c>
      <c r="DP76" s="1346">
        <f t="shared" si="33"/>
        <v>1.5609756097560989</v>
      </c>
      <c r="DQ76" s="36"/>
      <c r="DR76" s="1347"/>
      <c r="DS76" s="1347"/>
      <c r="DT76" s="392" t="s">
        <v>58</v>
      </c>
      <c r="DU76" s="1347">
        <v>66</v>
      </c>
      <c r="DV76" s="1348">
        <v>13.515151515151514</v>
      </c>
      <c r="DW76" s="1349">
        <v>12</v>
      </c>
      <c r="DX76" s="1667">
        <f t="shared" si="34"/>
        <v>1.5151515151515138</v>
      </c>
    </row>
    <row r="77" spans="1:128">
      <c r="A77" s="6391">
        <v>4</v>
      </c>
      <c r="B77" s="6391">
        <v>6</v>
      </c>
      <c r="C77" s="6391">
        <v>144</v>
      </c>
      <c r="D77" s="6392">
        <v>16.092460317460318</v>
      </c>
      <c r="E77" s="6391">
        <v>39</v>
      </c>
      <c r="F77" s="6076">
        <f t="shared" si="20"/>
        <v>4.0924603174603185</v>
      </c>
      <c r="G77" s="4318">
        <v>12</v>
      </c>
      <c r="I77" s="6073">
        <v>3</v>
      </c>
      <c r="J77" s="6073">
        <v>4</v>
      </c>
      <c r="K77" s="6074">
        <v>88</v>
      </c>
      <c r="L77" s="6075">
        <v>13.163934426229508</v>
      </c>
      <c r="M77" s="6073">
        <v>58</v>
      </c>
      <c r="N77" s="6076">
        <f t="shared" si="21"/>
        <v>1.1639344262295079</v>
      </c>
      <c r="O77" s="4318">
        <v>12</v>
      </c>
      <c r="Q77" s="5832">
        <v>3</v>
      </c>
      <c r="R77" s="5832">
        <v>4</v>
      </c>
      <c r="S77" s="5840">
        <v>88</v>
      </c>
      <c r="T77" s="5833">
        <v>13.507296037296038</v>
      </c>
      <c r="U77" s="5832">
        <v>58</v>
      </c>
      <c r="V77" s="1346">
        <f t="shared" si="22"/>
        <v>1.5072960372960384</v>
      </c>
      <c r="W77" s="4318">
        <v>12</v>
      </c>
      <c r="Y77" s="4316">
        <v>3</v>
      </c>
      <c r="Z77" s="4316">
        <v>4</v>
      </c>
      <c r="AA77" s="4245" t="s">
        <v>58</v>
      </c>
      <c r="AB77" s="4327">
        <v>13.40218181818182</v>
      </c>
      <c r="AC77" s="4624">
        <v>58</v>
      </c>
      <c r="AD77" s="1346">
        <f t="shared" si="35"/>
        <v>1.4021818181818198</v>
      </c>
      <c r="AE77" s="4318">
        <v>12</v>
      </c>
      <c r="AF77" s="4817"/>
      <c r="AG77" s="4316"/>
      <c r="AH77" s="4316"/>
      <c r="AI77" s="4246" t="s">
        <v>484</v>
      </c>
      <c r="AJ77" s="4328">
        <v>12.363751063440619</v>
      </c>
      <c r="AK77" s="4627">
        <f>SUM(AK73:AK76)</f>
        <v>438</v>
      </c>
      <c r="AL77" s="1361">
        <f t="shared" si="23"/>
        <v>0.36375106344061869</v>
      </c>
      <c r="AM77" s="4319">
        <v>12</v>
      </c>
      <c r="AO77" s="4237"/>
      <c r="AP77" s="4237"/>
      <c r="AQ77" s="4214" t="s">
        <v>484</v>
      </c>
      <c r="AR77" s="4239">
        <v>12.66</v>
      </c>
      <c r="AS77" s="4239">
        <v>403</v>
      </c>
      <c r="AT77" s="4296">
        <f t="shared" si="24"/>
        <v>0.66000000000000014</v>
      </c>
      <c r="AU77" s="4295">
        <v>12</v>
      </c>
      <c r="AW77" s="97"/>
      <c r="AX77" s="97"/>
      <c r="AY77" s="893" t="s">
        <v>484</v>
      </c>
      <c r="AZ77" s="135">
        <v>13.36</v>
      </c>
      <c r="BA77" s="135">
        <v>427</v>
      </c>
      <c r="BB77" s="1675">
        <f t="shared" si="25"/>
        <v>1.3599999999999994</v>
      </c>
      <c r="BC77" s="3706">
        <v>12</v>
      </c>
      <c r="BE77" s="4263"/>
      <c r="BF77" s="4263"/>
      <c r="BG77" s="4257" t="s">
        <v>484</v>
      </c>
      <c r="BH77" s="4266">
        <v>13.68</v>
      </c>
      <c r="BI77" s="4266">
        <v>419</v>
      </c>
      <c r="BJ77" s="4267">
        <f t="shared" si="26"/>
        <v>1.6799999999999997</v>
      </c>
      <c r="BK77" s="4265">
        <v>12</v>
      </c>
      <c r="BM77" s="36"/>
      <c r="BN77" s="36"/>
      <c r="BO77" s="393" t="s">
        <v>484</v>
      </c>
      <c r="BP77" s="1360">
        <v>13.56</v>
      </c>
      <c r="BQ77" s="2015">
        <v>437</v>
      </c>
      <c r="BR77" s="1675">
        <f t="shared" si="27"/>
        <v>1.5600000000000005</v>
      </c>
      <c r="BS77" s="1349">
        <v>12</v>
      </c>
      <c r="BT77" s="2106"/>
      <c r="BU77" s="97"/>
      <c r="BV77" s="97"/>
      <c r="BW77" s="393" t="s">
        <v>484</v>
      </c>
      <c r="BX77" s="86">
        <v>13.53</v>
      </c>
      <c r="BY77" s="86">
        <v>400</v>
      </c>
      <c r="BZ77" s="1675">
        <f t="shared" si="28"/>
        <v>1.5299999999999994</v>
      </c>
      <c r="CB77" s="95"/>
      <c r="CC77" s="95"/>
      <c r="CD77" s="393" t="s">
        <v>484</v>
      </c>
      <c r="CE77" s="1360">
        <v>13.75</v>
      </c>
      <c r="CF77" s="86">
        <v>448</v>
      </c>
      <c r="CG77" s="1480">
        <f t="shared" si="19"/>
        <v>1.75</v>
      </c>
      <c r="CI77" s="742"/>
      <c r="CJ77" s="742"/>
      <c r="CK77" s="1350" t="s">
        <v>484</v>
      </c>
      <c r="CL77" s="1351">
        <v>13.686274509803924</v>
      </c>
      <c r="CM77" s="1352">
        <v>408</v>
      </c>
      <c r="CN77" s="1335">
        <f t="shared" si="29"/>
        <v>1.6862745098039245</v>
      </c>
      <c r="CP77" s="1336"/>
      <c r="CQ77" s="1336"/>
      <c r="CR77" s="1353" t="s">
        <v>484</v>
      </c>
      <c r="CS77" s="1354">
        <v>453</v>
      </c>
      <c r="CT77" s="1355">
        <v>13.666666666666671</v>
      </c>
      <c r="CU77" s="1281">
        <f t="shared" si="30"/>
        <v>1.6666666666666714</v>
      </c>
      <c r="CW77" s="1340"/>
      <c r="CX77" s="1340"/>
      <c r="CY77" s="1356" t="s">
        <v>484</v>
      </c>
      <c r="CZ77" s="1357">
        <f>SUM(CZ73:CZ76)</f>
        <v>436</v>
      </c>
      <c r="DA77" s="1358">
        <v>13.862385321100916</v>
      </c>
      <c r="DB77" s="1359">
        <f t="shared" si="31"/>
        <v>1.8623853211009163</v>
      </c>
      <c r="DC77" s="36"/>
      <c r="DD77" s="1340"/>
      <c r="DE77" s="1340"/>
      <c r="DF77" s="1356" t="s">
        <v>484</v>
      </c>
      <c r="DG77" s="1357">
        <v>372</v>
      </c>
      <c r="DH77" s="1358">
        <v>14.083333333333334</v>
      </c>
      <c r="DI77" s="1359">
        <f t="shared" si="32"/>
        <v>2.0833333333333339</v>
      </c>
      <c r="DJ77" s="36"/>
      <c r="DK77" s="95"/>
      <c r="DL77" s="95"/>
      <c r="DM77" s="393" t="s">
        <v>15</v>
      </c>
      <c r="DN77" s="86">
        <v>377</v>
      </c>
      <c r="DO77" s="1360">
        <v>14.305039787798409</v>
      </c>
      <c r="DP77" s="1361">
        <f t="shared" si="33"/>
        <v>2.3050397877984086</v>
      </c>
      <c r="DQ77" s="36"/>
      <c r="DR77" s="1347"/>
      <c r="DS77" s="1347"/>
      <c r="DT77" s="1362" t="s">
        <v>15</v>
      </c>
      <c r="DU77" s="1363">
        <v>445</v>
      </c>
      <c r="DV77" s="1364">
        <v>14.040449438202241</v>
      </c>
      <c r="DW77" s="1349">
        <v>12</v>
      </c>
      <c r="DX77" s="1668">
        <f t="shared" si="34"/>
        <v>2.0404494382022413</v>
      </c>
    </row>
    <row r="78" spans="1:128">
      <c r="A78" s="6391">
        <v>5</v>
      </c>
      <c r="B78" s="6391">
        <v>1</v>
      </c>
      <c r="C78" s="6391">
        <v>147</v>
      </c>
      <c r="D78" s="6392">
        <v>18.861111111111111</v>
      </c>
      <c r="E78" s="6391">
        <v>13</v>
      </c>
      <c r="F78" s="6076">
        <f t="shared" si="20"/>
        <v>6.8611111111111107</v>
      </c>
      <c r="G78" s="4318">
        <v>12</v>
      </c>
      <c r="I78" s="6073"/>
      <c r="J78" s="6073"/>
      <c r="K78" s="6083" t="s">
        <v>484</v>
      </c>
      <c r="L78" s="6075">
        <v>13.8</v>
      </c>
      <c r="M78" s="6077">
        <f>SUM(M74:M77)</f>
        <v>438</v>
      </c>
      <c r="N78" s="6084">
        <f t="shared" si="21"/>
        <v>1.8000000000000007</v>
      </c>
      <c r="O78" s="4319">
        <v>12</v>
      </c>
      <c r="Q78" s="5832"/>
      <c r="R78" s="5832"/>
      <c r="S78" s="5847" t="s">
        <v>484</v>
      </c>
      <c r="T78" s="5843">
        <v>13.477893762408883</v>
      </c>
      <c r="U78" s="5838">
        <f>SUM(U74:U77)</f>
        <v>438</v>
      </c>
      <c r="V78" s="1361">
        <f t="shared" si="22"/>
        <v>1.4778937624088826</v>
      </c>
      <c r="W78" s="4319">
        <v>12</v>
      </c>
      <c r="Y78" s="4316"/>
      <c r="Z78" s="4316"/>
      <c r="AA78" s="4246" t="s">
        <v>484</v>
      </c>
      <c r="AB78" s="4328">
        <v>13.381546497387529</v>
      </c>
      <c r="AC78" s="4627">
        <f>SUM(AC74:AC77)</f>
        <v>437</v>
      </c>
      <c r="AD78" s="1361">
        <f t="shared" si="35"/>
        <v>1.3815464973875287</v>
      </c>
      <c r="AE78" s="4319">
        <v>12</v>
      </c>
      <c r="AF78" s="4817"/>
      <c r="AG78" s="4316"/>
      <c r="AH78" s="4316"/>
      <c r="AI78" s="4252" t="s">
        <v>412</v>
      </c>
      <c r="AJ78" s="4329">
        <v>12.691797098401743</v>
      </c>
      <c r="AK78" s="4629">
        <f>SUM(AK63,AK72,AK77)</f>
        <v>2510</v>
      </c>
      <c r="AL78" s="4632">
        <f t="shared" si="23"/>
        <v>0.69179709840174297</v>
      </c>
      <c r="AM78" s="4322">
        <v>12</v>
      </c>
      <c r="AO78" s="4237"/>
      <c r="AP78" s="4237"/>
      <c r="AQ78" s="4297" t="s">
        <v>412</v>
      </c>
      <c r="AR78" s="4298">
        <v>12.79</v>
      </c>
      <c r="AS78" s="4298">
        <v>2142</v>
      </c>
      <c r="AT78" s="4299">
        <f t="shared" si="24"/>
        <v>0.78999999999999915</v>
      </c>
      <c r="AU78" s="4300">
        <v>12</v>
      </c>
      <c r="AW78" s="97"/>
      <c r="AX78" s="97"/>
      <c r="AY78" s="3707" t="s">
        <v>412</v>
      </c>
      <c r="AZ78" s="3708">
        <v>13.53</v>
      </c>
      <c r="BA78" s="3708">
        <v>2243</v>
      </c>
      <c r="BB78" s="1676">
        <f t="shared" si="25"/>
        <v>1.5299999999999994</v>
      </c>
      <c r="BC78" s="3709">
        <v>12</v>
      </c>
      <c r="BE78" s="4263"/>
      <c r="BF78" s="4263"/>
      <c r="BG78" s="4268" t="s">
        <v>412</v>
      </c>
      <c r="BH78" s="4269">
        <v>13.72</v>
      </c>
      <c r="BI78" s="4269">
        <v>1999</v>
      </c>
      <c r="BJ78" s="4270">
        <f t="shared" si="26"/>
        <v>1.7200000000000006</v>
      </c>
      <c r="BK78" s="4271">
        <v>12</v>
      </c>
      <c r="BM78" s="2022"/>
      <c r="BN78" s="2022"/>
      <c r="BO78" s="2023" t="s">
        <v>412</v>
      </c>
      <c r="BP78" s="2024">
        <v>13.92</v>
      </c>
      <c r="BQ78" s="2025">
        <v>2394</v>
      </c>
      <c r="BR78" s="1676">
        <f t="shared" si="27"/>
        <v>1.92</v>
      </c>
      <c r="BS78" s="1380">
        <v>12</v>
      </c>
      <c r="BT78" s="2106"/>
      <c r="BU78" s="1501"/>
      <c r="BV78" s="1501"/>
      <c r="BW78" s="1477" t="s">
        <v>412</v>
      </c>
      <c r="BX78" s="1479">
        <v>13.76</v>
      </c>
      <c r="BY78" s="1479">
        <v>2281</v>
      </c>
      <c r="BZ78" s="1676">
        <f t="shared" si="28"/>
        <v>1.7599999999999998</v>
      </c>
      <c r="CB78" s="1482"/>
      <c r="CC78" s="1482"/>
      <c r="CD78" s="1477" t="s">
        <v>412</v>
      </c>
      <c r="CE78" s="1478">
        <v>13.71</v>
      </c>
      <c r="CF78" s="1479">
        <v>2383</v>
      </c>
      <c r="CG78" s="1481">
        <f t="shared" si="19"/>
        <v>1.7100000000000009</v>
      </c>
      <c r="CI78" s="742"/>
      <c r="CJ78" s="742"/>
      <c r="CK78" s="1350" t="s">
        <v>412</v>
      </c>
      <c r="CL78" s="1351">
        <v>13.775423728813557</v>
      </c>
      <c r="CM78" s="1352">
        <v>2360</v>
      </c>
      <c r="CN78" s="1365">
        <f t="shared" si="29"/>
        <v>1.775423728813557</v>
      </c>
      <c r="CP78" s="1366"/>
      <c r="CQ78" s="1366"/>
      <c r="CR78" s="1367" t="s">
        <v>412</v>
      </c>
      <c r="CS78" s="1368">
        <v>2388</v>
      </c>
      <c r="CT78" s="1369">
        <v>13.662060301507545</v>
      </c>
      <c r="CU78" s="1370">
        <f t="shared" si="30"/>
        <v>1.6620603015075446</v>
      </c>
      <c r="CW78" s="1340"/>
      <c r="CX78" s="1340"/>
      <c r="CY78" s="1356" t="s">
        <v>412</v>
      </c>
      <c r="CZ78" s="1389">
        <f>SUM(CZ77,CZ72,CZ63)</f>
        <v>2491</v>
      </c>
      <c r="DA78" s="1390">
        <v>13.8</v>
      </c>
      <c r="DB78" s="1359">
        <f t="shared" si="31"/>
        <v>1.8000000000000007</v>
      </c>
      <c r="DC78" s="36"/>
      <c r="DD78" s="1340"/>
      <c r="DE78" s="1340"/>
      <c r="DF78" s="1356" t="s">
        <v>412</v>
      </c>
      <c r="DG78" s="1357">
        <v>2351</v>
      </c>
      <c r="DH78" s="1358">
        <v>13.748617609527864</v>
      </c>
      <c r="DI78" s="1359">
        <f t="shared" si="32"/>
        <v>1.748617609527864</v>
      </c>
      <c r="DJ78" s="36"/>
      <c r="DK78" s="1371"/>
      <c r="DL78" s="1371"/>
      <c r="DM78" s="1372" t="s">
        <v>412</v>
      </c>
      <c r="DN78" s="1373">
        <v>2353</v>
      </c>
      <c r="DO78" s="1374">
        <v>13.886527836804103</v>
      </c>
      <c r="DP78" s="1375">
        <f t="shared" si="33"/>
        <v>1.8865278368041025</v>
      </c>
      <c r="DQ78" s="36"/>
      <c r="DR78" s="1376"/>
      <c r="DS78" s="1376"/>
      <c r="DT78" s="1377" t="s">
        <v>412</v>
      </c>
      <c r="DU78" s="1378">
        <v>2520</v>
      </c>
      <c r="DV78" s="1379">
        <v>13.781349206349185</v>
      </c>
      <c r="DW78" s="1380">
        <v>12</v>
      </c>
      <c r="DX78" s="1669">
        <f t="shared" si="34"/>
        <v>1.7813492063491854</v>
      </c>
    </row>
    <row r="79" spans="1:128">
      <c r="A79" s="6391">
        <v>5</v>
      </c>
      <c r="B79" s="6391">
        <v>1</v>
      </c>
      <c r="C79" s="6391">
        <v>177</v>
      </c>
      <c r="D79" s="6392">
        <v>16</v>
      </c>
      <c r="E79" s="6391">
        <v>2</v>
      </c>
      <c r="F79" s="6076">
        <f t="shared" si="20"/>
        <v>4</v>
      </c>
      <c r="G79" s="4318">
        <v>12</v>
      </c>
      <c r="I79" s="6078"/>
      <c r="J79" s="6078"/>
      <c r="K79" s="6085" t="s">
        <v>412</v>
      </c>
      <c r="L79" s="6075">
        <v>14.1</v>
      </c>
      <c r="M79" s="6079">
        <f>SUM(M78,M73,M64)</f>
        <v>2548</v>
      </c>
      <c r="N79" s="6086">
        <f t="shared" si="21"/>
        <v>2.0999999999999996</v>
      </c>
      <c r="O79" s="4322">
        <v>12</v>
      </c>
      <c r="Q79" s="5836"/>
      <c r="R79" s="5836"/>
      <c r="S79" s="5848" t="s">
        <v>412</v>
      </c>
      <c r="T79" s="5845">
        <v>13.880831567454898</v>
      </c>
      <c r="U79" s="5839">
        <f>SUM(U78,U73,U64)</f>
        <v>2548</v>
      </c>
      <c r="V79" s="5844">
        <f t="shared" si="22"/>
        <v>1.8808315674548979</v>
      </c>
      <c r="W79" s="5849">
        <v>12</v>
      </c>
      <c r="Y79" s="4316"/>
      <c r="Z79" s="4316"/>
      <c r="AA79" s="4252" t="s">
        <v>412</v>
      </c>
      <c r="AB79" s="4329">
        <v>13.770929251107344</v>
      </c>
      <c r="AC79" s="4629">
        <f>SUM(AC64,AC73,AC78)</f>
        <v>2258</v>
      </c>
      <c r="AD79" s="4632">
        <f t="shared" si="35"/>
        <v>1.7709292511073436</v>
      </c>
      <c r="AE79" s="4322">
        <v>12</v>
      </c>
      <c r="AF79" s="4817"/>
      <c r="AG79" s="4316">
        <v>4</v>
      </c>
      <c r="AH79" s="4316">
        <v>2</v>
      </c>
      <c r="AI79" s="4245" t="s">
        <v>17</v>
      </c>
      <c r="AJ79" s="4331">
        <v>14.105820105820106</v>
      </c>
      <c r="AK79" s="4628">
        <v>21</v>
      </c>
      <c r="AL79" s="1346">
        <f t="shared" si="23"/>
        <v>2.105820105820106</v>
      </c>
      <c r="AM79" s="4318">
        <v>12</v>
      </c>
      <c r="AO79" s="4237" t="s">
        <v>59</v>
      </c>
      <c r="AP79" s="4237" t="s">
        <v>16</v>
      </c>
      <c r="AQ79" s="4236" t="s">
        <v>17</v>
      </c>
      <c r="AR79" s="4237">
        <v>14.8</v>
      </c>
      <c r="AS79" s="4237">
        <v>5</v>
      </c>
      <c r="AT79" s="4294">
        <f t="shared" si="24"/>
        <v>2.8000000000000007</v>
      </c>
      <c r="AU79" s="4295">
        <v>12</v>
      </c>
      <c r="AW79" s="97" t="s">
        <v>59</v>
      </c>
      <c r="AX79" s="97" t="s">
        <v>16</v>
      </c>
      <c r="AY79" s="42" t="s">
        <v>17</v>
      </c>
      <c r="AZ79" s="97">
        <v>13.28</v>
      </c>
      <c r="BA79" s="97">
        <v>40</v>
      </c>
      <c r="BB79" s="1281">
        <f t="shared" si="25"/>
        <v>1.2799999999999994</v>
      </c>
      <c r="BC79" s="3706">
        <v>12</v>
      </c>
      <c r="BE79" s="4263" t="s">
        <v>59</v>
      </c>
      <c r="BF79" s="4263" t="s">
        <v>16</v>
      </c>
      <c r="BG79" s="4258" t="s">
        <v>17</v>
      </c>
      <c r="BH79" s="4263">
        <v>12.97</v>
      </c>
      <c r="BI79" s="4263">
        <v>36</v>
      </c>
      <c r="BJ79" s="4264">
        <f t="shared" si="26"/>
        <v>0.97000000000000064</v>
      </c>
      <c r="BK79" s="4265">
        <v>12</v>
      </c>
      <c r="BM79" s="36" t="s">
        <v>59</v>
      </c>
      <c r="BN79" s="36" t="s">
        <v>16</v>
      </c>
      <c r="BO79" s="36" t="s">
        <v>17</v>
      </c>
      <c r="BP79" s="1345">
        <v>13.05</v>
      </c>
      <c r="BQ79" s="95">
        <v>40</v>
      </c>
      <c r="BR79" s="1281">
        <f t="shared" si="27"/>
        <v>1.0500000000000007</v>
      </c>
      <c r="BS79" s="1349">
        <v>12</v>
      </c>
      <c r="BT79" s="2106"/>
      <c r="BU79" s="97" t="s">
        <v>59</v>
      </c>
      <c r="BV79" s="97" t="s">
        <v>16</v>
      </c>
      <c r="BW79" s="36" t="s">
        <v>17</v>
      </c>
      <c r="BX79" s="95">
        <v>14.22</v>
      </c>
      <c r="BY79" s="95">
        <v>18</v>
      </c>
      <c r="BZ79" s="1281">
        <f t="shared" si="28"/>
        <v>2.2200000000000006</v>
      </c>
      <c r="CB79" s="95" t="s">
        <v>59</v>
      </c>
      <c r="CC79" s="95" t="s">
        <v>16</v>
      </c>
      <c r="CD79" s="36" t="s">
        <v>17</v>
      </c>
      <c r="CE79" s="1345">
        <v>13.45</v>
      </c>
      <c r="CF79" s="95">
        <v>22</v>
      </c>
      <c r="CG79" s="1335">
        <f t="shared" si="19"/>
        <v>1.4499999999999993</v>
      </c>
      <c r="CI79" s="1254" t="s">
        <v>59</v>
      </c>
      <c r="CJ79" s="1254" t="s">
        <v>16</v>
      </c>
      <c r="CK79" s="1381" t="s">
        <v>17</v>
      </c>
      <c r="CL79" s="1382">
        <v>14.733333333333333</v>
      </c>
      <c r="CM79" s="1383">
        <v>15</v>
      </c>
      <c r="CN79" s="1335">
        <f t="shared" si="29"/>
        <v>2.7333333333333325</v>
      </c>
      <c r="CP79" s="1336" t="s">
        <v>59</v>
      </c>
      <c r="CQ79" s="1336" t="s">
        <v>16</v>
      </c>
      <c r="CR79" s="1337" t="s">
        <v>17</v>
      </c>
      <c r="CS79" s="1338">
        <v>24</v>
      </c>
      <c r="CT79" s="1339">
        <v>14.958333333333334</v>
      </c>
      <c r="CU79" s="1281">
        <f t="shared" si="30"/>
        <v>2.9583333333333339</v>
      </c>
      <c r="CW79" s="1384" t="s">
        <v>59</v>
      </c>
      <c r="CX79" s="1384" t="s">
        <v>16</v>
      </c>
      <c r="CY79" s="1385" t="s">
        <v>17</v>
      </c>
      <c r="CZ79" s="390">
        <v>32</v>
      </c>
      <c r="DA79" s="391">
        <v>14.343749999999998</v>
      </c>
      <c r="DB79" s="1388">
        <f t="shared" si="31"/>
        <v>2.3437499999999982</v>
      </c>
      <c r="DC79" s="36"/>
      <c r="DD79" s="1384" t="s">
        <v>59</v>
      </c>
      <c r="DE79" s="1384" t="s">
        <v>16</v>
      </c>
      <c r="DF79" s="1385" t="s">
        <v>17</v>
      </c>
      <c r="DG79" s="1386">
        <v>30</v>
      </c>
      <c r="DH79" s="1387">
        <v>12.933333333333335</v>
      </c>
      <c r="DI79" s="1388">
        <f t="shared" si="32"/>
        <v>0.93333333333333535</v>
      </c>
      <c r="DJ79" s="36"/>
      <c r="DK79" s="95" t="s">
        <v>59</v>
      </c>
      <c r="DL79" s="95" t="s">
        <v>16</v>
      </c>
      <c r="DM79" s="36" t="s">
        <v>17</v>
      </c>
      <c r="DN79" s="95">
        <v>40</v>
      </c>
      <c r="DO79" s="1345">
        <v>13.2</v>
      </c>
      <c r="DP79" s="1346">
        <f t="shared" si="33"/>
        <v>1.1999999999999993</v>
      </c>
      <c r="DQ79" s="36"/>
      <c r="DR79" s="1347" t="s">
        <v>59</v>
      </c>
      <c r="DS79" s="1347" t="s">
        <v>16</v>
      </c>
      <c r="DT79" s="392" t="s">
        <v>17</v>
      </c>
      <c r="DU79" s="1347">
        <v>24</v>
      </c>
      <c r="DV79" s="1348">
        <v>13.333333333333336</v>
      </c>
      <c r="DW79" s="1349">
        <v>12</v>
      </c>
      <c r="DX79" s="1667">
        <f t="shared" si="34"/>
        <v>1.3333333333333357</v>
      </c>
    </row>
    <row r="80" spans="1:128">
      <c r="A80" s="6391">
        <v>5</v>
      </c>
      <c r="B80" s="6391">
        <v>2</v>
      </c>
      <c r="C80" s="6391">
        <v>148</v>
      </c>
      <c r="D80" s="6392">
        <v>13.299801587301589</v>
      </c>
      <c r="E80" s="6391">
        <v>32</v>
      </c>
      <c r="F80" s="6076">
        <f t="shared" si="20"/>
        <v>1.2998015873015891</v>
      </c>
      <c r="G80" s="4318">
        <v>12</v>
      </c>
      <c r="I80" s="6081">
        <v>4</v>
      </c>
      <c r="J80" s="6081">
        <v>2</v>
      </c>
      <c r="K80" s="6082">
        <v>128</v>
      </c>
      <c r="L80" s="6075">
        <v>14.125</v>
      </c>
      <c r="M80" s="6081">
        <v>25</v>
      </c>
      <c r="N80" s="6076">
        <f>L80-O80</f>
        <v>2.125</v>
      </c>
      <c r="O80" s="4318">
        <v>12</v>
      </c>
      <c r="Q80" s="5834">
        <v>4</v>
      </c>
      <c r="R80" s="5834">
        <v>2</v>
      </c>
      <c r="S80" s="5842">
        <v>128</v>
      </c>
      <c r="T80" s="5835">
        <v>13.530952380952382</v>
      </c>
      <c r="U80" s="5834">
        <v>25</v>
      </c>
      <c r="V80" s="1346">
        <f>T80-W80</f>
        <v>1.5309523809523817</v>
      </c>
      <c r="W80" s="4318">
        <v>12</v>
      </c>
      <c r="Y80" s="4316">
        <v>4</v>
      </c>
      <c r="Z80" s="4316">
        <v>2</v>
      </c>
      <c r="AA80" s="4245" t="s">
        <v>17</v>
      </c>
      <c r="AB80" s="4331">
        <v>13.194444444444445</v>
      </c>
      <c r="AC80" s="4628">
        <v>15</v>
      </c>
      <c r="AD80" s="1346">
        <f t="shared" si="35"/>
        <v>1.1944444444444446</v>
      </c>
      <c r="AE80" s="4318">
        <v>12</v>
      </c>
      <c r="AF80" s="4817"/>
      <c r="AG80" s="4316">
        <v>4</v>
      </c>
      <c r="AH80" s="4316">
        <v>2</v>
      </c>
      <c r="AI80" s="4245" t="s">
        <v>18</v>
      </c>
      <c r="AJ80" s="4327">
        <v>12.794444444444444</v>
      </c>
      <c r="AK80" s="4628">
        <v>21</v>
      </c>
      <c r="AL80" s="1346">
        <f t="shared" si="23"/>
        <v>0.79444444444444429</v>
      </c>
      <c r="AM80" s="4318">
        <v>12</v>
      </c>
      <c r="AO80" s="4237"/>
      <c r="AP80" s="4237"/>
      <c r="AQ80" s="4236" t="s">
        <v>18</v>
      </c>
      <c r="AR80" s="4237"/>
      <c r="AS80" s="4237"/>
      <c r="AT80" s="4294"/>
      <c r="AU80" s="4295">
        <v>12</v>
      </c>
      <c r="AW80" s="97"/>
      <c r="AX80" s="97"/>
      <c r="AY80" s="3719" t="s">
        <v>18</v>
      </c>
      <c r="AZ80" s="97">
        <v>12.08</v>
      </c>
      <c r="BA80" s="97">
        <v>13</v>
      </c>
      <c r="BB80" s="1281">
        <f>AZ80-BC80</f>
        <v>8.0000000000000071E-2</v>
      </c>
      <c r="BC80" s="3706">
        <v>12</v>
      </c>
      <c r="BE80" s="4263"/>
      <c r="BF80" s="4263"/>
      <c r="BG80" s="4258" t="s">
        <v>18</v>
      </c>
      <c r="BH80" s="4263">
        <v>12.11</v>
      </c>
      <c r="BI80" s="4263">
        <v>9</v>
      </c>
      <c r="BJ80" s="4264">
        <f>BH80-BK80</f>
        <v>1.1099999999999994</v>
      </c>
      <c r="BK80" s="4265">
        <v>11</v>
      </c>
      <c r="BM80" s="36"/>
      <c r="BN80" s="36"/>
      <c r="BO80" s="36" t="s">
        <v>60</v>
      </c>
      <c r="BP80" s="1345">
        <v>15.17</v>
      </c>
      <c r="BQ80" s="95">
        <v>12</v>
      </c>
      <c r="BR80" s="1281">
        <f t="shared" si="27"/>
        <v>3.17</v>
      </c>
      <c r="BS80" s="1349">
        <v>12</v>
      </c>
      <c r="BT80" s="2106"/>
      <c r="BU80" s="97"/>
      <c r="BV80" s="97"/>
      <c r="BW80" s="36" t="s">
        <v>60</v>
      </c>
      <c r="BX80" s="95">
        <v>14.45</v>
      </c>
      <c r="BY80" s="95">
        <v>11</v>
      </c>
      <c r="BZ80" s="1281">
        <f t="shared" si="28"/>
        <v>2.4499999999999993</v>
      </c>
      <c r="CB80" s="95"/>
      <c r="CC80" s="95"/>
      <c r="CD80" s="36" t="s">
        <v>60</v>
      </c>
      <c r="CE80" s="1345">
        <v>16.329999999999998</v>
      </c>
      <c r="CF80" s="95">
        <v>3</v>
      </c>
      <c r="CG80" s="1335">
        <f t="shared" si="19"/>
        <v>4.3299999999999983</v>
      </c>
      <c r="CI80" s="742"/>
      <c r="CJ80" s="742"/>
      <c r="CK80" s="1334" t="s">
        <v>60</v>
      </c>
      <c r="CL80" s="1265">
        <v>13.5</v>
      </c>
      <c r="CM80" s="1266">
        <v>2</v>
      </c>
      <c r="CN80" s="1335">
        <f t="shared" si="29"/>
        <v>1.5</v>
      </c>
      <c r="CP80" s="1336"/>
      <c r="CQ80" s="1336"/>
      <c r="CR80" s="1337" t="s">
        <v>60</v>
      </c>
      <c r="CS80" s="1338">
        <v>4</v>
      </c>
      <c r="CT80" s="1339">
        <v>12.75</v>
      </c>
      <c r="CU80" s="1281">
        <f t="shared" si="30"/>
        <v>0.75</v>
      </c>
      <c r="CW80" s="1340"/>
      <c r="CX80" s="1340"/>
      <c r="CY80" s="1342" t="s">
        <v>60</v>
      </c>
      <c r="CZ80" s="390">
        <v>4</v>
      </c>
      <c r="DA80" s="391">
        <v>14.25</v>
      </c>
      <c r="DB80" s="1341">
        <f t="shared" si="31"/>
        <v>2.25</v>
      </c>
      <c r="DC80" s="36"/>
      <c r="DD80" s="1340"/>
      <c r="DE80" s="1340"/>
      <c r="DF80" s="1342" t="s">
        <v>60</v>
      </c>
      <c r="DG80" s="1343">
        <v>17</v>
      </c>
      <c r="DH80" s="1344">
        <v>12.529411764705882</v>
      </c>
      <c r="DI80" s="1341">
        <f t="shared" si="32"/>
        <v>0.52941176470588225</v>
      </c>
      <c r="DJ80" s="36"/>
      <c r="DK80" s="95"/>
      <c r="DL80" s="95"/>
      <c r="DM80" s="36" t="s">
        <v>60</v>
      </c>
      <c r="DN80" s="95">
        <v>8</v>
      </c>
      <c r="DO80" s="1345">
        <v>12.125</v>
      </c>
      <c r="DP80" s="1346">
        <f t="shared" si="33"/>
        <v>0.125</v>
      </c>
      <c r="DQ80" s="36"/>
      <c r="DR80" s="1347"/>
      <c r="DS80" s="1347"/>
      <c r="DT80" s="392" t="s">
        <v>18</v>
      </c>
      <c r="DU80" s="1347">
        <v>4</v>
      </c>
      <c r="DV80" s="1348">
        <v>14.75</v>
      </c>
      <c r="DW80" s="1349">
        <v>12</v>
      </c>
      <c r="DX80" s="1667">
        <f t="shared" si="34"/>
        <v>2.75</v>
      </c>
    </row>
    <row r="81" spans="1:128">
      <c r="A81" s="6391">
        <v>5</v>
      </c>
      <c r="B81" s="6391">
        <v>2</v>
      </c>
      <c r="C81" s="6391">
        <v>161</v>
      </c>
      <c r="D81" s="6392">
        <v>13</v>
      </c>
      <c r="E81" s="6391">
        <v>9</v>
      </c>
      <c r="F81" s="6076">
        <f t="shared" si="20"/>
        <v>1</v>
      </c>
      <c r="G81" s="4318">
        <v>12</v>
      </c>
      <c r="I81" s="6073">
        <v>4</v>
      </c>
      <c r="J81" s="6073">
        <v>2</v>
      </c>
      <c r="K81" s="6074">
        <v>129</v>
      </c>
      <c r="L81" s="6075">
        <v>15.333333333333334</v>
      </c>
      <c r="M81" s="6073">
        <v>17</v>
      </c>
      <c r="N81" s="6076">
        <f t="shared" ref="N81:N105" si="36">L81-O81</f>
        <v>3.3333333333333339</v>
      </c>
      <c r="O81" s="4318">
        <v>12</v>
      </c>
      <c r="Q81" s="5832">
        <v>4</v>
      </c>
      <c r="R81" s="5832">
        <v>2</v>
      </c>
      <c r="S81" s="5840">
        <v>129</v>
      </c>
      <c r="T81" s="5833">
        <v>12.8</v>
      </c>
      <c r="U81" s="5832">
        <v>17</v>
      </c>
      <c r="V81" s="1346">
        <f t="shared" ref="V81:V105" si="37">T81-W81</f>
        <v>0.80000000000000071</v>
      </c>
      <c r="W81" s="4318">
        <v>12</v>
      </c>
      <c r="Y81" s="4316">
        <v>4</v>
      </c>
      <c r="Z81" s="4316">
        <v>2</v>
      </c>
      <c r="AA81" s="4245" t="s">
        <v>18</v>
      </c>
      <c r="AB81" s="4327">
        <v>12.833333333333334</v>
      </c>
      <c r="AC81" s="4628">
        <v>9</v>
      </c>
      <c r="AD81" s="1346">
        <f t="shared" si="35"/>
        <v>0.83333333333333393</v>
      </c>
      <c r="AE81" s="4318">
        <v>12</v>
      </c>
      <c r="AF81" s="4817"/>
      <c r="AG81" s="4316">
        <v>4</v>
      </c>
      <c r="AH81" s="4316">
        <v>2</v>
      </c>
      <c r="AI81" s="4245" t="s">
        <v>60</v>
      </c>
      <c r="AJ81" s="4327">
        <v>16.15625</v>
      </c>
      <c r="AK81" s="4628">
        <v>20</v>
      </c>
      <c r="AL81" s="1346">
        <f t="shared" si="23"/>
        <v>4.15625</v>
      </c>
      <c r="AM81" s="4318">
        <v>12</v>
      </c>
      <c r="AO81" s="4237"/>
      <c r="AP81" s="4237"/>
      <c r="AQ81" s="4236" t="s">
        <v>60</v>
      </c>
      <c r="AR81" s="4237">
        <v>16.079999999999998</v>
      </c>
      <c r="AS81" s="4237">
        <v>12</v>
      </c>
      <c r="AT81" s="4294">
        <f>AR81-AU81</f>
        <v>4.0799999999999983</v>
      </c>
      <c r="AU81" s="4295">
        <v>12</v>
      </c>
      <c r="AW81" s="97"/>
      <c r="AX81" s="97"/>
      <c r="AY81" s="42" t="s">
        <v>60</v>
      </c>
      <c r="AZ81" s="97">
        <v>15.42</v>
      </c>
      <c r="BA81" s="97">
        <v>24</v>
      </c>
      <c r="BB81" s="1281">
        <f t="shared" ref="BB81:BB93" si="38">AZ81-BC81</f>
        <v>3.42</v>
      </c>
      <c r="BC81" s="3706">
        <v>12</v>
      </c>
      <c r="BE81" s="4263"/>
      <c r="BF81" s="4263"/>
      <c r="BG81" s="4258" t="s">
        <v>60</v>
      </c>
      <c r="BH81" s="4263">
        <v>14.93</v>
      </c>
      <c r="BI81" s="4263">
        <v>14</v>
      </c>
      <c r="BJ81" s="4264">
        <f t="shared" ref="BJ81:BJ93" si="39">BH81-BK81</f>
        <v>2.9299999999999997</v>
      </c>
      <c r="BK81" s="4265">
        <v>12</v>
      </c>
      <c r="BM81" s="36"/>
      <c r="BN81" s="36"/>
      <c r="BO81" s="36" t="s">
        <v>384</v>
      </c>
      <c r="BP81" s="1345">
        <v>17.29</v>
      </c>
      <c r="BQ81" s="95">
        <v>7</v>
      </c>
      <c r="BR81" s="1281">
        <f t="shared" si="27"/>
        <v>5.2899999999999991</v>
      </c>
      <c r="BS81" s="1349">
        <v>12</v>
      </c>
      <c r="BU81" s="97"/>
      <c r="BV81" s="97"/>
      <c r="BW81" s="36" t="s">
        <v>384</v>
      </c>
      <c r="BX81" s="95">
        <v>18.71</v>
      </c>
      <c r="BY81" s="95">
        <v>7</v>
      </c>
      <c r="BZ81" s="1281">
        <f t="shared" si="28"/>
        <v>6.7100000000000009</v>
      </c>
      <c r="CB81" s="95"/>
      <c r="CC81" s="95"/>
      <c r="CD81" s="36" t="s">
        <v>384</v>
      </c>
      <c r="CE81" s="1345">
        <v>16.86</v>
      </c>
      <c r="CF81" s="95">
        <v>7</v>
      </c>
      <c r="CG81" s="1335">
        <f t="shared" si="19"/>
        <v>4.8599999999999994</v>
      </c>
      <c r="CI81" s="742"/>
      <c r="CJ81" s="742"/>
      <c r="CK81" s="1334" t="s">
        <v>384</v>
      </c>
      <c r="CL81" s="1265">
        <v>16.09090909090909</v>
      </c>
      <c r="CM81" s="1266">
        <v>11</v>
      </c>
      <c r="CN81" s="1335">
        <f t="shared" si="29"/>
        <v>4.0909090909090899</v>
      </c>
      <c r="CP81" s="1336"/>
      <c r="CQ81" s="1336"/>
      <c r="CR81" s="1337" t="s">
        <v>384</v>
      </c>
      <c r="CS81" s="1338">
        <v>3</v>
      </c>
      <c r="CT81" s="1339">
        <v>14</v>
      </c>
      <c r="CU81" s="1281">
        <f t="shared" si="30"/>
        <v>2</v>
      </c>
      <c r="CW81" s="1340"/>
      <c r="CX81" s="1340"/>
      <c r="CY81" s="1342" t="s">
        <v>384</v>
      </c>
      <c r="CZ81" s="390">
        <v>7</v>
      </c>
      <c r="DA81" s="391">
        <v>15.142857142857142</v>
      </c>
      <c r="DB81" s="1341">
        <f t="shared" si="31"/>
        <v>3.1428571428571423</v>
      </c>
      <c r="DC81" s="36"/>
      <c r="DD81" s="1340"/>
      <c r="DE81" s="1340"/>
      <c r="DF81" s="1342" t="s">
        <v>384</v>
      </c>
      <c r="DG81" s="1343">
        <v>7</v>
      </c>
      <c r="DH81" s="1344">
        <v>14.285714285714286</v>
      </c>
      <c r="DI81" s="1341">
        <f t="shared" si="32"/>
        <v>2.2857142857142865</v>
      </c>
      <c r="DJ81" s="36"/>
      <c r="DK81" s="95"/>
      <c r="DL81" s="95"/>
      <c r="DM81" s="36" t="s">
        <v>384</v>
      </c>
      <c r="DN81" s="95">
        <v>3</v>
      </c>
      <c r="DO81" s="1345">
        <v>12.666666666666666</v>
      </c>
      <c r="DP81" s="1346">
        <f t="shared" si="33"/>
        <v>0.66666666666666607</v>
      </c>
      <c r="DQ81" s="36"/>
      <c r="DR81" s="1347"/>
      <c r="DS81" s="1347"/>
      <c r="DT81" s="392"/>
      <c r="DU81" s="1347"/>
      <c r="DV81" s="1348"/>
      <c r="DW81" s="1349">
        <v>12</v>
      </c>
      <c r="DX81" s="1667"/>
    </row>
    <row r="82" spans="1:128">
      <c r="A82" s="6391">
        <v>5</v>
      </c>
      <c r="B82" s="6391">
        <v>2</v>
      </c>
      <c r="C82" s="6391">
        <v>179</v>
      </c>
      <c r="D82" s="6392">
        <v>12</v>
      </c>
      <c r="E82" s="6391">
        <v>11</v>
      </c>
      <c r="F82" s="6076">
        <f t="shared" si="20"/>
        <v>0</v>
      </c>
      <c r="G82" s="4318">
        <v>12</v>
      </c>
      <c r="I82" s="6073">
        <v>4</v>
      </c>
      <c r="J82" s="6073">
        <v>2</v>
      </c>
      <c r="K82" s="6074">
        <v>135</v>
      </c>
      <c r="L82" s="6075">
        <v>18.53846153846154</v>
      </c>
      <c r="M82" s="6073">
        <v>29</v>
      </c>
      <c r="N82" s="6076">
        <f t="shared" si="36"/>
        <v>6.5384615384615401</v>
      </c>
      <c r="O82" s="4318">
        <v>12</v>
      </c>
      <c r="Q82" s="5832">
        <v>4</v>
      </c>
      <c r="R82" s="5832">
        <v>2</v>
      </c>
      <c r="S82" s="5840">
        <v>135</v>
      </c>
      <c r="T82" s="5833">
        <v>15.40026455026455</v>
      </c>
      <c r="U82" s="5832">
        <v>29</v>
      </c>
      <c r="V82" s="1346">
        <f t="shared" si="37"/>
        <v>3.4002645502645503</v>
      </c>
      <c r="W82" s="4318">
        <v>12</v>
      </c>
      <c r="Y82" s="4316">
        <v>4</v>
      </c>
      <c r="Z82" s="4316">
        <v>2</v>
      </c>
      <c r="AA82" s="4245" t="s">
        <v>60</v>
      </c>
      <c r="AB82" s="4327">
        <v>15.98</v>
      </c>
      <c r="AC82" s="4628">
        <v>14</v>
      </c>
      <c r="AD82" s="1346">
        <f t="shared" si="35"/>
        <v>3.9800000000000004</v>
      </c>
      <c r="AE82" s="4318">
        <v>12</v>
      </c>
      <c r="AF82" s="4817"/>
      <c r="AG82" s="4316">
        <v>4</v>
      </c>
      <c r="AH82" s="4316">
        <v>2</v>
      </c>
      <c r="AI82" s="4245" t="s">
        <v>384</v>
      </c>
      <c r="AJ82" s="4327">
        <v>16.8</v>
      </c>
      <c r="AK82" s="4628">
        <v>8</v>
      </c>
      <c r="AL82" s="1346">
        <f t="shared" si="23"/>
        <v>4.8000000000000007</v>
      </c>
      <c r="AM82" s="4318">
        <v>12</v>
      </c>
      <c r="AO82" s="4237"/>
      <c r="AP82" s="4237"/>
      <c r="AQ82" s="4236" t="s">
        <v>384</v>
      </c>
      <c r="AR82" s="4237">
        <v>16.5</v>
      </c>
      <c r="AS82" s="4237">
        <v>6</v>
      </c>
      <c r="AT82" s="4294">
        <f t="shared" ref="AT82:AT94" si="40">AR82-AU82</f>
        <v>4.5</v>
      </c>
      <c r="AU82" s="4295">
        <v>12</v>
      </c>
      <c r="AW82" s="97"/>
      <c r="AX82" s="97"/>
      <c r="AY82" s="42" t="s">
        <v>384</v>
      </c>
      <c r="AZ82" s="97">
        <v>17.170000000000002</v>
      </c>
      <c r="BA82" s="97">
        <v>12</v>
      </c>
      <c r="BB82" s="1281">
        <f t="shared" si="38"/>
        <v>5.1700000000000017</v>
      </c>
      <c r="BC82" s="3706">
        <v>12</v>
      </c>
      <c r="BE82" s="4263"/>
      <c r="BF82" s="4263"/>
      <c r="BG82" s="4258" t="s">
        <v>384</v>
      </c>
      <c r="BH82" s="4263">
        <v>17.22</v>
      </c>
      <c r="BI82" s="4263">
        <v>9</v>
      </c>
      <c r="BJ82" s="4264">
        <f t="shared" si="39"/>
        <v>5.2199999999999989</v>
      </c>
      <c r="BK82" s="4265">
        <v>12</v>
      </c>
      <c r="BM82" s="36"/>
      <c r="BN82" s="36"/>
      <c r="BO82" s="393" t="s">
        <v>483</v>
      </c>
      <c r="BP82" s="1360">
        <v>13.98</v>
      </c>
      <c r="BQ82" s="2015">
        <v>59</v>
      </c>
      <c r="BR82" s="1675">
        <f t="shared" si="27"/>
        <v>1.9800000000000004</v>
      </c>
      <c r="BS82" s="1349">
        <v>12</v>
      </c>
      <c r="BU82" s="97"/>
      <c r="BV82" s="97"/>
      <c r="BW82" s="393" t="s">
        <v>483</v>
      </c>
      <c r="BX82" s="86">
        <v>15.17</v>
      </c>
      <c r="BY82" s="86">
        <v>36</v>
      </c>
      <c r="BZ82" s="1675">
        <f t="shared" si="28"/>
        <v>3.17</v>
      </c>
      <c r="CB82" s="95"/>
      <c r="CC82" s="95"/>
      <c r="CD82" s="393" t="s">
        <v>483</v>
      </c>
      <c r="CE82" s="1360">
        <v>14.47</v>
      </c>
      <c r="CF82" s="86">
        <v>32</v>
      </c>
      <c r="CG82" s="1480">
        <f t="shared" si="19"/>
        <v>2.4700000000000006</v>
      </c>
      <c r="CI82" s="742"/>
      <c r="CJ82" s="742"/>
      <c r="CK82" s="1350" t="s">
        <v>483</v>
      </c>
      <c r="CL82" s="1351">
        <v>15.178571428571431</v>
      </c>
      <c r="CM82" s="1352">
        <v>28</v>
      </c>
      <c r="CN82" s="1335">
        <f t="shared" si="29"/>
        <v>3.1785714285714306</v>
      </c>
      <c r="CP82" s="1336"/>
      <c r="CQ82" s="1336"/>
      <c r="CR82" s="1353" t="s">
        <v>483</v>
      </c>
      <c r="CS82" s="1354">
        <v>33</v>
      </c>
      <c r="CT82" s="1355">
        <v>15</v>
      </c>
      <c r="CU82" s="1281">
        <f t="shared" si="30"/>
        <v>3</v>
      </c>
      <c r="CW82" s="1340"/>
      <c r="CX82" s="1340"/>
      <c r="CY82" s="1356" t="s">
        <v>483</v>
      </c>
      <c r="CZ82" s="395">
        <f>SUM(CZ79:CZ81)</f>
        <v>43</v>
      </c>
      <c r="DA82" s="394">
        <v>14.47</v>
      </c>
      <c r="DB82" s="1359">
        <f t="shared" si="31"/>
        <v>2.4700000000000006</v>
      </c>
      <c r="DC82" s="36"/>
      <c r="DD82" s="1340"/>
      <c r="DE82" s="1340"/>
      <c r="DF82" s="1356" t="s">
        <v>483</v>
      </c>
      <c r="DG82" s="1357">
        <v>54</v>
      </c>
      <c r="DH82" s="1358">
        <v>12.981481481481481</v>
      </c>
      <c r="DI82" s="1359">
        <f t="shared" si="32"/>
        <v>0.98148148148148096</v>
      </c>
      <c r="DJ82" s="36"/>
      <c r="DK82" s="95"/>
      <c r="DL82" s="95"/>
      <c r="DM82" s="393" t="s">
        <v>15</v>
      </c>
      <c r="DN82" s="86">
        <v>51</v>
      </c>
      <c r="DO82" s="1360">
        <v>13</v>
      </c>
      <c r="DP82" s="1361">
        <f t="shared" si="33"/>
        <v>1</v>
      </c>
      <c r="DQ82" s="36"/>
      <c r="DR82" s="1347"/>
      <c r="DS82" s="1347"/>
      <c r="DT82" s="1362" t="s">
        <v>15</v>
      </c>
      <c r="DU82" s="1363">
        <v>28</v>
      </c>
      <c r="DV82" s="1364">
        <v>13.535714285714286</v>
      </c>
      <c r="DW82" s="1349">
        <v>12</v>
      </c>
      <c r="DX82" s="1668">
        <f t="shared" si="34"/>
        <v>1.5357142857142865</v>
      </c>
    </row>
    <row r="83" spans="1:128">
      <c r="A83" s="6391">
        <v>5</v>
      </c>
      <c r="B83" s="6391">
        <v>3</v>
      </c>
      <c r="C83" s="6391">
        <v>149</v>
      </c>
      <c r="D83" s="6392">
        <v>17.321428571428569</v>
      </c>
      <c r="E83" s="6391">
        <v>21</v>
      </c>
      <c r="F83" s="6076">
        <f t="shared" si="20"/>
        <v>5.3214285714285694</v>
      </c>
      <c r="G83" s="4318">
        <v>12</v>
      </c>
      <c r="I83" s="6073">
        <v>4</v>
      </c>
      <c r="J83" s="6073">
        <v>2</v>
      </c>
      <c r="K83" s="6074">
        <v>136</v>
      </c>
      <c r="L83" s="6075">
        <v>19.166666666666668</v>
      </c>
      <c r="M83" s="6073">
        <v>16</v>
      </c>
      <c r="N83" s="6076">
        <f t="shared" si="36"/>
        <v>7.1666666666666679</v>
      </c>
      <c r="O83" s="4318">
        <v>12</v>
      </c>
      <c r="Q83" s="5832">
        <v>4</v>
      </c>
      <c r="R83" s="5832">
        <v>2</v>
      </c>
      <c r="S83" s="5840">
        <v>136</v>
      </c>
      <c r="T83" s="5833">
        <v>19.123333333333335</v>
      </c>
      <c r="U83" s="5832">
        <v>16</v>
      </c>
      <c r="V83" s="1346">
        <f t="shared" si="37"/>
        <v>7.1233333333333348</v>
      </c>
      <c r="W83" s="4318">
        <v>12</v>
      </c>
      <c r="Y83" s="4316">
        <v>4</v>
      </c>
      <c r="Z83" s="4316">
        <v>2</v>
      </c>
      <c r="AA83" s="4245" t="s">
        <v>384</v>
      </c>
      <c r="AB83" s="4327">
        <v>20.041666666666664</v>
      </c>
      <c r="AC83" s="4628">
        <v>11</v>
      </c>
      <c r="AD83" s="1346">
        <f t="shared" si="35"/>
        <v>8.0416666666666643</v>
      </c>
      <c r="AE83" s="4318">
        <v>12</v>
      </c>
      <c r="AF83" s="4817"/>
      <c r="AG83" s="4316"/>
      <c r="AH83" s="4316"/>
      <c r="AI83" s="4246" t="s">
        <v>483</v>
      </c>
      <c r="AJ83" s="4328">
        <v>15.05308302808303</v>
      </c>
      <c r="AK83" s="4627">
        <f>SUM(AK79:AK82)</f>
        <v>70</v>
      </c>
      <c r="AL83" s="1361">
        <f t="shared" si="23"/>
        <v>3.0530830280830301</v>
      </c>
      <c r="AM83" s="4319">
        <v>12</v>
      </c>
      <c r="AO83" s="4237"/>
      <c r="AP83" s="4237"/>
      <c r="AQ83" s="4214" t="s">
        <v>483</v>
      </c>
      <c r="AR83" s="4239">
        <v>15.91</v>
      </c>
      <c r="AS83" s="4239">
        <v>23</v>
      </c>
      <c r="AT83" s="4294">
        <f t="shared" si="40"/>
        <v>3.91</v>
      </c>
      <c r="AU83" s="4295">
        <v>12</v>
      </c>
      <c r="AW83" s="97"/>
      <c r="AX83" s="97"/>
      <c r="AY83" s="893" t="s">
        <v>483</v>
      </c>
      <c r="AZ83" s="135">
        <v>14.2</v>
      </c>
      <c r="BA83" s="135">
        <v>89</v>
      </c>
      <c r="BB83" s="1281">
        <f t="shared" si="38"/>
        <v>2.1999999999999993</v>
      </c>
      <c r="BC83" s="3706">
        <v>12</v>
      </c>
      <c r="BE83" s="4263"/>
      <c r="BF83" s="4263"/>
      <c r="BG83" s="4257" t="s">
        <v>483</v>
      </c>
      <c r="BH83" s="4266">
        <v>13.82</v>
      </c>
      <c r="BI83" s="4266">
        <v>68</v>
      </c>
      <c r="BJ83" s="4264">
        <f t="shared" si="39"/>
        <v>1.8200000000000003</v>
      </c>
      <c r="BK83" s="4265">
        <v>12</v>
      </c>
      <c r="BM83" s="36"/>
      <c r="BN83" s="36" t="s">
        <v>61</v>
      </c>
      <c r="BO83" s="36" t="s">
        <v>62</v>
      </c>
      <c r="BP83" s="1345">
        <v>19.14</v>
      </c>
      <c r="BQ83" s="95">
        <v>21</v>
      </c>
      <c r="BR83" s="1281">
        <f t="shared" si="27"/>
        <v>7.1400000000000006</v>
      </c>
      <c r="BS83" s="1349">
        <v>12</v>
      </c>
      <c r="BU83" s="97"/>
      <c r="BV83" s="97" t="s">
        <v>61</v>
      </c>
      <c r="BW83" s="36" t="s">
        <v>62</v>
      </c>
      <c r="BX83" s="95">
        <v>17.32</v>
      </c>
      <c r="BY83" s="95">
        <v>19</v>
      </c>
      <c r="BZ83" s="1281">
        <f t="shared" si="28"/>
        <v>5.32</v>
      </c>
      <c r="CB83" s="95"/>
      <c r="CC83" s="95" t="s">
        <v>61</v>
      </c>
      <c r="CD83" s="36" t="s">
        <v>62</v>
      </c>
      <c r="CE83" s="1345">
        <v>17.5</v>
      </c>
      <c r="CF83" s="95">
        <v>14</v>
      </c>
      <c r="CG83" s="1335">
        <f t="shared" si="19"/>
        <v>5.5</v>
      </c>
      <c r="CI83" s="742"/>
      <c r="CJ83" s="742" t="s">
        <v>61</v>
      </c>
      <c r="CK83" s="1334" t="s">
        <v>62</v>
      </c>
      <c r="CL83" s="1265">
        <v>17.888888888888889</v>
      </c>
      <c r="CM83" s="1266">
        <v>9</v>
      </c>
      <c r="CN83" s="1335">
        <f t="shared" si="29"/>
        <v>5.8888888888888893</v>
      </c>
      <c r="CP83" s="1336"/>
      <c r="CQ83" s="1336" t="s">
        <v>61</v>
      </c>
      <c r="CR83" s="1337" t="s">
        <v>62</v>
      </c>
      <c r="CS83" s="1338">
        <v>11</v>
      </c>
      <c r="CT83" s="1339">
        <v>17.27272727272727</v>
      </c>
      <c r="CU83" s="1281">
        <f t="shared" si="30"/>
        <v>5.2727272727272698</v>
      </c>
      <c r="CW83" s="1340"/>
      <c r="CX83" s="1340" t="s">
        <v>61</v>
      </c>
      <c r="CY83" s="1342" t="s">
        <v>62</v>
      </c>
      <c r="CZ83" s="390">
        <v>6</v>
      </c>
      <c r="DA83" s="391">
        <v>16.5</v>
      </c>
      <c r="DB83" s="1341">
        <f t="shared" si="31"/>
        <v>4.5</v>
      </c>
      <c r="DC83" s="36"/>
      <c r="DD83" s="1340"/>
      <c r="DE83" s="1340" t="s">
        <v>61</v>
      </c>
      <c r="DF83" s="1342" t="s">
        <v>62</v>
      </c>
      <c r="DG83" s="1343">
        <v>19</v>
      </c>
      <c r="DH83" s="1344">
        <v>14.947368421052634</v>
      </c>
      <c r="DI83" s="1341">
        <f t="shared" si="32"/>
        <v>2.9473684210526336</v>
      </c>
      <c r="DJ83" s="36"/>
      <c r="DK83" s="95"/>
      <c r="DL83" s="95" t="s">
        <v>61</v>
      </c>
      <c r="DM83" s="36" t="s">
        <v>62</v>
      </c>
      <c r="DN83" s="95">
        <v>15</v>
      </c>
      <c r="DO83" s="1345">
        <v>13.866666666666669</v>
      </c>
      <c r="DP83" s="1346">
        <f t="shared" si="33"/>
        <v>1.8666666666666689</v>
      </c>
      <c r="DQ83" s="36"/>
      <c r="DR83" s="1347"/>
      <c r="DS83" s="1347" t="s">
        <v>61</v>
      </c>
      <c r="DT83" s="392" t="s">
        <v>62</v>
      </c>
      <c r="DU83" s="1347">
        <v>15</v>
      </c>
      <c r="DV83" s="1348">
        <v>13.6</v>
      </c>
      <c r="DW83" s="1349">
        <v>12</v>
      </c>
      <c r="DX83" s="1667">
        <f t="shared" si="34"/>
        <v>1.5999999999999996</v>
      </c>
    </row>
    <row r="84" spans="1:128">
      <c r="A84" s="6391">
        <v>5</v>
      </c>
      <c r="B84" s="6391">
        <v>3</v>
      </c>
      <c r="C84" s="6391">
        <v>178</v>
      </c>
      <c r="D84" s="6392">
        <v>12.166666666666668</v>
      </c>
      <c r="E84" s="6391">
        <v>8</v>
      </c>
      <c r="F84" s="6076">
        <f t="shared" si="20"/>
        <v>0.16666666666666785</v>
      </c>
      <c r="G84" s="4318">
        <v>12</v>
      </c>
      <c r="I84" s="6073"/>
      <c r="J84" s="6073"/>
      <c r="K84" s="6083" t="s">
        <v>483</v>
      </c>
      <c r="L84" s="6075">
        <v>16.8</v>
      </c>
      <c r="M84" s="6077">
        <f>SUM(M80:M83)</f>
        <v>87</v>
      </c>
      <c r="N84" s="6084">
        <f t="shared" si="36"/>
        <v>4.8000000000000007</v>
      </c>
      <c r="O84" s="4319">
        <v>12</v>
      </c>
      <c r="Q84" s="5832"/>
      <c r="R84" s="5832"/>
      <c r="S84" s="5847" t="s">
        <v>483</v>
      </c>
      <c r="T84" s="5843">
        <v>15.307103174603176</v>
      </c>
      <c r="U84" s="5838">
        <f>SUM(U80:U83)</f>
        <v>87</v>
      </c>
      <c r="V84" s="1361">
        <f t="shared" si="37"/>
        <v>3.307103174603176</v>
      </c>
      <c r="W84" s="4319">
        <v>12</v>
      </c>
      <c r="Y84" s="4316"/>
      <c r="Z84" s="4316"/>
      <c r="AA84" s="4246" t="s">
        <v>483</v>
      </c>
      <c r="AB84" s="4328">
        <v>15.53986928104575</v>
      </c>
      <c r="AC84" s="4627">
        <f>SUM(AC80:AC83)</f>
        <v>49</v>
      </c>
      <c r="AD84" s="1361">
        <f t="shared" si="35"/>
        <v>3.5398692810457497</v>
      </c>
      <c r="AE84" s="4319">
        <v>12</v>
      </c>
      <c r="AF84" s="4817"/>
      <c r="AG84" s="4316">
        <v>4</v>
      </c>
      <c r="AH84" s="4316">
        <v>5</v>
      </c>
      <c r="AI84" s="4245" t="s">
        <v>62</v>
      </c>
      <c r="AJ84" s="4327">
        <v>19.458333333333332</v>
      </c>
      <c r="AK84" s="4628">
        <v>25</v>
      </c>
      <c r="AL84" s="1346">
        <f t="shared" si="23"/>
        <v>7.4583333333333321</v>
      </c>
      <c r="AM84" s="4318">
        <v>12</v>
      </c>
      <c r="AO84" s="4237"/>
      <c r="AP84" s="4237" t="s">
        <v>61</v>
      </c>
      <c r="AQ84" s="4236" t="s">
        <v>62</v>
      </c>
      <c r="AR84" s="4237">
        <v>19.399999999999999</v>
      </c>
      <c r="AS84" s="4237">
        <v>10</v>
      </c>
      <c r="AT84" s="4294">
        <f t="shared" si="40"/>
        <v>7.3999999999999986</v>
      </c>
      <c r="AU84" s="4295">
        <v>12</v>
      </c>
      <c r="AW84" s="97"/>
      <c r="AX84" s="97" t="s">
        <v>61</v>
      </c>
      <c r="AY84" s="42" t="s">
        <v>62</v>
      </c>
      <c r="AZ84" s="97">
        <v>15.61</v>
      </c>
      <c r="BA84" s="97">
        <v>23</v>
      </c>
      <c r="BB84" s="1281">
        <f t="shared" si="38"/>
        <v>3.6099999999999994</v>
      </c>
      <c r="BC84" s="3706">
        <v>12</v>
      </c>
      <c r="BE84" s="4263"/>
      <c r="BF84" s="4263" t="s">
        <v>61</v>
      </c>
      <c r="BG84" s="4258" t="s">
        <v>62</v>
      </c>
      <c r="BH84" s="4263">
        <v>16.600000000000001</v>
      </c>
      <c r="BI84" s="4263">
        <v>10</v>
      </c>
      <c r="BJ84" s="4264">
        <f t="shared" si="39"/>
        <v>4.6000000000000014</v>
      </c>
      <c r="BK84" s="4265">
        <v>12</v>
      </c>
      <c r="BM84" s="36"/>
      <c r="BN84" s="36"/>
      <c r="BO84" s="36" t="s">
        <v>385</v>
      </c>
      <c r="BP84" s="1345">
        <v>19.079999999999998</v>
      </c>
      <c r="BQ84" s="95">
        <v>13</v>
      </c>
      <c r="BR84" s="1281">
        <f t="shared" si="27"/>
        <v>7.0799999999999983</v>
      </c>
      <c r="BS84" s="1349">
        <v>12</v>
      </c>
      <c r="BU84" s="97"/>
      <c r="BV84" s="97"/>
      <c r="BW84" s="36" t="s">
        <v>385</v>
      </c>
      <c r="BX84" s="95">
        <v>18.14</v>
      </c>
      <c r="BY84" s="95">
        <v>7</v>
      </c>
      <c r="BZ84" s="1281">
        <f t="shared" si="28"/>
        <v>6.1400000000000006</v>
      </c>
      <c r="CB84" s="95"/>
      <c r="CC84" s="95"/>
      <c r="CD84" s="36" t="s">
        <v>385</v>
      </c>
      <c r="CE84" s="1345">
        <v>19.29</v>
      </c>
      <c r="CF84" s="95">
        <v>7</v>
      </c>
      <c r="CG84" s="1335">
        <f t="shared" si="19"/>
        <v>7.2899999999999991</v>
      </c>
      <c r="CI84" s="742"/>
      <c r="CJ84" s="742"/>
      <c r="CK84" s="1334" t="s">
        <v>385</v>
      </c>
      <c r="CL84" s="1265">
        <v>17.000000000000004</v>
      </c>
      <c r="CM84" s="1266">
        <v>7</v>
      </c>
      <c r="CN84" s="1335">
        <f t="shared" si="29"/>
        <v>5.0000000000000036</v>
      </c>
      <c r="CP84" s="1336"/>
      <c r="CQ84" s="1336"/>
      <c r="CR84" s="1337" t="s">
        <v>385</v>
      </c>
      <c r="CS84" s="1338">
        <v>2</v>
      </c>
      <c r="CT84" s="1339">
        <v>14.5</v>
      </c>
      <c r="CU84" s="1281">
        <f t="shared" si="30"/>
        <v>2.5</v>
      </c>
      <c r="CW84" s="1340"/>
      <c r="CX84" s="1340"/>
      <c r="CY84" s="1342" t="s">
        <v>385</v>
      </c>
      <c r="CZ84" s="390"/>
      <c r="DA84" s="391"/>
      <c r="DB84" s="1341"/>
      <c r="DC84" s="36"/>
      <c r="DD84" s="1340"/>
      <c r="DE84" s="1340"/>
      <c r="DF84" s="1342" t="s">
        <v>385</v>
      </c>
      <c r="DG84" s="1343">
        <v>2</v>
      </c>
      <c r="DH84" s="1344">
        <v>15.5</v>
      </c>
      <c r="DI84" s="1341">
        <f t="shared" si="32"/>
        <v>3.5</v>
      </c>
      <c r="DJ84" s="36"/>
      <c r="DK84" s="95"/>
      <c r="DL84" s="95"/>
      <c r="DM84" s="36" t="s">
        <v>385</v>
      </c>
      <c r="DN84" s="95">
        <v>2</v>
      </c>
      <c r="DO84" s="1345">
        <v>12.5</v>
      </c>
      <c r="DP84" s="1346">
        <f t="shared" si="33"/>
        <v>0.5</v>
      </c>
      <c r="DQ84" s="36"/>
      <c r="DR84" s="1347"/>
      <c r="DS84" s="1347"/>
      <c r="DT84" s="392"/>
      <c r="DU84" s="1347"/>
      <c r="DV84" s="1348"/>
      <c r="DW84" s="1349">
        <v>12</v>
      </c>
      <c r="DX84" s="1667"/>
    </row>
    <row r="85" spans="1:128">
      <c r="A85" s="6391">
        <v>5</v>
      </c>
      <c r="B85" s="6391">
        <v>3</v>
      </c>
      <c r="C85" s="6391">
        <v>185</v>
      </c>
      <c r="D85" s="6392">
        <v>14.865384615384615</v>
      </c>
      <c r="E85" s="6391">
        <v>15</v>
      </c>
      <c r="F85" s="6076">
        <f t="shared" si="20"/>
        <v>2.865384615384615</v>
      </c>
      <c r="G85" s="4318">
        <v>12</v>
      </c>
      <c r="I85" s="6073">
        <v>4</v>
      </c>
      <c r="J85" s="6073">
        <v>5</v>
      </c>
      <c r="K85" s="6074">
        <v>130</v>
      </c>
      <c r="L85" s="6075">
        <v>18</v>
      </c>
      <c r="M85" s="6073">
        <v>42</v>
      </c>
      <c r="N85" s="6076">
        <f t="shared" si="36"/>
        <v>6</v>
      </c>
      <c r="O85" s="4318">
        <v>12</v>
      </c>
      <c r="Q85" s="5832">
        <v>4</v>
      </c>
      <c r="R85" s="5832">
        <v>5</v>
      </c>
      <c r="S85" s="5840">
        <v>130</v>
      </c>
      <c r="T85" s="5833">
        <v>14.931538461538462</v>
      </c>
      <c r="U85" s="5832">
        <v>42</v>
      </c>
      <c r="V85" s="1346">
        <f t="shared" si="37"/>
        <v>2.9315384615384623</v>
      </c>
      <c r="W85" s="4318">
        <v>12</v>
      </c>
      <c r="Y85" s="4316">
        <v>4</v>
      </c>
      <c r="Z85" s="4316">
        <v>5</v>
      </c>
      <c r="AA85" s="4245" t="s">
        <v>62</v>
      </c>
      <c r="AB85" s="4327">
        <v>15.566666666666666</v>
      </c>
      <c r="AC85" s="4628">
        <v>20</v>
      </c>
      <c r="AD85" s="1346">
        <f t="shared" si="35"/>
        <v>3.5666666666666664</v>
      </c>
      <c r="AE85" s="4318">
        <v>12</v>
      </c>
      <c r="AF85" s="4817"/>
      <c r="AG85" s="4316">
        <v>4</v>
      </c>
      <c r="AH85" s="4316">
        <v>5</v>
      </c>
      <c r="AI85" s="4245" t="s">
        <v>385</v>
      </c>
      <c r="AJ85" s="4327">
        <v>18.25</v>
      </c>
      <c r="AK85" s="4628">
        <v>4</v>
      </c>
      <c r="AL85" s="1346">
        <f t="shared" si="23"/>
        <v>6.25</v>
      </c>
      <c r="AM85" s="4318">
        <v>12</v>
      </c>
      <c r="AO85" s="4237"/>
      <c r="AP85" s="4237"/>
      <c r="AQ85" s="4236" t="s">
        <v>385</v>
      </c>
      <c r="AR85" s="4237">
        <v>22</v>
      </c>
      <c r="AS85" s="4237">
        <v>2</v>
      </c>
      <c r="AT85" s="4294">
        <f t="shared" si="40"/>
        <v>10</v>
      </c>
      <c r="AU85" s="4295">
        <v>12</v>
      </c>
      <c r="AW85" s="97"/>
      <c r="AX85" s="97"/>
      <c r="AY85" s="42" t="s">
        <v>385</v>
      </c>
      <c r="AZ85" s="97">
        <v>17.579999999999998</v>
      </c>
      <c r="BA85" s="97">
        <v>12</v>
      </c>
      <c r="BB85" s="1281">
        <f t="shared" si="38"/>
        <v>5.5799999999999983</v>
      </c>
      <c r="BC85" s="3706">
        <v>12</v>
      </c>
      <c r="BE85" s="4263"/>
      <c r="BF85" s="4263"/>
      <c r="BG85" s="4258" t="s">
        <v>385</v>
      </c>
      <c r="BH85" s="4263">
        <v>17.5</v>
      </c>
      <c r="BI85" s="4263">
        <v>2</v>
      </c>
      <c r="BJ85" s="4264">
        <f t="shared" si="39"/>
        <v>5.5</v>
      </c>
      <c r="BK85" s="4265">
        <v>12</v>
      </c>
      <c r="BM85" s="36"/>
      <c r="BN85" s="36"/>
      <c r="BO85" s="36" t="s">
        <v>63</v>
      </c>
      <c r="BP85" s="1345">
        <v>14.33</v>
      </c>
      <c r="BQ85" s="95">
        <v>30</v>
      </c>
      <c r="BR85" s="1281">
        <f t="shared" si="27"/>
        <v>2.33</v>
      </c>
      <c r="BS85" s="1349">
        <v>12</v>
      </c>
      <c r="BU85" s="97"/>
      <c r="BV85" s="97"/>
      <c r="BW85" s="36" t="s">
        <v>63</v>
      </c>
      <c r="BX85" s="95">
        <v>15.45</v>
      </c>
      <c r="BY85" s="95">
        <v>29</v>
      </c>
      <c r="BZ85" s="1281">
        <f t="shared" si="28"/>
        <v>3.4499999999999993</v>
      </c>
      <c r="CB85" s="95"/>
      <c r="CC85" s="95"/>
      <c r="CD85" s="36" t="s">
        <v>63</v>
      </c>
      <c r="CE85" s="1345">
        <v>14.89</v>
      </c>
      <c r="CF85" s="95">
        <v>18</v>
      </c>
      <c r="CG85" s="1335">
        <f t="shared" si="19"/>
        <v>2.8900000000000006</v>
      </c>
      <c r="CI85" s="742"/>
      <c r="CJ85" s="742"/>
      <c r="CK85" s="1334" t="s">
        <v>63</v>
      </c>
      <c r="CL85" s="1265">
        <v>15.384615384615387</v>
      </c>
      <c r="CM85" s="1266">
        <v>13</v>
      </c>
      <c r="CN85" s="1335">
        <f t="shared" si="29"/>
        <v>3.3846153846153868</v>
      </c>
      <c r="CP85" s="1336"/>
      <c r="CQ85" s="1336"/>
      <c r="CR85" s="1337" t="s">
        <v>63</v>
      </c>
      <c r="CS85" s="1338">
        <v>18</v>
      </c>
      <c r="CT85" s="1339">
        <v>13.27777777777778</v>
      </c>
      <c r="CU85" s="1281">
        <f t="shared" si="30"/>
        <v>1.2777777777777803</v>
      </c>
      <c r="CW85" s="1340"/>
      <c r="CX85" s="1340"/>
      <c r="CY85" s="1342" t="s">
        <v>63</v>
      </c>
      <c r="CZ85" s="390">
        <v>15</v>
      </c>
      <c r="DA85" s="391">
        <v>13.200000000000001</v>
      </c>
      <c r="DB85" s="1341">
        <f t="shared" si="31"/>
        <v>1.2000000000000011</v>
      </c>
      <c r="DC85" s="36"/>
      <c r="DD85" s="1340"/>
      <c r="DE85" s="1340"/>
      <c r="DF85" s="1342" t="s">
        <v>63</v>
      </c>
      <c r="DG85" s="1343">
        <v>27</v>
      </c>
      <c r="DH85" s="1344">
        <v>13.148148148148149</v>
      </c>
      <c r="DI85" s="1341">
        <f t="shared" si="32"/>
        <v>1.1481481481481488</v>
      </c>
      <c r="DJ85" s="36"/>
      <c r="DK85" s="95"/>
      <c r="DL85" s="95"/>
      <c r="DM85" s="36" t="s">
        <v>63</v>
      </c>
      <c r="DN85" s="95">
        <v>15</v>
      </c>
      <c r="DO85" s="1345">
        <v>12.266666666666666</v>
      </c>
      <c r="DP85" s="1346">
        <f t="shared" si="33"/>
        <v>0.26666666666666572</v>
      </c>
      <c r="DQ85" s="36"/>
      <c r="DR85" s="1347"/>
      <c r="DS85" s="1347"/>
      <c r="DT85" s="392"/>
      <c r="DU85" s="1347"/>
      <c r="DV85" s="1348"/>
      <c r="DW85" s="1349">
        <v>12</v>
      </c>
      <c r="DX85" s="1667"/>
    </row>
    <row r="86" spans="1:128">
      <c r="G86" s="4318"/>
      <c r="I86" s="6073">
        <v>4</v>
      </c>
      <c r="J86" s="6073">
        <v>5</v>
      </c>
      <c r="K86" s="6074">
        <v>137</v>
      </c>
      <c r="L86" s="6075">
        <v>20.333333333333332</v>
      </c>
      <c r="M86" s="6073">
        <v>14</v>
      </c>
      <c r="N86" s="6076">
        <f t="shared" si="36"/>
        <v>8.3333333333333321</v>
      </c>
      <c r="O86" s="4318">
        <v>12</v>
      </c>
      <c r="Q86" s="5832">
        <v>4</v>
      </c>
      <c r="R86" s="5832">
        <v>5</v>
      </c>
      <c r="S86" s="5840">
        <v>137</v>
      </c>
      <c r="T86" s="5833">
        <v>17.013888888888889</v>
      </c>
      <c r="U86" s="5832">
        <v>14</v>
      </c>
      <c r="V86" s="1346">
        <f t="shared" si="37"/>
        <v>5.0138888888888893</v>
      </c>
      <c r="W86" s="4318">
        <v>12</v>
      </c>
      <c r="Y86" s="4316">
        <v>4</v>
      </c>
      <c r="Z86" s="4316">
        <v>5</v>
      </c>
      <c r="AA86" s="4245" t="s">
        <v>385</v>
      </c>
      <c r="AB86" s="4327">
        <v>19.285714285714285</v>
      </c>
      <c r="AC86" s="4628">
        <v>8</v>
      </c>
      <c r="AD86" s="1346">
        <f t="shared" si="35"/>
        <v>7.2857142857142847</v>
      </c>
      <c r="AE86" s="4318">
        <v>12</v>
      </c>
      <c r="AF86" s="4817"/>
      <c r="AG86" s="4316">
        <v>4</v>
      </c>
      <c r="AH86" s="4316">
        <v>5</v>
      </c>
      <c r="AI86" s="4245" t="s">
        <v>63</v>
      </c>
      <c r="AJ86" s="4327">
        <v>15.544507575757576</v>
      </c>
      <c r="AK86" s="4628">
        <v>37</v>
      </c>
      <c r="AL86" s="1346">
        <f t="shared" si="23"/>
        <v>3.5445075757575761</v>
      </c>
      <c r="AM86" s="4318">
        <v>12</v>
      </c>
      <c r="AO86" s="4237"/>
      <c r="AP86" s="4237"/>
      <c r="AQ86" s="4236" t="s">
        <v>63</v>
      </c>
      <c r="AR86" s="4237">
        <v>14.93</v>
      </c>
      <c r="AS86" s="4237">
        <v>29</v>
      </c>
      <c r="AT86" s="4294">
        <f t="shared" si="40"/>
        <v>2.9299999999999997</v>
      </c>
      <c r="AU86" s="4295">
        <v>12</v>
      </c>
      <c r="AW86" s="97"/>
      <c r="AX86" s="97"/>
      <c r="AY86" s="42" t="s">
        <v>63</v>
      </c>
      <c r="AZ86" s="97">
        <v>14.6</v>
      </c>
      <c r="BA86" s="97">
        <v>45</v>
      </c>
      <c r="BB86" s="1281">
        <f t="shared" si="38"/>
        <v>2.5999999999999996</v>
      </c>
      <c r="BC86" s="3706">
        <v>12</v>
      </c>
      <c r="BE86" s="4263"/>
      <c r="BF86" s="4263"/>
      <c r="BG86" s="4258" t="s">
        <v>63</v>
      </c>
      <c r="BH86" s="4263">
        <v>14.09</v>
      </c>
      <c r="BI86" s="4263">
        <v>35</v>
      </c>
      <c r="BJ86" s="4264">
        <f t="shared" si="39"/>
        <v>2.09</v>
      </c>
      <c r="BK86" s="4265">
        <v>12</v>
      </c>
      <c r="BM86" s="36"/>
      <c r="BN86" s="36"/>
      <c r="BO86" s="393" t="s">
        <v>486</v>
      </c>
      <c r="BP86" s="1360">
        <v>16.88</v>
      </c>
      <c r="BQ86" s="2015">
        <v>64</v>
      </c>
      <c r="BR86" s="1675">
        <f t="shared" si="27"/>
        <v>4.879999999999999</v>
      </c>
      <c r="BS86" s="1349">
        <v>12</v>
      </c>
      <c r="BU86" s="97"/>
      <c r="BV86" s="97"/>
      <c r="BW86" s="393" t="s">
        <v>486</v>
      </c>
      <c r="BX86" s="86">
        <v>16.440000000000001</v>
      </c>
      <c r="BY86" s="86">
        <v>55</v>
      </c>
      <c r="BZ86" s="1675">
        <f t="shared" si="28"/>
        <v>4.4400000000000013</v>
      </c>
      <c r="CB86" s="95"/>
      <c r="CC86" s="95"/>
      <c r="CD86" s="393" t="s">
        <v>486</v>
      </c>
      <c r="CE86" s="1360">
        <v>16.62</v>
      </c>
      <c r="CF86" s="86">
        <v>39</v>
      </c>
      <c r="CG86" s="1480">
        <f t="shared" si="19"/>
        <v>4.620000000000001</v>
      </c>
      <c r="CI86" s="742"/>
      <c r="CJ86" s="742"/>
      <c r="CK86" s="1350" t="s">
        <v>486</v>
      </c>
      <c r="CL86" s="1351">
        <v>16.551724137931039</v>
      </c>
      <c r="CM86" s="1352">
        <v>29</v>
      </c>
      <c r="CN86" s="1335">
        <f t="shared" si="29"/>
        <v>4.5517241379310391</v>
      </c>
      <c r="CP86" s="1336"/>
      <c r="CQ86" s="1336"/>
      <c r="CR86" s="1353" t="s">
        <v>486</v>
      </c>
      <c r="CS86" s="1354">
        <v>31</v>
      </c>
      <c r="CT86" s="1355">
        <v>14.7741935483871</v>
      </c>
      <c r="CU86" s="1281">
        <f t="shared" si="30"/>
        <v>2.7741935483870996</v>
      </c>
      <c r="CW86" s="1340"/>
      <c r="CX86" s="1340"/>
      <c r="CY86" s="1356" t="s">
        <v>486</v>
      </c>
      <c r="CZ86" s="395">
        <f>SUM(CZ83:CZ85)</f>
        <v>21</v>
      </c>
      <c r="DA86" s="394">
        <v>14.14</v>
      </c>
      <c r="DB86" s="1359">
        <f t="shared" si="31"/>
        <v>2.1400000000000006</v>
      </c>
      <c r="DC86" s="36"/>
      <c r="DD86" s="1340"/>
      <c r="DE86" s="1340"/>
      <c r="DF86" s="1356" t="s">
        <v>486</v>
      </c>
      <c r="DG86" s="1357">
        <v>48</v>
      </c>
      <c r="DH86" s="1358">
        <v>13.958333333333334</v>
      </c>
      <c r="DI86" s="1359">
        <f t="shared" si="32"/>
        <v>1.9583333333333339</v>
      </c>
      <c r="DJ86" s="36"/>
      <c r="DK86" s="95"/>
      <c r="DL86" s="95"/>
      <c r="DM86" s="393" t="s">
        <v>15</v>
      </c>
      <c r="DN86" s="86">
        <v>32</v>
      </c>
      <c r="DO86" s="1360">
        <v>13.031250000000002</v>
      </c>
      <c r="DP86" s="1361">
        <f t="shared" si="33"/>
        <v>1.0312500000000018</v>
      </c>
      <c r="DQ86" s="36"/>
      <c r="DR86" s="1347"/>
      <c r="DS86" s="1347"/>
      <c r="DT86" s="1362" t="s">
        <v>15</v>
      </c>
      <c r="DU86" s="1363">
        <v>15</v>
      </c>
      <c r="DV86" s="1364">
        <v>13.6</v>
      </c>
      <c r="DW86" s="1349">
        <v>12</v>
      </c>
      <c r="DX86" s="1668">
        <f t="shared" si="34"/>
        <v>1.5999999999999996</v>
      </c>
    </row>
    <row r="87" spans="1:128">
      <c r="G87" s="4318"/>
      <c r="I87" s="6073">
        <v>4</v>
      </c>
      <c r="J87" s="6073">
        <v>5</v>
      </c>
      <c r="K87" s="6074">
        <v>138</v>
      </c>
      <c r="L87" s="6075">
        <v>12.789473684210526</v>
      </c>
      <c r="M87" s="6073">
        <v>41</v>
      </c>
      <c r="N87" s="6076">
        <f t="shared" si="36"/>
        <v>0.78947368421052566</v>
      </c>
      <c r="O87" s="4318">
        <v>12</v>
      </c>
      <c r="Q87" s="5832">
        <v>4</v>
      </c>
      <c r="R87" s="5832">
        <v>5</v>
      </c>
      <c r="S87" s="5840">
        <v>138</v>
      </c>
      <c r="T87" s="5833">
        <v>15.088235294117647</v>
      </c>
      <c r="U87" s="5832">
        <v>41</v>
      </c>
      <c r="V87" s="1346">
        <f t="shared" si="37"/>
        <v>3.0882352941176467</v>
      </c>
      <c r="W87" s="4318">
        <v>12</v>
      </c>
      <c r="Y87" s="4316">
        <v>4</v>
      </c>
      <c r="Z87" s="4316">
        <v>5</v>
      </c>
      <c r="AA87" s="4245" t="s">
        <v>63</v>
      </c>
      <c r="AB87" s="4327">
        <v>14.977124183006536</v>
      </c>
      <c r="AC87" s="4628">
        <v>38</v>
      </c>
      <c r="AD87" s="1346">
        <f t="shared" si="35"/>
        <v>2.977124183006536</v>
      </c>
      <c r="AE87" s="4318">
        <v>12</v>
      </c>
      <c r="AF87" s="4817"/>
      <c r="AG87" s="4316"/>
      <c r="AH87" s="4316"/>
      <c r="AI87" s="4246" t="s">
        <v>486</v>
      </c>
      <c r="AJ87" s="4328">
        <v>17.651136363636361</v>
      </c>
      <c r="AK87" s="4627">
        <f>SUM(AK84:AK86)</f>
        <v>66</v>
      </c>
      <c r="AL87" s="1361">
        <f t="shared" si="23"/>
        <v>5.6511363636363612</v>
      </c>
      <c r="AM87" s="4319">
        <v>12</v>
      </c>
      <c r="AO87" s="4237"/>
      <c r="AP87" s="4237"/>
      <c r="AQ87" s="4214" t="s">
        <v>486</v>
      </c>
      <c r="AR87" s="4239">
        <v>16.37</v>
      </c>
      <c r="AS87" s="4239">
        <v>41</v>
      </c>
      <c r="AT87" s="4294">
        <f t="shared" si="40"/>
        <v>4.370000000000001</v>
      </c>
      <c r="AU87" s="4295">
        <v>12</v>
      </c>
      <c r="AW87" s="97"/>
      <c r="AX87" s="97"/>
      <c r="AY87" s="893" t="s">
        <v>486</v>
      </c>
      <c r="AZ87" s="135">
        <v>15.34</v>
      </c>
      <c r="BA87" s="135">
        <v>80</v>
      </c>
      <c r="BB87" s="1281">
        <f t="shared" si="38"/>
        <v>3.34</v>
      </c>
      <c r="BC87" s="3706">
        <v>12</v>
      </c>
      <c r="BE87" s="4263"/>
      <c r="BF87" s="4263"/>
      <c r="BG87" s="4257" t="s">
        <v>486</v>
      </c>
      <c r="BH87" s="4266">
        <v>14.77</v>
      </c>
      <c r="BI87" s="4266">
        <v>47</v>
      </c>
      <c r="BJ87" s="4264">
        <f t="shared" si="39"/>
        <v>2.7699999999999996</v>
      </c>
      <c r="BK87" s="4265">
        <v>12</v>
      </c>
      <c r="BM87" s="36"/>
      <c r="BN87" s="36" t="s">
        <v>64</v>
      </c>
      <c r="BO87" s="36" t="s">
        <v>14</v>
      </c>
      <c r="BP87" s="1345">
        <v>17.89</v>
      </c>
      <c r="BQ87" s="95">
        <v>28</v>
      </c>
      <c r="BR87" s="1281">
        <f t="shared" si="27"/>
        <v>5.8900000000000006</v>
      </c>
      <c r="BS87" s="1349">
        <v>12</v>
      </c>
      <c r="BU87" s="97"/>
      <c r="BV87" s="97" t="s">
        <v>64</v>
      </c>
      <c r="BW87" s="36" t="s">
        <v>14</v>
      </c>
      <c r="BX87" s="95">
        <v>20.399999999999999</v>
      </c>
      <c r="BY87" s="95">
        <v>5</v>
      </c>
      <c r="BZ87" s="1281">
        <f t="shared" si="28"/>
        <v>8.3999999999999986</v>
      </c>
      <c r="CB87" s="95"/>
      <c r="CC87" s="95" t="s">
        <v>64</v>
      </c>
      <c r="CD87" s="36" t="s">
        <v>14</v>
      </c>
      <c r="CE87" s="1345">
        <v>19.13</v>
      </c>
      <c r="CF87" s="95">
        <v>8</v>
      </c>
      <c r="CG87" s="1335">
        <f t="shared" si="19"/>
        <v>7.129999999999999</v>
      </c>
      <c r="CI87" s="742"/>
      <c r="CJ87" s="742" t="s">
        <v>64</v>
      </c>
      <c r="CK87" s="1334" t="s">
        <v>14</v>
      </c>
      <c r="CL87" s="1265">
        <v>14.666666666666666</v>
      </c>
      <c r="CM87" s="1266">
        <v>6</v>
      </c>
      <c r="CN87" s="1335">
        <f t="shared" si="29"/>
        <v>2.6666666666666661</v>
      </c>
      <c r="CP87" s="1336"/>
      <c r="CQ87" s="1336" t="s">
        <v>64</v>
      </c>
      <c r="CR87" s="1337" t="s">
        <v>14</v>
      </c>
      <c r="CS87" s="1338">
        <v>10</v>
      </c>
      <c r="CT87" s="1339">
        <v>18.100000000000001</v>
      </c>
      <c r="CU87" s="1281">
        <f t="shared" si="30"/>
        <v>6.1000000000000014</v>
      </c>
      <c r="CW87" s="1340"/>
      <c r="CX87" s="1340" t="s">
        <v>64</v>
      </c>
      <c r="CY87" s="1342" t="s">
        <v>14</v>
      </c>
      <c r="CZ87" s="390">
        <v>10</v>
      </c>
      <c r="DA87" s="391">
        <v>16.3</v>
      </c>
      <c r="DB87" s="1341">
        <f t="shared" si="31"/>
        <v>4.3000000000000007</v>
      </c>
      <c r="DC87" s="36"/>
      <c r="DD87" s="1340"/>
      <c r="DE87" s="1340" t="s">
        <v>64</v>
      </c>
      <c r="DF87" s="1342" t="s">
        <v>14</v>
      </c>
      <c r="DG87" s="1343">
        <v>13</v>
      </c>
      <c r="DH87" s="1344">
        <v>14.153846153846153</v>
      </c>
      <c r="DI87" s="1341">
        <f t="shared" si="32"/>
        <v>2.1538461538461533</v>
      </c>
      <c r="DJ87" s="36"/>
      <c r="DK87" s="95"/>
      <c r="DL87" s="95" t="s">
        <v>64</v>
      </c>
      <c r="DM87" s="36" t="s">
        <v>14</v>
      </c>
      <c r="DN87" s="95">
        <v>10</v>
      </c>
      <c r="DO87" s="1345">
        <v>13.600000000000001</v>
      </c>
      <c r="DP87" s="1346">
        <f t="shared" si="33"/>
        <v>1.6000000000000014</v>
      </c>
      <c r="DQ87" s="36"/>
      <c r="DR87" s="1347"/>
      <c r="DS87" s="1347" t="s">
        <v>64</v>
      </c>
      <c r="DT87" s="392" t="s">
        <v>14</v>
      </c>
      <c r="DU87" s="1347">
        <v>9</v>
      </c>
      <c r="DV87" s="1348">
        <v>13.888888888888889</v>
      </c>
      <c r="DW87" s="1349">
        <v>12</v>
      </c>
      <c r="DX87" s="1667">
        <f t="shared" si="34"/>
        <v>1.8888888888888893</v>
      </c>
    </row>
    <row r="88" spans="1:128" ht="24.6" thickBot="1">
      <c r="B88" s="4315" t="s">
        <v>0</v>
      </c>
      <c r="C88" s="4315" t="s">
        <v>1</v>
      </c>
      <c r="D88" s="4324" t="s">
        <v>2815</v>
      </c>
      <c r="E88" s="4633" t="s">
        <v>1185</v>
      </c>
      <c r="F88" s="5850" t="s">
        <v>1122</v>
      </c>
      <c r="G88" s="4623" t="s">
        <v>1123</v>
      </c>
      <c r="I88" s="6073"/>
      <c r="J88" s="6073"/>
      <c r="K88" s="6083" t="s">
        <v>486</v>
      </c>
      <c r="L88" s="6075">
        <v>17</v>
      </c>
      <c r="M88" s="6077">
        <f>SUM(M85:M87)</f>
        <v>97</v>
      </c>
      <c r="N88" s="6084">
        <f t="shared" si="36"/>
        <v>5</v>
      </c>
      <c r="O88" s="4319">
        <v>12</v>
      </c>
      <c r="Q88" s="5832"/>
      <c r="R88" s="5832"/>
      <c r="S88" s="5847" t="s">
        <v>486</v>
      </c>
      <c r="T88" s="5843">
        <v>15.620476079978344</v>
      </c>
      <c r="U88" s="5838">
        <f>SUM(U85:U87)</f>
        <v>97</v>
      </c>
      <c r="V88" s="1361">
        <f t="shared" si="37"/>
        <v>3.620476079978344</v>
      </c>
      <c r="W88" s="4319">
        <v>12</v>
      </c>
      <c r="Y88" s="4316"/>
      <c r="Z88" s="4316"/>
      <c r="AA88" s="4246" t="s">
        <v>486</v>
      </c>
      <c r="AB88" s="4328">
        <v>16.028478057889821</v>
      </c>
      <c r="AC88" s="4627">
        <f>SUM(AC85:AC87)</f>
        <v>66</v>
      </c>
      <c r="AD88" s="1361">
        <f t="shared" si="35"/>
        <v>4.0284780578898207</v>
      </c>
      <c r="AE88" s="4319">
        <v>12</v>
      </c>
      <c r="AF88" s="4817"/>
      <c r="AG88" s="4316">
        <v>4</v>
      </c>
      <c r="AH88" s="4316">
        <v>6</v>
      </c>
      <c r="AI88" s="4245" t="s">
        <v>14</v>
      </c>
      <c r="AJ88" s="4327">
        <v>20.875</v>
      </c>
      <c r="AK88" s="4628">
        <v>5</v>
      </c>
      <c r="AL88" s="1346">
        <f t="shared" si="23"/>
        <v>8.875</v>
      </c>
      <c r="AM88" s="4318">
        <v>12</v>
      </c>
      <c r="AO88" s="4237"/>
      <c r="AP88" s="4237" t="s">
        <v>64</v>
      </c>
      <c r="AQ88" s="4236" t="s">
        <v>14</v>
      </c>
      <c r="AR88" s="4237">
        <v>23.67</v>
      </c>
      <c r="AS88" s="4237">
        <v>3</v>
      </c>
      <c r="AT88" s="4294">
        <f t="shared" si="40"/>
        <v>11.670000000000002</v>
      </c>
      <c r="AU88" s="4295">
        <v>12</v>
      </c>
      <c r="AW88" s="97"/>
      <c r="AX88" s="97" t="s">
        <v>64</v>
      </c>
      <c r="AY88" s="42" t="s">
        <v>14</v>
      </c>
      <c r="AZ88" s="97">
        <v>15.6</v>
      </c>
      <c r="BA88" s="97">
        <v>10</v>
      </c>
      <c r="BB88" s="1281">
        <f t="shared" si="38"/>
        <v>3.5999999999999996</v>
      </c>
      <c r="BC88" s="3706">
        <v>12</v>
      </c>
      <c r="BE88" s="4263"/>
      <c r="BF88" s="4263" t="s">
        <v>64</v>
      </c>
      <c r="BG88" s="4258" t="s">
        <v>14</v>
      </c>
      <c r="BH88" s="4263">
        <v>15.43</v>
      </c>
      <c r="BI88" s="4263">
        <v>7</v>
      </c>
      <c r="BJ88" s="4264">
        <f t="shared" si="39"/>
        <v>3.4299999999999997</v>
      </c>
      <c r="BK88" s="4265">
        <v>12</v>
      </c>
      <c r="BM88" s="36"/>
      <c r="BN88" s="36"/>
      <c r="BO88" s="36" t="s">
        <v>65</v>
      </c>
      <c r="BP88" s="1345">
        <v>18</v>
      </c>
      <c r="BQ88" s="95">
        <v>7</v>
      </c>
      <c r="BR88" s="1281">
        <f t="shared" si="27"/>
        <v>6</v>
      </c>
      <c r="BS88" s="1349">
        <v>12</v>
      </c>
      <c r="BU88" s="97"/>
      <c r="BV88" s="97"/>
      <c r="BW88" s="36" t="s">
        <v>65</v>
      </c>
      <c r="BX88" s="95">
        <v>18.11</v>
      </c>
      <c r="BY88" s="95">
        <v>9</v>
      </c>
      <c r="BZ88" s="1281">
        <f t="shared" si="28"/>
        <v>6.1099999999999994</v>
      </c>
      <c r="CB88" s="95"/>
      <c r="CC88" s="95"/>
      <c r="CD88" s="36" t="s">
        <v>65</v>
      </c>
      <c r="CE88" s="1345">
        <v>20.5</v>
      </c>
      <c r="CF88" s="95">
        <v>6</v>
      </c>
      <c r="CG88" s="1335">
        <f t="shared" si="19"/>
        <v>8.5</v>
      </c>
      <c r="CI88" s="742"/>
      <c r="CJ88" s="742"/>
      <c r="CK88" s="1334" t="s">
        <v>65</v>
      </c>
      <c r="CL88" s="1265">
        <v>19.285714285714285</v>
      </c>
      <c r="CM88" s="1266">
        <v>7</v>
      </c>
      <c r="CN88" s="1335">
        <f t="shared" si="29"/>
        <v>7.2857142857142847</v>
      </c>
      <c r="CP88" s="1336"/>
      <c r="CQ88" s="1336"/>
      <c r="CR88" s="1337" t="s">
        <v>65</v>
      </c>
      <c r="CS88" s="1338">
        <v>3</v>
      </c>
      <c r="CT88" s="1339">
        <v>18.333333333333332</v>
      </c>
      <c r="CU88" s="1281">
        <f t="shared" si="30"/>
        <v>6.3333333333333321</v>
      </c>
      <c r="CW88" s="1340"/>
      <c r="CX88" s="1340"/>
      <c r="CY88" s="1342" t="s">
        <v>65</v>
      </c>
      <c r="CZ88" s="390">
        <v>3</v>
      </c>
      <c r="DA88" s="391">
        <v>15.333333333333334</v>
      </c>
      <c r="DB88" s="1341">
        <f t="shared" si="31"/>
        <v>3.3333333333333339</v>
      </c>
      <c r="DC88" s="36"/>
      <c r="DD88" s="1340"/>
      <c r="DE88" s="1340"/>
      <c r="DF88" s="1342" t="s">
        <v>65</v>
      </c>
      <c r="DG88" s="1343">
        <v>4</v>
      </c>
      <c r="DH88" s="1344">
        <v>14.75</v>
      </c>
      <c r="DI88" s="1341">
        <f t="shared" si="32"/>
        <v>2.75</v>
      </c>
      <c r="DJ88" s="36"/>
      <c r="DK88" s="95"/>
      <c r="DL88" s="95"/>
      <c r="DM88" s="36" t="s">
        <v>65</v>
      </c>
      <c r="DN88" s="95">
        <v>1</v>
      </c>
      <c r="DO88" s="1345">
        <v>19</v>
      </c>
      <c r="DP88" s="1346">
        <f t="shared" si="33"/>
        <v>7</v>
      </c>
      <c r="DQ88" s="36"/>
      <c r="DR88" s="1347"/>
      <c r="DS88" s="1347"/>
      <c r="DT88" s="392" t="s">
        <v>65</v>
      </c>
      <c r="DU88" s="1347">
        <v>1</v>
      </c>
      <c r="DV88" s="1348">
        <v>12</v>
      </c>
      <c r="DW88" s="1349">
        <v>12</v>
      </c>
      <c r="DX88" s="1667">
        <f t="shared" si="34"/>
        <v>0</v>
      </c>
    </row>
    <row r="89" spans="1:128">
      <c r="B89" s="6073">
        <v>1</v>
      </c>
      <c r="C89" s="6073">
        <v>1</v>
      </c>
      <c r="D89" s="6075">
        <v>19.388287159356242</v>
      </c>
      <c r="E89" s="6073">
        <v>534</v>
      </c>
      <c r="F89" s="6076">
        <f t="shared" ref="F89:F103" si="41">D89-G89</f>
        <v>7.388287159356242</v>
      </c>
      <c r="G89" s="6264">
        <v>12</v>
      </c>
      <c r="I89" s="6073">
        <v>4</v>
      </c>
      <c r="J89" s="6073">
        <v>6</v>
      </c>
      <c r="K89" s="6074">
        <v>131</v>
      </c>
      <c r="L89" s="6075">
        <v>18.666666666666668</v>
      </c>
      <c r="M89" s="6073">
        <v>11</v>
      </c>
      <c r="N89" s="6076">
        <f t="shared" si="36"/>
        <v>6.6666666666666679</v>
      </c>
      <c r="O89" s="4318">
        <v>12</v>
      </c>
      <c r="Q89" s="5832">
        <v>4</v>
      </c>
      <c r="R89" s="5832">
        <v>6</v>
      </c>
      <c r="S89" s="5840">
        <v>131</v>
      </c>
      <c r="T89" s="5833">
        <v>16.916666666666668</v>
      </c>
      <c r="U89" s="5832">
        <v>11</v>
      </c>
      <c r="V89" s="1346">
        <f t="shared" si="37"/>
        <v>4.9166666666666679</v>
      </c>
      <c r="W89" s="4318">
        <v>12</v>
      </c>
      <c r="Y89" s="4316">
        <v>4</v>
      </c>
      <c r="Z89" s="4316">
        <v>6</v>
      </c>
      <c r="AA89" s="4245" t="s">
        <v>14</v>
      </c>
      <c r="AB89" s="4327">
        <v>16</v>
      </c>
      <c r="AC89" s="4628">
        <v>6</v>
      </c>
      <c r="AD89" s="1346">
        <f t="shared" si="35"/>
        <v>4</v>
      </c>
      <c r="AE89" s="4318">
        <v>12</v>
      </c>
      <c r="AF89" s="4817"/>
      <c r="AG89" s="4316">
        <v>4</v>
      </c>
      <c r="AH89" s="4316">
        <v>6</v>
      </c>
      <c r="AI89" s="4245" t="s">
        <v>65</v>
      </c>
      <c r="AJ89" s="4327">
        <v>23.75</v>
      </c>
      <c r="AK89" s="4628">
        <v>5</v>
      </c>
      <c r="AL89" s="1346">
        <f t="shared" si="23"/>
        <v>11.75</v>
      </c>
      <c r="AM89" s="4318">
        <v>12</v>
      </c>
      <c r="AO89" s="4237"/>
      <c r="AP89" s="4237"/>
      <c r="AQ89" s="4236" t="s">
        <v>65</v>
      </c>
      <c r="AR89" s="4237">
        <v>25.33</v>
      </c>
      <c r="AS89" s="4237">
        <v>3</v>
      </c>
      <c r="AT89" s="4294">
        <f t="shared" si="40"/>
        <v>13.329999999999998</v>
      </c>
      <c r="AU89" s="4295">
        <v>12</v>
      </c>
      <c r="AW89" s="97"/>
      <c r="AX89" s="97"/>
      <c r="AY89" s="42" t="s">
        <v>65</v>
      </c>
      <c r="AZ89" s="97">
        <v>18.18</v>
      </c>
      <c r="BA89" s="97">
        <v>11</v>
      </c>
      <c r="BB89" s="1281">
        <f t="shared" si="38"/>
        <v>6.18</v>
      </c>
      <c r="BC89" s="3706">
        <v>12</v>
      </c>
      <c r="BE89" s="4263"/>
      <c r="BF89" s="4263"/>
      <c r="BG89" s="4258" t="s">
        <v>65</v>
      </c>
      <c r="BH89" s="4263">
        <v>18.5</v>
      </c>
      <c r="BI89" s="4263">
        <v>6</v>
      </c>
      <c r="BJ89" s="4264">
        <f t="shared" si="39"/>
        <v>6.5</v>
      </c>
      <c r="BK89" s="4265">
        <v>12</v>
      </c>
      <c r="BM89" s="36"/>
      <c r="BN89" s="36"/>
      <c r="BO89" s="36" t="s">
        <v>386</v>
      </c>
      <c r="BP89" s="1345">
        <v>14.86</v>
      </c>
      <c r="BQ89" s="95">
        <v>14</v>
      </c>
      <c r="BR89" s="1281">
        <f t="shared" si="27"/>
        <v>2.8599999999999994</v>
      </c>
      <c r="BS89" s="1349">
        <v>12</v>
      </c>
      <c r="BU89" s="97"/>
      <c r="BV89" s="97"/>
      <c r="BW89" s="36" t="s">
        <v>386</v>
      </c>
      <c r="BX89" s="95">
        <v>18.75</v>
      </c>
      <c r="BY89" s="95">
        <v>8</v>
      </c>
      <c r="BZ89" s="1281">
        <f t="shared" si="28"/>
        <v>6.75</v>
      </c>
      <c r="CB89" s="95"/>
      <c r="CC89" s="95"/>
      <c r="CD89" s="36" t="s">
        <v>386</v>
      </c>
      <c r="CE89" s="1345">
        <v>18.22</v>
      </c>
      <c r="CF89" s="95">
        <v>9</v>
      </c>
      <c r="CG89" s="1335">
        <f t="shared" si="19"/>
        <v>6.2199999999999989</v>
      </c>
      <c r="CI89" s="742"/>
      <c r="CJ89" s="742"/>
      <c r="CK89" s="1334" t="s">
        <v>386</v>
      </c>
      <c r="CL89" s="1265">
        <v>16.142857142857142</v>
      </c>
      <c r="CM89" s="1266">
        <v>7</v>
      </c>
      <c r="CN89" s="1335">
        <f t="shared" si="29"/>
        <v>4.1428571428571423</v>
      </c>
      <c r="CP89" s="1336"/>
      <c r="CQ89" s="1336"/>
      <c r="CR89" s="1337" t="s">
        <v>386</v>
      </c>
      <c r="CS89" s="1338">
        <v>5</v>
      </c>
      <c r="CT89" s="1339">
        <v>17.399999999999999</v>
      </c>
      <c r="CU89" s="1281">
        <f t="shared" si="30"/>
        <v>5.3999999999999986</v>
      </c>
      <c r="CW89" s="1340"/>
      <c r="CX89" s="1340"/>
      <c r="CY89" s="1342" t="s">
        <v>386</v>
      </c>
      <c r="CZ89" s="390">
        <v>2</v>
      </c>
      <c r="DA89" s="391">
        <v>13.5</v>
      </c>
      <c r="DB89" s="1341">
        <f t="shared" si="31"/>
        <v>1.5</v>
      </c>
      <c r="DC89" s="36"/>
      <c r="DD89" s="1340"/>
      <c r="DE89" s="1340"/>
      <c r="DF89" s="1342" t="s">
        <v>386</v>
      </c>
      <c r="DG89" s="1343">
        <v>1</v>
      </c>
      <c r="DH89" s="1344">
        <v>13</v>
      </c>
      <c r="DI89" s="1341">
        <f t="shared" si="32"/>
        <v>1</v>
      </c>
      <c r="DJ89" s="36"/>
      <c r="DK89" s="95"/>
      <c r="DL89" s="95"/>
      <c r="DM89" s="393" t="s">
        <v>15</v>
      </c>
      <c r="DN89" s="86">
        <v>11</v>
      </c>
      <c r="DO89" s="1360">
        <v>14.090909090909092</v>
      </c>
      <c r="DP89" s="1361">
        <f t="shared" si="33"/>
        <v>2.0909090909090917</v>
      </c>
      <c r="DQ89" s="36"/>
      <c r="DR89" s="1347"/>
      <c r="DS89" s="1347"/>
      <c r="DT89" s="1362" t="s">
        <v>15</v>
      </c>
      <c r="DU89" s="1363">
        <v>10</v>
      </c>
      <c r="DV89" s="1364">
        <v>13.7</v>
      </c>
      <c r="DW89" s="1349">
        <v>12</v>
      </c>
      <c r="DX89" s="1668">
        <f t="shared" si="34"/>
        <v>1.6999999999999993</v>
      </c>
    </row>
    <row r="90" spans="1:128" ht="15" thickBot="1">
      <c r="B90" s="6073">
        <v>1</v>
      </c>
      <c r="C90" s="6073">
        <v>2</v>
      </c>
      <c r="D90" s="6075">
        <v>16.637102751437638</v>
      </c>
      <c r="E90" s="6073">
        <v>502</v>
      </c>
      <c r="F90" s="6076">
        <f t="shared" si="41"/>
        <v>4.6371027514376379</v>
      </c>
      <c r="G90" s="6264">
        <v>12</v>
      </c>
      <c r="I90" s="6073">
        <v>4</v>
      </c>
      <c r="J90" s="6073">
        <v>6</v>
      </c>
      <c r="K90" s="6074">
        <v>132</v>
      </c>
      <c r="L90" s="6075">
        <v>16.166666666666668</v>
      </c>
      <c r="M90" s="6073">
        <v>19</v>
      </c>
      <c r="N90" s="6076">
        <f t="shared" si="36"/>
        <v>4.1666666666666679</v>
      </c>
      <c r="O90" s="4318">
        <v>12</v>
      </c>
      <c r="Q90" s="5832">
        <v>4</v>
      </c>
      <c r="R90" s="5832">
        <v>6</v>
      </c>
      <c r="S90" s="5840">
        <v>132</v>
      </c>
      <c r="T90" s="5833">
        <v>18.145833333333332</v>
      </c>
      <c r="U90" s="5832">
        <v>19</v>
      </c>
      <c r="V90" s="1346">
        <f t="shared" si="37"/>
        <v>6.1458333333333321</v>
      </c>
      <c r="W90" s="4318">
        <v>12</v>
      </c>
      <c r="Y90" s="4316">
        <v>4</v>
      </c>
      <c r="Z90" s="4316">
        <v>6</v>
      </c>
      <c r="AA90" s="4245" t="s">
        <v>65</v>
      </c>
      <c r="AB90" s="4327">
        <v>18.395833333333332</v>
      </c>
      <c r="AC90" s="4628">
        <v>10</v>
      </c>
      <c r="AD90" s="1346">
        <f t="shared" si="35"/>
        <v>6.3958333333333321</v>
      </c>
      <c r="AE90" s="4318">
        <v>12</v>
      </c>
      <c r="AF90" s="4817"/>
      <c r="AG90" s="4316">
        <v>4</v>
      </c>
      <c r="AH90" s="4316">
        <v>6</v>
      </c>
      <c r="AI90" s="4245" t="s">
        <v>386</v>
      </c>
      <c r="AJ90" s="4327">
        <v>17.196969696969695</v>
      </c>
      <c r="AK90" s="4628">
        <v>21</v>
      </c>
      <c r="AL90" s="1346">
        <f t="shared" si="23"/>
        <v>5.1969696969696955</v>
      </c>
      <c r="AM90" s="4318">
        <v>12</v>
      </c>
      <c r="AO90" s="4237"/>
      <c r="AP90" s="4237"/>
      <c r="AQ90" s="4236" t="s">
        <v>386</v>
      </c>
      <c r="AR90" s="4237">
        <v>18.670000000000002</v>
      </c>
      <c r="AS90" s="4237">
        <v>12</v>
      </c>
      <c r="AT90" s="4294">
        <f t="shared" si="40"/>
        <v>6.6700000000000017</v>
      </c>
      <c r="AU90" s="4295">
        <v>12</v>
      </c>
      <c r="AW90" s="97"/>
      <c r="AX90" s="97"/>
      <c r="AY90" s="42" t="s">
        <v>386</v>
      </c>
      <c r="AZ90" s="97">
        <v>18.43</v>
      </c>
      <c r="BA90" s="97">
        <v>14</v>
      </c>
      <c r="BB90" s="1281">
        <f t="shared" si="38"/>
        <v>6.43</v>
      </c>
      <c r="BC90" s="3706">
        <v>12</v>
      </c>
      <c r="BE90" s="4263"/>
      <c r="BF90" s="4263"/>
      <c r="BG90" s="4258" t="s">
        <v>386</v>
      </c>
      <c r="BH90" s="4263">
        <v>18.899999999999999</v>
      </c>
      <c r="BI90" s="4263">
        <v>10</v>
      </c>
      <c r="BJ90" s="4264">
        <f t="shared" si="39"/>
        <v>6.8999999999999986</v>
      </c>
      <c r="BK90" s="4265">
        <v>12</v>
      </c>
      <c r="BM90" s="36"/>
      <c r="BN90" s="36"/>
      <c r="BO90" s="36" t="s">
        <v>81</v>
      </c>
      <c r="BP90" s="1345">
        <v>14.78</v>
      </c>
      <c r="BQ90" s="95">
        <v>27</v>
      </c>
      <c r="BR90" s="1281">
        <f t="shared" si="27"/>
        <v>2.7799999999999994</v>
      </c>
      <c r="BS90" s="2029">
        <v>12</v>
      </c>
      <c r="BU90" s="97"/>
      <c r="BV90" s="97"/>
      <c r="BW90" s="36" t="s">
        <v>81</v>
      </c>
      <c r="BX90" s="95">
        <v>15.29</v>
      </c>
      <c r="BY90" s="95">
        <v>21</v>
      </c>
      <c r="BZ90" s="1281">
        <f t="shared" si="28"/>
        <v>3.2899999999999991</v>
      </c>
      <c r="CB90" s="95"/>
      <c r="CC90" s="95"/>
      <c r="CD90" s="36" t="s">
        <v>81</v>
      </c>
      <c r="CE90" s="1345">
        <v>14.53</v>
      </c>
      <c r="CF90" s="95">
        <v>19</v>
      </c>
      <c r="CG90" s="1335">
        <f t="shared" si="19"/>
        <v>2.5299999999999994</v>
      </c>
      <c r="CI90" s="742"/>
      <c r="CJ90" s="742"/>
      <c r="CK90" s="1334" t="s">
        <v>81</v>
      </c>
      <c r="CL90" s="1265">
        <v>13.25</v>
      </c>
      <c r="CM90" s="1266">
        <v>4</v>
      </c>
      <c r="CN90" s="1335">
        <f t="shared" si="29"/>
        <v>1.25</v>
      </c>
      <c r="CP90" s="1336"/>
      <c r="CQ90" s="1336"/>
      <c r="CR90" s="1337" t="s">
        <v>81</v>
      </c>
      <c r="CS90" s="1338">
        <v>4</v>
      </c>
      <c r="CT90" s="1339">
        <v>13</v>
      </c>
      <c r="CU90" s="1281">
        <f t="shared" si="30"/>
        <v>1</v>
      </c>
      <c r="CW90" s="1340"/>
      <c r="CX90" s="1340"/>
      <c r="CY90" s="1356" t="s">
        <v>487</v>
      </c>
      <c r="CZ90" s="395">
        <f>SUM(CZ87:CZ89)</f>
        <v>15</v>
      </c>
      <c r="DA90" s="394">
        <v>15.73</v>
      </c>
      <c r="DB90" s="1359">
        <f t="shared" si="31"/>
        <v>3.7300000000000004</v>
      </c>
      <c r="DC90" s="36"/>
      <c r="DD90" s="1340"/>
      <c r="DE90" s="1340"/>
      <c r="DF90" s="1356" t="s">
        <v>487</v>
      </c>
      <c r="DG90" s="1357">
        <v>18</v>
      </c>
      <c r="DH90" s="1358">
        <v>14.222222222222223</v>
      </c>
      <c r="DI90" s="1359">
        <f t="shared" si="32"/>
        <v>2.2222222222222232</v>
      </c>
      <c r="DJ90" s="36"/>
      <c r="DK90" s="396"/>
      <c r="DL90" s="396"/>
      <c r="DM90" s="397" t="s">
        <v>256</v>
      </c>
      <c r="DN90" s="398">
        <v>94</v>
      </c>
      <c r="DO90" s="1391">
        <v>13.13829787234042</v>
      </c>
      <c r="DP90" s="1392">
        <f t="shared" si="33"/>
        <v>1.13829787234042</v>
      </c>
      <c r="DQ90" s="36"/>
      <c r="DR90" s="1376"/>
      <c r="DS90" s="1376"/>
      <c r="DT90" s="1377" t="s">
        <v>256</v>
      </c>
      <c r="DU90" s="1378">
        <v>53</v>
      </c>
      <c r="DV90" s="1379">
        <v>13.584905660377357</v>
      </c>
      <c r="DW90" s="1666">
        <v>12</v>
      </c>
      <c r="DX90" s="1670">
        <f t="shared" si="34"/>
        <v>1.5849056603773573</v>
      </c>
    </row>
    <row r="91" spans="1:128" ht="15" thickBot="1">
      <c r="B91" s="6073">
        <v>1</v>
      </c>
      <c r="C91" s="6073">
        <v>4</v>
      </c>
      <c r="D91" s="6075">
        <v>14.540727024370073</v>
      </c>
      <c r="E91" s="6073">
        <v>423</v>
      </c>
      <c r="F91" s="6076">
        <f t="shared" si="41"/>
        <v>2.5407270243700726</v>
      </c>
      <c r="G91" s="6264">
        <v>12</v>
      </c>
      <c r="I91" s="6073">
        <v>4</v>
      </c>
      <c r="J91" s="6073">
        <v>6</v>
      </c>
      <c r="K91" s="6074">
        <v>141</v>
      </c>
      <c r="L91" s="6075">
        <v>17</v>
      </c>
      <c r="M91" s="6073">
        <v>24</v>
      </c>
      <c r="N91" s="6076">
        <f t="shared" si="36"/>
        <v>5</v>
      </c>
      <c r="O91" s="4318">
        <v>12</v>
      </c>
      <c r="Q91" s="5832">
        <v>4</v>
      </c>
      <c r="R91" s="5832">
        <v>6</v>
      </c>
      <c r="S91" s="5840">
        <v>141</v>
      </c>
      <c r="T91" s="5833">
        <v>14.641203703703704</v>
      </c>
      <c r="U91" s="5832">
        <v>24</v>
      </c>
      <c r="V91" s="1346">
        <f t="shared" si="37"/>
        <v>2.6412037037037042</v>
      </c>
      <c r="W91" s="4318">
        <v>12</v>
      </c>
      <c r="Y91" s="4316">
        <v>4</v>
      </c>
      <c r="Z91" s="4316">
        <v>6</v>
      </c>
      <c r="AA91" s="4245" t="s">
        <v>386</v>
      </c>
      <c r="AB91" s="4327">
        <v>15.766666666666666</v>
      </c>
      <c r="AC91" s="4628">
        <v>8</v>
      </c>
      <c r="AD91" s="1346">
        <f t="shared" si="35"/>
        <v>3.7666666666666657</v>
      </c>
      <c r="AE91" s="4318">
        <v>12</v>
      </c>
      <c r="AF91" s="4817"/>
      <c r="AG91" s="4316">
        <v>4</v>
      </c>
      <c r="AH91" s="4316">
        <v>6</v>
      </c>
      <c r="AI91" s="4245" t="s">
        <v>81</v>
      </c>
      <c r="AJ91" s="4327">
        <v>15.214285714285714</v>
      </c>
      <c r="AK91" s="4628">
        <v>15</v>
      </c>
      <c r="AL91" s="1346">
        <f t="shared" si="23"/>
        <v>3.2142857142857135</v>
      </c>
      <c r="AM91" s="4318">
        <v>12</v>
      </c>
      <c r="AO91" s="4237"/>
      <c r="AP91" s="4237"/>
      <c r="AQ91" s="4236" t="s">
        <v>81</v>
      </c>
      <c r="AR91" s="4237">
        <v>16.27</v>
      </c>
      <c r="AS91" s="4237">
        <v>11</v>
      </c>
      <c r="AT91" s="4294">
        <f t="shared" si="40"/>
        <v>4.2699999999999996</v>
      </c>
      <c r="AU91" s="4295">
        <v>12</v>
      </c>
      <c r="AW91" s="97"/>
      <c r="AX91" s="97"/>
      <c r="AY91" s="42" t="s">
        <v>81</v>
      </c>
      <c r="AZ91" s="97">
        <v>15.11</v>
      </c>
      <c r="BA91" s="97">
        <v>27</v>
      </c>
      <c r="BB91" s="1281">
        <f t="shared" si="38"/>
        <v>3.1099999999999994</v>
      </c>
      <c r="BC91" s="3710">
        <v>12</v>
      </c>
      <c r="BE91" s="4263"/>
      <c r="BF91" s="4263"/>
      <c r="BG91" s="4258" t="s">
        <v>81</v>
      </c>
      <c r="BH91" s="4263">
        <v>15.92</v>
      </c>
      <c r="BI91" s="4263">
        <v>13</v>
      </c>
      <c r="BJ91" s="4264">
        <f t="shared" si="39"/>
        <v>3.92</v>
      </c>
      <c r="BK91" s="4272">
        <v>12</v>
      </c>
      <c r="BM91" s="36"/>
      <c r="BN91" s="36"/>
      <c r="BO91" s="393" t="s">
        <v>487</v>
      </c>
      <c r="BP91" s="1360">
        <v>16.239999999999998</v>
      </c>
      <c r="BQ91" s="2015">
        <v>76</v>
      </c>
      <c r="BR91" s="1675">
        <f t="shared" si="27"/>
        <v>4.2399999999999984</v>
      </c>
      <c r="BS91" s="2029">
        <v>12</v>
      </c>
      <c r="BU91" s="97"/>
      <c r="BV91" s="97"/>
      <c r="BW91" s="393" t="s">
        <v>487</v>
      </c>
      <c r="BX91" s="86">
        <v>17.12</v>
      </c>
      <c r="BY91" s="86">
        <v>43</v>
      </c>
      <c r="BZ91" s="1675">
        <f t="shared" si="28"/>
        <v>5.120000000000001</v>
      </c>
      <c r="CB91" s="95"/>
      <c r="CC91" s="95"/>
      <c r="CD91" s="393" t="s">
        <v>487</v>
      </c>
      <c r="CE91" s="1360">
        <v>17.05</v>
      </c>
      <c r="CF91" s="86">
        <v>42</v>
      </c>
      <c r="CG91" s="1480">
        <f t="shared" si="19"/>
        <v>5.0500000000000007</v>
      </c>
      <c r="CI91" s="742"/>
      <c r="CJ91" s="742"/>
      <c r="CK91" s="1350" t="s">
        <v>487</v>
      </c>
      <c r="CL91" s="1351">
        <v>16.208333333333339</v>
      </c>
      <c r="CM91" s="1352">
        <v>24</v>
      </c>
      <c r="CN91" s="1335">
        <f t="shared" si="29"/>
        <v>4.2083333333333393</v>
      </c>
      <c r="CP91" s="1336"/>
      <c r="CQ91" s="1336"/>
      <c r="CR91" s="1353" t="s">
        <v>487</v>
      </c>
      <c r="CS91" s="1354">
        <v>22</v>
      </c>
      <c r="CT91" s="1355">
        <v>17.045454545454543</v>
      </c>
      <c r="CU91" s="1281">
        <f t="shared" si="30"/>
        <v>5.0454545454545432</v>
      </c>
      <c r="CW91" s="1393"/>
      <c r="CX91" s="1393"/>
      <c r="CY91" s="1394" t="s">
        <v>256</v>
      </c>
      <c r="CZ91" s="399">
        <f>SUM(CZ90,CZ86,CZ82)</f>
        <v>79</v>
      </c>
      <c r="DA91" s="400">
        <v>14.62</v>
      </c>
      <c r="DB91" s="1395">
        <f t="shared" si="31"/>
        <v>2.6199999999999992</v>
      </c>
      <c r="DC91" s="36"/>
      <c r="DD91" s="1393"/>
      <c r="DE91" s="1393"/>
      <c r="DF91" s="1394" t="s">
        <v>256</v>
      </c>
      <c r="DG91" s="1396">
        <v>120</v>
      </c>
      <c r="DH91" s="1397">
        <v>13.558333333333332</v>
      </c>
      <c r="DI91" s="1395">
        <f t="shared" si="32"/>
        <v>1.5583333333333318</v>
      </c>
      <c r="DJ91" s="36"/>
      <c r="DK91" s="95"/>
      <c r="DL91" s="95"/>
      <c r="DM91" s="393"/>
      <c r="DN91" s="86"/>
      <c r="DO91" s="1360"/>
      <c r="DP91" s="1361"/>
      <c r="DQ91" s="36"/>
      <c r="DR91" s="1347"/>
      <c r="DS91" s="1347"/>
      <c r="DT91" s="392"/>
      <c r="DU91" s="392"/>
      <c r="DV91" s="1398"/>
      <c r="DW91" s="1349">
        <v>12</v>
      </c>
      <c r="DX91" s="1671"/>
    </row>
    <row r="92" spans="1:128" ht="15" thickBot="1">
      <c r="B92" s="6073">
        <v>2</v>
      </c>
      <c r="C92" s="6073">
        <v>1</v>
      </c>
      <c r="D92" s="6075">
        <v>21.58176613635797</v>
      </c>
      <c r="E92" s="6073">
        <v>284</v>
      </c>
      <c r="F92" s="6076">
        <f t="shared" si="41"/>
        <v>9.5817661363579703</v>
      </c>
      <c r="G92" s="6264">
        <v>12</v>
      </c>
      <c r="I92" s="6073">
        <v>4</v>
      </c>
      <c r="J92" s="6073">
        <v>6</v>
      </c>
      <c r="K92" s="6074">
        <v>144</v>
      </c>
      <c r="L92" s="6075">
        <v>19.352941176470587</v>
      </c>
      <c r="M92" s="6073">
        <v>41</v>
      </c>
      <c r="N92" s="6076">
        <f t="shared" si="36"/>
        <v>7.352941176470587</v>
      </c>
      <c r="O92" s="4318">
        <v>12</v>
      </c>
      <c r="Q92" s="5832">
        <v>4</v>
      </c>
      <c r="R92" s="5832">
        <v>6</v>
      </c>
      <c r="S92" s="5840">
        <v>144</v>
      </c>
      <c r="T92" s="5833">
        <v>16.638730158730159</v>
      </c>
      <c r="U92" s="5832">
        <v>41</v>
      </c>
      <c r="V92" s="1346">
        <f t="shared" si="37"/>
        <v>4.6387301587301586</v>
      </c>
      <c r="W92" s="4318">
        <v>12</v>
      </c>
      <c r="Y92" s="4316">
        <v>4</v>
      </c>
      <c r="Z92" s="4316">
        <v>6</v>
      </c>
      <c r="AA92" s="4245" t="s">
        <v>81</v>
      </c>
      <c r="AB92" s="4327">
        <v>17.152380952380952</v>
      </c>
      <c r="AC92" s="4628">
        <v>26</v>
      </c>
      <c r="AD92" s="1346">
        <f t="shared" si="35"/>
        <v>5.1523809523809518</v>
      </c>
      <c r="AE92" s="4318">
        <v>12</v>
      </c>
      <c r="AF92" s="4817"/>
      <c r="AG92" s="4316"/>
      <c r="AH92" s="4316"/>
      <c r="AI92" s="4246" t="s">
        <v>487</v>
      </c>
      <c r="AJ92" s="4328">
        <v>18.237179487179489</v>
      </c>
      <c r="AK92" s="4627">
        <f>SUM(AK88:AK91)</f>
        <v>46</v>
      </c>
      <c r="AL92" s="1346">
        <f t="shared" si="23"/>
        <v>6.237179487179489</v>
      </c>
      <c r="AM92" s="4323">
        <v>12</v>
      </c>
      <c r="AO92" s="4237"/>
      <c r="AP92" s="4237"/>
      <c r="AQ92" s="4214" t="s">
        <v>487</v>
      </c>
      <c r="AR92" s="4239">
        <v>18.97</v>
      </c>
      <c r="AS92" s="4239">
        <v>29</v>
      </c>
      <c r="AT92" s="4294">
        <f t="shared" si="40"/>
        <v>6.9699999999999989</v>
      </c>
      <c r="AU92" s="4301">
        <v>12</v>
      </c>
      <c r="AW92" s="97"/>
      <c r="AX92" s="97"/>
      <c r="AY92" s="893" t="s">
        <v>487</v>
      </c>
      <c r="AZ92" s="135">
        <v>16.48</v>
      </c>
      <c r="BA92" s="135">
        <v>62</v>
      </c>
      <c r="BB92" s="3703">
        <f t="shared" si="38"/>
        <v>4.4800000000000004</v>
      </c>
      <c r="BC92" s="3711">
        <v>12</v>
      </c>
      <c r="BE92" s="4263"/>
      <c r="BF92" s="4263"/>
      <c r="BG92" s="4257" t="s">
        <v>487</v>
      </c>
      <c r="BH92" s="4266">
        <v>17.079999999999998</v>
      </c>
      <c r="BI92" s="4266">
        <v>36</v>
      </c>
      <c r="BJ92" s="4273">
        <f t="shared" si="39"/>
        <v>5.0799999999999983</v>
      </c>
      <c r="BK92" s="4274">
        <v>12</v>
      </c>
      <c r="BM92" s="2022"/>
      <c r="BN92" s="2022"/>
      <c r="BO92" s="2023" t="s">
        <v>256</v>
      </c>
      <c r="BP92" s="2024">
        <v>15.77</v>
      </c>
      <c r="BQ92" s="2025">
        <v>199</v>
      </c>
      <c r="BR92" s="1676">
        <f t="shared" si="27"/>
        <v>3.7699999999999996</v>
      </c>
      <c r="BS92" s="2030">
        <v>12</v>
      </c>
      <c r="BU92" s="1501"/>
      <c r="BV92" s="1501"/>
      <c r="BW92" s="1477" t="s">
        <v>256</v>
      </c>
      <c r="BX92" s="1479">
        <v>16.309999999999999</v>
      </c>
      <c r="BY92" s="1479">
        <v>134</v>
      </c>
      <c r="BZ92" s="1676">
        <f t="shared" si="28"/>
        <v>4.3099999999999987</v>
      </c>
      <c r="CB92" s="1482"/>
      <c r="CC92" s="1482"/>
      <c r="CD92" s="1477" t="s">
        <v>256</v>
      </c>
      <c r="CE92" s="1478">
        <v>16.170000000000002</v>
      </c>
      <c r="CF92" s="1479">
        <v>113</v>
      </c>
      <c r="CG92" s="1481">
        <f t="shared" si="19"/>
        <v>4.1700000000000017</v>
      </c>
      <c r="CI92" s="742"/>
      <c r="CJ92" s="742"/>
      <c r="CK92" s="1350" t="s">
        <v>256</v>
      </c>
      <c r="CL92" s="1351">
        <v>15.975308641975314</v>
      </c>
      <c r="CM92" s="1352">
        <v>81</v>
      </c>
      <c r="CN92" s="1365">
        <f t="shared" si="29"/>
        <v>3.9753086419753139</v>
      </c>
      <c r="CP92" s="1399"/>
      <c r="CQ92" s="1399"/>
      <c r="CR92" s="1400" t="s">
        <v>256</v>
      </c>
      <c r="CS92" s="1401">
        <v>86</v>
      </c>
      <c r="CT92" s="1402">
        <v>15.441860465116276</v>
      </c>
      <c r="CU92" s="1403">
        <f t="shared" si="30"/>
        <v>3.4418604651162763</v>
      </c>
      <c r="CW92" s="97"/>
      <c r="CX92" s="97"/>
      <c r="CY92" s="36"/>
      <c r="CZ92" s="36"/>
      <c r="DA92" s="36"/>
      <c r="DB92" s="1404"/>
      <c r="DC92" s="36"/>
      <c r="DD92" s="97"/>
      <c r="DE92" s="97"/>
      <c r="DF92" s="36"/>
      <c r="DG92" s="36"/>
      <c r="DH92" s="36"/>
      <c r="DI92" s="1404"/>
      <c r="DJ92" s="36"/>
      <c r="DK92" s="95"/>
      <c r="DL92" s="95"/>
      <c r="DM92" s="393"/>
      <c r="DN92" s="86"/>
      <c r="DO92" s="1360"/>
      <c r="DP92" s="1361"/>
      <c r="DQ92" s="36"/>
      <c r="DR92" s="1347"/>
      <c r="DS92" s="1347"/>
      <c r="DT92" s="392"/>
      <c r="DU92" s="392"/>
      <c r="DV92" s="1398"/>
      <c r="DW92" s="1349">
        <v>12</v>
      </c>
      <c r="DX92" s="1671"/>
    </row>
    <row r="93" spans="1:128">
      <c r="B93" s="6073">
        <v>2</v>
      </c>
      <c r="C93" s="6073">
        <v>2</v>
      </c>
      <c r="D93" s="6075">
        <v>17.625834264241195</v>
      </c>
      <c r="E93" s="6073">
        <v>501</v>
      </c>
      <c r="F93" s="6076">
        <f t="shared" si="41"/>
        <v>5.6258342642411954</v>
      </c>
      <c r="G93" s="6264">
        <v>12</v>
      </c>
      <c r="I93" s="6073"/>
      <c r="J93" s="6073"/>
      <c r="K93" s="6083" t="s">
        <v>487</v>
      </c>
      <c r="L93" s="6075">
        <v>17.8</v>
      </c>
      <c r="M93" s="6077">
        <f>SUM(M89:M92)</f>
        <v>95</v>
      </c>
      <c r="N93" s="6076">
        <f t="shared" si="36"/>
        <v>5.8000000000000007</v>
      </c>
      <c r="O93" s="4319">
        <v>12</v>
      </c>
      <c r="Q93" s="5832"/>
      <c r="R93" s="5832"/>
      <c r="S93" s="5847" t="s">
        <v>487</v>
      </c>
      <c r="T93" s="5843">
        <v>16.354122574955909</v>
      </c>
      <c r="U93" s="5838">
        <f>SUM(U89:U92)</f>
        <v>95</v>
      </c>
      <c r="V93" s="1346">
        <f t="shared" si="37"/>
        <v>4.3541225749559089</v>
      </c>
      <c r="W93" s="4319">
        <v>12</v>
      </c>
      <c r="Y93" s="4316"/>
      <c r="Z93" s="4316"/>
      <c r="AA93" s="4246" t="s">
        <v>487</v>
      </c>
      <c r="AB93" s="4328">
        <v>16.787698412698415</v>
      </c>
      <c r="AC93" s="4627">
        <f>SUM(AC89:AC92)</f>
        <v>50</v>
      </c>
      <c r="AD93" s="1346">
        <f t="shared" si="35"/>
        <v>4.7876984126984148</v>
      </c>
      <c r="AE93" s="4323">
        <v>12</v>
      </c>
      <c r="AF93" s="4817"/>
      <c r="AG93" s="4316"/>
      <c r="AH93" s="4316"/>
      <c r="AI93" s="4253" t="s">
        <v>256</v>
      </c>
      <c r="AJ93" s="4329">
        <v>16.924577120410454</v>
      </c>
      <c r="AK93" s="4629">
        <f>SUM(AK83,AK87,AK92)</f>
        <v>182</v>
      </c>
      <c r="AL93" s="4330">
        <f t="shared" si="23"/>
        <v>4.9245771204104543</v>
      </c>
      <c r="AM93" s="4322">
        <v>12</v>
      </c>
      <c r="AO93" s="4237"/>
      <c r="AP93" s="4237"/>
      <c r="AQ93" s="4297" t="s">
        <v>256</v>
      </c>
      <c r="AR93" s="4298">
        <v>17.059999999999999</v>
      </c>
      <c r="AS93" s="4298">
        <v>93</v>
      </c>
      <c r="AT93" s="4302">
        <f t="shared" si="40"/>
        <v>5.0599999999999987</v>
      </c>
      <c r="AU93" s="4303">
        <v>12</v>
      </c>
      <c r="AW93" s="97"/>
      <c r="AX93" s="97"/>
      <c r="AY93" s="3707" t="s">
        <v>256</v>
      </c>
      <c r="AZ93" s="3708">
        <v>15.21</v>
      </c>
      <c r="BA93" s="3708">
        <v>231</v>
      </c>
      <c r="BB93" s="3704">
        <f t="shared" si="38"/>
        <v>3.2100000000000009</v>
      </c>
      <c r="BC93" s="3712">
        <v>12</v>
      </c>
      <c r="BE93" s="4263"/>
      <c r="BF93" s="4263"/>
      <c r="BG93" s="4268" t="s">
        <v>256</v>
      </c>
      <c r="BH93" s="4269">
        <v>14.89</v>
      </c>
      <c r="BI93" s="4269">
        <v>151</v>
      </c>
      <c r="BJ93" s="4275">
        <f t="shared" si="39"/>
        <v>2.8900000000000006</v>
      </c>
      <c r="BK93" s="4276">
        <v>12</v>
      </c>
      <c r="BM93" s="36" t="s">
        <v>240</v>
      </c>
      <c r="BN93" s="36" t="s">
        <v>4</v>
      </c>
      <c r="BO93" s="36" t="s">
        <v>1450</v>
      </c>
      <c r="BP93" s="1345">
        <v>15</v>
      </c>
      <c r="BQ93" s="95">
        <v>11</v>
      </c>
      <c r="BR93" s="1281">
        <f t="shared" si="27"/>
        <v>3</v>
      </c>
      <c r="BS93" s="2029">
        <v>12</v>
      </c>
      <c r="BU93" s="97" t="s">
        <v>240</v>
      </c>
      <c r="BV93" s="97" t="s">
        <v>4</v>
      </c>
      <c r="BW93" s="36" t="s">
        <v>1450</v>
      </c>
      <c r="BX93" s="95">
        <v>13.31</v>
      </c>
      <c r="BY93" s="95">
        <v>13</v>
      </c>
      <c r="BZ93" s="1281">
        <f t="shared" si="28"/>
        <v>1.3100000000000005</v>
      </c>
      <c r="CB93" s="95" t="s">
        <v>240</v>
      </c>
      <c r="CC93" s="95" t="s">
        <v>4</v>
      </c>
      <c r="CD93" s="36" t="s">
        <v>1450</v>
      </c>
      <c r="CE93" s="1345">
        <v>12.6</v>
      </c>
      <c r="CF93" s="95">
        <v>5</v>
      </c>
      <c r="CG93" s="1335">
        <f>CE93-DW105</f>
        <v>0.59999999999999964</v>
      </c>
      <c r="CI93" s="1254" t="s">
        <v>240</v>
      </c>
      <c r="CJ93" s="1254" t="s">
        <v>4</v>
      </c>
      <c r="CK93" s="1381" t="s">
        <v>1450</v>
      </c>
      <c r="CL93" s="1382">
        <v>12.35</v>
      </c>
      <c r="CM93" s="1383">
        <v>20</v>
      </c>
      <c r="CN93" s="1335">
        <f>CL93-DW105</f>
        <v>0.34999999999999964</v>
      </c>
      <c r="CP93" s="1336"/>
      <c r="CQ93" s="1336"/>
      <c r="CR93" s="1337"/>
      <c r="CS93" s="1338"/>
      <c r="CT93" s="1339"/>
      <c r="CU93" s="1281"/>
      <c r="DC93" s="36"/>
      <c r="DJ93" s="36"/>
      <c r="DK93" s="95"/>
      <c r="DL93" s="95"/>
      <c r="DW93" s="1349">
        <v>12</v>
      </c>
    </row>
    <row r="94" spans="1:128">
      <c r="B94" s="6073">
        <v>2</v>
      </c>
      <c r="C94" s="6073">
        <v>3</v>
      </c>
      <c r="D94" s="6075">
        <v>19.427392465376688</v>
      </c>
      <c r="E94" s="6073">
        <v>391</v>
      </c>
      <c r="F94" s="6076">
        <f t="shared" si="41"/>
        <v>7.4273924653766876</v>
      </c>
      <c r="G94" s="6264">
        <v>12</v>
      </c>
      <c r="I94" s="6078"/>
      <c r="J94" s="6078"/>
      <c r="K94" s="6085" t="s">
        <v>256</v>
      </c>
      <c r="L94" s="6075">
        <v>17.2</v>
      </c>
      <c r="M94" s="6079">
        <f>SUM(M84,M88,M93)</f>
        <v>279</v>
      </c>
      <c r="N94" s="6086">
        <f t="shared" si="36"/>
        <v>5.1999999999999993</v>
      </c>
      <c r="O94" s="4322">
        <v>12</v>
      </c>
      <c r="Q94" s="5836"/>
      <c r="R94" s="5836"/>
      <c r="S94" s="5848" t="s">
        <v>256</v>
      </c>
      <c r="T94" s="5845">
        <v>15.756518801588008</v>
      </c>
      <c r="U94" s="5839">
        <f>SUM(U84,U88,U93)</f>
        <v>279</v>
      </c>
      <c r="V94" s="5844">
        <f t="shared" si="37"/>
        <v>3.7565188015880082</v>
      </c>
      <c r="W94" s="5849">
        <v>12</v>
      </c>
      <c r="Y94" s="4316"/>
      <c r="Z94" s="4316"/>
      <c r="AA94" s="4253" t="s">
        <v>256</v>
      </c>
      <c r="AB94" s="4329">
        <v>16.666666666666668</v>
      </c>
      <c r="AC94" s="4629">
        <f>SUM(AC84,AC88,AC93)</f>
        <v>165</v>
      </c>
      <c r="AD94" s="4330">
        <f t="shared" si="35"/>
        <v>4.6666666666666679</v>
      </c>
      <c r="AE94" s="4322">
        <v>12</v>
      </c>
      <c r="AF94" s="4817"/>
      <c r="AG94" s="4316">
        <v>5</v>
      </c>
      <c r="AH94" s="4316">
        <v>1</v>
      </c>
      <c r="AI94" s="4245" t="s">
        <v>1450</v>
      </c>
      <c r="AJ94" s="4331">
        <v>14.9625</v>
      </c>
      <c r="AK94" s="4628">
        <v>17</v>
      </c>
      <c r="AL94" s="1346">
        <f t="shared" si="23"/>
        <v>2.9625000000000004</v>
      </c>
      <c r="AM94" s="4323">
        <v>12</v>
      </c>
      <c r="AO94" s="4237" t="s">
        <v>240</v>
      </c>
      <c r="AP94" s="4237" t="s">
        <v>4</v>
      </c>
      <c r="AQ94" s="4236" t="s">
        <v>1450</v>
      </c>
      <c r="AR94" s="4237">
        <v>15.8</v>
      </c>
      <c r="AS94" s="4237">
        <v>15</v>
      </c>
      <c r="AT94" s="4304">
        <f t="shared" si="40"/>
        <v>3.8000000000000007</v>
      </c>
      <c r="AU94" s="4305">
        <v>12</v>
      </c>
      <c r="AW94" s="97" t="s">
        <v>240</v>
      </c>
      <c r="AX94" s="97" t="s">
        <v>4</v>
      </c>
      <c r="AY94" s="42" t="s">
        <v>1450</v>
      </c>
      <c r="AZ94" s="97">
        <v>15.2</v>
      </c>
      <c r="BA94" s="97">
        <v>15</v>
      </c>
      <c r="BB94" s="1281">
        <f>AZ94-BC94</f>
        <v>3.1999999999999993</v>
      </c>
      <c r="BC94" s="3710">
        <v>12</v>
      </c>
      <c r="BE94" s="4263" t="s">
        <v>240</v>
      </c>
      <c r="BF94" s="4263" t="s">
        <v>4</v>
      </c>
      <c r="BG94" s="4258" t="s">
        <v>1450</v>
      </c>
      <c r="BH94" s="4263">
        <v>15.45</v>
      </c>
      <c r="BI94" s="4263">
        <v>11</v>
      </c>
      <c r="BJ94" s="4264">
        <f>BH94-BK94</f>
        <v>3.4499999999999993</v>
      </c>
      <c r="BK94" s="4272">
        <v>12</v>
      </c>
      <c r="BM94" s="36"/>
      <c r="BN94" s="36"/>
      <c r="BO94" s="393" t="s">
        <v>482</v>
      </c>
      <c r="BP94" s="1360">
        <v>15</v>
      </c>
      <c r="BQ94" s="2015">
        <v>11</v>
      </c>
      <c r="BR94" s="1675">
        <f t="shared" si="27"/>
        <v>3</v>
      </c>
      <c r="BS94" s="2029">
        <v>12</v>
      </c>
      <c r="BU94" s="97"/>
      <c r="BV94" s="97"/>
      <c r="BW94" s="393" t="s">
        <v>482</v>
      </c>
      <c r="BX94" s="86">
        <v>13.31</v>
      </c>
      <c r="BY94" s="86">
        <v>13</v>
      </c>
      <c r="BZ94" s="1675">
        <f t="shared" si="28"/>
        <v>1.3100000000000005</v>
      </c>
      <c r="CB94" s="95"/>
      <c r="CC94" s="95"/>
      <c r="CD94" s="393" t="s">
        <v>482</v>
      </c>
      <c r="CE94" s="1360">
        <v>12.6</v>
      </c>
      <c r="CF94" s="86">
        <v>5</v>
      </c>
      <c r="CG94" s="1480">
        <f>CE94-DW106</f>
        <v>0.59999999999999964</v>
      </c>
      <c r="CI94" s="742"/>
      <c r="CJ94" s="742"/>
      <c r="CK94" s="1350" t="s">
        <v>482</v>
      </c>
      <c r="CL94" s="1351">
        <v>12.35</v>
      </c>
      <c r="CM94" s="1352">
        <v>20</v>
      </c>
      <c r="CN94" s="1335">
        <f>CL94-DW106</f>
        <v>0.34999999999999964</v>
      </c>
      <c r="DC94" s="36"/>
      <c r="DJ94" s="36"/>
      <c r="DK94" s="95"/>
      <c r="DL94" s="95"/>
      <c r="DW94" s="1349">
        <v>12</v>
      </c>
    </row>
    <row r="95" spans="1:128">
      <c r="B95" s="6073">
        <v>3</v>
      </c>
      <c r="C95" s="6073">
        <v>2</v>
      </c>
      <c r="D95" s="6075">
        <v>13.050960566171465</v>
      </c>
      <c r="E95" s="6073">
        <v>931</v>
      </c>
      <c r="F95" s="6076">
        <f t="shared" si="41"/>
        <v>1.0509605661714652</v>
      </c>
      <c r="G95" s="6264">
        <v>12</v>
      </c>
      <c r="I95" s="6081">
        <v>5</v>
      </c>
      <c r="J95" s="6081">
        <v>1</v>
      </c>
      <c r="K95" s="6082">
        <v>147</v>
      </c>
      <c r="L95" s="6075">
        <v>20.09090909090909</v>
      </c>
      <c r="M95" s="6081">
        <v>9</v>
      </c>
      <c r="N95" s="6076">
        <f t="shared" si="36"/>
        <v>8.0909090909090899</v>
      </c>
      <c r="O95" s="4323">
        <v>12</v>
      </c>
      <c r="Q95" s="5834">
        <v>5</v>
      </c>
      <c r="R95" s="5834">
        <v>1</v>
      </c>
      <c r="S95" s="5842">
        <v>147</v>
      </c>
      <c r="T95" s="5835">
        <v>17.958333333333332</v>
      </c>
      <c r="U95" s="5834">
        <v>9</v>
      </c>
      <c r="V95" s="1346">
        <f t="shared" si="37"/>
        <v>5.9583333333333321</v>
      </c>
      <c r="W95" s="4323">
        <v>12</v>
      </c>
      <c r="Y95" s="4316">
        <v>5</v>
      </c>
      <c r="Z95" s="4316">
        <v>1</v>
      </c>
      <c r="AA95" s="4245" t="s">
        <v>1450</v>
      </c>
      <c r="AB95" s="4331">
        <v>16.666666666666668</v>
      </c>
      <c r="AC95" s="4628">
        <v>7</v>
      </c>
      <c r="AD95" s="1346">
        <f t="shared" si="35"/>
        <v>4.6666666666666679</v>
      </c>
      <c r="AE95" s="4323">
        <v>12</v>
      </c>
      <c r="AF95" s="4817"/>
      <c r="AG95" s="4316"/>
      <c r="AH95" s="4316"/>
      <c r="AI95" s="4246" t="s">
        <v>482</v>
      </c>
      <c r="AJ95" s="4328">
        <v>14.9625</v>
      </c>
      <c r="AK95" s="1493">
        <f>SUM(AK94)</f>
        <v>17</v>
      </c>
      <c r="AL95" s="1361">
        <f t="shared" si="23"/>
        <v>2.9625000000000004</v>
      </c>
      <c r="AM95" s="4323">
        <v>12</v>
      </c>
      <c r="AO95" s="4237"/>
      <c r="AP95" s="4237"/>
      <c r="AQ95" s="4214" t="s">
        <v>482</v>
      </c>
      <c r="AR95" s="4239">
        <v>15.8</v>
      </c>
      <c r="AS95" s="4239">
        <v>15</v>
      </c>
      <c r="AT95" s="4306">
        <f>AR95-AU95</f>
        <v>3.8000000000000007</v>
      </c>
      <c r="AU95" s="4301">
        <v>12</v>
      </c>
      <c r="AW95" s="97"/>
      <c r="AX95" s="97"/>
      <c r="AY95" s="893" t="s">
        <v>482</v>
      </c>
      <c r="AZ95" s="135">
        <v>15.2</v>
      </c>
      <c r="BA95" s="135">
        <v>15</v>
      </c>
      <c r="BB95" s="1675">
        <f t="shared" ref="BB95:BB102" si="42">AZ95-BC95</f>
        <v>3.1999999999999993</v>
      </c>
      <c r="BC95" s="3710">
        <v>12</v>
      </c>
      <c r="BE95" s="4263"/>
      <c r="BF95" s="4263"/>
      <c r="BG95" s="4257" t="s">
        <v>482</v>
      </c>
      <c r="BH95" s="4266">
        <v>15.45</v>
      </c>
      <c r="BI95" s="4266">
        <v>11</v>
      </c>
      <c r="BJ95" s="4267">
        <f t="shared" ref="BJ95:BJ102" si="43">BH95-BK95</f>
        <v>3.4499999999999993</v>
      </c>
      <c r="BK95" s="4272">
        <v>12</v>
      </c>
      <c r="BM95" s="36"/>
      <c r="BN95" s="36" t="s">
        <v>16</v>
      </c>
      <c r="BO95" s="36" t="s">
        <v>679</v>
      </c>
      <c r="BP95" s="1345">
        <v>13.88</v>
      </c>
      <c r="BQ95" s="95">
        <v>16</v>
      </c>
      <c r="BR95" s="1281">
        <f t="shared" si="27"/>
        <v>1.8800000000000008</v>
      </c>
      <c r="BS95" s="2029">
        <v>12</v>
      </c>
      <c r="BU95" s="97"/>
      <c r="BV95" s="97" t="s">
        <v>16</v>
      </c>
      <c r="BW95" s="36" t="s">
        <v>679</v>
      </c>
      <c r="BX95" s="95">
        <v>12.87</v>
      </c>
      <c r="BY95" s="95">
        <v>31</v>
      </c>
      <c r="BZ95" s="1281">
        <f t="shared" si="28"/>
        <v>0.86999999999999922</v>
      </c>
      <c r="CB95" s="95"/>
      <c r="CC95" s="95" t="s">
        <v>16</v>
      </c>
      <c r="CD95" s="36" t="s">
        <v>679</v>
      </c>
      <c r="CE95" s="1345">
        <v>12.5</v>
      </c>
      <c r="CF95" s="95">
        <v>10</v>
      </c>
      <c r="CG95" s="1335" t="e">
        <f>CE95-#REF!</f>
        <v>#REF!</v>
      </c>
      <c r="CI95" s="742"/>
      <c r="CJ95" s="742" t="s">
        <v>16</v>
      </c>
      <c r="CK95" s="1334" t="s">
        <v>679</v>
      </c>
      <c r="CL95" s="1265">
        <v>12.218749999999996</v>
      </c>
      <c r="CM95" s="1266">
        <v>32</v>
      </c>
      <c r="CN95" s="1335" t="e">
        <f>CL95-#REF!</f>
        <v>#REF!</v>
      </c>
      <c r="DC95" s="36"/>
      <c r="DJ95" s="36"/>
      <c r="DK95" s="95"/>
      <c r="DL95" s="95"/>
      <c r="DW95" s="1349">
        <v>12</v>
      </c>
    </row>
    <row r="96" spans="1:128">
      <c r="B96" s="6073">
        <v>3</v>
      </c>
      <c r="C96" s="6073">
        <v>3</v>
      </c>
      <c r="D96" s="6075">
        <v>12.721380904415103</v>
      </c>
      <c r="E96" s="6073">
        <v>1210</v>
      </c>
      <c r="F96" s="6076">
        <f t="shared" si="41"/>
        <v>0.72138090441510272</v>
      </c>
      <c r="G96" s="6264">
        <v>12</v>
      </c>
      <c r="I96" s="6073"/>
      <c r="J96" s="6073"/>
      <c r="K96" s="4353" t="s">
        <v>482</v>
      </c>
      <c r="L96" s="6075">
        <v>20.100000000000001</v>
      </c>
      <c r="M96" s="6077">
        <f>SUM(M95)</f>
        <v>9</v>
      </c>
      <c r="N96" s="6076">
        <f t="shared" si="36"/>
        <v>8.1000000000000014</v>
      </c>
      <c r="O96" s="4319">
        <v>12</v>
      </c>
      <c r="Q96" s="5832"/>
      <c r="R96" s="5832"/>
      <c r="S96" s="4353" t="s">
        <v>482</v>
      </c>
      <c r="T96" s="5843">
        <v>17.958333333333332</v>
      </c>
      <c r="U96" s="5838">
        <f>SUM(U95)</f>
        <v>9</v>
      </c>
      <c r="V96" s="1346">
        <f t="shared" si="37"/>
        <v>5.9583333333333321</v>
      </c>
      <c r="W96" s="4319">
        <v>12</v>
      </c>
      <c r="Y96" s="4316"/>
      <c r="Z96" s="4316"/>
      <c r="AA96" s="4246" t="s">
        <v>482</v>
      </c>
      <c r="AB96" s="4328">
        <v>13.081632653061224</v>
      </c>
      <c r="AC96" s="1493">
        <f>SUM(AC95)</f>
        <v>7</v>
      </c>
      <c r="AD96" s="1361">
        <f t="shared" si="35"/>
        <v>1.0816326530612237</v>
      </c>
      <c r="AE96" s="4323">
        <v>12</v>
      </c>
      <c r="AF96" s="4817"/>
      <c r="AG96" s="4316">
        <v>5</v>
      </c>
      <c r="AH96" s="4316">
        <v>2</v>
      </c>
      <c r="AI96" s="4245" t="s">
        <v>679</v>
      </c>
      <c r="AJ96" s="4327">
        <v>13.68095238095238</v>
      </c>
      <c r="AK96" s="4631">
        <v>26</v>
      </c>
      <c r="AL96" s="1346">
        <f t="shared" si="23"/>
        <v>1.6809523809523803</v>
      </c>
      <c r="AM96" s="4321">
        <v>12</v>
      </c>
      <c r="AO96" s="4237"/>
      <c r="AP96" s="4237" t="s">
        <v>16</v>
      </c>
      <c r="AQ96" s="4236" t="s">
        <v>679</v>
      </c>
      <c r="AR96" s="4237">
        <v>13.31</v>
      </c>
      <c r="AS96" s="4237">
        <v>26</v>
      </c>
      <c r="AT96" s="4296">
        <f t="shared" ref="AT96:AT102" si="44">AR96-AU96</f>
        <v>1.3100000000000005</v>
      </c>
      <c r="AU96" s="4301">
        <v>12</v>
      </c>
      <c r="AW96" s="97"/>
      <c r="AX96" s="97" t="s">
        <v>16</v>
      </c>
      <c r="AY96" s="42" t="s">
        <v>679</v>
      </c>
      <c r="AZ96" s="97">
        <v>14.38</v>
      </c>
      <c r="BA96" s="97">
        <v>8</v>
      </c>
      <c r="BB96" s="1281">
        <f t="shared" si="42"/>
        <v>2.3800000000000008</v>
      </c>
      <c r="BC96" s="3710">
        <v>12</v>
      </c>
      <c r="BE96" s="4263"/>
      <c r="BF96" s="4263" t="s">
        <v>16</v>
      </c>
      <c r="BG96" s="4258" t="s">
        <v>679</v>
      </c>
      <c r="BH96" s="4263">
        <v>14.38</v>
      </c>
      <c r="BI96" s="4263">
        <v>8</v>
      </c>
      <c r="BJ96" s="4264">
        <f t="shared" si="43"/>
        <v>2.3800000000000008</v>
      </c>
      <c r="BK96" s="4272">
        <v>12</v>
      </c>
      <c r="BM96" s="36"/>
      <c r="BN96" s="36"/>
      <c r="BO96" s="36" t="s">
        <v>489</v>
      </c>
      <c r="BP96" s="1345">
        <v>13</v>
      </c>
      <c r="BQ96" s="95">
        <v>6</v>
      </c>
      <c r="BR96" s="1281">
        <f t="shared" si="27"/>
        <v>1</v>
      </c>
      <c r="BS96" s="2029">
        <v>12</v>
      </c>
      <c r="BU96" s="97"/>
      <c r="BV96" s="97"/>
      <c r="BW96" s="36" t="s">
        <v>489</v>
      </c>
      <c r="BX96" s="95">
        <v>13</v>
      </c>
      <c r="BY96" s="95">
        <v>7</v>
      </c>
      <c r="BZ96" s="1281">
        <f t="shared" si="28"/>
        <v>1</v>
      </c>
      <c r="CB96" s="95"/>
      <c r="CC96" s="95"/>
      <c r="CE96" s="1345"/>
      <c r="CF96" s="95"/>
      <c r="CG96" s="1335"/>
      <c r="CI96" s="742"/>
      <c r="CJ96" s="742"/>
      <c r="CK96" s="1334"/>
      <c r="CL96" s="1265"/>
      <c r="CM96" s="1266"/>
      <c r="CN96" s="1335"/>
      <c r="DC96" s="36"/>
      <c r="DJ96" s="36"/>
      <c r="DK96" s="95"/>
      <c r="DL96" s="95"/>
      <c r="DW96" s="1349">
        <v>12</v>
      </c>
    </row>
    <row r="97" spans="2:128">
      <c r="B97" s="6073">
        <v>3</v>
      </c>
      <c r="C97" s="6073">
        <v>4</v>
      </c>
      <c r="D97" s="6075">
        <v>12.199923671521598</v>
      </c>
      <c r="E97" s="6073">
        <v>466</v>
      </c>
      <c r="F97" s="6076">
        <f t="shared" si="41"/>
        <v>0.19992367152159751</v>
      </c>
      <c r="G97" s="6264">
        <v>12</v>
      </c>
      <c r="I97" s="6073">
        <v>5</v>
      </c>
      <c r="J97" s="6073">
        <v>2</v>
      </c>
      <c r="K97" s="6074">
        <v>148</v>
      </c>
      <c r="L97" s="6075">
        <v>13.375</v>
      </c>
      <c r="M97" s="6073">
        <v>25</v>
      </c>
      <c r="N97" s="6076">
        <f t="shared" si="36"/>
        <v>1.375</v>
      </c>
      <c r="O97" s="4321">
        <v>12</v>
      </c>
      <c r="Q97" s="5832">
        <v>5</v>
      </c>
      <c r="R97" s="5832">
        <v>2</v>
      </c>
      <c r="S97" s="5840">
        <v>148</v>
      </c>
      <c r="T97" s="5833">
        <v>13.670454545454547</v>
      </c>
      <c r="U97" s="5832">
        <v>25</v>
      </c>
      <c r="V97" s="1346">
        <f t="shared" si="37"/>
        <v>1.6704545454545467</v>
      </c>
      <c r="W97" s="4321">
        <v>12</v>
      </c>
      <c r="Y97" s="4316">
        <v>5</v>
      </c>
      <c r="Z97" s="4316">
        <v>2</v>
      </c>
      <c r="AA97" s="4245" t="s">
        <v>679</v>
      </c>
      <c r="AB97" s="4327">
        <v>13.392857142857142</v>
      </c>
      <c r="AC97" s="4631">
        <v>25</v>
      </c>
      <c r="AD97" s="1346">
        <f t="shared" si="35"/>
        <v>1.3928571428571423</v>
      </c>
      <c r="AE97" s="4321">
        <v>12</v>
      </c>
      <c r="AF97" s="4817"/>
      <c r="AG97" s="4316">
        <v>5</v>
      </c>
      <c r="AH97" s="4316">
        <v>2</v>
      </c>
      <c r="AI97" s="4245" t="s">
        <v>489</v>
      </c>
      <c r="AJ97" s="4327">
        <v>13</v>
      </c>
      <c r="AK97" s="4628">
        <v>16</v>
      </c>
      <c r="AL97" s="1346">
        <f t="shared" si="23"/>
        <v>1</v>
      </c>
      <c r="AM97" s="4321">
        <v>12</v>
      </c>
      <c r="AO97" s="4237"/>
      <c r="AP97" s="4237"/>
      <c r="AQ97" s="4236" t="s">
        <v>489</v>
      </c>
      <c r="AR97" s="4237">
        <v>12.87</v>
      </c>
      <c r="AS97" s="4237">
        <v>15</v>
      </c>
      <c r="AT97" s="4294">
        <f t="shared" si="44"/>
        <v>0.86999999999999922</v>
      </c>
      <c r="AU97" s="4301">
        <v>12</v>
      </c>
      <c r="AW97" s="97"/>
      <c r="AX97" s="97"/>
      <c r="AY97" s="42" t="s">
        <v>489</v>
      </c>
      <c r="AZ97" s="97">
        <v>13</v>
      </c>
      <c r="BA97" s="97">
        <v>12</v>
      </c>
      <c r="BB97" s="1281">
        <f t="shared" si="42"/>
        <v>1</v>
      </c>
      <c r="BC97" s="3710">
        <v>12</v>
      </c>
      <c r="BE97" s="4263"/>
      <c r="BF97" s="4263"/>
      <c r="BG97" s="4258" t="s">
        <v>489</v>
      </c>
      <c r="BH97" s="4263">
        <v>13</v>
      </c>
      <c r="BI97" s="4263">
        <v>12</v>
      </c>
      <c r="BJ97" s="4264">
        <f t="shared" si="43"/>
        <v>1</v>
      </c>
      <c r="BK97" s="4272">
        <v>12</v>
      </c>
      <c r="BM97" s="36"/>
      <c r="BN97" s="36"/>
      <c r="BO97" s="393" t="s">
        <v>483</v>
      </c>
      <c r="BP97" s="1360">
        <v>13.64</v>
      </c>
      <c r="BQ97" s="2015">
        <v>22</v>
      </c>
      <c r="BR97" s="1675">
        <f t="shared" si="27"/>
        <v>1.6400000000000006</v>
      </c>
      <c r="BS97" s="2029">
        <v>12</v>
      </c>
      <c r="BU97" s="97"/>
      <c r="BV97" s="97"/>
      <c r="BW97" s="393" t="s">
        <v>483</v>
      </c>
      <c r="BX97" s="86">
        <v>12.89</v>
      </c>
      <c r="BY97" s="86">
        <v>38</v>
      </c>
      <c r="BZ97" s="1675">
        <f t="shared" si="28"/>
        <v>0.89000000000000057</v>
      </c>
      <c r="CB97" s="95"/>
      <c r="CC97" s="95"/>
      <c r="CD97" s="393" t="s">
        <v>483</v>
      </c>
      <c r="CE97" s="1360">
        <v>12.5</v>
      </c>
      <c r="CF97" s="86">
        <v>10</v>
      </c>
      <c r="CG97" s="1480" t="e">
        <f>CE97-#REF!</f>
        <v>#REF!</v>
      </c>
      <c r="CI97" s="742"/>
      <c r="CJ97" s="742"/>
      <c r="CK97" s="1350" t="s">
        <v>483</v>
      </c>
      <c r="CL97" s="1351">
        <v>12.218749999999996</v>
      </c>
      <c r="CM97" s="1352">
        <v>32</v>
      </c>
      <c r="CN97" s="1335" t="e">
        <f>CL97-#REF!</f>
        <v>#REF!</v>
      </c>
      <c r="DC97" s="36"/>
      <c r="DJ97" s="36"/>
      <c r="DK97" s="95"/>
      <c r="DL97" s="95"/>
      <c r="DW97" s="1349">
        <v>12</v>
      </c>
    </row>
    <row r="98" spans="2:128">
      <c r="B98" s="6073">
        <v>4</v>
      </c>
      <c r="C98" s="6073">
        <v>2</v>
      </c>
      <c r="D98" s="6075">
        <v>15.678674948240166</v>
      </c>
      <c r="E98" s="6073">
        <v>84</v>
      </c>
      <c r="F98" s="6076">
        <f t="shared" si="41"/>
        <v>3.6786749482401664</v>
      </c>
      <c r="G98" s="6264">
        <v>12</v>
      </c>
      <c r="I98" s="6073">
        <v>5</v>
      </c>
      <c r="J98" s="6073">
        <v>2</v>
      </c>
      <c r="K98" s="6074">
        <v>161</v>
      </c>
      <c r="L98" s="6075">
        <v>13.444444444444445</v>
      </c>
      <c r="M98" s="6073">
        <v>6</v>
      </c>
      <c r="N98" s="6076">
        <f t="shared" si="36"/>
        <v>1.4444444444444446</v>
      </c>
      <c r="O98" s="4321">
        <v>12</v>
      </c>
      <c r="Q98" s="5832">
        <v>5</v>
      </c>
      <c r="R98" s="5832">
        <v>2</v>
      </c>
      <c r="S98" s="5840">
        <v>161</v>
      </c>
      <c r="T98" s="5833">
        <v>12.666666666666666</v>
      </c>
      <c r="U98" s="5832">
        <v>6</v>
      </c>
      <c r="V98" s="1346">
        <f t="shared" si="37"/>
        <v>0.66666666666666607</v>
      </c>
      <c r="W98" s="4321">
        <v>12</v>
      </c>
      <c r="Y98" s="4316">
        <v>5</v>
      </c>
      <c r="Z98" s="4316">
        <v>2</v>
      </c>
      <c r="AA98" s="4245" t="s">
        <v>489</v>
      </c>
      <c r="AB98" s="4327">
        <v>12.666666666666666</v>
      </c>
      <c r="AC98" s="4628">
        <v>6</v>
      </c>
      <c r="AD98" s="1346">
        <f t="shared" si="35"/>
        <v>0.66666666666666607</v>
      </c>
      <c r="AE98" s="4321">
        <v>12</v>
      </c>
      <c r="AG98" s="4316"/>
      <c r="AH98" s="4316"/>
      <c r="AI98" s="4246" t="s">
        <v>483</v>
      </c>
      <c r="AJ98" s="4328">
        <v>13.476666666666665</v>
      </c>
      <c r="AK98" s="1493">
        <f>SUM(AK96:AK97)</f>
        <v>42</v>
      </c>
      <c r="AL98" s="1361">
        <f t="shared" si="23"/>
        <v>1.4766666666666648</v>
      </c>
      <c r="AM98" s="4323">
        <v>12</v>
      </c>
      <c r="AO98" s="4237"/>
      <c r="AP98" s="4237"/>
      <c r="AQ98" s="4214" t="s">
        <v>483</v>
      </c>
      <c r="AR98" s="4239">
        <v>13.15</v>
      </c>
      <c r="AS98" s="4239">
        <v>41</v>
      </c>
      <c r="AT98" s="4294">
        <f t="shared" si="44"/>
        <v>1.1500000000000004</v>
      </c>
      <c r="AU98" s="4301">
        <v>12</v>
      </c>
      <c r="AW98" s="97"/>
      <c r="AX98" s="97"/>
      <c r="AY98" s="893" t="s">
        <v>483</v>
      </c>
      <c r="AZ98" s="135">
        <v>13.55</v>
      </c>
      <c r="BA98" s="135">
        <v>20</v>
      </c>
      <c r="BB98" s="1675">
        <f t="shared" si="42"/>
        <v>1.5500000000000007</v>
      </c>
      <c r="BC98" s="3710">
        <v>12</v>
      </c>
      <c r="BE98" s="4263"/>
      <c r="BF98" s="4263"/>
      <c r="BG98" s="4257" t="s">
        <v>483</v>
      </c>
      <c r="BH98" s="4266">
        <v>13.55</v>
      </c>
      <c r="BI98" s="4266">
        <v>20</v>
      </c>
      <c r="BJ98" s="4267">
        <f t="shared" si="43"/>
        <v>1.5500000000000007</v>
      </c>
      <c r="BK98" s="4272">
        <v>12</v>
      </c>
      <c r="BM98" s="36"/>
      <c r="BN98" s="36" t="s">
        <v>41</v>
      </c>
      <c r="BO98" s="36" t="s">
        <v>680</v>
      </c>
      <c r="BP98" s="1345">
        <v>13.79</v>
      </c>
      <c r="BQ98" s="95">
        <v>19</v>
      </c>
      <c r="BR98" s="1281">
        <f t="shared" si="27"/>
        <v>1.7899999999999991</v>
      </c>
      <c r="BS98" s="2029">
        <v>12</v>
      </c>
      <c r="BU98" s="97"/>
      <c r="BV98" s="97" t="s">
        <v>41</v>
      </c>
      <c r="BW98" s="36" t="s">
        <v>680</v>
      </c>
      <c r="BX98" s="95">
        <v>13.13</v>
      </c>
      <c r="BY98" s="95">
        <v>30</v>
      </c>
      <c r="BZ98" s="1281">
        <f t="shared" si="28"/>
        <v>1.1300000000000008</v>
      </c>
      <c r="CB98" s="95"/>
      <c r="CC98" s="95" t="s">
        <v>41</v>
      </c>
      <c r="CD98" s="36" t="s">
        <v>680</v>
      </c>
      <c r="CE98" s="1345">
        <v>13.14</v>
      </c>
      <c r="CF98" s="95">
        <v>14</v>
      </c>
      <c r="CG98" s="1335" t="e">
        <f>CE98-#REF!</f>
        <v>#REF!</v>
      </c>
      <c r="CI98" s="742"/>
      <c r="CJ98" s="742" t="s">
        <v>41</v>
      </c>
      <c r="CK98" s="1334" t="s">
        <v>680</v>
      </c>
      <c r="CL98" s="1265">
        <v>12.130434782608695</v>
      </c>
      <c r="CM98" s="1266">
        <v>23</v>
      </c>
      <c r="CN98" s="1335" t="e">
        <f>CL98-#REF!</f>
        <v>#REF!</v>
      </c>
      <c r="DC98" s="36"/>
      <c r="DJ98" s="36"/>
      <c r="DK98" s="95"/>
      <c r="DL98" s="95"/>
      <c r="DW98" s="1349">
        <v>12</v>
      </c>
    </row>
    <row r="99" spans="2:128">
      <c r="B99" s="6073">
        <v>4</v>
      </c>
      <c r="C99" s="6073">
        <v>5</v>
      </c>
      <c r="D99" s="6075">
        <v>16.264724736048265</v>
      </c>
      <c r="E99" s="6073">
        <v>85</v>
      </c>
      <c r="F99" s="6076">
        <f t="shared" si="41"/>
        <v>4.2647247360482652</v>
      </c>
      <c r="G99" s="6264">
        <v>12</v>
      </c>
      <c r="I99" s="6073"/>
      <c r="J99" s="6073"/>
      <c r="K99" s="6083" t="s">
        <v>483</v>
      </c>
      <c r="L99" s="6075">
        <v>13.4</v>
      </c>
      <c r="M99" s="6077">
        <f>SUM(M97:M98)</f>
        <v>31</v>
      </c>
      <c r="N99" s="6076">
        <f t="shared" si="36"/>
        <v>1.4000000000000004</v>
      </c>
      <c r="O99" s="4319">
        <v>12</v>
      </c>
      <c r="Q99" s="5832"/>
      <c r="R99" s="5832"/>
      <c r="S99" s="5847" t="s">
        <v>483</v>
      </c>
      <c r="T99" s="5843">
        <v>13.335858585858587</v>
      </c>
      <c r="U99" s="5838">
        <f>SUM(U97:U98)</f>
        <v>31</v>
      </c>
      <c r="V99" s="1346">
        <f t="shared" si="37"/>
        <v>1.3358585858585865</v>
      </c>
      <c r="W99" s="4319">
        <v>12</v>
      </c>
      <c r="Y99" s="4316"/>
      <c r="Z99" s="4316"/>
      <c r="AA99" s="4246" t="s">
        <v>483</v>
      </c>
      <c r="AB99" s="4328">
        <v>15.291666666666666</v>
      </c>
      <c r="AC99" s="1493">
        <f>SUM(AC97:AC98)</f>
        <v>31</v>
      </c>
      <c r="AD99" s="1361">
        <f t="shared" si="35"/>
        <v>3.2916666666666661</v>
      </c>
      <c r="AE99" s="4323">
        <v>12</v>
      </c>
      <c r="AG99" s="4316">
        <v>5</v>
      </c>
      <c r="AH99" s="4316">
        <v>3</v>
      </c>
      <c r="AI99" s="4245" t="s">
        <v>680</v>
      </c>
      <c r="AJ99" s="4327">
        <v>14.095238095238097</v>
      </c>
      <c r="AK99" s="4628">
        <v>22</v>
      </c>
      <c r="AL99" s="1346">
        <f t="shared" si="23"/>
        <v>2.0952380952380967</v>
      </c>
      <c r="AM99" s="4321">
        <v>12</v>
      </c>
      <c r="AO99" s="4237"/>
      <c r="AP99" s="4237" t="s">
        <v>41</v>
      </c>
      <c r="AQ99" s="4236" t="s">
        <v>680</v>
      </c>
      <c r="AR99" s="4237">
        <v>14.13</v>
      </c>
      <c r="AS99" s="4237">
        <v>16</v>
      </c>
      <c r="AT99" s="4296">
        <f t="shared" si="44"/>
        <v>2.1300000000000008</v>
      </c>
      <c r="AU99" s="4301">
        <v>12</v>
      </c>
      <c r="AW99" s="97"/>
      <c r="AX99" s="97" t="s">
        <v>41</v>
      </c>
      <c r="AY99" s="42" t="s">
        <v>680</v>
      </c>
      <c r="AZ99" s="97">
        <v>14.43</v>
      </c>
      <c r="BA99" s="97">
        <v>7</v>
      </c>
      <c r="BB99" s="1281">
        <f t="shared" si="42"/>
        <v>2.4299999999999997</v>
      </c>
      <c r="BC99" s="3710">
        <v>12</v>
      </c>
      <c r="BE99" s="4263"/>
      <c r="BF99" s="4263" t="s">
        <v>41</v>
      </c>
      <c r="BG99" s="4258" t="s">
        <v>680</v>
      </c>
      <c r="BH99" s="4263">
        <v>14.6</v>
      </c>
      <c r="BI99" s="4263">
        <v>5</v>
      </c>
      <c r="BJ99" s="4264">
        <f t="shared" si="43"/>
        <v>2.5999999999999996</v>
      </c>
      <c r="BK99" s="4272">
        <v>12</v>
      </c>
      <c r="BM99" s="36"/>
      <c r="BN99" s="36"/>
      <c r="BO99" s="2019" t="s">
        <v>485</v>
      </c>
      <c r="BP99" s="2020">
        <v>13.79</v>
      </c>
      <c r="BQ99" s="2021">
        <v>19</v>
      </c>
      <c r="BR99" s="1675">
        <f t="shared" si="27"/>
        <v>1.7899999999999991</v>
      </c>
      <c r="BS99" s="1349">
        <v>12</v>
      </c>
      <c r="BU99" s="97"/>
      <c r="BV99" s="97"/>
      <c r="BW99" s="393" t="s">
        <v>485</v>
      </c>
      <c r="BX99" s="86">
        <v>13.13</v>
      </c>
      <c r="BY99" s="86">
        <v>30</v>
      </c>
      <c r="BZ99" s="1675">
        <f t="shared" si="28"/>
        <v>1.1300000000000008</v>
      </c>
      <c r="CB99" s="95"/>
      <c r="CC99" s="95"/>
      <c r="CD99" s="393" t="s">
        <v>485</v>
      </c>
      <c r="CE99" s="1360">
        <v>13.14</v>
      </c>
      <c r="CF99" s="86">
        <v>14</v>
      </c>
      <c r="CG99" s="1480" t="e">
        <f>CE99-#REF!</f>
        <v>#REF!</v>
      </c>
      <c r="CI99" s="742"/>
      <c r="CJ99" s="742"/>
      <c r="CK99" s="1350" t="s">
        <v>485</v>
      </c>
      <c r="CL99" s="1351">
        <v>12.130434782608695</v>
      </c>
      <c r="CM99" s="1352">
        <v>23</v>
      </c>
      <c r="CN99" s="1335" t="e">
        <f>CL99-#REF!</f>
        <v>#REF!</v>
      </c>
      <c r="DC99" s="36"/>
      <c r="DJ99" s="36"/>
      <c r="DK99" s="95"/>
      <c r="DL99" s="95"/>
      <c r="DW99" s="1349">
        <v>12</v>
      </c>
    </row>
    <row r="100" spans="2:128">
      <c r="B100" s="6073">
        <v>4</v>
      </c>
      <c r="C100" s="6073">
        <v>6</v>
      </c>
      <c r="D100" s="6075">
        <v>16.069047619047616</v>
      </c>
      <c r="E100" s="6073">
        <v>78</v>
      </c>
      <c r="F100" s="6076">
        <f t="shared" si="41"/>
        <v>4.0690476190476161</v>
      </c>
      <c r="G100" s="6264">
        <v>12</v>
      </c>
      <c r="I100" s="6073">
        <v>5</v>
      </c>
      <c r="J100" s="6073">
        <v>3</v>
      </c>
      <c r="K100" s="6074">
        <v>149</v>
      </c>
      <c r="L100" s="6075">
        <v>17.285714285714285</v>
      </c>
      <c r="M100" s="6073">
        <v>19</v>
      </c>
      <c r="N100" s="6076">
        <f t="shared" si="36"/>
        <v>5.2857142857142847</v>
      </c>
      <c r="O100" s="4321">
        <v>12</v>
      </c>
      <c r="Q100" s="5832">
        <v>5</v>
      </c>
      <c r="R100" s="5832">
        <v>3</v>
      </c>
      <c r="S100" s="5840">
        <v>149</v>
      </c>
      <c r="T100" s="5833">
        <v>16.404761904761905</v>
      </c>
      <c r="U100" s="5832">
        <v>19</v>
      </c>
      <c r="V100" s="1346">
        <f t="shared" si="37"/>
        <v>4.4047619047619051</v>
      </c>
      <c r="W100" s="4321">
        <v>12</v>
      </c>
      <c r="Y100" s="4316">
        <v>5</v>
      </c>
      <c r="Z100" s="4316">
        <v>3</v>
      </c>
      <c r="AA100" s="4245" t="s">
        <v>680</v>
      </c>
      <c r="AB100" s="4327">
        <v>16.895833333333332</v>
      </c>
      <c r="AC100" s="4628">
        <v>15</v>
      </c>
      <c r="AD100" s="1346">
        <f t="shared" si="35"/>
        <v>4.8958333333333321</v>
      </c>
      <c r="AE100" s="4321">
        <v>12</v>
      </c>
      <c r="AI100" s="4246" t="s">
        <v>485</v>
      </c>
      <c r="AJ100" s="4328">
        <v>14.095238095238097</v>
      </c>
      <c r="AK100" s="1493">
        <f>SUM(AK99)</f>
        <v>22</v>
      </c>
      <c r="AL100" s="1361">
        <f t="shared" si="23"/>
        <v>2.0952380952380967</v>
      </c>
      <c r="AM100" s="4323">
        <v>12</v>
      </c>
      <c r="AO100" s="4237"/>
      <c r="AP100" s="4237"/>
      <c r="AQ100" s="4214" t="s">
        <v>485</v>
      </c>
      <c r="AR100" s="4239">
        <v>14.13</v>
      </c>
      <c r="AS100" s="4239">
        <v>16</v>
      </c>
      <c r="AT100" s="4294">
        <f t="shared" si="44"/>
        <v>2.1300000000000008</v>
      </c>
      <c r="AU100" s="4301">
        <v>12</v>
      </c>
      <c r="AW100" s="97"/>
      <c r="AX100" s="97"/>
      <c r="AY100" s="3713" t="s">
        <v>485</v>
      </c>
      <c r="AZ100" s="3714">
        <v>14.43</v>
      </c>
      <c r="BA100" s="3714">
        <v>7</v>
      </c>
      <c r="BB100" s="1675">
        <f t="shared" si="42"/>
        <v>2.4299999999999997</v>
      </c>
      <c r="BC100" s="3706">
        <v>12</v>
      </c>
      <c r="BE100" s="4263"/>
      <c r="BF100" s="4263"/>
      <c r="BG100" s="4277" t="s">
        <v>485</v>
      </c>
      <c r="BH100" s="4278">
        <v>14.6</v>
      </c>
      <c r="BI100" s="4278">
        <v>5</v>
      </c>
      <c r="BJ100" s="4267">
        <f t="shared" si="43"/>
        <v>2.5999999999999996</v>
      </c>
      <c r="BK100" s="4265">
        <v>12</v>
      </c>
      <c r="BM100" s="2022"/>
      <c r="BN100" s="2022"/>
      <c r="BO100" s="2023" t="s">
        <v>1017</v>
      </c>
      <c r="BP100" s="2024">
        <v>13.98</v>
      </c>
      <c r="BQ100" s="2025">
        <v>52</v>
      </c>
      <c r="BR100" s="1676">
        <f t="shared" si="27"/>
        <v>1.9800000000000004</v>
      </c>
      <c r="BS100" s="2030">
        <v>12</v>
      </c>
      <c r="BU100" s="1501"/>
      <c r="BV100" s="1501"/>
      <c r="BW100" s="1477" t="s">
        <v>1017</v>
      </c>
      <c r="BX100" s="1479">
        <v>13.05</v>
      </c>
      <c r="BY100" s="1479">
        <v>81</v>
      </c>
      <c r="BZ100" s="1676">
        <f t="shared" si="28"/>
        <v>1.0500000000000007</v>
      </c>
      <c r="CB100" s="95"/>
      <c r="CC100" s="95"/>
      <c r="CD100" s="393" t="s">
        <v>1017</v>
      </c>
      <c r="CE100" s="1360">
        <v>12.83</v>
      </c>
      <c r="CF100" s="86">
        <v>29</v>
      </c>
      <c r="CG100" s="1480" t="e">
        <f>CE100-#REF!</f>
        <v>#REF!</v>
      </c>
      <c r="CI100" s="742"/>
      <c r="CJ100" s="742"/>
      <c r="CK100" s="1350" t="s">
        <v>1017</v>
      </c>
      <c r="CL100" s="1351">
        <v>12.226666666666667</v>
      </c>
      <c r="CM100" s="1352">
        <v>75</v>
      </c>
      <c r="CN100" s="1335" t="e">
        <f>CL100-#REF!</f>
        <v>#REF!</v>
      </c>
      <c r="DC100" s="36"/>
      <c r="DJ100" s="36"/>
      <c r="DK100" s="95"/>
      <c r="DL100" s="95"/>
      <c r="DW100" s="1349">
        <v>12</v>
      </c>
    </row>
    <row r="101" spans="2:128" ht="15" thickBot="1">
      <c r="B101" s="6073">
        <v>5</v>
      </c>
      <c r="C101" s="6073">
        <v>1</v>
      </c>
      <c r="D101" s="6075">
        <v>18.452380952380956</v>
      </c>
      <c r="E101" s="6073">
        <v>15</v>
      </c>
      <c r="F101" s="6076">
        <f t="shared" si="41"/>
        <v>6.4523809523809561</v>
      </c>
      <c r="G101" s="6264">
        <v>12</v>
      </c>
      <c r="I101" s="6073">
        <v>5</v>
      </c>
      <c r="J101" s="6073">
        <v>3</v>
      </c>
      <c r="K101" s="6074">
        <v>178</v>
      </c>
      <c r="L101" s="6075">
        <v>12</v>
      </c>
      <c r="M101" s="6073">
        <v>12</v>
      </c>
      <c r="N101" s="6076">
        <f t="shared" si="36"/>
        <v>0</v>
      </c>
      <c r="O101" s="4321">
        <v>12</v>
      </c>
      <c r="Q101" s="5832">
        <v>5</v>
      </c>
      <c r="R101" s="5832">
        <v>3</v>
      </c>
      <c r="S101" s="5840">
        <v>178</v>
      </c>
      <c r="T101" s="5833">
        <v>12.041666666666666</v>
      </c>
      <c r="U101" s="5832">
        <v>12</v>
      </c>
      <c r="V101" s="1346">
        <f t="shared" si="37"/>
        <v>4.1666666666666075E-2</v>
      </c>
      <c r="W101" s="4321">
        <v>12</v>
      </c>
      <c r="Y101" s="4827">
        <v>5</v>
      </c>
      <c r="Z101" s="4827">
        <v>3</v>
      </c>
      <c r="AA101" s="4245" t="s">
        <v>2056</v>
      </c>
      <c r="AB101" s="4327">
        <v>12.083333333333332</v>
      </c>
      <c r="AC101" s="4628">
        <v>9</v>
      </c>
      <c r="AD101" s="1346">
        <f t="shared" ref="AD101" si="45">AB101-AE101</f>
        <v>8.3333333333332149E-2</v>
      </c>
      <c r="AE101" s="4321">
        <v>12</v>
      </c>
      <c r="AI101" s="4253" t="s">
        <v>1017</v>
      </c>
      <c r="AJ101" s="4329">
        <v>14.125333333333336</v>
      </c>
      <c r="AK101" s="4629">
        <f>SUM(AK95,AK98,AK100)</f>
        <v>81</v>
      </c>
      <c r="AL101" s="4632">
        <f t="shared" si="23"/>
        <v>2.1253333333333355</v>
      </c>
      <c r="AM101" s="4322">
        <v>12</v>
      </c>
      <c r="AO101" s="4237"/>
      <c r="AP101" s="4237"/>
      <c r="AQ101" s="4297" t="s">
        <v>1017</v>
      </c>
      <c r="AR101" s="4298">
        <v>13.92</v>
      </c>
      <c r="AS101" s="4298">
        <v>72</v>
      </c>
      <c r="AT101" s="4302">
        <f t="shared" si="44"/>
        <v>1.92</v>
      </c>
      <c r="AU101" s="4307">
        <v>12</v>
      </c>
      <c r="AW101" s="97"/>
      <c r="AX101" s="97"/>
      <c r="AY101" s="3707" t="s">
        <v>1017</v>
      </c>
      <c r="AZ101" s="3708">
        <v>14.29</v>
      </c>
      <c r="BA101" s="3708">
        <v>42</v>
      </c>
      <c r="BB101" s="1676">
        <f t="shared" si="42"/>
        <v>2.2899999999999991</v>
      </c>
      <c r="BC101" s="3715">
        <v>12</v>
      </c>
      <c r="BE101" s="4263"/>
      <c r="BF101" s="4263"/>
      <c r="BG101" s="4268" t="s">
        <v>1017</v>
      </c>
      <c r="BH101" s="4269">
        <v>14.28</v>
      </c>
      <c r="BI101" s="4269">
        <v>36</v>
      </c>
      <c r="BJ101" s="4270">
        <f t="shared" si="43"/>
        <v>2.2799999999999994</v>
      </c>
      <c r="BK101" s="4279">
        <v>12</v>
      </c>
      <c r="BM101" s="401"/>
      <c r="BN101" s="401"/>
      <c r="BO101" s="397" t="s">
        <v>112</v>
      </c>
      <c r="BP101" s="1391">
        <v>15.93</v>
      </c>
      <c r="BQ101" s="398">
        <v>5450</v>
      </c>
      <c r="BR101" s="1674">
        <f t="shared" si="27"/>
        <v>3.9299999999999997</v>
      </c>
      <c r="BS101" s="2031">
        <v>12</v>
      </c>
      <c r="BU101" s="1015"/>
      <c r="BV101" s="1015"/>
      <c r="BW101" s="397" t="s">
        <v>112</v>
      </c>
      <c r="BX101" s="398">
        <v>16.11</v>
      </c>
      <c r="BY101" s="398">
        <v>5427</v>
      </c>
      <c r="BZ101" s="1674">
        <f t="shared" si="28"/>
        <v>4.1099999999999994</v>
      </c>
      <c r="CB101" s="396"/>
      <c r="CC101" s="396"/>
      <c r="CD101" s="397" t="s">
        <v>112</v>
      </c>
      <c r="CE101" s="1391">
        <v>15.86</v>
      </c>
      <c r="CF101" s="398">
        <v>5145</v>
      </c>
      <c r="CG101" s="1476" t="e">
        <f>CE101-#REF!</f>
        <v>#REF!</v>
      </c>
      <c r="CI101" s="1011"/>
      <c r="CJ101" s="1011"/>
      <c r="CK101" s="1415"/>
      <c r="CL101" s="836"/>
      <c r="CM101" s="836"/>
      <c r="CN101" s="836"/>
      <c r="CW101" s="36"/>
      <c r="CX101" s="36"/>
      <c r="CY101" s="36"/>
      <c r="CZ101" s="36"/>
      <c r="DA101" s="36"/>
      <c r="DB101" s="36"/>
      <c r="DC101" s="36"/>
      <c r="DJ101" s="36"/>
      <c r="DK101" s="95"/>
      <c r="DL101" s="95"/>
      <c r="DW101" s="1349">
        <v>12</v>
      </c>
    </row>
    <row r="102" spans="2:128" ht="15" thickBot="1">
      <c r="B102" s="6073">
        <v>5</v>
      </c>
      <c r="C102" s="6073">
        <v>2</v>
      </c>
      <c r="D102" s="6075">
        <v>12.842772108843539</v>
      </c>
      <c r="E102" s="6073">
        <v>52</v>
      </c>
      <c r="F102" s="6076">
        <f t="shared" si="41"/>
        <v>0.8427721088435387</v>
      </c>
      <c r="G102" s="6264">
        <v>12</v>
      </c>
      <c r="I102" s="4245"/>
      <c r="J102" s="4245"/>
      <c r="K102" s="6083" t="s">
        <v>485</v>
      </c>
      <c r="L102" s="6075">
        <v>14.6</v>
      </c>
      <c r="M102" s="6077">
        <f>SUM(M100:M101)</f>
        <v>31</v>
      </c>
      <c r="N102" s="6076">
        <f t="shared" si="36"/>
        <v>2.5999999999999996</v>
      </c>
      <c r="O102" s="4319">
        <v>12</v>
      </c>
      <c r="Q102" s="5825"/>
      <c r="R102" s="5825"/>
      <c r="S102" s="5847" t="s">
        <v>485</v>
      </c>
      <c r="T102" s="5843">
        <v>14.534863945578232</v>
      </c>
      <c r="U102" s="5838">
        <f>SUM(U100:U101)</f>
        <v>31</v>
      </c>
      <c r="V102" s="1346">
        <f t="shared" si="37"/>
        <v>2.5348639455782322</v>
      </c>
      <c r="W102" s="4319">
        <v>12</v>
      </c>
      <c r="Y102" s="36"/>
      <c r="Z102" s="36"/>
      <c r="AA102" s="4246" t="s">
        <v>485</v>
      </c>
      <c r="AB102" s="4328">
        <v>16.144991474850812</v>
      </c>
      <c r="AC102" s="1493">
        <f>SUM(AC100:AC101)</f>
        <v>24</v>
      </c>
      <c r="AD102" s="1361">
        <f t="shared" si="35"/>
        <v>4.1449914748508121</v>
      </c>
      <c r="AE102" s="4323">
        <v>12</v>
      </c>
      <c r="AI102" s="4256"/>
      <c r="AJ102" s="4332"/>
      <c r="AK102" s="4630"/>
      <c r="AL102" s="4333"/>
      <c r="AM102" s="4334"/>
      <c r="AO102" s="4308"/>
      <c r="AP102" s="4308"/>
      <c r="AQ102" s="4233" t="s">
        <v>112</v>
      </c>
      <c r="AR102" s="4242">
        <v>15.06</v>
      </c>
      <c r="AS102" s="4242">
        <v>4209</v>
      </c>
      <c r="AT102" s="4309">
        <f t="shared" si="44"/>
        <v>3.0600000000000005</v>
      </c>
      <c r="AU102" s="4310">
        <v>12</v>
      </c>
      <c r="AW102" s="1015"/>
      <c r="AX102" s="1015"/>
      <c r="AY102" s="866" t="s">
        <v>112</v>
      </c>
      <c r="AZ102" s="388">
        <v>15.97</v>
      </c>
      <c r="BA102" s="388">
        <v>5336</v>
      </c>
      <c r="BB102" s="1416">
        <f t="shared" si="42"/>
        <v>3.9700000000000006</v>
      </c>
      <c r="BC102" s="3716">
        <v>12</v>
      </c>
      <c r="BE102" s="4280"/>
      <c r="BF102" s="4280"/>
      <c r="BG102" s="4281" t="s">
        <v>112</v>
      </c>
      <c r="BH102" s="4260">
        <v>15.74</v>
      </c>
      <c r="BI102" s="4260">
        <v>4256</v>
      </c>
      <c r="BJ102" s="4282">
        <f t="shared" si="43"/>
        <v>3.74</v>
      </c>
      <c r="BK102" s="4283">
        <v>12</v>
      </c>
      <c r="BU102" s="36"/>
      <c r="BV102" s="36"/>
      <c r="BW102" s="36"/>
      <c r="BX102" s="95"/>
      <c r="BY102" s="95"/>
      <c r="BZ102" s="36"/>
      <c r="CE102" s="1345"/>
      <c r="CF102" s="95"/>
      <c r="CG102" s="1335"/>
      <c r="CW102" s="36"/>
      <c r="CX102" s="36"/>
      <c r="CY102" s="36"/>
      <c r="CZ102" s="36"/>
      <c r="DA102" s="36"/>
      <c r="DB102" s="36"/>
      <c r="DC102" s="36"/>
      <c r="DD102" s="97"/>
      <c r="DE102" s="97"/>
      <c r="DF102" s="36"/>
      <c r="DG102" s="36"/>
      <c r="DH102" s="36"/>
      <c r="DI102" s="36"/>
      <c r="DJ102" s="36"/>
      <c r="DK102" s="95"/>
      <c r="DL102" s="95"/>
    </row>
    <row r="103" spans="2:128" ht="15" thickBot="1">
      <c r="B103" s="6073">
        <v>5</v>
      </c>
      <c r="C103" s="6073">
        <v>3</v>
      </c>
      <c r="D103" s="6075">
        <v>15.418727106227104</v>
      </c>
      <c r="E103" s="6073">
        <v>44</v>
      </c>
      <c r="F103" s="6076">
        <f t="shared" si="41"/>
        <v>3.4187271062271041</v>
      </c>
      <c r="G103" s="6264">
        <v>12</v>
      </c>
      <c r="I103" s="6087"/>
      <c r="J103" s="6087"/>
      <c r="K103" s="6085" t="s">
        <v>1017</v>
      </c>
      <c r="L103" s="6088">
        <v>16</v>
      </c>
      <c r="M103" s="6079">
        <f>SUM(M102,M99,M96)</f>
        <v>71</v>
      </c>
      <c r="N103" s="6089">
        <f t="shared" si="36"/>
        <v>4</v>
      </c>
      <c r="O103" s="4319">
        <v>12</v>
      </c>
      <c r="Q103" s="5654"/>
      <c r="R103" s="5654"/>
      <c r="S103" s="5848" t="s">
        <v>1017</v>
      </c>
      <c r="T103" s="5845">
        <v>14.680005411255411</v>
      </c>
      <c r="U103" s="5839">
        <f>SUM(U102,U99,U96)</f>
        <v>71</v>
      </c>
      <c r="V103" s="5837">
        <f t="shared" si="37"/>
        <v>2.6800054112554115</v>
      </c>
      <c r="W103" s="4319">
        <v>12</v>
      </c>
      <c r="Y103" s="36"/>
      <c r="Z103" s="36"/>
      <c r="AA103" s="4253" t="s">
        <v>1017</v>
      </c>
      <c r="AB103" s="4329">
        <v>14.582589285714285</v>
      </c>
      <c r="AC103" s="4629">
        <f>SUM(AC96,AC99,AC102)</f>
        <v>62</v>
      </c>
      <c r="AD103" s="4632">
        <f t="shared" si="35"/>
        <v>2.5825892857142847</v>
      </c>
      <c r="AE103" s="4322">
        <v>12</v>
      </c>
      <c r="AI103" s="4247" t="s">
        <v>112</v>
      </c>
      <c r="AJ103" s="1392">
        <v>16.3</v>
      </c>
      <c r="AK103" s="1494">
        <f>SUM(AK26,AK56,AK78,AK93,AK101)</f>
        <v>5386</v>
      </c>
      <c r="AL103" s="4335">
        <f t="shared" si="23"/>
        <v>4.3000000000000007</v>
      </c>
      <c r="AM103" s="4336">
        <v>12</v>
      </c>
      <c r="AO103" s="4237"/>
      <c r="AP103" s="4237"/>
      <c r="AQ103" s="4236"/>
      <c r="AR103" s="4237"/>
      <c r="AS103" s="4237"/>
      <c r="AT103" s="4237"/>
      <c r="AU103" s="4237"/>
      <c r="AW103" s="42"/>
      <c r="AX103" s="42"/>
      <c r="AY103" s="42"/>
      <c r="AZ103" s="42"/>
      <c r="BA103" s="42"/>
      <c r="BB103" s="42"/>
      <c r="BC103" s="42"/>
      <c r="BE103" s="4258"/>
      <c r="BF103" s="4258"/>
      <c r="BG103" s="4258"/>
      <c r="BH103" s="4258"/>
      <c r="BI103" s="4258"/>
      <c r="BJ103" s="4258"/>
      <c r="BK103" s="4258"/>
      <c r="BU103" s="36"/>
      <c r="BV103" s="36"/>
      <c r="BW103" s="36"/>
      <c r="BX103" s="95"/>
      <c r="BY103" s="95"/>
      <c r="BZ103" s="36"/>
      <c r="CW103" s="36"/>
      <c r="CX103" s="36"/>
      <c r="CY103" s="36"/>
      <c r="CZ103" s="36"/>
      <c r="DA103" s="36"/>
      <c r="DB103" s="36"/>
      <c r="DC103" s="36"/>
      <c r="DD103" s="97"/>
      <c r="DE103" s="97"/>
      <c r="DF103" s="36"/>
      <c r="DG103" s="36"/>
      <c r="DH103" s="36"/>
      <c r="DI103" s="36"/>
      <c r="DJ103" s="36"/>
      <c r="DK103" s="95"/>
      <c r="DL103" s="95"/>
      <c r="DM103" s="36"/>
      <c r="DN103" s="36"/>
      <c r="DO103" s="36"/>
      <c r="DP103" s="36"/>
      <c r="DQ103" s="36"/>
      <c r="DR103" s="36"/>
      <c r="DS103" s="36"/>
      <c r="DT103" s="36"/>
      <c r="DU103" s="36"/>
      <c r="DV103" s="36"/>
      <c r="DW103" s="36"/>
      <c r="DX103" s="97"/>
    </row>
    <row r="104" spans="2:128">
      <c r="I104" s="4078"/>
      <c r="J104" s="4078"/>
      <c r="K104" s="4078"/>
      <c r="L104" s="4078"/>
      <c r="M104" s="4078"/>
      <c r="N104" s="6076"/>
      <c r="O104" s="6090"/>
      <c r="V104" s="1346"/>
      <c r="W104" s="4334"/>
      <c r="Y104" s="36"/>
      <c r="Z104" s="36"/>
      <c r="AA104" s="4256"/>
      <c r="AB104" s="4332"/>
      <c r="AC104" s="4630"/>
      <c r="AD104" s="4333"/>
      <c r="AE104" s="4334"/>
      <c r="AI104" s="4256"/>
      <c r="AJ104" s="4176"/>
      <c r="AK104" s="4829"/>
      <c r="AL104" s="4830"/>
      <c r="AM104" s="4323"/>
      <c r="AO104" s="4237"/>
      <c r="AP104" s="4237"/>
      <c r="AQ104" s="4236"/>
      <c r="AR104" s="4237"/>
      <c r="AS104" s="4237"/>
      <c r="AT104" s="4237"/>
      <c r="AU104" s="4237"/>
      <c r="AW104" s="42"/>
      <c r="AX104" s="42"/>
      <c r="AY104" s="42"/>
      <c r="AZ104" s="42"/>
      <c r="BA104" s="42"/>
      <c r="BB104" s="42"/>
      <c r="BC104" s="42"/>
      <c r="BD104" s="4817"/>
      <c r="BE104" s="4258"/>
      <c r="BF104" s="4258"/>
      <c r="BG104" s="4258"/>
      <c r="BH104" s="4258"/>
      <c r="BI104" s="4258"/>
      <c r="BJ104" s="4258"/>
      <c r="BK104" s="4258"/>
      <c r="BL104" s="4817"/>
      <c r="BM104" s="4817"/>
      <c r="BN104" s="4817"/>
      <c r="BO104" s="4817"/>
      <c r="BP104" s="4817"/>
      <c r="BQ104" s="4817"/>
      <c r="BR104" s="4817"/>
      <c r="BS104" s="4817"/>
      <c r="BT104" s="4817"/>
      <c r="BU104" s="36"/>
      <c r="BV104" s="36"/>
      <c r="BW104" s="36"/>
      <c r="BX104" s="95"/>
      <c r="BY104" s="95"/>
      <c r="BZ104" s="36"/>
      <c r="CA104" s="4817"/>
      <c r="CW104" s="36"/>
      <c r="CX104" s="36"/>
      <c r="CY104" s="36"/>
      <c r="CZ104" s="36"/>
      <c r="DA104" s="36"/>
      <c r="DB104" s="36"/>
      <c r="DC104" s="36"/>
      <c r="DD104" s="97"/>
      <c r="DE104" s="97"/>
      <c r="DF104" s="36"/>
      <c r="DG104" s="36"/>
      <c r="DH104" s="36"/>
      <c r="DI104" s="36"/>
      <c r="DJ104" s="36"/>
      <c r="DK104" s="95"/>
      <c r="DL104" s="95"/>
      <c r="DM104" s="36"/>
      <c r="DN104" s="36"/>
      <c r="DO104" s="36"/>
      <c r="DP104" s="36"/>
      <c r="DQ104" s="36"/>
      <c r="DR104" s="36"/>
      <c r="DS104" s="36"/>
      <c r="DT104" s="36"/>
      <c r="DU104" s="36"/>
      <c r="DV104" s="36"/>
      <c r="DW104" s="36"/>
      <c r="DX104" s="97"/>
    </row>
    <row r="105" spans="2:128" ht="15" thickBot="1">
      <c r="I105" s="6087"/>
      <c r="J105" s="6087"/>
      <c r="K105" s="6085" t="s">
        <v>112</v>
      </c>
      <c r="L105" s="6088">
        <v>16.899999999999999</v>
      </c>
      <c r="M105" s="6079">
        <f>SUM(M103,M94,M79,M57,M26)</f>
        <v>5607</v>
      </c>
      <c r="N105" s="5851">
        <f t="shared" si="36"/>
        <v>4.8999999999999986</v>
      </c>
      <c r="O105" s="4322">
        <v>12</v>
      </c>
      <c r="Q105" s="5654"/>
      <c r="R105" s="5654"/>
      <c r="S105" s="5848" t="s">
        <v>112</v>
      </c>
      <c r="T105" s="5845">
        <v>16.3</v>
      </c>
      <c r="U105" s="5839">
        <f>SUM(U103,U94,U79,U57,U26)</f>
        <v>5607</v>
      </c>
      <c r="V105" s="5851">
        <f t="shared" si="37"/>
        <v>4.3000000000000007</v>
      </c>
      <c r="W105" s="5849">
        <v>12</v>
      </c>
      <c r="Y105" s="36"/>
      <c r="Z105" s="36"/>
      <c r="AA105" s="4247" t="s">
        <v>112</v>
      </c>
      <c r="AB105" s="1392">
        <v>16.34</v>
      </c>
      <c r="AC105" s="1494">
        <f>SUM(AC26,AC57,AC79,AC94,AC103)</f>
        <v>4411</v>
      </c>
      <c r="AD105" s="1392">
        <f t="shared" ref="AD105" si="46">AB105-AE105</f>
        <v>4.34</v>
      </c>
      <c r="AE105" s="4336">
        <v>12</v>
      </c>
      <c r="AI105" s="4256"/>
      <c r="AJ105" s="4176"/>
      <c r="AK105" s="4829"/>
      <c r="AL105" s="4830"/>
      <c r="AM105" s="4323"/>
      <c r="AO105" s="4237"/>
      <c r="AP105" s="4237"/>
      <c r="AQ105" s="4236"/>
      <c r="AR105" s="4237"/>
      <c r="AS105" s="4237"/>
      <c r="AT105" s="4237"/>
      <c r="AU105" s="4237"/>
      <c r="AV105" s="4817"/>
      <c r="AW105" s="42"/>
      <c r="AX105" s="42"/>
      <c r="AY105" s="42"/>
      <c r="AZ105" s="42"/>
      <c r="BA105" s="42"/>
      <c r="BB105" s="42"/>
      <c r="BC105" s="42"/>
      <c r="BD105" s="4817"/>
      <c r="BE105" s="4258"/>
      <c r="BF105" s="4258"/>
      <c r="BG105" s="4258"/>
      <c r="BH105" s="4258"/>
      <c r="BI105" s="4258"/>
      <c r="BJ105" s="4258"/>
      <c r="BK105" s="4258"/>
      <c r="BL105" s="4817"/>
      <c r="BM105" s="4817"/>
      <c r="BN105" s="4817"/>
      <c r="BO105" s="4817"/>
      <c r="BP105" s="4817"/>
      <c r="BQ105" s="4817"/>
      <c r="BR105" s="4817"/>
      <c r="BS105" s="4817"/>
      <c r="BT105" s="4817"/>
      <c r="BU105" s="36"/>
      <c r="BV105" s="36"/>
      <c r="BW105" s="36"/>
      <c r="BX105" s="95"/>
      <c r="BY105" s="95"/>
      <c r="BZ105" s="36"/>
      <c r="CA105" s="4817"/>
      <c r="CD105" s="95" t="s">
        <v>4</v>
      </c>
      <c r="CE105" s="1345">
        <v>20.23</v>
      </c>
      <c r="CF105" s="95">
        <v>755</v>
      </c>
      <c r="CG105" s="1335">
        <f>CE105-12</f>
        <v>8.23</v>
      </c>
      <c r="CK105" s="1418" t="s">
        <v>4</v>
      </c>
      <c r="CL105" s="1419">
        <v>20.151388888888864</v>
      </c>
      <c r="CM105" s="1420">
        <v>720</v>
      </c>
      <c r="CN105" s="1421">
        <f>CL105-12</f>
        <v>8.1513888888888637</v>
      </c>
      <c r="CP105" s="1336"/>
      <c r="CQ105" s="36"/>
      <c r="CR105" s="1336" t="s">
        <v>4</v>
      </c>
      <c r="CS105" s="1338">
        <v>786</v>
      </c>
      <c r="CT105" s="1339">
        <v>20.636132315521618</v>
      </c>
      <c r="CU105" s="1281">
        <f t="shared" ref="CU105:CU106" si="47">CT105-12</f>
        <v>8.6361323155216176</v>
      </c>
      <c r="CW105" s="97"/>
      <c r="CX105" s="97"/>
      <c r="CY105" s="1405" t="s">
        <v>4</v>
      </c>
      <c r="CZ105" s="1406">
        <f>SUM(CZ16,CZ36)</f>
        <v>685</v>
      </c>
      <c r="DA105" s="1407">
        <v>20.621897810218968</v>
      </c>
      <c r="DB105" s="1388">
        <f t="shared" ref="DB105:DB106" si="48">+DA105-12</f>
        <v>8.6218978102189681</v>
      </c>
      <c r="DC105" s="36"/>
      <c r="DD105" s="97"/>
      <c r="DE105" s="97"/>
      <c r="DF105" s="1405" t="s">
        <v>4</v>
      </c>
      <c r="DG105" s="1408">
        <v>564</v>
      </c>
      <c r="DH105" s="1407">
        <v>20.177304964539012</v>
      </c>
      <c r="DI105" s="1388">
        <f t="shared" ref="DI105:DI106" si="49">+DH105-12</f>
        <v>8.1773049645390117</v>
      </c>
      <c r="DJ105" s="36"/>
      <c r="DK105" s="95"/>
      <c r="DL105" s="95"/>
      <c r="DM105" s="1405" t="s">
        <v>4</v>
      </c>
      <c r="DN105" s="1405">
        <v>583</v>
      </c>
      <c r="DO105" s="1409">
        <v>20.238421955403101</v>
      </c>
      <c r="DP105" s="1410">
        <f t="shared" ref="DP105:DP106" si="50">+DO105-12</f>
        <v>8.2384219554031013</v>
      </c>
      <c r="DQ105" s="36"/>
      <c r="DR105" s="1347"/>
      <c r="DS105" s="1347"/>
      <c r="DT105" s="1411" t="s">
        <v>4</v>
      </c>
      <c r="DU105" s="1411">
        <v>607</v>
      </c>
      <c r="DV105" s="1412">
        <v>19.774299835255352</v>
      </c>
      <c r="DW105" s="1413">
        <v>12</v>
      </c>
      <c r="DX105" s="1672">
        <f t="shared" ref="DX105:DX106" si="51">DV105-DW105</f>
        <v>7.7742998352553521</v>
      </c>
    </row>
    <row r="106" spans="2:128" ht="37.200000000000003" thickBot="1">
      <c r="C106" s="4315" t="s">
        <v>0</v>
      </c>
      <c r="D106" s="4324" t="s">
        <v>2815</v>
      </c>
      <c r="E106" s="4633" t="s">
        <v>1185</v>
      </c>
      <c r="F106" s="5850" t="s">
        <v>1122</v>
      </c>
      <c r="G106" s="4623" t="s">
        <v>1123</v>
      </c>
      <c r="U106" s="5825"/>
      <c r="V106" s="1346"/>
      <c r="AI106" s="4256"/>
      <c r="AJ106" s="4176"/>
      <c r="AK106" s="4829"/>
      <c r="AL106" s="4830"/>
      <c r="AM106" s="4323"/>
      <c r="AO106" s="4237"/>
      <c r="AP106" s="4237"/>
      <c r="AQ106" s="4242" t="s">
        <v>1</v>
      </c>
      <c r="AR106" s="4291" t="s">
        <v>2666</v>
      </c>
      <c r="AS106" s="4290" t="s">
        <v>1185</v>
      </c>
      <c r="AT106" s="4292" t="s">
        <v>1122</v>
      </c>
      <c r="AU106" s="4293" t="s">
        <v>1123</v>
      </c>
      <c r="AW106" s="42"/>
      <c r="AX106" s="42"/>
      <c r="AY106" s="388" t="s">
        <v>1</v>
      </c>
      <c r="AZ106" s="388" t="s">
        <v>1138</v>
      </c>
      <c r="BA106" s="388" t="s">
        <v>1185</v>
      </c>
      <c r="BB106" s="1330" t="s">
        <v>1122</v>
      </c>
      <c r="BC106" s="3718" t="s">
        <v>1123</v>
      </c>
      <c r="BE106" s="4258"/>
      <c r="BF106" s="4258"/>
      <c r="BG106" s="4260" t="s">
        <v>1</v>
      </c>
      <c r="BH106" s="4260" t="s">
        <v>1138</v>
      </c>
      <c r="BI106" s="4260" t="s">
        <v>1185</v>
      </c>
      <c r="BJ106" s="4261" t="s">
        <v>1122</v>
      </c>
      <c r="BK106" s="4284" t="s">
        <v>1123</v>
      </c>
      <c r="BO106" s="398" t="s">
        <v>1</v>
      </c>
      <c r="BP106" s="1469" t="s">
        <v>2255</v>
      </c>
      <c r="BQ106" s="398" t="s">
        <v>2256</v>
      </c>
      <c r="BR106" s="1475" t="s">
        <v>1122</v>
      </c>
      <c r="BS106" s="2032" t="s">
        <v>1123</v>
      </c>
      <c r="BU106" s="36"/>
      <c r="BV106" s="36"/>
      <c r="BW106" s="398" t="s">
        <v>1</v>
      </c>
      <c r="BX106" s="1469" t="s">
        <v>2255</v>
      </c>
      <c r="BY106" s="398" t="s">
        <v>2256</v>
      </c>
      <c r="BZ106" s="1475" t="s">
        <v>1122</v>
      </c>
      <c r="CD106" s="95" t="s">
        <v>16</v>
      </c>
      <c r="CE106" s="1345">
        <v>14.98</v>
      </c>
      <c r="CF106" s="95">
        <v>2016</v>
      </c>
      <c r="CG106" s="1335">
        <f t="shared" ref="CG106" si="52">CE106-12</f>
        <v>2.9800000000000004</v>
      </c>
      <c r="CK106" s="1418" t="s">
        <v>16</v>
      </c>
      <c r="CL106" s="1419">
        <v>15.370656370656359</v>
      </c>
      <c r="CM106" s="1420">
        <v>2072</v>
      </c>
      <c r="CN106" s="1421">
        <f t="shared" ref="CN106" si="53">CL106-12</f>
        <v>3.3706563706563593</v>
      </c>
      <c r="CP106" s="1336"/>
      <c r="CQ106" s="36"/>
      <c r="CR106" s="1336" t="s">
        <v>16</v>
      </c>
      <c r="CS106" s="1338">
        <v>1954</v>
      </c>
      <c r="CT106" s="1339">
        <v>15.036847492323407</v>
      </c>
      <c r="CU106" s="1281">
        <f t="shared" si="47"/>
        <v>3.0368474923234068</v>
      </c>
      <c r="CW106" s="97"/>
      <c r="CX106" s="97"/>
      <c r="CY106" s="95" t="s">
        <v>16</v>
      </c>
      <c r="CZ106" s="1414">
        <f>SUM(CZ21,CZ48,CZ63,CZ82)</f>
        <v>2345</v>
      </c>
      <c r="DA106" s="1268">
        <v>15.063113006396613</v>
      </c>
      <c r="DB106" s="1341">
        <f t="shared" si="48"/>
        <v>3.0631130063966125</v>
      </c>
      <c r="DC106" s="36"/>
      <c r="DD106" s="97"/>
      <c r="DE106" s="97"/>
      <c r="DF106" s="95" t="s">
        <v>16</v>
      </c>
      <c r="DG106" s="97">
        <v>1937</v>
      </c>
      <c r="DH106" s="1268">
        <v>14.944759938048525</v>
      </c>
      <c r="DI106" s="1341">
        <f t="shared" si="49"/>
        <v>2.9447599380485254</v>
      </c>
      <c r="DJ106" s="36"/>
      <c r="DK106" s="95"/>
      <c r="DL106" s="95"/>
      <c r="DM106" s="95" t="s">
        <v>16</v>
      </c>
      <c r="DN106" s="95">
        <v>1788</v>
      </c>
      <c r="DO106" s="1345">
        <v>15.041387024608484</v>
      </c>
      <c r="DP106" s="1346">
        <f t="shared" si="50"/>
        <v>3.0413870246084844</v>
      </c>
      <c r="DQ106" s="36"/>
      <c r="DR106" s="1347"/>
      <c r="DS106" s="1347"/>
      <c r="DT106" s="1347" t="s">
        <v>16</v>
      </c>
      <c r="DU106" s="1347">
        <v>1963</v>
      </c>
      <c r="DV106" s="1348">
        <v>15.22924095771773</v>
      </c>
      <c r="DW106" s="1349">
        <v>12</v>
      </c>
      <c r="DX106" s="1667">
        <f t="shared" si="51"/>
        <v>3.2292409577177299</v>
      </c>
    </row>
    <row r="107" spans="2:128">
      <c r="C107" s="6073">
        <v>1</v>
      </c>
      <c r="D107" s="6075">
        <v>17.824159524460356</v>
      </c>
      <c r="E107" s="6073">
        <v>1459</v>
      </c>
      <c r="F107" s="6076">
        <f t="shared" ref="F107:F113" si="54">D107-G107</f>
        <v>5.8241595244603559</v>
      </c>
      <c r="G107" s="6264">
        <v>12</v>
      </c>
      <c r="V107" s="1346"/>
      <c r="AA107" s="5317"/>
      <c r="AB107" s="5317"/>
      <c r="AC107" s="5317"/>
      <c r="AD107" s="5317"/>
      <c r="AE107" s="5317"/>
      <c r="AF107" s="5317"/>
      <c r="AG107" s="5825"/>
      <c r="AH107" s="5825"/>
      <c r="AI107" s="4256"/>
      <c r="AJ107" s="4176"/>
      <c r="AK107" s="4829"/>
      <c r="AL107" s="4830"/>
      <c r="AO107" s="4237"/>
      <c r="AP107" s="4288"/>
      <c r="AQ107" s="4311" t="s">
        <v>64</v>
      </c>
      <c r="AR107" s="4311">
        <v>18.97</v>
      </c>
      <c r="AS107" s="4311">
        <v>29</v>
      </c>
      <c r="AT107" s="4306">
        <f t="shared" ref="AT107:AT108" si="55">AR107-AU107</f>
        <v>6.9699999999999989</v>
      </c>
      <c r="AU107" s="4295">
        <v>12</v>
      </c>
      <c r="AW107" s="42"/>
      <c r="AX107" s="42"/>
      <c r="AY107" s="97" t="s">
        <v>64</v>
      </c>
      <c r="AZ107" s="97">
        <v>16.48</v>
      </c>
      <c r="BA107" s="97">
        <v>62</v>
      </c>
      <c r="BB107" s="3822">
        <f t="shared" ref="BB107:BB108" si="56">AZ107-BC107</f>
        <v>4.4800000000000004</v>
      </c>
      <c r="BC107" s="3706">
        <v>12</v>
      </c>
      <c r="BE107" s="4258"/>
      <c r="BF107" s="4258"/>
      <c r="BG107" s="4263" t="s">
        <v>64</v>
      </c>
      <c r="BH107" s="4263">
        <v>17.079999999999998</v>
      </c>
      <c r="BI107" s="4263">
        <v>36</v>
      </c>
      <c r="BJ107" s="4285">
        <f t="shared" ref="BJ107:BJ108" si="57">BH107-BK107</f>
        <v>5.0799999999999983</v>
      </c>
      <c r="BK107" s="4265">
        <v>12</v>
      </c>
      <c r="BO107" s="97" t="s">
        <v>64</v>
      </c>
      <c r="BP107" s="95">
        <v>16.239999999999998</v>
      </c>
      <c r="BQ107" s="95">
        <v>76</v>
      </c>
      <c r="BR107" s="1345">
        <f t="shared" ref="BR107:BR108" si="58">BP107-BS107</f>
        <v>4.2399999999999984</v>
      </c>
      <c r="BS107" s="1349">
        <v>12</v>
      </c>
      <c r="BU107" s="36"/>
      <c r="BV107" s="36"/>
      <c r="BW107" s="97" t="s">
        <v>64</v>
      </c>
      <c r="BX107" s="95">
        <v>17.12</v>
      </c>
      <c r="BY107" s="95">
        <v>43</v>
      </c>
      <c r="BZ107" s="95" t="e">
        <f>BX107-#REF!</f>
        <v>#REF!</v>
      </c>
      <c r="CP107" s="393" t="s">
        <v>1684</v>
      </c>
      <c r="CW107" s="36"/>
      <c r="CX107" s="36"/>
      <c r="CY107" s="36"/>
      <c r="CZ107" s="36"/>
      <c r="DA107" s="36"/>
      <c r="DB107" s="36"/>
      <c r="DC107" s="36"/>
      <c r="DD107" s="97"/>
      <c r="DE107" s="97"/>
      <c r="DF107" s="36"/>
      <c r="DG107" s="36"/>
      <c r="DH107" s="36"/>
      <c r="DI107" s="36"/>
      <c r="DJ107" s="36"/>
      <c r="DK107" s="95"/>
      <c r="DL107" s="95"/>
      <c r="DM107" s="36" t="s">
        <v>1125</v>
      </c>
      <c r="DN107" s="36"/>
      <c r="DO107" s="36"/>
      <c r="DP107" s="1404"/>
      <c r="DQ107" s="36"/>
      <c r="DR107" s="1347"/>
      <c r="DS107" s="1347"/>
      <c r="DT107" s="1417" t="s">
        <v>1126</v>
      </c>
      <c r="DU107" s="1347"/>
      <c r="DV107" s="392"/>
      <c r="DW107" s="392"/>
      <c r="DX107" s="1673"/>
    </row>
    <row r="108" spans="2:128" ht="15" thickBot="1">
      <c r="C108" s="6073">
        <v>2</v>
      </c>
      <c r="D108" s="6075">
        <v>19.361612634332165</v>
      </c>
      <c r="E108" s="6073">
        <v>1176</v>
      </c>
      <c r="F108" s="6076">
        <f t="shared" si="54"/>
        <v>7.3616126343321646</v>
      </c>
      <c r="G108" s="6264">
        <v>12</v>
      </c>
      <c r="V108" s="1346"/>
      <c r="AA108" s="5317"/>
      <c r="AB108" s="5317"/>
      <c r="AC108" s="5317"/>
      <c r="AD108" s="5317"/>
      <c r="AE108" s="5317"/>
      <c r="AF108" s="5317"/>
      <c r="AG108" s="5825"/>
      <c r="AH108" s="5825"/>
      <c r="AI108" s="4256"/>
      <c r="AJ108" s="4176"/>
      <c r="AK108" s="4829"/>
      <c r="AL108" s="4830"/>
      <c r="AO108" s="4237"/>
      <c r="AP108" s="4288"/>
      <c r="AQ108" s="4242" t="s">
        <v>75</v>
      </c>
      <c r="AR108" s="4242">
        <v>15.06</v>
      </c>
      <c r="AS108" s="4242">
        <v>4209</v>
      </c>
      <c r="AT108" s="4312">
        <f t="shared" si="55"/>
        <v>3.0600000000000005</v>
      </c>
      <c r="AU108" s="4313">
        <v>12</v>
      </c>
      <c r="AW108" s="42"/>
      <c r="AX108" s="42"/>
      <c r="AY108" s="388" t="s">
        <v>15</v>
      </c>
      <c r="AZ108" s="388">
        <v>15.97</v>
      </c>
      <c r="BA108" s="388">
        <v>5336</v>
      </c>
      <c r="BB108" s="1674">
        <f t="shared" si="56"/>
        <v>3.9700000000000006</v>
      </c>
      <c r="BC108" s="3717">
        <v>12</v>
      </c>
      <c r="BE108" s="4258"/>
      <c r="BF108" s="4258"/>
      <c r="BG108" s="4260" t="s">
        <v>15</v>
      </c>
      <c r="BH108" s="4260">
        <v>15.74</v>
      </c>
      <c r="BI108" s="4260">
        <v>4256</v>
      </c>
      <c r="BJ108" s="4286">
        <f t="shared" si="57"/>
        <v>3.74</v>
      </c>
      <c r="BK108" s="4287">
        <v>12</v>
      </c>
      <c r="BO108" s="388" t="s">
        <v>112</v>
      </c>
      <c r="BP108" s="398">
        <v>15.93</v>
      </c>
      <c r="BQ108" s="398">
        <v>5450</v>
      </c>
      <c r="BR108" s="2033">
        <f t="shared" si="58"/>
        <v>3.9299999999999997</v>
      </c>
      <c r="BS108" s="2034">
        <v>12</v>
      </c>
      <c r="BU108" s="36"/>
      <c r="BV108" s="36"/>
      <c r="BW108" s="388" t="s">
        <v>112</v>
      </c>
      <c r="BX108" s="398">
        <v>16.11</v>
      </c>
      <c r="BY108" s="398">
        <v>5427</v>
      </c>
      <c r="BZ108" s="398" t="e">
        <f>BX108-#REF!</f>
        <v>#REF!</v>
      </c>
      <c r="CW108" s="36"/>
      <c r="CX108" s="36"/>
      <c r="CY108" s="36"/>
      <c r="CZ108" s="36"/>
      <c r="DA108" s="36"/>
      <c r="DB108" s="36"/>
      <c r="DC108" s="36"/>
      <c r="DD108" s="97"/>
      <c r="DE108" s="97"/>
      <c r="DF108" s="36"/>
      <c r="DG108" s="36"/>
      <c r="DH108" s="36"/>
      <c r="DI108" s="36"/>
      <c r="DJ108" s="36"/>
      <c r="DK108" s="95"/>
      <c r="DL108" s="95"/>
      <c r="DM108" s="36"/>
      <c r="DN108" s="36"/>
      <c r="DO108" s="36"/>
      <c r="DP108" s="36"/>
      <c r="DQ108" s="36"/>
      <c r="DR108" s="36"/>
      <c r="DS108" s="36"/>
      <c r="DT108" s="36"/>
      <c r="DU108" s="36"/>
      <c r="DV108" s="36"/>
      <c r="DW108" s="36"/>
      <c r="DX108" s="97"/>
    </row>
    <row r="109" spans="2:128">
      <c r="C109" s="6073">
        <v>3</v>
      </c>
      <c r="D109" s="6075">
        <v>12.715007318471816</v>
      </c>
      <c r="E109" s="6073">
        <v>2607</v>
      </c>
      <c r="F109" s="6076">
        <f t="shared" si="54"/>
        <v>0.71500731847181598</v>
      </c>
      <c r="G109" s="6264">
        <v>12</v>
      </c>
      <c r="V109" s="1346"/>
      <c r="AA109" s="5317"/>
      <c r="AB109" s="5317"/>
      <c r="AC109" s="5317"/>
      <c r="AD109" s="5317"/>
      <c r="AE109" s="5317"/>
      <c r="AF109" s="5317"/>
      <c r="AG109" s="5825"/>
      <c r="AH109" s="5825"/>
      <c r="AI109" s="4256"/>
      <c r="AJ109" s="4176"/>
      <c r="AK109" s="4829"/>
      <c r="AL109" s="4830"/>
      <c r="AO109" s="95"/>
      <c r="BU109" s="36"/>
      <c r="BV109" s="36"/>
      <c r="BW109" s="36"/>
      <c r="BX109" s="36"/>
      <c r="BY109" s="36"/>
      <c r="CW109" s="36"/>
      <c r="CX109" s="36"/>
      <c r="CY109" s="36"/>
      <c r="CZ109" s="36"/>
      <c r="DA109" s="36"/>
      <c r="DB109" s="36"/>
      <c r="DC109" s="36"/>
      <c r="DD109" s="97"/>
      <c r="DE109" s="97"/>
      <c r="DF109" s="36"/>
      <c r="DG109" s="36"/>
      <c r="DH109" s="36"/>
      <c r="DI109" s="36"/>
      <c r="DJ109" s="36"/>
      <c r="DK109" s="95"/>
      <c r="DL109" s="95"/>
      <c r="DM109" s="36"/>
      <c r="DN109" s="36"/>
      <c r="DO109" s="36"/>
      <c r="DP109" s="36"/>
      <c r="DQ109" s="36"/>
      <c r="DR109" s="36"/>
      <c r="DS109" s="36"/>
      <c r="DT109" s="36"/>
      <c r="DU109" s="36"/>
      <c r="DV109" s="36"/>
      <c r="DW109" s="36"/>
      <c r="DX109" s="97"/>
    </row>
    <row r="110" spans="2:128">
      <c r="C110" s="6073">
        <v>4</v>
      </c>
      <c r="D110" s="6075">
        <v>15.968224557727602</v>
      </c>
      <c r="E110" s="6073">
        <v>247</v>
      </c>
      <c r="F110" s="6076">
        <f t="shared" si="54"/>
        <v>3.9682245577276021</v>
      </c>
      <c r="G110" s="6264">
        <v>12</v>
      </c>
      <c r="V110" s="1346"/>
      <c r="AA110" s="5317"/>
      <c r="AB110" s="5317"/>
      <c r="AC110" s="5317"/>
      <c r="AD110" s="5317"/>
      <c r="AE110" s="5317"/>
      <c r="AF110" s="5317"/>
      <c r="AG110" s="5825"/>
      <c r="AH110" s="5825"/>
      <c r="AI110" s="4256"/>
      <c r="AJ110" s="4176"/>
      <c r="AK110" s="4829"/>
      <c r="AL110" s="4830"/>
      <c r="AO110" s="95"/>
      <c r="BU110" s="393" t="s">
        <v>2253</v>
      </c>
      <c r="BV110" s="36"/>
      <c r="BW110" s="36"/>
      <c r="BX110" s="36"/>
      <c r="BY110" s="36"/>
      <c r="CW110" s="36"/>
      <c r="CX110" s="36"/>
      <c r="CY110" s="36"/>
      <c r="CZ110" s="36"/>
      <c r="DA110" s="36"/>
      <c r="DB110" s="36"/>
      <c r="DC110" s="36"/>
      <c r="DD110" s="97"/>
      <c r="DE110" s="97"/>
      <c r="DF110" s="36"/>
      <c r="DG110" s="36"/>
      <c r="DH110" s="36"/>
      <c r="DI110" s="36"/>
      <c r="DJ110" s="36"/>
      <c r="DK110" s="95"/>
      <c r="DL110" s="95"/>
      <c r="DM110" s="36"/>
      <c r="DN110" s="36"/>
      <c r="DO110" s="36"/>
      <c r="DP110" s="36"/>
      <c r="DQ110" s="36"/>
      <c r="DR110" s="36"/>
      <c r="DS110" s="36"/>
      <c r="DT110" s="36"/>
      <c r="DU110" s="36"/>
      <c r="DV110" s="36"/>
      <c r="DW110" s="36"/>
      <c r="DX110" s="97"/>
    </row>
    <row r="111" spans="2:128">
      <c r="C111" s="6073">
        <v>5</v>
      </c>
      <c r="D111" s="6075">
        <v>14.90742389794114</v>
      </c>
      <c r="E111" s="6073">
        <v>111</v>
      </c>
      <c r="F111" s="6076">
        <f t="shared" si="54"/>
        <v>2.9074238979411398</v>
      </c>
      <c r="G111" s="6264">
        <v>12</v>
      </c>
      <c r="V111" s="1346"/>
      <c r="AA111" s="5317"/>
      <c r="AB111" s="5317"/>
      <c r="AC111" s="5317"/>
      <c r="AD111" s="5317"/>
      <c r="AE111" s="5317"/>
      <c r="AF111" s="5317"/>
      <c r="AG111" s="5825"/>
      <c r="AH111" s="5825"/>
      <c r="AI111" s="4256"/>
      <c r="AJ111" s="4176"/>
      <c r="AK111" s="4829"/>
      <c r="AL111" s="4830"/>
      <c r="AO111" s="95"/>
      <c r="CW111" s="36"/>
      <c r="CX111" s="36"/>
      <c r="CY111" s="36"/>
      <c r="CZ111" s="36"/>
      <c r="DA111" s="36"/>
      <c r="DB111" s="36"/>
      <c r="DC111" s="36"/>
      <c r="DD111" s="97"/>
      <c r="DE111" s="97"/>
      <c r="DF111" s="36"/>
      <c r="DG111" s="36"/>
      <c r="DH111" s="36"/>
      <c r="DI111" s="36"/>
      <c r="DJ111" s="36"/>
      <c r="DK111" s="95"/>
      <c r="DL111" s="95"/>
      <c r="DM111" s="36"/>
      <c r="DN111" s="36"/>
      <c r="DO111" s="36"/>
      <c r="DP111" s="36"/>
      <c r="DQ111" s="36"/>
      <c r="DR111" s="36"/>
      <c r="DS111" s="36"/>
      <c r="DT111" s="36"/>
      <c r="DU111" s="36"/>
      <c r="DV111" s="36"/>
      <c r="DW111" s="36"/>
      <c r="DX111" s="97"/>
    </row>
    <row r="112" spans="2:128">
      <c r="F112" s="6076"/>
      <c r="V112" s="1346"/>
      <c r="AA112" s="5317"/>
      <c r="AB112" s="5317"/>
      <c r="AC112" s="5317"/>
      <c r="AD112" s="5317"/>
      <c r="AE112" s="5317"/>
      <c r="AF112" s="5317"/>
      <c r="AG112" s="5825"/>
      <c r="AH112" s="5825"/>
      <c r="AI112" s="4256"/>
      <c r="AJ112" s="4176"/>
      <c r="AK112" s="4829"/>
      <c r="AL112" s="4830"/>
      <c r="AO112" s="95"/>
      <c r="CW112" s="36"/>
      <c r="CX112" s="36"/>
      <c r="CY112" s="36"/>
      <c r="CZ112" s="36"/>
      <c r="DA112" s="36"/>
      <c r="DB112" s="36"/>
      <c r="DC112" s="36"/>
      <c r="DD112" s="97"/>
      <c r="DE112" s="97"/>
      <c r="DF112" s="36"/>
      <c r="DG112" s="36"/>
      <c r="DH112" s="36"/>
      <c r="DI112" s="36"/>
      <c r="DJ112" s="36"/>
      <c r="DK112" s="95"/>
      <c r="DL112" s="95"/>
      <c r="DM112" s="36"/>
      <c r="DN112" s="36"/>
      <c r="DO112" s="36"/>
      <c r="DP112" s="36"/>
      <c r="DQ112" s="36"/>
      <c r="DR112" s="36"/>
      <c r="DS112" s="36"/>
      <c r="DT112" s="36"/>
      <c r="DU112" s="36"/>
      <c r="DV112" s="36"/>
      <c r="DW112" s="36"/>
      <c r="DX112" s="97"/>
    </row>
    <row r="113" spans="3:128">
      <c r="C113" s="6394" t="s">
        <v>75</v>
      </c>
      <c r="D113" s="6393">
        <v>16.707331878507802</v>
      </c>
      <c r="E113" s="393">
        <f>SUM(E107:E111)</f>
        <v>5600</v>
      </c>
      <c r="F113" s="6084">
        <f t="shared" si="54"/>
        <v>4.7073318785078015</v>
      </c>
      <c r="G113" s="393">
        <v>12</v>
      </c>
      <c r="V113" s="1346"/>
      <c r="AA113" s="5317"/>
      <c r="AB113" s="5317"/>
      <c r="AC113" s="5317"/>
      <c r="AD113" s="5317"/>
      <c r="AE113" s="5317"/>
      <c r="AF113" s="5317"/>
      <c r="AG113" s="5825"/>
      <c r="AH113" s="5825"/>
      <c r="AI113" s="4256"/>
      <c r="AJ113" s="4176"/>
      <c r="AK113" s="4829"/>
      <c r="AL113" s="4830"/>
      <c r="CW113" s="36"/>
      <c r="CX113" s="36"/>
      <c r="CY113" s="36"/>
      <c r="CZ113" s="36"/>
      <c r="DA113" s="36"/>
      <c r="DB113" s="36"/>
      <c r="DC113" s="36"/>
      <c r="DD113" s="97"/>
      <c r="DE113" s="97"/>
      <c r="DF113" s="36"/>
      <c r="DG113" s="36"/>
      <c r="DH113" s="36"/>
      <c r="DI113" s="36"/>
      <c r="DJ113" s="36"/>
      <c r="DK113" s="95"/>
      <c r="DL113" s="95"/>
      <c r="DM113" s="36"/>
      <c r="DN113" s="36"/>
      <c r="DO113" s="36"/>
      <c r="DP113" s="36"/>
      <c r="DQ113" s="36"/>
      <c r="DR113" s="36"/>
      <c r="DS113" s="36"/>
      <c r="DT113" s="36"/>
      <c r="DU113" s="36"/>
      <c r="DV113" s="36"/>
      <c r="DW113" s="36"/>
      <c r="DX113" s="97"/>
    </row>
    <row r="114" spans="3:128">
      <c r="V114" s="1346"/>
      <c r="AA114" s="5317"/>
      <c r="AB114" s="5317"/>
      <c r="AC114" s="5317"/>
      <c r="AD114" s="5317"/>
      <c r="AE114" s="5317"/>
      <c r="AF114" s="5317"/>
      <c r="AG114" s="5825"/>
      <c r="AH114" s="5825"/>
      <c r="AI114" s="4256"/>
      <c r="AJ114" s="4176"/>
      <c r="AK114" s="4829"/>
      <c r="AL114" s="4830"/>
      <c r="CW114" s="36"/>
      <c r="CX114" s="36"/>
      <c r="CY114" s="36"/>
      <c r="CZ114" s="36"/>
      <c r="DA114" s="36"/>
      <c r="DB114" s="36"/>
      <c r="DC114" s="36"/>
      <c r="DD114" s="97"/>
      <c r="DE114" s="97"/>
      <c r="DF114" s="36"/>
      <c r="DG114" s="36"/>
      <c r="DH114" s="36"/>
      <c r="DI114" s="36"/>
      <c r="DJ114" s="36"/>
      <c r="DK114" s="95"/>
      <c r="DL114" s="95"/>
      <c r="DM114" s="36"/>
      <c r="DN114" s="36"/>
      <c r="DO114" s="36"/>
      <c r="DP114" s="36"/>
      <c r="DQ114" s="36"/>
      <c r="DR114" s="36"/>
      <c r="DS114" s="36"/>
      <c r="DT114" s="36"/>
      <c r="DU114" s="36"/>
      <c r="DV114" s="36"/>
      <c r="DW114" s="36"/>
      <c r="DX114" s="97"/>
    </row>
    <row r="115" spans="3:128">
      <c r="V115" s="1346"/>
      <c r="AA115" s="5317"/>
      <c r="AB115" s="5317"/>
      <c r="AC115" s="5317"/>
      <c r="AD115" s="5317"/>
      <c r="AE115" s="5317"/>
      <c r="AF115" s="5317"/>
      <c r="AG115" s="5825"/>
      <c r="AH115" s="5825"/>
      <c r="AI115" s="4256"/>
      <c r="AJ115" s="4176"/>
      <c r="AK115" s="4829"/>
      <c r="AL115" s="4830"/>
      <c r="CW115" s="36"/>
      <c r="CX115" s="36"/>
      <c r="CY115" s="36"/>
      <c r="CZ115" s="36"/>
      <c r="DA115" s="36"/>
      <c r="DB115" s="36"/>
      <c r="DC115" s="36"/>
      <c r="DD115" s="97"/>
      <c r="DE115" s="97"/>
      <c r="DF115" s="36"/>
      <c r="DG115" s="36"/>
      <c r="DH115" s="36"/>
      <c r="DI115" s="36"/>
      <c r="DJ115" s="36"/>
      <c r="DK115" s="95"/>
      <c r="DL115" s="95"/>
      <c r="DM115" s="36"/>
      <c r="DN115" s="36"/>
      <c r="DO115" s="36"/>
      <c r="DP115" s="36"/>
      <c r="DQ115" s="36"/>
      <c r="DR115" s="36"/>
      <c r="DS115" s="36"/>
      <c r="DT115" s="36"/>
      <c r="DU115" s="36"/>
      <c r="DV115" s="36"/>
      <c r="DW115" s="36"/>
      <c r="DX115" s="97"/>
    </row>
    <row r="116" spans="3:128">
      <c r="AA116" s="5317"/>
      <c r="AB116" s="5317"/>
      <c r="AC116" s="5317"/>
      <c r="AD116" s="5317"/>
      <c r="AE116" s="5317"/>
      <c r="AF116" s="5317"/>
      <c r="AG116" s="5825"/>
      <c r="AH116" s="5825"/>
      <c r="AI116" s="4256"/>
      <c r="AJ116" s="4176"/>
      <c r="AK116" s="4829"/>
      <c r="AL116" s="4830"/>
      <c r="CW116" s="36"/>
      <c r="CX116" s="36"/>
      <c r="CY116" s="36"/>
      <c r="CZ116" s="36"/>
      <c r="DA116" s="36"/>
      <c r="DB116" s="36"/>
      <c r="DC116" s="36"/>
      <c r="DD116" s="97"/>
      <c r="DE116" s="97"/>
      <c r="DF116" s="36"/>
      <c r="DG116" s="36"/>
      <c r="DH116" s="36"/>
      <c r="DI116" s="36"/>
      <c r="DJ116" s="36"/>
      <c r="DK116" s="95"/>
      <c r="DL116" s="95"/>
      <c r="DM116" s="36"/>
      <c r="DN116" s="36"/>
      <c r="DO116" s="36"/>
      <c r="DP116" s="36"/>
      <c r="DQ116" s="36"/>
      <c r="DR116" s="36"/>
      <c r="DS116" s="36"/>
      <c r="DT116" s="36"/>
      <c r="DU116" s="36"/>
      <c r="DV116" s="36"/>
      <c r="DW116" s="36"/>
      <c r="DX116" s="97"/>
    </row>
    <row r="117" spans="3:128">
      <c r="AA117" s="5317"/>
      <c r="AB117" s="5317"/>
      <c r="AC117" s="5317"/>
      <c r="AD117" s="5317"/>
      <c r="AE117" s="5317"/>
      <c r="AF117" s="5317"/>
      <c r="AG117" s="5825"/>
      <c r="AH117" s="5825"/>
      <c r="AI117" s="4256"/>
      <c r="AJ117" s="4176"/>
      <c r="AK117" s="4829"/>
      <c r="AL117" s="4830"/>
      <c r="CW117" s="36"/>
      <c r="CX117" s="36"/>
      <c r="CY117" s="36"/>
      <c r="CZ117" s="36"/>
      <c r="DA117" s="36"/>
      <c r="DB117" s="36"/>
      <c r="DC117" s="36"/>
      <c r="DD117" s="97"/>
      <c r="DE117" s="97"/>
      <c r="DF117" s="36"/>
      <c r="DG117" s="36"/>
      <c r="DH117" s="36"/>
      <c r="DI117" s="36"/>
      <c r="DJ117" s="36"/>
      <c r="DK117" s="95"/>
      <c r="DL117" s="95"/>
      <c r="DM117" s="36"/>
      <c r="DN117" s="36"/>
      <c r="DO117" s="36"/>
      <c r="DP117" s="36"/>
      <c r="DQ117" s="36"/>
      <c r="DR117" s="36"/>
      <c r="DS117" s="36"/>
      <c r="DT117" s="36"/>
      <c r="DU117" s="36"/>
      <c r="DV117" s="36"/>
      <c r="DW117" s="36"/>
      <c r="DX117" s="97"/>
    </row>
    <row r="118" spans="3:128">
      <c r="AA118" s="5317"/>
      <c r="AB118" s="5317"/>
      <c r="AC118" s="5317"/>
      <c r="AD118" s="5317"/>
      <c r="AE118" s="5317"/>
      <c r="AF118" s="5317"/>
      <c r="AG118" s="5825"/>
      <c r="AH118" s="5825"/>
      <c r="AI118" s="4256"/>
      <c r="AJ118" s="4176"/>
      <c r="AK118" s="4829"/>
      <c r="AL118" s="4830"/>
      <c r="CW118" s="36"/>
      <c r="CX118" s="36"/>
      <c r="CY118" s="36"/>
      <c r="CZ118" s="36"/>
      <c r="DA118" s="36"/>
      <c r="DB118" s="36"/>
      <c r="DC118" s="36"/>
      <c r="DD118" s="97"/>
      <c r="DE118" s="97"/>
      <c r="DF118" s="36"/>
      <c r="DG118" s="36"/>
      <c r="DH118" s="36"/>
      <c r="DI118" s="36"/>
      <c r="DJ118" s="36"/>
      <c r="DK118" s="95"/>
      <c r="DL118" s="95"/>
      <c r="DM118" s="36"/>
      <c r="DN118" s="36"/>
      <c r="DO118" s="36"/>
      <c r="DP118" s="36"/>
      <c r="DQ118" s="36"/>
      <c r="DR118" s="36"/>
      <c r="DS118" s="36"/>
      <c r="DT118" s="36"/>
      <c r="DU118" s="36"/>
      <c r="DV118" s="36"/>
      <c r="DW118" s="36"/>
      <c r="DX118" s="97"/>
    </row>
    <row r="119" spans="3:128">
      <c r="AA119" s="5317"/>
      <c r="AB119" s="5317"/>
      <c r="AC119" s="5317"/>
      <c r="AD119" s="5317"/>
      <c r="AE119" s="5317"/>
      <c r="AF119" s="5317"/>
      <c r="AG119" s="5825"/>
      <c r="AH119" s="5825"/>
      <c r="AI119" s="4256"/>
      <c r="AJ119" s="4176"/>
      <c r="AK119" s="4829"/>
      <c r="AL119" s="4830"/>
      <c r="CW119" s="36"/>
      <c r="CX119" s="36"/>
      <c r="CY119" s="36"/>
      <c r="CZ119" s="36"/>
      <c r="DA119" s="36"/>
      <c r="DB119" s="36"/>
      <c r="DC119" s="36"/>
      <c r="DD119" s="97"/>
      <c r="DE119" s="97"/>
      <c r="DF119" s="36"/>
      <c r="DG119" s="36"/>
      <c r="DH119" s="36"/>
      <c r="DI119" s="36"/>
      <c r="DJ119" s="36"/>
      <c r="DK119" s="95"/>
      <c r="DL119" s="95"/>
      <c r="DM119" s="36"/>
      <c r="DN119" s="36"/>
      <c r="DO119" s="36"/>
      <c r="DP119" s="36"/>
      <c r="DQ119" s="36"/>
      <c r="DR119" s="36"/>
      <c r="DS119" s="36"/>
      <c r="DT119" s="36"/>
      <c r="DU119" s="36"/>
      <c r="DV119" s="36"/>
      <c r="DW119" s="36"/>
      <c r="DX119" s="97"/>
    </row>
    <row r="120" spans="3:128">
      <c r="AA120" s="5317"/>
      <c r="AB120" s="5317"/>
      <c r="AC120" s="5317"/>
      <c r="AD120" s="5317"/>
      <c r="AE120" s="5317"/>
      <c r="AF120" s="5317"/>
      <c r="AG120" s="5825"/>
      <c r="AH120" s="5825"/>
      <c r="AI120" s="4256"/>
      <c r="AJ120" s="4176"/>
      <c r="AK120" s="4829"/>
      <c r="AL120" s="4830"/>
      <c r="CW120" s="36"/>
      <c r="CX120" s="36"/>
      <c r="CY120" s="36"/>
      <c r="CZ120" s="36"/>
      <c r="DA120" s="36"/>
      <c r="DB120" s="36"/>
      <c r="DC120" s="36"/>
      <c r="DD120" s="97"/>
      <c r="DE120" s="97"/>
      <c r="DF120" s="36"/>
      <c r="DG120" s="36"/>
      <c r="DH120" s="36"/>
      <c r="DI120" s="36"/>
      <c r="DJ120" s="36"/>
      <c r="DK120" s="95"/>
      <c r="DL120" s="95"/>
      <c r="DM120" s="36"/>
      <c r="DN120" s="36"/>
      <c r="DO120" s="36"/>
      <c r="DP120" s="36"/>
      <c r="DQ120" s="36"/>
      <c r="DR120" s="36"/>
      <c r="DS120" s="36"/>
      <c r="DT120" s="36"/>
      <c r="DU120" s="36"/>
      <c r="DV120" s="36"/>
      <c r="DW120" s="36"/>
      <c r="DX120" s="97"/>
    </row>
    <row r="121" spans="3:128">
      <c r="AA121" s="5317"/>
      <c r="AB121" s="5317"/>
      <c r="AC121" s="5317"/>
      <c r="AD121" s="5317"/>
      <c r="AE121" s="5317"/>
      <c r="AF121" s="5317"/>
      <c r="AG121" s="5825"/>
      <c r="AH121" s="5825"/>
      <c r="AI121" s="4256"/>
      <c r="AJ121" s="4176"/>
      <c r="AK121" s="4829"/>
      <c r="AL121" s="4830"/>
      <c r="CW121" s="36"/>
      <c r="CX121" s="36"/>
      <c r="CY121" s="36"/>
      <c r="CZ121" s="36"/>
      <c r="DA121" s="36"/>
      <c r="DB121" s="36"/>
      <c r="DC121" s="36"/>
      <c r="DD121" s="97"/>
      <c r="DE121" s="97"/>
      <c r="DF121" s="36"/>
      <c r="DG121" s="36"/>
      <c r="DH121" s="36"/>
      <c r="DI121" s="36"/>
      <c r="DJ121" s="36"/>
      <c r="DK121" s="95"/>
      <c r="DL121" s="95"/>
      <c r="DM121" s="36"/>
      <c r="DN121" s="36"/>
      <c r="DO121" s="36"/>
      <c r="DP121" s="36"/>
      <c r="DQ121" s="36"/>
      <c r="DR121" s="36"/>
      <c r="DS121" s="36"/>
      <c r="DT121" s="36"/>
      <c r="DU121" s="36"/>
      <c r="DV121" s="36"/>
      <c r="DW121" s="36"/>
      <c r="DX121" s="97"/>
    </row>
    <row r="122" spans="3:128">
      <c r="AA122" s="5317"/>
      <c r="AB122" s="5317"/>
      <c r="AC122" s="5317"/>
      <c r="AD122" s="5317"/>
      <c r="AE122" s="5317"/>
      <c r="AF122" s="5317"/>
      <c r="AG122" s="5825"/>
      <c r="AH122" s="5825"/>
      <c r="AI122" s="4256"/>
      <c r="AJ122" s="4176"/>
      <c r="AK122" s="4829"/>
      <c r="AL122" s="4830"/>
      <c r="CW122" s="36"/>
      <c r="CX122" s="36"/>
      <c r="CY122" s="36"/>
      <c r="CZ122" s="36"/>
      <c r="DA122" s="36"/>
      <c r="DB122" s="36"/>
      <c r="DC122" s="36"/>
      <c r="DD122" s="97"/>
      <c r="DE122" s="97"/>
      <c r="DF122" s="36"/>
      <c r="DG122" s="36"/>
      <c r="DH122" s="36"/>
      <c r="DI122" s="36"/>
      <c r="DJ122" s="36"/>
      <c r="DK122" s="95"/>
      <c r="DL122" s="95"/>
      <c r="DM122" s="36"/>
      <c r="DN122" s="36"/>
      <c r="DO122" s="36"/>
      <c r="DP122" s="36"/>
      <c r="DQ122" s="36"/>
      <c r="DR122" s="36"/>
      <c r="DS122" s="36"/>
      <c r="DT122" s="36"/>
      <c r="DU122" s="36"/>
      <c r="DV122" s="36"/>
      <c r="DW122" s="36"/>
      <c r="DX122" s="97"/>
    </row>
    <row r="123" spans="3:128">
      <c r="AA123" s="5317"/>
      <c r="AB123" s="5317"/>
      <c r="AC123" s="5317"/>
      <c r="AD123" s="5317"/>
      <c r="AE123" s="5317"/>
      <c r="AF123" s="5317"/>
      <c r="AG123" s="5825"/>
      <c r="AH123" s="5825"/>
      <c r="AI123" s="4256"/>
      <c r="AJ123" s="4176"/>
      <c r="AK123" s="4829"/>
      <c r="AL123" s="4830"/>
      <c r="CW123" s="36"/>
      <c r="CX123" s="36"/>
      <c r="CY123" s="36"/>
      <c r="CZ123" s="36"/>
      <c r="DA123" s="36"/>
      <c r="DB123" s="36"/>
      <c r="DC123" s="36"/>
      <c r="DD123" s="97"/>
      <c r="DE123" s="97"/>
      <c r="DF123" s="36"/>
      <c r="DG123" s="36"/>
      <c r="DH123" s="36"/>
      <c r="DI123" s="36"/>
      <c r="DJ123" s="36"/>
      <c r="DK123" s="95"/>
      <c r="DL123" s="95"/>
      <c r="DM123" s="36"/>
      <c r="DN123" s="36"/>
      <c r="DO123" s="36"/>
      <c r="DP123" s="36"/>
      <c r="DQ123" s="36"/>
      <c r="DR123" s="36"/>
      <c r="DS123" s="36"/>
      <c r="DT123" s="36"/>
      <c r="DU123" s="36"/>
      <c r="DV123" s="36"/>
      <c r="DW123" s="36"/>
      <c r="DX123" s="97"/>
    </row>
    <row r="124" spans="3:128">
      <c r="AA124" s="5317"/>
      <c r="AB124" s="5317"/>
      <c r="AC124" s="5317"/>
      <c r="AD124" s="5317"/>
      <c r="AE124" s="5317"/>
      <c r="AF124" s="5317"/>
      <c r="AG124" s="5825"/>
      <c r="AH124" s="5825"/>
      <c r="AI124" s="4256"/>
      <c r="AJ124" s="4176"/>
      <c r="AK124" s="4829"/>
      <c r="AL124" s="4830"/>
      <c r="CW124" s="36"/>
      <c r="CX124" s="36"/>
      <c r="CY124" s="36"/>
      <c r="CZ124" s="36"/>
      <c r="DA124" s="36"/>
      <c r="DB124" s="36"/>
      <c r="DC124" s="36"/>
      <c r="DD124" s="97"/>
      <c r="DE124" s="97"/>
      <c r="DF124" s="36"/>
      <c r="DG124" s="36"/>
      <c r="DH124" s="36"/>
      <c r="DI124" s="36"/>
      <c r="DJ124" s="36"/>
      <c r="DK124" s="95"/>
      <c r="DL124" s="95"/>
      <c r="DM124" s="36"/>
      <c r="DN124" s="36"/>
      <c r="DO124" s="36"/>
      <c r="DP124" s="36"/>
      <c r="DQ124" s="36"/>
      <c r="DR124" s="36"/>
      <c r="DS124" s="36"/>
      <c r="DT124" s="36"/>
      <c r="DU124" s="36"/>
      <c r="DV124" s="36"/>
      <c r="DW124" s="36"/>
      <c r="DX124" s="97"/>
    </row>
    <row r="125" spans="3:128">
      <c r="AA125" s="5317"/>
      <c r="AB125" s="5317"/>
      <c r="AC125" s="5317"/>
      <c r="AD125" s="5317"/>
      <c r="AE125" s="5317"/>
      <c r="AF125" s="5317"/>
      <c r="AG125" s="5825"/>
      <c r="AH125" s="5825"/>
      <c r="AI125" s="4256"/>
      <c r="AJ125" s="4176"/>
      <c r="AK125" s="4829"/>
      <c r="AL125" s="4830"/>
      <c r="CW125" s="36"/>
      <c r="CX125" s="36"/>
      <c r="CY125" s="36"/>
      <c r="CZ125" s="36"/>
      <c r="DA125" s="36"/>
      <c r="DB125" s="36"/>
      <c r="DC125" s="36"/>
      <c r="DD125" s="97"/>
      <c r="DE125" s="97"/>
      <c r="DF125" s="36"/>
      <c r="DG125" s="36"/>
      <c r="DH125" s="36"/>
      <c r="DI125" s="36"/>
      <c r="DJ125" s="36"/>
      <c r="DK125" s="95"/>
      <c r="DL125" s="95"/>
      <c r="DM125" s="36"/>
      <c r="DN125" s="36"/>
      <c r="DO125" s="36"/>
      <c r="DP125" s="36"/>
      <c r="DQ125" s="36"/>
      <c r="DR125" s="36"/>
      <c r="DS125" s="36"/>
      <c r="DT125" s="36"/>
      <c r="DU125" s="36"/>
      <c r="DV125" s="36"/>
      <c r="DW125" s="36"/>
      <c r="DX125" s="97"/>
    </row>
    <row r="126" spans="3:128">
      <c r="AA126" s="5317"/>
      <c r="AB126" s="5317"/>
      <c r="AC126" s="5317"/>
      <c r="AD126" s="5317"/>
      <c r="AE126" s="5317"/>
      <c r="AF126" s="5317"/>
      <c r="AG126" s="5825"/>
      <c r="AH126" s="5825"/>
      <c r="AI126" s="4256"/>
      <c r="AJ126" s="4176"/>
      <c r="AK126" s="4829"/>
      <c r="AL126" s="4830"/>
      <c r="CW126" s="36"/>
      <c r="CX126" s="36"/>
      <c r="CY126" s="36"/>
      <c r="CZ126" s="36"/>
      <c r="DA126" s="36"/>
      <c r="DB126" s="36"/>
      <c r="DC126" s="36"/>
      <c r="DD126" s="97"/>
      <c r="DE126" s="97"/>
      <c r="DF126" s="36"/>
      <c r="DG126" s="36"/>
      <c r="DH126" s="36"/>
      <c r="DI126" s="36"/>
      <c r="DJ126" s="36"/>
      <c r="DK126" s="95"/>
      <c r="DL126" s="95"/>
      <c r="DM126" s="36"/>
      <c r="DN126" s="36"/>
      <c r="DO126" s="36"/>
      <c r="DP126" s="36"/>
      <c r="DQ126" s="36"/>
      <c r="DR126" s="36"/>
      <c r="DS126" s="36"/>
      <c r="DT126" s="36"/>
      <c r="DU126" s="36"/>
      <c r="DV126" s="36"/>
      <c r="DW126" s="36"/>
      <c r="DX126" s="97"/>
    </row>
    <row r="127" spans="3:128">
      <c r="AA127" s="5317"/>
      <c r="AB127" s="5317"/>
      <c r="AC127" s="5317"/>
      <c r="AD127" s="5317"/>
      <c r="AE127" s="5317"/>
      <c r="AF127" s="5317"/>
      <c r="AG127" s="5825"/>
      <c r="AH127" s="5825"/>
      <c r="AI127" s="4256"/>
      <c r="AJ127" s="4176"/>
      <c r="AK127" s="4829"/>
      <c r="AL127" s="4830"/>
      <c r="CW127" s="36"/>
      <c r="CX127" s="36"/>
      <c r="CY127" s="36"/>
      <c r="CZ127" s="36"/>
      <c r="DA127" s="36"/>
      <c r="DB127" s="36"/>
      <c r="DC127" s="36"/>
      <c r="DD127" s="97"/>
      <c r="DE127" s="97"/>
      <c r="DF127" s="36"/>
      <c r="DG127" s="36"/>
      <c r="DH127" s="36"/>
      <c r="DI127" s="36"/>
      <c r="DJ127" s="36"/>
      <c r="DK127" s="95"/>
      <c r="DL127" s="95"/>
      <c r="DM127" s="36"/>
      <c r="DN127" s="36"/>
      <c r="DO127" s="36"/>
      <c r="DP127" s="36"/>
      <c r="DQ127" s="36"/>
      <c r="DR127" s="36"/>
      <c r="DS127" s="36"/>
      <c r="DT127" s="36"/>
      <c r="DU127" s="36"/>
      <c r="DV127" s="36"/>
      <c r="DW127" s="36"/>
      <c r="DX127" s="97"/>
    </row>
    <row r="128" spans="3:128">
      <c r="AA128" s="5317"/>
      <c r="AB128" s="5317"/>
      <c r="AC128" s="5317"/>
      <c r="AD128" s="5317"/>
      <c r="AE128" s="5317"/>
      <c r="AF128" s="5317"/>
      <c r="AG128" s="5825"/>
      <c r="AH128" s="5825"/>
      <c r="AI128" s="4256"/>
      <c r="AJ128" s="4176"/>
      <c r="AK128" s="4829"/>
      <c r="AL128" s="4830"/>
      <c r="CW128" s="36"/>
      <c r="CX128" s="36"/>
      <c r="CY128" s="36"/>
      <c r="CZ128" s="36"/>
      <c r="DA128" s="36"/>
      <c r="DB128" s="36"/>
      <c r="DC128" s="36"/>
      <c r="DD128" s="97"/>
      <c r="DE128" s="97"/>
      <c r="DF128" s="36"/>
      <c r="DG128" s="36"/>
      <c r="DH128" s="36"/>
      <c r="DI128" s="36"/>
      <c r="DJ128" s="36"/>
      <c r="DK128" s="95"/>
      <c r="DL128" s="95"/>
      <c r="DM128" s="36"/>
      <c r="DN128" s="36"/>
      <c r="DO128" s="36"/>
      <c r="DP128" s="36"/>
      <c r="DQ128" s="36"/>
      <c r="DR128" s="36"/>
      <c r="DS128" s="36"/>
      <c r="DT128" s="36"/>
      <c r="DU128" s="36"/>
      <c r="DV128" s="36"/>
      <c r="DW128" s="36"/>
      <c r="DX128" s="97"/>
    </row>
    <row r="129" spans="27:128">
      <c r="AA129" s="5317"/>
      <c r="AB129" s="5317"/>
      <c r="AC129" s="5317"/>
      <c r="AD129" s="5317"/>
      <c r="AE129" s="5317"/>
      <c r="AF129" s="5317"/>
      <c r="AG129" s="5825"/>
      <c r="AH129" s="5825"/>
      <c r="AI129" s="4256"/>
      <c r="AJ129" s="4176"/>
      <c r="AK129" s="4829"/>
      <c r="AL129" s="4830"/>
      <c r="CW129" s="36"/>
      <c r="CX129" s="36"/>
      <c r="CY129" s="36"/>
      <c r="CZ129" s="36"/>
      <c r="DA129" s="36"/>
      <c r="DB129" s="36"/>
      <c r="DC129" s="36"/>
      <c r="DD129" s="97"/>
      <c r="DE129" s="97"/>
      <c r="DF129" s="36"/>
      <c r="DG129" s="36"/>
      <c r="DH129" s="36"/>
      <c r="DI129" s="36"/>
      <c r="DJ129" s="36"/>
      <c r="DK129" s="95"/>
      <c r="DL129" s="95"/>
      <c r="DM129" s="36"/>
      <c r="DN129" s="36"/>
      <c r="DO129" s="36"/>
      <c r="DP129" s="36"/>
      <c r="DQ129" s="36"/>
      <c r="DR129" s="36"/>
      <c r="DS129" s="36"/>
      <c r="DT129" s="36"/>
      <c r="DU129" s="36"/>
      <c r="DV129" s="36"/>
      <c r="DW129" s="36"/>
      <c r="DX129" s="97"/>
    </row>
    <row r="130" spans="27:128">
      <c r="AA130" s="5317"/>
      <c r="AB130" s="5317"/>
      <c r="AC130" s="5317"/>
      <c r="AD130" s="5317"/>
      <c r="AE130" s="5317"/>
      <c r="AF130" s="5317"/>
      <c r="AG130" s="5825"/>
      <c r="AH130" s="5825"/>
      <c r="AI130" s="4256"/>
      <c r="AJ130" s="4176"/>
      <c r="AK130" s="4829"/>
      <c r="AL130" s="4830"/>
      <c r="CW130" s="36"/>
      <c r="CX130" s="36"/>
      <c r="CY130" s="36"/>
      <c r="CZ130" s="36"/>
      <c r="DA130" s="36"/>
      <c r="DB130" s="36"/>
      <c r="DC130" s="36"/>
      <c r="DD130" s="97"/>
      <c r="DE130" s="97"/>
      <c r="DF130" s="36"/>
      <c r="DG130" s="36"/>
      <c r="DH130" s="36"/>
      <c r="DI130" s="36"/>
      <c r="DJ130" s="36"/>
      <c r="DK130" s="95"/>
      <c r="DL130" s="95"/>
      <c r="DM130" s="36"/>
      <c r="DN130" s="36"/>
      <c r="DO130" s="36"/>
      <c r="DP130" s="36"/>
      <c r="DQ130" s="36"/>
      <c r="DR130" s="36"/>
      <c r="DS130" s="36"/>
      <c r="DT130" s="36"/>
      <c r="DU130" s="36"/>
      <c r="DV130" s="36"/>
      <c r="DW130" s="36"/>
      <c r="DX130" s="97"/>
    </row>
    <row r="131" spans="27:128">
      <c r="AA131" s="5317"/>
      <c r="AB131" s="5317"/>
      <c r="AC131" s="5317"/>
      <c r="AD131" s="5317"/>
      <c r="AE131" s="5317"/>
      <c r="AF131" s="5317"/>
      <c r="AG131" s="5825"/>
      <c r="AH131" s="5825"/>
      <c r="AI131" s="4256"/>
      <c r="AJ131" s="4176"/>
      <c r="AK131" s="4829"/>
      <c r="AL131" s="4830"/>
      <c r="CW131" s="36"/>
      <c r="CX131" s="36"/>
      <c r="CY131" s="36"/>
      <c r="CZ131" s="36"/>
      <c r="DA131" s="36"/>
      <c r="DB131" s="36"/>
      <c r="DC131" s="36"/>
      <c r="DD131" s="97"/>
      <c r="DE131" s="97"/>
      <c r="DF131" s="36"/>
      <c r="DG131" s="36"/>
      <c r="DH131" s="36"/>
      <c r="DI131" s="36"/>
      <c r="DJ131" s="36"/>
      <c r="DK131" s="95"/>
      <c r="DL131" s="95"/>
      <c r="DM131" s="36"/>
      <c r="DN131" s="36"/>
      <c r="DO131" s="36"/>
      <c r="DP131" s="36"/>
      <c r="DQ131" s="36"/>
      <c r="DR131" s="36"/>
      <c r="DS131" s="36"/>
      <c r="DT131" s="36"/>
      <c r="DU131" s="36"/>
      <c r="DV131" s="36"/>
      <c r="DW131" s="36"/>
      <c r="DX131" s="97"/>
    </row>
    <row r="132" spans="27:128">
      <c r="AA132" s="5317"/>
      <c r="AB132" s="5317"/>
      <c r="AC132" s="5317"/>
      <c r="AD132" s="5317"/>
      <c r="AE132" s="5317"/>
      <c r="AF132" s="5317"/>
      <c r="AG132" s="5825"/>
      <c r="AH132" s="5825"/>
      <c r="AI132" s="4256"/>
      <c r="AJ132" s="4176"/>
      <c r="AK132" s="4829"/>
      <c r="AL132" s="4830"/>
      <c r="CW132" s="36"/>
      <c r="CX132" s="36"/>
      <c r="CY132" s="36"/>
      <c r="CZ132" s="36"/>
      <c r="DA132" s="36"/>
      <c r="DB132" s="36"/>
      <c r="DC132" s="36"/>
      <c r="DD132" s="97"/>
      <c r="DE132" s="97"/>
      <c r="DF132" s="36"/>
      <c r="DG132" s="36"/>
      <c r="DH132" s="36"/>
      <c r="DI132" s="36"/>
      <c r="DJ132" s="36"/>
      <c r="DK132" s="95"/>
      <c r="DL132" s="95"/>
      <c r="DM132" s="36"/>
      <c r="DN132" s="36"/>
      <c r="DO132" s="36"/>
      <c r="DP132" s="36"/>
      <c r="DQ132" s="36"/>
      <c r="DR132" s="36"/>
      <c r="DS132" s="36"/>
      <c r="DT132" s="36"/>
      <c r="DU132" s="36"/>
      <c r="DV132" s="36"/>
      <c r="DW132" s="36"/>
      <c r="DX132" s="97"/>
    </row>
    <row r="133" spans="27:128">
      <c r="AA133" s="5317"/>
      <c r="AB133" s="5317"/>
      <c r="AC133" s="5317"/>
      <c r="AD133" s="5317"/>
      <c r="AE133" s="5317"/>
      <c r="AF133" s="5317"/>
      <c r="AG133" s="5825"/>
      <c r="AH133" s="5825"/>
      <c r="AI133" s="4256"/>
      <c r="AJ133" s="4176"/>
      <c r="AK133" s="4829"/>
      <c r="AL133" s="4830"/>
      <c r="CW133" s="36"/>
      <c r="CX133" s="36"/>
      <c r="CY133" s="36"/>
      <c r="CZ133" s="36"/>
      <c r="DA133" s="36"/>
      <c r="DB133" s="36"/>
      <c r="DC133" s="36"/>
      <c r="DD133" s="97"/>
      <c r="DE133" s="97"/>
      <c r="DF133" s="36"/>
      <c r="DG133" s="36"/>
      <c r="DH133" s="36"/>
      <c r="DI133" s="36"/>
      <c r="DJ133" s="36"/>
      <c r="DK133" s="95"/>
      <c r="DL133" s="95"/>
      <c r="DM133" s="36"/>
      <c r="DN133" s="36"/>
      <c r="DO133" s="36"/>
      <c r="DP133" s="36"/>
      <c r="DQ133" s="36"/>
      <c r="DR133" s="36"/>
      <c r="DS133" s="36"/>
      <c r="DT133" s="36"/>
      <c r="DU133" s="36"/>
      <c r="DV133" s="36"/>
      <c r="DW133" s="36"/>
      <c r="DX133" s="97"/>
    </row>
    <row r="134" spans="27:128">
      <c r="AA134" s="5317"/>
      <c r="AB134" s="5317"/>
      <c r="AC134" s="5317"/>
      <c r="AD134" s="5317"/>
      <c r="AE134" s="5317"/>
      <c r="AF134" s="5317"/>
      <c r="AG134" s="5825"/>
      <c r="AH134" s="5825"/>
      <c r="AI134" s="4256"/>
      <c r="AJ134" s="4176"/>
      <c r="AK134" s="4829"/>
      <c r="AL134" s="4830"/>
      <c r="CW134" s="36"/>
      <c r="CX134" s="36"/>
      <c r="CY134" s="36"/>
      <c r="CZ134" s="36"/>
      <c r="DA134" s="36"/>
      <c r="DB134" s="36"/>
      <c r="DC134" s="36"/>
      <c r="DD134" s="97"/>
      <c r="DE134" s="97"/>
      <c r="DF134" s="36"/>
      <c r="DG134" s="36"/>
      <c r="DH134" s="36"/>
      <c r="DI134" s="36"/>
      <c r="DJ134" s="36"/>
      <c r="DK134" s="95"/>
      <c r="DL134" s="95"/>
      <c r="DM134" s="36"/>
      <c r="DN134" s="36"/>
      <c r="DO134" s="36"/>
      <c r="DP134" s="36"/>
      <c r="DQ134" s="36"/>
      <c r="DR134" s="36"/>
      <c r="DS134" s="36"/>
      <c r="DT134" s="36"/>
      <c r="DU134" s="36"/>
      <c r="DV134" s="36"/>
      <c r="DW134" s="36"/>
      <c r="DX134" s="97"/>
    </row>
    <row r="135" spans="27:128">
      <c r="AA135" s="5317"/>
      <c r="AB135" s="5317"/>
      <c r="AC135" s="5317"/>
      <c r="AD135" s="5317"/>
      <c r="AE135" s="5317"/>
      <c r="AF135" s="5317"/>
      <c r="AG135" s="5825"/>
      <c r="AH135" s="5825"/>
      <c r="AI135" s="4256"/>
      <c r="AJ135" s="4176"/>
      <c r="AK135" s="4829"/>
      <c r="AL135" s="4830"/>
      <c r="CW135" s="36"/>
      <c r="CX135" s="36"/>
      <c r="CY135" s="36"/>
      <c r="CZ135" s="36"/>
      <c r="DA135" s="36"/>
      <c r="DB135" s="36"/>
      <c r="DC135" s="36"/>
      <c r="DD135" s="97"/>
      <c r="DE135" s="97"/>
      <c r="DF135" s="36"/>
      <c r="DG135" s="36"/>
      <c r="DH135" s="36"/>
      <c r="DI135" s="36"/>
      <c r="DJ135" s="36"/>
      <c r="DK135" s="95"/>
      <c r="DL135" s="95"/>
      <c r="DM135" s="36"/>
      <c r="DN135" s="36"/>
      <c r="DO135" s="36"/>
      <c r="DP135" s="36"/>
      <c r="DQ135" s="36"/>
      <c r="DR135" s="36"/>
      <c r="DS135" s="36"/>
      <c r="DT135" s="36"/>
      <c r="DU135" s="36"/>
      <c r="DV135" s="36"/>
      <c r="DW135" s="36"/>
      <c r="DX135" s="97"/>
    </row>
    <row r="136" spans="27:128">
      <c r="AA136" s="5317"/>
      <c r="AB136" s="5317"/>
      <c r="AC136" s="5317"/>
      <c r="AD136" s="5317"/>
      <c r="AE136" s="5317"/>
      <c r="AF136" s="5317"/>
      <c r="AG136" s="5825"/>
      <c r="AH136" s="5825"/>
      <c r="AI136" s="4256"/>
      <c r="AJ136" s="4176"/>
      <c r="AK136" s="4829"/>
      <c r="AL136" s="4830"/>
      <c r="CW136" s="36"/>
      <c r="CX136" s="36"/>
      <c r="CY136" s="36"/>
      <c r="CZ136" s="36"/>
      <c r="DA136" s="36"/>
      <c r="DB136" s="36"/>
      <c r="DC136" s="36"/>
      <c r="DD136" s="97"/>
      <c r="DE136" s="97"/>
      <c r="DF136" s="36"/>
      <c r="DG136" s="36"/>
      <c r="DH136" s="36"/>
      <c r="DI136" s="36"/>
      <c r="DJ136" s="36"/>
      <c r="DK136" s="95"/>
      <c r="DL136" s="95"/>
      <c r="DM136" s="36"/>
      <c r="DN136" s="36"/>
      <c r="DO136" s="36"/>
      <c r="DP136" s="36"/>
      <c r="DQ136" s="36"/>
      <c r="DR136" s="36"/>
      <c r="DS136" s="36"/>
      <c r="DT136" s="36"/>
      <c r="DU136" s="36"/>
      <c r="DV136" s="36"/>
      <c r="DW136" s="36"/>
      <c r="DX136" s="97"/>
    </row>
    <row r="137" spans="27:128">
      <c r="AA137" s="5317"/>
      <c r="AB137" s="5317"/>
      <c r="AC137" s="5317"/>
      <c r="AD137" s="5317"/>
      <c r="AE137" s="5317"/>
      <c r="AF137" s="5317"/>
      <c r="AG137" s="5825"/>
      <c r="AH137" s="5825"/>
      <c r="AI137" s="4256"/>
      <c r="AJ137" s="4176"/>
      <c r="AK137" s="4829"/>
      <c r="AL137" s="4830"/>
      <c r="CW137" s="36"/>
      <c r="CX137" s="36"/>
      <c r="CY137" s="36"/>
      <c r="CZ137" s="36"/>
      <c r="DA137" s="36"/>
      <c r="DB137" s="36"/>
      <c r="DC137" s="36"/>
      <c r="DD137" s="97"/>
      <c r="DE137" s="97"/>
      <c r="DF137" s="36"/>
      <c r="DG137" s="36"/>
      <c r="DH137" s="36"/>
      <c r="DI137" s="36"/>
      <c r="DJ137" s="36"/>
      <c r="DK137" s="95"/>
      <c r="DL137" s="95"/>
      <c r="DM137" s="36"/>
      <c r="DN137" s="36"/>
      <c r="DO137" s="36"/>
      <c r="DP137" s="36"/>
      <c r="DQ137" s="36"/>
      <c r="DR137" s="36"/>
      <c r="DS137" s="36"/>
      <c r="DT137" s="36"/>
      <c r="DU137" s="36"/>
      <c r="DV137" s="36"/>
      <c r="DW137" s="36"/>
      <c r="DX137" s="97"/>
    </row>
    <row r="138" spans="27:128">
      <c r="AA138" s="5317"/>
      <c r="AB138" s="5317"/>
      <c r="AC138" s="5317"/>
      <c r="AD138" s="5317"/>
      <c r="AE138" s="5317"/>
      <c r="AF138" s="5317"/>
      <c r="AG138" s="5825"/>
      <c r="AH138" s="5825"/>
      <c r="AI138" s="4256"/>
      <c r="AJ138" s="4176"/>
      <c r="AK138" s="4829"/>
      <c r="AL138" s="4830"/>
      <c r="CW138" s="36"/>
      <c r="CX138" s="36"/>
      <c r="CY138" s="36"/>
      <c r="CZ138" s="36"/>
      <c r="DA138" s="36"/>
      <c r="DB138" s="36"/>
      <c r="DC138" s="36"/>
      <c r="DD138" s="97"/>
      <c r="DE138" s="97"/>
      <c r="DF138" s="36"/>
      <c r="DG138" s="36"/>
      <c r="DH138" s="36"/>
      <c r="DI138" s="36"/>
      <c r="DJ138" s="36"/>
      <c r="DK138" s="95"/>
      <c r="DL138" s="95"/>
      <c r="DM138" s="36"/>
      <c r="DN138" s="36"/>
      <c r="DO138" s="36"/>
      <c r="DP138" s="36"/>
      <c r="DQ138" s="36"/>
      <c r="DR138" s="36"/>
      <c r="DS138" s="36"/>
      <c r="DT138" s="36"/>
      <c r="DU138" s="36"/>
      <c r="DV138" s="36"/>
      <c r="DW138" s="36"/>
      <c r="DX138" s="97"/>
    </row>
    <row r="139" spans="27:128">
      <c r="AA139" s="5317"/>
      <c r="AB139" s="5317"/>
      <c r="AC139" s="5317"/>
      <c r="AD139" s="5317"/>
      <c r="AE139" s="5317"/>
      <c r="AF139" s="5317"/>
      <c r="AG139" s="5825"/>
      <c r="AH139" s="5825"/>
      <c r="AI139" s="4256"/>
      <c r="AJ139" s="4176"/>
      <c r="AK139" s="4829"/>
      <c r="AL139" s="4830"/>
      <c r="CW139" s="36"/>
      <c r="CX139" s="36"/>
      <c r="CY139" s="36"/>
      <c r="CZ139" s="36"/>
      <c r="DA139" s="36"/>
      <c r="DB139" s="36"/>
      <c r="DC139" s="36"/>
      <c r="DD139" s="97"/>
      <c r="DE139" s="97"/>
      <c r="DF139" s="36"/>
      <c r="DG139" s="36"/>
      <c r="DH139" s="36"/>
      <c r="DI139" s="36"/>
      <c r="DJ139" s="36"/>
      <c r="DK139" s="95"/>
      <c r="DL139" s="95"/>
      <c r="DM139" s="36"/>
      <c r="DN139" s="36"/>
      <c r="DO139" s="36"/>
      <c r="DP139" s="36"/>
      <c r="DQ139" s="36"/>
      <c r="DR139" s="36"/>
      <c r="DS139" s="36"/>
      <c r="DT139" s="36"/>
      <c r="DU139" s="36"/>
      <c r="DV139" s="36"/>
      <c r="DW139" s="36"/>
      <c r="DX139" s="97"/>
    </row>
    <row r="140" spans="27:128">
      <c r="AA140" s="5317"/>
      <c r="AB140" s="5317"/>
      <c r="AC140" s="5317"/>
      <c r="AD140" s="5317"/>
      <c r="AE140" s="5317"/>
      <c r="AF140" s="5317"/>
      <c r="AG140" s="5825"/>
      <c r="AH140" s="5825"/>
      <c r="AI140" s="4256"/>
      <c r="AJ140" s="4176"/>
      <c r="AK140" s="4829"/>
      <c r="AL140" s="4830"/>
      <c r="CW140" s="36"/>
      <c r="CX140" s="36"/>
      <c r="CY140" s="36"/>
      <c r="CZ140" s="36"/>
      <c r="DA140" s="36"/>
      <c r="DB140" s="36"/>
      <c r="DC140" s="36"/>
      <c r="DD140" s="97"/>
      <c r="DE140" s="97"/>
      <c r="DF140" s="36"/>
      <c r="DG140" s="36"/>
      <c r="DH140" s="36"/>
      <c r="DI140" s="36"/>
      <c r="DJ140" s="36"/>
      <c r="DK140" s="95"/>
      <c r="DL140" s="95"/>
      <c r="DM140" s="36"/>
      <c r="DN140" s="36"/>
      <c r="DO140" s="36"/>
      <c r="DP140" s="36"/>
      <c r="DQ140" s="36"/>
      <c r="DR140" s="36"/>
      <c r="DS140" s="36"/>
      <c r="DT140" s="36"/>
      <c r="DU140" s="36"/>
      <c r="DV140" s="36"/>
      <c r="DW140" s="36"/>
      <c r="DX140" s="97"/>
    </row>
    <row r="141" spans="27:128">
      <c r="AA141" s="5317"/>
      <c r="AB141" s="5317"/>
      <c r="AC141" s="5317"/>
      <c r="AD141" s="5317"/>
      <c r="AE141" s="5317"/>
      <c r="AF141" s="5317"/>
      <c r="AG141" s="5825"/>
      <c r="AH141" s="5825"/>
      <c r="AI141" s="4256"/>
      <c r="AJ141" s="4176"/>
      <c r="AK141" s="4829"/>
      <c r="AL141" s="4830"/>
      <c r="CW141" s="36"/>
      <c r="CX141" s="36"/>
      <c r="CY141" s="36"/>
      <c r="CZ141" s="36"/>
      <c r="DA141" s="36"/>
      <c r="DB141" s="36"/>
      <c r="DC141" s="36"/>
      <c r="DD141" s="97"/>
      <c r="DE141" s="97"/>
      <c r="DF141" s="36"/>
      <c r="DG141" s="36"/>
      <c r="DH141" s="36"/>
      <c r="DI141" s="36"/>
      <c r="DJ141" s="36"/>
      <c r="DK141" s="95"/>
      <c r="DL141" s="95"/>
      <c r="DM141" s="36"/>
      <c r="DN141" s="36"/>
      <c r="DO141" s="36"/>
      <c r="DP141" s="36"/>
      <c r="DQ141" s="36"/>
      <c r="DR141" s="36"/>
      <c r="DS141" s="36"/>
      <c r="DT141" s="36"/>
      <c r="DU141" s="36"/>
      <c r="DV141" s="36"/>
      <c r="DW141" s="36"/>
      <c r="DX141" s="97"/>
    </row>
    <row r="142" spans="27:128">
      <c r="AA142" s="5317"/>
      <c r="AB142" s="5317"/>
      <c r="AC142" s="5317"/>
      <c r="AD142" s="5317"/>
      <c r="AE142" s="5317"/>
      <c r="AF142" s="5317"/>
      <c r="AG142" s="5825"/>
      <c r="AH142" s="5825"/>
      <c r="AI142" s="4256"/>
      <c r="AJ142" s="4176"/>
      <c r="AK142" s="4829"/>
      <c r="AL142" s="4830"/>
      <c r="CW142" s="36"/>
      <c r="CX142" s="36"/>
      <c r="CY142" s="36"/>
      <c r="CZ142" s="36"/>
      <c r="DA142" s="36"/>
      <c r="DB142" s="36"/>
      <c r="DC142" s="36"/>
      <c r="DD142" s="97"/>
      <c r="DE142" s="97"/>
      <c r="DF142" s="36"/>
      <c r="DG142" s="36"/>
      <c r="DH142" s="36"/>
      <c r="DI142" s="36"/>
      <c r="DJ142" s="36"/>
      <c r="DK142" s="95"/>
      <c r="DL142" s="95"/>
      <c r="DM142" s="36"/>
      <c r="DN142" s="36"/>
      <c r="DO142" s="36"/>
      <c r="DP142" s="36"/>
      <c r="DQ142" s="36"/>
      <c r="DR142" s="36"/>
      <c r="DS142" s="36"/>
      <c r="DT142" s="36"/>
      <c r="DU142" s="36"/>
      <c r="DV142" s="36"/>
      <c r="DW142" s="36"/>
      <c r="DX142" s="97"/>
    </row>
    <row r="143" spans="27:128">
      <c r="AA143" s="5317"/>
      <c r="AB143" s="5317"/>
      <c r="AC143" s="5317"/>
      <c r="AD143" s="5317"/>
      <c r="AE143" s="5317"/>
      <c r="AF143" s="5317"/>
      <c r="AG143" s="5825"/>
      <c r="AH143" s="5825"/>
      <c r="AI143" s="4256"/>
      <c r="AJ143" s="4176"/>
      <c r="AK143" s="4829"/>
      <c r="AL143" s="4830"/>
      <c r="CW143" s="36"/>
      <c r="CX143" s="36"/>
      <c r="CY143" s="36"/>
      <c r="CZ143" s="36"/>
      <c r="DA143" s="36"/>
      <c r="DB143" s="36"/>
      <c r="DC143" s="36"/>
      <c r="DD143" s="97"/>
      <c r="DE143" s="97"/>
      <c r="DF143" s="36"/>
      <c r="DG143" s="36"/>
      <c r="DH143" s="36"/>
      <c r="DI143" s="36"/>
      <c r="DJ143" s="36"/>
      <c r="DK143" s="95"/>
      <c r="DL143" s="95"/>
      <c r="DM143" s="36"/>
      <c r="DN143" s="36"/>
      <c r="DO143" s="36"/>
      <c r="DP143" s="36"/>
      <c r="DQ143" s="36"/>
      <c r="DR143" s="36"/>
      <c r="DS143" s="36"/>
      <c r="DT143" s="36"/>
      <c r="DU143" s="36"/>
      <c r="DV143" s="36"/>
      <c r="DW143" s="36"/>
      <c r="DX143" s="97"/>
    </row>
    <row r="144" spans="27:128">
      <c r="AA144" s="5317"/>
      <c r="AB144" s="5317"/>
      <c r="AC144" s="5317"/>
      <c r="AD144" s="5317"/>
      <c r="AE144" s="5317"/>
      <c r="AF144" s="5317"/>
      <c r="AG144" s="5825"/>
      <c r="AH144" s="5825"/>
      <c r="AI144" s="4256"/>
      <c r="AJ144" s="4176"/>
      <c r="AK144" s="4829"/>
      <c r="AL144" s="4830"/>
      <c r="CW144" s="36"/>
      <c r="CX144" s="36"/>
      <c r="CY144" s="36"/>
      <c r="CZ144" s="36"/>
      <c r="DA144" s="36"/>
      <c r="DB144" s="36"/>
      <c r="DC144" s="36"/>
      <c r="DD144" s="97"/>
      <c r="DE144" s="97"/>
      <c r="DF144" s="36"/>
      <c r="DG144" s="36"/>
      <c r="DH144" s="36"/>
      <c r="DI144" s="36"/>
      <c r="DJ144" s="36"/>
      <c r="DK144" s="95"/>
      <c r="DL144" s="95"/>
      <c r="DM144" s="36"/>
      <c r="DN144" s="36"/>
      <c r="DO144" s="36"/>
      <c r="DP144" s="36"/>
      <c r="DQ144" s="36"/>
      <c r="DR144" s="36"/>
      <c r="DS144" s="36"/>
      <c r="DT144" s="36"/>
      <c r="DU144" s="36"/>
      <c r="DV144" s="36"/>
      <c r="DW144" s="36"/>
      <c r="DX144" s="97"/>
    </row>
    <row r="145" spans="27:128">
      <c r="AA145" s="5317"/>
      <c r="AB145" s="5317"/>
      <c r="AC145" s="5317"/>
      <c r="AD145" s="5317"/>
      <c r="AE145" s="5317"/>
      <c r="AF145" s="5317"/>
      <c r="AG145" s="5825"/>
      <c r="AH145" s="5825"/>
      <c r="AI145" s="4256"/>
      <c r="AJ145" s="4176"/>
      <c r="AK145" s="4829"/>
      <c r="AL145" s="4830"/>
      <c r="CW145" s="36"/>
      <c r="CX145" s="36"/>
      <c r="CY145" s="36"/>
      <c r="CZ145" s="36"/>
      <c r="DA145" s="36"/>
      <c r="DB145" s="36"/>
      <c r="DC145" s="36"/>
      <c r="DD145" s="97"/>
      <c r="DE145" s="97"/>
      <c r="DF145" s="36"/>
      <c r="DG145" s="36"/>
      <c r="DH145" s="36"/>
      <c r="DI145" s="36"/>
      <c r="DJ145" s="36"/>
      <c r="DK145" s="95"/>
      <c r="DL145" s="95"/>
      <c r="DM145" s="36"/>
      <c r="DN145" s="36"/>
      <c r="DO145" s="36"/>
      <c r="DP145" s="36"/>
      <c r="DQ145" s="36"/>
      <c r="DR145" s="36"/>
      <c r="DS145" s="36"/>
      <c r="DT145" s="36"/>
      <c r="DU145" s="36"/>
      <c r="DV145" s="36"/>
      <c r="DW145" s="36"/>
      <c r="DX145" s="97"/>
    </row>
    <row r="146" spans="27:128">
      <c r="AA146" s="5317"/>
      <c r="AB146" s="5317"/>
      <c r="AC146" s="5317"/>
      <c r="AD146" s="5317"/>
      <c r="AE146" s="5317"/>
      <c r="AF146" s="5317"/>
      <c r="AG146" s="5825"/>
      <c r="AH146" s="5825"/>
      <c r="AI146" s="4256"/>
      <c r="AJ146" s="4176"/>
      <c r="AK146" s="4829"/>
      <c r="AL146" s="4830"/>
      <c r="CW146" s="36"/>
      <c r="CX146" s="36"/>
      <c r="CY146" s="36"/>
      <c r="CZ146" s="36"/>
      <c r="DA146" s="36"/>
      <c r="DB146" s="36"/>
      <c r="DC146" s="36"/>
      <c r="DD146" s="97"/>
      <c r="DE146" s="97"/>
      <c r="DF146" s="36"/>
      <c r="DG146" s="36"/>
      <c r="DH146" s="36"/>
      <c r="DI146" s="36"/>
      <c r="DJ146" s="36"/>
      <c r="DK146" s="95"/>
      <c r="DL146" s="95"/>
      <c r="DM146" s="36"/>
      <c r="DN146" s="36"/>
      <c r="DO146" s="36"/>
      <c r="DP146" s="36"/>
      <c r="DQ146" s="36"/>
      <c r="DR146" s="36"/>
      <c r="DS146" s="36"/>
      <c r="DT146" s="36"/>
      <c r="DU146" s="36"/>
      <c r="DV146" s="36"/>
      <c r="DW146" s="36"/>
      <c r="DX146" s="97"/>
    </row>
    <row r="147" spans="27:128">
      <c r="AA147" s="5317"/>
      <c r="AB147" s="5317"/>
      <c r="AC147" s="5317"/>
      <c r="AD147" s="5317"/>
      <c r="AE147" s="5317"/>
      <c r="AF147" s="5317"/>
      <c r="AG147" s="5825"/>
      <c r="AH147" s="5825"/>
      <c r="AI147" s="4256"/>
      <c r="AJ147" s="4176"/>
      <c r="AK147" s="4829"/>
      <c r="AL147" s="4830"/>
      <c r="CW147" s="36"/>
      <c r="CX147" s="36"/>
      <c r="CY147" s="36"/>
      <c r="CZ147" s="36"/>
      <c r="DA147" s="36"/>
      <c r="DB147" s="36"/>
      <c r="DC147" s="36"/>
      <c r="DD147" s="97"/>
      <c r="DE147" s="97"/>
      <c r="DF147" s="36"/>
      <c r="DG147" s="36"/>
      <c r="DH147" s="36"/>
      <c r="DI147" s="36"/>
      <c r="DJ147" s="36"/>
      <c r="DK147" s="95"/>
      <c r="DL147" s="95"/>
      <c r="DM147" s="36"/>
      <c r="DN147" s="36"/>
      <c r="DO147" s="36"/>
      <c r="DP147" s="36"/>
      <c r="DQ147" s="36"/>
      <c r="DR147" s="36"/>
      <c r="DS147" s="36"/>
      <c r="DT147" s="36"/>
      <c r="DU147" s="36"/>
      <c r="DV147" s="36"/>
      <c r="DW147" s="36"/>
      <c r="DX147" s="97"/>
    </row>
    <row r="148" spans="27:128">
      <c r="AA148" s="5317"/>
      <c r="AB148" s="5317"/>
      <c r="AC148" s="5317"/>
      <c r="AD148" s="5317"/>
      <c r="AE148" s="5317"/>
      <c r="AF148" s="5317"/>
      <c r="AG148" s="5825"/>
      <c r="AH148" s="5825"/>
      <c r="AI148" s="4256"/>
      <c r="AJ148" s="4176"/>
      <c r="AK148" s="4829"/>
      <c r="AL148" s="4830"/>
      <c r="CW148" s="36"/>
      <c r="CX148" s="36"/>
      <c r="CY148" s="36"/>
      <c r="CZ148" s="36"/>
      <c r="DA148" s="36"/>
      <c r="DB148" s="36"/>
      <c r="DC148" s="36"/>
      <c r="DD148" s="97"/>
      <c r="DE148" s="97"/>
      <c r="DF148" s="36"/>
      <c r="DG148" s="36"/>
      <c r="DH148" s="36"/>
      <c r="DI148" s="36"/>
      <c r="DJ148" s="36"/>
      <c r="DK148" s="95"/>
      <c r="DL148" s="95"/>
      <c r="DM148" s="36"/>
      <c r="DN148" s="36"/>
      <c r="DO148" s="36"/>
      <c r="DP148" s="36"/>
      <c r="DQ148" s="36"/>
      <c r="DR148" s="36"/>
      <c r="DS148" s="36"/>
      <c r="DT148" s="36"/>
      <c r="DU148" s="36"/>
      <c r="DV148" s="36"/>
      <c r="DW148" s="36"/>
      <c r="DX148" s="97"/>
    </row>
    <row r="149" spans="27:128">
      <c r="AA149" s="5317"/>
      <c r="AB149" s="5317"/>
      <c r="AC149" s="5317"/>
      <c r="AD149" s="5317"/>
      <c r="AE149" s="5317"/>
      <c r="AF149" s="5317"/>
      <c r="AG149" s="5825"/>
      <c r="AH149" s="5825"/>
      <c r="AI149" s="4256"/>
      <c r="AJ149" s="4176"/>
      <c r="AK149" s="4829"/>
      <c r="AL149" s="4830"/>
      <c r="CW149" s="36"/>
      <c r="CX149" s="36"/>
      <c r="CY149" s="36"/>
      <c r="CZ149" s="36"/>
      <c r="DA149" s="36"/>
      <c r="DB149" s="36"/>
      <c r="DC149" s="36"/>
      <c r="DD149" s="97"/>
      <c r="DE149" s="97"/>
      <c r="DF149" s="36"/>
      <c r="DG149" s="36"/>
      <c r="DH149" s="36"/>
      <c r="DI149" s="36"/>
      <c r="DJ149" s="36"/>
      <c r="DK149" s="95"/>
      <c r="DL149" s="95"/>
      <c r="DM149" s="36"/>
      <c r="DN149" s="36"/>
      <c r="DO149" s="36"/>
      <c r="DP149" s="36"/>
      <c r="DQ149" s="36"/>
      <c r="DR149" s="36"/>
      <c r="DS149" s="36"/>
      <c r="DT149" s="36"/>
      <c r="DU149" s="36"/>
      <c r="DV149" s="36"/>
      <c r="DW149" s="36"/>
      <c r="DX149" s="97"/>
    </row>
    <row r="150" spans="27:128">
      <c r="AA150" s="5317"/>
      <c r="AB150" s="5317"/>
      <c r="AC150" s="5317"/>
      <c r="AD150" s="5317"/>
      <c r="AE150" s="5317"/>
      <c r="AF150" s="5317"/>
      <c r="AG150" s="5825"/>
      <c r="AH150" s="5825"/>
      <c r="AI150" s="4256"/>
      <c r="AJ150" s="4176"/>
      <c r="AK150" s="4829"/>
      <c r="AL150" s="4830"/>
      <c r="CW150" s="36"/>
      <c r="CX150" s="36"/>
      <c r="CY150" s="36"/>
      <c r="CZ150" s="36"/>
      <c r="DA150" s="36"/>
      <c r="DB150" s="36"/>
      <c r="DC150" s="36"/>
      <c r="DD150" s="97"/>
      <c r="DE150" s="97"/>
      <c r="DF150" s="36"/>
      <c r="DG150" s="36"/>
      <c r="DH150" s="36"/>
      <c r="DI150" s="36"/>
      <c r="DJ150" s="36"/>
      <c r="DK150" s="95"/>
      <c r="DL150" s="95"/>
      <c r="DM150" s="36"/>
      <c r="DN150" s="36"/>
      <c r="DO150" s="36"/>
      <c r="DP150" s="36"/>
      <c r="DQ150" s="36"/>
      <c r="DR150" s="36"/>
      <c r="DS150" s="36"/>
      <c r="DT150" s="36"/>
      <c r="DU150" s="36"/>
      <c r="DV150" s="36"/>
      <c r="DW150" s="36"/>
      <c r="DX150" s="97"/>
    </row>
    <row r="151" spans="27:128">
      <c r="AA151" s="5317"/>
      <c r="AB151" s="5317"/>
      <c r="AC151" s="5317"/>
      <c r="AD151" s="5317"/>
      <c r="AE151" s="5317"/>
      <c r="AF151" s="5317"/>
      <c r="AG151" s="5825"/>
      <c r="AH151" s="5825"/>
      <c r="AI151" s="4256"/>
      <c r="AJ151" s="4176"/>
      <c r="AK151" s="4829"/>
      <c r="AL151" s="4830"/>
      <c r="CW151" s="36"/>
      <c r="CX151" s="36"/>
      <c r="CY151" s="36"/>
      <c r="CZ151" s="36"/>
      <c r="DA151" s="36"/>
      <c r="DB151" s="36"/>
      <c r="DC151" s="36"/>
      <c r="DD151" s="97"/>
      <c r="DE151" s="97"/>
      <c r="DF151" s="36"/>
      <c r="DG151" s="36"/>
      <c r="DH151" s="36"/>
      <c r="DI151" s="36"/>
      <c r="DJ151" s="36"/>
      <c r="DK151" s="95"/>
      <c r="DL151" s="95"/>
      <c r="DM151" s="36"/>
      <c r="DN151" s="36"/>
      <c r="DO151" s="36"/>
      <c r="DP151" s="36"/>
      <c r="DQ151" s="36"/>
      <c r="DR151" s="36"/>
      <c r="DS151" s="36"/>
      <c r="DT151" s="36"/>
      <c r="DU151" s="36"/>
      <c r="DV151" s="36"/>
      <c r="DW151" s="36"/>
      <c r="DX151" s="97"/>
    </row>
    <row r="152" spans="27:128">
      <c r="AA152" s="5317"/>
      <c r="AB152" s="5317"/>
      <c r="AC152" s="5317"/>
      <c r="AD152" s="5317"/>
      <c r="AE152" s="5317"/>
      <c r="AF152" s="5317"/>
      <c r="AG152" s="5825"/>
      <c r="AH152" s="5825"/>
      <c r="AI152" s="4256"/>
      <c r="AJ152" s="4176"/>
      <c r="AK152" s="4829"/>
      <c r="AL152" s="4830"/>
      <c r="CW152" s="36"/>
      <c r="CX152" s="36"/>
      <c r="CY152" s="36"/>
      <c r="CZ152" s="36"/>
      <c r="DA152" s="36"/>
      <c r="DB152" s="36"/>
      <c r="DC152" s="36"/>
      <c r="DD152" s="97"/>
      <c r="DE152" s="97"/>
      <c r="DF152" s="36"/>
      <c r="DG152" s="36"/>
      <c r="DH152" s="36"/>
      <c r="DI152" s="36"/>
      <c r="DJ152" s="36"/>
      <c r="DK152" s="95"/>
      <c r="DL152" s="95"/>
      <c r="DM152" s="36"/>
      <c r="DN152" s="36"/>
      <c r="DO152" s="36"/>
      <c r="DP152" s="36"/>
      <c r="DQ152" s="36"/>
      <c r="DR152" s="36"/>
      <c r="DS152" s="36"/>
      <c r="DT152" s="36"/>
      <c r="DU152" s="36"/>
      <c r="DV152" s="36"/>
      <c r="DW152" s="36"/>
      <c r="DX152" s="97"/>
    </row>
    <row r="153" spans="27:128">
      <c r="AA153" s="5317"/>
      <c r="AB153" s="5317"/>
      <c r="AC153" s="5317"/>
      <c r="AD153" s="5317"/>
      <c r="AE153" s="5317"/>
      <c r="AF153" s="5317"/>
      <c r="AG153" s="5825"/>
      <c r="AH153" s="5825"/>
      <c r="AI153" s="4256"/>
      <c r="AJ153" s="4176"/>
      <c r="AK153" s="4829"/>
      <c r="AL153" s="4830"/>
      <c r="CW153" s="36"/>
      <c r="CX153" s="36"/>
      <c r="CY153" s="36"/>
      <c r="CZ153" s="36"/>
      <c r="DA153" s="36"/>
      <c r="DB153" s="36"/>
      <c r="DC153" s="36"/>
      <c r="DD153" s="97"/>
      <c r="DE153" s="97"/>
      <c r="DF153" s="36"/>
      <c r="DG153" s="36"/>
      <c r="DH153" s="36"/>
      <c r="DI153" s="36"/>
      <c r="DJ153" s="36"/>
      <c r="DK153" s="95"/>
      <c r="DL153" s="95"/>
      <c r="DM153" s="36"/>
      <c r="DN153" s="36"/>
      <c r="DO153" s="36"/>
      <c r="DP153" s="36"/>
      <c r="DQ153" s="36"/>
      <c r="DR153" s="36"/>
      <c r="DS153" s="36"/>
      <c r="DT153" s="36"/>
      <c r="DU153" s="36"/>
      <c r="DV153" s="36"/>
      <c r="DW153" s="36"/>
      <c r="DX153" s="97"/>
    </row>
    <row r="154" spans="27:128">
      <c r="AA154" s="5317"/>
      <c r="AB154" s="5317"/>
      <c r="AC154" s="5317"/>
      <c r="AD154" s="5317"/>
      <c r="AE154" s="5317"/>
      <c r="AF154" s="5317"/>
      <c r="AG154" s="5825"/>
      <c r="AH154" s="5825"/>
      <c r="AI154" s="4256"/>
      <c r="AJ154" s="4176"/>
      <c r="AK154" s="4829"/>
      <c r="AL154" s="4830"/>
      <c r="CW154" s="36"/>
      <c r="CX154" s="36"/>
      <c r="CY154" s="36"/>
      <c r="CZ154" s="36"/>
      <c r="DA154" s="36"/>
      <c r="DB154" s="36"/>
      <c r="DC154" s="36"/>
      <c r="DD154" s="97"/>
      <c r="DE154" s="97"/>
      <c r="DF154" s="36"/>
      <c r="DG154" s="36"/>
      <c r="DH154" s="36"/>
      <c r="DI154" s="36"/>
      <c r="DJ154" s="36"/>
      <c r="DK154" s="95"/>
      <c r="DL154" s="95"/>
      <c r="DM154" s="36"/>
      <c r="DN154" s="36"/>
      <c r="DO154" s="36"/>
      <c r="DP154" s="36"/>
      <c r="DQ154" s="36"/>
      <c r="DR154" s="36"/>
      <c r="DS154" s="36"/>
      <c r="DT154" s="36"/>
      <c r="DU154" s="36"/>
      <c r="DV154" s="36"/>
      <c r="DW154" s="36"/>
      <c r="DX154" s="97"/>
    </row>
    <row r="155" spans="27:128">
      <c r="AA155" s="5317"/>
      <c r="AB155" s="5317"/>
      <c r="AC155" s="5317"/>
      <c r="AD155" s="5317"/>
      <c r="AE155" s="5317"/>
      <c r="AF155" s="5317"/>
      <c r="AG155" s="5825"/>
      <c r="AH155" s="5825"/>
      <c r="AI155" s="4256"/>
      <c r="AJ155" s="4176"/>
      <c r="AK155" s="4829"/>
      <c r="AL155" s="4830"/>
      <c r="CW155" s="36"/>
      <c r="CX155" s="36"/>
      <c r="CY155" s="36"/>
      <c r="CZ155" s="36"/>
      <c r="DA155" s="36"/>
      <c r="DB155" s="36"/>
      <c r="DC155" s="36"/>
      <c r="DD155" s="97"/>
      <c r="DE155" s="97"/>
      <c r="DF155" s="36"/>
      <c r="DG155" s="36"/>
      <c r="DH155" s="36"/>
      <c r="DI155" s="36"/>
      <c r="DJ155" s="36"/>
      <c r="DK155" s="95"/>
      <c r="DL155" s="95"/>
      <c r="DM155" s="36"/>
      <c r="DN155" s="36"/>
      <c r="DO155" s="36"/>
      <c r="DP155" s="36"/>
      <c r="DQ155" s="36"/>
      <c r="DR155" s="36"/>
      <c r="DS155" s="36"/>
      <c r="DT155" s="36"/>
      <c r="DU155" s="36"/>
      <c r="DV155" s="36"/>
      <c r="DW155" s="36"/>
      <c r="DX155" s="97"/>
    </row>
    <row r="156" spans="27:128">
      <c r="AA156" s="5317"/>
      <c r="AB156" s="5317"/>
      <c r="AC156" s="5317"/>
      <c r="AD156" s="5317"/>
      <c r="AE156" s="5317"/>
      <c r="AF156" s="5317"/>
      <c r="AG156" s="5825"/>
      <c r="AH156" s="5825"/>
      <c r="AI156" s="4256"/>
      <c r="AJ156" s="4176"/>
      <c r="AK156" s="4829"/>
      <c r="AL156" s="4830"/>
      <c r="CW156" s="36"/>
      <c r="CX156" s="36"/>
      <c r="CY156" s="36"/>
      <c r="CZ156" s="36"/>
      <c r="DA156" s="36"/>
      <c r="DB156" s="36"/>
      <c r="DC156" s="36"/>
      <c r="DD156" s="97"/>
      <c r="DE156" s="97"/>
      <c r="DF156" s="36"/>
      <c r="DG156" s="36"/>
      <c r="DH156" s="36"/>
      <c r="DI156" s="36"/>
      <c r="DJ156" s="36"/>
      <c r="DK156" s="95"/>
      <c r="DL156" s="95"/>
      <c r="DM156" s="36"/>
      <c r="DN156" s="36"/>
      <c r="DO156" s="36"/>
      <c r="DP156" s="36"/>
      <c r="DQ156" s="36"/>
      <c r="DR156" s="36"/>
      <c r="DS156" s="36"/>
      <c r="DT156" s="36"/>
      <c r="DU156" s="36"/>
      <c r="DV156" s="36"/>
      <c r="DW156" s="36"/>
      <c r="DX156" s="97"/>
    </row>
    <row r="157" spans="27:128">
      <c r="AA157" s="5317"/>
      <c r="AB157" s="5317"/>
      <c r="AC157" s="5317"/>
      <c r="AD157" s="5317"/>
      <c r="AE157" s="5317"/>
      <c r="AF157" s="5317"/>
      <c r="AG157" s="5825"/>
      <c r="AH157" s="5825"/>
      <c r="AI157" s="4256"/>
      <c r="AJ157" s="4176"/>
      <c r="AK157" s="4829"/>
      <c r="AL157" s="4830"/>
      <c r="CW157" s="36"/>
      <c r="CX157" s="36"/>
      <c r="CY157" s="36"/>
      <c r="CZ157" s="36"/>
      <c r="DA157" s="36"/>
      <c r="DB157" s="36"/>
      <c r="DC157" s="36"/>
      <c r="DD157" s="97"/>
      <c r="DE157" s="97"/>
      <c r="DF157" s="36"/>
      <c r="DG157" s="36"/>
      <c r="DH157" s="36"/>
      <c r="DI157" s="36"/>
      <c r="DJ157" s="36"/>
      <c r="DK157" s="95"/>
      <c r="DL157" s="95"/>
      <c r="DM157" s="36"/>
      <c r="DN157" s="36"/>
      <c r="DO157" s="36"/>
      <c r="DP157" s="36"/>
      <c r="DQ157" s="36"/>
      <c r="DR157" s="36"/>
      <c r="DS157" s="36"/>
      <c r="DT157" s="36"/>
      <c r="DU157" s="36"/>
      <c r="DV157" s="36"/>
      <c r="DW157" s="36"/>
      <c r="DX157" s="97"/>
    </row>
    <row r="158" spans="27:128">
      <c r="AA158" s="5317"/>
      <c r="AB158" s="5317"/>
      <c r="AC158" s="5317"/>
      <c r="AD158" s="5317"/>
      <c r="AE158" s="5317"/>
      <c r="AF158" s="5317"/>
      <c r="AG158" s="5825"/>
      <c r="AH158" s="5825"/>
      <c r="AI158" s="4256"/>
      <c r="AJ158" s="4176"/>
      <c r="AK158" s="4829"/>
      <c r="AL158" s="4830"/>
      <c r="CW158" s="36"/>
      <c r="CX158" s="36"/>
      <c r="CY158" s="36"/>
      <c r="CZ158" s="36"/>
      <c r="DA158" s="36"/>
      <c r="DB158" s="36"/>
      <c r="DC158" s="36"/>
      <c r="DD158" s="97"/>
      <c r="DE158" s="97"/>
      <c r="DF158" s="36"/>
      <c r="DG158" s="36"/>
      <c r="DH158" s="36"/>
      <c r="DI158" s="36"/>
      <c r="DJ158" s="36"/>
      <c r="DK158" s="95"/>
      <c r="DL158" s="95"/>
      <c r="DM158" s="36"/>
      <c r="DN158" s="36"/>
      <c r="DO158" s="36"/>
      <c r="DP158" s="36"/>
      <c r="DQ158" s="36"/>
      <c r="DR158" s="36"/>
      <c r="DS158" s="36"/>
      <c r="DT158" s="36"/>
      <c r="DU158" s="36"/>
      <c r="DV158" s="36"/>
      <c r="DW158" s="36"/>
      <c r="DX158" s="97"/>
    </row>
    <row r="159" spans="27:128">
      <c r="AA159" s="5317"/>
      <c r="AB159" s="5317"/>
      <c r="AC159" s="5317"/>
      <c r="AD159" s="5317"/>
      <c r="AE159" s="5317"/>
      <c r="AF159" s="5317"/>
      <c r="AG159" s="5825"/>
      <c r="AH159" s="5825"/>
      <c r="AI159" s="4256"/>
      <c r="AJ159" s="4176"/>
      <c r="AK159" s="4829"/>
      <c r="AL159" s="4830"/>
      <c r="CW159" s="36"/>
      <c r="CX159" s="36"/>
      <c r="CY159" s="36"/>
      <c r="CZ159" s="36"/>
      <c r="DA159" s="36"/>
      <c r="DB159" s="36"/>
      <c r="DC159" s="36"/>
      <c r="DD159" s="97"/>
      <c r="DE159" s="97"/>
      <c r="DF159" s="36"/>
      <c r="DG159" s="36"/>
      <c r="DH159" s="36"/>
      <c r="DI159" s="36"/>
      <c r="DJ159" s="36"/>
      <c r="DK159" s="95"/>
      <c r="DL159" s="95"/>
      <c r="DM159" s="36"/>
      <c r="DN159" s="36"/>
      <c r="DO159" s="36"/>
      <c r="DP159" s="36"/>
      <c r="DQ159" s="36"/>
      <c r="DR159" s="36"/>
      <c r="DS159" s="36"/>
      <c r="DT159" s="36"/>
      <c r="DU159" s="36"/>
      <c r="DV159" s="36"/>
      <c r="DW159" s="36"/>
      <c r="DX159" s="97"/>
    </row>
    <row r="160" spans="27:128">
      <c r="AA160" s="5317"/>
      <c r="AB160" s="5317"/>
      <c r="AC160" s="5317"/>
      <c r="AD160" s="5317"/>
      <c r="AE160" s="5317"/>
      <c r="AF160" s="5317"/>
      <c r="AG160" s="5825"/>
      <c r="AH160" s="5825"/>
      <c r="AI160" s="4256"/>
      <c r="AJ160" s="4176"/>
      <c r="AK160" s="4829"/>
      <c r="AL160" s="4830"/>
      <c r="CW160" s="36"/>
      <c r="CX160" s="36"/>
      <c r="CY160" s="36"/>
      <c r="CZ160" s="36"/>
      <c r="DA160" s="36"/>
      <c r="DB160" s="36"/>
      <c r="DC160" s="36"/>
      <c r="DD160" s="97"/>
      <c r="DE160" s="97"/>
      <c r="DF160" s="36"/>
      <c r="DG160" s="36"/>
      <c r="DH160" s="36"/>
      <c r="DI160" s="36"/>
      <c r="DJ160" s="36"/>
      <c r="DK160" s="95"/>
      <c r="DL160" s="95"/>
      <c r="DM160" s="36"/>
      <c r="DN160" s="36"/>
      <c r="DO160" s="36"/>
      <c r="DP160" s="36"/>
      <c r="DQ160" s="36"/>
      <c r="DR160" s="36"/>
      <c r="DS160" s="36"/>
      <c r="DT160" s="36"/>
      <c r="DU160" s="36"/>
      <c r="DV160" s="36"/>
      <c r="DW160" s="36"/>
      <c r="DX160" s="97"/>
    </row>
    <row r="161" spans="27:128">
      <c r="AA161" s="5317"/>
      <c r="AB161" s="5317"/>
      <c r="AC161" s="5317"/>
      <c r="AD161" s="5317"/>
      <c r="AE161" s="5317"/>
      <c r="AF161" s="5317"/>
      <c r="AG161" s="5825"/>
      <c r="AH161" s="5825"/>
      <c r="AI161" s="4256"/>
      <c r="AJ161" s="4176"/>
      <c r="AK161" s="4829"/>
      <c r="AL161" s="4830"/>
      <c r="CW161" s="36"/>
      <c r="CX161" s="36"/>
      <c r="CY161" s="36"/>
      <c r="CZ161" s="36"/>
      <c r="DA161" s="36"/>
      <c r="DB161" s="36"/>
      <c r="DC161" s="36"/>
      <c r="DD161" s="97"/>
      <c r="DE161" s="97"/>
      <c r="DF161" s="36"/>
      <c r="DG161" s="36"/>
      <c r="DH161" s="36"/>
      <c r="DI161" s="36"/>
      <c r="DJ161" s="36"/>
      <c r="DK161" s="95"/>
      <c r="DL161" s="95"/>
      <c r="DM161" s="36"/>
      <c r="DN161" s="36"/>
      <c r="DO161" s="36"/>
      <c r="DP161" s="36"/>
      <c r="DQ161" s="36"/>
      <c r="DR161" s="36"/>
      <c r="DS161" s="36"/>
      <c r="DT161" s="36"/>
      <c r="DU161" s="36"/>
      <c r="DV161" s="36"/>
      <c r="DW161" s="36"/>
      <c r="DX161" s="97"/>
    </row>
    <row r="162" spans="27:128">
      <c r="AA162" s="5317"/>
      <c r="AB162" s="5317"/>
      <c r="AC162" s="5317"/>
      <c r="AD162" s="5317"/>
      <c r="AE162" s="5317"/>
      <c r="AF162" s="5317"/>
      <c r="AG162" s="5825"/>
      <c r="AH162" s="5825"/>
      <c r="AI162" s="4256"/>
      <c r="AJ162" s="4176"/>
      <c r="AK162" s="4829"/>
      <c r="AL162" s="4830"/>
      <c r="CW162" s="36"/>
      <c r="CX162" s="36"/>
      <c r="CY162" s="36"/>
      <c r="CZ162" s="36"/>
      <c r="DA162" s="36"/>
      <c r="DB162" s="36"/>
      <c r="DC162" s="36"/>
      <c r="DD162" s="97"/>
      <c r="DE162" s="97"/>
      <c r="DF162" s="36"/>
      <c r="DG162" s="36"/>
      <c r="DH162" s="36"/>
      <c r="DI162" s="36"/>
      <c r="DJ162" s="36"/>
      <c r="DK162" s="95"/>
      <c r="DL162" s="95"/>
      <c r="DM162" s="36"/>
      <c r="DN162" s="36"/>
      <c r="DO162" s="36"/>
      <c r="DP162" s="36"/>
      <c r="DQ162" s="36"/>
      <c r="DR162" s="36"/>
      <c r="DS162" s="36"/>
      <c r="DT162" s="36"/>
      <c r="DU162" s="36"/>
      <c r="DV162" s="36"/>
      <c r="DW162" s="36"/>
      <c r="DX162" s="97"/>
    </row>
    <row r="163" spans="27:128">
      <c r="AA163" s="5317"/>
      <c r="AB163" s="5317"/>
      <c r="AC163" s="5317"/>
      <c r="AD163" s="5317"/>
      <c r="AE163" s="5317"/>
      <c r="AF163" s="5317"/>
      <c r="AG163" s="5825"/>
      <c r="AH163" s="5825"/>
      <c r="AI163" s="4256"/>
      <c r="AJ163" s="4176"/>
      <c r="AK163" s="4829"/>
      <c r="AL163" s="4830"/>
      <c r="CW163" s="36"/>
      <c r="CX163" s="36"/>
      <c r="CY163" s="36"/>
      <c r="CZ163" s="36"/>
      <c r="DA163" s="36"/>
      <c r="DB163" s="36"/>
      <c r="DC163" s="36"/>
      <c r="DD163" s="97"/>
      <c r="DE163" s="97"/>
      <c r="DF163" s="36"/>
      <c r="DG163" s="36"/>
      <c r="DH163" s="36"/>
      <c r="DI163" s="36"/>
      <c r="DJ163" s="36"/>
      <c r="DK163" s="95"/>
      <c r="DL163" s="95"/>
      <c r="DM163" s="36"/>
      <c r="DN163" s="36"/>
      <c r="DO163" s="36"/>
      <c r="DP163" s="36"/>
      <c r="DQ163" s="36"/>
      <c r="DR163" s="36"/>
      <c r="DS163" s="36"/>
      <c r="DT163" s="36"/>
      <c r="DU163" s="36"/>
      <c r="DV163" s="36"/>
      <c r="DW163" s="36"/>
      <c r="DX163" s="97"/>
    </row>
    <row r="164" spans="27:128">
      <c r="AA164" s="5317"/>
      <c r="AB164" s="5317"/>
      <c r="AC164" s="5317"/>
      <c r="AD164" s="5317"/>
      <c r="AE164" s="5317"/>
      <c r="AF164" s="5317"/>
      <c r="AG164" s="5825"/>
      <c r="AH164" s="5825"/>
      <c r="AI164" s="4256"/>
      <c r="AJ164" s="4176"/>
      <c r="AK164" s="4829"/>
      <c r="AL164" s="4830"/>
      <c r="CW164" s="36"/>
      <c r="CX164" s="36"/>
      <c r="CY164" s="36"/>
      <c r="CZ164" s="36"/>
      <c r="DA164" s="36"/>
      <c r="DB164" s="36"/>
      <c r="DC164" s="36"/>
      <c r="DD164" s="97"/>
      <c r="DE164" s="97"/>
      <c r="DF164" s="36"/>
      <c r="DG164" s="36"/>
      <c r="DH164" s="36"/>
      <c r="DI164" s="36"/>
      <c r="DJ164" s="36"/>
      <c r="DK164" s="95"/>
      <c r="DL164" s="95"/>
      <c r="DM164" s="36"/>
      <c r="DN164" s="36"/>
      <c r="DO164" s="36"/>
      <c r="DP164" s="36"/>
      <c r="DQ164" s="36"/>
      <c r="DR164" s="36"/>
      <c r="DS164" s="36"/>
      <c r="DT164" s="36"/>
      <c r="DU164" s="36"/>
      <c r="DV164" s="36"/>
      <c r="DW164" s="36"/>
      <c r="DX164" s="97"/>
    </row>
    <row r="165" spans="27:128">
      <c r="AA165" s="5317"/>
      <c r="AB165" s="5317"/>
      <c r="AC165" s="5317"/>
      <c r="AD165" s="5317"/>
      <c r="AE165" s="5317"/>
      <c r="AF165" s="5317"/>
      <c r="AG165" s="5825"/>
      <c r="AH165" s="5825"/>
      <c r="AI165" s="4256"/>
      <c r="AJ165" s="4176"/>
      <c r="AK165" s="4829"/>
      <c r="AL165" s="4830"/>
      <c r="CW165" s="36"/>
      <c r="CX165" s="36"/>
      <c r="CY165" s="36"/>
      <c r="CZ165" s="36"/>
      <c r="DA165" s="36"/>
      <c r="DB165" s="36"/>
      <c r="DC165" s="36"/>
      <c r="DD165" s="97"/>
      <c r="DE165" s="97"/>
      <c r="DF165" s="36"/>
      <c r="DG165" s="36"/>
      <c r="DH165" s="36"/>
      <c r="DI165" s="36"/>
      <c r="DJ165" s="36"/>
      <c r="DK165" s="95"/>
      <c r="DL165" s="95"/>
      <c r="DM165" s="36"/>
      <c r="DN165" s="36"/>
      <c r="DO165" s="36"/>
      <c r="DP165" s="36"/>
      <c r="DQ165" s="36"/>
      <c r="DR165" s="36"/>
      <c r="DS165" s="36"/>
      <c r="DT165" s="36"/>
      <c r="DU165" s="36"/>
      <c r="DV165" s="36"/>
      <c r="DW165" s="36"/>
      <c r="DX165" s="97"/>
    </row>
    <row r="166" spans="27:128">
      <c r="AA166" s="5317"/>
      <c r="AB166" s="5317"/>
      <c r="AC166" s="5317"/>
      <c r="AD166" s="5317"/>
      <c r="AE166" s="5317"/>
      <c r="AF166" s="5317"/>
      <c r="AG166" s="5825"/>
      <c r="AH166" s="5825"/>
      <c r="AI166" s="4256"/>
      <c r="AJ166" s="4176"/>
      <c r="AK166" s="4829"/>
      <c r="AL166" s="4830"/>
      <c r="CW166" s="36"/>
      <c r="CX166" s="36"/>
      <c r="CY166" s="36"/>
      <c r="CZ166" s="36"/>
      <c r="DA166" s="36"/>
      <c r="DB166" s="36"/>
      <c r="DC166" s="36"/>
      <c r="DD166" s="97"/>
      <c r="DE166" s="97"/>
      <c r="DF166" s="36"/>
      <c r="DG166" s="36"/>
      <c r="DH166" s="36"/>
      <c r="DI166" s="36"/>
      <c r="DJ166" s="36"/>
      <c r="DK166" s="95"/>
      <c r="DL166" s="95"/>
      <c r="DM166" s="36"/>
      <c r="DN166" s="36"/>
      <c r="DO166" s="36"/>
      <c r="DP166" s="36"/>
      <c r="DQ166" s="36"/>
      <c r="DR166" s="36"/>
      <c r="DS166" s="36"/>
      <c r="DT166" s="36"/>
      <c r="DU166" s="36"/>
      <c r="DV166" s="36"/>
      <c r="DW166" s="36"/>
      <c r="DX166" s="97"/>
    </row>
    <row r="167" spans="27:128">
      <c r="AA167" s="5317"/>
      <c r="AB167" s="5317"/>
      <c r="AC167" s="5317"/>
      <c r="AD167" s="5317"/>
      <c r="AE167" s="5317"/>
      <c r="AF167" s="5317"/>
      <c r="AG167" s="5825"/>
      <c r="AH167" s="5825"/>
      <c r="AI167" s="4256"/>
      <c r="AJ167" s="4176"/>
      <c r="AK167" s="4829"/>
      <c r="AL167" s="4830"/>
      <c r="CW167" s="36"/>
      <c r="CX167" s="36"/>
      <c r="CY167" s="36"/>
      <c r="CZ167" s="36"/>
      <c r="DA167" s="36"/>
      <c r="DB167" s="36"/>
      <c r="DC167" s="36"/>
      <c r="DD167" s="97"/>
      <c r="DE167" s="97"/>
      <c r="DF167" s="36"/>
      <c r="DG167" s="36"/>
      <c r="DH167" s="36"/>
      <c r="DI167" s="36"/>
      <c r="DJ167" s="36"/>
      <c r="DK167" s="95"/>
      <c r="DL167" s="95"/>
      <c r="DM167" s="36"/>
      <c r="DN167" s="36"/>
      <c r="DO167" s="36"/>
      <c r="DP167" s="36"/>
      <c r="DQ167" s="36"/>
      <c r="DR167" s="36"/>
      <c r="DS167" s="36"/>
      <c r="DT167" s="36"/>
      <c r="DU167" s="36"/>
      <c r="DV167" s="36"/>
      <c r="DW167" s="36"/>
      <c r="DX167" s="97"/>
    </row>
    <row r="168" spans="27:128">
      <c r="AA168" s="5317"/>
      <c r="AB168" s="5317"/>
      <c r="AC168" s="5317"/>
      <c r="AD168" s="5317"/>
      <c r="AE168" s="5317"/>
      <c r="AF168" s="5317"/>
      <c r="AG168" s="5825"/>
      <c r="AH168" s="5825"/>
      <c r="AI168" s="4256"/>
      <c r="AJ168" s="4176"/>
      <c r="AK168" s="4829"/>
      <c r="AL168" s="4830"/>
      <c r="CW168" s="36"/>
      <c r="CX168" s="36"/>
      <c r="CY168" s="36"/>
      <c r="CZ168" s="36"/>
      <c r="DA168" s="36"/>
      <c r="DB168" s="36"/>
      <c r="DC168" s="36"/>
      <c r="DD168" s="97"/>
      <c r="DE168" s="97"/>
      <c r="DF168" s="36"/>
      <c r="DG168" s="36"/>
      <c r="DH168" s="36"/>
      <c r="DI168" s="36"/>
      <c r="DJ168" s="36"/>
      <c r="DK168" s="95"/>
      <c r="DL168" s="95"/>
      <c r="DM168" s="36"/>
      <c r="DN168" s="36"/>
      <c r="DO168" s="36"/>
      <c r="DP168" s="36"/>
      <c r="DQ168" s="36"/>
      <c r="DR168" s="36"/>
      <c r="DS168" s="36"/>
      <c r="DT168" s="36"/>
      <c r="DU168" s="36"/>
      <c r="DV168" s="36"/>
      <c r="DW168" s="36"/>
      <c r="DX168" s="97"/>
    </row>
    <row r="169" spans="27:128">
      <c r="AA169" s="5317"/>
      <c r="AB169" s="5317"/>
      <c r="AC169" s="5317"/>
      <c r="AD169" s="5317"/>
      <c r="AE169" s="5317"/>
      <c r="AF169" s="5317"/>
      <c r="AG169" s="5825"/>
      <c r="AH169" s="5825"/>
      <c r="AI169" s="4256"/>
      <c r="AJ169" s="4176"/>
      <c r="AK169" s="4829"/>
      <c r="AL169" s="4830"/>
      <c r="CW169" s="36"/>
      <c r="CX169" s="36"/>
      <c r="CY169" s="36"/>
      <c r="CZ169" s="36"/>
      <c r="DA169" s="36"/>
      <c r="DB169" s="36"/>
      <c r="DC169" s="36"/>
      <c r="DD169" s="97"/>
      <c r="DE169" s="97"/>
      <c r="DF169" s="36"/>
      <c r="DG169" s="36"/>
      <c r="DH169" s="36"/>
      <c r="DI169" s="36"/>
      <c r="DJ169" s="36"/>
      <c r="DK169" s="95"/>
      <c r="DL169" s="95"/>
      <c r="DM169" s="36"/>
      <c r="DN169" s="36"/>
      <c r="DO169" s="36"/>
      <c r="DP169" s="36"/>
      <c r="DQ169" s="36"/>
      <c r="DR169" s="36"/>
      <c r="DS169" s="36"/>
      <c r="DT169" s="36"/>
      <c r="DU169" s="36"/>
      <c r="DV169" s="36"/>
      <c r="DW169" s="36"/>
      <c r="DX169" s="97"/>
    </row>
    <row r="170" spans="27:128">
      <c r="AA170" s="5317"/>
      <c r="AB170" s="5317"/>
      <c r="AC170" s="5317"/>
      <c r="AD170" s="5317"/>
      <c r="AE170" s="5317"/>
      <c r="AF170" s="5317"/>
      <c r="AG170" s="5825"/>
      <c r="AH170" s="5825"/>
      <c r="AI170" s="4256"/>
      <c r="AJ170" s="4176"/>
      <c r="AK170" s="4829"/>
      <c r="AL170" s="4830"/>
      <c r="CW170" s="36"/>
      <c r="CX170" s="36"/>
      <c r="CY170" s="36"/>
      <c r="CZ170" s="36"/>
      <c r="DA170" s="36"/>
      <c r="DB170" s="36"/>
      <c r="DC170" s="36"/>
      <c r="DD170" s="97"/>
      <c r="DE170" s="97"/>
      <c r="DF170" s="36"/>
      <c r="DG170" s="36"/>
      <c r="DH170" s="36"/>
      <c r="DI170" s="36"/>
      <c r="DJ170" s="36"/>
      <c r="DK170" s="95"/>
      <c r="DL170" s="95"/>
      <c r="DM170" s="36"/>
      <c r="DN170" s="36"/>
      <c r="DO170" s="36"/>
      <c r="DP170" s="36"/>
      <c r="DQ170" s="36"/>
      <c r="DR170" s="36"/>
      <c r="DS170" s="36"/>
      <c r="DT170" s="36"/>
      <c r="DU170" s="36"/>
      <c r="DV170" s="36"/>
      <c r="DW170" s="36"/>
      <c r="DX170" s="97"/>
    </row>
    <row r="171" spans="27:128">
      <c r="AA171" s="5317"/>
      <c r="AB171" s="5317"/>
      <c r="AC171" s="5317"/>
      <c r="AD171" s="5317"/>
      <c r="AE171" s="5317"/>
      <c r="AF171" s="5317"/>
      <c r="AG171" s="5825"/>
      <c r="AH171" s="5825"/>
      <c r="AI171" s="4256"/>
      <c r="AJ171" s="4176"/>
      <c r="AK171" s="4829"/>
      <c r="AL171" s="4830"/>
      <c r="CW171" s="36"/>
      <c r="CX171" s="36"/>
      <c r="CY171" s="36"/>
      <c r="CZ171" s="36"/>
      <c r="DA171" s="36"/>
      <c r="DB171" s="36"/>
      <c r="DC171" s="36"/>
      <c r="DD171" s="97"/>
      <c r="DE171" s="97"/>
      <c r="DF171" s="36"/>
      <c r="DG171" s="36"/>
      <c r="DH171" s="36"/>
      <c r="DI171" s="36"/>
      <c r="DJ171" s="36"/>
      <c r="DK171" s="95"/>
      <c r="DL171" s="95"/>
      <c r="DM171" s="36"/>
      <c r="DN171" s="36"/>
      <c r="DO171" s="36"/>
      <c r="DP171" s="36"/>
      <c r="DQ171" s="36"/>
      <c r="DR171" s="36"/>
      <c r="DS171" s="36"/>
      <c r="DT171" s="36"/>
      <c r="DU171" s="36"/>
      <c r="DV171" s="36"/>
      <c r="DW171" s="36"/>
      <c r="DX171" s="97"/>
    </row>
    <row r="172" spans="27:128">
      <c r="AA172" s="5317"/>
      <c r="AB172" s="5317"/>
      <c r="AC172" s="5317"/>
      <c r="AD172" s="5317"/>
      <c r="AE172" s="5317"/>
      <c r="AF172" s="5317"/>
      <c r="AG172" s="5825"/>
      <c r="AH172" s="5825"/>
      <c r="AI172" s="4256"/>
      <c r="AJ172" s="4176"/>
      <c r="AK172" s="4829"/>
      <c r="AL172" s="4830"/>
      <c r="CW172" s="36"/>
      <c r="CX172" s="36"/>
      <c r="CY172" s="36"/>
      <c r="CZ172" s="36"/>
      <c r="DA172" s="36"/>
      <c r="DB172" s="36"/>
      <c r="DC172" s="36"/>
      <c r="DD172" s="97"/>
      <c r="DE172" s="97"/>
      <c r="DF172" s="36"/>
      <c r="DG172" s="36"/>
      <c r="DH172" s="36"/>
      <c r="DI172" s="36"/>
      <c r="DJ172" s="36"/>
      <c r="DK172" s="95"/>
      <c r="DL172" s="95"/>
      <c r="DM172" s="36"/>
      <c r="DN172" s="36"/>
      <c r="DO172" s="36"/>
      <c r="DP172" s="36"/>
      <c r="DQ172" s="36"/>
      <c r="DR172" s="36"/>
      <c r="DS172" s="36"/>
      <c r="DT172" s="36"/>
      <c r="DU172" s="36"/>
      <c r="DV172" s="36"/>
      <c r="DW172" s="36"/>
      <c r="DX172" s="97"/>
    </row>
    <row r="173" spans="27:128">
      <c r="AA173" s="5317"/>
      <c r="AB173" s="5317"/>
      <c r="AC173" s="5317"/>
      <c r="AD173" s="5317"/>
      <c r="AE173" s="5317"/>
      <c r="AF173" s="5317"/>
      <c r="AG173" s="5825"/>
      <c r="AH173" s="5825"/>
      <c r="AI173" s="4256"/>
      <c r="AJ173" s="4176"/>
      <c r="AK173" s="4829"/>
      <c r="AL173" s="4830"/>
      <c r="CW173" s="36"/>
      <c r="CX173" s="36"/>
      <c r="CY173" s="36"/>
      <c r="CZ173" s="36"/>
      <c r="DA173" s="36"/>
      <c r="DB173" s="36"/>
      <c r="DC173" s="36"/>
      <c r="DD173" s="97"/>
      <c r="DE173" s="97"/>
      <c r="DF173" s="36"/>
      <c r="DG173" s="36"/>
      <c r="DH173" s="36"/>
      <c r="DI173" s="36"/>
      <c r="DJ173" s="36"/>
      <c r="DK173" s="95"/>
      <c r="DL173" s="95"/>
      <c r="DM173" s="36"/>
      <c r="DN173" s="36"/>
      <c r="DO173" s="36"/>
      <c r="DP173" s="36"/>
      <c r="DQ173" s="36"/>
      <c r="DR173" s="36"/>
      <c r="DS173" s="36"/>
      <c r="DT173" s="36"/>
      <c r="DU173" s="36"/>
      <c r="DV173" s="36"/>
      <c r="DW173" s="36"/>
      <c r="DX173" s="97"/>
    </row>
    <row r="174" spans="27:128">
      <c r="AA174" s="5317"/>
      <c r="AB174" s="5317"/>
      <c r="AC174" s="5317"/>
      <c r="AD174" s="5317"/>
      <c r="AE174" s="5317"/>
      <c r="AF174" s="5317"/>
      <c r="AG174" s="5825"/>
      <c r="AH174" s="5825"/>
      <c r="AI174" s="4256"/>
      <c r="AJ174" s="4176"/>
      <c r="AK174" s="4829"/>
      <c r="AL174" s="4830"/>
      <c r="CW174" s="36"/>
      <c r="CX174" s="36"/>
      <c r="CY174" s="36"/>
      <c r="CZ174" s="36"/>
      <c r="DA174" s="36"/>
      <c r="DB174" s="36"/>
      <c r="DC174" s="36"/>
      <c r="DD174" s="97"/>
      <c r="DE174" s="97"/>
      <c r="DF174" s="36"/>
      <c r="DG174" s="36"/>
      <c r="DH174" s="36"/>
      <c r="DI174" s="36"/>
      <c r="DJ174" s="36"/>
      <c r="DK174" s="95"/>
      <c r="DL174" s="95"/>
      <c r="DM174" s="36"/>
      <c r="DN174" s="36"/>
      <c r="DO174" s="36"/>
      <c r="DP174" s="36"/>
      <c r="DQ174" s="36"/>
      <c r="DR174" s="36"/>
      <c r="DS174" s="36"/>
      <c r="DT174" s="36"/>
      <c r="DU174" s="36"/>
      <c r="DV174" s="36"/>
      <c r="DW174" s="36"/>
      <c r="DX174" s="97"/>
    </row>
    <row r="175" spans="27:128">
      <c r="AA175" s="5317"/>
      <c r="AB175" s="5317"/>
      <c r="AC175" s="5317"/>
      <c r="AD175" s="5317"/>
      <c r="AE175" s="5317"/>
      <c r="AF175" s="5317"/>
      <c r="AG175" s="5825"/>
      <c r="AH175" s="5825"/>
      <c r="AI175" s="4256"/>
      <c r="AJ175" s="4176"/>
      <c r="AK175" s="4829"/>
      <c r="AL175" s="4830"/>
      <c r="CW175" s="36"/>
      <c r="CX175" s="36"/>
      <c r="CY175" s="36"/>
      <c r="CZ175" s="36"/>
      <c r="DA175" s="36"/>
      <c r="DB175" s="36"/>
      <c r="DC175" s="36"/>
      <c r="DD175" s="97"/>
      <c r="DE175" s="97"/>
      <c r="DF175" s="36"/>
      <c r="DG175" s="36"/>
      <c r="DH175" s="36"/>
      <c r="DI175" s="36"/>
      <c r="DJ175" s="36"/>
      <c r="DK175" s="95"/>
      <c r="DL175" s="95"/>
      <c r="DM175" s="36"/>
      <c r="DN175" s="36"/>
      <c r="DO175" s="36"/>
      <c r="DP175" s="36"/>
      <c r="DQ175" s="36"/>
      <c r="DR175" s="36"/>
      <c r="DS175" s="36"/>
      <c r="DT175" s="36"/>
      <c r="DU175" s="36"/>
      <c r="DV175" s="36"/>
      <c r="DW175" s="36"/>
      <c r="DX175" s="97"/>
    </row>
    <row r="176" spans="27:128">
      <c r="AA176" s="5317"/>
      <c r="AB176" s="5317"/>
      <c r="AC176" s="5317"/>
      <c r="AD176" s="5317"/>
      <c r="AE176" s="5317"/>
      <c r="AF176" s="5317"/>
      <c r="AG176" s="5825"/>
      <c r="AH176" s="5825"/>
      <c r="AI176" s="4256"/>
      <c r="AJ176" s="4176"/>
      <c r="AK176" s="4829"/>
      <c r="AL176" s="4830"/>
      <c r="CW176" s="36"/>
      <c r="CX176" s="36"/>
      <c r="CY176" s="36"/>
      <c r="CZ176" s="36"/>
      <c r="DA176" s="36"/>
      <c r="DB176" s="36"/>
      <c r="DC176" s="36"/>
      <c r="DD176" s="97"/>
      <c r="DE176" s="97"/>
      <c r="DF176" s="36"/>
      <c r="DG176" s="36"/>
      <c r="DH176" s="36"/>
      <c r="DI176" s="36"/>
      <c r="DJ176" s="36"/>
      <c r="DK176" s="95"/>
      <c r="DL176" s="95"/>
      <c r="DM176" s="36"/>
      <c r="DN176" s="36"/>
      <c r="DO176" s="36"/>
      <c r="DP176" s="36"/>
      <c r="DQ176" s="36"/>
      <c r="DR176" s="36"/>
      <c r="DS176" s="36"/>
      <c r="DT176" s="36"/>
      <c r="DU176" s="36"/>
      <c r="DV176" s="36"/>
      <c r="DW176" s="36"/>
      <c r="DX176" s="97"/>
    </row>
    <row r="177" spans="27:128">
      <c r="AA177" s="5317"/>
      <c r="AB177" s="5317"/>
      <c r="AC177" s="5317"/>
      <c r="AD177" s="5317"/>
      <c r="AE177" s="5317"/>
      <c r="AF177" s="5317"/>
      <c r="AG177" s="5825"/>
      <c r="AH177" s="5825"/>
      <c r="AI177" s="4256"/>
      <c r="AJ177" s="4176"/>
      <c r="AK177" s="4829"/>
      <c r="AL177" s="4830"/>
      <c r="CW177" s="36"/>
      <c r="CX177" s="36"/>
      <c r="CY177" s="36"/>
      <c r="CZ177" s="36"/>
      <c r="DA177" s="36"/>
      <c r="DB177" s="36"/>
      <c r="DC177" s="36"/>
      <c r="DD177" s="97"/>
      <c r="DE177" s="97"/>
      <c r="DF177" s="36"/>
      <c r="DG177" s="36"/>
      <c r="DH177" s="36"/>
      <c r="DI177" s="36"/>
      <c r="DJ177" s="36"/>
      <c r="DK177" s="95"/>
      <c r="DL177" s="95"/>
      <c r="DM177" s="36"/>
      <c r="DN177" s="36"/>
      <c r="DO177" s="36"/>
      <c r="DP177" s="36"/>
      <c r="DQ177" s="36"/>
      <c r="DR177" s="36"/>
      <c r="DS177" s="36"/>
      <c r="DT177" s="36"/>
      <c r="DU177" s="36"/>
      <c r="DV177" s="36"/>
      <c r="DW177" s="36"/>
      <c r="DX177" s="97"/>
    </row>
    <row r="178" spans="27:128">
      <c r="AA178" s="5317"/>
      <c r="AB178" s="5317"/>
      <c r="AC178" s="5317"/>
      <c r="AD178" s="5317"/>
      <c r="AE178" s="5317"/>
      <c r="AF178" s="5317"/>
      <c r="AG178" s="5825"/>
      <c r="AH178" s="5825"/>
      <c r="AI178" s="4256"/>
      <c r="AJ178" s="4176"/>
      <c r="AK178" s="4829"/>
      <c r="AL178" s="4830"/>
      <c r="CW178" s="36"/>
      <c r="CX178" s="36"/>
      <c r="CY178" s="36"/>
      <c r="CZ178" s="36"/>
      <c r="DA178" s="36"/>
      <c r="DB178" s="36"/>
      <c r="DC178" s="36"/>
      <c r="DD178" s="97"/>
      <c r="DE178" s="97"/>
      <c r="DF178" s="36"/>
      <c r="DG178" s="36"/>
      <c r="DH178" s="36"/>
      <c r="DI178" s="36"/>
      <c r="DJ178" s="36"/>
      <c r="DK178" s="95"/>
      <c r="DL178" s="95"/>
      <c r="DM178" s="36"/>
      <c r="DN178" s="36"/>
      <c r="DO178" s="36"/>
      <c r="DP178" s="36"/>
      <c r="DQ178" s="36"/>
      <c r="DR178" s="36"/>
      <c r="DS178" s="36"/>
      <c r="DT178" s="36"/>
      <c r="DU178" s="36"/>
      <c r="DV178" s="36"/>
      <c r="DW178" s="36"/>
      <c r="DX178" s="97"/>
    </row>
    <row r="179" spans="27:128">
      <c r="AA179" s="5317"/>
      <c r="AB179" s="5317"/>
      <c r="AC179" s="5317"/>
      <c r="AD179" s="5317"/>
      <c r="AE179" s="5317"/>
      <c r="AF179" s="5317"/>
      <c r="AG179" s="5825"/>
      <c r="AH179" s="5825"/>
      <c r="AI179" s="4256"/>
      <c r="AJ179" s="4176"/>
      <c r="AK179" s="4829"/>
      <c r="AL179" s="4830"/>
      <c r="CW179" s="36"/>
      <c r="CX179" s="36"/>
      <c r="CY179" s="36"/>
      <c r="CZ179" s="36"/>
      <c r="DA179" s="36"/>
      <c r="DB179" s="36"/>
      <c r="DC179" s="36"/>
      <c r="DD179" s="97"/>
      <c r="DE179" s="97"/>
      <c r="DF179" s="36"/>
      <c r="DG179" s="36"/>
      <c r="DH179" s="36"/>
      <c r="DI179" s="36"/>
      <c r="DJ179" s="36"/>
      <c r="DK179" s="95"/>
      <c r="DL179" s="95"/>
      <c r="DM179" s="36"/>
      <c r="DN179" s="36"/>
      <c r="DO179" s="36"/>
      <c r="DP179" s="36"/>
      <c r="DQ179" s="36"/>
      <c r="DR179" s="36"/>
      <c r="DS179" s="36"/>
      <c r="DT179" s="36"/>
      <c r="DU179" s="36"/>
      <c r="DV179" s="36"/>
      <c r="DW179" s="36"/>
      <c r="DX179" s="97"/>
    </row>
    <row r="180" spans="27:128">
      <c r="AA180" s="5317"/>
      <c r="AB180" s="5317"/>
      <c r="AC180" s="5317"/>
      <c r="AD180" s="5317"/>
      <c r="AE180" s="5317"/>
      <c r="AF180" s="5317"/>
      <c r="AG180" s="5825"/>
      <c r="AH180" s="5825"/>
      <c r="AI180" s="4256"/>
      <c r="AJ180" s="4176"/>
      <c r="AK180" s="4829"/>
      <c r="AL180" s="4830"/>
      <c r="CW180" s="36"/>
      <c r="CX180" s="36"/>
      <c r="CY180" s="36"/>
      <c r="CZ180" s="36"/>
      <c r="DA180" s="36"/>
      <c r="DB180" s="36"/>
      <c r="DC180" s="36"/>
      <c r="DD180" s="97"/>
      <c r="DE180" s="97"/>
      <c r="DF180" s="36"/>
      <c r="DG180" s="36"/>
      <c r="DH180" s="36"/>
      <c r="DI180" s="36"/>
      <c r="DJ180" s="36"/>
      <c r="DK180" s="95"/>
      <c r="DL180" s="95"/>
      <c r="DM180" s="36"/>
      <c r="DN180" s="36"/>
      <c r="DO180" s="36"/>
      <c r="DP180" s="36"/>
      <c r="DQ180" s="36"/>
      <c r="DR180" s="36"/>
      <c r="DS180" s="36"/>
      <c r="DT180" s="36"/>
      <c r="DU180" s="36"/>
      <c r="DV180" s="36"/>
      <c r="DW180" s="36"/>
      <c r="DX180" s="97"/>
    </row>
    <row r="181" spans="27:128">
      <c r="AA181" s="5317"/>
      <c r="AB181" s="5317"/>
      <c r="AC181" s="5317"/>
      <c r="AD181" s="5317"/>
      <c r="AE181" s="5317"/>
      <c r="AF181" s="5317"/>
      <c r="AG181" s="5825"/>
      <c r="AH181" s="5825"/>
      <c r="AI181" s="4256"/>
      <c r="AJ181" s="4176"/>
      <c r="AK181" s="4829"/>
      <c r="AL181" s="4830"/>
      <c r="CW181" s="36"/>
      <c r="CX181" s="36"/>
      <c r="CY181" s="36"/>
      <c r="CZ181" s="36"/>
      <c r="DA181" s="36"/>
      <c r="DB181" s="36"/>
      <c r="DC181" s="36"/>
      <c r="DD181" s="97"/>
      <c r="DE181" s="97"/>
      <c r="DF181" s="36"/>
      <c r="DG181" s="36"/>
      <c r="DH181" s="36"/>
      <c r="DI181" s="36"/>
      <c r="DJ181" s="36"/>
      <c r="DK181" s="95"/>
      <c r="DL181" s="95"/>
      <c r="DM181" s="36"/>
      <c r="DN181" s="36"/>
      <c r="DO181" s="36"/>
      <c r="DP181" s="36"/>
      <c r="DQ181" s="36"/>
      <c r="DR181" s="36"/>
      <c r="DS181" s="36"/>
      <c r="DT181" s="36"/>
      <c r="DU181" s="36"/>
      <c r="DV181" s="36"/>
      <c r="DW181" s="36"/>
      <c r="DX181" s="97"/>
    </row>
    <row r="182" spans="27:128">
      <c r="AA182" s="5317"/>
      <c r="AB182" s="5317"/>
      <c r="AC182" s="5317"/>
      <c r="AD182" s="5317"/>
      <c r="AE182" s="5317"/>
      <c r="AF182" s="5317"/>
      <c r="AG182" s="5825"/>
      <c r="AH182" s="5825"/>
      <c r="AI182" s="4256"/>
      <c r="AJ182" s="4176"/>
      <c r="AK182" s="4829"/>
      <c r="AL182" s="4830"/>
      <c r="CW182" s="36"/>
      <c r="CX182" s="36"/>
      <c r="CY182" s="36"/>
      <c r="CZ182" s="36"/>
      <c r="DA182" s="36"/>
      <c r="DB182" s="36"/>
      <c r="DC182" s="36"/>
      <c r="DD182" s="97"/>
      <c r="DE182" s="97"/>
      <c r="DF182" s="36"/>
      <c r="DG182" s="36"/>
      <c r="DH182" s="36"/>
      <c r="DI182" s="36"/>
      <c r="DJ182" s="36"/>
      <c r="DK182" s="95"/>
      <c r="DL182" s="95"/>
      <c r="DM182" s="36"/>
      <c r="DN182" s="36"/>
      <c r="DO182" s="36"/>
      <c r="DP182" s="36"/>
      <c r="DQ182" s="36"/>
      <c r="DR182" s="36"/>
      <c r="DS182" s="36"/>
      <c r="DT182" s="36"/>
      <c r="DU182" s="36"/>
      <c r="DV182" s="36"/>
      <c r="DW182" s="36"/>
      <c r="DX182" s="97"/>
    </row>
    <row r="183" spans="27:128">
      <c r="AA183" s="5317"/>
      <c r="AB183" s="5317"/>
      <c r="AC183" s="5317"/>
      <c r="AD183" s="5317"/>
      <c r="AE183" s="5317"/>
      <c r="AF183" s="5317"/>
      <c r="AG183" s="5825"/>
      <c r="AH183" s="5825"/>
      <c r="AI183" s="4256"/>
      <c r="AJ183" s="4176"/>
      <c r="AK183" s="4829"/>
      <c r="AL183" s="4830"/>
      <c r="CW183" s="36"/>
      <c r="CX183" s="36"/>
      <c r="CY183" s="36"/>
      <c r="CZ183" s="36"/>
      <c r="DA183" s="36"/>
      <c r="DB183" s="36"/>
      <c r="DC183" s="36"/>
      <c r="DD183" s="97"/>
      <c r="DE183" s="97"/>
      <c r="DF183" s="36"/>
      <c r="DG183" s="36"/>
      <c r="DH183" s="36"/>
      <c r="DI183" s="36"/>
      <c r="DJ183" s="36"/>
      <c r="DK183" s="95"/>
      <c r="DL183" s="95"/>
      <c r="DM183" s="36"/>
      <c r="DN183" s="36"/>
      <c r="DO183" s="36"/>
      <c r="DP183" s="36"/>
      <c r="DQ183" s="36"/>
      <c r="DR183" s="36"/>
      <c r="DS183" s="36"/>
      <c r="DT183" s="36"/>
      <c r="DU183" s="36"/>
      <c r="DV183" s="36"/>
      <c r="DW183" s="36"/>
      <c r="DX183" s="97"/>
    </row>
    <row r="184" spans="27:128">
      <c r="AA184" s="5317"/>
      <c r="AB184" s="5317"/>
      <c r="AC184" s="5317"/>
      <c r="AD184" s="5317"/>
      <c r="AE184" s="5317"/>
      <c r="AF184" s="5317"/>
      <c r="AG184" s="5825"/>
      <c r="AH184" s="5825"/>
      <c r="AI184" s="4256"/>
      <c r="AJ184" s="4176"/>
      <c r="AK184" s="4829"/>
      <c r="AL184" s="4830"/>
      <c r="CW184" s="36"/>
      <c r="CX184" s="36"/>
      <c r="CY184" s="36"/>
      <c r="CZ184" s="36"/>
      <c r="DA184" s="36"/>
      <c r="DB184" s="36"/>
      <c r="DC184" s="36"/>
      <c r="DD184" s="97"/>
      <c r="DE184" s="97"/>
      <c r="DF184" s="36"/>
      <c r="DG184" s="36"/>
      <c r="DH184" s="36"/>
      <c r="DI184" s="36"/>
      <c r="DJ184" s="36"/>
      <c r="DK184" s="95"/>
      <c r="DL184" s="95"/>
      <c r="DM184" s="36"/>
      <c r="DN184" s="36"/>
      <c r="DO184" s="36"/>
      <c r="DP184" s="36"/>
      <c r="DQ184" s="36"/>
      <c r="DR184" s="36"/>
      <c r="DS184" s="36"/>
      <c r="DT184" s="36"/>
      <c r="DU184" s="36"/>
      <c r="DV184" s="36"/>
      <c r="DW184" s="36"/>
      <c r="DX184" s="97"/>
    </row>
    <row r="185" spans="27:128">
      <c r="AA185" s="5317"/>
      <c r="AB185" s="5317"/>
      <c r="AC185" s="5317"/>
      <c r="AD185" s="5317"/>
      <c r="AE185" s="5317"/>
      <c r="AF185" s="5317"/>
      <c r="AG185" s="5825"/>
      <c r="AH185" s="5825"/>
      <c r="AI185" s="4256"/>
      <c r="AJ185" s="4176"/>
      <c r="AK185" s="4829"/>
      <c r="AL185" s="4830"/>
      <c r="CW185" s="36"/>
      <c r="CX185" s="36"/>
      <c r="CY185" s="36"/>
      <c r="CZ185" s="36"/>
      <c r="DA185" s="36"/>
      <c r="DB185" s="36"/>
      <c r="DC185" s="36"/>
      <c r="DD185" s="97"/>
      <c r="DE185" s="97"/>
      <c r="DF185" s="36"/>
      <c r="DG185" s="36"/>
      <c r="DH185" s="36"/>
      <c r="DI185" s="36"/>
      <c r="DJ185" s="36"/>
      <c r="DK185" s="95"/>
      <c r="DL185" s="95"/>
      <c r="DM185" s="36"/>
      <c r="DN185" s="36"/>
      <c r="DO185" s="36"/>
      <c r="DP185" s="36"/>
      <c r="DQ185" s="36"/>
      <c r="DR185" s="36"/>
      <c r="DS185" s="36"/>
      <c r="DT185" s="36"/>
      <c r="DU185" s="36"/>
      <c r="DV185" s="36"/>
      <c r="DW185" s="36"/>
      <c r="DX185" s="97"/>
    </row>
    <row r="186" spans="27:128">
      <c r="AA186" s="5317"/>
      <c r="AB186" s="5317"/>
      <c r="AC186" s="5317"/>
      <c r="AD186" s="5317"/>
      <c r="AE186" s="5317"/>
      <c r="AF186" s="5317"/>
      <c r="AG186" s="5825"/>
      <c r="AH186" s="5825"/>
      <c r="AI186" s="4256"/>
      <c r="AJ186" s="4176"/>
      <c r="AK186" s="4829"/>
      <c r="AL186" s="4830"/>
      <c r="CW186" s="36"/>
      <c r="CX186" s="36"/>
      <c r="CY186" s="36"/>
      <c r="CZ186" s="36"/>
      <c r="DA186" s="36"/>
      <c r="DB186" s="36"/>
      <c r="DC186" s="36"/>
      <c r="DD186" s="97"/>
      <c r="DE186" s="97"/>
      <c r="DF186" s="36"/>
      <c r="DG186" s="36"/>
      <c r="DH186" s="36"/>
      <c r="DI186" s="36"/>
      <c r="DJ186" s="36"/>
      <c r="DK186" s="95"/>
      <c r="DL186" s="95"/>
      <c r="DM186" s="36"/>
      <c r="DN186" s="36"/>
      <c r="DO186" s="36"/>
      <c r="DP186" s="36"/>
      <c r="DQ186" s="36"/>
      <c r="DR186" s="36"/>
      <c r="DS186" s="36"/>
      <c r="DT186" s="36"/>
      <c r="DU186" s="36"/>
      <c r="DV186" s="36"/>
      <c r="DW186" s="36"/>
      <c r="DX186" s="97"/>
    </row>
    <row r="187" spans="27:128">
      <c r="AA187" s="5317"/>
      <c r="AB187" s="5317"/>
      <c r="AC187" s="5317"/>
      <c r="AD187" s="5317"/>
      <c r="AE187" s="5317"/>
      <c r="AF187" s="5317"/>
      <c r="AG187" s="5825"/>
      <c r="AH187" s="5825"/>
      <c r="AI187" s="4256"/>
      <c r="AJ187" s="4176"/>
      <c r="AK187" s="4829"/>
      <c r="AL187" s="4830"/>
      <c r="CW187" s="36"/>
      <c r="CX187" s="36"/>
      <c r="CY187" s="36"/>
      <c r="CZ187" s="36"/>
      <c r="DA187" s="36"/>
      <c r="DB187" s="36"/>
      <c r="DC187" s="36"/>
      <c r="DD187" s="97"/>
      <c r="DE187" s="97"/>
      <c r="DF187" s="36"/>
      <c r="DG187" s="36"/>
      <c r="DH187" s="36"/>
      <c r="DI187" s="36"/>
      <c r="DJ187" s="36"/>
      <c r="DK187" s="95"/>
      <c r="DL187" s="95"/>
      <c r="DM187" s="36"/>
      <c r="DN187" s="36"/>
      <c r="DO187" s="36"/>
      <c r="DP187" s="36"/>
      <c r="DQ187" s="36"/>
      <c r="DR187" s="36"/>
      <c r="DS187" s="36"/>
      <c r="DT187" s="36"/>
      <c r="DU187" s="36"/>
      <c r="DV187" s="36"/>
      <c r="DW187" s="36"/>
      <c r="DX187" s="97"/>
    </row>
    <row r="188" spans="27:128">
      <c r="AA188" s="5317"/>
      <c r="AB188" s="5317"/>
      <c r="AC188" s="5317"/>
      <c r="AD188" s="5317"/>
      <c r="AE188" s="5317"/>
      <c r="AF188" s="5317"/>
      <c r="AG188" s="5825"/>
      <c r="AH188" s="5825"/>
      <c r="AI188" s="4256"/>
      <c r="AJ188" s="4176"/>
      <c r="AK188" s="4829"/>
      <c r="AL188" s="4830"/>
      <c r="CW188" s="36"/>
      <c r="CX188" s="36"/>
      <c r="CY188" s="36"/>
      <c r="CZ188" s="36"/>
      <c r="DA188" s="36"/>
      <c r="DB188" s="36"/>
      <c r="DC188" s="36"/>
      <c r="DD188" s="97"/>
      <c r="DE188" s="97"/>
      <c r="DF188" s="36"/>
      <c r="DG188" s="36"/>
      <c r="DH188" s="36"/>
      <c r="DI188" s="36"/>
      <c r="DJ188" s="36"/>
      <c r="DK188" s="95"/>
      <c r="DL188" s="95"/>
      <c r="DM188" s="36"/>
      <c r="DN188" s="36"/>
      <c r="DO188" s="36"/>
      <c r="DP188" s="36"/>
      <c r="DQ188" s="36"/>
      <c r="DR188" s="36"/>
      <c r="DS188" s="36"/>
      <c r="DT188" s="36"/>
      <c r="DU188" s="36"/>
      <c r="DV188" s="36"/>
      <c r="DW188" s="36"/>
      <c r="DX188" s="97"/>
    </row>
    <row r="189" spans="27:128">
      <c r="AA189" s="5317"/>
      <c r="AB189" s="5317"/>
      <c r="AC189" s="5317"/>
      <c r="AD189" s="5317"/>
      <c r="AE189" s="5317"/>
      <c r="AF189" s="5317"/>
      <c r="AG189" s="5825"/>
      <c r="AH189" s="5825"/>
      <c r="AI189" s="4256"/>
      <c r="AJ189" s="4176"/>
      <c r="AK189" s="4829"/>
      <c r="AL189" s="4830"/>
      <c r="CW189" s="36"/>
      <c r="CX189" s="36"/>
      <c r="CY189" s="36"/>
      <c r="CZ189" s="36"/>
      <c r="DA189" s="36"/>
      <c r="DB189" s="36"/>
      <c r="DC189" s="36"/>
      <c r="DD189" s="97"/>
      <c r="DE189" s="97"/>
      <c r="DF189" s="36"/>
      <c r="DG189" s="36"/>
      <c r="DH189" s="36"/>
      <c r="DI189" s="36"/>
      <c r="DJ189" s="36"/>
      <c r="DK189" s="95"/>
      <c r="DL189" s="95"/>
      <c r="DM189" s="36"/>
      <c r="DN189" s="36"/>
      <c r="DO189" s="36"/>
      <c r="DP189" s="36"/>
      <c r="DQ189" s="36"/>
      <c r="DR189" s="36"/>
      <c r="DS189" s="36"/>
      <c r="DT189" s="36"/>
      <c r="DU189" s="36"/>
      <c r="DV189" s="36"/>
      <c r="DW189" s="36"/>
      <c r="DX189" s="97"/>
    </row>
    <row r="190" spans="27:128">
      <c r="AA190" s="5317"/>
      <c r="AB190" s="5317"/>
      <c r="AC190" s="5317"/>
      <c r="AD190" s="5317"/>
      <c r="AE190" s="5317"/>
      <c r="AF190" s="5317"/>
      <c r="AG190" s="5825"/>
      <c r="AH190" s="5825"/>
      <c r="AI190" s="4256"/>
      <c r="AJ190" s="4176"/>
      <c r="AK190" s="4829"/>
      <c r="AL190" s="4830"/>
      <c r="CW190" s="36"/>
      <c r="CX190" s="36"/>
      <c r="CY190" s="36"/>
      <c r="CZ190" s="36"/>
      <c r="DA190" s="36"/>
      <c r="DB190" s="36"/>
      <c r="DC190" s="36"/>
      <c r="DD190" s="97"/>
      <c r="DE190" s="97"/>
      <c r="DF190" s="36"/>
      <c r="DG190" s="36"/>
      <c r="DH190" s="36"/>
      <c r="DI190" s="36"/>
      <c r="DJ190" s="36"/>
      <c r="DK190" s="95"/>
      <c r="DL190" s="95"/>
      <c r="DM190" s="36"/>
      <c r="DN190" s="36"/>
      <c r="DO190" s="36"/>
      <c r="DP190" s="36"/>
      <c r="DQ190" s="36"/>
      <c r="DR190" s="36"/>
      <c r="DS190" s="36"/>
      <c r="DT190" s="36"/>
      <c r="DU190" s="36"/>
      <c r="DV190" s="36"/>
      <c r="DW190" s="36"/>
      <c r="DX190" s="97"/>
    </row>
    <row r="191" spans="27:128">
      <c r="AA191" s="5317"/>
      <c r="AB191" s="5317"/>
      <c r="AC191" s="5317"/>
      <c r="AD191" s="5317"/>
      <c r="AE191" s="5317"/>
      <c r="AF191" s="5317"/>
      <c r="AG191" s="5825"/>
      <c r="AH191" s="5825"/>
      <c r="AI191" s="4256"/>
      <c r="AJ191" s="4176"/>
      <c r="AK191" s="4829"/>
      <c r="AL191" s="4830"/>
      <c r="CW191" s="36"/>
      <c r="CX191" s="36"/>
      <c r="CY191" s="36"/>
      <c r="CZ191" s="36"/>
      <c r="DA191" s="36"/>
      <c r="DB191" s="36"/>
      <c r="DC191" s="36"/>
      <c r="DD191" s="97"/>
      <c r="DE191" s="97"/>
      <c r="DF191" s="36"/>
      <c r="DG191" s="36"/>
      <c r="DH191" s="36"/>
      <c r="DI191" s="36"/>
      <c r="DJ191" s="36"/>
      <c r="DK191" s="95"/>
      <c r="DL191" s="95"/>
      <c r="DM191" s="36"/>
      <c r="DN191" s="36"/>
      <c r="DO191" s="36"/>
      <c r="DP191" s="36"/>
      <c r="DQ191" s="36"/>
      <c r="DR191" s="36"/>
      <c r="DS191" s="36"/>
      <c r="DT191" s="36"/>
      <c r="DU191" s="36"/>
      <c r="DV191" s="36"/>
      <c r="DW191" s="36"/>
      <c r="DX191" s="97"/>
    </row>
    <row r="192" spans="27:128">
      <c r="AA192" s="5317"/>
      <c r="AB192" s="5317"/>
      <c r="AC192" s="5317"/>
      <c r="AD192" s="5317"/>
      <c r="AE192" s="5317"/>
      <c r="AF192" s="5317"/>
      <c r="AG192" s="5825"/>
      <c r="AH192" s="5825"/>
      <c r="AI192" s="4256"/>
      <c r="AJ192" s="4176"/>
      <c r="AK192" s="4829"/>
      <c r="AL192" s="4830"/>
      <c r="CW192" s="36"/>
      <c r="CX192" s="36"/>
      <c r="CY192" s="36"/>
      <c r="CZ192" s="36"/>
      <c r="DA192" s="36"/>
      <c r="DB192" s="36"/>
      <c r="DC192" s="36"/>
      <c r="DD192" s="97"/>
      <c r="DE192" s="97"/>
      <c r="DF192" s="36"/>
      <c r="DG192" s="36"/>
      <c r="DH192" s="36"/>
      <c r="DI192" s="36"/>
      <c r="DJ192" s="36"/>
      <c r="DK192" s="95"/>
      <c r="DL192" s="95"/>
      <c r="DM192" s="36"/>
      <c r="DN192" s="36"/>
      <c r="DO192" s="36"/>
      <c r="DP192" s="36"/>
      <c r="DQ192" s="36"/>
      <c r="DR192" s="36"/>
      <c r="DS192" s="36"/>
      <c r="DT192" s="36"/>
      <c r="DU192" s="36"/>
      <c r="DV192" s="36"/>
      <c r="DW192" s="36"/>
      <c r="DX192" s="97"/>
    </row>
    <row r="193" spans="27:128">
      <c r="AA193" s="5317"/>
      <c r="AB193" s="5317"/>
      <c r="AC193" s="5317"/>
      <c r="AD193" s="5317"/>
      <c r="AE193" s="5317"/>
      <c r="AF193" s="5317"/>
      <c r="AG193" s="5825"/>
      <c r="AH193" s="5825"/>
      <c r="AI193" s="4256"/>
      <c r="AJ193" s="4176"/>
      <c r="AK193" s="4829"/>
      <c r="AL193" s="4830"/>
      <c r="CW193" s="36"/>
      <c r="CX193" s="36"/>
      <c r="CY193" s="36"/>
      <c r="CZ193" s="36"/>
      <c r="DA193" s="36"/>
      <c r="DB193" s="36"/>
      <c r="DC193" s="36"/>
      <c r="DD193" s="97"/>
      <c r="DE193" s="97"/>
      <c r="DF193" s="36"/>
      <c r="DG193" s="36"/>
      <c r="DH193" s="36"/>
      <c r="DI193" s="36"/>
      <c r="DJ193" s="36"/>
      <c r="DK193" s="95"/>
      <c r="DL193" s="95"/>
      <c r="DM193" s="36"/>
      <c r="DN193" s="36"/>
      <c r="DO193" s="36"/>
      <c r="DP193" s="36"/>
      <c r="DQ193" s="36"/>
      <c r="DR193" s="36"/>
      <c r="DS193" s="36"/>
      <c r="DT193" s="36"/>
      <c r="DU193" s="36"/>
      <c r="DV193" s="36"/>
      <c r="DW193" s="36"/>
      <c r="DX193" s="97"/>
    </row>
    <row r="194" spans="27:128">
      <c r="AA194" s="5317"/>
      <c r="AB194" s="5317"/>
      <c r="AC194" s="5317"/>
      <c r="AD194" s="5317"/>
      <c r="AE194" s="5317"/>
      <c r="AF194" s="5317"/>
      <c r="AG194" s="5825"/>
      <c r="AH194" s="5825"/>
      <c r="AI194" s="4256"/>
      <c r="AJ194" s="4176"/>
      <c r="AK194" s="4829"/>
      <c r="AL194" s="4830"/>
      <c r="CW194" s="36"/>
      <c r="CX194" s="36"/>
      <c r="CY194" s="36"/>
      <c r="CZ194" s="36"/>
      <c r="DA194" s="36"/>
      <c r="DB194" s="36"/>
      <c r="DC194" s="36"/>
      <c r="DD194" s="97"/>
      <c r="DE194" s="97"/>
      <c r="DF194" s="36"/>
      <c r="DG194" s="36"/>
      <c r="DH194" s="36"/>
      <c r="DI194" s="36"/>
      <c r="DJ194" s="36"/>
      <c r="DK194" s="95"/>
      <c r="DL194" s="95"/>
      <c r="DM194" s="36"/>
      <c r="DN194" s="36"/>
      <c r="DO194" s="36"/>
      <c r="DP194" s="36"/>
      <c r="DQ194" s="36"/>
      <c r="DR194" s="36"/>
      <c r="DS194" s="36"/>
      <c r="DT194" s="36"/>
      <c r="DU194" s="36"/>
      <c r="DV194" s="36"/>
      <c r="DW194" s="36"/>
      <c r="DX194" s="97"/>
    </row>
    <row r="195" spans="27:128">
      <c r="AA195" s="5317"/>
      <c r="AB195" s="5317"/>
      <c r="AC195" s="5317"/>
      <c r="AD195" s="5317"/>
      <c r="AE195" s="5317"/>
      <c r="AF195" s="5317"/>
      <c r="AG195" s="5825"/>
      <c r="AH195" s="5825"/>
      <c r="AI195" s="4256"/>
      <c r="AJ195" s="4176"/>
      <c r="AK195" s="4829"/>
      <c r="AL195" s="4830"/>
      <c r="DC195" s="36"/>
      <c r="DJ195" s="36"/>
      <c r="DK195" s="95"/>
      <c r="DL195" s="95"/>
    </row>
    <row r="196" spans="27:128">
      <c r="AA196" s="5317"/>
      <c r="AB196" s="5317"/>
      <c r="AC196" s="5317"/>
      <c r="AD196" s="5317"/>
      <c r="AE196" s="5317"/>
      <c r="AF196" s="5317"/>
      <c r="AG196" s="5825"/>
      <c r="AH196" s="5825"/>
      <c r="AI196" s="4256"/>
      <c r="AJ196" s="4176"/>
      <c r="AK196" s="4829"/>
      <c r="AL196" s="4830"/>
      <c r="DC196" s="36"/>
      <c r="DJ196" s="36"/>
      <c r="DK196" s="95"/>
      <c r="DL196" s="95"/>
    </row>
    <row r="197" spans="27:128">
      <c r="AA197" s="5317"/>
      <c r="AB197" s="5317"/>
      <c r="AC197" s="5317"/>
      <c r="AD197" s="5317"/>
      <c r="AE197" s="5317"/>
      <c r="AF197" s="5317"/>
      <c r="AG197" s="5825"/>
      <c r="AH197" s="5825"/>
      <c r="AI197" s="4256"/>
      <c r="AJ197" s="4176"/>
      <c r="AK197" s="4829"/>
      <c r="AL197" s="4830"/>
    </row>
    <row r="198" spans="27:128">
      <c r="AA198" s="5317"/>
      <c r="AB198" s="5317"/>
      <c r="AC198" s="5317"/>
      <c r="AD198" s="5317"/>
      <c r="AE198" s="5317"/>
      <c r="AF198" s="5317"/>
      <c r="AG198" s="5825"/>
      <c r="AH198" s="5825"/>
      <c r="AI198" s="4256"/>
      <c r="AJ198" s="4176"/>
      <c r="AK198" s="4829"/>
      <c r="AL198" s="4830"/>
    </row>
    <row r="199" spans="27:128">
      <c r="AA199" s="5317"/>
      <c r="AB199" s="5317"/>
      <c r="AC199" s="5317"/>
      <c r="AD199" s="5317"/>
      <c r="AE199" s="5317"/>
      <c r="AF199" s="5317"/>
      <c r="AG199" s="5825"/>
      <c r="AH199" s="5825"/>
      <c r="AI199" s="4256"/>
      <c r="AJ199" s="4176"/>
      <c r="AK199" s="4829"/>
      <c r="AL199" s="4830"/>
    </row>
    <row r="200" spans="27:128">
      <c r="AA200" s="5317"/>
      <c r="AB200" s="5317"/>
      <c r="AC200" s="5317"/>
      <c r="AD200" s="5317"/>
      <c r="AE200" s="5317"/>
      <c r="AF200" s="5317"/>
      <c r="AG200" s="5825"/>
      <c r="AH200" s="5825"/>
      <c r="AI200" s="4256"/>
      <c r="AJ200" s="4176"/>
      <c r="AK200" s="4829"/>
      <c r="AL200" s="4830"/>
    </row>
    <row r="201" spans="27:128">
      <c r="AA201" s="5317"/>
      <c r="AB201" s="5317"/>
      <c r="AC201" s="5317"/>
      <c r="AD201" s="5317"/>
      <c r="AE201" s="5317"/>
      <c r="AF201" s="5317"/>
      <c r="AG201" s="5825"/>
      <c r="AH201" s="5825"/>
      <c r="AI201" s="4256"/>
      <c r="AJ201" s="4176"/>
      <c r="AK201" s="4829"/>
      <c r="AL201" s="4830"/>
    </row>
    <row r="202" spans="27:128">
      <c r="AA202" s="5317"/>
      <c r="AB202" s="5317"/>
      <c r="AC202" s="5317"/>
      <c r="AD202" s="5317"/>
      <c r="AE202" s="5317"/>
      <c r="AF202" s="5317"/>
      <c r="AG202" s="5825"/>
      <c r="AH202" s="5825"/>
      <c r="AI202" s="4256"/>
      <c r="AJ202" s="4176"/>
      <c r="AK202" s="4829"/>
      <c r="AL202" s="4830"/>
    </row>
    <row r="203" spans="27:128">
      <c r="AA203" s="5317"/>
      <c r="AB203" s="5317"/>
      <c r="AC203" s="5317"/>
      <c r="AD203" s="5317"/>
      <c r="AE203" s="5317"/>
      <c r="AF203" s="5317"/>
      <c r="AG203" s="5825"/>
      <c r="AH203" s="5825"/>
      <c r="AI203" s="4256"/>
      <c r="AJ203" s="4176"/>
      <c r="AK203" s="4829"/>
      <c r="AL203" s="4830"/>
    </row>
    <row r="204" spans="27:128">
      <c r="AA204" s="5317"/>
      <c r="AB204" s="5317"/>
      <c r="AC204" s="5317"/>
      <c r="AD204" s="5317"/>
      <c r="AE204" s="5317"/>
      <c r="AF204" s="5317"/>
      <c r="AG204" s="5825"/>
      <c r="AH204" s="5825"/>
      <c r="AI204" s="4256"/>
      <c r="AJ204" s="4176"/>
      <c r="AK204" s="4829"/>
      <c r="AL204" s="4830"/>
    </row>
    <row r="205" spans="27:128">
      <c r="AA205" s="5317"/>
      <c r="AB205" s="5317"/>
      <c r="AC205" s="5317"/>
      <c r="AD205" s="5317"/>
      <c r="AE205" s="5317"/>
      <c r="AF205" s="5317"/>
      <c r="AG205" s="5825"/>
      <c r="AH205" s="5825"/>
      <c r="AI205" s="4256"/>
      <c r="AJ205" s="4176"/>
      <c r="AK205" s="4829"/>
      <c r="AL205" s="4830"/>
    </row>
    <row r="206" spans="27:128">
      <c r="AA206" s="5317"/>
      <c r="AB206" s="5317"/>
      <c r="AC206" s="5317"/>
      <c r="AD206" s="5317"/>
      <c r="AE206" s="5317"/>
      <c r="AF206" s="5317"/>
      <c r="AG206" s="5825"/>
      <c r="AH206" s="5825"/>
      <c r="AI206" s="4256"/>
      <c r="AJ206" s="4176"/>
      <c r="AK206" s="4829"/>
      <c r="AL206" s="4830"/>
    </row>
    <row r="207" spans="27:128">
      <c r="AA207" s="5317"/>
      <c r="AB207" s="5317"/>
      <c r="AC207" s="5317"/>
      <c r="AD207" s="5317"/>
      <c r="AE207" s="5317"/>
      <c r="AF207" s="5317"/>
      <c r="AG207" s="5825"/>
      <c r="AH207" s="5825"/>
      <c r="AI207" s="4256"/>
      <c r="AJ207" s="4176"/>
      <c r="AK207" s="4829"/>
      <c r="AL207" s="4830"/>
    </row>
    <row r="208" spans="27:128">
      <c r="AA208" s="5317"/>
      <c r="AB208" s="5317"/>
      <c r="AC208" s="5317"/>
      <c r="AD208" s="5317"/>
      <c r="AE208" s="5317"/>
      <c r="AF208" s="5317"/>
      <c r="AG208" s="5825"/>
      <c r="AH208" s="5825"/>
      <c r="AI208" s="4256"/>
      <c r="AJ208" s="4176"/>
      <c r="AK208" s="4829"/>
      <c r="AL208" s="4830"/>
    </row>
    <row r="209" spans="27:38">
      <c r="AA209" s="5317"/>
      <c r="AB209" s="5317"/>
      <c r="AC209" s="5317"/>
      <c r="AD209" s="5317"/>
      <c r="AE209" s="5317"/>
      <c r="AF209" s="5317"/>
      <c r="AG209" s="5825"/>
      <c r="AH209" s="5825"/>
      <c r="AI209" s="4256"/>
      <c r="AJ209" s="4176"/>
      <c r="AK209" s="4829"/>
      <c r="AL209" s="4830"/>
    </row>
    <row r="210" spans="27:38">
      <c r="AA210" s="5317"/>
      <c r="AB210" s="5317"/>
      <c r="AC210" s="5317"/>
      <c r="AD210" s="5317"/>
      <c r="AE210" s="5317"/>
      <c r="AF210" s="5317"/>
      <c r="AG210" s="5825"/>
      <c r="AH210" s="5825"/>
      <c r="AI210" s="4256"/>
      <c r="AJ210" s="4176"/>
      <c r="AK210" s="4829"/>
      <c r="AL210" s="4830"/>
    </row>
    <row r="211" spans="27:38">
      <c r="AA211" s="5317"/>
      <c r="AB211" s="5317"/>
      <c r="AC211" s="5317"/>
      <c r="AD211" s="5317"/>
      <c r="AE211" s="5317"/>
      <c r="AF211" s="5317"/>
      <c r="AG211" s="5825"/>
      <c r="AH211" s="5825"/>
      <c r="AI211" s="4256"/>
      <c r="AJ211" s="4176"/>
      <c r="AK211" s="4829"/>
      <c r="AL211" s="4830"/>
    </row>
    <row r="212" spans="27:38">
      <c r="AA212" s="5317"/>
      <c r="AB212" s="5317"/>
      <c r="AC212" s="5317"/>
      <c r="AD212" s="5317"/>
      <c r="AE212" s="5317"/>
      <c r="AF212" s="5317"/>
      <c r="AG212" s="5825"/>
      <c r="AH212" s="5825"/>
      <c r="AI212" s="4256"/>
      <c r="AJ212" s="4176"/>
      <c r="AK212" s="4829"/>
      <c r="AL212" s="4830"/>
    </row>
    <row r="213" spans="27:38">
      <c r="AA213" s="5317"/>
      <c r="AB213" s="5317"/>
      <c r="AC213" s="5317"/>
      <c r="AD213" s="5317"/>
      <c r="AE213" s="5317"/>
      <c r="AF213" s="5317"/>
      <c r="AG213" s="5825"/>
      <c r="AH213" s="5825"/>
      <c r="AI213" s="4256"/>
      <c r="AJ213" s="4176"/>
      <c r="AK213" s="4829"/>
      <c r="AL213" s="4830"/>
    </row>
    <row r="214" spans="27:38">
      <c r="AA214" s="5317"/>
      <c r="AB214" s="5317"/>
      <c r="AC214" s="5317"/>
      <c r="AD214" s="5317"/>
      <c r="AE214" s="5317"/>
      <c r="AF214" s="5317"/>
      <c r="AG214" s="5825"/>
      <c r="AH214" s="5825"/>
      <c r="AI214" s="4256"/>
      <c r="AJ214" s="4176"/>
      <c r="AK214" s="4829"/>
      <c r="AL214" s="4830"/>
    </row>
  </sheetData>
  <mergeCells count="21">
    <mergeCell ref="A1:G2"/>
    <mergeCell ref="F3:G3"/>
    <mergeCell ref="AG1:AM2"/>
    <mergeCell ref="AO2:AU3"/>
    <mergeCell ref="DU4:DX4"/>
    <mergeCell ref="CL4:CN4"/>
    <mergeCell ref="CS4:CU4"/>
    <mergeCell ref="CZ4:DB4"/>
    <mergeCell ref="DG4:DI4"/>
    <mergeCell ref="DN4:DP4"/>
    <mergeCell ref="AZ4:BA4"/>
    <mergeCell ref="BH4:BI4"/>
    <mergeCell ref="BP4:BR4"/>
    <mergeCell ref="BX4:BZ4"/>
    <mergeCell ref="CE4:CG4"/>
    <mergeCell ref="I1:O2"/>
    <mergeCell ref="N3:O3"/>
    <mergeCell ref="Q1:W2"/>
    <mergeCell ref="V3:W3"/>
    <mergeCell ref="AD3:AE3"/>
    <mergeCell ref="Y1:AE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139"/>
  <sheetViews>
    <sheetView topLeftCell="A28" zoomScaleNormal="100" workbookViewId="0">
      <selection activeCell="H51" sqref="H51"/>
    </sheetView>
  </sheetViews>
  <sheetFormatPr baseColWidth="10" defaultRowHeight="14.4"/>
  <cols>
    <col min="1" max="1" width="4.88671875" style="5317" customWidth="1"/>
    <col min="2" max="2" width="3.5546875" style="5317" bestFit="1" customWidth="1"/>
    <col min="3" max="3" width="51.6640625" style="5317" bestFit="1" customWidth="1"/>
    <col min="4" max="4" width="16" style="5317" customWidth="1"/>
    <col min="5" max="5" width="6.33203125" style="157" customWidth="1"/>
    <col min="6" max="6" width="4.88671875" style="157" bestFit="1" customWidth="1"/>
    <col min="7" max="7" width="8.44140625" style="5317" bestFit="1" customWidth="1"/>
    <col min="8" max="8" width="11.44140625" style="5317"/>
    <col min="9" max="9" width="5.5546875" style="5317" customWidth="1"/>
    <col min="10" max="10" width="5.33203125" style="5317" customWidth="1"/>
    <col min="11" max="11" width="44.44140625" style="5317" customWidth="1"/>
    <col min="12" max="12" width="16.6640625" style="5317" customWidth="1"/>
    <col min="13" max="14" width="6.109375" style="5317" customWidth="1"/>
    <col min="15" max="16" width="11.44140625" style="5317"/>
    <col min="17" max="17" width="4.44140625" style="4832" customWidth="1"/>
    <col min="18" max="18" width="3.5546875" style="4832" bestFit="1" customWidth="1"/>
    <col min="19" max="19" width="44.44140625" style="4832" customWidth="1"/>
    <col min="20" max="20" width="17.33203125" style="4832" bestFit="1" customWidth="1"/>
    <col min="21" max="21" width="4.6640625" style="4832" customWidth="1"/>
    <col min="22" max="22" width="4.88671875" style="4832" bestFit="1" customWidth="1"/>
    <col min="23" max="23" width="11.44140625" style="1"/>
    <col min="24" max="24" width="11.44140625" style="4832"/>
    <col min="25" max="25" width="5.5546875" style="157" customWidth="1"/>
    <col min="26" max="26" width="3.33203125" style="157" bestFit="1" customWidth="1"/>
    <col min="27" max="27" width="40.6640625" style="4376" bestFit="1" customWidth="1"/>
    <col min="28" max="28" width="21.33203125" style="4376" bestFit="1" customWidth="1"/>
    <col min="29" max="29" width="4.5546875" style="157" customWidth="1"/>
    <col min="30" max="30" width="6.109375" style="157" bestFit="1" customWidth="1"/>
    <col min="31" max="31" width="8.33203125" style="2110" bestFit="1" customWidth="1"/>
    <col min="32" max="32" width="8" style="4522" customWidth="1"/>
    <col min="33" max="33" width="9.44140625" style="4522" customWidth="1"/>
    <col min="34" max="34" width="6.44140625" style="4522" bestFit="1" customWidth="1"/>
    <col min="35" max="35" width="29.88671875" style="4522" bestFit="1" customWidth="1"/>
    <col min="36" max="36" width="14" style="4522" bestFit="1" customWidth="1"/>
    <col min="37" max="37" width="3.5546875" style="4522" bestFit="1" customWidth="1"/>
    <col min="38" max="38" width="7" style="4522" customWidth="1"/>
    <col min="39" max="39" width="1.5546875" style="4522" bestFit="1" customWidth="1"/>
    <col min="40" max="40" width="2.6640625" style="4522" bestFit="1" customWidth="1"/>
    <col min="41" max="42" width="2.33203125" style="4522" bestFit="1" customWidth="1"/>
    <col min="43" max="43" width="4.33203125" style="4522" bestFit="1" customWidth="1"/>
    <col min="44" max="44" width="7.44140625" style="4213" customWidth="1"/>
    <col min="45" max="45" width="11.5546875" style="4522"/>
    <col min="46" max="46" width="10.6640625" style="3867" customWidth="1"/>
    <col min="47" max="47" width="6.33203125" style="3867" bestFit="1" customWidth="1"/>
    <col min="48" max="48" width="50.44140625" style="3867" bestFit="1" customWidth="1"/>
    <col min="49" max="49" width="15.88671875" style="3867" bestFit="1" customWidth="1"/>
    <col min="50" max="50" width="4.88671875" style="3867" customWidth="1"/>
    <col min="51" max="51" width="3" style="3867" bestFit="1" customWidth="1"/>
    <col min="52" max="52" width="2" style="3867" bestFit="1" customWidth="1"/>
    <col min="53" max="53" width="3" style="3867" bestFit="1" customWidth="1"/>
    <col min="54" max="58" width="2" style="3867" bestFit="1" customWidth="1"/>
    <col min="59" max="59" width="5.44140625" style="3867" bestFit="1" customWidth="1"/>
    <col min="60" max="60" width="11.44140625" style="3867"/>
    <col min="61" max="61" width="11.44140625" style="3695"/>
    <col min="62" max="62" width="11" style="32" customWidth="1"/>
    <col min="63" max="63" width="6.33203125" style="32" bestFit="1" customWidth="1"/>
    <col min="64" max="64" width="45.88671875" style="32" bestFit="1" customWidth="1"/>
    <col min="65" max="65" width="15.5546875" style="32" bestFit="1" customWidth="1"/>
    <col min="66" max="67" width="1.6640625" style="32" bestFit="1" customWidth="1"/>
    <col min="68" max="68" width="2.6640625" style="32" bestFit="1" customWidth="1"/>
    <col min="69" max="71" width="1.6640625" style="32" bestFit="1" customWidth="1"/>
    <col min="72" max="72" width="4.33203125" style="32" bestFit="1" customWidth="1"/>
    <col min="73" max="73" width="7.5546875" style="32" bestFit="1" customWidth="1"/>
    <col min="74" max="74" width="11.44140625" style="3695"/>
    <col min="75" max="75" width="11.44140625" style="2042"/>
    <col min="76" max="76" width="6.6640625" style="2042" bestFit="1" customWidth="1"/>
    <col min="77" max="77" width="58.33203125" style="2042" bestFit="1" customWidth="1"/>
    <col min="78" max="78" width="20" style="2042" bestFit="1" customWidth="1"/>
    <col min="79" max="79" width="4.44140625" style="2042" bestFit="1" customWidth="1"/>
    <col min="80" max="81" width="2" style="2042" bestFit="1" customWidth="1"/>
    <col min="82" max="84" width="3" style="2042" bestFit="1" customWidth="1"/>
    <col min="85" max="86" width="2" style="2042" bestFit="1" customWidth="1"/>
    <col min="87" max="87" width="5.44140625" style="2042" bestFit="1" customWidth="1"/>
    <col min="88" max="88" width="8.33203125" style="2042" bestFit="1" customWidth="1"/>
    <col min="89" max="89" width="11.44140625" style="2042"/>
    <col min="90" max="90" width="11.5546875" style="36"/>
    <col min="91" max="91" width="6.33203125" style="36" bestFit="1" customWidth="1"/>
    <col min="92" max="92" width="50.44140625" style="36" bestFit="1" customWidth="1"/>
    <col min="93" max="93" width="28.6640625" style="36" bestFit="1" customWidth="1"/>
    <col min="94" max="94" width="4.33203125" style="36" bestFit="1" customWidth="1"/>
    <col min="95" max="95" width="2" style="36" bestFit="1" customWidth="1"/>
    <col min="96" max="97" width="3" style="36" bestFit="1" customWidth="1"/>
    <col min="98" max="99" width="2" style="36" bestFit="1" customWidth="1"/>
    <col min="100" max="100" width="4.6640625" style="36" bestFit="1" customWidth="1"/>
    <col min="101" max="101" width="7.33203125" style="36" bestFit="1" customWidth="1"/>
    <col min="102" max="102" width="11.5546875" style="36"/>
    <col min="103" max="103" width="11.44140625" style="36"/>
    <col min="104" max="104" width="7.33203125" style="95" bestFit="1" customWidth="1"/>
    <col min="105" max="105" width="37.33203125" style="36" bestFit="1" customWidth="1"/>
    <col min="106" max="106" width="18.5546875" style="36" bestFit="1" customWidth="1"/>
    <col min="107" max="107" width="4.33203125" style="36" bestFit="1" customWidth="1"/>
    <col min="108" max="108" width="2" style="36" bestFit="1" customWidth="1"/>
    <col min="109" max="111" width="3" style="36" bestFit="1" customWidth="1"/>
    <col min="112" max="112" width="2" style="36" bestFit="1" customWidth="1"/>
    <col min="113" max="113" width="4.5546875" style="36" bestFit="1" customWidth="1"/>
    <col min="114" max="114" width="9.44140625" style="36" bestFit="1" customWidth="1"/>
    <col min="117" max="117" width="6.33203125" bestFit="1" customWidth="1"/>
    <col min="118" max="118" width="50.44140625" bestFit="1" customWidth="1"/>
    <col min="119" max="119" width="20" bestFit="1" customWidth="1"/>
    <col min="120" max="122" width="1.6640625" bestFit="1" customWidth="1"/>
    <col min="123" max="124" width="2.6640625" bestFit="1" customWidth="1"/>
    <col min="125" max="125" width="1.6640625" bestFit="1" customWidth="1"/>
    <col min="126" max="126" width="4.5546875" bestFit="1" customWidth="1"/>
    <col min="127" max="127" width="7.33203125" bestFit="1" customWidth="1"/>
    <col min="128" max="128" width="7.6640625" customWidth="1"/>
    <col min="129" max="129" width="10.6640625" customWidth="1"/>
    <col min="130" max="130" width="6.33203125" bestFit="1" customWidth="1"/>
    <col min="131" max="131" width="31" bestFit="1" customWidth="1"/>
    <col min="132" max="132" width="18.5546875" bestFit="1" customWidth="1"/>
    <col min="133" max="137" width="2.6640625" customWidth="1"/>
    <col min="138" max="138" width="5" bestFit="1" customWidth="1"/>
    <col min="139" max="139" width="7.33203125" bestFit="1" customWidth="1"/>
    <col min="140" max="140" width="10.6640625" customWidth="1"/>
    <col min="141" max="141" width="11.5546875" customWidth="1"/>
    <col min="142" max="142" width="7.33203125" bestFit="1" customWidth="1"/>
    <col min="143" max="143" width="31" bestFit="1" customWidth="1"/>
    <col min="144" max="144" width="18.5546875" bestFit="1" customWidth="1"/>
    <col min="145" max="146" width="2" bestFit="1" customWidth="1"/>
    <col min="147" max="149" width="3" bestFit="1" customWidth="1"/>
    <col min="150" max="150" width="2" bestFit="1" customWidth="1"/>
    <col min="151" max="151" width="5" bestFit="1" customWidth="1"/>
    <col min="152" max="152" width="8.6640625" bestFit="1" customWidth="1"/>
    <col min="153" max="153" width="11.6640625" customWidth="1"/>
    <col min="154" max="154" width="12.33203125" customWidth="1"/>
    <col min="155" max="155" width="6.33203125" bestFit="1" customWidth="1"/>
    <col min="156" max="156" width="29.88671875" bestFit="1" customWidth="1"/>
    <col min="157" max="157" width="15.88671875" bestFit="1" customWidth="1"/>
    <col min="158" max="158" width="2.6640625" bestFit="1" customWidth="1"/>
    <col min="159" max="159" width="1.6640625" bestFit="1" customWidth="1"/>
    <col min="160" max="160" width="3.5546875" bestFit="1" customWidth="1"/>
    <col min="161" max="162" width="2.6640625" bestFit="1" customWidth="1"/>
    <col min="163" max="163" width="4.5546875" bestFit="1" customWidth="1"/>
    <col min="164" max="164" width="7.6640625" bestFit="1" customWidth="1"/>
    <col min="165" max="165" width="8.6640625" customWidth="1"/>
    <col min="166" max="166" width="11.44140625" style="36" customWidth="1"/>
    <col min="167" max="167" width="9.6640625" style="36" bestFit="1" customWidth="1"/>
    <col min="168" max="168" width="29.88671875" style="36" bestFit="1" customWidth="1"/>
    <col min="169" max="169" width="15.88671875" style="36" bestFit="1" customWidth="1"/>
    <col min="170" max="171" width="3" style="36" bestFit="1" customWidth="1"/>
    <col min="172" max="172" width="4" style="36" bestFit="1" customWidth="1"/>
    <col min="173" max="174" width="3" style="36" bestFit="1" customWidth="1"/>
    <col min="175" max="175" width="4.6640625" style="36" bestFit="1" customWidth="1"/>
    <col min="176" max="176" width="7.33203125" style="36" bestFit="1" customWidth="1"/>
    <col min="178" max="178" width="13.33203125" style="36" customWidth="1"/>
    <col min="179" max="179" width="7.5546875" style="97" bestFit="1" customWidth="1"/>
    <col min="180" max="180" width="29.44140625" style="36" bestFit="1" customWidth="1"/>
    <col min="181" max="181" width="18.6640625" style="36" bestFit="1" customWidth="1"/>
    <col min="182" max="183" width="2.5546875" style="36" bestFit="1" customWidth="1"/>
    <col min="184" max="184" width="3.5546875" style="36" bestFit="1" customWidth="1"/>
    <col min="185" max="185" width="4.5546875" style="36" bestFit="1" customWidth="1"/>
    <col min="186" max="187" width="3.5546875" style="36" bestFit="1" customWidth="1"/>
    <col min="188" max="188" width="5.5546875" style="36" bestFit="1" customWidth="1"/>
    <col min="189" max="189" width="7.6640625" style="36" bestFit="1" customWidth="1"/>
    <col min="190" max="190" width="26.44140625" style="36" bestFit="1" customWidth="1"/>
    <col min="420" max="420" width="4.33203125" customWidth="1"/>
    <col min="421" max="422" width="14.6640625" customWidth="1"/>
    <col min="423" max="423" width="43.6640625" bestFit="1" customWidth="1"/>
    <col min="424" max="424" width="23" bestFit="1" customWidth="1"/>
    <col min="425" max="429" width="4.6640625" customWidth="1"/>
    <col min="431" max="431" width="18.33203125" bestFit="1" customWidth="1"/>
    <col min="676" max="676" width="4.33203125" customWidth="1"/>
    <col min="677" max="678" width="14.6640625" customWidth="1"/>
    <col min="679" max="679" width="43.6640625" bestFit="1" customWidth="1"/>
    <col min="680" max="680" width="23" bestFit="1" customWidth="1"/>
    <col min="681" max="685" width="4.6640625" customWidth="1"/>
    <col min="687" max="687" width="18.33203125" bestFit="1" customWidth="1"/>
    <col min="932" max="932" width="4.33203125" customWidth="1"/>
    <col min="933" max="934" width="14.6640625" customWidth="1"/>
    <col min="935" max="935" width="43.6640625" bestFit="1" customWidth="1"/>
    <col min="936" max="936" width="23" bestFit="1" customWidth="1"/>
    <col min="937" max="941" width="4.6640625" customWidth="1"/>
    <col min="943" max="943" width="18.33203125" bestFit="1" customWidth="1"/>
    <col min="1188" max="1188" width="4.33203125" customWidth="1"/>
    <col min="1189" max="1190" width="14.6640625" customWidth="1"/>
    <col min="1191" max="1191" width="43.6640625" bestFit="1" customWidth="1"/>
    <col min="1192" max="1192" width="23" bestFit="1" customWidth="1"/>
    <col min="1193" max="1197" width="4.6640625" customWidth="1"/>
    <col min="1199" max="1199" width="18.33203125" bestFit="1" customWidth="1"/>
    <col min="1444" max="1444" width="4.33203125" customWidth="1"/>
    <col min="1445" max="1446" width="14.6640625" customWidth="1"/>
    <col min="1447" max="1447" width="43.6640625" bestFit="1" customWidth="1"/>
    <col min="1448" max="1448" width="23" bestFit="1" customWidth="1"/>
    <col min="1449" max="1453" width="4.6640625" customWidth="1"/>
    <col min="1455" max="1455" width="18.33203125" bestFit="1" customWidth="1"/>
    <col min="1700" max="1700" width="4.33203125" customWidth="1"/>
    <col min="1701" max="1702" width="14.6640625" customWidth="1"/>
    <col min="1703" max="1703" width="43.6640625" bestFit="1" customWidth="1"/>
    <col min="1704" max="1704" width="23" bestFit="1" customWidth="1"/>
    <col min="1705" max="1709" width="4.6640625" customWidth="1"/>
    <col min="1711" max="1711" width="18.33203125" bestFit="1" customWidth="1"/>
    <col min="1956" max="1956" width="4.33203125" customWidth="1"/>
    <col min="1957" max="1958" width="14.6640625" customWidth="1"/>
    <col min="1959" max="1959" width="43.6640625" bestFit="1" customWidth="1"/>
    <col min="1960" max="1960" width="23" bestFit="1" customWidth="1"/>
    <col min="1961" max="1965" width="4.6640625" customWidth="1"/>
    <col min="1967" max="1967" width="18.33203125" bestFit="1" customWidth="1"/>
    <col min="2212" max="2212" width="4.33203125" customWidth="1"/>
    <col min="2213" max="2214" width="14.6640625" customWidth="1"/>
    <col min="2215" max="2215" width="43.6640625" bestFit="1" customWidth="1"/>
    <col min="2216" max="2216" width="23" bestFit="1" customWidth="1"/>
    <col min="2217" max="2221" width="4.6640625" customWidth="1"/>
    <col min="2223" max="2223" width="18.33203125" bestFit="1" customWidth="1"/>
    <col min="2468" max="2468" width="4.33203125" customWidth="1"/>
    <col min="2469" max="2470" width="14.6640625" customWidth="1"/>
    <col min="2471" max="2471" width="43.6640625" bestFit="1" customWidth="1"/>
    <col min="2472" max="2472" width="23" bestFit="1" customWidth="1"/>
    <col min="2473" max="2477" width="4.6640625" customWidth="1"/>
    <col min="2479" max="2479" width="18.33203125" bestFit="1" customWidth="1"/>
    <col min="2724" max="2724" width="4.33203125" customWidth="1"/>
    <col min="2725" max="2726" width="14.6640625" customWidth="1"/>
    <col min="2727" max="2727" width="43.6640625" bestFit="1" customWidth="1"/>
    <col min="2728" max="2728" width="23" bestFit="1" customWidth="1"/>
    <col min="2729" max="2733" width="4.6640625" customWidth="1"/>
    <col min="2735" max="2735" width="18.33203125" bestFit="1" customWidth="1"/>
    <col min="2980" max="2980" width="4.33203125" customWidth="1"/>
    <col min="2981" max="2982" width="14.6640625" customWidth="1"/>
    <col min="2983" max="2983" width="43.6640625" bestFit="1" customWidth="1"/>
    <col min="2984" max="2984" width="23" bestFit="1" customWidth="1"/>
    <col min="2985" max="2989" width="4.6640625" customWidth="1"/>
    <col min="2991" max="2991" width="18.33203125" bestFit="1" customWidth="1"/>
    <col min="3236" max="3236" width="4.33203125" customWidth="1"/>
    <col min="3237" max="3238" width="14.6640625" customWidth="1"/>
    <col min="3239" max="3239" width="43.6640625" bestFit="1" customWidth="1"/>
    <col min="3240" max="3240" width="23" bestFit="1" customWidth="1"/>
    <col min="3241" max="3245" width="4.6640625" customWidth="1"/>
    <col min="3247" max="3247" width="18.33203125" bestFit="1" customWidth="1"/>
    <col min="3492" max="3492" width="4.33203125" customWidth="1"/>
    <col min="3493" max="3494" width="14.6640625" customWidth="1"/>
    <col min="3495" max="3495" width="43.6640625" bestFit="1" customWidth="1"/>
    <col min="3496" max="3496" width="23" bestFit="1" customWidth="1"/>
    <col min="3497" max="3501" width="4.6640625" customWidth="1"/>
    <col min="3503" max="3503" width="18.33203125" bestFit="1" customWidth="1"/>
    <col min="3748" max="3748" width="4.33203125" customWidth="1"/>
    <col min="3749" max="3750" width="14.6640625" customWidth="1"/>
    <col min="3751" max="3751" width="43.6640625" bestFit="1" customWidth="1"/>
    <col min="3752" max="3752" width="23" bestFit="1" customWidth="1"/>
    <col min="3753" max="3757" width="4.6640625" customWidth="1"/>
    <col min="3759" max="3759" width="18.33203125" bestFit="1" customWidth="1"/>
    <col min="4004" max="4004" width="4.33203125" customWidth="1"/>
    <col min="4005" max="4006" width="14.6640625" customWidth="1"/>
    <col min="4007" max="4007" width="43.6640625" bestFit="1" customWidth="1"/>
    <col min="4008" max="4008" width="23" bestFit="1" customWidth="1"/>
    <col min="4009" max="4013" width="4.6640625" customWidth="1"/>
    <col min="4015" max="4015" width="18.33203125" bestFit="1" customWidth="1"/>
    <col min="4260" max="4260" width="4.33203125" customWidth="1"/>
    <col min="4261" max="4262" width="14.6640625" customWidth="1"/>
    <col min="4263" max="4263" width="43.6640625" bestFit="1" customWidth="1"/>
    <col min="4264" max="4264" width="23" bestFit="1" customWidth="1"/>
    <col min="4265" max="4269" width="4.6640625" customWidth="1"/>
    <col min="4271" max="4271" width="18.33203125" bestFit="1" customWidth="1"/>
    <col min="4516" max="4516" width="4.33203125" customWidth="1"/>
    <col min="4517" max="4518" width="14.6640625" customWidth="1"/>
    <col min="4519" max="4519" width="43.6640625" bestFit="1" customWidth="1"/>
    <col min="4520" max="4520" width="23" bestFit="1" customWidth="1"/>
    <col min="4521" max="4525" width="4.6640625" customWidth="1"/>
    <col min="4527" max="4527" width="18.33203125" bestFit="1" customWidth="1"/>
    <col min="4772" max="4772" width="4.33203125" customWidth="1"/>
    <col min="4773" max="4774" width="14.6640625" customWidth="1"/>
    <col min="4775" max="4775" width="43.6640625" bestFit="1" customWidth="1"/>
    <col min="4776" max="4776" width="23" bestFit="1" customWidth="1"/>
    <col min="4777" max="4781" width="4.6640625" customWidth="1"/>
    <col min="4783" max="4783" width="18.33203125" bestFit="1" customWidth="1"/>
    <col min="5028" max="5028" width="4.33203125" customWidth="1"/>
    <col min="5029" max="5030" width="14.6640625" customWidth="1"/>
    <col min="5031" max="5031" width="43.6640625" bestFit="1" customWidth="1"/>
    <col min="5032" max="5032" width="23" bestFit="1" customWidth="1"/>
    <col min="5033" max="5037" width="4.6640625" customWidth="1"/>
    <col min="5039" max="5039" width="18.33203125" bestFit="1" customWidth="1"/>
    <col min="5284" max="5284" width="4.33203125" customWidth="1"/>
    <col min="5285" max="5286" width="14.6640625" customWidth="1"/>
    <col min="5287" max="5287" width="43.6640625" bestFit="1" customWidth="1"/>
    <col min="5288" max="5288" width="23" bestFit="1" customWidth="1"/>
    <col min="5289" max="5293" width="4.6640625" customWidth="1"/>
    <col min="5295" max="5295" width="18.33203125" bestFit="1" customWidth="1"/>
    <col min="5540" max="5540" width="4.33203125" customWidth="1"/>
    <col min="5541" max="5542" width="14.6640625" customWidth="1"/>
    <col min="5543" max="5543" width="43.6640625" bestFit="1" customWidth="1"/>
    <col min="5544" max="5544" width="23" bestFit="1" customWidth="1"/>
    <col min="5545" max="5549" width="4.6640625" customWidth="1"/>
    <col min="5551" max="5551" width="18.33203125" bestFit="1" customWidth="1"/>
    <col min="5796" max="5796" width="4.33203125" customWidth="1"/>
    <col min="5797" max="5798" width="14.6640625" customWidth="1"/>
    <col min="5799" max="5799" width="43.6640625" bestFit="1" customWidth="1"/>
    <col min="5800" max="5800" width="23" bestFit="1" customWidth="1"/>
    <col min="5801" max="5805" width="4.6640625" customWidth="1"/>
    <col min="5807" max="5807" width="18.33203125" bestFit="1" customWidth="1"/>
    <col min="6052" max="6052" width="4.33203125" customWidth="1"/>
    <col min="6053" max="6054" width="14.6640625" customWidth="1"/>
    <col min="6055" max="6055" width="43.6640625" bestFit="1" customWidth="1"/>
    <col min="6056" max="6056" width="23" bestFit="1" customWidth="1"/>
    <col min="6057" max="6061" width="4.6640625" customWidth="1"/>
    <col min="6063" max="6063" width="18.33203125" bestFit="1" customWidth="1"/>
    <col min="6308" max="6308" width="4.33203125" customWidth="1"/>
    <col min="6309" max="6310" width="14.6640625" customWidth="1"/>
    <col min="6311" max="6311" width="43.6640625" bestFit="1" customWidth="1"/>
    <col min="6312" max="6312" width="23" bestFit="1" customWidth="1"/>
    <col min="6313" max="6317" width="4.6640625" customWidth="1"/>
    <col min="6319" max="6319" width="18.33203125" bestFit="1" customWidth="1"/>
    <col min="6564" max="6564" width="4.33203125" customWidth="1"/>
    <col min="6565" max="6566" width="14.6640625" customWidth="1"/>
    <col min="6567" max="6567" width="43.6640625" bestFit="1" customWidth="1"/>
    <col min="6568" max="6568" width="23" bestFit="1" customWidth="1"/>
    <col min="6569" max="6573" width="4.6640625" customWidth="1"/>
    <col min="6575" max="6575" width="18.33203125" bestFit="1" customWidth="1"/>
    <col min="6820" max="6820" width="4.33203125" customWidth="1"/>
    <col min="6821" max="6822" width="14.6640625" customWidth="1"/>
    <col min="6823" max="6823" width="43.6640625" bestFit="1" customWidth="1"/>
    <col min="6824" max="6824" width="23" bestFit="1" customWidth="1"/>
    <col min="6825" max="6829" width="4.6640625" customWidth="1"/>
    <col min="6831" max="6831" width="18.33203125" bestFit="1" customWidth="1"/>
    <col min="7076" max="7076" width="4.33203125" customWidth="1"/>
    <col min="7077" max="7078" width="14.6640625" customWidth="1"/>
    <col min="7079" max="7079" width="43.6640625" bestFit="1" customWidth="1"/>
    <col min="7080" max="7080" width="23" bestFit="1" customWidth="1"/>
    <col min="7081" max="7085" width="4.6640625" customWidth="1"/>
    <col min="7087" max="7087" width="18.33203125" bestFit="1" customWidth="1"/>
    <col min="7332" max="7332" width="4.33203125" customWidth="1"/>
    <col min="7333" max="7334" width="14.6640625" customWidth="1"/>
    <col min="7335" max="7335" width="43.6640625" bestFit="1" customWidth="1"/>
    <col min="7336" max="7336" width="23" bestFit="1" customWidth="1"/>
    <col min="7337" max="7341" width="4.6640625" customWidth="1"/>
    <col min="7343" max="7343" width="18.33203125" bestFit="1" customWidth="1"/>
    <col min="7588" max="7588" width="4.33203125" customWidth="1"/>
    <col min="7589" max="7590" width="14.6640625" customWidth="1"/>
    <col min="7591" max="7591" width="43.6640625" bestFit="1" customWidth="1"/>
    <col min="7592" max="7592" width="23" bestFit="1" customWidth="1"/>
    <col min="7593" max="7597" width="4.6640625" customWidth="1"/>
    <col min="7599" max="7599" width="18.33203125" bestFit="1" customWidth="1"/>
    <col min="7844" max="7844" width="4.33203125" customWidth="1"/>
    <col min="7845" max="7846" width="14.6640625" customWidth="1"/>
    <col min="7847" max="7847" width="43.6640625" bestFit="1" customWidth="1"/>
    <col min="7848" max="7848" width="23" bestFit="1" customWidth="1"/>
    <col min="7849" max="7853" width="4.6640625" customWidth="1"/>
    <col min="7855" max="7855" width="18.33203125" bestFit="1" customWidth="1"/>
    <col min="8100" max="8100" width="4.33203125" customWidth="1"/>
    <col min="8101" max="8102" width="14.6640625" customWidth="1"/>
    <col min="8103" max="8103" width="43.6640625" bestFit="1" customWidth="1"/>
    <col min="8104" max="8104" width="23" bestFit="1" customWidth="1"/>
    <col min="8105" max="8109" width="4.6640625" customWidth="1"/>
    <col min="8111" max="8111" width="18.33203125" bestFit="1" customWidth="1"/>
    <col min="8356" max="8356" width="4.33203125" customWidth="1"/>
    <col min="8357" max="8358" width="14.6640625" customWidth="1"/>
    <col min="8359" max="8359" width="43.6640625" bestFit="1" customWidth="1"/>
    <col min="8360" max="8360" width="23" bestFit="1" customWidth="1"/>
    <col min="8361" max="8365" width="4.6640625" customWidth="1"/>
    <col min="8367" max="8367" width="18.33203125" bestFit="1" customWidth="1"/>
    <col min="8612" max="8612" width="4.33203125" customWidth="1"/>
    <col min="8613" max="8614" width="14.6640625" customWidth="1"/>
    <col min="8615" max="8615" width="43.6640625" bestFit="1" customWidth="1"/>
    <col min="8616" max="8616" width="23" bestFit="1" customWidth="1"/>
    <col min="8617" max="8621" width="4.6640625" customWidth="1"/>
    <col min="8623" max="8623" width="18.33203125" bestFit="1" customWidth="1"/>
    <col min="8868" max="8868" width="4.33203125" customWidth="1"/>
    <col min="8869" max="8870" width="14.6640625" customWidth="1"/>
    <col min="8871" max="8871" width="43.6640625" bestFit="1" customWidth="1"/>
    <col min="8872" max="8872" width="23" bestFit="1" customWidth="1"/>
    <col min="8873" max="8877" width="4.6640625" customWidth="1"/>
    <col min="8879" max="8879" width="18.33203125" bestFit="1" customWidth="1"/>
    <col min="9124" max="9124" width="4.33203125" customWidth="1"/>
    <col min="9125" max="9126" width="14.6640625" customWidth="1"/>
    <col min="9127" max="9127" width="43.6640625" bestFit="1" customWidth="1"/>
    <col min="9128" max="9128" width="23" bestFit="1" customWidth="1"/>
    <col min="9129" max="9133" width="4.6640625" customWidth="1"/>
    <col min="9135" max="9135" width="18.33203125" bestFit="1" customWidth="1"/>
    <col min="9380" max="9380" width="4.33203125" customWidth="1"/>
    <col min="9381" max="9382" width="14.6640625" customWidth="1"/>
    <col min="9383" max="9383" width="43.6640625" bestFit="1" customWidth="1"/>
    <col min="9384" max="9384" width="23" bestFit="1" customWidth="1"/>
    <col min="9385" max="9389" width="4.6640625" customWidth="1"/>
    <col min="9391" max="9391" width="18.33203125" bestFit="1" customWidth="1"/>
    <col min="9636" max="9636" width="4.33203125" customWidth="1"/>
    <col min="9637" max="9638" width="14.6640625" customWidth="1"/>
    <col min="9639" max="9639" width="43.6640625" bestFit="1" customWidth="1"/>
    <col min="9640" max="9640" width="23" bestFit="1" customWidth="1"/>
    <col min="9641" max="9645" width="4.6640625" customWidth="1"/>
    <col min="9647" max="9647" width="18.33203125" bestFit="1" customWidth="1"/>
    <col min="9892" max="9892" width="4.33203125" customWidth="1"/>
    <col min="9893" max="9894" width="14.6640625" customWidth="1"/>
    <col min="9895" max="9895" width="43.6640625" bestFit="1" customWidth="1"/>
    <col min="9896" max="9896" width="23" bestFit="1" customWidth="1"/>
    <col min="9897" max="9901" width="4.6640625" customWidth="1"/>
    <col min="9903" max="9903" width="18.33203125" bestFit="1" customWidth="1"/>
    <col min="10148" max="10148" width="4.33203125" customWidth="1"/>
    <col min="10149" max="10150" width="14.6640625" customWidth="1"/>
    <col min="10151" max="10151" width="43.6640625" bestFit="1" customWidth="1"/>
    <col min="10152" max="10152" width="23" bestFit="1" customWidth="1"/>
    <col min="10153" max="10157" width="4.6640625" customWidth="1"/>
    <col min="10159" max="10159" width="18.33203125" bestFit="1" customWidth="1"/>
    <col min="10404" max="10404" width="4.33203125" customWidth="1"/>
    <col min="10405" max="10406" width="14.6640625" customWidth="1"/>
    <col min="10407" max="10407" width="43.6640625" bestFit="1" customWidth="1"/>
    <col min="10408" max="10408" width="23" bestFit="1" customWidth="1"/>
    <col min="10409" max="10413" width="4.6640625" customWidth="1"/>
    <col min="10415" max="10415" width="18.33203125" bestFit="1" customWidth="1"/>
    <col min="10660" max="10660" width="4.33203125" customWidth="1"/>
    <col min="10661" max="10662" width="14.6640625" customWidth="1"/>
    <col min="10663" max="10663" width="43.6640625" bestFit="1" customWidth="1"/>
    <col min="10664" max="10664" width="23" bestFit="1" customWidth="1"/>
    <col min="10665" max="10669" width="4.6640625" customWidth="1"/>
    <col min="10671" max="10671" width="18.33203125" bestFit="1" customWidth="1"/>
    <col min="10916" max="10916" width="4.33203125" customWidth="1"/>
    <col min="10917" max="10918" width="14.6640625" customWidth="1"/>
    <col min="10919" max="10919" width="43.6640625" bestFit="1" customWidth="1"/>
    <col min="10920" max="10920" width="23" bestFit="1" customWidth="1"/>
    <col min="10921" max="10925" width="4.6640625" customWidth="1"/>
    <col min="10927" max="10927" width="18.33203125" bestFit="1" customWidth="1"/>
    <col min="11172" max="11172" width="4.33203125" customWidth="1"/>
    <col min="11173" max="11174" width="14.6640625" customWidth="1"/>
    <col min="11175" max="11175" width="43.6640625" bestFit="1" customWidth="1"/>
    <col min="11176" max="11176" width="23" bestFit="1" customWidth="1"/>
    <col min="11177" max="11181" width="4.6640625" customWidth="1"/>
    <col min="11183" max="11183" width="18.33203125" bestFit="1" customWidth="1"/>
    <col min="11428" max="11428" width="4.33203125" customWidth="1"/>
    <col min="11429" max="11430" width="14.6640625" customWidth="1"/>
    <col min="11431" max="11431" width="43.6640625" bestFit="1" customWidth="1"/>
    <col min="11432" max="11432" width="23" bestFit="1" customWidth="1"/>
    <col min="11433" max="11437" width="4.6640625" customWidth="1"/>
    <col min="11439" max="11439" width="18.33203125" bestFit="1" customWidth="1"/>
    <col min="11684" max="11684" width="4.33203125" customWidth="1"/>
    <col min="11685" max="11686" width="14.6640625" customWidth="1"/>
    <col min="11687" max="11687" width="43.6640625" bestFit="1" customWidth="1"/>
    <col min="11688" max="11688" width="23" bestFit="1" customWidth="1"/>
    <col min="11689" max="11693" width="4.6640625" customWidth="1"/>
    <col min="11695" max="11695" width="18.33203125" bestFit="1" customWidth="1"/>
    <col min="11940" max="11940" width="4.33203125" customWidth="1"/>
    <col min="11941" max="11942" width="14.6640625" customWidth="1"/>
    <col min="11943" max="11943" width="43.6640625" bestFit="1" customWidth="1"/>
    <col min="11944" max="11944" width="23" bestFit="1" customWidth="1"/>
    <col min="11945" max="11949" width="4.6640625" customWidth="1"/>
    <col min="11951" max="11951" width="18.33203125" bestFit="1" customWidth="1"/>
    <col min="12196" max="12196" width="4.33203125" customWidth="1"/>
    <col min="12197" max="12198" width="14.6640625" customWidth="1"/>
    <col min="12199" max="12199" width="43.6640625" bestFit="1" customWidth="1"/>
    <col min="12200" max="12200" width="23" bestFit="1" customWidth="1"/>
    <col min="12201" max="12205" width="4.6640625" customWidth="1"/>
    <col min="12207" max="12207" width="18.33203125" bestFit="1" customWidth="1"/>
    <col min="12452" max="12452" width="4.33203125" customWidth="1"/>
    <col min="12453" max="12454" width="14.6640625" customWidth="1"/>
    <col min="12455" max="12455" width="43.6640625" bestFit="1" customWidth="1"/>
    <col min="12456" max="12456" width="23" bestFit="1" customWidth="1"/>
    <col min="12457" max="12461" width="4.6640625" customWidth="1"/>
    <col min="12463" max="12463" width="18.33203125" bestFit="1" customWidth="1"/>
    <col min="12708" max="12708" width="4.33203125" customWidth="1"/>
    <col min="12709" max="12710" width="14.6640625" customWidth="1"/>
    <col min="12711" max="12711" width="43.6640625" bestFit="1" customWidth="1"/>
    <col min="12712" max="12712" width="23" bestFit="1" customWidth="1"/>
    <col min="12713" max="12717" width="4.6640625" customWidth="1"/>
    <col min="12719" max="12719" width="18.33203125" bestFit="1" customWidth="1"/>
    <col min="12964" max="12964" width="4.33203125" customWidth="1"/>
    <col min="12965" max="12966" width="14.6640625" customWidth="1"/>
    <col min="12967" max="12967" width="43.6640625" bestFit="1" customWidth="1"/>
    <col min="12968" max="12968" width="23" bestFit="1" customWidth="1"/>
    <col min="12969" max="12973" width="4.6640625" customWidth="1"/>
    <col min="12975" max="12975" width="18.33203125" bestFit="1" customWidth="1"/>
    <col min="13220" max="13220" width="4.33203125" customWidth="1"/>
    <col min="13221" max="13222" width="14.6640625" customWidth="1"/>
    <col min="13223" max="13223" width="43.6640625" bestFit="1" customWidth="1"/>
    <col min="13224" max="13224" width="23" bestFit="1" customWidth="1"/>
    <col min="13225" max="13229" width="4.6640625" customWidth="1"/>
    <col min="13231" max="13231" width="18.33203125" bestFit="1" customWidth="1"/>
    <col min="13476" max="13476" width="4.33203125" customWidth="1"/>
    <col min="13477" max="13478" width="14.6640625" customWidth="1"/>
    <col min="13479" max="13479" width="43.6640625" bestFit="1" customWidth="1"/>
    <col min="13480" max="13480" width="23" bestFit="1" customWidth="1"/>
    <col min="13481" max="13485" width="4.6640625" customWidth="1"/>
    <col min="13487" max="13487" width="18.33203125" bestFit="1" customWidth="1"/>
    <col min="13732" max="13732" width="4.33203125" customWidth="1"/>
    <col min="13733" max="13734" width="14.6640625" customWidth="1"/>
    <col min="13735" max="13735" width="43.6640625" bestFit="1" customWidth="1"/>
    <col min="13736" max="13736" width="23" bestFit="1" customWidth="1"/>
    <col min="13737" max="13741" width="4.6640625" customWidth="1"/>
    <col min="13743" max="13743" width="18.33203125" bestFit="1" customWidth="1"/>
    <col min="13988" max="13988" width="4.33203125" customWidth="1"/>
    <col min="13989" max="13990" width="14.6640625" customWidth="1"/>
    <col min="13991" max="13991" width="43.6640625" bestFit="1" customWidth="1"/>
    <col min="13992" max="13992" width="23" bestFit="1" customWidth="1"/>
    <col min="13993" max="13997" width="4.6640625" customWidth="1"/>
    <col min="13999" max="13999" width="18.33203125" bestFit="1" customWidth="1"/>
    <col min="14244" max="14244" width="4.33203125" customWidth="1"/>
    <col min="14245" max="14246" width="14.6640625" customWidth="1"/>
    <col min="14247" max="14247" width="43.6640625" bestFit="1" customWidth="1"/>
    <col min="14248" max="14248" width="23" bestFit="1" customWidth="1"/>
    <col min="14249" max="14253" width="4.6640625" customWidth="1"/>
    <col min="14255" max="14255" width="18.33203125" bestFit="1" customWidth="1"/>
    <col min="14500" max="14500" width="4.33203125" customWidth="1"/>
    <col min="14501" max="14502" width="14.6640625" customWidth="1"/>
    <col min="14503" max="14503" width="43.6640625" bestFit="1" customWidth="1"/>
    <col min="14504" max="14504" width="23" bestFit="1" customWidth="1"/>
    <col min="14505" max="14509" width="4.6640625" customWidth="1"/>
    <col min="14511" max="14511" width="18.33203125" bestFit="1" customWidth="1"/>
    <col min="14756" max="14756" width="4.33203125" customWidth="1"/>
    <col min="14757" max="14758" width="14.6640625" customWidth="1"/>
    <col min="14759" max="14759" width="43.6640625" bestFit="1" customWidth="1"/>
    <col min="14760" max="14760" width="23" bestFit="1" customWidth="1"/>
    <col min="14761" max="14765" width="4.6640625" customWidth="1"/>
    <col min="14767" max="14767" width="18.33203125" bestFit="1" customWidth="1"/>
    <col min="15012" max="15012" width="4.33203125" customWidth="1"/>
    <col min="15013" max="15014" width="14.6640625" customWidth="1"/>
    <col min="15015" max="15015" width="43.6640625" bestFit="1" customWidth="1"/>
    <col min="15016" max="15016" width="23" bestFit="1" customWidth="1"/>
    <col min="15017" max="15021" width="4.6640625" customWidth="1"/>
    <col min="15023" max="15023" width="18.33203125" bestFit="1" customWidth="1"/>
    <col min="15268" max="15268" width="4.33203125" customWidth="1"/>
    <col min="15269" max="15270" width="14.6640625" customWidth="1"/>
    <col min="15271" max="15271" width="43.6640625" bestFit="1" customWidth="1"/>
    <col min="15272" max="15272" width="23" bestFit="1" customWidth="1"/>
    <col min="15273" max="15277" width="4.6640625" customWidth="1"/>
    <col min="15279" max="15279" width="18.33203125" bestFit="1" customWidth="1"/>
    <col min="15524" max="15524" width="4.33203125" customWidth="1"/>
    <col min="15525" max="15526" width="14.6640625" customWidth="1"/>
    <col min="15527" max="15527" width="43.6640625" bestFit="1" customWidth="1"/>
    <col min="15528" max="15528" width="23" bestFit="1" customWidth="1"/>
    <col min="15529" max="15533" width="4.6640625" customWidth="1"/>
    <col min="15535" max="15535" width="18.33203125" bestFit="1" customWidth="1"/>
    <col min="15780" max="15780" width="4.33203125" customWidth="1"/>
    <col min="15781" max="15782" width="14.6640625" customWidth="1"/>
    <col min="15783" max="15783" width="43.6640625" bestFit="1" customWidth="1"/>
    <col min="15784" max="15784" width="23" bestFit="1" customWidth="1"/>
    <col min="15785" max="15789" width="4.6640625" customWidth="1"/>
    <col min="15791" max="15791" width="18.33203125" bestFit="1" customWidth="1"/>
    <col min="16036" max="16036" width="4.33203125" customWidth="1"/>
    <col min="16037" max="16038" width="14.6640625" customWidth="1"/>
    <col min="16039" max="16039" width="43.6640625" bestFit="1" customWidth="1"/>
    <col min="16040" max="16040" width="23" bestFit="1" customWidth="1"/>
    <col min="16041" max="16045" width="4.6640625" customWidth="1"/>
    <col min="16047" max="16047" width="18.33203125" bestFit="1" customWidth="1"/>
    <col min="16292" max="16292" width="4.33203125" customWidth="1"/>
    <col min="16293" max="16294" width="14.6640625" customWidth="1"/>
    <col min="16295" max="16295" width="43.6640625" bestFit="1" customWidth="1"/>
    <col min="16296" max="16296" width="23" bestFit="1" customWidth="1"/>
    <col min="16297" max="16301" width="4.6640625" customWidth="1"/>
    <col min="16303" max="16303" width="18.33203125" bestFit="1" customWidth="1"/>
  </cols>
  <sheetData>
    <row r="1" spans="1:191" ht="15.6">
      <c r="A1" s="966" t="s">
        <v>3175</v>
      </c>
      <c r="G1" s="1"/>
      <c r="I1" s="966" t="s">
        <v>2880</v>
      </c>
      <c r="Q1" s="966" t="s">
        <v>2880</v>
      </c>
      <c r="Y1" s="966" t="s">
        <v>2717</v>
      </c>
      <c r="AG1" s="671" t="s">
        <v>2755</v>
      </c>
      <c r="AT1" s="513" t="s">
        <v>2573</v>
      </c>
      <c r="BJ1" s="4222" t="s">
        <v>2530</v>
      </c>
      <c r="BK1" s="4215"/>
      <c r="BL1" s="4215"/>
      <c r="BM1" s="4215"/>
      <c r="BN1" s="4215"/>
      <c r="BO1" s="4215"/>
      <c r="BP1" s="4215"/>
      <c r="BQ1" s="4215"/>
      <c r="BR1" s="4215"/>
      <c r="BS1" s="4215"/>
      <c r="BT1" s="4215"/>
      <c r="BU1" s="4215"/>
      <c r="BW1" s="513" t="s">
        <v>2409</v>
      </c>
      <c r="CL1" s="27" t="s">
        <v>1727</v>
      </c>
      <c r="EA1" s="1"/>
      <c r="EB1" s="1"/>
      <c r="EC1" s="1"/>
      <c r="ED1" s="1"/>
      <c r="EE1" s="1"/>
      <c r="EF1" s="1"/>
      <c r="EG1" s="1"/>
      <c r="EH1" s="1"/>
      <c r="EI1" s="1"/>
      <c r="EJ1" s="1"/>
      <c r="FA1" s="402"/>
      <c r="FB1" s="402"/>
      <c r="FC1" s="402"/>
      <c r="FD1" s="402"/>
      <c r="FE1" s="402"/>
      <c r="FF1" s="402"/>
      <c r="FG1" s="402"/>
      <c r="FH1" s="402"/>
      <c r="FI1" s="402"/>
      <c r="FJ1" s="4372" t="s">
        <v>1127</v>
      </c>
      <c r="FM1" s="4372"/>
      <c r="FN1" s="4372"/>
      <c r="FO1" s="4372"/>
      <c r="FP1" s="4372"/>
      <c r="FQ1" s="4372"/>
      <c r="FR1" s="4372"/>
      <c r="FS1" s="4372"/>
      <c r="FT1" s="4372"/>
      <c r="FU1" s="4372"/>
      <c r="FV1" s="4372"/>
      <c r="FW1" s="4355"/>
      <c r="FY1" s="97"/>
    </row>
    <row r="2" spans="1:191" ht="15.6">
      <c r="A2" s="966" t="s">
        <v>3176</v>
      </c>
      <c r="G2" s="1"/>
      <c r="I2" s="966" t="s">
        <v>3026</v>
      </c>
      <c r="Q2" s="966" t="s">
        <v>2879</v>
      </c>
      <c r="Y2" s="966" t="s">
        <v>2718</v>
      </c>
      <c r="AG2" s="61" t="s">
        <v>2758</v>
      </c>
      <c r="AR2" s="4522"/>
      <c r="AT2" s="513" t="s">
        <v>2574</v>
      </c>
      <c r="BJ2" s="4222" t="s">
        <v>2575</v>
      </c>
      <c r="BK2" s="4215"/>
      <c r="BL2" s="4215"/>
      <c r="BM2" s="4215"/>
      <c r="BN2" s="4215"/>
      <c r="BO2" s="4215"/>
      <c r="BP2" s="4215"/>
      <c r="BQ2" s="4215"/>
      <c r="BR2" s="4215"/>
      <c r="BS2" s="4215"/>
      <c r="BT2" s="4215"/>
      <c r="BU2" s="4215"/>
      <c r="BW2" s="18" t="s">
        <v>2410</v>
      </c>
      <c r="CL2" s="27" t="s">
        <v>2261</v>
      </c>
      <c r="CY2" s="393" t="s">
        <v>1727</v>
      </c>
      <c r="DL2" s="513" t="s">
        <v>1664</v>
      </c>
      <c r="DY2" s="179" t="s">
        <v>1209</v>
      </c>
      <c r="DZ2" s="1"/>
      <c r="EA2" s="1"/>
      <c r="EB2" s="1"/>
      <c r="EC2" s="1"/>
      <c r="ED2" s="1"/>
      <c r="EE2" s="1"/>
      <c r="EF2" s="1"/>
      <c r="EG2" s="1"/>
      <c r="EH2" s="1"/>
      <c r="EK2" s="27" t="s">
        <v>1128</v>
      </c>
      <c r="EX2" s="180" t="s">
        <v>1129</v>
      </c>
      <c r="EY2" s="404"/>
      <c r="EZ2" s="404"/>
      <c r="FA2" s="404"/>
      <c r="FB2" s="404"/>
      <c r="FC2" s="404"/>
      <c r="FD2" s="404"/>
      <c r="FE2" s="404"/>
      <c r="FF2" s="404"/>
      <c r="FG2" s="404"/>
      <c r="FJ2" s="4373" t="s">
        <v>2719</v>
      </c>
      <c r="FK2" s="4373"/>
      <c r="FL2" s="4373"/>
      <c r="FM2" s="4373"/>
      <c r="FN2" s="4373"/>
      <c r="FO2" s="4373"/>
      <c r="FP2" s="4373"/>
      <c r="FQ2" s="4373"/>
      <c r="FR2" s="4373"/>
      <c r="FS2" s="4373"/>
      <c r="FT2" s="4373"/>
      <c r="FU2" s="403"/>
    </row>
    <row r="3" spans="1:191" ht="15.6">
      <c r="A3" s="4385" t="s">
        <v>3177</v>
      </c>
      <c r="D3" s="6064" t="s">
        <v>2887</v>
      </c>
      <c r="G3" s="1"/>
      <c r="I3" s="4385" t="s">
        <v>2882</v>
      </c>
      <c r="L3" s="5680" t="s">
        <v>3030</v>
      </c>
      <c r="Q3" s="4385" t="s">
        <v>2882</v>
      </c>
      <c r="T3" s="4914" t="s">
        <v>2887</v>
      </c>
      <c r="Y3" s="1270" t="s">
        <v>2771</v>
      </c>
      <c r="AB3" s="4433"/>
      <c r="AC3" s="4231"/>
      <c r="AR3" s="4522"/>
      <c r="AT3" s="27" t="s">
        <v>2531</v>
      </c>
      <c r="BJ3" s="4222" t="s">
        <v>2531</v>
      </c>
      <c r="BK3" s="4215"/>
      <c r="BL3" s="4215"/>
      <c r="BM3" s="4215"/>
      <c r="BN3" s="4215"/>
      <c r="BO3" s="4215"/>
      <c r="BP3" s="4215"/>
      <c r="BQ3" s="4215"/>
      <c r="BR3" s="4215"/>
      <c r="BS3" s="4215"/>
      <c r="BT3" s="4215"/>
      <c r="BU3" s="4215"/>
      <c r="BW3" s="935" t="s">
        <v>2411</v>
      </c>
      <c r="CL3" s="26" t="s">
        <v>2262</v>
      </c>
      <c r="CY3" s="393" t="s">
        <v>1725</v>
      </c>
      <c r="DL3" s="1183" t="s">
        <v>1661</v>
      </c>
      <c r="DM3" s="1184"/>
      <c r="DN3" s="1184"/>
      <c r="DO3" s="1184"/>
      <c r="DP3" s="1184"/>
      <c r="DQ3" s="1184"/>
      <c r="DR3" s="1184"/>
      <c r="DS3" s="1184"/>
      <c r="DT3" s="1184"/>
      <c r="DU3" s="1184"/>
      <c r="DV3" s="1184"/>
      <c r="DW3" s="1185"/>
      <c r="DY3" s="179" t="s">
        <v>706</v>
      </c>
      <c r="DZ3" s="405"/>
      <c r="EA3" s="405"/>
      <c r="EB3" s="405"/>
      <c r="EC3" s="405"/>
      <c r="ED3" s="405"/>
      <c r="EE3" s="405"/>
      <c r="EF3" s="405"/>
      <c r="EG3" s="405"/>
      <c r="EH3" s="405"/>
      <c r="EK3" s="27" t="s">
        <v>1130</v>
      </c>
      <c r="EL3" s="406"/>
      <c r="EM3" s="406"/>
      <c r="EN3" s="406"/>
      <c r="EO3" s="406"/>
      <c r="EP3" s="406"/>
      <c r="EQ3" s="406"/>
      <c r="ER3" s="406"/>
      <c r="ES3" s="406"/>
      <c r="ET3" s="406"/>
      <c r="EU3" s="406"/>
      <c r="EV3" s="407"/>
      <c r="EX3" s="404" t="s">
        <v>1131</v>
      </c>
      <c r="FJ3" s="4374" t="s">
        <v>1132</v>
      </c>
      <c r="FK3" s="4374"/>
      <c r="FL3" s="4374"/>
      <c r="FM3" s="4374"/>
      <c r="FN3" s="4374"/>
      <c r="FO3" s="4374"/>
      <c r="FP3" s="4374"/>
      <c r="FQ3" s="4374"/>
      <c r="FR3" s="4374"/>
      <c r="FS3" s="4374"/>
      <c r="FT3" s="4374"/>
      <c r="FV3" s="6985" t="s">
        <v>1133</v>
      </c>
      <c r="FW3" s="6985"/>
      <c r="FX3" s="6985"/>
      <c r="FY3" s="6985"/>
      <c r="FZ3" s="6985"/>
      <c r="GA3" s="6985"/>
      <c r="GB3" s="6985"/>
      <c r="GC3" s="6985"/>
      <c r="GD3" s="6985"/>
      <c r="GE3" s="6985"/>
      <c r="GF3" s="6985"/>
      <c r="GG3" s="6985"/>
      <c r="GH3" s="6985"/>
    </row>
    <row r="4" spans="1:191">
      <c r="A4" s="4912" t="s">
        <v>2263</v>
      </c>
      <c r="G4" s="1"/>
      <c r="I4" s="4912" t="s">
        <v>2263</v>
      </c>
      <c r="Q4" s="4912" t="s">
        <v>2263</v>
      </c>
      <c r="Y4" s="4385" t="s">
        <v>2770</v>
      </c>
      <c r="AB4" s="4433" t="s">
        <v>2727</v>
      </c>
      <c r="AC4" s="4231"/>
      <c r="AD4" s="4434"/>
      <c r="AR4" s="4522"/>
      <c r="AT4" s="935" t="s">
        <v>2576</v>
      </c>
      <c r="BJ4" s="4337" t="s">
        <v>2557</v>
      </c>
      <c r="BK4" s="4215"/>
      <c r="BL4" s="4215"/>
      <c r="BM4" s="4215"/>
      <c r="BN4" s="4215"/>
      <c r="BO4" s="4215"/>
      <c r="BP4" s="4215"/>
      <c r="BQ4" s="4215"/>
      <c r="BR4" s="4215"/>
      <c r="BS4" s="4215"/>
      <c r="BT4" s="4215"/>
      <c r="BU4" s="4215"/>
      <c r="BW4" s="37" t="s">
        <v>2263</v>
      </c>
      <c r="CL4" s="2026" t="s">
        <v>2263</v>
      </c>
      <c r="CY4" s="36" t="s">
        <v>1726</v>
      </c>
      <c r="CZ4" s="1468"/>
      <c r="DA4" s="935"/>
      <c r="DB4" s="935"/>
      <c r="DC4" s="935"/>
      <c r="DD4" s="935"/>
      <c r="DE4" s="935"/>
      <c r="DF4" s="935"/>
      <c r="DG4" s="935"/>
      <c r="DH4" s="935"/>
      <c r="DI4" s="935"/>
      <c r="DL4" s="935" t="s">
        <v>1662</v>
      </c>
      <c r="DM4" s="1185"/>
      <c r="DN4" s="1185"/>
      <c r="DO4" s="1185"/>
      <c r="DP4" s="1185"/>
      <c r="DQ4" s="1185"/>
      <c r="DR4" s="1185"/>
      <c r="DS4" s="1185"/>
      <c r="DT4" s="1185"/>
      <c r="DU4" s="1185"/>
      <c r="DV4" s="1185"/>
      <c r="DW4" s="1185"/>
      <c r="DY4" s="179" t="s">
        <v>1134</v>
      </c>
      <c r="DZ4" s="408"/>
      <c r="EA4" s="408"/>
      <c r="EB4" s="408"/>
      <c r="EC4" s="408"/>
      <c r="ED4" s="408"/>
      <c r="EE4" s="408"/>
      <c r="EF4" s="408"/>
      <c r="EG4" s="408"/>
      <c r="EH4" s="408"/>
      <c r="EK4" s="409" t="s">
        <v>1135</v>
      </c>
      <c r="EL4" s="410"/>
      <c r="EM4" s="410"/>
      <c r="EN4" s="410"/>
      <c r="EO4" s="410"/>
      <c r="EP4" s="410"/>
      <c r="EQ4" s="410"/>
      <c r="ER4" s="410"/>
      <c r="ES4" s="410"/>
      <c r="ET4" s="410"/>
      <c r="EU4" s="410"/>
      <c r="EV4" s="407"/>
      <c r="FT4" s="4368"/>
    </row>
    <row r="5" spans="1:191">
      <c r="A5" s="4368" t="s">
        <v>2883</v>
      </c>
      <c r="G5" s="1"/>
      <c r="I5" s="4368" t="s">
        <v>2883</v>
      </c>
      <c r="Q5" s="4368" t="s">
        <v>2883</v>
      </c>
      <c r="Y5" s="3813" t="s">
        <v>2263</v>
      </c>
      <c r="AG5" s="2019"/>
      <c r="AH5" s="2019"/>
      <c r="AI5" s="2019"/>
      <c r="AJ5" s="2019"/>
      <c r="AK5" s="2019" t="s">
        <v>1136</v>
      </c>
      <c r="AL5" s="2019"/>
      <c r="AM5" s="2019"/>
      <c r="AN5" s="2019"/>
      <c r="AO5" s="2019"/>
      <c r="AP5" s="2019"/>
      <c r="AQ5" s="2019"/>
      <c r="AR5" s="2019"/>
      <c r="AS5" s="2046"/>
      <c r="AT5" s="37" t="s">
        <v>2263</v>
      </c>
      <c r="AU5" s="2046"/>
      <c r="AV5" s="2046"/>
      <c r="AW5" s="2046"/>
      <c r="AX5" s="6984" t="s">
        <v>1136</v>
      </c>
      <c r="AY5" s="6984"/>
      <c r="AZ5" s="6984"/>
      <c r="BA5" s="6984"/>
      <c r="BB5" s="6984"/>
      <c r="BC5" s="6984"/>
      <c r="BD5" s="6984"/>
      <c r="BE5" s="3866"/>
      <c r="BF5" s="3866"/>
      <c r="BG5" s="2046"/>
      <c r="BJ5" s="4215" t="s">
        <v>2263</v>
      </c>
      <c r="BK5" s="4217"/>
      <c r="BL5" s="4217"/>
      <c r="BM5" s="4217"/>
      <c r="BN5" s="6991" t="s">
        <v>1136</v>
      </c>
      <c r="BO5" s="6991"/>
      <c r="BP5" s="6991"/>
      <c r="BQ5" s="6991"/>
      <c r="BR5" s="6991"/>
      <c r="BS5" s="4228"/>
      <c r="BT5" s="4217"/>
      <c r="BU5" s="4215"/>
      <c r="BW5" s="2044"/>
      <c r="BX5" s="2044"/>
      <c r="BY5" s="2044"/>
      <c r="BZ5" s="2044"/>
      <c r="CA5" s="6992" t="s">
        <v>1136</v>
      </c>
      <c r="CB5" s="6992"/>
      <c r="CC5" s="6992"/>
      <c r="CD5" s="6992"/>
      <c r="CE5" s="6992"/>
      <c r="CF5" s="6992"/>
      <c r="CG5" s="6992"/>
      <c r="CH5" s="6992"/>
      <c r="CI5" s="2044"/>
      <c r="CJ5" s="2044"/>
      <c r="CL5" s="393"/>
      <c r="CM5" s="393"/>
      <c r="CN5" s="393"/>
      <c r="CO5" s="393"/>
      <c r="CP5" s="6993" t="s">
        <v>1136</v>
      </c>
      <c r="CQ5" s="6993"/>
      <c r="CR5" s="6993"/>
      <c r="CS5" s="6993"/>
      <c r="CT5" s="6993"/>
      <c r="CU5" s="6993"/>
      <c r="CV5" s="393"/>
      <c r="CY5" s="935"/>
      <c r="CZ5" s="1468"/>
      <c r="DA5" s="935"/>
      <c r="DB5" s="935"/>
      <c r="DC5" s="935"/>
      <c r="DD5" s="935"/>
      <c r="DE5" s="935"/>
      <c r="DF5" s="935"/>
      <c r="DG5" s="935"/>
      <c r="DH5" s="935"/>
      <c r="DI5" s="935"/>
      <c r="DL5" s="393"/>
      <c r="DM5" s="1186"/>
      <c r="DN5" s="1186"/>
      <c r="DO5" s="6994" t="s">
        <v>1136</v>
      </c>
      <c r="DP5" s="6995"/>
      <c r="DQ5" s="6995"/>
      <c r="DR5" s="6995"/>
      <c r="DS5" s="6995"/>
      <c r="DT5" s="6995"/>
      <c r="DU5" s="6995"/>
      <c r="DV5" s="6996"/>
      <c r="DW5" s="1187"/>
      <c r="DY5" s="179"/>
      <c r="DZ5" s="411"/>
      <c r="EA5" s="411"/>
      <c r="EB5" s="411"/>
      <c r="EC5" s="6986" t="s">
        <v>1136</v>
      </c>
      <c r="ED5" s="6986"/>
      <c r="EE5" s="6986"/>
      <c r="EF5" s="6986"/>
      <c r="EG5" s="6986"/>
      <c r="EH5" s="179"/>
      <c r="EK5" s="27"/>
      <c r="EL5" s="412"/>
      <c r="EM5" s="412"/>
      <c r="EN5" s="412"/>
      <c r="EO5" s="6987" t="s">
        <v>1136</v>
      </c>
      <c r="EP5" s="6987"/>
      <c r="EQ5" s="6987"/>
      <c r="ER5" s="6987"/>
      <c r="ES5" s="6987"/>
      <c r="ET5" s="6987"/>
      <c r="EU5" s="27"/>
      <c r="EV5" s="413"/>
      <c r="EX5" s="414"/>
      <c r="EY5" s="415"/>
      <c r="EZ5" s="415"/>
      <c r="FA5" s="415"/>
      <c r="FB5" s="6988" t="s">
        <v>1137</v>
      </c>
      <c r="FC5" s="6988"/>
      <c r="FD5" s="6988"/>
      <c r="FE5" s="6988"/>
      <c r="FF5" s="6988"/>
      <c r="FJ5" s="393"/>
      <c r="FK5" s="393"/>
      <c r="FL5" s="393"/>
      <c r="FM5" s="393" t="s">
        <v>315</v>
      </c>
      <c r="FN5" s="6989" t="s">
        <v>1138</v>
      </c>
      <c r="FO5" s="6989"/>
      <c r="FP5" s="6989"/>
      <c r="FQ5" s="6989"/>
      <c r="FR5" s="6989"/>
      <c r="FS5" s="393"/>
      <c r="FU5" s="37"/>
      <c r="FZ5" s="6990" t="s">
        <v>1138</v>
      </c>
      <c r="GA5" s="6990"/>
      <c r="GB5" s="6990"/>
      <c r="GC5" s="6990"/>
      <c r="GD5" s="6990"/>
      <c r="GE5" s="6990"/>
      <c r="GI5" s="37"/>
    </row>
    <row r="6" spans="1:191" ht="25.2" thickBot="1">
      <c r="A6" s="398" t="s">
        <v>2698</v>
      </c>
      <c r="B6" s="398" t="s">
        <v>2699</v>
      </c>
      <c r="C6" s="398" t="s">
        <v>2722</v>
      </c>
      <c r="D6" s="398" t="s">
        <v>2730</v>
      </c>
      <c r="E6" s="388" t="s">
        <v>1185</v>
      </c>
      <c r="F6" s="388" t="s">
        <v>1138</v>
      </c>
      <c r="G6" s="1469" t="s">
        <v>2753</v>
      </c>
      <c r="I6" s="398" t="s">
        <v>2698</v>
      </c>
      <c r="J6" s="398" t="s">
        <v>2699</v>
      </c>
      <c r="K6" s="398" t="s">
        <v>2722</v>
      </c>
      <c r="L6" s="398" t="s">
        <v>2730</v>
      </c>
      <c r="M6" s="398" t="s">
        <v>1185</v>
      </c>
      <c r="N6" s="398" t="s">
        <v>1138</v>
      </c>
      <c r="O6" s="1469" t="s">
        <v>2753</v>
      </c>
      <c r="Q6" s="398" t="s">
        <v>2698</v>
      </c>
      <c r="R6" s="398" t="s">
        <v>2699</v>
      </c>
      <c r="S6" s="398" t="s">
        <v>2722</v>
      </c>
      <c r="T6" s="398" t="s">
        <v>2730</v>
      </c>
      <c r="U6" s="398" t="s">
        <v>1185</v>
      </c>
      <c r="V6" s="398" t="s">
        <v>1138</v>
      </c>
      <c r="W6" s="1469" t="s">
        <v>2753</v>
      </c>
      <c r="Y6" s="398" t="s">
        <v>2698</v>
      </c>
      <c r="Z6" s="398" t="s">
        <v>2699</v>
      </c>
      <c r="AA6" s="398" t="s">
        <v>2722</v>
      </c>
      <c r="AB6" s="398" t="s">
        <v>2730</v>
      </c>
      <c r="AC6" s="398" t="s">
        <v>1185</v>
      </c>
      <c r="AD6" s="398" t="s">
        <v>1138</v>
      </c>
      <c r="AE6" s="1469" t="s">
        <v>2753</v>
      </c>
      <c r="AF6" s="4532"/>
      <c r="AG6" s="397" t="s">
        <v>0</v>
      </c>
      <c r="AH6" s="397" t="s">
        <v>1</v>
      </c>
      <c r="AI6" s="397" t="s">
        <v>2</v>
      </c>
      <c r="AJ6" s="397" t="s">
        <v>1070</v>
      </c>
      <c r="AK6" s="1680">
        <v>0</v>
      </c>
      <c r="AL6" s="1680">
        <v>1</v>
      </c>
      <c r="AM6" s="1680">
        <v>2</v>
      </c>
      <c r="AN6" s="1680">
        <v>3</v>
      </c>
      <c r="AO6" s="1680">
        <v>4</v>
      </c>
      <c r="AP6" s="398">
        <v>5</v>
      </c>
      <c r="AQ6" s="398" t="s">
        <v>15</v>
      </c>
      <c r="AR6" s="1469" t="s">
        <v>66</v>
      </c>
      <c r="AS6" s="3700"/>
      <c r="AT6" s="397" t="s">
        <v>0</v>
      </c>
      <c r="AU6" s="397" t="s">
        <v>1</v>
      </c>
      <c r="AV6" s="397" t="s">
        <v>2</v>
      </c>
      <c r="AW6" s="397" t="s">
        <v>1070</v>
      </c>
      <c r="AX6" s="1680">
        <v>0</v>
      </c>
      <c r="AY6" s="1680">
        <v>1</v>
      </c>
      <c r="AZ6" s="1680">
        <v>2</v>
      </c>
      <c r="BA6" s="1680">
        <v>3</v>
      </c>
      <c r="BB6" s="1680">
        <v>4</v>
      </c>
      <c r="BC6" s="398">
        <v>5</v>
      </c>
      <c r="BD6" s="398">
        <v>6</v>
      </c>
      <c r="BE6" s="398">
        <v>7</v>
      </c>
      <c r="BF6" s="398">
        <v>8</v>
      </c>
      <c r="BG6" s="398" t="s">
        <v>15</v>
      </c>
      <c r="BH6" s="653" t="s">
        <v>66</v>
      </c>
      <c r="BJ6" s="4219" t="s">
        <v>0</v>
      </c>
      <c r="BK6" s="4219" t="s">
        <v>1</v>
      </c>
      <c r="BL6" s="4219" t="s">
        <v>2</v>
      </c>
      <c r="BM6" s="4219" t="s">
        <v>1070</v>
      </c>
      <c r="BN6" s="4218">
        <v>1</v>
      </c>
      <c r="BO6" s="4218">
        <v>2</v>
      </c>
      <c r="BP6" s="4218">
        <v>3</v>
      </c>
      <c r="BQ6" s="4218">
        <v>4</v>
      </c>
      <c r="BR6" s="4218">
        <v>5</v>
      </c>
      <c r="BS6" s="4218">
        <v>7</v>
      </c>
      <c r="BT6" s="4218" t="s">
        <v>15</v>
      </c>
      <c r="BU6" s="4220" t="s">
        <v>66</v>
      </c>
      <c r="BW6" s="398" t="s">
        <v>0</v>
      </c>
      <c r="BX6" s="398" t="s">
        <v>1</v>
      </c>
      <c r="BY6" s="398" t="s">
        <v>2</v>
      </c>
      <c r="BZ6" s="398" t="s">
        <v>1070</v>
      </c>
      <c r="CA6" s="1680">
        <v>0</v>
      </c>
      <c r="CB6" s="1680">
        <v>1</v>
      </c>
      <c r="CC6" s="1680">
        <v>2</v>
      </c>
      <c r="CD6" s="1680">
        <v>3</v>
      </c>
      <c r="CE6" s="1680">
        <v>4</v>
      </c>
      <c r="CF6" s="398">
        <v>5</v>
      </c>
      <c r="CG6" s="398">
        <v>6</v>
      </c>
      <c r="CH6" s="398">
        <v>7</v>
      </c>
      <c r="CI6" s="398" t="s">
        <v>15</v>
      </c>
      <c r="CJ6" s="1469" t="s">
        <v>66</v>
      </c>
      <c r="CL6" s="398" t="s">
        <v>0</v>
      </c>
      <c r="CM6" s="398" t="s">
        <v>1</v>
      </c>
      <c r="CN6" s="398" t="s">
        <v>2</v>
      </c>
      <c r="CO6" s="398" t="s">
        <v>1070</v>
      </c>
      <c r="CP6" s="1680">
        <v>1</v>
      </c>
      <c r="CQ6" s="1680">
        <v>2</v>
      </c>
      <c r="CR6" s="1680">
        <v>3</v>
      </c>
      <c r="CS6" s="1680">
        <v>4</v>
      </c>
      <c r="CT6" s="398">
        <v>5</v>
      </c>
      <c r="CU6" s="398">
        <v>6</v>
      </c>
      <c r="CV6" s="398" t="s">
        <v>15</v>
      </c>
      <c r="CW6" s="1469" t="s">
        <v>66</v>
      </c>
      <c r="CY6" s="398" t="s">
        <v>0</v>
      </c>
      <c r="CZ6" s="398" t="s">
        <v>1</v>
      </c>
      <c r="DA6" s="398" t="s">
        <v>2</v>
      </c>
      <c r="DB6" s="398" t="s">
        <v>1070</v>
      </c>
      <c r="DC6" s="1483">
        <v>1</v>
      </c>
      <c r="DD6" s="1483">
        <v>2</v>
      </c>
      <c r="DE6" s="1483">
        <v>3</v>
      </c>
      <c r="DF6" s="1483">
        <v>4</v>
      </c>
      <c r="DG6" s="398">
        <v>5</v>
      </c>
      <c r="DH6" s="398">
        <v>6</v>
      </c>
      <c r="DI6" s="398" t="s">
        <v>15</v>
      </c>
      <c r="DJ6" s="1486" t="s">
        <v>66</v>
      </c>
      <c r="DL6" s="1188" t="s">
        <v>0</v>
      </c>
      <c r="DM6" s="1188" t="s">
        <v>1</v>
      </c>
      <c r="DN6" s="1188" t="s">
        <v>2</v>
      </c>
      <c r="DO6" s="1188" t="s">
        <v>1070</v>
      </c>
      <c r="DP6" s="1188">
        <v>0</v>
      </c>
      <c r="DQ6" s="1188">
        <v>1</v>
      </c>
      <c r="DR6" s="1188">
        <v>2</v>
      </c>
      <c r="DS6" s="1188">
        <v>3</v>
      </c>
      <c r="DT6" s="1188">
        <v>4</v>
      </c>
      <c r="DU6" s="1188">
        <v>5</v>
      </c>
      <c r="DV6" s="1189" t="s">
        <v>15</v>
      </c>
      <c r="DW6" s="1190" t="s">
        <v>66</v>
      </c>
      <c r="DY6" s="417" t="s">
        <v>0</v>
      </c>
      <c r="DZ6" s="417" t="s">
        <v>1</v>
      </c>
      <c r="EA6" s="417"/>
      <c r="EB6" s="417" t="s">
        <v>1070</v>
      </c>
      <c r="EC6" s="417">
        <v>1</v>
      </c>
      <c r="ED6" s="417">
        <v>2</v>
      </c>
      <c r="EE6" s="417">
        <v>3</v>
      </c>
      <c r="EF6" s="417">
        <v>4</v>
      </c>
      <c r="EG6" s="417">
        <v>5</v>
      </c>
      <c r="EH6" s="417" t="s">
        <v>15</v>
      </c>
      <c r="EI6" s="418" t="s">
        <v>66</v>
      </c>
      <c r="EK6" s="419" t="s">
        <v>0</v>
      </c>
      <c r="EL6" s="419" t="s">
        <v>1</v>
      </c>
      <c r="EM6" s="419" t="s">
        <v>2</v>
      </c>
      <c r="EN6" s="419" t="s">
        <v>1070</v>
      </c>
      <c r="EO6" s="419">
        <v>1</v>
      </c>
      <c r="EP6" s="419">
        <v>2</v>
      </c>
      <c r="EQ6" s="419">
        <v>3</v>
      </c>
      <c r="ER6" s="419">
        <v>4</v>
      </c>
      <c r="ES6" s="419">
        <v>5</v>
      </c>
      <c r="ET6" s="419">
        <v>6</v>
      </c>
      <c r="EU6" s="419" t="s">
        <v>15</v>
      </c>
      <c r="EV6" s="420" t="s">
        <v>1139</v>
      </c>
      <c r="EX6" s="421" t="s">
        <v>0</v>
      </c>
      <c r="EY6" s="421" t="s">
        <v>1</v>
      </c>
      <c r="EZ6" s="421" t="s">
        <v>2</v>
      </c>
      <c r="FA6" s="421" t="s">
        <v>1070</v>
      </c>
      <c r="FB6" s="421">
        <v>1</v>
      </c>
      <c r="FC6" s="421">
        <v>2</v>
      </c>
      <c r="FD6" s="421">
        <v>3</v>
      </c>
      <c r="FE6" s="421">
        <v>4</v>
      </c>
      <c r="FF6" s="421">
        <v>5</v>
      </c>
      <c r="FG6" s="421" t="s">
        <v>15</v>
      </c>
      <c r="FH6" s="422" t="s">
        <v>66</v>
      </c>
      <c r="FJ6" s="398" t="s">
        <v>0</v>
      </c>
      <c r="FK6" s="398" t="s">
        <v>1</v>
      </c>
      <c r="FL6" s="398" t="s">
        <v>2</v>
      </c>
      <c r="FM6" s="398" t="s">
        <v>1070</v>
      </c>
      <c r="FN6" s="398">
        <v>1</v>
      </c>
      <c r="FO6" s="398">
        <v>2</v>
      </c>
      <c r="FP6" s="398">
        <v>3</v>
      </c>
      <c r="FQ6" s="398">
        <v>4</v>
      </c>
      <c r="FR6" s="398">
        <v>5</v>
      </c>
      <c r="FS6" s="398" t="s">
        <v>15</v>
      </c>
      <c r="FT6" s="599" t="s">
        <v>66</v>
      </c>
      <c r="FU6" s="37"/>
      <c r="FV6" s="636" t="s">
        <v>0</v>
      </c>
      <c r="FW6" s="636" t="s">
        <v>1</v>
      </c>
      <c r="FX6" s="636" t="s">
        <v>2</v>
      </c>
      <c r="FY6" s="600" t="s">
        <v>1140</v>
      </c>
      <c r="FZ6" s="600">
        <v>0</v>
      </c>
      <c r="GA6" s="600">
        <v>1</v>
      </c>
      <c r="GB6" s="600">
        <v>2</v>
      </c>
      <c r="GC6" s="600">
        <v>3</v>
      </c>
      <c r="GD6" s="600">
        <v>4</v>
      </c>
      <c r="GE6" s="600">
        <v>5</v>
      </c>
      <c r="GF6" s="600" t="s">
        <v>15</v>
      </c>
      <c r="GG6" s="4356" t="s">
        <v>66</v>
      </c>
      <c r="GH6" s="602" t="s">
        <v>1141</v>
      </c>
      <c r="GI6" s="37"/>
    </row>
    <row r="7" spans="1:191">
      <c r="A7" s="4375">
        <v>1</v>
      </c>
      <c r="B7" s="4375">
        <v>2</v>
      </c>
      <c r="C7" s="4888" t="s">
        <v>2066</v>
      </c>
      <c r="D7" s="6098" t="s">
        <v>2707</v>
      </c>
      <c r="E7" s="6113">
        <v>6</v>
      </c>
      <c r="F7" s="6113">
        <v>3</v>
      </c>
      <c r="G7" s="1"/>
      <c r="I7" s="5644">
        <v>1</v>
      </c>
      <c r="J7" s="5644">
        <v>2</v>
      </c>
      <c r="K7" s="5643" t="s">
        <v>2066</v>
      </c>
      <c r="L7" s="5649" t="s">
        <v>2707</v>
      </c>
      <c r="M7" s="5644">
        <v>7</v>
      </c>
      <c r="N7" s="5644">
        <v>3</v>
      </c>
      <c r="Q7" s="4375">
        <v>1</v>
      </c>
      <c r="R7" s="4375">
        <v>2</v>
      </c>
      <c r="S7" s="4888" t="s">
        <v>2066</v>
      </c>
      <c r="T7" s="4888" t="s">
        <v>1071</v>
      </c>
      <c r="U7" s="4375">
        <v>1</v>
      </c>
      <c r="V7" s="4375">
        <v>4</v>
      </c>
      <c r="Y7" s="4531">
        <v>1</v>
      </c>
      <c r="Z7" s="4531">
        <v>2</v>
      </c>
      <c r="AA7" s="4530" t="s">
        <v>2066</v>
      </c>
      <c r="AB7" s="4530" t="s">
        <v>2709</v>
      </c>
      <c r="AC7" s="4641">
        <v>1</v>
      </c>
      <c r="AD7" s="4641">
        <v>3</v>
      </c>
      <c r="AE7" s="63"/>
      <c r="AG7" s="36" t="s">
        <v>3</v>
      </c>
      <c r="AH7" s="36" t="s">
        <v>16</v>
      </c>
      <c r="AI7" s="36" t="s">
        <v>102</v>
      </c>
      <c r="AJ7" s="36" t="s">
        <v>1071</v>
      </c>
      <c r="AK7" s="1681"/>
      <c r="AL7" s="1681"/>
      <c r="AM7" s="1681"/>
      <c r="AN7" s="1681">
        <v>0</v>
      </c>
      <c r="AO7" s="1681">
        <v>1</v>
      </c>
      <c r="AP7" s="95"/>
      <c r="AQ7" s="95">
        <v>1</v>
      </c>
      <c r="AR7" s="393"/>
      <c r="AS7" s="27"/>
      <c r="AT7" s="36" t="s">
        <v>3</v>
      </c>
      <c r="AU7" s="36" t="s">
        <v>16</v>
      </c>
      <c r="AV7" s="36" t="s">
        <v>102</v>
      </c>
      <c r="AW7" s="36" t="s">
        <v>1072</v>
      </c>
      <c r="AX7" s="1681">
        <v>0</v>
      </c>
      <c r="AY7" s="1681"/>
      <c r="AZ7" s="1681"/>
      <c r="BA7" s="1681">
        <v>1</v>
      </c>
      <c r="BB7" s="1681"/>
      <c r="BC7" s="95"/>
      <c r="BD7" s="95"/>
      <c r="BE7" s="95"/>
      <c r="BF7" s="95"/>
      <c r="BG7" s="95">
        <v>1</v>
      </c>
      <c r="BH7" s="36"/>
      <c r="BJ7" s="4215" t="s">
        <v>3</v>
      </c>
      <c r="BK7" s="4215" t="s">
        <v>16</v>
      </c>
      <c r="BL7" s="4215" t="s">
        <v>102</v>
      </c>
      <c r="BM7" s="4215" t="s">
        <v>1072</v>
      </c>
      <c r="BN7" s="4221"/>
      <c r="BO7" s="4221"/>
      <c r="BP7" s="4221">
        <v>1</v>
      </c>
      <c r="BQ7" s="4221"/>
      <c r="BR7" s="4221"/>
      <c r="BS7" s="4221"/>
      <c r="BT7" s="4221">
        <v>1</v>
      </c>
      <c r="BU7" s="4215"/>
      <c r="BW7" s="36" t="s">
        <v>3</v>
      </c>
      <c r="BX7" s="36" t="s">
        <v>16</v>
      </c>
      <c r="BY7" s="36" t="s">
        <v>102</v>
      </c>
      <c r="BZ7" s="36" t="s">
        <v>1071</v>
      </c>
      <c r="CA7" s="1681"/>
      <c r="CB7" s="1681"/>
      <c r="CC7" s="1681">
        <v>1</v>
      </c>
      <c r="CD7" s="1681">
        <v>0</v>
      </c>
      <c r="CE7" s="1681"/>
      <c r="CF7" s="95"/>
      <c r="CG7" s="95"/>
      <c r="CH7" s="95"/>
      <c r="CI7" s="95">
        <v>1</v>
      </c>
      <c r="CJ7" s="36"/>
      <c r="CL7" s="36" t="s">
        <v>3</v>
      </c>
      <c r="CM7" s="36" t="s">
        <v>16</v>
      </c>
      <c r="CN7" s="36" t="s">
        <v>102</v>
      </c>
      <c r="CO7" s="36" t="s">
        <v>1072</v>
      </c>
      <c r="CP7" s="1681"/>
      <c r="CQ7" s="1681"/>
      <c r="CR7" s="1681">
        <v>1</v>
      </c>
      <c r="CS7" s="1681">
        <v>0</v>
      </c>
      <c r="CT7" s="95"/>
      <c r="CU7" s="95"/>
      <c r="CV7" s="95">
        <v>1</v>
      </c>
      <c r="CY7" s="95" t="s">
        <v>3</v>
      </c>
      <c r="CZ7" s="95" t="s">
        <v>16</v>
      </c>
      <c r="DA7" s="36" t="s">
        <v>102</v>
      </c>
      <c r="DB7" s="36" t="s">
        <v>1072</v>
      </c>
      <c r="DC7" s="1484">
        <v>1</v>
      </c>
      <c r="DD7" s="1484"/>
      <c r="DE7" s="1484">
        <v>2</v>
      </c>
      <c r="DF7" s="1484"/>
      <c r="DG7" s="95"/>
      <c r="DH7" s="95"/>
      <c r="DI7" s="95">
        <v>3</v>
      </c>
      <c r="DL7" s="1191" t="s">
        <v>3</v>
      </c>
      <c r="DM7" s="1191" t="s">
        <v>16</v>
      </c>
      <c r="DN7" s="1191" t="s">
        <v>102</v>
      </c>
      <c r="DO7" s="1192" t="s">
        <v>1071</v>
      </c>
      <c r="DP7" s="1193"/>
      <c r="DQ7" s="1193"/>
      <c r="DR7" s="1193"/>
      <c r="DS7" s="1194">
        <v>1</v>
      </c>
      <c r="DT7" s="1193"/>
      <c r="DU7" s="1195"/>
      <c r="DV7" s="1196">
        <v>1</v>
      </c>
      <c r="DW7" s="1187"/>
      <c r="DY7" s="427" t="s">
        <v>3</v>
      </c>
      <c r="DZ7" s="427" t="s">
        <v>16</v>
      </c>
      <c r="EA7" s="428" t="s">
        <v>102</v>
      </c>
      <c r="EB7" s="429" t="s">
        <v>1072</v>
      </c>
      <c r="EC7" s="430">
        <v>1</v>
      </c>
      <c r="ED7" s="431"/>
      <c r="EE7" s="430">
        <v>1</v>
      </c>
      <c r="EF7" s="431"/>
      <c r="EG7" s="427"/>
      <c r="EH7" s="432">
        <v>2</v>
      </c>
      <c r="EI7" s="36"/>
      <c r="EK7" s="433" t="s">
        <v>3</v>
      </c>
      <c r="EL7" s="433" t="s">
        <v>16</v>
      </c>
      <c r="EM7" s="434" t="s">
        <v>102</v>
      </c>
      <c r="EN7" s="435" t="s">
        <v>1072</v>
      </c>
      <c r="EO7" s="436">
        <v>1</v>
      </c>
      <c r="EP7" s="437"/>
      <c r="EQ7" s="436">
        <v>4</v>
      </c>
      <c r="ER7" s="437"/>
      <c r="ES7" s="438"/>
      <c r="ET7" s="438"/>
      <c r="EU7" s="439">
        <v>5</v>
      </c>
      <c r="EV7" s="440"/>
      <c r="EX7" s="441" t="s">
        <v>3</v>
      </c>
      <c r="EY7" s="441" t="s">
        <v>16</v>
      </c>
      <c r="EZ7" s="441" t="s">
        <v>102</v>
      </c>
      <c r="FA7" s="442" t="s">
        <v>1072</v>
      </c>
      <c r="FB7" s="443"/>
      <c r="FC7" s="443"/>
      <c r="FD7" s="444">
        <v>2</v>
      </c>
      <c r="FE7" s="443"/>
      <c r="FF7" s="443"/>
      <c r="FG7" s="444">
        <v>2</v>
      </c>
      <c r="FH7" s="445"/>
      <c r="FJ7" s="95" t="s">
        <v>3</v>
      </c>
      <c r="FK7" s="95" t="s">
        <v>16</v>
      </c>
      <c r="FL7" s="36" t="s">
        <v>102</v>
      </c>
      <c r="FM7" s="36" t="s">
        <v>1072</v>
      </c>
      <c r="FN7" s="95"/>
      <c r="FO7" s="95">
        <v>1</v>
      </c>
      <c r="FP7" s="95">
        <v>1</v>
      </c>
      <c r="FQ7" s="95">
        <v>0</v>
      </c>
      <c r="FR7" s="95"/>
      <c r="FS7" s="95">
        <v>2</v>
      </c>
      <c r="FU7" s="37"/>
      <c r="FV7" s="616" t="s">
        <v>3</v>
      </c>
      <c r="FW7" s="4357" t="s">
        <v>16</v>
      </c>
      <c r="FX7" s="616" t="s">
        <v>102</v>
      </c>
      <c r="FY7" s="616" t="s">
        <v>1072</v>
      </c>
      <c r="FZ7" s="616">
        <v>0</v>
      </c>
      <c r="GA7" s="616">
        <v>1</v>
      </c>
      <c r="GB7" s="616">
        <v>0</v>
      </c>
      <c r="GC7" s="616">
        <v>6</v>
      </c>
      <c r="GD7" s="616">
        <v>1</v>
      </c>
      <c r="GE7" s="616">
        <v>0</v>
      </c>
      <c r="GF7" s="616">
        <v>8</v>
      </c>
      <c r="GG7" s="616"/>
      <c r="GH7" s="617"/>
      <c r="GI7" s="37"/>
    </row>
    <row r="8" spans="1:191">
      <c r="A8" s="6091"/>
      <c r="B8" s="6091"/>
      <c r="C8" s="6092"/>
      <c r="D8" s="6095" t="s">
        <v>3027</v>
      </c>
      <c r="E8" s="6096">
        <v>1</v>
      </c>
      <c r="F8" s="6096">
        <v>4</v>
      </c>
      <c r="G8" s="1"/>
      <c r="I8" s="5644">
        <v>1</v>
      </c>
      <c r="J8" s="5644">
        <v>2</v>
      </c>
      <c r="K8" s="5643" t="s">
        <v>2066</v>
      </c>
      <c r="L8" s="5643" t="s">
        <v>2709</v>
      </c>
      <c r="M8" s="5644">
        <v>1</v>
      </c>
      <c r="N8" s="5644">
        <v>4</v>
      </c>
      <c r="Q8" s="4375">
        <v>1</v>
      </c>
      <c r="R8" s="4375">
        <v>2</v>
      </c>
      <c r="S8" s="4888" t="s">
        <v>2066</v>
      </c>
      <c r="T8" s="4889" t="s">
        <v>2707</v>
      </c>
      <c r="U8" s="4890">
        <v>6</v>
      </c>
      <c r="V8" s="4375">
        <v>3</v>
      </c>
      <c r="Y8" s="4531">
        <v>1</v>
      </c>
      <c r="Z8" s="4531">
        <v>2</v>
      </c>
      <c r="AA8" s="4530" t="s">
        <v>2066</v>
      </c>
      <c r="AB8" s="4642" t="s">
        <v>1076</v>
      </c>
      <c r="AC8" s="4646">
        <v>2</v>
      </c>
      <c r="AD8" s="4641">
        <v>3</v>
      </c>
      <c r="AE8" s="4652"/>
      <c r="AF8" s="4476"/>
      <c r="AG8" s="36"/>
      <c r="AH8" s="36"/>
      <c r="AI8" s="36"/>
      <c r="AJ8" s="36" t="s">
        <v>1072</v>
      </c>
      <c r="AK8" s="1681"/>
      <c r="AL8" s="1681"/>
      <c r="AM8" s="1681"/>
      <c r="AN8" s="1681">
        <v>15</v>
      </c>
      <c r="AO8" s="1681">
        <v>0</v>
      </c>
      <c r="AP8" s="95"/>
      <c r="AQ8" s="95">
        <v>15</v>
      </c>
      <c r="AR8" s="393"/>
      <c r="AS8" s="27"/>
      <c r="AT8" s="36"/>
      <c r="AU8" s="36"/>
      <c r="AV8" s="36"/>
      <c r="AW8" s="36" t="s">
        <v>1076</v>
      </c>
      <c r="AX8" s="1681">
        <v>0</v>
      </c>
      <c r="AY8" s="1681"/>
      <c r="AZ8" s="1681"/>
      <c r="BA8" s="1681">
        <v>4</v>
      </c>
      <c r="BB8" s="1681"/>
      <c r="BC8" s="95"/>
      <c r="BD8" s="95"/>
      <c r="BE8" s="95"/>
      <c r="BF8" s="95"/>
      <c r="BG8" s="95">
        <v>4</v>
      </c>
      <c r="BH8" s="36"/>
      <c r="BJ8" s="4215"/>
      <c r="BK8" s="4215"/>
      <c r="BL8" s="4215"/>
      <c r="BM8" s="4215" t="s">
        <v>1076</v>
      </c>
      <c r="BN8" s="4221"/>
      <c r="BO8" s="4221"/>
      <c r="BP8" s="4221">
        <v>2</v>
      </c>
      <c r="BQ8" s="4221"/>
      <c r="BR8" s="4221"/>
      <c r="BS8" s="4221"/>
      <c r="BT8" s="4221">
        <v>2</v>
      </c>
      <c r="BU8" s="4215"/>
      <c r="BW8" s="36"/>
      <c r="BX8" s="36"/>
      <c r="BY8" s="36"/>
      <c r="BZ8" s="36" t="s">
        <v>1072</v>
      </c>
      <c r="CA8" s="1681"/>
      <c r="CB8" s="1681"/>
      <c r="CC8" s="1681">
        <v>1</v>
      </c>
      <c r="CD8" s="1681">
        <v>0</v>
      </c>
      <c r="CE8" s="1681"/>
      <c r="CF8" s="95"/>
      <c r="CG8" s="95"/>
      <c r="CH8" s="95"/>
      <c r="CI8" s="95">
        <v>1</v>
      </c>
      <c r="CJ8" s="36"/>
      <c r="CO8" s="36" t="s">
        <v>1076</v>
      </c>
      <c r="CP8" s="1681"/>
      <c r="CQ8" s="1681"/>
      <c r="CR8" s="1681">
        <v>11</v>
      </c>
      <c r="CS8" s="1681">
        <v>0</v>
      </c>
      <c r="CT8" s="95"/>
      <c r="CU8" s="95"/>
      <c r="CV8" s="95">
        <v>11</v>
      </c>
      <c r="CY8" s="95"/>
      <c r="DB8" s="36" t="s">
        <v>1076</v>
      </c>
      <c r="DC8" s="1484">
        <v>0</v>
      </c>
      <c r="DD8" s="1484"/>
      <c r="DE8" s="1484">
        <v>2</v>
      </c>
      <c r="DF8" s="1484"/>
      <c r="DG8" s="95"/>
      <c r="DH8" s="95"/>
      <c r="DI8" s="95">
        <v>2</v>
      </c>
      <c r="DL8" s="1191"/>
      <c r="DM8" s="1191"/>
      <c r="DN8" s="1191"/>
      <c r="DO8" s="1192" t="s">
        <v>1072</v>
      </c>
      <c r="DP8" s="1193"/>
      <c r="DQ8" s="1193"/>
      <c r="DR8" s="1193"/>
      <c r="DS8" s="1194">
        <v>4</v>
      </c>
      <c r="DT8" s="1193"/>
      <c r="DU8" s="1195"/>
      <c r="DV8" s="1196">
        <v>4</v>
      </c>
      <c r="DW8" s="1187"/>
      <c r="DY8" s="427"/>
      <c r="DZ8" s="427"/>
      <c r="EA8" s="428"/>
      <c r="EB8" s="429" t="s">
        <v>1076</v>
      </c>
      <c r="EC8" s="430">
        <v>0</v>
      </c>
      <c r="ED8" s="431"/>
      <c r="EE8" s="430">
        <v>1</v>
      </c>
      <c r="EF8" s="431"/>
      <c r="EG8" s="427"/>
      <c r="EH8" s="432">
        <v>1</v>
      </c>
      <c r="EI8" s="36"/>
      <c r="EK8" s="433"/>
      <c r="EL8" s="433"/>
      <c r="EM8" s="434"/>
      <c r="EN8" s="435" t="s">
        <v>1076</v>
      </c>
      <c r="EO8" s="436">
        <v>0</v>
      </c>
      <c r="EP8" s="437"/>
      <c r="EQ8" s="436">
        <v>3</v>
      </c>
      <c r="ER8" s="437"/>
      <c r="ES8" s="438"/>
      <c r="ET8" s="438"/>
      <c r="EU8" s="439">
        <v>3</v>
      </c>
      <c r="EV8" s="440"/>
      <c r="EX8" s="441"/>
      <c r="EY8" s="441"/>
      <c r="EZ8" s="441"/>
      <c r="FA8" s="442" t="s">
        <v>1076</v>
      </c>
      <c r="FB8" s="443"/>
      <c r="FC8" s="443"/>
      <c r="FD8" s="444">
        <v>2</v>
      </c>
      <c r="FE8" s="443"/>
      <c r="FF8" s="443"/>
      <c r="FG8" s="444">
        <v>2</v>
      </c>
      <c r="FH8" s="445"/>
      <c r="FJ8" s="95"/>
      <c r="FK8" s="95"/>
      <c r="FM8" s="36" t="s">
        <v>1076</v>
      </c>
      <c r="FN8" s="95"/>
      <c r="FO8" s="95">
        <v>0</v>
      </c>
      <c r="FP8" s="95">
        <v>2</v>
      </c>
      <c r="FQ8" s="95">
        <v>0</v>
      </c>
      <c r="FR8" s="95"/>
      <c r="FS8" s="95">
        <v>2</v>
      </c>
      <c r="FU8" s="37"/>
      <c r="FV8" s="616"/>
      <c r="FW8" s="4357"/>
      <c r="FX8" s="616"/>
      <c r="FY8" s="616" t="s">
        <v>1076</v>
      </c>
      <c r="FZ8" s="616">
        <v>0</v>
      </c>
      <c r="GA8" s="616">
        <v>0</v>
      </c>
      <c r="GB8" s="616">
        <v>0</v>
      </c>
      <c r="GC8" s="616">
        <v>2</v>
      </c>
      <c r="GD8" s="616">
        <v>0</v>
      </c>
      <c r="GE8" s="616">
        <v>0</v>
      </c>
      <c r="GF8" s="616">
        <v>2</v>
      </c>
      <c r="GG8" s="616"/>
      <c r="GH8" s="617"/>
      <c r="GI8" s="37"/>
    </row>
    <row r="9" spans="1:191">
      <c r="A9" s="6091"/>
      <c r="B9" s="6091"/>
      <c r="C9" s="6092"/>
      <c r="D9" s="6095" t="s">
        <v>2709</v>
      </c>
      <c r="E9" s="6096">
        <v>1</v>
      </c>
      <c r="F9" s="6096">
        <v>1</v>
      </c>
      <c r="G9" s="1"/>
      <c r="I9" s="5644"/>
      <c r="J9" s="5644"/>
      <c r="K9" s="5643"/>
      <c r="L9" s="5643"/>
      <c r="M9" s="5650">
        <f>SUM(M7:M8)</f>
        <v>8</v>
      </c>
      <c r="N9" s="5644"/>
      <c r="O9" s="4891">
        <f>(M7)/(M9)</f>
        <v>0.875</v>
      </c>
      <c r="Q9" s="4375">
        <v>1</v>
      </c>
      <c r="R9" s="4375">
        <v>2</v>
      </c>
      <c r="S9" s="4888" t="s">
        <v>2066</v>
      </c>
      <c r="T9" s="4888" t="s">
        <v>2709</v>
      </c>
      <c r="U9" s="4375">
        <v>1</v>
      </c>
      <c r="V9" s="4375">
        <v>3</v>
      </c>
      <c r="Y9" s="4531">
        <v>1</v>
      </c>
      <c r="Z9" s="4531">
        <v>2</v>
      </c>
      <c r="AA9" s="4530" t="s">
        <v>2066</v>
      </c>
      <c r="AB9" s="4642" t="s">
        <v>2707</v>
      </c>
      <c r="AC9" s="4646">
        <v>12</v>
      </c>
      <c r="AD9" s="4641">
        <v>3</v>
      </c>
      <c r="AE9" s="4652"/>
      <c r="AF9" s="4476"/>
      <c r="AG9" s="36"/>
      <c r="AH9" s="36"/>
      <c r="AI9" s="36"/>
      <c r="AJ9" s="36" t="s">
        <v>15</v>
      </c>
      <c r="AK9" s="1681"/>
      <c r="AL9" s="1681"/>
      <c r="AM9" s="1681"/>
      <c r="AN9" s="1681">
        <v>15</v>
      </c>
      <c r="AO9" s="1681">
        <v>1</v>
      </c>
      <c r="AP9" s="95"/>
      <c r="AQ9" s="95">
        <v>16</v>
      </c>
      <c r="AR9" s="4536">
        <v>0</v>
      </c>
      <c r="AS9" s="4533"/>
      <c r="AT9" s="36"/>
      <c r="AU9" s="36"/>
      <c r="AV9" s="36"/>
      <c r="AW9" s="36" t="s">
        <v>1081</v>
      </c>
      <c r="AX9" s="1681">
        <v>0</v>
      </c>
      <c r="AY9" s="1681"/>
      <c r="AZ9" s="1681"/>
      <c r="BA9" s="1681">
        <v>9</v>
      </c>
      <c r="BB9" s="1681"/>
      <c r="BC9" s="95"/>
      <c r="BD9" s="95"/>
      <c r="BE9" s="95"/>
      <c r="BF9" s="95"/>
      <c r="BG9" s="95">
        <v>9</v>
      </c>
      <c r="BH9" s="36"/>
      <c r="BJ9" s="4215"/>
      <c r="BK9" s="4215"/>
      <c r="BL9" s="4215"/>
      <c r="BM9" s="4215" t="s">
        <v>1081</v>
      </c>
      <c r="BN9" s="4221"/>
      <c r="BO9" s="4221"/>
      <c r="BP9" s="4221">
        <v>11</v>
      </c>
      <c r="BQ9" s="4221"/>
      <c r="BR9" s="4221"/>
      <c r="BS9" s="4221"/>
      <c r="BT9" s="4221">
        <v>11</v>
      </c>
      <c r="BU9" s="4215"/>
      <c r="BW9" s="36"/>
      <c r="BX9" s="36"/>
      <c r="BY9" s="36"/>
      <c r="BZ9" s="36" t="s">
        <v>1076</v>
      </c>
      <c r="CA9" s="1681"/>
      <c r="CB9" s="1681"/>
      <c r="CC9" s="1681">
        <v>0</v>
      </c>
      <c r="CD9" s="1681">
        <v>1</v>
      </c>
      <c r="CE9" s="1681"/>
      <c r="CF9" s="95"/>
      <c r="CG9" s="95"/>
      <c r="CH9" s="95"/>
      <c r="CI9" s="95">
        <v>1</v>
      </c>
      <c r="CJ9" s="36"/>
      <c r="CO9" s="36" t="s">
        <v>1081</v>
      </c>
      <c r="CP9" s="1681"/>
      <c r="CQ9" s="1681"/>
      <c r="CR9" s="1681">
        <v>7</v>
      </c>
      <c r="CS9" s="1681">
        <v>1</v>
      </c>
      <c r="CT9" s="95"/>
      <c r="CU9" s="95"/>
      <c r="CV9" s="95">
        <v>8</v>
      </c>
      <c r="CY9" s="95"/>
      <c r="DB9" s="36" t="s">
        <v>1081</v>
      </c>
      <c r="DC9" s="1484">
        <v>0</v>
      </c>
      <c r="DD9" s="1484"/>
      <c r="DE9" s="1484">
        <v>9</v>
      </c>
      <c r="DF9" s="1484"/>
      <c r="DG9" s="95"/>
      <c r="DH9" s="95"/>
      <c r="DI9" s="95">
        <v>9</v>
      </c>
      <c r="DL9" s="1191"/>
      <c r="DM9" s="1191"/>
      <c r="DN9" s="1191"/>
      <c r="DO9" s="1192" t="s">
        <v>1076</v>
      </c>
      <c r="DP9" s="1193"/>
      <c r="DQ9" s="1193"/>
      <c r="DR9" s="1193"/>
      <c r="DS9" s="1194">
        <v>4</v>
      </c>
      <c r="DT9" s="1193"/>
      <c r="DU9" s="1195"/>
      <c r="DV9" s="1196">
        <v>4</v>
      </c>
      <c r="DW9" s="1187"/>
      <c r="DY9" s="427"/>
      <c r="DZ9" s="427"/>
      <c r="EA9" s="428"/>
      <c r="EB9" s="429" t="s">
        <v>1081</v>
      </c>
      <c r="EC9" s="430">
        <v>0</v>
      </c>
      <c r="ED9" s="431"/>
      <c r="EE9" s="430">
        <v>12</v>
      </c>
      <c r="EF9" s="431"/>
      <c r="EG9" s="427"/>
      <c r="EH9" s="432">
        <v>12</v>
      </c>
      <c r="EI9" s="36"/>
      <c r="EK9" s="433"/>
      <c r="EL9" s="433"/>
      <c r="EM9" s="434"/>
      <c r="EN9" s="435" t="s">
        <v>1081</v>
      </c>
      <c r="EO9" s="436">
        <v>0</v>
      </c>
      <c r="EP9" s="437"/>
      <c r="EQ9" s="436">
        <v>3</v>
      </c>
      <c r="ER9" s="437"/>
      <c r="ES9" s="438"/>
      <c r="ET9" s="438"/>
      <c r="EU9" s="439">
        <v>3</v>
      </c>
      <c r="EV9" s="440"/>
      <c r="EX9" s="441"/>
      <c r="EY9" s="441"/>
      <c r="EZ9" s="441"/>
      <c r="FA9" s="442" t="s">
        <v>1081</v>
      </c>
      <c r="FB9" s="443"/>
      <c r="FC9" s="443"/>
      <c r="FD9" s="444">
        <v>7</v>
      </c>
      <c r="FE9" s="443"/>
      <c r="FF9" s="443"/>
      <c r="FG9" s="444">
        <v>7</v>
      </c>
      <c r="FH9" s="445"/>
      <c r="FJ9" s="95"/>
      <c r="FK9" s="95"/>
      <c r="FM9" s="36" t="s">
        <v>1077</v>
      </c>
      <c r="FN9" s="95"/>
      <c r="FO9" s="95">
        <v>0</v>
      </c>
      <c r="FP9" s="95">
        <v>0</v>
      </c>
      <c r="FQ9" s="95">
        <v>1</v>
      </c>
      <c r="FR9" s="95"/>
      <c r="FS9" s="95">
        <v>1</v>
      </c>
      <c r="FU9" s="37"/>
      <c r="FV9" s="616"/>
      <c r="FW9" s="4357"/>
      <c r="FX9" s="616"/>
      <c r="FY9" s="616" t="s">
        <v>1142</v>
      </c>
      <c r="FZ9" s="616">
        <v>0</v>
      </c>
      <c r="GA9" s="616">
        <v>0</v>
      </c>
      <c r="GB9" s="616">
        <v>0</v>
      </c>
      <c r="GC9" s="616">
        <v>5</v>
      </c>
      <c r="GD9" s="616">
        <v>0</v>
      </c>
      <c r="GE9" s="616">
        <v>0</v>
      </c>
      <c r="GF9" s="616">
        <v>5</v>
      </c>
      <c r="GG9" s="616"/>
      <c r="GH9" s="617"/>
      <c r="GI9" s="37"/>
    </row>
    <row r="10" spans="1:191">
      <c r="A10" s="4375"/>
      <c r="B10" s="4375"/>
      <c r="C10" s="4888"/>
      <c r="D10" s="6095" t="s">
        <v>2709</v>
      </c>
      <c r="E10" s="6096">
        <v>1</v>
      </c>
      <c r="F10" s="6096">
        <v>2</v>
      </c>
      <c r="G10" s="1"/>
      <c r="I10" s="5644">
        <v>1</v>
      </c>
      <c r="J10" s="5644">
        <v>2</v>
      </c>
      <c r="K10" s="5643" t="s">
        <v>2366</v>
      </c>
      <c r="L10" s="5643" t="s">
        <v>3027</v>
      </c>
      <c r="M10" s="5644">
        <v>1</v>
      </c>
      <c r="N10" s="5644">
        <v>4</v>
      </c>
      <c r="Q10" s="4375"/>
      <c r="R10" s="4375"/>
      <c r="S10" s="4888"/>
      <c r="T10" s="4650" t="s">
        <v>15</v>
      </c>
      <c r="U10" s="4378">
        <f>SUM(U7:U9)</f>
        <v>8</v>
      </c>
      <c r="V10" s="4375"/>
      <c r="W10" s="4891">
        <f>(U8)/(U10)</f>
        <v>0.75</v>
      </c>
      <c r="Y10" s="4531">
        <v>1</v>
      </c>
      <c r="Z10" s="4531">
        <v>2</v>
      </c>
      <c r="AA10" s="4530" t="s">
        <v>2066</v>
      </c>
      <c r="AB10" s="4530" t="s">
        <v>2709</v>
      </c>
      <c r="AC10" s="4641">
        <v>1</v>
      </c>
      <c r="AD10" s="4641">
        <v>4</v>
      </c>
      <c r="AE10" s="4652"/>
      <c r="AF10" s="4476"/>
      <c r="AG10" s="36"/>
      <c r="AH10" s="36"/>
      <c r="AI10" s="36" t="s">
        <v>387</v>
      </c>
      <c r="AJ10" s="36" t="s">
        <v>1074</v>
      </c>
      <c r="AK10" s="1681"/>
      <c r="AL10" s="1681"/>
      <c r="AM10" s="1681">
        <v>1</v>
      </c>
      <c r="AN10" s="1681">
        <v>0</v>
      </c>
      <c r="AO10" s="1681"/>
      <c r="AP10" s="95"/>
      <c r="AQ10" s="95">
        <v>1</v>
      </c>
      <c r="AR10" s="393"/>
      <c r="AS10" s="27"/>
      <c r="AT10" s="36"/>
      <c r="AU10" s="36"/>
      <c r="AV10" s="36"/>
      <c r="AW10" s="36" t="s">
        <v>2571</v>
      </c>
      <c r="AX10" s="1681">
        <v>1</v>
      </c>
      <c r="AY10" s="1681"/>
      <c r="AZ10" s="1681"/>
      <c r="BA10" s="1681">
        <v>0</v>
      </c>
      <c r="BB10" s="1681"/>
      <c r="BC10" s="95"/>
      <c r="BD10" s="95"/>
      <c r="BE10" s="95"/>
      <c r="BF10" s="95"/>
      <c r="BG10" s="95">
        <v>1</v>
      </c>
      <c r="BH10" s="36"/>
      <c r="BJ10" s="4215"/>
      <c r="BK10" s="4215"/>
      <c r="BL10" s="4215"/>
      <c r="BM10" s="4222" t="s">
        <v>15</v>
      </c>
      <c r="BN10" s="4223"/>
      <c r="BO10" s="4223"/>
      <c r="BP10" s="4223">
        <v>14</v>
      </c>
      <c r="BQ10" s="4223"/>
      <c r="BR10" s="4223"/>
      <c r="BS10" s="4223"/>
      <c r="BT10" s="4223">
        <v>14</v>
      </c>
      <c r="BU10" s="4224">
        <f>+(BT8+BT9)/BT10</f>
        <v>0.9285714285714286</v>
      </c>
      <c r="BW10" s="36"/>
      <c r="BX10" s="36"/>
      <c r="BY10" s="36"/>
      <c r="BZ10" s="36" t="s">
        <v>1081</v>
      </c>
      <c r="CA10" s="1681"/>
      <c r="CB10" s="1681"/>
      <c r="CC10" s="1681">
        <v>0</v>
      </c>
      <c r="CD10" s="1681">
        <v>15</v>
      </c>
      <c r="CE10" s="1681"/>
      <c r="CF10" s="95"/>
      <c r="CG10" s="95"/>
      <c r="CH10" s="95"/>
      <c r="CI10" s="95">
        <v>15</v>
      </c>
      <c r="CJ10" s="36"/>
      <c r="CO10" s="393" t="s">
        <v>15</v>
      </c>
      <c r="CP10" s="1682"/>
      <c r="CQ10" s="1682"/>
      <c r="CR10" s="1682">
        <v>19</v>
      </c>
      <c r="CS10" s="1682">
        <v>1</v>
      </c>
      <c r="CT10" s="4212"/>
      <c r="CU10" s="4212"/>
      <c r="CV10" s="4212">
        <v>20</v>
      </c>
      <c r="CW10" s="560">
        <f>+(CV8+CV9)/CV10</f>
        <v>0.95</v>
      </c>
      <c r="CY10" s="95"/>
      <c r="DB10" s="36" t="s">
        <v>1142</v>
      </c>
      <c r="DC10" s="1484">
        <v>0</v>
      </c>
      <c r="DD10" s="1484"/>
      <c r="DE10" s="1484">
        <v>7</v>
      </c>
      <c r="DF10" s="1484"/>
      <c r="DG10" s="95"/>
      <c r="DH10" s="95"/>
      <c r="DI10" s="95">
        <v>7</v>
      </c>
      <c r="DL10" s="1191"/>
      <c r="DM10" s="1191"/>
      <c r="DN10" s="1191"/>
      <c r="DO10" s="1192" t="s">
        <v>1081</v>
      </c>
      <c r="DP10" s="1193"/>
      <c r="DQ10" s="1193"/>
      <c r="DR10" s="1193"/>
      <c r="DS10" s="1194">
        <v>6</v>
      </c>
      <c r="DT10" s="1193"/>
      <c r="DU10" s="1195"/>
      <c r="DV10" s="1196">
        <v>6</v>
      </c>
      <c r="DW10" s="1187"/>
      <c r="DY10" s="427"/>
      <c r="DZ10" s="427"/>
      <c r="EA10" s="428"/>
      <c r="EB10" s="429" t="s">
        <v>1142</v>
      </c>
      <c r="EC10" s="430">
        <v>0</v>
      </c>
      <c r="ED10" s="431"/>
      <c r="EE10" s="430">
        <v>4</v>
      </c>
      <c r="EF10" s="431"/>
      <c r="EG10" s="427"/>
      <c r="EH10" s="432">
        <v>4</v>
      </c>
      <c r="EI10" s="36"/>
      <c r="EK10" s="433"/>
      <c r="EL10" s="433"/>
      <c r="EM10" s="434"/>
      <c r="EN10" s="435" t="s">
        <v>1142</v>
      </c>
      <c r="EO10" s="436">
        <v>0</v>
      </c>
      <c r="EP10" s="437"/>
      <c r="EQ10" s="436">
        <v>5</v>
      </c>
      <c r="ER10" s="437"/>
      <c r="ES10" s="438"/>
      <c r="ET10" s="438"/>
      <c r="EU10" s="439">
        <v>5</v>
      </c>
      <c r="EV10" s="440"/>
      <c r="EX10" s="441"/>
      <c r="EY10" s="441"/>
      <c r="EZ10" s="441"/>
      <c r="FA10" s="442" t="s">
        <v>1142</v>
      </c>
      <c r="FB10" s="443"/>
      <c r="FC10" s="443"/>
      <c r="FD10" s="444">
        <v>5</v>
      </c>
      <c r="FE10" s="443"/>
      <c r="FF10" s="443"/>
      <c r="FG10" s="444">
        <v>5</v>
      </c>
      <c r="FH10" s="445"/>
      <c r="FJ10" s="95"/>
      <c r="FK10" s="95"/>
      <c r="FM10" s="36" t="s">
        <v>1081</v>
      </c>
      <c r="FN10" s="95"/>
      <c r="FO10" s="95">
        <v>0</v>
      </c>
      <c r="FP10" s="95">
        <v>4</v>
      </c>
      <c r="FQ10" s="95">
        <v>0</v>
      </c>
      <c r="FR10" s="95"/>
      <c r="FS10" s="95">
        <v>4</v>
      </c>
      <c r="FU10" s="37"/>
      <c r="FV10" s="616"/>
      <c r="FW10" s="4357"/>
      <c r="FX10" s="616"/>
      <c r="FY10" s="627" t="s">
        <v>15</v>
      </c>
      <c r="FZ10" s="627">
        <v>0</v>
      </c>
      <c r="GA10" s="627">
        <v>1</v>
      </c>
      <c r="GB10" s="627">
        <v>0</v>
      </c>
      <c r="GC10" s="627">
        <v>13</v>
      </c>
      <c r="GD10" s="627">
        <v>1</v>
      </c>
      <c r="GE10" s="627">
        <v>0</v>
      </c>
      <c r="GF10" s="627">
        <v>15</v>
      </c>
      <c r="GG10" s="628">
        <f>+(GF9+GF8)/GF10</f>
        <v>0.46666666666666667</v>
      </c>
      <c r="GH10" s="617">
        <f>+GF8+GF9</f>
        <v>7</v>
      </c>
      <c r="GI10" s="37"/>
    </row>
    <row r="11" spans="1:191">
      <c r="A11" s="4375"/>
      <c r="B11" s="4375"/>
      <c r="C11" s="4888"/>
      <c r="D11" s="6095" t="s">
        <v>2709</v>
      </c>
      <c r="E11" s="6096">
        <v>4</v>
      </c>
      <c r="F11" s="6096">
        <v>3</v>
      </c>
      <c r="G11" s="1"/>
      <c r="I11" s="5644">
        <v>1</v>
      </c>
      <c r="J11" s="5644">
        <v>2</v>
      </c>
      <c r="K11" s="5643" t="s">
        <v>2366</v>
      </c>
      <c r="L11" s="5643" t="s">
        <v>2709</v>
      </c>
      <c r="M11" s="5644">
        <v>2</v>
      </c>
      <c r="N11" s="5644">
        <v>1</v>
      </c>
      <c r="Q11" s="4375">
        <v>1</v>
      </c>
      <c r="R11" s="4375">
        <v>2</v>
      </c>
      <c r="S11" s="4888" t="s">
        <v>2366</v>
      </c>
      <c r="T11" s="4888" t="s">
        <v>1071</v>
      </c>
      <c r="U11" s="4375">
        <v>3</v>
      </c>
      <c r="V11" s="4375">
        <v>4</v>
      </c>
      <c r="Y11" s="4531"/>
      <c r="Z11" s="4531"/>
      <c r="AA11" s="4650"/>
      <c r="AB11" s="4650" t="s">
        <v>15</v>
      </c>
      <c r="AC11" s="4650">
        <f>SUM(AC7:AC10)</f>
        <v>16</v>
      </c>
      <c r="AD11" s="4654"/>
      <c r="AE11" s="4655">
        <f>(AC8+AC9)/(AC11)</f>
        <v>0.875</v>
      </c>
      <c r="AF11" s="4476"/>
      <c r="AG11" s="36"/>
      <c r="AH11" s="36"/>
      <c r="AI11" s="36"/>
      <c r="AJ11" s="36" t="s">
        <v>1081</v>
      </c>
      <c r="AK11" s="1681"/>
      <c r="AL11" s="1681"/>
      <c r="AM11" s="1681">
        <v>0</v>
      </c>
      <c r="AN11" s="1681">
        <v>6</v>
      </c>
      <c r="AO11" s="1681"/>
      <c r="AP11" s="95"/>
      <c r="AQ11" s="95">
        <v>6</v>
      </c>
      <c r="AR11" s="4536"/>
      <c r="AS11" s="4533"/>
      <c r="AT11" s="36"/>
      <c r="AU11" s="36"/>
      <c r="AV11" s="36"/>
      <c r="AW11" s="393" t="s">
        <v>15</v>
      </c>
      <c r="AX11" s="1682">
        <v>1</v>
      </c>
      <c r="AY11" s="1682"/>
      <c r="AZ11" s="1682"/>
      <c r="BA11" s="1682">
        <v>14</v>
      </c>
      <c r="BB11" s="1682"/>
      <c r="BC11" s="4212"/>
      <c r="BD11" s="4212"/>
      <c r="BE11" s="4212"/>
      <c r="BF11" s="4212"/>
      <c r="BG11" s="4212">
        <v>15</v>
      </c>
      <c r="BH11" s="560">
        <f>+(BG8+BG9)/(BG11-BG10)</f>
        <v>0.9285714285714286</v>
      </c>
      <c r="BJ11" s="4215"/>
      <c r="BK11" s="4215"/>
      <c r="BL11" s="4222" t="s">
        <v>483</v>
      </c>
      <c r="BM11" s="4222" t="s">
        <v>1072</v>
      </c>
      <c r="BN11" s="4223"/>
      <c r="BO11" s="4223"/>
      <c r="BP11" s="4223">
        <v>1</v>
      </c>
      <c r="BQ11" s="4223"/>
      <c r="BR11" s="4223"/>
      <c r="BS11" s="4223"/>
      <c r="BT11" s="4223">
        <v>1</v>
      </c>
      <c r="BU11" s="4224"/>
      <c r="BW11" s="36"/>
      <c r="BX11" s="36"/>
      <c r="BY11" s="36"/>
      <c r="BZ11" s="36" t="s">
        <v>1142</v>
      </c>
      <c r="CA11" s="1681"/>
      <c r="CB11" s="1681"/>
      <c r="CC11" s="1681">
        <v>0</v>
      </c>
      <c r="CD11" s="1681">
        <v>2</v>
      </c>
      <c r="CE11" s="1681"/>
      <c r="CF11" s="95"/>
      <c r="CG11" s="95"/>
      <c r="CH11" s="95"/>
      <c r="CI11" s="95">
        <v>2</v>
      </c>
      <c r="CJ11" s="36"/>
      <c r="CN11" s="36" t="s">
        <v>483</v>
      </c>
      <c r="CO11" s="36" t="s">
        <v>1072</v>
      </c>
      <c r="CP11" s="1681"/>
      <c r="CQ11" s="1681"/>
      <c r="CR11" s="1681">
        <v>1</v>
      </c>
      <c r="CS11" s="1681">
        <v>0</v>
      </c>
      <c r="CT11" s="95"/>
      <c r="CU11" s="95"/>
      <c r="CV11" s="95">
        <v>1</v>
      </c>
      <c r="CY11" s="95"/>
      <c r="DB11" s="393" t="s">
        <v>15</v>
      </c>
      <c r="DC11" s="1485">
        <v>1</v>
      </c>
      <c r="DD11" s="1485"/>
      <c r="DE11" s="1485">
        <v>20</v>
      </c>
      <c r="DF11" s="1485"/>
      <c r="DG11" s="4212"/>
      <c r="DH11" s="4212"/>
      <c r="DI11" s="4212">
        <v>21</v>
      </c>
      <c r="DJ11" s="560">
        <f>+(DI8+DI9+DI10)/(DI11)</f>
        <v>0.8571428571428571</v>
      </c>
      <c r="DL11" s="1191"/>
      <c r="DM11" s="1191"/>
      <c r="DN11" s="1191"/>
      <c r="DO11" s="1192" t="s">
        <v>1142</v>
      </c>
      <c r="DP11" s="1193"/>
      <c r="DQ11" s="1193"/>
      <c r="DR11" s="1193"/>
      <c r="DS11" s="1194">
        <v>3</v>
      </c>
      <c r="DT11" s="1193"/>
      <c r="DU11" s="1195"/>
      <c r="DV11" s="1196">
        <v>3</v>
      </c>
      <c r="DW11" s="1187"/>
      <c r="DY11" s="427"/>
      <c r="DZ11" s="427"/>
      <c r="EA11" s="428"/>
      <c r="EB11" s="451" t="s">
        <v>15</v>
      </c>
      <c r="EC11" s="452">
        <v>1</v>
      </c>
      <c r="ED11" s="453"/>
      <c r="EE11" s="452">
        <v>18</v>
      </c>
      <c r="EF11" s="453"/>
      <c r="EG11" s="454"/>
      <c r="EH11" s="455">
        <v>19</v>
      </c>
      <c r="EI11" s="456">
        <f>+(EH8+EH9+EH10)/EH11</f>
        <v>0.89473684210526316</v>
      </c>
      <c r="EK11" s="433"/>
      <c r="EL11" s="433"/>
      <c r="EM11" s="434"/>
      <c r="EN11" s="457" t="s">
        <v>15</v>
      </c>
      <c r="EO11" s="458">
        <v>1</v>
      </c>
      <c r="EP11" s="459"/>
      <c r="EQ11" s="458">
        <v>15</v>
      </c>
      <c r="ER11" s="459"/>
      <c r="ES11" s="460"/>
      <c r="ET11" s="460"/>
      <c r="EU11" s="461">
        <v>16</v>
      </c>
      <c r="EV11" s="440">
        <f>+(EU10+EU9+EU8)/EU11</f>
        <v>0.6875</v>
      </c>
      <c r="EX11" s="441"/>
      <c r="EY11" s="441"/>
      <c r="EZ11" s="441"/>
      <c r="FA11" s="462" t="s">
        <v>15</v>
      </c>
      <c r="FB11" s="463"/>
      <c r="FC11" s="463"/>
      <c r="FD11" s="464">
        <v>16</v>
      </c>
      <c r="FE11" s="463"/>
      <c r="FF11" s="463"/>
      <c r="FG11" s="464">
        <v>16</v>
      </c>
      <c r="FH11" s="465">
        <f>+(FG10+FG9+FG8)/FG11</f>
        <v>0.875</v>
      </c>
      <c r="FJ11" s="95"/>
      <c r="FK11" s="95"/>
      <c r="FM11" s="36" t="s">
        <v>1142</v>
      </c>
      <c r="FN11" s="95"/>
      <c r="FO11" s="95">
        <v>0</v>
      </c>
      <c r="FP11" s="95">
        <v>4</v>
      </c>
      <c r="FQ11" s="95">
        <v>0</v>
      </c>
      <c r="FR11" s="95"/>
      <c r="FS11" s="95">
        <v>4</v>
      </c>
      <c r="FU11" s="37"/>
      <c r="FV11" s="616"/>
      <c r="FW11" s="4357" t="s">
        <v>103</v>
      </c>
      <c r="FX11" s="616" t="s">
        <v>104</v>
      </c>
      <c r="FY11" s="616" t="s">
        <v>1071</v>
      </c>
      <c r="FZ11" s="616">
        <v>0</v>
      </c>
      <c r="GA11" s="616">
        <v>0</v>
      </c>
      <c r="GB11" s="616">
        <v>0</v>
      </c>
      <c r="GC11" s="616">
        <v>1</v>
      </c>
      <c r="GD11" s="616">
        <v>2</v>
      </c>
      <c r="GE11" s="616">
        <v>9</v>
      </c>
      <c r="GF11" s="616">
        <v>12</v>
      </c>
      <c r="GG11" s="616"/>
      <c r="GH11" s="617"/>
      <c r="GI11" s="37"/>
    </row>
    <row r="12" spans="1:191">
      <c r="A12" s="4375"/>
      <c r="B12" s="4375"/>
      <c r="C12" s="4888"/>
      <c r="D12" s="4650" t="s">
        <v>15</v>
      </c>
      <c r="E12" s="4378">
        <f>SUM(E7:E11)</f>
        <v>13</v>
      </c>
      <c r="F12" s="4375"/>
      <c r="G12" s="4891">
        <f>(E7)/(E12)</f>
        <v>0.46153846153846156</v>
      </c>
      <c r="I12" s="5644">
        <v>1</v>
      </c>
      <c r="J12" s="5644">
        <v>2</v>
      </c>
      <c r="K12" s="5643" t="s">
        <v>2366</v>
      </c>
      <c r="L12" s="5643" t="s">
        <v>2709</v>
      </c>
      <c r="M12" s="5644">
        <v>3</v>
      </c>
      <c r="N12" s="5644">
        <v>4</v>
      </c>
      <c r="Q12" s="4375">
        <v>1</v>
      </c>
      <c r="R12" s="4375">
        <v>2</v>
      </c>
      <c r="S12" s="4888" t="s">
        <v>2366</v>
      </c>
      <c r="T12" s="4888" t="s">
        <v>2709</v>
      </c>
      <c r="U12" s="4375">
        <v>2</v>
      </c>
      <c r="V12" s="4375">
        <v>1</v>
      </c>
      <c r="Y12" s="4531">
        <v>1</v>
      </c>
      <c r="Z12" s="4531">
        <v>2</v>
      </c>
      <c r="AA12" s="4530" t="s">
        <v>329</v>
      </c>
      <c r="AB12" s="4530" t="s">
        <v>2703</v>
      </c>
      <c r="AC12" s="4641">
        <v>1</v>
      </c>
      <c r="AD12" s="4641">
        <v>2</v>
      </c>
      <c r="AE12" s="4652"/>
      <c r="AF12" s="4476"/>
      <c r="AG12" s="36"/>
      <c r="AH12" s="36"/>
      <c r="AI12" s="36"/>
      <c r="AJ12" s="36" t="s">
        <v>15</v>
      </c>
      <c r="AK12" s="1681"/>
      <c r="AL12" s="1681"/>
      <c r="AM12" s="1681">
        <v>1</v>
      </c>
      <c r="AN12" s="1681">
        <v>6</v>
      </c>
      <c r="AO12" s="1681"/>
      <c r="AP12" s="95"/>
      <c r="AQ12" s="95">
        <v>7</v>
      </c>
      <c r="AR12" s="4536">
        <f>+AN11/AQ12</f>
        <v>0.8571428571428571</v>
      </c>
      <c r="AS12" s="4533"/>
      <c r="AT12" s="36"/>
      <c r="AU12" s="36"/>
      <c r="AV12" s="36" t="s">
        <v>483</v>
      </c>
      <c r="AW12" s="36" t="s">
        <v>1072</v>
      </c>
      <c r="AX12" s="1681">
        <v>0</v>
      </c>
      <c r="AY12" s="1681"/>
      <c r="AZ12" s="1681"/>
      <c r="BA12" s="1681">
        <v>1</v>
      </c>
      <c r="BB12" s="1681"/>
      <c r="BC12" s="95"/>
      <c r="BD12" s="95"/>
      <c r="BE12" s="95"/>
      <c r="BF12" s="95"/>
      <c r="BG12" s="95">
        <v>1</v>
      </c>
      <c r="BH12" s="36"/>
      <c r="BJ12" s="4215"/>
      <c r="BK12" s="4215"/>
      <c r="BL12" s="4215"/>
      <c r="BM12" s="4222" t="s">
        <v>1076</v>
      </c>
      <c r="BN12" s="4223"/>
      <c r="BO12" s="4223"/>
      <c r="BP12" s="4223">
        <v>2</v>
      </c>
      <c r="BQ12" s="4223"/>
      <c r="BR12" s="4223"/>
      <c r="BS12" s="4223"/>
      <c r="BT12" s="4223">
        <v>2</v>
      </c>
      <c r="BU12" s="4224"/>
      <c r="BW12" s="36"/>
      <c r="BX12" s="36"/>
      <c r="BY12" s="36"/>
      <c r="BZ12" s="393" t="s">
        <v>15</v>
      </c>
      <c r="CA12" s="1682"/>
      <c r="CB12" s="1682"/>
      <c r="CC12" s="1682">
        <v>2</v>
      </c>
      <c r="CD12" s="1682">
        <v>18</v>
      </c>
      <c r="CE12" s="1682"/>
      <c r="CF12" s="2041"/>
      <c r="CG12" s="2041"/>
      <c r="CH12" s="2041"/>
      <c r="CI12" s="2041">
        <v>20</v>
      </c>
      <c r="CJ12" s="560">
        <f>+(CI11+CI10+CI9)/CI12</f>
        <v>0.9</v>
      </c>
      <c r="CO12" s="36" t="s">
        <v>1076</v>
      </c>
      <c r="CP12" s="1681"/>
      <c r="CQ12" s="1681"/>
      <c r="CR12" s="1681">
        <v>11</v>
      </c>
      <c r="CS12" s="1681">
        <v>0</v>
      </c>
      <c r="CT12" s="95"/>
      <c r="CU12" s="95"/>
      <c r="CV12" s="95">
        <v>11</v>
      </c>
      <c r="CY12" s="95"/>
      <c r="DA12" s="36" t="s">
        <v>387</v>
      </c>
      <c r="DB12" s="36" t="s">
        <v>1072</v>
      </c>
      <c r="DC12" s="1484">
        <v>3</v>
      </c>
      <c r="DD12" s="1484">
        <v>1</v>
      </c>
      <c r="DE12" s="1484">
        <v>0</v>
      </c>
      <c r="DF12" s="1484"/>
      <c r="DG12" s="95"/>
      <c r="DH12" s="95"/>
      <c r="DI12" s="95">
        <v>4</v>
      </c>
      <c r="DL12" s="1191"/>
      <c r="DM12" s="1191"/>
      <c r="DN12" s="1191"/>
      <c r="DO12" s="1186" t="s">
        <v>15</v>
      </c>
      <c r="DP12" s="1197"/>
      <c r="DQ12" s="1197"/>
      <c r="DR12" s="1197"/>
      <c r="DS12" s="1198">
        <v>18</v>
      </c>
      <c r="DT12" s="1197"/>
      <c r="DU12" s="1199"/>
      <c r="DV12" s="1200">
        <v>18</v>
      </c>
      <c r="DW12" s="1178">
        <f>+(DV9+DV10+DV11)/DV12</f>
        <v>0.72222222222222221</v>
      </c>
      <c r="DY12" s="427"/>
      <c r="DZ12" s="427"/>
      <c r="EA12" s="428" t="s">
        <v>387</v>
      </c>
      <c r="EB12" s="429" t="s">
        <v>1072</v>
      </c>
      <c r="EC12" s="430">
        <v>1</v>
      </c>
      <c r="ED12" s="430">
        <v>2</v>
      </c>
      <c r="EE12" s="430">
        <v>3</v>
      </c>
      <c r="EF12" s="431"/>
      <c r="EG12" s="427"/>
      <c r="EH12" s="432">
        <v>6</v>
      </c>
      <c r="EI12" s="36"/>
      <c r="EK12" s="433"/>
      <c r="EL12" s="433"/>
      <c r="EM12" s="434" t="s">
        <v>118</v>
      </c>
      <c r="EN12" s="435" t="s">
        <v>1072</v>
      </c>
      <c r="EO12" s="437"/>
      <c r="EP12" s="437"/>
      <c r="EQ12" s="437"/>
      <c r="ER12" s="436">
        <v>1</v>
      </c>
      <c r="ES12" s="438"/>
      <c r="ET12" s="438"/>
      <c r="EU12" s="439">
        <v>1</v>
      </c>
      <c r="EV12" s="440"/>
      <c r="EX12" s="441"/>
      <c r="EY12" s="441"/>
      <c r="FJ12" s="95"/>
      <c r="FK12" s="95"/>
      <c r="FM12" s="393" t="s">
        <v>15</v>
      </c>
      <c r="FN12" s="4212"/>
      <c r="FO12" s="4212">
        <v>1</v>
      </c>
      <c r="FP12" s="4212">
        <v>11</v>
      </c>
      <c r="FQ12" s="4212">
        <v>1</v>
      </c>
      <c r="FR12" s="4212"/>
      <c r="FS12" s="4212">
        <v>13</v>
      </c>
      <c r="FT12" s="631">
        <f>+(FS8+FS10+FS11)/FS12</f>
        <v>0.76923076923076927</v>
      </c>
      <c r="FU12" s="37"/>
      <c r="FV12" s="616"/>
      <c r="FW12" s="4357"/>
      <c r="FX12" s="616"/>
      <c r="FY12" s="616" t="s">
        <v>1072</v>
      </c>
      <c r="FZ12" s="616">
        <v>0</v>
      </c>
      <c r="GA12" s="616">
        <v>2</v>
      </c>
      <c r="GB12" s="616">
        <v>4</v>
      </c>
      <c r="GC12" s="616">
        <v>7</v>
      </c>
      <c r="GD12" s="616">
        <v>0</v>
      </c>
      <c r="GE12" s="616">
        <v>0</v>
      </c>
      <c r="GF12" s="616">
        <v>13</v>
      </c>
      <c r="GG12" s="616"/>
      <c r="GH12" s="617"/>
      <c r="GI12" s="37"/>
    </row>
    <row r="13" spans="1:191">
      <c r="A13" s="4375">
        <v>1</v>
      </c>
      <c r="B13" s="4375">
        <v>2</v>
      </c>
      <c r="C13" s="4888" t="s">
        <v>2366</v>
      </c>
      <c r="D13" s="4888" t="s">
        <v>2709</v>
      </c>
      <c r="E13" s="4375">
        <v>2</v>
      </c>
      <c r="F13" s="4375">
        <v>1</v>
      </c>
      <c r="G13" s="1"/>
      <c r="I13" s="5644"/>
      <c r="J13" s="5644"/>
      <c r="K13" s="5643"/>
      <c r="L13" s="5643"/>
      <c r="M13" s="5650">
        <f>SUM(M10:M12)</f>
        <v>6</v>
      </c>
      <c r="N13" s="5644"/>
      <c r="O13" s="4891">
        <v>0</v>
      </c>
      <c r="Q13" s="4375">
        <v>1</v>
      </c>
      <c r="R13" s="4375">
        <v>2</v>
      </c>
      <c r="S13" s="4888" t="s">
        <v>2366</v>
      </c>
      <c r="T13" s="4888" t="s">
        <v>2709</v>
      </c>
      <c r="U13" s="4375">
        <v>1</v>
      </c>
      <c r="V13" s="4375">
        <v>3</v>
      </c>
      <c r="Y13" s="4531">
        <v>1</v>
      </c>
      <c r="Z13" s="4531">
        <v>2</v>
      </c>
      <c r="AA13" s="4530" t="s">
        <v>329</v>
      </c>
      <c r="AB13" s="4642" t="s">
        <v>2707</v>
      </c>
      <c r="AC13" s="4646">
        <v>6</v>
      </c>
      <c r="AD13" s="4641">
        <v>3</v>
      </c>
      <c r="AE13" s="4652"/>
      <c r="AF13" s="4476"/>
      <c r="AG13" s="36"/>
      <c r="AH13" s="36"/>
      <c r="AI13" s="36" t="s">
        <v>2670</v>
      </c>
      <c r="AJ13" s="36" t="s">
        <v>1072</v>
      </c>
      <c r="AK13" s="1681">
        <v>0</v>
      </c>
      <c r="AL13" s="1681">
        <v>0</v>
      </c>
      <c r="AM13" s="1681"/>
      <c r="AN13" s="1681">
        <v>4</v>
      </c>
      <c r="AO13" s="1681"/>
      <c r="AP13" s="95"/>
      <c r="AQ13" s="95">
        <v>4</v>
      </c>
      <c r="AR13" s="393"/>
      <c r="AS13" s="27"/>
      <c r="AT13" s="36"/>
      <c r="AU13" s="36"/>
      <c r="AV13" s="36"/>
      <c r="AW13" s="36" t="s">
        <v>1076</v>
      </c>
      <c r="AX13" s="1681">
        <v>0</v>
      </c>
      <c r="AY13" s="1681"/>
      <c r="AZ13" s="1681"/>
      <c r="BA13" s="1681">
        <v>4</v>
      </c>
      <c r="BB13" s="1681"/>
      <c r="BC13" s="95"/>
      <c r="BD13" s="95"/>
      <c r="BE13" s="95"/>
      <c r="BF13" s="95"/>
      <c r="BG13" s="95">
        <v>4</v>
      </c>
      <c r="BH13" s="36"/>
      <c r="BJ13" s="4215"/>
      <c r="BK13" s="4215"/>
      <c r="BL13" s="4215"/>
      <c r="BM13" s="4222" t="s">
        <v>1081</v>
      </c>
      <c r="BN13" s="4223"/>
      <c r="BO13" s="4223"/>
      <c r="BP13" s="4223">
        <v>11</v>
      </c>
      <c r="BQ13" s="4223"/>
      <c r="BR13" s="4223"/>
      <c r="BS13" s="4223"/>
      <c r="BT13" s="4223">
        <v>11</v>
      </c>
      <c r="BU13" s="4224"/>
      <c r="BW13" s="36"/>
      <c r="BX13" s="36"/>
      <c r="BY13" s="393" t="s">
        <v>483</v>
      </c>
      <c r="BZ13" s="393" t="s">
        <v>1071</v>
      </c>
      <c r="CA13" s="1682"/>
      <c r="CB13" s="1682"/>
      <c r="CC13" s="1682">
        <v>1</v>
      </c>
      <c r="CD13" s="1682">
        <v>0</v>
      </c>
      <c r="CE13" s="1682"/>
      <c r="CF13" s="2041"/>
      <c r="CG13" s="2041"/>
      <c r="CH13" s="2041"/>
      <c r="CI13" s="2041">
        <v>1</v>
      </c>
      <c r="CJ13" s="36"/>
      <c r="CO13" s="36" t="s">
        <v>1081</v>
      </c>
      <c r="CP13" s="1681"/>
      <c r="CQ13" s="1681"/>
      <c r="CR13" s="1681">
        <v>7</v>
      </c>
      <c r="CS13" s="1681">
        <v>1</v>
      </c>
      <c r="CT13" s="95"/>
      <c r="CU13" s="95"/>
      <c r="CV13" s="95">
        <v>8</v>
      </c>
      <c r="CY13" s="95"/>
      <c r="DB13" s="36" t="s">
        <v>1081</v>
      </c>
      <c r="DC13" s="1484">
        <v>0</v>
      </c>
      <c r="DD13" s="1484">
        <v>0</v>
      </c>
      <c r="DE13" s="1484">
        <v>5</v>
      </c>
      <c r="DF13" s="1484"/>
      <c r="DG13" s="95"/>
      <c r="DH13" s="95"/>
      <c r="DI13" s="95">
        <v>5</v>
      </c>
      <c r="DL13" s="1191"/>
      <c r="DM13" s="1191"/>
      <c r="DN13" s="1191" t="s">
        <v>483</v>
      </c>
      <c r="DO13" s="1192" t="s">
        <v>1071</v>
      </c>
      <c r="DP13" s="1193"/>
      <c r="DQ13" s="1193"/>
      <c r="DR13" s="1193"/>
      <c r="DS13" s="1194">
        <v>1</v>
      </c>
      <c r="DT13" s="1193"/>
      <c r="DU13" s="1195"/>
      <c r="DV13" s="1196">
        <v>1</v>
      </c>
      <c r="DW13" s="1187"/>
      <c r="DY13" s="427"/>
      <c r="DZ13" s="427"/>
      <c r="EA13" s="428"/>
      <c r="EB13" s="429" t="s">
        <v>1081</v>
      </c>
      <c r="EC13" s="430">
        <v>0</v>
      </c>
      <c r="ED13" s="430">
        <v>0</v>
      </c>
      <c r="EE13" s="430">
        <v>4</v>
      </c>
      <c r="EF13" s="431"/>
      <c r="EG13" s="427"/>
      <c r="EH13" s="432">
        <v>4</v>
      </c>
      <c r="EI13" s="36"/>
      <c r="EK13" s="433"/>
      <c r="EL13" s="433"/>
      <c r="EM13" s="434"/>
      <c r="EN13" s="435"/>
      <c r="EO13" s="437"/>
      <c r="EP13" s="437"/>
      <c r="EQ13" s="437"/>
      <c r="ER13" s="436"/>
      <c r="ES13" s="438"/>
      <c r="ET13" s="438"/>
      <c r="EU13" s="439"/>
      <c r="EV13" s="440"/>
      <c r="EX13" s="441"/>
      <c r="EY13" s="441"/>
      <c r="EZ13" s="441" t="s">
        <v>387</v>
      </c>
      <c r="FA13" s="442" t="s">
        <v>1072</v>
      </c>
      <c r="FB13" s="444">
        <v>1</v>
      </c>
      <c r="FC13" s="443"/>
      <c r="FD13" s="444">
        <v>1</v>
      </c>
      <c r="FE13" s="443"/>
      <c r="FF13" s="443"/>
      <c r="FG13" s="444">
        <v>2</v>
      </c>
      <c r="FH13" s="445"/>
      <c r="FJ13" s="95"/>
      <c r="FK13" s="95"/>
      <c r="FL13" s="36" t="s">
        <v>387</v>
      </c>
      <c r="FM13" s="36" t="s">
        <v>1072</v>
      </c>
      <c r="FN13" s="95"/>
      <c r="FO13" s="95">
        <v>2</v>
      </c>
      <c r="FP13" s="95">
        <v>2</v>
      </c>
      <c r="FQ13" s="95"/>
      <c r="FR13" s="95"/>
      <c r="FS13" s="95">
        <v>4</v>
      </c>
      <c r="FU13" s="37"/>
      <c r="FV13" s="616"/>
      <c r="FW13" s="4357"/>
      <c r="FX13" s="616"/>
      <c r="FY13" s="616" t="s">
        <v>1076</v>
      </c>
      <c r="FZ13" s="616">
        <v>0</v>
      </c>
      <c r="GA13" s="616">
        <v>0</v>
      </c>
      <c r="GB13" s="616">
        <v>0</v>
      </c>
      <c r="GC13" s="616">
        <v>0</v>
      </c>
      <c r="GD13" s="616">
        <v>1</v>
      </c>
      <c r="GE13" s="616">
        <v>0</v>
      </c>
      <c r="GF13" s="616">
        <v>1</v>
      </c>
      <c r="GG13" s="616"/>
      <c r="GH13" s="617"/>
      <c r="GI13" s="37"/>
    </row>
    <row r="14" spans="1:191">
      <c r="A14" s="4375">
        <v>1</v>
      </c>
      <c r="B14" s="4375">
        <v>2</v>
      </c>
      <c r="C14" s="4888" t="s">
        <v>2366</v>
      </c>
      <c r="D14" s="4888" t="s">
        <v>2709</v>
      </c>
      <c r="E14" s="4375">
        <v>11</v>
      </c>
      <c r="F14" s="4375">
        <v>3</v>
      </c>
      <c r="G14" s="1"/>
      <c r="I14" s="5644"/>
      <c r="J14" s="5644"/>
      <c r="K14" s="5650" t="s">
        <v>16</v>
      </c>
      <c r="L14" s="5643"/>
      <c r="M14" s="5650">
        <f>SUM(M13,M9)</f>
        <v>14</v>
      </c>
      <c r="N14" s="5655"/>
      <c r="O14" s="4655">
        <f>(M7)/(M14)</f>
        <v>0.5</v>
      </c>
      <c r="Q14" s="4375"/>
      <c r="R14" s="4375"/>
      <c r="S14" s="4888"/>
      <c r="T14" s="4650" t="s">
        <v>15</v>
      </c>
      <c r="U14" s="4378">
        <f>SUM(U11:U13)</f>
        <v>6</v>
      </c>
      <c r="V14" s="4375"/>
      <c r="W14" s="4891">
        <v>0</v>
      </c>
      <c r="Y14" s="4531"/>
      <c r="Z14" s="4531"/>
      <c r="AA14" s="4650"/>
      <c r="AB14" s="4650" t="s">
        <v>15</v>
      </c>
      <c r="AC14" s="4650">
        <f>SUM(AC12:AC13)</f>
        <v>7</v>
      </c>
      <c r="AD14" s="4650">
        <f>SUM(AD12:AD13)</f>
        <v>5</v>
      </c>
      <c r="AE14" s="4655">
        <f>(AC13)/(AC14)</f>
        <v>0.8571428571428571</v>
      </c>
      <c r="AF14" s="4476"/>
      <c r="AG14" s="36"/>
      <c r="AH14" s="36"/>
      <c r="AI14" s="36"/>
      <c r="AJ14" s="36" t="s">
        <v>1074</v>
      </c>
      <c r="AK14" s="1681">
        <v>0</v>
      </c>
      <c r="AL14" s="1681">
        <v>2</v>
      </c>
      <c r="AM14" s="1681"/>
      <c r="AN14" s="1681">
        <v>0</v>
      </c>
      <c r="AO14" s="1681"/>
      <c r="AP14" s="95"/>
      <c r="AQ14" s="95">
        <v>2</v>
      </c>
      <c r="AR14" s="393"/>
      <c r="AS14" s="27"/>
      <c r="AT14" s="36"/>
      <c r="AU14" s="36"/>
      <c r="AV14" s="36"/>
      <c r="AW14" s="36" t="s">
        <v>1081</v>
      </c>
      <c r="AX14" s="1681">
        <v>0</v>
      </c>
      <c r="AY14" s="1681"/>
      <c r="AZ14" s="1681"/>
      <c r="BA14" s="1681">
        <v>9</v>
      </c>
      <c r="BB14" s="1681"/>
      <c r="BC14" s="95"/>
      <c r="BD14" s="95"/>
      <c r="BE14" s="95"/>
      <c r="BF14" s="95"/>
      <c r="BG14" s="95">
        <v>9</v>
      </c>
      <c r="BH14" s="36"/>
      <c r="BJ14" s="4215"/>
      <c r="BK14" s="4215"/>
      <c r="BL14" s="4215"/>
      <c r="BM14" s="4222" t="s">
        <v>483</v>
      </c>
      <c r="BN14" s="4223"/>
      <c r="BO14" s="4223"/>
      <c r="BP14" s="4223">
        <v>14</v>
      </c>
      <c r="BQ14" s="4223"/>
      <c r="BR14" s="4223"/>
      <c r="BS14" s="4223"/>
      <c r="BT14" s="4223">
        <v>14</v>
      </c>
      <c r="BU14" s="4224">
        <f>+(BT12+BT13)/BT14</f>
        <v>0.9285714285714286</v>
      </c>
      <c r="BW14" s="36"/>
      <c r="BX14" s="36"/>
      <c r="BY14" s="393"/>
      <c r="BZ14" s="393" t="s">
        <v>1072</v>
      </c>
      <c r="CA14" s="1682"/>
      <c r="CB14" s="1682"/>
      <c r="CC14" s="1682">
        <v>1</v>
      </c>
      <c r="CD14" s="1682">
        <v>0</v>
      </c>
      <c r="CE14" s="1682"/>
      <c r="CF14" s="2041"/>
      <c r="CG14" s="2041"/>
      <c r="CH14" s="2041"/>
      <c r="CI14" s="2041">
        <v>1</v>
      </c>
      <c r="CJ14" s="36"/>
      <c r="CO14" s="393" t="s">
        <v>483</v>
      </c>
      <c r="CP14" s="1682"/>
      <c r="CQ14" s="1682"/>
      <c r="CR14" s="1682">
        <v>19</v>
      </c>
      <c r="CS14" s="1682">
        <v>1</v>
      </c>
      <c r="CT14" s="4212"/>
      <c r="CU14" s="4212"/>
      <c r="CV14" s="4212">
        <v>20</v>
      </c>
      <c r="CW14" s="560">
        <f>+(CV12+CV13)/CV14</f>
        <v>0.95</v>
      </c>
      <c r="CY14" s="95"/>
      <c r="DB14" s="393" t="s">
        <v>15</v>
      </c>
      <c r="DC14" s="1485">
        <v>3</v>
      </c>
      <c r="DD14" s="1485">
        <v>1</v>
      </c>
      <c r="DE14" s="1485">
        <v>5</v>
      </c>
      <c r="DF14" s="1485"/>
      <c r="DG14" s="4212"/>
      <c r="DH14" s="4212"/>
      <c r="DI14" s="4212">
        <v>9</v>
      </c>
      <c r="DJ14" s="560">
        <f>+DI13/DI14</f>
        <v>0.55555555555555558</v>
      </c>
      <c r="DL14" s="1191"/>
      <c r="DM14" s="1191"/>
      <c r="DN14" s="1191"/>
      <c r="DO14" s="1192" t="s">
        <v>1072</v>
      </c>
      <c r="DP14" s="1193"/>
      <c r="DQ14" s="1193"/>
      <c r="DR14" s="1193"/>
      <c r="DS14" s="1194">
        <v>4</v>
      </c>
      <c r="DT14" s="1193"/>
      <c r="DU14" s="1195"/>
      <c r="DV14" s="1196">
        <v>4</v>
      </c>
      <c r="DW14" s="1187"/>
      <c r="DY14" s="427"/>
      <c r="DZ14" s="427"/>
      <c r="EA14" s="428"/>
      <c r="EB14" s="451" t="s">
        <v>15</v>
      </c>
      <c r="EC14" s="452">
        <v>1</v>
      </c>
      <c r="ED14" s="452">
        <v>2</v>
      </c>
      <c r="EE14" s="452">
        <v>7</v>
      </c>
      <c r="EF14" s="453"/>
      <c r="EG14" s="454"/>
      <c r="EH14" s="455">
        <v>10</v>
      </c>
      <c r="EI14" s="456">
        <f>+EH13/EH14</f>
        <v>0.4</v>
      </c>
      <c r="EK14" s="433"/>
      <c r="EL14" s="433"/>
      <c r="EM14" s="434"/>
      <c r="EN14" s="457" t="s">
        <v>15</v>
      </c>
      <c r="EO14" s="459"/>
      <c r="EP14" s="459"/>
      <c r="EQ14" s="459"/>
      <c r="ER14" s="458">
        <v>1</v>
      </c>
      <c r="ES14" s="460"/>
      <c r="ET14" s="460"/>
      <c r="EU14" s="461">
        <v>1</v>
      </c>
      <c r="EV14" s="440">
        <v>0</v>
      </c>
      <c r="EX14" s="441"/>
      <c r="EY14" s="441"/>
      <c r="EZ14" s="441"/>
      <c r="FA14" s="442" t="s">
        <v>1076</v>
      </c>
      <c r="FB14" s="444">
        <v>0</v>
      </c>
      <c r="FC14" s="443"/>
      <c r="FD14" s="444">
        <v>5</v>
      </c>
      <c r="FE14" s="443"/>
      <c r="FF14" s="443"/>
      <c r="FG14" s="444">
        <v>5</v>
      </c>
      <c r="FH14" s="445"/>
      <c r="FJ14" s="95"/>
      <c r="FK14" s="95"/>
      <c r="FM14" s="36" t="s">
        <v>1081</v>
      </c>
      <c r="FN14" s="95"/>
      <c r="FO14" s="95">
        <v>0</v>
      </c>
      <c r="FP14" s="95">
        <v>7</v>
      </c>
      <c r="FQ14" s="95"/>
      <c r="FR14" s="95"/>
      <c r="FS14" s="95">
        <v>7</v>
      </c>
      <c r="FU14" s="37"/>
      <c r="FV14" s="616"/>
      <c r="FW14" s="4357"/>
      <c r="FX14" s="616"/>
      <c r="FY14" s="616" t="s">
        <v>1077</v>
      </c>
      <c r="FZ14" s="616">
        <v>0</v>
      </c>
      <c r="GA14" s="616">
        <v>0</v>
      </c>
      <c r="GB14" s="616">
        <v>1</v>
      </c>
      <c r="GC14" s="616">
        <v>0</v>
      </c>
      <c r="GD14" s="616">
        <v>0</v>
      </c>
      <c r="GE14" s="616">
        <v>0</v>
      </c>
      <c r="GF14" s="616">
        <v>1</v>
      </c>
      <c r="GG14" s="616"/>
      <c r="GH14" s="617"/>
      <c r="GI14" s="37"/>
    </row>
    <row r="15" spans="1:191">
      <c r="A15" s="4375"/>
      <c r="B15" s="4375"/>
      <c r="C15" s="4888"/>
      <c r="D15" s="4650" t="s">
        <v>15</v>
      </c>
      <c r="E15" s="4378">
        <f>SUM(E13:E14)</f>
        <v>13</v>
      </c>
      <c r="F15" s="4375"/>
      <c r="G15" s="4891">
        <v>0</v>
      </c>
      <c r="I15" s="5644">
        <v>1</v>
      </c>
      <c r="J15" s="5644">
        <v>4</v>
      </c>
      <c r="K15" s="5643" t="s">
        <v>2059</v>
      </c>
      <c r="L15" s="5649" t="s">
        <v>2769</v>
      </c>
      <c r="M15" s="5644">
        <v>3</v>
      </c>
      <c r="N15" s="5644">
        <v>3</v>
      </c>
      <c r="Q15" s="4375"/>
      <c r="R15" s="4375"/>
      <c r="S15" s="4651" t="s">
        <v>16</v>
      </c>
      <c r="T15" s="4896"/>
      <c r="U15" s="4897">
        <f>SUM(U14,U10)</f>
        <v>14</v>
      </c>
      <c r="V15" s="4898"/>
      <c r="W15" s="4653">
        <f>(U8)/(U15)</f>
        <v>0.42857142857142855</v>
      </c>
      <c r="Y15" s="4531">
        <v>1</v>
      </c>
      <c r="Z15" s="4531">
        <v>2</v>
      </c>
      <c r="AA15" s="4530" t="s">
        <v>2366</v>
      </c>
      <c r="AB15" s="4530" t="s">
        <v>2703</v>
      </c>
      <c r="AC15" s="4641">
        <v>2</v>
      </c>
      <c r="AD15" s="4641">
        <v>1</v>
      </c>
      <c r="AE15" s="4652"/>
      <c r="AF15" s="4476"/>
      <c r="AG15" s="36"/>
      <c r="AH15" s="36"/>
      <c r="AI15" s="36"/>
      <c r="AJ15" s="36" t="s">
        <v>1081</v>
      </c>
      <c r="AK15" s="1681">
        <v>0</v>
      </c>
      <c r="AL15" s="1681">
        <v>0</v>
      </c>
      <c r="AM15" s="1681"/>
      <c r="AN15" s="1681">
        <v>2</v>
      </c>
      <c r="AO15" s="1681"/>
      <c r="AP15" s="95"/>
      <c r="AQ15" s="95">
        <v>2</v>
      </c>
      <c r="AR15" s="393"/>
      <c r="AS15" s="27"/>
      <c r="AT15" s="36"/>
      <c r="AU15" s="36"/>
      <c r="AV15" s="36"/>
      <c r="AW15" s="36" t="s">
        <v>2571</v>
      </c>
      <c r="AX15" s="1681">
        <v>1</v>
      </c>
      <c r="AY15" s="1681"/>
      <c r="AZ15" s="1681"/>
      <c r="BA15" s="1681">
        <v>0</v>
      </c>
      <c r="BB15" s="1681"/>
      <c r="BC15" s="95"/>
      <c r="BD15" s="95"/>
      <c r="BE15" s="95"/>
      <c r="BF15" s="95"/>
      <c r="BG15" s="95">
        <v>1</v>
      </c>
      <c r="BH15" s="36"/>
      <c r="BJ15" s="4215"/>
      <c r="BK15" s="4215" t="s">
        <v>21</v>
      </c>
      <c r="BL15" s="4215" t="s">
        <v>729</v>
      </c>
      <c r="BM15" s="4215" t="s">
        <v>1072</v>
      </c>
      <c r="BN15" s="4221"/>
      <c r="BO15" s="4221">
        <v>1</v>
      </c>
      <c r="BP15" s="4221">
        <v>1</v>
      </c>
      <c r="BQ15" s="4221"/>
      <c r="BR15" s="4221"/>
      <c r="BS15" s="4221"/>
      <c r="BT15" s="4221">
        <v>2</v>
      </c>
      <c r="BU15" s="4215"/>
      <c r="BW15" s="36"/>
      <c r="BX15" s="36"/>
      <c r="BY15" s="393"/>
      <c r="BZ15" s="393" t="s">
        <v>1076</v>
      </c>
      <c r="CA15" s="1682"/>
      <c r="CB15" s="1682"/>
      <c r="CC15" s="1682">
        <v>0</v>
      </c>
      <c r="CD15" s="1682">
        <v>1</v>
      </c>
      <c r="CE15" s="1682"/>
      <c r="CF15" s="2041"/>
      <c r="CG15" s="2041"/>
      <c r="CH15" s="2041"/>
      <c r="CI15" s="2041">
        <v>1</v>
      </c>
      <c r="CJ15" s="36"/>
      <c r="CM15" s="36" t="s">
        <v>21</v>
      </c>
      <c r="CN15" s="36" t="s">
        <v>1454</v>
      </c>
      <c r="CO15" s="36" t="s">
        <v>1074</v>
      </c>
      <c r="CP15" s="1681">
        <v>1</v>
      </c>
      <c r="CQ15" s="1681"/>
      <c r="CR15" s="1681">
        <v>0</v>
      </c>
      <c r="CS15" s="1681">
        <v>0</v>
      </c>
      <c r="CT15" s="95"/>
      <c r="CU15" s="95"/>
      <c r="CV15" s="95">
        <v>1</v>
      </c>
      <c r="CY15" s="95"/>
      <c r="DA15" s="36" t="s">
        <v>483</v>
      </c>
      <c r="DB15" s="36" t="s">
        <v>1072</v>
      </c>
      <c r="DC15" s="1484">
        <v>4</v>
      </c>
      <c r="DD15" s="1484">
        <v>1</v>
      </c>
      <c r="DE15" s="1484">
        <v>2</v>
      </c>
      <c r="DF15" s="1484"/>
      <c r="DG15" s="95"/>
      <c r="DH15" s="95"/>
      <c r="DI15" s="95">
        <v>7</v>
      </c>
      <c r="DL15" s="1191"/>
      <c r="DM15" s="1191"/>
      <c r="DN15" s="1191"/>
      <c r="DO15" s="1192" t="s">
        <v>1076</v>
      </c>
      <c r="DP15" s="1193"/>
      <c r="DQ15" s="1193"/>
      <c r="DR15" s="1193"/>
      <c r="DS15" s="1194">
        <v>4</v>
      </c>
      <c r="DT15" s="1193"/>
      <c r="DU15" s="1195"/>
      <c r="DV15" s="1196">
        <v>4</v>
      </c>
      <c r="DW15" s="1187"/>
      <c r="DY15" s="427"/>
      <c r="DZ15" s="427"/>
      <c r="EA15" s="428" t="s">
        <v>483</v>
      </c>
      <c r="EB15" s="429" t="s">
        <v>1072</v>
      </c>
      <c r="EC15" s="430">
        <v>2</v>
      </c>
      <c r="ED15" s="430">
        <v>2</v>
      </c>
      <c r="EE15" s="430">
        <v>4</v>
      </c>
      <c r="EF15" s="431"/>
      <c r="EG15" s="427"/>
      <c r="EH15" s="432">
        <v>8</v>
      </c>
      <c r="EI15" s="467"/>
      <c r="EK15" s="433"/>
      <c r="EL15" s="433"/>
      <c r="EM15" s="457" t="s">
        <v>483</v>
      </c>
      <c r="EN15" s="435" t="s">
        <v>1072</v>
      </c>
      <c r="EO15" s="436">
        <v>1</v>
      </c>
      <c r="EP15" s="437"/>
      <c r="EQ15" s="436">
        <v>4</v>
      </c>
      <c r="ER15" s="436">
        <v>1</v>
      </c>
      <c r="ES15" s="438"/>
      <c r="ET15" s="438"/>
      <c r="EU15" s="439">
        <v>6</v>
      </c>
      <c r="EV15" s="440"/>
      <c r="EX15" s="441"/>
      <c r="EY15" s="441"/>
      <c r="EZ15" s="441"/>
      <c r="FA15" s="442" t="s">
        <v>1081</v>
      </c>
      <c r="FB15" s="444">
        <v>0</v>
      </c>
      <c r="FC15" s="443"/>
      <c r="FD15" s="444">
        <v>3</v>
      </c>
      <c r="FE15" s="443"/>
      <c r="FF15" s="443"/>
      <c r="FG15" s="444">
        <v>3</v>
      </c>
      <c r="FH15" s="445"/>
      <c r="FJ15" s="95"/>
      <c r="FK15" s="95"/>
      <c r="FM15" s="393" t="s">
        <v>15</v>
      </c>
      <c r="FN15" s="4212"/>
      <c r="FO15" s="4212">
        <v>2</v>
      </c>
      <c r="FP15" s="4212">
        <v>9</v>
      </c>
      <c r="FQ15" s="4212"/>
      <c r="FR15" s="4212"/>
      <c r="FS15" s="4212">
        <v>11</v>
      </c>
      <c r="FT15" s="631">
        <f>+FS14/FS15</f>
        <v>0.63636363636363635</v>
      </c>
      <c r="FU15" s="37"/>
      <c r="FV15" s="616"/>
      <c r="FW15" s="4357"/>
      <c r="FX15" s="616"/>
      <c r="FY15" s="616" t="s">
        <v>1080</v>
      </c>
      <c r="FZ15" s="616">
        <v>0</v>
      </c>
      <c r="GA15" s="616">
        <v>0</v>
      </c>
      <c r="GB15" s="616">
        <v>0</v>
      </c>
      <c r="GC15" s="616">
        <v>0</v>
      </c>
      <c r="GD15" s="616">
        <v>1</v>
      </c>
      <c r="GE15" s="616">
        <v>1</v>
      </c>
      <c r="GF15" s="616">
        <v>2</v>
      </c>
      <c r="GG15" s="616"/>
      <c r="GH15" s="617"/>
      <c r="GI15" s="37"/>
    </row>
    <row r="16" spans="1:191">
      <c r="A16" s="4375"/>
      <c r="B16" s="4375"/>
      <c r="C16" s="4651" t="s">
        <v>16</v>
      </c>
      <c r="D16" s="4896"/>
      <c r="E16" s="4897">
        <f>SUM(E15,E12)</f>
        <v>26</v>
      </c>
      <c r="F16" s="4898"/>
      <c r="G16" s="4653">
        <f>(E7)/(E16)</f>
        <v>0.23076923076923078</v>
      </c>
      <c r="I16" s="5644">
        <v>1</v>
      </c>
      <c r="J16" s="5644">
        <v>4</v>
      </c>
      <c r="K16" s="5643" t="s">
        <v>2059</v>
      </c>
      <c r="L16" s="5649" t="s">
        <v>2707</v>
      </c>
      <c r="M16" s="5644">
        <v>1</v>
      </c>
      <c r="N16" s="5644">
        <v>3</v>
      </c>
      <c r="Q16" s="4375">
        <v>1</v>
      </c>
      <c r="R16" s="4375">
        <v>4</v>
      </c>
      <c r="S16" s="4893" t="s">
        <v>2059</v>
      </c>
      <c r="T16" s="4894" t="s">
        <v>2769</v>
      </c>
      <c r="U16" s="4895">
        <v>3</v>
      </c>
      <c r="V16" s="4379">
        <v>3</v>
      </c>
      <c r="Y16" s="4531">
        <v>1</v>
      </c>
      <c r="Z16" s="4531">
        <v>2</v>
      </c>
      <c r="AA16" s="4530" t="s">
        <v>2366</v>
      </c>
      <c r="AB16" s="4642" t="s">
        <v>2707</v>
      </c>
      <c r="AC16" s="4646">
        <v>6</v>
      </c>
      <c r="AD16" s="4641">
        <v>3</v>
      </c>
      <c r="AE16" s="4652"/>
      <c r="AF16" s="4476"/>
      <c r="AG16" s="36"/>
      <c r="AH16" s="36"/>
      <c r="AI16" s="36"/>
      <c r="AJ16" s="36" t="s">
        <v>2571</v>
      </c>
      <c r="AK16" s="1681">
        <v>1</v>
      </c>
      <c r="AL16" s="1681">
        <v>0</v>
      </c>
      <c r="AM16" s="1681"/>
      <c r="AN16" s="1681">
        <v>0</v>
      </c>
      <c r="AO16" s="1681"/>
      <c r="AP16" s="95"/>
      <c r="AQ16" s="95">
        <v>1</v>
      </c>
      <c r="AR16" s="393"/>
      <c r="AS16" s="27"/>
      <c r="AT16" s="36"/>
      <c r="AU16" s="36"/>
      <c r="AV16" s="36"/>
      <c r="AW16" s="393" t="s">
        <v>15</v>
      </c>
      <c r="AX16" s="1682">
        <v>1</v>
      </c>
      <c r="AY16" s="1682"/>
      <c r="AZ16" s="1682"/>
      <c r="BA16" s="1682">
        <v>14</v>
      </c>
      <c r="BB16" s="1682"/>
      <c r="BC16" s="4212"/>
      <c r="BD16" s="4212"/>
      <c r="BE16" s="4212"/>
      <c r="BF16" s="4212"/>
      <c r="BG16" s="4212">
        <v>15</v>
      </c>
      <c r="BH16" s="560">
        <f>+(BG13+BG14)/(BG16-BG15)</f>
        <v>0.9285714285714286</v>
      </c>
      <c r="BJ16" s="4215"/>
      <c r="BK16" s="4215"/>
      <c r="BL16" s="4215"/>
      <c r="BM16" s="4215" t="s">
        <v>1081</v>
      </c>
      <c r="BN16" s="4221"/>
      <c r="BO16" s="4221">
        <v>0</v>
      </c>
      <c r="BP16" s="4221">
        <v>4</v>
      </c>
      <c r="BQ16" s="4221"/>
      <c r="BR16" s="4221"/>
      <c r="BS16" s="4221"/>
      <c r="BT16" s="4221">
        <v>4</v>
      </c>
      <c r="BU16" s="4215"/>
      <c r="BW16" s="36"/>
      <c r="BX16" s="36"/>
      <c r="BY16" s="393"/>
      <c r="BZ16" s="393" t="s">
        <v>1081</v>
      </c>
      <c r="CA16" s="1682"/>
      <c r="CB16" s="1682"/>
      <c r="CC16" s="1682">
        <v>0</v>
      </c>
      <c r="CD16" s="1682">
        <v>15</v>
      </c>
      <c r="CE16" s="1682"/>
      <c r="CF16" s="2041"/>
      <c r="CG16" s="2041"/>
      <c r="CH16" s="2041"/>
      <c r="CI16" s="2041">
        <v>15</v>
      </c>
      <c r="CJ16" s="36"/>
      <c r="CO16" s="36" t="s">
        <v>1076</v>
      </c>
      <c r="CP16" s="1681">
        <v>0</v>
      </c>
      <c r="CQ16" s="1681"/>
      <c r="CR16" s="1681">
        <v>0</v>
      </c>
      <c r="CS16" s="1681">
        <v>2</v>
      </c>
      <c r="CT16" s="95"/>
      <c r="CU16" s="95"/>
      <c r="CV16" s="95">
        <v>2</v>
      </c>
      <c r="CY16" s="95"/>
      <c r="DB16" s="36" t="s">
        <v>1076</v>
      </c>
      <c r="DC16" s="1484">
        <v>0</v>
      </c>
      <c r="DD16" s="1484">
        <v>0</v>
      </c>
      <c r="DE16" s="1484">
        <v>2</v>
      </c>
      <c r="DF16" s="1484"/>
      <c r="DG16" s="95"/>
      <c r="DH16" s="95"/>
      <c r="DI16" s="95">
        <v>2</v>
      </c>
      <c r="DL16" s="1191"/>
      <c r="DM16" s="1191"/>
      <c r="DN16" s="1191"/>
      <c r="DO16" s="1192" t="s">
        <v>1081</v>
      </c>
      <c r="DP16" s="1193"/>
      <c r="DQ16" s="1193"/>
      <c r="DR16" s="1193"/>
      <c r="DS16" s="1194">
        <v>6</v>
      </c>
      <c r="DT16" s="1193"/>
      <c r="DU16" s="1195"/>
      <c r="DV16" s="1196">
        <v>6</v>
      </c>
      <c r="DW16" s="1187"/>
      <c r="DY16" s="427"/>
      <c r="DZ16" s="427"/>
      <c r="EA16" s="428"/>
      <c r="EB16" s="429" t="s">
        <v>1076</v>
      </c>
      <c r="EC16" s="430">
        <v>0</v>
      </c>
      <c r="ED16" s="430">
        <v>0</v>
      </c>
      <c r="EE16" s="430">
        <v>1</v>
      </c>
      <c r="EF16" s="431"/>
      <c r="EG16" s="427"/>
      <c r="EH16" s="432">
        <v>1</v>
      </c>
      <c r="EI16" s="36"/>
      <c r="EK16" s="433"/>
      <c r="EL16" s="433"/>
      <c r="EM16" s="434"/>
      <c r="EN16" s="435" t="s">
        <v>1076</v>
      </c>
      <c r="EO16" s="436">
        <v>0</v>
      </c>
      <c r="EP16" s="437"/>
      <c r="EQ16" s="436">
        <v>3</v>
      </c>
      <c r="ER16" s="436">
        <v>0</v>
      </c>
      <c r="ES16" s="438"/>
      <c r="ET16" s="438"/>
      <c r="EU16" s="439">
        <v>3</v>
      </c>
      <c r="EV16" s="440"/>
      <c r="EX16" s="441"/>
      <c r="EY16" s="441"/>
      <c r="EZ16" s="441"/>
      <c r="FA16" s="462" t="s">
        <v>15</v>
      </c>
      <c r="FB16" s="464">
        <v>1</v>
      </c>
      <c r="FC16" s="463"/>
      <c r="FD16" s="464">
        <v>9</v>
      </c>
      <c r="FE16" s="463"/>
      <c r="FF16" s="463"/>
      <c r="FG16" s="464">
        <v>10</v>
      </c>
      <c r="FH16" s="465">
        <f>+(FG15+FG14)/FG16</f>
        <v>0.8</v>
      </c>
      <c r="FJ16" s="95"/>
      <c r="FK16" s="95" t="s">
        <v>103</v>
      </c>
      <c r="FL16" s="36" t="s">
        <v>104</v>
      </c>
      <c r="FM16" s="36" t="s">
        <v>1071</v>
      </c>
      <c r="FN16" s="95">
        <v>0</v>
      </c>
      <c r="FO16" s="95">
        <v>0</v>
      </c>
      <c r="FP16" s="95">
        <v>0</v>
      </c>
      <c r="FQ16" s="95">
        <v>0</v>
      </c>
      <c r="FR16" s="95">
        <v>29</v>
      </c>
      <c r="FS16" s="95">
        <v>29</v>
      </c>
      <c r="FU16" s="37"/>
      <c r="FV16" s="616"/>
      <c r="FW16" s="4357"/>
      <c r="FX16" s="616"/>
      <c r="FY16" s="616" t="s">
        <v>1081</v>
      </c>
      <c r="FZ16" s="616">
        <v>0</v>
      </c>
      <c r="GA16" s="616">
        <v>0</v>
      </c>
      <c r="GB16" s="616">
        <v>0</v>
      </c>
      <c r="GC16" s="616">
        <v>1</v>
      </c>
      <c r="GD16" s="616">
        <v>20</v>
      </c>
      <c r="GE16" s="616">
        <v>0</v>
      </c>
      <c r="GF16" s="616">
        <v>21</v>
      </c>
      <c r="GG16" s="616"/>
      <c r="GH16" s="617"/>
      <c r="GI16" s="37"/>
    </row>
    <row r="17" spans="1:191">
      <c r="A17" s="4375">
        <v>1</v>
      </c>
      <c r="B17" s="4375">
        <v>4</v>
      </c>
      <c r="C17" s="4893" t="s">
        <v>2059</v>
      </c>
      <c r="D17" s="6114" t="s">
        <v>2707</v>
      </c>
      <c r="E17" s="6115">
        <v>2</v>
      </c>
      <c r="F17" s="6115">
        <v>3</v>
      </c>
      <c r="G17" s="1"/>
      <c r="I17" s="5644">
        <v>1</v>
      </c>
      <c r="J17" s="5644">
        <v>4</v>
      </c>
      <c r="K17" s="5643" t="s">
        <v>2059</v>
      </c>
      <c r="L17" s="5649" t="s">
        <v>1076</v>
      </c>
      <c r="M17" s="5644">
        <v>2</v>
      </c>
      <c r="N17" s="5644">
        <v>3</v>
      </c>
      <c r="Q17" s="4375">
        <v>1</v>
      </c>
      <c r="R17" s="4375">
        <v>4</v>
      </c>
      <c r="S17" s="4888" t="s">
        <v>2059</v>
      </c>
      <c r="T17" s="4889" t="s">
        <v>2707</v>
      </c>
      <c r="U17" s="4890">
        <v>1</v>
      </c>
      <c r="V17" s="4375">
        <v>3</v>
      </c>
      <c r="Y17" s="4649"/>
      <c r="Z17" s="4693"/>
      <c r="AA17" s="4651"/>
      <c r="AB17" s="4651" t="s">
        <v>15</v>
      </c>
      <c r="AC17" s="4651">
        <f>SUM(AC15:AC16)</f>
        <v>8</v>
      </c>
      <c r="AD17" s="4651"/>
      <c r="AE17" s="4653">
        <f>(AC16)/(AC17)</f>
        <v>0.75</v>
      </c>
      <c r="AF17" s="4476"/>
      <c r="AG17" s="36"/>
      <c r="AH17" s="36"/>
      <c r="AI17" s="36"/>
      <c r="AJ17" s="36" t="s">
        <v>15</v>
      </c>
      <c r="AK17" s="1681">
        <v>1</v>
      </c>
      <c r="AL17" s="1681">
        <v>2</v>
      </c>
      <c r="AM17" s="1681"/>
      <c r="AN17" s="1681">
        <v>6</v>
      </c>
      <c r="AO17" s="1681"/>
      <c r="AP17" s="95"/>
      <c r="AQ17" s="95">
        <v>9</v>
      </c>
      <c r="AR17" s="4536">
        <f>+AN15/(AQ17-AQ16)</f>
        <v>0.25</v>
      </c>
      <c r="AS17" s="4533"/>
      <c r="AT17" s="36"/>
      <c r="AU17" s="36" t="s">
        <v>21</v>
      </c>
      <c r="AV17" s="36" t="s">
        <v>729</v>
      </c>
      <c r="AW17" s="36" t="s">
        <v>1072</v>
      </c>
      <c r="AX17" s="1681"/>
      <c r="AY17" s="1681"/>
      <c r="AZ17" s="1681">
        <v>1</v>
      </c>
      <c r="BA17" s="1681">
        <v>1</v>
      </c>
      <c r="BB17" s="1681"/>
      <c r="BC17" s="95"/>
      <c r="BD17" s="95"/>
      <c r="BE17" s="95"/>
      <c r="BF17" s="95"/>
      <c r="BG17" s="95">
        <v>2</v>
      </c>
      <c r="BH17" s="36"/>
      <c r="BJ17" s="4215"/>
      <c r="BK17" s="4215"/>
      <c r="BL17" s="4215"/>
      <c r="BM17" s="4222" t="s">
        <v>15</v>
      </c>
      <c r="BN17" s="4223"/>
      <c r="BO17" s="4223">
        <v>1</v>
      </c>
      <c r="BP17" s="4223">
        <v>5</v>
      </c>
      <c r="BQ17" s="4223"/>
      <c r="BR17" s="4223"/>
      <c r="BS17" s="4223"/>
      <c r="BT17" s="4223">
        <v>6</v>
      </c>
      <c r="BU17" s="4224">
        <f>+BT16/BT17</f>
        <v>0.66666666666666663</v>
      </c>
      <c r="BW17" s="36"/>
      <c r="BX17" s="36"/>
      <c r="BY17" s="393"/>
      <c r="BZ17" s="393" t="s">
        <v>1142</v>
      </c>
      <c r="CA17" s="1682"/>
      <c r="CB17" s="1682"/>
      <c r="CC17" s="1682">
        <v>0</v>
      </c>
      <c r="CD17" s="1682">
        <v>2</v>
      </c>
      <c r="CE17" s="1682"/>
      <c r="CF17" s="2041"/>
      <c r="CG17" s="2041"/>
      <c r="CH17" s="2041"/>
      <c r="CI17" s="2041">
        <v>2</v>
      </c>
      <c r="CJ17" s="36"/>
      <c r="CO17" s="36" t="s">
        <v>1081</v>
      </c>
      <c r="CP17" s="1681">
        <v>0</v>
      </c>
      <c r="CQ17" s="1681"/>
      <c r="CR17" s="1681">
        <v>1</v>
      </c>
      <c r="CS17" s="1681">
        <v>5</v>
      </c>
      <c r="CT17" s="95"/>
      <c r="CU17" s="95"/>
      <c r="CV17" s="95">
        <v>6</v>
      </c>
      <c r="CY17" s="95"/>
      <c r="DB17" s="36" t="s">
        <v>1081</v>
      </c>
      <c r="DC17" s="1484">
        <v>0</v>
      </c>
      <c r="DD17" s="1484">
        <v>0</v>
      </c>
      <c r="DE17" s="1484">
        <v>14</v>
      </c>
      <c r="DF17" s="1484"/>
      <c r="DG17" s="95"/>
      <c r="DH17" s="95"/>
      <c r="DI17" s="95">
        <v>14</v>
      </c>
      <c r="DL17" s="1191"/>
      <c r="DM17" s="1191"/>
      <c r="DN17" s="1191"/>
      <c r="DO17" s="1192" t="s">
        <v>1142</v>
      </c>
      <c r="DP17" s="1193"/>
      <c r="DQ17" s="1193"/>
      <c r="DR17" s="1193"/>
      <c r="DS17" s="1194">
        <v>3</v>
      </c>
      <c r="DT17" s="1193"/>
      <c r="DU17" s="1195"/>
      <c r="DV17" s="1196">
        <v>3</v>
      </c>
      <c r="DW17" s="1187"/>
      <c r="DY17" s="427"/>
      <c r="DZ17" s="427"/>
      <c r="EA17" s="428"/>
      <c r="EB17" s="429" t="s">
        <v>1081</v>
      </c>
      <c r="EC17" s="430">
        <v>0</v>
      </c>
      <c r="ED17" s="430">
        <v>0</v>
      </c>
      <c r="EE17" s="430">
        <v>16</v>
      </c>
      <c r="EF17" s="431"/>
      <c r="EG17" s="427"/>
      <c r="EH17" s="432">
        <v>16</v>
      </c>
      <c r="EI17" s="36"/>
      <c r="EK17" s="433"/>
      <c r="EL17" s="433"/>
      <c r="EM17" s="434"/>
      <c r="EN17" s="435" t="s">
        <v>1081</v>
      </c>
      <c r="EO17" s="436">
        <v>0</v>
      </c>
      <c r="EP17" s="437"/>
      <c r="EQ17" s="436">
        <v>3</v>
      </c>
      <c r="ER17" s="436">
        <v>0</v>
      </c>
      <c r="ES17" s="438"/>
      <c r="ET17" s="438"/>
      <c r="EU17" s="439">
        <v>3</v>
      </c>
      <c r="EV17" s="440"/>
      <c r="EX17" s="441"/>
      <c r="EY17" s="441"/>
      <c r="FJ17" s="95"/>
      <c r="FK17" s="95"/>
      <c r="FM17" s="36" t="s">
        <v>1072</v>
      </c>
      <c r="FN17" s="95">
        <v>2</v>
      </c>
      <c r="FO17" s="95">
        <v>3</v>
      </c>
      <c r="FP17" s="95">
        <v>5</v>
      </c>
      <c r="FQ17" s="95">
        <v>0</v>
      </c>
      <c r="FR17" s="95">
        <v>0</v>
      </c>
      <c r="FS17" s="95">
        <v>10</v>
      </c>
      <c r="FU17" s="37"/>
      <c r="FV17" s="616"/>
      <c r="FW17" s="4357"/>
      <c r="FX17" s="616"/>
      <c r="FY17" s="627" t="s">
        <v>15</v>
      </c>
      <c r="FZ17" s="627">
        <v>0</v>
      </c>
      <c r="GA17" s="627">
        <v>2</v>
      </c>
      <c r="GB17" s="627">
        <v>5</v>
      </c>
      <c r="GC17" s="627">
        <v>9</v>
      </c>
      <c r="GD17" s="627">
        <v>24</v>
      </c>
      <c r="GE17" s="627">
        <v>10</v>
      </c>
      <c r="GF17" s="627">
        <v>50</v>
      </c>
      <c r="GG17" s="628">
        <f>+(GF16+GF13)/GF17</f>
        <v>0.44</v>
      </c>
      <c r="GH17" s="617">
        <f>+GF13+GF16</f>
        <v>22</v>
      </c>
      <c r="GI17" s="37"/>
    </row>
    <row r="18" spans="1:191">
      <c r="A18" s="6091"/>
      <c r="B18" s="6091"/>
      <c r="C18" s="6093"/>
      <c r="D18" s="6110" t="s">
        <v>1076</v>
      </c>
      <c r="E18" s="6116">
        <v>2</v>
      </c>
      <c r="F18" s="6116">
        <v>3</v>
      </c>
      <c r="G18" s="1"/>
      <c r="I18" s="5644"/>
      <c r="J18" s="5644"/>
      <c r="K18" s="5643"/>
      <c r="L18" s="5649"/>
      <c r="M18" s="5650">
        <f>SUM(M15:M17)</f>
        <v>6</v>
      </c>
      <c r="N18" s="5644"/>
      <c r="O18" s="4891">
        <f>(M15+M16+M17)/(M18)</f>
        <v>1</v>
      </c>
      <c r="Q18" s="4375">
        <v>1</v>
      </c>
      <c r="R18" s="4375">
        <v>4</v>
      </c>
      <c r="S18" s="4888" t="s">
        <v>2059</v>
      </c>
      <c r="T18" s="4889" t="s">
        <v>1076</v>
      </c>
      <c r="U18" s="4890">
        <v>2</v>
      </c>
      <c r="V18" s="4375">
        <v>3</v>
      </c>
      <c r="Y18" s="4649"/>
      <c r="Z18" s="4691"/>
      <c r="AA18" s="4692"/>
      <c r="AB18" s="4687" t="s">
        <v>2754</v>
      </c>
      <c r="AC18" s="4688">
        <f>SUM(AC8:AC9,AC13,AC16)</f>
        <v>26</v>
      </c>
      <c r="AD18" s="4692"/>
      <c r="AE18" s="4655"/>
      <c r="AF18" s="4476"/>
      <c r="AG18" s="36"/>
      <c r="AH18" s="36"/>
      <c r="AI18" s="393" t="s">
        <v>483</v>
      </c>
      <c r="AJ18" s="36" t="s">
        <v>1071</v>
      </c>
      <c r="AK18" s="1681">
        <v>0</v>
      </c>
      <c r="AL18" s="1681">
        <v>0</v>
      </c>
      <c r="AM18" s="1681">
        <v>0</v>
      </c>
      <c r="AN18" s="1681">
        <v>0</v>
      </c>
      <c r="AO18" s="1681">
        <v>1</v>
      </c>
      <c r="AP18" s="95"/>
      <c r="AQ18" s="95">
        <v>1</v>
      </c>
      <c r="AR18" s="393"/>
      <c r="AS18" s="27"/>
      <c r="AT18" s="36"/>
      <c r="AU18" s="36"/>
      <c r="AV18" s="36"/>
      <c r="AW18" s="36" t="s">
        <v>1076</v>
      </c>
      <c r="AX18" s="1681"/>
      <c r="AY18" s="1681"/>
      <c r="AZ18" s="1681">
        <v>0</v>
      </c>
      <c r="BA18" s="1681">
        <v>1</v>
      </c>
      <c r="BB18" s="1681"/>
      <c r="BC18" s="95"/>
      <c r="BD18" s="95"/>
      <c r="BE18" s="95"/>
      <c r="BF18" s="95"/>
      <c r="BG18" s="95">
        <v>1</v>
      </c>
      <c r="BH18" s="36"/>
      <c r="BJ18" s="4215"/>
      <c r="BK18" s="4215"/>
      <c r="BL18" s="4215" t="s">
        <v>1454</v>
      </c>
      <c r="BM18" s="4215" t="s">
        <v>1072</v>
      </c>
      <c r="BN18" s="4221"/>
      <c r="BO18" s="4221"/>
      <c r="BP18" s="4221">
        <v>7</v>
      </c>
      <c r="BQ18" s="4221"/>
      <c r="BR18" s="4221"/>
      <c r="BS18" s="4221"/>
      <c r="BT18" s="4221">
        <v>7</v>
      </c>
      <c r="BU18" s="4215"/>
      <c r="BW18" s="36"/>
      <c r="BX18" s="36"/>
      <c r="BY18" s="393"/>
      <c r="BZ18" s="393" t="s">
        <v>483</v>
      </c>
      <c r="CA18" s="1682"/>
      <c r="CB18" s="1682"/>
      <c r="CC18" s="1682">
        <v>2</v>
      </c>
      <c r="CD18" s="1682">
        <v>18</v>
      </c>
      <c r="CE18" s="1682"/>
      <c r="CF18" s="2041"/>
      <c r="CG18" s="2041"/>
      <c r="CH18" s="2041"/>
      <c r="CI18" s="2041">
        <v>20</v>
      </c>
      <c r="CJ18" s="560">
        <f>+(CI17+CI16+CI15)/CI18</f>
        <v>0.9</v>
      </c>
      <c r="CO18" s="36" t="s">
        <v>2264</v>
      </c>
      <c r="CP18" s="1681">
        <v>0</v>
      </c>
      <c r="CQ18" s="1681"/>
      <c r="CR18" s="1681">
        <v>0</v>
      </c>
      <c r="CS18" s="1681">
        <v>1</v>
      </c>
      <c r="CT18" s="95"/>
      <c r="CU18" s="95"/>
      <c r="CV18" s="95">
        <v>1</v>
      </c>
      <c r="CY18" s="95"/>
      <c r="DB18" s="36" t="s">
        <v>1142</v>
      </c>
      <c r="DC18" s="1484">
        <v>0</v>
      </c>
      <c r="DD18" s="1484">
        <v>0</v>
      </c>
      <c r="DE18" s="1484">
        <v>7</v>
      </c>
      <c r="DF18" s="1484"/>
      <c r="DG18" s="95"/>
      <c r="DH18" s="95"/>
      <c r="DI18" s="95">
        <v>7</v>
      </c>
      <c r="DL18" s="1191"/>
      <c r="DM18" s="1191"/>
      <c r="DN18" s="1191"/>
      <c r="DO18" s="1186" t="s">
        <v>483</v>
      </c>
      <c r="DP18" s="1197"/>
      <c r="DQ18" s="1197"/>
      <c r="DR18" s="1197"/>
      <c r="DS18" s="1198">
        <v>18</v>
      </c>
      <c r="DT18" s="1197"/>
      <c r="DU18" s="1199"/>
      <c r="DV18" s="1200">
        <v>18</v>
      </c>
      <c r="DW18" s="1178">
        <f>+(DV15+DV16+DV17)/DV18</f>
        <v>0.72222222222222221</v>
      </c>
      <c r="DY18" s="427"/>
      <c r="DZ18" s="427"/>
      <c r="EA18" s="428"/>
      <c r="EB18" s="429" t="s">
        <v>1142</v>
      </c>
      <c r="EC18" s="430">
        <v>0</v>
      </c>
      <c r="ED18" s="430">
        <v>0</v>
      </c>
      <c r="EE18" s="430">
        <v>4</v>
      </c>
      <c r="EF18" s="431"/>
      <c r="EG18" s="427"/>
      <c r="EH18" s="432">
        <v>4</v>
      </c>
      <c r="EI18" s="36"/>
      <c r="EK18" s="433"/>
      <c r="EL18" s="433"/>
      <c r="EM18" s="434"/>
      <c r="EN18" s="435" t="s">
        <v>1142</v>
      </c>
      <c r="EO18" s="436">
        <v>0</v>
      </c>
      <c r="EP18" s="437"/>
      <c r="EQ18" s="436">
        <v>5</v>
      </c>
      <c r="ER18" s="436">
        <v>0</v>
      </c>
      <c r="ES18" s="438"/>
      <c r="ET18" s="438"/>
      <c r="EU18" s="439">
        <v>5</v>
      </c>
      <c r="EV18" s="440"/>
      <c r="EX18" s="441"/>
      <c r="EY18" s="441"/>
      <c r="FJ18" s="95"/>
      <c r="FK18" s="95"/>
      <c r="FM18" s="36" t="s">
        <v>1074</v>
      </c>
      <c r="FN18" s="95">
        <v>0</v>
      </c>
      <c r="FO18" s="95">
        <v>1</v>
      </c>
      <c r="FP18" s="95">
        <v>0</v>
      </c>
      <c r="FQ18" s="95">
        <v>0</v>
      </c>
      <c r="FR18" s="95">
        <v>0</v>
      </c>
      <c r="FS18" s="95">
        <v>1</v>
      </c>
      <c r="FU18" s="37"/>
      <c r="FV18" s="616" t="s">
        <v>25</v>
      </c>
      <c r="FW18" s="4357" t="s">
        <v>16</v>
      </c>
      <c r="FX18" s="616" t="s">
        <v>106</v>
      </c>
      <c r="FY18" s="616" t="s">
        <v>1072</v>
      </c>
      <c r="FZ18" s="616">
        <v>0</v>
      </c>
      <c r="GA18" s="616">
        <v>3</v>
      </c>
      <c r="GB18" s="616">
        <v>28</v>
      </c>
      <c r="GC18" s="616">
        <v>66</v>
      </c>
      <c r="GD18" s="616">
        <v>0</v>
      </c>
      <c r="GE18" s="616">
        <v>0</v>
      </c>
      <c r="GF18" s="616">
        <v>97</v>
      </c>
      <c r="GG18" s="616"/>
      <c r="GH18" s="617"/>
      <c r="GI18" s="37"/>
    </row>
    <row r="19" spans="1:191">
      <c r="A19" s="6091"/>
      <c r="B19" s="6091"/>
      <c r="C19" s="6093"/>
      <c r="D19" s="6099" t="s">
        <v>3027</v>
      </c>
      <c r="E19" s="6117">
        <v>1</v>
      </c>
      <c r="F19" s="6094">
        <v>4</v>
      </c>
      <c r="G19" s="1"/>
      <c r="I19" s="5644">
        <v>1</v>
      </c>
      <c r="J19" s="5644">
        <v>4</v>
      </c>
      <c r="K19" s="5643" t="s">
        <v>2724</v>
      </c>
      <c r="L19" s="5643" t="s">
        <v>2709</v>
      </c>
      <c r="M19" s="5644">
        <v>1</v>
      </c>
      <c r="N19" s="5644">
        <v>2</v>
      </c>
      <c r="O19" s="4891">
        <v>0</v>
      </c>
      <c r="Q19" s="4375"/>
      <c r="R19" s="4375"/>
      <c r="S19" s="4888"/>
      <c r="T19" s="4650" t="s">
        <v>15</v>
      </c>
      <c r="U19" s="4378">
        <f>SUM(U16:U18)</f>
        <v>6</v>
      </c>
      <c r="V19" s="4375"/>
      <c r="W19" s="4891">
        <f>(U16+U17+U18)/(U19)</f>
        <v>1</v>
      </c>
      <c r="Y19" s="4516"/>
      <c r="Z19" s="4516"/>
      <c r="AA19" s="4647" t="s">
        <v>2772</v>
      </c>
      <c r="AB19" s="4518"/>
      <c r="AC19" s="4651">
        <f>SUM(AC17,AC14,AC11)</f>
        <v>31</v>
      </c>
      <c r="AD19" s="4651"/>
      <c r="AE19" s="4659">
        <f>(AC18)/(AC19)</f>
        <v>0.83870967741935487</v>
      </c>
      <c r="AF19" s="4476"/>
      <c r="AG19" s="36"/>
      <c r="AH19" s="36"/>
      <c r="AI19" s="36"/>
      <c r="AJ19" s="36" t="s">
        <v>1072</v>
      </c>
      <c r="AK19" s="1681">
        <v>0</v>
      </c>
      <c r="AL19" s="1681">
        <v>0</v>
      </c>
      <c r="AM19" s="1681">
        <v>0</v>
      </c>
      <c r="AN19" s="1681">
        <v>19</v>
      </c>
      <c r="AO19" s="1681">
        <v>0</v>
      </c>
      <c r="AP19" s="95"/>
      <c r="AQ19" s="95">
        <v>19</v>
      </c>
      <c r="AR19" s="393"/>
      <c r="AS19" s="27"/>
      <c r="AT19" s="36"/>
      <c r="AU19" s="36"/>
      <c r="AV19" s="36"/>
      <c r="AW19" s="36" t="s">
        <v>1081</v>
      </c>
      <c r="AX19" s="1681"/>
      <c r="AY19" s="1681"/>
      <c r="AZ19" s="1681">
        <v>0</v>
      </c>
      <c r="BA19" s="1681">
        <v>3</v>
      </c>
      <c r="BB19" s="1681"/>
      <c r="BC19" s="95"/>
      <c r="BD19" s="95"/>
      <c r="BE19" s="95"/>
      <c r="BF19" s="95"/>
      <c r="BG19" s="95">
        <v>3</v>
      </c>
      <c r="BH19" s="36"/>
      <c r="BJ19" s="4215"/>
      <c r="BK19" s="4215"/>
      <c r="BL19" s="4215"/>
      <c r="BM19" s="4222" t="s">
        <v>15</v>
      </c>
      <c r="BN19" s="4223"/>
      <c r="BO19" s="4223"/>
      <c r="BP19" s="4223">
        <v>7</v>
      </c>
      <c r="BQ19" s="4223"/>
      <c r="BR19" s="4223"/>
      <c r="BS19" s="4223"/>
      <c r="BT19" s="4223">
        <v>7</v>
      </c>
      <c r="BU19" s="4224">
        <v>0</v>
      </c>
      <c r="BW19" s="36"/>
      <c r="BX19" s="36" t="s">
        <v>21</v>
      </c>
      <c r="BY19" s="36" t="s">
        <v>729</v>
      </c>
      <c r="BZ19" s="36" t="s">
        <v>1072</v>
      </c>
      <c r="CA19" s="1681"/>
      <c r="CB19" s="1681"/>
      <c r="CC19" s="1681"/>
      <c r="CD19" s="1681">
        <v>3</v>
      </c>
      <c r="CE19" s="1681"/>
      <c r="CF19" s="95"/>
      <c r="CG19" s="95"/>
      <c r="CH19" s="95"/>
      <c r="CI19" s="95">
        <v>3</v>
      </c>
      <c r="CJ19" s="36"/>
      <c r="CO19" s="393" t="s">
        <v>15</v>
      </c>
      <c r="CP19" s="1682">
        <v>1</v>
      </c>
      <c r="CQ19" s="1682"/>
      <c r="CR19" s="1682">
        <v>1</v>
      </c>
      <c r="CS19" s="1682">
        <v>8</v>
      </c>
      <c r="CT19" s="4212"/>
      <c r="CU19" s="4212"/>
      <c r="CV19" s="4212">
        <v>10</v>
      </c>
      <c r="CW19" s="560">
        <f>+(CV16+CV17)/CV19</f>
        <v>0.8</v>
      </c>
      <c r="CY19" s="95"/>
      <c r="DB19" s="393" t="s">
        <v>483</v>
      </c>
      <c r="DC19" s="1485">
        <v>4</v>
      </c>
      <c r="DD19" s="1485">
        <v>1</v>
      </c>
      <c r="DE19" s="1485">
        <v>25</v>
      </c>
      <c r="DF19" s="1485"/>
      <c r="DG19" s="4212"/>
      <c r="DH19" s="4212"/>
      <c r="DI19" s="4212">
        <v>30</v>
      </c>
      <c r="DJ19" s="560">
        <f>+(DI16+DI17+DI18)/DI19</f>
        <v>0.76666666666666672</v>
      </c>
      <c r="DL19" s="1191"/>
      <c r="DM19" s="1191" t="s">
        <v>103</v>
      </c>
      <c r="DN19" s="1191" t="s">
        <v>104</v>
      </c>
      <c r="DO19" s="1192" t="s">
        <v>1072</v>
      </c>
      <c r="DP19" s="1194">
        <v>0</v>
      </c>
      <c r="DQ19" s="1193"/>
      <c r="DR19" s="1193"/>
      <c r="DS19" s="1194">
        <v>10</v>
      </c>
      <c r="DT19" s="1193"/>
      <c r="DU19" s="1195"/>
      <c r="DV19" s="1196">
        <v>10</v>
      </c>
      <c r="DW19" s="1187"/>
      <c r="DY19" s="427"/>
      <c r="DZ19" s="427"/>
      <c r="EA19" s="428"/>
      <c r="EB19" s="451" t="s">
        <v>483</v>
      </c>
      <c r="EC19" s="452">
        <v>2</v>
      </c>
      <c r="ED19" s="452">
        <v>2</v>
      </c>
      <c r="EE19" s="452">
        <v>25</v>
      </c>
      <c r="EF19" s="453"/>
      <c r="EG19" s="454"/>
      <c r="EH19" s="455">
        <v>29</v>
      </c>
      <c r="EI19" s="456">
        <f>+(EH16+EH17+EH18)/EH19</f>
        <v>0.72413793103448276</v>
      </c>
      <c r="EK19" s="433"/>
      <c r="EL19" s="433"/>
      <c r="EM19" s="434"/>
      <c r="EN19" s="457" t="s">
        <v>483</v>
      </c>
      <c r="EO19" s="458">
        <v>1</v>
      </c>
      <c r="EP19" s="459"/>
      <c r="EQ19" s="458">
        <v>15</v>
      </c>
      <c r="ER19" s="458">
        <v>1</v>
      </c>
      <c r="ES19" s="460"/>
      <c r="ET19" s="460"/>
      <c r="EU19" s="461">
        <v>17</v>
      </c>
      <c r="EV19" s="440">
        <f>+(EU18+EU17+EU16)/EU19</f>
        <v>0.6470588235294118</v>
      </c>
      <c r="EX19" s="441"/>
      <c r="EY19" s="441"/>
      <c r="FJ19" s="95"/>
      <c r="FK19" s="95"/>
      <c r="FM19" s="36" t="s">
        <v>1076</v>
      </c>
      <c r="FN19" s="95">
        <v>0</v>
      </c>
      <c r="FO19" s="95">
        <v>0</v>
      </c>
      <c r="FP19" s="95">
        <v>1</v>
      </c>
      <c r="FQ19" s="95">
        <v>7</v>
      </c>
      <c r="FR19" s="95">
        <v>0</v>
      </c>
      <c r="FS19" s="95">
        <v>8</v>
      </c>
      <c r="FU19" s="37"/>
      <c r="FV19" s="616"/>
      <c r="FW19" s="4357"/>
      <c r="FX19" s="616"/>
      <c r="FY19" s="616" t="s">
        <v>1076</v>
      </c>
      <c r="FZ19" s="616">
        <v>0</v>
      </c>
      <c r="GA19" s="616">
        <v>0</v>
      </c>
      <c r="GB19" s="616">
        <v>0</v>
      </c>
      <c r="GC19" s="616">
        <v>2</v>
      </c>
      <c r="GD19" s="616">
        <v>1</v>
      </c>
      <c r="GE19" s="616">
        <v>0</v>
      </c>
      <c r="GF19" s="616">
        <v>3</v>
      </c>
      <c r="GG19" s="616"/>
      <c r="GH19" s="617"/>
      <c r="GI19" s="37"/>
    </row>
    <row r="20" spans="1:191" ht="24">
      <c r="A20" s="4375"/>
      <c r="B20" s="4375"/>
      <c r="C20" s="4888"/>
      <c r="D20" s="6100" t="s">
        <v>2709</v>
      </c>
      <c r="E20" s="6105">
        <v>1</v>
      </c>
      <c r="F20" s="4375">
        <v>1</v>
      </c>
      <c r="G20" s="1"/>
      <c r="I20" s="5644">
        <v>1</v>
      </c>
      <c r="J20" s="5644">
        <v>4</v>
      </c>
      <c r="K20" s="5643" t="s">
        <v>1454</v>
      </c>
      <c r="L20" s="5649" t="s">
        <v>2707</v>
      </c>
      <c r="M20" s="5644">
        <v>7</v>
      </c>
      <c r="N20" s="5644">
        <v>3</v>
      </c>
      <c r="Q20" s="4375">
        <v>1</v>
      </c>
      <c r="R20" s="4375">
        <v>4</v>
      </c>
      <c r="S20" s="4888" t="s">
        <v>2724</v>
      </c>
      <c r="T20" s="4888" t="s">
        <v>2709</v>
      </c>
      <c r="U20" s="4375">
        <v>1</v>
      </c>
      <c r="V20" s="4375">
        <v>2</v>
      </c>
      <c r="Y20" s="4636">
        <v>2</v>
      </c>
      <c r="Z20" s="4636">
        <v>2</v>
      </c>
      <c r="AA20" s="4637" t="s">
        <v>2725</v>
      </c>
      <c r="AB20" s="4637" t="s">
        <v>2709</v>
      </c>
      <c r="AC20" s="4641">
        <v>1</v>
      </c>
      <c r="AD20" s="4641">
        <v>2</v>
      </c>
      <c r="AE20" s="4652"/>
      <c r="AF20" s="4476"/>
      <c r="AG20" s="36"/>
      <c r="AH20" s="36"/>
      <c r="AI20" s="36"/>
      <c r="AJ20" s="36" t="s">
        <v>1074</v>
      </c>
      <c r="AK20" s="1681">
        <v>0</v>
      </c>
      <c r="AL20" s="1681">
        <v>2</v>
      </c>
      <c r="AM20" s="1681">
        <v>1</v>
      </c>
      <c r="AN20" s="1681">
        <v>0</v>
      </c>
      <c r="AO20" s="1681">
        <v>0</v>
      </c>
      <c r="AP20" s="95"/>
      <c r="AQ20" s="95">
        <v>3</v>
      </c>
      <c r="AR20" s="393"/>
      <c r="AS20" s="27"/>
      <c r="AT20" s="36"/>
      <c r="AU20" s="36"/>
      <c r="AV20" s="36"/>
      <c r="AW20" s="393" t="s">
        <v>15</v>
      </c>
      <c r="AX20" s="1682"/>
      <c r="AY20" s="1682"/>
      <c r="AZ20" s="1682">
        <v>1</v>
      </c>
      <c r="BA20" s="1682">
        <v>5</v>
      </c>
      <c r="BB20" s="1682"/>
      <c r="BC20" s="4212"/>
      <c r="BD20" s="4212"/>
      <c r="BE20" s="4212"/>
      <c r="BF20" s="4212"/>
      <c r="BG20" s="4212">
        <v>6</v>
      </c>
      <c r="BH20" s="560">
        <f>+(BG18+BG19)/BG20</f>
        <v>0.66666666666666663</v>
      </c>
      <c r="BJ20" s="4215"/>
      <c r="BK20" s="4215"/>
      <c r="BL20" s="4222" t="s">
        <v>484</v>
      </c>
      <c r="BM20" s="4222" t="s">
        <v>1072</v>
      </c>
      <c r="BN20" s="4223"/>
      <c r="BO20" s="4223">
        <v>1</v>
      </c>
      <c r="BP20" s="4223">
        <v>8</v>
      </c>
      <c r="BQ20" s="4223"/>
      <c r="BR20" s="4223"/>
      <c r="BS20" s="4223"/>
      <c r="BT20" s="4223">
        <v>9</v>
      </c>
      <c r="BU20" s="4224"/>
      <c r="BW20" s="36"/>
      <c r="BX20" s="36"/>
      <c r="BY20" s="36"/>
      <c r="BZ20" s="36" t="s">
        <v>1076</v>
      </c>
      <c r="CA20" s="1681"/>
      <c r="CB20" s="1681"/>
      <c r="CC20" s="1681"/>
      <c r="CD20" s="1681">
        <v>2</v>
      </c>
      <c r="CE20" s="1681"/>
      <c r="CF20" s="95"/>
      <c r="CG20" s="95"/>
      <c r="CH20" s="95"/>
      <c r="CI20" s="95">
        <v>2</v>
      </c>
      <c r="CJ20" s="36"/>
      <c r="CN20" s="36" t="s">
        <v>484</v>
      </c>
      <c r="CO20" s="36" t="s">
        <v>1074</v>
      </c>
      <c r="CP20" s="1681">
        <v>1</v>
      </c>
      <c r="CQ20" s="1681"/>
      <c r="CR20" s="1681">
        <v>0</v>
      </c>
      <c r="CS20" s="1681">
        <v>0</v>
      </c>
      <c r="CT20" s="95"/>
      <c r="CU20" s="95"/>
      <c r="CV20" s="95">
        <v>1</v>
      </c>
      <c r="CY20" s="95"/>
      <c r="DA20" s="36" t="s">
        <v>105</v>
      </c>
      <c r="DB20" s="36" t="s">
        <v>1072</v>
      </c>
      <c r="DC20" s="1484">
        <v>4</v>
      </c>
      <c r="DD20" s="1484">
        <v>1</v>
      </c>
      <c r="DE20" s="1484">
        <v>2</v>
      </c>
      <c r="DF20" s="1484"/>
      <c r="DG20" s="95"/>
      <c r="DH20" s="95"/>
      <c r="DI20" s="95">
        <v>7</v>
      </c>
      <c r="DL20" s="1191"/>
      <c r="DM20" s="1191"/>
      <c r="DN20" s="1191"/>
      <c r="DO20" s="1192" t="s">
        <v>1663</v>
      </c>
      <c r="DP20" s="1194">
        <v>4</v>
      </c>
      <c r="DQ20" s="1193"/>
      <c r="DR20" s="1193"/>
      <c r="DS20" s="1194">
        <v>0</v>
      </c>
      <c r="DT20" s="1193"/>
      <c r="DU20" s="1195"/>
      <c r="DV20" s="1196">
        <v>4</v>
      </c>
      <c r="DW20" s="1187"/>
      <c r="DY20" s="427"/>
      <c r="DZ20" s="427"/>
      <c r="EA20" s="428" t="s">
        <v>105</v>
      </c>
      <c r="EB20" s="429" t="s">
        <v>1072</v>
      </c>
      <c r="EC20" s="430">
        <v>2</v>
      </c>
      <c r="ED20" s="430">
        <v>2</v>
      </c>
      <c r="EE20" s="430">
        <v>4</v>
      </c>
      <c r="EF20" s="431"/>
      <c r="EG20" s="427"/>
      <c r="EH20" s="432">
        <v>8</v>
      </c>
      <c r="EI20" s="36"/>
      <c r="EK20" s="433"/>
      <c r="EL20" s="433" t="s">
        <v>103</v>
      </c>
      <c r="EM20" s="434" t="s">
        <v>104</v>
      </c>
      <c r="EN20" s="435" t="s">
        <v>1071</v>
      </c>
      <c r="EO20" s="436">
        <v>0</v>
      </c>
      <c r="EP20" s="436">
        <v>0</v>
      </c>
      <c r="EQ20" s="436">
        <v>0</v>
      </c>
      <c r="ER20" s="436">
        <v>0</v>
      </c>
      <c r="ES20" s="439">
        <v>29</v>
      </c>
      <c r="ET20" s="438"/>
      <c r="EU20" s="439">
        <v>29</v>
      </c>
      <c r="EV20" s="440"/>
      <c r="EX20" s="441"/>
      <c r="EY20" s="441"/>
      <c r="FJ20" s="95"/>
      <c r="FK20" s="95"/>
      <c r="FM20" s="36" t="s">
        <v>1080</v>
      </c>
      <c r="FN20" s="95">
        <v>0</v>
      </c>
      <c r="FO20" s="95">
        <v>0</v>
      </c>
      <c r="FP20" s="95">
        <v>0</v>
      </c>
      <c r="FQ20" s="95">
        <v>0</v>
      </c>
      <c r="FR20" s="95">
        <v>1</v>
      </c>
      <c r="FS20" s="95">
        <v>1</v>
      </c>
      <c r="FU20" s="37"/>
      <c r="FV20" s="616"/>
      <c r="FW20" s="4357"/>
      <c r="FX20" s="616"/>
      <c r="FY20" s="616" t="s">
        <v>1077</v>
      </c>
      <c r="FZ20" s="616">
        <v>0</v>
      </c>
      <c r="GA20" s="616">
        <v>0</v>
      </c>
      <c r="GB20" s="616">
        <v>3</v>
      </c>
      <c r="GC20" s="616">
        <v>1</v>
      </c>
      <c r="GD20" s="616">
        <v>0</v>
      </c>
      <c r="GE20" s="616">
        <v>0</v>
      </c>
      <c r="GF20" s="616">
        <v>4</v>
      </c>
      <c r="GG20" s="616"/>
      <c r="GH20" s="617"/>
      <c r="GI20" s="37"/>
    </row>
    <row r="21" spans="1:191">
      <c r="A21" s="4375"/>
      <c r="B21" s="4375"/>
      <c r="C21" s="4888"/>
      <c r="D21" s="6100" t="s">
        <v>2709</v>
      </c>
      <c r="E21" s="6105">
        <v>2</v>
      </c>
      <c r="F21" s="4375">
        <v>3</v>
      </c>
      <c r="G21" s="1"/>
      <c r="I21" s="5644"/>
      <c r="J21" s="5644"/>
      <c r="L21" s="5649"/>
      <c r="M21" s="5650">
        <f>SUM(M20)</f>
        <v>7</v>
      </c>
      <c r="N21" s="5644"/>
      <c r="O21" s="4891">
        <f>(M20)/(M21)</f>
        <v>1</v>
      </c>
      <c r="Q21" s="4375"/>
      <c r="R21" s="4375"/>
      <c r="S21" s="4888"/>
      <c r="T21" s="4650" t="s">
        <v>15</v>
      </c>
      <c r="U21" s="4378">
        <f>SUM(U20)</f>
        <v>1</v>
      </c>
      <c r="V21" s="4375"/>
      <c r="W21" s="4891">
        <v>0</v>
      </c>
      <c r="Y21" s="4636">
        <v>2</v>
      </c>
      <c r="Z21" s="4636">
        <v>2</v>
      </c>
      <c r="AA21" s="4637" t="s">
        <v>2725</v>
      </c>
      <c r="AB21" s="4638" t="s">
        <v>1076</v>
      </c>
      <c r="AC21" s="4646">
        <v>25</v>
      </c>
      <c r="AD21" s="4641">
        <v>3</v>
      </c>
      <c r="AE21" s="4652"/>
      <c r="AF21" s="4476"/>
      <c r="AG21" s="36"/>
      <c r="AH21" s="36"/>
      <c r="AI21" s="36"/>
      <c r="AJ21" s="36" t="s">
        <v>1081</v>
      </c>
      <c r="AK21" s="1681">
        <v>0</v>
      </c>
      <c r="AL21" s="1681">
        <v>0</v>
      </c>
      <c r="AM21" s="1681">
        <v>0</v>
      </c>
      <c r="AN21" s="1681">
        <v>8</v>
      </c>
      <c r="AO21" s="1681">
        <v>0</v>
      </c>
      <c r="AP21" s="95"/>
      <c r="AQ21" s="95">
        <v>8</v>
      </c>
      <c r="AR21" s="393"/>
      <c r="AS21" s="27"/>
      <c r="AT21" s="36"/>
      <c r="AU21" s="36"/>
      <c r="AV21" s="36" t="s">
        <v>1454</v>
      </c>
      <c r="AW21" s="36" t="s">
        <v>1076</v>
      </c>
      <c r="AX21" s="1681">
        <v>0</v>
      </c>
      <c r="AY21" s="1681"/>
      <c r="AZ21" s="1681"/>
      <c r="BA21" s="1681">
        <v>3</v>
      </c>
      <c r="BB21" s="1681"/>
      <c r="BC21" s="95"/>
      <c r="BD21" s="95"/>
      <c r="BE21" s="95"/>
      <c r="BF21" s="95"/>
      <c r="BG21" s="95">
        <v>3</v>
      </c>
      <c r="BH21" s="36"/>
      <c r="BJ21" s="4215"/>
      <c r="BK21" s="4215"/>
      <c r="BL21" s="4222"/>
      <c r="BM21" s="4222" t="s">
        <v>1081</v>
      </c>
      <c r="BN21" s="4223"/>
      <c r="BO21" s="4223">
        <v>0</v>
      </c>
      <c r="BP21" s="4223">
        <v>4</v>
      </c>
      <c r="BQ21" s="4223"/>
      <c r="BR21" s="4223"/>
      <c r="BS21" s="4223"/>
      <c r="BT21" s="4223">
        <v>4</v>
      </c>
      <c r="BU21" s="4224"/>
      <c r="BW21" s="36"/>
      <c r="BX21" s="36"/>
      <c r="BY21" s="36"/>
      <c r="BZ21" s="393" t="s">
        <v>15</v>
      </c>
      <c r="CA21" s="1682"/>
      <c r="CB21" s="1682"/>
      <c r="CC21" s="1682"/>
      <c r="CD21" s="1682">
        <v>5</v>
      </c>
      <c r="CE21" s="1682"/>
      <c r="CF21" s="2041"/>
      <c r="CG21" s="2041"/>
      <c r="CH21" s="2041"/>
      <c r="CI21" s="2041">
        <v>5</v>
      </c>
      <c r="CJ21" s="560">
        <f>+CI20/CI21</f>
        <v>0.4</v>
      </c>
      <c r="CO21" s="36" t="s">
        <v>1076</v>
      </c>
      <c r="CP21" s="1681">
        <v>0</v>
      </c>
      <c r="CQ21" s="1681"/>
      <c r="CR21" s="1681">
        <v>0</v>
      </c>
      <c r="CS21" s="1681">
        <v>2</v>
      </c>
      <c r="CT21" s="95"/>
      <c r="CU21" s="95"/>
      <c r="CV21" s="95">
        <v>2</v>
      </c>
      <c r="CY21" s="95"/>
      <c r="DB21" s="36" t="s">
        <v>1076</v>
      </c>
      <c r="DC21" s="1484">
        <v>0</v>
      </c>
      <c r="DD21" s="1484">
        <v>0</v>
      </c>
      <c r="DE21" s="1484">
        <v>2</v>
      </c>
      <c r="DF21" s="1484"/>
      <c r="DG21" s="95"/>
      <c r="DH21" s="95"/>
      <c r="DI21" s="95">
        <v>2</v>
      </c>
      <c r="DL21" s="1191"/>
      <c r="DM21" s="1191"/>
      <c r="DN21" s="1191"/>
      <c r="DO21" s="1186" t="s">
        <v>15</v>
      </c>
      <c r="DP21" s="1198">
        <v>4</v>
      </c>
      <c r="DQ21" s="1197"/>
      <c r="DR21" s="1197"/>
      <c r="DS21" s="1198">
        <v>10</v>
      </c>
      <c r="DT21" s="1197"/>
      <c r="DU21" s="1199"/>
      <c r="DV21" s="1200">
        <v>14</v>
      </c>
      <c r="DW21" s="1178">
        <v>0</v>
      </c>
      <c r="DY21" s="427"/>
      <c r="DZ21" s="427"/>
      <c r="EA21" s="428"/>
      <c r="EB21" s="429" t="s">
        <v>1076</v>
      </c>
      <c r="EC21" s="430">
        <v>0</v>
      </c>
      <c r="ED21" s="430">
        <v>0</v>
      </c>
      <c r="EE21" s="430">
        <v>1</v>
      </c>
      <c r="EF21" s="431"/>
      <c r="EG21" s="427"/>
      <c r="EH21" s="432">
        <v>1</v>
      </c>
      <c r="EI21" s="36"/>
      <c r="EK21" s="433"/>
      <c r="EL21" s="433"/>
      <c r="EM21" s="434"/>
      <c r="EN21" s="435" t="s">
        <v>1072</v>
      </c>
      <c r="EO21" s="436">
        <v>6</v>
      </c>
      <c r="EP21" s="436">
        <v>2</v>
      </c>
      <c r="EQ21" s="436">
        <v>6</v>
      </c>
      <c r="ER21" s="436">
        <v>1</v>
      </c>
      <c r="ES21" s="439">
        <v>0</v>
      </c>
      <c r="ET21" s="438"/>
      <c r="EU21" s="439">
        <v>15</v>
      </c>
      <c r="EV21" s="440"/>
      <c r="EX21" s="441"/>
      <c r="EY21" s="441"/>
      <c r="FJ21" s="95"/>
      <c r="FK21" s="95"/>
      <c r="FM21" s="36" t="s">
        <v>1081</v>
      </c>
      <c r="FN21" s="95">
        <v>0</v>
      </c>
      <c r="FO21" s="95">
        <v>0</v>
      </c>
      <c r="FP21" s="95">
        <v>1</v>
      </c>
      <c r="FQ21" s="95">
        <v>20</v>
      </c>
      <c r="FR21" s="95">
        <v>0</v>
      </c>
      <c r="FS21" s="95">
        <v>21</v>
      </c>
      <c r="FU21" s="37"/>
      <c r="FV21" s="616"/>
      <c r="FW21" s="4357"/>
      <c r="FX21" s="616"/>
      <c r="FY21" s="616" t="s">
        <v>1081</v>
      </c>
      <c r="FZ21" s="616">
        <v>0</v>
      </c>
      <c r="GA21" s="616">
        <v>0</v>
      </c>
      <c r="GB21" s="616">
        <v>0</v>
      </c>
      <c r="GC21" s="616">
        <v>5</v>
      </c>
      <c r="GD21" s="616">
        <v>7</v>
      </c>
      <c r="GE21" s="616">
        <v>0</v>
      </c>
      <c r="GF21" s="616">
        <v>12</v>
      </c>
      <c r="GG21" s="616"/>
      <c r="GH21" s="617"/>
      <c r="GI21" s="37"/>
    </row>
    <row r="22" spans="1:191">
      <c r="A22" s="4375"/>
      <c r="B22" s="4375"/>
      <c r="C22" s="4651" t="s">
        <v>21</v>
      </c>
      <c r="D22" s="6101" t="s">
        <v>15</v>
      </c>
      <c r="E22" s="6102">
        <f>SUM(E17:E21)</f>
        <v>8</v>
      </c>
      <c r="F22" s="6103"/>
      <c r="G22" s="6104">
        <f>(E17+E18)/(E22)</f>
        <v>0.5</v>
      </c>
      <c r="I22" s="5644"/>
      <c r="J22" s="5644"/>
      <c r="K22" s="5650" t="s">
        <v>21</v>
      </c>
      <c r="L22" s="5649"/>
      <c r="M22" s="5650">
        <f>SUM(M18,M19,M21)</f>
        <v>14</v>
      </c>
      <c r="N22" s="5644"/>
      <c r="O22" s="4655">
        <f>(M15+M16+M17+M20)/(M22)</f>
        <v>0.9285714285714286</v>
      </c>
      <c r="Q22" s="4375">
        <v>1</v>
      </c>
      <c r="R22" s="4375">
        <v>4</v>
      </c>
      <c r="S22" s="4888" t="s">
        <v>1454</v>
      </c>
      <c r="T22" s="4888" t="s">
        <v>2709</v>
      </c>
      <c r="U22" s="4375">
        <v>7</v>
      </c>
      <c r="V22" s="4375">
        <v>3</v>
      </c>
      <c r="Y22" s="4636">
        <v>2</v>
      </c>
      <c r="Z22" s="4636">
        <v>2</v>
      </c>
      <c r="AA22" s="4637" t="s">
        <v>2725</v>
      </c>
      <c r="AB22" s="4638" t="s">
        <v>1076</v>
      </c>
      <c r="AC22" s="4646">
        <v>1</v>
      </c>
      <c r="AD22" s="4641">
        <v>4</v>
      </c>
      <c r="AE22" s="4652"/>
      <c r="AF22" s="4452"/>
      <c r="AG22" s="36"/>
      <c r="AH22" s="36"/>
      <c r="AI22" s="36"/>
      <c r="AJ22" s="36" t="s">
        <v>2571</v>
      </c>
      <c r="AK22" s="1681">
        <v>1</v>
      </c>
      <c r="AL22" s="1681">
        <v>0</v>
      </c>
      <c r="AM22" s="1681">
        <v>0</v>
      </c>
      <c r="AN22" s="1681">
        <v>0</v>
      </c>
      <c r="AO22" s="1681">
        <v>0</v>
      </c>
      <c r="AP22" s="95"/>
      <c r="AQ22" s="95">
        <v>1</v>
      </c>
      <c r="AR22" s="393"/>
      <c r="AS22" s="27"/>
      <c r="AT22" s="36"/>
      <c r="AU22" s="36"/>
      <c r="AV22" s="36"/>
      <c r="AW22" s="36" t="s">
        <v>1081</v>
      </c>
      <c r="AX22" s="1681">
        <v>0</v>
      </c>
      <c r="AY22" s="1681"/>
      <c r="AZ22" s="1681"/>
      <c r="BA22" s="1681">
        <v>4</v>
      </c>
      <c r="BB22" s="1681"/>
      <c r="BC22" s="95"/>
      <c r="BD22" s="95"/>
      <c r="BE22" s="95"/>
      <c r="BF22" s="95"/>
      <c r="BG22" s="95">
        <v>4</v>
      </c>
      <c r="BH22" s="36"/>
      <c r="BJ22" s="4215"/>
      <c r="BK22" s="4215"/>
      <c r="BL22" s="4215"/>
      <c r="BM22" s="4222" t="s">
        <v>484</v>
      </c>
      <c r="BN22" s="4223"/>
      <c r="BO22" s="4223">
        <v>1</v>
      </c>
      <c r="BP22" s="4223">
        <v>12</v>
      </c>
      <c r="BQ22" s="4223"/>
      <c r="BR22" s="4223"/>
      <c r="BS22" s="4223"/>
      <c r="BT22" s="4223">
        <v>13</v>
      </c>
      <c r="BU22" s="4224">
        <v>0</v>
      </c>
      <c r="BW22" s="36"/>
      <c r="BX22" s="36"/>
      <c r="BY22" s="36" t="s">
        <v>1454</v>
      </c>
      <c r="BZ22" s="36" t="s">
        <v>1072</v>
      </c>
      <c r="CA22" s="1681">
        <v>0</v>
      </c>
      <c r="CB22" s="1681"/>
      <c r="CC22" s="1681"/>
      <c r="CD22" s="1681">
        <v>5</v>
      </c>
      <c r="CE22" s="1681">
        <v>2</v>
      </c>
      <c r="CF22" s="95"/>
      <c r="CG22" s="95"/>
      <c r="CH22" s="95"/>
      <c r="CI22" s="95">
        <v>7</v>
      </c>
      <c r="CJ22" s="36"/>
      <c r="CO22" s="36" t="s">
        <v>1081</v>
      </c>
      <c r="CP22" s="1681">
        <v>0</v>
      </c>
      <c r="CQ22" s="1681"/>
      <c r="CR22" s="1681">
        <v>1</v>
      </c>
      <c r="CS22" s="1681">
        <v>5</v>
      </c>
      <c r="CT22" s="95"/>
      <c r="CU22" s="95"/>
      <c r="CV22" s="95">
        <v>6</v>
      </c>
      <c r="CY22" s="95"/>
      <c r="DB22" s="36" t="s">
        <v>1081</v>
      </c>
      <c r="DC22" s="1484">
        <v>0</v>
      </c>
      <c r="DD22" s="1484">
        <v>0</v>
      </c>
      <c r="DE22" s="1484">
        <v>14</v>
      </c>
      <c r="DF22" s="1484"/>
      <c r="DG22" s="95"/>
      <c r="DH22" s="95"/>
      <c r="DI22" s="95">
        <v>14</v>
      </c>
      <c r="DL22" s="1191"/>
      <c r="DM22" s="1191"/>
      <c r="DN22" s="1191" t="s">
        <v>1454</v>
      </c>
      <c r="DO22" s="1192" t="s">
        <v>1072</v>
      </c>
      <c r="DP22" s="1193"/>
      <c r="DQ22" s="1194">
        <v>1</v>
      </c>
      <c r="DR22" s="1193"/>
      <c r="DS22" s="1193"/>
      <c r="DT22" s="1193"/>
      <c r="DU22" s="1195"/>
      <c r="DV22" s="1196">
        <v>1</v>
      </c>
      <c r="DW22" s="1187"/>
      <c r="DY22" s="427"/>
      <c r="DZ22" s="427"/>
      <c r="EA22" s="428"/>
      <c r="EB22" s="429" t="s">
        <v>1081</v>
      </c>
      <c r="EC22" s="430">
        <v>0</v>
      </c>
      <c r="ED22" s="430">
        <v>0</v>
      </c>
      <c r="EE22" s="430">
        <v>16</v>
      </c>
      <c r="EF22" s="431"/>
      <c r="EG22" s="427"/>
      <c r="EH22" s="432">
        <v>16</v>
      </c>
      <c r="EI22" s="36"/>
      <c r="EK22" s="433"/>
      <c r="EL22" s="433"/>
      <c r="EM22" s="434"/>
      <c r="EN22" s="435" t="s">
        <v>1074</v>
      </c>
      <c r="EO22" s="436">
        <v>1</v>
      </c>
      <c r="EP22" s="436">
        <v>0</v>
      </c>
      <c r="EQ22" s="436">
        <v>1</v>
      </c>
      <c r="ER22" s="436">
        <v>0</v>
      </c>
      <c r="ES22" s="439">
        <v>0</v>
      </c>
      <c r="ET22" s="438"/>
      <c r="EU22" s="439">
        <v>2</v>
      </c>
      <c r="EV22" s="440"/>
      <c r="FJ22" s="95"/>
      <c r="FK22" s="95"/>
      <c r="FM22" s="36" t="s">
        <v>1142</v>
      </c>
      <c r="FN22" s="95">
        <v>0</v>
      </c>
      <c r="FO22" s="95">
        <v>0</v>
      </c>
      <c r="FP22" s="95">
        <v>1</v>
      </c>
      <c r="FQ22" s="95">
        <v>1</v>
      </c>
      <c r="FR22" s="95">
        <v>0</v>
      </c>
      <c r="FS22" s="95">
        <v>2</v>
      </c>
      <c r="FU22" s="37"/>
      <c r="FV22" s="616"/>
      <c r="FW22" s="4357"/>
      <c r="FX22" s="616"/>
      <c r="FY22" s="627" t="s">
        <v>15</v>
      </c>
      <c r="FZ22" s="627">
        <v>0</v>
      </c>
      <c r="GA22" s="627">
        <v>3</v>
      </c>
      <c r="GB22" s="627">
        <v>31</v>
      </c>
      <c r="GC22" s="627">
        <v>74</v>
      </c>
      <c r="GD22" s="627">
        <v>8</v>
      </c>
      <c r="GE22" s="627">
        <v>0</v>
      </c>
      <c r="GF22" s="627">
        <v>116</v>
      </c>
      <c r="GG22" s="628">
        <f>+(GF21+GF19)/GF22</f>
        <v>0.12931034482758622</v>
      </c>
      <c r="GH22" s="617">
        <f>+GF19+GF21</f>
        <v>15</v>
      </c>
      <c r="GI22" s="37"/>
    </row>
    <row r="23" spans="1:191">
      <c r="A23" s="4375"/>
      <c r="B23" s="4375"/>
      <c r="C23" s="6112"/>
      <c r="D23" s="6109" t="s">
        <v>2754</v>
      </c>
      <c r="E23" s="6111">
        <f>SUM(E7,E17:E18)</f>
        <v>10</v>
      </c>
      <c r="F23" s="6094"/>
      <c r="G23" s="1"/>
      <c r="I23" s="5660"/>
      <c r="J23" s="5660"/>
      <c r="K23" s="5661"/>
      <c r="L23" s="5662" t="s">
        <v>2754</v>
      </c>
      <c r="M23" s="5670">
        <f>SUM(M7,M15,M16,M17,M20)</f>
        <v>20</v>
      </c>
      <c r="N23" s="5660"/>
      <c r="O23" s="4891"/>
      <c r="Q23" s="4375"/>
      <c r="R23" s="4375"/>
      <c r="S23" s="4888"/>
      <c r="T23" s="4650" t="s">
        <v>15</v>
      </c>
      <c r="U23" s="4378">
        <f>SUM(U22)</f>
        <v>7</v>
      </c>
      <c r="V23" s="4375"/>
      <c r="W23" s="4891">
        <v>0</v>
      </c>
      <c r="Y23" s="4636"/>
      <c r="Z23" s="4636"/>
      <c r="AA23" s="4650" t="s">
        <v>483</v>
      </c>
      <c r="AB23" s="4650" t="s">
        <v>15</v>
      </c>
      <c r="AC23" s="4662">
        <f>SUM(AC20:AC22)</f>
        <v>27</v>
      </c>
      <c r="AD23" s="4662"/>
      <c r="AE23" s="4655">
        <f>(AC21+AC22)/(AC23)</f>
        <v>0.96296296296296291</v>
      </c>
      <c r="AF23" s="4476"/>
      <c r="AG23" s="36"/>
      <c r="AH23" s="36"/>
      <c r="AI23" s="36"/>
      <c r="AJ23" s="36" t="s">
        <v>15</v>
      </c>
      <c r="AK23" s="1681">
        <v>1</v>
      </c>
      <c r="AL23" s="1681">
        <v>2</v>
      </c>
      <c r="AM23" s="1681">
        <v>1</v>
      </c>
      <c r="AN23" s="1681">
        <v>27</v>
      </c>
      <c r="AO23" s="1681">
        <v>1</v>
      </c>
      <c r="AP23" s="95"/>
      <c r="AQ23" s="95">
        <v>32</v>
      </c>
      <c r="AR23" s="4536">
        <f>+AN21/(AQ23-AQ22)</f>
        <v>0.25806451612903225</v>
      </c>
      <c r="AS23" s="4533"/>
      <c r="AT23" s="36"/>
      <c r="AU23" s="36"/>
      <c r="AV23" s="36"/>
      <c r="AW23" s="36" t="s">
        <v>2571</v>
      </c>
      <c r="AX23" s="1681">
        <v>1</v>
      </c>
      <c r="AY23" s="1681"/>
      <c r="AZ23" s="1681"/>
      <c r="BA23" s="1681">
        <v>0</v>
      </c>
      <c r="BB23" s="1681"/>
      <c r="BC23" s="95"/>
      <c r="BD23" s="95"/>
      <c r="BE23" s="95"/>
      <c r="BF23" s="95"/>
      <c r="BG23" s="95">
        <v>1</v>
      </c>
      <c r="BH23" s="36"/>
      <c r="BJ23" s="4215"/>
      <c r="BK23" s="4215"/>
      <c r="BL23" s="4222" t="s">
        <v>105</v>
      </c>
      <c r="BM23" s="4215" t="s">
        <v>1072</v>
      </c>
      <c r="BN23" s="4221"/>
      <c r="BO23" s="4221">
        <v>1</v>
      </c>
      <c r="BP23" s="4221">
        <v>9</v>
      </c>
      <c r="BQ23" s="4221"/>
      <c r="BR23" s="4221"/>
      <c r="BS23" s="4221"/>
      <c r="BT23" s="4221">
        <v>10</v>
      </c>
      <c r="BU23" s="4215"/>
      <c r="BW23" s="36"/>
      <c r="BX23" s="36"/>
      <c r="BY23" s="36"/>
      <c r="BZ23" s="36" t="s">
        <v>1663</v>
      </c>
      <c r="CA23" s="1681">
        <v>1</v>
      </c>
      <c r="CB23" s="1681"/>
      <c r="CC23" s="1681"/>
      <c r="CD23" s="1681">
        <v>0</v>
      </c>
      <c r="CE23" s="1681">
        <v>0</v>
      </c>
      <c r="CF23" s="95"/>
      <c r="CG23" s="95"/>
      <c r="CH23" s="95"/>
      <c r="CI23" s="95">
        <v>1</v>
      </c>
      <c r="CJ23" s="36"/>
      <c r="CO23" s="36" t="s">
        <v>2264</v>
      </c>
      <c r="CP23" s="1681">
        <v>0</v>
      </c>
      <c r="CQ23" s="1681"/>
      <c r="CR23" s="1681">
        <v>0</v>
      </c>
      <c r="CS23" s="1681">
        <v>1</v>
      </c>
      <c r="CT23" s="95"/>
      <c r="CU23" s="95"/>
      <c r="CV23" s="95">
        <v>1</v>
      </c>
      <c r="CY23" s="95"/>
      <c r="DB23" s="36" t="s">
        <v>1142</v>
      </c>
      <c r="DC23" s="1484">
        <v>0</v>
      </c>
      <c r="DD23" s="1484">
        <v>0</v>
      </c>
      <c r="DE23" s="1484">
        <v>7</v>
      </c>
      <c r="DF23" s="1484"/>
      <c r="DG23" s="95"/>
      <c r="DH23" s="95"/>
      <c r="DI23" s="95">
        <v>7</v>
      </c>
      <c r="DL23" s="1191"/>
      <c r="DM23" s="1191"/>
      <c r="DN23" s="1191"/>
      <c r="DO23" s="1186" t="s">
        <v>15</v>
      </c>
      <c r="DP23" s="1197"/>
      <c r="DQ23" s="1198">
        <v>1</v>
      </c>
      <c r="DR23" s="1197"/>
      <c r="DS23" s="1197"/>
      <c r="DT23" s="1197"/>
      <c r="DU23" s="1199"/>
      <c r="DV23" s="1200">
        <v>1</v>
      </c>
      <c r="DW23" s="1178">
        <v>0</v>
      </c>
      <c r="DY23" s="427"/>
      <c r="DZ23" s="427"/>
      <c r="EA23" s="428"/>
      <c r="EB23" s="429" t="s">
        <v>1142</v>
      </c>
      <c r="EC23" s="430">
        <v>0</v>
      </c>
      <c r="ED23" s="430">
        <v>0</v>
      </c>
      <c r="EE23" s="430">
        <v>4</v>
      </c>
      <c r="EF23" s="431"/>
      <c r="EG23" s="427"/>
      <c r="EH23" s="432">
        <v>4</v>
      </c>
      <c r="EI23" s="36"/>
      <c r="EK23" s="433"/>
      <c r="EL23" s="433"/>
      <c r="EM23" s="434"/>
      <c r="EN23" s="435" t="s">
        <v>1076</v>
      </c>
      <c r="EO23" s="436">
        <v>0</v>
      </c>
      <c r="EP23" s="436">
        <v>0</v>
      </c>
      <c r="EQ23" s="436">
        <v>17</v>
      </c>
      <c r="ER23" s="436">
        <v>0</v>
      </c>
      <c r="ES23" s="439">
        <v>0</v>
      </c>
      <c r="ET23" s="438"/>
      <c r="EU23" s="439">
        <v>17</v>
      </c>
      <c r="EV23" s="440"/>
      <c r="FJ23" s="95"/>
      <c r="FK23" s="95"/>
      <c r="FM23" s="393" t="s">
        <v>15</v>
      </c>
      <c r="FN23" s="4212">
        <v>2</v>
      </c>
      <c r="FO23" s="4212">
        <v>4</v>
      </c>
      <c r="FP23" s="4212">
        <v>8</v>
      </c>
      <c r="FQ23" s="4212">
        <v>28</v>
      </c>
      <c r="FR23" s="4212">
        <v>30</v>
      </c>
      <c r="FS23" s="4212">
        <v>72</v>
      </c>
      <c r="FT23" s="631">
        <f>+(FS19+FS21+FS22)/FS23</f>
        <v>0.43055555555555558</v>
      </c>
      <c r="FU23" s="37"/>
      <c r="FV23" s="616"/>
      <c r="FW23" s="4357" t="s">
        <v>41</v>
      </c>
      <c r="FX23" s="616" t="s">
        <v>107</v>
      </c>
      <c r="FY23" s="616" t="s">
        <v>1072</v>
      </c>
      <c r="FZ23" s="616">
        <v>0</v>
      </c>
      <c r="GA23" s="616">
        <v>0</v>
      </c>
      <c r="GB23" s="616">
        <v>0</v>
      </c>
      <c r="GC23" s="616">
        <v>1</v>
      </c>
      <c r="GD23" s="616">
        <v>0</v>
      </c>
      <c r="GE23" s="616">
        <v>0</v>
      </c>
      <c r="GF23" s="616">
        <v>1</v>
      </c>
      <c r="GG23" s="616"/>
      <c r="GH23" s="617"/>
      <c r="GI23" s="37"/>
    </row>
    <row r="24" spans="1:191">
      <c r="A24" s="4898"/>
      <c r="B24" s="4898"/>
      <c r="C24" s="4902" t="s">
        <v>3</v>
      </c>
      <c r="D24" s="4899"/>
      <c r="E24" s="4903">
        <f>SUM(E16,E22)</f>
        <v>34</v>
      </c>
      <c r="F24" s="4898"/>
      <c r="G24" s="4904">
        <f>(E23)/(E24)</f>
        <v>0.29411764705882354</v>
      </c>
      <c r="I24" s="5653"/>
      <c r="J24" s="5653"/>
      <c r="K24" s="5657" t="s">
        <v>3</v>
      </c>
      <c r="L24" s="5658"/>
      <c r="M24" s="5657">
        <f>SUM(M14,M22)</f>
        <v>28</v>
      </c>
      <c r="N24" s="5659"/>
      <c r="O24" s="5665">
        <f>(M23)/(M24)</f>
        <v>0.7142857142857143</v>
      </c>
      <c r="Q24" s="4375"/>
      <c r="R24" s="4375"/>
      <c r="S24" s="4651" t="s">
        <v>21</v>
      </c>
      <c r="T24" s="4899"/>
      <c r="U24" s="4897">
        <f>SUM(U23,U21,U19)</f>
        <v>14</v>
      </c>
      <c r="V24" s="4898"/>
      <c r="W24" s="4653">
        <f>(U16+U17+U18)/(U24)</f>
        <v>0.42857142857142855</v>
      </c>
      <c r="Y24" s="4636">
        <v>2</v>
      </c>
      <c r="Z24" s="4636">
        <v>3</v>
      </c>
      <c r="AA24" s="4637" t="s">
        <v>283</v>
      </c>
      <c r="AB24" s="4637" t="s">
        <v>2703</v>
      </c>
      <c r="AC24" s="4641">
        <v>1</v>
      </c>
      <c r="AD24" s="4641">
        <v>1</v>
      </c>
      <c r="AE24" s="4652"/>
      <c r="AF24" s="4476"/>
      <c r="AG24" s="36"/>
      <c r="AH24" s="36"/>
      <c r="AI24" s="393" t="s">
        <v>105</v>
      </c>
      <c r="AJ24" s="36" t="s">
        <v>1071</v>
      </c>
      <c r="AK24" s="1681">
        <v>0</v>
      </c>
      <c r="AL24" s="1681">
        <v>0</v>
      </c>
      <c r="AM24" s="1681">
        <v>0</v>
      </c>
      <c r="AN24" s="1681">
        <v>0</v>
      </c>
      <c r="AO24" s="1681">
        <v>1</v>
      </c>
      <c r="AP24" s="95"/>
      <c r="AQ24" s="95">
        <v>1</v>
      </c>
      <c r="AR24" s="393"/>
      <c r="AS24" s="27"/>
      <c r="AT24" s="36"/>
      <c r="AU24" s="36"/>
      <c r="AV24" s="36"/>
      <c r="AW24" s="393" t="s">
        <v>15</v>
      </c>
      <c r="AX24" s="1682">
        <v>1</v>
      </c>
      <c r="AY24" s="1682"/>
      <c r="AZ24" s="1682"/>
      <c r="BA24" s="1682">
        <v>7</v>
      </c>
      <c r="BB24" s="1682"/>
      <c r="BC24" s="4212"/>
      <c r="BD24" s="4212"/>
      <c r="BE24" s="4212"/>
      <c r="BF24" s="4212"/>
      <c r="BG24" s="4212">
        <v>8</v>
      </c>
      <c r="BH24" s="560">
        <f>+(BG21+BG22)/(BG24-BG23)</f>
        <v>1</v>
      </c>
      <c r="BJ24" s="4215"/>
      <c r="BK24" s="4215"/>
      <c r="BL24" s="4215"/>
      <c r="BM24" s="4215" t="s">
        <v>1076</v>
      </c>
      <c r="BN24" s="4221"/>
      <c r="BO24" s="4221">
        <v>0</v>
      </c>
      <c r="BP24" s="4221">
        <v>2</v>
      </c>
      <c r="BQ24" s="4221"/>
      <c r="BR24" s="4221"/>
      <c r="BS24" s="4221"/>
      <c r="BT24" s="4221">
        <v>2</v>
      </c>
      <c r="BU24" s="4215"/>
      <c r="BW24" s="36"/>
      <c r="BX24" s="36"/>
      <c r="BY24" s="36"/>
      <c r="BZ24" s="393" t="s">
        <v>15</v>
      </c>
      <c r="CA24" s="1682">
        <v>1</v>
      </c>
      <c r="CB24" s="1682"/>
      <c r="CC24" s="1682"/>
      <c r="CD24" s="1682">
        <v>5</v>
      </c>
      <c r="CE24" s="1682">
        <v>2</v>
      </c>
      <c r="CF24" s="2041"/>
      <c r="CG24" s="2041"/>
      <c r="CH24" s="2041"/>
      <c r="CI24" s="2041">
        <v>8</v>
      </c>
      <c r="CJ24" s="560">
        <v>0</v>
      </c>
      <c r="CO24" s="393" t="s">
        <v>484</v>
      </c>
      <c r="CP24" s="1682">
        <v>1</v>
      </c>
      <c r="CQ24" s="1682"/>
      <c r="CR24" s="1682">
        <v>1</v>
      </c>
      <c r="CS24" s="1682">
        <v>8</v>
      </c>
      <c r="CT24" s="4212"/>
      <c r="CU24" s="4212"/>
      <c r="CV24" s="4212">
        <v>10</v>
      </c>
      <c r="CW24" s="560">
        <f>+(CV21+CV22)/CV24</f>
        <v>0.8</v>
      </c>
      <c r="CY24" s="95"/>
      <c r="DB24" s="393" t="s">
        <v>105</v>
      </c>
      <c r="DC24" s="1485">
        <v>4</v>
      </c>
      <c r="DD24" s="1485">
        <v>1</v>
      </c>
      <c r="DE24" s="1485">
        <v>25</v>
      </c>
      <c r="DF24" s="1485"/>
      <c r="DG24" s="4212"/>
      <c r="DH24" s="4212"/>
      <c r="DI24" s="4212">
        <v>30</v>
      </c>
      <c r="DJ24" s="560">
        <f>+(DI21+DI22+DI23)/DI24</f>
        <v>0.76666666666666672</v>
      </c>
      <c r="DL24" s="1191"/>
      <c r="DM24" s="1191"/>
      <c r="DN24" s="1191" t="s">
        <v>726</v>
      </c>
      <c r="DO24" s="1192" t="s">
        <v>1072</v>
      </c>
      <c r="DP24" s="1194">
        <v>0</v>
      </c>
      <c r="DQ24" s="1194">
        <v>1</v>
      </c>
      <c r="DR24" s="1193"/>
      <c r="DS24" s="1194">
        <v>10</v>
      </c>
      <c r="DT24" s="1193"/>
      <c r="DU24" s="1195"/>
      <c r="DV24" s="1196">
        <v>11</v>
      </c>
      <c r="DW24" s="1187"/>
      <c r="DY24" s="427"/>
      <c r="DZ24" s="427"/>
      <c r="EA24" s="428"/>
      <c r="EB24" s="451" t="s">
        <v>105</v>
      </c>
      <c r="EC24" s="452">
        <v>2</v>
      </c>
      <c r="ED24" s="452">
        <v>2</v>
      </c>
      <c r="EE24" s="452">
        <v>25</v>
      </c>
      <c r="EF24" s="453"/>
      <c r="EG24" s="454"/>
      <c r="EH24" s="455">
        <v>29</v>
      </c>
      <c r="EI24" s="456">
        <f>+(EH21+EH22+EH23)/EH24</f>
        <v>0.72413793103448276</v>
      </c>
      <c r="EK24" s="433"/>
      <c r="EL24" s="433"/>
      <c r="EM24" s="434"/>
      <c r="EN24" s="435" t="s">
        <v>1081</v>
      </c>
      <c r="EO24" s="436">
        <v>0</v>
      </c>
      <c r="EP24" s="436">
        <v>0</v>
      </c>
      <c r="EQ24" s="436">
        <v>11</v>
      </c>
      <c r="ER24" s="436">
        <v>0</v>
      </c>
      <c r="ES24" s="439">
        <v>0</v>
      </c>
      <c r="ET24" s="438"/>
      <c r="EU24" s="439">
        <v>11</v>
      </c>
      <c r="EV24" s="440"/>
      <c r="EX24" s="441" t="s">
        <v>25</v>
      </c>
      <c r="EY24" s="441" t="s">
        <v>16</v>
      </c>
      <c r="EZ24" s="441" t="s">
        <v>106</v>
      </c>
      <c r="FA24" s="442" t="s">
        <v>1072</v>
      </c>
      <c r="FB24" s="444">
        <v>3</v>
      </c>
      <c r="FC24" s="444">
        <v>1</v>
      </c>
      <c r="FD24" s="444">
        <v>6</v>
      </c>
      <c r="FE24" s="443"/>
      <c r="FF24" s="443"/>
      <c r="FG24" s="444">
        <v>10</v>
      </c>
      <c r="FH24" s="445"/>
      <c r="FJ24" s="95" t="s">
        <v>25</v>
      </c>
      <c r="FK24" s="95" t="s">
        <v>16</v>
      </c>
      <c r="FL24" s="36" t="s">
        <v>106</v>
      </c>
      <c r="FM24" s="36" t="s">
        <v>1071</v>
      </c>
      <c r="FN24" s="95">
        <v>0</v>
      </c>
      <c r="FO24" s="95">
        <v>1</v>
      </c>
      <c r="FP24" s="95">
        <v>9</v>
      </c>
      <c r="FQ24" s="95"/>
      <c r="FR24" s="95"/>
      <c r="FS24" s="95">
        <v>10</v>
      </c>
      <c r="FU24" s="37"/>
      <c r="FV24" s="616"/>
      <c r="FW24" s="4357"/>
      <c r="FX24" s="616"/>
      <c r="FY24" s="616" t="s">
        <v>1076</v>
      </c>
      <c r="FZ24" s="616">
        <v>0</v>
      </c>
      <c r="GA24" s="616">
        <v>0</v>
      </c>
      <c r="GB24" s="616">
        <v>0</v>
      </c>
      <c r="GC24" s="616">
        <v>6</v>
      </c>
      <c r="GD24" s="616">
        <v>7</v>
      </c>
      <c r="GE24" s="616">
        <v>0</v>
      </c>
      <c r="GF24" s="616">
        <v>13</v>
      </c>
      <c r="GG24" s="616"/>
      <c r="GH24" s="617"/>
      <c r="GI24" s="37"/>
    </row>
    <row r="25" spans="1:191">
      <c r="A25" s="4375">
        <v>2</v>
      </c>
      <c r="B25" s="4375">
        <v>2</v>
      </c>
      <c r="C25" s="4888" t="s">
        <v>2725</v>
      </c>
      <c r="D25" s="6100" t="s">
        <v>2703</v>
      </c>
      <c r="E25" s="6105">
        <v>1</v>
      </c>
      <c r="F25" s="4375">
        <v>1</v>
      </c>
      <c r="G25" s="1"/>
      <c r="I25" s="5668">
        <v>2</v>
      </c>
      <c r="J25" s="5668">
        <v>1</v>
      </c>
      <c r="K25" s="5669" t="s">
        <v>1617</v>
      </c>
      <c r="L25" s="5669" t="s">
        <v>2731</v>
      </c>
      <c r="M25" s="5668">
        <v>2</v>
      </c>
      <c r="N25" s="5668">
        <v>7</v>
      </c>
      <c r="Q25" s="4375"/>
      <c r="R25" s="4375"/>
      <c r="S25" s="4901"/>
      <c r="T25" s="4892" t="s">
        <v>2754</v>
      </c>
      <c r="U25" s="4905">
        <f>SUM(U8,U16:U18)</f>
        <v>12</v>
      </c>
      <c r="V25" s="4375"/>
      <c r="Y25" s="4636">
        <v>2</v>
      </c>
      <c r="Z25" s="4636">
        <v>3</v>
      </c>
      <c r="AA25" s="4637" t="s">
        <v>283</v>
      </c>
      <c r="AB25" s="4637" t="s">
        <v>2709</v>
      </c>
      <c r="AC25" s="4641">
        <v>1</v>
      </c>
      <c r="AD25" s="4641">
        <v>4</v>
      </c>
      <c r="AE25" s="4652"/>
      <c r="AF25" s="4476"/>
      <c r="AG25" s="36"/>
      <c r="AH25" s="36"/>
      <c r="AI25" s="36"/>
      <c r="AJ25" s="36" t="s">
        <v>1072</v>
      </c>
      <c r="AK25" s="1681">
        <v>0</v>
      </c>
      <c r="AL25" s="1681">
        <v>0</v>
      </c>
      <c r="AM25" s="1681">
        <v>0</v>
      </c>
      <c r="AN25" s="1681">
        <v>19</v>
      </c>
      <c r="AO25" s="1681">
        <v>0</v>
      </c>
      <c r="AP25" s="95"/>
      <c r="AQ25" s="95">
        <v>19</v>
      </c>
      <c r="AR25" s="393"/>
      <c r="AS25" s="27"/>
      <c r="AT25" s="36"/>
      <c r="AU25" s="36"/>
      <c r="AV25" s="36" t="s">
        <v>484</v>
      </c>
      <c r="AW25" s="36" t="s">
        <v>1072</v>
      </c>
      <c r="AX25" s="1681">
        <v>0</v>
      </c>
      <c r="AY25" s="1681"/>
      <c r="AZ25" s="1681">
        <v>1</v>
      </c>
      <c r="BA25" s="1681">
        <v>1</v>
      </c>
      <c r="BB25" s="1681"/>
      <c r="BC25" s="95"/>
      <c r="BD25" s="95"/>
      <c r="BE25" s="95"/>
      <c r="BF25" s="95"/>
      <c r="BG25" s="95">
        <v>2</v>
      </c>
      <c r="BH25" s="36"/>
      <c r="BJ25" s="4215"/>
      <c r="BK25" s="4215"/>
      <c r="BL25" s="4215"/>
      <c r="BM25" s="4215" t="s">
        <v>1081</v>
      </c>
      <c r="BN25" s="4221"/>
      <c r="BO25" s="4221">
        <v>0</v>
      </c>
      <c r="BP25" s="4221">
        <v>15</v>
      </c>
      <c r="BQ25" s="4221"/>
      <c r="BR25" s="4221"/>
      <c r="BS25" s="4221"/>
      <c r="BT25" s="4221">
        <v>15</v>
      </c>
      <c r="BU25" s="4215"/>
      <c r="BW25" s="36"/>
      <c r="BX25" s="36"/>
      <c r="BY25" s="393" t="s">
        <v>484</v>
      </c>
      <c r="BZ25" s="393" t="s">
        <v>1072</v>
      </c>
      <c r="CA25" s="1682">
        <v>0</v>
      </c>
      <c r="CB25" s="1682"/>
      <c r="CC25" s="1682"/>
      <c r="CD25" s="1682">
        <v>8</v>
      </c>
      <c r="CE25" s="1682">
        <v>2</v>
      </c>
      <c r="CF25" s="2041"/>
      <c r="CG25" s="2041"/>
      <c r="CH25" s="2041"/>
      <c r="CI25" s="2041">
        <v>10</v>
      </c>
      <c r="CJ25" s="36"/>
      <c r="CN25" s="393" t="s">
        <v>105</v>
      </c>
      <c r="CO25" s="393" t="s">
        <v>1072</v>
      </c>
      <c r="CP25" s="1682">
        <v>0</v>
      </c>
      <c r="CQ25" s="1682"/>
      <c r="CR25" s="1682">
        <v>1</v>
      </c>
      <c r="CS25" s="1682">
        <v>0</v>
      </c>
      <c r="CT25" s="4212"/>
      <c r="CU25" s="4212"/>
      <c r="CV25" s="4212">
        <v>1</v>
      </c>
      <c r="CY25" s="95" t="s">
        <v>25</v>
      </c>
      <c r="CZ25" s="95" t="s">
        <v>16</v>
      </c>
      <c r="DA25" s="36" t="s">
        <v>106</v>
      </c>
      <c r="DB25" s="36" t="s">
        <v>1072</v>
      </c>
      <c r="DC25" s="1484">
        <v>3</v>
      </c>
      <c r="DD25" s="1484">
        <v>1</v>
      </c>
      <c r="DE25" s="1484">
        <v>3</v>
      </c>
      <c r="DF25" s="1484">
        <v>1</v>
      </c>
      <c r="DG25" s="95"/>
      <c r="DH25" s="95"/>
      <c r="DI25" s="95">
        <v>8</v>
      </c>
      <c r="DL25" s="1191"/>
      <c r="DM25" s="1191"/>
      <c r="DN25" s="1191"/>
      <c r="DO25" s="1192" t="s">
        <v>1663</v>
      </c>
      <c r="DP25" s="1194">
        <v>4</v>
      </c>
      <c r="DQ25" s="1194">
        <v>0</v>
      </c>
      <c r="DR25" s="1193"/>
      <c r="DS25" s="1194">
        <v>0</v>
      </c>
      <c r="DT25" s="1193"/>
      <c r="DU25" s="1195"/>
      <c r="DV25" s="1196">
        <v>4</v>
      </c>
      <c r="DW25" s="1187"/>
      <c r="DY25" s="427" t="s">
        <v>25</v>
      </c>
      <c r="DZ25" s="427" t="s">
        <v>16</v>
      </c>
      <c r="EA25" s="428" t="s">
        <v>106</v>
      </c>
      <c r="EB25" s="429" t="s">
        <v>1071</v>
      </c>
      <c r="EC25" s="430">
        <v>0</v>
      </c>
      <c r="ED25" s="430">
        <v>0</v>
      </c>
      <c r="EE25" s="430">
        <v>0</v>
      </c>
      <c r="EF25" s="430">
        <v>1</v>
      </c>
      <c r="EG25" s="427"/>
      <c r="EH25" s="432">
        <v>1</v>
      </c>
      <c r="EI25" s="36"/>
      <c r="EK25" s="433"/>
      <c r="EL25" s="433"/>
      <c r="EM25" s="434"/>
      <c r="EN25" s="435" t="s">
        <v>1142</v>
      </c>
      <c r="EO25" s="436">
        <v>0</v>
      </c>
      <c r="EP25" s="436">
        <v>0</v>
      </c>
      <c r="EQ25" s="436">
        <v>2</v>
      </c>
      <c r="ER25" s="436">
        <v>0</v>
      </c>
      <c r="ES25" s="439">
        <v>0</v>
      </c>
      <c r="ET25" s="438"/>
      <c r="EU25" s="439">
        <v>2</v>
      </c>
      <c r="EV25" s="440"/>
      <c r="EX25" s="441"/>
      <c r="EY25" s="441"/>
      <c r="EZ25" s="441"/>
      <c r="FA25" s="442" t="s">
        <v>1076</v>
      </c>
      <c r="FB25" s="444">
        <v>0</v>
      </c>
      <c r="FC25" s="444">
        <v>0</v>
      </c>
      <c r="FD25" s="444">
        <v>51</v>
      </c>
      <c r="FE25" s="443"/>
      <c r="FF25" s="443"/>
      <c r="FG25" s="444">
        <v>51</v>
      </c>
      <c r="FH25" s="445"/>
      <c r="FJ25" s="95"/>
      <c r="FK25" s="95"/>
      <c r="FM25" s="36" t="s">
        <v>1072</v>
      </c>
      <c r="FN25" s="95">
        <v>11</v>
      </c>
      <c r="FO25" s="95">
        <v>1</v>
      </c>
      <c r="FP25" s="95">
        <v>32</v>
      </c>
      <c r="FQ25" s="95"/>
      <c r="FR25" s="95"/>
      <c r="FS25" s="95">
        <v>44</v>
      </c>
      <c r="FU25" s="37"/>
      <c r="FV25" s="616"/>
      <c r="FW25" s="4357"/>
      <c r="FX25" s="616"/>
      <c r="FY25" s="616" t="s">
        <v>1080</v>
      </c>
      <c r="FZ25" s="616">
        <v>0</v>
      </c>
      <c r="GA25" s="616">
        <v>0</v>
      </c>
      <c r="GB25" s="616">
        <v>0</v>
      </c>
      <c r="GC25" s="616">
        <v>0</v>
      </c>
      <c r="GD25" s="616">
        <v>0</v>
      </c>
      <c r="GE25" s="616">
        <v>1</v>
      </c>
      <c r="GF25" s="616">
        <v>1</v>
      </c>
      <c r="GG25" s="616"/>
      <c r="GH25" s="617"/>
      <c r="GI25" s="37"/>
    </row>
    <row r="26" spans="1:191">
      <c r="A26" s="4375"/>
      <c r="B26" s="4375"/>
      <c r="C26" s="4888"/>
      <c r="D26" s="6100" t="s">
        <v>2703</v>
      </c>
      <c r="E26" s="6105">
        <v>2</v>
      </c>
      <c r="F26" s="4375">
        <v>2</v>
      </c>
      <c r="G26" s="1"/>
      <c r="I26" s="5651"/>
      <c r="J26" s="5651"/>
      <c r="K26" s="5666" t="s">
        <v>4</v>
      </c>
      <c r="L26" s="5652"/>
      <c r="M26" s="5666">
        <f>SUM(M25)</f>
        <v>2</v>
      </c>
      <c r="N26" s="5651"/>
      <c r="O26" s="4891">
        <v>0</v>
      </c>
      <c r="Q26" s="4898"/>
      <c r="R26" s="4898"/>
      <c r="S26" s="4902" t="s">
        <v>3</v>
      </c>
      <c r="T26" s="4899"/>
      <c r="U26" s="4903">
        <f>SUM(U24,U15)</f>
        <v>28</v>
      </c>
      <c r="V26" s="4898"/>
      <c r="W26" s="4904">
        <f>(U25)/(U26)</f>
        <v>0.42857142857142855</v>
      </c>
      <c r="Y26" s="4636">
        <v>2</v>
      </c>
      <c r="Z26" s="4636">
        <v>3</v>
      </c>
      <c r="AA26" s="4637" t="s">
        <v>283</v>
      </c>
      <c r="AB26" s="4638" t="s">
        <v>1076</v>
      </c>
      <c r="AC26" s="4646">
        <v>1</v>
      </c>
      <c r="AD26" s="4641">
        <v>4</v>
      </c>
      <c r="AE26" s="4652"/>
      <c r="AF26" s="4476"/>
      <c r="AG26" s="36"/>
      <c r="AH26" s="36"/>
      <c r="AI26" s="36"/>
      <c r="AJ26" s="36" t="s">
        <v>1074</v>
      </c>
      <c r="AK26" s="1681">
        <v>0</v>
      </c>
      <c r="AL26" s="1681">
        <v>2</v>
      </c>
      <c r="AM26" s="1681">
        <v>1</v>
      </c>
      <c r="AN26" s="1681">
        <v>0</v>
      </c>
      <c r="AO26" s="1681">
        <v>0</v>
      </c>
      <c r="AP26" s="95"/>
      <c r="AQ26" s="95">
        <v>3</v>
      </c>
      <c r="AR26" s="393"/>
      <c r="AS26" s="27"/>
      <c r="AT26" s="36"/>
      <c r="AU26" s="36"/>
      <c r="AV26" s="36"/>
      <c r="AW26" s="36" t="s">
        <v>1076</v>
      </c>
      <c r="AX26" s="1681">
        <v>0</v>
      </c>
      <c r="AY26" s="1681"/>
      <c r="AZ26" s="1681">
        <v>0</v>
      </c>
      <c r="BA26" s="1681">
        <v>4</v>
      </c>
      <c r="BB26" s="1681"/>
      <c r="BC26" s="95"/>
      <c r="BD26" s="95"/>
      <c r="BE26" s="95"/>
      <c r="BF26" s="95"/>
      <c r="BG26" s="95">
        <v>4</v>
      </c>
      <c r="BH26" s="36"/>
      <c r="BJ26" s="4215"/>
      <c r="BK26" s="4338"/>
      <c r="BL26" s="4338"/>
      <c r="BM26" s="4225" t="s">
        <v>105</v>
      </c>
      <c r="BN26" s="4226"/>
      <c r="BO26" s="4226">
        <v>1</v>
      </c>
      <c r="BP26" s="4226">
        <v>26</v>
      </c>
      <c r="BQ26" s="4226"/>
      <c r="BR26" s="4226"/>
      <c r="BS26" s="4226"/>
      <c r="BT26" s="4226">
        <v>27</v>
      </c>
      <c r="BU26" s="4227">
        <f>+(BT24+BT25)/BT26</f>
        <v>0.62962962962962965</v>
      </c>
      <c r="BW26" s="36"/>
      <c r="BX26" s="36"/>
      <c r="BY26" s="393"/>
      <c r="BZ26" s="393" t="s">
        <v>1076</v>
      </c>
      <c r="CA26" s="1682">
        <v>0</v>
      </c>
      <c r="CB26" s="1682"/>
      <c r="CC26" s="1682"/>
      <c r="CD26" s="1682">
        <v>2</v>
      </c>
      <c r="CE26" s="1682">
        <v>0</v>
      </c>
      <c r="CF26" s="2041"/>
      <c r="CG26" s="2041"/>
      <c r="CH26" s="2041"/>
      <c r="CI26" s="2041">
        <v>2</v>
      </c>
      <c r="CJ26" s="36"/>
      <c r="CN26" s="393"/>
      <c r="CO26" s="393" t="s">
        <v>1074</v>
      </c>
      <c r="CP26" s="1682">
        <v>1</v>
      </c>
      <c r="CQ26" s="1682"/>
      <c r="CR26" s="1682">
        <v>0</v>
      </c>
      <c r="CS26" s="1682">
        <v>0</v>
      </c>
      <c r="CT26" s="4212"/>
      <c r="CU26" s="4212"/>
      <c r="CV26" s="4212">
        <v>1</v>
      </c>
      <c r="CY26" s="95"/>
      <c r="DB26" s="36" t="s">
        <v>1076</v>
      </c>
      <c r="DC26" s="1484">
        <v>0</v>
      </c>
      <c r="DD26" s="1484">
        <v>0</v>
      </c>
      <c r="DE26" s="1484">
        <v>2</v>
      </c>
      <c r="DF26" s="1484">
        <v>0</v>
      </c>
      <c r="DG26" s="95"/>
      <c r="DH26" s="95"/>
      <c r="DI26" s="95">
        <v>2</v>
      </c>
      <c r="DL26" s="1191"/>
      <c r="DM26" s="1191"/>
      <c r="DN26" s="1191"/>
      <c r="DO26" s="1186" t="s">
        <v>726</v>
      </c>
      <c r="DP26" s="1198">
        <v>4</v>
      </c>
      <c r="DQ26" s="1198">
        <v>1</v>
      </c>
      <c r="DR26" s="1197"/>
      <c r="DS26" s="1198">
        <v>10</v>
      </c>
      <c r="DT26" s="1197"/>
      <c r="DU26" s="1199"/>
      <c r="DV26" s="1200">
        <v>15</v>
      </c>
      <c r="DW26" s="1178">
        <v>0</v>
      </c>
      <c r="DY26" s="427"/>
      <c r="DZ26" s="427"/>
      <c r="EA26" s="428"/>
      <c r="EB26" s="429" t="s">
        <v>1072</v>
      </c>
      <c r="EC26" s="430">
        <v>0</v>
      </c>
      <c r="ED26" s="430">
        <v>1</v>
      </c>
      <c r="EE26" s="430">
        <v>0</v>
      </c>
      <c r="EF26" s="430">
        <v>0</v>
      </c>
      <c r="EG26" s="427"/>
      <c r="EH26" s="432">
        <v>1</v>
      </c>
      <c r="EI26" s="36"/>
      <c r="EK26" s="433"/>
      <c r="EL26" s="433"/>
      <c r="EM26" s="434"/>
      <c r="EN26" s="457" t="s">
        <v>15</v>
      </c>
      <c r="EO26" s="458">
        <v>7</v>
      </c>
      <c r="EP26" s="458">
        <v>2</v>
      </c>
      <c r="EQ26" s="458">
        <v>37</v>
      </c>
      <c r="ER26" s="458">
        <v>1</v>
      </c>
      <c r="ES26" s="461">
        <v>29</v>
      </c>
      <c r="ET26" s="460"/>
      <c r="EU26" s="461">
        <v>76</v>
      </c>
      <c r="EV26" s="440">
        <f>+(EU25+EU24+EU23)/EU26</f>
        <v>0.39473684210526316</v>
      </c>
      <c r="EX26" s="441"/>
      <c r="EY26" s="441"/>
      <c r="EZ26" s="441"/>
      <c r="FA26" s="442" t="s">
        <v>1077</v>
      </c>
      <c r="FB26" s="444">
        <v>5</v>
      </c>
      <c r="FC26" s="444">
        <v>1</v>
      </c>
      <c r="FD26" s="444">
        <v>4</v>
      </c>
      <c r="FE26" s="443"/>
      <c r="FF26" s="443"/>
      <c r="FG26" s="444">
        <v>10</v>
      </c>
      <c r="FH26" s="445"/>
      <c r="FJ26" s="95"/>
      <c r="FK26" s="95"/>
      <c r="FM26" s="36" t="s">
        <v>1076</v>
      </c>
      <c r="FN26" s="95">
        <v>0</v>
      </c>
      <c r="FO26" s="95">
        <v>0</v>
      </c>
      <c r="FP26" s="95">
        <v>32</v>
      </c>
      <c r="FQ26" s="95"/>
      <c r="FR26" s="95"/>
      <c r="FS26" s="95">
        <v>32</v>
      </c>
      <c r="FU26" s="37"/>
      <c r="FV26" s="616"/>
      <c r="FW26" s="4357"/>
      <c r="FX26" s="616"/>
      <c r="FY26" s="616" t="s">
        <v>1142</v>
      </c>
      <c r="FZ26" s="616">
        <v>0</v>
      </c>
      <c r="GA26" s="616">
        <v>0</v>
      </c>
      <c r="GB26" s="616">
        <v>0</v>
      </c>
      <c r="GC26" s="616">
        <v>0</v>
      </c>
      <c r="GD26" s="616">
        <v>2</v>
      </c>
      <c r="GE26" s="616">
        <v>0</v>
      </c>
      <c r="GF26" s="616">
        <v>2</v>
      </c>
      <c r="GG26" s="616"/>
      <c r="GH26" s="617"/>
      <c r="GI26" s="37"/>
    </row>
    <row r="27" spans="1:191" ht="24">
      <c r="A27" s="4375"/>
      <c r="B27" s="4375"/>
      <c r="C27" s="4888"/>
      <c r="D27" s="6106" t="s">
        <v>1076</v>
      </c>
      <c r="E27" s="6107">
        <v>1</v>
      </c>
      <c r="F27" s="6107">
        <v>3</v>
      </c>
      <c r="G27" s="1"/>
      <c r="I27" s="5644">
        <v>2</v>
      </c>
      <c r="J27" s="5644">
        <v>2</v>
      </c>
      <c r="K27" s="5643" t="s">
        <v>2725</v>
      </c>
      <c r="L27" s="5643" t="s">
        <v>2703</v>
      </c>
      <c r="M27" s="5644">
        <v>1</v>
      </c>
      <c r="N27" s="5644">
        <v>2</v>
      </c>
      <c r="Q27" s="4379">
        <v>2</v>
      </c>
      <c r="R27" s="4379">
        <v>1</v>
      </c>
      <c r="S27" s="4893" t="s">
        <v>1617</v>
      </c>
      <c r="T27" s="4893" t="s">
        <v>1071</v>
      </c>
      <c r="U27" s="4379">
        <v>2</v>
      </c>
      <c r="V27" s="4379">
        <v>6</v>
      </c>
      <c r="Y27" s="4636">
        <v>2</v>
      </c>
      <c r="Z27" s="4636">
        <v>3</v>
      </c>
      <c r="AA27" s="4637" t="s">
        <v>283</v>
      </c>
      <c r="AB27" s="4638" t="s">
        <v>1076</v>
      </c>
      <c r="AC27" s="4646">
        <v>2</v>
      </c>
      <c r="AD27" s="4683">
        <v>5</v>
      </c>
      <c r="AE27" s="4652"/>
      <c r="AF27" s="4476"/>
      <c r="AG27" s="36"/>
      <c r="AH27" s="36"/>
      <c r="AI27" s="36"/>
      <c r="AJ27" s="36" t="s">
        <v>1081</v>
      </c>
      <c r="AK27" s="1681">
        <v>0</v>
      </c>
      <c r="AL27" s="1681">
        <v>0</v>
      </c>
      <c r="AM27" s="1681">
        <v>0</v>
      </c>
      <c r="AN27" s="1681">
        <v>8</v>
      </c>
      <c r="AO27" s="1681">
        <v>0</v>
      </c>
      <c r="AP27" s="95"/>
      <c r="AQ27" s="95">
        <v>8</v>
      </c>
      <c r="AR27" s="393"/>
      <c r="AS27" s="27"/>
      <c r="AT27" s="36"/>
      <c r="AU27" s="36"/>
      <c r="AV27" s="36"/>
      <c r="AW27" s="36" t="s">
        <v>1081</v>
      </c>
      <c r="AX27" s="1681">
        <v>0</v>
      </c>
      <c r="AY27" s="1681"/>
      <c r="AZ27" s="1681">
        <v>0</v>
      </c>
      <c r="BA27" s="1681">
        <v>7</v>
      </c>
      <c r="BB27" s="1681"/>
      <c r="BC27" s="95"/>
      <c r="BD27" s="95"/>
      <c r="BE27" s="95"/>
      <c r="BF27" s="95"/>
      <c r="BG27" s="95">
        <v>7</v>
      </c>
      <c r="BH27" s="36"/>
      <c r="BJ27" s="4215" t="s">
        <v>25</v>
      </c>
      <c r="BK27" s="4215" t="s">
        <v>4</v>
      </c>
      <c r="BL27" s="4215" t="s">
        <v>2265</v>
      </c>
      <c r="BM27" s="4339" t="s">
        <v>1080</v>
      </c>
      <c r="BN27" s="4221"/>
      <c r="BO27" s="4221"/>
      <c r="BP27" s="4221"/>
      <c r="BQ27" s="4221"/>
      <c r="BR27" s="4221"/>
      <c r="BS27" s="4340">
        <v>2</v>
      </c>
      <c r="BT27" s="4221">
        <v>2</v>
      </c>
      <c r="BU27" s="4215"/>
      <c r="BW27" s="36"/>
      <c r="BX27" s="36"/>
      <c r="BY27" s="393"/>
      <c r="BZ27" s="393" t="s">
        <v>1663</v>
      </c>
      <c r="CA27" s="1682">
        <v>1</v>
      </c>
      <c r="CB27" s="1682"/>
      <c r="CC27" s="1682"/>
      <c r="CD27" s="1682">
        <v>0</v>
      </c>
      <c r="CE27" s="1682">
        <v>0</v>
      </c>
      <c r="CF27" s="2041"/>
      <c r="CG27" s="2041"/>
      <c r="CH27" s="2041"/>
      <c r="CI27" s="2041">
        <v>1</v>
      </c>
      <c r="CJ27" s="36"/>
      <c r="CN27" s="393"/>
      <c r="CO27" s="393" t="s">
        <v>1076</v>
      </c>
      <c r="CP27" s="1682">
        <v>0</v>
      </c>
      <c r="CQ27" s="1682"/>
      <c r="CR27" s="1682">
        <v>11</v>
      </c>
      <c r="CS27" s="1682">
        <v>2</v>
      </c>
      <c r="CT27" s="4212"/>
      <c r="CU27" s="4212"/>
      <c r="CV27" s="4212">
        <v>13</v>
      </c>
      <c r="CY27" s="95"/>
      <c r="DB27" s="36" t="s">
        <v>1077</v>
      </c>
      <c r="DC27" s="1484">
        <v>1</v>
      </c>
      <c r="DD27" s="1484">
        <v>1</v>
      </c>
      <c r="DE27" s="1484">
        <v>0</v>
      </c>
      <c r="DF27" s="1484">
        <v>0</v>
      </c>
      <c r="DG27" s="95"/>
      <c r="DH27" s="95"/>
      <c r="DI27" s="95">
        <v>2</v>
      </c>
      <c r="DL27" s="1191"/>
      <c r="DM27" s="1191"/>
      <c r="DN27" s="1191" t="s">
        <v>105</v>
      </c>
      <c r="DO27" s="1192" t="s">
        <v>1071</v>
      </c>
      <c r="DP27" s="1194">
        <v>0</v>
      </c>
      <c r="DQ27" s="1194">
        <v>0</v>
      </c>
      <c r="DR27" s="1193"/>
      <c r="DS27" s="1194">
        <v>1</v>
      </c>
      <c r="DT27" s="1193"/>
      <c r="DU27" s="1195"/>
      <c r="DV27" s="1196">
        <v>1</v>
      </c>
      <c r="DW27" s="1187"/>
      <c r="DY27" s="427"/>
      <c r="DZ27" s="427"/>
      <c r="EA27" s="428"/>
      <c r="EB27" s="429" t="s">
        <v>1076</v>
      </c>
      <c r="EC27" s="430">
        <v>0</v>
      </c>
      <c r="ED27" s="430">
        <v>0</v>
      </c>
      <c r="EE27" s="430">
        <v>2</v>
      </c>
      <c r="EF27" s="430">
        <v>0</v>
      </c>
      <c r="EG27" s="427"/>
      <c r="EH27" s="432">
        <v>2</v>
      </c>
      <c r="EI27" s="36"/>
      <c r="EK27" s="433"/>
      <c r="EL27" s="433"/>
      <c r="EM27" s="457" t="s">
        <v>726</v>
      </c>
      <c r="EN27" s="435" t="s">
        <v>1071</v>
      </c>
      <c r="EO27" s="436">
        <v>0</v>
      </c>
      <c r="EP27" s="436">
        <v>0</v>
      </c>
      <c r="EQ27" s="436">
        <v>0</v>
      </c>
      <c r="ER27" s="436">
        <v>0</v>
      </c>
      <c r="ES27" s="439">
        <v>29</v>
      </c>
      <c r="ET27" s="438"/>
      <c r="EU27" s="439">
        <v>29</v>
      </c>
      <c r="EV27" s="440"/>
      <c r="EX27" s="441"/>
      <c r="EY27" s="441"/>
      <c r="EZ27" s="441"/>
      <c r="FA27" s="442" t="s">
        <v>1081</v>
      </c>
      <c r="FB27" s="444">
        <v>0</v>
      </c>
      <c r="FC27" s="444">
        <v>0</v>
      </c>
      <c r="FD27" s="444">
        <v>1</v>
      </c>
      <c r="FE27" s="443"/>
      <c r="FF27" s="443"/>
      <c r="FG27" s="444">
        <v>1</v>
      </c>
      <c r="FH27" s="445"/>
      <c r="FJ27" s="95"/>
      <c r="FK27" s="95"/>
      <c r="FM27" s="36" t="s">
        <v>1077</v>
      </c>
      <c r="FN27" s="95">
        <v>0</v>
      </c>
      <c r="FO27" s="95">
        <v>4</v>
      </c>
      <c r="FP27" s="95">
        <v>0</v>
      </c>
      <c r="FQ27" s="95"/>
      <c r="FR27" s="95"/>
      <c r="FS27" s="95">
        <v>4</v>
      </c>
      <c r="FU27" s="37"/>
      <c r="FV27" s="616"/>
      <c r="FW27" s="4357"/>
      <c r="FX27" s="616"/>
      <c r="FY27" s="627" t="s">
        <v>15</v>
      </c>
      <c r="FZ27" s="627">
        <v>0</v>
      </c>
      <c r="GA27" s="627">
        <v>0</v>
      </c>
      <c r="GB27" s="627">
        <v>0</v>
      </c>
      <c r="GC27" s="627">
        <v>7</v>
      </c>
      <c r="GD27" s="627">
        <v>9</v>
      </c>
      <c r="GE27" s="627">
        <v>1</v>
      </c>
      <c r="GF27" s="627">
        <v>17</v>
      </c>
      <c r="GG27" s="628">
        <f>+(GF26+GF24)/GF27</f>
        <v>0.88235294117647056</v>
      </c>
      <c r="GH27" s="617">
        <f>+GF24+GF26</f>
        <v>15</v>
      </c>
      <c r="GI27" s="37"/>
    </row>
    <row r="28" spans="1:191" ht="24">
      <c r="A28" s="4375"/>
      <c r="B28" s="4375"/>
      <c r="C28" s="4888"/>
      <c r="D28" s="6100" t="s">
        <v>2709</v>
      </c>
      <c r="E28" s="6105">
        <v>2</v>
      </c>
      <c r="F28" s="4375">
        <v>2</v>
      </c>
      <c r="G28" s="1"/>
      <c r="I28" s="5644">
        <v>2</v>
      </c>
      <c r="J28" s="5644">
        <v>2</v>
      </c>
      <c r="K28" s="5643" t="s">
        <v>2725</v>
      </c>
      <c r="L28" s="5649" t="s">
        <v>1076</v>
      </c>
      <c r="M28" s="5644">
        <v>1</v>
      </c>
      <c r="N28" s="5644">
        <v>2</v>
      </c>
      <c r="Q28" s="4379"/>
      <c r="R28" s="4379"/>
      <c r="S28" s="4900" t="s">
        <v>4</v>
      </c>
      <c r="T28" s="4650" t="s">
        <v>15</v>
      </c>
      <c r="U28" s="4900">
        <f>SUM(U27)</f>
        <v>2</v>
      </c>
      <c r="V28" s="4379"/>
      <c r="W28" s="4891">
        <v>0</v>
      </c>
      <c r="Y28" s="4636">
        <v>2</v>
      </c>
      <c r="Z28" s="4636">
        <v>3</v>
      </c>
      <c r="AA28" s="4637" t="s">
        <v>283</v>
      </c>
      <c r="AB28" s="4637" t="s">
        <v>2731</v>
      </c>
      <c r="AC28" s="4641">
        <v>1</v>
      </c>
      <c r="AD28" s="4641">
        <v>6</v>
      </c>
      <c r="AE28" s="4652"/>
      <c r="AF28" s="4476"/>
      <c r="AG28" s="36"/>
      <c r="AH28" s="36"/>
      <c r="AI28" s="36"/>
      <c r="AJ28" s="36" t="s">
        <v>2571</v>
      </c>
      <c r="AK28" s="1681">
        <v>1</v>
      </c>
      <c r="AL28" s="1681">
        <v>0</v>
      </c>
      <c r="AM28" s="1681">
        <v>0</v>
      </c>
      <c r="AN28" s="1681">
        <v>0</v>
      </c>
      <c r="AO28" s="1681">
        <v>0</v>
      </c>
      <c r="AP28" s="95"/>
      <c r="AQ28" s="95">
        <v>1</v>
      </c>
      <c r="AR28" s="393"/>
      <c r="AS28" s="27"/>
      <c r="AT28" s="36"/>
      <c r="AU28" s="36"/>
      <c r="AV28" s="36"/>
      <c r="AW28" s="36" t="s">
        <v>2571</v>
      </c>
      <c r="AX28" s="1681">
        <v>1</v>
      </c>
      <c r="AY28" s="1681"/>
      <c r="AZ28" s="1681">
        <v>0</v>
      </c>
      <c r="BA28" s="1681">
        <v>0</v>
      </c>
      <c r="BB28" s="1681"/>
      <c r="BC28" s="95"/>
      <c r="BD28" s="95"/>
      <c r="BE28" s="95"/>
      <c r="BF28" s="95"/>
      <c r="BG28" s="95">
        <v>1</v>
      </c>
      <c r="BH28" s="36"/>
      <c r="BJ28" s="4215"/>
      <c r="BK28" s="4215"/>
      <c r="BL28" s="4215"/>
      <c r="BM28" s="4222" t="s">
        <v>15</v>
      </c>
      <c r="BN28" s="4221"/>
      <c r="BO28" s="4221"/>
      <c r="BP28" s="4221"/>
      <c r="BQ28" s="4221"/>
      <c r="BR28" s="4223"/>
      <c r="BS28" s="4340">
        <v>2</v>
      </c>
      <c r="BT28" s="4223">
        <v>2</v>
      </c>
      <c r="BU28" s="4224">
        <v>0</v>
      </c>
      <c r="BW28" s="36"/>
      <c r="BX28" s="36"/>
      <c r="BY28" s="393"/>
      <c r="BZ28" s="393" t="s">
        <v>484</v>
      </c>
      <c r="CA28" s="1682">
        <v>1</v>
      </c>
      <c r="CB28" s="1682"/>
      <c r="CC28" s="1682"/>
      <c r="CD28" s="1682">
        <v>10</v>
      </c>
      <c r="CE28" s="1682">
        <v>2</v>
      </c>
      <c r="CF28" s="2041"/>
      <c r="CG28" s="2041"/>
      <c r="CH28" s="2041"/>
      <c r="CI28" s="2041">
        <v>13</v>
      </c>
      <c r="CJ28" s="560">
        <f>+CI26/CI28</f>
        <v>0.15384615384615385</v>
      </c>
      <c r="CN28" s="393"/>
      <c r="CO28" s="393" t="s">
        <v>1081</v>
      </c>
      <c r="CP28" s="1682">
        <v>0</v>
      </c>
      <c r="CQ28" s="1682"/>
      <c r="CR28" s="1682">
        <v>8</v>
      </c>
      <c r="CS28" s="1682">
        <v>6</v>
      </c>
      <c r="CT28" s="4212"/>
      <c r="CU28" s="4212"/>
      <c r="CV28" s="4212">
        <v>14</v>
      </c>
      <c r="CY28" s="95"/>
      <c r="DB28" s="36" t="s">
        <v>1142</v>
      </c>
      <c r="DC28" s="1484">
        <v>0</v>
      </c>
      <c r="DD28" s="1484">
        <v>0</v>
      </c>
      <c r="DE28" s="1484">
        <v>45</v>
      </c>
      <c r="DF28" s="1484">
        <v>0</v>
      </c>
      <c r="DG28" s="95"/>
      <c r="DH28" s="95"/>
      <c r="DI28" s="95">
        <v>45</v>
      </c>
      <c r="DL28" s="1191"/>
      <c r="DM28" s="1191"/>
      <c r="DN28" s="1191"/>
      <c r="DO28" s="1192" t="s">
        <v>1072</v>
      </c>
      <c r="DP28" s="1194">
        <v>0</v>
      </c>
      <c r="DQ28" s="1194">
        <v>1</v>
      </c>
      <c r="DR28" s="1193"/>
      <c r="DS28" s="1194">
        <v>14</v>
      </c>
      <c r="DT28" s="1193"/>
      <c r="DU28" s="1195"/>
      <c r="DV28" s="1196">
        <v>15</v>
      </c>
      <c r="DW28" s="1187"/>
      <c r="DY28" s="427"/>
      <c r="DZ28" s="427"/>
      <c r="EA28" s="428"/>
      <c r="EB28" s="429" t="s">
        <v>1077</v>
      </c>
      <c r="EC28" s="430">
        <v>4</v>
      </c>
      <c r="ED28" s="430">
        <v>1</v>
      </c>
      <c r="EE28" s="430">
        <v>3</v>
      </c>
      <c r="EF28" s="430">
        <v>0</v>
      </c>
      <c r="EG28" s="427"/>
      <c r="EH28" s="432">
        <v>8</v>
      </c>
      <c r="EI28" s="36"/>
      <c r="EK28" s="433"/>
      <c r="EL28" s="433"/>
      <c r="EM28" s="434"/>
      <c r="EN28" s="435" t="s">
        <v>1072</v>
      </c>
      <c r="EO28" s="436">
        <v>6</v>
      </c>
      <c r="EP28" s="436">
        <v>2</v>
      </c>
      <c r="EQ28" s="436">
        <v>6</v>
      </c>
      <c r="ER28" s="436">
        <v>1</v>
      </c>
      <c r="ES28" s="439">
        <v>0</v>
      </c>
      <c r="ET28" s="438"/>
      <c r="EU28" s="439">
        <v>15</v>
      </c>
      <c r="EV28" s="440"/>
      <c r="EX28" s="441"/>
      <c r="EY28" s="441"/>
      <c r="EZ28" s="441"/>
      <c r="FA28" s="462" t="s">
        <v>15</v>
      </c>
      <c r="FB28" s="464">
        <v>8</v>
      </c>
      <c r="FC28" s="464">
        <v>2</v>
      </c>
      <c r="FD28" s="464">
        <v>62</v>
      </c>
      <c r="FE28" s="463"/>
      <c r="FF28" s="463"/>
      <c r="FG28" s="464">
        <v>72</v>
      </c>
      <c r="FH28" s="465">
        <f>+(FG27+FG25)/FG28</f>
        <v>0.72222222222222221</v>
      </c>
      <c r="FJ28" s="95"/>
      <c r="FK28" s="95"/>
      <c r="FM28" s="36" t="s">
        <v>1081</v>
      </c>
      <c r="FN28" s="95">
        <v>0</v>
      </c>
      <c r="FO28" s="95">
        <v>0</v>
      </c>
      <c r="FP28" s="95">
        <v>1</v>
      </c>
      <c r="FQ28" s="95"/>
      <c r="FR28" s="95"/>
      <c r="FS28" s="95">
        <v>1</v>
      </c>
      <c r="FU28" s="37"/>
      <c r="FV28" s="616"/>
      <c r="FW28" s="4357"/>
      <c r="FX28" s="616" t="s">
        <v>108</v>
      </c>
      <c r="FY28" s="616" t="s">
        <v>1071</v>
      </c>
      <c r="FZ28" s="616">
        <v>0</v>
      </c>
      <c r="GA28" s="616">
        <v>0</v>
      </c>
      <c r="GB28" s="616">
        <v>0</v>
      </c>
      <c r="GC28" s="616">
        <v>0</v>
      </c>
      <c r="GD28" s="616">
        <v>0</v>
      </c>
      <c r="GE28" s="616">
        <v>6</v>
      </c>
      <c r="GF28" s="616">
        <v>6</v>
      </c>
      <c r="GG28" s="616"/>
      <c r="GH28" s="617"/>
      <c r="GI28" s="37"/>
    </row>
    <row r="29" spans="1:191" ht="24">
      <c r="A29" s="4375"/>
      <c r="B29" s="4375"/>
      <c r="C29" s="4888"/>
      <c r="D29" s="6100" t="s">
        <v>2709</v>
      </c>
      <c r="E29" s="6105">
        <v>40</v>
      </c>
      <c r="F29" s="4375">
        <v>3</v>
      </c>
      <c r="G29" s="1"/>
      <c r="I29" s="5644">
        <v>2</v>
      </c>
      <c r="J29" s="5644">
        <v>2</v>
      </c>
      <c r="K29" s="5643" t="s">
        <v>2725</v>
      </c>
      <c r="L29" s="5649" t="s">
        <v>1076</v>
      </c>
      <c r="M29" s="5644">
        <v>59</v>
      </c>
      <c r="N29" s="5644">
        <v>3</v>
      </c>
      <c r="Q29" s="4375">
        <v>2</v>
      </c>
      <c r="R29" s="4375">
        <v>2</v>
      </c>
      <c r="S29" s="4888" t="s">
        <v>2725</v>
      </c>
      <c r="T29" s="4888" t="s">
        <v>2703</v>
      </c>
      <c r="U29" s="4375">
        <v>1</v>
      </c>
      <c r="V29" s="4375">
        <v>2</v>
      </c>
      <c r="Y29" s="4636"/>
      <c r="Z29" s="4636"/>
      <c r="AA29" s="4637"/>
      <c r="AB29" s="4650" t="s">
        <v>15</v>
      </c>
      <c r="AC29" s="4662">
        <f>SUM(AC24:AC28)</f>
        <v>6</v>
      </c>
      <c r="AD29" s="4662"/>
      <c r="AE29" s="4655">
        <f>(AC26)/(AC29)</f>
        <v>0.16666666666666666</v>
      </c>
      <c r="AF29" s="4476"/>
      <c r="AG29" s="36"/>
      <c r="AH29" s="36"/>
      <c r="AI29" s="36"/>
      <c r="AJ29" s="36" t="s">
        <v>15</v>
      </c>
      <c r="AK29" s="1681">
        <v>1</v>
      </c>
      <c r="AL29" s="1681">
        <v>2</v>
      </c>
      <c r="AM29" s="1681">
        <v>1</v>
      </c>
      <c r="AN29" s="1681">
        <v>27</v>
      </c>
      <c r="AO29" s="1681">
        <v>1</v>
      </c>
      <c r="AP29" s="95"/>
      <c r="AQ29" s="95">
        <v>32</v>
      </c>
      <c r="AR29" s="4536">
        <f>+AQ27/(AQ29-AQ28)</f>
        <v>0.25806451612903225</v>
      </c>
      <c r="AS29" s="4533"/>
      <c r="AT29" s="36"/>
      <c r="AU29" s="36"/>
      <c r="AV29" s="36"/>
      <c r="AW29" s="393" t="s">
        <v>15</v>
      </c>
      <c r="AX29" s="1682">
        <v>1</v>
      </c>
      <c r="AY29" s="1682"/>
      <c r="AZ29" s="1682">
        <v>1</v>
      </c>
      <c r="BA29" s="1682">
        <v>12</v>
      </c>
      <c r="BB29" s="1682"/>
      <c r="BC29" s="4212"/>
      <c r="BD29" s="4212"/>
      <c r="BE29" s="4212"/>
      <c r="BF29" s="4212"/>
      <c r="BG29" s="4212">
        <v>14</v>
      </c>
      <c r="BH29" s="560">
        <f>+(BG26+BG27)/(BG29-BG28)</f>
        <v>0.84615384615384615</v>
      </c>
      <c r="BJ29" s="4215"/>
      <c r="BK29" s="4215"/>
      <c r="BL29" s="4222" t="s">
        <v>482</v>
      </c>
      <c r="BM29" s="4341" t="s">
        <v>1080</v>
      </c>
      <c r="BN29" s="4223"/>
      <c r="BO29" s="4223"/>
      <c r="BP29" s="4223"/>
      <c r="BQ29" s="4223"/>
      <c r="BR29" s="4223"/>
      <c r="BS29" s="4342">
        <v>2</v>
      </c>
      <c r="BT29" s="4223">
        <v>2</v>
      </c>
      <c r="BU29" s="4224"/>
      <c r="BW29" s="36"/>
      <c r="BX29" s="36"/>
      <c r="BY29" s="393" t="s">
        <v>105</v>
      </c>
      <c r="BZ29" s="393" t="s">
        <v>1071</v>
      </c>
      <c r="CA29" s="1682">
        <v>0</v>
      </c>
      <c r="CB29" s="1682"/>
      <c r="CC29" s="1682">
        <v>1</v>
      </c>
      <c r="CD29" s="1682">
        <v>0</v>
      </c>
      <c r="CE29" s="1682">
        <v>0</v>
      </c>
      <c r="CF29" s="2041"/>
      <c r="CG29" s="2041"/>
      <c r="CH29" s="2041"/>
      <c r="CI29" s="2041">
        <v>1</v>
      </c>
      <c r="CJ29" s="36"/>
      <c r="CN29" s="393"/>
      <c r="CO29" s="393" t="s">
        <v>2264</v>
      </c>
      <c r="CP29" s="1682">
        <v>0</v>
      </c>
      <c r="CQ29" s="1682"/>
      <c r="CR29" s="1682">
        <v>0</v>
      </c>
      <c r="CS29" s="1682">
        <v>1</v>
      </c>
      <c r="CT29" s="4212"/>
      <c r="CU29" s="4212"/>
      <c r="CV29" s="4212">
        <v>1</v>
      </c>
      <c r="CY29" s="95"/>
      <c r="DB29" s="393" t="s">
        <v>15</v>
      </c>
      <c r="DC29" s="1485">
        <v>4</v>
      </c>
      <c r="DD29" s="1485">
        <v>2</v>
      </c>
      <c r="DE29" s="1485">
        <v>50</v>
      </c>
      <c r="DF29" s="1485">
        <v>1</v>
      </c>
      <c r="DG29" s="4212"/>
      <c r="DH29" s="4212"/>
      <c r="DI29" s="4212">
        <v>57</v>
      </c>
      <c r="DJ29" s="560">
        <f>+(DI26+DI28)/DI29</f>
        <v>0.82456140350877194</v>
      </c>
      <c r="DL29" s="1191"/>
      <c r="DM29" s="1191"/>
      <c r="DN29" s="1191"/>
      <c r="DO29" s="1192" t="s">
        <v>1076</v>
      </c>
      <c r="DP29" s="1194">
        <v>0</v>
      </c>
      <c r="DQ29" s="1194">
        <v>0</v>
      </c>
      <c r="DR29" s="1193"/>
      <c r="DS29" s="1194">
        <v>4</v>
      </c>
      <c r="DT29" s="1193"/>
      <c r="DU29" s="1195"/>
      <c r="DV29" s="1196">
        <v>4</v>
      </c>
      <c r="DW29" s="1187"/>
      <c r="DY29" s="427"/>
      <c r="DZ29" s="427"/>
      <c r="EA29" s="428"/>
      <c r="EB29" s="429" t="s">
        <v>1081</v>
      </c>
      <c r="EC29" s="430">
        <v>0</v>
      </c>
      <c r="ED29" s="430">
        <v>0</v>
      </c>
      <c r="EE29" s="430">
        <v>1</v>
      </c>
      <c r="EF29" s="430">
        <v>0</v>
      </c>
      <c r="EG29" s="427"/>
      <c r="EH29" s="432">
        <v>1</v>
      </c>
      <c r="EI29" s="36"/>
      <c r="EK29" s="433"/>
      <c r="EL29" s="433"/>
      <c r="EM29" s="434"/>
      <c r="EN29" s="435" t="s">
        <v>1074</v>
      </c>
      <c r="EO29" s="436">
        <v>1</v>
      </c>
      <c r="EP29" s="436">
        <v>0</v>
      </c>
      <c r="EQ29" s="436">
        <v>1</v>
      </c>
      <c r="ER29" s="436">
        <v>0</v>
      </c>
      <c r="ES29" s="439">
        <v>0</v>
      </c>
      <c r="ET29" s="438"/>
      <c r="EU29" s="439">
        <v>2</v>
      </c>
      <c r="EV29" s="440"/>
      <c r="FJ29" s="95"/>
      <c r="FK29" s="95"/>
      <c r="FM29" s="393" t="s">
        <v>15</v>
      </c>
      <c r="FN29" s="4212">
        <v>11</v>
      </c>
      <c r="FO29" s="4212">
        <v>6</v>
      </c>
      <c r="FP29" s="4212">
        <v>74</v>
      </c>
      <c r="FQ29" s="4212"/>
      <c r="FR29" s="4212"/>
      <c r="FS29" s="4212">
        <v>91</v>
      </c>
      <c r="FT29" s="631">
        <f>+(FS26+FS28)/FS29</f>
        <v>0.36263736263736263</v>
      </c>
      <c r="FU29" s="37"/>
      <c r="FV29" s="616"/>
      <c r="FW29" s="4357"/>
      <c r="FX29" s="616"/>
      <c r="FY29" s="627" t="s">
        <v>15</v>
      </c>
      <c r="FZ29" s="627">
        <v>0</v>
      </c>
      <c r="GA29" s="627">
        <v>0</v>
      </c>
      <c r="GB29" s="627">
        <v>0</v>
      </c>
      <c r="GC29" s="627">
        <v>0</v>
      </c>
      <c r="GD29" s="627">
        <v>0</v>
      </c>
      <c r="GE29" s="627">
        <v>6</v>
      </c>
      <c r="GF29" s="627">
        <v>6</v>
      </c>
      <c r="GG29" s="628">
        <f>0/GF29</f>
        <v>0</v>
      </c>
      <c r="GH29" s="617">
        <v>0</v>
      </c>
      <c r="GI29" s="37"/>
    </row>
    <row r="30" spans="1:191" ht="24">
      <c r="A30" s="4375"/>
      <c r="B30" s="4375"/>
      <c r="C30" s="4378" t="s">
        <v>16</v>
      </c>
      <c r="D30" s="4650" t="s">
        <v>15</v>
      </c>
      <c r="E30" s="4378">
        <f>SUM(E25:E29)</f>
        <v>46</v>
      </c>
      <c r="F30" s="4375"/>
      <c r="G30" s="4891">
        <f>(E27)/(E30)</f>
        <v>2.1739130434782608E-2</v>
      </c>
      <c r="I30" s="5644">
        <v>2</v>
      </c>
      <c r="J30" s="5644">
        <v>2</v>
      </c>
      <c r="K30" s="5643" t="s">
        <v>2725</v>
      </c>
      <c r="L30" s="5643" t="s">
        <v>2709</v>
      </c>
      <c r="M30" s="5644">
        <v>1</v>
      </c>
      <c r="N30" s="5644">
        <v>2</v>
      </c>
      <c r="Q30" s="4375">
        <v>2</v>
      </c>
      <c r="R30" s="4375">
        <v>2</v>
      </c>
      <c r="S30" s="4888" t="s">
        <v>2725</v>
      </c>
      <c r="T30" s="4889" t="s">
        <v>2707</v>
      </c>
      <c r="U30" s="4890">
        <v>11</v>
      </c>
      <c r="V30" s="4375">
        <v>3</v>
      </c>
      <c r="Y30" s="4636">
        <v>2</v>
      </c>
      <c r="Z30" s="4636">
        <v>3</v>
      </c>
      <c r="AA30" s="4637" t="s">
        <v>284</v>
      </c>
      <c r="AB30" s="4637" t="s">
        <v>2709</v>
      </c>
      <c r="AC30" s="4641">
        <v>1</v>
      </c>
      <c r="AD30" s="4641">
        <v>1</v>
      </c>
      <c r="AE30" s="4652"/>
      <c r="AF30" s="4476"/>
      <c r="AG30" s="36" t="s">
        <v>25</v>
      </c>
      <c r="AH30" s="36" t="s">
        <v>16</v>
      </c>
      <c r="AI30" s="36" t="s">
        <v>106</v>
      </c>
      <c r="AJ30" s="36" t="s">
        <v>1072</v>
      </c>
      <c r="AK30" s="1681">
        <v>0</v>
      </c>
      <c r="AL30" s="1681"/>
      <c r="AM30" s="1681">
        <v>1</v>
      </c>
      <c r="AN30" s="1681">
        <v>0</v>
      </c>
      <c r="AO30" s="1681">
        <v>1</v>
      </c>
      <c r="AP30" s="95"/>
      <c r="AQ30" s="95">
        <v>2</v>
      </c>
      <c r="AR30" s="393"/>
      <c r="AS30" s="27"/>
      <c r="AT30" s="36"/>
      <c r="AU30" s="36"/>
      <c r="AV30" s="36" t="s">
        <v>105</v>
      </c>
      <c r="AW30" s="36" t="s">
        <v>1072</v>
      </c>
      <c r="AX30" s="1681">
        <v>0</v>
      </c>
      <c r="AY30" s="1681"/>
      <c r="AZ30" s="1681">
        <v>1</v>
      </c>
      <c r="BA30" s="1681">
        <v>2</v>
      </c>
      <c r="BB30" s="1681"/>
      <c r="BC30" s="95"/>
      <c r="BD30" s="95"/>
      <c r="BE30" s="95"/>
      <c r="BF30" s="95"/>
      <c r="BG30" s="95">
        <v>3</v>
      </c>
      <c r="BH30" s="36"/>
      <c r="BJ30" s="4215"/>
      <c r="BK30" s="4215"/>
      <c r="BL30" s="4215"/>
      <c r="BM30" s="4222" t="s">
        <v>482</v>
      </c>
      <c r="BN30" s="4223"/>
      <c r="BO30" s="4223"/>
      <c r="BP30" s="4223"/>
      <c r="BQ30" s="4223"/>
      <c r="BR30" s="4223"/>
      <c r="BS30" s="4342">
        <v>2</v>
      </c>
      <c r="BT30" s="4223">
        <v>2</v>
      </c>
      <c r="BU30" s="4224">
        <v>0</v>
      </c>
      <c r="BW30" s="36"/>
      <c r="BX30" s="36"/>
      <c r="BY30" s="393"/>
      <c r="BZ30" s="393" t="s">
        <v>1072</v>
      </c>
      <c r="CA30" s="1682">
        <v>0</v>
      </c>
      <c r="CB30" s="1682"/>
      <c r="CC30" s="1682">
        <v>1</v>
      </c>
      <c r="CD30" s="1682">
        <v>8</v>
      </c>
      <c r="CE30" s="1682">
        <v>2</v>
      </c>
      <c r="CF30" s="2041"/>
      <c r="CG30" s="2041"/>
      <c r="CH30" s="2041"/>
      <c r="CI30" s="2041">
        <v>11</v>
      </c>
      <c r="CJ30" s="36"/>
      <c r="CN30" s="393"/>
      <c r="CO30" s="393" t="s">
        <v>105</v>
      </c>
      <c r="CP30" s="1682">
        <v>1</v>
      </c>
      <c r="CQ30" s="1682"/>
      <c r="CR30" s="1682">
        <v>20</v>
      </c>
      <c r="CS30" s="1682">
        <v>9</v>
      </c>
      <c r="CT30" s="4212"/>
      <c r="CU30" s="4212"/>
      <c r="CV30" s="4212">
        <v>30</v>
      </c>
      <c r="CW30" s="560">
        <f>+(CV27+CV28)/CV30</f>
        <v>0.9</v>
      </c>
      <c r="CY30" s="95"/>
      <c r="DA30" s="36" t="s">
        <v>483</v>
      </c>
      <c r="DB30" s="36" t="s">
        <v>1072</v>
      </c>
      <c r="DC30" s="1484">
        <v>3</v>
      </c>
      <c r="DD30" s="1484">
        <v>1</v>
      </c>
      <c r="DE30" s="1484">
        <v>3</v>
      </c>
      <c r="DF30" s="1484">
        <v>1</v>
      </c>
      <c r="DG30" s="95"/>
      <c r="DH30" s="95"/>
      <c r="DI30" s="95">
        <v>8</v>
      </c>
      <c r="DL30" s="1191"/>
      <c r="DM30" s="1191"/>
      <c r="DN30" s="1191"/>
      <c r="DO30" s="1192" t="s">
        <v>1663</v>
      </c>
      <c r="DP30" s="1194">
        <v>4</v>
      </c>
      <c r="DQ30" s="1194">
        <v>0</v>
      </c>
      <c r="DR30" s="1193"/>
      <c r="DS30" s="1194">
        <v>0</v>
      </c>
      <c r="DT30" s="1193"/>
      <c r="DU30" s="1195"/>
      <c r="DV30" s="1196">
        <v>4</v>
      </c>
      <c r="DW30" s="1187"/>
      <c r="DY30" s="427"/>
      <c r="DZ30" s="427"/>
      <c r="EA30" s="428"/>
      <c r="EB30" s="429" t="s">
        <v>1142</v>
      </c>
      <c r="EC30" s="430">
        <v>0</v>
      </c>
      <c r="ED30" s="430">
        <v>0</v>
      </c>
      <c r="EE30" s="430">
        <v>20</v>
      </c>
      <c r="EF30" s="430">
        <v>0</v>
      </c>
      <c r="EG30" s="427"/>
      <c r="EH30" s="432">
        <v>20</v>
      </c>
      <c r="EI30" s="36"/>
      <c r="EK30" s="433"/>
      <c r="EL30" s="433"/>
      <c r="EM30" s="434"/>
      <c r="EN30" s="435" t="s">
        <v>1076</v>
      </c>
      <c r="EO30" s="436">
        <v>0</v>
      </c>
      <c r="EP30" s="436">
        <v>0</v>
      </c>
      <c r="EQ30" s="436">
        <v>17</v>
      </c>
      <c r="ER30" s="436">
        <v>0</v>
      </c>
      <c r="ES30" s="439">
        <v>0</v>
      </c>
      <c r="ET30" s="438"/>
      <c r="EU30" s="439">
        <v>17</v>
      </c>
      <c r="EV30" s="440"/>
      <c r="EX30" s="441"/>
      <c r="EY30" s="441" t="s">
        <v>41</v>
      </c>
      <c r="EZ30" s="441" t="s">
        <v>107</v>
      </c>
      <c r="FA30" s="442" t="s">
        <v>1072</v>
      </c>
      <c r="FB30" s="443"/>
      <c r="FC30" s="444">
        <v>0</v>
      </c>
      <c r="FD30" s="444">
        <v>2</v>
      </c>
      <c r="FE30" s="444">
        <v>4</v>
      </c>
      <c r="FF30" s="443"/>
      <c r="FG30" s="444">
        <v>6</v>
      </c>
      <c r="FH30" s="445"/>
      <c r="FJ30" s="95"/>
      <c r="FK30" s="95" t="s">
        <v>41</v>
      </c>
      <c r="FL30" s="36" t="s">
        <v>107</v>
      </c>
      <c r="FM30" s="36" t="s">
        <v>1072</v>
      </c>
      <c r="FN30" s="95"/>
      <c r="FO30" s="95">
        <v>1</v>
      </c>
      <c r="FP30" s="95">
        <v>2</v>
      </c>
      <c r="FQ30" s="95">
        <v>0</v>
      </c>
      <c r="FR30" s="95">
        <v>0</v>
      </c>
      <c r="FS30" s="95">
        <v>3</v>
      </c>
      <c r="FU30" s="37"/>
      <c r="FV30" s="616" t="s">
        <v>48</v>
      </c>
      <c r="FW30" s="4357" t="s">
        <v>16</v>
      </c>
      <c r="FX30" s="616" t="s">
        <v>110</v>
      </c>
      <c r="FY30" s="616" t="s">
        <v>1071</v>
      </c>
      <c r="FZ30" s="616">
        <v>0</v>
      </c>
      <c r="GA30" s="616">
        <v>0</v>
      </c>
      <c r="GB30" s="616">
        <v>0</v>
      </c>
      <c r="GC30" s="616">
        <v>0</v>
      </c>
      <c r="GD30" s="616">
        <v>0</v>
      </c>
      <c r="GE30" s="616">
        <v>1</v>
      </c>
      <c r="GF30" s="616">
        <v>1</v>
      </c>
      <c r="GG30" s="616"/>
      <c r="GH30" s="617"/>
      <c r="GI30" s="37"/>
    </row>
    <row r="31" spans="1:191" ht="24">
      <c r="A31" s="4375">
        <v>2</v>
      </c>
      <c r="B31" s="4375">
        <v>3</v>
      </c>
      <c r="C31" s="4888" t="s">
        <v>283</v>
      </c>
      <c r="D31" s="4888" t="s">
        <v>2709</v>
      </c>
      <c r="E31" s="4375">
        <v>1</v>
      </c>
      <c r="F31" s="4375">
        <v>1</v>
      </c>
      <c r="G31" s="1"/>
      <c r="I31" s="5644">
        <v>2</v>
      </c>
      <c r="J31" s="5644">
        <v>2</v>
      </c>
      <c r="K31" s="5643" t="s">
        <v>2725</v>
      </c>
      <c r="L31" s="5643" t="s">
        <v>2709</v>
      </c>
      <c r="M31" s="5644">
        <v>6</v>
      </c>
      <c r="N31" s="5644">
        <v>3</v>
      </c>
      <c r="Q31" s="4375">
        <v>2</v>
      </c>
      <c r="R31" s="4375">
        <v>2</v>
      </c>
      <c r="S31" s="4888" t="s">
        <v>2725</v>
      </c>
      <c r="T31" s="4889" t="s">
        <v>1076</v>
      </c>
      <c r="U31" s="4890">
        <v>1</v>
      </c>
      <c r="V31" s="4375">
        <v>2</v>
      </c>
      <c r="Y31" s="4636">
        <v>2</v>
      </c>
      <c r="Z31" s="4636">
        <v>3</v>
      </c>
      <c r="AA31" s="4637" t="s">
        <v>284</v>
      </c>
      <c r="AB31" s="4637" t="s">
        <v>1071</v>
      </c>
      <c r="AC31" s="4641">
        <v>5</v>
      </c>
      <c r="AD31" s="4641">
        <v>5</v>
      </c>
      <c r="AE31" s="4652"/>
      <c r="AF31" s="4476"/>
      <c r="AG31" s="36"/>
      <c r="AH31" s="36"/>
      <c r="AI31" s="36"/>
      <c r="AJ31" s="36" t="s">
        <v>1081</v>
      </c>
      <c r="AK31" s="1681">
        <v>0</v>
      </c>
      <c r="AL31" s="1681"/>
      <c r="AM31" s="1681">
        <v>0</v>
      </c>
      <c r="AN31" s="1681">
        <v>25</v>
      </c>
      <c r="AO31" s="1681">
        <v>0</v>
      </c>
      <c r="AP31" s="95"/>
      <c r="AQ31" s="95">
        <v>25</v>
      </c>
      <c r="AR31" s="393"/>
      <c r="AS31" s="27"/>
      <c r="AT31" s="36"/>
      <c r="AU31" s="36"/>
      <c r="AV31" s="36"/>
      <c r="AW31" s="36" t="s">
        <v>1076</v>
      </c>
      <c r="AX31" s="1681">
        <v>0</v>
      </c>
      <c r="AY31" s="1681"/>
      <c r="AZ31" s="1681">
        <v>0</v>
      </c>
      <c r="BA31" s="1681">
        <v>8</v>
      </c>
      <c r="BB31" s="1681"/>
      <c r="BC31" s="95"/>
      <c r="BD31" s="95"/>
      <c r="BE31" s="95"/>
      <c r="BF31" s="95"/>
      <c r="BG31" s="95">
        <v>8</v>
      </c>
      <c r="BH31" s="36"/>
      <c r="BJ31" s="4215"/>
      <c r="BK31" s="4215" t="s">
        <v>16</v>
      </c>
      <c r="BL31" s="4215" t="s">
        <v>106</v>
      </c>
      <c r="BM31" s="4215" t="s">
        <v>1072</v>
      </c>
      <c r="BN31" s="4221">
        <v>2</v>
      </c>
      <c r="BO31" s="4221">
        <v>2</v>
      </c>
      <c r="BP31" s="4221">
        <v>7</v>
      </c>
      <c r="BQ31" s="4221"/>
      <c r="BR31" s="4221"/>
      <c r="BS31" s="4221"/>
      <c r="BT31" s="4221">
        <v>11</v>
      </c>
      <c r="BU31" s="4215"/>
      <c r="BW31" s="36"/>
      <c r="BX31" s="36"/>
      <c r="BY31" s="393"/>
      <c r="BZ31" s="393" t="s">
        <v>1076</v>
      </c>
      <c r="CA31" s="1682">
        <v>0</v>
      </c>
      <c r="CB31" s="1682"/>
      <c r="CC31" s="1682">
        <v>0</v>
      </c>
      <c r="CD31" s="1682">
        <v>3</v>
      </c>
      <c r="CE31" s="1682">
        <v>0</v>
      </c>
      <c r="CF31" s="2041"/>
      <c r="CG31" s="2041"/>
      <c r="CH31" s="2041"/>
      <c r="CI31" s="2041">
        <v>3</v>
      </c>
      <c r="CJ31" s="36"/>
      <c r="CL31" s="36" t="s">
        <v>25</v>
      </c>
      <c r="CM31" s="36" t="s">
        <v>4</v>
      </c>
      <c r="CN31" s="4364" t="s">
        <v>2265</v>
      </c>
      <c r="CO31" s="4364" t="s">
        <v>1071</v>
      </c>
      <c r="CP31" s="1681">
        <v>0</v>
      </c>
      <c r="CQ31" s="1681"/>
      <c r="CR31" s="1681"/>
      <c r="CS31" s="1681"/>
      <c r="CT31" s="4365"/>
      <c r="CU31" s="4365">
        <v>2</v>
      </c>
      <c r="CV31" s="4365">
        <v>2</v>
      </c>
      <c r="CY31" s="95"/>
      <c r="DB31" s="36" t="s">
        <v>1076</v>
      </c>
      <c r="DC31" s="1484">
        <v>0</v>
      </c>
      <c r="DD31" s="1484">
        <v>0</v>
      </c>
      <c r="DE31" s="1484">
        <v>2</v>
      </c>
      <c r="DF31" s="1484">
        <v>0</v>
      </c>
      <c r="DG31" s="95"/>
      <c r="DH31" s="95"/>
      <c r="DI31" s="95">
        <v>2</v>
      </c>
      <c r="DL31" s="1191"/>
      <c r="DM31" s="1191"/>
      <c r="DN31" s="1191"/>
      <c r="DO31" s="1192" t="s">
        <v>1081</v>
      </c>
      <c r="DP31" s="1194">
        <v>0</v>
      </c>
      <c r="DQ31" s="1194">
        <v>0</v>
      </c>
      <c r="DR31" s="1193"/>
      <c r="DS31" s="1194">
        <v>6</v>
      </c>
      <c r="DT31" s="1193"/>
      <c r="DU31" s="1195"/>
      <c r="DV31" s="1196">
        <v>6</v>
      </c>
      <c r="DW31" s="1187"/>
      <c r="DY31" s="427"/>
      <c r="DZ31" s="427"/>
      <c r="EA31" s="428"/>
      <c r="EB31" s="451" t="s">
        <v>15</v>
      </c>
      <c r="EC31" s="452">
        <v>4</v>
      </c>
      <c r="ED31" s="452">
        <v>2</v>
      </c>
      <c r="EE31" s="452">
        <v>26</v>
      </c>
      <c r="EF31" s="452">
        <v>1</v>
      </c>
      <c r="EG31" s="454"/>
      <c r="EH31" s="455">
        <v>33</v>
      </c>
      <c r="EI31" s="456">
        <f>+(EH27+EH29+EH30)/EH31</f>
        <v>0.69696969696969702</v>
      </c>
      <c r="EK31" s="433"/>
      <c r="EL31" s="433"/>
      <c r="EM31" s="434"/>
      <c r="EN31" s="435" t="s">
        <v>1081</v>
      </c>
      <c r="EO31" s="436">
        <v>0</v>
      </c>
      <c r="EP31" s="436">
        <v>0</v>
      </c>
      <c r="EQ31" s="436">
        <v>11</v>
      </c>
      <c r="ER31" s="436">
        <v>0</v>
      </c>
      <c r="ES31" s="439">
        <v>0</v>
      </c>
      <c r="ET31" s="438"/>
      <c r="EU31" s="439">
        <v>11</v>
      </c>
      <c r="EV31" s="440"/>
      <c r="EX31" s="441"/>
      <c r="EY31" s="441"/>
      <c r="EZ31" s="441"/>
      <c r="FA31" s="442" t="s">
        <v>1076</v>
      </c>
      <c r="FB31" s="443"/>
      <c r="FC31" s="444">
        <v>0</v>
      </c>
      <c r="FD31" s="444">
        <v>7</v>
      </c>
      <c r="FE31" s="444">
        <v>5</v>
      </c>
      <c r="FF31" s="443"/>
      <c r="FG31" s="444">
        <v>12</v>
      </c>
      <c r="FH31" s="445"/>
      <c r="FJ31" s="95"/>
      <c r="FK31" s="95"/>
      <c r="FM31" s="36" t="s">
        <v>1074</v>
      </c>
      <c r="FN31" s="95"/>
      <c r="FO31" s="95">
        <v>1</v>
      </c>
      <c r="FP31" s="95">
        <v>0</v>
      </c>
      <c r="FQ31" s="95">
        <v>0</v>
      </c>
      <c r="FR31" s="95">
        <v>0</v>
      </c>
      <c r="FS31" s="95">
        <v>1</v>
      </c>
      <c r="FU31" s="37"/>
      <c r="FV31" s="616"/>
      <c r="FW31" s="4357"/>
      <c r="FX31" s="616"/>
      <c r="FY31" s="616" t="s">
        <v>1072</v>
      </c>
      <c r="FZ31" s="616">
        <v>2</v>
      </c>
      <c r="GA31" s="616">
        <v>0</v>
      </c>
      <c r="GB31" s="616">
        <v>0</v>
      </c>
      <c r="GC31" s="616">
        <v>0</v>
      </c>
      <c r="GD31" s="616">
        <v>0</v>
      </c>
      <c r="GE31" s="616">
        <v>0</v>
      </c>
      <c r="GF31" s="616">
        <v>2</v>
      </c>
      <c r="GG31" s="616"/>
      <c r="GH31" s="617"/>
      <c r="GI31" s="37"/>
    </row>
    <row r="32" spans="1:191">
      <c r="A32" s="6103"/>
      <c r="B32" s="6103"/>
      <c r="C32" s="6102" t="s">
        <v>41</v>
      </c>
      <c r="D32" s="6101" t="s">
        <v>15</v>
      </c>
      <c r="E32" s="6102">
        <f>SUM(E31:E31)</f>
        <v>1</v>
      </c>
      <c r="F32" s="6103"/>
      <c r="G32" s="6104">
        <v>0</v>
      </c>
      <c r="I32" s="5644"/>
      <c r="J32" s="5644"/>
      <c r="K32" s="5650" t="s">
        <v>16</v>
      </c>
      <c r="L32" s="5643"/>
      <c r="M32" s="5650">
        <f>SUM(M27:M31)</f>
        <v>68</v>
      </c>
      <c r="N32" s="5644"/>
      <c r="O32" s="4891">
        <f>(M28+M29)/(M32)</f>
        <v>0.88235294117647056</v>
      </c>
      <c r="Q32" s="4375">
        <v>2</v>
      </c>
      <c r="R32" s="4375">
        <v>2</v>
      </c>
      <c r="S32" s="4888" t="s">
        <v>2725</v>
      </c>
      <c r="T32" s="4889" t="s">
        <v>1076</v>
      </c>
      <c r="U32" s="4890">
        <v>48</v>
      </c>
      <c r="V32" s="4375">
        <v>3</v>
      </c>
      <c r="Y32" s="4660"/>
      <c r="Z32" s="4660"/>
      <c r="AA32" s="4661"/>
      <c r="AB32" s="4656" t="s">
        <v>15</v>
      </c>
      <c r="AC32" s="4663">
        <f>SUM(AC30:AC31)</f>
        <v>6</v>
      </c>
      <c r="AD32" s="4663"/>
      <c r="AE32" s="4655">
        <v>0</v>
      </c>
      <c r="AF32" s="4476"/>
      <c r="AG32" s="36"/>
      <c r="AH32" s="36"/>
      <c r="AI32" s="36"/>
      <c r="AJ32" s="36" t="s">
        <v>2571</v>
      </c>
      <c r="AK32" s="1681">
        <v>4</v>
      </c>
      <c r="AL32" s="1681"/>
      <c r="AM32" s="1681">
        <v>0</v>
      </c>
      <c r="AN32" s="1681">
        <v>0</v>
      </c>
      <c r="AO32" s="1681">
        <v>0</v>
      </c>
      <c r="AP32" s="95"/>
      <c r="AQ32" s="95">
        <v>4</v>
      </c>
      <c r="AR32" s="393"/>
      <c r="AS32" s="27"/>
      <c r="AT32" s="36"/>
      <c r="AU32" s="36"/>
      <c r="AV32" s="36"/>
      <c r="AW32" s="36" t="s">
        <v>1081</v>
      </c>
      <c r="AX32" s="1681">
        <v>0</v>
      </c>
      <c r="AY32" s="1681"/>
      <c r="AZ32" s="1681">
        <v>0</v>
      </c>
      <c r="BA32" s="1681">
        <v>16</v>
      </c>
      <c r="BB32" s="1681"/>
      <c r="BC32" s="95"/>
      <c r="BD32" s="95"/>
      <c r="BE32" s="95"/>
      <c r="BF32" s="95"/>
      <c r="BG32" s="95">
        <v>16</v>
      </c>
      <c r="BH32" s="36"/>
      <c r="BJ32" s="4215"/>
      <c r="BK32" s="4215"/>
      <c r="BL32" s="4215"/>
      <c r="BM32" s="4215" t="s">
        <v>1074</v>
      </c>
      <c r="BN32" s="4221">
        <v>2</v>
      </c>
      <c r="BO32" s="4221">
        <v>1</v>
      </c>
      <c r="BP32" s="4221">
        <v>0</v>
      </c>
      <c r="BQ32" s="4221"/>
      <c r="BR32" s="4221"/>
      <c r="BS32" s="4221"/>
      <c r="BT32" s="4221">
        <v>3</v>
      </c>
      <c r="BU32" s="4215"/>
      <c r="BW32" s="36"/>
      <c r="BX32" s="36"/>
      <c r="BY32" s="393"/>
      <c r="BZ32" s="393" t="s">
        <v>1663</v>
      </c>
      <c r="CA32" s="1682">
        <v>1</v>
      </c>
      <c r="CB32" s="1682"/>
      <c r="CC32" s="1682">
        <v>0</v>
      </c>
      <c r="CD32" s="1682">
        <v>0</v>
      </c>
      <c r="CE32" s="1682">
        <v>0</v>
      </c>
      <c r="CF32" s="2041"/>
      <c r="CG32" s="2041"/>
      <c r="CH32" s="2041"/>
      <c r="CI32" s="2041">
        <v>1</v>
      </c>
      <c r="CJ32" s="36"/>
      <c r="CN32" s="4364"/>
      <c r="CO32" s="4364" t="s">
        <v>1077</v>
      </c>
      <c r="CP32" s="1681">
        <v>1</v>
      </c>
      <c r="CQ32" s="1681"/>
      <c r="CR32" s="1681"/>
      <c r="CS32" s="1681"/>
      <c r="CT32" s="4365"/>
      <c r="CU32" s="4365">
        <v>0</v>
      </c>
      <c r="CV32" s="4365">
        <v>1</v>
      </c>
      <c r="CY32" s="95"/>
      <c r="DB32" s="36" t="s">
        <v>1077</v>
      </c>
      <c r="DC32" s="1484">
        <v>1</v>
      </c>
      <c r="DD32" s="1484">
        <v>1</v>
      </c>
      <c r="DE32" s="1484">
        <v>0</v>
      </c>
      <c r="DF32" s="1484">
        <v>0</v>
      </c>
      <c r="DG32" s="95"/>
      <c r="DH32" s="95"/>
      <c r="DI32" s="95">
        <v>2</v>
      </c>
      <c r="DL32" s="1191"/>
      <c r="DM32" s="1191"/>
      <c r="DN32" s="1191"/>
      <c r="DO32" s="1192" t="s">
        <v>1142</v>
      </c>
      <c r="DP32" s="1194">
        <v>0</v>
      </c>
      <c r="DQ32" s="1194">
        <v>0</v>
      </c>
      <c r="DR32" s="1193"/>
      <c r="DS32" s="1194">
        <v>3</v>
      </c>
      <c r="DT32" s="1193"/>
      <c r="DU32" s="1195"/>
      <c r="DV32" s="1196">
        <v>3</v>
      </c>
      <c r="DW32" s="1187"/>
      <c r="DY32" s="427"/>
      <c r="DZ32" s="427"/>
      <c r="EA32" s="428" t="s">
        <v>483</v>
      </c>
      <c r="EB32" s="429" t="s">
        <v>1071</v>
      </c>
      <c r="EC32" s="430">
        <v>0</v>
      </c>
      <c r="ED32" s="430">
        <v>0</v>
      </c>
      <c r="EE32" s="430">
        <v>0</v>
      </c>
      <c r="EF32" s="430">
        <v>1</v>
      </c>
      <c r="EG32" s="427"/>
      <c r="EH32" s="432">
        <v>1</v>
      </c>
      <c r="EI32" s="36"/>
      <c r="EK32" s="433"/>
      <c r="EL32" s="433"/>
      <c r="EM32" s="434"/>
      <c r="EN32" s="435" t="s">
        <v>1142</v>
      </c>
      <c r="EO32" s="436">
        <v>0</v>
      </c>
      <c r="EP32" s="436">
        <v>0</v>
      </c>
      <c r="EQ32" s="436">
        <v>2</v>
      </c>
      <c r="ER32" s="436">
        <v>0</v>
      </c>
      <c r="ES32" s="439">
        <v>0</v>
      </c>
      <c r="ET32" s="438"/>
      <c r="EU32" s="439">
        <v>2</v>
      </c>
      <c r="EV32" s="440"/>
      <c r="EX32" s="441"/>
      <c r="EY32" s="441"/>
      <c r="EZ32" s="441"/>
      <c r="FA32" s="442" t="s">
        <v>1077</v>
      </c>
      <c r="FB32" s="443"/>
      <c r="FC32" s="444">
        <v>2</v>
      </c>
      <c r="FD32" s="444">
        <v>1</v>
      </c>
      <c r="FE32" s="444">
        <v>0</v>
      </c>
      <c r="FF32" s="443"/>
      <c r="FG32" s="444">
        <v>3</v>
      </c>
      <c r="FH32" s="445"/>
      <c r="FJ32" s="95"/>
      <c r="FK32" s="95"/>
      <c r="FM32" s="36" t="s">
        <v>1076</v>
      </c>
      <c r="FN32" s="95"/>
      <c r="FO32" s="95">
        <v>0</v>
      </c>
      <c r="FP32" s="95">
        <v>6</v>
      </c>
      <c r="FQ32" s="95">
        <v>8</v>
      </c>
      <c r="FR32" s="95">
        <v>0</v>
      </c>
      <c r="FS32" s="95">
        <v>14</v>
      </c>
      <c r="FU32" s="37"/>
      <c r="FV32" s="616"/>
      <c r="FW32" s="4357"/>
      <c r="FX32" s="616"/>
      <c r="FY32" s="616" t="s">
        <v>1076</v>
      </c>
      <c r="FZ32" s="616">
        <v>1</v>
      </c>
      <c r="GA32" s="616">
        <v>0</v>
      </c>
      <c r="GB32" s="616">
        <v>0</v>
      </c>
      <c r="GC32" s="616">
        <v>0</v>
      </c>
      <c r="GD32" s="616">
        <v>2</v>
      </c>
      <c r="GE32" s="616">
        <v>0</v>
      </c>
      <c r="GF32" s="616">
        <v>3</v>
      </c>
      <c r="GG32" s="616"/>
      <c r="GH32" s="617"/>
      <c r="GI32" s="37"/>
    </row>
    <row r="33" spans="1:191">
      <c r="A33" s="6094"/>
      <c r="B33" s="6094"/>
      <c r="C33" s="6110"/>
      <c r="D33" s="6109" t="s">
        <v>2754</v>
      </c>
      <c r="E33" s="6111">
        <f>SUM(E27)</f>
        <v>1</v>
      </c>
      <c r="F33" s="6094"/>
      <c r="G33" s="4891"/>
      <c r="I33" s="5645">
        <v>2</v>
      </c>
      <c r="J33" s="5645">
        <v>3</v>
      </c>
      <c r="K33" s="5646" t="s">
        <v>283</v>
      </c>
      <c r="L33" s="5646" t="s">
        <v>2731</v>
      </c>
      <c r="M33" s="5645">
        <v>1</v>
      </c>
      <c r="N33" s="5645">
        <v>5</v>
      </c>
      <c r="Q33" s="4375">
        <v>2</v>
      </c>
      <c r="R33" s="4375">
        <v>2</v>
      </c>
      <c r="S33" s="4888" t="s">
        <v>2725</v>
      </c>
      <c r="T33" s="4888" t="s">
        <v>2709</v>
      </c>
      <c r="U33" s="4375">
        <v>1</v>
      </c>
      <c r="V33" s="4375">
        <v>2</v>
      </c>
      <c r="Y33" s="4660"/>
      <c r="Z33" s="4660"/>
      <c r="AA33" s="4661"/>
      <c r="AB33" s="4658" t="s">
        <v>2754</v>
      </c>
      <c r="AC33" s="4657">
        <f>SUM(AC26)</f>
        <v>1</v>
      </c>
      <c r="AD33" s="4663"/>
      <c r="AE33" s="4655"/>
      <c r="AF33" s="4476"/>
      <c r="AG33" s="36"/>
      <c r="AH33" s="36"/>
      <c r="AI33" s="36"/>
      <c r="AJ33" s="36" t="s">
        <v>15</v>
      </c>
      <c r="AK33" s="1681">
        <v>4</v>
      </c>
      <c r="AL33" s="1681"/>
      <c r="AM33" s="1681">
        <v>1</v>
      </c>
      <c r="AN33" s="1681">
        <v>25</v>
      </c>
      <c r="AO33" s="1681">
        <v>1</v>
      </c>
      <c r="AP33" s="95"/>
      <c r="AQ33" s="95">
        <v>31</v>
      </c>
      <c r="AR33" s="4536">
        <f>+AN31/(AQ33-AQ32)</f>
        <v>0.92592592592592593</v>
      </c>
      <c r="AS33" s="4533"/>
      <c r="AT33" s="36"/>
      <c r="AU33" s="36"/>
      <c r="AV33" s="36"/>
      <c r="AW33" s="36" t="s">
        <v>2571</v>
      </c>
      <c r="AX33" s="1681">
        <v>2</v>
      </c>
      <c r="AY33" s="1681"/>
      <c r="AZ33" s="1681">
        <v>0</v>
      </c>
      <c r="BA33" s="1681">
        <v>0</v>
      </c>
      <c r="BB33" s="1681"/>
      <c r="BC33" s="95"/>
      <c r="BD33" s="95"/>
      <c r="BE33" s="95"/>
      <c r="BF33" s="95"/>
      <c r="BG33" s="95">
        <v>2</v>
      </c>
      <c r="BH33" s="36"/>
      <c r="BJ33" s="4215"/>
      <c r="BK33" s="4215"/>
      <c r="BL33" s="4215"/>
      <c r="BM33" s="4215" t="s">
        <v>1076</v>
      </c>
      <c r="BN33" s="4221">
        <v>0</v>
      </c>
      <c r="BO33" s="4221">
        <v>0</v>
      </c>
      <c r="BP33" s="4221">
        <v>39</v>
      </c>
      <c r="BQ33" s="4221"/>
      <c r="BR33" s="4221"/>
      <c r="BS33" s="4221"/>
      <c r="BT33" s="4221">
        <v>39</v>
      </c>
      <c r="BU33" s="4215"/>
      <c r="BW33" s="36"/>
      <c r="BX33" s="36"/>
      <c r="BY33" s="393"/>
      <c r="BZ33" s="393" t="s">
        <v>1081</v>
      </c>
      <c r="CA33" s="1682">
        <v>0</v>
      </c>
      <c r="CB33" s="1682"/>
      <c r="CC33" s="1682">
        <v>0</v>
      </c>
      <c r="CD33" s="1682">
        <v>15</v>
      </c>
      <c r="CE33" s="1682">
        <v>0</v>
      </c>
      <c r="CF33" s="2041"/>
      <c r="CG33" s="2041"/>
      <c r="CH33" s="2041"/>
      <c r="CI33" s="2041">
        <v>15</v>
      </c>
      <c r="CJ33" s="36"/>
      <c r="CN33" s="4364"/>
      <c r="CO33" s="4366" t="s">
        <v>15</v>
      </c>
      <c r="CP33" s="1682">
        <v>1</v>
      </c>
      <c r="CQ33" s="1682"/>
      <c r="CR33" s="1682"/>
      <c r="CS33" s="1682"/>
      <c r="CT33" s="4367"/>
      <c r="CU33" s="4367">
        <v>2</v>
      </c>
      <c r="CV33" s="4367">
        <v>3</v>
      </c>
      <c r="CW33" s="95" t="s">
        <v>556</v>
      </c>
      <c r="CY33" s="95"/>
      <c r="DB33" s="36" t="s">
        <v>1142</v>
      </c>
      <c r="DC33" s="1484">
        <v>0</v>
      </c>
      <c r="DD33" s="1484">
        <v>0</v>
      </c>
      <c r="DE33" s="1484">
        <v>45</v>
      </c>
      <c r="DF33" s="1484">
        <v>0</v>
      </c>
      <c r="DG33" s="95"/>
      <c r="DH33" s="95"/>
      <c r="DI33" s="95">
        <v>45</v>
      </c>
      <c r="DL33" s="1191"/>
      <c r="DM33" s="1191"/>
      <c r="DN33" s="1191"/>
      <c r="DO33" s="1186" t="s">
        <v>105</v>
      </c>
      <c r="DP33" s="1198">
        <v>4</v>
      </c>
      <c r="DQ33" s="1198">
        <v>1</v>
      </c>
      <c r="DR33" s="1197"/>
      <c r="DS33" s="1198">
        <v>28</v>
      </c>
      <c r="DT33" s="1197"/>
      <c r="DU33" s="1199"/>
      <c r="DV33" s="1200">
        <v>33</v>
      </c>
      <c r="DW33" s="1178">
        <f>+(DV29+DV31+DV32)/DV33</f>
        <v>0.39393939393939392</v>
      </c>
      <c r="DY33" s="427"/>
      <c r="DZ33" s="427"/>
      <c r="EA33" s="428"/>
      <c r="EB33" s="429" t="s">
        <v>1072</v>
      </c>
      <c r="EC33" s="430">
        <v>0</v>
      </c>
      <c r="ED33" s="430">
        <v>1</v>
      </c>
      <c r="EE33" s="430">
        <v>0</v>
      </c>
      <c r="EF33" s="430">
        <v>0</v>
      </c>
      <c r="EG33" s="427"/>
      <c r="EH33" s="432">
        <v>1</v>
      </c>
      <c r="EI33" s="36"/>
      <c r="EK33" s="433"/>
      <c r="EL33" s="433"/>
      <c r="EM33" s="434"/>
      <c r="EN33" s="457" t="s">
        <v>726</v>
      </c>
      <c r="EO33" s="458">
        <v>7</v>
      </c>
      <c r="EP33" s="458">
        <v>2</v>
      </c>
      <c r="EQ33" s="458">
        <v>37</v>
      </c>
      <c r="ER33" s="458">
        <v>1</v>
      </c>
      <c r="ES33" s="461">
        <v>29</v>
      </c>
      <c r="ET33" s="460"/>
      <c r="EU33" s="461">
        <v>76</v>
      </c>
      <c r="EV33" s="440">
        <f>+(EU32+EU31+EU30)/EU33</f>
        <v>0.39473684210526316</v>
      </c>
      <c r="EX33" s="441"/>
      <c r="EY33" s="441"/>
      <c r="EZ33" s="441"/>
      <c r="FA33" s="442" t="s">
        <v>1142</v>
      </c>
      <c r="FB33" s="443"/>
      <c r="FC33" s="444">
        <v>0</v>
      </c>
      <c r="FD33" s="444">
        <v>2</v>
      </c>
      <c r="FE33" s="444">
        <v>1</v>
      </c>
      <c r="FF33" s="443"/>
      <c r="FG33" s="444">
        <v>3</v>
      </c>
      <c r="FH33" s="445"/>
      <c r="FJ33" s="95"/>
      <c r="FK33" s="95"/>
      <c r="FM33" s="36" t="s">
        <v>1077</v>
      </c>
      <c r="FN33" s="95"/>
      <c r="FO33" s="95">
        <v>0</v>
      </c>
      <c r="FP33" s="95">
        <v>1</v>
      </c>
      <c r="FQ33" s="95">
        <v>0</v>
      </c>
      <c r="FR33" s="95">
        <v>0</v>
      </c>
      <c r="FS33" s="95">
        <v>1</v>
      </c>
      <c r="FU33" s="37"/>
      <c r="FV33" s="616"/>
      <c r="FW33" s="4357"/>
      <c r="FX33" s="616"/>
      <c r="FY33" s="616" t="s">
        <v>1077</v>
      </c>
      <c r="FZ33" s="616">
        <v>3</v>
      </c>
      <c r="GA33" s="616">
        <v>0</v>
      </c>
      <c r="GB33" s="616">
        <v>0</v>
      </c>
      <c r="GC33" s="616">
        <v>0</v>
      </c>
      <c r="GD33" s="616">
        <v>0</v>
      </c>
      <c r="GE33" s="616">
        <v>0</v>
      </c>
      <c r="GF33" s="616">
        <v>3</v>
      </c>
      <c r="GG33" s="616"/>
      <c r="GH33" s="617"/>
      <c r="GI33" s="37"/>
    </row>
    <row r="34" spans="1:191">
      <c r="A34" s="4375"/>
      <c r="B34" s="4375"/>
      <c r="C34" s="4902" t="s">
        <v>25</v>
      </c>
      <c r="D34" s="4896"/>
      <c r="E34" s="4897">
        <f>SUM(E30,E32)</f>
        <v>47</v>
      </c>
      <c r="F34" s="4898"/>
      <c r="G34" s="4904">
        <f>(E33)/(E34)</f>
        <v>2.1276595744680851E-2</v>
      </c>
      <c r="I34" s="5644">
        <v>2</v>
      </c>
      <c r="J34" s="5644">
        <v>3</v>
      </c>
      <c r="K34" s="5643" t="s">
        <v>283</v>
      </c>
      <c r="L34" s="5649" t="s">
        <v>1076</v>
      </c>
      <c r="M34" s="5644">
        <v>1</v>
      </c>
      <c r="N34" s="5644">
        <v>4</v>
      </c>
      <c r="Q34" s="4375">
        <v>2</v>
      </c>
      <c r="R34" s="4375">
        <v>2</v>
      </c>
      <c r="S34" s="4888" t="s">
        <v>2725</v>
      </c>
      <c r="T34" s="4888" t="s">
        <v>2709</v>
      </c>
      <c r="U34" s="4375">
        <v>6</v>
      </c>
      <c r="V34" s="4375">
        <v>3</v>
      </c>
      <c r="Y34" s="4689"/>
      <c r="Z34" s="4690"/>
      <c r="AA34" s="4678" t="s">
        <v>485</v>
      </c>
      <c r="AB34" s="4679"/>
      <c r="AC34" s="4680">
        <f>SUM(AC29,AC32)</f>
        <v>12</v>
      </c>
      <c r="AD34" s="4668"/>
      <c r="AE34" s="4655">
        <f>(AC33)/(AC34)</f>
        <v>8.3333333333333329E-2</v>
      </c>
      <c r="AF34" s="4476"/>
      <c r="AG34" s="36"/>
      <c r="AH34" s="36"/>
      <c r="AI34" s="393" t="s">
        <v>483</v>
      </c>
      <c r="AJ34" s="36" t="s">
        <v>1072</v>
      </c>
      <c r="AK34" s="1681">
        <v>0</v>
      </c>
      <c r="AL34" s="1681"/>
      <c r="AM34" s="1681">
        <v>1</v>
      </c>
      <c r="AN34" s="1681">
        <v>0</v>
      </c>
      <c r="AO34" s="1681">
        <v>1</v>
      </c>
      <c r="AP34" s="95"/>
      <c r="AQ34" s="95">
        <v>2</v>
      </c>
      <c r="AR34" s="4536"/>
      <c r="AS34" s="4533"/>
      <c r="AT34" s="3801"/>
      <c r="AU34" s="3801"/>
      <c r="AV34" s="3801"/>
      <c r="AW34" s="3702" t="s">
        <v>15</v>
      </c>
      <c r="AX34" s="4347">
        <v>2</v>
      </c>
      <c r="AY34" s="4347"/>
      <c r="AZ34" s="4347">
        <v>1</v>
      </c>
      <c r="BA34" s="4347">
        <v>26</v>
      </c>
      <c r="BB34" s="4347"/>
      <c r="BC34" s="4348"/>
      <c r="BD34" s="4348"/>
      <c r="BE34" s="4348"/>
      <c r="BF34" s="4348"/>
      <c r="BG34" s="4348">
        <v>29</v>
      </c>
      <c r="BH34" s="4349">
        <f>+(BG31+BG32)/(BG34-BG33)</f>
        <v>0.88888888888888884</v>
      </c>
      <c r="BJ34" s="4215"/>
      <c r="BK34" s="4215"/>
      <c r="BL34" s="4215"/>
      <c r="BM34" s="4215" t="s">
        <v>1077</v>
      </c>
      <c r="BN34" s="4221">
        <v>0</v>
      </c>
      <c r="BO34" s="4221">
        <v>0</v>
      </c>
      <c r="BP34" s="4221">
        <v>1</v>
      </c>
      <c r="BQ34" s="4221"/>
      <c r="BR34" s="4221"/>
      <c r="BS34" s="4221"/>
      <c r="BT34" s="4221">
        <v>1</v>
      </c>
      <c r="BU34" s="4215"/>
      <c r="BW34" s="36"/>
      <c r="BX34" s="36"/>
      <c r="BY34" s="393"/>
      <c r="BZ34" s="393" t="s">
        <v>1142</v>
      </c>
      <c r="CA34" s="1682">
        <v>0</v>
      </c>
      <c r="CB34" s="1682"/>
      <c r="CC34" s="1682">
        <v>0</v>
      </c>
      <c r="CD34" s="1682">
        <v>2</v>
      </c>
      <c r="CE34" s="1682">
        <v>0</v>
      </c>
      <c r="CF34" s="2041"/>
      <c r="CG34" s="2041"/>
      <c r="CH34" s="2041"/>
      <c r="CI34" s="2041">
        <v>2</v>
      </c>
      <c r="CJ34" s="36"/>
      <c r="CM34" s="36" t="s">
        <v>16</v>
      </c>
      <c r="CN34" s="36" t="s">
        <v>106</v>
      </c>
      <c r="CO34" s="36" t="s">
        <v>1076</v>
      </c>
      <c r="CP34" s="1681"/>
      <c r="CQ34" s="1681"/>
      <c r="CR34" s="1681">
        <v>11</v>
      </c>
      <c r="CS34" s="1681">
        <v>1</v>
      </c>
      <c r="CT34" s="95"/>
      <c r="CU34" s="95"/>
      <c r="CV34" s="95">
        <v>12</v>
      </c>
      <c r="CY34" s="95"/>
      <c r="DB34" s="393" t="s">
        <v>483</v>
      </c>
      <c r="DC34" s="1485">
        <v>4</v>
      </c>
      <c r="DD34" s="1485">
        <v>2</v>
      </c>
      <c r="DE34" s="1485">
        <v>50</v>
      </c>
      <c r="DF34" s="1485">
        <v>1</v>
      </c>
      <c r="DG34" s="4212"/>
      <c r="DH34" s="4212"/>
      <c r="DI34" s="4212">
        <v>57</v>
      </c>
      <c r="DJ34" s="560">
        <f>+(DI31+DI33)/DI34</f>
        <v>0.82456140350877194</v>
      </c>
      <c r="DL34" s="1191" t="s">
        <v>25</v>
      </c>
      <c r="DM34" s="1191" t="s">
        <v>16</v>
      </c>
      <c r="DN34" s="1191" t="s">
        <v>106</v>
      </c>
      <c r="DO34" s="1192" t="s">
        <v>1076</v>
      </c>
      <c r="DP34" s="1193"/>
      <c r="DQ34" s="1193"/>
      <c r="DR34" s="1193"/>
      <c r="DS34" s="1194">
        <v>12</v>
      </c>
      <c r="DT34" s="1193"/>
      <c r="DU34" s="1195"/>
      <c r="DV34" s="1196">
        <v>12</v>
      </c>
      <c r="DW34" s="1187"/>
      <c r="DY34" s="427"/>
      <c r="DZ34" s="427"/>
      <c r="EA34" s="428"/>
      <c r="EB34" s="429" t="s">
        <v>1076</v>
      </c>
      <c r="EC34" s="430">
        <v>0</v>
      </c>
      <c r="ED34" s="430">
        <v>0</v>
      </c>
      <c r="EE34" s="430">
        <v>2</v>
      </c>
      <c r="EF34" s="430">
        <v>0</v>
      </c>
      <c r="EG34" s="427"/>
      <c r="EH34" s="432">
        <v>2</v>
      </c>
      <c r="EI34" s="36"/>
      <c r="EK34" s="433"/>
      <c r="EL34" s="433"/>
      <c r="EM34" s="457" t="s">
        <v>105</v>
      </c>
      <c r="EN34" s="435" t="s">
        <v>1071</v>
      </c>
      <c r="EO34" s="436">
        <v>0</v>
      </c>
      <c r="EP34" s="436">
        <v>0</v>
      </c>
      <c r="EQ34" s="436">
        <v>0</v>
      </c>
      <c r="ER34" s="436">
        <v>0</v>
      </c>
      <c r="ES34" s="439">
        <v>29</v>
      </c>
      <c r="ET34" s="438"/>
      <c r="EU34" s="439">
        <v>29</v>
      </c>
      <c r="EV34" s="440"/>
      <c r="EX34" s="441"/>
      <c r="EY34" s="441"/>
      <c r="EZ34" s="441"/>
      <c r="FA34" s="462" t="s">
        <v>15</v>
      </c>
      <c r="FB34" s="463"/>
      <c r="FC34" s="464">
        <v>2</v>
      </c>
      <c r="FD34" s="464">
        <v>12</v>
      </c>
      <c r="FE34" s="464">
        <v>10</v>
      </c>
      <c r="FF34" s="463"/>
      <c r="FG34" s="464">
        <v>24</v>
      </c>
      <c r="FH34" s="465">
        <f>+(FG33+FG31)/FG34</f>
        <v>0.625</v>
      </c>
      <c r="FJ34" s="95"/>
      <c r="FK34" s="95"/>
      <c r="FM34" s="36" t="s">
        <v>1142</v>
      </c>
      <c r="FN34" s="95"/>
      <c r="FO34" s="95">
        <v>0</v>
      </c>
      <c r="FP34" s="95">
        <v>0</v>
      </c>
      <c r="FQ34" s="95">
        <v>1</v>
      </c>
      <c r="FR34" s="95">
        <v>1</v>
      </c>
      <c r="FS34" s="95">
        <v>2</v>
      </c>
      <c r="FU34" s="37"/>
      <c r="FV34" s="616"/>
      <c r="FW34" s="4357"/>
      <c r="FX34" s="616"/>
      <c r="FY34" s="616" t="s">
        <v>1081</v>
      </c>
      <c r="FZ34" s="616">
        <v>0</v>
      </c>
      <c r="GA34" s="616">
        <v>0</v>
      </c>
      <c r="GB34" s="616">
        <v>0</v>
      </c>
      <c r="GC34" s="616">
        <v>1</v>
      </c>
      <c r="GD34" s="616">
        <v>35</v>
      </c>
      <c r="GE34" s="616">
        <v>1</v>
      </c>
      <c r="GF34" s="616">
        <v>37</v>
      </c>
      <c r="GG34" s="616"/>
      <c r="GH34" s="617"/>
      <c r="GI34" s="37"/>
    </row>
    <row r="35" spans="1:191">
      <c r="A35" s="4375">
        <v>3</v>
      </c>
      <c r="B35" s="4375">
        <v>2</v>
      </c>
      <c r="C35" s="4893" t="s">
        <v>3178</v>
      </c>
      <c r="D35" s="4893" t="s">
        <v>2703</v>
      </c>
      <c r="E35" s="4379">
        <v>2</v>
      </c>
      <c r="F35" s="4379">
        <v>1</v>
      </c>
      <c r="G35" s="1"/>
      <c r="I35" s="5647">
        <v>2</v>
      </c>
      <c r="J35" s="5647">
        <v>3</v>
      </c>
      <c r="K35" s="5648" t="s">
        <v>283</v>
      </c>
      <c r="L35" s="5648" t="s">
        <v>1076</v>
      </c>
      <c r="M35" s="5647">
        <v>1</v>
      </c>
      <c r="N35" s="5647">
        <v>5</v>
      </c>
      <c r="Q35" s="4375"/>
      <c r="R35" s="4375"/>
      <c r="S35" s="4378" t="s">
        <v>16</v>
      </c>
      <c r="T35" s="4650" t="s">
        <v>15</v>
      </c>
      <c r="U35" s="4378">
        <f>SUM(U29:U34)</f>
        <v>68</v>
      </c>
      <c r="V35" s="4375"/>
      <c r="W35" s="4891">
        <f>(U30+U31+U32)/(U35)</f>
        <v>0.88235294117647056</v>
      </c>
      <c r="Y35" s="4685"/>
      <c r="Z35" s="4686"/>
      <c r="AA35" s="4667"/>
      <c r="AB35" s="4687" t="s">
        <v>2754</v>
      </c>
      <c r="AC35" s="4688">
        <f>SUM(AC21:AC22,AC26)</f>
        <v>27</v>
      </c>
      <c r="AD35" s="4669"/>
      <c r="AE35" s="4655"/>
      <c r="AF35" s="4452"/>
      <c r="AG35" s="36"/>
      <c r="AH35" s="36"/>
      <c r="AI35" s="36"/>
      <c r="AJ35" s="36" t="s">
        <v>1081</v>
      </c>
      <c r="AK35" s="1681">
        <v>0</v>
      </c>
      <c r="AL35" s="1681"/>
      <c r="AM35" s="1681">
        <v>0</v>
      </c>
      <c r="AN35" s="1681">
        <v>25</v>
      </c>
      <c r="AO35" s="1681">
        <v>0</v>
      </c>
      <c r="AP35" s="95"/>
      <c r="AQ35" s="95">
        <v>25</v>
      </c>
      <c r="AR35" s="393"/>
      <c r="AS35" s="27"/>
      <c r="AT35" s="36" t="s">
        <v>25</v>
      </c>
      <c r="AU35" s="36" t="s">
        <v>4</v>
      </c>
      <c r="AV35" s="36" t="s">
        <v>2572</v>
      </c>
      <c r="AW35" s="36" t="s">
        <v>1080</v>
      </c>
      <c r="AX35" s="1681"/>
      <c r="AY35" s="1681"/>
      <c r="AZ35" s="1681"/>
      <c r="BA35" s="1681"/>
      <c r="BB35" s="1681"/>
      <c r="BC35" s="1681"/>
      <c r="BD35" s="1681"/>
      <c r="BE35" s="1681">
        <v>0</v>
      </c>
      <c r="BF35" s="1681">
        <v>1</v>
      </c>
      <c r="BG35" s="1681">
        <v>1</v>
      </c>
      <c r="BH35" s="36"/>
      <c r="BJ35" s="4215"/>
      <c r="BK35" s="4215"/>
      <c r="BL35" s="4215"/>
      <c r="BM35" s="4215" t="s">
        <v>1081</v>
      </c>
      <c r="BN35" s="4221">
        <v>0</v>
      </c>
      <c r="BO35" s="4221">
        <v>0</v>
      </c>
      <c r="BP35" s="4221">
        <v>1</v>
      </c>
      <c r="BQ35" s="4221"/>
      <c r="BR35" s="4221"/>
      <c r="BS35" s="4221"/>
      <c r="BT35" s="4221">
        <v>1</v>
      </c>
      <c r="BU35" s="4215"/>
      <c r="BW35" s="36"/>
      <c r="BX35" s="36"/>
      <c r="BY35" s="393"/>
      <c r="BZ35" s="393" t="s">
        <v>105</v>
      </c>
      <c r="CA35" s="1682">
        <v>1</v>
      </c>
      <c r="CB35" s="1682"/>
      <c r="CC35" s="1682">
        <v>2</v>
      </c>
      <c r="CD35" s="1682">
        <v>28</v>
      </c>
      <c r="CE35" s="1682">
        <v>2</v>
      </c>
      <c r="CF35" s="2041"/>
      <c r="CG35" s="2041"/>
      <c r="CH35" s="2041"/>
      <c r="CI35" s="2041">
        <v>33</v>
      </c>
      <c r="CJ35" s="560">
        <f>+(CI34+CI33+CI31)/CI35</f>
        <v>0.60606060606060608</v>
      </c>
      <c r="CO35" s="393" t="s">
        <v>15</v>
      </c>
      <c r="CP35" s="1682"/>
      <c r="CQ35" s="1682"/>
      <c r="CR35" s="1682">
        <v>11</v>
      </c>
      <c r="CS35" s="1682">
        <v>1</v>
      </c>
      <c r="CT35" s="4212"/>
      <c r="CU35" s="4212"/>
      <c r="CV35" s="4212">
        <v>12</v>
      </c>
      <c r="CW35" s="560">
        <f>+CV34/CV35</f>
        <v>1</v>
      </c>
      <c r="CY35" s="95"/>
      <c r="CZ35" s="95" t="s">
        <v>41</v>
      </c>
      <c r="DA35" s="36" t="s">
        <v>107</v>
      </c>
      <c r="DB35" s="36" t="s">
        <v>1072</v>
      </c>
      <c r="DC35" s="1484">
        <v>0</v>
      </c>
      <c r="DD35" s="1484"/>
      <c r="DE35" s="1484">
        <v>3</v>
      </c>
      <c r="DF35" s="1484">
        <v>2</v>
      </c>
      <c r="DG35" s="95">
        <v>0</v>
      </c>
      <c r="DH35" s="95">
        <v>0</v>
      </c>
      <c r="DI35" s="95">
        <v>5</v>
      </c>
      <c r="DL35" s="1191"/>
      <c r="DM35" s="1191"/>
      <c r="DN35" s="1191"/>
      <c r="DO35" s="1192" t="s">
        <v>1081</v>
      </c>
      <c r="DP35" s="1193"/>
      <c r="DQ35" s="1193"/>
      <c r="DR35" s="1193"/>
      <c r="DS35" s="1194">
        <v>2</v>
      </c>
      <c r="DT35" s="1193"/>
      <c r="DU35" s="1195"/>
      <c r="DV35" s="1196">
        <v>2</v>
      </c>
      <c r="DW35" s="1187"/>
      <c r="DY35" s="427"/>
      <c r="DZ35" s="427"/>
      <c r="EA35" s="428"/>
      <c r="EB35" s="429" t="s">
        <v>1077</v>
      </c>
      <c r="EC35" s="430">
        <v>4</v>
      </c>
      <c r="ED35" s="430">
        <v>1</v>
      </c>
      <c r="EE35" s="430">
        <v>3</v>
      </c>
      <c r="EF35" s="430">
        <v>0</v>
      </c>
      <c r="EG35" s="427"/>
      <c r="EH35" s="432">
        <v>8</v>
      </c>
      <c r="EI35" s="36"/>
      <c r="EK35" s="433"/>
      <c r="EL35" s="433"/>
      <c r="EM35" s="434"/>
      <c r="EN35" s="435" t="s">
        <v>1072</v>
      </c>
      <c r="EO35" s="436">
        <v>7</v>
      </c>
      <c r="EP35" s="436">
        <v>2</v>
      </c>
      <c r="EQ35" s="436">
        <v>10</v>
      </c>
      <c r="ER35" s="436">
        <v>2</v>
      </c>
      <c r="ES35" s="439">
        <v>0</v>
      </c>
      <c r="ET35" s="438"/>
      <c r="EU35" s="439">
        <v>21</v>
      </c>
      <c r="EV35" s="440"/>
      <c r="EX35" s="441"/>
      <c r="EY35" s="441"/>
      <c r="EZ35" s="441" t="s">
        <v>1143</v>
      </c>
      <c r="FA35" s="442" t="s">
        <v>1071</v>
      </c>
      <c r="FB35" s="444">
        <v>0</v>
      </c>
      <c r="FC35" s="443"/>
      <c r="FD35" s="443"/>
      <c r="FE35" s="443"/>
      <c r="FF35" s="444">
        <v>8</v>
      </c>
      <c r="FG35" s="444">
        <v>8</v>
      </c>
      <c r="FH35" s="445"/>
      <c r="FJ35" s="95"/>
      <c r="FK35" s="95"/>
      <c r="FM35" s="393" t="s">
        <v>15</v>
      </c>
      <c r="FN35" s="4212"/>
      <c r="FO35" s="4212">
        <v>2</v>
      </c>
      <c r="FP35" s="4212">
        <v>9</v>
      </c>
      <c r="FQ35" s="4212">
        <v>9</v>
      </c>
      <c r="FR35" s="4212">
        <v>1</v>
      </c>
      <c r="FS35" s="4212">
        <v>21</v>
      </c>
      <c r="FT35" s="631">
        <f>+(FS32+FS34-FR34)/FS35</f>
        <v>0.7142857142857143</v>
      </c>
      <c r="FU35" s="37"/>
      <c r="FV35" s="616"/>
      <c r="FW35" s="4357"/>
      <c r="FX35" s="616"/>
      <c r="FY35" s="627" t="s">
        <v>15</v>
      </c>
      <c r="FZ35" s="627">
        <v>6</v>
      </c>
      <c r="GA35" s="627">
        <v>0</v>
      </c>
      <c r="GB35" s="627">
        <v>0</v>
      </c>
      <c r="GC35" s="627">
        <v>1</v>
      </c>
      <c r="GD35" s="627">
        <v>37</v>
      </c>
      <c r="GE35" s="627">
        <v>2</v>
      </c>
      <c r="GF35" s="627">
        <v>46</v>
      </c>
      <c r="GG35" s="628">
        <f>+(GF34+GF32-GE34)/GF35</f>
        <v>0.84782608695652173</v>
      </c>
      <c r="GH35" s="617">
        <f>+GF32+GF34-GE34</f>
        <v>39</v>
      </c>
      <c r="GI35" s="37"/>
    </row>
    <row r="36" spans="1:191">
      <c r="A36" s="4375"/>
      <c r="B36" s="4375"/>
      <c r="C36" s="4888"/>
      <c r="D36" s="6106" t="s">
        <v>2707</v>
      </c>
      <c r="E36" s="6107">
        <v>9</v>
      </c>
      <c r="F36" s="6107">
        <v>4</v>
      </c>
      <c r="G36" s="1"/>
      <c r="I36" s="5644">
        <v>2</v>
      </c>
      <c r="J36" s="5644">
        <v>3</v>
      </c>
      <c r="K36" s="5643" t="s">
        <v>283</v>
      </c>
      <c r="L36" s="5643" t="s">
        <v>2709</v>
      </c>
      <c r="M36" s="5644">
        <v>1</v>
      </c>
      <c r="N36" s="5644">
        <v>3</v>
      </c>
      <c r="Q36" s="4375">
        <v>2</v>
      </c>
      <c r="R36" s="4375">
        <v>3</v>
      </c>
      <c r="S36" s="4888" t="s">
        <v>283</v>
      </c>
      <c r="T36" s="4888" t="s">
        <v>2731</v>
      </c>
      <c r="U36" s="4375">
        <v>1</v>
      </c>
      <c r="V36" s="4375">
        <v>4</v>
      </c>
      <c r="Y36" s="4516"/>
      <c r="Z36" s="4516"/>
      <c r="AA36" s="4666" t="s">
        <v>109</v>
      </c>
      <c r="AB36" s="4664"/>
      <c r="AC36" s="4670">
        <f>SUM(AC23,AC29,AC32)</f>
        <v>39</v>
      </c>
      <c r="AD36" s="4665"/>
      <c r="AE36" s="4659">
        <f>(AC35)/(AC36)</f>
        <v>0.69230769230769229</v>
      </c>
      <c r="AF36" s="4476"/>
      <c r="AG36" s="36"/>
      <c r="AH36" s="36"/>
      <c r="AI36" s="36"/>
      <c r="AJ36" s="36" t="s">
        <v>2571</v>
      </c>
      <c r="AK36" s="1681">
        <v>4</v>
      </c>
      <c r="AL36" s="1681"/>
      <c r="AM36" s="1681">
        <v>0</v>
      </c>
      <c r="AN36" s="1681">
        <v>0</v>
      </c>
      <c r="AO36" s="1681">
        <v>0</v>
      </c>
      <c r="AP36" s="95"/>
      <c r="AQ36" s="95">
        <v>4</v>
      </c>
      <c r="AR36" s="393"/>
      <c r="AS36" s="27"/>
      <c r="AT36" s="36"/>
      <c r="AU36" s="36"/>
      <c r="AV36" s="36"/>
      <c r="AW36" s="36" t="s">
        <v>1142</v>
      </c>
      <c r="AX36" s="1681"/>
      <c r="AY36" s="1681"/>
      <c r="AZ36" s="1681"/>
      <c r="BA36" s="1681"/>
      <c r="BB36" s="1681"/>
      <c r="BC36" s="1681"/>
      <c r="BD36" s="1681"/>
      <c r="BE36" s="1681">
        <v>1</v>
      </c>
      <c r="BF36" s="1681">
        <v>0</v>
      </c>
      <c r="BG36" s="1681">
        <v>1</v>
      </c>
      <c r="BH36" s="36"/>
      <c r="BJ36" s="4215"/>
      <c r="BK36" s="4215"/>
      <c r="BL36" s="4215"/>
      <c r="BM36" s="4222" t="s">
        <v>15</v>
      </c>
      <c r="BN36" s="4223">
        <v>4</v>
      </c>
      <c r="BO36" s="4223">
        <v>3</v>
      </c>
      <c r="BP36" s="4223">
        <v>48</v>
      </c>
      <c r="BQ36" s="4223"/>
      <c r="BR36" s="4223"/>
      <c r="BS36" s="4223"/>
      <c r="BT36" s="4223">
        <v>55</v>
      </c>
      <c r="BU36" s="4224">
        <f>+(BT33+BT35)/BT36</f>
        <v>0.72727272727272729</v>
      </c>
      <c r="BW36" s="36" t="s">
        <v>25</v>
      </c>
      <c r="BX36" s="36" t="s">
        <v>16</v>
      </c>
      <c r="BY36" s="36" t="s">
        <v>106</v>
      </c>
      <c r="BZ36" s="36" t="s">
        <v>1071</v>
      </c>
      <c r="CA36" s="1681"/>
      <c r="CB36" s="1681">
        <v>0</v>
      </c>
      <c r="CC36" s="1681">
        <v>0</v>
      </c>
      <c r="CD36" s="1681">
        <v>0</v>
      </c>
      <c r="CE36" s="1681">
        <v>1</v>
      </c>
      <c r="CF36" s="95"/>
      <c r="CG36" s="95"/>
      <c r="CH36" s="95"/>
      <c r="CI36" s="95">
        <v>1</v>
      </c>
      <c r="CJ36" s="36"/>
      <c r="CN36" s="36" t="s">
        <v>483</v>
      </c>
      <c r="CO36" s="36" t="s">
        <v>1076</v>
      </c>
      <c r="CP36" s="1681"/>
      <c r="CQ36" s="1681"/>
      <c r="CR36" s="1681">
        <v>11</v>
      </c>
      <c r="CS36" s="1681">
        <v>1</v>
      </c>
      <c r="CT36" s="95"/>
      <c r="CU36" s="95"/>
      <c r="CV36" s="95">
        <v>12</v>
      </c>
      <c r="CY36" s="95"/>
      <c r="DB36" s="36" t="s">
        <v>1076</v>
      </c>
      <c r="DC36" s="1484">
        <v>0</v>
      </c>
      <c r="DD36" s="1484"/>
      <c r="DE36" s="1484">
        <v>2</v>
      </c>
      <c r="DF36" s="1484">
        <v>1</v>
      </c>
      <c r="DG36" s="95">
        <v>2</v>
      </c>
      <c r="DH36" s="95">
        <v>1</v>
      </c>
      <c r="DI36" s="95">
        <v>6</v>
      </c>
      <c r="DL36" s="1191"/>
      <c r="DM36" s="1191"/>
      <c r="DN36" s="1191"/>
      <c r="DO36" s="1192" t="s">
        <v>1142</v>
      </c>
      <c r="DP36" s="1193"/>
      <c r="DQ36" s="1193"/>
      <c r="DR36" s="1193"/>
      <c r="DS36" s="1194">
        <v>1</v>
      </c>
      <c r="DT36" s="1193"/>
      <c r="DU36" s="1195"/>
      <c r="DV36" s="1196">
        <v>1</v>
      </c>
      <c r="DW36" s="1187"/>
      <c r="DY36" s="427"/>
      <c r="DZ36" s="427"/>
      <c r="EA36" s="428"/>
      <c r="EB36" s="429" t="s">
        <v>1081</v>
      </c>
      <c r="EC36" s="430">
        <v>0</v>
      </c>
      <c r="ED36" s="430">
        <v>0</v>
      </c>
      <c r="EE36" s="430">
        <v>1</v>
      </c>
      <c r="EF36" s="430">
        <v>0</v>
      </c>
      <c r="EG36" s="427"/>
      <c r="EH36" s="432">
        <v>1</v>
      </c>
      <c r="EI36" s="36"/>
      <c r="EK36" s="433"/>
      <c r="EL36" s="433"/>
      <c r="EM36" s="434"/>
      <c r="EN36" s="435" t="s">
        <v>1074</v>
      </c>
      <c r="EO36" s="436">
        <v>1</v>
      </c>
      <c r="EP36" s="436">
        <v>0</v>
      </c>
      <c r="EQ36" s="436">
        <v>1</v>
      </c>
      <c r="ER36" s="436">
        <v>0</v>
      </c>
      <c r="ES36" s="439">
        <v>0</v>
      </c>
      <c r="ET36" s="438"/>
      <c r="EU36" s="439">
        <v>2</v>
      </c>
      <c r="EV36" s="440"/>
      <c r="EX36" s="441"/>
      <c r="EY36" s="441"/>
      <c r="EZ36" s="441"/>
      <c r="FA36" s="442" t="s">
        <v>1072</v>
      </c>
      <c r="FB36" s="444">
        <v>3</v>
      </c>
      <c r="FC36" s="443"/>
      <c r="FD36" s="443"/>
      <c r="FE36" s="443"/>
      <c r="FF36" s="444">
        <v>0</v>
      </c>
      <c r="FG36" s="444">
        <v>3</v>
      </c>
      <c r="FH36" s="445"/>
      <c r="FJ36" s="95"/>
      <c r="FK36" s="95"/>
      <c r="FL36" s="36" t="s">
        <v>108</v>
      </c>
      <c r="FM36" s="36" t="s">
        <v>1071</v>
      </c>
      <c r="FN36" s="95"/>
      <c r="FO36" s="95"/>
      <c r="FP36" s="95"/>
      <c r="FQ36" s="95"/>
      <c r="FR36" s="95">
        <v>4</v>
      </c>
      <c r="FS36" s="95">
        <v>4</v>
      </c>
      <c r="FU36" s="37"/>
      <c r="FV36" s="616"/>
      <c r="FW36" s="4357" t="s">
        <v>41</v>
      </c>
      <c r="FX36" s="616" t="s">
        <v>137</v>
      </c>
      <c r="FY36" s="616" t="s">
        <v>1071</v>
      </c>
      <c r="FZ36" s="616">
        <v>0</v>
      </c>
      <c r="GA36" s="616">
        <v>0</v>
      </c>
      <c r="GB36" s="616">
        <v>0</v>
      </c>
      <c r="GC36" s="616">
        <v>0</v>
      </c>
      <c r="GD36" s="616">
        <v>3</v>
      </c>
      <c r="GE36" s="616">
        <v>10</v>
      </c>
      <c r="GF36" s="616">
        <v>13</v>
      </c>
      <c r="GG36" s="616"/>
      <c r="GH36" s="617"/>
      <c r="GI36" s="37"/>
    </row>
    <row r="37" spans="1:191">
      <c r="A37" s="6091"/>
      <c r="B37" s="6091"/>
      <c r="C37" s="6092"/>
      <c r="D37" s="6092" t="s">
        <v>2709</v>
      </c>
      <c r="E37" s="6091">
        <v>2</v>
      </c>
      <c r="F37" s="6091">
        <v>1</v>
      </c>
      <c r="G37" s="1"/>
      <c r="I37" s="5644"/>
      <c r="J37" s="5644"/>
      <c r="K37" s="5643"/>
      <c r="L37" s="5643"/>
      <c r="M37" s="5650">
        <f>SUM(M33:M36)</f>
        <v>4</v>
      </c>
      <c r="N37" s="5644"/>
      <c r="O37" s="4891">
        <f>(M34)/(M37)</f>
        <v>0.25</v>
      </c>
      <c r="Q37" s="4375">
        <v>2</v>
      </c>
      <c r="R37" s="4375">
        <v>3</v>
      </c>
      <c r="S37" s="4888" t="s">
        <v>283</v>
      </c>
      <c r="T37" s="4888" t="s">
        <v>2709</v>
      </c>
      <c r="U37" s="4375">
        <v>1</v>
      </c>
      <c r="V37" s="4375">
        <v>3</v>
      </c>
      <c r="Y37" s="4636">
        <v>3</v>
      </c>
      <c r="Z37" s="4636">
        <v>2</v>
      </c>
      <c r="AA37" s="4637" t="s">
        <v>2738</v>
      </c>
      <c r="AB37" s="4637" t="s">
        <v>2709</v>
      </c>
      <c r="AC37" s="4641">
        <v>3</v>
      </c>
      <c r="AD37" s="4641">
        <v>5</v>
      </c>
      <c r="AE37" s="4652"/>
      <c r="AF37" s="4476"/>
      <c r="AG37" s="36"/>
      <c r="AH37" s="36"/>
      <c r="AI37" s="36"/>
      <c r="AJ37" s="36" t="s">
        <v>15</v>
      </c>
      <c r="AK37" s="1681">
        <v>4</v>
      </c>
      <c r="AL37" s="1681"/>
      <c r="AM37" s="1681">
        <v>1</v>
      </c>
      <c r="AN37" s="1681">
        <v>25</v>
      </c>
      <c r="AO37" s="1681">
        <v>1</v>
      </c>
      <c r="AP37" s="95"/>
      <c r="AQ37" s="95">
        <v>31</v>
      </c>
      <c r="AR37" s="4536">
        <f>+AN35/(AQ37-AQ36)</f>
        <v>0.92592592592592593</v>
      </c>
      <c r="AS37" s="4533"/>
      <c r="AT37" s="36"/>
      <c r="AU37" s="36"/>
      <c r="AV37" s="36"/>
      <c r="AW37" s="36" t="s">
        <v>15</v>
      </c>
      <c r="AX37" s="1681"/>
      <c r="AY37" s="1681"/>
      <c r="AZ37" s="1681"/>
      <c r="BA37" s="1681"/>
      <c r="BB37" s="1681"/>
      <c r="BC37" s="1681"/>
      <c r="BD37" s="1681"/>
      <c r="BE37" s="1681">
        <v>1</v>
      </c>
      <c r="BF37" s="1681">
        <v>1</v>
      </c>
      <c r="BG37" s="1681">
        <v>2</v>
      </c>
      <c r="BH37" s="560">
        <v>0</v>
      </c>
      <c r="BJ37" s="4215"/>
      <c r="BK37" s="4215"/>
      <c r="BL37" s="4222" t="s">
        <v>483</v>
      </c>
      <c r="BM37" s="4222" t="s">
        <v>1072</v>
      </c>
      <c r="BN37" s="4223">
        <v>2</v>
      </c>
      <c r="BO37" s="4223">
        <v>2</v>
      </c>
      <c r="BP37" s="4223">
        <v>7</v>
      </c>
      <c r="BQ37" s="4223"/>
      <c r="BR37" s="4223"/>
      <c r="BS37" s="4223"/>
      <c r="BT37" s="4223">
        <v>11</v>
      </c>
      <c r="BU37" s="4224"/>
      <c r="BW37" s="36"/>
      <c r="BX37" s="36"/>
      <c r="BY37" s="36"/>
      <c r="BZ37" s="36" t="s">
        <v>1074</v>
      </c>
      <c r="CA37" s="1681"/>
      <c r="CB37" s="1681">
        <v>2</v>
      </c>
      <c r="CC37" s="1681">
        <v>0</v>
      </c>
      <c r="CD37" s="1681">
        <v>0</v>
      </c>
      <c r="CE37" s="1681">
        <v>0</v>
      </c>
      <c r="CF37" s="95"/>
      <c r="CG37" s="95"/>
      <c r="CH37" s="95"/>
      <c r="CI37" s="95">
        <v>2</v>
      </c>
      <c r="CJ37" s="36"/>
      <c r="CO37" s="393" t="s">
        <v>483</v>
      </c>
      <c r="CP37" s="1682"/>
      <c r="CQ37" s="1682"/>
      <c r="CR37" s="1682">
        <v>11</v>
      </c>
      <c r="CS37" s="1682">
        <v>1</v>
      </c>
      <c r="CT37" s="4212"/>
      <c r="CU37" s="4212"/>
      <c r="CV37" s="4212">
        <v>12</v>
      </c>
      <c r="CW37" s="560">
        <f>+CV36/CV37</f>
        <v>1</v>
      </c>
      <c r="CY37" s="95"/>
      <c r="DB37" s="36" t="s">
        <v>1077</v>
      </c>
      <c r="DC37" s="1484">
        <v>1</v>
      </c>
      <c r="DD37" s="1484"/>
      <c r="DE37" s="1484">
        <v>1</v>
      </c>
      <c r="DF37" s="1484">
        <v>0</v>
      </c>
      <c r="DG37" s="95">
        <v>0</v>
      </c>
      <c r="DH37" s="95">
        <v>0</v>
      </c>
      <c r="DI37" s="95">
        <v>2</v>
      </c>
      <c r="DL37" s="1191"/>
      <c r="DM37" s="1191"/>
      <c r="DN37" s="1191"/>
      <c r="DO37" s="1186" t="s">
        <v>15</v>
      </c>
      <c r="DP37" s="1197"/>
      <c r="DQ37" s="1197"/>
      <c r="DR37" s="1197"/>
      <c r="DS37" s="1198">
        <v>15</v>
      </c>
      <c r="DT37" s="1197"/>
      <c r="DU37" s="1199"/>
      <c r="DV37" s="1200">
        <v>15</v>
      </c>
      <c r="DW37" s="1178">
        <f>+(DV34+DV35+DV36)/DV37</f>
        <v>1</v>
      </c>
      <c r="DY37" s="427"/>
      <c r="DZ37" s="427"/>
      <c r="EA37" s="428"/>
      <c r="EB37" s="429" t="s">
        <v>1142</v>
      </c>
      <c r="EC37" s="430">
        <v>0</v>
      </c>
      <c r="ED37" s="430">
        <v>0</v>
      </c>
      <c r="EE37" s="430">
        <v>20</v>
      </c>
      <c r="EF37" s="430">
        <v>0</v>
      </c>
      <c r="EG37" s="427"/>
      <c r="EH37" s="432">
        <v>20</v>
      </c>
      <c r="EI37" s="36"/>
      <c r="EK37" s="433"/>
      <c r="EL37" s="433"/>
      <c r="EM37" s="434"/>
      <c r="EN37" s="435" t="s">
        <v>1076</v>
      </c>
      <c r="EO37" s="436">
        <v>0</v>
      </c>
      <c r="EP37" s="436">
        <v>0</v>
      </c>
      <c r="EQ37" s="436">
        <v>20</v>
      </c>
      <c r="ER37" s="436">
        <v>0</v>
      </c>
      <c r="ES37" s="439">
        <v>0</v>
      </c>
      <c r="ET37" s="438"/>
      <c r="EU37" s="439">
        <v>20</v>
      </c>
      <c r="EV37" s="440"/>
      <c r="EX37" s="441"/>
      <c r="EY37" s="441"/>
      <c r="EZ37" s="441"/>
      <c r="FA37" s="462" t="s">
        <v>15</v>
      </c>
      <c r="FB37" s="464">
        <v>3</v>
      </c>
      <c r="FC37" s="463"/>
      <c r="FD37" s="463"/>
      <c r="FE37" s="463"/>
      <c r="FF37" s="464">
        <v>8</v>
      </c>
      <c r="FG37" s="464">
        <v>11</v>
      </c>
      <c r="FH37" s="465">
        <v>0</v>
      </c>
      <c r="FJ37" s="95"/>
      <c r="FK37" s="95"/>
      <c r="FM37" s="393" t="s">
        <v>15</v>
      </c>
      <c r="FN37" s="4212"/>
      <c r="FO37" s="4212"/>
      <c r="FP37" s="4212"/>
      <c r="FQ37" s="4212"/>
      <c r="FR37" s="4212">
        <v>4</v>
      </c>
      <c r="FS37" s="4212">
        <v>4</v>
      </c>
      <c r="FT37" s="632">
        <v>0</v>
      </c>
      <c r="FU37" s="37"/>
      <c r="FV37" s="616"/>
      <c r="FW37" s="4357"/>
      <c r="FX37" s="616"/>
      <c r="FY37" s="627" t="s">
        <v>15</v>
      </c>
      <c r="FZ37" s="627">
        <v>0</v>
      </c>
      <c r="GA37" s="627">
        <v>0</v>
      </c>
      <c r="GB37" s="627">
        <v>0</v>
      </c>
      <c r="GC37" s="627">
        <v>0</v>
      </c>
      <c r="GD37" s="627">
        <v>3</v>
      </c>
      <c r="GE37" s="627">
        <v>10</v>
      </c>
      <c r="GF37" s="627">
        <v>13</v>
      </c>
      <c r="GG37" s="628">
        <f>0/GF37</f>
        <v>0</v>
      </c>
      <c r="GH37" s="617">
        <v>0</v>
      </c>
      <c r="GI37" s="37"/>
    </row>
    <row r="38" spans="1:191">
      <c r="A38" s="4375"/>
      <c r="B38" s="4375"/>
      <c r="C38" s="4888"/>
      <c r="D38" s="4888" t="s">
        <v>2709</v>
      </c>
      <c r="E38" s="4375">
        <v>10</v>
      </c>
      <c r="F38" s="4375">
        <v>4</v>
      </c>
      <c r="G38" s="1"/>
      <c r="I38" s="5645">
        <v>2</v>
      </c>
      <c r="J38" s="5645">
        <v>3</v>
      </c>
      <c r="K38" s="5646" t="s">
        <v>284</v>
      </c>
      <c r="L38" s="5646" t="s">
        <v>3027</v>
      </c>
      <c r="M38" s="5645">
        <v>3</v>
      </c>
      <c r="N38" s="5645">
        <v>5</v>
      </c>
      <c r="Q38" s="4375">
        <v>2</v>
      </c>
      <c r="R38" s="4375">
        <v>3</v>
      </c>
      <c r="S38" s="4888" t="s">
        <v>283</v>
      </c>
      <c r="T38" s="4888" t="s">
        <v>2709</v>
      </c>
      <c r="U38" s="4375">
        <v>2</v>
      </c>
      <c r="V38" s="4375">
        <v>4</v>
      </c>
      <c r="W38" s="4891">
        <v>0</v>
      </c>
      <c r="Y38" s="4636">
        <v>3</v>
      </c>
      <c r="Z38" s="4636">
        <v>2</v>
      </c>
      <c r="AA38" s="4661" t="s">
        <v>2738</v>
      </c>
      <c r="AB38" s="4637" t="s">
        <v>1071</v>
      </c>
      <c r="AC38" s="4641">
        <v>17</v>
      </c>
      <c r="AD38" s="4641">
        <v>6</v>
      </c>
      <c r="AE38" s="4652"/>
      <c r="AF38" s="4452"/>
      <c r="AG38" s="36"/>
      <c r="AH38" s="36" t="s">
        <v>41</v>
      </c>
      <c r="AI38" s="36" t="s">
        <v>107</v>
      </c>
      <c r="AJ38" s="36" t="s">
        <v>1072</v>
      </c>
      <c r="AK38" s="1681"/>
      <c r="AL38" s="1681">
        <v>0</v>
      </c>
      <c r="AM38" s="1681"/>
      <c r="AN38" s="1681">
        <v>1</v>
      </c>
      <c r="AO38" s="1681">
        <v>2</v>
      </c>
      <c r="AP38" s="95">
        <v>0</v>
      </c>
      <c r="AQ38" s="95">
        <v>3</v>
      </c>
      <c r="AR38" s="393"/>
      <c r="AS38" s="27"/>
      <c r="AT38" s="36"/>
      <c r="AU38" s="36"/>
      <c r="AV38" s="36" t="s">
        <v>482</v>
      </c>
      <c r="AW38" s="36" t="s">
        <v>1080</v>
      </c>
      <c r="AX38" s="1681"/>
      <c r="AY38" s="1681"/>
      <c r="AZ38" s="1681"/>
      <c r="BA38" s="1681"/>
      <c r="BB38" s="1681"/>
      <c r="BC38" s="1681"/>
      <c r="BD38" s="1681"/>
      <c r="BE38" s="1681">
        <v>0</v>
      </c>
      <c r="BF38" s="1681">
        <v>1</v>
      </c>
      <c r="BG38" s="1681">
        <v>1</v>
      </c>
      <c r="BH38" s="36"/>
      <c r="BJ38" s="4215"/>
      <c r="BK38" s="4215"/>
      <c r="BL38" s="4222"/>
      <c r="BM38" s="4222" t="s">
        <v>1074</v>
      </c>
      <c r="BN38" s="4223">
        <v>2</v>
      </c>
      <c r="BO38" s="4223">
        <v>1</v>
      </c>
      <c r="BP38" s="4223">
        <v>0</v>
      </c>
      <c r="BQ38" s="4223"/>
      <c r="BR38" s="4223"/>
      <c r="BS38" s="4223"/>
      <c r="BT38" s="4223">
        <v>3</v>
      </c>
      <c r="BU38" s="4224"/>
      <c r="BW38" s="36"/>
      <c r="BX38" s="36"/>
      <c r="BY38" s="36"/>
      <c r="BZ38" s="36" t="s">
        <v>1076</v>
      </c>
      <c r="CA38" s="1681"/>
      <c r="CB38" s="1681">
        <v>0</v>
      </c>
      <c r="CC38" s="1681">
        <v>0</v>
      </c>
      <c r="CD38" s="1681">
        <v>1</v>
      </c>
      <c r="CE38" s="1681">
        <v>1</v>
      </c>
      <c r="CF38" s="95"/>
      <c r="CG38" s="95"/>
      <c r="CH38" s="95"/>
      <c r="CI38" s="95">
        <v>2</v>
      </c>
      <c r="CJ38" s="36"/>
      <c r="CM38" s="36" t="s">
        <v>41</v>
      </c>
      <c r="CN38" s="36" t="s">
        <v>107</v>
      </c>
      <c r="CO38" s="36" t="s">
        <v>1072</v>
      </c>
      <c r="CP38" s="1681"/>
      <c r="CQ38" s="1681"/>
      <c r="CR38" s="1681">
        <v>0</v>
      </c>
      <c r="CS38" s="1681">
        <v>1</v>
      </c>
      <c r="CT38" s="95">
        <v>0</v>
      </c>
      <c r="CU38" s="95">
        <v>1</v>
      </c>
      <c r="CV38" s="95">
        <v>2</v>
      </c>
      <c r="CY38" s="95"/>
      <c r="DB38" s="36" t="s">
        <v>1080</v>
      </c>
      <c r="DC38" s="1484">
        <v>0</v>
      </c>
      <c r="DD38" s="1484"/>
      <c r="DE38" s="1484">
        <v>0</v>
      </c>
      <c r="DF38" s="1484">
        <v>0</v>
      </c>
      <c r="DG38" s="95">
        <v>1</v>
      </c>
      <c r="DH38" s="95">
        <v>1</v>
      </c>
      <c r="DI38" s="95">
        <v>2</v>
      </c>
      <c r="DL38" s="1191"/>
      <c r="DM38" s="1191"/>
      <c r="DN38" s="1191" t="s">
        <v>483</v>
      </c>
      <c r="DO38" s="1192" t="s">
        <v>1076</v>
      </c>
      <c r="DP38" s="1193"/>
      <c r="DQ38" s="1193"/>
      <c r="DR38" s="1193"/>
      <c r="DS38" s="1194">
        <v>12</v>
      </c>
      <c r="DT38" s="1193"/>
      <c r="DU38" s="1195"/>
      <c r="DV38" s="1196">
        <v>12</v>
      </c>
      <c r="DW38" s="1187"/>
      <c r="DY38" s="427"/>
      <c r="DZ38" s="427"/>
      <c r="EA38" s="428"/>
      <c r="EB38" s="451" t="s">
        <v>483</v>
      </c>
      <c r="EC38" s="452">
        <v>4</v>
      </c>
      <c r="ED38" s="452">
        <v>2</v>
      </c>
      <c r="EE38" s="452">
        <v>26</v>
      </c>
      <c r="EF38" s="452">
        <v>1</v>
      </c>
      <c r="EG38" s="454"/>
      <c r="EH38" s="455">
        <v>33</v>
      </c>
      <c r="EI38" s="456">
        <f>+(EH34+EH36+EH37)/EH38</f>
        <v>0.69696969696969702</v>
      </c>
      <c r="EK38" s="433"/>
      <c r="EL38" s="433"/>
      <c r="EM38" s="434"/>
      <c r="EN38" s="435" t="s">
        <v>1081</v>
      </c>
      <c r="EO38" s="436">
        <v>0</v>
      </c>
      <c r="EP38" s="436">
        <v>0</v>
      </c>
      <c r="EQ38" s="436">
        <v>14</v>
      </c>
      <c r="ER38" s="436">
        <v>0</v>
      </c>
      <c r="ES38" s="439">
        <v>0</v>
      </c>
      <c r="ET38" s="438"/>
      <c r="EU38" s="439">
        <v>14</v>
      </c>
      <c r="EV38" s="440"/>
      <c r="EX38" s="441" t="s">
        <v>48</v>
      </c>
      <c r="EY38" s="441" t="s">
        <v>16</v>
      </c>
      <c r="EZ38" s="441" t="s">
        <v>110</v>
      </c>
      <c r="FA38" s="442" t="s">
        <v>1071</v>
      </c>
      <c r="FB38" s="444">
        <v>0</v>
      </c>
      <c r="FC38" s="443"/>
      <c r="FD38" s="444">
        <v>0</v>
      </c>
      <c r="FE38" s="444">
        <v>0</v>
      </c>
      <c r="FF38" s="444">
        <v>27</v>
      </c>
      <c r="FG38" s="444">
        <v>27</v>
      </c>
      <c r="FH38" s="445"/>
      <c r="FJ38" s="95" t="s">
        <v>48</v>
      </c>
      <c r="FK38" s="95" t="s">
        <v>16</v>
      </c>
      <c r="FL38" s="36" t="s">
        <v>133</v>
      </c>
      <c r="FM38" s="36" t="s">
        <v>1072</v>
      </c>
      <c r="FN38" s="95"/>
      <c r="FO38" s="95"/>
      <c r="FP38" s="95">
        <v>2</v>
      </c>
      <c r="FQ38" s="95">
        <v>0</v>
      </c>
      <c r="FR38" s="95"/>
      <c r="FS38" s="95">
        <v>2</v>
      </c>
      <c r="FU38" s="37"/>
      <c r="FV38" s="616"/>
      <c r="FW38" s="4357"/>
      <c r="FX38" s="616" t="s">
        <v>111</v>
      </c>
      <c r="FY38" s="616" t="s">
        <v>1074</v>
      </c>
      <c r="FZ38" s="616">
        <v>0</v>
      </c>
      <c r="GA38" s="616">
        <v>0</v>
      </c>
      <c r="GB38" s="616">
        <v>1</v>
      </c>
      <c r="GC38" s="616">
        <v>0</v>
      </c>
      <c r="GD38" s="616">
        <v>0</v>
      </c>
      <c r="GE38" s="616">
        <v>0</v>
      </c>
      <c r="GF38" s="616">
        <v>1</v>
      </c>
      <c r="GG38" s="616"/>
      <c r="GH38" s="617"/>
      <c r="GI38" s="37"/>
    </row>
    <row r="39" spans="1:191">
      <c r="A39" s="4887" t="s">
        <v>2613</v>
      </c>
      <c r="B39" s="4887" t="s">
        <v>2613</v>
      </c>
      <c r="C39" s="4902" t="s">
        <v>3179</v>
      </c>
      <c r="D39" s="4651" t="s">
        <v>15</v>
      </c>
      <c r="E39" s="4897">
        <f>SUM(E35:E38)</f>
        <v>23</v>
      </c>
      <c r="F39" s="4898" t="s">
        <v>2613</v>
      </c>
      <c r="G39" s="6104">
        <f>(E36)/(E39)</f>
        <v>0.39130434782608697</v>
      </c>
      <c r="I39" s="5644">
        <v>2</v>
      </c>
      <c r="J39" s="5644">
        <v>3</v>
      </c>
      <c r="K39" s="5643" t="s">
        <v>284</v>
      </c>
      <c r="L39" s="5643" t="s">
        <v>2709</v>
      </c>
      <c r="M39" s="5644">
        <v>2</v>
      </c>
      <c r="N39" s="5644">
        <v>3</v>
      </c>
      <c r="Q39" s="4375">
        <v>2</v>
      </c>
      <c r="R39" s="4375">
        <v>3</v>
      </c>
      <c r="S39" s="4888" t="s">
        <v>284</v>
      </c>
      <c r="T39" s="4888" t="s">
        <v>1071</v>
      </c>
      <c r="U39" s="4375">
        <v>3</v>
      </c>
      <c r="V39" s="4375">
        <v>4</v>
      </c>
      <c r="Y39" s="4676" t="s">
        <v>2613</v>
      </c>
      <c r="Z39" s="4677" t="s">
        <v>2613</v>
      </c>
      <c r="AA39" s="4678" t="s">
        <v>2773</v>
      </c>
      <c r="AB39" s="4679" t="s">
        <v>15</v>
      </c>
      <c r="AC39" s="4680">
        <f>SUM(AC37:AC38)</f>
        <v>20</v>
      </c>
      <c r="AD39" s="4618"/>
      <c r="AE39" s="4451">
        <v>0</v>
      </c>
      <c r="AF39" s="1665"/>
      <c r="AG39" s="36"/>
      <c r="AH39" s="36"/>
      <c r="AI39" s="36"/>
      <c r="AJ39" s="36" t="s">
        <v>1074</v>
      </c>
      <c r="AK39" s="1681"/>
      <c r="AL39" s="1681">
        <v>1</v>
      </c>
      <c r="AM39" s="1681"/>
      <c r="AN39" s="1681">
        <v>0</v>
      </c>
      <c r="AO39" s="1681">
        <v>0</v>
      </c>
      <c r="AP39" s="95">
        <v>0</v>
      </c>
      <c r="AQ39" s="95">
        <v>1</v>
      </c>
      <c r="AR39" s="393"/>
      <c r="AS39" s="27"/>
      <c r="AT39" s="36"/>
      <c r="AU39" s="36"/>
      <c r="AV39" s="36"/>
      <c r="AW39" s="36" t="s">
        <v>1142</v>
      </c>
      <c r="AX39" s="1681"/>
      <c r="AY39" s="1681"/>
      <c r="AZ39" s="1681"/>
      <c r="BA39" s="1681"/>
      <c r="BB39" s="1681"/>
      <c r="BC39" s="1681"/>
      <c r="BD39" s="1681"/>
      <c r="BE39" s="1681">
        <v>1</v>
      </c>
      <c r="BF39" s="1681">
        <v>0</v>
      </c>
      <c r="BG39" s="1681">
        <v>1</v>
      </c>
      <c r="BH39" s="36"/>
      <c r="BJ39" s="4215"/>
      <c r="BK39" s="4215"/>
      <c r="BL39" s="4222"/>
      <c r="BM39" s="4222" t="s">
        <v>1076</v>
      </c>
      <c r="BN39" s="4223">
        <v>0</v>
      </c>
      <c r="BO39" s="4223">
        <v>0</v>
      </c>
      <c r="BP39" s="4223">
        <v>39</v>
      </c>
      <c r="BQ39" s="4223"/>
      <c r="BR39" s="4223"/>
      <c r="BS39" s="4223"/>
      <c r="BT39" s="4223">
        <v>39</v>
      </c>
      <c r="BU39" s="4224"/>
      <c r="BW39" s="36"/>
      <c r="BX39" s="36"/>
      <c r="BY39" s="36"/>
      <c r="BZ39" s="36" t="s">
        <v>1077</v>
      </c>
      <c r="CA39" s="1681"/>
      <c r="CB39" s="1681">
        <v>0</v>
      </c>
      <c r="CC39" s="1681">
        <v>4</v>
      </c>
      <c r="CD39" s="1681">
        <v>2</v>
      </c>
      <c r="CE39" s="1681">
        <v>0</v>
      </c>
      <c r="CF39" s="95"/>
      <c r="CG39" s="95"/>
      <c r="CH39" s="95"/>
      <c r="CI39" s="95">
        <v>6</v>
      </c>
      <c r="CJ39" s="36"/>
      <c r="CO39" s="36" t="s">
        <v>1076</v>
      </c>
      <c r="CP39" s="1681"/>
      <c r="CQ39" s="1681"/>
      <c r="CR39" s="1681">
        <v>2</v>
      </c>
      <c r="CS39" s="1681">
        <v>1</v>
      </c>
      <c r="CT39" s="95">
        <v>1</v>
      </c>
      <c r="CU39" s="95">
        <v>0</v>
      </c>
      <c r="CV39" s="95">
        <v>4</v>
      </c>
      <c r="CY39" s="95"/>
      <c r="DB39" s="36" t="s">
        <v>1142</v>
      </c>
      <c r="DC39" s="1484">
        <v>0</v>
      </c>
      <c r="DD39" s="1484"/>
      <c r="DE39" s="1484">
        <v>1</v>
      </c>
      <c r="DF39" s="1484">
        <v>1</v>
      </c>
      <c r="DG39" s="95">
        <v>1</v>
      </c>
      <c r="DH39" s="95">
        <v>0</v>
      </c>
      <c r="DI39" s="95">
        <v>3</v>
      </c>
      <c r="DL39" s="1191"/>
      <c r="DM39" s="1191"/>
      <c r="DN39" s="1191"/>
      <c r="DO39" s="1192" t="s">
        <v>1081</v>
      </c>
      <c r="DP39" s="1193"/>
      <c r="DQ39" s="1193"/>
      <c r="DR39" s="1193"/>
      <c r="DS39" s="1194">
        <v>2</v>
      </c>
      <c r="DT39" s="1193"/>
      <c r="DU39" s="1195"/>
      <c r="DV39" s="1196">
        <v>2</v>
      </c>
      <c r="DW39" s="1187"/>
      <c r="DY39" s="427"/>
      <c r="DZ39" s="427" t="s">
        <v>41</v>
      </c>
      <c r="EA39" s="428" t="s">
        <v>107</v>
      </c>
      <c r="EB39" s="429" t="s">
        <v>1072</v>
      </c>
      <c r="EC39" s="430">
        <v>1</v>
      </c>
      <c r="ED39" s="431"/>
      <c r="EE39" s="430">
        <v>3</v>
      </c>
      <c r="EF39" s="430">
        <v>1</v>
      </c>
      <c r="EG39" s="432">
        <v>0</v>
      </c>
      <c r="EH39" s="432">
        <v>5</v>
      </c>
      <c r="EI39" s="36"/>
      <c r="EK39" s="433"/>
      <c r="EL39" s="433"/>
      <c r="EM39" s="434"/>
      <c r="EN39" s="435" t="s">
        <v>1142</v>
      </c>
      <c r="EO39" s="436">
        <v>0</v>
      </c>
      <c r="EP39" s="436">
        <v>0</v>
      </c>
      <c r="EQ39" s="436">
        <v>7</v>
      </c>
      <c r="ER39" s="436">
        <v>0</v>
      </c>
      <c r="ES39" s="439">
        <v>0</v>
      </c>
      <c r="ET39" s="438"/>
      <c r="EU39" s="439">
        <v>7</v>
      </c>
      <c r="EV39" s="440"/>
      <c r="EX39" s="441"/>
      <c r="EY39" s="441"/>
      <c r="EZ39" s="441"/>
      <c r="FA39" s="442" t="s">
        <v>1072</v>
      </c>
      <c r="FB39" s="444">
        <v>1</v>
      </c>
      <c r="FC39" s="443"/>
      <c r="FD39" s="444">
        <v>1</v>
      </c>
      <c r="FE39" s="444">
        <v>9</v>
      </c>
      <c r="FF39" s="444">
        <v>0</v>
      </c>
      <c r="FG39" s="444">
        <v>11</v>
      </c>
      <c r="FH39" s="445"/>
      <c r="FJ39" s="95"/>
      <c r="FK39" s="95"/>
      <c r="FM39" s="36" t="s">
        <v>1076</v>
      </c>
      <c r="FN39" s="95"/>
      <c r="FO39" s="95"/>
      <c r="FP39" s="95">
        <v>0</v>
      </c>
      <c r="FQ39" s="95">
        <v>2</v>
      </c>
      <c r="FR39" s="95"/>
      <c r="FS39" s="95">
        <v>2</v>
      </c>
      <c r="FU39" s="37"/>
      <c r="FV39" s="616"/>
      <c r="FW39" s="4357"/>
      <c r="FX39" s="616"/>
      <c r="FY39" s="616" t="s">
        <v>1077</v>
      </c>
      <c r="FZ39" s="616">
        <v>0</v>
      </c>
      <c r="GA39" s="616">
        <v>0</v>
      </c>
      <c r="GB39" s="616">
        <v>1</v>
      </c>
      <c r="GC39" s="616">
        <v>1</v>
      </c>
      <c r="GD39" s="616">
        <v>0</v>
      </c>
      <c r="GE39" s="616">
        <v>0</v>
      </c>
      <c r="GF39" s="616">
        <v>2</v>
      </c>
      <c r="GG39" s="616"/>
      <c r="GH39" s="617"/>
      <c r="GI39" s="37"/>
    </row>
    <row r="40" spans="1:191">
      <c r="A40" s="4908"/>
      <c r="B40" s="4908"/>
      <c r="C40" s="4909"/>
      <c r="D40" s="4692"/>
      <c r="E40" s="4910"/>
      <c r="F40" s="6097"/>
      <c r="G40" s="4891"/>
      <c r="I40" s="5644"/>
      <c r="J40" s="5644"/>
      <c r="K40" s="5643"/>
      <c r="L40" s="5643"/>
      <c r="M40" s="5650">
        <f>SUM(M38:M39)</f>
        <v>5</v>
      </c>
      <c r="N40" s="5644"/>
      <c r="O40" s="4891">
        <v>0</v>
      </c>
      <c r="Q40" s="4375">
        <v>2</v>
      </c>
      <c r="R40" s="4375">
        <v>3</v>
      </c>
      <c r="S40" s="4888" t="s">
        <v>284</v>
      </c>
      <c r="T40" s="4888" t="s">
        <v>2709</v>
      </c>
      <c r="U40" s="4375">
        <v>2</v>
      </c>
      <c r="V40" s="4375">
        <v>3</v>
      </c>
      <c r="W40" s="4891">
        <v>0</v>
      </c>
      <c r="Y40" s="4671"/>
      <c r="Z40" s="4673"/>
      <c r="AA40" s="4671"/>
      <c r="AB40" s="4674"/>
      <c r="AC40" s="4675"/>
      <c r="AE40" s="4476"/>
      <c r="AF40" s="4452"/>
      <c r="AG40" s="36"/>
      <c r="AH40" s="36"/>
      <c r="AI40" s="36"/>
      <c r="AJ40" s="36" t="s">
        <v>1076</v>
      </c>
      <c r="AK40" s="1681"/>
      <c r="AL40" s="1681">
        <v>0</v>
      </c>
      <c r="AM40" s="1681"/>
      <c r="AN40" s="1681">
        <v>0</v>
      </c>
      <c r="AO40" s="1681">
        <v>1</v>
      </c>
      <c r="AP40" s="95">
        <v>1</v>
      </c>
      <c r="AQ40" s="95">
        <v>2</v>
      </c>
      <c r="AR40" s="393"/>
      <c r="AS40" s="27"/>
      <c r="AT40" s="36"/>
      <c r="AU40" s="36"/>
      <c r="AV40" s="36"/>
      <c r="AW40" s="36" t="s">
        <v>15</v>
      </c>
      <c r="AX40" s="1681"/>
      <c r="AY40" s="1681"/>
      <c r="AZ40" s="1681"/>
      <c r="BA40" s="1681"/>
      <c r="BB40" s="1681"/>
      <c r="BC40" s="1681"/>
      <c r="BD40" s="1681"/>
      <c r="BE40" s="1681">
        <v>1</v>
      </c>
      <c r="BF40" s="1681">
        <v>1</v>
      </c>
      <c r="BG40" s="1681">
        <v>2</v>
      </c>
      <c r="BH40" s="560">
        <v>0</v>
      </c>
      <c r="BJ40" s="4215"/>
      <c r="BK40" s="4215"/>
      <c r="BL40" s="4222"/>
      <c r="BM40" s="4222" t="s">
        <v>1077</v>
      </c>
      <c r="BN40" s="4223">
        <v>0</v>
      </c>
      <c r="BO40" s="4223">
        <v>0</v>
      </c>
      <c r="BP40" s="4223">
        <v>1</v>
      </c>
      <c r="BQ40" s="4223"/>
      <c r="BR40" s="4223"/>
      <c r="BS40" s="4223"/>
      <c r="BT40" s="4223">
        <v>1</v>
      </c>
      <c r="BU40" s="4224"/>
      <c r="BW40" s="36"/>
      <c r="BX40" s="36"/>
      <c r="BY40" s="36"/>
      <c r="BZ40" s="36" t="s">
        <v>1142</v>
      </c>
      <c r="CA40" s="1681"/>
      <c r="CB40" s="1681">
        <v>0</v>
      </c>
      <c r="CC40" s="1681">
        <v>0</v>
      </c>
      <c r="CD40" s="1681">
        <v>44</v>
      </c>
      <c r="CE40" s="1681">
        <v>6</v>
      </c>
      <c r="CF40" s="95"/>
      <c r="CG40" s="95"/>
      <c r="CH40" s="95"/>
      <c r="CI40" s="95">
        <v>50</v>
      </c>
      <c r="CJ40" s="36"/>
      <c r="CO40" s="36" t="s">
        <v>1080</v>
      </c>
      <c r="CP40" s="1681"/>
      <c r="CQ40" s="1681"/>
      <c r="CR40" s="1681">
        <v>0</v>
      </c>
      <c r="CS40" s="1681">
        <v>0</v>
      </c>
      <c r="CT40" s="95">
        <v>2</v>
      </c>
      <c r="CU40" s="95">
        <v>1</v>
      </c>
      <c r="CV40" s="95">
        <v>3</v>
      </c>
      <c r="CY40" s="95"/>
      <c r="DB40" s="393" t="s">
        <v>15</v>
      </c>
      <c r="DC40" s="1485">
        <v>1</v>
      </c>
      <c r="DD40" s="1485"/>
      <c r="DE40" s="1485">
        <v>7</v>
      </c>
      <c r="DF40" s="1485">
        <v>4</v>
      </c>
      <c r="DG40" s="4212">
        <v>4</v>
      </c>
      <c r="DH40" s="4212">
        <v>2</v>
      </c>
      <c r="DI40" s="4212">
        <v>18</v>
      </c>
      <c r="DJ40" s="560">
        <f>+(DI36+DI39-DG36-DH36-DG39)/DI40</f>
        <v>0.27777777777777779</v>
      </c>
      <c r="DL40" s="1191"/>
      <c r="DM40" s="1191"/>
      <c r="DN40" s="1191"/>
      <c r="DO40" s="1192" t="s">
        <v>1142</v>
      </c>
      <c r="DP40" s="1193"/>
      <c r="DQ40" s="1193"/>
      <c r="DR40" s="1193"/>
      <c r="DS40" s="1194">
        <v>1</v>
      </c>
      <c r="DT40" s="1193"/>
      <c r="DU40" s="1195"/>
      <c r="DV40" s="1196">
        <v>1</v>
      </c>
      <c r="DW40" s="1187"/>
      <c r="DY40" s="427"/>
      <c r="DZ40" s="427"/>
      <c r="EA40" s="428"/>
      <c r="EB40" s="429" t="s">
        <v>1076</v>
      </c>
      <c r="EC40" s="430">
        <v>0</v>
      </c>
      <c r="ED40" s="431"/>
      <c r="EE40" s="430">
        <v>1</v>
      </c>
      <c r="EF40" s="430">
        <v>0</v>
      </c>
      <c r="EG40" s="432">
        <v>0</v>
      </c>
      <c r="EH40" s="432">
        <v>1</v>
      </c>
      <c r="EI40" s="36"/>
      <c r="EK40" s="433"/>
      <c r="EL40" s="433"/>
      <c r="EM40" s="434"/>
      <c r="EN40" s="457" t="s">
        <v>105</v>
      </c>
      <c r="EO40" s="458">
        <v>8</v>
      </c>
      <c r="EP40" s="458">
        <v>2</v>
      </c>
      <c r="EQ40" s="458">
        <v>52</v>
      </c>
      <c r="ER40" s="458">
        <v>2</v>
      </c>
      <c r="ES40" s="461">
        <v>29</v>
      </c>
      <c r="ET40" s="460"/>
      <c r="EU40" s="461">
        <v>93</v>
      </c>
      <c r="EV40" s="440">
        <f>+(EU39+EU38+EU37)/EU40</f>
        <v>0.44086021505376344</v>
      </c>
      <c r="EX40" s="441"/>
      <c r="EY40" s="441"/>
      <c r="EZ40" s="441"/>
      <c r="FA40" s="462" t="s">
        <v>15</v>
      </c>
      <c r="FB40" s="464">
        <v>1</v>
      </c>
      <c r="FC40" s="463"/>
      <c r="FD40" s="464">
        <v>1</v>
      </c>
      <c r="FE40" s="464">
        <v>9</v>
      </c>
      <c r="FF40" s="464">
        <v>27</v>
      </c>
      <c r="FG40" s="464">
        <v>38</v>
      </c>
      <c r="FH40" s="465">
        <v>0</v>
      </c>
      <c r="FJ40" s="95"/>
      <c r="FK40" s="95"/>
      <c r="FM40" s="36" t="s">
        <v>1081</v>
      </c>
      <c r="FN40" s="95"/>
      <c r="FO40" s="95"/>
      <c r="FP40" s="95">
        <v>0</v>
      </c>
      <c r="FQ40" s="95">
        <v>15</v>
      </c>
      <c r="FR40" s="95"/>
      <c r="FS40" s="95">
        <v>15</v>
      </c>
      <c r="FU40" s="37"/>
      <c r="FV40" s="616"/>
      <c r="FW40" s="4357"/>
      <c r="FX40" s="616"/>
      <c r="FY40" s="616" t="s">
        <v>1142</v>
      </c>
      <c r="FZ40" s="616">
        <v>0</v>
      </c>
      <c r="GA40" s="616">
        <v>0</v>
      </c>
      <c r="GB40" s="616">
        <v>0</v>
      </c>
      <c r="GC40" s="616">
        <v>4</v>
      </c>
      <c r="GD40" s="616">
        <v>1</v>
      </c>
      <c r="GE40" s="616">
        <v>0</v>
      </c>
      <c r="GF40" s="616">
        <v>5</v>
      </c>
      <c r="GG40" s="616"/>
      <c r="GH40" s="617"/>
      <c r="GI40" s="37"/>
    </row>
    <row r="41" spans="1:191" ht="15" thickBot="1">
      <c r="C41" s="6108"/>
      <c r="D41" s="6109" t="s">
        <v>2754</v>
      </c>
      <c r="E41" s="4962">
        <f>SUM(E23,E33,E36)</f>
        <v>20</v>
      </c>
      <c r="G41" s="1"/>
      <c r="I41" s="5644"/>
      <c r="J41" s="5644"/>
      <c r="K41" s="5650" t="s">
        <v>41</v>
      </c>
      <c r="L41" s="5667"/>
      <c r="M41" s="5650">
        <f>SUM(M37,M40)</f>
        <v>9</v>
      </c>
      <c r="N41" s="5644"/>
      <c r="O41" s="4891">
        <f>(M34)/(M41)</f>
        <v>0.1111111111111111</v>
      </c>
      <c r="Q41" s="4375"/>
      <c r="R41" s="4375"/>
      <c r="S41" s="4888"/>
      <c r="T41" s="4888"/>
      <c r="U41" s="4375"/>
      <c r="V41" s="4375"/>
      <c r="W41" s="4891"/>
      <c r="Y41" s="4671"/>
      <c r="Z41" s="4672"/>
      <c r="AA41" s="4672"/>
      <c r="AB41" s="4658" t="s">
        <v>2754</v>
      </c>
      <c r="AC41" s="4681">
        <f>SUM(AC18,AC35)</f>
        <v>53</v>
      </c>
      <c r="AE41" s="4476"/>
      <c r="AG41" s="36"/>
      <c r="AH41" s="36"/>
      <c r="AI41" s="36"/>
      <c r="AJ41" s="36" t="s">
        <v>15</v>
      </c>
      <c r="AK41" s="1681"/>
      <c r="AL41" s="1681">
        <v>1</v>
      </c>
      <c r="AM41" s="1681"/>
      <c r="AN41" s="1681">
        <v>1</v>
      </c>
      <c r="AO41" s="1681">
        <v>3</v>
      </c>
      <c r="AP41" s="95">
        <v>1</v>
      </c>
      <c r="AQ41" s="95">
        <v>6</v>
      </c>
      <c r="AR41" s="4536">
        <f>+AO40/AQ41</f>
        <v>0.16666666666666666</v>
      </c>
      <c r="AS41" s="4533"/>
      <c r="AT41" s="36"/>
      <c r="AU41" s="36" t="s">
        <v>16</v>
      </c>
      <c r="AV41" s="36" t="s">
        <v>106</v>
      </c>
      <c r="AW41" s="36" t="s">
        <v>1072</v>
      </c>
      <c r="AX41" s="1681">
        <v>0</v>
      </c>
      <c r="AY41" s="1681">
        <v>2</v>
      </c>
      <c r="AZ41" s="1681">
        <v>2</v>
      </c>
      <c r="BA41" s="1681">
        <v>7</v>
      </c>
      <c r="BB41" s="1681"/>
      <c r="BC41" s="95"/>
      <c r="BD41" s="95"/>
      <c r="BE41" s="95"/>
      <c r="BF41" s="95"/>
      <c r="BG41" s="95">
        <v>11</v>
      </c>
      <c r="BH41" s="560"/>
      <c r="BJ41" s="4215"/>
      <c r="BK41" s="4215"/>
      <c r="BL41" s="4222"/>
      <c r="BM41" s="4222" t="s">
        <v>1081</v>
      </c>
      <c r="BN41" s="4223">
        <v>0</v>
      </c>
      <c r="BO41" s="4223">
        <v>0</v>
      </c>
      <c r="BP41" s="4223">
        <v>1</v>
      </c>
      <c r="BQ41" s="4223"/>
      <c r="BR41" s="4223"/>
      <c r="BS41" s="4223"/>
      <c r="BT41" s="4223">
        <v>1</v>
      </c>
      <c r="BU41" s="4224"/>
      <c r="BW41" s="36"/>
      <c r="BX41" s="36"/>
      <c r="BY41" s="36"/>
      <c r="BZ41" s="393" t="s">
        <v>15</v>
      </c>
      <c r="CA41" s="1682"/>
      <c r="CB41" s="1682">
        <v>2</v>
      </c>
      <c r="CC41" s="1682">
        <v>4</v>
      </c>
      <c r="CD41" s="1682">
        <v>47</v>
      </c>
      <c r="CE41" s="1682">
        <v>8</v>
      </c>
      <c r="CF41" s="2041"/>
      <c r="CG41" s="2041"/>
      <c r="CH41" s="2041"/>
      <c r="CI41" s="2041">
        <v>61</v>
      </c>
      <c r="CJ41" s="560">
        <f>+(CI40+CI38)/CI41</f>
        <v>0.85245901639344257</v>
      </c>
      <c r="CO41" s="36" t="s">
        <v>1142</v>
      </c>
      <c r="CP41" s="1681"/>
      <c r="CQ41" s="1681"/>
      <c r="CR41" s="1681">
        <v>1</v>
      </c>
      <c r="CS41" s="1681">
        <v>1</v>
      </c>
      <c r="CT41" s="95">
        <v>1</v>
      </c>
      <c r="CU41" s="95">
        <v>0</v>
      </c>
      <c r="CV41" s="95">
        <v>3</v>
      </c>
      <c r="CY41" s="95"/>
      <c r="DA41" s="36" t="s">
        <v>485</v>
      </c>
      <c r="DB41" s="36" t="s">
        <v>1072</v>
      </c>
      <c r="DC41" s="1484">
        <v>0</v>
      </c>
      <c r="DD41" s="1484"/>
      <c r="DE41" s="1484">
        <v>3</v>
      </c>
      <c r="DF41" s="1484">
        <v>2</v>
      </c>
      <c r="DG41" s="95">
        <v>0</v>
      </c>
      <c r="DH41" s="95">
        <v>0</v>
      </c>
      <c r="DI41" s="95">
        <v>5</v>
      </c>
      <c r="DL41" s="1191"/>
      <c r="DM41" s="1191"/>
      <c r="DN41" s="1191"/>
      <c r="DO41" s="1186" t="s">
        <v>483</v>
      </c>
      <c r="DP41" s="1197"/>
      <c r="DQ41" s="1197"/>
      <c r="DR41" s="1197"/>
      <c r="DS41" s="1198">
        <v>15</v>
      </c>
      <c r="DT41" s="1197"/>
      <c r="DU41" s="1199"/>
      <c r="DV41" s="1200">
        <v>15</v>
      </c>
      <c r="DW41" s="1178">
        <f>+(DV38+DV39+DV40)/DV41</f>
        <v>1</v>
      </c>
      <c r="DY41" s="427"/>
      <c r="DZ41" s="427"/>
      <c r="EA41" s="428"/>
      <c r="EB41" s="429" t="s">
        <v>1077</v>
      </c>
      <c r="EC41" s="430">
        <v>0</v>
      </c>
      <c r="ED41" s="431"/>
      <c r="EE41" s="430">
        <v>1</v>
      </c>
      <c r="EF41" s="430">
        <v>0</v>
      </c>
      <c r="EG41" s="432">
        <v>1</v>
      </c>
      <c r="EH41" s="432">
        <v>2</v>
      </c>
      <c r="EI41" s="36"/>
      <c r="EK41" s="433" t="s">
        <v>25</v>
      </c>
      <c r="EL41" s="433" t="s">
        <v>16</v>
      </c>
      <c r="EM41" s="434" t="s">
        <v>106</v>
      </c>
      <c r="EN41" s="435" t="s">
        <v>1076</v>
      </c>
      <c r="EO41" s="437"/>
      <c r="EP41" s="437"/>
      <c r="EQ41" s="436">
        <v>13</v>
      </c>
      <c r="ER41" s="436">
        <v>1</v>
      </c>
      <c r="ES41" s="438"/>
      <c r="ET41" s="438"/>
      <c r="EU41" s="439">
        <v>14</v>
      </c>
      <c r="EV41" s="440"/>
      <c r="EX41" s="441"/>
      <c r="EY41" s="441" t="s">
        <v>41</v>
      </c>
      <c r="EZ41" s="441" t="s">
        <v>137</v>
      </c>
      <c r="FA41" s="442" t="s">
        <v>1071</v>
      </c>
      <c r="FB41" s="443"/>
      <c r="FC41" s="443"/>
      <c r="FD41" s="443"/>
      <c r="FE41" s="444">
        <v>0</v>
      </c>
      <c r="FF41" s="444">
        <v>18</v>
      </c>
      <c r="FG41" s="444">
        <v>18</v>
      </c>
      <c r="FH41" s="445"/>
      <c r="FJ41" s="95"/>
      <c r="FK41" s="95"/>
      <c r="FM41" s="393" t="s">
        <v>15</v>
      </c>
      <c r="FN41" s="4212"/>
      <c r="FO41" s="4212"/>
      <c r="FP41" s="4212">
        <v>2</v>
      </c>
      <c r="FQ41" s="4212">
        <v>17</v>
      </c>
      <c r="FR41" s="4212"/>
      <c r="FS41" s="4212">
        <v>19</v>
      </c>
      <c r="FT41" s="631">
        <f>+(FS39+FS40)/FS41</f>
        <v>0.89473684210526316</v>
      </c>
      <c r="FU41" s="37"/>
      <c r="FV41" s="634"/>
      <c r="FW41" s="4358"/>
      <c r="FX41" s="634"/>
      <c r="FY41" s="634" t="s">
        <v>15</v>
      </c>
      <c r="FZ41" s="634">
        <v>0</v>
      </c>
      <c r="GA41" s="634">
        <v>0</v>
      </c>
      <c r="GB41" s="634">
        <v>2</v>
      </c>
      <c r="GC41" s="634">
        <v>5</v>
      </c>
      <c r="GD41" s="634">
        <v>1</v>
      </c>
      <c r="GE41" s="634">
        <v>0</v>
      </c>
      <c r="GF41" s="634">
        <v>8</v>
      </c>
      <c r="GG41" s="635">
        <f>+GF40/GF41</f>
        <v>0.625</v>
      </c>
      <c r="GH41" s="636">
        <f>+GF40</f>
        <v>5</v>
      </c>
      <c r="GI41" s="37"/>
    </row>
    <row r="42" spans="1:191">
      <c r="C42" s="4902" t="s">
        <v>75</v>
      </c>
      <c r="D42" s="4755"/>
      <c r="E42" s="4911">
        <f>SUM(E24,E34,E39)</f>
        <v>104</v>
      </c>
      <c r="F42" s="4618"/>
      <c r="G42" s="4904">
        <f>(E41)/(E42)</f>
        <v>0.19230769230769232</v>
      </c>
      <c r="I42" s="5644"/>
      <c r="J42" s="5644"/>
      <c r="K42" s="5643"/>
      <c r="L42" s="5662" t="s">
        <v>2754</v>
      </c>
      <c r="M42" s="5672">
        <f>SUM(M28,M29,M34)</f>
        <v>61</v>
      </c>
      <c r="N42" s="5644"/>
      <c r="Q42" s="4375"/>
      <c r="R42" s="4375"/>
      <c r="S42" s="4378" t="s">
        <v>41</v>
      </c>
      <c r="T42" s="4650" t="s">
        <v>15</v>
      </c>
      <c r="U42" s="4378">
        <f>SUM(U36:U40)</f>
        <v>9</v>
      </c>
      <c r="V42" s="4375"/>
      <c r="W42" s="4891">
        <v>0</v>
      </c>
      <c r="Y42" s="4381"/>
      <c r="Z42" s="4382"/>
      <c r="AA42" s="4517" t="s">
        <v>112</v>
      </c>
      <c r="AB42" s="4519"/>
      <c r="AC42" s="4647">
        <f>SUM(AC19,AC36,AC39)</f>
        <v>90</v>
      </c>
      <c r="AD42" s="4682"/>
      <c r="AE42" s="4684">
        <f>(AC41)/(AC42)</f>
        <v>0.58888888888888891</v>
      </c>
      <c r="AG42" s="36"/>
      <c r="AH42" s="36"/>
      <c r="AI42" s="4368" t="s">
        <v>2756</v>
      </c>
      <c r="AJ42" s="4368" t="s">
        <v>1071</v>
      </c>
      <c r="AK42" s="4537"/>
      <c r="AL42" s="4537">
        <v>0</v>
      </c>
      <c r="AM42" s="4537"/>
      <c r="AN42" s="4537"/>
      <c r="AO42" s="4537">
        <v>5</v>
      </c>
      <c r="AP42" s="1474"/>
      <c r="AQ42" s="1474">
        <v>5</v>
      </c>
      <c r="AR42" s="393"/>
      <c r="AS42" s="27"/>
      <c r="AT42" s="36"/>
      <c r="AU42" s="36"/>
      <c r="AV42" s="36"/>
      <c r="AW42" s="36" t="s">
        <v>1074</v>
      </c>
      <c r="AX42" s="1681">
        <v>0</v>
      </c>
      <c r="AY42" s="1681">
        <v>2</v>
      </c>
      <c r="AZ42" s="1681">
        <v>1</v>
      </c>
      <c r="BA42" s="1681">
        <v>0</v>
      </c>
      <c r="BB42" s="1681"/>
      <c r="BC42" s="95"/>
      <c r="BD42" s="95"/>
      <c r="BE42" s="95"/>
      <c r="BF42" s="95"/>
      <c r="BG42" s="95">
        <v>3</v>
      </c>
      <c r="BH42" s="560"/>
      <c r="BJ42" s="4215"/>
      <c r="BK42" s="4215"/>
      <c r="BL42" s="4215"/>
      <c r="BM42" s="4222" t="s">
        <v>483</v>
      </c>
      <c r="BN42" s="4223">
        <v>4</v>
      </c>
      <c r="BO42" s="4223">
        <v>3</v>
      </c>
      <c r="BP42" s="4223">
        <v>48</v>
      </c>
      <c r="BQ42" s="4223"/>
      <c r="BR42" s="4223"/>
      <c r="BS42" s="4223"/>
      <c r="BT42" s="4223">
        <v>55</v>
      </c>
      <c r="BU42" s="4224">
        <f>+(BT39+BT41)/BT42</f>
        <v>0.72727272727272729</v>
      </c>
      <c r="BW42" s="36"/>
      <c r="BX42" s="36"/>
      <c r="BY42" s="393" t="s">
        <v>483</v>
      </c>
      <c r="BZ42" s="393" t="s">
        <v>1071</v>
      </c>
      <c r="CA42" s="1682"/>
      <c r="CB42" s="1682">
        <v>0</v>
      </c>
      <c r="CC42" s="1682">
        <v>0</v>
      </c>
      <c r="CD42" s="1682">
        <v>0</v>
      </c>
      <c r="CE42" s="1682">
        <v>1</v>
      </c>
      <c r="CF42" s="2041"/>
      <c r="CG42" s="2041"/>
      <c r="CH42" s="2041"/>
      <c r="CI42" s="2041">
        <v>1</v>
      </c>
      <c r="CJ42" s="36"/>
      <c r="CO42" s="393" t="s">
        <v>15</v>
      </c>
      <c r="CP42" s="1682"/>
      <c r="CQ42" s="1682"/>
      <c r="CR42" s="1682">
        <v>3</v>
      </c>
      <c r="CS42" s="1682">
        <v>3</v>
      </c>
      <c r="CT42" s="4212">
        <v>4</v>
      </c>
      <c r="CU42" s="4212">
        <v>2</v>
      </c>
      <c r="CV42" s="4212">
        <v>12</v>
      </c>
      <c r="CW42" s="560">
        <f>+(CV39-CT39+CV41-CT41)/CV42</f>
        <v>0.41666666666666669</v>
      </c>
      <c r="CY42" s="95"/>
      <c r="DB42" s="36" t="s">
        <v>1076</v>
      </c>
      <c r="DC42" s="1484">
        <v>0</v>
      </c>
      <c r="DD42" s="1484"/>
      <c r="DE42" s="1484">
        <v>2</v>
      </c>
      <c r="DF42" s="1484">
        <v>1</v>
      </c>
      <c r="DG42" s="95">
        <v>2</v>
      </c>
      <c r="DH42" s="95">
        <v>1</v>
      </c>
      <c r="DI42" s="95">
        <v>6</v>
      </c>
      <c r="DL42" s="1191"/>
      <c r="DM42" s="1191" t="s">
        <v>41</v>
      </c>
      <c r="DN42" s="1191" t="s">
        <v>107</v>
      </c>
      <c r="DO42" s="1192" t="s">
        <v>1072</v>
      </c>
      <c r="DP42" s="1193"/>
      <c r="DQ42" s="1193"/>
      <c r="DR42" s="1193"/>
      <c r="DS42" s="1194">
        <v>1</v>
      </c>
      <c r="DT42" s="1194">
        <v>3</v>
      </c>
      <c r="DU42" s="1196">
        <v>0</v>
      </c>
      <c r="DV42" s="1196">
        <v>4</v>
      </c>
      <c r="DW42" s="1187"/>
      <c r="DY42" s="427"/>
      <c r="DZ42" s="427"/>
      <c r="EA42" s="428"/>
      <c r="EB42" s="429" t="s">
        <v>1142</v>
      </c>
      <c r="EC42" s="430">
        <v>0</v>
      </c>
      <c r="ED42" s="431"/>
      <c r="EE42" s="430">
        <v>4</v>
      </c>
      <c r="EF42" s="430">
        <v>1</v>
      </c>
      <c r="EG42" s="432">
        <v>0</v>
      </c>
      <c r="EH42" s="432">
        <v>5</v>
      </c>
      <c r="EI42" s="36"/>
      <c r="EK42" s="433"/>
      <c r="EL42" s="433"/>
      <c r="EM42" s="434"/>
      <c r="EN42" s="435" t="s">
        <v>1081</v>
      </c>
      <c r="EO42" s="437"/>
      <c r="EP42" s="437"/>
      <c r="EQ42" s="436">
        <v>1</v>
      </c>
      <c r="ER42" s="436">
        <v>0</v>
      </c>
      <c r="ES42" s="438"/>
      <c r="ET42" s="438"/>
      <c r="EU42" s="439">
        <v>1</v>
      </c>
      <c r="EV42" s="440"/>
      <c r="EX42" s="441"/>
      <c r="EY42" s="441"/>
      <c r="EZ42" s="441"/>
      <c r="FA42" s="442" t="s">
        <v>1072</v>
      </c>
      <c r="FB42" s="443"/>
      <c r="FC42" s="443"/>
      <c r="FD42" s="443"/>
      <c r="FE42" s="444">
        <v>2</v>
      </c>
      <c r="FF42" s="444">
        <v>0</v>
      </c>
      <c r="FG42" s="444">
        <v>2</v>
      </c>
      <c r="FH42" s="445"/>
      <c r="FJ42" s="95"/>
      <c r="FK42" s="95" t="s">
        <v>41</v>
      </c>
      <c r="FL42" s="36" t="s">
        <v>111</v>
      </c>
      <c r="FM42" s="36" t="s">
        <v>1072</v>
      </c>
      <c r="FN42" s="95"/>
      <c r="FO42" s="95"/>
      <c r="FP42" s="95">
        <v>5</v>
      </c>
      <c r="FQ42" s="95"/>
      <c r="FR42" s="95"/>
      <c r="FS42" s="95">
        <v>5</v>
      </c>
      <c r="FU42" s="37"/>
      <c r="FV42" s="616"/>
      <c r="FW42" s="4357"/>
      <c r="FX42" s="616"/>
      <c r="FY42" s="616"/>
      <c r="FZ42" s="616"/>
      <c r="GA42" s="616"/>
      <c r="GB42" s="616"/>
      <c r="GC42" s="616"/>
      <c r="GD42" s="616"/>
      <c r="GE42" s="616"/>
      <c r="GF42" s="616"/>
      <c r="GG42" s="616"/>
      <c r="GH42" s="616"/>
      <c r="GI42" s="37"/>
    </row>
    <row r="43" spans="1:191" ht="15" thickBot="1">
      <c r="G43" s="1"/>
      <c r="I43" s="5653"/>
      <c r="J43" s="5653"/>
      <c r="K43" s="5664" t="s">
        <v>25</v>
      </c>
      <c r="L43" s="5663"/>
      <c r="M43" s="5664">
        <f>SUM(M26,M32,M41)</f>
        <v>79</v>
      </c>
      <c r="N43" s="5664"/>
      <c r="O43" s="5671">
        <f>(M42)/(M43)</f>
        <v>0.77215189873417722</v>
      </c>
      <c r="Q43" s="4375"/>
      <c r="R43" s="4375"/>
      <c r="S43" s="4889"/>
      <c r="T43" s="4892" t="s">
        <v>2754</v>
      </c>
      <c r="U43" s="4905">
        <f>SUM(U30:U32)</f>
        <v>60</v>
      </c>
      <c r="V43" s="4375"/>
      <c r="W43" s="4891"/>
      <c r="Y43" s="97"/>
      <c r="Z43" s="4379"/>
      <c r="AA43" s="4380"/>
      <c r="AB43" s="4380"/>
      <c r="AC43" s="4379"/>
      <c r="AD43" s="4379"/>
      <c r="AE43" s="4476"/>
      <c r="AF43" s="4532"/>
      <c r="AG43" s="36"/>
      <c r="AH43" s="36"/>
      <c r="AI43" s="36"/>
      <c r="AJ43" s="4368" t="s">
        <v>1072</v>
      </c>
      <c r="AK43" s="4537"/>
      <c r="AL43" s="4537">
        <v>1</v>
      </c>
      <c r="AM43" s="4537"/>
      <c r="AN43" s="4537"/>
      <c r="AO43" s="4537">
        <v>0</v>
      </c>
      <c r="AP43" s="1474"/>
      <c r="AQ43" s="1474">
        <v>1</v>
      </c>
      <c r="AR43" s="393"/>
      <c r="AS43" s="27"/>
      <c r="AT43" s="36"/>
      <c r="AU43" s="36"/>
      <c r="AV43" s="36"/>
      <c r="AW43" s="36" t="s">
        <v>1076</v>
      </c>
      <c r="AX43" s="1681">
        <v>0</v>
      </c>
      <c r="AY43" s="1681">
        <v>0</v>
      </c>
      <c r="AZ43" s="1681">
        <v>0</v>
      </c>
      <c r="BA43" s="1681">
        <v>12</v>
      </c>
      <c r="BB43" s="1681"/>
      <c r="BC43" s="95"/>
      <c r="BD43" s="95"/>
      <c r="BE43" s="95"/>
      <c r="BF43" s="95"/>
      <c r="BG43" s="95">
        <v>12</v>
      </c>
      <c r="BH43" s="560"/>
      <c r="BJ43" s="4215"/>
      <c r="BK43" s="4215" t="s">
        <v>41</v>
      </c>
      <c r="BL43" s="4215" t="s">
        <v>107</v>
      </c>
      <c r="BM43" s="4215" t="s">
        <v>1076</v>
      </c>
      <c r="BN43" s="4221"/>
      <c r="BO43" s="4221"/>
      <c r="BP43" s="4221">
        <v>1</v>
      </c>
      <c r="BQ43" s="4221">
        <v>0</v>
      </c>
      <c r="BR43" s="4221">
        <v>0</v>
      </c>
      <c r="BS43" s="4221"/>
      <c r="BT43" s="4221">
        <v>1</v>
      </c>
      <c r="BU43" s="4215"/>
      <c r="BW43" s="36"/>
      <c r="BX43" s="36"/>
      <c r="BY43" s="393"/>
      <c r="BZ43" s="393" t="s">
        <v>1074</v>
      </c>
      <c r="CA43" s="1682"/>
      <c r="CB43" s="1682">
        <v>2</v>
      </c>
      <c r="CC43" s="1682">
        <v>0</v>
      </c>
      <c r="CD43" s="1682">
        <v>0</v>
      </c>
      <c r="CE43" s="1682">
        <v>0</v>
      </c>
      <c r="CF43" s="2041"/>
      <c r="CG43" s="2041"/>
      <c r="CH43" s="2041"/>
      <c r="CI43" s="2041">
        <v>2</v>
      </c>
      <c r="CJ43" s="36"/>
      <c r="CN43" s="4364" t="s">
        <v>528</v>
      </c>
      <c r="CO43" s="4364" t="s">
        <v>1071</v>
      </c>
      <c r="CP43" s="1681"/>
      <c r="CQ43" s="1681"/>
      <c r="CR43" s="1681"/>
      <c r="CS43" s="1681"/>
      <c r="CT43" s="4365">
        <v>5</v>
      </c>
      <c r="CU43" s="4365"/>
      <c r="CV43" s="4365">
        <v>5</v>
      </c>
      <c r="CY43" s="95"/>
      <c r="DB43" s="36" t="s">
        <v>1077</v>
      </c>
      <c r="DC43" s="1484">
        <v>1</v>
      </c>
      <c r="DD43" s="1484"/>
      <c r="DE43" s="1484">
        <v>1</v>
      </c>
      <c r="DF43" s="1484">
        <v>0</v>
      </c>
      <c r="DG43" s="95">
        <v>0</v>
      </c>
      <c r="DH43" s="95">
        <v>0</v>
      </c>
      <c r="DI43" s="95">
        <v>2</v>
      </c>
      <c r="DL43" s="1191"/>
      <c r="DM43" s="1191"/>
      <c r="DN43" s="1191"/>
      <c r="DO43" s="1192" t="s">
        <v>1076</v>
      </c>
      <c r="DP43" s="1193"/>
      <c r="DQ43" s="1193"/>
      <c r="DR43" s="1193"/>
      <c r="DS43" s="1194">
        <v>1</v>
      </c>
      <c r="DT43" s="1194">
        <v>4</v>
      </c>
      <c r="DU43" s="1196">
        <v>0</v>
      </c>
      <c r="DV43" s="1196">
        <v>5</v>
      </c>
      <c r="DW43" s="1187"/>
      <c r="DY43" s="427"/>
      <c r="DZ43" s="427"/>
      <c r="EA43" s="428"/>
      <c r="EB43" s="451" t="s">
        <v>15</v>
      </c>
      <c r="EC43" s="452">
        <v>1</v>
      </c>
      <c r="ED43" s="453"/>
      <c r="EE43" s="452">
        <v>9</v>
      </c>
      <c r="EF43" s="452">
        <v>2</v>
      </c>
      <c r="EG43" s="455">
        <v>1</v>
      </c>
      <c r="EH43" s="455">
        <v>13</v>
      </c>
      <c r="EI43" s="456">
        <f>+(EH40+EH42)/EH43</f>
        <v>0.46153846153846156</v>
      </c>
      <c r="EK43" s="433"/>
      <c r="EL43" s="433"/>
      <c r="EM43" s="434"/>
      <c r="EN43" s="457" t="s">
        <v>15</v>
      </c>
      <c r="EO43" s="459"/>
      <c r="EP43" s="459"/>
      <c r="EQ43" s="458">
        <v>14</v>
      </c>
      <c r="ER43" s="458">
        <v>1</v>
      </c>
      <c r="ES43" s="460"/>
      <c r="ET43" s="460"/>
      <c r="EU43" s="461">
        <v>15</v>
      </c>
      <c r="EV43" s="440">
        <f>+(EU42+EU41)/EU43</f>
        <v>1</v>
      </c>
      <c r="EX43" s="441"/>
      <c r="EY43" s="441"/>
      <c r="EZ43" s="441"/>
      <c r="FA43" s="462" t="s">
        <v>15</v>
      </c>
      <c r="FB43" s="463"/>
      <c r="FC43" s="463"/>
      <c r="FD43" s="463"/>
      <c r="FE43" s="464">
        <v>2</v>
      </c>
      <c r="FF43" s="464">
        <v>18</v>
      </c>
      <c r="FG43" s="464">
        <v>20</v>
      </c>
      <c r="FH43" s="465">
        <v>0</v>
      </c>
      <c r="FJ43" s="396"/>
      <c r="FK43" s="396"/>
      <c r="FL43" s="401"/>
      <c r="FM43" s="397" t="s">
        <v>15</v>
      </c>
      <c r="FN43" s="398"/>
      <c r="FO43" s="398"/>
      <c r="FP43" s="398">
        <v>5</v>
      </c>
      <c r="FQ43" s="398"/>
      <c r="FR43" s="398"/>
      <c r="FS43" s="398">
        <v>5</v>
      </c>
      <c r="FT43" s="640">
        <v>0</v>
      </c>
      <c r="FU43" s="37"/>
      <c r="FV43" s="616"/>
      <c r="FW43" s="4357"/>
      <c r="FX43" s="616"/>
      <c r="FY43" s="616"/>
      <c r="FZ43" s="616"/>
      <c r="GA43" s="616"/>
      <c r="GB43" s="616"/>
      <c r="GC43" s="616"/>
      <c r="GD43" s="616"/>
      <c r="GE43" s="616"/>
      <c r="GF43" s="616"/>
      <c r="GG43" s="616"/>
      <c r="GH43" s="616"/>
      <c r="GI43" s="37"/>
    </row>
    <row r="44" spans="1:191">
      <c r="C44" s="6983" t="s">
        <v>2881</v>
      </c>
      <c r="D44" s="6983"/>
      <c r="E44" s="6983"/>
      <c r="F44" s="6983"/>
      <c r="G44" s="6983"/>
      <c r="I44" s="5651">
        <v>4</v>
      </c>
      <c r="J44" s="5651">
        <v>6</v>
      </c>
      <c r="K44" s="5652" t="s">
        <v>609</v>
      </c>
      <c r="L44" s="5652" t="s">
        <v>2703</v>
      </c>
      <c r="M44" s="5651">
        <v>1</v>
      </c>
      <c r="N44" s="5651">
        <v>2</v>
      </c>
      <c r="Q44" s="4375"/>
      <c r="R44" s="4375"/>
      <c r="S44" s="4902" t="s">
        <v>25</v>
      </c>
      <c r="T44" s="4896"/>
      <c r="U44" s="4897">
        <f>SUM(U28,U35,U42)</f>
        <v>79</v>
      </c>
      <c r="V44" s="4898"/>
      <c r="W44" s="4904">
        <f>(U43)/(U44)</f>
        <v>0.759493670886076</v>
      </c>
      <c r="Y44" s="97"/>
      <c r="Z44" s="4375"/>
      <c r="AA44" s="4377"/>
      <c r="AB44" s="4377"/>
      <c r="AC44" s="4378"/>
      <c r="AD44" s="4378"/>
      <c r="AF44" s="36"/>
      <c r="AG44" s="36"/>
      <c r="AH44" s="36"/>
      <c r="AI44" s="36"/>
      <c r="AJ44" s="4368" t="s">
        <v>15</v>
      </c>
      <c r="AK44" s="4537"/>
      <c r="AL44" s="4537">
        <v>1</v>
      </c>
      <c r="AM44" s="4537"/>
      <c r="AN44" s="4537"/>
      <c r="AO44" s="4537">
        <v>5</v>
      </c>
      <c r="AP44" s="1474"/>
      <c r="AQ44" s="1474">
        <v>6</v>
      </c>
      <c r="AR44" s="393"/>
      <c r="AS44" s="27"/>
      <c r="AT44" s="36"/>
      <c r="AU44" s="36"/>
      <c r="AV44" s="36"/>
      <c r="AW44" s="36" t="s">
        <v>1077</v>
      </c>
      <c r="AX44" s="1681">
        <v>0</v>
      </c>
      <c r="AY44" s="1681">
        <v>0</v>
      </c>
      <c r="AZ44" s="1681">
        <v>0</v>
      </c>
      <c r="BA44" s="1681">
        <v>1</v>
      </c>
      <c r="BB44" s="1681"/>
      <c r="BC44" s="95"/>
      <c r="BD44" s="95"/>
      <c r="BE44" s="95"/>
      <c r="BF44" s="95"/>
      <c r="BG44" s="95">
        <v>1</v>
      </c>
      <c r="BH44" s="560"/>
      <c r="BJ44" s="4215"/>
      <c r="BK44" s="4215"/>
      <c r="BL44" s="4215"/>
      <c r="BM44" s="4215" t="s">
        <v>1080</v>
      </c>
      <c r="BN44" s="4221"/>
      <c r="BO44" s="4221"/>
      <c r="BP44" s="4221">
        <v>0</v>
      </c>
      <c r="BQ44" s="4221">
        <v>3</v>
      </c>
      <c r="BR44" s="4221">
        <v>1</v>
      </c>
      <c r="BS44" s="4221"/>
      <c r="BT44" s="4221">
        <v>4</v>
      </c>
      <c r="BU44" s="4215"/>
      <c r="BW44" s="36"/>
      <c r="BX44" s="36"/>
      <c r="BY44" s="393"/>
      <c r="BZ44" s="393" t="s">
        <v>1076</v>
      </c>
      <c r="CA44" s="1682"/>
      <c r="CB44" s="1682">
        <v>0</v>
      </c>
      <c r="CC44" s="1682">
        <v>0</v>
      </c>
      <c r="CD44" s="1682">
        <v>1</v>
      </c>
      <c r="CE44" s="1682">
        <v>1</v>
      </c>
      <c r="CF44" s="2041"/>
      <c r="CG44" s="2041"/>
      <c r="CH44" s="2041"/>
      <c r="CI44" s="2041">
        <v>2</v>
      </c>
      <c r="CJ44" s="36"/>
      <c r="CN44" s="4364"/>
      <c r="CO44" s="4366" t="s">
        <v>15</v>
      </c>
      <c r="CP44" s="1682"/>
      <c r="CQ44" s="1682"/>
      <c r="CR44" s="1682"/>
      <c r="CS44" s="1682"/>
      <c r="CT44" s="4367">
        <v>5</v>
      </c>
      <c r="CU44" s="4367"/>
      <c r="CV44" s="4367">
        <v>5</v>
      </c>
      <c r="CW44" s="95" t="s">
        <v>556</v>
      </c>
      <c r="CY44" s="95"/>
      <c r="DB44" s="36" t="s">
        <v>1080</v>
      </c>
      <c r="DC44" s="1484">
        <v>0</v>
      </c>
      <c r="DD44" s="1484"/>
      <c r="DE44" s="1484">
        <v>0</v>
      </c>
      <c r="DF44" s="1484">
        <v>0</v>
      </c>
      <c r="DG44" s="95">
        <v>1</v>
      </c>
      <c r="DH44" s="95">
        <v>1</v>
      </c>
      <c r="DI44" s="95">
        <v>2</v>
      </c>
      <c r="DL44" s="1191"/>
      <c r="DM44" s="1191"/>
      <c r="DN44" s="1191"/>
      <c r="DO44" s="1192" t="s">
        <v>1077</v>
      </c>
      <c r="DP44" s="1193"/>
      <c r="DQ44" s="1193"/>
      <c r="DR44" s="1193"/>
      <c r="DS44" s="1194">
        <v>0</v>
      </c>
      <c r="DT44" s="1194">
        <v>2</v>
      </c>
      <c r="DU44" s="1196">
        <v>0</v>
      </c>
      <c r="DV44" s="1196">
        <v>2</v>
      </c>
      <c r="DW44" s="1187"/>
      <c r="DY44" s="427"/>
      <c r="DZ44" s="427"/>
      <c r="EA44" s="476" t="s">
        <v>528</v>
      </c>
      <c r="EB44" s="477" t="s">
        <v>1072</v>
      </c>
      <c r="EC44" s="430">
        <v>1</v>
      </c>
      <c r="ED44" s="430">
        <v>1</v>
      </c>
      <c r="EE44" s="430">
        <v>0</v>
      </c>
      <c r="EF44" s="431">
        <v>0</v>
      </c>
      <c r="EG44" s="478">
        <v>0</v>
      </c>
      <c r="EH44" s="478">
        <v>2</v>
      </c>
      <c r="EI44" s="479"/>
      <c r="EK44" s="433"/>
      <c r="EL44" s="433"/>
      <c r="EM44" s="457" t="s">
        <v>483</v>
      </c>
      <c r="EN44" s="435" t="s">
        <v>1076</v>
      </c>
      <c r="EO44" s="437"/>
      <c r="EP44" s="437"/>
      <c r="EQ44" s="436">
        <v>13</v>
      </c>
      <c r="ER44" s="436">
        <v>1</v>
      </c>
      <c r="ES44" s="438"/>
      <c r="ET44" s="438"/>
      <c r="EU44" s="439">
        <v>14</v>
      </c>
      <c r="EV44" s="440"/>
      <c r="EX44" s="441"/>
      <c r="EY44" s="441"/>
      <c r="EZ44" s="441" t="s">
        <v>111</v>
      </c>
      <c r="FA44" s="442" t="s">
        <v>1074</v>
      </c>
      <c r="FB44" s="444">
        <v>1</v>
      </c>
      <c r="FC44" s="443"/>
      <c r="FD44" s="443"/>
      <c r="FE44" s="444">
        <v>0</v>
      </c>
      <c r="FF44" s="444">
        <v>0</v>
      </c>
      <c r="FG44" s="444">
        <v>1</v>
      </c>
      <c r="FH44" s="445"/>
      <c r="FU44" s="37"/>
      <c r="FV44" s="627"/>
      <c r="FW44" s="627"/>
      <c r="FX44" s="627"/>
      <c r="FY44" s="627"/>
      <c r="FZ44" s="627"/>
      <c r="GA44" s="627"/>
      <c r="GB44" s="627"/>
      <c r="GC44" s="627"/>
      <c r="GD44" s="627"/>
      <c r="GE44" s="627"/>
      <c r="GF44" s="627"/>
      <c r="GG44" s="627"/>
      <c r="GH44" s="616"/>
      <c r="GI44" s="37"/>
    </row>
    <row r="45" spans="1:191">
      <c r="C45" s="6983"/>
      <c r="D45" s="6983"/>
      <c r="E45" s="6983"/>
      <c r="F45" s="6983"/>
      <c r="G45" s="6983"/>
      <c r="I45" s="5644">
        <v>4</v>
      </c>
      <c r="J45" s="5644">
        <v>6</v>
      </c>
      <c r="K45" s="5643" t="s">
        <v>609</v>
      </c>
      <c r="L45" s="5643" t="s">
        <v>2709</v>
      </c>
      <c r="M45" s="5644">
        <v>1</v>
      </c>
      <c r="N45" s="5644">
        <v>4</v>
      </c>
      <c r="Q45" s="4375">
        <v>4</v>
      </c>
      <c r="R45" s="4375">
        <v>6</v>
      </c>
      <c r="S45" s="4893" t="s">
        <v>609</v>
      </c>
      <c r="T45" s="4893" t="s">
        <v>1071</v>
      </c>
      <c r="U45" s="4379">
        <v>1</v>
      </c>
      <c r="V45" s="4379">
        <v>5</v>
      </c>
      <c r="Y45" s="97"/>
      <c r="Z45" s="4375"/>
      <c r="AA45" s="4377"/>
      <c r="AB45" s="4377"/>
      <c r="AC45" s="4378"/>
      <c r="AD45" s="4378"/>
      <c r="AF45" s="36"/>
      <c r="AG45" s="36"/>
      <c r="AH45" s="36"/>
      <c r="AI45" s="393" t="s">
        <v>485</v>
      </c>
      <c r="AJ45" s="36" t="s">
        <v>1071</v>
      </c>
      <c r="AK45" s="1681"/>
      <c r="AL45" s="1681">
        <v>0</v>
      </c>
      <c r="AM45" s="1681"/>
      <c r="AN45" s="1681">
        <v>0</v>
      </c>
      <c r="AO45" s="1681">
        <v>5</v>
      </c>
      <c r="AP45" s="95">
        <v>0</v>
      </c>
      <c r="AQ45" s="95">
        <v>5</v>
      </c>
      <c r="AR45" s="393"/>
      <c r="AS45" s="27"/>
      <c r="AT45" s="36"/>
      <c r="AU45" s="36"/>
      <c r="AV45" s="36"/>
      <c r="AW45" s="36" t="s">
        <v>2571</v>
      </c>
      <c r="AX45" s="1681">
        <v>11</v>
      </c>
      <c r="AY45" s="1681">
        <v>0</v>
      </c>
      <c r="AZ45" s="1681">
        <v>0</v>
      </c>
      <c r="BA45" s="1681">
        <v>0</v>
      </c>
      <c r="BB45" s="1681"/>
      <c r="BC45" s="95"/>
      <c r="BD45" s="95"/>
      <c r="BE45" s="95"/>
      <c r="BF45" s="95"/>
      <c r="BG45" s="95">
        <v>11</v>
      </c>
      <c r="BH45" s="560"/>
      <c r="BJ45" s="4215"/>
      <c r="BK45" s="4215"/>
      <c r="BL45" s="4215"/>
      <c r="BM45" s="4222" t="s">
        <v>15</v>
      </c>
      <c r="BN45" s="4223"/>
      <c r="BO45" s="4223"/>
      <c r="BP45" s="4223">
        <v>1</v>
      </c>
      <c r="BQ45" s="4223">
        <v>3</v>
      </c>
      <c r="BR45" s="4223">
        <v>1</v>
      </c>
      <c r="BS45" s="4223"/>
      <c r="BT45" s="4223">
        <v>5</v>
      </c>
      <c r="BU45" s="4224">
        <f>+BT43/BT45</f>
        <v>0.2</v>
      </c>
      <c r="BW45" s="36"/>
      <c r="BX45" s="36"/>
      <c r="BY45" s="393"/>
      <c r="BZ45" s="393" t="s">
        <v>1077</v>
      </c>
      <c r="CA45" s="1682"/>
      <c r="CB45" s="1682">
        <v>0</v>
      </c>
      <c r="CC45" s="1682">
        <v>4</v>
      </c>
      <c r="CD45" s="1682">
        <v>2</v>
      </c>
      <c r="CE45" s="1682">
        <v>0</v>
      </c>
      <c r="CF45" s="2041"/>
      <c r="CG45" s="2041"/>
      <c r="CH45" s="2041"/>
      <c r="CI45" s="2041">
        <v>6</v>
      </c>
      <c r="CJ45" s="36"/>
      <c r="CN45" s="36" t="s">
        <v>485</v>
      </c>
      <c r="CO45" s="36" t="s">
        <v>1071</v>
      </c>
      <c r="CP45" s="1681"/>
      <c r="CQ45" s="1681"/>
      <c r="CR45" s="1681">
        <v>0</v>
      </c>
      <c r="CS45" s="1681">
        <v>0</v>
      </c>
      <c r="CT45" s="95">
        <v>5</v>
      </c>
      <c r="CU45" s="95">
        <v>0</v>
      </c>
      <c r="CV45" s="95">
        <v>5</v>
      </c>
      <c r="CY45" s="95"/>
      <c r="DB45" s="36" t="s">
        <v>1142</v>
      </c>
      <c r="DC45" s="1484">
        <v>0</v>
      </c>
      <c r="DD45" s="1484"/>
      <c r="DE45" s="1484">
        <v>1</v>
      </c>
      <c r="DF45" s="1484">
        <v>1</v>
      </c>
      <c r="DG45" s="95">
        <v>1</v>
      </c>
      <c r="DH45" s="95">
        <v>0</v>
      </c>
      <c r="DI45" s="95">
        <v>3</v>
      </c>
      <c r="DL45" s="1191"/>
      <c r="DM45" s="1191"/>
      <c r="DN45" s="1191"/>
      <c r="DO45" s="1192" t="s">
        <v>1080</v>
      </c>
      <c r="DP45" s="1193"/>
      <c r="DQ45" s="1193"/>
      <c r="DR45" s="1193"/>
      <c r="DS45" s="1194">
        <v>0</v>
      </c>
      <c r="DT45" s="1194">
        <v>0</v>
      </c>
      <c r="DU45" s="1196">
        <v>3</v>
      </c>
      <c r="DV45" s="1196">
        <v>3</v>
      </c>
      <c r="DW45" s="1187"/>
      <c r="DY45" s="427"/>
      <c r="DZ45" s="427"/>
      <c r="EA45" s="476"/>
      <c r="EB45" s="477" t="s">
        <v>1076</v>
      </c>
      <c r="EC45" s="430">
        <v>0</v>
      </c>
      <c r="ED45" s="430">
        <v>0</v>
      </c>
      <c r="EE45" s="430">
        <v>0</v>
      </c>
      <c r="EF45" s="431">
        <v>3</v>
      </c>
      <c r="EG45" s="478">
        <v>0</v>
      </c>
      <c r="EH45" s="478">
        <v>3</v>
      </c>
      <c r="EI45" s="479"/>
      <c r="EK45" s="433"/>
      <c r="EL45" s="433"/>
      <c r="EM45" s="434"/>
      <c r="EN45" s="435" t="s">
        <v>1081</v>
      </c>
      <c r="EO45" s="437"/>
      <c r="EP45" s="437"/>
      <c r="EQ45" s="436">
        <v>1</v>
      </c>
      <c r="ER45" s="436">
        <v>0</v>
      </c>
      <c r="ES45" s="438"/>
      <c r="ET45" s="438"/>
      <c r="EU45" s="439">
        <v>1</v>
      </c>
      <c r="EV45" s="440"/>
      <c r="EX45" s="441"/>
      <c r="EY45" s="441"/>
      <c r="EZ45" s="441"/>
      <c r="FA45" s="442" t="s">
        <v>1076</v>
      </c>
      <c r="FB45" s="444">
        <v>0</v>
      </c>
      <c r="FC45" s="443"/>
      <c r="FD45" s="443"/>
      <c r="FE45" s="444">
        <v>1</v>
      </c>
      <c r="FF45" s="444">
        <v>1</v>
      </c>
      <c r="FG45" s="444">
        <v>2</v>
      </c>
      <c r="FH45" s="445"/>
      <c r="FU45" s="37"/>
      <c r="FV45" s="616"/>
      <c r="FW45" s="4357"/>
      <c r="FX45" s="616"/>
      <c r="FY45" s="616"/>
      <c r="FZ45" s="616"/>
      <c r="GA45" s="616"/>
      <c r="GB45" s="616"/>
      <c r="GC45" s="616"/>
      <c r="GD45" s="616"/>
      <c r="GE45" s="616"/>
      <c r="GF45" s="616"/>
      <c r="GG45" s="616"/>
      <c r="GH45" s="616"/>
      <c r="GI45" s="37"/>
    </row>
    <row r="46" spans="1:191">
      <c r="I46" s="5645">
        <v>4</v>
      </c>
      <c r="J46" s="5645">
        <v>6</v>
      </c>
      <c r="K46" s="5646" t="s">
        <v>609</v>
      </c>
      <c r="L46" s="5646" t="s">
        <v>2709</v>
      </c>
      <c r="M46" s="5645">
        <v>1</v>
      </c>
      <c r="N46" s="5645">
        <v>5</v>
      </c>
      <c r="Q46" s="4375">
        <v>4</v>
      </c>
      <c r="R46" s="4375">
        <v>6</v>
      </c>
      <c r="S46" s="4888" t="s">
        <v>609</v>
      </c>
      <c r="T46" s="4888" t="s">
        <v>2703</v>
      </c>
      <c r="U46" s="4375">
        <v>1</v>
      </c>
      <c r="V46" s="4375">
        <v>2</v>
      </c>
      <c r="Y46" s="97"/>
      <c r="Z46" s="4375"/>
      <c r="AA46" s="4377"/>
      <c r="AB46" s="4377"/>
      <c r="AC46" s="4378"/>
      <c r="AD46" s="4378"/>
      <c r="AF46" s="36"/>
      <c r="AG46" s="36"/>
      <c r="AH46" s="36"/>
      <c r="AI46" s="36"/>
      <c r="AJ46" s="36" t="s">
        <v>1072</v>
      </c>
      <c r="AK46" s="1681"/>
      <c r="AL46" s="1681">
        <v>1</v>
      </c>
      <c r="AM46" s="1681"/>
      <c r="AN46" s="1681">
        <v>1</v>
      </c>
      <c r="AO46" s="1681">
        <v>2</v>
      </c>
      <c r="AP46" s="95">
        <v>0</v>
      </c>
      <c r="AQ46" s="95">
        <v>4</v>
      </c>
      <c r="AR46" s="393"/>
      <c r="AS46" s="27"/>
      <c r="AT46" s="4528"/>
      <c r="AU46" s="4528"/>
      <c r="AV46" s="36"/>
      <c r="AW46" s="36" t="s">
        <v>1142</v>
      </c>
      <c r="AX46" s="1681">
        <v>0</v>
      </c>
      <c r="AY46" s="1681">
        <v>0</v>
      </c>
      <c r="AZ46" s="1681">
        <v>0</v>
      </c>
      <c r="BA46" s="1681">
        <v>28</v>
      </c>
      <c r="BB46" s="1681"/>
      <c r="BC46" s="95"/>
      <c r="BD46" s="95"/>
      <c r="BE46" s="95"/>
      <c r="BF46" s="95"/>
      <c r="BG46" s="95">
        <v>28</v>
      </c>
      <c r="BH46" s="560"/>
      <c r="BJ46" s="4215"/>
      <c r="BK46" s="4215"/>
      <c r="BL46" s="4215" t="s">
        <v>528</v>
      </c>
      <c r="BM46" s="4339" t="s">
        <v>1072</v>
      </c>
      <c r="BN46" s="4340">
        <v>1</v>
      </c>
      <c r="BO46" s="4340"/>
      <c r="BP46" s="4340">
        <f>1-1</f>
        <v>0</v>
      </c>
      <c r="BQ46" s="4340">
        <v>0</v>
      </c>
      <c r="BR46" s="4340">
        <v>1</v>
      </c>
      <c r="BS46" s="4340"/>
      <c r="BT46" s="4340">
        <v>2</v>
      </c>
      <c r="BU46" s="4215"/>
      <c r="BW46" s="36"/>
      <c r="BX46" s="36"/>
      <c r="BY46" s="393"/>
      <c r="BZ46" s="393" t="s">
        <v>1142</v>
      </c>
      <c r="CA46" s="1682"/>
      <c r="CB46" s="1682">
        <v>0</v>
      </c>
      <c r="CC46" s="1682">
        <v>0</v>
      </c>
      <c r="CD46" s="1682">
        <v>44</v>
      </c>
      <c r="CE46" s="1682">
        <v>6</v>
      </c>
      <c r="CF46" s="2041"/>
      <c r="CG46" s="2041"/>
      <c r="CH46" s="2041"/>
      <c r="CI46" s="2041">
        <v>50</v>
      </c>
      <c r="CJ46" s="36"/>
      <c r="CO46" s="36" t="s">
        <v>1072</v>
      </c>
      <c r="CP46" s="1681"/>
      <c r="CQ46" s="1681"/>
      <c r="CR46" s="1681">
        <v>0</v>
      </c>
      <c r="CS46" s="1681">
        <v>1</v>
      </c>
      <c r="CT46" s="95">
        <v>0</v>
      </c>
      <c r="CU46" s="95">
        <v>1</v>
      </c>
      <c r="CV46" s="95">
        <v>2</v>
      </c>
      <c r="CY46" s="95"/>
      <c r="DB46" s="393" t="s">
        <v>485</v>
      </c>
      <c r="DC46" s="1485">
        <v>1</v>
      </c>
      <c r="DD46" s="1485"/>
      <c r="DE46" s="1485">
        <v>7</v>
      </c>
      <c r="DF46" s="1485">
        <v>4</v>
      </c>
      <c r="DG46" s="4212">
        <v>4</v>
      </c>
      <c r="DH46" s="4212">
        <v>2</v>
      </c>
      <c r="DI46" s="4212">
        <v>18</v>
      </c>
      <c r="DJ46" s="560">
        <f>+(DI42+DI45-DG42-DH42-DG45)/DI46</f>
        <v>0.27777777777777779</v>
      </c>
      <c r="DL46" s="1191"/>
      <c r="DM46" s="1191"/>
      <c r="DN46" s="1191"/>
      <c r="DO46" s="1192" t="s">
        <v>1142</v>
      </c>
      <c r="DP46" s="1193"/>
      <c r="DQ46" s="1193"/>
      <c r="DR46" s="1193"/>
      <c r="DS46" s="1194">
        <v>4</v>
      </c>
      <c r="DT46" s="1194">
        <v>0</v>
      </c>
      <c r="DU46" s="1196">
        <v>0</v>
      </c>
      <c r="DV46" s="1196">
        <v>4</v>
      </c>
      <c r="DW46" s="1187"/>
      <c r="DY46" s="427"/>
      <c r="DZ46" s="427"/>
      <c r="EA46" s="476"/>
      <c r="EB46" s="477" t="s">
        <v>1080</v>
      </c>
      <c r="EC46" s="430">
        <v>0</v>
      </c>
      <c r="ED46" s="430">
        <v>0</v>
      </c>
      <c r="EE46" s="430">
        <v>0</v>
      </c>
      <c r="EF46" s="431">
        <v>0</v>
      </c>
      <c r="EG46" s="478">
        <v>5</v>
      </c>
      <c r="EH46" s="478">
        <v>5</v>
      </c>
      <c r="EI46" s="479"/>
      <c r="EK46" s="433"/>
      <c r="EL46" s="433"/>
      <c r="EM46" s="434"/>
      <c r="EN46" s="457" t="s">
        <v>483</v>
      </c>
      <c r="EO46" s="459"/>
      <c r="EP46" s="459"/>
      <c r="EQ46" s="458">
        <v>14</v>
      </c>
      <c r="ER46" s="458">
        <v>1</v>
      </c>
      <c r="ES46" s="460"/>
      <c r="ET46" s="460"/>
      <c r="EU46" s="461">
        <v>15</v>
      </c>
      <c r="EV46" s="440">
        <f>+(EU45+EU44)/EU46</f>
        <v>1</v>
      </c>
      <c r="EX46" s="441"/>
      <c r="EY46" s="441"/>
      <c r="EZ46" s="441"/>
      <c r="FA46" s="442" t="s">
        <v>1077</v>
      </c>
      <c r="FB46" s="444">
        <v>2</v>
      </c>
      <c r="FC46" s="443"/>
      <c r="FD46" s="443"/>
      <c r="FE46" s="444">
        <v>0</v>
      </c>
      <c r="FF46" s="444">
        <v>0</v>
      </c>
      <c r="FG46" s="444">
        <v>2</v>
      </c>
      <c r="FH46" s="445"/>
      <c r="FU46" s="37"/>
      <c r="FV46" s="616"/>
      <c r="FW46" s="4357"/>
      <c r="FX46" s="616"/>
      <c r="FY46" s="616"/>
      <c r="FZ46" s="616"/>
      <c r="GA46" s="616"/>
      <c r="GB46" s="616"/>
      <c r="GC46" s="616"/>
      <c r="GD46" s="616"/>
      <c r="GE46" s="616"/>
      <c r="GF46" s="616"/>
      <c r="GG46" s="616"/>
      <c r="GH46" s="616"/>
      <c r="GI46" s="37"/>
    </row>
    <row r="47" spans="1:191">
      <c r="F47" s="6396"/>
      <c r="G47" s="6397" t="s">
        <v>3274</v>
      </c>
      <c r="I47" s="5673" t="s">
        <v>2613</v>
      </c>
      <c r="J47" s="5673" t="s">
        <v>2613</v>
      </c>
      <c r="K47" s="5674" t="s">
        <v>3028</v>
      </c>
      <c r="L47" s="5675" t="s">
        <v>2613</v>
      </c>
      <c r="M47" s="5674">
        <f>SUM(M44:M46)</f>
        <v>3</v>
      </c>
      <c r="N47" s="5675" t="s">
        <v>2613</v>
      </c>
      <c r="O47" s="5676">
        <v>0</v>
      </c>
      <c r="Q47" s="4375">
        <v>4</v>
      </c>
      <c r="R47" s="4375">
        <v>6</v>
      </c>
      <c r="S47" s="4888" t="s">
        <v>609</v>
      </c>
      <c r="T47" s="4888" t="s">
        <v>2709</v>
      </c>
      <c r="U47" s="4375">
        <v>1</v>
      </c>
      <c r="V47" s="4375">
        <v>4</v>
      </c>
      <c r="Y47" s="97"/>
      <c r="Z47" s="4375"/>
      <c r="AA47" s="4377"/>
      <c r="AB47" s="4377"/>
      <c r="AC47" s="4378"/>
      <c r="AD47" s="4378"/>
      <c r="AG47" s="36"/>
      <c r="AH47" s="36"/>
      <c r="AI47" s="36"/>
      <c r="AJ47" s="36" t="s">
        <v>1074</v>
      </c>
      <c r="AK47" s="1681"/>
      <c r="AL47" s="1681">
        <v>1</v>
      </c>
      <c r="AM47" s="1681"/>
      <c r="AN47" s="1681">
        <v>0</v>
      </c>
      <c r="AO47" s="1681">
        <v>0</v>
      </c>
      <c r="AP47" s="95">
        <v>0</v>
      </c>
      <c r="AQ47" s="95">
        <v>1</v>
      </c>
      <c r="AR47" s="393"/>
      <c r="AS47" s="27"/>
      <c r="AT47" s="4528"/>
      <c r="AU47" s="4528"/>
      <c r="AV47" s="36"/>
      <c r="AW47" s="36" t="s">
        <v>15</v>
      </c>
      <c r="AX47" s="1681">
        <v>11</v>
      </c>
      <c r="AY47" s="1681">
        <v>4</v>
      </c>
      <c r="AZ47" s="1681">
        <v>3</v>
      </c>
      <c r="BA47" s="1681">
        <v>48</v>
      </c>
      <c r="BB47" s="1681"/>
      <c r="BC47" s="95"/>
      <c r="BD47" s="95"/>
      <c r="BE47" s="95"/>
      <c r="BF47" s="95"/>
      <c r="BG47" s="95">
        <v>66</v>
      </c>
      <c r="BH47" s="560">
        <f>+(BG43+BG46)/(BG47-BG45)</f>
        <v>0.72727272727272729</v>
      </c>
      <c r="BJ47" s="4215"/>
      <c r="BK47" s="4215"/>
      <c r="BL47" s="4215"/>
      <c r="BM47" s="4339" t="s">
        <v>1080</v>
      </c>
      <c r="BN47" s="4340"/>
      <c r="BO47" s="4340"/>
      <c r="BP47" s="4340"/>
      <c r="BQ47" s="4340"/>
      <c r="BR47" s="4340"/>
      <c r="BS47" s="4340">
        <v>2</v>
      </c>
      <c r="BT47" s="4340">
        <v>2</v>
      </c>
      <c r="BU47" s="4215"/>
      <c r="BW47" s="36"/>
      <c r="BX47" s="36"/>
      <c r="BY47" s="393"/>
      <c r="BZ47" s="393" t="s">
        <v>483</v>
      </c>
      <c r="CA47" s="1682"/>
      <c r="CB47" s="1682">
        <v>2</v>
      </c>
      <c r="CC47" s="1682">
        <v>4</v>
      </c>
      <c r="CD47" s="1682">
        <v>47</v>
      </c>
      <c r="CE47" s="1682">
        <v>8</v>
      </c>
      <c r="CF47" s="2041"/>
      <c r="CG47" s="2041"/>
      <c r="CH47" s="2041"/>
      <c r="CI47" s="2041">
        <v>61</v>
      </c>
      <c r="CJ47" s="560">
        <f>+(CI46+CI44)/CI47</f>
        <v>0.85245901639344257</v>
      </c>
      <c r="CO47" s="36" t="s">
        <v>1076</v>
      </c>
      <c r="CP47" s="1681"/>
      <c r="CQ47" s="1681"/>
      <c r="CR47" s="1681">
        <v>2</v>
      </c>
      <c r="CS47" s="1681">
        <v>1</v>
      </c>
      <c r="CT47" s="95">
        <v>1</v>
      </c>
      <c r="CU47" s="95">
        <v>0</v>
      </c>
      <c r="CV47" s="95">
        <v>4</v>
      </c>
      <c r="CY47" s="95"/>
      <c r="DA47" s="36" t="s">
        <v>109</v>
      </c>
      <c r="DB47" s="36" t="s">
        <v>1072</v>
      </c>
      <c r="DC47" s="1484">
        <v>3</v>
      </c>
      <c r="DD47" s="1484">
        <v>1</v>
      </c>
      <c r="DE47" s="1484">
        <v>6</v>
      </c>
      <c r="DF47" s="1484">
        <v>3</v>
      </c>
      <c r="DG47" s="95">
        <v>0</v>
      </c>
      <c r="DH47" s="95">
        <v>0</v>
      </c>
      <c r="DI47" s="95">
        <v>13</v>
      </c>
      <c r="DL47" s="1191"/>
      <c r="DM47" s="1191"/>
      <c r="DN47" s="1191"/>
      <c r="DO47" s="1186" t="s">
        <v>15</v>
      </c>
      <c r="DP47" s="1197"/>
      <c r="DQ47" s="1197"/>
      <c r="DR47" s="1197"/>
      <c r="DS47" s="1198">
        <v>6</v>
      </c>
      <c r="DT47" s="1198">
        <v>9</v>
      </c>
      <c r="DU47" s="1200">
        <v>3</v>
      </c>
      <c r="DV47" s="1200">
        <v>18</v>
      </c>
      <c r="DW47" s="1178">
        <f>+(DV43+DV46)/DV47</f>
        <v>0.5</v>
      </c>
      <c r="DY47" s="427"/>
      <c r="DZ47" s="427"/>
      <c r="EA47" s="476"/>
      <c r="EB47" s="477" t="s">
        <v>1142</v>
      </c>
      <c r="EC47" s="430">
        <v>0</v>
      </c>
      <c r="ED47" s="430">
        <v>0</v>
      </c>
      <c r="EE47" s="430">
        <v>1</v>
      </c>
      <c r="EF47" s="431">
        <v>0</v>
      </c>
      <c r="EG47" s="478">
        <v>0</v>
      </c>
      <c r="EH47" s="478">
        <v>1</v>
      </c>
      <c r="EI47" s="479"/>
      <c r="EK47" s="433"/>
      <c r="EL47" s="433" t="s">
        <v>41</v>
      </c>
      <c r="EM47" s="434" t="s">
        <v>107</v>
      </c>
      <c r="EN47" s="435" t="s">
        <v>1071</v>
      </c>
      <c r="EO47" s="437"/>
      <c r="EP47" s="436">
        <v>0</v>
      </c>
      <c r="EQ47" s="436">
        <v>0</v>
      </c>
      <c r="ER47" s="436">
        <v>0</v>
      </c>
      <c r="ES47" s="439">
        <v>1</v>
      </c>
      <c r="ET47" s="439">
        <v>0</v>
      </c>
      <c r="EU47" s="439">
        <v>1</v>
      </c>
      <c r="EV47" s="440"/>
      <c r="EX47" s="441"/>
      <c r="EY47" s="441"/>
      <c r="EZ47" s="441"/>
      <c r="FA47" s="442" t="s">
        <v>1142</v>
      </c>
      <c r="FB47" s="444">
        <v>0</v>
      </c>
      <c r="FC47" s="443"/>
      <c r="FD47" s="443"/>
      <c r="FE47" s="444">
        <v>7</v>
      </c>
      <c r="FF47" s="444">
        <v>0</v>
      </c>
      <c r="FG47" s="444">
        <v>7</v>
      </c>
      <c r="FH47" s="445"/>
      <c r="FU47" s="37"/>
      <c r="FV47" s="616"/>
      <c r="FW47" s="4357"/>
      <c r="FX47" s="616"/>
      <c r="FY47" s="616"/>
      <c r="FZ47" s="616"/>
      <c r="GA47" s="616"/>
      <c r="GB47" s="616"/>
      <c r="GC47" s="616"/>
      <c r="GD47" s="616"/>
      <c r="GE47" s="616"/>
      <c r="GF47" s="616"/>
      <c r="GG47" s="616"/>
      <c r="GH47" s="616"/>
      <c r="GI47" s="37"/>
    </row>
    <row r="48" spans="1:191" ht="15" thickBot="1">
      <c r="F48" s="6399" t="s">
        <v>2344</v>
      </c>
      <c r="G48" s="6398">
        <v>102</v>
      </c>
      <c r="L48" s="5662" t="s">
        <v>2754</v>
      </c>
      <c r="M48" s="5677">
        <f>SUM(M23,M42)</f>
        <v>81</v>
      </c>
      <c r="Q48" s="4887" t="s">
        <v>2613</v>
      </c>
      <c r="R48" s="4887" t="s">
        <v>2613</v>
      </c>
      <c r="S48" s="4902" t="s">
        <v>59</v>
      </c>
      <c r="T48" s="4651" t="s">
        <v>15</v>
      </c>
      <c r="U48" s="4897">
        <f>SUM(U45:U47)</f>
        <v>3</v>
      </c>
      <c r="V48" s="4906" t="s">
        <v>2613</v>
      </c>
      <c r="W48" s="4904">
        <v>0</v>
      </c>
      <c r="Y48" s="4528"/>
      <c r="Z48" s="4528"/>
      <c r="AA48" s="4527"/>
      <c r="AB48" s="4527"/>
      <c r="AC48" s="4648"/>
      <c r="AD48" s="4648"/>
      <c r="AF48" s="36"/>
      <c r="AG48" s="36"/>
      <c r="AH48" s="36"/>
      <c r="AI48" s="36"/>
      <c r="AJ48" s="36" t="s">
        <v>1076</v>
      </c>
      <c r="AK48" s="1681"/>
      <c r="AL48" s="1681">
        <v>0</v>
      </c>
      <c r="AM48" s="1681"/>
      <c r="AN48" s="1681">
        <v>0</v>
      </c>
      <c r="AO48" s="1681">
        <v>1</v>
      </c>
      <c r="AP48" s="95">
        <v>1</v>
      </c>
      <c r="AQ48" s="95">
        <v>2</v>
      </c>
      <c r="AR48" s="393"/>
      <c r="AS48" s="27"/>
      <c r="AT48" s="4528"/>
      <c r="AU48" s="4528"/>
      <c r="AV48" s="36"/>
      <c r="AW48" s="36" t="s">
        <v>1072</v>
      </c>
      <c r="AX48" s="1681">
        <v>0</v>
      </c>
      <c r="AY48" s="1681">
        <v>2</v>
      </c>
      <c r="AZ48" s="1681">
        <v>2</v>
      </c>
      <c r="BA48" s="1681">
        <v>7</v>
      </c>
      <c r="BB48" s="1681"/>
      <c r="BC48" s="95"/>
      <c r="BD48" s="95"/>
      <c r="BE48" s="95"/>
      <c r="BF48" s="95"/>
      <c r="BG48" s="95">
        <v>11</v>
      </c>
      <c r="BH48" s="560"/>
      <c r="BJ48" s="4215"/>
      <c r="BK48" s="4215"/>
      <c r="BL48" s="4215"/>
      <c r="BM48" s="4341" t="s">
        <v>15</v>
      </c>
      <c r="BN48" s="4342">
        <v>1</v>
      </c>
      <c r="BO48" s="4342"/>
      <c r="BP48" s="4342">
        <f>1-1</f>
        <v>0</v>
      </c>
      <c r="BQ48" s="4342">
        <f>1-1</f>
        <v>0</v>
      </c>
      <c r="BR48" s="4342">
        <v>1</v>
      </c>
      <c r="BS48" s="4342">
        <v>2</v>
      </c>
      <c r="BT48" s="4342">
        <f>3+2-1</f>
        <v>4</v>
      </c>
      <c r="BU48" s="4224">
        <v>0</v>
      </c>
      <c r="BW48" s="36"/>
      <c r="BX48" s="36" t="s">
        <v>41</v>
      </c>
      <c r="BY48" s="36" t="s">
        <v>107</v>
      </c>
      <c r="BZ48" s="36" t="s">
        <v>1072</v>
      </c>
      <c r="CA48" s="1681"/>
      <c r="CB48" s="1681">
        <v>1</v>
      </c>
      <c r="CC48" s="1681"/>
      <c r="CD48" s="1681">
        <v>1</v>
      </c>
      <c r="CE48" s="1681">
        <v>1</v>
      </c>
      <c r="CF48" s="95">
        <v>0</v>
      </c>
      <c r="CG48" s="95"/>
      <c r="CH48" s="95"/>
      <c r="CI48" s="95">
        <v>3</v>
      </c>
      <c r="CJ48" s="36"/>
      <c r="CO48" s="36" t="s">
        <v>1080</v>
      </c>
      <c r="CP48" s="1681"/>
      <c r="CQ48" s="1681"/>
      <c r="CR48" s="1681">
        <v>0</v>
      </c>
      <c r="CS48" s="1681">
        <v>0</v>
      </c>
      <c r="CT48" s="95">
        <v>2</v>
      </c>
      <c r="CU48" s="95">
        <v>1</v>
      </c>
      <c r="CV48" s="95">
        <v>3</v>
      </c>
      <c r="CY48" s="95"/>
      <c r="DB48" s="36" t="s">
        <v>1076</v>
      </c>
      <c r="DC48" s="1484">
        <v>0</v>
      </c>
      <c r="DD48" s="1484">
        <v>0</v>
      </c>
      <c r="DE48" s="1484">
        <v>4</v>
      </c>
      <c r="DF48" s="1484">
        <v>1</v>
      </c>
      <c r="DG48" s="95">
        <v>2</v>
      </c>
      <c r="DH48" s="95">
        <v>1</v>
      </c>
      <c r="DI48" s="95">
        <v>8</v>
      </c>
      <c r="DL48" s="1191"/>
      <c r="DM48" s="1191"/>
      <c r="DN48" s="1191" t="s">
        <v>1691</v>
      </c>
      <c r="DO48" s="1192" t="s">
        <v>1072</v>
      </c>
      <c r="DP48" s="1193"/>
      <c r="DQ48" s="1194">
        <v>1</v>
      </c>
      <c r="DR48" s="1193">
        <v>1</v>
      </c>
      <c r="DS48" s="1193">
        <v>1</v>
      </c>
      <c r="DT48" s="1193">
        <v>1</v>
      </c>
      <c r="DU48" s="1196">
        <v>0</v>
      </c>
      <c r="DV48" s="1196">
        <v>4</v>
      </c>
      <c r="DW48" s="1187"/>
      <c r="DY48" s="427"/>
      <c r="DZ48" s="427"/>
      <c r="EA48" s="476"/>
      <c r="EB48" s="480" t="s">
        <v>15</v>
      </c>
      <c r="EC48" s="452">
        <v>1</v>
      </c>
      <c r="ED48" s="452">
        <v>1</v>
      </c>
      <c r="EE48" s="452">
        <v>1</v>
      </c>
      <c r="EF48" s="453">
        <v>3</v>
      </c>
      <c r="EG48" s="481">
        <v>5</v>
      </c>
      <c r="EH48" s="481">
        <v>11</v>
      </c>
      <c r="EI48" s="482">
        <f>+(EH45+EH47)/EH48</f>
        <v>0.36363636363636365</v>
      </c>
      <c r="EK48" s="433"/>
      <c r="EL48" s="433"/>
      <c r="EM48" s="434"/>
      <c r="EN48" s="435" t="s">
        <v>1072</v>
      </c>
      <c r="EO48" s="437"/>
      <c r="EP48" s="436">
        <v>0</v>
      </c>
      <c r="EQ48" s="436">
        <v>1</v>
      </c>
      <c r="ER48" s="436">
        <v>0</v>
      </c>
      <c r="ES48" s="439">
        <v>0</v>
      </c>
      <c r="ET48" s="439">
        <v>0</v>
      </c>
      <c r="EU48" s="439">
        <v>1</v>
      </c>
      <c r="EV48" s="440"/>
      <c r="EX48" s="483"/>
      <c r="EY48" s="483"/>
      <c r="EZ48" s="483"/>
      <c r="FA48" s="484" t="s">
        <v>15</v>
      </c>
      <c r="FB48" s="485">
        <v>3</v>
      </c>
      <c r="FC48" s="486"/>
      <c r="FD48" s="486"/>
      <c r="FE48" s="485">
        <v>8</v>
      </c>
      <c r="FF48" s="485">
        <v>1</v>
      </c>
      <c r="FG48" s="485">
        <v>12</v>
      </c>
      <c r="FH48" s="487">
        <f>+(FG47+FG45-FF45)/FG48</f>
        <v>0.66666666666666663</v>
      </c>
      <c r="FU48" s="37"/>
      <c r="FV48" s="616"/>
      <c r="FW48" s="4357"/>
      <c r="FX48" s="616"/>
      <c r="FY48" s="616"/>
      <c r="FZ48" s="616"/>
      <c r="GA48" s="616"/>
      <c r="GB48" s="616"/>
      <c r="GC48" s="616"/>
      <c r="GD48" s="616"/>
      <c r="GE48" s="616"/>
      <c r="GF48" s="616"/>
      <c r="GG48" s="616"/>
      <c r="GH48" s="616"/>
      <c r="GI48" s="37"/>
    </row>
    <row r="49" spans="6:191">
      <c r="F49" s="6399" t="s">
        <v>3275</v>
      </c>
      <c r="G49" s="6398">
        <v>67</v>
      </c>
      <c r="I49" s="5654"/>
      <c r="J49" s="5654"/>
      <c r="K49" s="5678" t="s">
        <v>75</v>
      </c>
      <c r="L49" s="5654"/>
      <c r="M49" s="5654">
        <f>SUM(M24,M43,M47)</f>
        <v>110</v>
      </c>
      <c r="N49" s="5654"/>
      <c r="O49" s="5679">
        <f>(M48)/(M49)</f>
        <v>0.73636363636363633</v>
      </c>
      <c r="Q49" s="4908"/>
      <c r="R49" s="4908"/>
      <c r="S49" s="4909"/>
      <c r="T49" s="4692"/>
      <c r="U49" s="4910"/>
      <c r="V49" s="4908"/>
      <c r="W49" s="4891"/>
      <c r="Y49" s="4528"/>
      <c r="Z49" s="4528"/>
      <c r="AA49" s="4527"/>
      <c r="AB49" s="4527"/>
      <c r="AC49" s="4648"/>
      <c r="AD49" s="4648"/>
      <c r="AF49" s="4528"/>
      <c r="AG49" s="36"/>
      <c r="AH49" s="36"/>
      <c r="AI49" s="36"/>
      <c r="AJ49" s="36" t="s">
        <v>15</v>
      </c>
      <c r="AK49" s="1681"/>
      <c r="AL49" s="1681">
        <v>2</v>
      </c>
      <c r="AM49" s="1681"/>
      <c r="AN49" s="1681">
        <v>1</v>
      </c>
      <c r="AO49" s="1681">
        <v>8</v>
      </c>
      <c r="AP49" s="95">
        <v>1</v>
      </c>
      <c r="AQ49" s="95">
        <v>12</v>
      </c>
      <c r="AR49" s="4536">
        <f>+AO48/(AQ49-AQ44)</f>
        <v>0.16666666666666666</v>
      </c>
      <c r="AS49" s="4533"/>
      <c r="AT49" s="4528"/>
      <c r="AU49" s="4528"/>
      <c r="AV49" s="36"/>
      <c r="AW49" s="36" t="s">
        <v>1074</v>
      </c>
      <c r="AX49" s="1681">
        <v>0</v>
      </c>
      <c r="AY49" s="1681">
        <v>2</v>
      </c>
      <c r="AZ49" s="1681">
        <v>1</v>
      </c>
      <c r="BA49" s="1681">
        <v>0</v>
      </c>
      <c r="BB49" s="1681"/>
      <c r="BC49" s="95"/>
      <c r="BD49" s="95"/>
      <c r="BE49" s="95"/>
      <c r="BF49" s="95"/>
      <c r="BG49" s="95">
        <v>3</v>
      </c>
      <c r="BH49" s="560"/>
      <c r="BJ49" s="4215"/>
      <c r="BK49" s="4215"/>
      <c r="BL49" s="4222" t="s">
        <v>485</v>
      </c>
      <c r="BM49" s="4341" t="s">
        <v>1072</v>
      </c>
      <c r="BN49" s="4342">
        <v>1</v>
      </c>
      <c r="BO49" s="4342"/>
      <c r="BP49" s="4342">
        <f>1-1</f>
        <v>0</v>
      </c>
      <c r="BQ49" s="4342">
        <v>0</v>
      </c>
      <c r="BR49" s="4342">
        <f>0+1</f>
        <v>1</v>
      </c>
      <c r="BS49" s="4341"/>
      <c r="BT49" s="4342">
        <f>2</f>
        <v>2</v>
      </c>
      <c r="BU49" s="4222"/>
      <c r="BW49" s="36"/>
      <c r="BX49" s="36"/>
      <c r="BY49" s="36"/>
      <c r="BZ49" s="36" t="s">
        <v>1076</v>
      </c>
      <c r="CA49" s="1681"/>
      <c r="CB49" s="1681">
        <v>0</v>
      </c>
      <c r="CC49" s="1681"/>
      <c r="CD49" s="1681">
        <v>1</v>
      </c>
      <c r="CE49" s="1681">
        <v>0</v>
      </c>
      <c r="CF49" s="95">
        <v>3</v>
      </c>
      <c r="CG49" s="95"/>
      <c r="CH49" s="95"/>
      <c r="CI49" s="95">
        <v>4</v>
      </c>
      <c r="CJ49" s="36"/>
      <c r="CO49" s="36" t="s">
        <v>1142</v>
      </c>
      <c r="CP49" s="1681"/>
      <c r="CQ49" s="1681"/>
      <c r="CR49" s="1681">
        <v>1</v>
      </c>
      <c r="CS49" s="1681">
        <v>1</v>
      </c>
      <c r="CT49" s="95">
        <v>1</v>
      </c>
      <c r="CU49" s="95">
        <v>0</v>
      </c>
      <c r="CV49" s="95">
        <v>3</v>
      </c>
      <c r="CY49" s="95"/>
      <c r="DB49" s="36" t="s">
        <v>1077</v>
      </c>
      <c r="DC49" s="1484">
        <v>2</v>
      </c>
      <c r="DD49" s="1484">
        <v>1</v>
      </c>
      <c r="DE49" s="1484">
        <v>1</v>
      </c>
      <c r="DF49" s="1484">
        <v>0</v>
      </c>
      <c r="DG49" s="95">
        <v>0</v>
      </c>
      <c r="DH49" s="95">
        <v>0</v>
      </c>
      <c r="DI49" s="95">
        <v>4</v>
      </c>
      <c r="DL49" s="1191"/>
      <c r="DM49" s="1191"/>
      <c r="DN49" s="1191"/>
      <c r="DO49" s="1192" t="s">
        <v>1080</v>
      </c>
      <c r="DP49" s="1193"/>
      <c r="DQ49" s="1194">
        <v>0</v>
      </c>
      <c r="DR49" s="1193">
        <v>0</v>
      </c>
      <c r="DS49" s="1193">
        <v>0</v>
      </c>
      <c r="DT49" s="1193">
        <v>0</v>
      </c>
      <c r="DU49" s="1196">
        <v>3</v>
      </c>
      <c r="DV49" s="1196">
        <v>3</v>
      </c>
      <c r="DW49" s="1187"/>
      <c r="DY49" s="427"/>
      <c r="DZ49" s="427"/>
      <c r="EA49" s="428" t="s">
        <v>485</v>
      </c>
      <c r="EB49" s="429" t="s">
        <v>1072</v>
      </c>
      <c r="EC49" s="430">
        <v>2</v>
      </c>
      <c r="ED49" s="430">
        <v>1</v>
      </c>
      <c r="EE49" s="430">
        <v>3</v>
      </c>
      <c r="EF49" s="430">
        <v>1</v>
      </c>
      <c r="EG49" s="432">
        <v>0</v>
      </c>
      <c r="EH49" s="432">
        <v>7</v>
      </c>
      <c r="EI49" s="36"/>
      <c r="EK49" s="433"/>
      <c r="EL49" s="433"/>
      <c r="EM49" s="434"/>
      <c r="EN49" s="435" t="s">
        <v>1074</v>
      </c>
      <c r="EO49" s="437"/>
      <c r="EP49" s="436">
        <v>2</v>
      </c>
      <c r="EQ49" s="436">
        <v>0</v>
      </c>
      <c r="ER49" s="436">
        <v>0</v>
      </c>
      <c r="ES49" s="439">
        <v>0</v>
      </c>
      <c r="ET49" s="439">
        <v>0</v>
      </c>
      <c r="EU49" s="439">
        <v>2</v>
      </c>
      <c r="EV49" s="440"/>
      <c r="EX49" s="441"/>
      <c r="EY49" s="441"/>
      <c r="EZ49" s="441"/>
      <c r="FA49" s="442"/>
      <c r="FU49" s="37"/>
      <c r="FV49" s="616"/>
      <c r="FW49" s="4357"/>
      <c r="FX49" s="616"/>
      <c r="FY49" s="616"/>
      <c r="FZ49" s="616"/>
      <c r="GA49" s="616"/>
      <c r="GB49" s="616"/>
      <c r="GC49" s="616"/>
      <c r="GD49" s="616"/>
      <c r="GE49" s="616"/>
      <c r="GF49" s="616"/>
      <c r="GG49" s="616"/>
      <c r="GH49" s="616"/>
      <c r="GI49" s="37"/>
    </row>
    <row r="50" spans="6:191">
      <c r="F50" s="6401" t="s">
        <v>3276</v>
      </c>
      <c r="G50" s="6402">
        <f>+(G49)/(G48)</f>
        <v>0.65686274509803921</v>
      </c>
      <c r="T50" s="4892" t="s">
        <v>2754</v>
      </c>
      <c r="U50" s="4907">
        <f>SUM(U25,U43)</f>
        <v>72</v>
      </c>
      <c r="Y50" s="4528"/>
      <c r="Z50" s="4528"/>
      <c r="AA50" s="4527"/>
      <c r="AB50" s="4527"/>
      <c r="AC50" s="4648"/>
      <c r="AD50" s="4648"/>
      <c r="AF50" s="4528"/>
      <c r="AG50" s="36"/>
      <c r="AH50" s="36"/>
      <c r="AI50" s="393" t="s">
        <v>109</v>
      </c>
      <c r="AJ50" s="36" t="s">
        <v>1071</v>
      </c>
      <c r="AK50" s="1681">
        <v>0</v>
      </c>
      <c r="AL50" s="1681">
        <v>0</v>
      </c>
      <c r="AM50" s="1681">
        <v>0</v>
      </c>
      <c r="AN50" s="1681">
        <v>0</v>
      </c>
      <c r="AO50" s="1681">
        <v>5</v>
      </c>
      <c r="AP50" s="95">
        <v>0</v>
      </c>
      <c r="AQ50" s="95">
        <v>5</v>
      </c>
      <c r="AR50" s="393"/>
      <c r="AS50" s="27"/>
      <c r="AT50" s="36"/>
      <c r="AU50" s="36"/>
      <c r="AV50" s="36"/>
      <c r="AW50" s="36" t="s">
        <v>1076</v>
      </c>
      <c r="AX50" s="1681">
        <v>0</v>
      </c>
      <c r="AY50" s="1681">
        <v>0</v>
      </c>
      <c r="AZ50" s="1681">
        <v>0</v>
      </c>
      <c r="BA50" s="1681">
        <v>12</v>
      </c>
      <c r="BB50" s="1681"/>
      <c r="BC50" s="95"/>
      <c r="BD50" s="95"/>
      <c r="BE50" s="95"/>
      <c r="BF50" s="95"/>
      <c r="BG50" s="95">
        <v>12</v>
      </c>
      <c r="BH50" s="560"/>
      <c r="BJ50" s="4215"/>
      <c r="BK50" s="4215"/>
      <c r="BL50" s="4222"/>
      <c r="BM50" s="4341" t="s">
        <v>1076</v>
      </c>
      <c r="BN50" s="4342">
        <v>0</v>
      </c>
      <c r="BO50" s="4342"/>
      <c r="BP50" s="4342">
        <v>1</v>
      </c>
      <c r="BQ50" s="4342">
        <v>0</v>
      </c>
      <c r="BR50" s="4342">
        <v>0</v>
      </c>
      <c r="BS50" s="4341"/>
      <c r="BT50" s="4342">
        <v>1</v>
      </c>
      <c r="BU50" s="4222"/>
      <c r="BW50" s="36"/>
      <c r="BX50" s="36"/>
      <c r="BY50" s="36"/>
      <c r="BZ50" s="36" t="s">
        <v>1080</v>
      </c>
      <c r="CA50" s="1681"/>
      <c r="CB50" s="1681">
        <v>0</v>
      </c>
      <c r="CC50" s="1681"/>
      <c r="CD50" s="1681">
        <v>0</v>
      </c>
      <c r="CE50" s="1681">
        <v>0</v>
      </c>
      <c r="CF50" s="95">
        <v>1</v>
      </c>
      <c r="CG50" s="95"/>
      <c r="CH50" s="95"/>
      <c r="CI50" s="95">
        <v>1</v>
      </c>
      <c r="CJ50" s="36"/>
      <c r="CO50" s="393" t="s">
        <v>485</v>
      </c>
      <c r="CP50" s="1682"/>
      <c r="CQ50" s="1682"/>
      <c r="CR50" s="1682">
        <v>3</v>
      </c>
      <c r="CS50" s="1682">
        <v>3</v>
      </c>
      <c r="CT50" s="4212">
        <v>9</v>
      </c>
      <c r="CU50" s="4212">
        <v>2</v>
      </c>
      <c r="CV50" s="4212">
        <v>17</v>
      </c>
      <c r="CW50" s="560">
        <f>+(CV47-CT47+CV49-CT49)/(CV50-CV43)</f>
        <v>0.41666666666666669</v>
      </c>
      <c r="CY50" s="95"/>
      <c r="DB50" s="36" t="s">
        <v>1080</v>
      </c>
      <c r="DC50" s="1484">
        <v>0</v>
      </c>
      <c r="DD50" s="1484">
        <v>0</v>
      </c>
      <c r="DE50" s="1484">
        <v>0</v>
      </c>
      <c r="DF50" s="1484">
        <v>0</v>
      </c>
      <c r="DG50" s="95">
        <v>1</v>
      </c>
      <c r="DH50" s="95">
        <v>1</v>
      </c>
      <c r="DI50" s="95">
        <v>2</v>
      </c>
      <c r="DL50" s="1191"/>
      <c r="DM50" s="1191"/>
      <c r="DN50" s="1191"/>
      <c r="DO50" s="1192" t="s">
        <v>1142</v>
      </c>
      <c r="DP50" s="1193"/>
      <c r="DQ50" s="1194">
        <v>0</v>
      </c>
      <c r="DR50" s="1193">
        <v>0</v>
      </c>
      <c r="DS50" s="1193">
        <v>0</v>
      </c>
      <c r="DT50" s="1193">
        <v>1</v>
      </c>
      <c r="DU50" s="1196">
        <v>0</v>
      </c>
      <c r="DV50" s="1196">
        <v>1</v>
      </c>
      <c r="DW50" s="1187"/>
      <c r="DY50" s="427"/>
      <c r="DZ50" s="427"/>
      <c r="EA50" s="428"/>
      <c r="EB50" s="429" t="s">
        <v>1076</v>
      </c>
      <c r="EC50" s="430">
        <v>0</v>
      </c>
      <c r="ED50" s="430">
        <v>0</v>
      </c>
      <c r="EE50" s="430">
        <v>1</v>
      </c>
      <c r="EF50" s="430">
        <v>3</v>
      </c>
      <c r="EG50" s="432">
        <v>0</v>
      </c>
      <c r="EH50" s="432">
        <v>4</v>
      </c>
      <c r="EI50" s="36"/>
      <c r="EK50" s="433"/>
      <c r="EL50" s="433"/>
      <c r="EM50" s="434"/>
      <c r="EN50" s="435" t="s">
        <v>1076</v>
      </c>
      <c r="EO50" s="437"/>
      <c r="EP50" s="436">
        <v>0</v>
      </c>
      <c r="EQ50" s="436">
        <v>7</v>
      </c>
      <c r="ER50" s="436">
        <v>3</v>
      </c>
      <c r="ES50" s="439">
        <v>1</v>
      </c>
      <c r="ET50" s="439">
        <v>1</v>
      </c>
      <c r="EU50" s="439">
        <v>12</v>
      </c>
      <c r="EV50" s="440"/>
      <c r="EX50" s="441"/>
      <c r="EY50" s="441"/>
      <c r="EZ50" s="441"/>
      <c r="FB50" s="6988" t="s">
        <v>1137</v>
      </c>
      <c r="FC50" s="6988"/>
      <c r="FD50" s="6988"/>
      <c r="FE50" s="6988"/>
      <c r="FF50" s="6988"/>
      <c r="FM50" s="393" t="s">
        <v>315</v>
      </c>
      <c r="FN50" s="6989" t="s">
        <v>1138</v>
      </c>
      <c r="FO50" s="6989"/>
      <c r="FP50" s="6989"/>
      <c r="FQ50" s="6989"/>
      <c r="FR50" s="6989"/>
      <c r="FS50" s="393"/>
      <c r="FU50" s="37"/>
      <c r="FV50" s="616"/>
      <c r="FW50" s="4357"/>
      <c r="FX50" s="616"/>
      <c r="FY50" s="616"/>
      <c r="FZ50" s="6998" t="s">
        <v>1138</v>
      </c>
      <c r="GA50" s="6998"/>
      <c r="GB50" s="6998"/>
      <c r="GC50" s="6998"/>
      <c r="GD50" s="6998"/>
      <c r="GE50" s="6998"/>
      <c r="GF50" s="616"/>
      <c r="GG50" s="616"/>
      <c r="GH50" s="616"/>
      <c r="GI50" s="37"/>
    </row>
    <row r="51" spans="6:191" ht="36.6" thickBot="1">
      <c r="S51" s="4902" t="s">
        <v>75</v>
      </c>
      <c r="T51" s="4755"/>
      <c r="U51" s="4911">
        <f>SUM(U26,U44,U48)</f>
        <v>110</v>
      </c>
      <c r="V51" s="4448"/>
      <c r="W51" s="4904">
        <f>(U50)/(U51)</f>
        <v>0.65454545454545454</v>
      </c>
      <c r="Y51" s="4528"/>
      <c r="Z51" s="4528"/>
      <c r="AA51" s="4527"/>
      <c r="AB51" s="4527"/>
      <c r="AC51" s="4648"/>
      <c r="AD51" s="4648"/>
      <c r="AE51" s="4648"/>
      <c r="AF51" s="4528"/>
      <c r="AG51" s="36"/>
      <c r="AH51" s="36"/>
      <c r="AI51" s="36"/>
      <c r="AJ51" s="36" t="s">
        <v>1072</v>
      </c>
      <c r="AK51" s="1681">
        <v>0</v>
      </c>
      <c r="AL51" s="1681">
        <v>1</v>
      </c>
      <c r="AM51" s="1681">
        <v>1</v>
      </c>
      <c r="AN51" s="1681">
        <v>1</v>
      </c>
      <c r="AO51" s="1681">
        <v>3</v>
      </c>
      <c r="AP51" s="95">
        <v>0</v>
      </c>
      <c r="AQ51" s="95">
        <v>6</v>
      </c>
      <c r="AR51" s="393"/>
      <c r="AS51" s="27"/>
      <c r="AT51" s="36"/>
      <c r="AU51" s="36"/>
      <c r="AV51" s="36"/>
      <c r="AW51" s="36" t="s">
        <v>1077</v>
      </c>
      <c r="AX51" s="1681">
        <v>0</v>
      </c>
      <c r="AY51" s="1681">
        <v>0</v>
      </c>
      <c r="AZ51" s="1681">
        <v>0</v>
      </c>
      <c r="BA51" s="1681">
        <v>1</v>
      </c>
      <c r="BB51" s="1681"/>
      <c r="BC51" s="95"/>
      <c r="BD51" s="95"/>
      <c r="BE51" s="95"/>
      <c r="BF51" s="95"/>
      <c r="BG51" s="95">
        <v>1</v>
      </c>
      <c r="BH51" s="560"/>
      <c r="BJ51" s="4215"/>
      <c r="BK51" s="4215"/>
      <c r="BL51" s="4222"/>
      <c r="BM51" s="4341" t="s">
        <v>1080</v>
      </c>
      <c r="BN51" s="4342">
        <v>0</v>
      </c>
      <c r="BO51" s="4342"/>
      <c r="BP51" s="4342">
        <v>0</v>
      </c>
      <c r="BQ51" s="4342">
        <v>3</v>
      </c>
      <c r="BR51" s="4342">
        <v>1</v>
      </c>
      <c r="BS51" s="4342">
        <v>2</v>
      </c>
      <c r="BT51" s="4342">
        <f>4+2</f>
        <v>6</v>
      </c>
      <c r="BU51" s="4222"/>
      <c r="BW51" s="36"/>
      <c r="BX51" s="36"/>
      <c r="BY51" s="36"/>
      <c r="BZ51" s="36" t="s">
        <v>1142</v>
      </c>
      <c r="CA51" s="1681"/>
      <c r="CB51" s="1681">
        <v>0</v>
      </c>
      <c r="CC51" s="1681"/>
      <c r="CD51" s="1681">
        <v>1</v>
      </c>
      <c r="CE51" s="1681">
        <v>0</v>
      </c>
      <c r="CF51" s="95">
        <v>0</v>
      </c>
      <c r="CG51" s="95"/>
      <c r="CH51" s="95"/>
      <c r="CI51" s="95">
        <v>1</v>
      </c>
      <c r="CJ51" s="36"/>
      <c r="CN51" s="393" t="s">
        <v>109</v>
      </c>
      <c r="CO51" s="393" t="s">
        <v>1071</v>
      </c>
      <c r="CP51" s="1682">
        <v>0</v>
      </c>
      <c r="CQ51" s="1682"/>
      <c r="CR51" s="1682">
        <v>0</v>
      </c>
      <c r="CS51" s="1682">
        <v>0</v>
      </c>
      <c r="CT51" s="4212">
        <v>5</v>
      </c>
      <c r="CU51" s="4212">
        <v>2</v>
      </c>
      <c r="CV51" s="4212">
        <v>7</v>
      </c>
      <c r="CY51" s="95"/>
      <c r="DB51" s="36" t="s">
        <v>1142</v>
      </c>
      <c r="DC51" s="1484">
        <v>0</v>
      </c>
      <c r="DD51" s="1484">
        <v>0</v>
      </c>
      <c r="DE51" s="1484">
        <v>46</v>
      </c>
      <c r="DF51" s="1484">
        <v>1</v>
      </c>
      <c r="DG51" s="95">
        <v>1</v>
      </c>
      <c r="DH51" s="95">
        <v>0</v>
      </c>
      <c r="DI51" s="95">
        <v>48</v>
      </c>
      <c r="DL51" s="1191"/>
      <c r="DM51" s="1191"/>
      <c r="DN51" s="1191"/>
      <c r="DO51" s="1186" t="s">
        <v>15</v>
      </c>
      <c r="DP51" s="1197"/>
      <c r="DQ51" s="1198">
        <v>1</v>
      </c>
      <c r="DR51" s="1197">
        <v>1</v>
      </c>
      <c r="DS51" s="1197">
        <v>1</v>
      </c>
      <c r="DT51" s="1197">
        <v>2</v>
      </c>
      <c r="DU51" s="1200">
        <v>3</v>
      </c>
      <c r="DV51" s="1200">
        <v>8</v>
      </c>
      <c r="DW51" s="1178">
        <f>+DV50/DV51</f>
        <v>0.125</v>
      </c>
      <c r="DY51" s="427"/>
      <c r="DZ51" s="427"/>
      <c r="EA51" s="428"/>
      <c r="EB51" s="429" t="s">
        <v>1077</v>
      </c>
      <c r="EC51" s="430">
        <v>0</v>
      </c>
      <c r="ED51" s="430">
        <v>0</v>
      </c>
      <c r="EE51" s="430">
        <v>1</v>
      </c>
      <c r="EF51" s="430">
        <v>0</v>
      </c>
      <c r="EG51" s="432">
        <v>1</v>
      </c>
      <c r="EH51" s="432">
        <v>2</v>
      </c>
      <c r="EI51" s="36"/>
      <c r="EK51" s="433"/>
      <c r="EL51" s="433"/>
      <c r="EM51" s="434"/>
      <c r="EN51" s="435" t="s">
        <v>1077</v>
      </c>
      <c r="EO51" s="437"/>
      <c r="EP51" s="436">
        <v>1</v>
      </c>
      <c r="EQ51" s="436">
        <v>0</v>
      </c>
      <c r="ER51" s="436">
        <v>0</v>
      </c>
      <c r="ES51" s="439">
        <v>0</v>
      </c>
      <c r="ET51" s="439">
        <v>1</v>
      </c>
      <c r="EU51" s="439">
        <v>2</v>
      </c>
      <c r="EV51" s="440"/>
      <c r="EX51" s="488" t="s">
        <v>0</v>
      </c>
      <c r="EY51" s="488" t="s">
        <v>1</v>
      </c>
      <c r="EZ51" s="488" t="s">
        <v>2</v>
      </c>
      <c r="FA51" s="488" t="s">
        <v>1070</v>
      </c>
      <c r="FB51" s="488">
        <v>1</v>
      </c>
      <c r="FC51" s="488">
        <v>2</v>
      </c>
      <c r="FD51" s="488">
        <v>3</v>
      </c>
      <c r="FE51" s="488">
        <v>4</v>
      </c>
      <c r="FF51" s="488">
        <v>5</v>
      </c>
      <c r="FG51" s="488" t="s">
        <v>15</v>
      </c>
      <c r="FH51" s="489" t="s">
        <v>66</v>
      </c>
      <c r="FK51" s="1469" t="s">
        <v>0</v>
      </c>
      <c r="FL51" s="1469" t="s">
        <v>1</v>
      </c>
      <c r="FM51" s="1469" t="s">
        <v>1070</v>
      </c>
      <c r="FN51" s="1469">
        <v>1</v>
      </c>
      <c r="FO51" s="1469">
        <v>2</v>
      </c>
      <c r="FP51" s="1469">
        <v>3</v>
      </c>
      <c r="FQ51" s="1469">
        <v>4</v>
      </c>
      <c r="FR51" s="1469">
        <v>5</v>
      </c>
      <c r="FS51" s="1469" t="s">
        <v>15</v>
      </c>
      <c r="FT51" s="1469" t="s">
        <v>66</v>
      </c>
      <c r="FU51" s="37"/>
      <c r="FV51" s="616"/>
      <c r="FW51" s="4359" t="s">
        <v>0</v>
      </c>
      <c r="FX51" s="4359" t="s">
        <v>1</v>
      </c>
      <c r="FY51" s="4360" t="s">
        <v>1140</v>
      </c>
      <c r="FZ51" s="4359">
        <v>0</v>
      </c>
      <c r="GA51" s="4359">
        <v>1</v>
      </c>
      <c r="GB51" s="4359">
        <v>2</v>
      </c>
      <c r="GC51" s="4359">
        <v>3</v>
      </c>
      <c r="GD51" s="4359">
        <v>4</v>
      </c>
      <c r="GE51" s="4359">
        <v>5</v>
      </c>
      <c r="GF51" s="4359" t="s">
        <v>15</v>
      </c>
      <c r="GG51" s="4359" t="s">
        <v>66</v>
      </c>
      <c r="GH51" s="4359" t="s">
        <v>1141</v>
      </c>
      <c r="GI51" s="37"/>
    </row>
    <row r="52" spans="6:191">
      <c r="K52" s="6997" t="s">
        <v>3029</v>
      </c>
      <c r="L52" s="6997"/>
      <c r="M52" s="5656"/>
      <c r="N52" s="393"/>
      <c r="Y52" s="4528"/>
      <c r="Z52" s="4528"/>
      <c r="AA52" s="4527"/>
      <c r="AB52" s="4527"/>
      <c r="AC52" s="4648"/>
      <c r="AD52" s="4648"/>
      <c r="AE52" s="4648"/>
      <c r="AF52" s="4528"/>
      <c r="AG52" s="36"/>
      <c r="AH52" s="36"/>
      <c r="AI52" s="36"/>
      <c r="AJ52" s="36" t="s">
        <v>1074</v>
      </c>
      <c r="AK52" s="1681">
        <v>0</v>
      </c>
      <c r="AL52" s="1681">
        <v>1</v>
      </c>
      <c r="AM52" s="1681">
        <v>0</v>
      </c>
      <c r="AN52" s="1681">
        <v>0</v>
      </c>
      <c r="AO52" s="1681">
        <v>0</v>
      </c>
      <c r="AP52" s="95">
        <v>0</v>
      </c>
      <c r="AQ52" s="95">
        <v>1</v>
      </c>
      <c r="AR52" s="393"/>
      <c r="AS52" s="27"/>
      <c r="AT52" s="36"/>
      <c r="AU52" s="36"/>
      <c r="AV52" s="36"/>
      <c r="AW52" s="36" t="s">
        <v>2571</v>
      </c>
      <c r="AX52" s="1681">
        <v>11</v>
      </c>
      <c r="AY52" s="1681">
        <v>0</v>
      </c>
      <c r="AZ52" s="1681">
        <v>0</v>
      </c>
      <c r="BA52" s="1681">
        <v>0</v>
      </c>
      <c r="BB52" s="1681"/>
      <c r="BC52" s="95"/>
      <c r="BD52" s="95"/>
      <c r="BE52" s="95"/>
      <c r="BF52" s="95"/>
      <c r="BG52" s="95">
        <v>11</v>
      </c>
      <c r="BH52" s="560"/>
      <c r="BJ52" s="4215"/>
      <c r="BK52" s="4215"/>
      <c r="BL52" s="4215"/>
      <c r="BM52" s="4341" t="s">
        <v>485</v>
      </c>
      <c r="BN52" s="4342">
        <v>1</v>
      </c>
      <c r="BO52" s="4342"/>
      <c r="BP52" s="4342">
        <f>2-1</f>
        <v>1</v>
      </c>
      <c r="BQ52" s="4342">
        <f>4-1</f>
        <v>3</v>
      </c>
      <c r="BR52" s="4342">
        <f>1+1</f>
        <v>2</v>
      </c>
      <c r="BS52" s="4342">
        <v>2</v>
      </c>
      <c r="BT52" s="4342">
        <f>8-2+2+1</f>
        <v>9</v>
      </c>
      <c r="BU52" s="4224">
        <f>+BT50/BT52</f>
        <v>0.1111111111111111</v>
      </c>
      <c r="BW52" s="36"/>
      <c r="BX52" s="36"/>
      <c r="BY52" s="36"/>
      <c r="BZ52" s="393" t="s">
        <v>15</v>
      </c>
      <c r="CA52" s="1682"/>
      <c r="CB52" s="1682">
        <v>1</v>
      </c>
      <c r="CC52" s="1682"/>
      <c r="CD52" s="1682">
        <v>3</v>
      </c>
      <c r="CE52" s="1682">
        <v>1</v>
      </c>
      <c r="CF52" s="2041">
        <v>4</v>
      </c>
      <c r="CG52" s="2041"/>
      <c r="CH52" s="2041"/>
      <c r="CI52" s="2041">
        <v>9</v>
      </c>
      <c r="CJ52" s="560">
        <f>+(CI51+CI49-CF49)/CI52</f>
        <v>0.22222222222222221</v>
      </c>
      <c r="CN52" s="393"/>
      <c r="CO52" s="393" t="s">
        <v>1072</v>
      </c>
      <c r="CP52" s="1682">
        <v>0</v>
      </c>
      <c r="CQ52" s="1682"/>
      <c r="CR52" s="1682">
        <v>0</v>
      </c>
      <c r="CS52" s="1682">
        <v>1</v>
      </c>
      <c r="CT52" s="4212">
        <v>0</v>
      </c>
      <c r="CU52" s="4212">
        <v>1</v>
      </c>
      <c r="CV52" s="4212">
        <v>2</v>
      </c>
      <c r="CY52" s="95"/>
      <c r="DB52" s="393" t="s">
        <v>109</v>
      </c>
      <c r="DC52" s="1485">
        <v>5</v>
      </c>
      <c r="DD52" s="1485">
        <v>2</v>
      </c>
      <c r="DE52" s="1485">
        <v>57</v>
      </c>
      <c r="DF52" s="1485">
        <v>5</v>
      </c>
      <c r="DG52" s="4212">
        <v>4</v>
      </c>
      <c r="DH52" s="4212">
        <v>2</v>
      </c>
      <c r="DI52" s="4212">
        <v>75</v>
      </c>
      <c r="DJ52" s="560">
        <f>+(DI48+DI51-DG48-DH48-DG51)/DI52</f>
        <v>0.69333333333333336</v>
      </c>
      <c r="DL52" s="1191"/>
      <c r="DM52" s="1191"/>
      <c r="DN52" s="1191" t="s">
        <v>485</v>
      </c>
      <c r="DO52" s="1192" t="s">
        <v>1072</v>
      </c>
      <c r="DP52" s="1193"/>
      <c r="DQ52" s="1194">
        <v>1</v>
      </c>
      <c r="DR52" s="1193">
        <v>1</v>
      </c>
      <c r="DS52" s="1194">
        <v>2</v>
      </c>
      <c r="DT52" s="1194">
        <v>4</v>
      </c>
      <c r="DU52" s="1196">
        <v>0</v>
      </c>
      <c r="DV52" s="1196">
        <v>8</v>
      </c>
      <c r="DW52" s="1187"/>
      <c r="DY52" s="427"/>
      <c r="DZ52" s="427"/>
      <c r="EA52" s="428"/>
      <c r="EB52" s="429" t="s">
        <v>1080</v>
      </c>
      <c r="EC52" s="430">
        <v>0</v>
      </c>
      <c r="ED52" s="430">
        <v>0</v>
      </c>
      <c r="EE52" s="430">
        <v>0</v>
      </c>
      <c r="EF52" s="430">
        <v>0</v>
      </c>
      <c r="EG52" s="432">
        <v>5</v>
      </c>
      <c r="EH52" s="432">
        <v>5</v>
      </c>
      <c r="EI52" s="36"/>
      <c r="EK52" s="433"/>
      <c r="EL52" s="433"/>
      <c r="EM52" s="434"/>
      <c r="EN52" s="435" t="s">
        <v>1142</v>
      </c>
      <c r="EO52" s="437"/>
      <c r="EP52" s="436">
        <v>0</v>
      </c>
      <c r="EQ52" s="436">
        <v>3</v>
      </c>
      <c r="ER52" s="436">
        <v>3</v>
      </c>
      <c r="ES52" s="439">
        <v>1</v>
      </c>
      <c r="ET52" s="439">
        <v>0</v>
      </c>
      <c r="EU52" s="439">
        <v>7</v>
      </c>
      <c r="EV52" s="440"/>
      <c r="EZ52" s="441" t="s">
        <v>483</v>
      </c>
      <c r="FA52" s="442" t="s">
        <v>1072</v>
      </c>
      <c r="FB52" s="444">
        <v>1</v>
      </c>
      <c r="FC52" s="443"/>
      <c r="FD52" s="444">
        <v>3</v>
      </c>
      <c r="FE52" s="443"/>
      <c r="FF52" s="443"/>
      <c r="FG52" s="444">
        <v>4</v>
      </c>
      <c r="FH52" s="445"/>
      <c r="FK52" s="95" t="s">
        <v>3</v>
      </c>
      <c r="FL52" s="95" t="s">
        <v>16</v>
      </c>
      <c r="FM52" s="36" t="s">
        <v>1072</v>
      </c>
      <c r="FN52" s="95"/>
      <c r="FO52" s="95">
        <v>3</v>
      </c>
      <c r="FP52" s="95">
        <v>3</v>
      </c>
      <c r="FQ52" s="95">
        <v>0</v>
      </c>
      <c r="FR52" s="95"/>
      <c r="FS52" s="95">
        <v>6</v>
      </c>
      <c r="FU52" s="37"/>
      <c r="FV52" s="616"/>
      <c r="FW52" s="4357" t="s">
        <v>1144</v>
      </c>
      <c r="FX52" s="616" t="s">
        <v>16</v>
      </c>
      <c r="FY52" s="616" t="s">
        <v>1072</v>
      </c>
      <c r="FZ52" s="616">
        <v>0</v>
      </c>
      <c r="GA52" s="616">
        <v>1</v>
      </c>
      <c r="GB52" s="616">
        <v>0</v>
      </c>
      <c r="GC52" s="616">
        <v>6</v>
      </c>
      <c r="GD52" s="616">
        <v>1</v>
      </c>
      <c r="GE52" s="616">
        <v>0</v>
      </c>
      <c r="GF52" s="616">
        <v>8</v>
      </c>
      <c r="GG52" s="616"/>
      <c r="GH52" s="617"/>
      <c r="GI52" s="37"/>
    </row>
    <row r="53" spans="6:191">
      <c r="K53" s="6997"/>
      <c r="L53" s="6997"/>
      <c r="S53" s="6983" t="s">
        <v>2881</v>
      </c>
      <c r="T53" s="6983"/>
      <c r="U53" s="6983"/>
      <c r="V53" s="6983"/>
      <c r="W53" s="6983"/>
      <c r="Y53" s="4528"/>
      <c r="Z53" s="4528"/>
      <c r="AA53" s="4527"/>
      <c r="AB53" s="4527"/>
      <c r="AC53" s="4648"/>
      <c r="AD53" s="4648"/>
      <c r="AG53" s="36"/>
      <c r="AH53" s="36"/>
      <c r="AI53" s="36"/>
      <c r="AJ53" s="36" t="s">
        <v>1076</v>
      </c>
      <c r="AK53" s="1681">
        <v>0</v>
      </c>
      <c r="AL53" s="1681">
        <v>0</v>
      </c>
      <c r="AM53" s="1681">
        <v>0</v>
      </c>
      <c r="AN53" s="1681">
        <v>0</v>
      </c>
      <c r="AO53" s="1681">
        <v>1</v>
      </c>
      <c r="AP53" s="95">
        <v>1</v>
      </c>
      <c r="AQ53" s="95">
        <v>2</v>
      </c>
      <c r="AR53" s="393"/>
      <c r="AS53" s="27"/>
      <c r="AT53" s="36"/>
      <c r="AU53" s="36"/>
      <c r="AV53" s="36"/>
      <c r="AW53" s="36" t="s">
        <v>1142</v>
      </c>
      <c r="AX53" s="1681">
        <v>0</v>
      </c>
      <c r="AY53" s="1681">
        <v>0</v>
      </c>
      <c r="AZ53" s="1681">
        <v>0</v>
      </c>
      <c r="BA53" s="1681">
        <v>28</v>
      </c>
      <c r="BB53" s="1681"/>
      <c r="BC53" s="95"/>
      <c r="BD53" s="95"/>
      <c r="BE53" s="95"/>
      <c r="BF53" s="95"/>
      <c r="BG53" s="95">
        <v>28</v>
      </c>
      <c r="BH53" s="560"/>
      <c r="BJ53" s="4215"/>
      <c r="BK53" s="4215"/>
      <c r="BL53" s="4222" t="s">
        <v>109</v>
      </c>
      <c r="BM53" s="4341" t="s">
        <v>1072</v>
      </c>
      <c r="BN53" s="4342">
        <f>3</f>
        <v>3</v>
      </c>
      <c r="BO53" s="4342">
        <v>2</v>
      </c>
      <c r="BP53" s="4342">
        <f>8-1</f>
        <v>7</v>
      </c>
      <c r="BQ53" s="4342">
        <v>0</v>
      </c>
      <c r="BR53" s="4342">
        <f>0+1</f>
        <v>1</v>
      </c>
      <c r="BS53" s="4342"/>
      <c r="BT53" s="4342">
        <f>13</f>
        <v>13</v>
      </c>
      <c r="BU53" s="4222"/>
      <c r="BW53" s="36"/>
      <c r="BX53" s="36"/>
      <c r="BY53" s="36" t="s">
        <v>528</v>
      </c>
      <c r="BZ53" s="36" t="s">
        <v>1142</v>
      </c>
      <c r="CA53" s="1682"/>
      <c r="CB53" s="1682"/>
      <c r="CC53" s="1682"/>
      <c r="CD53" s="1682"/>
      <c r="CE53" s="1682"/>
      <c r="CF53" s="1682"/>
      <c r="CG53" s="1682"/>
      <c r="CH53" s="1682">
        <v>5</v>
      </c>
      <c r="CI53" s="2041">
        <v>5</v>
      </c>
      <c r="CJ53" s="560"/>
      <c r="CN53" s="393"/>
      <c r="CO53" s="393" t="s">
        <v>1076</v>
      </c>
      <c r="CP53" s="1682">
        <v>0</v>
      </c>
      <c r="CQ53" s="1682"/>
      <c r="CR53" s="1682">
        <v>13</v>
      </c>
      <c r="CS53" s="1682">
        <v>2</v>
      </c>
      <c r="CT53" s="4212">
        <v>1</v>
      </c>
      <c r="CU53" s="4212">
        <v>0</v>
      </c>
      <c r="CV53" s="4212">
        <v>16</v>
      </c>
      <c r="CY53" s="95" t="s">
        <v>48</v>
      </c>
      <c r="CZ53" s="95" t="s">
        <v>16</v>
      </c>
      <c r="DA53" s="36" t="s">
        <v>110</v>
      </c>
      <c r="DB53" s="36" t="s">
        <v>1071</v>
      </c>
      <c r="DC53" s="1484"/>
      <c r="DD53" s="1484"/>
      <c r="DE53" s="1484">
        <v>0</v>
      </c>
      <c r="DF53" s="1484">
        <v>2</v>
      </c>
      <c r="DG53" s="95">
        <v>32</v>
      </c>
      <c r="DH53" s="95"/>
      <c r="DI53" s="95">
        <v>34</v>
      </c>
      <c r="DL53" s="1191"/>
      <c r="DM53" s="1191"/>
      <c r="DN53" s="1191"/>
      <c r="DO53" s="1192" t="s">
        <v>1076</v>
      </c>
      <c r="DP53" s="1193"/>
      <c r="DQ53" s="1194">
        <v>0</v>
      </c>
      <c r="DR53" s="1193"/>
      <c r="DS53" s="1194">
        <v>1</v>
      </c>
      <c r="DT53" s="1194">
        <v>4</v>
      </c>
      <c r="DU53" s="1196">
        <v>0</v>
      </c>
      <c r="DV53" s="1196">
        <v>5</v>
      </c>
      <c r="DW53" s="1187"/>
      <c r="DY53" s="427"/>
      <c r="DZ53" s="427"/>
      <c r="EA53" s="428"/>
      <c r="EB53" s="429" t="s">
        <v>1142</v>
      </c>
      <c r="EC53" s="430">
        <v>0</v>
      </c>
      <c r="ED53" s="430">
        <v>0</v>
      </c>
      <c r="EE53" s="430">
        <v>5</v>
      </c>
      <c r="EF53" s="430">
        <v>1</v>
      </c>
      <c r="EG53" s="432">
        <v>0</v>
      </c>
      <c r="EH53" s="432">
        <v>6</v>
      </c>
      <c r="EI53" s="36"/>
      <c r="EK53" s="433"/>
      <c r="EL53" s="433"/>
      <c r="EM53" s="434"/>
      <c r="EN53" s="457" t="s">
        <v>15</v>
      </c>
      <c r="EO53" s="459"/>
      <c r="EP53" s="458">
        <v>3</v>
      </c>
      <c r="EQ53" s="458">
        <v>11</v>
      </c>
      <c r="ER53" s="458">
        <v>6</v>
      </c>
      <c r="ES53" s="461">
        <v>3</v>
      </c>
      <c r="ET53" s="461">
        <v>2</v>
      </c>
      <c r="EU53" s="461">
        <v>25</v>
      </c>
      <c r="EV53" s="440">
        <f>+(EU52+EU50-ES52-ET50-ES50)/EU53</f>
        <v>0.64</v>
      </c>
      <c r="EZ53" s="441"/>
      <c r="FA53" s="442" t="s">
        <v>1076</v>
      </c>
      <c r="FB53" s="444">
        <v>0</v>
      </c>
      <c r="FC53" s="443"/>
      <c r="FD53" s="444">
        <v>7</v>
      </c>
      <c r="FE53" s="443"/>
      <c r="FF53" s="443"/>
      <c r="FG53" s="444">
        <v>7</v>
      </c>
      <c r="FH53" s="445"/>
      <c r="FK53" s="95"/>
      <c r="FL53" s="95"/>
      <c r="FM53" s="36" t="s">
        <v>1076</v>
      </c>
      <c r="FN53" s="95"/>
      <c r="FO53" s="95">
        <v>0</v>
      </c>
      <c r="FP53" s="95">
        <v>2</v>
      </c>
      <c r="FQ53" s="95">
        <v>0</v>
      </c>
      <c r="FR53" s="95"/>
      <c r="FS53" s="95">
        <v>2</v>
      </c>
      <c r="FU53" s="37"/>
      <c r="FV53" s="616"/>
      <c r="FW53" s="4357"/>
      <c r="FX53" s="616"/>
      <c r="FY53" s="616" t="s">
        <v>1076</v>
      </c>
      <c r="FZ53" s="616">
        <v>0</v>
      </c>
      <c r="GA53" s="616">
        <v>0</v>
      </c>
      <c r="GB53" s="616">
        <v>0</v>
      </c>
      <c r="GC53" s="616">
        <v>2</v>
      </c>
      <c r="GD53" s="616">
        <v>0</v>
      </c>
      <c r="GE53" s="616">
        <v>0</v>
      </c>
      <c r="GF53" s="616">
        <v>2</v>
      </c>
      <c r="GG53" s="616"/>
      <c r="GH53" s="617"/>
      <c r="GI53" s="37"/>
    </row>
    <row r="54" spans="6:191">
      <c r="S54" s="6983"/>
      <c r="T54" s="6983"/>
      <c r="U54" s="6983"/>
      <c r="V54" s="6983"/>
      <c r="W54" s="6983"/>
      <c r="Y54" s="4528"/>
      <c r="Z54" s="4528"/>
      <c r="AA54" s="4527"/>
      <c r="AB54" s="4527"/>
      <c r="AC54" s="4648"/>
      <c r="AD54" s="4648"/>
      <c r="AG54" s="36"/>
      <c r="AH54" s="36"/>
      <c r="AI54" s="36"/>
      <c r="AJ54" s="36" t="s">
        <v>1081</v>
      </c>
      <c r="AK54" s="1681">
        <v>0</v>
      </c>
      <c r="AL54" s="1681">
        <v>0</v>
      </c>
      <c r="AM54" s="1681">
        <v>0</v>
      </c>
      <c r="AN54" s="1681">
        <v>25</v>
      </c>
      <c r="AO54" s="1681">
        <v>0</v>
      </c>
      <c r="AP54" s="95">
        <v>0</v>
      </c>
      <c r="AQ54" s="95">
        <v>25</v>
      </c>
      <c r="AR54" s="393"/>
      <c r="AS54" s="27"/>
      <c r="AT54" s="36"/>
      <c r="AU54" s="36"/>
      <c r="AV54" s="36"/>
      <c r="AW54" s="36" t="s">
        <v>15</v>
      </c>
      <c r="AX54" s="1681">
        <v>11</v>
      </c>
      <c r="AY54" s="1681">
        <v>4</v>
      </c>
      <c r="AZ54" s="1681">
        <v>3</v>
      </c>
      <c r="BA54" s="1681">
        <v>48</v>
      </c>
      <c r="BB54" s="1681"/>
      <c r="BC54" s="95"/>
      <c r="BD54" s="95"/>
      <c r="BE54" s="95"/>
      <c r="BF54" s="95"/>
      <c r="BG54" s="95">
        <v>66</v>
      </c>
      <c r="BH54" s="560">
        <f>+(BG50+BG53)/(BG54-BG52)</f>
        <v>0.72727272727272729</v>
      </c>
      <c r="BJ54" s="4215"/>
      <c r="BK54" s="4215"/>
      <c r="BL54" s="4215"/>
      <c r="BM54" s="4341" t="s">
        <v>1074</v>
      </c>
      <c r="BN54" s="4342">
        <v>2</v>
      </c>
      <c r="BO54" s="4342">
        <v>1</v>
      </c>
      <c r="BP54" s="4342">
        <v>0</v>
      </c>
      <c r="BQ54" s="4342">
        <v>0</v>
      </c>
      <c r="BR54" s="4342">
        <v>0</v>
      </c>
      <c r="BS54" s="4342"/>
      <c r="BT54" s="4342">
        <v>3</v>
      </c>
      <c r="BU54" s="4222"/>
      <c r="BW54" s="36"/>
      <c r="BX54" s="36"/>
      <c r="BY54" s="36"/>
      <c r="BZ54" s="393" t="s">
        <v>15</v>
      </c>
      <c r="CA54" s="1682"/>
      <c r="CB54" s="1682"/>
      <c r="CC54" s="1682"/>
      <c r="CD54" s="1682"/>
      <c r="CE54" s="1682"/>
      <c r="CF54" s="1682"/>
      <c r="CG54" s="1682"/>
      <c r="CH54" s="1682">
        <v>5</v>
      </c>
      <c r="CI54" s="2041">
        <v>5</v>
      </c>
      <c r="CJ54" s="560">
        <f>+CI53/CI54</f>
        <v>1</v>
      </c>
      <c r="CN54" s="393"/>
      <c r="CO54" s="393" t="s">
        <v>1077</v>
      </c>
      <c r="CP54" s="1682">
        <v>1</v>
      </c>
      <c r="CQ54" s="1682"/>
      <c r="CR54" s="1682">
        <v>0</v>
      </c>
      <c r="CS54" s="1682">
        <v>0</v>
      </c>
      <c r="CT54" s="4212">
        <v>0</v>
      </c>
      <c r="CU54" s="4212">
        <v>0</v>
      </c>
      <c r="CV54" s="4212">
        <v>1</v>
      </c>
      <c r="CY54" s="95"/>
      <c r="DB54" s="36" t="s">
        <v>1072</v>
      </c>
      <c r="DC54" s="1484"/>
      <c r="DD54" s="1484"/>
      <c r="DE54" s="1484">
        <v>2</v>
      </c>
      <c r="DF54" s="1484">
        <v>0</v>
      </c>
      <c r="DG54" s="95">
        <v>0</v>
      </c>
      <c r="DH54" s="95"/>
      <c r="DI54" s="95">
        <v>2</v>
      </c>
      <c r="DL54" s="1191"/>
      <c r="DM54" s="1191"/>
      <c r="DN54" s="1191"/>
      <c r="DO54" s="1192" t="s">
        <v>1077</v>
      </c>
      <c r="DP54" s="1193"/>
      <c r="DQ54" s="1194">
        <v>0</v>
      </c>
      <c r="DR54" s="1193"/>
      <c r="DS54" s="1194">
        <v>0</v>
      </c>
      <c r="DT54" s="1194">
        <v>2</v>
      </c>
      <c r="DU54" s="1196">
        <v>0</v>
      </c>
      <c r="DV54" s="1196">
        <v>2</v>
      </c>
      <c r="DW54" s="1187"/>
      <c r="DY54" s="427"/>
      <c r="DZ54" s="427"/>
      <c r="EA54" s="428"/>
      <c r="EB54" s="451" t="s">
        <v>485</v>
      </c>
      <c r="EC54" s="452">
        <v>2</v>
      </c>
      <c r="ED54" s="452">
        <v>1</v>
      </c>
      <c r="EE54" s="452">
        <v>10</v>
      </c>
      <c r="EF54" s="452">
        <v>5</v>
      </c>
      <c r="EG54" s="455">
        <v>6</v>
      </c>
      <c r="EH54" s="455">
        <v>24</v>
      </c>
      <c r="EI54" s="456">
        <f>+(EH50+EH53)/EH54</f>
        <v>0.41666666666666669</v>
      </c>
      <c r="EK54" s="433"/>
      <c r="EL54" s="433"/>
      <c r="EM54" s="434" t="s">
        <v>528</v>
      </c>
      <c r="EN54" s="435" t="s">
        <v>1071</v>
      </c>
      <c r="EO54" s="437"/>
      <c r="EP54" s="436">
        <v>0</v>
      </c>
      <c r="EQ54" s="437"/>
      <c r="ER54" s="436">
        <v>0</v>
      </c>
      <c r="ES54" s="439">
        <v>9</v>
      </c>
      <c r="ET54" s="438"/>
      <c r="EU54" s="439">
        <v>9</v>
      </c>
      <c r="EV54" s="440"/>
      <c r="EZ54" s="441"/>
      <c r="FA54" s="442" t="s">
        <v>1081</v>
      </c>
      <c r="FB54" s="444">
        <v>0</v>
      </c>
      <c r="FC54" s="443"/>
      <c r="FD54" s="444">
        <v>10</v>
      </c>
      <c r="FE54" s="443"/>
      <c r="FF54" s="443"/>
      <c r="FG54" s="444">
        <v>10</v>
      </c>
      <c r="FH54" s="445"/>
      <c r="FK54" s="95"/>
      <c r="FL54" s="95"/>
      <c r="FM54" s="36" t="s">
        <v>1077</v>
      </c>
      <c r="FN54" s="95"/>
      <c r="FO54" s="95">
        <v>0</v>
      </c>
      <c r="FP54" s="95">
        <v>0</v>
      </c>
      <c r="FQ54" s="95">
        <v>1</v>
      </c>
      <c r="FR54" s="95"/>
      <c r="FS54" s="95">
        <v>1</v>
      </c>
      <c r="FU54" s="37"/>
      <c r="FV54" s="616"/>
      <c r="FW54" s="4357"/>
      <c r="FX54" s="616"/>
      <c r="FY54" s="616" t="s">
        <v>1142</v>
      </c>
      <c r="FZ54" s="616">
        <v>0</v>
      </c>
      <c r="GA54" s="616">
        <v>0</v>
      </c>
      <c r="GB54" s="616">
        <v>0</v>
      </c>
      <c r="GC54" s="616">
        <v>5</v>
      </c>
      <c r="GD54" s="616">
        <v>0</v>
      </c>
      <c r="GE54" s="616">
        <v>0</v>
      </c>
      <c r="GF54" s="616">
        <v>5</v>
      </c>
      <c r="GG54" s="616"/>
      <c r="GH54" s="617"/>
      <c r="GI54" s="37"/>
    </row>
    <row r="55" spans="6:191">
      <c r="Y55" s="4528"/>
      <c r="Z55" s="4528"/>
      <c r="AA55" s="4527"/>
      <c r="AB55" s="4527"/>
      <c r="AC55" s="4648"/>
      <c r="AD55" s="4648"/>
      <c r="AG55" s="36"/>
      <c r="AH55" s="36"/>
      <c r="AI55" s="36"/>
      <c r="AJ55" s="36" t="s">
        <v>2571</v>
      </c>
      <c r="AK55" s="1681">
        <v>4</v>
      </c>
      <c r="AL55" s="1681">
        <v>0</v>
      </c>
      <c r="AM55" s="1681">
        <v>0</v>
      </c>
      <c r="AN55" s="1681">
        <v>0</v>
      </c>
      <c r="AO55" s="1681">
        <v>0</v>
      </c>
      <c r="AP55" s="95">
        <v>0</v>
      </c>
      <c r="AQ55" s="95">
        <v>4</v>
      </c>
      <c r="AR55" s="393"/>
      <c r="AS55" s="27"/>
      <c r="AT55" s="36"/>
      <c r="AU55" s="36" t="s">
        <v>41</v>
      </c>
      <c r="AV55" s="36" t="s">
        <v>107</v>
      </c>
      <c r="AW55" s="36" t="s">
        <v>1076</v>
      </c>
      <c r="AX55" s="1681"/>
      <c r="AY55" s="1681"/>
      <c r="AZ55" s="1681"/>
      <c r="BA55" s="1681">
        <v>1</v>
      </c>
      <c r="BB55" s="1681"/>
      <c r="BC55" s="95">
        <v>0</v>
      </c>
      <c r="BD55" s="95">
        <v>0</v>
      </c>
      <c r="BE55" s="95"/>
      <c r="BF55" s="95"/>
      <c r="BG55" s="95">
        <v>1</v>
      </c>
      <c r="BH55" s="560"/>
      <c r="BJ55" s="4215"/>
      <c r="BK55" s="4215"/>
      <c r="BL55" s="4215"/>
      <c r="BM55" s="4341" t="s">
        <v>1076</v>
      </c>
      <c r="BN55" s="4342">
        <v>0</v>
      </c>
      <c r="BO55" s="4342">
        <v>0</v>
      </c>
      <c r="BP55" s="4342">
        <f>40</f>
        <v>40</v>
      </c>
      <c r="BQ55" s="4342">
        <v>0</v>
      </c>
      <c r="BR55" s="4342">
        <v>0</v>
      </c>
      <c r="BS55" s="4342"/>
      <c r="BT55" s="4342">
        <f>40</f>
        <v>40</v>
      </c>
      <c r="BU55" s="4222"/>
      <c r="BW55" s="36"/>
      <c r="BX55" s="36"/>
      <c r="BY55" s="393" t="s">
        <v>485</v>
      </c>
      <c r="BZ55" s="393" t="s">
        <v>1072</v>
      </c>
      <c r="CA55" s="1682"/>
      <c r="CB55" s="1682">
        <v>1</v>
      </c>
      <c r="CC55" s="1682"/>
      <c r="CD55" s="1682">
        <v>1</v>
      </c>
      <c r="CE55" s="1682">
        <v>1</v>
      </c>
      <c r="CF55" s="2041">
        <v>0</v>
      </c>
      <c r="CG55" s="2041"/>
      <c r="CH55" s="2041"/>
      <c r="CI55" s="2041">
        <v>3</v>
      </c>
      <c r="CJ55" s="36"/>
      <c r="CN55" s="393"/>
      <c r="CO55" s="393" t="s">
        <v>1080</v>
      </c>
      <c r="CP55" s="1682">
        <v>0</v>
      </c>
      <c r="CQ55" s="1682"/>
      <c r="CR55" s="1682">
        <v>0</v>
      </c>
      <c r="CS55" s="1682">
        <v>0</v>
      </c>
      <c r="CT55" s="4212">
        <v>2</v>
      </c>
      <c r="CU55" s="4212">
        <v>1</v>
      </c>
      <c r="CV55" s="4212">
        <v>3</v>
      </c>
      <c r="CY55" s="95"/>
      <c r="DB55" s="393" t="s">
        <v>15</v>
      </c>
      <c r="DC55" s="1485"/>
      <c r="DD55" s="1485"/>
      <c r="DE55" s="1485">
        <v>2</v>
      </c>
      <c r="DF55" s="1485">
        <v>2</v>
      </c>
      <c r="DG55" s="4212">
        <v>32</v>
      </c>
      <c r="DH55" s="4212"/>
      <c r="DI55" s="4212">
        <v>36</v>
      </c>
      <c r="DJ55" s="560">
        <v>0</v>
      </c>
      <c r="DL55" s="1191"/>
      <c r="DM55" s="1191"/>
      <c r="DN55" s="1191"/>
      <c r="DO55" s="1192" t="s">
        <v>1080</v>
      </c>
      <c r="DP55" s="1193"/>
      <c r="DQ55" s="1194">
        <v>0</v>
      </c>
      <c r="DR55" s="1193"/>
      <c r="DS55" s="1194">
        <v>0</v>
      </c>
      <c r="DT55" s="1194">
        <v>0</v>
      </c>
      <c r="DU55" s="1196">
        <v>6</v>
      </c>
      <c r="DV55" s="1196">
        <v>6</v>
      </c>
      <c r="DW55" s="1187"/>
      <c r="DY55" s="427"/>
      <c r="DZ55" s="427"/>
      <c r="EA55" s="428" t="s">
        <v>109</v>
      </c>
      <c r="EB55" s="429" t="s">
        <v>1071</v>
      </c>
      <c r="EC55" s="430">
        <v>0</v>
      </c>
      <c r="ED55" s="430">
        <v>0</v>
      </c>
      <c r="EE55" s="430">
        <v>0</v>
      </c>
      <c r="EF55" s="430">
        <v>1</v>
      </c>
      <c r="EG55" s="432">
        <v>5</v>
      </c>
      <c r="EH55" s="432">
        <v>6</v>
      </c>
      <c r="EI55" s="36"/>
      <c r="EK55" s="433"/>
      <c r="EL55" s="433"/>
      <c r="EM55" s="434"/>
      <c r="EN55" s="435" t="s">
        <v>1072</v>
      </c>
      <c r="EO55" s="437"/>
      <c r="EP55" s="436">
        <v>1</v>
      </c>
      <c r="EQ55" s="437"/>
      <c r="ER55" s="436">
        <v>1</v>
      </c>
      <c r="ES55" s="439">
        <v>0</v>
      </c>
      <c r="ET55" s="438"/>
      <c r="EU55" s="439">
        <v>2</v>
      </c>
      <c r="EV55" s="440"/>
      <c r="EX55" s="441"/>
      <c r="EZ55" s="441"/>
      <c r="FA55" s="442" t="s">
        <v>1142</v>
      </c>
      <c r="FB55" s="444">
        <v>0</v>
      </c>
      <c r="FC55" s="443"/>
      <c r="FD55" s="444">
        <v>5</v>
      </c>
      <c r="FE55" s="443"/>
      <c r="FF55" s="443"/>
      <c r="FG55" s="444">
        <v>5</v>
      </c>
      <c r="FH55" s="445"/>
      <c r="FK55" s="95"/>
      <c r="FL55" s="95"/>
      <c r="FM55" s="36" t="s">
        <v>1081</v>
      </c>
      <c r="FN55" s="95"/>
      <c r="FO55" s="95">
        <v>0</v>
      </c>
      <c r="FP55" s="95">
        <v>11</v>
      </c>
      <c r="FQ55" s="95">
        <v>0</v>
      </c>
      <c r="FR55" s="95"/>
      <c r="FS55" s="95">
        <v>11</v>
      </c>
      <c r="FU55" s="37"/>
      <c r="FV55" s="616"/>
      <c r="FW55" s="4357"/>
      <c r="FX55" s="616"/>
      <c r="FY55" s="627" t="s">
        <v>15</v>
      </c>
      <c r="FZ55" s="627">
        <v>0</v>
      </c>
      <c r="GA55" s="627">
        <v>1</v>
      </c>
      <c r="GB55" s="627">
        <v>0</v>
      </c>
      <c r="GC55" s="627">
        <v>13</v>
      </c>
      <c r="GD55" s="627">
        <v>1</v>
      </c>
      <c r="GE55" s="627">
        <v>0</v>
      </c>
      <c r="GF55" s="627">
        <v>15</v>
      </c>
      <c r="GG55" s="628">
        <f>+(GF54+GF53)/GF55</f>
        <v>0.46666666666666667</v>
      </c>
      <c r="GH55" s="617">
        <f>+GF53+GF54</f>
        <v>7</v>
      </c>
      <c r="GI55" s="37"/>
    </row>
    <row r="56" spans="6:191">
      <c r="Y56" s="4528"/>
      <c r="Z56" s="4528"/>
      <c r="AA56" s="4527"/>
      <c r="AB56" s="4527"/>
      <c r="AC56" s="4648"/>
      <c r="AD56" s="4648"/>
      <c r="AG56" s="36"/>
      <c r="AH56" s="36"/>
      <c r="AI56" s="36"/>
      <c r="AJ56" s="36" t="s">
        <v>15</v>
      </c>
      <c r="AK56" s="1681">
        <v>4</v>
      </c>
      <c r="AL56" s="1681">
        <v>2</v>
      </c>
      <c r="AM56" s="1681">
        <v>1</v>
      </c>
      <c r="AN56" s="1681">
        <v>26</v>
      </c>
      <c r="AO56" s="1681">
        <v>9</v>
      </c>
      <c r="AP56" s="95">
        <v>1</v>
      </c>
      <c r="AQ56" s="95">
        <v>43</v>
      </c>
      <c r="AR56" s="4536">
        <f>+(AO53+AN54)/(AQ56-AQ55-AQ44)</f>
        <v>0.78787878787878785</v>
      </c>
      <c r="AS56" s="4533"/>
      <c r="AT56" s="36"/>
      <c r="AU56" s="36"/>
      <c r="AV56" s="36"/>
      <c r="AW56" s="36" t="s">
        <v>1080</v>
      </c>
      <c r="AX56" s="1681"/>
      <c r="AY56" s="1681"/>
      <c r="AZ56" s="1681"/>
      <c r="BA56" s="1681">
        <v>0</v>
      </c>
      <c r="BB56" s="1681"/>
      <c r="BC56" s="95">
        <v>3</v>
      </c>
      <c r="BD56" s="95">
        <v>1</v>
      </c>
      <c r="BE56" s="95"/>
      <c r="BF56" s="95"/>
      <c r="BG56" s="95">
        <v>4</v>
      </c>
      <c r="BH56" s="560"/>
      <c r="BJ56" s="4215"/>
      <c r="BK56" s="4215"/>
      <c r="BL56" s="4215"/>
      <c r="BM56" s="4341" t="s">
        <v>1077</v>
      </c>
      <c r="BN56" s="4342">
        <v>0</v>
      </c>
      <c r="BO56" s="4342">
        <v>0</v>
      </c>
      <c r="BP56" s="4342">
        <v>1</v>
      </c>
      <c r="BQ56" s="4342">
        <v>0</v>
      </c>
      <c r="BR56" s="4342">
        <v>0</v>
      </c>
      <c r="BS56" s="4342"/>
      <c r="BT56" s="4342">
        <v>1</v>
      </c>
      <c r="BU56" s="4222"/>
      <c r="BW56" s="36"/>
      <c r="BX56" s="36"/>
      <c r="BY56" s="393"/>
      <c r="BZ56" s="393" t="s">
        <v>1076</v>
      </c>
      <c r="CA56" s="1682"/>
      <c r="CB56" s="1682">
        <v>0</v>
      </c>
      <c r="CC56" s="1682"/>
      <c r="CD56" s="1682">
        <v>1</v>
      </c>
      <c r="CE56" s="1682">
        <v>0</v>
      </c>
      <c r="CF56" s="2041">
        <v>3</v>
      </c>
      <c r="CG56" s="2041"/>
      <c r="CH56" s="2041"/>
      <c r="CI56" s="2041">
        <v>4</v>
      </c>
      <c r="CJ56" s="36"/>
      <c r="CN56" s="393"/>
      <c r="CO56" s="393" t="s">
        <v>1142</v>
      </c>
      <c r="CP56" s="1682">
        <v>0</v>
      </c>
      <c r="CQ56" s="1682"/>
      <c r="CR56" s="1682">
        <v>1</v>
      </c>
      <c r="CS56" s="1682">
        <v>1</v>
      </c>
      <c r="CT56" s="4212">
        <v>1</v>
      </c>
      <c r="CU56" s="4212">
        <v>0</v>
      </c>
      <c r="CV56" s="4212">
        <v>3</v>
      </c>
      <c r="CY56" s="95"/>
      <c r="DA56" s="36" t="s">
        <v>483</v>
      </c>
      <c r="DB56" s="36" t="s">
        <v>1071</v>
      </c>
      <c r="DC56" s="1484"/>
      <c r="DD56" s="1484"/>
      <c r="DE56" s="1484">
        <v>0</v>
      </c>
      <c r="DF56" s="1484">
        <v>2</v>
      </c>
      <c r="DG56" s="95">
        <v>32</v>
      </c>
      <c r="DH56" s="95"/>
      <c r="DI56" s="95">
        <v>34</v>
      </c>
      <c r="DL56" s="1191"/>
      <c r="DM56" s="1191"/>
      <c r="DN56" s="1191"/>
      <c r="DO56" s="1192" t="s">
        <v>1142</v>
      </c>
      <c r="DP56" s="1193"/>
      <c r="DQ56" s="1194">
        <v>0</v>
      </c>
      <c r="DR56" s="1193"/>
      <c r="DS56" s="1194">
        <v>4</v>
      </c>
      <c r="DT56" s="1194">
        <v>1</v>
      </c>
      <c r="DU56" s="1196">
        <v>0</v>
      </c>
      <c r="DV56" s="1196">
        <v>5</v>
      </c>
      <c r="DW56" s="1187"/>
      <c r="DY56" s="427"/>
      <c r="DZ56" s="427"/>
      <c r="EA56" s="428"/>
      <c r="EB56" s="429" t="s">
        <v>1072</v>
      </c>
      <c r="EC56" s="430">
        <v>2</v>
      </c>
      <c r="ED56" s="430">
        <v>2</v>
      </c>
      <c r="EE56" s="430">
        <v>4</v>
      </c>
      <c r="EF56" s="430">
        <v>1</v>
      </c>
      <c r="EG56" s="432">
        <v>0</v>
      </c>
      <c r="EH56" s="432">
        <v>9</v>
      </c>
      <c r="EI56" s="36"/>
      <c r="EK56" s="433"/>
      <c r="EL56" s="433"/>
      <c r="EM56" s="434"/>
      <c r="EN56" s="457" t="s">
        <v>15</v>
      </c>
      <c r="EO56" s="459"/>
      <c r="EP56" s="458">
        <v>1</v>
      </c>
      <c r="EQ56" s="459"/>
      <c r="ER56" s="458">
        <v>1</v>
      </c>
      <c r="ES56" s="461">
        <v>9</v>
      </c>
      <c r="ET56" s="460"/>
      <c r="EU56" s="461">
        <v>11</v>
      </c>
      <c r="EV56" s="440">
        <v>0</v>
      </c>
      <c r="EX56" s="441"/>
      <c r="EZ56" s="441"/>
      <c r="FA56" s="462" t="s">
        <v>483</v>
      </c>
      <c r="FB56" s="464">
        <v>1</v>
      </c>
      <c r="FC56" s="463"/>
      <c r="FD56" s="464">
        <v>25</v>
      </c>
      <c r="FE56" s="463"/>
      <c r="FF56" s="463"/>
      <c r="FG56" s="464">
        <v>26</v>
      </c>
      <c r="FH56" s="465">
        <f>+(FG55+FG54+FG53)/FG56</f>
        <v>0.84615384615384615</v>
      </c>
      <c r="FK56" s="95"/>
      <c r="FL56" s="95"/>
      <c r="FM56" s="36" t="s">
        <v>1142</v>
      </c>
      <c r="FN56" s="95"/>
      <c r="FO56" s="95">
        <v>0</v>
      </c>
      <c r="FP56" s="95">
        <v>4</v>
      </c>
      <c r="FQ56" s="95">
        <v>0</v>
      </c>
      <c r="FR56" s="95"/>
      <c r="FS56" s="95">
        <v>4</v>
      </c>
      <c r="FU56" s="37"/>
      <c r="FV56" s="616"/>
      <c r="FW56" s="4357"/>
      <c r="FX56" s="616" t="s">
        <v>103</v>
      </c>
      <c r="FY56" s="616" t="s">
        <v>1071</v>
      </c>
      <c r="FZ56" s="616">
        <v>0</v>
      </c>
      <c r="GA56" s="616">
        <v>0</v>
      </c>
      <c r="GB56" s="616">
        <v>0</v>
      </c>
      <c r="GC56" s="616">
        <v>1</v>
      </c>
      <c r="GD56" s="616">
        <v>2</v>
      </c>
      <c r="GE56" s="616">
        <v>9</v>
      </c>
      <c r="GF56" s="616">
        <v>12</v>
      </c>
      <c r="GG56" s="616"/>
      <c r="GH56" s="617"/>
      <c r="GI56" s="37"/>
    </row>
    <row r="57" spans="6:191">
      <c r="Y57" s="4528"/>
      <c r="Z57" s="4528"/>
      <c r="AA57" s="4527"/>
      <c r="AB57" s="4527"/>
      <c r="AC57" s="4648"/>
      <c r="AD57" s="4648"/>
      <c r="AG57" s="36" t="s">
        <v>48</v>
      </c>
      <c r="AH57" s="36" t="s">
        <v>16</v>
      </c>
      <c r="AI57" s="36" t="s">
        <v>110</v>
      </c>
      <c r="AJ57" s="36" t="s">
        <v>1071</v>
      </c>
      <c r="AK57" s="1681"/>
      <c r="AL57" s="1681"/>
      <c r="AM57" s="1681"/>
      <c r="AN57" s="1681"/>
      <c r="AO57" s="1681">
        <v>0</v>
      </c>
      <c r="AP57" s="95">
        <v>18</v>
      </c>
      <c r="AQ57" s="95">
        <v>18</v>
      </c>
      <c r="AR57" s="393"/>
      <c r="AS57" s="27"/>
      <c r="AT57" s="36"/>
      <c r="AU57" s="36"/>
      <c r="AV57" s="36"/>
      <c r="AW57" s="36" t="s">
        <v>15</v>
      </c>
      <c r="AX57" s="1681"/>
      <c r="AY57" s="1681"/>
      <c r="AZ57" s="1681"/>
      <c r="BA57" s="1681">
        <v>1</v>
      </c>
      <c r="BB57" s="1681"/>
      <c r="BC57" s="95">
        <v>3</v>
      </c>
      <c r="BD57" s="95">
        <v>1</v>
      </c>
      <c r="BE57" s="95"/>
      <c r="BF57" s="95"/>
      <c r="BG57" s="95">
        <v>5</v>
      </c>
      <c r="BH57" s="560">
        <f>+(BG55)/(BG57)</f>
        <v>0.2</v>
      </c>
      <c r="BJ57" s="4215"/>
      <c r="BK57" s="4215"/>
      <c r="BL57" s="4215"/>
      <c r="BM57" s="4341" t="s">
        <v>1080</v>
      </c>
      <c r="BN57" s="4342">
        <v>0</v>
      </c>
      <c r="BO57" s="4342">
        <v>0</v>
      </c>
      <c r="BP57" s="4342">
        <v>0</v>
      </c>
      <c r="BQ57" s="4342">
        <f>3</f>
        <v>3</v>
      </c>
      <c r="BR57" s="4342">
        <v>1</v>
      </c>
      <c r="BS57" s="4342">
        <f>2+2</f>
        <v>4</v>
      </c>
      <c r="BT57" s="4342">
        <f>4+2+2</f>
        <v>8</v>
      </c>
      <c r="BU57" s="4222"/>
      <c r="BW57" s="36"/>
      <c r="BX57" s="36"/>
      <c r="BY57" s="393"/>
      <c r="BZ57" s="393" t="s">
        <v>1080</v>
      </c>
      <c r="CA57" s="1682"/>
      <c r="CB57" s="1682">
        <v>0</v>
      </c>
      <c r="CC57" s="1682"/>
      <c r="CD57" s="1682">
        <v>0</v>
      </c>
      <c r="CE57" s="1682">
        <v>0</v>
      </c>
      <c r="CF57" s="2041">
        <v>1</v>
      </c>
      <c r="CG57" s="2041"/>
      <c r="CH57" s="2041"/>
      <c r="CI57" s="2041">
        <v>1</v>
      </c>
      <c r="CJ57" s="36"/>
      <c r="CO57" s="393" t="s">
        <v>109</v>
      </c>
      <c r="CP57" s="1682">
        <v>1</v>
      </c>
      <c r="CQ57" s="1682"/>
      <c r="CR57" s="1682">
        <v>14</v>
      </c>
      <c r="CS57" s="1682">
        <v>4</v>
      </c>
      <c r="CT57" s="4212">
        <v>9</v>
      </c>
      <c r="CU57" s="4212">
        <v>4</v>
      </c>
      <c r="CV57" s="4212">
        <v>32</v>
      </c>
      <c r="CW57" s="560">
        <f>+(CV53-CT53+CV56-CT56)/(CV57-CV44-CV33)</f>
        <v>0.70833333333333337</v>
      </c>
      <c r="CY57" s="95"/>
      <c r="DB57" s="36" t="s">
        <v>1072</v>
      </c>
      <c r="DC57" s="1484"/>
      <c r="DD57" s="1484"/>
      <c r="DE57" s="1484">
        <v>2</v>
      </c>
      <c r="DF57" s="1484">
        <v>0</v>
      </c>
      <c r="DG57" s="95">
        <v>0</v>
      </c>
      <c r="DH57" s="95"/>
      <c r="DI57" s="95">
        <v>2</v>
      </c>
      <c r="DL57" s="1191"/>
      <c r="DM57" s="1191"/>
      <c r="DN57" s="1191"/>
      <c r="DO57" s="1186" t="s">
        <v>485</v>
      </c>
      <c r="DP57" s="1197"/>
      <c r="DQ57" s="1198">
        <v>1</v>
      </c>
      <c r="DR57" s="1197">
        <v>1</v>
      </c>
      <c r="DS57" s="1198">
        <v>7</v>
      </c>
      <c r="DT57" s="1198">
        <v>11</v>
      </c>
      <c r="DU57" s="1200">
        <v>6</v>
      </c>
      <c r="DV57" s="1200">
        <v>26</v>
      </c>
      <c r="DW57" s="1178">
        <f>+(DV53+DV56)/DV57</f>
        <v>0.38461538461538464</v>
      </c>
      <c r="DY57" s="427"/>
      <c r="DZ57" s="427"/>
      <c r="EA57" s="428"/>
      <c r="EB57" s="429" t="s">
        <v>1076</v>
      </c>
      <c r="EC57" s="430">
        <v>0</v>
      </c>
      <c r="ED57" s="430">
        <v>0</v>
      </c>
      <c r="EE57" s="430">
        <v>3</v>
      </c>
      <c r="EF57" s="430">
        <v>3</v>
      </c>
      <c r="EG57" s="432">
        <v>0</v>
      </c>
      <c r="EH57" s="432">
        <v>6</v>
      </c>
      <c r="EI57" s="36"/>
      <c r="EK57" s="433"/>
      <c r="EL57" s="433"/>
      <c r="EM57" s="457" t="s">
        <v>485</v>
      </c>
      <c r="EN57" s="435" t="s">
        <v>1071</v>
      </c>
      <c r="EO57" s="437"/>
      <c r="EP57" s="436">
        <v>0</v>
      </c>
      <c r="EQ57" s="436">
        <v>0</v>
      </c>
      <c r="ER57" s="436">
        <v>0</v>
      </c>
      <c r="ES57" s="439">
        <v>10</v>
      </c>
      <c r="ET57" s="439">
        <v>0</v>
      </c>
      <c r="EU57" s="439">
        <v>10</v>
      </c>
      <c r="EV57" s="440"/>
      <c r="FK57" s="95"/>
      <c r="FL57" s="95"/>
      <c r="FM57" s="393" t="s">
        <v>15</v>
      </c>
      <c r="FN57" s="4212"/>
      <c r="FO57" s="4212">
        <v>3</v>
      </c>
      <c r="FP57" s="4212">
        <v>20</v>
      </c>
      <c r="FQ57" s="4212">
        <v>1</v>
      </c>
      <c r="FR57" s="4212"/>
      <c r="FS57" s="4212">
        <v>24</v>
      </c>
      <c r="FT57" s="631">
        <f>+(FS53+FS55+FS56)/FS57</f>
        <v>0.70833333333333337</v>
      </c>
      <c r="FU57" s="37"/>
      <c r="FV57" s="616"/>
      <c r="FW57" s="4357"/>
      <c r="FX57" s="616"/>
      <c r="FY57" s="616" t="s">
        <v>1072</v>
      </c>
      <c r="FZ57" s="616">
        <v>0</v>
      </c>
      <c r="GA57" s="616">
        <v>2</v>
      </c>
      <c r="GB57" s="616">
        <v>4</v>
      </c>
      <c r="GC57" s="616">
        <v>7</v>
      </c>
      <c r="GD57" s="616">
        <v>0</v>
      </c>
      <c r="GE57" s="616">
        <v>0</v>
      </c>
      <c r="GF57" s="616">
        <v>13</v>
      </c>
      <c r="GG57" s="616"/>
      <c r="GH57" s="617"/>
      <c r="GI57" s="37"/>
    </row>
    <row r="58" spans="6:191">
      <c r="Y58" s="4528"/>
      <c r="Z58" s="4528"/>
      <c r="AA58" s="4527"/>
      <c r="AB58" s="4527"/>
      <c r="AC58" s="4648"/>
      <c r="AD58" s="4648"/>
      <c r="AG58" s="36"/>
      <c r="AH58" s="36"/>
      <c r="AI58" s="36"/>
      <c r="AJ58" s="36" t="s">
        <v>1072</v>
      </c>
      <c r="AK58" s="1681"/>
      <c r="AL58" s="1681"/>
      <c r="AM58" s="1681"/>
      <c r="AN58" s="1681"/>
      <c r="AO58" s="1681">
        <v>1</v>
      </c>
      <c r="AP58" s="95">
        <v>0</v>
      </c>
      <c r="AQ58" s="95">
        <v>1</v>
      </c>
      <c r="AR58" s="393"/>
      <c r="AS58" s="27"/>
      <c r="AT58" s="36"/>
      <c r="AU58" s="36"/>
      <c r="AV58" s="36" t="s">
        <v>108</v>
      </c>
      <c r="AW58" s="1487" t="s">
        <v>1072</v>
      </c>
      <c r="AX58" s="1681"/>
      <c r="AY58" s="1681">
        <v>1</v>
      </c>
      <c r="AZ58" s="1681"/>
      <c r="BA58" s="1681"/>
      <c r="BB58" s="1681"/>
      <c r="BC58" s="1681">
        <v>1</v>
      </c>
      <c r="BD58" s="1681"/>
      <c r="BE58" s="1681">
        <v>0</v>
      </c>
      <c r="BF58" s="1681">
        <v>0</v>
      </c>
      <c r="BG58" s="95">
        <v>2</v>
      </c>
      <c r="BH58" s="560"/>
      <c r="BJ58" s="4215"/>
      <c r="BK58" s="4215"/>
      <c r="BL58" s="4215"/>
      <c r="BM58" s="4341" t="s">
        <v>1081</v>
      </c>
      <c r="BN58" s="4342">
        <v>0</v>
      </c>
      <c r="BO58" s="4342">
        <v>0</v>
      </c>
      <c r="BP58" s="4342">
        <v>1</v>
      </c>
      <c r="BQ58" s="4342">
        <v>0</v>
      </c>
      <c r="BR58" s="4342">
        <v>0</v>
      </c>
      <c r="BS58" s="4342"/>
      <c r="BT58" s="4342">
        <v>1</v>
      </c>
      <c r="BU58" s="4222"/>
      <c r="BW58" s="36"/>
      <c r="BX58" s="36"/>
      <c r="BY58" s="393"/>
      <c r="BZ58" s="393" t="s">
        <v>1142</v>
      </c>
      <c r="CA58" s="1682"/>
      <c r="CB58" s="1682">
        <v>0</v>
      </c>
      <c r="CC58" s="1682"/>
      <c r="CD58" s="1682">
        <v>1</v>
      </c>
      <c r="CE58" s="1682">
        <v>0</v>
      </c>
      <c r="CF58" s="2041">
        <v>0</v>
      </c>
      <c r="CG58" s="2041"/>
      <c r="CH58" s="2041">
        <v>5</v>
      </c>
      <c r="CI58" s="2041">
        <v>6</v>
      </c>
      <c r="CJ58" s="36"/>
      <c r="CL58" s="36" t="s">
        <v>59</v>
      </c>
      <c r="CM58" s="36" t="s">
        <v>64</v>
      </c>
      <c r="CN58" s="36" t="s">
        <v>609</v>
      </c>
      <c r="CO58" s="36" t="s">
        <v>1072</v>
      </c>
      <c r="CP58" s="1681">
        <v>1</v>
      </c>
      <c r="CQ58" s="1681">
        <v>1</v>
      </c>
      <c r="CR58" s="1681">
        <v>0</v>
      </c>
      <c r="CS58" s="1681"/>
      <c r="CT58" s="95"/>
      <c r="CU58" s="95"/>
      <c r="CV58" s="95">
        <v>2</v>
      </c>
      <c r="CY58" s="95"/>
      <c r="DB58" s="393" t="s">
        <v>483</v>
      </c>
      <c r="DC58" s="1485"/>
      <c r="DD58" s="1485"/>
      <c r="DE58" s="1485">
        <v>2</v>
      </c>
      <c r="DF58" s="1485">
        <v>2</v>
      </c>
      <c r="DG58" s="4212">
        <v>32</v>
      </c>
      <c r="DH58" s="4212"/>
      <c r="DI58" s="4212">
        <v>36</v>
      </c>
      <c r="DJ58" s="560">
        <v>0</v>
      </c>
      <c r="DL58" s="1191"/>
      <c r="DM58" s="1191"/>
      <c r="DN58" s="1191" t="s">
        <v>109</v>
      </c>
      <c r="DO58" s="1192" t="s">
        <v>1072</v>
      </c>
      <c r="DP58" s="1193"/>
      <c r="DQ58" s="1194">
        <v>1</v>
      </c>
      <c r="DR58" s="1193">
        <v>1</v>
      </c>
      <c r="DS58" s="1194">
        <v>2</v>
      </c>
      <c r="DT58" s="1194">
        <v>4</v>
      </c>
      <c r="DU58" s="1196">
        <v>0</v>
      </c>
      <c r="DV58" s="1196">
        <v>8</v>
      </c>
      <c r="DW58" s="1187"/>
      <c r="DY58" s="427"/>
      <c r="DZ58" s="427"/>
      <c r="EA58" s="428"/>
      <c r="EB58" s="429" t="s">
        <v>1077</v>
      </c>
      <c r="EC58" s="430">
        <v>4</v>
      </c>
      <c r="ED58" s="430">
        <v>1</v>
      </c>
      <c r="EE58" s="430">
        <v>4</v>
      </c>
      <c r="EF58" s="430">
        <v>0</v>
      </c>
      <c r="EG58" s="432">
        <v>1</v>
      </c>
      <c r="EH58" s="432">
        <v>10</v>
      </c>
      <c r="EI58" s="36"/>
      <c r="EK58" s="433"/>
      <c r="EL58" s="433"/>
      <c r="EM58" s="434"/>
      <c r="EN58" s="435" t="s">
        <v>1072</v>
      </c>
      <c r="EO58" s="437"/>
      <c r="EP58" s="436">
        <v>1</v>
      </c>
      <c r="EQ58" s="436">
        <v>1</v>
      </c>
      <c r="ER58" s="436">
        <v>1</v>
      </c>
      <c r="ES58" s="439">
        <v>0</v>
      </c>
      <c r="ET58" s="439">
        <v>0</v>
      </c>
      <c r="EU58" s="439">
        <v>3</v>
      </c>
      <c r="EV58" s="440"/>
      <c r="FK58" s="95"/>
      <c r="FL58" s="95" t="s">
        <v>103</v>
      </c>
      <c r="FM58" s="36" t="s">
        <v>1071</v>
      </c>
      <c r="FN58" s="95">
        <v>0</v>
      </c>
      <c r="FO58" s="95">
        <v>0</v>
      </c>
      <c r="FP58" s="95">
        <v>0</v>
      </c>
      <c r="FQ58" s="95">
        <v>0</v>
      </c>
      <c r="FR58" s="95">
        <v>29</v>
      </c>
      <c r="FS58" s="95">
        <v>29</v>
      </c>
      <c r="FU58" s="37"/>
      <c r="FV58" s="616"/>
      <c r="FW58" s="4357"/>
      <c r="FX58" s="616"/>
      <c r="FY58" s="616" t="s">
        <v>1076</v>
      </c>
      <c r="FZ58" s="616">
        <v>0</v>
      </c>
      <c r="GA58" s="616">
        <v>0</v>
      </c>
      <c r="GB58" s="616">
        <v>0</v>
      </c>
      <c r="GC58" s="616">
        <v>0</v>
      </c>
      <c r="GD58" s="616">
        <v>1</v>
      </c>
      <c r="GE58" s="616">
        <v>0</v>
      </c>
      <c r="GF58" s="616">
        <v>1</v>
      </c>
      <c r="GG58" s="616"/>
      <c r="GH58" s="617"/>
      <c r="GI58" s="37"/>
    </row>
    <row r="59" spans="6:191">
      <c r="Y59" s="4528"/>
      <c r="Z59" s="4528"/>
      <c r="AA59" s="4527"/>
      <c r="AB59" s="4527"/>
      <c r="AC59" s="4648"/>
      <c r="AD59" s="4648"/>
      <c r="AG59" s="36"/>
      <c r="AH59" s="36"/>
      <c r="AI59" s="36"/>
      <c r="AJ59" s="36" t="s">
        <v>1080</v>
      </c>
      <c r="AK59" s="1681"/>
      <c r="AL59" s="1681"/>
      <c r="AM59" s="1681"/>
      <c r="AN59" s="1681"/>
      <c r="AO59" s="1681">
        <v>0</v>
      </c>
      <c r="AP59" s="95">
        <v>1</v>
      </c>
      <c r="AQ59" s="95">
        <v>1</v>
      </c>
      <c r="AR59" s="393"/>
      <c r="AS59" s="27"/>
      <c r="AT59" s="36"/>
      <c r="AU59" s="36"/>
      <c r="AV59" s="36"/>
      <c r="AW59" s="1487" t="s">
        <v>1080</v>
      </c>
      <c r="AX59" s="1681"/>
      <c r="AY59" s="1681">
        <v>0</v>
      </c>
      <c r="AZ59" s="1681"/>
      <c r="BA59" s="1681"/>
      <c r="BB59" s="1681"/>
      <c r="BC59" s="1681">
        <v>0</v>
      </c>
      <c r="BD59" s="1681"/>
      <c r="BE59" s="1681">
        <v>1</v>
      </c>
      <c r="BF59" s="1681">
        <v>1</v>
      </c>
      <c r="BG59" s="95">
        <v>2</v>
      </c>
      <c r="BH59" s="560"/>
      <c r="BJ59" s="4215"/>
      <c r="BK59" s="4338"/>
      <c r="BL59" s="4338"/>
      <c r="BM59" s="4343" t="s">
        <v>109</v>
      </c>
      <c r="BN59" s="4344">
        <f>5</f>
        <v>5</v>
      </c>
      <c r="BO59" s="4344">
        <v>3</v>
      </c>
      <c r="BP59" s="4344">
        <f>50-1</f>
        <v>49</v>
      </c>
      <c r="BQ59" s="4344">
        <f>4-1</f>
        <v>3</v>
      </c>
      <c r="BR59" s="4344">
        <f>2</f>
        <v>2</v>
      </c>
      <c r="BS59" s="4344">
        <f>2+2</f>
        <v>4</v>
      </c>
      <c r="BT59" s="4344">
        <f>64+2</f>
        <v>66</v>
      </c>
      <c r="BU59" s="4227">
        <f>+(BT55+BT58)/BT59</f>
        <v>0.62121212121212122</v>
      </c>
      <c r="BW59" s="36"/>
      <c r="BX59" s="36"/>
      <c r="BY59" s="393"/>
      <c r="BZ59" s="393" t="s">
        <v>485</v>
      </c>
      <c r="CA59" s="1682"/>
      <c r="CB59" s="1682">
        <v>1</v>
      </c>
      <c r="CC59" s="1682"/>
      <c r="CD59" s="1682">
        <v>3</v>
      </c>
      <c r="CE59" s="1682">
        <v>1</v>
      </c>
      <c r="CF59" s="2041">
        <v>4</v>
      </c>
      <c r="CG59" s="2041"/>
      <c r="CH59" s="2041">
        <v>5</v>
      </c>
      <c r="CI59" s="2041">
        <v>14</v>
      </c>
      <c r="CJ59" s="560">
        <f>+(CI58+CI56-CF56)/CI59</f>
        <v>0.5</v>
      </c>
      <c r="CO59" s="36" t="s">
        <v>1077</v>
      </c>
      <c r="CP59" s="1681">
        <v>1</v>
      </c>
      <c r="CQ59" s="1681">
        <v>0</v>
      </c>
      <c r="CR59" s="1681">
        <v>1</v>
      </c>
      <c r="CS59" s="1681"/>
      <c r="CT59" s="95"/>
      <c r="CU59" s="95"/>
      <c r="CV59" s="95">
        <v>2</v>
      </c>
      <c r="CY59" s="95"/>
      <c r="CZ59" s="95" t="s">
        <v>41</v>
      </c>
      <c r="DA59" s="36" t="s">
        <v>137</v>
      </c>
      <c r="DB59" s="36" t="s">
        <v>1071</v>
      </c>
      <c r="DC59" s="1484"/>
      <c r="DD59" s="1484"/>
      <c r="DE59" s="1484"/>
      <c r="DF59" s="1484">
        <v>0</v>
      </c>
      <c r="DG59" s="95">
        <v>9</v>
      </c>
      <c r="DH59" s="95"/>
      <c r="DI59" s="95">
        <v>9</v>
      </c>
      <c r="DL59" s="1191"/>
      <c r="DM59" s="1191"/>
      <c r="DN59" s="1191"/>
      <c r="DO59" s="1192" t="s">
        <v>1076</v>
      </c>
      <c r="DP59" s="1193"/>
      <c r="DQ59" s="1194">
        <v>0</v>
      </c>
      <c r="DR59" s="1193"/>
      <c r="DS59" s="1194">
        <v>13</v>
      </c>
      <c r="DT59" s="1194">
        <v>4</v>
      </c>
      <c r="DU59" s="1196">
        <v>0</v>
      </c>
      <c r="DV59" s="1196">
        <v>17</v>
      </c>
      <c r="DW59" s="1187"/>
      <c r="DY59" s="427"/>
      <c r="DZ59" s="427"/>
      <c r="EA59" s="428"/>
      <c r="EB59" s="429" t="s">
        <v>1081</v>
      </c>
      <c r="EC59" s="430">
        <v>0</v>
      </c>
      <c r="ED59" s="430">
        <v>0</v>
      </c>
      <c r="EE59" s="430">
        <v>1</v>
      </c>
      <c r="EF59" s="430">
        <v>0</v>
      </c>
      <c r="EG59" s="432">
        <v>0</v>
      </c>
      <c r="EH59" s="432">
        <v>1</v>
      </c>
      <c r="EI59" s="36"/>
      <c r="EK59" s="433"/>
      <c r="EL59" s="433"/>
      <c r="EM59" s="434"/>
      <c r="EN59" s="435" t="s">
        <v>1074</v>
      </c>
      <c r="EO59" s="437"/>
      <c r="EP59" s="436">
        <v>2</v>
      </c>
      <c r="EQ59" s="436">
        <v>0</v>
      </c>
      <c r="ER59" s="436">
        <v>0</v>
      </c>
      <c r="ES59" s="439">
        <v>0</v>
      </c>
      <c r="ET59" s="439">
        <v>0</v>
      </c>
      <c r="EU59" s="439">
        <v>2</v>
      </c>
      <c r="EV59" s="440"/>
      <c r="FK59" s="95"/>
      <c r="FL59" s="95"/>
      <c r="FM59" s="36" t="s">
        <v>1072</v>
      </c>
      <c r="FN59" s="95">
        <v>2</v>
      </c>
      <c r="FO59" s="95">
        <v>3</v>
      </c>
      <c r="FP59" s="95">
        <v>5</v>
      </c>
      <c r="FQ59" s="95">
        <v>0</v>
      </c>
      <c r="FR59" s="95">
        <v>0</v>
      </c>
      <c r="FS59" s="95">
        <v>10</v>
      </c>
      <c r="FU59" s="37"/>
      <c r="FV59" s="616"/>
      <c r="FW59" s="4357"/>
      <c r="FX59" s="616"/>
      <c r="FY59" s="616" t="s">
        <v>1077</v>
      </c>
      <c r="FZ59" s="616">
        <v>0</v>
      </c>
      <c r="GA59" s="616">
        <v>0</v>
      </c>
      <c r="GB59" s="616">
        <v>1</v>
      </c>
      <c r="GC59" s="616">
        <v>0</v>
      </c>
      <c r="GD59" s="616">
        <v>0</v>
      </c>
      <c r="GE59" s="616">
        <v>0</v>
      </c>
      <c r="GF59" s="616">
        <v>1</v>
      </c>
      <c r="GG59" s="616"/>
      <c r="GH59" s="617"/>
      <c r="GI59" s="37"/>
    </row>
    <row r="60" spans="6:191">
      <c r="Y60" s="4528"/>
      <c r="Z60" s="4528"/>
      <c r="AA60" s="4527"/>
      <c r="AB60" s="4527"/>
      <c r="AC60" s="4648"/>
      <c r="AD60" s="4648"/>
      <c r="AG60" s="36"/>
      <c r="AH60" s="36"/>
      <c r="AI60" s="36"/>
      <c r="AJ60" s="36" t="s">
        <v>15</v>
      </c>
      <c r="AK60" s="1681"/>
      <c r="AL60" s="1681"/>
      <c r="AM60" s="1681"/>
      <c r="AN60" s="1681"/>
      <c r="AO60" s="1681">
        <v>1</v>
      </c>
      <c r="AP60" s="95">
        <v>19</v>
      </c>
      <c r="AQ60" s="95">
        <v>20</v>
      </c>
      <c r="AR60" s="4536">
        <v>0</v>
      </c>
      <c r="AS60" s="4533"/>
      <c r="AT60" s="36"/>
      <c r="AU60" s="36"/>
      <c r="AV60" s="36"/>
      <c r="AW60" s="36" t="s">
        <v>15</v>
      </c>
      <c r="AX60" s="1681"/>
      <c r="AY60" s="1681">
        <v>1</v>
      </c>
      <c r="AZ60" s="1681"/>
      <c r="BA60" s="1681">
        <v>1</v>
      </c>
      <c r="BB60" s="1681"/>
      <c r="BC60" s="1681">
        <v>1</v>
      </c>
      <c r="BD60" s="1681"/>
      <c r="BE60" s="1681"/>
      <c r="BF60" s="1681"/>
      <c r="BG60" s="95">
        <v>3</v>
      </c>
      <c r="BH60" s="560">
        <v>0</v>
      </c>
      <c r="BJ60" s="4215" t="s">
        <v>59</v>
      </c>
      <c r="BK60" s="4215" t="s">
        <v>64</v>
      </c>
      <c r="BL60" s="4215" t="s">
        <v>609</v>
      </c>
      <c r="BM60" s="4215" t="s">
        <v>1081</v>
      </c>
      <c r="BN60" s="4221"/>
      <c r="BO60" s="4221"/>
      <c r="BP60" s="4221">
        <v>1</v>
      </c>
      <c r="BQ60" s="4221"/>
      <c r="BR60" s="4221"/>
      <c r="BS60" s="4221"/>
      <c r="BT60" s="4221">
        <v>1</v>
      </c>
      <c r="BU60" s="4215"/>
      <c r="BW60" s="36"/>
      <c r="BX60" s="36"/>
      <c r="BY60" s="393" t="s">
        <v>109</v>
      </c>
      <c r="BZ60" s="393" t="s">
        <v>1071</v>
      </c>
      <c r="CA60" s="1682"/>
      <c r="CB60" s="1682">
        <v>0</v>
      </c>
      <c r="CC60" s="1682">
        <v>0</v>
      </c>
      <c r="CD60" s="1682">
        <v>0</v>
      </c>
      <c r="CE60" s="1682">
        <v>1</v>
      </c>
      <c r="CF60" s="2041">
        <v>0</v>
      </c>
      <c r="CG60" s="2041"/>
      <c r="CH60" s="2041"/>
      <c r="CI60" s="2041">
        <v>1</v>
      </c>
      <c r="CJ60" s="36"/>
      <c r="CO60" s="36" t="s">
        <v>1142</v>
      </c>
      <c r="CP60" s="1681">
        <v>0</v>
      </c>
      <c r="CQ60" s="1681">
        <v>0</v>
      </c>
      <c r="CR60" s="1681">
        <v>1</v>
      </c>
      <c r="CS60" s="1681"/>
      <c r="CT60" s="95"/>
      <c r="CU60" s="95"/>
      <c r="CV60" s="95">
        <v>1</v>
      </c>
      <c r="CY60" s="95"/>
      <c r="DB60" s="36" t="s">
        <v>1076</v>
      </c>
      <c r="DC60" s="1484"/>
      <c r="DD60" s="1484"/>
      <c r="DE60" s="1484"/>
      <c r="DF60" s="1484">
        <v>2</v>
      </c>
      <c r="DG60" s="95">
        <v>0</v>
      </c>
      <c r="DH60" s="95"/>
      <c r="DI60" s="95">
        <v>2</v>
      </c>
      <c r="DL60" s="1191"/>
      <c r="DM60" s="1191"/>
      <c r="DN60" s="1191"/>
      <c r="DO60" s="1192" t="s">
        <v>1077</v>
      </c>
      <c r="DP60" s="1193"/>
      <c r="DQ60" s="1194">
        <v>0</v>
      </c>
      <c r="DR60" s="1193"/>
      <c r="DS60" s="1194">
        <v>0</v>
      </c>
      <c r="DT60" s="1194">
        <v>2</v>
      </c>
      <c r="DU60" s="1196">
        <v>0</v>
      </c>
      <c r="DV60" s="1196">
        <v>2</v>
      </c>
      <c r="DW60" s="1187"/>
      <c r="DY60" s="427"/>
      <c r="DZ60" s="427"/>
      <c r="EA60" s="428"/>
      <c r="EB60" s="429" t="s">
        <v>1142</v>
      </c>
      <c r="EC60" s="430">
        <v>0</v>
      </c>
      <c r="ED60" s="430">
        <v>0</v>
      </c>
      <c r="EE60" s="430">
        <v>24</v>
      </c>
      <c r="EF60" s="430">
        <v>1</v>
      </c>
      <c r="EG60" s="432">
        <v>0</v>
      </c>
      <c r="EH60" s="432">
        <v>25</v>
      </c>
      <c r="EI60" s="36"/>
      <c r="EK60" s="433"/>
      <c r="EL60" s="433"/>
      <c r="EM60" s="434"/>
      <c r="EN60" s="435" t="s">
        <v>1076</v>
      </c>
      <c r="EO60" s="437"/>
      <c r="EP60" s="436">
        <v>0</v>
      </c>
      <c r="EQ60" s="436">
        <v>7</v>
      </c>
      <c r="ER60" s="436">
        <v>3</v>
      </c>
      <c r="ES60" s="439">
        <v>1</v>
      </c>
      <c r="ET60" s="439">
        <v>1</v>
      </c>
      <c r="EU60" s="439">
        <v>12</v>
      </c>
      <c r="EV60" s="440"/>
      <c r="FK60" s="95"/>
      <c r="FL60" s="95"/>
      <c r="FM60" s="36" t="s">
        <v>1074</v>
      </c>
      <c r="FN60" s="95">
        <v>0</v>
      </c>
      <c r="FO60" s="95">
        <v>1</v>
      </c>
      <c r="FP60" s="95">
        <v>0</v>
      </c>
      <c r="FQ60" s="95">
        <v>0</v>
      </c>
      <c r="FR60" s="95">
        <v>0</v>
      </c>
      <c r="FS60" s="95">
        <v>1</v>
      </c>
      <c r="FU60" s="37"/>
      <c r="FV60" s="616"/>
      <c r="FW60" s="4357"/>
      <c r="FX60" s="616"/>
      <c r="FY60" s="616" t="s">
        <v>1080</v>
      </c>
      <c r="FZ60" s="616">
        <v>0</v>
      </c>
      <c r="GA60" s="616">
        <v>0</v>
      </c>
      <c r="GB60" s="616">
        <v>0</v>
      </c>
      <c r="GC60" s="616">
        <v>0</v>
      </c>
      <c r="GD60" s="616">
        <v>1</v>
      </c>
      <c r="GE60" s="616">
        <v>1</v>
      </c>
      <c r="GF60" s="616">
        <v>2</v>
      </c>
      <c r="GG60" s="616"/>
      <c r="GH60" s="617"/>
      <c r="GI60" s="37"/>
    </row>
    <row r="61" spans="6:191">
      <c r="Y61" s="4528"/>
      <c r="Z61" s="4528"/>
      <c r="AA61" s="4527"/>
      <c r="AB61" s="4527"/>
      <c r="AC61" s="4648"/>
      <c r="AD61" s="4648"/>
      <c r="AG61" s="36"/>
      <c r="AH61" s="36"/>
      <c r="AI61" s="393" t="s">
        <v>483</v>
      </c>
      <c r="AJ61" s="36" t="s">
        <v>1071</v>
      </c>
      <c r="AK61" s="1681"/>
      <c r="AL61" s="1681"/>
      <c r="AM61" s="1681"/>
      <c r="AN61" s="1681"/>
      <c r="AO61" s="1681">
        <v>0</v>
      </c>
      <c r="AP61" s="95">
        <v>18</v>
      </c>
      <c r="AQ61" s="95">
        <v>18</v>
      </c>
      <c r="AR61" s="393"/>
      <c r="AS61" s="27"/>
      <c r="AT61" s="36"/>
      <c r="AU61" s="36"/>
      <c r="AV61" s="36" t="s">
        <v>485</v>
      </c>
      <c r="AW61" s="36" t="s">
        <v>1072</v>
      </c>
      <c r="AX61" s="1681">
        <f>+AX58</f>
        <v>0</v>
      </c>
      <c r="AY61" s="1681">
        <f>+AY58</f>
        <v>1</v>
      </c>
      <c r="AZ61" s="1681">
        <f>+AZ58</f>
        <v>0</v>
      </c>
      <c r="BA61" s="1681">
        <f>+BA58</f>
        <v>0</v>
      </c>
      <c r="BB61" s="1681">
        <f>+BB58</f>
        <v>0</v>
      </c>
      <c r="BC61" s="1681">
        <v>1</v>
      </c>
      <c r="BD61" s="1681">
        <v>0</v>
      </c>
      <c r="BE61" s="1681">
        <f>+BE58</f>
        <v>0</v>
      </c>
      <c r="BF61" s="1681">
        <f>+BF58</f>
        <v>0</v>
      </c>
      <c r="BG61" s="95">
        <f>+BG58</f>
        <v>2</v>
      </c>
      <c r="BH61" s="560"/>
      <c r="BJ61" s="4215"/>
      <c r="BK61" s="4215"/>
      <c r="BL61" s="4215"/>
      <c r="BM61" s="4215" t="s">
        <v>1142</v>
      </c>
      <c r="BN61" s="4221"/>
      <c r="BO61" s="4221"/>
      <c r="BP61" s="4221">
        <v>1</v>
      </c>
      <c r="BQ61" s="4221"/>
      <c r="BR61" s="4221"/>
      <c r="BS61" s="4221"/>
      <c r="BT61" s="4221">
        <v>1</v>
      </c>
      <c r="BU61" s="4215"/>
      <c r="BW61" s="36"/>
      <c r="BX61" s="36"/>
      <c r="BY61" s="393"/>
      <c r="BZ61" s="393" t="s">
        <v>1072</v>
      </c>
      <c r="CA61" s="1682"/>
      <c r="CB61" s="1682">
        <v>1</v>
      </c>
      <c r="CC61" s="1682">
        <v>0</v>
      </c>
      <c r="CD61" s="1682">
        <v>1</v>
      </c>
      <c r="CE61" s="1682">
        <v>1</v>
      </c>
      <c r="CF61" s="2041">
        <v>0</v>
      </c>
      <c r="CG61" s="2041"/>
      <c r="CH61" s="2041"/>
      <c r="CI61" s="2041">
        <v>3</v>
      </c>
      <c r="CJ61" s="36"/>
      <c r="CO61" s="393" t="s">
        <v>15</v>
      </c>
      <c r="CP61" s="1682">
        <v>2</v>
      </c>
      <c r="CQ61" s="1682">
        <v>1</v>
      </c>
      <c r="CR61" s="1682">
        <v>2</v>
      </c>
      <c r="CS61" s="1682"/>
      <c r="CT61" s="4212"/>
      <c r="CU61" s="4212"/>
      <c r="CV61" s="4212">
        <v>5</v>
      </c>
      <c r="CW61" s="560">
        <f>+CV60/CV61</f>
        <v>0.2</v>
      </c>
      <c r="CY61" s="95"/>
      <c r="DB61" s="36" t="s">
        <v>1081</v>
      </c>
      <c r="DC61" s="1484"/>
      <c r="DD61" s="1484"/>
      <c r="DE61" s="1484"/>
      <c r="DF61" s="1484">
        <v>1</v>
      </c>
      <c r="DG61" s="95">
        <v>0</v>
      </c>
      <c r="DH61" s="95"/>
      <c r="DI61" s="95">
        <v>1</v>
      </c>
      <c r="DL61" s="1191"/>
      <c r="DM61" s="1191"/>
      <c r="DN61" s="1191"/>
      <c r="DO61" s="1192" t="s">
        <v>1080</v>
      </c>
      <c r="DP61" s="1193"/>
      <c r="DQ61" s="1194">
        <v>0</v>
      </c>
      <c r="DR61" s="1193"/>
      <c r="DS61" s="1194">
        <v>0</v>
      </c>
      <c r="DT61" s="1194">
        <v>0</v>
      </c>
      <c r="DU61" s="1196">
        <v>6</v>
      </c>
      <c r="DV61" s="1196">
        <v>6</v>
      </c>
      <c r="DW61" s="1187"/>
      <c r="DY61" s="427"/>
      <c r="DZ61" s="427"/>
      <c r="EA61" s="428"/>
      <c r="EB61" s="451" t="s">
        <v>109</v>
      </c>
      <c r="EC61" s="452">
        <v>6</v>
      </c>
      <c r="ED61" s="452">
        <v>3</v>
      </c>
      <c r="EE61" s="452">
        <v>36</v>
      </c>
      <c r="EF61" s="452">
        <v>6</v>
      </c>
      <c r="EG61" s="455">
        <v>6</v>
      </c>
      <c r="EH61" s="455">
        <v>57</v>
      </c>
      <c r="EI61" s="456">
        <f>+(EH57+EH59+EH60)/EH61</f>
        <v>0.56140350877192979</v>
      </c>
      <c r="EK61" s="433"/>
      <c r="EL61" s="433"/>
      <c r="EM61" s="434"/>
      <c r="EN61" s="435" t="s">
        <v>1077</v>
      </c>
      <c r="EO61" s="437"/>
      <c r="EP61" s="436">
        <v>1</v>
      </c>
      <c r="EQ61" s="436">
        <v>0</v>
      </c>
      <c r="ER61" s="436">
        <v>0</v>
      </c>
      <c r="ES61" s="439">
        <v>0</v>
      </c>
      <c r="ET61" s="439">
        <v>1</v>
      </c>
      <c r="EU61" s="439">
        <v>2</v>
      </c>
      <c r="EV61" s="440"/>
      <c r="FK61" s="95"/>
      <c r="FL61" s="95"/>
      <c r="FM61" s="36" t="s">
        <v>1076</v>
      </c>
      <c r="FN61" s="95">
        <v>0</v>
      </c>
      <c r="FO61" s="95">
        <v>0</v>
      </c>
      <c r="FP61" s="95">
        <v>1</v>
      </c>
      <c r="FQ61" s="95">
        <v>7</v>
      </c>
      <c r="FR61" s="95">
        <v>0</v>
      </c>
      <c r="FS61" s="95">
        <v>8</v>
      </c>
      <c r="FU61" s="37"/>
      <c r="FV61" s="616"/>
      <c r="FW61" s="4357"/>
      <c r="FX61" s="616"/>
      <c r="FY61" s="616" t="s">
        <v>1081</v>
      </c>
      <c r="FZ61" s="616">
        <v>0</v>
      </c>
      <c r="GA61" s="616">
        <v>0</v>
      </c>
      <c r="GB61" s="616">
        <v>0</v>
      </c>
      <c r="GC61" s="616">
        <v>1</v>
      </c>
      <c r="GD61" s="616">
        <v>20</v>
      </c>
      <c r="GE61" s="616">
        <v>0</v>
      </c>
      <c r="GF61" s="616">
        <v>21</v>
      </c>
      <c r="GG61" s="616"/>
      <c r="GH61" s="617"/>
      <c r="GI61" s="37"/>
    </row>
    <row r="62" spans="6:191">
      <c r="Y62" s="4528"/>
      <c r="Z62" s="4528"/>
      <c r="AA62" s="4527"/>
      <c r="AB62" s="4527"/>
      <c r="AC62" s="4648"/>
      <c r="AD62" s="4648"/>
      <c r="AG62" s="36"/>
      <c r="AH62" s="36"/>
      <c r="AI62" s="36"/>
      <c r="AJ62" s="36" t="s">
        <v>1072</v>
      </c>
      <c r="AK62" s="1681"/>
      <c r="AL62" s="1681"/>
      <c r="AM62" s="1681"/>
      <c r="AN62" s="1681"/>
      <c r="AO62" s="1681">
        <v>1</v>
      </c>
      <c r="AP62" s="95">
        <v>0</v>
      </c>
      <c r="AQ62" s="95">
        <v>1</v>
      </c>
      <c r="AR62" s="393"/>
      <c r="AS62" s="27"/>
      <c r="AT62" s="36"/>
      <c r="AU62" s="36"/>
      <c r="AV62" s="36"/>
      <c r="AW62" s="36" t="s">
        <v>1076</v>
      </c>
      <c r="AX62" s="1681">
        <f>+AX55</f>
        <v>0</v>
      </c>
      <c r="AY62" s="1681">
        <f t="shared" ref="AY62:BG62" si="0">+AY55</f>
        <v>0</v>
      </c>
      <c r="AZ62" s="1681">
        <f t="shared" si="0"/>
        <v>0</v>
      </c>
      <c r="BA62" s="1681">
        <f t="shared" si="0"/>
        <v>1</v>
      </c>
      <c r="BB62" s="1681">
        <f t="shared" si="0"/>
        <v>0</v>
      </c>
      <c r="BC62" s="1681">
        <f t="shared" si="0"/>
        <v>0</v>
      </c>
      <c r="BD62" s="1681">
        <f t="shared" si="0"/>
        <v>0</v>
      </c>
      <c r="BE62" s="1681">
        <f t="shared" si="0"/>
        <v>0</v>
      </c>
      <c r="BF62" s="1681">
        <f t="shared" si="0"/>
        <v>0</v>
      </c>
      <c r="BG62" s="4326">
        <f t="shared" si="0"/>
        <v>1</v>
      </c>
      <c r="BH62" s="560"/>
      <c r="BJ62" s="4215"/>
      <c r="BK62" s="4215"/>
      <c r="BL62" s="4215"/>
      <c r="BM62" s="4222" t="s">
        <v>15</v>
      </c>
      <c r="BN62" s="4223"/>
      <c r="BO62" s="4223"/>
      <c r="BP62" s="4223">
        <v>2</v>
      </c>
      <c r="BQ62" s="4223"/>
      <c r="BR62" s="4223"/>
      <c r="BS62" s="4223"/>
      <c r="BT62" s="4223">
        <v>2</v>
      </c>
      <c r="BU62" s="4224">
        <f>+(BT60+BT61)/BT62</f>
        <v>1</v>
      </c>
      <c r="BW62" s="36"/>
      <c r="BX62" s="36"/>
      <c r="BY62" s="393"/>
      <c r="BZ62" s="393" t="s">
        <v>1074</v>
      </c>
      <c r="CA62" s="1682"/>
      <c r="CB62" s="1682">
        <v>2</v>
      </c>
      <c r="CC62" s="1682">
        <v>0</v>
      </c>
      <c r="CD62" s="1682">
        <v>0</v>
      </c>
      <c r="CE62" s="1682">
        <v>0</v>
      </c>
      <c r="CF62" s="2041">
        <v>0</v>
      </c>
      <c r="CG62" s="2041"/>
      <c r="CH62" s="2041"/>
      <c r="CI62" s="2041">
        <v>2</v>
      </c>
      <c r="CJ62" s="36"/>
      <c r="CN62" s="36" t="s">
        <v>487</v>
      </c>
      <c r="CO62" s="36" t="s">
        <v>1072</v>
      </c>
      <c r="CP62" s="1681">
        <v>1</v>
      </c>
      <c r="CQ62" s="1681">
        <v>1</v>
      </c>
      <c r="CR62" s="1681">
        <v>0</v>
      </c>
      <c r="CS62" s="1681"/>
      <c r="CT62" s="95"/>
      <c r="CU62" s="95"/>
      <c r="CV62" s="95">
        <v>2</v>
      </c>
      <c r="CY62" s="95"/>
      <c r="DB62" s="393" t="s">
        <v>15</v>
      </c>
      <c r="DC62" s="1485"/>
      <c r="DD62" s="1485"/>
      <c r="DE62" s="1485"/>
      <c r="DF62" s="1485">
        <v>3</v>
      </c>
      <c r="DG62" s="4212">
        <v>9</v>
      </c>
      <c r="DH62" s="4212"/>
      <c r="DI62" s="4212">
        <v>12</v>
      </c>
      <c r="DJ62" s="560">
        <f>+(DI60+DI61)/DI62</f>
        <v>0.25</v>
      </c>
      <c r="DL62" s="1191"/>
      <c r="DM62" s="1191"/>
      <c r="DN62" s="1191"/>
      <c r="DO62" s="1192" t="s">
        <v>1081</v>
      </c>
      <c r="DP62" s="1193"/>
      <c r="DQ62" s="1194">
        <v>0</v>
      </c>
      <c r="DR62" s="1193"/>
      <c r="DS62" s="1194">
        <v>2</v>
      </c>
      <c r="DT62" s="1194">
        <v>0</v>
      </c>
      <c r="DU62" s="1196">
        <v>0</v>
      </c>
      <c r="DV62" s="1196">
        <v>2</v>
      </c>
      <c r="DW62" s="1187"/>
      <c r="DY62" s="427" t="s">
        <v>48</v>
      </c>
      <c r="DZ62" s="427" t="s">
        <v>16</v>
      </c>
      <c r="EA62" s="428" t="s">
        <v>110</v>
      </c>
      <c r="EB62" s="429" t="s">
        <v>1071</v>
      </c>
      <c r="EC62" s="431"/>
      <c r="ED62" s="431"/>
      <c r="EE62" s="430">
        <v>0</v>
      </c>
      <c r="EF62" s="430">
        <v>0</v>
      </c>
      <c r="EG62" s="432">
        <v>6</v>
      </c>
      <c r="EH62" s="432">
        <v>6</v>
      </c>
      <c r="EI62" s="36"/>
      <c r="EK62" s="433"/>
      <c r="EL62" s="433"/>
      <c r="EM62" s="434"/>
      <c r="EN62" s="435" t="s">
        <v>1142</v>
      </c>
      <c r="EO62" s="437"/>
      <c r="EP62" s="436">
        <v>0</v>
      </c>
      <c r="EQ62" s="436">
        <v>3</v>
      </c>
      <c r="ER62" s="436">
        <v>3</v>
      </c>
      <c r="ES62" s="439">
        <v>1</v>
      </c>
      <c r="ET62" s="439">
        <v>0</v>
      </c>
      <c r="EU62" s="439">
        <v>7</v>
      </c>
      <c r="EV62" s="440"/>
      <c r="FK62" s="95"/>
      <c r="FL62" s="95"/>
      <c r="FM62" s="36" t="s">
        <v>1080</v>
      </c>
      <c r="FN62" s="95">
        <v>0</v>
      </c>
      <c r="FO62" s="95">
        <v>0</v>
      </c>
      <c r="FP62" s="95">
        <v>0</v>
      </c>
      <c r="FQ62" s="95">
        <v>0</v>
      </c>
      <c r="FR62" s="95">
        <v>1</v>
      </c>
      <c r="FS62" s="95">
        <v>1</v>
      </c>
      <c r="FU62" s="37"/>
      <c r="FV62" s="616"/>
      <c r="FW62" s="4357"/>
      <c r="FX62" s="616"/>
      <c r="FY62" s="627" t="s">
        <v>15</v>
      </c>
      <c r="FZ62" s="627">
        <v>0</v>
      </c>
      <c r="GA62" s="627">
        <v>2</v>
      </c>
      <c r="GB62" s="627">
        <v>5</v>
      </c>
      <c r="GC62" s="627">
        <v>9</v>
      </c>
      <c r="GD62" s="627">
        <v>24</v>
      </c>
      <c r="GE62" s="627">
        <v>10</v>
      </c>
      <c r="GF62" s="627">
        <v>50</v>
      </c>
      <c r="GG62" s="628">
        <f>+(GF61+GF58)/GF62</f>
        <v>0.44</v>
      </c>
      <c r="GH62" s="617">
        <f>+GF58+GF61</f>
        <v>22</v>
      </c>
      <c r="GI62" s="37"/>
    </row>
    <row r="63" spans="6:191">
      <c r="Y63" s="4528"/>
      <c r="Z63" s="4528"/>
      <c r="AA63" s="4527"/>
      <c r="AB63" s="4527"/>
      <c r="AC63" s="4648"/>
      <c r="AD63" s="4648"/>
      <c r="AG63" s="36"/>
      <c r="AH63" s="36"/>
      <c r="AI63" s="36"/>
      <c r="AJ63" s="36" t="s">
        <v>1080</v>
      </c>
      <c r="AK63" s="1681"/>
      <c r="AL63" s="1681"/>
      <c r="AM63" s="1681"/>
      <c r="AN63" s="1681"/>
      <c r="AO63" s="1681">
        <v>0</v>
      </c>
      <c r="AP63" s="95">
        <v>1</v>
      </c>
      <c r="AQ63" s="95">
        <v>1</v>
      </c>
      <c r="AR63" s="393"/>
      <c r="AS63" s="27"/>
      <c r="AT63" s="36"/>
      <c r="AU63" s="36"/>
      <c r="AV63" s="36"/>
      <c r="AW63" s="36" t="s">
        <v>1080</v>
      </c>
      <c r="AX63" s="1681">
        <f>+AX56+AX59</f>
        <v>0</v>
      </c>
      <c r="AY63" s="1681">
        <f t="shared" ref="AY63:BG63" si="1">+AY56+AY59</f>
        <v>0</v>
      </c>
      <c r="AZ63" s="1681">
        <f t="shared" si="1"/>
        <v>0</v>
      </c>
      <c r="BA63" s="1681">
        <f t="shared" si="1"/>
        <v>0</v>
      </c>
      <c r="BB63" s="1681">
        <f t="shared" si="1"/>
        <v>0</v>
      </c>
      <c r="BC63" s="1681">
        <f t="shared" si="1"/>
        <v>3</v>
      </c>
      <c r="BD63" s="1681">
        <f t="shared" si="1"/>
        <v>1</v>
      </c>
      <c r="BE63" s="1681">
        <f t="shared" si="1"/>
        <v>1</v>
      </c>
      <c r="BF63" s="1681">
        <f t="shared" si="1"/>
        <v>1</v>
      </c>
      <c r="BG63" s="4326">
        <f t="shared" si="1"/>
        <v>6</v>
      </c>
      <c r="BH63" s="560"/>
      <c r="BJ63" s="4215"/>
      <c r="BK63" s="4215"/>
      <c r="BL63" s="4222" t="s">
        <v>487</v>
      </c>
      <c r="BM63" s="4222" t="s">
        <v>1081</v>
      </c>
      <c r="BN63" s="4223"/>
      <c r="BO63" s="4223"/>
      <c r="BP63" s="4223">
        <v>1</v>
      </c>
      <c r="BQ63" s="4223"/>
      <c r="BR63" s="4223"/>
      <c r="BS63" s="4223"/>
      <c r="BT63" s="4223">
        <v>1</v>
      </c>
      <c r="BU63" s="4224"/>
      <c r="BW63" s="36"/>
      <c r="BX63" s="36"/>
      <c r="BY63" s="393"/>
      <c r="BZ63" s="393" t="s">
        <v>1076</v>
      </c>
      <c r="CA63" s="1682"/>
      <c r="CB63" s="1682">
        <v>0</v>
      </c>
      <c r="CC63" s="1682">
        <v>0</v>
      </c>
      <c r="CD63" s="1682">
        <v>2</v>
      </c>
      <c r="CE63" s="1682">
        <v>1</v>
      </c>
      <c r="CF63" s="2041">
        <v>3</v>
      </c>
      <c r="CG63" s="2041"/>
      <c r="CH63" s="2041"/>
      <c r="CI63" s="2041">
        <v>6</v>
      </c>
      <c r="CJ63" s="36"/>
      <c r="CO63" s="36" t="s">
        <v>1077</v>
      </c>
      <c r="CP63" s="1681">
        <v>1</v>
      </c>
      <c r="CQ63" s="1681">
        <v>0</v>
      </c>
      <c r="CR63" s="1681">
        <v>1</v>
      </c>
      <c r="CS63" s="1681"/>
      <c r="CT63" s="95"/>
      <c r="CU63" s="95"/>
      <c r="CV63" s="95">
        <v>2</v>
      </c>
      <c r="CY63" s="95"/>
      <c r="DA63" s="36" t="s">
        <v>485</v>
      </c>
      <c r="DB63" s="36" t="s">
        <v>1071</v>
      </c>
      <c r="DC63" s="1484"/>
      <c r="DD63" s="1484"/>
      <c r="DE63" s="1484"/>
      <c r="DF63" s="1484">
        <v>0</v>
      </c>
      <c r="DG63" s="95">
        <v>9</v>
      </c>
      <c r="DH63" s="95"/>
      <c r="DI63" s="95">
        <v>9</v>
      </c>
      <c r="DL63" s="1191"/>
      <c r="DM63" s="1191"/>
      <c r="DN63" s="1191"/>
      <c r="DO63" s="1192" t="s">
        <v>1142</v>
      </c>
      <c r="DP63" s="1193"/>
      <c r="DQ63" s="1194">
        <v>0</v>
      </c>
      <c r="DR63" s="1193"/>
      <c r="DS63" s="1194">
        <v>5</v>
      </c>
      <c r="DT63" s="1194">
        <v>1</v>
      </c>
      <c r="DU63" s="1196">
        <v>0</v>
      </c>
      <c r="DV63" s="1196">
        <v>6</v>
      </c>
      <c r="DW63" s="1187"/>
      <c r="DY63" s="427"/>
      <c r="DZ63" s="427"/>
      <c r="EA63" s="428"/>
      <c r="EB63" s="429" t="s">
        <v>1080</v>
      </c>
      <c r="EC63" s="431"/>
      <c r="ED63" s="431"/>
      <c r="EE63" s="430">
        <v>0</v>
      </c>
      <c r="EF63" s="430">
        <v>0</v>
      </c>
      <c r="EG63" s="432">
        <v>1</v>
      </c>
      <c r="EH63" s="432">
        <v>1</v>
      </c>
      <c r="EI63" s="36"/>
      <c r="EK63" s="433"/>
      <c r="EL63" s="433"/>
      <c r="EM63" s="434"/>
      <c r="EN63" s="457" t="s">
        <v>485</v>
      </c>
      <c r="EO63" s="459"/>
      <c r="EP63" s="458">
        <v>4</v>
      </c>
      <c r="EQ63" s="458">
        <v>11</v>
      </c>
      <c r="ER63" s="458">
        <v>7</v>
      </c>
      <c r="ES63" s="461">
        <v>12</v>
      </c>
      <c r="ET63" s="461">
        <v>2</v>
      </c>
      <c r="EU63" s="461">
        <v>36</v>
      </c>
      <c r="EV63" s="440">
        <f>+(EU62+EU60-ES62-ET60-ES60)/EU63</f>
        <v>0.44444444444444442</v>
      </c>
      <c r="EX63" s="441"/>
      <c r="EY63" s="441"/>
      <c r="FK63" s="95"/>
      <c r="FL63" s="95"/>
      <c r="FM63" s="36" t="s">
        <v>1081</v>
      </c>
      <c r="FN63" s="95">
        <v>0</v>
      </c>
      <c r="FO63" s="95">
        <v>0</v>
      </c>
      <c r="FP63" s="95">
        <v>1</v>
      </c>
      <c r="FQ63" s="95">
        <v>20</v>
      </c>
      <c r="FR63" s="95">
        <v>0</v>
      </c>
      <c r="FS63" s="95">
        <v>21</v>
      </c>
      <c r="FU63" s="37"/>
      <c r="FV63" s="616"/>
      <c r="FW63" s="4357" t="s">
        <v>1145</v>
      </c>
      <c r="FX63" s="616" t="s">
        <v>16</v>
      </c>
      <c r="FY63" s="616" t="s">
        <v>1072</v>
      </c>
      <c r="FZ63" s="616">
        <v>0</v>
      </c>
      <c r="GA63" s="616">
        <v>3</v>
      </c>
      <c r="GB63" s="616">
        <v>28</v>
      </c>
      <c r="GC63" s="616">
        <v>66</v>
      </c>
      <c r="GD63" s="616">
        <v>0</v>
      </c>
      <c r="GE63" s="616">
        <v>0</v>
      </c>
      <c r="GF63" s="616">
        <v>97</v>
      </c>
      <c r="GG63" s="616"/>
      <c r="GH63" s="617"/>
      <c r="GI63" s="37"/>
    </row>
    <row r="64" spans="6:191">
      <c r="Y64" s="4528"/>
      <c r="Z64" s="4528"/>
      <c r="AA64" s="4527"/>
      <c r="AB64" s="4527"/>
      <c r="AC64" s="4648"/>
      <c r="AD64" s="4648"/>
      <c r="AG64" s="36"/>
      <c r="AH64" s="36"/>
      <c r="AI64" s="36"/>
      <c r="AJ64" s="36" t="s">
        <v>15</v>
      </c>
      <c r="AK64" s="1681"/>
      <c r="AL64" s="1681"/>
      <c r="AM64" s="1681"/>
      <c r="AN64" s="1681"/>
      <c r="AO64" s="1681">
        <v>1</v>
      </c>
      <c r="AP64" s="95">
        <v>19</v>
      </c>
      <c r="AQ64" s="95">
        <v>20</v>
      </c>
      <c r="AR64" s="4536">
        <v>0</v>
      </c>
      <c r="AS64" s="4533"/>
      <c r="AT64" s="36"/>
      <c r="AU64" s="36"/>
      <c r="AV64" s="36"/>
      <c r="AW64" s="36" t="s">
        <v>15</v>
      </c>
      <c r="AX64" s="1681">
        <f>SUM(AX61:AX63)</f>
        <v>0</v>
      </c>
      <c r="AY64" s="1681">
        <f t="shared" ref="AY64:BG64" si="2">SUM(AY61:AY63)</f>
        <v>1</v>
      </c>
      <c r="AZ64" s="1681">
        <f t="shared" si="2"/>
        <v>0</v>
      </c>
      <c r="BA64" s="1681">
        <f t="shared" si="2"/>
        <v>1</v>
      </c>
      <c r="BB64" s="1681">
        <f t="shared" si="2"/>
        <v>0</v>
      </c>
      <c r="BC64" s="1681">
        <f t="shared" si="2"/>
        <v>4</v>
      </c>
      <c r="BD64" s="1681">
        <f t="shared" si="2"/>
        <v>1</v>
      </c>
      <c r="BE64" s="1681">
        <f t="shared" si="2"/>
        <v>1</v>
      </c>
      <c r="BF64" s="1681">
        <f t="shared" si="2"/>
        <v>1</v>
      </c>
      <c r="BG64" s="4326">
        <f t="shared" si="2"/>
        <v>9</v>
      </c>
      <c r="BH64" s="560">
        <f>+(BG62)/(BG64)</f>
        <v>0.1111111111111111</v>
      </c>
      <c r="BJ64" s="4215"/>
      <c r="BK64" s="4215"/>
      <c r="BL64" s="4222"/>
      <c r="BM64" s="4222" t="s">
        <v>1142</v>
      </c>
      <c r="BN64" s="4223"/>
      <c r="BO64" s="4223"/>
      <c r="BP64" s="4223">
        <v>1</v>
      </c>
      <c r="BQ64" s="4223"/>
      <c r="BR64" s="4223"/>
      <c r="BS64" s="4223"/>
      <c r="BT64" s="4223">
        <v>1</v>
      </c>
      <c r="BU64" s="4224"/>
      <c r="BW64" s="36"/>
      <c r="BX64" s="36"/>
      <c r="BY64" s="393"/>
      <c r="BZ64" s="393" t="s">
        <v>1077</v>
      </c>
      <c r="CA64" s="1682"/>
      <c r="CB64" s="1682">
        <v>0</v>
      </c>
      <c r="CC64" s="1682">
        <v>4</v>
      </c>
      <c r="CD64" s="1682">
        <v>2</v>
      </c>
      <c r="CE64" s="1682">
        <v>0</v>
      </c>
      <c r="CF64" s="2041">
        <v>0</v>
      </c>
      <c r="CG64" s="2041"/>
      <c r="CH64" s="2041"/>
      <c r="CI64" s="2041">
        <v>6</v>
      </c>
      <c r="CJ64" s="36"/>
      <c r="CO64" s="36" t="s">
        <v>1142</v>
      </c>
      <c r="CP64" s="1681">
        <v>0</v>
      </c>
      <c r="CQ64" s="1681">
        <v>0</v>
      </c>
      <c r="CR64" s="1681">
        <v>1</v>
      </c>
      <c r="CS64" s="1681"/>
      <c r="CT64" s="95"/>
      <c r="CU64" s="95"/>
      <c r="CV64" s="95">
        <v>1</v>
      </c>
      <c r="CY64" s="95"/>
      <c r="DB64" s="36" t="s">
        <v>1076</v>
      </c>
      <c r="DC64" s="1484"/>
      <c r="DD64" s="1484"/>
      <c r="DE64" s="1484"/>
      <c r="DF64" s="1484">
        <v>2</v>
      </c>
      <c r="DG64" s="95">
        <v>0</v>
      </c>
      <c r="DH64" s="95"/>
      <c r="DI64" s="95">
        <v>2</v>
      </c>
      <c r="DL64" s="1191"/>
      <c r="DM64" s="1191"/>
      <c r="DN64" s="1191"/>
      <c r="DO64" s="1186" t="s">
        <v>109</v>
      </c>
      <c r="DP64" s="1197"/>
      <c r="DQ64" s="1198">
        <v>1</v>
      </c>
      <c r="DR64" s="1197">
        <v>1</v>
      </c>
      <c r="DS64" s="1198">
        <v>22</v>
      </c>
      <c r="DT64" s="1198">
        <v>11</v>
      </c>
      <c r="DU64" s="1200">
        <v>6</v>
      </c>
      <c r="DV64" s="1200">
        <v>41</v>
      </c>
      <c r="DW64" s="1178">
        <f>+(DV59+DV62+DV63)/DV64</f>
        <v>0.6097560975609756</v>
      </c>
      <c r="DY64" s="427"/>
      <c r="DZ64" s="427"/>
      <c r="EA64" s="428"/>
      <c r="EB64" s="429" t="s">
        <v>1081</v>
      </c>
      <c r="EC64" s="431"/>
      <c r="ED64" s="431"/>
      <c r="EE64" s="430">
        <v>2</v>
      </c>
      <c r="EF64" s="430">
        <v>25</v>
      </c>
      <c r="EG64" s="432">
        <v>1</v>
      </c>
      <c r="EH64" s="432">
        <v>28</v>
      </c>
      <c r="EI64" s="36"/>
      <c r="EK64" s="433"/>
      <c r="EL64" s="433"/>
      <c r="EM64" s="457" t="s">
        <v>109</v>
      </c>
      <c r="EN64" s="435" t="s">
        <v>1071</v>
      </c>
      <c r="EO64" s="437"/>
      <c r="EP64" s="436">
        <v>0</v>
      </c>
      <c r="EQ64" s="436">
        <v>0</v>
      </c>
      <c r="ER64" s="436">
        <v>0</v>
      </c>
      <c r="ES64" s="439">
        <v>10</v>
      </c>
      <c r="ET64" s="439">
        <v>0</v>
      </c>
      <c r="EU64" s="439">
        <v>10</v>
      </c>
      <c r="EV64" s="440"/>
      <c r="EX64" s="441"/>
      <c r="EY64" s="441"/>
      <c r="FK64" s="95"/>
      <c r="FL64" s="95"/>
      <c r="FM64" s="36" t="s">
        <v>1142</v>
      </c>
      <c r="FN64" s="95">
        <v>0</v>
      </c>
      <c r="FO64" s="95">
        <v>0</v>
      </c>
      <c r="FP64" s="95">
        <v>1</v>
      </c>
      <c r="FQ64" s="95">
        <v>1</v>
      </c>
      <c r="FR64" s="95">
        <v>0</v>
      </c>
      <c r="FS64" s="95">
        <v>2</v>
      </c>
      <c r="FU64" s="37"/>
      <c r="FV64" s="616"/>
      <c r="FW64" s="4357"/>
      <c r="FX64" s="616"/>
      <c r="FY64" s="616" t="s">
        <v>1076</v>
      </c>
      <c r="FZ64" s="616">
        <v>0</v>
      </c>
      <c r="GA64" s="616">
        <v>0</v>
      </c>
      <c r="GB64" s="616">
        <v>0</v>
      </c>
      <c r="GC64" s="616">
        <v>2</v>
      </c>
      <c r="GD64" s="616">
        <v>1</v>
      </c>
      <c r="GE64" s="616">
        <v>0</v>
      </c>
      <c r="GF64" s="616">
        <v>3</v>
      </c>
      <c r="GG64" s="616"/>
      <c r="GH64" s="617"/>
      <c r="GI64" s="37"/>
    </row>
    <row r="65" spans="25:191">
      <c r="Y65" s="4528"/>
      <c r="Z65" s="4528"/>
      <c r="AA65" s="4527"/>
      <c r="AB65" s="4527"/>
      <c r="AC65" s="4648"/>
      <c r="AD65" s="4648"/>
      <c r="AG65" s="36"/>
      <c r="AH65" s="36"/>
      <c r="AI65" s="393" t="s">
        <v>412</v>
      </c>
      <c r="AJ65" s="36" t="s">
        <v>1071</v>
      </c>
      <c r="AK65" s="1681"/>
      <c r="AL65" s="1681"/>
      <c r="AM65" s="1681"/>
      <c r="AN65" s="1681"/>
      <c r="AO65" s="1681">
        <v>0</v>
      </c>
      <c r="AP65" s="95">
        <v>18</v>
      </c>
      <c r="AQ65" s="95">
        <v>18</v>
      </c>
      <c r="AR65" s="393"/>
      <c r="AS65" s="27"/>
      <c r="AT65" s="36"/>
      <c r="AU65" s="36"/>
      <c r="AV65" s="36" t="s">
        <v>109</v>
      </c>
      <c r="AW65" s="36" t="s">
        <v>1072</v>
      </c>
      <c r="AX65" s="1681">
        <f t="shared" ref="AX65:BG65" si="3">SUM(AX48,AX61)</f>
        <v>0</v>
      </c>
      <c r="AY65" s="1681">
        <f t="shared" si="3"/>
        <v>3</v>
      </c>
      <c r="AZ65" s="1681">
        <f t="shared" si="3"/>
        <v>2</v>
      </c>
      <c r="BA65" s="1681">
        <f t="shared" si="3"/>
        <v>7</v>
      </c>
      <c r="BB65" s="1681">
        <f t="shared" si="3"/>
        <v>0</v>
      </c>
      <c r="BC65" s="1681">
        <f t="shared" si="3"/>
        <v>1</v>
      </c>
      <c r="BD65" s="1681">
        <f t="shared" si="3"/>
        <v>0</v>
      </c>
      <c r="BE65" s="1681">
        <f t="shared" si="3"/>
        <v>0</v>
      </c>
      <c r="BF65" s="1681">
        <f t="shared" si="3"/>
        <v>0</v>
      </c>
      <c r="BG65" s="4326">
        <f t="shared" si="3"/>
        <v>13</v>
      </c>
      <c r="BH65" s="560"/>
      <c r="BJ65" s="4215"/>
      <c r="BK65" s="4215"/>
      <c r="BL65" s="4215"/>
      <c r="BM65" s="4222" t="s">
        <v>487</v>
      </c>
      <c r="BN65" s="4223"/>
      <c r="BO65" s="4223"/>
      <c r="BP65" s="4223">
        <v>2</v>
      </c>
      <c r="BQ65" s="4223"/>
      <c r="BR65" s="4223"/>
      <c r="BS65" s="4223"/>
      <c r="BT65" s="4223">
        <v>2</v>
      </c>
      <c r="BU65" s="4224">
        <f>+(BT63+BT64)/BT65</f>
        <v>1</v>
      </c>
      <c r="BW65" s="36"/>
      <c r="BX65" s="36"/>
      <c r="BY65" s="393"/>
      <c r="BZ65" s="393" t="s">
        <v>1080</v>
      </c>
      <c r="CA65" s="1682"/>
      <c r="CB65" s="1682">
        <v>0</v>
      </c>
      <c r="CC65" s="1682">
        <v>0</v>
      </c>
      <c r="CD65" s="1682">
        <v>0</v>
      </c>
      <c r="CE65" s="1682">
        <v>0</v>
      </c>
      <c r="CF65" s="2041">
        <v>1</v>
      </c>
      <c r="CG65" s="2041"/>
      <c r="CH65" s="2041"/>
      <c r="CI65" s="2041">
        <v>1</v>
      </c>
      <c r="CJ65" s="36"/>
      <c r="CO65" s="393" t="s">
        <v>487</v>
      </c>
      <c r="CP65" s="1682">
        <v>2</v>
      </c>
      <c r="CQ65" s="1682">
        <v>1</v>
      </c>
      <c r="CR65" s="1682">
        <v>2</v>
      </c>
      <c r="CS65" s="1682"/>
      <c r="CT65" s="4212"/>
      <c r="CU65" s="4212"/>
      <c r="CV65" s="4212">
        <v>5</v>
      </c>
      <c r="CW65" s="560">
        <f>+CV64/CV65</f>
        <v>0.2</v>
      </c>
      <c r="CY65" s="95"/>
      <c r="DB65" s="36" t="s">
        <v>1081</v>
      </c>
      <c r="DC65" s="1484"/>
      <c r="DD65" s="1484"/>
      <c r="DE65" s="1484"/>
      <c r="DF65" s="1484">
        <v>1</v>
      </c>
      <c r="DG65" s="95">
        <v>0</v>
      </c>
      <c r="DH65" s="95"/>
      <c r="DI65" s="95">
        <v>1</v>
      </c>
      <c r="DL65" s="1191" t="s">
        <v>59</v>
      </c>
      <c r="DM65" s="1191" t="s">
        <v>64</v>
      </c>
      <c r="DN65" s="1191" t="s">
        <v>609</v>
      </c>
      <c r="DO65" s="1192" t="s">
        <v>1076</v>
      </c>
      <c r="DP65" s="1193"/>
      <c r="DQ65" s="1193"/>
      <c r="DR65" s="1194">
        <v>0</v>
      </c>
      <c r="DS65" s="1194">
        <v>1</v>
      </c>
      <c r="DT65" s="1193"/>
      <c r="DU65" s="1196">
        <v>0</v>
      </c>
      <c r="DV65" s="1196">
        <v>1</v>
      </c>
      <c r="DW65" s="1187"/>
      <c r="DY65" s="427"/>
      <c r="DZ65" s="427"/>
      <c r="EA65" s="428"/>
      <c r="EB65" s="451" t="s">
        <v>15</v>
      </c>
      <c r="EC65" s="453"/>
      <c r="ED65" s="453"/>
      <c r="EE65" s="452">
        <v>2</v>
      </c>
      <c r="EF65" s="452">
        <v>25</v>
      </c>
      <c r="EG65" s="455">
        <v>8</v>
      </c>
      <c r="EH65" s="455">
        <v>35</v>
      </c>
      <c r="EI65" s="456">
        <f>+(EH64-EG64)/EH65</f>
        <v>0.77142857142857146</v>
      </c>
      <c r="EK65" s="433"/>
      <c r="EL65" s="433"/>
      <c r="EM65" s="434"/>
      <c r="EN65" s="435" t="s">
        <v>1072</v>
      </c>
      <c r="EO65" s="437"/>
      <c r="EP65" s="436">
        <v>1</v>
      </c>
      <c r="EQ65" s="436">
        <v>1</v>
      </c>
      <c r="ER65" s="436">
        <v>1</v>
      </c>
      <c r="ES65" s="439">
        <v>0</v>
      </c>
      <c r="ET65" s="439">
        <v>0</v>
      </c>
      <c r="EU65" s="439">
        <v>3</v>
      </c>
      <c r="EV65" s="440"/>
      <c r="EX65" s="441"/>
      <c r="EY65" s="441"/>
      <c r="FK65" s="95"/>
      <c r="FL65" s="95"/>
      <c r="FM65" s="393" t="s">
        <v>15</v>
      </c>
      <c r="FN65" s="4212">
        <v>2</v>
      </c>
      <c r="FO65" s="4212">
        <v>4</v>
      </c>
      <c r="FP65" s="4212">
        <v>8</v>
      </c>
      <c r="FQ65" s="4212">
        <v>28</v>
      </c>
      <c r="FR65" s="4212">
        <v>30</v>
      </c>
      <c r="FS65" s="4212">
        <v>72</v>
      </c>
      <c r="FT65" s="631">
        <f>+(FS61+FS63+FS64)/FS65</f>
        <v>0.43055555555555558</v>
      </c>
      <c r="FU65" s="37"/>
      <c r="FV65" s="616"/>
      <c r="FW65" s="4357"/>
      <c r="FX65" s="616"/>
      <c r="FY65" s="616" t="s">
        <v>1077</v>
      </c>
      <c r="FZ65" s="616">
        <v>0</v>
      </c>
      <c r="GA65" s="616">
        <v>0</v>
      </c>
      <c r="GB65" s="616">
        <v>3</v>
      </c>
      <c r="GC65" s="616">
        <v>1</v>
      </c>
      <c r="GD65" s="616">
        <v>0</v>
      </c>
      <c r="GE65" s="616">
        <v>0</v>
      </c>
      <c r="GF65" s="616">
        <v>4</v>
      </c>
      <c r="GG65" s="616"/>
      <c r="GH65" s="617"/>
      <c r="GI65" s="37"/>
    </row>
    <row r="66" spans="25:191">
      <c r="Y66" s="4528"/>
      <c r="Z66" s="4528"/>
      <c r="AA66" s="4527"/>
      <c r="AB66" s="4527"/>
      <c r="AC66" s="4648"/>
      <c r="AD66" s="4648"/>
      <c r="AG66" s="36"/>
      <c r="AH66" s="36"/>
      <c r="AI66" s="36"/>
      <c r="AJ66" s="36" t="s">
        <v>1072</v>
      </c>
      <c r="AK66" s="1681"/>
      <c r="AL66" s="1681"/>
      <c r="AM66" s="1681"/>
      <c r="AN66" s="1681"/>
      <c r="AO66" s="1681">
        <v>1</v>
      </c>
      <c r="AP66" s="95">
        <v>0</v>
      </c>
      <c r="AQ66" s="95">
        <v>1</v>
      </c>
      <c r="AR66" s="393"/>
      <c r="AS66" s="27"/>
      <c r="AT66" s="36"/>
      <c r="AU66" s="36"/>
      <c r="AV66" s="36"/>
      <c r="AW66" s="36" t="s">
        <v>1074</v>
      </c>
      <c r="AX66" s="1681">
        <f>SUM(AX49)</f>
        <v>0</v>
      </c>
      <c r="AY66" s="1681">
        <f t="shared" ref="AY66:BG66" si="4">SUM(AY49)</f>
        <v>2</v>
      </c>
      <c r="AZ66" s="1681">
        <f t="shared" si="4"/>
        <v>1</v>
      </c>
      <c r="BA66" s="1681">
        <f t="shared" si="4"/>
        <v>0</v>
      </c>
      <c r="BB66" s="1681">
        <f t="shared" si="4"/>
        <v>0</v>
      </c>
      <c r="BC66" s="1681">
        <f t="shared" si="4"/>
        <v>0</v>
      </c>
      <c r="BD66" s="1681">
        <f t="shared" si="4"/>
        <v>0</v>
      </c>
      <c r="BE66" s="1681">
        <f t="shared" si="4"/>
        <v>0</v>
      </c>
      <c r="BF66" s="1681">
        <f t="shared" si="4"/>
        <v>0</v>
      </c>
      <c r="BG66" s="4326">
        <f t="shared" si="4"/>
        <v>3</v>
      </c>
      <c r="BH66" s="560"/>
      <c r="BJ66" s="4215"/>
      <c r="BK66" s="4215"/>
      <c r="BL66" s="4222" t="s">
        <v>256</v>
      </c>
      <c r="BM66" s="4222" t="s">
        <v>1081</v>
      </c>
      <c r="BN66" s="4223"/>
      <c r="BO66" s="4223"/>
      <c r="BP66" s="4223">
        <v>1</v>
      </c>
      <c r="BQ66" s="4223"/>
      <c r="BR66" s="4223"/>
      <c r="BS66" s="4223"/>
      <c r="BT66" s="4223">
        <v>1</v>
      </c>
      <c r="BU66" s="4222"/>
      <c r="BW66" s="36"/>
      <c r="BX66" s="36"/>
      <c r="BY66" s="393"/>
      <c r="BZ66" s="393" t="s">
        <v>1142</v>
      </c>
      <c r="CA66" s="1682"/>
      <c r="CB66" s="1682">
        <v>0</v>
      </c>
      <c r="CC66" s="1682">
        <v>0</v>
      </c>
      <c r="CD66" s="1682">
        <v>45</v>
      </c>
      <c r="CE66" s="1682">
        <v>6</v>
      </c>
      <c r="CF66" s="2041">
        <v>0</v>
      </c>
      <c r="CG66" s="2041"/>
      <c r="CH66" s="2041">
        <v>5</v>
      </c>
      <c r="CI66" s="2041">
        <v>56</v>
      </c>
      <c r="CJ66" s="36"/>
      <c r="CN66" s="393" t="s">
        <v>256</v>
      </c>
      <c r="CO66" s="393" t="s">
        <v>1072</v>
      </c>
      <c r="CP66" s="1682">
        <v>1</v>
      </c>
      <c r="CQ66" s="1682">
        <v>1</v>
      </c>
      <c r="CR66" s="1682">
        <v>0</v>
      </c>
      <c r="CS66" s="1682"/>
      <c r="CT66" s="4212"/>
      <c r="CU66" s="4212"/>
      <c r="CV66" s="4212">
        <v>2</v>
      </c>
      <c r="CY66" s="95"/>
      <c r="DB66" s="393" t="s">
        <v>485</v>
      </c>
      <c r="DC66" s="1485"/>
      <c r="DD66" s="1485"/>
      <c r="DE66" s="1485"/>
      <c r="DF66" s="1485">
        <v>3</v>
      </c>
      <c r="DG66" s="4212">
        <v>9</v>
      </c>
      <c r="DH66" s="4212"/>
      <c r="DI66" s="4212">
        <v>12</v>
      </c>
      <c r="DJ66" s="560">
        <f>+(DI64+DI65)/DI66</f>
        <v>0.25</v>
      </c>
      <c r="DL66" s="1191"/>
      <c r="DM66" s="1191"/>
      <c r="DN66" s="1191"/>
      <c r="DO66" s="1192" t="s">
        <v>1077</v>
      </c>
      <c r="DP66" s="1193"/>
      <c r="DQ66" s="1193"/>
      <c r="DR66" s="1194">
        <v>1</v>
      </c>
      <c r="DS66" s="1194">
        <v>0</v>
      </c>
      <c r="DT66" s="1193"/>
      <c r="DU66" s="1196">
        <v>0</v>
      </c>
      <c r="DV66" s="1196">
        <v>1</v>
      </c>
      <c r="DW66" s="1187"/>
      <c r="DY66" s="427"/>
      <c r="DZ66" s="427"/>
      <c r="EA66" s="428" t="s">
        <v>483</v>
      </c>
      <c r="EB66" s="429" t="s">
        <v>1071</v>
      </c>
      <c r="EC66" s="431"/>
      <c r="ED66" s="431"/>
      <c r="EE66" s="430">
        <v>0</v>
      </c>
      <c r="EF66" s="430">
        <v>0</v>
      </c>
      <c r="EG66" s="432">
        <v>6</v>
      </c>
      <c r="EH66" s="432">
        <v>6</v>
      </c>
      <c r="EI66" s="36"/>
      <c r="EK66" s="433"/>
      <c r="EL66" s="433"/>
      <c r="EM66" s="434"/>
      <c r="EN66" s="435" t="s">
        <v>1074</v>
      </c>
      <c r="EO66" s="437"/>
      <c r="EP66" s="436">
        <v>2</v>
      </c>
      <c r="EQ66" s="436">
        <v>0</v>
      </c>
      <c r="ER66" s="436">
        <v>0</v>
      </c>
      <c r="ES66" s="439">
        <v>0</v>
      </c>
      <c r="ET66" s="439">
        <v>0</v>
      </c>
      <c r="EU66" s="439">
        <v>2</v>
      </c>
      <c r="EV66" s="440"/>
      <c r="EX66" s="441" t="s">
        <v>25</v>
      </c>
      <c r="EY66" s="441"/>
      <c r="EZ66" s="441" t="s">
        <v>483</v>
      </c>
      <c r="FA66" s="442" t="s">
        <v>1072</v>
      </c>
      <c r="FB66" s="444">
        <v>3</v>
      </c>
      <c r="FC66" s="444">
        <v>1</v>
      </c>
      <c r="FD66" s="444">
        <v>6</v>
      </c>
      <c r="FE66" s="443"/>
      <c r="FF66" s="443"/>
      <c r="FG66" s="444">
        <v>10</v>
      </c>
      <c r="FH66" s="445"/>
      <c r="FK66" s="95" t="s">
        <v>25</v>
      </c>
      <c r="FL66" s="95" t="s">
        <v>16</v>
      </c>
      <c r="FM66" s="36" t="s">
        <v>1071</v>
      </c>
      <c r="FN66" s="95">
        <v>0</v>
      </c>
      <c r="FO66" s="95">
        <v>1</v>
      </c>
      <c r="FP66" s="95">
        <v>9</v>
      </c>
      <c r="FQ66" s="95"/>
      <c r="FR66" s="95"/>
      <c r="FS66" s="95">
        <v>10</v>
      </c>
      <c r="FU66" s="37"/>
      <c r="FV66" s="616"/>
      <c r="FW66" s="4357"/>
      <c r="FX66" s="616"/>
      <c r="FY66" s="616" t="s">
        <v>1081</v>
      </c>
      <c r="FZ66" s="616">
        <v>0</v>
      </c>
      <c r="GA66" s="616">
        <v>0</v>
      </c>
      <c r="GB66" s="616">
        <v>0</v>
      </c>
      <c r="GC66" s="616">
        <v>5</v>
      </c>
      <c r="GD66" s="616">
        <v>7</v>
      </c>
      <c r="GE66" s="616">
        <v>0</v>
      </c>
      <c r="GF66" s="616">
        <v>12</v>
      </c>
      <c r="GG66" s="616"/>
      <c r="GH66" s="617"/>
      <c r="GI66" s="37"/>
    </row>
    <row r="67" spans="25:191">
      <c r="Y67" s="4528"/>
      <c r="Z67" s="4528"/>
      <c r="AA67" s="4527"/>
      <c r="AB67" s="4527"/>
      <c r="AC67" s="4648"/>
      <c r="AD67" s="4648"/>
      <c r="AG67" s="36"/>
      <c r="AH67" s="36"/>
      <c r="AI67" s="36"/>
      <c r="AJ67" s="36" t="s">
        <v>1080</v>
      </c>
      <c r="AK67" s="1681"/>
      <c r="AL67" s="1681"/>
      <c r="AM67" s="1681"/>
      <c r="AN67" s="1681"/>
      <c r="AO67" s="1681">
        <v>0</v>
      </c>
      <c r="AP67" s="95">
        <v>1</v>
      </c>
      <c r="AQ67" s="95">
        <v>1</v>
      </c>
      <c r="AR67" s="393"/>
      <c r="AS67" s="27"/>
      <c r="AT67" s="36"/>
      <c r="AU67" s="36"/>
      <c r="AV67" s="36"/>
      <c r="AW67" s="36" t="s">
        <v>1076</v>
      </c>
      <c r="AX67" s="1681">
        <f t="shared" ref="AX67:BG67" si="5">SUM(AX50,AX62)</f>
        <v>0</v>
      </c>
      <c r="AY67" s="1681">
        <f t="shared" si="5"/>
        <v>0</v>
      </c>
      <c r="AZ67" s="1681">
        <f t="shared" si="5"/>
        <v>0</v>
      </c>
      <c r="BA67" s="1681">
        <f t="shared" si="5"/>
        <v>13</v>
      </c>
      <c r="BB67" s="1681">
        <f t="shared" si="5"/>
        <v>0</v>
      </c>
      <c r="BC67" s="1681">
        <f t="shared" si="5"/>
        <v>0</v>
      </c>
      <c r="BD67" s="1681">
        <f t="shared" si="5"/>
        <v>0</v>
      </c>
      <c r="BE67" s="1681">
        <f t="shared" si="5"/>
        <v>0</v>
      </c>
      <c r="BF67" s="1681">
        <f t="shared" si="5"/>
        <v>0</v>
      </c>
      <c r="BG67" s="4326">
        <f t="shared" si="5"/>
        <v>13</v>
      </c>
      <c r="BH67" s="560"/>
      <c r="BJ67" s="4215"/>
      <c r="BK67" s="4215"/>
      <c r="BL67" s="4222"/>
      <c r="BM67" s="4222" t="s">
        <v>1142</v>
      </c>
      <c r="BN67" s="4223"/>
      <c r="BO67" s="4223"/>
      <c r="BP67" s="4223">
        <v>1</v>
      </c>
      <c r="BQ67" s="4223"/>
      <c r="BR67" s="4223"/>
      <c r="BS67" s="4223"/>
      <c r="BT67" s="4223">
        <v>1</v>
      </c>
      <c r="BU67" s="4222"/>
      <c r="BW67" s="36"/>
      <c r="BX67" s="36"/>
      <c r="BY67" s="393"/>
      <c r="BZ67" s="393" t="s">
        <v>109</v>
      </c>
      <c r="CA67" s="1682"/>
      <c r="CB67" s="1682">
        <v>3</v>
      </c>
      <c r="CC67" s="1682">
        <v>4</v>
      </c>
      <c r="CD67" s="1682">
        <v>50</v>
      </c>
      <c r="CE67" s="1682">
        <v>9</v>
      </c>
      <c r="CF67" s="2041">
        <v>4</v>
      </c>
      <c r="CG67" s="2041"/>
      <c r="CH67" s="2041">
        <v>5</v>
      </c>
      <c r="CI67" s="2041">
        <v>75</v>
      </c>
      <c r="CJ67" s="560">
        <f>+(CI66+CI63-CF63)/CI67</f>
        <v>0.78666666666666663</v>
      </c>
      <c r="CN67" s="393"/>
      <c r="CO67" s="393" t="s">
        <v>1077</v>
      </c>
      <c r="CP67" s="1682">
        <v>1</v>
      </c>
      <c r="CQ67" s="1682">
        <v>0</v>
      </c>
      <c r="CR67" s="1682">
        <v>1</v>
      </c>
      <c r="CS67" s="1682"/>
      <c r="CT67" s="4212"/>
      <c r="CU67" s="4212"/>
      <c r="CV67" s="4212">
        <v>2</v>
      </c>
      <c r="CY67" s="95"/>
      <c r="DA67" s="36" t="s">
        <v>412</v>
      </c>
      <c r="DB67" s="36" t="s">
        <v>1071</v>
      </c>
      <c r="DC67" s="1484"/>
      <c r="DD67" s="1484"/>
      <c r="DE67" s="1484">
        <v>0</v>
      </c>
      <c r="DF67" s="1484">
        <v>2</v>
      </c>
      <c r="DG67" s="95">
        <v>41</v>
      </c>
      <c r="DH67" s="95"/>
      <c r="DI67" s="95">
        <v>43</v>
      </c>
      <c r="DL67" s="1191"/>
      <c r="DM67" s="1191"/>
      <c r="DN67" s="1191"/>
      <c r="DO67" s="1192" t="s">
        <v>1080</v>
      </c>
      <c r="DP67" s="1193"/>
      <c r="DQ67" s="1193"/>
      <c r="DR67" s="1194">
        <v>0</v>
      </c>
      <c r="DS67" s="1194">
        <v>0</v>
      </c>
      <c r="DT67" s="1193"/>
      <c r="DU67" s="1196">
        <v>1</v>
      </c>
      <c r="DV67" s="1196">
        <v>1</v>
      </c>
      <c r="DW67" s="1187"/>
      <c r="DY67" s="427"/>
      <c r="DZ67" s="427"/>
      <c r="EA67" s="428"/>
      <c r="EB67" s="429" t="s">
        <v>1080</v>
      </c>
      <c r="EC67" s="431"/>
      <c r="ED67" s="431"/>
      <c r="EE67" s="430">
        <v>0</v>
      </c>
      <c r="EF67" s="430">
        <v>0</v>
      </c>
      <c r="EG67" s="432">
        <v>1</v>
      </c>
      <c r="EH67" s="432">
        <v>1</v>
      </c>
      <c r="EI67" s="36"/>
      <c r="EK67" s="433"/>
      <c r="EL67" s="433"/>
      <c r="EM67" s="434"/>
      <c r="EN67" s="435" t="s">
        <v>1076</v>
      </c>
      <c r="EO67" s="437"/>
      <c r="EP67" s="436">
        <v>0</v>
      </c>
      <c r="EQ67" s="436">
        <v>20</v>
      </c>
      <c r="ER67" s="436">
        <v>4</v>
      </c>
      <c r="ES67" s="439">
        <v>1</v>
      </c>
      <c r="ET67" s="439">
        <v>1</v>
      </c>
      <c r="EU67" s="439">
        <v>26</v>
      </c>
      <c r="EV67" s="440"/>
      <c r="EX67" s="441"/>
      <c r="EY67" s="441"/>
      <c r="EZ67" s="441"/>
      <c r="FA67" s="442" t="s">
        <v>1076</v>
      </c>
      <c r="FB67" s="444">
        <v>0</v>
      </c>
      <c r="FC67" s="444">
        <v>0</v>
      </c>
      <c r="FD67" s="444">
        <v>51</v>
      </c>
      <c r="FE67" s="443"/>
      <c r="FF67" s="443"/>
      <c r="FG67" s="444">
        <v>51</v>
      </c>
      <c r="FH67" s="445"/>
      <c r="FK67" s="95"/>
      <c r="FL67" s="95"/>
      <c r="FM67" s="36" t="s">
        <v>1072</v>
      </c>
      <c r="FN67" s="95">
        <v>11</v>
      </c>
      <c r="FO67" s="95">
        <v>1</v>
      </c>
      <c r="FP67" s="95">
        <v>32</v>
      </c>
      <c r="FQ67" s="95"/>
      <c r="FR67" s="95"/>
      <c r="FS67" s="95">
        <v>44</v>
      </c>
      <c r="FU67" s="37"/>
      <c r="FV67" s="616"/>
      <c r="FW67" s="4357"/>
      <c r="FX67" s="616"/>
      <c r="FY67" s="627" t="s">
        <v>15</v>
      </c>
      <c r="FZ67" s="627">
        <v>0</v>
      </c>
      <c r="GA67" s="627">
        <v>3</v>
      </c>
      <c r="GB67" s="627">
        <v>31</v>
      </c>
      <c r="GC67" s="627">
        <v>74</v>
      </c>
      <c r="GD67" s="627">
        <v>8</v>
      </c>
      <c r="GE67" s="627">
        <v>0</v>
      </c>
      <c r="GF67" s="627">
        <v>116</v>
      </c>
      <c r="GG67" s="628">
        <f>+(GF66+GF64)/GF67</f>
        <v>0.12931034482758622</v>
      </c>
      <c r="GH67" s="617">
        <f>+GF64+GF66</f>
        <v>15</v>
      </c>
      <c r="GI67" s="37"/>
    </row>
    <row r="68" spans="25:191">
      <c r="Y68" s="4528"/>
      <c r="Z68" s="4528"/>
      <c r="AA68" s="4527"/>
      <c r="AB68" s="4527"/>
      <c r="AC68" s="4648"/>
      <c r="AD68" s="4648"/>
      <c r="AG68" s="36"/>
      <c r="AH68" s="36"/>
      <c r="AI68" s="36"/>
      <c r="AJ68" s="36" t="s">
        <v>15</v>
      </c>
      <c r="AK68" s="1681"/>
      <c r="AL68" s="1681"/>
      <c r="AM68" s="1681"/>
      <c r="AN68" s="1681"/>
      <c r="AO68" s="1681">
        <v>1</v>
      </c>
      <c r="AP68" s="95">
        <v>19</v>
      </c>
      <c r="AQ68" s="95">
        <v>20</v>
      </c>
      <c r="AR68" s="4536">
        <v>0</v>
      </c>
      <c r="AS68" s="4533"/>
      <c r="AT68" s="36"/>
      <c r="AU68" s="36"/>
      <c r="AV68" s="36"/>
      <c r="AW68" s="36" t="s">
        <v>1077</v>
      </c>
      <c r="AX68" s="1681">
        <f>SUM(AX51)</f>
        <v>0</v>
      </c>
      <c r="AY68" s="1681">
        <f t="shared" ref="AY68:BG68" si="6">SUM(AY51)</f>
        <v>0</v>
      </c>
      <c r="AZ68" s="1681">
        <f t="shared" si="6"/>
        <v>0</v>
      </c>
      <c r="BA68" s="1681">
        <f t="shared" si="6"/>
        <v>1</v>
      </c>
      <c r="BB68" s="1681">
        <f t="shared" si="6"/>
        <v>0</v>
      </c>
      <c r="BC68" s="1681">
        <f t="shared" si="6"/>
        <v>0</v>
      </c>
      <c r="BD68" s="1681">
        <f t="shared" si="6"/>
        <v>0</v>
      </c>
      <c r="BE68" s="1681">
        <f t="shared" si="6"/>
        <v>0</v>
      </c>
      <c r="BF68" s="1681">
        <f t="shared" si="6"/>
        <v>0</v>
      </c>
      <c r="BG68" s="4326">
        <f t="shared" si="6"/>
        <v>1</v>
      </c>
      <c r="BH68" s="560"/>
      <c r="BJ68" s="4215"/>
      <c r="BK68" s="4215"/>
      <c r="BL68" s="4225"/>
      <c r="BM68" s="4225" t="s">
        <v>256</v>
      </c>
      <c r="BN68" s="4226"/>
      <c r="BO68" s="4226"/>
      <c r="BP68" s="4226">
        <v>2</v>
      </c>
      <c r="BQ68" s="4226"/>
      <c r="BR68" s="4226"/>
      <c r="BS68" s="4226"/>
      <c r="BT68" s="4226">
        <v>2</v>
      </c>
      <c r="BU68" s="4227">
        <f>+(BT66+BT67)/BT68</f>
        <v>1</v>
      </c>
      <c r="BW68" s="36" t="s">
        <v>48</v>
      </c>
      <c r="BX68" s="36" t="s">
        <v>16</v>
      </c>
      <c r="BY68" s="36" t="s">
        <v>110</v>
      </c>
      <c r="BZ68" s="36" t="s">
        <v>1071</v>
      </c>
      <c r="CA68" s="1681"/>
      <c r="CB68" s="1681">
        <v>0</v>
      </c>
      <c r="CC68" s="1681"/>
      <c r="CD68" s="1681">
        <v>0</v>
      </c>
      <c r="CE68" s="1681">
        <v>0</v>
      </c>
      <c r="CF68" s="95">
        <v>7</v>
      </c>
      <c r="CG68" s="95"/>
      <c r="CH68" s="95"/>
      <c r="CI68" s="95">
        <v>7</v>
      </c>
      <c r="CJ68" s="36"/>
      <c r="CN68" s="393"/>
      <c r="CO68" s="393" t="s">
        <v>1142</v>
      </c>
      <c r="CP68" s="1682">
        <v>0</v>
      </c>
      <c r="CQ68" s="1682">
        <v>0</v>
      </c>
      <c r="CR68" s="1682">
        <v>1</v>
      </c>
      <c r="CS68" s="1682"/>
      <c r="CT68" s="4212"/>
      <c r="CU68" s="4212"/>
      <c r="CV68" s="4212">
        <v>1</v>
      </c>
      <c r="CY68" s="95"/>
      <c r="DB68" s="36" t="s">
        <v>1072</v>
      </c>
      <c r="DC68" s="1484"/>
      <c r="DD68" s="1484"/>
      <c r="DE68" s="1484">
        <v>2</v>
      </c>
      <c r="DF68" s="1484">
        <v>0</v>
      </c>
      <c r="DG68" s="95">
        <v>0</v>
      </c>
      <c r="DH68" s="95"/>
      <c r="DI68" s="95">
        <v>2</v>
      </c>
      <c r="DL68" s="1191"/>
      <c r="DM68" s="1191"/>
      <c r="DN68" s="1191"/>
      <c r="DO68" s="1192" t="s">
        <v>1142</v>
      </c>
      <c r="DP68" s="1193"/>
      <c r="DQ68" s="1193"/>
      <c r="DR68" s="1194">
        <v>0</v>
      </c>
      <c r="DS68" s="1194">
        <v>1</v>
      </c>
      <c r="DT68" s="1193"/>
      <c r="DU68" s="1196">
        <v>0</v>
      </c>
      <c r="DV68" s="1196">
        <v>1</v>
      </c>
      <c r="DW68" s="1187"/>
      <c r="DY68" s="427"/>
      <c r="DZ68" s="427"/>
      <c r="EA68" s="428"/>
      <c r="EB68" s="429" t="s">
        <v>1081</v>
      </c>
      <c r="EC68" s="431"/>
      <c r="ED68" s="431"/>
      <c r="EE68" s="430">
        <v>2</v>
      </c>
      <c r="EF68" s="430">
        <v>25</v>
      </c>
      <c r="EG68" s="432">
        <v>1</v>
      </c>
      <c r="EH68" s="432">
        <v>28</v>
      </c>
      <c r="EI68" s="36"/>
      <c r="EK68" s="433"/>
      <c r="EL68" s="433"/>
      <c r="EM68" s="434"/>
      <c r="EN68" s="435" t="s">
        <v>1077</v>
      </c>
      <c r="EO68" s="437"/>
      <c r="EP68" s="436">
        <v>1</v>
      </c>
      <c r="EQ68" s="436">
        <v>0</v>
      </c>
      <c r="ER68" s="436">
        <v>0</v>
      </c>
      <c r="ES68" s="439">
        <v>0</v>
      </c>
      <c r="ET68" s="439">
        <v>1</v>
      </c>
      <c r="EU68" s="439">
        <v>2</v>
      </c>
      <c r="EV68" s="440"/>
      <c r="EX68" s="441"/>
      <c r="EY68" s="441"/>
      <c r="EZ68" s="441"/>
      <c r="FA68" s="442" t="s">
        <v>1077</v>
      </c>
      <c r="FB68" s="444">
        <v>5</v>
      </c>
      <c r="FC68" s="444">
        <v>1</v>
      </c>
      <c r="FD68" s="444">
        <v>4</v>
      </c>
      <c r="FE68" s="443"/>
      <c r="FF68" s="443"/>
      <c r="FG68" s="444">
        <v>10</v>
      </c>
      <c r="FH68" s="445"/>
      <c r="FK68" s="95"/>
      <c r="FL68" s="95"/>
      <c r="FM68" s="36" t="s">
        <v>1076</v>
      </c>
      <c r="FN68" s="95">
        <v>0</v>
      </c>
      <c r="FO68" s="95">
        <v>0</v>
      </c>
      <c r="FP68" s="95">
        <v>32</v>
      </c>
      <c r="FQ68" s="95"/>
      <c r="FR68" s="95"/>
      <c r="FS68" s="95">
        <v>32</v>
      </c>
      <c r="FU68" s="37"/>
      <c r="FV68" s="616"/>
      <c r="FW68" s="4357"/>
      <c r="FX68" s="616" t="s">
        <v>41</v>
      </c>
      <c r="FY68" s="616" t="s">
        <v>1071</v>
      </c>
      <c r="FZ68" s="616">
        <v>0</v>
      </c>
      <c r="GA68" s="616">
        <v>0</v>
      </c>
      <c r="GB68" s="616">
        <v>0</v>
      </c>
      <c r="GC68" s="616">
        <v>0</v>
      </c>
      <c r="GD68" s="616">
        <v>0</v>
      </c>
      <c r="GE68" s="616">
        <v>6</v>
      </c>
      <c r="GF68" s="616">
        <v>6</v>
      </c>
      <c r="GG68" s="616"/>
      <c r="GH68" s="617"/>
      <c r="GI68" s="37"/>
    </row>
    <row r="69" spans="25:191">
      <c r="Y69" s="4528"/>
      <c r="Z69" s="4528"/>
      <c r="AA69" s="4527"/>
      <c r="AB69" s="4527"/>
      <c r="AC69" s="4648"/>
      <c r="AD69" s="4648"/>
      <c r="AG69" s="36"/>
      <c r="AH69" s="36"/>
      <c r="AI69" s="393" t="s">
        <v>112</v>
      </c>
      <c r="AJ69" s="36" t="s">
        <v>1071</v>
      </c>
      <c r="AK69" s="1681">
        <v>0</v>
      </c>
      <c r="AL69" s="1681">
        <v>0</v>
      </c>
      <c r="AM69" s="1681">
        <v>0</v>
      </c>
      <c r="AN69" s="1681">
        <v>0</v>
      </c>
      <c r="AO69" s="1681">
        <v>6</v>
      </c>
      <c r="AP69" s="95">
        <v>18</v>
      </c>
      <c r="AQ69" s="95">
        <v>24</v>
      </c>
      <c r="AR69" s="393"/>
      <c r="AS69" s="27"/>
      <c r="AT69" s="36"/>
      <c r="AU69" s="36"/>
      <c r="AV69" s="36"/>
      <c r="AW69" s="36" t="s">
        <v>1080</v>
      </c>
      <c r="AX69" s="1681">
        <f>SUM(AX63)</f>
        <v>0</v>
      </c>
      <c r="AY69" s="1681">
        <f t="shared" ref="AY69:BG69" si="7">SUM(AY63)</f>
        <v>0</v>
      </c>
      <c r="AZ69" s="1681">
        <f t="shared" si="7"/>
        <v>0</v>
      </c>
      <c r="BA69" s="1681">
        <f t="shared" si="7"/>
        <v>0</v>
      </c>
      <c r="BB69" s="1681">
        <f t="shared" si="7"/>
        <v>0</v>
      </c>
      <c r="BC69" s="1681">
        <f t="shared" si="7"/>
        <v>3</v>
      </c>
      <c r="BD69" s="1681">
        <f t="shared" si="7"/>
        <v>1</v>
      </c>
      <c r="BE69" s="1681">
        <f t="shared" si="7"/>
        <v>1</v>
      </c>
      <c r="BF69" s="1681">
        <f t="shared" si="7"/>
        <v>1</v>
      </c>
      <c r="BG69" s="4326">
        <f t="shared" si="7"/>
        <v>6</v>
      </c>
      <c r="BH69" s="560"/>
      <c r="BJ69" s="4215"/>
      <c r="BK69" s="4215"/>
      <c r="BL69" s="4222" t="s">
        <v>112</v>
      </c>
      <c r="BM69" s="4222" t="s">
        <v>1072</v>
      </c>
      <c r="BN69" s="4342">
        <v>3</v>
      </c>
      <c r="BO69" s="4342">
        <v>3</v>
      </c>
      <c r="BP69" s="4342">
        <f>17-1</f>
        <v>16</v>
      </c>
      <c r="BQ69" s="4342">
        <v>0</v>
      </c>
      <c r="BR69" s="4342">
        <v>1</v>
      </c>
      <c r="BS69" s="4342"/>
      <c r="BT69" s="4342">
        <f>23</f>
        <v>23</v>
      </c>
      <c r="BU69" s="4222"/>
      <c r="BW69" s="36"/>
      <c r="BX69" s="36"/>
      <c r="BY69" s="36"/>
      <c r="BZ69" s="36" t="s">
        <v>1072</v>
      </c>
      <c r="CA69" s="1681"/>
      <c r="CB69" s="1681">
        <v>1</v>
      </c>
      <c r="CC69" s="1681"/>
      <c r="CD69" s="1681">
        <v>2</v>
      </c>
      <c r="CE69" s="1681">
        <v>0</v>
      </c>
      <c r="CF69" s="95">
        <v>0</v>
      </c>
      <c r="CG69" s="95"/>
      <c r="CH69" s="95"/>
      <c r="CI69" s="95">
        <v>3</v>
      </c>
      <c r="CJ69" s="36"/>
      <c r="CO69" s="393" t="s">
        <v>256</v>
      </c>
      <c r="CP69" s="1682">
        <v>2</v>
      </c>
      <c r="CQ69" s="1682">
        <v>1</v>
      </c>
      <c r="CR69" s="1682">
        <v>2</v>
      </c>
      <c r="CS69" s="1682"/>
      <c r="CT69" s="4212"/>
      <c r="CU69" s="4212"/>
      <c r="CV69" s="4212">
        <v>5</v>
      </c>
      <c r="CW69" s="560">
        <f>+CV68/CV69</f>
        <v>0.2</v>
      </c>
      <c r="CY69" s="95"/>
      <c r="DB69" s="36" t="s">
        <v>1076</v>
      </c>
      <c r="DC69" s="1484"/>
      <c r="DD69" s="1484"/>
      <c r="DE69" s="1484">
        <v>0</v>
      </c>
      <c r="DF69" s="1484">
        <v>2</v>
      </c>
      <c r="DG69" s="95">
        <v>0</v>
      </c>
      <c r="DH69" s="95"/>
      <c r="DI69" s="95">
        <v>2</v>
      </c>
      <c r="DL69" s="1191"/>
      <c r="DM69" s="1191"/>
      <c r="DN69" s="1191"/>
      <c r="DO69" s="1186" t="s">
        <v>15</v>
      </c>
      <c r="DP69" s="1197"/>
      <c r="DQ69" s="1197"/>
      <c r="DR69" s="1198">
        <v>1</v>
      </c>
      <c r="DS69" s="1198">
        <v>2</v>
      </c>
      <c r="DT69" s="1197"/>
      <c r="DU69" s="1200">
        <v>1</v>
      </c>
      <c r="DV69" s="1200">
        <v>4</v>
      </c>
      <c r="DW69" s="1178">
        <f>+(DV65+DV68)/DV69</f>
        <v>0.5</v>
      </c>
      <c r="DY69" s="427"/>
      <c r="DZ69" s="427"/>
      <c r="EA69" s="428"/>
      <c r="EB69" s="451" t="s">
        <v>483</v>
      </c>
      <c r="EC69" s="453"/>
      <c r="ED69" s="453"/>
      <c r="EE69" s="452">
        <v>2</v>
      </c>
      <c r="EF69" s="452">
        <v>25</v>
      </c>
      <c r="EG69" s="455">
        <v>8</v>
      </c>
      <c r="EH69" s="455">
        <v>35</v>
      </c>
      <c r="EI69" s="456">
        <f>+(EH68-EG68)/EH69</f>
        <v>0.77142857142857146</v>
      </c>
      <c r="EK69" s="433"/>
      <c r="EL69" s="433"/>
      <c r="EM69" s="434"/>
      <c r="EN69" s="435" t="s">
        <v>1081</v>
      </c>
      <c r="EO69" s="437"/>
      <c r="EP69" s="436">
        <v>0</v>
      </c>
      <c r="EQ69" s="436">
        <v>1</v>
      </c>
      <c r="ER69" s="436">
        <v>0</v>
      </c>
      <c r="ES69" s="439">
        <v>0</v>
      </c>
      <c r="ET69" s="439">
        <v>0</v>
      </c>
      <c r="EU69" s="439">
        <v>1</v>
      </c>
      <c r="EV69" s="440"/>
      <c r="EX69" s="441"/>
      <c r="EY69" s="441"/>
      <c r="EZ69" s="441"/>
      <c r="FA69" s="442" t="s">
        <v>1081</v>
      </c>
      <c r="FB69" s="444">
        <v>0</v>
      </c>
      <c r="FC69" s="444">
        <v>0</v>
      </c>
      <c r="FD69" s="444">
        <v>1</v>
      </c>
      <c r="FE69" s="443"/>
      <c r="FF69" s="443"/>
      <c r="FG69" s="444">
        <v>1</v>
      </c>
      <c r="FH69" s="445"/>
      <c r="FK69" s="95"/>
      <c r="FL69" s="95"/>
      <c r="FM69" s="36" t="s">
        <v>1077</v>
      </c>
      <c r="FN69" s="95">
        <v>0</v>
      </c>
      <c r="FO69" s="95">
        <v>4</v>
      </c>
      <c r="FP69" s="95">
        <v>0</v>
      </c>
      <c r="FQ69" s="95"/>
      <c r="FR69" s="95"/>
      <c r="FS69" s="95">
        <v>4</v>
      </c>
      <c r="FU69" s="37"/>
      <c r="FV69" s="616"/>
      <c r="FW69" s="4357"/>
      <c r="FX69" s="616"/>
      <c r="FY69" s="616" t="s">
        <v>1072</v>
      </c>
      <c r="FZ69" s="616">
        <v>0</v>
      </c>
      <c r="GA69" s="616">
        <v>0</v>
      </c>
      <c r="GB69" s="616">
        <v>0</v>
      </c>
      <c r="GC69" s="616">
        <v>1</v>
      </c>
      <c r="GD69" s="616">
        <v>0</v>
      </c>
      <c r="GE69" s="616">
        <v>0</v>
      </c>
      <c r="GF69" s="616">
        <v>1</v>
      </c>
      <c r="GG69" s="616"/>
      <c r="GH69" s="617"/>
      <c r="GI69" s="37"/>
    </row>
    <row r="70" spans="25:191">
      <c r="Y70" s="4528"/>
      <c r="Z70" s="4528"/>
      <c r="AA70" s="4527"/>
      <c r="AB70" s="4527"/>
      <c r="AC70" s="4648"/>
      <c r="AD70" s="4648"/>
      <c r="AG70" s="36"/>
      <c r="AH70" s="36"/>
      <c r="AI70" s="36"/>
      <c r="AJ70" s="36" t="s">
        <v>1072</v>
      </c>
      <c r="AK70" s="1681">
        <v>0</v>
      </c>
      <c r="AL70" s="1681">
        <v>1</v>
      </c>
      <c r="AM70" s="1681">
        <v>1</v>
      </c>
      <c r="AN70" s="1681">
        <v>20</v>
      </c>
      <c r="AO70" s="1681">
        <v>4</v>
      </c>
      <c r="AP70" s="95">
        <v>0</v>
      </c>
      <c r="AQ70" s="95">
        <v>26</v>
      </c>
      <c r="AR70" s="393"/>
      <c r="AS70" s="27"/>
      <c r="AT70" s="36"/>
      <c r="AU70" s="36"/>
      <c r="AV70" s="36"/>
      <c r="AW70" s="36" t="s">
        <v>2571</v>
      </c>
      <c r="AX70" s="1681">
        <f>SUM(AX52)</f>
        <v>11</v>
      </c>
      <c r="AY70" s="1681">
        <f t="shared" ref="AY70:BG70" si="8">SUM(AY52)</f>
        <v>0</v>
      </c>
      <c r="AZ70" s="1681">
        <f t="shared" si="8"/>
        <v>0</v>
      </c>
      <c r="BA70" s="1681">
        <f t="shared" si="8"/>
        <v>0</v>
      </c>
      <c r="BB70" s="1681">
        <f t="shared" si="8"/>
        <v>0</v>
      </c>
      <c r="BC70" s="1681">
        <f t="shared" si="8"/>
        <v>0</v>
      </c>
      <c r="BD70" s="1681">
        <f t="shared" si="8"/>
        <v>0</v>
      </c>
      <c r="BE70" s="1681">
        <f t="shared" si="8"/>
        <v>0</v>
      </c>
      <c r="BF70" s="1681">
        <f t="shared" si="8"/>
        <v>0</v>
      </c>
      <c r="BG70" s="4326">
        <f t="shared" si="8"/>
        <v>11</v>
      </c>
      <c r="BH70" s="560"/>
      <c r="BJ70" s="4215"/>
      <c r="BK70" s="4215"/>
      <c r="BL70" s="4222"/>
      <c r="BM70" s="4222" t="s">
        <v>1074</v>
      </c>
      <c r="BN70" s="4342">
        <v>2</v>
      </c>
      <c r="BO70" s="4342">
        <v>1</v>
      </c>
      <c r="BP70" s="4342">
        <v>0</v>
      </c>
      <c r="BQ70" s="4342">
        <v>0</v>
      </c>
      <c r="BR70" s="4342">
        <v>0</v>
      </c>
      <c r="BS70" s="4342"/>
      <c r="BT70" s="4342">
        <v>3</v>
      </c>
      <c r="BU70" s="4222"/>
      <c r="BW70" s="36"/>
      <c r="BX70" s="36"/>
      <c r="BY70" s="36"/>
      <c r="BZ70" s="36" t="s">
        <v>1081</v>
      </c>
      <c r="CA70" s="1681"/>
      <c r="CB70" s="1681">
        <v>0</v>
      </c>
      <c r="CC70" s="1681"/>
      <c r="CD70" s="1681">
        <v>0</v>
      </c>
      <c r="CE70" s="1681">
        <v>22</v>
      </c>
      <c r="CF70" s="95">
        <v>0</v>
      </c>
      <c r="CG70" s="95"/>
      <c r="CH70" s="95"/>
      <c r="CI70" s="95">
        <v>22</v>
      </c>
      <c r="CJ70" s="36"/>
      <c r="CN70" s="393" t="s">
        <v>112</v>
      </c>
      <c r="CO70" s="393" t="s">
        <v>1071</v>
      </c>
      <c r="CP70" s="1682">
        <v>0</v>
      </c>
      <c r="CQ70" s="1682">
        <v>0</v>
      </c>
      <c r="CR70" s="1682">
        <v>0</v>
      </c>
      <c r="CS70" s="1682">
        <v>0</v>
      </c>
      <c r="CT70" s="4212">
        <v>5</v>
      </c>
      <c r="CU70" s="4212">
        <v>2</v>
      </c>
      <c r="CV70" s="4212">
        <v>7</v>
      </c>
      <c r="CY70" s="95"/>
      <c r="DB70" s="36" t="s">
        <v>1081</v>
      </c>
      <c r="DC70" s="1484"/>
      <c r="DD70" s="1484"/>
      <c r="DE70" s="1484">
        <v>0</v>
      </c>
      <c r="DF70" s="1484">
        <v>1</v>
      </c>
      <c r="DG70" s="95">
        <v>0</v>
      </c>
      <c r="DH70" s="95"/>
      <c r="DI70" s="95">
        <v>1</v>
      </c>
      <c r="DL70" s="1191"/>
      <c r="DM70" s="1191"/>
      <c r="DN70" s="1191" t="s">
        <v>487</v>
      </c>
      <c r="DO70" s="1192" t="s">
        <v>1076</v>
      </c>
      <c r="DP70" s="1193"/>
      <c r="DQ70" s="1193"/>
      <c r="DR70" s="1194">
        <v>0</v>
      </c>
      <c r="DS70" s="1194">
        <v>1</v>
      </c>
      <c r="DT70" s="1193"/>
      <c r="DU70" s="1196">
        <v>0</v>
      </c>
      <c r="DV70" s="1196">
        <v>1</v>
      </c>
      <c r="DW70" s="1187"/>
      <c r="DY70" s="427"/>
      <c r="DZ70" s="427" t="s">
        <v>41</v>
      </c>
      <c r="EA70" s="428" t="s">
        <v>137</v>
      </c>
      <c r="EB70" s="429" t="s">
        <v>1071</v>
      </c>
      <c r="EC70" s="431"/>
      <c r="ED70" s="431"/>
      <c r="EE70" s="431"/>
      <c r="EF70" s="431"/>
      <c r="EG70" s="432">
        <v>11</v>
      </c>
      <c r="EH70" s="432">
        <v>11</v>
      </c>
      <c r="EI70" s="36"/>
      <c r="EK70" s="433"/>
      <c r="EL70" s="433"/>
      <c r="EM70" s="434"/>
      <c r="EN70" s="435" t="s">
        <v>1142</v>
      </c>
      <c r="EO70" s="437"/>
      <c r="EP70" s="436">
        <v>0</v>
      </c>
      <c r="EQ70" s="436">
        <v>3</v>
      </c>
      <c r="ER70" s="436">
        <v>3</v>
      </c>
      <c r="ES70" s="439">
        <v>1</v>
      </c>
      <c r="ET70" s="439">
        <v>0</v>
      </c>
      <c r="EU70" s="439">
        <v>7</v>
      </c>
      <c r="EV70" s="440"/>
      <c r="EZ70" s="441"/>
      <c r="FA70" s="462" t="s">
        <v>483</v>
      </c>
      <c r="FB70" s="464">
        <v>8</v>
      </c>
      <c r="FC70" s="464">
        <v>2</v>
      </c>
      <c r="FD70" s="464">
        <v>62</v>
      </c>
      <c r="FE70" s="463"/>
      <c r="FF70" s="463"/>
      <c r="FG70" s="464">
        <v>72</v>
      </c>
      <c r="FH70" s="465">
        <f>+(FG69+FG67)/FG70</f>
        <v>0.72222222222222221</v>
      </c>
      <c r="FK70" s="95"/>
      <c r="FL70" s="95"/>
      <c r="FM70" s="36" t="s">
        <v>1081</v>
      </c>
      <c r="FN70" s="95">
        <v>0</v>
      </c>
      <c r="FO70" s="95">
        <v>0</v>
      </c>
      <c r="FP70" s="95">
        <v>1</v>
      </c>
      <c r="FQ70" s="95"/>
      <c r="FR70" s="95"/>
      <c r="FS70" s="95">
        <v>1</v>
      </c>
      <c r="FU70" s="37"/>
      <c r="FV70" s="616"/>
      <c r="FW70" s="4357"/>
      <c r="FX70" s="616"/>
      <c r="FY70" s="616" t="s">
        <v>1076</v>
      </c>
      <c r="FZ70" s="616">
        <v>0</v>
      </c>
      <c r="GA70" s="616">
        <v>0</v>
      </c>
      <c r="GB70" s="616">
        <v>0</v>
      </c>
      <c r="GC70" s="616">
        <v>6</v>
      </c>
      <c r="GD70" s="616">
        <v>7</v>
      </c>
      <c r="GE70" s="616">
        <v>0</v>
      </c>
      <c r="GF70" s="616">
        <v>13</v>
      </c>
      <c r="GG70" s="616"/>
      <c r="GH70" s="617"/>
      <c r="GI70" s="37"/>
    </row>
    <row r="71" spans="25:191">
      <c r="Y71" s="4528"/>
      <c r="Z71" s="4528"/>
      <c r="AA71" s="4527"/>
      <c r="AB71" s="4527"/>
      <c r="AC71" s="4648"/>
      <c r="AD71" s="4648"/>
      <c r="AG71" s="36"/>
      <c r="AH71" s="36"/>
      <c r="AI71" s="36"/>
      <c r="AJ71" s="36" t="s">
        <v>1074</v>
      </c>
      <c r="AK71" s="1681">
        <v>0</v>
      </c>
      <c r="AL71" s="1681">
        <v>3</v>
      </c>
      <c r="AM71" s="1681">
        <v>1</v>
      </c>
      <c r="AN71" s="1681">
        <v>0</v>
      </c>
      <c r="AO71" s="1681">
        <v>0</v>
      </c>
      <c r="AP71" s="95">
        <v>0</v>
      </c>
      <c r="AQ71" s="95">
        <v>4</v>
      </c>
      <c r="AR71" s="393"/>
      <c r="AS71" s="27"/>
      <c r="AT71" s="36"/>
      <c r="AU71" s="36"/>
      <c r="AV71" s="36"/>
      <c r="AW71" s="36" t="s">
        <v>1142</v>
      </c>
      <c r="AX71" s="1681">
        <v>0</v>
      </c>
      <c r="AY71" s="1681">
        <v>0</v>
      </c>
      <c r="AZ71" s="1681">
        <v>0</v>
      </c>
      <c r="BA71" s="1681">
        <v>28</v>
      </c>
      <c r="BB71" s="1681"/>
      <c r="BC71" s="1681">
        <v>0</v>
      </c>
      <c r="BD71" s="1681">
        <v>0</v>
      </c>
      <c r="BE71" s="1681"/>
      <c r="BF71" s="1681"/>
      <c r="BG71" s="4326">
        <v>28</v>
      </c>
      <c r="BH71" s="560"/>
      <c r="BJ71" s="4215"/>
      <c r="BK71" s="4215"/>
      <c r="BL71" s="4222"/>
      <c r="BM71" s="4222" t="s">
        <v>1076</v>
      </c>
      <c r="BN71" s="4342">
        <v>0</v>
      </c>
      <c r="BO71" s="4342">
        <v>0</v>
      </c>
      <c r="BP71" s="4342">
        <v>42</v>
      </c>
      <c r="BQ71" s="4342">
        <v>0</v>
      </c>
      <c r="BR71" s="4342">
        <v>0</v>
      </c>
      <c r="BS71" s="4342"/>
      <c r="BT71" s="4342">
        <v>42</v>
      </c>
      <c r="BU71" s="4222"/>
      <c r="BW71" s="36"/>
      <c r="BX71" s="36"/>
      <c r="BY71" s="36"/>
      <c r="BZ71" s="393" t="s">
        <v>15</v>
      </c>
      <c r="CA71" s="1682"/>
      <c r="CB71" s="1682">
        <v>1</v>
      </c>
      <c r="CC71" s="1682"/>
      <c r="CD71" s="1682">
        <v>2</v>
      </c>
      <c r="CE71" s="1682">
        <v>22</v>
      </c>
      <c r="CF71" s="2041">
        <v>7</v>
      </c>
      <c r="CG71" s="2041"/>
      <c r="CH71" s="2041"/>
      <c r="CI71" s="2041">
        <v>32</v>
      </c>
      <c r="CJ71" s="560">
        <f>+CI70/CI71</f>
        <v>0.6875</v>
      </c>
      <c r="CN71" s="393"/>
      <c r="CO71" s="393" t="s">
        <v>1072</v>
      </c>
      <c r="CP71" s="1682">
        <v>1</v>
      </c>
      <c r="CQ71" s="1682">
        <v>1</v>
      </c>
      <c r="CR71" s="1682">
        <v>1</v>
      </c>
      <c r="CS71" s="1682">
        <v>1</v>
      </c>
      <c r="CT71" s="4212">
        <v>0</v>
      </c>
      <c r="CU71" s="4212">
        <v>1</v>
      </c>
      <c r="CV71" s="4212">
        <v>5</v>
      </c>
      <c r="CY71" s="95"/>
      <c r="DB71" s="393" t="s">
        <v>412</v>
      </c>
      <c r="DC71" s="1485"/>
      <c r="DD71" s="1485"/>
      <c r="DE71" s="1485">
        <v>2</v>
      </c>
      <c r="DF71" s="1485">
        <v>5</v>
      </c>
      <c r="DG71" s="4212">
        <v>41</v>
      </c>
      <c r="DH71" s="4212"/>
      <c r="DI71" s="4212">
        <v>48</v>
      </c>
      <c r="DJ71" s="560">
        <f>+(DI69+DI70)/DI71</f>
        <v>6.25E-2</v>
      </c>
      <c r="DL71" s="1191"/>
      <c r="DM71" s="1191"/>
      <c r="DN71" s="1191"/>
      <c r="DO71" s="1192" t="s">
        <v>1077</v>
      </c>
      <c r="DP71" s="1193"/>
      <c r="DQ71" s="1193"/>
      <c r="DR71" s="1194">
        <v>1</v>
      </c>
      <c r="DS71" s="1194">
        <v>0</v>
      </c>
      <c r="DT71" s="1193"/>
      <c r="DU71" s="1196">
        <v>0</v>
      </c>
      <c r="DV71" s="1196">
        <v>1</v>
      </c>
      <c r="DW71" s="1187"/>
      <c r="DY71" s="427"/>
      <c r="DZ71" s="427"/>
      <c r="EA71" s="428"/>
      <c r="EB71" s="451" t="s">
        <v>15</v>
      </c>
      <c r="EC71" s="453"/>
      <c r="ED71" s="453"/>
      <c r="EE71" s="453"/>
      <c r="EF71" s="453"/>
      <c r="EG71" s="455">
        <v>11</v>
      </c>
      <c r="EH71" s="455">
        <v>11</v>
      </c>
      <c r="EI71" s="456">
        <v>0</v>
      </c>
      <c r="EK71" s="433"/>
      <c r="EL71" s="433"/>
      <c r="EM71" s="434"/>
      <c r="EN71" s="457" t="s">
        <v>109</v>
      </c>
      <c r="EO71" s="459"/>
      <c r="EP71" s="458">
        <v>4</v>
      </c>
      <c r="EQ71" s="458">
        <v>25</v>
      </c>
      <c r="ER71" s="458">
        <v>8</v>
      </c>
      <c r="ES71" s="461">
        <v>12</v>
      </c>
      <c r="ET71" s="461">
        <v>2</v>
      </c>
      <c r="EU71" s="461">
        <v>51</v>
      </c>
      <c r="EV71" s="440">
        <f>+(EU70+EU69+EU67-ES70-ET67-ES67)/EU71</f>
        <v>0.60784313725490191</v>
      </c>
      <c r="FK71" s="95"/>
      <c r="FL71" s="95"/>
      <c r="FM71" s="393" t="s">
        <v>15</v>
      </c>
      <c r="FN71" s="4212">
        <v>11</v>
      </c>
      <c r="FO71" s="4212">
        <v>6</v>
      </c>
      <c r="FP71" s="4212">
        <v>74</v>
      </c>
      <c r="FQ71" s="4212"/>
      <c r="FR71" s="4212"/>
      <c r="FS71" s="4212">
        <v>91</v>
      </c>
      <c r="FT71" s="631">
        <f>+(FS68+FS70)/FS71</f>
        <v>0.36263736263736263</v>
      </c>
      <c r="FU71" s="37"/>
      <c r="FV71" s="616"/>
      <c r="FW71" s="4357"/>
      <c r="FX71" s="616"/>
      <c r="FY71" s="616" t="s">
        <v>1080</v>
      </c>
      <c r="FZ71" s="616">
        <v>0</v>
      </c>
      <c r="GA71" s="616">
        <v>0</v>
      </c>
      <c r="GB71" s="616">
        <v>0</v>
      </c>
      <c r="GC71" s="616">
        <v>0</v>
      </c>
      <c r="GD71" s="616">
        <v>0</v>
      </c>
      <c r="GE71" s="616">
        <v>1</v>
      </c>
      <c r="GF71" s="616">
        <v>1</v>
      </c>
      <c r="GG71" s="616"/>
      <c r="GH71" s="617"/>
      <c r="GI71" s="37"/>
    </row>
    <row r="72" spans="25:191">
      <c r="Y72" s="4528"/>
      <c r="Z72" s="4528"/>
      <c r="AA72" s="4527"/>
      <c r="AB72" s="4527"/>
      <c r="AC72" s="4648"/>
      <c r="AD72" s="4648"/>
      <c r="AG72" s="36"/>
      <c r="AH72" s="36"/>
      <c r="AI72" s="36"/>
      <c r="AJ72" s="36" t="s">
        <v>1076</v>
      </c>
      <c r="AK72" s="1681">
        <v>0</v>
      </c>
      <c r="AL72" s="1681">
        <v>0</v>
      </c>
      <c r="AM72" s="1681">
        <v>0</v>
      </c>
      <c r="AN72" s="1681">
        <v>0</v>
      </c>
      <c r="AO72" s="1681">
        <v>1</v>
      </c>
      <c r="AP72" s="95">
        <v>1</v>
      </c>
      <c r="AQ72" s="95">
        <v>2</v>
      </c>
      <c r="AR72" s="393"/>
      <c r="AS72" s="27"/>
      <c r="AT72" s="3801"/>
      <c r="AU72" s="3801"/>
      <c r="AV72" s="3801"/>
      <c r="AW72" s="3801" t="s">
        <v>15</v>
      </c>
      <c r="AX72" s="4350">
        <f>SUM(AX65:AX71)</f>
        <v>11</v>
      </c>
      <c r="AY72" s="4350">
        <f t="shared" ref="AY72:BG72" si="9">SUM(AY65:AY71)</f>
        <v>5</v>
      </c>
      <c r="AZ72" s="4350">
        <f t="shared" si="9"/>
        <v>3</v>
      </c>
      <c r="BA72" s="4350">
        <f t="shared" si="9"/>
        <v>49</v>
      </c>
      <c r="BB72" s="4350">
        <f t="shared" si="9"/>
        <v>0</v>
      </c>
      <c r="BC72" s="4350">
        <f t="shared" si="9"/>
        <v>4</v>
      </c>
      <c r="BD72" s="4350">
        <f t="shared" si="9"/>
        <v>1</v>
      </c>
      <c r="BE72" s="4350">
        <f t="shared" si="9"/>
        <v>1</v>
      </c>
      <c r="BF72" s="4350">
        <f t="shared" si="9"/>
        <v>1</v>
      </c>
      <c r="BG72" s="4351">
        <f t="shared" si="9"/>
        <v>75</v>
      </c>
      <c r="BH72" s="4349">
        <f>+(BG67+BG71)/(BG72-BG70)</f>
        <v>0.640625</v>
      </c>
      <c r="BJ72" s="4215"/>
      <c r="BK72" s="4215"/>
      <c r="BL72" s="4222"/>
      <c r="BM72" s="4222" t="s">
        <v>1077</v>
      </c>
      <c r="BN72" s="4342">
        <v>0</v>
      </c>
      <c r="BO72" s="4342">
        <v>0</v>
      </c>
      <c r="BP72" s="4342">
        <v>1</v>
      </c>
      <c r="BQ72" s="4342">
        <v>0</v>
      </c>
      <c r="BR72" s="4342">
        <v>0</v>
      </c>
      <c r="BS72" s="4342"/>
      <c r="BT72" s="4342">
        <v>1</v>
      </c>
      <c r="BU72" s="4222"/>
      <c r="BW72" s="36"/>
      <c r="BX72" s="36"/>
      <c r="BY72" s="393" t="s">
        <v>483</v>
      </c>
      <c r="BZ72" s="393" t="s">
        <v>1071</v>
      </c>
      <c r="CA72" s="1682"/>
      <c r="CB72" s="1682">
        <v>0</v>
      </c>
      <c r="CC72" s="1682"/>
      <c r="CD72" s="1682">
        <v>0</v>
      </c>
      <c r="CE72" s="1682">
        <v>0</v>
      </c>
      <c r="CF72" s="2041">
        <v>7</v>
      </c>
      <c r="CG72" s="2041"/>
      <c r="CH72" s="2041"/>
      <c r="CI72" s="2041">
        <v>7</v>
      </c>
      <c r="CJ72" s="36"/>
      <c r="CN72" s="393"/>
      <c r="CO72" s="393" t="s">
        <v>1074</v>
      </c>
      <c r="CP72" s="1682">
        <v>1</v>
      </c>
      <c r="CQ72" s="1682">
        <v>0</v>
      </c>
      <c r="CR72" s="1682">
        <v>0</v>
      </c>
      <c r="CS72" s="1682">
        <v>0</v>
      </c>
      <c r="CT72" s="4212">
        <v>0</v>
      </c>
      <c r="CU72" s="4212">
        <v>0</v>
      </c>
      <c r="CV72" s="4212">
        <v>1</v>
      </c>
      <c r="CY72" s="95" t="s">
        <v>59</v>
      </c>
      <c r="CZ72" s="95" t="s">
        <v>64</v>
      </c>
      <c r="DA72" s="36" t="s">
        <v>609</v>
      </c>
      <c r="DB72" s="36" t="s">
        <v>1072</v>
      </c>
      <c r="DC72" s="1484"/>
      <c r="DD72" s="1484">
        <v>1</v>
      </c>
      <c r="DE72" s="1484">
        <v>2</v>
      </c>
      <c r="DF72" s="1484"/>
      <c r="DG72" s="95">
        <v>0</v>
      </c>
      <c r="DH72" s="95"/>
      <c r="DI72" s="95">
        <v>3</v>
      </c>
      <c r="DL72" s="1191"/>
      <c r="DM72" s="1191"/>
      <c r="DN72" s="1191"/>
      <c r="DO72" s="1192" t="s">
        <v>1080</v>
      </c>
      <c r="DP72" s="1193"/>
      <c r="DQ72" s="1193"/>
      <c r="DR72" s="1194">
        <v>0</v>
      </c>
      <c r="DS72" s="1194">
        <v>0</v>
      </c>
      <c r="DT72" s="1193"/>
      <c r="DU72" s="1196">
        <v>1</v>
      </c>
      <c r="DV72" s="1196">
        <v>1</v>
      </c>
      <c r="DW72" s="1187"/>
      <c r="DY72" s="427"/>
      <c r="DZ72" s="427"/>
      <c r="EA72" s="428" t="s">
        <v>111</v>
      </c>
      <c r="EB72" s="429" t="s">
        <v>1074</v>
      </c>
      <c r="EC72" s="430">
        <v>3</v>
      </c>
      <c r="ED72" s="431"/>
      <c r="EE72" s="431"/>
      <c r="EF72" s="430">
        <v>0</v>
      </c>
      <c r="EG72" s="427"/>
      <c r="EH72" s="432">
        <v>3</v>
      </c>
      <c r="EI72" s="36"/>
      <c r="EZ72" s="441" t="s">
        <v>485</v>
      </c>
      <c r="FA72" s="442" t="s">
        <v>1071</v>
      </c>
      <c r="FB72" s="444">
        <v>0</v>
      </c>
      <c r="FC72" s="444">
        <v>0</v>
      </c>
      <c r="FD72" s="444">
        <v>0</v>
      </c>
      <c r="FE72" s="444">
        <v>0</v>
      </c>
      <c r="FF72" s="444">
        <v>8</v>
      </c>
      <c r="FG72" s="444">
        <v>8</v>
      </c>
      <c r="FH72" s="445"/>
      <c r="FK72" s="95"/>
      <c r="FL72" s="95" t="s">
        <v>41</v>
      </c>
      <c r="FM72" s="36" t="s">
        <v>1071</v>
      </c>
      <c r="FN72" s="95"/>
      <c r="FO72" s="95">
        <v>0</v>
      </c>
      <c r="FP72" s="95">
        <v>0</v>
      </c>
      <c r="FQ72" s="95">
        <v>0</v>
      </c>
      <c r="FR72" s="95">
        <v>4</v>
      </c>
      <c r="FS72" s="95">
        <v>4</v>
      </c>
      <c r="FU72" s="37"/>
      <c r="FV72" s="616"/>
      <c r="FW72" s="4357"/>
      <c r="FX72" s="616"/>
      <c r="FY72" s="616" t="s">
        <v>1142</v>
      </c>
      <c r="FZ72" s="616">
        <v>0</v>
      </c>
      <c r="GA72" s="616">
        <v>0</v>
      </c>
      <c r="GB72" s="616">
        <v>0</v>
      </c>
      <c r="GC72" s="616">
        <v>0</v>
      </c>
      <c r="GD72" s="616">
        <v>2</v>
      </c>
      <c r="GE72" s="616">
        <v>0</v>
      </c>
      <c r="GF72" s="616">
        <v>2</v>
      </c>
      <c r="GG72" s="616"/>
      <c r="GH72" s="617"/>
      <c r="GI72" s="37"/>
    </row>
    <row r="73" spans="25:191">
      <c r="Y73" s="4528"/>
      <c r="Z73" s="4528"/>
      <c r="AA73" s="4527"/>
      <c r="AB73" s="4527"/>
      <c r="AC73" s="4648"/>
      <c r="AD73" s="4648"/>
      <c r="AG73" s="36"/>
      <c r="AH73" s="36"/>
      <c r="AI73" s="36"/>
      <c r="AJ73" s="36" t="s">
        <v>1080</v>
      </c>
      <c r="AK73" s="1681">
        <v>0</v>
      </c>
      <c r="AL73" s="1681">
        <v>0</v>
      </c>
      <c r="AM73" s="1681">
        <v>0</v>
      </c>
      <c r="AN73" s="1681">
        <v>0</v>
      </c>
      <c r="AO73" s="1681">
        <v>0</v>
      </c>
      <c r="AP73" s="95">
        <v>1</v>
      </c>
      <c r="AQ73" s="95">
        <v>1</v>
      </c>
      <c r="AR73" s="393"/>
      <c r="AS73" s="27"/>
      <c r="AT73" s="36" t="s">
        <v>59</v>
      </c>
      <c r="AU73" s="36" t="s">
        <v>64</v>
      </c>
      <c r="AV73" s="36" t="s">
        <v>609</v>
      </c>
      <c r="AW73" s="36" t="s">
        <v>1081</v>
      </c>
      <c r="AX73" s="1681"/>
      <c r="AY73" s="1681"/>
      <c r="AZ73" s="1681"/>
      <c r="BA73" s="1681">
        <v>1</v>
      </c>
      <c r="BB73" s="1681"/>
      <c r="BC73" s="95"/>
      <c r="BD73" s="95"/>
      <c r="BE73" s="95"/>
      <c r="BF73" s="95"/>
      <c r="BG73" s="95">
        <v>1</v>
      </c>
      <c r="BH73" s="560"/>
      <c r="BJ73" s="4215"/>
      <c r="BK73" s="4215"/>
      <c r="BL73" s="4222"/>
      <c r="BM73" s="4222" t="s">
        <v>1080</v>
      </c>
      <c r="BN73" s="4342">
        <v>0</v>
      </c>
      <c r="BO73" s="4342">
        <v>0</v>
      </c>
      <c r="BP73" s="4342">
        <v>0</v>
      </c>
      <c r="BQ73" s="4342">
        <v>3</v>
      </c>
      <c r="BR73" s="4342">
        <v>1</v>
      </c>
      <c r="BS73" s="4342">
        <f>2+2</f>
        <v>4</v>
      </c>
      <c r="BT73" s="4342">
        <f>4+2+2</f>
        <v>8</v>
      </c>
      <c r="BU73" s="4222"/>
      <c r="BW73" s="36"/>
      <c r="BX73" s="36"/>
      <c r="BY73" s="393"/>
      <c r="BZ73" s="393" t="s">
        <v>1072</v>
      </c>
      <c r="CA73" s="1682"/>
      <c r="CB73" s="1682">
        <v>1</v>
      </c>
      <c r="CC73" s="1682"/>
      <c r="CD73" s="1682">
        <v>2</v>
      </c>
      <c r="CE73" s="1682">
        <v>0</v>
      </c>
      <c r="CF73" s="2041">
        <v>0</v>
      </c>
      <c r="CG73" s="2041"/>
      <c r="CH73" s="2041"/>
      <c r="CI73" s="2041">
        <v>3</v>
      </c>
      <c r="CJ73" s="36"/>
      <c r="CN73" s="393"/>
      <c r="CO73" s="393" t="s">
        <v>1076</v>
      </c>
      <c r="CP73" s="1682">
        <v>0</v>
      </c>
      <c r="CQ73" s="1682">
        <v>0</v>
      </c>
      <c r="CR73" s="1682">
        <v>24</v>
      </c>
      <c r="CS73" s="1682">
        <v>4</v>
      </c>
      <c r="CT73" s="4212">
        <v>1</v>
      </c>
      <c r="CU73" s="4212">
        <v>0</v>
      </c>
      <c r="CV73" s="4212">
        <v>29</v>
      </c>
      <c r="CY73" s="95"/>
      <c r="DB73" s="36" t="s">
        <v>1077</v>
      </c>
      <c r="DC73" s="1484"/>
      <c r="DD73" s="1484">
        <v>0</v>
      </c>
      <c r="DE73" s="1484">
        <v>1</v>
      </c>
      <c r="DF73" s="1484"/>
      <c r="DG73" s="95">
        <v>0</v>
      </c>
      <c r="DH73" s="95"/>
      <c r="DI73" s="95">
        <v>1</v>
      </c>
      <c r="DL73" s="1191"/>
      <c r="DM73" s="1191"/>
      <c r="DN73" s="1191"/>
      <c r="DO73" s="1192" t="s">
        <v>1142</v>
      </c>
      <c r="DP73" s="1193"/>
      <c r="DQ73" s="1193"/>
      <c r="DR73" s="1194">
        <v>0</v>
      </c>
      <c r="DS73" s="1194">
        <v>1</v>
      </c>
      <c r="DT73" s="1193"/>
      <c r="DU73" s="1196">
        <v>0</v>
      </c>
      <c r="DV73" s="1196">
        <v>1</v>
      </c>
      <c r="DW73" s="1187"/>
      <c r="DY73" s="427"/>
      <c r="DZ73" s="427"/>
      <c r="EA73" s="428"/>
      <c r="EB73" s="429" t="s">
        <v>1076</v>
      </c>
      <c r="EC73" s="431"/>
      <c r="ED73" s="431"/>
      <c r="EE73" s="430">
        <v>0</v>
      </c>
      <c r="EF73" s="430">
        <v>1</v>
      </c>
      <c r="EG73" s="427"/>
      <c r="EH73" s="432">
        <v>1</v>
      </c>
      <c r="EI73" s="36"/>
      <c r="EZ73" s="441"/>
      <c r="FA73" s="442" t="s">
        <v>1072</v>
      </c>
      <c r="FB73" s="444">
        <v>3</v>
      </c>
      <c r="FC73" s="444">
        <v>0</v>
      </c>
      <c r="FD73" s="444">
        <v>2</v>
      </c>
      <c r="FE73" s="444">
        <v>4</v>
      </c>
      <c r="FF73" s="444">
        <v>0</v>
      </c>
      <c r="FG73" s="444">
        <v>9</v>
      </c>
      <c r="FH73" s="445"/>
      <c r="FK73" s="95"/>
      <c r="FL73" s="95"/>
      <c r="FM73" s="36" t="s">
        <v>1072</v>
      </c>
      <c r="FN73" s="95"/>
      <c r="FO73" s="95">
        <v>1</v>
      </c>
      <c r="FP73" s="95">
        <v>2</v>
      </c>
      <c r="FQ73" s="95">
        <v>0</v>
      </c>
      <c r="FR73" s="95">
        <v>0</v>
      </c>
      <c r="FS73" s="95">
        <v>3</v>
      </c>
      <c r="FU73" s="37"/>
      <c r="FV73" s="616"/>
      <c r="FW73" s="4357"/>
      <c r="FX73" s="616"/>
      <c r="FY73" s="627" t="s">
        <v>15</v>
      </c>
      <c r="FZ73" s="627">
        <v>0</v>
      </c>
      <c r="GA73" s="627">
        <v>0</v>
      </c>
      <c r="GB73" s="627">
        <v>0</v>
      </c>
      <c r="GC73" s="627">
        <v>7</v>
      </c>
      <c r="GD73" s="627">
        <v>9</v>
      </c>
      <c r="GE73" s="627">
        <v>7</v>
      </c>
      <c r="GF73" s="627">
        <v>23</v>
      </c>
      <c r="GG73" s="628">
        <f>+(GF72+GF70)/GF73</f>
        <v>0.65217391304347827</v>
      </c>
      <c r="GH73" s="617">
        <f>+GF70+GF72</f>
        <v>15</v>
      </c>
      <c r="GI73" s="37"/>
    </row>
    <row r="74" spans="25:191">
      <c r="Y74" s="4528"/>
      <c r="Z74" s="4528"/>
      <c r="AA74" s="4527"/>
      <c r="AB74" s="4527"/>
      <c r="AC74" s="4648"/>
      <c r="AD74" s="4648"/>
      <c r="AE74" s="4641" t="s">
        <v>2613</v>
      </c>
      <c r="AG74" s="36"/>
      <c r="AH74" s="36"/>
      <c r="AI74" s="36"/>
      <c r="AJ74" s="36" t="s">
        <v>1081</v>
      </c>
      <c r="AK74" s="1681">
        <v>0</v>
      </c>
      <c r="AL74" s="1681">
        <v>0</v>
      </c>
      <c r="AM74" s="1681">
        <v>0</v>
      </c>
      <c r="AN74" s="1681">
        <v>33</v>
      </c>
      <c r="AO74" s="1681">
        <v>0</v>
      </c>
      <c r="AP74" s="95">
        <v>0</v>
      </c>
      <c r="AQ74" s="95">
        <v>33</v>
      </c>
      <c r="AR74" s="393"/>
      <c r="AS74" s="27"/>
      <c r="AT74" s="36"/>
      <c r="AU74" s="36"/>
      <c r="AV74" s="36"/>
      <c r="AW74" s="36" t="s">
        <v>1142</v>
      </c>
      <c r="AX74" s="1681"/>
      <c r="AY74" s="1681"/>
      <c r="AZ74" s="1681"/>
      <c r="BA74" s="1681">
        <v>1</v>
      </c>
      <c r="BB74" s="1681"/>
      <c r="BC74" s="95"/>
      <c r="BD74" s="95"/>
      <c r="BE74" s="95"/>
      <c r="BF74" s="95"/>
      <c r="BG74" s="95">
        <v>1</v>
      </c>
      <c r="BH74" s="560"/>
      <c r="BJ74" s="4215"/>
      <c r="BK74" s="4215"/>
      <c r="BL74" s="4222"/>
      <c r="BM74" s="4222" t="s">
        <v>1081</v>
      </c>
      <c r="BN74" s="4342">
        <v>0</v>
      </c>
      <c r="BO74" s="4342">
        <v>0</v>
      </c>
      <c r="BP74" s="4342">
        <v>17</v>
      </c>
      <c r="BQ74" s="4342">
        <v>0</v>
      </c>
      <c r="BR74" s="4342">
        <v>0</v>
      </c>
      <c r="BS74" s="4342"/>
      <c r="BT74" s="4342">
        <v>17</v>
      </c>
      <c r="BU74" s="4222"/>
      <c r="BW74" s="36"/>
      <c r="BX74" s="36"/>
      <c r="BY74" s="393"/>
      <c r="BZ74" s="393" t="s">
        <v>1081</v>
      </c>
      <c r="CA74" s="1682"/>
      <c r="CB74" s="1682">
        <v>0</v>
      </c>
      <c r="CC74" s="1682"/>
      <c r="CD74" s="1682">
        <v>0</v>
      </c>
      <c r="CE74" s="1682">
        <v>22</v>
      </c>
      <c r="CF74" s="2041">
        <v>0</v>
      </c>
      <c r="CG74" s="2041"/>
      <c r="CH74" s="2041"/>
      <c r="CI74" s="2041">
        <v>22</v>
      </c>
      <c r="CJ74" s="36"/>
      <c r="CN74" s="393"/>
      <c r="CO74" s="393" t="s">
        <v>1077</v>
      </c>
      <c r="CP74" s="1682">
        <v>2</v>
      </c>
      <c r="CQ74" s="1682">
        <v>0</v>
      </c>
      <c r="CR74" s="1682">
        <v>1</v>
      </c>
      <c r="CS74" s="1682">
        <v>0</v>
      </c>
      <c r="CT74" s="4212">
        <v>0</v>
      </c>
      <c r="CU74" s="4212">
        <v>0</v>
      </c>
      <c r="CV74" s="4212">
        <v>3</v>
      </c>
      <c r="CY74" s="95"/>
      <c r="DB74" s="36" t="s">
        <v>1080</v>
      </c>
      <c r="DC74" s="1484"/>
      <c r="DD74" s="1484">
        <v>0</v>
      </c>
      <c r="DE74" s="1484">
        <v>0</v>
      </c>
      <c r="DF74" s="1484"/>
      <c r="DG74" s="95">
        <v>1</v>
      </c>
      <c r="DH74" s="95"/>
      <c r="DI74" s="95">
        <v>1</v>
      </c>
      <c r="DL74" s="1191"/>
      <c r="DM74" s="1191"/>
      <c r="DN74" s="1191"/>
      <c r="DO74" s="1186" t="s">
        <v>487</v>
      </c>
      <c r="DP74" s="1197"/>
      <c r="DQ74" s="1197"/>
      <c r="DR74" s="1198">
        <v>1</v>
      </c>
      <c r="DS74" s="1198">
        <v>2</v>
      </c>
      <c r="DT74" s="1197"/>
      <c r="DU74" s="1200">
        <v>1</v>
      </c>
      <c r="DV74" s="1200">
        <v>4</v>
      </c>
      <c r="DW74" s="1178">
        <f>+(DV70+DV73)/DV74</f>
        <v>0.5</v>
      </c>
      <c r="DY74" s="427"/>
      <c r="DZ74" s="427"/>
      <c r="EA74" s="428"/>
      <c r="EB74" s="429" t="s">
        <v>1142</v>
      </c>
      <c r="EC74" s="430">
        <v>0</v>
      </c>
      <c r="ED74" s="431"/>
      <c r="EE74" s="431">
        <v>1</v>
      </c>
      <c r="EF74" s="430">
        <f>1+6</f>
        <v>7</v>
      </c>
      <c r="EG74" s="427"/>
      <c r="EH74" s="432">
        <f>1+7</f>
        <v>8</v>
      </c>
      <c r="EI74" s="36"/>
      <c r="EZ74" s="441"/>
      <c r="FA74" s="442" t="s">
        <v>1076</v>
      </c>
      <c r="FB74" s="444">
        <v>0</v>
      </c>
      <c r="FC74" s="444">
        <v>0</v>
      </c>
      <c r="FD74" s="444">
        <v>7</v>
      </c>
      <c r="FE74" s="444">
        <v>5</v>
      </c>
      <c r="FF74" s="444">
        <v>0</v>
      </c>
      <c r="FG74" s="444">
        <v>12</v>
      </c>
      <c r="FH74" s="445"/>
      <c r="FK74" s="95"/>
      <c r="FL74" s="95"/>
      <c r="FM74" s="36" t="s">
        <v>1074</v>
      </c>
      <c r="FN74" s="95"/>
      <c r="FO74" s="95">
        <v>1</v>
      </c>
      <c r="FP74" s="95">
        <v>0</v>
      </c>
      <c r="FQ74" s="95">
        <v>0</v>
      </c>
      <c r="FR74" s="95">
        <v>0</v>
      </c>
      <c r="FS74" s="95">
        <v>1</v>
      </c>
      <c r="FU74" s="37"/>
      <c r="FV74" s="616"/>
      <c r="FW74" s="4357" t="s">
        <v>1146</v>
      </c>
      <c r="FX74" s="616" t="s">
        <v>16</v>
      </c>
      <c r="FY74" s="616" t="s">
        <v>1071</v>
      </c>
      <c r="FZ74" s="616">
        <v>0</v>
      </c>
      <c r="GA74" s="616">
        <v>0</v>
      </c>
      <c r="GB74" s="616">
        <v>0</v>
      </c>
      <c r="GC74" s="616">
        <v>0</v>
      </c>
      <c r="GD74" s="616">
        <v>0</v>
      </c>
      <c r="GE74" s="616">
        <v>1</v>
      </c>
      <c r="GF74" s="616">
        <v>1</v>
      </c>
      <c r="GG74" s="616"/>
      <c r="GH74" s="617"/>
      <c r="GI74" s="37"/>
    </row>
    <row r="75" spans="25:191">
      <c r="Y75" s="4528"/>
      <c r="Z75" s="4528"/>
      <c r="AA75" s="4527"/>
      <c r="AB75" s="4527"/>
      <c r="AC75" s="4648"/>
      <c r="AD75" s="4648"/>
      <c r="AG75" s="36"/>
      <c r="AH75" s="36"/>
      <c r="AI75" s="36"/>
      <c r="AJ75" s="36" t="s">
        <v>2571</v>
      </c>
      <c r="AK75" s="1681">
        <v>5</v>
      </c>
      <c r="AL75" s="1681">
        <v>0</v>
      </c>
      <c r="AM75" s="1681">
        <v>0</v>
      </c>
      <c r="AN75" s="1681">
        <v>0</v>
      </c>
      <c r="AO75" s="1681">
        <v>0</v>
      </c>
      <c r="AP75" s="95">
        <v>0</v>
      </c>
      <c r="AQ75" s="95">
        <v>5</v>
      </c>
      <c r="AR75" s="393"/>
      <c r="AS75" s="27"/>
      <c r="AT75" s="36"/>
      <c r="AU75" s="36"/>
      <c r="AV75" s="36"/>
      <c r="AW75" s="36" t="s">
        <v>15</v>
      </c>
      <c r="AX75" s="1681"/>
      <c r="AY75" s="1681"/>
      <c r="AZ75" s="1681"/>
      <c r="BA75" s="1681">
        <v>2</v>
      </c>
      <c r="BB75" s="1681"/>
      <c r="BC75" s="95"/>
      <c r="BD75" s="95"/>
      <c r="BE75" s="95"/>
      <c r="BF75" s="95"/>
      <c r="BG75" s="95">
        <v>2</v>
      </c>
      <c r="BH75" s="560">
        <f>+(BG73+BG74)/(BG75)</f>
        <v>1</v>
      </c>
      <c r="BJ75" s="4215"/>
      <c r="BK75" s="4215"/>
      <c r="BL75" s="4222"/>
      <c r="BM75" s="4222" t="s">
        <v>1142</v>
      </c>
      <c r="BN75" s="4342">
        <v>0</v>
      </c>
      <c r="BO75" s="4342">
        <v>0</v>
      </c>
      <c r="BP75" s="4342">
        <v>1</v>
      </c>
      <c r="BQ75" s="4342">
        <v>0</v>
      </c>
      <c r="BR75" s="4342">
        <v>0</v>
      </c>
      <c r="BS75" s="4342"/>
      <c r="BT75" s="4342">
        <v>1</v>
      </c>
      <c r="BU75" s="4222"/>
      <c r="BW75" s="36"/>
      <c r="BX75" s="36"/>
      <c r="BY75" s="393"/>
      <c r="BZ75" s="393" t="s">
        <v>483</v>
      </c>
      <c r="CA75" s="1682"/>
      <c r="CB75" s="1682">
        <v>1</v>
      </c>
      <c r="CC75" s="1682"/>
      <c r="CD75" s="1682">
        <v>2</v>
      </c>
      <c r="CE75" s="1682">
        <v>22</v>
      </c>
      <c r="CF75" s="2041">
        <v>7</v>
      </c>
      <c r="CG75" s="2041"/>
      <c r="CH75" s="2041"/>
      <c r="CI75" s="2041">
        <v>32</v>
      </c>
      <c r="CJ75" s="560">
        <f>+CI74/CI75</f>
        <v>0.6875</v>
      </c>
      <c r="CN75" s="393"/>
      <c r="CO75" s="393" t="s">
        <v>1080</v>
      </c>
      <c r="CP75" s="1682">
        <v>0</v>
      </c>
      <c r="CQ75" s="1682">
        <v>0</v>
      </c>
      <c r="CR75" s="1682">
        <v>0</v>
      </c>
      <c r="CS75" s="1682">
        <v>0</v>
      </c>
      <c r="CT75" s="4212">
        <v>2</v>
      </c>
      <c r="CU75" s="4212">
        <v>1</v>
      </c>
      <c r="CV75" s="4212">
        <v>3</v>
      </c>
      <c r="CY75" s="95"/>
      <c r="DB75" s="36" t="s">
        <v>1142</v>
      </c>
      <c r="DC75" s="1484"/>
      <c r="DD75" s="1484">
        <v>0</v>
      </c>
      <c r="DE75" s="1484">
        <v>2</v>
      </c>
      <c r="DF75" s="1484"/>
      <c r="DG75" s="95">
        <v>0</v>
      </c>
      <c r="DH75" s="95"/>
      <c r="DI75" s="95">
        <v>2</v>
      </c>
      <c r="DL75" s="1191"/>
      <c r="DM75" s="1191"/>
      <c r="DN75" s="1191" t="s">
        <v>256</v>
      </c>
      <c r="DO75" s="1192" t="s">
        <v>1076</v>
      </c>
      <c r="DP75" s="1193"/>
      <c r="DQ75" s="1193"/>
      <c r="DR75" s="1194">
        <v>0</v>
      </c>
      <c r="DS75" s="1194">
        <v>1</v>
      </c>
      <c r="DT75" s="1193"/>
      <c r="DU75" s="1196">
        <v>0</v>
      </c>
      <c r="DV75" s="1196">
        <v>1</v>
      </c>
      <c r="DW75" s="1187"/>
      <c r="DY75" s="427"/>
      <c r="DZ75" s="427"/>
      <c r="EA75" s="428"/>
      <c r="EB75" s="451" t="s">
        <v>15</v>
      </c>
      <c r="EC75" s="452">
        <v>3</v>
      </c>
      <c r="ED75" s="453"/>
      <c r="EE75" s="453">
        <v>1</v>
      </c>
      <c r="EF75" s="452">
        <f>1+7</f>
        <v>8</v>
      </c>
      <c r="EG75" s="454"/>
      <c r="EH75" s="455">
        <f>4+8</f>
        <v>12</v>
      </c>
      <c r="EI75" s="456">
        <f>+(EH73+EH74)/EH75</f>
        <v>0.75</v>
      </c>
      <c r="EZ75" s="441"/>
      <c r="FA75" s="442" t="s">
        <v>1077</v>
      </c>
      <c r="FB75" s="444">
        <v>0</v>
      </c>
      <c r="FC75" s="444">
        <v>2</v>
      </c>
      <c r="FD75" s="444">
        <v>1</v>
      </c>
      <c r="FE75" s="444">
        <v>0</v>
      </c>
      <c r="FF75" s="444">
        <v>0</v>
      </c>
      <c r="FG75" s="444">
        <v>3</v>
      </c>
      <c r="FH75" s="445"/>
      <c r="FK75" s="95"/>
      <c r="FL75" s="95"/>
      <c r="FM75" s="36" t="s">
        <v>1076</v>
      </c>
      <c r="FN75" s="95"/>
      <c r="FO75" s="95">
        <v>0</v>
      </c>
      <c r="FP75" s="95">
        <v>6</v>
      </c>
      <c r="FQ75" s="95">
        <v>8</v>
      </c>
      <c r="FR75" s="95">
        <v>0</v>
      </c>
      <c r="FS75" s="95">
        <v>14</v>
      </c>
      <c r="FU75" s="37"/>
      <c r="FV75" s="616"/>
      <c r="FW75" s="4357"/>
      <c r="FX75" s="616"/>
      <c r="FY75" s="616" t="s">
        <v>1072</v>
      </c>
      <c r="FZ75" s="616">
        <v>2</v>
      </c>
      <c r="GA75" s="616">
        <v>0</v>
      </c>
      <c r="GB75" s="616">
        <v>0</v>
      </c>
      <c r="GC75" s="616">
        <v>0</v>
      </c>
      <c r="GD75" s="616">
        <v>0</v>
      </c>
      <c r="GE75" s="616">
        <v>0</v>
      </c>
      <c r="GF75" s="616">
        <v>2</v>
      </c>
      <c r="GG75" s="616"/>
      <c r="GH75" s="617"/>
      <c r="GI75" s="37"/>
    </row>
    <row r="76" spans="25:191" ht="15" thickBot="1">
      <c r="Y76" s="4528"/>
      <c r="Z76" s="4528"/>
      <c r="AA76" s="4527"/>
      <c r="AB76" s="4527"/>
      <c r="AC76" s="4648"/>
      <c r="AD76" s="4648"/>
      <c r="AG76" s="401"/>
      <c r="AH76" s="401"/>
      <c r="AI76" s="401"/>
      <c r="AJ76" s="401" t="s">
        <v>15</v>
      </c>
      <c r="AK76" s="4538">
        <v>5</v>
      </c>
      <c r="AL76" s="4538">
        <v>4</v>
      </c>
      <c r="AM76" s="4538">
        <v>2</v>
      </c>
      <c r="AN76" s="4538">
        <v>53</v>
      </c>
      <c r="AO76" s="4538">
        <v>11</v>
      </c>
      <c r="AP76" s="396">
        <v>20</v>
      </c>
      <c r="AQ76" s="396">
        <v>95</v>
      </c>
      <c r="AR76" s="587">
        <f>+(AO72+AN74)/(AQ76-AQ75-AQ44)</f>
        <v>0.40476190476190477</v>
      </c>
      <c r="AS76" s="4535"/>
      <c r="AT76" s="36"/>
      <c r="AU76" s="36"/>
      <c r="AV76" s="36" t="s">
        <v>487</v>
      </c>
      <c r="AW76" s="36" t="s">
        <v>1081</v>
      </c>
      <c r="AX76" s="1681"/>
      <c r="AY76" s="1681"/>
      <c r="AZ76" s="1681"/>
      <c r="BA76" s="1681">
        <v>1</v>
      </c>
      <c r="BB76" s="1681"/>
      <c r="BC76" s="95"/>
      <c r="BD76" s="95"/>
      <c r="BE76" s="95"/>
      <c r="BF76" s="95"/>
      <c r="BG76" s="95">
        <v>1</v>
      </c>
      <c r="BH76" s="560"/>
      <c r="BJ76" s="4345"/>
      <c r="BK76" s="4345"/>
      <c r="BL76" s="4345"/>
      <c r="BM76" s="4219" t="s">
        <v>112</v>
      </c>
      <c r="BN76" s="4346">
        <v>5</v>
      </c>
      <c r="BO76" s="4346">
        <v>4</v>
      </c>
      <c r="BP76" s="4346">
        <f>78-1</f>
        <v>77</v>
      </c>
      <c r="BQ76" s="4346">
        <f>4-1</f>
        <v>3</v>
      </c>
      <c r="BR76" s="4346">
        <v>2</v>
      </c>
      <c r="BS76" s="4346">
        <f>2+2</f>
        <v>4</v>
      </c>
      <c r="BT76" s="4346">
        <f>93+2</f>
        <v>95</v>
      </c>
      <c r="BU76" s="4229">
        <f>+(BT71+BT74+BT75)/BT76</f>
        <v>0.63157894736842102</v>
      </c>
      <c r="BW76" s="36"/>
      <c r="BX76" s="36"/>
      <c r="BY76" s="393" t="s">
        <v>412</v>
      </c>
      <c r="BZ76" s="393" t="s">
        <v>1071</v>
      </c>
      <c r="CA76" s="1682"/>
      <c r="CB76" s="1682">
        <v>0</v>
      </c>
      <c r="CC76" s="1682"/>
      <c r="CD76" s="1682">
        <v>0</v>
      </c>
      <c r="CE76" s="1682">
        <v>0</v>
      </c>
      <c r="CF76" s="2041">
        <v>7</v>
      </c>
      <c r="CG76" s="2041"/>
      <c r="CH76" s="2041"/>
      <c r="CI76" s="2041">
        <v>7</v>
      </c>
      <c r="CJ76" s="36"/>
      <c r="CN76" s="393"/>
      <c r="CO76" s="393" t="s">
        <v>1081</v>
      </c>
      <c r="CP76" s="1682">
        <v>0</v>
      </c>
      <c r="CQ76" s="1682">
        <v>0</v>
      </c>
      <c r="CR76" s="1682">
        <v>8</v>
      </c>
      <c r="CS76" s="1682">
        <v>6</v>
      </c>
      <c r="CT76" s="4212">
        <v>0</v>
      </c>
      <c r="CU76" s="4212">
        <v>0</v>
      </c>
      <c r="CV76" s="4212">
        <v>14</v>
      </c>
      <c r="CY76" s="95"/>
      <c r="DB76" s="393" t="s">
        <v>15</v>
      </c>
      <c r="DC76" s="1485"/>
      <c r="DD76" s="1485">
        <v>1</v>
      </c>
      <c r="DE76" s="1485">
        <v>5</v>
      </c>
      <c r="DF76" s="1485"/>
      <c r="DG76" s="4212">
        <v>1</v>
      </c>
      <c r="DH76" s="4212"/>
      <c r="DI76" s="4212">
        <v>7</v>
      </c>
      <c r="DJ76" s="560">
        <f>+DI75/DI76</f>
        <v>0.2857142857142857</v>
      </c>
      <c r="DL76" s="1191"/>
      <c r="DM76" s="1191"/>
      <c r="DN76" s="1191"/>
      <c r="DO76" s="1192" t="s">
        <v>1077</v>
      </c>
      <c r="DP76" s="1193"/>
      <c r="DQ76" s="1193"/>
      <c r="DR76" s="1194">
        <v>1</v>
      </c>
      <c r="DS76" s="1194">
        <v>0</v>
      </c>
      <c r="DT76" s="1193"/>
      <c r="DU76" s="1196">
        <v>0</v>
      </c>
      <c r="DV76" s="1196">
        <v>1</v>
      </c>
      <c r="DW76" s="1187"/>
      <c r="DY76" s="427"/>
      <c r="DZ76" s="427"/>
      <c r="EA76" s="428" t="s">
        <v>485</v>
      </c>
      <c r="EB76" s="429" t="s">
        <v>1071</v>
      </c>
      <c r="EC76" s="430">
        <v>0</v>
      </c>
      <c r="ED76" s="431"/>
      <c r="EE76" s="430">
        <v>0</v>
      </c>
      <c r="EF76" s="430">
        <v>0</v>
      </c>
      <c r="EG76" s="432">
        <v>11</v>
      </c>
      <c r="EH76" s="432">
        <v>11</v>
      </c>
      <c r="EI76" s="36"/>
      <c r="EZ76" s="441"/>
      <c r="FA76" s="442" t="s">
        <v>1142</v>
      </c>
      <c r="FB76" s="444">
        <v>0</v>
      </c>
      <c r="FC76" s="444">
        <v>0</v>
      </c>
      <c r="FD76" s="444">
        <v>2</v>
      </c>
      <c r="FE76" s="444">
        <v>1</v>
      </c>
      <c r="FF76" s="444">
        <v>0</v>
      </c>
      <c r="FG76" s="444">
        <v>3</v>
      </c>
      <c r="FH76" s="445"/>
      <c r="FK76" s="95"/>
      <c r="FL76" s="95"/>
      <c r="FM76" s="36" t="s">
        <v>1077</v>
      </c>
      <c r="FN76" s="95"/>
      <c r="FO76" s="95">
        <v>0</v>
      </c>
      <c r="FP76" s="95">
        <v>1</v>
      </c>
      <c r="FQ76" s="95">
        <v>0</v>
      </c>
      <c r="FR76" s="95">
        <v>0</v>
      </c>
      <c r="FS76" s="95">
        <v>1</v>
      </c>
      <c r="FU76" s="37"/>
      <c r="FV76" s="616"/>
      <c r="FW76" s="4357"/>
      <c r="FX76" s="616"/>
      <c r="FY76" s="616" t="s">
        <v>1076</v>
      </c>
      <c r="FZ76" s="616">
        <v>1</v>
      </c>
      <c r="GA76" s="616">
        <v>0</v>
      </c>
      <c r="GB76" s="616">
        <v>0</v>
      </c>
      <c r="GC76" s="616">
        <v>0</v>
      </c>
      <c r="GD76" s="616">
        <v>2</v>
      </c>
      <c r="GE76" s="616">
        <v>0</v>
      </c>
      <c r="GF76" s="616">
        <v>3</v>
      </c>
      <c r="GG76" s="616"/>
      <c r="GH76" s="617"/>
      <c r="GI76" s="37"/>
    </row>
    <row r="77" spans="25:191">
      <c r="Y77" s="4528"/>
      <c r="Z77" s="4528"/>
      <c r="AA77" s="4527"/>
      <c r="AB77" s="4527"/>
      <c r="AC77" s="4648"/>
      <c r="AD77" s="4648"/>
      <c r="AG77" s="36"/>
      <c r="AH77" s="36"/>
      <c r="AI77" s="36"/>
      <c r="AJ77" s="36"/>
      <c r="AK77" s="36"/>
      <c r="AL77" s="36"/>
      <c r="AM77" s="36"/>
      <c r="AN77" s="36"/>
      <c r="AO77" s="36"/>
      <c r="AP77" s="36"/>
      <c r="AQ77" s="36"/>
      <c r="AR77" s="36"/>
      <c r="AT77" s="36"/>
      <c r="AU77" s="36"/>
      <c r="AV77" s="36"/>
      <c r="AW77" s="36" t="s">
        <v>1142</v>
      </c>
      <c r="AX77" s="1681"/>
      <c r="AY77" s="1681"/>
      <c r="AZ77" s="1681"/>
      <c r="BA77" s="1681">
        <v>1</v>
      </c>
      <c r="BB77" s="1681"/>
      <c r="BC77" s="95"/>
      <c r="BD77" s="95"/>
      <c r="BE77" s="95"/>
      <c r="BF77" s="95"/>
      <c r="BG77" s="95">
        <v>1</v>
      </c>
      <c r="BH77" s="560"/>
      <c r="BW77" s="36"/>
      <c r="BX77" s="36"/>
      <c r="BY77" s="393"/>
      <c r="BZ77" s="393" t="s">
        <v>1072</v>
      </c>
      <c r="CA77" s="1682"/>
      <c r="CB77" s="1682">
        <v>1</v>
      </c>
      <c r="CC77" s="1682"/>
      <c r="CD77" s="1682">
        <v>2</v>
      </c>
      <c r="CE77" s="1682">
        <v>0</v>
      </c>
      <c r="CF77" s="2041">
        <v>0</v>
      </c>
      <c r="CG77" s="2041"/>
      <c r="CH77" s="2041"/>
      <c r="CI77" s="2041">
        <v>3</v>
      </c>
      <c r="CJ77" s="36"/>
      <c r="CN77" s="393"/>
      <c r="CO77" s="393" t="s">
        <v>1142</v>
      </c>
      <c r="CP77" s="1682">
        <v>0</v>
      </c>
      <c r="CQ77" s="1682">
        <v>0</v>
      </c>
      <c r="CR77" s="1682">
        <v>2</v>
      </c>
      <c r="CS77" s="1682">
        <v>1</v>
      </c>
      <c r="CT77" s="4212">
        <v>1</v>
      </c>
      <c r="CU77" s="4212">
        <v>0</v>
      </c>
      <c r="CV77" s="4212">
        <v>4</v>
      </c>
      <c r="CY77" s="95"/>
      <c r="DA77" s="36" t="s">
        <v>487</v>
      </c>
      <c r="DB77" s="36" t="s">
        <v>1072</v>
      </c>
      <c r="DC77" s="1484"/>
      <c r="DD77" s="1484">
        <v>1</v>
      </c>
      <c r="DE77" s="1484">
        <v>2</v>
      </c>
      <c r="DF77" s="1484"/>
      <c r="DG77" s="95">
        <v>0</v>
      </c>
      <c r="DH77" s="95"/>
      <c r="DI77" s="95">
        <v>3</v>
      </c>
      <c r="DL77" s="1191"/>
      <c r="DM77" s="1191"/>
      <c r="DN77" s="1191"/>
      <c r="DO77" s="1192" t="s">
        <v>1080</v>
      </c>
      <c r="DP77" s="1193"/>
      <c r="DQ77" s="1193"/>
      <c r="DR77" s="1194">
        <v>0</v>
      </c>
      <c r="DS77" s="1194">
        <v>0</v>
      </c>
      <c r="DT77" s="1193"/>
      <c r="DU77" s="1196">
        <v>1</v>
      </c>
      <c r="DV77" s="1196">
        <v>1</v>
      </c>
      <c r="DW77" s="1187"/>
      <c r="DY77" s="427"/>
      <c r="DZ77" s="427"/>
      <c r="EA77" s="428"/>
      <c r="EB77" s="429" t="s">
        <v>1074</v>
      </c>
      <c r="EC77" s="430">
        <v>3</v>
      </c>
      <c r="ED77" s="431"/>
      <c r="EE77" s="430">
        <v>0</v>
      </c>
      <c r="EF77" s="430">
        <v>0</v>
      </c>
      <c r="EG77" s="432">
        <v>0</v>
      </c>
      <c r="EH77" s="432">
        <v>3</v>
      </c>
      <c r="EI77" s="36"/>
      <c r="EZ77" s="441"/>
      <c r="FA77" s="462" t="s">
        <v>485</v>
      </c>
      <c r="FB77" s="464">
        <v>3</v>
      </c>
      <c r="FC77" s="464">
        <v>2</v>
      </c>
      <c r="FD77" s="464">
        <v>12</v>
      </c>
      <c r="FE77" s="464">
        <v>10</v>
      </c>
      <c r="FF77" s="464">
        <v>8</v>
      </c>
      <c r="FG77" s="464">
        <v>35</v>
      </c>
      <c r="FH77" s="465">
        <f>+(FG76+FG74)/FG77</f>
        <v>0.42857142857142855</v>
      </c>
      <c r="FK77" s="95"/>
      <c r="FL77" s="95"/>
      <c r="FM77" s="36" t="s">
        <v>1142</v>
      </c>
      <c r="FN77" s="95"/>
      <c r="FO77" s="95">
        <v>0</v>
      </c>
      <c r="FP77" s="95">
        <v>0</v>
      </c>
      <c r="FQ77" s="95">
        <v>1</v>
      </c>
      <c r="FR77" s="95">
        <v>1</v>
      </c>
      <c r="FS77" s="95">
        <v>2</v>
      </c>
      <c r="FU77" s="37"/>
      <c r="FV77" s="616"/>
      <c r="FW77" s="4357"/>
      <c r="FX77" s="616"/>
      <c r="FY77" s="616" t="s">
        <v>1077</v>
      </c>
      <c r="FZ77" s="616">
        <v>3</v>
      </c>
      <c r="GA77" s="616">
        <v>0</v>
      </c>
      <c r="GB77" s="616">
        <v>0</v>
      </c>
      <c r="GC77" s="616">
        <v>0</v>
      </c>
      <c r="GD77" s="616">
        <v>0</v>
      </c>
      <c r="GE77" s="616">
        <v>0</v>
      </c>
      <c r="GF77" s="616">
        <v>3</v>
      </c>
      <c r="GG77" s="616"/>
      <c r="GH77" s="617"/>
      <c r="GI77" s="37"/>
    </row>
    <row r="78" spans="25:191">
      <c r="Y78" s="4528"/>
      <c r="Z78" s="4528"/>
      <c r="AA78" s="4527"/>
      <c r="AB78" s="4527"/>
      <c r="AC78" s="4648"/>
      <c r="AD78" s="4648"/>
      <c r="AG78" s="36"/>
      <c r="AH78" s="36"/>
      <c r="AI78" s="36"/>
      <c r="AJ78" s="36"/>
      <c r="AK78" s="36"/>
      <c r="AL78" s="36"/>
      <c r="AM78" s="36"/>
      <c r="AN78" s="36"/>
      <c r="AO78" s="36"/>
      <c r="AP78" s="36"/>
      <c r="AQ78" s="36"/>
      <c r="AR78" s="4539" t="s">
        <v>2757</v>
      </c>
      <c r="AS78" s="4534"/>
      <c r="AT78" s="36"/>
      <c r="AU78" s="36"/>
      <c r="AV78" s="36"/>
      <c r="AW78" s="36" t="s">
        <v>15</v>
      </c>
      <c r="AX78" s="1681"/>
      <c r="AY78" s="1681"/>
      <c r="AZ78" s="1681"/>
      <c r="BA78" s="1681">
        <v>2</v>
      </c>
      <c r="BB78" s="1681"/>
      <c r="BC78" s="95"/>
      <c r="BD78" s="95"/>
      <c r="BE78" s="95"/>
      <c r="BF78" s="95"/>
      <c r="BG78" s="95">
        <v>2</v>
      </c>
      <c r="BH78" s="560">
        <f>+(BG76+BG77)/(BG78)</f>
        <v>1</v>
      </c>
      <c r="BW78" s="36"/>
      <c r="BX78" s="36"/>
      <c r="BY78" s="393"/>
      <c r="BZ78" s="393" t="s">
        <v>1081</v>
      </c>
      <c r="CA78" s="1682"/>
      <c r="CB78" s="1682">
        <v>0</v>
      </c>
      <c r="CC78" s="1682"/>
      <c r="CD78" s="1682">
        <v>0</v>
      </c>
      <c r="CE78" s="1682">
        <v>22</v>
      </c>
      <c r="CF78" s="2041">
        <v>0</v>
      </c>
      <c r="CG78" s="2041"/>
      <c r="CH78" s="2041"/>
      <c r="CI78" s="2041">
        <v>22</v>
      </c>
      <c r="CJ78" s="36"/>
      <c r="CN78" s="393"/>
      <c r="CO78" s="393" t="s">
        <v>2264</v>
      </c>
      <c r="CP78" s="1682">
        <v>0</v>
      </c>
      <c r="CQ78" s="1682">
        <v>0</v>
      </c>
      <c r="CR78" s="1682">
        <v>0</v>
      </c>
      <c r="CS78" s="1682">
        <v>1</v>
      </c>
      <c r="CT78" s="4212">
        <v>0</v>
      </c>
      <c r="CU78" s="4212">
        <v>0</v>
      </c>
      <c r="CV78" s="4212">
        <v>1</v>
      </c>
      <c r="CY78" s="95"/>
      <c r="DB78" s="36" t="s">
        <v>1077</v>
      </c>
      <c r="DC78" s="1484"/>
      <c r="DD78" s="1484">
        <v>0</v>
      </c>
      <c r="DE78" s="1484">
        <v>1</v>
      </c>
      <c r="DF78" s="1484"/>
      <c r="DG78" s="95">
        <v>0</v>
      </c>
      <c r="DH78" s="95"/>
      <c r="DI78" s="95">
        <v>1</v>
      </c>
      <c r="DL78" s="1191"/>
      <c r="DM78" s="1191"/>
      <c r="DN78" s="1191"/>
      <c r="DO78" s="1192" t="s">
        <v>1142</v>
      </c>
      <c r="DP78" s="1193"/>
      <c r="DQ78" s="1193"/>
      <c r="DR78" s="1194">
        <v>0</v>
      </c>
      <c r="DS78" s="1194">
        <v>1</v>
      </c>
      <c r="DT78" s="1193"/>
      <c r="DU78" s="1196">
        <v>0</v>
      </c>
      <c r="DV78" s="1196">
        <v>1</v>
      </c>
      <c r="DW78" s="1187"/>
      <c r="DY78" s="427"/>
      <c r="DZ78" s="427"/>
      <c r="EA78" s="428"/>
      <c r="EB78" s="429" t="s">
        <v>1076</v>
      </c>
      <c r="EC78" s="430">
        <v>0</v>
      </c>
      <c r="ED78" s="431"/>
      <c r="EE78" s="430">
        <v>0</v>
      </c>
      <c r="EF78" s="430">
        <v>1</v>
      </c>
      <c r="EG78" s="432">
        <v>0</v>
      </c>
      <c r="EH78" s="432">
        <v>1</v>
      </c>
      <c r="EI78" s="36"/>
      <c r="FK78" s="95"/>
      <c r="FL78" s="95"/>
      <c r="FM78" s="393" t="s">
        <v>15</v>
      </c>
      <c r="FN78" s="4212"/>
      <c r="FO78" s="4212">
        <v>2</v>
      </c>
      <c r="FP78" s="4212">
        <v>9</v>
      </c>
      <c r="FQ78" s="4212">
        <v>9</v>
      </c>
      <c r="FR78" s="4212">
        <v>5</v>
      </c>
      <c r="FS78" s="4212">
        <v>25</v>
      </c>
      <c r="FT78" s="631">
        <f>+(FS75+FS77)/FS78</f>
        <v>0.64</v>
      </c>
      <c r="FU78" s="37"/>
      <c r="FV78" s="616"/>
      <c r="FW78" s="4357"/>
      <c r="FX78" s="616"/>
      <c r="FY78" s="616" t="s">
        <v>1081</v>
      </c>
      <c r="FZ78" s="616">
        <v>0</v>
      </c>
      <c r="GA78" s="616">
        <v>0</v>
      </c>
      <c r="GB78" s="616">
        <v>0</v>
      </c>
      <c r="GC78" s="616">
        <v>1</v>
      </c>
      <c r="GD78" s="616">
        <v>35</v>
      </c>
      <c r="GE78" s="616">
        <v>1</v>
      </c>
      <c r="GF78" s="616">
        <v>37</v>
      </c>
      <c r="GG78" s="616"/>
      <c r="GH78" s="617"/>
      <c r="GI78" s="37"/>
    </row>
    <row r="79" spans="25:191" ht="15" thickBot="1">
      <c r="Y79" s="4528"/>
      <c r="Z79" s="4528"/>
      <c r="AA79" s="4527"/>
      <c r="AB79" s="4527"/>
      <c r="AC79" s="4648"/>
      <c r="AD79" s="4648"/>
      <c r="AT79" s="36"/>
      <c r="AU79" s="36"/>
      <c r="AV79" s="36" t="s">
        <v>256</v>
      </c>
      <c r="AW79" s="36" t="s">
        <v>1081</v>
      </c>
      <c r="AX79" s="1681"/>
      <c r="AY79" s="1681"/>
      <c r="AZ79" s="1681"/>
      <c r="BA79" s="1681">
        <v>1</v>
      </c>
      <c r="BB79" s="1681"/>
      <c r="BC79" s="95"/>
      <c r="BD79" s="95"/>
      <c r="BE79" s="95"/>
      <c r="BF79" s="95"/>
      <c r="BG79" s="95">
        <v>1</v>
      </c>
      <c r="BH79" s="560"/>
      <c r="BW79" s="36"/>
      <c r="BX79" s="36"/>
      <c r="BY79" s="393"/>
      <c r="BZ79" s="393" t="s">
        <v>412</v>
      </c>
      <c r="CA79" s="1682"/>
      <c r="CB79" s="1682">
        <v>1</v>
      </c>
      <c r="CC79" s="1682"/>
      <c r="CD79" s="1682">
        <v>2</v>
      </c>
      <c r="CE79" s="1682">
        <v>22</v>
      </c>
      <c r="CF79" s="2041">
        <v>7</v>
      </c>
      <c r="CG79" s="2041"/>
      <c r="CH79" s="2041"/>
      <c r="CI79" s="2041">
        <v>32</v>
      </c>
      <c r="CJ79" s="560">
        <f>+CI78/CI79</f>
        <v>0.6875</v>
      </c>
      <c r="CL79" s="401"/>
      <c r="CM79" s="401"/>
      <c r="CN79" s="401"/>
      <c r="CO79" s="397" t="s">
        <v>112</v>
      </c>
      <c r="CP79" s="1680">
        <v>4</v>
      </c>
      <c r="CQ79" s="1680">
        <v>1</v>
      </c>
      <c r="CR79" s="1680">
        <v>36</v>
      </c>
      <c r="CS79" s="1680">
        <v>13</v>
      </c>
      <c r="CT79" s="398">
        <v>9</v>
      </c>
      <c r="CU79" s="398">
        <v>4</v>
      </c>
      <c r="CV79" s="398">
        <v>67</v>
      </c>
      <c r="CW79" s="1470">
        <f>+(CV73-CT73+CV76+CV77-CT77)/(CV79-CV44-CV33)</f>
        <v>0.76271186440677963</v>
      </c>
      <c r="CY79" s="95"/>
      <c r="DB79" s="36" t="s">
        <v>1080</v>
      </c>
      <c r="DC79" s="1484"/>
      <c r="DD79" s="1484">
        <v>0</v>
      </c>
      <c r="DE79" s="1484">
        <v>0</v>
      </c>
      <c r="DF79" s="1484"/>
      <c r="DG79" s="95">
        <v>1</v>
      </c>
      <c r="DH79" s="95"/>
      <c r="DI79" s="95">
        <v>1</v>
      </c>
      <c r="DL79" s="1191"/>
      <c r="DM79" s="1191"/>
      <c r="DN79" s="1191"/>
      <c r="DO79" s="1186" t="s">
        <v>256</v>
      </c>
      <c r="DP79" s="1197"/>
      <c r="DQ79" s="1197"/>
      <c r="DR79" s="1198">
        <v>1</v>
      </c>
      <c r="DS79" s="1198">
        <v>2</v>
      </c>
      <c r="DT79" s="1197"/>
      <c r="DU79" s="1200">
        <v>1</v>
      </c>
      <c r="DV79" s="1200">
        <v>4</v>
      </c>
      <c r="DW79" s="1178">
        <f>+(DV75+DV78)/DV79</f>
        <v>0.5</v>
      </c>
      <c r="DY79" s="427"/>
      <c r="DZ79" s="427"/>
      <c r="EA79" s="428"/>
      <c r="EB79" s="429" t="s">
        <v>1142</v>
      </c>
      <c r="EC79" s="430">
        <v>0</v>
      </c>
      <c r="ED79" s="431"/>
      <c r="EE79" s="430">
        <v>1</v>
      </c>
      <c r="EF79" s="430">
        <v>7</v>
      </c>
      <c r="EG79" s="432">
        <v>0</v>
      </c>
      <c r="EH79" s="432">
        <v>8</v>
      </c>
      <c r="EI79" s="36"/>
      <c r="EX79" s="441" t="s">
        <v>48</v>
      </c>
      <c r="EZ79" s="441" t="s">
        <v>483</v>
      </c>
      <c r="FA79" s="442" t="s">
        <v>1071</v>
      </c>
      <c r="FB79" s="444">
        <v>0</v>
      </c>
      <c r="FC79" s="443"/>
      <c r="FD79" s="444">
        <v>0</v>
      </c>
      <c r="FE79" s="444">
        <v>0</v>
      </c>
      <c r="FF79" s="444">
        <v>27</v>
      </c>
      <c r="FG79" s="444">
        <v>27</v>
      </c>
      <c r="FH79" s="445"/>
      <c r="FK79" s="95" t="s">
        <v>48</v>
      </c>
      <c r="FL79" s="95" t="s">
        <v>16</v>
      </c>
      <c r="FM79" s="36" t="s">
        <v>1072</v>
      </c>
      <c r="FN79" s="95"/>
      <c r="FO79" s="95"/>
      <c r="FP79" s="95">
        <v>2</v>
      </c>
      <c r="FQ79" s="95">
        <v>0</v>
      </c>
      <c r="FR79" s="95"/>
      <c r="FS79" s="95">
        <v>2</v>
      </c>
      <c r="FU79" s="37"/>
      <c r="FV79" s="616"/>
      <c r="FW79" s="4357"/>
      <c r="FX79" s="616"/>
      <c r="FY79" s="627" t="s">
        <v>15</v>
      </c>
      <c r="FZ79" s="627">
        <v>6</v>
      </c>
      <c r="GA79" s="627">
        <v>0</v>
      </c>
      <c r="GB79" s="627">
        <v>0</v>
      </c>
      <c r="GC79" s="627">
        <v>1</v>
      </c>
      <c r="GD79" s="627">
        <v>37</v>
      </c>
      <c r="GE79" s="627">
        <v>2</v>
      </c>
      <c r="GF79" s="627">
        <v>46</v>
      </c>
      <c r="GG79" s="628">
        <f>+(GF78+GF76-GE78)/GF79</f>
        <v>0.84782608695652173</v>
      </c>
      <c r="GH79" s="617">
        <f>+GF76+GF78-GE78</f>
        <v>39</v>
      </c>
      <c r="GI79" s="37"/>
    </row>
    <row r="80" spans="25:191">
      <c r="Y80" s="4528"/>
      <c r="Z80" s="4528"/>
      <c r="AA80" s="4527"/>
      <c r="AB80" s="4527"/>
      <c r="AC80" s="4648"/>
      <c r="AD80" s="4648"/>
      <c r="AT80" s="36"/>
      <c r="AU80" s="36"/>
      <c r="AV80" s="36"/>
      <c r="AW80" s="36" t="s">
        <v>1142</v>
      </c>
      <c r="AX80" s="1681"/>
      <c r="AY80" s="1681"/>
      <c r="AZ80" s="1681"/>
      <c r="BA80" s="1681">
        <v>1</v>
      </c>
      <c r="BB80" s="1681"/>
      <c r="BC80" s="95"/>
      <c r="BD80" s="95"/>
      <c r="BE80" s="95"/>
      <c r="BF80" s="95"/>
      <c r="BG80" s="95">
        <v>1</v>
      </c>
      <c r="BH80" s="560"/>
      <c r="BW80" s="36" t="s">
        <v>59</v>
      </c>
      <c r="BX80" s="36" t="s">
        <v>64</v>
      </c>
      <c r="BY80" s="36" t="s">
        <v>609</v>
      </c>
      <c r="BZ80" s="36" t="s">
        <v>1072</v>
      </c>
      <c r="CA80" s="1681"/>
      <c r="CB80" s="1681"/>
      <c r="CC80" s="1681"/>
      <c r="CD80" s="1681">
        <v>3</v>
      </c>
      <c r="CE80" s="1681"/>
      <c r="CF80" s="95"/>
      <c r="CG80" s="95"/>
      <c r="CH80" s="95"/>
      <c r="CI80" s="95">
        <v>3</v>
      </c>
      <c r="CJ80" s="36"/>
      <c r="CY80" s="95"/>
      <c r="DB80" s="36" t="s">
        <v>1142</v>
      </c>
      <c r="DC80" s="1484"/>
      <c r="DD80" s="1484">
        <v>0</v>
      </c>
      <c r="DE80" s="1484">
        <v>2</v>
      </c>
      <c r="DF80" s="1484"/>
      <c r="DG80" s="95">
        <v>0</v>
      </c>
      <c r="DH80" s="95"/>
      <c r="DI80" s="95">
        <v>2</v>
      </c>
      <c r="DL80" s="1191"/>
      <c r="DM80" s="1191"/>
      <c r="DN80" s="36"/>
      <c r="DO80" s="1192" t="s">
        <v>1071</v>
      </c>
      <c r="DP80" s="1194">
        <v>0</v>
      </c>
      <c r="DQ80" s="1194">
        <v>0</v>
      </c>
      <c r="DR80" s="1194">
        <v>0</v>
      </c>
      <c r="DS80" s="1194">
        <v>1</v>
      </c>
      <c r="DT80" s="1194">
        <v>0</v>
      </c>
      <c r="DU80" s="1196">
        <v>0</v>
      </c>
      <c r="DV80" s="1196">
        <v>1</v>
      </c>
      <c r="DW80" s="1187"/>
      <c r="DY80" s="427"/>
      <c r="DZ80" s="427"/>
      <c r="EA80" s="428"/>
      <c r="EB80" s="451" t="s">
        <v>485</v>
      </c>
      <c r="EC80" s="452">
        <v>3</v>
      </c>
      <c r="ED80" s="453"/>
      <c r="EE80" s="452">
        <v>1</v>
      </c>
      <c r="EF80" s="452">
        <v>8</v>
      </c>
      <c r="EG80" s="455">
        <v>11</v>
      </c>
      <c r="EH80" s="455">
        <v>23</v>
      </c>
      <c r="EI80" s="456">
        <f>+(EH78+EH79)/EH80</f>
        <v>0.39130434782608697</v>
      </c>
      <c r="EX80" s="441"/>
      <c r="EY80" s="441"/>
      <c r="EZ80" s="441"/>
      <c r="FA80" s="442" t="s">
        <v>1072</v>
      </c>
      <c r="FB80" s="444">
        <v>1</v>
      </c>
      <c r="FC80" s="443"/>
      <c r="FD80" s="444">
        <v>1</v>
      </c>
      <c r="FE80" s="444">
        <v>9</v>
      </c>
      <c r="FF80" s="444">
        <v>0</v>
      </c>
      <c r="FG80" s="444">
        <v>11</v>
      </c>
      <c r="FH80" s="445"/>
      <c r="FK80" s="95"/>
      <c r="FL80" s="95"/>
      <c r="FM80" s="36" t="s">
        <v>1076</v>
      </c>
      <c r="FN80" s="95"/>
      <c r="FO80" s="95"/>
      <c r="FP80" s="95">
        <v>0</v>
      </c>
      <c r="FQ80" s="95">
        <v>2</v>
      </c>
      <c r="FR80" s="95"/>
      <c r="FS80" s="95">
        <v>2</v>
      </c>
      <c r="FU80" s="37"/>
      <c r="FV80" s="616"/>
      <c r="FW80" s="4357"/>
      <c r="FX80" s="616" t="s">
        <v>41</v>
      </c>
      <c r="FY80" s="616" t="s">
        <v>1071</v>
      </c>
      <c r="FZ80" s="616">
        <v>0</v>
      </c>
      <c r="GA80" s="616">
        <v>0</v>
      </c>
      <c r="GB80" s="616">
        <v>0</v>
      </c>
      <c r="GC80" s="616">
        <v>0</v>
      </c>
      <c r="GD80" s="616">
        <v>3</v>
      </c>
      <c r="GE80" s="616">
        <v>10</v>
      </c>
      <c r="GF80" s="616">
        <v>13</v>
      </c>
      <c r="GG80" s="616"/>
      <c r="GH80" s="617"/>
      <c r="GI80" s="37"/>
    </row>
    <row r="81" spans="25:191">
      <c r="Y81" s="4528"/>
      <c r="Z81" s="4528"/>
      <c r="AA81" s="4527"/>
      <c r="AB81" s="4527"/>
      <c r="AC81" s="4648"/>
      <c r="AD81" s="4648"/>
      <c r="AR81" s="4213">
        <v>34</v>
      </c>
      <c r="AT81" s="3801"/>
      <c r="AU81" s="3801"/>
      <c r="AV81" s="3801"/>
      <c r="AW81" s="3801" t="s">
        <v>15</v>
      </c>
      <c r="AX81" s="4350"/>
      <c r="AY81" s="4350"/>
      <c r="AZ81" s="4350"/>
      <c r="BA81" s="4350">
        <v>2</v>
      </c>
      <c r="BB81" s="4350"/>
      <c r="BC81" s="4352"/>
      <c r="BD81" s="4352"/>
      <c r="BE81" s="4352"/>
      <c r="BF81" s="4352"/>
      <c r="BG81" s="4352">
        <v>2</v>
      </c>
      <c r="BH81" s="4349">
        <f>+(BG79+BG80)/(BG81)</f>
        <v>1</v>
      </c>
      <c r="BW81" s="36"/>
      <c r="BX81" s="36"/>
      <c r="BY81" s="36"/>
      <c r="BZ81" s="393" t="s">
        <v>15</v>
      </c>
      <c r="CA81" s="1682"/>
      <c r="CB81" s="1682"/>
      <c r="CC81" s="1682"/>
      <c r="CD81" s="1682">
        <v>3</v>
      </c>
      <c r="CE81" s="1682"/>
      <c r="CF81" s="2041"/>
      <c r="CG81" s="2041"/>
      <c r="CH81" s="2041"/>
      <c r="CI81" s="2041">
        <v>3</v>
      </c>
      <c r="CJ81" s="560">
        <v>0</v>
      </c>
      <c r="CL81" s="393" t="s">
        <v>2266</v>
      </c>
      <c r="CY81" s="95"/>
      <c r="DB81" s="393" t="s">
        <v>487</v>
      </c>
      <c r="DC81" s="1485"/>
      <c r="DD81" s="1485">
        <v>1</v>
      </c>
      <c r="DE81" s="1485">
        <v>5</v>
      </c>
      <c r="DF81" s="1485"/>
      <c r="DG81" s="4212">
        <v>1</v>
      </c>
      <c r="DH81" s="4212"/>
      <c r="DI81" s="4212">
        <v>7</v>
      </c>
      <c r="DJ81" s="560">
        <f>+DI80/DI81</f>
        <v>0.2857142857142857</v>
      </c>
      <c r="DL81" s="1191"/>
      <c r="DM81" s="1191"/>
      <c r="DN81" s="1191" t="s">
        <v>112</v>
      </c>
      <c r="DO81" s="1192" t="s">
        <v>1072</v>
      </c>
      <c r="DP81" s="1194">
        <v>0</v>
      </c>
      <c r="DQ81" s="1194">
        <v>2</v>
      </c>
      <c r="DR81" s="1194">
        <v>1</v>
      </c>
      <c r="DS81" s="1194">
        <v>16</v>
      </c>
      <c r="DT81" s="1194">
        <v>4</v>
      </c>
      <c r="DU81" s="1196">
        <v>0</v>
      </c>
      <c r="DV81" s="1196">
        <v>23</v>
      </c>
      <c r="DW81" s="1187"/>
      <c r="DY81" s="427"/>
      <c r="DZ81" s="427"/>
      <c r="EA81" s="428" t="s">
        <v>412</v>
      </c>
      <c r="EB81" s="429" t="s">
        <v>1071</v>
      </c>
      <c r="EC81" s="430">
        <v>0</v>
      </c>
      <c r="ED81" s="431"/>
      <c r="EE81" s="430">
        <v>0</v>
      </c>
      <c r="EF81" s="430">
        <v>0</v>
      </c>
      <c r="EG81" s="432">
        <v>17</v>
      </c>
      <c r="EH81" s="432">
        <v>17</v>
      </c>
      <c r="EI81" s="36"/>
      <c r="EK81" s="433"/>
      <c r="EL81" s="433"/>
      <c r="EM81" s="434"/>
      <c r="EN81" s="457"/>
      <c r="EO81" s="459"/>
      <c r="EP81" s="459"/>
      <c r="EQ81" s="458"/>
      <c r="ER81" s="459"/>
      <c r="ES81" s="460"/>
      <c r="ET81" s="460"/>
      <c r="EU81" s="461"/>
      <c r="EV81" s="440"/>
      <c r="EX81" s="441"/>
      <c r="EY81" s="441"/>
      <c r="EZ81" s="441"/>
      <c r="FA81" s="462" t="s">
        <v>483</v>
      </c>
      <c r="FB81" s="464">
        <v>1</v>
      </c>
      <c r="FC81" s="463"/>
      <c r="FD81" s="464">
        <v>1</v>
      </c>
      <c r="FE81" s="464">
        <v>9</v>
      </c>
      <c r="FF81" s="464">
        <v>27</v>
      </c>
      <c r="FG81" s="464">
        <v>38</v>
      </c>
      <c r="FH81" s="465">
        <v>0</v>
      </c>
      <c r="FK81" s="95"/>
      <c r="FL81" s="95"/>
      <c r="FM81" s="36" t="s">
        <v>1081</v>
      </c>
      <c r="FN81" s="95"/>
      <c r="FO81" s="95"/>
      <c r="FP81" s="95">
        <v>0</v>
      </c>
      <c r="FQ81" s="95">
        <v>15</v>
      </c>
      <c r="FR81" s="95"/>
      <c r="FS81" s="95">
        <v>15</v>
      </c>
      <c r="FU81" s="37"/>
      <c r="FV81" s="616"/>
      <c r="FW81" s="4357"/>
      <c r="FX81" s="616"/>
      <c r="FY81" s="616" t="s">
        <v>1074</v>
      </c>
      <c r="FZ81" s="616">
        <v>0</v>
      </c>
      <c r="GA81" s="616">
        <v>0</v>
      </c>
      <c r="GB81" s="616">
        <v>1</v>
      </c>
      <c r="GC81" s="616">
        <v>0</v>
      </c>
      <c r="GD81" s="616">
        <v>0</v>
      </c>
      <c r="GE81" s="616">
        <v>0</v>
      </c>
      <c r="GF81" s="616">
        <v>1</v>
      </c>
      <c r="GG81" s="616"/>
      <c r="GH81" s="617"/>
      <c r="GI81" s="37"/>
    </row>
    <row r="82" spans="25:191">
      <c r="Y82" s="4528"/>
      <c r="Z82" s="4528"/>
      <c r="AA82" s="4527"/>
      <c r="AB82" s="4527"/>
      <c r="AC82" s="4648"/>
      <c r="AD82" s="4648"/>
      <c r="AG82" s="4635" t="s">
        <v>2698</v>
      </c>
      <c r="AH82" s="4635" t="s">
        <v>2699</v>
      </c>
      <c r="AI82" s="4635" t="s">
        <v>2722</v>
      </c>
      <c r="AJ82" s="4635" t="s">
        <v>2730</v>
      </c>
      <c r="AK82" s="4635" t="s">
        <v>2767</v>
      </c>
      <c r="AL82" s="4635" t="s">
        <v>1138</v>
      </c>
      <c r="AR82" s="4213">
        <v>95</v>
      </c>
      <c r="AT82" s="36"/>
      <c r="AU82" s="36"/>
      <c r="AV82" s="393" t="s">
        <v>112</v>
      </c>
      <c r="AW82" s="393" t="s">
        <v>1072</v>
      </c>
      <c r="AX82" s="1682">
        <f>SUM(AX30,AX65)</f>
        <v>0</v>
      </c>
      <c r="AY82" s="1682">
        <f t="shared" ref="AY82:BG82" si="10">SUM(AY30,AY65)</f>
        <v>3</v>
      </c>
      <c r="AZ82" s="1682">
        <f t="shared" si="10"/>
        <v>3</v>
      </c>
      <c r="BA82" s="1682">
        <f t="shared" si="10"/>
        <v>9</v>
      </c>
      <c r="BB82" s="1682">
        <f t="shared" si="10"/>
        <v>0</v>
      </c>
      <c r="BC82" s="1682">
        <f t="shared" si="10"/>
        <v>1</v>
      </c>
      <c r="BD82" s="1682">
        <f t="shared" si="10"/>
        <v>0</v>
      </c>
      <c r="BE82" s="1682">
        <f t="shared" si="10"/>
        <v>0</v>
      </c>
      <c r="BF82" s="1682">
        <f t="shared" si="10"/>
        <v>0</v>
      </c>
      <c r="BG82" s="4353">
        <f t="shared" si="10"/>
        <v>16</v>
      </c>
      <c r="BH82" s="560"/>
      <c r="BW82" s="36"/>
      <c r="BX82" s="36"/>
      <c r="BY82" s="393" t="s">
        <v>487</v>
      </c>
      <c r="BZ82" s="393" t="s">
        <v>1072</v>
      </c>
      <c r="CA82" s="1682"/>
      <c r="CB82" s="1682"/>
      <c r="CC82" s="1682"/>
      <c r="CD82" s="1682">
        <v>3</v>
      </c>
      <c r="CE82" s="1682"/>
      <c r="CF82" s="2041"/>
      <c r="CG82" s="2041"/>
      <c r="CH82" s="2041"/>
      <c r="CI82" s="2041">
        <v>3</v>
      </c>
      <c r="CJ82" s="36"/>
      <c r="CY82" s="95"/>
      <c r="DA82" s="36" t="s">
        <v>256</v>
      </c>
      <c r="DB82" s="36" t="s">
        <v>1072</v>
      </c>
      <c r="DC82" s="1484"/>
      <c r="DD82" s="1484">
        <v>1</v>
      </c>
      <c r="DE82" s="1484">
        <v>2</v>
      </c>
      <c r="DF82" s="1484"/>
      <c r="DG82" s="95">
        <v>0</v>
      </c>
      <c r="DH82" s="95"/>
      <c r="DI82" s="95">
        <v>3</v>
      </c>
      <c r="DL82" s="1191"/>
      <c r="DM82" s="1191"/>
      <c r="DN82" s="1191"/>
      <c r="DO82" s="1192" t="s">
        <v>1076</v>
      </c>
      <c r="DP82" s="1194">
        <v>0</v>
      </c>
      <c r="DQ82" s="1194">
        <v>0</v>
      </c>
      <c r="DR82" s="1194">
        <v>0</v>
      </c>
      <c r="DS82" s="1194">
        <v>18</v>
      </c>
      <c r="DT82" s="1194">
        <v>4</v>
      </c>
      <c r="DU82" s="1196">
        <v>0</v>
      </c>
      <c r="DV82" s="1196">
        <v>22</v>
      </c>
      <c r="DW82" s="1187"/>
      <c r="DY82" s="427"/>
      <c r="DZ82" s="427"/>
      <c r="EA82" s="428"/>
      <c r="EB82" s="429" t="s">
        <v>1074</v>
      </c>
      <c r="EC82" s="430">
        <v>3</v>
      </c>
      <c r="ED82" s="431"/>
      <c r="EE82" s="430">
        <v>0</v>
      </c>
      <c r="EF82" s="430">
        <v>0</v>
      </c>
      <c r="EG82" s="432">
        <v>0</v>
      </c>
      <c r="EH82" s="432">
        <v>3</v>
      </c>
      <c r="EI82" s="36"/>
      <c r="EK82" s="433"/>
      <c r="EL82" s="433"/>
      <c r="EM82" s="434"/>
      <c r="EN82" s="457"/>
      <c r="EO82" s="459"/>
      <c r="EP82" s="459"/>
      <c r="EQ82" s="458"/>
      <c r="ER82" s="459"/>
      <c r="ES82" s="460"/>
      <c r="ET82" s="460"/>
      <c r="EU82" s="461"/>
      <c r="EV82" s="440"/>
      <c r="EX82" s="441"/>
      <c r="EY82" s="441"/>
      <c r="EZ82" s="441" t="s">
        <v>485</v>
      </c>
      <c r="FA82" s="442" t="s">
        <v>1071</v>
      </c>
      <c r="FB82" s="444">
        <v>0</v>
      </c>
      <c r="FC82" s="443"/>
      <c r="FD82" s="443"/>
      <c r="FE82" s="444">
        <v>0</v>
      </c>
      <c r="FF82" s="444">
        <v>18</v>
      </c>
      <c r="FG82" s="444">
        <v>18</v>
      </c>
      <c r="FH82" s="445"/>
      <c r="FK82" s="95"/>
      <c r="FL82" s="95"/>
      <c r="FM82" s="393" t="s">
        <v>15</v>
      </c>
      <c r="FN82" s="4212"/>
      <c r="FO82" s="4212"/>
      <c r="FP82" s="4212">
        <v>2</v>
      </c>
      <c r="FQ82" s="4212">
        <v>17</v>
      </c>
      <c r="FR82" s="4212"/>
      <c r="FS82" s="4212">
        <v>19</v>
      </c>
      <c r="FT82" s="631">
        <f>+(FS80+FS81)/FS82</f>
        <v>0.89473684210526316</v>
      </c>
      <c r="FU82" s="37"/>
      <c r="FV82" s="616"/>
      <c r="FW82" s="4357"/>
      <c r="FX82" s="616"/>
      <c r="FY82" s="616" t="s">
        <v>1077</v>
      </c>
      <c r="FZ82" s="616">
        <v>0</v>
      </c>
      <c r="GA82" s="616">
        <v>0</v>
      </c>
      <c r="GB82" s="616">
        <v>1</v>
      </c>
      <c r="GC82" s="616">
        <v>1</v>
      </c>
      <c r="GD82" s="616">
        <v>0</v>
      </c>
      <c r="GE82" s="616">
        <v>0</v>
      </c>
      <c r="GF82" s="616">
        <v>2</v>
      </c>
      <c r="GG82" s="616"/>
      <c r="GH82" s="617"/>
      <c r="GI82" s="37"/>
    </row>
    <row r="83" spans="25:191" ht="24.6">
      <c r="Y83" s="4528"/>
      <c r="Z83" s="4528"/>
      <c r="AA83" s="4527"/>
      <c r="AB83" s="4527"/>
      <c r="AC83" s="4648"/>
      <c r="AD83" s="4648"/>
      <c r="AG83" s="4531">
        <v>1</v>
      </c>
      <c r="AH83" s="4531">
        <v>2</v>
      </c>
      <c r="AI83" s="4530" t="s">
        <v>2066</v>
      </c>
      <c r="AJ83" s="4530" t="s">
        <v>1071</v>
      </c>
      <c r="AK83" s="4531">
        <v>1</v>
      </c>
      <c r="AL83" s="4531">
        <v>4</v>
      </c>
      <c r="AR83" s="4213">
        <v>5</v>
      </c>
      <c r="AT83" s="36"/>
      <c r="AU83" s="36"/>
      <c r="AV83" s="393"/>
      <c r="AW83" s="393" t="s">
        <v>1074</v>
      </c>
      <c r="AX83" s="1682">
        <f>SUM(AX49)</f>
        <v>0</v>
      </c>
      <c r="AY83" s="1682">
        <f t="shared" ref="AY83:BG83" si="11">SUM(AY49)</f>
        <v>2</v>
      </c>
      <c r="AZ83" s="1682">
        <f t="shared" si="11"/>
        <v>1</v>
      </c>
      <c r="BA83" s="1682">
        <f t="shared" si="11"/>
        <v>0</v>
      </c>
      <c r="BB83" s="1682">
        <f t="shared" si="11"/>
        <v>0</v>
      </c>
      <c r="BC83" s="1682">
        <f t="shared" si="11"/>
        <v>0</v>
      </c>
      <c r="BD83" s="1682">
        <f t="shared" si="11"/>
        <v>0</v>
      </c>
      <c r="BE83" s="1682">
        <f t="shared" si="11"/>
        <v>0</v>
      </c>
      <c r="BF83" s="1682">
        <f t="shared" si="11"/>
        <v>0</v>
      </c>
      <c r="BG83" s="4353">
        <f t="shared" si="11"/>
        <v>3</v>
      </c>
      <c r="BH83" s="560"/>
      <c r="BW83" s="36"/>
      <c r="BX83" s="36"/>
      <c r="BY83" s="393"/>
      <c r="BZ83" s="393" t="s">
        <v>487</v>
      </c>
      <c r="CA83" s="1682"/>
      <c r="CB83" s="1682"/>
      <c r="CC83" s="1682"/>
      <c r="CD83" s="1682">
        <v>3</v>
      </c>
      <c r="CE83" s="1682"/>
      <c r="CF83" s="2041"/>
      <c r="CG83" s="2041"/>
      <c r="CH83" s="2041"/>
      <c r="CI83" s="2041">
        <v>3</v>
      </c>
      <c r="CJ83" s="560">
        <v>0</v>
      </c>
      <c r="CY83" s="95"/>
      <c r="DB83" s="36" t="s">
        <v>1077</v>
      </c>
      <c r="DC83" s="1484"/>
      <c r="DD83" s="1484">
        <v>0</v>
      </c>
      <c r="DE83" s="1484">
        <v>1</v>
      </c>
      <c r="DF83" s="1484"/>
      <c r="DG83" s="95">
        <v>0</v>
      </c>
      <c r="DH83" s="95"/>
      <c r="DI83" s="95">
        <v>1</v>
      </c>
      <c r="DL83" s="1191"/>
      <c r="DM83" s="1191"/>
      <c r="DN83" s="1191"/>
      <c r="DO83" s="1192" t="s">
        <v>1077</v>
      </c>
      <c r="DP83" s="1194">
        <v>0</v>
      </c>
      <c r="DQ83" s="1194">
        <v>0</v>
      </c>
      <c r="DR83" s="1194">
        <v>1</v>
      </c>
      <c r="DS83" s="1194">
        <v>0</v>
      </c>
      <c r="DT83" s="1194">
        <v>2</v>
      </c>
      <c r="DU83" s="1196">
        <v>0</v>
      </c>
      <c r="DV83" s="1196">
        <v>3</v>
      </c>
      <c r="DW83" s="1187"/>
      <c r="DY83" s="427"/>
      <c r="DZ83" s="427"/>
      <c r="EA83" s="428"/>
      <c r="EB83" s="429" t="s">
        <v>1076</v>
      </c>
      <c r="EC83" s="430">
        <v>0</v>
      </c>
      <c r="ED83" s="431"/>
      <c r="EE83" s="430">
        <v>0</v>
      </c>
      <c r="EF83" s="430">
        <v>1</v>
      </c>
      <c r="EG83" s="432">
        <v>0</v>
      </c>
      <c r="EH83" s="432">
        <v>1</v>
      </c>
      <c r="EI83" s="36"/>
      <c r="EK83" s="433"/>
      <c r="EL83" s="433"/>
      <c r="EM83" s="434"/>
      <c r="EN83" s="457"/>
      <c r="EO83" s="459"/>
      <c r="EP83" s="459"/>
      <c r="EQ83" s="458"/>
      <c r="ER83" s="459"/>
      <c r="ES83" s="460"/>
      <c r="ET83" s="460"/>
      <c r="EU83" s="461"/>
      <c r="EV83" s="440"/>
      <c r="EX83" s="441"/>
      <c r="EY83" s="441"/>
      <c r="EZ83" s="441"/>
      <c r="FA83" s="442" t="s">
        <v>1072</v>
      </c>
      <c r="FB83" s="444">
        <v>0</v>
      </c>
      <c r="FC83" s="443"/>
      <c r="FD83" s="443"/>
      <c r="FE83" s="444">
        <v>2</v>
      </c>
      <c r="FF83" s="444">
        <v>0</v>
      </c>
      <c r="FG83" s="444">
        <v>2</v>
      </c>
      <c r="FH83" s="445"/>
      <c r="FK83" s="95"/>
      <c r="FL83" s="95" t="s">
        <v>41</v>
      </c>
      <c r="FM83" s="36" t="s">
        <v>1072</v>
      </c>
      <c r="FN83" s="95"/>
      <c r="FO83" s="95"/>
      <c r="FP83" s="95">
        <v>5</v>
      </c>
      <c r="FQ83" s="95"/>
      <c r="FR83" s="95"/>
      <c r="FS83" s="95">
        <v>5</v>
      </c>
      <c r="FU83" s="37"/>
      <c r="FV83" s="616"/>
      <c r="FW83" s="4357"/>
      <c r="FX83" s="616"/>
      <c r="FY83" s="616" t="s">
        <v>1142</v>
      </c>
      <c r="FZ83" s="616">
        <v>0</v>
      </c>
      <c r="GA83" s="616">
        <v>0</v>
      </c>
      <c r="GB83" s="616">
        <v>0</v>
      </c>
      <c r="GC83" s="616">
        <v>4</v>
      </c>
      <c r="GD83" s="616">
        <v>1</v>
      </c>
      <c r="GE83" s="616">
        <v>0</v>
      </c>
      <c r="GF83" s="616">
        <v>5</v>
      </c>
      <c r="GG83" s="616"/>
      <c r="GH83" s="617"/>
      <c r="GI83" s="37"/>
    </row>
    <row r="84" spans="25:191" ht="25.2" thickBot="1">
      <c r="Y84" s="4528"/>
      <c r="Z84" s="4528"/>
      <c r="AA84" s="4527"/>
      <c r="AB84" s="4527"/>
      <c r="AC84" s="4648"/>
      <c r="AD84" s="4648"/>
      <c r="AG84" s="4531">
        <v>1</v>
      </c>
      <c r="AH84" s="4531">
        <v>2</v>
      </c>
      <c r="AI84" s="4530" t="s">
        <v>2066</v>
      </c>
      <c r="AJ84" s="4530" t="s">
        <v>2709</v>
      </c>
      <c r="AK84" s="4531">
        <v>15</v>
      </c>
      <c r="AL84" s="4531">
        <v>3</v>
      </c>
      <c r="AR84" s="4213">
        <v>6</v>
      </c>
      <c r="AT84" s="36"/>
      <c r="AU84" s="36"/>
      <c r="AV84" s="393"/>
      <c r="AW84" s="393" t="s">
        <v>1076</v>
      </c>
      <c r="AX84" s="1682">
        <f>SUM(AX31,AX67)</f>
        <v>0</v>
      </c>
      <c r="AY84" s="1682">
        <f t="shared" ref="AY84:BG84" si="12">SUM(AY31,AY67)</f>
        <v>0</v>
      </c>
      <c r="AZ84" s="1682">
        <f t="shared" si="12"/>
        <v>0</v>
      </c>
      <c r="BA84" s="1682">
        <f t="shared" si="12"/>
        <v>21</v>
      </c>
      <c r="BB84" s="1682">
        <f t="shared" si="12"/>
        <v>0</v>
      </c>
      <c r="BC84" s="1682">
        <f t="shared" si="12"/>
        <v>0</v>
      </c>
      <c r="BD84" s="1682">
        <f t="shared" si="12"/>
        <v>0</v>
      </c>
      <c r="BE84" s="1682">
        <f t="shared" si="12"/>
        <v>0</v>
      </c>
      <c r="BF84" s="1682">
        <f t="shared" si="12"/>
        <v>0</v>
      </c>
      <c r="BG84" s="4353">
        <f t="shared" si="12"/>
        <v>21</v>
      </c>
      <c r="BH84" s="560"/>
      <c r="BW84" s="36"/>
      <c r="BX84" s="36"/>
      <c r="BY84" s="393" t="s">
        <v>256</v>
      </c>
      <c r="BZ84" s="393" t="s">
        <v>1072</v>
      </c>
      <c r="CA84" s="1682"/>
      <c r="CB84" s="1682"/>
      <c r="CC84" s="1682"/>
      <c r="CD84" s="1682">
        <v>3</v>
      </c>
      <c r="CE84" s="1682"/>
      <c r="CF84" s="2041"/>
      <c r="CG84" s="2041"/>
      <c r="CH84" s="2041"/>
      <c r="CI84" s="2041">
        <v>3</v>
      </c>
      <c r="CJ84" s="36"/>
      <c r="CY84" s="95"/>
      <c r="DB84" s="36" t="s">
        <v>1080</v>
      </c>
      <c r="DC84" s="1484"/>
      <c r="DD84" s="1484">
        <v>0</v>
      </c>
      <c r="DE84" s="1484">
        <v>0</v>
      </c>
      <c r="DF84" s="1484"/>
      <c r="DG84" s="95">
        <v>1</v>
      </c>
      <c r="DH84" s="95"/>
      <c r="DI84" s="95">
        <v>1</v>
      </c>
      <c r="DL84" s="1191"/>
      <c r="DM84" s="1191"/>
      <c r="DN84" s="1191"/>
      <c r="DO84" s="1192" t="s">
        <v>1080</v>
      </c>
      <c r="DP84" s="1194">
        <v>0</v>
      </c>
      <c r="DQ84" s="1194">
        <v>0</v>
      </c>
      <c r="DR84" s="1194">
        <v>0</v>
      </c>
      <c r="DS84" s="1194">
        <v>0</v>
      </c>
      <c r="DT84" s="1194">
        <v>0</v>
      </c>
      <c r="DU84" s="1196">
        <v>7</v>
      </c>
      <c r="DV84" s="1196">
        <v>7</v>
      </c>
      <c r="DW84" s="1187"/>
      <c r="DY84" s="427"/>
      <c r="DZ84" s="427"/>
      <c r="EA84" s="428"/>
      <c r="EB84" s="429" t="s">
        <v>1080</v>
      </c>
      <c r="EC84" s="430">
        <v>0</v>
      </c>
      <c r="ED84" s="431"/>
      <c r="EE84" s="430">
        <v>0</v>
      </c>
      <c r="EF84" s="430">
        <v>0</v>
      </c>
      <c r="EG84" s="432">
        <v>1</v>
      </c>
      <c r="EH84" s="432">
        <v>1</v>
      </c>
      <c r="EI84" s="36"/>
      <c r="EK84" s="433"/>
      <c r="EL84" s="433"/>
      <c r="EM84" s="434"/>
      <c r="EN84" s="457"/>
      <c r="EO84" s="459"/>
      <c r="EP84" s="459"/>
      <c r="EQ84" s="458"/>
      <c r="ER84" s="459"/>
      <c r="ES84" s="460"/>
      <c r="ET84" s="460"/>
      <c r="EU84" s="461"/>
      <c r="EV84" s="440"/>
      <c r="EX84" s="441"/>
      <c r="EY84" s="441"/>
      <c r="EZ84" s="441"/>
      <c r="FA84" s="442" t="s">
        <v>1074</v>
      </c>
      <c r="FB84" s="444">
        <v>1</v>
      </c>
      <c r="FC84" s="443"/>
      <c r="FD84" s="443"/>
      <c r="FE84" s="444">
        <v>0</v>
      </c>
      <c r="FF84" s="444">
        <v>0</v>
      </c>
      <c r="FG84" s="444">
        <v>1</v>
      </c>
      <c r="FH84" s="445"/>
      <c r="FJ84" s="401"/>
      <c r="FK84" s="396"/>
      <c r="FL84" s="396" t="s">
        <v>15</v>
      </c>
      <c r="FM84" s="397" t="s">
        <v>15</v>
      </c>
      <c r="FN84" s="398"/>
      <c r="FO84" s="398"/>
      <c r="FP84" s="398">
        <v>5</v>
      </c>
      <c r="FQ84" s="398"/>
      <c r="FR84" s="398"/>
      <c r="FS84" s="398">
        <v>5</v>
      </c>
      <c r="FT84" s="640">
        <v>0</v>
      </c>
      <c r="FU84" s="37"/>
      <c r="FV84" s="616"/>
      <c r="FW84" s="4358"/>
      <c r="FX84" s="634"/>
      <c r="FY84" s="634" t="s">
        <v>15</v>
      </c>
      <c r="FZ84" s="634">
        <v>0</v>
      </c>
      <c r="GA84" s="634">
        <v>0</v>
      </c>
      <c r="GB84" s="634">
        <v>2</v>
      </c>
      <c r="GC84" s="634">
        <v>5</v>
      </c>
      <c r="GD84" s="634">
        <v>4</v>
      </c>
      <c r="GE84" s="634">
        <v>10</v>
      </c>
      <c r="GF84" s="634">
        <v>21</v>
      </c>
      <c r="GG84" s="635">
        <f>+GF83/GF84</f>
        <v>0.23809523809523808</v>
      </c>
      <c r="GH84" s="636">
        <f>+GF83</f>
        <v>5</v>
      </c>
      <c r="GI84" s="37"/>
    </row>
    <row r="85" spans="25:191" ht="24.6">
      <c r="Y85" s="4528"/>
      <c r="Z85" s="4528"/>
      <c r="AA85" s="4527"/>
      <c r="AB85" s="4527"/>
      <c r="AC85" s="4648"/>
      <c r="AD85" s="4648"/>
      <c r="AG85" s="4531">
        <v>1</v>
      </c>
      <c r="AH85" s="4531">
        <v>2</v>
      </c>
      <c r="AI85" s="4530" t="s">
        <v>329</v>
      </c>
      <c r="AJ85" s="4530" t="s">
        <v>2703</v>
      </c>
      <c r="AK85" s="4531">
        <v>1</v>
      </c>
      <c r="AL85" s="4531">
        <v>2</v>
      </c>
      <c r="AT85" s="36"/>
      <c r="AU85" s="36"/>
      <c r="AV85" s="393"/>
      <c r="AW85" s="393" t="s">
        <v>1077</v>
      </c>
      <c r="AX85" s="1682">
        <f>SUM(AX68)</f>
        <v>0</v>
      </c>
      <c r="AY85" s="1682">
        <f t="shared" ref="AY85:BG85" si="13">SUM(AY68)</f>
        <v>0</v>
      </c>
      <c r="AZ85" s="1682">
        <f t="shared" si="13"/>
        <v>0</v>
      </c>
      <c r="BA85" s="1682">
        <f t="shared" si="13"/>
        <v>1</v>
      </c>
      <c r="BB85" s="1682">
        <f t="shared" si="13"/>
        <v>0</v>
      </c>
      <c r="BC85" s="1682">
        <f t="shared" si="13"/>
        <v>0</v>
      </c>
      <c r="BD85" s="1682">
        <f t="shared" si="13"/>
        <v>0</v>
      </c>
      <c r="BE85" s="1682">
        <f t="shared" si="13"/>
        <v>0</v>
      </c>
      <c r="BF85" s="1682">
        <f t="shared" si="13"/>
        <v>0</v>
      </c>
      <c r="BG85" s="4353">
        <f t="shared" si="13"/>
        <v>1</v>
      </c>
      <c r="BH85" s="560"/>
      <c r="BW85" s="36"/>
      <c r="BX85" s="36"/>
      <c r="BY85" s="393"/>
      <c r="BZ85" s="393" t="s">
        <v>256</v>
      </c>
      <c r="CA85" s="1682"/>
      <c r="CB85" s="1682"/>
      <c r="CC85" s="1682"/>
      <c r="CD85" s="1682">
        <v>3</v>
      </c>
      <c r="CE85" s="1682"/>
      <c r="CF85" s="2041"/>
      <c r="CG85" s="2041"/>
      <c r="CH85" s="2041"/>
      <c r="CI85" s="2041">
        <v>3</v>
      </c>
      <c r="CJ85" s="560">
        <v>0</v>
      </c>
      <c r="CY85" s="95"/>
      <c r="DB85" s="36" t="s">
        <v>1142</v>
      </c>
      <c r="DC85" s="1484"/>
      <c r="DD85" s="1484">
        <v>0</v>
      </c>
      <c r="DE85" s="1484">
        <v>2</v>
      </c>
      <c r="DF85" s="1484"/>
      <c r="DG85" s="95">
        <v>0</v>
      </c>
      <c r="DH85" s="95"/>
      <c r="DI85" s="95">
        <v>2</v>
      </c>
      <c r="DL85" s="1191"/>
      <c r="DM85" s="1191"/>
      <c r="DN85" s="1191"/>
      <c r="DO85" s="1192" t="s">
        <v>1663</v>
      </c>
      <c r="DP85" s="1194">
        <v>4</v>
      </c>
      <c r="DQ85" s="1194">
        <v>0</v>
      </c>
      <c r="DR85" s="1194">
        <v>0</v>
      </c>
      <c r="DS85" s="1194">
        <v>0</v>
      </c>
      <c r="DT85" s="1194">
        <v>0</v>
      </c>
      <c r="DU85" s="1196">
        <v>0</v>
      </c>
      <c r="DV85" s="1196">
        <v>4</v>
      </c>
      <c r="DW85" s="1187"/>
      <c r="DY85" s="427"/>
      <c r="DZ85" s="427"/>
      <c r="EA85" s="428"/>
      <c r="EB85" s="429" t="s">
        <v>1081</v>
      </c>
      <c r="EC85" s="430">
        <v>0</v>
      </c>
      <c r="ED85" s="431"/>
      <c r="EE85" s="430">
        <v>2</v>
      </c>
      <c r="EF85" s="430">
        <v>25</v>
      </c>
      <c r="EG85" s="432">
        <v>1</v>
      </c>
      <c r="EH85" s="432">
        <v>28</v>
      </c>
      <c r="EI85" s="36"/>
      <c r="EK85" s="433"/>
      <c r="EL85" s="433"/>
      <c r="EM85" s="434"/>
      <c r="EN85" s="457"/>
      <c r="EO85" s="459"/>
      <c r="EP85" s="459"/>
      <c r="EQ85" s="458"/>
      <c r="ER85" s="459"/>
      <c r="ES85" s="460"/>
      <c r="ET85" s="460"/>
      <c r="EU85" s="461"/>
      <c r="EV85" s="440"/>
      <c r="EX85" s="441"/>
      <c r="EY85" s="441"/>
      <c r="EZ85" s="441"/>
      <c r="FA85" s="442" t="s">
        <v>1076</v>
      </c>
      <c r="FB85" s="444">
        <v>0</v>
      </c>
      <c r="FC85" s="443"/>
      <c r="FD85" s="443"/>
      <c r="FE85" s="444">
        <v>1</v>
      </c>
      <c r="FF85" s="444">
        <v>1</v>
      </c>
      <c r="FG85" s="444">
        <v>2</v>
      </c>
      <c r="FH85" s="445"/>
      <c r="FU85" s="37"/>
      <c r="FV85" s="616"/>
      <c r="FW85" s="4357"/>
      <c r="FX85" s="616"/>
      <c r="FY85" s="616"/>
      <c r="FZ85" s="616"/>
      <c r="GA85" s="616"/>
      <c r="GB85" s="616"/>
      <c r="GC85" s="616"/>
      <c r="GD85" s="616"/>
      <c r="GE85" s="616"/>
      <c r="GF85" s="616"/>
      <c r="GG85" s="616"/>
      <c r="GH85" s="616"/>
      <c r="GI85" s="37"/>
    </row>
    <row r="86" spans="25:191" ht="24.6">
      <c r="Y86" s="4528"/>
      <c r="Z86" s="4528"/>
      <c r="AA86" s="4527"/>
      <c r="AB86" s="4527"/>
      <c r="AC86" s="4648"/>
      <c r="AD86" s="4648"/>
      <c r="AG86" s="4531">
        <v>1</v>
      </c>
      <c r="AH86" s="4531">
        <v>2</v>
      </c>
      <c r="AI86" s="4530" t="s">
        <v>329</v>
      </c>
      <c r="AJ86" s="4642" t="s">
        <v>2707</v>
      </c>
      <c r="AK86" s="4531">
        <v>6</v>
      </c>
      <c r="AL86" s="4531">
        <v>3</v>
      </c>
      <c r="AT86" s="36"/>
      <c r="AU86" s="36"/>
      <c r="AV86" s="393"/>
      <c r="AW86" s="393" t="s">
        <v>1080</v>
      </c>
      <c r="AX86" s="1682">
        <f>SUM(AX69)</f>
        <v>0</v>
      </c>
      <c r="AY86" s="1682">
        <f t="shared" ref="AY86:BG86" si="14">SUM(AY69)</f>
        <v>0</v>
      </c>
      <c r="AZ86" s="1682">
        <f t="shared" si="14"/>
        <v>0</v>
      </c>
      <c r="BA86" s="1682">
        <f t="shared" si="14"/>
        <v>0</v>
      </c>
      <c r="BB86" s="1682">
        <f t="shared" si="14"/>
        <v>0</v>
      </c>
      <c r="BC86" s="1682">
        <f t="shared" si="14"/>
        <v>3</v>
      </c>
      <c r="BD86" s="1682">
        <f t="shared" si="14"/>
        <v>1</v>
      </c>
      <c r="BE86" s="1682">
        <f t="shared" si="14"/>
        <v>1</v>
      </c>
      <c r="BF86" s="1682">
        <f t="shared" si="14"/>
        <v>1</v>
      </c>
      <c r="BG86" s="4353">
        <f t="shared" si="14"/>
        <v>6</v>
      </c>
      <c r="BH86" s="560"/>
      <c r="BW86" s="36"/>
      <c r="BX86" s="36"/>
      <c r="BY86" s="393" t="s">
        <v>112</v>
      </c>
      <c r="BZ86" s="393" t="s">
        <v>1071</v>
      </c>
      <c r="CA86" s="1682">
        <v>0</v>
      </c>
      <c r="CB86" s="1682">
        <v>0</v>
      </c>
      <c r="CC86" s="1682">
        <v>1</v>
      </c>
      <c r="CD86" s="1682">
        <v>0</v>
      </c>
      <c r="CE86" s="1682">
        <v>1</v>
      </c>
      <c r="CF86" s="2041">
        <v>7</v>
      </c>
      <c r="CG86" s="2041"/>
      <c r="CH86" s="2041"/>
      <c r="CI86" s="2041">
        <v>9</v>
      </c>
      <c r="CJ86" s="36"/>
      <c r="CY86" s="95"/>
      <c r="DB86" s="393" t="s">
        <v>256</v>
      </c>
      <c r="DC86" s="1485"/>
      <c r="DD86" s="1485">
        <v>1</v>
      </c>
      <c r="DE86" s="1485">
        <v>5</v>
      </c>
      <c r="DF86" s="1485"/>
      <c r="DG86" s="4212">
        <v>1</v>
      </c>
      <c r="DH86" s="4212"/>
      <c r="DI86" s="4212">
        <v>7</v>
      </c>
      <c r="DJ86" s="560">
        <f>+DI85/DI86</f>
        <v>0.2857142857142857</v>
      </c>
      <c r="DL86" s="1191"/>
      <c r="DM86" s="1191"/>
      <c r="DN86" s="1191"/>
      <c r="DO86" s="1192" t="s">
        <v>1081</v>
      </c>
      <c r="DP86" s="1194">
        <v>0</v>
      </c>
      <c r="DQ86" s="1194">
        <v>0</v>
      </c>
      <c r="DR86" s="1194">
        <v>0</v>
      </c>
      <c r="DS86" s="1194">
        <v>8</v>
      </c>
      <c r="DT86" s="1194">
        <v>0</v>
      </c>
      <c r="DU86" s="1196">
        <v>0</v>
      </c>
      <c r="DV86" s="1196">
        <v>8</v>
      </c>
      <c r="DW86" s="1187"/>
      <c r="DY86" s="427"/>
      <c r="DZ86" s="427"/>
      <c r="EA86" s="428"/>
      <c r="EB86" s="429" t="s">
        <v>1142</v>
      </c>
      <c r="EC86" s="430">
        <v>0</v>
      </c>
      <c r="ED86" s="431"/>
      <c r="EE86" s="430">
        <v>1</v>
      </c>
      <c r="EF86" s="430">
        <v>7</v>
      </c>
      <c r="EG86" s="432">
        <v>0</v>
      </c>
      <c r="EH86" s="432">
        <v>8</v>
      </c>
      <c r="EI86" s="36"/>
      <c r="EK86" s="433"/>
      <c r="EL86" s="433"/>
      <c r="EM86" s="434"/>
      <c r="EN86" s="457"/>
      <c r="EO86" s="459"/>
      <c r="EP86" s="459"/>
      <c r="EQ86" s="458"/>
      <c r="ER86" s="459"/>
      <c r="ES86" s="460"/>
      <c r="ET86" s="460"/>
      <c r="EU86" s="461"/>
      <c r="EV86" s="440"/>
      <c r="EX86" s="441"/>
      <c r="EY86" s="441"/>
      <c r="EZ86" s="441"/>
      <c r="FA86" s="442" t="s">
        <v>1077</v>
      </c>
      <c r="FB86" s="444">
        <v>2</v>
      </c>
      <c r="FC86" s="443"/>
      <c r="FD86" s="443"/>
      <c r="FE86" s="444">
        <v>0</v>
      </c>
      <c r="FF86" s="444">
        <v>0</v>
      </c>
      <c r="FG86" s="444">
        <v>2</v>
      </c>
      <c r="FH86" s="445"/>
      <c r="FU86" s="37"/>
      <c r="FV86" s="616"/>
      <c r="FW86" s="4357"/>
      <c r="FX86" s="616"/>
      <c r="FY86" s="616"/>
      <c r="FZ86" s="616"/>
      <c r="GA86" s="616"/>
      <c r="GB86" s="616"/>
      <c r="GC86" s="616"/>
      <c r="GD86" s="616"/>
      <c r="GE86" s="616"/>
      <c r="GF86" s="616"/>
      <c r="GG86" s="616"/>
      <c r="GH86" s="616"/>
      <c r="GI86" s="37"/>
    </row>
    <row r="87" spans="25:191" ht="24.6">
      <c r="Y87" s="4528"/>
      <c r="Z87" s="4528"/>
      <c r="AA87" s="4527"/>
      <c r="AB87" s="4527"/>
      <c r="AC87" s="4648"/>
      <c r="AD87" s="4648"/>
      <c r="AG87" s="4531">
        <v>1</v>
      </c>
      <c r="AH87" s="4531">
        <v>2</v>
      </c>
      <c r="AI87" s="4530" t="s">
        <v>2366</v>
      </c>
      <c r="AJ87" s="4530" t="s">
        <v>2703</v>
      </c>
      <c r="AK87" s="4531">
        <v>2</v>
      </c>
      <c r="AL87" s="4531">
        <v>1</v>
      </c>
      <c r="AR87" s="4213">
        <v>34</v>
      </c>
      <c r="AT87" s="36"/>
      <c r="AU87" s="36"/>
      <c r="AV87" s="393"/>
      <c r="AW87" s="393" t="s">
        <v>1081</v>
      </c>
      <c r="AX87" s="1682">
        <f>SUM(AX32,AX79)</f>
        <v>0</v>
      </c>
      <c r="AY87" s="1682">
        <f t="shared" ref="AY87:BG87" si="15">SUM(AY32,AY79)</f>
        <v>0</v>
      </c>
      <c r="AZ87" s="1682">
        <f t="shared" si="15"/>
        <v>0</v>
      </c>
      <c r="BA87" s="1682">
        <f t="shared" si="15"/>
        <v>17</v>
      </c>
      <c r="BB87" s="1682">
        <f t="shared" si="15"/>
        <v>0</v>
      </c>
      <c r="BC87" s="1682">
        <f t="shared" si="15"/>
        <v>0</v>
      </c>
      <c r="BD87" s="1682">
        <f t="shared" si="15"/>
        <v>0</v>
      </c>
      <c r="BE87" s="1682">
        <f t="shared" si="15"/>
        <v>0</v>
      </c>
      <c r="BF87" s="1682">
        <f t="shared" si="15"/>
        <v>0</v>
      </c>
      <c r="BG87" s="4353">
        <f t="shared" si="15"/>
        <v>17</v>
      </c>
      <c r="BH87" s="560"/>
      <c r="BW87" s="36"/>
      <c r="BX87" s="36"/>
      <c r="BY87" s="393"/>
      <c r="BZ87" s="393" t="s">
        <v>1072</v>
      </c>
      <c r="CA87" s="1682">
        <v>0</v>
      </c>
      <c r="CB87" s="1682">
        <v>2</v>
      </c>
      <c r="CC87" s="1682">
        <v>1</v>
      </c>
      <c r="CD87" s="1682">
        <v>14</v>
      </c>
      <c r="CE87" s="1682">
        <v>3</v>
      </c>
      <c r="CF87" s="2041">
        <v>0</v>
      </c>
      <c r="CG87" s="2041"/>
      <c r="CH87" s="2041"/>
      <c r="CI87" s="2041">
        <v>20</v>
      </c>
      <c r="CJ87" s="36"/>
      <c r="CY87" s="95"/>
      <c r="DA87" s="36" t="s">
        <v>112</v>
      </c>
      <c r="DB87" s="36" t="s">
        <v>1071</v>
      </c>
      <c r="DC87" s="1484">
        <v>0</v>
      </c>
      <c r="DD87" s="1484">
        <v>0</v>
      </c>
      <c r="DE87" s="1484">
        <v>0</v>
      </c>
      <c r="DF87" s="1484">
        <v>2</v>
      </c>
      <c r="DG87" s="95">
        <v>41</v>
      </c>
      <c r="DH87" s="95">
        <v>0</v>
      </c>
      <c r="DI87" s="95">
        <v>43</v>
      </c>
      <c r="DL87" s="1191"/>
      <c r="DM87" s="1191"/>
      <c r="DN87" s="1191"/>
      <c r="DO87" s="1192" t="s">
        <v>1142</v>
      </c>
      <c r="DP87" s="1194">
        <v>0</v>
      </c>
      <c r="DQ87" s="1194">
        <v>0</v>
      </c>
      <c r="DR87" s="1194">
        <v>0</v>
      </c>
      <c r="DS87" s="1194">
        <v>9</v>
      </c>
      <c r="DT87" s="1194">
        <v>1</v>
      </c>
      <c r="DU87" s="1196">
        <v>0</v>
      </c>
      <c r="DV87" s="1196">
        <v>10</v>
      </c>
      <c r="DW87" s="1187"/>
      <c r="DY87" s="427"/>
      <c r="DZ87" s="427"/>
      <c r="EA87" s="428"/>
      <c r="EB87" s="451" t="s">
        <v>412</v>
      </c>
      <c r="EC87" s="452">
        <v>3</v>
      </c>
      <c r="ED87" s="453"/>
      <c r="EE87" s="452">
        <v>3</v>
      </c>
      <c r="EF87" s="452">
        <v>33</v>
      </c>
      <c r="EG87" s="455">
        <v>19</v>
      </c>
      <c r="EH87" s="455">
        <v>58</v>
      </c>
      <c r="EI87" s="456">
        <f>+(EH83+EH85-EG85+EH86)/EH87</f>
        <v>0.62068965517241381</v>
      </c>
      <c r="EK87" s="433"/>
      <c r="EL87" s="433"/>
      <c r="EM87" s="434"/>
      <c r="EN87" s="457"/>
      <c r="EO87" s="459"/>
      <c r="EP87" s="459"/>
      <c r="EQ87" s="458"/>
      <c r="ER87" s="459"/>
      <c r="ES87" s="460"/>
      <c r="ET87" s="460"/>
      <c r="EU87" s="461"/>
      <c r="EV87" s="440"/>
      <c r="EX87" s="441"/>
      <c r="EY87" s="441"/>
      <c r="EZ87" s="441"/>
      <c r="FA87" s="442" t="s">
        <v>1142</v>
      </c>
      <c r="FB87" s="444">
        <v>0</v>
      </c>
      <c r="FC87" s="443"/>
      <c r="FD87" s="443"/>
      <c r="FE87" s="444">
        <v>7</v>
      </c>
      <c r="FF87" s="444">
        <v>0</v>
      </c>
      <c r="FG87" s="444">
        <v>7</v>
      </c>
      <c r="FH87" s="445"/>
      <c r="FU87" s="37"/>
      <c r="FV87" s="6998" t="s">
        <v>1147</v>
      </c>
      <c r="FW87" s="6998"/>
      <c r="FX87" s="6998"/>
      <c r="FY87" s="6998"/>
      <c r="FZ87" s="6998"/>
      <c r="GA87" s="6998"/>
      <c r="GB87" s="6998"/>
      <c r="GC87" s="6998"/>
      <c r="GD87" s="6998"/>
      <c r="GE87" s="6998"/>
      <c r="GF87" s="6998"/>
      <c r="GG87" s="6998"/>
      <c r="GH87" s="616"/>
      <c r="GI87" s="37"/>
    </row>
    <row r="88" spans="25:191" ht="25.2" thickBot="1">
      <c r="Y88" s="4528"/>
      <c r="Z88" s="4528"/>
      <c r="AA88" s="4527"/>
      <c r="AB88" s="4527"/>
      <c r="AC88" s="4648"/>
      <c r="AD88" s="4648"/>
      <c r="AG88" s="4531">
        <v>1</v>
      </c>
      <c r="AH88" s="4531">
        <v>2</v>
      </c>
      <c r="AI88" s="4530" t="s">
        <v>2366</v>
      </c>
      <c r="AJ88" s="4642" t="s">
        <v>2707</v>
      </c>
      <c r="AK88" s="4531">
        <v>2</v>
      </c>
      <c r="AL88" s="4531">
        <v>3</v>
      </c>
      <c r="AR88" s="4213">
        <v>84</v>
      </c>
      <c r="AT88" s="36"/>
      <c r="AU88" s="36"/>
      <c r="AV88" s="393"/>
      <c r="AW88" s="393" t="s">
        <v>2571</v>
      </c>
      <c r="AX88" s="1682">
        <f>SUM(AX33,AX70)</f>
        <v>13</v>
      </c>
      <c r="AY88" s="1682">
        <f t="shared" ref="AY88:BG88" si="16">SUM(AY33,AY70)</f>
        <v>0</v>
      </c>
      <c r="AZ88" s="1682">
        <f t="shared" si="16"/>
        <v>0</v>
      </c>
      <c r="BA88" s="1682">
        <f t="shared" si="16"/>
        <v>0</v>
      </c>
      <c r="BB88" s="1682">
        <f t="shared" si="16"/>
        <v>0</v>
      </c>
      <c r="BC88" s="1682">
        <f t="shared" si="16"/>
        <v>0</v>
      </c>
      <c r="BD88" s="1682">
        <f t="shared" si="16"/>
        <v>0</v>
      </c>
      <c r="BE88" s="1682">
        <f t="shared" si="16"/>
        <v>0</v>
      </c>
      <c r="BF88" s="1682">
        <f t="shared" si="16"/>
        <v>0</v>
      </c>
      <c r="BG88" s="4353">
        <f t="shared" si="16"/>
        <v>13</v>
      </c>
      <c r="BH88" s="560"/>
      <c r="BW88" s="36"/>
      <c r="BX88" s="36"/>
      <c r="BY88" s="393"/>
      <c r="BZ88" s="393" t="s">
        <v>1074</v>
      </c>
      <c r="CA88" s="1682">
        <v>0</v>
      </c>
      <c r="CB88" s="1682">
        <v>2</v>
      </c>
      <c r="CC88" s="1682">
        <v>0</v>
      </c>
      <c r="CD88" s="1682">
        <v>0</v>
      </c>
      <c r="CE88" s="1682">
        <v>0</v>
      </c>
      <c r="CF88" s="2041">
        <v>0</v>
      </c>
      <c r="CG88" s="2041"/>
      <c r="CH88" s="2041"/>
      <c r="CI88" s="2041">
        <v>2</v>
      </c>
      <c r="CJ88" s="36"/>
      <c r="CY88" s="95"/>
      <c r="DB88" s="36" t="s">
        <v>1072</v>
      </c>
      <c r="DC88" s="1484">
        <v>7</v>
      </c>
      <c r="DD88" s="1484">
        <v>3</v>
      </c>
      <c r="DE88" s="1484">
        <v>12</v>
      </c>
      <c r="DF88" s="1484">
        <v>3</v>
      </c>
      <c r="DG88" s="95">
        <v>0</v>
      </c>
      <c r="DH88" s="95">
        <v>0</v>
      </c>
      <c r="DI88" s="95">
        <v>25</v>
      </c>
      <c r="DL88" s="1201"/>
      <c r="DM88" s="1201"/>
      <c r="DN88" s="1201"/>
      <c r="DO88" s="1202" t="s">
        <v>112</v>
      </c>
      <c r="DP88" s="1203">
        <v>4</v>
      </c>
      <c r="DQ88" s="1203">
        <v>2</v>
      </c>
      <c r="DR88" s="1203">
        <v>2</v>
      </c>
      <c r="DS88" s="1203">
        <v>52</v>
      </c>
      <c r="DT88" s="1203">
        <v>11</v>
      </c>
      <c r="DU88" s="1204">
        <v>7</v>
      </c>
      <c r="DV88" s="1204">
        <v>78</v>
      </c>
      <c r="DW88" s="1182">
        <f>+(DV82+DV86+DV87)/DV88</f>
        <v>0.51282051282051277</v>
      </c>
      <c r="DY88" s="427" t="s">
        <v>59</v>
      </c>
      <c r="DZ88" s="427" t="s">
        <v>64</v>
      </c>
      <c r="EA88" s="428" t="s">
        <v>609</v>
      </c>
      <c r="EB88" s="429" t="s">
        <v>1074</v>
      </c>
      <c r="EC88" s="431"/>
      <c r="ED88" s="430">
        <v>1</v>
      </c>
      <c r="EE88" s="430">
        <v>0</v>
      </c>
      <c r="EF88" s="431"/>
      <c r="EG88" s="427"/>
      <c r="EH88" s="432">
        <v>1</v>
      </c>
      <c r="EI88" s="36"/>
      <c r="EK88" s="433" t="s">
        <v>59</v>
      </c>
      <c r="EL88" s="433" t="s">
        <v>64</v>
      </c>
      <c r="EM88" s="434" t="s">
        <v>609</v>
      </c>
      <c r="EN88" s="435" t="s">
        <v>1072</v>
      </c>
      <c r="EO88" s="437"/>
      <c r="EP88" s="437"/>
      <c r="EQ88" s="436">
        <v>1</v>
      </c>
      <c r="ER88" s="437"/>
      <c r="ES88" s="438"/>
      <c r="ET88" s="438"/>
      <c r="EU88" s="439">
        <v>1</v>
      </c>
      <c r="EV88" s="440"/>
      <c r="EX88" s="441"/>
      <c r="EY88" s="441"/>
      <c r="EZ88" s="483"/>
      <c r="FA88" s="484" t="s">
        <v>485</v>
      </c>
      <c r="FB88" s="485">
        <v>3</v>
      </c>
      <c r="FC88" s="486"/>
      <c r="FD88" s="486"/>
      <c r="FE88" s="485">
        <v>10</v>
      </c>
      <c r="FF88" s="485">
        <v>19</v>
      </c>
      <c r="FG88" s="485">
        <v>32</v>
      </c>
      <c r="FH88" s="487">
        <f>+(FG87+FG85-FF85)/FG88</f>
        <v>0.25</v>
      </c>
      <c r="FU88" s="37"/>
      <c r="FV88" s="616"/>
      <c r="FW88" s="4357"/>
      <c r="FX88" s="616"/>
      <c r="FY88" s="616"/>
      <c r="FZ88" s="616"/>
      <c r="GA88" s="616"/>
      <c r="GB88" s="616"/>
      <c r="GC88" s="616"/>
      <c r="GD88" s="616"/>
      <c r="GE88" s="616"/>
      <c r="GF88" s="616"/>
      <c r="GG88" s="616"/>
      <c r="GH88" s="616"/>
      <c r="GI88" s="37"/>
    </row>
    <row r="89" spans="25:191" ht="24.6">
      <c r="Y89" s="4528"/>
      <c r="Z89" s="4528"/>
      <c r="AA89" s="4527"/>
      <c r="AB89" s="4527"/>
      <c r="AC89" s="4648"/>
      <c r="AD89" s="4648"/>
      <c r="AG89" s="4531">
        <v>1</v>
      </c>
      <c r="AH89" s="4531">
        <v>2</v>
      </c>
      <c r="AI89" s="4530" t="s">
        <v>2366</v>
      </c>
      <c r="AJ89" s="4530" t="s">
        <v>2709</v>
      </c>
      <c r="AK89" s="4531">
        <v>4</v>
      </c>
      <c r="AL89" s="4531">
        <v>3</v>
      </c>
      <c r="AR89" s="4213">
        <f>AR87/AR88</f>
        <v>0.40476190476190477</v>
      </c>
      <c r="AT89" s="36"/>
      <c r="AU89" s="36"/>
      <c r="AV89" s="393"/>
      <c r="AW89" s="393" t="s">
        <v>1142</v>
      </c>
      <c r="AX89" s="1682">
        <f>SUM(AX71,AX80)</f>
        <v>0</v>
      </c>
      <c r="AY89" s="1682">
        <f t="shared" ref="AY89:BG89" si="17">SUM(AY71,AY80)</f>
        <v>0</v>
      </c>
      <c r="AZ89" s="1682">
        <f t="shared" si="17"/>
        <v>0</v>
      </c>
      <c r="BA89" s="1682">
        <f t="shared" si="17"/>
        <v>29</v>
      </c>
      <c r="BB89" s="1682">
        <f t="shared" si="17"/>
        <v>0</v>
      </c>
      <c r="BC89" s="1682">
        <f t="shared" si="17"/>
        <v>0</v>
      </c>
      <c r="BD89" s="1682">
        <f t="shared" si="17"/>
        <v>0</v>
      </c>
      <c r="BE89" s="1682">
        <f t="shared" si="17"/>
        <v>0</v>
      </c>
      <c r="BF89" s="1682">
        <f t="shared" si="17"/>
        <v>0</v>
      </c>
      <c r="BG89" s="4353">
        <f t="shared" si="17"/>
        <v>29</v>
      </c>
      <c r="BH89" s="560"/>
      <c r="BW89" s="36"/>
      <c r="BX89" s="36"/>
      <c r="BY89" s="393"/>
      <c r="BZ89" s="393" t="s">
        <v>1076</v>
      </c>
      <c r="CA89" s="1682">
        <v>0</v>
      </c>
      <c r="CB89" s="1682">
        <v>0</v>
      </c>
      <c r="CC89" s="1682">
        <v>0</v>
      </c>
      <c r="CD89" s="1682">
        <v>5</v>
      </c>
      <c r="CE89" s="1682">
        <v>1</v>
      </c>
      <c r="CF89" s="2041">
        <v>3</v>
      </c>
      <c r="CG89" s="2041"/>
      <c r="CH89" s="2041"/>
      <c r="CI89" s="2041">
        <v>9</v>
      </c>
      <c r="CJ89" s="36"/>
      <c r="CY89" s="95"/>
      <c r="DB89" s="36" t="s">
        <v>1076</v>
      </c>
      <c r="DC89" s="1484">
        <v>0</v>
      </c>
      <c r="DD89" s="1484">
        <v>0</v>
      </c>
      <c r="DE89" s="1484">
        <v>6</v>
      </c>
      <c r="DF89" s="1484">
        <v>3</v>
      </c>
      <c r="DG89" s="95">
        <v>2</v>
      </c>
      <c r="DH89" s="95">
        <v>1</v>
      </c>
      <c r="DI89" s="95">
        <v>12</v>
      </c>
      <c r="DL89" s="36"/>
      <c r="DM89" s="36"/>
      <c r="DN89" s="36"/>
      <c r="DO89" s="36"/>
      <c r="DP89" s="36"/>
      <c r="DQ89" s="36"/>
      <c r="DR89" s="36"/>
      <c r="DS89" s="36"/>
      <c r="DT89" s="36"/>
      <c r="DU89" s="36"/>
      <c r="DV89" s="36"/>
      <c r="DW89" s="36"/>
      <c r="DY89" s="427"/>
      <c r="DZ89" s="427"/>
      <c r="EA89" s="428"/>
      <c r="EB89" s="429" t="s">
        <v>1142</v>
      </c>
      <c r="EC89" s="431"/>
      <c r="ED89" s="430">
        <v>0</v>
      </c>
      <c r="EE89" s="430">
        <v>1</v>
      </c>
      <c r="EF89" s="431"/>
      <c r="EG89" s="427"/>
      <c r="EH89" s="432">
        <v>1</v>
      </c>
      <c r="EI89" s="36"/>
      <c r="EK89" s="433"/>
      <c r="EL89" s="433"/>
      <c r="EM89" s="434"/>
      <c r="EN89" s="435" t="s">
        <v>1142</v>
      </c>
      <c r="EO89" s="437"/>
      <c r="EP89" s="437"/>
      <c r="EQ89" s="436">
        <v>2</v>
      </c>
      <c r="ER89" s="437"/>
      <c r="ES89" s="438"/>
      <c r="ET89" s="438"/>
      <c r="EU89" s="439">
        <v>2</v>
      </c>
      <c r="EV89" s="440"/>
      <c r="EX89" s="441"/>
      <c r="EY89" s="441"/>
      <c r="EZ89" s="441"/>
      <c r="FA89" s="462"/>
      <c r="FB89" s="464"/>
      <c r="FU89" s="37"/>
      <c r="FV89" s="616"/>
      <c r="FW89" s="4357"/>
      <c r="FX89" s="616"/>
      <c r="FY89" s="616"/>
      <c r="FZ89" s="616"/>
      <c r="GA89" s="616"/>
      <c r="GB89" s="616"/>
      <c r="GC89" s="616"/>
      <c r="GD89" s="616"/>
      <c r="GE89" s="616"/>
      <c r="GF89" s="616"/>
      <c r="GG89" s="616"/>
      <c r="GH89" s="616"/>
      <c r="GI89" s="37"/>
    </row>
    <row r="90" spans="25:191" ht="25.2" thickBot="1">
      <c r="Y90" s="4528"/>
      <c r="Z90" s="4528"/>
      <c r="AA90" s="4527"/>
      <c r="AB90" s="4527"/>
      <c r="AC90" s="4648"/>
      <c r="AD90" s="4648"/>
      <c r="AG90" s="4531">
        <v>2</v>
      </c>
      <c r="AH90" s="4531">
        <v>2</v>
      </c>
      <c r="AI90" s="4530" t="s">
        <v>2725</v>
      </c>
      <c r="AJ90" s="4642" t="s">
        <v>2707</v>
      </c>
      <c r="AK90" s="4531">
        <v>25</v>
      </c>
      <c r="AL90" s="4531">
        <v>3</v>
      </c>
      <c r="AT90" s="401"/>
      <c r="AU90" s="401"/>
      <c r="AV90" s="397"/>
      <c r="AW90" s="397" t="s">
        <v>15</v>
      </c>
      <c r="AX90" s="1680">
        <f>SUM(AX82:AX89)</f>
        <v>13</v>
      </c>
      <c r="AY90" s="1680">
        <f t="shared" ref="AY90:BG90" si="18">SUM(AY82:AY89)</f>
        <v>5</v>
      </c>
      <c r="AZ90" s="1680">
        <f t="shared" si="18"/>
        <v>4</v>
      </c>
      <c r="BA90" s="1680">
        <f t="shared" si="18"/>
        <v>77</v>
      </c>
      <c r="BB90" s="1680">
        <f t="shared" si="18"/>
        <v>0</v>
      </c>
      <c r="BC90" s="1680">
        <f t="shared" si="18"/>
        <v>4</v>
      </c>
      <c r="BD90" s="1680">
        <f t="shared" si="18"/>
        <v>1</v>
      </c>
      <c r="BE90" s="1680">
        <f t="shared" si="18"/>
        <v>1</v>
      </c>
      <c r="BF90" s="1680">
        <f t="shared" si="18"/>
        <v>1</v>
      </c>
      <c r="BG90" s="4354">
        <f t="shared" si="18"/>
        <v>106</v>
      </c>
      <c r="BH90" s="587">
        <f>+(BG84+BG87+BG89)/(BG90-BG88)</f>
        <v>0.72043010752688175</v>
      </c>
      <c r="BW90" s="36"/>
      <c r="BX90" s="36"/>
      <c r="BY90" s="393"/>
      <c r="BZ90" s="393" t="s">
        <v>1077</v>
      </c>
      <c r="CA90" s="1682">
        <v>0</v>
      </c>
      <c r="CB90" s="1682">
        <v>0</v>
      </c>
      <c r="CC90" s="1682">
        <v>4</v>
      </c>
      <c r="CD90" s="1682">
        <v>2</v>
      </c>
      <c r="CE90" s="1682">
        <v>0</v>
      </c>
      <c r="CF90" s="2041">
        <v>0</v>
      </c>
      <c r="CG90" s="2041"/>
      <c r="CH90" s="2041"/>
      <c r="CI90" s="2041">
        <v>6</v>
      </c>
      <c r="CJ90" s="36"/>
      <c r="CY90" s="95"/>
      <c r="DB90" s="36" t="s">
        <v>1077</v>
      </c>
      <c r="DC90" s="1484">
        <v>2</v>
      </c>
      <c r="DD90" s="1484">
        <v>1</v>
      </c>
      <c r="DE90" s="1484">
        <v>2</v>
      </c>
      <c r="DF90" s="1484">
        <v>0</v>
      </c>
      <c r="DG90" s="95">
        <v>0</v>
      </c>
      <c r="DH90" s="95">
        <v>0</v>
      </c>
      <c r="DI90" s="95">
        <v>5</v>
      </c>
      <c r="DM90" s="36"/>
      <c r="DN90" s="36" t="s">
        <v>1692</v>
      </c>
      <c r="DO90" s="36"/>
      <c r="DP90" s="36"/>
      <c r="DQ90" s="36"/>
      <c r="DR90" s="36"/>
      <c r="DS90" s="36"/>
      <c r="DT90" s="36"/>
      <c r="DU90" s="36"/>
      <c r="DV90" s="36"/>
      <c r="DW90" s="36"/>
      <c r="DY90" s="427"/>
      <c r="DZ90" s="427"/>
      <c r="EA90" s="428"/>
      <c r="EB90" s="451" t="s">
        <v>15</v>
      </c>
      <c r="EC90" s="453"/>
      <c r="ED90" s="452">
        <v>1</v>
      </c>
      <c r="EE90" s="452">
        <v>1</v>
      </c>
      <c r="EF90" s="453"/>
      <c r="EG90" s="454"/>
      <c r="EH90" s="455">
        <v>2</v>
      </c>
      <c r="EI90" s="456">
        <f>+EH89/EH90</f>
        <v>0.5</v>
      </c>
      <c r="EK90" s="433"/>
      <c r="EL90" s="433"/>
      <c r="EM90" s="434"/>
      <c r="EN90" s="457" t="s">
        <v>15</v>
      </c>
      <c r="EO90" s="459"/>
      <c r="EP90" s="459"/>
      <c r="EQ90" s="458">
        <v>3</v>
      </c>
      <c r="ER90" s="459"/>
      <c r="ES90" s="460"/>
      <c r="ET90" s="460"/>
      <c r="EU90" s="461">
        <v>3</v>
      </c>
      <c r="EV90" s="440">
        <f>+EU89/EU90</f>
        <v>0.66666666666666663</v>
      </c>
      <c r="EX90" s="441"/>
      <c r="EY90" s="441"/>
      <c r="EZ90" s="441"/>
      <c r="FA90" s="462"/>
      <c r="FB90" s="6999" t="s">
        <v>1138</v>
      </c>
      <c r="FC90" s="6999"/>
      <c r="FD90" s="6999"/>
      <c r="FE90" s="6999"/>
      <c r="FF90" s="6999"/>
      <c r="FG90" s="464"/>
      <c r="FM90" s="393" t="s">
        <v>315</v>
      </c>
      <c r="FN90" s="6989" t="s">
        <v>1138</v>
      </c>
      <c r="FO90" s="6989"/>
      <c r="FP90" s="6989"/>
      <c r="FQ90" s="6989"/>
      <c r="FR90" s="6989"/>
      <c r="FS90" s="393"/>
      <c r="FU90" s="37"/>
      <c r="FV90" s="616"/>
      <c r="FW90" s="4357"/>
      <c r="FX90" s="616"/>
      <c r="FY90" s="616"/>
      <c r="FZ90" s="616"/>
      <c r="GA90" s="616"/>
      <c r="GB90" s="616"/>
      <c r="GC90" s="616"/>
      <c r="GD90" s="616"/>
      <c r="GE90" s="616"/>
      <c r="GF90" s="616"/>
      <c r="GG90" s="616"/>
      <c r="GH90" s="616"/>
      <c r="GI90" s="37"/>
    </row>
    <row r="91" spans="25:191" ht="36.6" thickBot="1">
      <c r="Y91" s="4528"/>
      <c r="Z91" s="4528"/>
      <c r="AA91" s="4527"/>
      <c r="AB91" s="4527"/>
      <c r="AC91" s="4648"/>
      <c r="AD91" s="4648"/>
      <c r="AG91" s="4531">
        <v>2</v>
      </c>
      <c r="AH91" s="4531">
        <v>2</v>
      </c>
      <c r="AI91" s="4530" t="s">
        <v>2725</v>
      </c>
      <c r="AJ91" s="4530" t="s">
        <v>2709</v>
      </c>
      <c r="AK91" s="4531">
        <v>1</v>
      </c>
      <c r="AL91" s="4531">
        <v>2</v>
      </c>
      <c r="BW91" s="36"/>
      <c r="BX91" s="36"/>
      <c r="BY91" s="393"/>
      <c r="BZ91" s="393" t="s">
        <v>1080</v>
      </c>
      <c r="CA91" s="1682">
        <v>0</v>
      </c>
      <c r="CB91" s="1682">
        <v>0</v>
      </c>
      <c r="CC91" s="1682">
        <v>0</v>
      </c>
      <c r="CD91" s="1682">
        <v>0</v>
      </c>
      <c r="CE91" s="1682">
        <v>0</v>
      </c>
      <c r="CF91" s="2041">
        <v>1</v>
      </c>
      <c r="CG91" s="2041"/>
      <c r="CH91" s="2041"/>
      <c r="CI91" s="2041">
        <v>1</v>
      </c>
      <c r="CJ91" s="36"/>
      <c r="CY91" s="95"/>
      <c r="DB91" s="36" t="s">
        <v>1080</v>
      </c>
      <c r="DC91" s="1484">
        <v>0</v>
      </c>
      <c r="DD91" s="1484">
        <v>0</v>
      </c>
      <c r="DE91" s="1484">
        <v>0</v>
      </c>
      <c r="DF91" s="1484">
        <v>0</v>
      </c>
      <c r="DG91" s="95">
        <v>2</v>
      </c>
      <c r="DH91" s="95">
        <v>1</v>
      </c>
      <c r="DI91" s="95">
        <v>3</v>
      </c>
      <c r="DL91" s="1452" t="s">
        <v>1693</v>
      </c>
      <c r="DY91" s="427"/>
      <c r="DZ91" s="427"/>
      <c r="EA91" s="428" t="s">
        <v>487</v>
      </c>
      <c r="EB91" s="429" t="s">
        <v>1074</v>
      </c>
      <c r="EC91" s="431"/>
      <c r="ED91" s="430">
        <v>1</v>
      </c>
      <c r="EE91" s="430">
        <v>0</v>
      </c>
      <c r="EF91" s="431"/>
      <c r="EG91" s="427"/>
      <c r="EH91" s="432">
        <v>1</v>
      </c>
      <c r="EI91" s="36"/>
      <c r="EK91" s="433"/>
      <c r="EL91" s="433"/>
      <c r="EM91" s="457" t="s">
        <v>487</v>
      </c>
      <c r="EN91" s="435" t="s">
        <v>1072</v>
      </c>
      <c r="EO91" s="437"/>
      <c r="EP91" s="437"/>
      <c r="EQ91" s="436">
        <v>1</v>
      </c>
      <c r="ER91" s="437"/>
      <c r="ES91" s="438"/>
      <c r="ET91" s="438"/>
      <c r="EU91" s="439">
        <v>1</v>
      </c>
      <c r="EV91" s="440"/>
      <c r="EX91" s="441"/>
      <c r="EZ91" s="488" t="s">
        <v>0</v>
      </c>
      <c r="FA91" s="488" t="s">
        <v>1070</v>
      </c>
      <c r="FB91" s="488">
        <v>1</v>
      </c>
      <c r="FC91" s="488">
        <v>2</v>
      </c>
      <c r="FD91" s="488">
        <v>3</v>
      </c>
      <c r="FE91" s="488">
        <v>4</v>
      </c>
      <c r="FF91" s="488">
        <v>5</v>
      </c>
      <c r="FG91" s="488" t="s">
        <v>15</v>
      </c>
      <c r="FH91" s="489" t="s">
        <v>66</v>
      </c>
      <c r="FL91" s="653" t="s">
        <v>0</v>
      </c>
      <c r="FM91" s="653" t="s">
        <v>1070</v>
      </c>
      <c r="FN91" s="653">
        <v>1</v>
      </c>
      <c r="FO91" s="653">
        <v>2</v>
      </c>
      <c r="FP91" s="653">
        <v>3</v>
      </c>
      <c r="FQ91" s="653">
        <v>4</v>
      </c>
      <c r="FR91" s="653">
        <v>5</v>
      </c>
      <c r="FS91" s="653" t="s">
        <v>15</v>
      </c>
      <c r="FT91" s="653" t="s">
        <v>66</v>
      </c>
      <c r="FU91" s="37"/>
      <c r="FV91" s="616"/>
      <c r="FW91" s="4357"/>
      <c r="FX91" s="647" t="s">
        <v>0</v>
      </c>
      <c r="FY91" s="648" t="s">
        <v>1140</v>
      </c>
      <c r="FZ91" s="647">
        <v>0</v>
      </c>
      <c r="GA91" s="647">
        <v>1</v>
      </c>
      <c r="GB91" s="647">
        <v>2</v>
      </c>
      <c r="GC91" s="647">
        <v>3</v>
      </c>
      <c r="GD91" s="647">
        <v>4</v>
      </c>
      <c r="GE91" s="647">
        <v>5</v>
      </c>
      <c r="GF91" s="647" t="s">
        <v>15</v>
      </c>
      <c r="GG91" s="647" t="s">
        <v>66</v>
      </c>
      <c r="GH91" s="647" t="s">
        <v>1141</v>
      </c>
      <c r="GI91" s="37"/>
    </row>
    <row r="92" spans="25:191" ht="24.6">
      <c r="Y92" s="4528"/>
      <c r="Z92" s="4528"/>
      <c r="AA92" s="4527"/>
      <c r="AB92" s="4527"/>
      <c r="AC92" s="4648"/>
      <c r="AD92" s="4648"/>
      <c r="AG92" s="4531">
        <v>2</v>
      </c>
      <c r="AH92" s="4531">
        <v>2</v>
      </c>
      <c r="AI92" s="4530" t="s">
        <v>2725</v>
      </c>
      <c r="AJ92" s="4530" t="s">
        <v>2709</v>
      </c>
      <c r="AK92" s="4531">
        <v>1</v>
      </c>
      <c r="AL92" s="4531">
        <v>4</v>
      </c>
      <c r="BH92" s="115" t="s">
        <v>2580</v>
      </c>
      <c r="BW92" s="36"/>
      <c r="BX92" s="36"/>
      <c r="BY92" s="393"/>
      <c r="BZ92" s="393" t="s">
        <v>1663</v>
      </c>
      <c r="CA92" s="1682">
        <v>1</v>
      </c>
      <c r="CB92" s="1682">
        <v>0</v>
      </c>
      <c r="CC92" s="1682">
        <v>0</v>
      </c>
      <c r="CD92" s="1682">
        <v>0</v>
      </c>
      <c r="CE92" s="1682">
        <v>0</v>
      </c>
      <c r="CF92" s="2041">
        <v>0</v>
      </c>
      <c r="CG92" s="2041"/>
      <c r="CH92" s="2041"/>
      <c r="CI92" s="2041">
        <v>1</v>
      </c>
      <c r="CJ92" s="36"/>
      <c r="CY92" s="95"/>
      <c r="DB92" s="36" t="s">
        <v>1081</v>
      </c>
      <c r="DC92" s="1484">
        <v>0</v>
      </c>
      <c r="DD92" s="1484">
        <v>0</v>
      </c>
      <c r="DE92" s="1484">
        <v>14</v>
      </c>
      <c r="DF92" s="1484">
        <v>1</v>
      </c>
      <c r="DG92" s="95">
        <v>0</v>
      </c>
      <c r="DH92" s="95">
        <v>0</v>
      </c>
      <c r="DI92" s="95">
        <v>15</v>
      </c>
      <c r="DY92" s="427"/>
      <c r="DZ92" s="427"/>
      <c r="EA92" s="428"/>
      <c r="EB92" s="429" t="s">
        <v>1142</v>
      </c>
      <c r="EC92" s="431"/>
      <c r="ED92" s="430">
        <v>0</v>
      </c>
      <c r="EE92" s="430">
        <v>1</v>
      </c>
      <c r="EF92" s="431"/>
      <c r="EG92" s="427"/>
      <c r="EH92" s="432">
        <v>1</v>
      </c>
      <c r="EI92" s="36"/>
      <c r="EK92" s="433"/>
      <c r="EL92" s="433"/>
      <c r="EM92" s="434"/>
      <c r="EN92" s="435" t="s">
        <v>1142</v>
      </c>
      <c r="EO92" s="437"/>
      <c r="EP92" s="437"/>
      <c r="EQ92" s="436">
        <v>2</v>
      </c>
      <c r="ER92" s="437"/>
      <c r="ES92" s="438"/>
      <c r="ET92" s="438"/>
      <c r="EU92" s="439">
        <v>2</v>
      </c>
      <c r="EV92" s="440"/>
      <c r="EX92" s="441"/>
      <c r="EY92" s="441"/>
      <c r="EZ92" s="441" t="s">
        <v>105</v>
      </c>
      <c r="FA92" s="442" t="s">
        <v>1072</v>
      </c>
      <c r="FB92" s="444">
        <v>1</v>
      </c>
      <c r="FC92" s="443"/>
      <c r="FD92" s="444">
        <v>3</v>
      </c>
      <c r="FE92" s="443"/>
      <c r="FF92" s="443"/>
      <c r="FG92" s="444">
        <v>4</v>
      </c>
      <c r="FH92" s="445"/>
      <c r="FL92" s="95" t="s">
        <v>3</v>
      </c>
      <c r="FM92" s="36" t="s">
        <v>1071</v>
      </c>
      <c r="FN92" s="36">
        <v>0</v>
      </c>
      <c r="FO92" s="36">
        <v>0</v>
      </c>
      <c r="FP92" s="36">
        <v>0</v>
      </c>
      <c r="FQ92" s="36">
        <v>0</v>
      </c>
      <c r="FR92" s="36">
        <v>29</v>
      </c>
      <c r="FS92" s="36">
        <v>29</v>
      </c>
      <c r="FU92" s="37"/>
      <c r="FV92" s="616"/>
      <c r="FW92" s="4357"/>
      <c r="FX92" s="616" t="s">
        <v>3</v>
      </c>
      <c r="FY92" s="616" t="s">
        <v>1071</v>
      </c>
      <c r="FZ92" s="616">
        <v>0</v>
      </c>
      <c r="GA92" s="616">
        <v>0</v>
      </c>
      <c r="GB92" s="616">
        <v>0</v>
      </c>
      <c r="GC92" s="616">
        <v>1</v>
      </c>
      <c r="GD92" s="616">
        <v>2</v>
      </c>
      <c r="GE92" s="616">
        <v>9</v>
      </c>
      <c r="GF92" s="616">
        <v>12</v>
      </c>
      <c r="GG92" s="616"/>
      <c r="GH92" s="617"/>
      <c r="GI92" s="37"/>
    </row>
    <row r="93" spans="25:191">
      <c r="Y93" s="4528"/>
      <c r="Z93" s="4528"/>
      <c r="AA93" s="4527"/>
      <c r="AB93" s="4527"/>
      <c r="AC93" s="4648"/>
      <c r="AD93" s="4648"/>
      <c r="AG93" s="4531">
        <v>2</v>
      </c>
      <c r="AH93" s="4531">
        <v>3</v>
      </c>
      <c r="AI93" s="4530" t="s">
        <v>283</v>
      </c>
      <c r="AJ93" s="4530" t="s">
        <v>2703</v>
      </c>
      <c r="AK93" s="4531">
        <v>1</v>
      </c>
      <c r="AL93" s="4531">
        <v>1</v>
      </c>
      <c r="BW93" s="36"/>
      <c r="BX93" s="36"/>
      <c r="BY93" s="393"/>
      <c r="BZ93" s="393" t="s">
        <v>1081</v>
      </c>
      <c r="CA93" s="1682">
        <v>0</v>
      </c>
      <c r="CB93" s="1682">
        <v>0</v>
      </c>
      <c r="CC93" s="1682">
        <v>0</v>
      </c>
      <c r="CD93" s="1682">
        <v>15</v>
      </c>
      <c r="CE93" s="1682">
        <v>22</v>
      </c>
      <c r="CF93" s="2041">
        <v>0</v>
      </c>
      <c r="CG93" s="2041"/>
      <c r="CH93" s="2041"/>
      <c r="CI93" s="2041">
        <v>37</v>
      </c>
      <c r="CJ93" s="36"/>
      <c r="CY93" s="95"/>
      <c r="DB93" s="36" t="s">
        <v>1142</v>
      </c>
      <c r="DC93" s="1484">
        <v>0</v>
      </c>
      <c r="DD93" s="1484">
        <v>0</v>
      </c>
      <c r="DE93" s="1484">
        <v>55</v>
      </c>
      <c r="DF93" s="1484">
        <v>1</v>
      </c>
      <c r="DG93" s="95">
        <v>1</v>
      </c>
      <c r="DH93" s="95">
        <v>0</v>
      </c>
      <c r="DI93" s="95">
        <v>57</v>
      </c>
      <c r="DY93" s="427"/>
      <c r="DZ93" s="427"/>
      <c r="EA93" s="428"/>
      <c r="EB93" s="451" t="s">
        <v>15</v>
      </c>
      <c r="EC93" s="453"/>
      <c r="ED93" s="452">
        <v>1</v>
      </c>
      <c r="EE93" s="452">
        <v>1</v>
      </c>
      <c r="EF93" s="453"/>
      <c r="EG93" s="454"/>
      <c r="EH93" s="455">
        <v>2</v>
      </c>
      <c r="EI93" s="456">
        <f>+EH92/EH93</f>
        <v>0.5</v>
      </c>
      <c r="EK93" s="433"/>
      <c r="EL93" s="433"/>
      <c r="EM93" s="434"/>
      <c r="EN93" s="457" t="s">
        <v>487</v>
      </c>
      <c r="EO93" s="459"/>
      <c r="EP93" s="459"/>
      <c r="EQ93" s="458">
        <v>3</v>
      </c>
      <c r="ER93" s="459"/>
      <c r="ES93" s="460"/>
      <c r="ET93" s="460"/>
      <c r="EU93" s="461">
        <v>3</v>
      </c>
      <c r="EV93" s="440">
        <f>+EU92/EU93</f>
        <v>0.66666666666666663</v>
      </c>
      <c r="EX93" s="441"/>
      <c r="EY93" s="441"/>
      <c r="EZ93" s="441"/>
      <c r="FA93" s="442" t="s">
        <v>1076</v>
      </c>
      <c r="FB93" s="444">
        <v>0</v>
      </c>
      <c r="FC93" s="443"/>
      <c r="FD93" s="444">
        <v>7</v>
      </c>
      <c r="FE93" s="443"/>
      <c r="FF93" s="443"/>
      <c r="FG93" s="444">
        <v>7</v>
      </c>
      <c r="FH93" s="445"/>
      <c r="FL93" s="95"/>
      <c r="FM93" s="36" t="s">
        <v>1072</v>
      </c>
      <c r="FN93" s="36">
        <v>2</v>
      </c>
      <c r="FO93" s="36">
        <v>6</v>
      </c>
      <c r="FP93" s="36">
        <v>8</v>
      </c>
      <c r="FQ93" s="36">
        <v>0</v>
      </c>
      <c r="FR93" s="36">
        <v>0</v>
      </c>
      <c r="FS93" s="36">
        <v>16</v>
      </c>
      <c r="FU93" s="37"/>
      <c r="FV93" s="616"/>
      <c r="FW93" s="4357"/>
      <c r="FX93" s="616"/>
      <c r="FY93" s="616" t="s">
        <v>1072</v>
      </c>
      <c r="FZ93" s="616">
        <v>0</v>
      </c>
      <c r="GA93" s="616">
        <v>3</v>
      </c>
      <c r="GB93" s="616">
        <v>4</v>
      </c>
      <c r="GC93" s="616">
        <v>13</v>
      </c>
      <c r="GD93" s="616">
        <v>1</v>
      </c>
      <c r="GE93" s="616">
        <v>0</v>
      </c>
      <c r="GF93" s="616">
        <v>21</v>
      </c>
      <c r="GG93" s="616"/>
      <c r="GH93" s="617"/>
      <c r="GI93" s="37"/>
    </row>
    <row r="94" spans="25:191" ht="15" thickBot="1">
      <c r="Y94" s="4528"/>
      <c r="Z94" s="4528"/>
      <c r="AA94" s="4527"/>
      <c r="AB94" s="4527"/>
      <c r="AC94" s="4648"/>
      <c r="AD94" s="4648"/>
      <c r="AG94" s="4531">
        <v>2</v>
      </c>
      <c r="AH94" s="4531">
        <v>3</v>
      </c>
      <c r="AI94" s="4530" t="s">
        <v>283</v>
      </c>
      <c r="AJ94" s="4642" t="s">
        <v>1076</v>
      </c>
      <c r="AK94" s="4531">
        <v>1</v>
      </c>
      <c r="AL94" s="4531">
        <v>4</v>
      </c>
      <c r="BW94" s="36"/>
      <c r="BX94" s="36"/>
      <c r="BY94" s="393"/>
      <c r="BZ94" s="393" t="s">
        <v>1142</v>
      </c>
      <c r="CA94" s="1682">
        <v>0</v>
      </c>
      <c r="CB94" s="1682">
        <v>0</v>
      </c>
      <c r="CC94" s="1682">
        <v>0</v>
      </c>
      <c r="CD94" s="1682">
        <v>47</v>
      </c>
      <c r="CE94" s="1682">
        <v>6</v>
      </c>
      <c r="CF94" s="2041">
        <v>0</v>
      </c>
      <c r="CG94" s="2041"/>
      <c r="CH94" s="2041">
        <v>5</v>
      </c>
      <c r="CI94" s="2041">
        <v>58</v>
      </c>
      <c r="CJ94" s="36"/>
      <c r="CY94" s="396"/>
      <c r="CZ94" s="396"/>
      <c r="DA94" s="401"/>
      <c r="DB94" s="397" t="s">
        <v>112</v>
      </c>
      <c r="DC94" s="1483">
        <v>9</v>
      </c>
      <c r="DD94" s="1483">
        <v>4</v>
      </c>
      <c r="DE94" s="1483">
        <v>89</v>
      </c>
      <c r="DF94" s="1483">
        <v>10</v>
      </c>
      <c r="DG94" s="398">
        <v>46</v>
      </c>
      <c r="DH94" s="398">
        <v>2</v>
      </c>
      <c r="DI94" s="398">
        <v>160</v>
      </c>
      <c r="DJ94" s="1470">
        <f>+(DI89+DI92+DI93-DG89-DH89-DG93)/DI94</f>
        <v>0.5</v>
      </c>
      <c r="DY94" s="427"/>
      <c r="DZ94" s="427"/>
      <c r="EA94" s="428" t="s">
        <v>256</v>
      </c>
      <c r="EB94" s="429" t="s">
        <v>1074</v>
      </c>
      <c r="EC94" s="431"/>
      <c r="ED94" s="430">
        <v>1</v>
      </c>
      <c r="EE94" s="430">
        <v>0</v>
      </c>
      <c r="EF94" s="431"/>
      <c r="EG94" s="427"/>
      <c r="EH94" s="432">
        <v>1</v>
      </c>
      <c r="EI94" s="36"/>
      <c r="EK94" s="433"/>
      <c r="EL94" s="433"/>
      <c r="EM94" s="457" t="s">
        <v>256</v>
      </c>
      <c r="EN94" s="435" t="s">
        <v>1072</v>
      </c>
      <c r="EO94" s="437"/>
      <c r="EP94" s="437"/>
      <c r="EQ94" s="436">
        <v>1</v>
      </c>
      <c r="ER94" s="437"/>
      <c r="ES94" s="438"/>
      <c r="ET94" s="438"/>
      <c r="EU94" s="439">
        <v>1</v>
      </c>
      <c r="EV94" s="440"/>
      <c r="EX94" s="441"/>
      <c r="EY94" s="441"/>
      <c r="EZ94" s="441"/>
      <c r="FA94" s="442" t="s">
        <v>1081</v>
      </c>
      <c r="FB94" s="444">
        <v>0</v>
      </c>
      <c r="FC94" s="443"/>
      <c r="FD94" s="444">
        <v>10</v>
      </c>
      <c r="FE94" s="443"/>
      <c r="FF94" s="443"/>
      <c r="FG94" s="444">
        <v>10</v>
      </c>
      <c r="FH94" s="445"/>
      <c r="FL94" s="95"/>
      <c r="FM94" s="36" t="s">
        <v>1074</v>
      </c>
      <c r="FN94" s="36">
        <v>0</v>
      </c>
      <c r="FO94" s="36">
        <v>1</v>
      </c>
      <c r="FP94" s="36">
        <v>0</v>
      </c>
      <c r="FQ94" s="36">
        <v>0</v>
      </c>
      <c r="FR94" s="36">
        <v>0</v>
      </c>
      <c r="FS94" s="36">
        <v>1</v>
      </c>
      <c r="FU94" s="37"/>
      <c r="FV94" s="616"/>
      <c r="FW94" s="4357"/>
      <c r="FX94" s="616"/>
      <c r="FY94" s="616" t="s">
        <v>1076</v>
      </c>
      <c r="FZ94" s="616">
        <v>0</v>
      </c>
      <c r="GA94" s="616">
        <v>0</v>
      </c>
      <c r="GB94" s="616">
        <v>0</v>
      </c>
      <c r="GC94" s="616">
        <v>2</v>
      </c>
      <c r="GD94" s="616">
        <v>1</v>
      </c>
      <c r="GE94" s="616">
        <v>0</v>
      </c>
      <c r="GF94" s="616">
        <v>3</v>
      </c>
      <c r="GG94" s="616"/>
      <c r="GH94" s="617"/>
      <c r="GI94" s="37"/>
    </row>
    <row r="95" spans="25:191" ht="15" thickBot="1">
      <c r="Y95" s="4528"/>
      <c r="Z95" s="4528"/>
      <c r="AA95" s="4527"/>
      <c r="AB95" s="4527"/>
      <c r="AC95" s="4648"/>
      <c r="AD95" s="4648"/>
      <c r="AG95" s="4531">
        <v>2</v>
      </c>
      <c r="AH95" s="4531">
        <v>3</v>
      </c>
      <c r="AI95" s="4530" t="s">
        <v>283</v>
      </c>
      <c r="AJ95" s="4642" t="s">
        <v>1076</v>
      </c>
      <c r="AK95" s="4531">
        <v>1</v>
      </c>
      <c r="AL95" s="4531">
        <v>5</v>
      </c>
      <c r="AT95" s="4635" t="s">
        <v>2698</v>
      </c>
      <c r="AU95" s="4635" t="s">
        <v>2699</v>
      </c>
      <c r="AV95" s="4635" t="s">
        <v>2722</v>
      </c>
      <c r="AW95" s="4635" t="s">
        <v>2730</v>
      </c>
      <c r="AX95" s="4635" t="s">
        <v>1138</v>
      </c>
      <c r="AY95" s="4635" t="s">
        <v>2767</v>
      </c>
      <c r="BW95" s="401"/>
      <c r="BX95" s="401"/>
      <c r="BY95" s="397"/>
      <c r="BZ95" s="397" t="s">
        <v>112</v>
      </c>
      <c r="CA95" s="1680">
        <v>1</v>
      </c>
      <c r="CB95" s="1680">
        <v>4</v>
      </c>
      <c r="CC95" s="1680">
        <v>6</v>
      </c>
      <c r="CD95" s="1680">
        <v>83</v>
      </c>
      <c r="CE95" s="1680">
        <v>33</v>
      </c>
      <c r="CF95" s="398">
        <v>11</v>
      </c>
      <c r="CG95" s="398"/>
      <c r="CH95" s="398">
        <v>5</v>
      </c>
      <c r="CI95" s="398">
        <v>143</v>
      </c>
      <c r="CJ95" s="1470">
        <f>+(CI94+CI93+CI89-CF89)/CI95</f>
        <v>0.70629370629370625</v>
      </c>
      <c r="DY95" s="427"/>
      <c r="DZ95" s="427"/>
      <c r="EA95" s="428"/>
      <c r="EB95" s="429" t="s">
        <v>1142</v>
      </c>
      <c r="EC95" s="431"/>
      <c r="ED95" s="430">
        <v>0</v>
      </c>
      <c r="EE95" s="430">
        <v>1</v>
      </c>
      <c r="EF95" s="431"/>
      <c r="EG95" s="427"/>
      <c r="EH95" s="432">
        <v>1</v>
      </c>
      <c r="EI95" s="36"/>
      <c r="EK95" s="433"/>
      <c r="EL95" s="433"/>
      <c r="EM95" s="434"/>
      <c r="EN95" s="435" t="s">
        <v>1142</v>
      </c>
      <c r="EO95" s="437"/>
      <c r="EP95" s="437"/>
      <c r="EQ95" s="436">
        <v>2</v>
      </c>
      <c r="ER95" s="437"/>
      <c r="ES95" s="438"/>
      <c r="ET95" s="438"/>
      <c r="EU95" s="439">
        <v>2</v>
      </c>
      <c r="EV95" s="440"/>
      <c r="EX95" s="441"/>
      <c r="EY95" s="441"/>
      <c r="EZ95" s="441"/>
      <c r="FA95" s="442" t="s">
        <v>1142</v>
      </c>
      <c r="FB95" s="444">
        <v>0</v>
      </c>
      <c r="FC95" s="443"/>
      <c r="FD95" s="444">
        <v>5</v>
      </c>
      <c r="FE95" s="443"/>
      <c r="FF95" s="443"/>
      <c r="FG95" s="444">
        <v>5</v>
      </c>
      <c r="FH95" s="445"/>
      <c r="FL95" s="95"/>
      <c r="FM95" s="36" t="s">
        <v>1076</v>
      </c>
      <c r="FN95" s="36">
        <v>0</v>
      </c>
      <c r="FO95" s="36">
        <v>0</v>
      </c>
      <c r="FP95" s="36">
        <v>3</v>
      </c>
      <c r="FQ95" s="36">
        <v>7</v>
      </c>
      <c r="FR95" s="36">
        <v>0</v>
      </c>
      <c r="FS95" s="36">
        <v>10</v>
      </c>
      <c r="FU95" s="37"/>
      <c r="FV95" s="616"/>
      <c r="FW95" s="4357"/>
      <c r="FX95" s="616"/>
      <c r="FY95" s="616" t="s">
        <v>1077</v>
      </c>
      <c r="FZ95" s="616">
        <v>0</v>
      </c>
      <c r="GA95" s="616">
        <v>0</v>
      </c>
      <c r="GB95" s="616">
        <v>1</v>
      </c>
      <c r="GC95" s="616">
        <v>0</v>
      </c>
      <c r="GD95" s="616">
        <v>0</v>
      </c>
      <c r="GE95" s="616">
        <v>0</v>
      </c>
      <c r="GF95" s="616">
        <v>1</v>
      </c>
      <c r="GG95" s="616"/>
      <c r="GH95" s="617"/>
      <c r="GI95" s="37"/>
    </row>
    <row r="96" spans="25:191">
      <c r="AG96" s="4531">
        <v>2</v>
      </c>
      <c r="AH96" s="4531">
        <v>3</v>
      </c>
      <c r="AI96" s="4530" t="s">
        <v>283</v>
      </c>
      <c r="AJ96" s="4530" t="s">
        <v>2709</v>
      </c>
      <c r="AK96" s="4531">
        <v>1</v>
      </c>
      <c r="AL96" s="4531">
        <v>3</v>
      </c>
      <c r="AT96" s="4529">
        <v>1</v>
      </c>
      <c r="AU96" s="4529">
        <v>2</v>
      </c>
      <c r="AV96" s="4530" t="s">
        <v>2066</v>
      </c>
      <c r="AW96" s="4530" t="s">
        <v>2709</v>
      </c>
      <c r="AX96" s="4529">
        <v>3</v>
      </c>
      <c r="AY96" s="4531">
        <v>1</v>
      </c>
      <c r="BW96" s="1488" t="s">
        <v>2412</v>
      </c>
      <c r="BX96" s="36"/>
      <c r="BY96" s="36"/>
      <c r="BZ96" s="36"/>
      <c r="CA96" s="36"/>
      <c r="CB96" s="36"/>
      <c r="CC96" s="36"/>
      <c r="CD96" s="36"/>
      <c r="CE96" s="36"/>
      <c r="CF96" s="36"/>
      <c r="CG96" s="36"/>
      <c r="CH96" s="36"/>
      <c r="CI96" s="36"/>
      <c r="CJ96" s="36"/>
      <c r="DY96" s="427"/>
      <c r="DZ96" s="427"/>
      <c r="EA96" s="428"/>
      <c r="EB96" s="451" t="s">
        <v>256</v>
      </c>
      <c r="EC96" s="453"/>
      <c r="ED96" s="452">
        <v>1</v>
      </c>
      <c r="EE96" s="452">
        <v>1</v>
      </c>
      <c r="EF96" s="453"/>
      <c r="EG96" s="454"/>
      <c r="EH96" s="455">
        <v>2</v>
      </c>
      <c r="EI96" s="456">
        <f>+EH95/EH96</f>
        <v>0.5</v>
      </c>
      <c r="EK96" s="433"/>
      <c r="EL96" s="433"/>
      <c r="EM96" s="434"/>
      <c r="EN96" s="457" t="s">
        <v>256</v>
      </c>
      <c r="EO96" s="459"/>
      <c r="EP96" s="459"/>
      <c r="EQ96" s="458">
        <v>3</v>
      </c>
      <c r="ER96" s="459"/>
      <c r="ES96" s="460"/>
      <c r="ET96" s="460"/>
      <c r="EU96" s="461">
        <v>3</v>
      </c>
      <c r="EV96" s="440">
        <f>+EU95/EU96</f>
        <v>0.66666666666666663</v>
      </c>
      <c r="EX96" s="441"/>
      <c r="EY96" s="441"/>
      <c r="EZ96" s="441"/>
      <c r="FA96" s="462" t="s">
        <v>105</v>
      </c>
      <c r="FB96" s="464">
        <v>1</v>
      </c>
      <c r="FC96" s="463"/>
      <c r="FD96" s="464">
        <v>25</v>
      </c>
      <c r="FE96" s="463"/>
      <c r="FF96" s="463"/>
      <c r="FG96" s="464">
        <v>26</v>
      </c>
      <c r="FH96" s="465">
        <f>+(FG95+FG94+FG93)/FG96</f>
        <v>0.84615384615384615</v>
      </c>
      <c r="FL96" s="95"/>
      <c r="FM96" s="36" t="s">
        <v>1077</v>
      </c>
      <c r="FN96" s="36">
        <v>0</v>
      </c>
      <c r="FO96" s="36">
        <v>0</v>
      </c>
      <c r="FP96" s="36">
        <v>0</v>
      </c>
      <c r="FQ96" s="36">
        <v>1</v>
      </c>
      <c r="FR96" s="36">
        <v>0</v>
      </c>
      <c r="FS96" s="36">
        <v>1</v>
      </c>
      <c r="FU96" s="37"/>
      <c r="FV96" s="616"/>
      <c r="FW96" s="4357"/>
      <c r="FX96" s="616"/>
      <c r="FY96" s="616" t="s">
        <v>1080</v>
      </c>
      <c r="FZ96" s="616">
        <v>0</v>
      </c>
      <c r="GA96" s="616">
        <v>0</v>
      </c>
      <c r="GB96" s="616">
        <v>0</v>
      </c>
      <c r="GC96" s="616">
        <v>0</v>
      </c>
      <c r="GD96" s="616">
        <v>1</v>
      </c>
      <c r="GE96" s="616">
        <v>1</v>
      </c>
      <c r="GF96" s="616">
        <v>2</v>
      </c>
      <c r="GG96" s="616"/>
      <c r="GH96" s="617"/>
      <c r="GI96" s="37"/>
    </row>
    <row r="97" spans="33:191">
      <c r="AG97" s="4531">
        <v>2</v>
      </c>
      <c r="AH97" s="4531">
        <v>3</v>
      </c>
      <c r="AI97" s="4530" t="s">
        <v>283</v>
      </c>
      <c r="AJ97" s="4530" t="s">
        <v>2709</v>
      </c>
      <c r="AK97" s="4531">
        <v>2</v>
      </c>
      <c r="AL97" s="4531">
        <v>4</v>
      </c>
      <c r="AT97" s="4529">
        <v>1</v>
      </c>
      <c r="AU97" s="4529">
        <v>2</v>
      </c>
      <c r="AV97" s="4530" t="s">
        <v>2066</v>
      </c>
      <c r="AW97" s="4642" t="s">
        <v>1076</v>
      </c>
      <c r="AX97" s="4529">
        <v>3</v>
      </c>
      <c r="AY97" s="4531">
        <v>4</v>
      </c>
      <c r="DY97" s="427"/>
      <c r="DZ97" s="427"/>
      <c r="EA97" s="428" t="s">
        <v>112</v>
      </c>
      <c r="EB97" s="429" t="s">
        <v>1071</v>
      </c>
      <c r="EC97" s="430">
        <v>0</v>
      </c>
      <c r="ED97" s="430">
        <v>0</v>
      </c>
      <c r="EE97" s="430">
        <v>0</v>
      </c>
      <c r="EF97" s="430">
        <v>1</v>
      </c>
      <c r="EG97" s="432">
        <v>22</v>
      </c>
      <c r="EH97" s="432">
        <v>23</v>
      </c>
      <c r="EI97" s="36"/>
      <c r="EK97" s="433"/>
      <c r="EL97" s="433"/>
      <c r="EM97" s="457" t="s">
        <v>112</v>
      </c>
      <c r="EN97" s="435" t="s">
        <v>1071</v>
      </c>
      <c r="EO97" s="436">
        <v>0</v>
      </c>
      <c r="EP97" s="436">
        <v>0</v>
      </c>
      <c r="EQ97" s="436">
        <v>0</v>
      </c>
      <c r="ER97" s="436">
        <v>0</v>
      </c>
      <c r="ES97" s="439">
        <v>39</v>
      </c>
      <c r="ET97" s="439">
        <v>0</v>
      </c>
      <c r="EU97" s="439">
        <v>39</v>
      </c>
      <c r="EV97" s="440"/>
      <c r="EX97" s="441"/>
      <c r="EY97" s="441"/>
      <c r="EZ97" s="441"/>
      <c r="FA97" s="462"/>
      <c r="FB97" s="464"/>
      <c r="FC97" s="464"/>
      <c r="FD97" s="464"/>
      <c r="FE97" s="464"/>
      <c r="FF97" s="464"/>
      <c r="FG97" s="464"/>
      <c r="FL97" s="95"/>
      <c r="FM97" s="36" t="s">
        <v>1080</v>
      </c>
      <c r="FN97" s="36">
        <v>0</v>
      </c>
      <c r="FO97" s="36">
        <v>0</v>
      </c>
      <c r="FP97" s="36">
        <v>0</v>
      </c>
      <c r="FQ97" s="36">
        <v>0</v>
      </c>
      <c r="FR97" s="36">
        <v>1</v>
      </c>
      <c r="FS97" s="36">
        <v>1</v>
      </c>
      <c r="FU97" s="37"/>
      <c r="FV97" s="616"/>
      <c r="FW97" s="4357"/>
      <c r="FX97" s="616"/>
      <c r="FY97" s="616" t="s">
        <v>1081</v>
      </c>
      <c r="FZ97" s="616">
        <v>0</v>
      </c>
      <c r="GA97" s="616">
        <v>0</v>
      </c>
      <c r="GB97" s="616">
        <v>0</v>
      </c>
      <c r="GC97" s="616">
        <v>1</v>
      </c>
      <c r="GD97" s="616">
        <v>20</v>
      </c>
      <c r="GE97" s="616">
        <v>0</v>
      </c>
      <c r="GF97" s="616">
        <v>21</v>
      </c>
      <c r="GG97" s="616"/>
      <c r="GH97" s="617"/>
      <c r="GI97" s="37"/>
    </row>
    <row r="98" spans="33:191" ht="24.6">
      <c r="AG98" s="4531">
        <v>2</v>
      </c>
      <c r="AH98" s="4531">
        <v>3</v>
      </c>
      <c r="AI98" s="4530" t="s">
        <v>284</v>
      </c>
      <c r="AJ98" s="4530" t="s">
        <v>1071</v>
      </c>
      <c r="AK98" s="4531">
        <v>5</v>
      </c>
      <c r="AL98" s="4531">
        <v>4</v>
      </c>
      <c r="AT98" s="4529">
        <v>1</v>
      </c>
      <c r="AU98" s="4529">
        <v>2</v>
      </c>
      <c r="AV98" s="4530" t="s">
        <v>2066</v>
      </c>
      <c r="AW98" s="4642" t="s">
        <v>2707</v>
      </c>
      <c r="AX98" s="4529">
        <v>3</v>
      </c>
      <c r="AY98" s="4531">
        <v>9</v>
      </c>
      <c r="DY98" s="427"/>
      <c r="DZ98" s="427"/>
      <c r="EA98" s="428"/>
      <c r="EB98" s="429" t="s">
        <v>1072</v>
      </c>
      <c r="EC98" s="430">
        <v>4</v>
      </c>
      <c r="ED98" s="430">
        <v>4</v>
      </c>
      <c r="EE98" s="430">
        <v>8</v>
      </c>
      <c r="EF98" s="430">
        <v>1</v>
      </c>
      <c r="EG98" s="432">
        <v>0</v>
      </c>
      <c r="EH98" s="432">
        <v>17</v>
      </c>
      <c r="EI98" s="36"/>
      <c r="EK98" s="433"/>
      <c r="EL98" s="433"/>
      <c r="EM98" s="434"/>
      <c r="EN98" s="435" t="s">
        <v>1072</v>
      </c>
      <c r="EO98" s="436">
        <v>7</v>
      </c>
      <c r="EP98" s="436">
        <v>3</v>
      </c>
      <c r="EQ98" s="436">
        <v>12</v>
      </c>
      <c r="ER98" s="436">
        <v>3</v>
      </c>
      <c r="ES98" s="439">
        <v>0</v>
      </c>
      <c r="ET98" s="439">
        <v>0</v>
      </c>
      <c r="EU98" s="439">
        <v>25</v>
      </c>
      <c r="EV98" s="440"/>
      <c r="EX98" s="441"/>
      <c r="EY98" s="441"/>
      <c r="FB98" s="119"/>
      <c r="FC98" s="119"/>
      <c r="FD98" s="119"/>
      <c r="FE98" s="119"/>
      <c r="FF98" s="119"/>
      <c r="FG98" s="119"/>
      <c r="FL98" s="95"/>
      <c r="FM98" s="36" t="s">
        <v>1081</v>
      </c>
      <c r="FN98" s="36">
        <v>0</v>
      </c>
      <c r="FO98" s="36">
        <v>0</v>
      </c>
      <c r="FP98" s="36">
        <v>12</v>
      </c>
      <c r="FQ98" s="36">
        <v>20</v>
      </c>
      <c r="FR98" s="36">
        <v>0</v>
      </c>
      <c r="FS98" s="36">
        <v>32</v>
      </c>
      <c r="FU98" s="37"/>
      <c r="FV98" s="616"/>
      <c r="FW98" s="4357"/>
      <c r="FX98" s="616"/>
      <c r="FY98" s="616" t="s">
        <v>1142</v>
      </c>
      <c r="FZ98" s="616">
        <v>0</v>
      </c>
      <c r="GA98" s="616">
        <v>0</v>
      </c>
      <c r="GB98" s="616">
        <v>0</v>
      </c>
      <c r="GC98" s="616">
        <v>5</v>
      </c>
      <c r="GD98" s="616">
        <v>0</v>
      </c>
      <c r="GE98" s="616">
        <v>0</v>
      </c>
      <c r="GF98" s="616">
        <v>5</v>
      </c>
      <c r="GG98" s="616"/>
      <c r="GH98" s="617"/>
      <c r="GI98" s="37"/>
    </row>
    <row r="99" spans="33:191" ht="24.6">
      <c r="AG99" s="4531">
        <v>2</v>
      </c>
      <c r="AH99" s="4531">
        <v>3</v>
      </c>
      <c r="AI99" s="4530" t="s">
        <v>284</v>
      </c>
      <c r="AJ99" s="4530" t="s">
        <v>2709</v>
      </c>
      <c r="AK99" s="4531">
        <v>1</v>
      </c>
      <c r="AL99" s="4531">
        <v>1</v>
      </c>
      <c r="AT99" s="4529">
        <v>1</v>
      </c>
      <c r="AU99" s="4529">
        <v>4</v>
      </c>
      <c r="AV99" s="4530" t="s">
        <v>2059</v>
      </c>
      <c r="AW99" s="4530" t="s">
        <v>2709</v>
      </c>
      <c r="AX99" s="4529">
        <v>2</v>
      </c>
      <c r="AY99" s="4531">
        <v>1</v>
      </c>
      <c r="DY99" s="427"/>
      <c r="DZ99" s="427"/>
      <c r="EA99" s="428"/>
      <c r="EB99" s="429" t="s">
        <v>1074</v>
      </c>
      <c r="EC99" s="430">
        <v>3</v>
      </c>
      <c r="ED99" s="430">
        <v>1</v>
      </c>
      <c r="EE99" s="430">
        <v>0</v>
      </c>
      <c r="EF99" s="430">
        <v>0</v>
      </c>
      <c r="EG99" s="432">
        <v>0</v>
      </c>
      <c r="EH99" s="432">
        <v>4</v>
      </c>
      <c r="EI99" s="36"/>
      <c r="EK99" s="433"/>
      <c r="EL99" s="433"/>
      <c r="EM99" s="434"/>
      <c r="EN99" s="435" t="s">
        <v>1074</v>
      </c>
      <c r="EO99" s="436">
        <v>1</v>
      </c>
      <c r="EP99" s="436">
        <v>2</v>
      </c>
      <c r="EQ99" s="436">
        <v>1</v>
      </c>
      <c r="ER99" s="436">
        <v>0</v>
      </c>
      <c r="ES99" s="439">
        <v>0</v>
      </c>
      <c r="ET99" s="439">
        <v>0</v>
      </c>
      <c r="EU99" s="439">
        <v>4</v>
      </c>
      <c r="EV99" s="440"/>
      <c r="EX99" s="441"/>
      <c r="EZ99" s="441"/>
      <c r="FA99" s="442"/>
      <c r="FB99" s="444"/>
      <c r="FC99" s="444"/>
      <c r="FD99" s="444"/>
      <c r="FE99" s="444"/>
      <c r="FF99" s="444"/>
      <c r="FG99" s="444"/>
      <c r="FL99" s="95"/>
      <c r="FM99" s="36" t="s">
        <v>1142</v>
      </c>
      <c r="FN99" s="36">
        <v>0</v>
      </c>
      <c r="FO99" s="36">
        <v>0</v>
      </c>
      <c r="FP99" s="36">
        <v>5</v>
      </c>
      <c r="FQ99" s="36">
        <v>1</v>
      </c>
      <c r="FR99" s="36">
        <v>0</v>
      </c>
      <c r="FS99" s="36">
        <v>6</v>
      </c>
      <c r="FU99" s="37"/>
      <c r="FV99" s="616"/>
      <c r="FW99" s="4357"/>
      <c r="FX99" s="616"/>
      <c r="FY99" s="627" t="s">
        <v>15</v>
      </c>
      <c r="FZ99" s="627">
        <v>0</v>
      </c>
      <c r="GA99" s="627">
        <v>3</v>
      </c>
      <c r="GB99" s="627">
        <v>5</v>
      </c>
      <c r="GC99" s="627">
        <v>22</v>
      </c>
      <c r="GD99" s="627">
        <v>25</v>
      </c>
      <c r="GE99" s="627">
        <v>10</v>
      </c>
      <c r="GF99" s="627">
        <v>65</v>
      </c>
      <c r="GG99" s="628">
        <f>+(GF98+GF97+GF94)/GF99</f>
        <v>0.44615384615384618</v>
      </c>
      <c r="GH99" s="617">
        <f>+GF94+GF97+GF98</f>
        <v>29</v>
      </c>
      <c r="GI99" s="37"/>
    </row>
    <row r="100" spans="33:191" ht="24.6">
      <c r="AG100" s="4531">
        <v>3</v>
      </c>
      <c r="AH100" s="4531">
        <v>2</v>
      </c>
      <c r="AI100" s="4530" t="s">
        <v>2738</v>
      </c>
      <c r="AJ100" s="4530" t="s">
        <v>2731</v>
      </c>
      <c r="AK100" s="4531">
        <v>1</v>
      </c>
      <c r="AL100" s="4531">
        <v>5</v>
      </c>
      <c r="AT100" s="4529">
        <v>1</v>
      </c>
      <c r="AU100" s="4529">
        <v>4</v>
      </c>
      <c r="AV100" s="4530" t="s">
        <v>2059</v>
      </c>
      <c r="AW100" s="4530" t="s">
        <v>2709</v>
      </c>
      <c r="AX100" s="4529">
        <v>3</v>
      </c>
      <c r="AY100" s="4531">
        <v>1</v>
      </c>
      <c r="DY100" s="427"/>
      <c r="DZ100" s="427"/>
      <c r="EA100" s="428"/>
      <c r="EB100" s="429" t="s">
        <v>1076</v>
      </c>
      <c r="EC100" s="430">
        <v>0</v>
      </c>
      <c r="ED100" s="430">
        <v>0</v>
      </c>
      <c r="EE100" s="430">
        <v>4</v>
      </c>
      <c r="EF100" s="430">
        <v>4</v>
      </c>
      <c r="EG100" s="432">
        <v>0</v>
      </c>
      <c r="EH100" s="432">
        <v>8</v>
      </c>
      <c r="EI100" s="36"/>
      <c r="EK100" s="433"/>
      <c r="EL100" s="433"/>
      <c r="EM100" s="434"/>
      <c r="EN100" s="435" t="s">
        <v>1076</v>
      </c>
      <c r="EO100" s="436">
        <v>0</v>
      </c>
      <c r="EP100" s="436">
        <v>0</v>
      </c>
      <c r="EQ100" s="436">
        <v>40</v>
      </c>
      <c r="ER100" s="436">
        <v>4</v>
      </c>
      <c r="ES100" s="439">
        <v>1</v>
      </c>
      <c r="ET100" s="439">
        <v>1</v>
      </c>
      <c r="EU100" s="439">
        <v>46</v>
      </c>
      <c r="EV100" s="440"/>
      <c r="EX100" s="441"/>
      <c r="EY100" s="441"/>
      <c r="EZ100" s="441"/>
      <c r="FA100" s="442"/>
      <c r="FB100" s="444"/>
      <c r="FC100" s="444"/>
      <c r="FD100" s="444"/>
      <c r="FE100" s="444"/>
      <c r="FF100" s="444"/>
      <c r="FG100" s="444"/>
      <c r="FL100" s="95"/>
      <c r="FM100" s="393" t="s">
        <v>15</v>
      </c>
      <c r="FN100" s="393">
        <v>2</v>
      </c>
      <c r="FO100" s="393">
        <v>7</v>
      </c>
      <c r="FP100" s="393">
        <v>28</v>
      </c>
      <c r="FQ100" s="393">
        <v>29</v>
      </c>
      <c r="FR100" s="393">
        <v>30</v>
      </c>
      <c r="FS100" s="393">
        <v>96</v>
      </c>
      <c r="FT100" s="631">
        <f>+(FS95+FS98+FS99)/FS100</f>
        <v>0.5</v>
      </c>
      <c r="FU100" s="37"/>
      <c r="FV100" s="616"/>
      <c r="FW100" s="4357"/>
      <c r="FX100" s="616" t="s">
        <v>25</v>
      </c>
      <c r="FY100" s="616" t="s">
        <v>1071</v>
      </c>
      <c r="FZ100" s="616">
        <v>0</v>
      </c>
      <c r="GA100" s="616">
        <v>0</v>
      </c>
      <c r="GB100" s="616">
        <v>0</v>
      </c>
      <c r="GC100" s="616">
        <v>0</v>
      </c>
      <c r="GD100" s="616">
        <v>0</v>
      </c>
      <c r="GE100" s="616">
        <v>6</v>
      </c>
      <c r="GF100" s="616">
        <v>6</v>
      </c>
      <c r="GG100" s="616"/>
      <c r="GH100" s="617"/>
      <c r="GI100" s="37"/>
    </row>
    <row r="101" spans="33:191" ht="24.6">
      <c r="AG101" s="4531">
        <v>3</v>
      </c>
      <c r="AH101" s="4531">
        <v>2</v>
      </c>
      <c r="AI101" s="4530" t="s">
        <v>2738</v>
      </c>
      <c r="AJ101" s="4530" t="s">
        <v>1071</v>
      </c>
      <c r="AK101" s="4531">
        <v>18</v>
      </c>
      <c r="AL101" s="4531">
        <v>5</v>
      </c>
      <c r="AT101" s="4529">
        <v>1</v>
      </c>
      <c r="AU101" s="4529">
        <v>4</v>
      </c>
      <c r="AV101" s="4530" t="s">
        <v>2059</v>
      </c>
      <c r="AW101" s="4642" t="s">
        <v>1076</v>
      </c>
      <c r="AX101" s="4529">
        <v>3</v>
      </c>
      <c r="AY101" s="4531">
        <v>1</v>
      </c>
      <c r="DY101" s="427"/>
      <c r="DZ101" s="427"/>
      <c r="EA101" s="428"/>
      <c r="EB101" s="429" t="s">
        <v>1077</v>
      </c>
      <c r="EC101" s="430">
        <v>4</v>
      </c>
      <c r="ED101" s="430">
        <v>1</v>
      </c>
      <c r="EE101" s="430">
        <v>4</v>
      </c>
      <c r="EF101" s="430">
        <v>0</v>
      </c>
      <c r="EG101" s="432">
        <v>1</v>
      </c>
      <c r="EH101" s="432">
        <v>10</v>
      </c>
      <c r="EI101" s="36"/>
      <c r="EK101" s="433"/>
      <c r="EL101" s="433"/>
      <c r="EM101" s="434"/>
      <c r="EN101" s="435" t="s">
        <v>1077</v>
      </c>
      <c r="EO101" s="436">
        <v>0</v>
      </c>
      <c r="EP101" s="436">
        <v>1</v>
      </c>
      <c r="EQ101" s="436">
        <v>0</v>
      </c>
      <c r="ER101" s="436">
        <v>0</v>
      </c>
      <c r="ES101" s="439">
        <v>0</v>
      </c>
      <c r="ET101" s="439">
        <v>1</v>
      </c>
      <c r="EU101" s="439">
        <v>2</v>
      </c>
      <c r="EV101" s="440"/>
      <c r="EX101" s="441"/>
      <c r="EY101" s="441"/>
      <c r="EZ101" s="441" t="s">
        <v>109</v>
      </c>
      <c r="FA101" s="442" t="s">
        <v>1071</v>
      </c>
      <c r="FB101" s="444">
        <v>0</v>
      </c>
      <c r="FC101" s="444">
        <v>0</v>
      </c>
      <c r="FD101" s="444">
        <v>0</v>
      </c>
      <c r="FE101" s="444">
        <v>0</v>
      </c>
      <c r="FF101" s="444">
        <v>8</v>
      </c>
      <c r="FG101" s="444">
        <v>8</v>
      </c>
      <c r="FH101" s="445"/>
      <c r="FL101" s="95" t="s">
        <v>25</v>
      </c>
      <c r="FM101" s="36" t="s">
        <v>1071</v>
      </c>
      <c r="FN101" s="36">
        <v>0</v>
      </c>
      <c r="FO101" s="36">
        <v>1</v>
      </c>
      <c r="FP101" s="36">
        <v>9</v>
      </c>
      <c r="FQ101" s="36">
        <v>0</v>
      </c>
      <c r="FR101" s="36">
        <v>4</v>
      </c>
      <c r="FS101" s="36">
        <v>14</v>
      </c>
      <c r="FT101" s="4369"/>
      <c r="FU101" s="37"/>
      <c r="FV101" s="616"/>
      <c r="FW101" s="4357"/>
      <c r="FX101" s="616"/>
      <c r="FY101" s="616" t="s">
        <v>1072</v>
      </c>
      <c r="FZ101" s="616">
        <v>0</v>
      </c>
      <c r="GA101" s="616">
        <v>3</v>
      </c>
      <c r="GB101" s="616">
        <v>28</v>
      </c>
      <c r="GC101" s="616">
        <v>67</v>
      </c>
      <c r="GD101" s="616">
        <v>0</v>
      </c>
      <c r="GE101" s="616">
        <v>0</v>
      </c>
      <c r="GF101" s="616">
        <v>98</v>
      </c>
      <c r="GG101" s="616"/>
      <c r="GH101" s="617"/>
      <c r="GI101" s="37"/>
    </row>
    <row r="102" spans="33:191" ht="24.6">
      <c r="AG102" s="4531">
        <v>3</v>
      </c>
      <c r="AH102" s="4531">
        <v>2</v>
      </c>
      <c r="AI102" s="4530" t="s">
        <v>2738</v>
      </c>
      <c r="AJ102" s="4530" t="s">
        <v>2709</v>
      </c>
      <c r="AK102" s="4531">
        <v>1</v>
      </c>
      <c r="AL102" s="4531">
        <v>4</v>
      </c>
      <c r="AT102" s="4529">
        <v>1</v>
      </c>
      <c r="AU102" s="4529">
        <v>4</v>
      </c>
      <c r="AV102" s="4530" t="s">
        <v>2059</v>
      </c>
      <c r="AW102" s="4642" t="s">
        <v>2707</v>
      </c>
      <c r="AX102" s="4529">
        <v>3</v>
      </c>
      <c r="AY102" s="4531">
        <v>3</v>
      </c>
      <c r="DY102" s="427"/>
      <c r="DZ102" s="427"/>
      <c r="EA102" s="428"/>
      <c r="EB102" s="429" t="s">
        <v>1080</v>
      </c>
      <c r="EC102" s="430">
        <v>0</v>
      </c>
      <c r="ED102" s="430">
        <v>0</v>
      </c>
      <c r="EE102" s="430">
        <v>0</v>
      </c>
      <c r="EF102" s="430">
        <v>0</v>
      </c>
      <c r="EG102" s="432">
        <v>1</v>
      </c>
      <c r="EH102" s="432">
        <v>1</v>
      </c>
      <c r="EI102" s="36"/>
      <c r="EK102" s="433"/>
      <c r="EL102" s="433"/>
      <c r="EM102" s="434"/>
      <c r="EN102" s="435"/>
      <c r="EO102" s="436"/>
      <c r="EP102" s="436"/>
      <c r="EQ102" s="436"/>
      <c r="ER102" s="436"/>
      <c r="ES102" s="439"/>
      <c r="ET102" s="439"/>
      <c r="EU102" s="439"/>
      <c r="EV102" s="440"/>
      <c r="EX102" s="441"/>
      <c r="EY102" s="441"/>
      <c r="EZ102" s="441"/>
      <c r="FA102" s="442" t="s">
        <v>1072</v>
      </c>
      <c r="FB102" s="444">
        <v>6</v>
      </c>
      <c r="FC102" s="444">
        <v>1</v>
      </c>
      <c r="FD102" s="444">
        <v>8</v>
      </c>
      <c r="FE102" s="444">
        <v>4</v>
      </c>
      <c r="FF102" s="444">
        <v>0</v>
      </c>
      <c r="FG102" s="444">
        <v>19</v>
      </c>
      <c r="FH102" s="445"/>
      <c r="FL102" s="95"/>
      <c r="FM102" s="36" t="s">
        <v>1072</v>
      </c>
      <c r="FN102" s="36">
        <v>11</v>
      </c>
      <c r="FO102" s="36">
        <v>2</v>
      </c>
      <c r="FP102" s="36">
        <v>34</v>
      </c>
      <c r="FQ102" s="36">
        <v>0</v>
      </c>
      <c r="FR102" s="36">
        <v>0</v>
      </c>
      <c r="FS102" s="36">
        <v>47</v>
      </c>
      <c r="FT102" s="4369"/>
      <c r="FU102" s="37"/>
      <c r="FV102" s="616"/>
      <c r="FW102" s="4357"/>
      <c r="FX102" s="616"/>
      <c r="FY102" s="616" t="s">
        <v>1076</v>
      </c>
      <c r="FZ102" s="616">
        <v>0</v>
      </c>
      <c r="GA102" s="616">
        <v>0</v>
      </c>
      <c r="GB102" s="616">
        <v>0</v>
      </c>
      <c r="GC102" s="616">
        <v>8</v>
      </c>
      <c r="GD102" s="616">
        <v>8</v>
      </c>
      <c r="GE102" s="616">
        <v>0</v>
      </c>
      <c r="GF102" s="616">
        <v>16</v>
      </c>
      <c r="GG102" s="616"/>
      <c r="GH102" s="617"/>
      <c r="GI102" s="37"/>
    </row>
    <row r="103" spans="33:191">
      <c r="AG103" s="4531" t="s">
        <v>2613</v>
      </c>
      <c r="AH103" s="4531" t="s">
        <v>2613</v>
      </c>
      <c r="AI103" s="4531" t="s">
        <v>2613</v>
      </c>
      <c r="AJ103" s="4531" t="s">
        <v>2613</v>
      </c>
      <c r="AK103" s="4531" t="s">
        <v>2768</v>
      </c>
      <c r="AL103" s="4531" t="s">
        <v>2613</v>
      </c>
      <c r="AT103" s="4529">
        <v>1</v>
      </c>
      <c r="AU103" s="4529">
        <v>4</v>
      </c>
      <c r="AV103" s="4530" t="s">
        <v>1454</v>
      </c>
      <c r="AW103" s="4642" t="s">
        <v>1076</v>
      </c>
      <c r="AX103" s="4529">
        <v>3</v>
      </c>
      <c r="AY103" s="4531">
        <v>3</v>
      </c>
      <c r="DY103" s="427"/>
      <c r="DZ103" s="427"/>
      <c r="EA103" s="428"/>
      <c r="EB103" s="429" t="s">
        <v>1081</v>
      </c>
      <c r="EC103" s="430">
        <v>0</v>
      </c>
      <c r="ED103" s="430">
        <v>0</v>
      </c>
      <c r="EE103" s="430">
        <v>19</v>
      </c>
      <c r="EF103" s="430">
        <v>25</v>
      </c>
      <c r="EG103" s="432">
        <v>1</v>
      </c>
      <c r="EH103" s="432">
        <v>45</v>
      </c>
      <c r="EI103" s="36"/>
      <c r="EK103" s="433"/>
      <c r="EL103" s="433"/>
      <c r="EM103" s="434"/>
      <c r="EN103" s="435" t="s">
        <v>1081</v>
      </c>
      <c r="EO103" s="436">
        <v>0</v>
      </c>
      <c r="EP103" s="436">
        <v>0</v>
      </c>
      <c r="EQ103" s="436">
        <v>15</v>
      </c>
      <c r="ER103" s="436">
        <v>0</v>
      </c>
      <c r="ES103" s="439">
        <v>0</v>
      </c>
      <c r="ET103" s="439">
        <v>0</v>
      </c>
      <c r="EU103" s="439">
        <v>15</v>
      </c>
      <c r="EV103" s="440"/>
      <c r="EX103" s="441"/>
      <c r="EY103" s="441"/>
      <c r="EZ103" s="441"/>
      <c r="FA103" s="442" t="s">
        <v>1076</v>
      </c>
      <c r="FB103" s="444">
        <v>0</v>
      </c>
      <c r="FC103" s="444">
        <v>0</v>
      </c>
      <c r="FD103" s="444">
        <v>58</v>
      </c>
      <c r="FE103" s="444">
        <v>5</v>
      </c>
      <c r="FF103" s="444">
        <v>0</v>
      </c>
      <c r="FG103" s="444">
        <v>63</v>
      </c>
      <c r="FH103" s="445"/>
      <c r="FL103" s="95"/>
      <c r="FM103" s="36" t="s">
        <v>1074</v>
      </c>
      <c r="FN103" s="36">
        <v>0</v>
      </c>
      <c r="FO103" s="36">
        <v>1</v>
      </c>
      <c r="FP103" s="36">
        <v>0</v>
      </c>
      <c r="FQ103" s="36">
        <v>0</v>
      </c>
      <c r="FR103" s="36">
        <v>0</v>
      </c>
      <c r="FS103" s="36">
        <v>1</v>
      </c>
      <c r="FT103" s="4369"/>
      <c r="FU103" s="37"/>
      <c r="FV103" s="616"/>
      <c r="FW103" s="4357"/>
      <c r="FX103" s="616"/>
      <c r="FY103" s="616" t="s">
        <v>1077</v>
      </c>
      <c r="FZ103" s="616">
        <v>0</v>
      </c>
      <c r="GA103" s="616">
        <v>0</v>
      </c>
      <c r="GB103" s="616">
        <v>3</v>
      </c>
      <c r="GC103" s="616">
        <v>1</v>
      </c>
      <c r="GD103" s="616">
        <v>0</v>
      </c>
      <c r="GE103" s="616">
        <v>0</v>
      </c>
      <c r="GF103" s="616">
        <v>4</v>
      </c>
      <c r="GG103" s="616"/>
      <c r="GH103" s="617"/>
      <c r="GI103" s="37"/>
    </row>
    <row r="104" spans="33:191" ht="24.6">
      <c r="AG104" s="4531">
        <v>2</v>
      </c>
      <c r="AH104" s="4531">
        <v>3</v>
      </c>
      <c r="AI104" s="4530" t="s">
        <v>283</v>
      </c>
      <c r="AJ104" s="4642" t="s">
        <v>2769</v>
      </c>
      <c r="AK104" s="4531">
        <v>1</v>
      </c>
      <c r="AL104" s="4531">
        <v>3</v>
      </c>
      <c r="AT104" s="4529">
        <v>1</v>
      </c>
      <c r="AU104" s="4529">
        <v>4</v>
      </c>
      <c r="AV104" s="4530" t="s">
        <v>1454</v>
      </c>
      <c r="AW104" s="4642" t="s">
        <v>2707</v>
      </c>
      <c r="AX104" s="4529">
        <v>3</v>
      </c>
      <c r="AY104" s="4531">
        <v>4</v>
      </c>
      <c r="DY104" s="427"/>
      <c r="DZ104" s="427"/>
      <c r="EA104" s="428"/>
      <c r="EB104" s="429" t="s">
        <v>1142</v>
      </c>
      <c r="EC104" s="430">
        <v>0</v>
      </c>
      <c r="ED104" s="430">
        <v>0</v>
      </c>
      <c r="EE104" s="430">
        <v>30</v>
      </c>
      <c r="EF104" s="430">
        <v>8</v>
      </c>
      <c r="EG104" s="432">
        <v>0</v>
      </c>
      <c r="EH104" s="432">
        <v>38</v>
      </c>
      <c r="EI104" s="36"/>
      <c r="EK104" s="433"/>
      <c r="EL104" s="433"/>
      <c r="EM104" s="434"/>
      <c r="EN104" s="435" t="s">
        <v>1142</v>
      </c>
      <c r="EO104" s="436">
        <v>0</v>
      </c>
      <c r="EP104" s="436">
        <v>0</v>
      </c>
      <c r="EQ104" s="436">
        <v>12</v>
      </c>
      <c r="ER104" s="436">
        <v>3</v>
      </c>
      <c r="ES104" s="439">
        <v>1</v>
      </c>
      <c r="ET104" s="439">
        <v>0</v>
      </c>
      <c r="EU104" s="439">
        <v>16</v>
      </c>
      <c r="EV104" s="440"/>
      <c r="EX104" s="441"/>
      <c r="EY104" s="441"/>
      <c r="EZ104" s="441"/>
      <c r="FA104" s="442" t="s">
        <v>1077</v>
      </c>
      <c r="FB104" s="444">
        <v>5</v>
      </c>
      <c r="FC104" s="444">
        <v>3</v>
      </c>
      <c r="FD104" s="444">
        <v>5</v>
      </c>
      <c r="FE104" s="444">
        <v>0</v>
      </c>
      <c r="FF104" s="444">
        <v>0</v>
      </c>
      <c r="FG104" s="444">
        <v>13</v>
      </c>
      <c r="FH104" s="445"/>
      <c r="FL104" s="95"/>
      <c r="FM104" s="36" t="s">
        <v>1076</v>
      </c>
      <c r="FN104" s="36">
        <v>0</v>
      </c>
      <c r="FO104" s="36">
        <v>0</v>
      </c>
      <c r="FP104" s="36">
        <v>38</v>
      </c>
      <c r="FQ104" s="36">
        <v>8</v>
      </c>
      <c r="FR104" s="36">
        <v>0</v>
      </c>
      <c r="FS104" s="36">
        <v>46</v>
      </c>
      <c r="FT104" s="4369"/>
      <c r="FU104" s="37"/>
      <c r="FV104" s="616"/>
      <c r="FW104" s="4357"/>
      <c r="FX104" s="616"/>
      <c r="FY104" s="616" t="s">
        <v>1080</v>
      </c>
      <c r="FZ104" s="616">
        <v>0</v>
      </c>
      <c r="GA104" s="616">
        <v>0</v>
      </c>
      <c r="GB104" s="616">
        <v>0</v>
      </c>
      <c r="GC104" s="616">
        <v>0</v>
      </c>
      <c r="GD104" s="616">
        <v>0</v>
      </c>
      <c r="GE104" s="616">
        <v>1</v>
      </c>
      <c r="GF104" s="616">
        <v>1</v>
      </c>
      <c r="GG104" s="616"/>
      <c r="GH104" s="617"/>
      <c r="GI104" s="37"/>
    </row>
    <row r="105" spans="33:191" ht="15" thickBot="1">
      <c r="AG105" s="4531">
        <v>2</v>
      </c>
      <c r="AH105" s="4531">
        <v>3</v>
      </c>
      <c r="AI105" s="4530" t="s">
        <v>283</v>
      </c>
      <c r="AJ105" s="4642" t="s">
        <v>1076</v>
      </c>
      <c r="AK105" s="4531">
        <v>2</v>
      </c>
      <c r="AL105" s="4531">
        <v>5</v>
      </c>
      <c r="AT105" s="4529">
        <v>2</v>
      </c>
      <c r="AU105" s="4529">
        <v>1</v>
      </c>
      <c r="AV105" s="4530" t="s">
        <v>1617</v>
      </c>
      <c r="AW105" s="4530" t="s">
        <v>2731</v>
      </c>
      <c r="AX105" s="4529">
        <v>6</v>
      </c>
      <c r="AY105" s="4531">
        <v>1</v>
      </c>
      <c r="DY105" s="417"/>
      <c r="DZ105" s="417"/>
      <c r="EA105" s="501"/>
      <c r="EB105" s="501" t="s">
        <v>112</v>
      </c>
      <c r="EC105" s="502">
        <v>11</v>
      </c>
      <c r="ED105" s="502">
        <v>6</v>
      </c>
      <c r="EE105" s="502">
        <v>65</v>
      </c>
      <c r="EF105" s="502">
        <v>39</v>
      </c>
      <c r="EG105" s="503">
        <v>25</v>
      </c>
      <c r="EH105" s="503">
        <v>146</v>
      </c>
      <c r="EI105" s="504">
        <f>+(EH100+EH103+EH104-EG103)/EH105</f>
        <v>0.61643835616438358</v>
      </c>
      <c r="EK105" s="493"/>
      <c r="EL105" s="493"/>
      <c r="EM105" s="494"/>
      <c r="EN105" s="495" t="s">
        <v>112</v>
      </c>
      <c r="EO105" s="496">
        <v>8</v>
      </c>
      <c r="EP105" s="496">
        <v>6</v>
      </c>
      <c r="EQ105" s="496">
        <v>80</v>
      </c>
      <c r="ER105" s="496">
        <v>10</v>
      </c>
      <c r="ES105" s="497">
        <v>41</v>
      </c>
      <c r="ET105" s="497">
        <v>2</v>
      </c>
      <c r="EU105" s="497">
        <v>147</v>
      </c>
      <c r="EV105" s="498">
        <f>+(EU104+EU103+EU100-ES104-ET100-ES100)/EU105</f>
        <v>0.50340136054421769</v>
      </c>
      <c r="EX105" s="441"/>
      <c r="EY105" s="441"/>
      <c r="EZ105" s="441"/>
      <c r="FA105" s="442" t="s">
        <v>1081</v>
      </c>
      <c r="FB105" s="444">
        <v>0</v>
      </c>
      <c r="FC105" s="444">
        <v>0</v>
      </c>
      <c r="FD105" s="444">
        <v>1</v>
      </c>
      <c r="FE105" s="444">
        <v>0</v>
      </c>
      <c r="FF105" s="444">
        <v>0</v>
      </c>
      <c r="FG105" s="444">
        <v>1</v>
      </c>
      <c r="FH105" s="445"/>
      <c r="FL105" s="95"/>
      <c r="FM105" s="36" t="s">
        <v>1077</v>
      </c>
      <c r="FN105" s="36">
        <v>0</v>
      </c>
      <c r="FO105" s="36">
        <v>4</v>
      </c>
      <c r="FP105" s="36">
        <v>1</v>
      </c>
      <c r="FQ105" s="36">
        <v>0</v>
      </c>
      <c r="FR105" s="36">
        <v>0</v>
      </c>
      <c r="FS105" s="36">
        <v>5</v>
      </c>
      <c r="FT105" s="4369"/>
      <c r="FU105" s="37"/>
      <c r="FV105" s="616"/>
      <c r="FW105" s="4357"/>
      <c r="FX105" s="616"/>
      <c r="FY105" s="616" t="s">
        <v>1081</v>
      </c>
      <c r="FZ105" s="616">
        <v>0</v>
      </c>
      <c r="GA105" s="616">
        <v>0</v>
      </c>
      <c r="GB105" s="616">
        <v>0</v>
      </c>
      <c r="GC105" s="616">
        <v>5</v>
      </c>
      <c r="GD105" s="616">
        <v>7</v>
      </c>
      <c r="GE105" s="616">
        <v>0</v>
      </c>
      <c r="GF105" s="616">
        <v>12</v>
      </c>
      <c r="GG105" s="616"/>
      <c r="GH105" s="617"/>
      <c r="GI105" s="37"/>
    </row>
    <row r="106" spans="33:191">
      <c r="AG106" s="4531">
        <v>2</v>
      </c>
      <c r="AH106" s="4531">
        <v>3</v>
      </c>
      <c r="AI106" s="4530" t="s">
        <v>283</v>
      </c>
      <c r="AJ106" s="4530" t="s">
        <v>2709</v>
      </c>
      <c r="AK106" s="4531">
        <v>1</v>
      </c>
      <c r="AL106" s="4531">
        <v>6</v>
      </c>
      <c r="AT106" s="4529">
        <v>2</v>
      </c>
      <c r="AU106" s="4529">
        <v>2</v>
      </c>
      <c r="AV106" s="4530" t="s">
        <v>2725</v>
      </c>
      <c r="AW106" s="4530" t="s">
        <v>2709</v>
      </c>
      <c r="AX106" s="4529">
        <v>1</v>
      </c>
      <c r="AY106" s="4531">
        <v>2</v>
      </c>
      <c r="DY106" s="39" t="s">
        <v>707</v>
      </c>
      <c r="DZ106" s="1"/>
      <c r="EA106" s="1"/>
      <c r="EB106" s="1"/>
      <c r="EC106" s="157"/>
      <c r="ED106" s="157"/>
      <c r="EE106" s="157"/>
      <c r="EF106" s="157"/>
      <c r="EG106" s="157"/>
      <c r="EH106" s="157"/>
      <c r="EK106" s="36"/>
      <c r="EL106" s="36"/>
      <c r="EM106" s="36"/>
      <c r="EN106" s="36"/>
      <c r="EO106" s="36"/>
      <c r="EP106" s="36"/>
      <c r="EQ106" s="36"/>
      <c r="ER106" s="36"/>
      <c r="ES106" s="36"/>
      <c r="ET106" s="36"/>
      <c r="EU106" s="36"/>
      <c r="EV106" s="36"/>
      <c r="EX106" s="441"/>
      <c r="EY106" s="441"/>
      <c r="EZ106" s="441"/>
      <c r="FA106" s="442" t="s">
        <v>1142</v>
      </c>
      <c r="FB106" s="444">
        <v>0</v>
      </c>
      <c r="FC106" s="444">
        <v>0</v>
      </c>
      <c r="FD106" s="444">
        <v>2</v>
      </c>
      <c r="FE106" s="444">
        <v>1</v>
      </c>
      <c r="FF106" s="444">
        <v>0</v>
      </c>
      <c r="FG106" s="444">
        <v>3</v>
      </c>
      <c r="FH106" s="445"/>
      <c r="FL106" s="95"/>
      <c r="FM106" s="36" t="s">
        <v>1081</v>
      </c>
      <c r="FN106" s="36">
        <v>0</v>
      </c>
      <c r="FO106" s="36">
        <v>0</v>
      </c>
      <c r="FP106" s="36">
        <v>1</v>
      </c>
      <c r="FQ106" s="36">
        <v>0</v>
      </c>
      <c r="FR106" s="36">
        <v>0</v>
      </c>
      <c r="FS106" s="36">
        <v>1</v>
      </c>
      <c r="FT106" s="4369"/>
      <c r="FU106" s="37"/>
      <c r="FV106" s="616"/>
      <c r="FW106" s="4357"/>
      <c r="FX106" s="616"/>
      <c r="FY106" s="616" t="s">
        <v>1142</v>
      </c>
      <c r="FZ106" s="616">
        <v>0</v>
      </c>
      <c r="GA106" s="616">
        <v>0</v>
      </c>
      <c r="GB106" s="616">
        <v>0</v>
      </c>
      <c r="GC106" s="616">
        <v>0</v>
      </c>
      <c r="GD106" s="616">
        <v>2</v>
      </c>
      <c r="GE106" s="616">
        <v>0</v>
      </c>
      <c r="GF106" s="616">
        <v>2</v>
      </c>
      <c r="GG106" s="616"/>
      <c r="GH106" s="617"/>
      <c r="GI106" s="37"/>
    </row>
    <row r="107" spans="33:191" ht="24.6">
      <c r="AG107" s="4531">
        <v>2</v>
      </c>
      <c r="AH107" s="4531">
        <v>3</v>
      </c>
      <c r="AI107" s="4530" t="s">
        <v>284</v>
      </c>
      <c r="AJ107" s="4530" t="s">
        <v>2709</v>
      </c>
      <c r="AK107" s="4531">
        <v>1</v>
      </c>
      <c r="AL107" s="4531">
        <v>1</v>
      </c>
      <c r="AT107" s="4529">
        <v>2</v>
      </c>
      <c r="AU107" s="4529">
        <v>2</v>
      </c>
      <c r="AV107" s="4530" t="s">
        <v>2725</v>
      </c>
      <c r="AW107" s="4530" t="s">
        <v>2703</v>
      </c>
      <c r="AX107" s="4529">
        <v>1</v>
      </c>
      <c r="AY107" s="4531">
        <v>2</v>
      </c>
      <c r="DY107" s="505" t="s">
        <v>721</v>
      </c>
      <c r="DZ107" s="1"/>
      <c r="EA107" s="1"/>
      <c r="EB107" s="1"/>
      <c r="EC107" s="506"/>
      <c r="ED107" s="506"/>
      <c r="EE107" s="506"/>
      <c r="EF107" s="506"/>
      <c r="EG107" s="506"/>
      <c r="EH107" s="506"/>
      <c r="EK107" s="393" t="s">
        <v>1148</v>
      </c>
      <c r="EL107" s="36"/>
      <c r="EM107" s="36"/>
      <c r="EN107" s="36"/>
      <c r="EO107" s="36"/>
      <c r="EP107" s="36"/>
      <c r="EQ107" s="36"/>
      <c r="ER107" s="36"/>
      <c r="ES107" s="36"/>
      <c r="ET107" s="36"/>
      <c r="EU107" s="36"/>
      <c r="EV107" s="36"/>
      <c r="EX107" s="441"/>
      <c r="EY107" s="441"/>
      <c r="EZ107" s="441"/>
      <c r="FA107" s="462" t="s">
        <v>109</v>
      </c>
      <c r="FB107" s="464">
        <v>11</v>
      </c>
      <c r="FC107" s="464">
        <v>4</v>
      </c>
      <c r="FD107" s="464">
        <v>74</v>
      </c>
      <c r="FE107" s="464">
        <v>10</v>
      </c>
      <c r="FF107" s="464">
        <v>8</v>
      </c>
      <c r="FG107" s="464">
        <v>107</v>
      </c>
      <c r="FH107" s="465">
        <f>+(FG106+FG105+FG103)/FG107</f>
        <v>0.62616822429906538</v>
      </c>
      <c r="FL107" s="95"/>
      <c r="FM107" s="36" t="s">
        <v>1142</v>
      </c>
      <c r="FN107" s="36">
        <v>0</v>
      </c>
      <c r="FO107" s="36">
        <v>0</v>
      </c>
      <c r="FP107" s="36">
        <v>0</v>
      </c>
      <c r="FQ107" s="36">
        <v>1</v>
      </c>
      <c r="FR107" s="36">
        <v>1</v>
      </c>
      <c r="FS107" s="36">
        <v>2</v>
      </c>
      <c r="FT107" s="4369"/>
      <c r="FU107" s="37"/>
      <c r="FV107" s="616"/>
      <c r="FW107" s="4357"/>
      <c r="FX107" s="616"/>
      <c r="FY107" s="627" t="s">
        <v>15</v>
      </c>
      <c r="FZ107" s="627">
        <v>0</v>
      </c>
      <c r="GA107" s="627">
        <v>3</v>
      </c>
      <c r="GB107" s="627">
        <v>31</v>
      </c>
      <c r="GC107" s="627">
        <v>81</v>
      </c>
      <c r="GD107" s="627">
        <v>17</v>
      </c>
      <c r="GE107" s="627">
        <v>7</v>
      </c>
      <c r="GF107" s="627">
        <v>139</v>
      </c>
      <c r="GG107" s="628">
        <f>+(GF106+GF105+GF102)/GF107</f>
        <v>0.21582733812949639</v>
      </c>
      <c r="GH107" s="617">
        <f>+GF102+GF105+GF106</f>
        <v>30</v>
      </c>
      <c r="GI107" s="37"/>
    </row>
    <row r="108" spans="33:191" ht="24.6">
      <c r="AG108" s="4531">
        <v>2</v>
      </c>
      <c r="AH108" s="4531">
        <v>3</v>
      </c>
      <c r="AI108" s="4530" t="s">
        <v>284</v>
      </c>
      <c r="AJ108" s="4530" t="s">
        <v>2709</v>
      </c>
      <c r="AK108" s="4531">
        <v>1</v>
      </c>
      <c r="AL108" s="4531">
        <v>3</v>
      </c>
      <c r="AT108" s="4529">
        <v>2</v>
      </c>
      <c r="AU108" s="4529">
        <v>2</v>
      </c>
      <c r="AV108" s="4530" t="s">
        <v>2725</v>
      </c>
      <c r="AW108" s="4530" t="s">
        <v>2709</v>
      </c>
      <c r="AX108" s="4529">
        <v>2</v>
      </c>
      <c r="AY108" s="4531">
        <v>2</v>
      </c>
      <c r="DY108" s="1"/>
      <c r="DZ108" s="1"/>
      <c r="EA108" s="1"/>
      <c r="EB108" s="1"/>
      <c r="EC108" s="1"/>
      <c r="ED108" s="1"/>
      <c r="EE108" s="1"/>
      <c r="EF108" s="1"/>
      <c r="EG108" s="1"/>
      <c r="EH108" s="1"/>
      <c r="EX108" s="441"/>
      <c r="EY108" s="441"/>
      <c r="EZ108" s="441"/>
      <c r="FA108" s="442"/>
      <c r="FB108" s="444"/>
      <c r="FC108" s="444"/>
      <c r="FD108" s="444"/>
      <c r="FE108" s="444"/>
      <c r="FF108" s="444"/>
      <c r="FG108" s="444"/>
      <c r="FL108" s="95"/>
      <c r="FM108" s="393" t="s">
        <v>15</v>
      </c>
      <c r="FN108" s="393">
        <v>11</v>
      </c>
      <c r="FO108" s="393">
        <v>8</v>
      </c>
      <c r="FP108" s="393">
        <v>83</v>
      </c>
      <c r="FQ108" s="393">
        <v>9</v>
      </c>
      <c r="FR108" s="393">
        <v>5</v>
      </c>
      <c r="FS108" s="393">
        <v>116</v>
      </c>
      <c r="FT108" s="631">
        <f>(FS107+FS106+FS104-FR107)/FS108</f>
        <v>0.41379310344827586</v>
      </c>
      <c r="FU108" s="37"/>
      <c r="FV108" s="616"/>
      <c r="FW108" s="4357"/>
      <c r="FX108" s="616" t="s">
        <v>48</v>
      </c>
      <c r="FY108" s="616" t="s">
        <v>1071</v>
      </c>
      <c r="FZ108" s="616">
        <v>0</v>
      </c>
      <c r="GA108" s="616">
        <v>0</v>
      </c>
      <c r="GB108" s="616">
        <v>0</v>
      </c>
      <c r="GC108" s="616">
        <v>0</v>
      </c>
      <c r="GD108" s="616">
        <v>3</v>
      </c>
      <c r="GE108" s="616">
        <v>11</v>
      </c>
      <c r="GF108" s="616">
        <v>14</v>
      </c>
      <c r="GG108" s="616"/>
      <c r="GH108" s="617"/>
      <c r="GI108" s="37"/>
    </row>
    <row r="109" spans="33:191" ht="24.6">
      <c r="AG109" s="4531">
        <v>2</v>
      </c>
      <c r="AH109" s="4531">
        <v>3</v>
      </c>
      <c r="AI109" s="4530" t="s">
        <v>284</v>
      </c>
      <c r="AJ109" s="4530" t="s">
        <v>2709</v>
      </c>
      <c r="AK109" s="4531">
        <v>1</v>
      </c>
      <c r="AL109" s="4531">
        <v>6</v>
      </c>
      <c r="AT109" s="4529">
        <v>2</v>
      </c>
      <c r="AU109" s="4529">
        <v>2</v>
      </c>
      <c r="AV109" s="4530" t="s">
        <v>2725</v>
      </c>
      <c r="AW109" s="4530" t="s">
        <v>2703</v>
      </c>
      <c r="AX109" s="4529">
        <v>2</v>
      </c>
      <c r="AY109" s="4531">
        <v>1</v>
      </c>
      <c r="DY109" s="1"/>
      <c r="DZ109" s="1"/>
      <c r="EA109" s="1"/>
      <c r="EB109" s="1"/>
      <c r="EC109" s="1"/>
      <c r="ED109" s="1"/>
      <c r="EE109" s="1"/>
      <c r="EF109" s="1"/>
      <c r="EG109" s="1"/>
      <c r="EH109" s="1"/>
      <c r="EX109" s="441"/>
      <c r="EY109" s="441"/>
      <c r="EZ109" s="441" t="s">
        <v>412</v>
      </c>
      <c r="FA109" s="442" t="s">
        <v>1071</v>
      </c>
      <c r="FB109" s="444">
        <v>0</v>
      </c>
      <c r="FC109" s="443"/>
      <c r="FD109" s="444">
        <v>0</v>
      </c>
      <c r="FE109" s="444">
        <v>0</v>
      </c>
      <c r="FF109" s="444">
        <v>45</v>
      </c>
      <c r="FG109" s="444">
        <v>45</v>
      </c>
      <c r="FH109" s="445"/>
      <c r="FL109" s="95" t="s">
        <v>48</v>
      </c>
      <c r="FM109" s="36" t="s">
        <v>1072</v>
      </c>
      <c r="FP109" s="36">
        <v>7</v>
      </c>
      <c r="FQ109" s="36">
        <v>0</v>
      </c>
      <c r="FS109" s="36">
        <v>7</v>
      </c>
      <c r="FT109" s="4369"/>
      <c r="FU109" s="37"/>
      <c r="FV109" s="616"/>
      <c r="FW109" s="4357"/>
      <c r="FX109" s="616"/>
      <c r="FY109" s="616" t="s">
        <v>1072</v>
      </c>
      <c r="FZ109" s="616">
        <v>2</v>
      </c>
      <c r="GA109" s="616">
        <v>0</v>
      </c>
      <c r="GB109" s="616">
        <v>0</v>
      </c>
      <c r="GC109" s="616">
        <v>0</v>
      </c>
      <c r="GD109" s="616">
        <v>0</v>
      </c>
      <c r="GE109" s="616">
        <v>0</v>
      </c>
      <c r="GF109" s="616">
        <v>2</v>
      </c>
      <c r="GG109" s="616"/>
      <c r="GH109" s="617"/>
      <c r="GI109" s="37"/>
    </row>
    <row r="110" spans="33:191" ht="24.6">
      <c r="AG110" s="4531">
        <v>4</v>
      </c>
      <c r="AH110" s="4531">
        <v>6</v>
      </c>
      <c r="AI110" s="4530" t="s">
        <v>609</v>
      </c>
      <c r="AJ110" s="4642" t="s">
        <v>2769</v>
      </c>
      <c r="AK110" s="4531">
        <v>1</v>
      </c>
      <c r="AL110" s="4531">
        <v>3</v>
      </c>
      <c r="AT110" s="4529">
        <v>2</v>
      </c>
      <c r="AU110" s="4529">
        <v>2</v>
      </c>
      <c r="AV110" s="4530" t="s">
        <v>2725</v>
      </c>
      <c r="AW110" s="4530" t="s">
        <v>2709</v>
      </c>
      <c r="AX110" s="4529">
        <v>3</v>
      </c>
      <c r="AY110" s="4531">
        <v>7</v>
      </c>
      <c r="DY110" s="1"/>
      <c r="DZ110" s="1"/>
      <c r="EA110" s="1"/>
      <c r="EB110" s="1"/>
      <c r="EC110" s="1"/>
      <c r="ED110" s="1"/>
      <c r="EE110" s="1"/>
      <c r="EF110" s="1"/>
      <c r="EG110" s="1"/>
      <c r="EH110" s="1"/>
      <c r="EX110" s="441"/>
      <c r="EY110" s="441"/>
      <c r="EZ110" s="441"/>
      <c r="FA110" s="442" t="s">
        <v>1072</v>
      </c>
      <c r="FB110" s="444">
        <v>1</v>
      </c>
      <c r="FC110" s="443"/>
      <c r="FD110" s="444">
        <v>1</v>
      </c>
      <c r="FE110" s="444">
        <v>11</v>
      </c>
      <c r="FF110" s="444">
        <v>0</v>
      </c>
      <c r="FG110" s="444">
        <v>13</v>
      </c>
      <c r="FH110" s="445"/>
      <c r="FL110" s="95"/>
      <c r="FM110" s="36" t="s">
        <v>1076</v>
      </c>
      <c r="FP110" s="36">
        <v>0</v>
      </c>
      <c r="FQ110" s="36">
        <v>2</v>
      </c>
      <c r="FS110" s="36">
        <v>2</v>
      </c>
      <c r="FT110" s="4369"/>
      <c r="FU110" s="37"/>
      <c r="FV110" s="616"/>
      <c r="FW110" s="4357"/>
      <c r="FX110" s="616"/>
      <c r="FY110" s="616" t="s">
        <v>1074</v>
      </c>
      <c r="FZ110" s="616">
        <v>0</v>
      </c>
      <c r="GA110" s="616">
        <v>0</v>
      </c>
      <c r="GB110" s="616">
        <v>1</v>
      </c>
      <c r="GC110" s="616">
        <v>0</v>
      </c>
      <c r="GD110" s="616">
        <v>0</v>
      </c>
      <c r="GE110" s="616">
        <v>0</v>
      </c>
      <c r="GF110" s="616">
        <v>1</v>
      </c>
      <c r="GG110" s="616"/>
      <c r="GH110" s="617"/>
      <c r="GI110" s="37"/>
    </row>
    <row r="111" spans="33:191" ht="24.6">
      <c r="AG111" s="4531">
        <v>4</v>
      </c>
      <c r="AH111" s="4531">
        <v>6</v>
      </c>
      <c r="AI111" s="4530" t="s">
        <v>609</v>
      </c>
      <c r="AJ111" s="4642" t="s">
        <v>2707</v>
      </c>
      <c r="AK111" s="4531">
        <v>1</v>
      </c>
      <c r="AL111" s="4531">
        <v>3</v>
      </c>
      <c r="AT111" s="4529">
        <v>2</v>
      </c>
      <c r="AU111" s="4529">
        <v>2</v>
      </c>
      <c r="AV111" s="4530" t="s">
        <v>2725</v>
      </c>
      <c r="AW111" s="4642" t="s">
        <v>1076</v>
      </c>
      <c r="AX111" s="4529">
        <v>3</v>
      </c>
      <c r="AY111" s="4531">
        <v>12</v>
      </c>
      <c r="DY111" s="1"/>
      <c r="DZ111" s="1"/>
      <c r="EA111" s="1"/>
      <c r="EB111" s="1"/>
      <c r="EC111" s="1"/>
      <c r="ED111" s="1"/>
      <c r="EE111" s="1"/>
      <c r="EF111" s="1"/>
      <c r="EG111" s="1"/>
      <c r="EH111" s="1"/>
      <c r="EX111" s="441"/>
      <c r="EY111" s="441"/>
      <c r="EZ111" s="441"/>
      <c r="FA111" s="442" t="s">
        <v>1074</v>
      </c>
      <c r="FB111" s="444">
        <v>1</v>
      </c>
      <c r="FC111" s="443"/>
      <c r="FD111" s="444">
        <v>0</v>
      </c>
      <c r="FE111" s="444">
        <v>0</v>
      </c>
      <c r="FF111" s="444">
        <v>0</v>
      </c>
      <c r="FG111" s="444">
        <v>1</v>
      </c>
      <c r="FH111" s="445"/>
      <c r="FL111" s="95"/>
      <c r="FM111" s="36" t="s">
        <v>1081</v>
      </c>
      <c r="FP111" s="36">
        <v>0</v>
      </c>
      <c r="FQ111" s="36">
        <v>15</v>
      </c>
      <c r="FS111" s="36">
        <v>15</v>
      </c>
      <c r="FT111" s="4369"/>
      <c r="FU111" s="37"/>
      <c r="FV111" s="616"/>
      <c r="FW111" s="4357"/>
      <c r="FX111" s="616"/>
      <c r="FY111" s="616" t="s">
        <v>1076</v>
      </c>
      <c r="FZ111" s="616">
        <v>1</v>
      </c>
      <c r="GA111" s="616">
        <v>0</v>
      </c>
      <c r="GB111" s="616">
        <v>0</v>
      </c>
      <c r="GC111" s="616">
        <v>0</v>
      </c>
      <c r="GD111" s="616">
        <v>2</v>
      </c>
      <c r="GE111" s="616">
        <v>0</v>
      </c>
      <c r="GF111" s="616">
        <v>3</v>
      </c>
      <c r="GG111" s="616"/>
      <c r="GH111" s="617"/>
      <c r="GI111" s="37"/>
    </row>
    <row r="112" spans="33:191" ht="15" thickBot="1">
      <c r="AG112" s="4528" t="s">
        <v>2613</v>
      </c>
      <c r="AH112" s="4528" t="s">
        <v>2613</v>
      </c>
      <c r="AI112" s="4528" t="s">
        <v>2613</v>
      </c>
      <c r="AJ112" s="4528" t="s">
        <v>2613</v>
      </c>
      <c r="AK112" s="4528"/>
      <c r="AL112" s="4528" t="s">
        <v>2613</v>
      </c>
      <c r="AT112" s="4529">
        <v>2</v>
      </c>
      <c r="AU112" s="4529">
        <v>2</v>
      </c>
      <c r="AV112" s="4530" t="s">
        <v>2725</v>
      </c>
      <c r="AW112" s="4530" t="s">
        <v>2705</v>
      </c>
      <c r="AX112" s="4529">
        <v>3</v>
      </c>
      <c r="AY112" s="4531">
        <v>1</v>
      </c>
      <c r="EX112" s="441"/>
      <c r="EY112" s="441"/>
      <c r="EZ112" s="441"/>
      <c r="FA112" s="442" t="s">
        <v>1076</v>
      </c>
      <c r="FB112" s="444">
        <v>0</v>
      </c>
      <c r="FC112" s="443"/>
      <c r="FD112" s="444">
        <v>0</v>
      </c>
      <c r="FE112" s="444">
        <v>1</v>
      </c>
      <c r="FF112" s="444">
        <v>1</v>
      </c>
      <c r="FG112" s="444">
        <v>2</v>
      </c>
      <c r="FH112" s="445"/>
      <c r="FL112" s="396"/>
      <c r="FM112" s="397" t="s">
        <v>15</v>
      </c>
      <c r="FN112" s="397"/>
      <c r="FO112" s="397"/>
      <c r="FP112" s="397">
        <v>7</v>
      </c>
      <c r="FQ112" s="397">
        <v>17</v>
      </c>
      <c r="FR112" s="397"/>
      <c r="FS112" s="397">
        <v>24</v>
      </c>
      <c r="FT112" s="4370">
        <f>(+FS111+FS110)/FS112</f>
        <v>0.70833333333333337</v>
      </c>
      <c r="FU112" s="37"/>
      <c r="FV112" s="616"/>
      <c r="FW112" s="4357"/>
      <c r="FX112" s="616"/>
      <c r="FY112" s="616" t="s">
        <v>1077</v>
      </c>
      <c r="FZ112" s="616">
        <v>3</v>
      </c>
      <c r="GA112" s="616">
        <v>0</v>
      </c>
      <c r="GB112" s="616">
        <v>1</v>
      </c>
      <c r="GC112" s="616">
        <v>1</v>
      </c>
      <c r="GD112" s="616">
        <v>0</v>
      </c>
      <c r="GE112" s="616">
        <v>0</v>
      </c>
      <c r="GF112" s="616">
        <v>5</v>
      </c>
      <c r="GG112" s="616"/>
      <c r="GH112" s="617"/>
      <c r="GI112" s="37"/>
    </row>
    <row r="113" spans="36:191">
      <c r="AK113" s="4522">
        <f>SUBTOTAL(9,AK83:AK112)</f>
        <v>99</v>
      </c>
      <c r="AL113" s="4622"/>
      <c r="AT113" s="4529">
        <v>2</v>
      </c>
      <c r="AU113" s="4529">
        <v>2</v>
      </c>
      <c r="AV113" s="4530" t="s">
        <v>2725</v>
      </c>
      <c r="AW113" s="4642" t="s">
        <v>2769</v>
      </c>
      <c r="AX113" s="4529">
        <v>3</v>
      </c>
      <c r="AY113" s="4531">
        <v>28</v>
      </c>
      <c r="EX113" s="441"/>
      <c r="EY113" s="441"/>
      <c r="EZ113" s="441"/>
      <c r="FA113" s="442" t="s">
        <v>1077</v>
      </c>
      <c r="FB113" s="444">
        <v>2</v>
      </c>
      <c r="FC113" s="443"/>
      <c r="FD113" s="444">
        <v>0</v>
      </c>
      <c r="FE113" s="444">
        <v>0</v>
      </c>
      <c r="FF113" s="444">
        <v>0</v>
      </c>
      <c r="FG113" s="444">
        <v>2</v>
      </c>
      <c r="FH113" s="445"/>
      <c r="FU113" s="37"/>
      <c r="FV113" s="616"/>
      <c r="FW113" s="4357"/>
      <c r="FX113" s="616"/>
      <c r="FY113" s="616" t="s">
        <v>1081</v>
      </c>
      <c r="FZ113" s="616">
        <v>0</v>
      </c>
      <c r="GA113" s="616">
        <v>0</v>
      </c>
      <c r="GB113" s="616">
        <v>0</v>
      </c>
      <c r="GC113" s="616">
        <v>1</v>
      </c>
      <c r="GD113" s="616">
        <v>35</v>
      </c>
      <c r="GE113" s="616">
        <v>1</v>
      </c>
      <c r="GF113" s="616">
        <v>37</v>
      </c>
      <c r="GG113" s="616"/>
      <c r="GH113" s="617"/>
      <c r="GI113" s="37"/>
    </row>
    <row r="114" spans="36:191">
      <c r="AK114" s="4643">
        <v>2</v>
      </c>
      <c r="AT114" s="4529">
        <v>2</v>
      </c>
      <c r="AU114" s="4529">
        <v>3</v>
      </c>
      <c r="AV114" s="4530" t="s">
        <v>283</v>
      </c>
      <c r="AW114" s="4642" t="s">
        <v>1076</v>
      </c>
      <c r="AX114" s="4529">
        <v>3</v>
      </c>
      <c r="AY114" s="4531">
        <v>1</v>
      </c>
      <c r="EX114" s="441"/>
      <c r="EY114" s="441"/>
      <c r="EZ114" s="441"/>
      <c r="FA114" s="442" t="s">
        <v>1142</v>
      </c>
      <c r="FB114" s="444">
        <v>0</v>
      </c>
      <c r="FC114" s="443"/>
      <c r="FD114" s="444">
        <v>0</v>
      </c>
      <c r="FE114" s="444">
        <v>7</v>
      </c>
      <c r="FF114" s="444">
        <v>0</v>
      </c>
      <c r="FG114" s="444">
        <v>7</v>
      </c>
      <c r="FH114" s="445"/>
      <c r="FU114" s="37"/>
      <c r="FV114" s="616"/>
      <c r="FW114" s="4357"/>
      <c r="FX114" s="616"/>
      <c r="FY114" s="616" t="s">
        <v>1142</v>
      </c>
      <c r="FZ114" s="616">
        <v>0</v>
      </c>
      <c r="GA114" s="616">
        <v>0</v>
      </c>
      <c r="GB114" s="616">
        <v>0</v>
      </c>
      <c r="GC114" s="616">
        <v>4</v>
      </c>
      <c r="GD114" s="616">
        <v>1</v>
      </c>
      <c r="GE114" s="616">
        <v>0</v>
      </c>
      <c r="GF114" s="616">
        <v>5</v>
      </c>
      <c r="GG114" s="616"/>
      <c r="GH114" s="617"/>
      <c r="GI114" s="37"/>
    </row>
    <row r="115" spans="36:191" ht="15" thickBot="1">
      <c r="AT115" s="4529">
        <v>2</v>
      </c>
      <c r="AU115" s="4529">
        <v>3</v>
      </c>
      <c r="AV115" s="4530" t="s">
        <v>283</v>
      </c>
      <c r="AW115" s="4530" t="s">
        <v>2731</v>
      </c>
      <c r="AX115" s="4529">
        <v>5</v>
      </c>
      <c r="AY115" s="4531">
        <v>3</v>
      </c>
      <c r="EX115" s="441"/>
      <c r="EY115" s="441"/>
      <c r="EZ115" s="483"/>
      <c r="FA115" s="484" t="s">
        <v>412</v>
      </c>
      <c r="FB115" s="485">
        <v>4</v>
      </c>
      <c r="FC115" s="486"/>
      <c r="FD115" s="485">
        <v>1</v>
      </c>
      <c r="FE115" s="485">
        <v>19</v>
      </c>
      <c r="FF115" s="485">
        <v>46</v>
      </c>
      <c r="FG115" s="485">
        <v>70</v>
      </c>
      <c r="FH115" s="487">
        <f>+(FG114+FG112-FF112)/FG115</f>
        <v>0.11428571428571428</v>
      </c>
      <c r="FU115" s="37"/>
      <c r="FV115" s="616"/>
      <c r="FW115" s="4361"/>
      <c r="FX115" s="634"/>
      <c r="FY115" s="634" t="s">
        <v>15</v>
      </c>
      <c r="FZ115" s="634">
        <v>6</v>
      </c>
      <c r="GA115" s="634">
        <v>0</v>
      </c>
      <c r="GB115" s="634">
        <v>2</v>
      </c>
      <c r="GC115" s="634">
        <v>6</v>
      </c>
      <c r="GD115" s="634">
        <v>41</v>
      </c>
      <c r="GE115" s="634">
        <v>12</v>
      </c>
      <c r="GF115" s="634">
        <v>67</v>
      </c>
      <c r="GG115" s="635">
        <f>+(GF114+GF113+GF111-GE113)/GF115</f>
        <v>0.65671641791044777</v>
      </c>
      <c r="GH115" s="636">
        <f>+GF111+GF113+GF114-GE113</f>
        <v>44</v>
      </c>
      <c r="GI115" s="37"/>
    </row>
    <row r="116" spans="36:191">
      <c r="AT116" s="4529">
        <v>2</v>
      </c>
      <c r="AU116" s="4529">
        <v>3</v>
      </c>
      <c r="AV116" s="4530" t="s">
        <v>283</v>
      </c>
      <c r="AW116" s="4530" t="s">
        <v>2731</v>
      </c>
      <c r="AX116" s="4529">
        <v>6</v>
      </c>
      <c r="AY116" s="4531">
        <v>1</v>
      </c>
      <c r="EX116" s="441"/>
      <c r="EY116" s="441"/>
      <c r="EZ116" s="441"/>
      <c r="FA116" s="442"/>
      <c r="FB116" s="444"/>
      <c r="FC116" s="444"/>
      <c r="FD116" s="444"/>
      <c r="FE116" s="444"/>
      <c r="FF116" s="444"/>
      <c r="FG116" s="444"/>
      <c r="FU116" s="37"/>
      <c r="FV116" s="616"/>
      <c r="FW116" s="4357"/>
      <c r="FX116" s="616"/>
      <c r="FY116" s="616"/>
      <c r="FZ116" s="616"/>
      <c r="GA116" s="616"/>
      <c r="GB116" s="616"/>
      <c r="GC116" s="616"/>
      <c r="GD116" s="616"/>
      <c r="GE116" s="616"/>
      <c r="GF116" s="616"/>
      <c r="GG116" s="616"/>
      <c r="GH116" s="616"/>
      <c r="GI116" s="37"/>
    </row>
    <row r="117" spans="36:191">
      <c r="AT117" s="4529">
        <v>2</v>
      </c>
      <c r="AU117" s="4529">
        <v>3</v>
      </c>
      <c r="AV117" s="4530" t="s">
        <v>284</v>
      </c>
      <c r="AW117" s="4530" t="s">
        <v>2709</v>
      </c>
      <c r="AX117" s="4529">
        <v>1</v>
      </c>
      <c r="AY117" s="4531">
        <v>1</v>
      </c>
      <c r="EX117" s="441"/>
      <c r="EY117" s="441"/>
      <c r="EZ117" s="441"/>
      <c r="FA117" s="442"/>
      <c r="FB117" s="444"/>
      <c r="FC117" s="444"/>
      <c r="FD117" s="444"/>
      <c r="FE117" s="444"/>
      <c r="FF117" s="444"/>
      <c r="FG117" s="444"/>
      <c r="FU117" s="37"/>
      <c r="FV117" s="616"/>
      <c r="FW117" s="4357"/>
      <c r="FX117" s="616"/>
      <c r="FY117" s="616"/>
      <c r="FZ117" s="616"/>
      <c r="GA117" s="616"/>
      <c r="GB117" s="616"/>
      <c r="GC117" s="616"/>
      <c r="GD117" s="616"/>
      <c r="GE117" s="616"/>
      <c r="GF117" s="616"/>
      <c r="GG117" s="616"/>
      <c r="GH117" s="616"/>
      <c r="GI117" s="37"/>
    </row>
    <row r="118" spans="36:191">
      <c r="AK118" s="4639">
        <v>90</v>
      </c>
      <c r="AT118" s="4529">
        <v>2</v>
      </c>
      <c r="AU118" s="4529">
        <v>3</v>
      </c>
      <c r="AV118" s="4530" t="s">
        <v>284</v>
      </c>
      <c r="AW118" s="4530" t="s">
        <v>2709</v>
      </c>
      <c r="AX118" s="4529">
        <v>3</v>
      </c>
      <c r="AY118" s="4531">
        <v>1</v>
      </c>
      <c r="EX118" s="441"/>
      <c r="EY118" s="441"/>
      <c r="EZ118" s="441"/>
      <c r="FA118" s="462"/>
      <c r="FB118" s="7000" t="s">
        <v>1138</v>
      </c>
      <c r="FC118" s="7000"/>
      <c r="FD118" s="7000"/>
      <c r="FE118" s="7000"/>
      <c r="FF118" s="7000"/>
      <c r="FG118" s="464"/>
      <c r="FM118" s="393" t="s">
        <v>315</v>
      </c>
      <c r="FN118" s="7001" t="s">
        <v>1138</v>
      </c>
      <c r="FO118" s="7001"/>
      <c r="FP118" s="7001"/>
      <c r="FQ118" s="7001"/>
      <c r="FR118" s="7001"/>
      <c r="FS118" s="393"/>
      <c r="FU118" s="37"/>
      <c r="FV118" s="616"/>
      <c r="FW118" s="4357"/>
      <c r="FX118" s="616"/>
      <c r="FY118" s="616"/>
      <c r="FZ118" s="6998" t="s">
        <v>1138</v>
      </c>
      <c r="GA118" s="6998"/>
      <c r="GB118" s="6998"/>
      <c r="GC118" s="6998"/>
      <c r="GD118" s="6998"/>
      <c r="GE118" s="6998"/>
      <c r="GF118" s="616"/>
      <c r="GG118" s="616"/>
      <c r="GH118" s="616"/>
      <c r="GI118" s="37"/>
    </row>
    <row r="119" spans="36:191" ht="37.200000000000003" thickBot="1">
      <c r="AJ119" s="4645">
        <f>AK119/AK118</f>
        <v>0.42222222222222222</v>
      </c>
      <c r="AK119" s="4640">
        <v>38</v>
      </c>
      <c r="AT119" s="4529">
        <v>2</v>
      </c>
      <c r="AU119" s="4529">
        <v>3</v>
      </c>
      <c r="AV119" s="4530" t="s">
        <v>284</v>
      </c>
      <c r="AW119" s="4530" t="s">
        <v>1071</v>
      </c>
      <c r="AX119" s="4529">
        <v>5</v>
      </c>
      <c r="AY119" s="4531">
        <v>1</v>
      </c>
      <c r="EX119" s="441"/>
      <c r="EY119" s="441"/>
      <c r="EZ119" s="488" t="s">
        <v>0</v>
      </c>
      <c r="FA119" s="488" t="s">
        <v>1070</v>
      </c>
      <c r="FB119" s="488">
        <v>1</v>
      </c>
      <c r="FC119" s="488">
        <v>2</v>
      </c>
      <c r="FD119" s="488">
        <v>3</v>
      </c>
      <c r="FE119" s="488">
        <v>4</v>
      </c>
      <c r="FF119" s="488">
        <v>5</v>
      </c>
      <c r="FG119" s="488" t="s">
        <v>15</v>
      </c>
      <c r="FH119" s="489" t="s">
        <v>66</v>
      </c>
      <c r="FL119" s="398" t="s">
        <v>146</v>
      </c>
      <c r="FM119" s="398" t="s">
        <v>1070</v>
      </c>
      <c r="FN119" s="398">
        <v>1</v>
      </c>
      <c r="FO119" s="398">
        <v>2</v>
      </c>
      <c r="FP119" s="398">
        <v>3</v>
      </c>
      <c r="FQ119" s="398">
        <v>4</v>
      </c>
      <c r="FR119" s="398">
        <v>5</v>
      </c>
      <c r="FS119" s="398" t="s">
        <v>15</v>
      </c>
      <c r="FT119" s="1469" t="s">
        <v>66</v>
      </c>
      <c r="FU119" s="37"/>
      <c r="FV119" s="616"/>
      <c r="FW119" s="4357"/>
      <c r="FX119" s="634" t="s">
        <v>0</v>
      </c>
      <c r="FY119" s="4362" t="s">
        <v>1140</v>
      </c>
      <c r="FZ119" s="634">
        <v>0</v>
      </c>
      <c r="GA119" s="634">
        <v>1</v>
      </c>
      <c r="GB119" s="634">
        <v>2</v>
      </c>
      <c r="GC119" s="634">
        <v>3</v>
      </c>
      <c r="GD119" s="634">
        <v>4</v>
      </c>
      <c r="GE119" s="634">
        <v>5</v>
      </c>
      <c r="GF119" s="4363" t="s">
        <v>15</v>
      </c>
      <c r="GG119" s="647" t="s">
        <v>66</v>
      </c>
      <c r="GH119" s="602" t="s">
        <v>1141</v>
      </c>
      <c r="GI119" s="37"/>
    </row>
    <row r="120" spans="36:191">
      <c r="AT120" s="4529">
        <v>4</v>
      </c>
      <c r="AU120" s="4529">
        <v>6</v>
      </c>
      <c r="AV120" s="4530" t="s">
        <v>609</v>
      </c>
      <c r="AW120" s="4642" t="s">
        <v>2707</v>
      </c>
      <c r="AX120" s="4529">
        <v>3</v>
      </c>
      <c r="AY120" s="4531">
        <v>1</v>
      </c>
      <c r="EX120" s="441"/>
      <c r="EY120" s="441"/>
      <c r="EZ120" s="124" t="s">
        <v>75</v>
      </c>
      <c r="FA120" s="442" t="s">
        <v>1071</v>
      </c>
      <c r="FB120" s="444">
        <v>0</v>
      </c>
      <c r="FC120" s="444">
        <v>0</v>
      </c>
      <c r="FD120" s="444">
        <v>0</v>
      </c>
      <c r="FE120" s="444">
        <v>0</v>
      </c>
      <c r="FF120" s="444">
        <v>53</v>
      </c>
      <c r="FG120" s="444">
        <v>53</v>
      </c>
      <c r="FH120" s="445"/>
      <c r="FL120" s="95" t="s">
        <v>75</v>
      </c>
      <c r="FM120" s="36" t="s">
        <v>1071</v>
      </c>
      <c r="FN120" s="36">
        <v>0</v>
      </c>
      <c r="FO120" s="36">
        <v>1</v>
      </c>
      <c r="FP120" s="36">
        <v>9</v>
      </c>
      <c r="FQ120" s="36">
        <v>0</v>
      </c>
      <c r="FR120" s="36">
        <v>33</v>
      </c>
      <c r="FS120" s="36">
        <v>43</v>
      </c>
      <c r="FU120" s="37"/>
      <c r="FV120" s="616"/>
      <c r="FW120" s="4357"/>
      <c r="FX120" s="616" t="s">
        <v>75</v>
      </c>
      <c r="FY120" s="616" t="s">
        <v>1071</v>
      </c>
      <c r="FZ120" s="616">
        <v>0</v>
      </c>
      <c r="GA120" s="616">
        <v>0</v>
      </c>
      <c r="GB120" s="616">
        <v>0</v>
      </c>
      <c r="GC120" s="616">
        <v>1</v>
      </c>
      <c r="GD120" s="616">
        <v>5</v>
      </c>
      <c r="GE120" s="616">
        <v>26</v>
      </c>
      <c r="GF120" s="616">
        <v>32</v>
      </c>
      <c r="GG120" s="616"/>
      <c r="GH120" s="617"/>
      <c r="GI120" s="37"/>
    </row>
    <row r="121" spans="36:191">
      <c r="AT121" s="4529">
        <v>4</v>
      </c>
      <c r="AU121" s="4529">
        <v>6</v>
      </c>
      <c r="AV121" s="4530" t="s">
        <v>609</v>
      </c>
      <c r="AW121" s="4642" t="s">
        <v>2769</v>
      </c>
      <c r="AX121" s="4529">
        <v>3</v>
      </c>
      <c r="AY121" s="4531">
        <v>1</v>
      </c>
      <c r="EX121" s="441"/>
      <c r="EY121" s="441"/>
      <c r="EZ121" s="441"/>
      <c r="FA121" s="442" t="s">
        <v>1072</v>
      </c>
      <c r="FB121" s="444">
        <v>8</v>
      </c>
      <c r="FC121" s="444">
        <v>1</v>
      </c>
      <c r="FD121" s="444">
        <v>12</v>
      </c>
      <c r="FE121" s="444">
        <v>15</v>
      </c>
      <c r="FF121" s="444">
        <v>0</v>
      </c>
      <c r="FG121" s="444">
        <v>36</v>
      </c>
      <c r="FH121" s="445"/>
      <c r="FL121" s="95"/>
      <c r="FM121" s="36" t="s">
        <v>1072</v>
      </c>
      <c r="FN121" s="36">
        <v>13</v>
      </c>
      <c r="FO121" s="36">
        <v>8</v>
      </c>
      <c r="FP121" s="36">
        <v>49</v>
      </c>
      <c r="FQ121" s="36">
        <v>0</v>
      </c>
      <c r="FR121" s="36">
        <v>0</v>
      </c>
      <c r="FS121" s="36">
        <v>70</v>
      </c>
      <c r="FU121" s="37"/>
      <c r="FV121" s="616"/>
      <c r="FW121" s="4357"/>
      <c r="FX121" s="616"/>
      <c r="FY121" s="616" t="s">
        <v>1072</v>
      </c>
      <c r="FZ121" s="616">
        <v>2</v>
      </c>
      <c r="GA121" s="616">
        <v>6</v>
      </c>
      <c r="GB121" s="616">
        <v>32</v>
      </c>
      <c r="GC121" s="616">
        <v>80</v>
      </c>
      <c r="GD121" s="616">
        <v>1</v>
      </c>
      <c r="GE121" s="616">
        <v>0</v>
      </c>
      <c r="GF121" s="616">
        <v>121</v>
      </c>
      <c r="GG121" s="616"/>
      <c r="GH121" s="617"/>
      <c r="GI121" s="37"/>
    </row>
    <row r="122" spans="36:191">
      <c r="AT122" s="4530" t="s">
        <v>2613</v>
      </c>
      <c r="AU122" s="4530" t="s">
        <v>2613</v>
      </c>
      <c r="AV122" s="4530" t="s">
        <v>2613</v>
      </c>
      <c r="AW122" s="36"/>
      <c r="AX122" s="4530" t="s">
        <v>2613</v>
      </c>
      <c r="AY122" s="4530"/>
      <c r="EX122" s="441"/>
      <c r="EY122" s="441"/>
      <c r="EZ122" s="441"/>
      <c r="FA122" s="442" t="s">
        <v>1074</v>
      </c>
      <c r="FB122" s="444">
        <v>1</v>
      </c>
      <c r="FC122" s="444">
        <v>0</v>
      </c>
      <c r="FD122" s="444">
        <v>0</v>
      </c>
      <c r="FE122" s="444">
        <v>0</v>
      </c>
      <c r="FF122" s="444">
        <v>0</v>
      </c>
      <c r="FG122" s="444">
        <v>1</v>
      </c>
      <c r="FH122" s="445"/>
      <c r="FL122" s="95"/>
      <c r="FM122" s="36" t="s">
        <v>1074</v>
      </c>
      <c r="FN122" s="36">
        <v>0</v>
      </c>
      <c r="FO122" s="36">
        <v>2</v>
      </c>
      <c r="FP122" s="36">
        <v>0</v>
      </c>
      <c r="FQ122" s="36">
        <v>0</v>
      </c>
      <c r="FR122" s="36">
        <v>0</v>
      </c>
      <c r="FS122" s="36">
        <v>2</v>
      </c>
      <c r="FU122" s="37"/>
      <c r="FV122" s="616"/>
      <c r="FW122" s="4357"/>
      <c r="FX122" s="616"/>
      <c r="FY122" s="616" t="s">
        <v>1074</v>
      </c>
      <c r="FZ122" s="616">
        <v>0</v>
      </c>
      <c r="GA122" s="616">
        <v>0</v>
      </c>
      <c r="GB122" s="616">
        <v>1</v>
      </c>
      <c r="GC122" s="616">
        <v>0</v>
      </c>
      <c r="GD122" s="616">
        <v>0</v>
      </c>
      <c r="GE122" s="616">
        <v>0</v>
      </c>
      <c r="GF122" s="616">
        <v>1</v>
      </c>
      <c r="GG122" s="616"/>
      <c r="GH122" s="617"/>
      <c r="GI122" s="37"/>
    </row>
    <row r="123" spans="36:191">
      <c r="AT123" s="36"/>
      <c r="AU123" s="36"/>
      <c r="AV123" s="36"/>
      <c r="AW123" s="36"/>
      <c r="AX123" s="36"/>
      <c r="AY123" s="36"/>
      <c r="EX123" s="441"/>
      <c r="EY123" s="441"/>
      <c r="EZ123" s="441"/>
      <c r="FA123" s="442" t="s">
        <v>1076</v>
      </c>
      <c r="FB123" s="444">
        <v>0</v>
      </c>
      <c r="FC123" s="444">
        <v>0</v>
      </c>
      <c r="FD123" s="444">
        <v>65</v>
      </c>
      <c r="FE123" s="444">
        <v>6</v>
      </c>
      <c r="FF123" s="444">
        <v>1</v>
      </c>
      <c r="FG123" s="444">
        <v>72</v>
      </c>
      <c r="FH123" s="445"/>
      <c r="FL123" s="95"/>
      <c r="FM123" s="36" t="s">
        <v>1076</v>
      </c>
      <c r="FN123" s="36">
        <v>0</v>
      </c>
      <c r="FO123" s="36">
        <v>0</v>
      </c>
      <c r="FP123" s="36">
        <v>41</v>
      </c>
      <c r="FQ123" s="36">
        <v>17</v>
      </c>
      <c r="FR123" s="36">
        <v>0</v>
      </c>
      <c r="FS123" s="36">
        <v>58</v>
      </c>
      <c r="FU123" s="37"/>
      <c r="FV123" s="616"/>
      <c r="FW123" s="4357"/>
      <c r="FX123" s="616"/>
      <c r="FY123" s="616" t="s">
        <v>1076</v>
      </c>
      <c r="FZ123" s="616">
        <v>1</v>
      </c>
      <c r="GA123" s="616">
        <v>0</v>
      </c>
      <c r="GB123" s="616">
        <v>0</v>
      </c>
      <c r="GC123" s="616">
        <v>10</v>
      </c>
      <c r="GD123" s="616">
        <v>11</v>
      </c>
      <c r="GE123" s="616">
        <v>0</v>
      </c>
      <c r="GF123" s="616">
        <v>22</v>
      </c>
      <c r="GG123" s="616"/>
      <c r="GH123" s="617"/>
      <c r="GI123" s="37"/>
    </row>
    <row r="124" spans="36:191">
      <c r="AT124" s="36"/>
      <c r="AU124" s="36"/>
      <c r="AV124" s="36"/>
      <c r="AW124" s="36"/>
      <c r="AX124" s="36"/>
      <c r="AY124" s="4643">
        <v>93</v>
      </c>
      <c r="EX124" s="441"/>
      <c r="EY124" s="441"/>
      <c r="EZ124" s="441"/>
      <c r="FA124" s="442" t="s">
        <v>1077</v>
      </c>
      <c r="FB124" s="444">
        <v>7</v>
      </c>
      <c r="FC124" s="444">
        <v>3</v>
      </c>
      <c r="FD124" s="444">
        <v>5</v>
      </c>
      <c r="FE124" s="444">
        <v>0</v>
      </c>
      <c r="FF124" s="444">
        <v>0</v>
      </c>
      <c r="FG124" s="444">
        <v>15</v>
      </c>
      <c r="FH124" s="445"/>
      <c r="FL124" s="95"/>
      <c r="FM124" s="36" t="s">
        <v>1077</v>
      </c>
      <c r="FN124" s="36">
        <v>0</v>
      </c>
      <c r="FO124" s="36">
        <v>4</v>
      </c>
      <c r="FP124" s="36">
        <v>1</v>
      </c>
      <c r="FQ124" s="36">
        <v>1</v>
      </c>
      <c r="FR124" s="36">
        <v>0</v>
      </c>
      <c r="FS124" s="36">
        <v>6</v>
      </c>
      <c r="FU124" s="37"/>
      <c r="FV124" s="616"/>
      <c r="FW124" s="4357"/>
      <c r="FX124" s="616"/>
      <c r="FY124" s="616" t="s">
        <v>1077</v>
      </c>
      <c r="FZ124" s="616">
        <v>3</v>
      </c>
      <c r="GA124" s="616">
        <v>0</v>
      </c>
      <c r="GB124" s="616">
        <v>5</v>
      </c>
      <c r="GC124" s="616">
        <v>2</v>
      </c>
      <c r="GD124" s="616">
        <v>0</v>
      </c>
      <c r="GE124" s="616">
        <v>0</v>
      </c>
      <c r="GF124" s="616">
        <v>10</v>
      </c>
      <c r="GG124" s="616"/>
      <c r="GH124" s="617"/>
      <c r="GI124" s="37"/>
    </row>
    <row r="125" spans="36:191">
      <c r="AT125" s="36"/>
      <c r="AU125" s="36"/>
      <c r="AV125" s="36"/>
      <c r="AW125" s="4644">
        <f>AY125/AY124</f>
        <v>0.72043010752688175</v>
      </c>
      <c r="AX125" s="36"/>
      <c r="AY125" s="4643">
        <v>67</v>
      </c>
      <c r="EX125" s="441"/>
      <c r="EY125" s="441"/>
      <c r="EZ125" s="441"/>
      <c r="FA125" s="442" t="s">
        <v>1081</v>
      </c>
      <c r="FB125" s="444">
        <v>0</v>
      </c>
      <c r="FC125" s="444">
        <v>0</v>
      </c>
      <c r="FD125" s="444">
        <v>11</v>
      </c>
      <c r="FE125" s="444">
        <v>0</v>
      </c>
      <c r="FF125" s="444">
        <v>0</v>
      </c>
      <c r="FG125" s="444">
        <v>11</v>
      </c>
      <c r="FH125" s="445"/>
      <c r="FL125" s="95"/>
      <c r="FM125" s="36" t="s">
        <v>1080</v>
      </c>
      <c r="FN125" s="36">
        <v>0</v>
      </c>
      <c r="FO125" s="36">
        <v>0</v>
      </c>
      <c r="FP125" s="36">
        <v>0</v>
      </c>
      <c r="FQ125" s="36">
        <v>0</v>
      </c>
      <c r="FR125" s="36">
        <v>1</v>
      </c>
      <c r="FS125" s="36">
        <v>1</v>
      </c>
      <c r="FU125" s="37"/>
      <c r="FV125" s="616"/>
      <c r="FW125" s="4357"/>
      <c r="FX125" s="616"/>
      <c r="FY125" s="616" t="s">
        <v>1080</v>
      </c>
      <c r="FZ125" s="616">
        <v>0</v>
      </c>
      <c r="GA125" s="616">
        <v>0</v>
      </c>
      <c r="GB125" s="616">
        <v>0</v>
      </c>
      <c r="GC125" s="616">
        <v>0</v>
      </c>
      <c r="GD125" s="616">
        <v>1</v>
      </c>
      <c r="GE125" s="616">
        <v>2</v>
      </c>
      <c r="GF125" s="616">
        <v>3</v>
      </c>
      <c r="GG125" s="616"/>
      <c r="GH125" s="617"/>
      <c r="GI125" s="37"/>
    </row>
    <row r="126" spans="36:191">
      <c r="EX126" s="441"/>
      <c r="EY126" s="441"/>
      <c r="EZ126" s="441"/>
      <c r="FA126" s="442" t="s">
        <v>1142</v>
      </c>
      <c r="FB126" s="444">
        <v>0</v>
      </c>
      <c r="FC126" s="444">
        <v>0</v>
      </c>
      <c r="FD126" s="444">
        <v>7</v>
      </c>
      <c r="FE126" s="444">
        <v>8</v>
      </c>
      <c r="FF126" s="444">
        <v>0</v>
      </c>
      <c r="FG126" s="444">
        <v>15</v>
      </c>
      <c r="FH126" s="445"/>
      <c r="FL126" s="95"/>
      <c r="FM126" s="36" t="s">
        <v>1081</v>
      </c>
      <c r="FN126" s="36">
        <v>0</v>
      </c>
      <c r="FO126" s="36">
        <v>0</v>
      </c>
      <c r="FP126" s="36">
        <v>13</v>
      </c>
      <c r="FQ126" s="36">
        <v>35</v>
      </c>
      <c r="FR126" s="36">
        <v>0</v>
      </c>
      <c r="FS126" s="36">
        <v>48</v>
      </c>
      <c r="FU126" s="37"/>
      <c r="FV126" s="616"/>
      <c r="FW126" s="4357"/>
      <c r="FX126" s="616"/>
      <c r="FY126" s="616" t="s">
        <v>1081</v>
      </c>
      <c r="FZ126" s="616">
        <v>0</v>
      </c>
      <c r="GA126" s="616">
        <v>0</v>
      </c>
      <c r="GB126" s="616">
        <v>0</v>
      </c>
      <c r="GC126" s="616">
        <v>7</v>
      </c>
      <c r="GD126" s="616">
        <v>62</v>
      </c>
      <c r="GE126" s="616">
        <v>1</v>
      </c>
      <c r="GF126" s="616">
        <v>70</v>
      </c>
      <c r="GG126" s="616"/>
      <c r="GH126" s="617"/>
      <c r="GI126" s="37"/>
    </row>
    <row r="127" spans="36:191" ht="15" thickBot="1">
      <c r="EX127" s="441"/>
      <c r="EY127" s="441"/>
      <c r="EZ127" s="483"/>
      <c r="FA127" s="484" t="s">
        <v>112</v>
      </c>
      <c r="FB127" s="485">
        <v>16</v>
      </c>
      <c r="FC127" s="485">
        <v>4</v>
      </c>
      <c r="FD127" s="485">
        <v>100</v>
      </c>
      <c r="FE127" s="485">
        <v>29</v>
      </c>
      <c r="FF127" s="485">
        <v>54</v>
      </c>
      <c r="FG127" s="485">
        <v>203</v>
      </c>
      <c r="FH127" s="487">
        <f>(FG126+FG125+FG123-FF123)/FG127</f>
        <v>0.47783251231527096</v>
      </c>
      <c r="FJ127" s="36" t="s">
        <v>1125</v>
      </c>
      <c r="FL127" s="95"/>
      <c r="FM127" s="36" t="s">
        <v>1142</v>
      </c>
      <c r="FN127" s="36">
        <v>0</v>
      </c>
      <c r="FO127" s="36">
        <v>0</v>
      </c>
      <c r="FP127" s="36">
        <v>5</v>
      </c>
      <c r="FQ127" s="36">
        <v>2</v>
      </c>
      <c r="FR127" s="36">
        <v>1</v>
      </c>
      <c r="FS127" s="36">
        <v>8</v>
      </c>
      <c r="FU127" s="37"/>
      <c r="FV127" s="616"/>
      <c r="FW127" s="4357"/>
      <c r="FX127" s="616"/>
      <c r="FY127" s="616" t="s">
        <v>1142</v>
      </c>
      <c r="FZ127" s="616">
        <v>0</v>
      </c>
      <c r="GA127" s="616">
        <v>0</v>
      </c>
      <c r="GB127" s="616">
        <v>0</v>
      </c>
      <c r="GC127" s="616">
        <v>9</v>
      </c>
      <c r="GD127" s="616">
        <v>3</v>
      </c>
      <c r="GE127" s="616">
        <v>0</v>
      </c>
      <c r="GF127" s="616">
        <v>12</v>
      </c>
      <c r="GG127" s="616"/>
      <c r="GH127" s="617"/>
      <c r="GI127" s="37"/>
    </row>
    <row r="128" spans="36:191" ht="15" thickBot="1">
      <c r="EX128" s="441" t="s">
        <v>1149</v>
      </c>
      <c r="FL128" s="396"/>
      <c r="FM128" s="401" t="s">
        <v>15</v>
      </c>
      <c r="FN128" s="401">
        <v>13</v>
      </c>
      <c r="FO128" s="401">
        <v>15</v>
      </c>
      <c r="FP128" s="401">
        <v>118</v>
      </c>
      <c r="FQ128" s="401">
        <v>55</v>
      </c>
      <c r="FR128" s="401">
        <v>35</v>
      </c>
      <c r="FS128" s="401">
        <v>236</v>
      </c>
      <c r="FT128" s="666">
        <f>(+FS127+FS126+FS123-FR127)/FS128</f>
        <v>0.4788135593220339</v>
      </c>
      <c r="FU128" s="37"/>
      <c r="FV128" s="616"/>
      <c r="FW128" s="4357"/>
      <c r="FX128" s="616"/>
      <c r="FY128" s="634" t="s">
        <v>15</v>
      </c>
      <c r="FZ128" s="634">
        <v>6</v>
      </c>
      <c r="GA128" s="634">
        <v>6</v>
      </c>
      <c r="GB128" s="634">
        <v>38</v>
      </c>
      <c r="GC128" s="634">
        <v>109</v>
      </c>
      <c r="GD128" s="634">
        <v>83</v>
      </c>
      <c r="GE128" s="634">
        <v>29</v>
      </c>
      <c r="GF128" s="634">
        <v>271</v>
      </c>
      <c r="GG128" s="667">
        <f>+(GF127+GF126+GF123-GE126)/GF128</f>
        <v>0.38007380073800739</v>
      </c>
      <c r="GH128" s="668">
        <f>+GF123+GF126+GF127-GE126</f>
        <v>103</v>
      </c>
      <c r="GI128" s="37"/>
    </row>
    <row r="129" spans="154:191">
      <c r="EX129" s="505" t="s">
        <v>1150</v>
      </c>
      <c r="FJ129" s="4371" t="s">
        <v>1151</v>
      </c>
      <c r="FU129" s="37"/>
      <c r="FV129" s="616"/>
      <c r="FW129" s="4357"/>
      <c r="FX129" s="616"/>
      <c r="FY129" s="616"/>
      <c r="FZ129" s="616"/>
      <c r="GA129" s="616"/>
      <c r="GB129" s="616"/>
      <c r="GC129" s="616"/>
      <c r="GD129" s="616"/>
      <c r="GE129" s="616"/>
      <c r="GF129" s="616"/>
      <c r="GG129" s="616"/>
      <c r="GH129" s="616"/>
      <c r="GI129" s="37"/>
    </row>
    <row r="130" spans="154:191">
      <c r="EX130" s="511" t="s">
        <v>1152</v>
      </c>
      <c r="FJ130" s="4371" t="s">
        <v>1153</v>
      </c>
      <c r="FU130" s="37"/>
      <c r="FV130" s="616"/>
      <c r="FW130" s="4357"/>
      <c r="FX130" s="616"/>
      <c r="FY130" s="616"/>
      <c r="FZ130" s="616"/>
      <c r="GA130" s="616"/>
      <c r="GB130" s="616"/>
      <c r="GC130" s="616"/>
      <c r="GD130" s="616"/>
      <c r="GE130" s="616"/>
      <c r="GF130" s="616"/>
      <c r="GG130" s="616"/>
      <c r="GH130" s="616"/>
      <c r="GI130" s="37"/>
    </row>
    <row r="131" spans="154:191">
      <c r="FJ131" s="4371" t="s">
        <v>1154</v>
      </c>
      <c r="FU131" s="37"/>
      <c r="FV131" s="392" t="s">
        <v>1151</v>
      </c>
      <c r="FW131" s="4357"/>
      <c r="FX131" s="616"/>
      <c r="FY131" s="616"/>
      <c r="FZ131" s="616"/>
      <c r="GA131" s="616"/>
      <c r="GB131" s="616"/>
      <c r="GC131" s="616"/>
      <c r="GD131" s="616"/>
      <c r="GE131" s="616"/>
      <c r="GF131" s="616"/>
      <c r="GG131" s="616"/>
      <c r="GH131" s="616"/>
      <c r="GI131" s="37"/>
    </row>
    <row r="132" spans="154:191">
      <c r="FU132" s="37"/>
      <c r="FV132" s="392" t="s">
        <v>1153</v>
      </c>
      <c r="FW132" s="4357"/>
      <c r="FX132" s="616"/>
      <c r="FY132" s="616"/>
      <c r="FZ132" s="616"/>
      <c r="GA132" s="616"/>
      <c r="GB132" s="616"/>
      <c r="GC132" s="616"/>
      <c r="GD132" s="616"/>
      <c r="GE132" s="616"/>
      <c r="GF132" s="616"/>
      <c r="GG132" s="616"/>
      <c r="GH132" s="616"/>
      <c r="GI132" s="37"/>
    </row>
    <row r="133" spans="154:191">
      <c r="FU133" s="37"/>
      <c r="FV133" s="392" t="s">
        <v>1126</v>
      </c>
      <c r="FW133" s="4357"/>
      <c r="FX133" s="616"/>
      <c r="FY133" s="616"/>
      <c r="FZ133" s="616"/>
      <c r="GA133" s="616"/>
      <c r="GB133" s="616"/>
      <c r="GC133" s="616"/>
      <c r="GD133" s="616"/>
      <c r="GE133" s="616"/>
      <c r="GF133" s="616"/>
      <c r="GG133" s="616"/>
      <c r="GH133" s="616"/>
      <c r="GI133" s="37"/>
    </row>
    <row r="134" spans="154:191">
      <c r="FU134" s="37"/>
      <c r="GI134" s="37"/>
    </row>
    <row r="135" spans="154:191">
      <c r="FU135" s="37"/>
      <c r="GI135" s="37"/>
    </row>
    <row r="136" spans="154:191">
      <c r="FU136" s="37"/>
      <c r="GI136" s="37"/>
    </row>
    <row r="137" spans="154:191">
      <c r="FU137" s="37"/>
      <c r="GI137" s="37"/>
    </row>
    <row r="138" spans="154:191">
      <c r="FU138" s="37"/>
      <c r="GI138" s="37"/>
    </row>
    <row r="139" spans="154:191">
      <c r="FU139" s="37"/>
      <c r="GI139" s="37"/>
    </row>
  </sheetData>
  <mergeCells count="23">
    <mergeCell ref="K52:L53"/>
    <mergeCell ref="S53:W54"/>
    <mergeCell ref="FZ118:GE118"/>
    <mergeCell ref="FB50:FF50"/>
    <mergeCell ref="FN50:FR50"/>
    <mergeCell ref="FZ50:GE50"/>
    <mergeCell ref="FV87:GG87"/>
    <mergeCell ref="FB90:FF90"/>
    <mergeCell ref="FN90:FR90"/>
    <mergeCell ref="FB118:FF118"/>
    <mergeCell ref="FN118:FR118"/>
    <mergeCell ref="C44:G45"/>
    <mergeCell ref="AX5:BD5"/>
    <mergeCell ref="FV3:GH3"/>
    <mergeCell ref="EC5:EG5"/>
    <mergeCell ref="EO5:ET5"/>
    <mergeCell ref="FB5:FF5"/>
    <mergeCell ref="FN5:FR5"/>
    <mergeCell ref="FZ5:GE5"/>
    <mergeCell ref="BN5:BR5"/>
    <mergeCell ref="CA5:CH5"/>
    <mergeCell ref="CP5:CU5"/>
    <mergeCell ref="DO5:DV5"/>
  </mergeCells>
  <pageMargins left="0.7" right="0.7" top="0.75" bottom="0.75" header="0.3" footer="0.3"/>
  <pageSetup paperSize="9" orientation="portrait" r:id="rId1"/>
  <ignoredErrors>
    <ignoredError sqref="AC18 AC34:AC3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81</vt:i4>
      </vt:variant>
    </vt:vector>
  </HeadingPairs>
  <TitlesOfParts>
    <vt:vector size="139" baseType="lpstr">
      <vt:lpstr>PDI</vt:lpstr>
      <vt:lpstr>Indicadores</vt:lpstr>
      <vt:lpstr>Formulas</vt:lpstr>
      <vt:lpstr>D.1.</vt:lpstr>
      <vt:lpstr>Desglose ET D.2</vt:lpstr>
      <vt:lpstr>D.2.</vt:lpstr>
      <vt:lpstr>D.3.</vt:lpstr>
      <vt:lpstr>D.3 Trim exc._Lic</vt:lpstr>
      <vt:lpstr>Desglose ET_Esp</vt:lpstr>
      <vt:lpstr>D.4.</vt:lpstr>
      <vt:lpstr>Desglose ET_Mtria</vt:lpstr>
      <vt:lpstr>D.5.</vt:lpstr>
      <vt:lpstr>Desglose ET_Doc</vt:lpstr>
      <vt:lpstr>D.6.</vt:lpstr>
      <vt:lpstr>D.7.</vt:lpstr>
      <vt:lpstr>Desglose de trim_esp</vt:lpstr>
      <vt:lpstr>D.8.</vt:lpstr>
      <vt:lpstr>Desglose de tri_Mtria</vt:lpstr>
      <vt:lpstr>D.9.</vt:lpstr>
      <vt:lpstr>Desglose Trim Doc</vt:lpstr>
      <vt:lpstr>D.10.</vt:lpstr>
      <vt:lpstr>D.11.</vt:lpstr>
      <vt:lpstr>D.12.</vt:lpstr>
      <vt:lpstr>D.13.</vt:lpstr>
      <vt:lpstr>D.14.</vt:lpstr>
      <vt:lpstr>D.15.</vt:lpstr>
      <vt:lpstr>D.16. y 17</vt:lpstr>
      <vt:lpstr>D.18 y 19</vt:lpstr>
      <vt:lpstr>D.20.</vt:lpstr>
      <vt:lpstr>D.20 Tri_Ubica</vt:lpstr>
      <vt:lpstr>I.21.</vt:lpstr>
      <vt:lpstr>I.22.</vt:lpstr>
      <vt:lpstr>I.23.</vt:lpstr>
      <vt:lpstr>I.24.</vt:lpstr>
      <vt:lpstr>I.25</vt:lpstr>
      <vt:lpstr>I.26.</vt:lpstr>
      <vt:lpstr>I.27.</vt:lpstr>
      <vt:lpstr>I.28.</vt:lpstr>
      <vt:lpstr>I.29.</vt:lpstr>
      <vt:lpstr>I.30.</vt:lpstr>
      <vt:lpstr>C.31.</vt:lpstr>
      <vt:lpstr>C.32.</vt:lpstr>
      <vt:lpstr>C.33.</vt:lpstr>
      <vt:lpstr>A.34.</vt:lpstr>
      <vt:lpstr>A.35.</vt:lpstr>
      <vt:lpstr>A.36.</vt:lpstr>
      <vt:lpstr>A.37.</vt:lpstr>
      <vt:lpstr>A.38.</vt:lpstr>
      <vt:lpstr>A.39.</vt:lpstr>
      <vt:lpstr>A.40.-42.</vt:lpstr>
      <vt:lpstr>A.43.</vt:lpstr>
      <vt:lpstr>A.44.</vt:lpstr>
      <vt:lpstr>A.45.</vt:lpstr>
      <vt:lpstr>A.46.1</vt:lpstr>
      <vt:lpstr>A.46.2</vt:lpstr>
      <vt:lpstr>A.46.3</vt:lpstr>
      <vt:lpstr>A.47.1</vt:lpstr>
      <vt:lpstr>A.47.2</vt:lpstr>
      <vt:lpstr>A.34.!Área_de_impresión</vt:lpstr>
      <vt:lpstr>A.35.!Área_de_impresión</vt:lpstr>
      <vt:lpstr>A.36.!Área_de_impresión</vt:lpstr>
      <vt:lpstr>A.37.!Área_de_impresión</vt:lpstr>
      <vt:lpstr>A.38.!Área_de_impresión</vt:lpstr>
      <vt:lpstr>A.39.!Área_de_impresión</vt:lpstr>
      <vt:lpstr>'A.40.-42.'!Área_de_impresión</vt:lpstr>
      <vt:lpstr>A.43.!Área_de_impresión</vt:lpstr>
      <vt:lpstr>A.44.!Área_de_impresión</vt:lpstr>
      <vt:lpstr>A.45.!Área_de_impresión</vt:lpstr>
      <vt:lpstr>A.46.1!Área_de_impresión</vt:lpstr>
      <vt:lpstr>A.46.2!Área_de_impresión</vt:lpstr>
      <vt:lpstr>A.46.3!Área_de_impresión</vt:lpstr>
      <vt:lpstr>C.32.!Área_de_impresión</vt:lpstr>
      <vt:lpstr>C.33.!Área_de_impresión</vt:lpstr>
      <vt:lpstr>D.1.!Área_de_impresión</vt:lpstr>
      <vt:lpstr>D.10.!Área_de_impresión</vt:lpstr>
      <vt:lpstr>D.11.!Área_de_impresión</vt:lpstr>
      <vt:lpstr>D.12.!Área_de_impresión</vt:lpstr>
      <vt:lpstr>D.13.!Área_de_impresión</vt:lpstr>
      <vt:lpstr>D.14.!Área_de_impresión</vt:lpstr>
      <vt:lpstr>D.15.!Área_de_impresión</vt:lpstr>
      <vt:lpstr>'D.16. y 17'!Área_de_impresión</vt:lpstr>
      <vt:lpstr>'D.18 y 19'!Área_de_impresión</vt:lpstr>
      <vt:lpstr>D.2.!Área_de_impresión</vt:lpstr>
      <vt:lpstr>D.20.!Área_de_impresión</vt:lpstr>
      <vt:lpstr>D.3.!Área_de_impresión</vt:lpstr>
      <vt:lpstr>D.4.!Área_de_impresión</vt:lpstr>
      <vt:lpstr>D.5.!Área_de_impresión</vt:lpstr>
      <vt:lpstr>D.6.!Área_de_impresión</vt:lpstr>
      <vt:lpstr>D.7.!Área_de_impresión</vt:lpstr>
      <vt:lpstr>D.8.!Área_de_impresión</vt:lpstr>
      <vt:lpstr>D.9.!Área_de_impresión</vt:lpstr>
      <vt:lpstr>I.21.!Área_de_impresión</vt:lpstr>
      <vt:lpstr>I.22.!Área_de_impresión</vt:lpstr>
      <vt:lpstr>I.23.!Área_de_impresión</vt:lpstr>
      <vt:lpstr>I.24.!Área_de_impresión</vt:lpstr>
      <vt:lpstr>I.25!Área_de_impresión</vt:lpstr>
      <vt:lpstr>I.26.!Área_de_impresión</vt:lpstr>
      <vt:lpstr>I.27.!Área_de_impresión</vt:lpstr>
      <vt:lpstr>I.28.!Área_de_impresión</vt:lpstr>
      <vt:lpstr>I.29.!Área_de_impresión</vt:lpstr>
      <vt:lpstr>I.30.!Área_de_impresión</vt:lpstr>
      <vt:lpstr>Indicadores!Área_de_impresión</vt:lpstr>
      <vt:lpstr>PDI!Área_de_impresión</vt:lpstr>
      <vt:lpstr>A.35.!Títulos_a_imprimir</vt:lpstr>
      <vt:lpstr>A.36.!Títulos_a_imprimir</vt:lpstr>
      <vt:lpstr>A.37.!Títulos_a_imprimir</vt:lpstr>
      <vt:lpstr>A.38.!Títulos_a_imprimir</vt:lpstr>
      <vt:lpstr>A.39.!Títulos_a_imprimir</vt:lpstr>
      <vt:lpstr>'A.40.-42.'!Títulos_a_imprimir</vt:lpstr>
      <vt:lpstr>A.43.!Títulos_a_imprimir</vt:lpstr>
      <vt:lpstr>A.44.!Títulos_a_imprimir</vt:lpstr>
      <vt:lpstr>A.45.!Títulos_a_imprimir</vt:lpstr>
      <vt:lpstr>A.46.1!Títulos_a_imprimir</vt:lpstr>
      <vt:lpstr>A.46.2!Títulos_a_imprimir</vt:lpstr>
      <vt:lpstr>A.46.3!Títulos_a_imprimir</vt:lpstr>
      <vt:lpstr>C.32.!Títulos_a_imprimir</vt:lpstr>
      <vt:lpstr>D.1.!Títulos_a_imprimir</vt:lpstr>
      <vt:lpstr>D.10.!Títulos_a_imprimir</vt:lpstr>
      <vt:lpstr>D.14.!Títulos_a_imprimir</vt:lpstr>
      <vt:lpstr>D.15.!Títulos_a_imprimir</vt:lpstr>
      <vt:lpstr>'D.16. y 17'!Títulos_a_imprimir</vt:lpstr>
      <vt:lpstr>'D.18 y 19'!Títulos_a_imprimir</vt:lpstr>
      <vt:lpstr>D.2.!Títulos_a_imprimir</vt:lpstr>
      <vt:lpstr>D.3.!Títulos_a_imprimir</vt:lpstr>
      <vt:lpstr>D.4.!Títulos_a_imprimir</vt:lpstr>
      <vt:lpstr>D.5.!Títulos_a_imprimir</vt:lpstr>
      <vt:lpstr>D.6.!Títulos_a_imprimir</vt:lpstr>
      <vt:lpstr>D.7.!Títulos_a_imprimir</vt:lpstr>
      <vt:lpstr>D.8.!Títulos_a_imprimir</vt:lpstr>
      <vt:lpstr>D.9.!Títulos_a_imprimir</vt:lpstr>
      <vt:lpstr>I.21.!Títulos_a_imprimir</vt:lpstr>
      <vt:lpstr>I.22.!Títulos_a_imprimir</vt:lpstr>
      <vt:lpstr>I.23.!Títulos_a_imprimir</vt:lpstr>
      <vt:lpstr>I.26.!Títulos_a_imprimir</vt:lpstr>
      <vt:lpstr>I.27.!Títulos_a_imprimir</vt:lpstr>
      <vt:lpstr>I.28.!Títulos_a_imprimir</vt:lpstr>
      <vt:lpstr>I.29.!Títulos_a_imprimir</vt:lpstr>
      <vt:lpstr>I.30.!Títulos_a_imprimir</vt:lpstr>
      <vt:lpstr>Indicadores!Títulos_a_imprimir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Nava Diaz</dc:creator>
  <cp:lastModifiedBy>Otto Bazan Lugo</cp:lastModifiedBy>
  <cp:lastPrinted>2024-02-01T17:54:28Z</cp:lastPrinted>
  <dcterms:created xsi:type="dcterms:W3CDTF">2011-06-08T18:52:53Z</dcterms:created>
  <dcterms:modified xsi:type="dcterms:W3CDTF">2024-02-09T23:36:37Z</dcterms:modified>
</cp:coreProperties>
</file>